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ThisWorkbook" defaultThemeVersion="124226"/>
  <mc:AlternateContent xmlns:mc="http://schemas.openxmlformats.org/markup-compatibility/2006">
    <mc:Choice Requires="x15">
      <x15ac:absPath xmlns:x15ac="http://schemas.microsoft.com/office/spreadsheetml/2010/11/ac" url="https://digitalgojp-my.sharepoint.com/personal/katsuaki_kobayashi_env_go_jp/Documents/デスクトップ/"/>
    </mc:Choice>
  </mc:AlternateContent>
  <xr:revisionPtr revIDLastSave="285" documentId="13_ncr:1_{40A501BC-8820-49AF-9587-1EC210745F76}" xr6:coauthVersionLast="47" xr6:coauthVersionMax="47" xr10:uidLastSave="{89C778EB-ED73-4B5E-B3C3-235D9BD9BC43}"/>
  <bookViews>
    <workbookView xWindow="-110" yWindow="-110" windowWidth="19420" windowHeight="11500" tabRatio="774" activeTab="1" xr2:uid="{00000000-000D-0000-FFFF-FFFF00000000}"/>
  </bookViews>
  <sheets>
    <sheet name="改訂履歴" sheetId="41" r:id="rId1"/>
    <sheet name="入力及び計算結果" sheetId="29" r:id="rId2"/>
    <sheet name="No.1" sheetId="2" r:id="rId3"/>
    <sheet name="No.2" sheetId="7" r:id="rId4"/>
    <sheet name="No.3" sheetId="22" r:id="rId5"/>
    <sheet name="No.4" sheetId="37" r:id="rId6"/>
    <sheet name="No.5" sheetId="27" r:id="rId7"/>
    <sheet name="No.6" sheetId="38" r:id="rId8"/>
    <sheet name="No.7" sheetId="36" r:id="rId9"/>
    <sheet name="No.8" sheetId="30" r:id="rId10"/>
    <sheet name="No.9" sheetId="39" r:id="rId11"/>
    <sheet name="No.10" sheetId="34" r:id="rId12"/>
    <sheet name="No.11" sheetId="40" r:id="rId13"/>
    <sheet name="No.12" sheetId="21" r:id="rId14"/>
  </sheets>
  <definedNames>
    <definedName name="Au" localSheetId="13">No.12!$F$13</definedName>
    <definedName name="Au" localSheetId="8">No.7!$F$13</definedName>
    <definedName name="days" localSheetId="11">IFERROR(OFFSET(No.10!$CG$100,0,0,No.10!$CE$94,1),1)</definedName>
    <definedName name="days" localSheetId="12">IFERROR(OFFSET(No.11!$CG$100,0,0,No.11!$CE$94,1),1)</definedName>
    <definedName name="days" localSheetId="4">IFERROR(OFFSET(No.3!$CG$100,0,0,No.3!$CE$94,1),1)</definedName>
    <definedName name="days" localSheetId="5">IFERROR(OFFSET(No.4!$CG$100,0,0,No.4!$CE$94,1),1)</definedName>
    <definedName name="days" localSheetId="6">IFERROR(OFFSET(No.5!$CG$100,0,0,No.5!$CE$94,1),1)</definedName>
    <definedName name="days" localSheetId="7">IFERROR(OFFSET(No.6!$CG$100,0,0,No.6!$CE$94,1),1)</definedName>
    <definedName name="days" localSheetId="9">IFERROR(OFFSET(No.8!$CG$100,0,0,No.8!$CE$94,1),1)</definedName>
    <definedName name="days" localSheetId="10">IFERROR(OFFSET(No.9!$CG$100,0,0,No.9!$CE$94,1),1)</definedName>
    <definedName name="DDr" localSheetId="13">No.12!$F$16</definedName>
    <definedName name="DDr" localSheetId="8">No.7!$F$16</definedName>
    <definedName name="DDra" localSheetId="13">No.12!$H$16</definedName>
    <definedName name="DDra" localSheetId="8">No.7!$H$16</definedName>
    <definedName name="dr">No.2!$H$9</definedName>
    <definedName name="ds">No.1!$H$9</definedName>
    <definedName name="dt" localSheetId="11">No.10!$J$43</definedName>
    <definedName name="dt" localSheetId="12">No.11!$J$43</definedName>
    <definedName name="dt" localSheetId="13">No.12!$I$54</definedName>
    <definedName name="dt" localSheetId="4">No.3!$J$43</definedName>
    <definedName name="dt" localSheetId="5">No.4!$J$43</definedName>
    <definedName name="dt" localSheetId="6">No.5!$J$43</definedName>
    <definedName name="dt" localSheetId="7">No.6!$J$43</definedName>
    <definedName name="dt" localSheetId="8">No.7!$I$54</definedName>
    <definedName name="dt" localSheetId="9">No.8!$J$43</definedName>
    <definedName name="dt" localSheetId="10">No.9!$J$43</definedName>
    <definedName name="ffp" localSheetId="11">No.10!$F$18</definedName>
    <definedName name="ffp" localSheetId="12">No.11!$F$18</definedName>
    <definedName name="ffp" localSheetId="4">No.3!$F$18</definedName>
    <definedName name="ffp" localSheetId="5">No.4!$F$18</definedName>
    <definedName name="ffp" localSheetId="6">No.5!$F$18</definedName>
    <definedName name="ffp" localSheetId="7">No.6!$F$18</definedName>
    <definedName name="ffp" localSheetId="9">No.8!$F$18</definedName>
    <definedName name="ffp" localSheetId="10">No.9!$F$18</definedName>
    <definedName name="ffu" localSheetId="13">No.12!$G$26</definedName>
    <definedName name="ffu" localSheetId="8">No.7!$G$26</definedName>
    <definedName name="ffua" localSheetId="13">No.12!$I$26</definedName>
    <definedName name="ffua" localSheetId="8">No.7!$I$26</definedName>
    <definedName name="fp">No.1!$H$10</definedName>
    <definedName name="fpp">No.1!$H$11</definedName>
    <definedName name="fu">No.2!$H$7</definedName>
    <definedName name="fua">No.2!$H$8</definedName>
    <definedName name="I" localSheetId="11">No.10!$F$13</definedName>
    <definedName name="I" localSheetId="12">No.11!$F$13</definedName>
    <definedName name="I" localSheetId="13">No.12!$F$14</definedName>
    <definedName name="I" localSheetId="4">No.3!$F$13</definedName>
    <definedName name="I" localSheetId="5">No.4!$F$13</definedName>
    <definedName name="I" localSheetId="6">No.5!$F$13</definedName>
    <definedName name="I" localSheetId="7">No.6!$F$13</definedName>
    <definedName name="I" localSheetId="8">No.7!$F$14</definedName>
    <definedName name="I" localSheetId="9">No.8!$F$13</definedName>
    <definedName name="I" localSheetId="10">No.9!$F$13</definedName>
    <definedName name="k" localSheetId="11">No.10!$D$34</definedName>
    <definedName name="k" localSheetId="12">No.11!$D$34</definedName>
    <definedName name="k" localSheetId="13">No.12!$D$45</definedName>
    <definedName name="k" localSheetId="4">No.3!$D$34</definedName>
    <definedName name="k" localSheetId="5">No.4!$D$34</definedName>
    <definedName name="k" localSheetId="6">No.5!$D$34</definedName>
    <definedName name="k" localSheetId="7">No.6!$D$34</definedName>
    <definedName name="k" localSheetId="8">No.7!$D$45</definedName>
    <definedName name="k" localSheetId="9">No.8!$D$34</definedName>
    <definedName name="k" localSheetId="10">No.9!$D$34</definedName>
    <definedName name="Kkkk" localSheetId="13">No.12!$D$52</definedName>
    <definedName name="Kkkk" localSheetId="8">No.7!$D$52</definedName>
    <definedName name="KKoc" localSheetId="13">No.12!$F$28</definedName>
    <definedName name="KKoc" localSheetId="8">No.7!$F$28</definedName>
    <definedName name="Klevee" localSheetId="11">No.10!$J$56</definedName>
    <definedName name="Klevee" localSheetId="12">No.11!$J$56</definedName>
    <definedName name="Klevee" localSheetId="4">No.3!$J$56</definedName>
    <definedName name="Klevee" localSheetId="5">No.4!$J$56</definedName>
    <definedName name="Klevee" localSheetId="6">No.5!$J$56</definedName>
    <definedName name="Klevee" localSheetId="7">No.6!$J$56</definedName>
    <definedName name="Klevee" localSheetId="9">No.8!$J$56</definedName>
    <definedName name="Klevee" localSheetId="10">No.9!$J$56</definedName>
    <definedName name="Koc" localSheetId="11">No.10!$F$23</definedName>
    <definedName name="Koc" localSheetId="12">No.11!$F$23</definedName>
    <definedName name="Koc" localSheetId="13">No.12!$F$21</definedName>
    <definedName name="Koc" localSheetId="4">No.3!$F$23</definedName>
    <definedName name="Koc" localSheetId="5">No.4!$F$23</definedName>
    <definedName name="Koc" localSheetId="6">No.5!$F$23</definedName>
    <definedName name="Koc" localSheetId="7">No.6!$F$23</definedName>
    <definedName name="Koc" localSheetId="8">No.7!$F$21</definedName>
    <definedName name="Koc" localSheetId="9">No.8!$F$23</definedName>
    <definedName name="Koc" localSheetId="10">No.9!$F$23</definedName>
    <definedName name="MaxData" localSheetId="11">IFERROR(OFFSET(No.10!$CH$100,0,0,No.10!$CE$94,1),1)</definedName>
    <definedName name="MaxData" localSheetId="12">IFERROR(OFFSET(No.11!$CH$100,0,0,No.11!$CE$94,1),1)</definedName>
    <definedName name="MaxData" localSheetId="4">IFERROR(OFFSET(No.3!$CH$100,0,0,No.3!$CE$94,1),1)</definedName>
    <definedName name="MaxData" localSheetId="5">IFERROR(OFFSET(No.4!$CH$100,0,0,No.4!$CE$94,1),1)</definedName>
    <definedName name="MaxData" localSheetId="6">IFERROR(OFFSET(No.5!$CH$100,0,0,No.5!$CE$94,1),1)</definedName>
    <definedName name="MaxData" localSheetId="7">IFERROR(OFFSET(No.6!$CH$100,0,0,No.6!$CE$94,1),1)</definedName>
    <definedName name="MaxData" localSheetId="9">IFERROR(OFFSET(No.8!$CH$100,0,0,No.8!$CE$94,1),1)</definedName>
    <definedName name="MaxData" localSheetId="10">IFERROR(OFFSET(No.9!$CH$100,0,0,No.9!$CE$94,1),1)</definedName>
    <definedName name="Oclevee" localSheetId="11">No.10!$J$55</definedName>
    <definedName name="Oclevee" localSheetId="12">No.11!$J$55</definedName>
    <definedName name="Oclevee" localSheetId="4">No.3!$J$55</definedName>
    <definedName name="Oclevee" localSheetId="5">No.4!$J$55</definedName>
    <definedName name="Oclevee" localSheetId="6">No.5!$J$55</definedName>
    <definedName name="Oclevee" localSheetId="7">No.6!$J$55</definedName>
    <definedName name="Oclevee" localSheetId="9">No.8!$J$55</definedName>
    <definedName name="Oclevee" localSheetId="10">No.9!$J$55</definedName>
    <definedName name="Ocse" localSheetId="11">No.10!$J$52</definedName>
    <definedName name="Ocse" localSheetId="12">No.11!$J$52</definedName>
    <definedName name="Ocse" localSheetId="4">No.3!$J$52</definedName>
    <definedName name="Ocse" localSheetId="5">No.4!$J$52</definedName>
    <definedName name="Ocse" localSheetId="6">No.5!$J$52</definedName>
    <definedName name="Ocse" localSheetId="7">No.6!$J$52</definedName>
    <definedName name="Ocse" localSheetId="9">No.8!$J$52</definedName>
    <definedName name="Ocse" localSheetId="10">No.9!$J$52</definedName>
    <definedName name="OOCSE" localSheetId="13">No.12!$E$58</definedName>
    <definedName name="OOCSE" localSheetId="8">No.7!$E$58</definedName>
    <definedName name="PEC" localSheetId="11">IFERROR(OFFSET(No.10!$CF$100,0,0,No.10!$CE$94,1),1)</definedName>
    <definedName name="PEC" localSheetId="12">IFERROR(OFFSET(No.11!$CF$100,0,0,No.11!$CE$94,1),1)</definedName>
    <definedName name="PEC" localSheetId="4">IFERROR(OFFSET(No.3!$CF$100,0,0,No.3!$CE$94,1),1)</definedName>
    <definedName name="PEC" localSheetId="5">IFERROR(OFFSET(No.4!$CF$100,0,0,No.4!$CE$94,1),1)</definedName>
    <definedName name="PEC" localSheetId="6">IFERROR(OFFSET(No.5!$CF$100,0,0,No.5!$CE$94,1),1)</definedName>
    <definedName name="PEC" localSheetId="7">IFERROR(OFFSET(No.6!$CF$100,0,0,No.6!$CE$94,1),1)</definedName>
    <definedName name="PEC" localSheetId="9">IFERROR(OFFSET(No.8!$CF$100,0,0,No.8!$CE$94,1),1)</definedName>
    <definedName name="PEC" localSheetId="10">IFERROR(OFFSET(No.9!$CF$100,0,0,No.9!$CE$94,1),1)</definedName>
    <definedName name="Plevee" localSheetId="11">No.10!$J$53</definedName>
    <definedName name="Plevee" localSheetId="12">No.11!$J$53</definedName>
    <definedName name="Plevee" localSheetId="4">No.3!$J$53</definedName>
    <definedName name="Plevee" localSheetId="5">No.4!$J$53</definedName>
    <definedName name="Plevee" localSheetId="6">No.5!$J$53</definedName>
    <definedName name="Plevee" localSheetId="7">No.6!$J$53</definedName>
    <definedName name="Plevee" localSheetId="9">No.8!$J$53</definedName>
    <definedName name="Plevee" localSheetId="10">No.9!$J$53</definedName>
    <definedName name="PPse" localSheetId="13">No.12!$E$57</definedName>
    <definedName name="PPse" localSheetId="8">No.7!$E$57</definedName>
    <definedName name="_xlnm.Print_Area" localSheetId="2">No.1!$B$1:$O$35</definedName>
    <definedName name="_xlnm.Print_Area" localSheetId="3">No.2!$B$2:$O$37</definedName>
    <definedName name="Pse" localSheetId="11">No.10!$J$51</definedName>
    <definedName name="Pse" localSheetId="12">No.11!$J$51</definedName>
    <definedName name="Pse" localSheetId="4">No.3!$J$51</definedName>
    <definedName name="Pse" localSheetId="5">No.4!$J$51</definedName>
    <definedName name="Pse" localSheetId="6">No.5!$J$51</definedName>
    <definedName name="Pse" localSheetId="7">No.6!$J$51</definedName>
    <definedName name="Pse" localSheetId="9">No.8!$J$51</definedName>
    <definedName name="Pse" localSheetId="10">No.9!$J$51</definedName>
    <definedName name="RU" localSheetId="13">No.12!$F$23</definedName>
    <definedName name="RU" localSheetId="8">No.7!$F$23</definedName>
    <definedName name="RUa" localSheetId="13">No.12!$F$22</definedName>
    <definedName name="RUa" localSheetId="8">No.7!$F$22</definedName>
    <definedName name="RUa" localSheetId="1">入力及び計算結果!$F$48</definedName>
    <definedName name="RUaa" localSheetId="13">No.12!$H$22</definedName>
    <definedName name="RUaa" localSheetId="8">No.7!$H$22</definedName>
    <definedName name="RUUa" localSheetId="13">No.12!$H$23</definedName>
    <definedName name="RUUa" localSheetId="8">No.7!$H$23</definedName>
    <definedName name="rws" localSheetId="11">No.10!$J$54</definedName>
    <definedName name="rws" localSheetId="12">No.11!$J$54</definedName>
    <definedName name="rws" localSheetId="4">No.3!$J$54</definedName>
    <definedName name="rws" localSheetId="5">No.4!$J$54</definedName>
    <definedName name="rws" localSheetId="6">No.5!$J$54</definedName>
    <definedName name="rws" localSheetId="7">No.6!$J$54</definedName>
    <definedName name="rws" localSheetId="9">No.8!$J$54</definedName>
    <definedName name="rws" localSheetId="10">No.9!$J$54</definedName>
    <definedName name="SANP" localSheetId="13">No.12!$F$14</definedName>
    <definedName name="SANP" localSheetId="8">No.7!$F$14</definedName>
    <definedName name="Vse" localSheetId="11">No.10!$J$50</definedName>
    <definedName name="Vse" localSheetId="12">No.11!$J$50</definedName>
    <definedName name="Vse" localSheetId="4">No.3!$J$50</definedName>
    <definedName name="Vse" localSheetId="5">No.4!$J$50</definedName>
    <definedName name="Vse" localSheetId="6">No.5!$J$50</definedName>
    <definedName name="Vse" localSheetId="7">No.6!$J$50</definedName>
    <definedName name="Vse" localSheetId="9">No.8!$J$50</definedName>
    <definedName name="Vse" localSheetId="10">No.9!$J$50</definedName>
    <definedName name="VVse" localSheetId="13">No.12!$E$56</definedName>
    <definedName name="VVse" localSheetId="8">No.7!$E$56</definedName>
    <definedName name="Zr" localSheetId="13">No.12!$F$17</definedName>
    <definedName name="Zr" localSheetId="8">No.7!$F$17</definedName>
    <definedName name="Zra" localSheetId="13">No.12!$H$17</definedName>
    <definedName name="Zra" localSheetId="8">No.7!$H$17</definedName>
    <definedName name="水田_第１段階">入力及び計算結果!$A$16</definedName>
    <definedName name="水田_第２段階_航空防除">入力及び計算結果!$A$48</definedName>
    <definedName name="水田_第２段階_地上防除">入力及び計算結果!$A$27</definedName>
    <definedName name="非水田_第１段階">入力及び計算結果!$A$68</definedName>
    <definedName name="非水田_第２段階">入力及び計算結果!$A$81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21" l="1"/>
  <c r="B1" i="40"/>
  <c r="B1" i="34"/>
  <c r="B1" i="39"/>
  <c r="B1" i="30"/>
  <c r="B1" i="36"/>
  <c r="B1" i="38"/>
  <c r="B1" i="27"/>
  <c r="B1" i="37"/>
  <c r="B1" i="22"/>
  <c r="B1" i="7"/>
  <c r="B1" i="2"/>
  <c r="V39" i="21"/>
  <c r="V38" i="21"/>
  <c r="V37" i="21"/>
  <c r="S39" i="21"/>
  <c r="S38" i="21"/>
  <c r="S37" i="21"/>
  <c r="P39" i="21"/>
  <c r="P38" i="21"/>
  <c r="L39" i="21"/>
  <c r="L38" i="21"/>
  <c r="L37" i="21"/>
  <c r="I39" i="21"/>
  <c r="I38" i="21"/>
  <c r="I37" i="21"/>
  <c r="F22" i="22" l="1"/>
  <c r="BD100" i="22" s="1"/>
  <c r="D121" i="30"/>
  <c r="D250" i="40"/>
  <c r="D249" i="40"/>
  <c r="D248" i="40"/>
  <c r="D247" i="40"/>
  <c r="D246" i="40"/>
  <c r="D245" i="40"/>
  <c r="D244" i="40"/>
  <c r="D243" i="40"/>
  <c r="D242" i="40"/>
  <c r="D241" i="40"/>
  <c r="D240" i="40"/>
  <c r="D239" i="40"/>
  <c r="D238" i="40"/>
  <c r="D237" i="40"/>
  <c r="D236" i="40"/>
  <c r="D235" i="40"/>
  <c r="D234" i="40"/>
  <c r="D233" i="40"/>
  <c r="D232" i="40"/>
  <c r="D231" i="40"/>
  <c r="D230" i="40"/>
  <c r="D229" i="40"/>
  <c r="D228" i="40"/>
  <c r="D227" i="40"/>
  <c r="D226" i="40"/>
  <c r="D225" i="40"/>
  <c r="D224" i="40"/>
  <c r="D223" i="40"/>
  <c r="D222" i="40"/>
  <c r="D221" i="40"/>
  <c r="D220" i="40"/>
  <c r="D219" i="40"/>
  <c r="D218" i="40"/>
  <c r="D217" i="40"/>
  <c r="D216" i="40"/>
  <c r="D215" i="40"/>
  <c r="D214" i="40"/>
  <c r="D213" i="40"/>
  <c r="D212" i="40"/>
  <c r="D211" i="40"/>
  <c r="D210" i="40"/>
  <c r="D209" i="40"/>
  <c r="D208" i="40"/>
  <c r="D207" i="40"/>
  <c r="D206" i="40"/>
  <c r="D205" i="40"/>
  <c r="D204" i="40"/>
  <c r="D203" i="40"/>
  <c r="D202" i="40"/>
  <c r="D201" i="40"/>
  <c r="D200" i="40"/>
  <c r="D199" i="40"/>
  <c r="D198" i="40"/>
  <c r="D197" i="40"/>
  <c r="D196" i="40"/>
  <c r="D195" i="40"/>
  <c r="D194" i="40"/>
  <c r="D193" i="40"/>
  <c r="D192" i="40"/>
  <c r="D191" i="40"/>
  <c r="D190" i="40"/>
  <c r="D189" i="40"/>
  <c r="D188" i="40"/>
  <c r="D187" i="40"/>
  <c r="D186" i="40"/>
  <c r="D185" i="40"/>
  <c r="D184" i="40"/>
  <c r="D183" i="40"/>
  <c r="D182" i="40"/>
  <c r="D181" i="40"/>
  <c r="D180" i="40"/>
  <c r="D179" i="40"/>
  <c r="D178" i="40"/>
  <c r="D177" i="40"/>
  <c r="D176" i="40"/>
  <c r="D175" i="40"/>
  <c r="D174" i="40"/>
  <c r="D173" i="40"/>
  <c r="D172" i="40"/>
  <c r="D171" i="40"/>
  <c r="D170" i="40"/>
  <c r="D169" i="40"/>
  <c r="D168" i="40"/>
  <c r="D167" i="40"/>
  <c r="D166" i="40"/>
  <c r="D165" i="40"/>
  <c r="D164" i="40"/>
  <c r="D163" i="40"/>
  <c r="D162" i="40"/>
  <c r="D161" i="40"/>
  <c r="D160" i="40"/>
  <c r="D159" i="40"/>
  <c r="D158" i="40"/>
  <c r="D157" i="40"/>
  <c r="D156" i="40"/>
  <c r="D155" i="40"/>
  <c r="D154" i="40"/>
  <c r="D153" i="40"/>
  <c r="D152" i="40"/>
  <c r="D151" i="40"/>
  <c r="D150" i="40"/>
  <c r="D149" i="40"/>
  <c r="D148" i="40"/>
  <c r="D147" i="40"/>
  <c r="D146" i="40"/>
  <c r="D145" i="40"/>
  <c r="D144" i="40"/>
  <c r="D143" i="40"/>
  <c r="D142" i="40"/>
  <c r="D141" i="40"/>
  <c r="D140" i="40"/>
  <c r="D139" i="40"/>
  <c r="D138" i="40"/>
  <c r="D137" i="40"/>
  <c r="D136" i="40"/>
  <c r="D135" i="40"/>
  <c r="D134" i="40"/>
  <c r="D133" i="40"/>
  <c r="D132" i="40"/>
  <c r="D131" i="40"/>
  <c r="D130" i="40"/>
  <c r="D129" i="40"/>
  <c r="D128" i="40"/>
  <c r="D127" i="40"/>
  <c r="D126" i="40"/>
  <c r="D125" i="40"/>
  <c r="D124" i="40"/>
  <c r="D123" i="40"/>
  <c r="D122" i="40"/>
  <c r="D121" i="40"/>
  <c r="D250" i="34"/>
  <c r="D249" i="34"/>
  <c r="D248" i="34"/>
  <c r="D247" i="34"/>
  <c r="D246" i="34"/>
  <c r="D245" i="34"/>
  <c r="D244" i="34"/>
  <c r="D243" i="34"/>
  <c r="D242" i="34"/>
  <c r="D241" i="34"/>
  <c r="D240" i="34"/>
  <c r="D239" i="34"/>
  <c r="D238" i="34"/>
  <c r="D237" i="34"/>
  <c r="D236" i="34"/>
  <c r="D235" i="34"/>
  <c r="D234" i="34"/>
  <c r="D233" i="34"/>
  <c r="D232" i="34"/>
  <c r="D231" i="34"/>
  <c r="D230" i="34"/>
  <c r="D229" i="34"/>
  <c r="D228" i="34"/>
  <c r="D227" i="34"/>
  <c r="D226" i="34"/>
  <c r="D225" i="34"/>
  <c r="D224" i="34"/>
  <c r="D223" i="34"/>
  <c r="D222" i="34"/>
  <c r="D221" i="34"/>
  <c r="D220" i="34"/>
  <c r="D219" i="34"/>
  <c r="D218" i="34"/>
  <c r="D217" i="34"/>
  <c r="D216" i="34"/>
  <c r="D215" i="34"/>
  <c r="D214" i="34"/>
  <c r="D213" i="34"/>
  <c r="D212" i="34"/>
  <c r="D211" i="34"/>
  <c r="D210" i="34"/>
  <c r="D209" i="34"/>
  <c r="D208" i="34"/>
  <c r="D207" i="34"/>
  <c r="D206" i="34"/>
  <c r="D205" i="34"/>
  <c r="D204" i="34"/>
  <c r="D203" i="34"/>
  <c r="D202" i="34"/>
  <c r="D201" i="34"/>
  <c r="D200" i="34"/>
  <c r="D199" i="34"/>
  <c r="D198" i="34"/>
  <c r="D197" i="34"/>
  <c r="D196" i="34"/>
  <c r="D195" i="34"/>
  <c r="D194" i="34"/>
  <c r="D193" i="34"/>
  <c r="D192" i="34"/>
  <c r="D191" i="34"/>
  <c r="D190" i="34"/>
  <c r="D189" i="34"/>
  <c r="D188" i="34"/>
  <c r="D187" i="34"/>
  <c r="D186" i="34"/>
  <c r="D185" i="34"/>
  <c r="D184" i="34"/>
  <c r="D183" i="34"/>
  <c r="D182" i="34"/>
  <c r="D181" i="34"/>
  <c r="D180" i="34"/>
  <c r="D179" i="34"/>
  <c r="D178" i="34"/>
  <c r="D177" i="34"/>
  <c r="D176" i="34"/>
  <c r="D175" i="34"/>
  <c r="D174" i="34"/>
  <c r="D173" i="34"/>
  <c r="D172" i="34"/>
  <c r="D171" i="34"/>
  <c r="D170" i="34"/>
  <c r="D169" i="34"/>
  <c r="D168" i="34"/>
  <c r="D167" i="34"/>
  <c r="D166" i="34"/>
  <c r="D165" i="34"/>
  <c r="D164" i="34"/>
  <c r="D163" i="34"/>
  <c r="D162" i="34"/>
  <c r="D161" i="34"/>
  <c r="D160" i="34"/>
  <c r="D159" i="34"/>
  <c r="D158" i="34"/>
  <c r="D157" i="34"/>
  <c r="D156" i="34"/>
  <c r="D155" i="34"/>
  <c r="D154" i="34"/>
  <c r="D153" i="34"/>
  <c r="D152" i="34"/>
  <c r="D151" i="34"/>
  <c r="D150" i="34"/>
  <c r="D149" i="34"/>
  <c r="D148" i="34"/>
  <c r="D147" i="34"/>
  <c r="D146" i="34"/>
  <c r="D145" i="34"/>
  <c r="D144" i="34"/>
  <c r="D143" i="34"/>
  <c r="D142" i="34"/>
  <c r="D141" i="34"/>
  <c r="D140" i="34"/>
  <c r="D139" i="34"/>
  <c r="D138" i="34"/>
  <c r="D137" i="34"/>
  <c r="D136" i="34"/>
  <c r="D135" i="34"/>
  <c r="D134" i="34"/>
  <c r="D133" i="34"/>
  <c r="D132" i="34"/>
  <c r="D131" i="34"/>
  <c r="D130" i="34"/>
  <c r="D129" i="34"/>
  <c r="D128" i="34"/>
  <c r="D127" i="34"/>
  <c r="D126" i="34"/>
  <c r="D125" i="34"/>
  <c r="D124" i="34"/>
  <c r="D123" i="34"/>
  <c r="D122" i="34"/>
  <c r="D121" i="34"/>
  <c r="D250" i="39"/>
  <c r="D249" i="39"/>
  <c r="D248" i="39"/>
  <c r="D247" i="39"/>
  <c r="D246" i="39"/>
  <c r="D245" i="39"/>
  <c r="D244" i="39"/>
  <c r="D243" i="39"/>
  <c r="D242" i="39"/>
  <c r="D241" i="39"/>
  <c r="D240" i="39"/>
  <c r="D239" i="39"/>
  <c r="D238" i="39"/>
  <c r="D237" i="39"/>
  <c r="D236" i="39"/>
  <c r="D235" i="39"/>
  <c r="D234" i="39"/>
  <c r="D233" i="39"/>
  <c r="D232" i="39"/>
  <c r="D231" i="39"/>
  <c r="D230" i="39"/>
  <c r="D229" i="39"/>
  <c r="D228" i="39"/>
  <c r="D227" i="39"/>
  <c r="D226" i="39"/>
  <c r="D225" i="39"/>
  <c r="D224" i="39"/>
  <c r="D223" i="39"/>
  <c r="D222" i="39"/>
  <c r="D221" i="39"/>
  <c r="D220" i="39"/>
  <c r="D219" i="39"/>
  <c r="D218" i="39"/>
  <c r="D217" i="39"/>
  <c r="D216" i="39"/>
  <c r="D215" i="39"/>
  <c r="D214" i="39"/>
  <c r="D213" i="39"/>
  <c r="D212" i="39"/>
  <c r="D211" i="39"/>
  <c r="D210" i="39"/>
  <c r="D209" i="39"/>
  <c r="D208" i="39"/>
  <c r="D207" i="39"/>
  <c r="D206" i="39"/>
  <c r="D205" i="39"/>
  <c r="D204" i="39"/>
  <c r="D203" i="39"/>
  <c r="D202" i="39"/>
  <c r="D201" i="39"/>
  <c r="D200" i="39"/>
  <c r="D199" i="39"/>
  <c r="D198" i="39"/>
  <c r="D197" i="39"/>
  <c r="D196" i="39"/>
  <c r="D195" i="39"/>
  <c r="D194" i="39"/>
  <c r="D193" i="39"/>
  <c r="D192" i="39"/>
  <c r="D191" i="39"/>
  <c r="D190" i="39"/>
  <c r="D189" i="39"/>
  <c r="D188" i="39"/>
  <c r="D187" i="39"/>
  <c r="D186" i="39"/>
  <c r="D185" i="39"/>
  <c r="D184" i="39"/>
  <c r="D183" i="39"/>
  <c r="D182" i="39"/>
  <c r="D181" i="39"/>
  <c r="D180" i="39"/>
  <c r="D179" i="39"/>
  <c r="D178" i="39"/>
  <c r="D177" i="39"/>
  <c r="D176" i="39"/>
  <c r="D175" i="39"/>
  <c r="D174" i="39"/>
  <c r="D173" i="39"/>
  <c r="D172" i="39"/>
  <c r="D171" i="39"/>
  <c r="D170" i="39"/>
  <c r="D169" i="39"/>
  <c r="D168" i="39"/>
  <c r="D167" i="39"/>
  <c r="D166" i="39"/>
  <c r="D165" i="39"/>
  <c r="D164" i="39"/>
  <c r="D163" i="39"/>
  <c r="D162" i="39"/>
  <c r="D161" i="39"/>
  <c r="D160" i="39"/>
  <c r="D159" i="39"/>
  <c r="D158" i="39"/>
  <c r="D157" i="39"/>
  <c r="D156" i="39"/>
  <c r="D155" i="39"/>
  <c r="D154" i="39"/>
  <c r="D153" i="39"/>
  <c r="D152" i="39"/>
  <c r="D151" i="39"/>
  <c r="D150" i="39"/>
  <c r="D149" i="39"/>
  <c r="D148" i="39"/>
  <c r="D147" i="39"/>
  <c r="D146" i="39"/>
  <c r="D145" i="39"/>
  <c r="D144" i="39"/>
  <c r="D143" i="39"/>
  <c r="D142" i="39"/>
  <c r="D141" i="39"/>
  <c r="D140" i="39"/>
  <c r="D139" i="39"/>
  <c r="D138" i="39"/>
  <c r="D137" i="39"/>
  <c r="D136" i="39"/>
  <c r="D135" i="39"/>
  <c r="D134" i="39"/>
  <c r="D133" i="39"/>
  <c r="D132" i="39"/>
  <c r="D131" i="39"/>
  <c r="D130" i="39"/>
  <c r="D129" i="39"/>
  <c r="D128" i="39"/>
  <c r="D127" i="39"/>
  <c r="D126" i="39"/>
  <c r="D125" i="39"/>
  <c r="D124" i="39"/>
  <c r="D123" i="39"/>
  <c r="D122" i="39"/>
  <c r="D121" i="39"/>
  <c r="D250" i="30"/>
  <c r="D249" i="30"/>
  <c r="D248" i="30"/>
  <c r="D247" i="30"/>
  <c r="D246" i="30"/>
  <c r="D245" i="30"/>
  <c r="D244" i="30"/>
  <c r="D243" i="30"/>
  <c r="D242" i="30"/>
  <c r="D241" i="30"/>
  <c r="D240" i="30"/>
  <c r="D239" i="30"/>
  <c r="D238" i="30"/>
  <c r="D237" i="30"/>
  <c r="D236" i="30"/>
  <c r="D235" i="30"/>
  <c r="D234" i="30"/>
  <c r="D233" i="30"/>
  <c r="D232" i="30"/>
  <c r="D231" i="30"/>
  <c r="D230" i="30"/>
  <c r="D229" i="30"/>
  <c r="D228" i="30"/>
  <c r="D227" i="30"/>
  <c r="D226" i="30"/>
  <c r="D225" i="30"/>
  <c r="D224" i="30"/>
  <c r="D223" i="30"/>
  <c r="D222" i="30"/>
  <c r="D221" i="30"/>
  <c r="D220" i="30"/>
  <c r="D219" i="30"/>
  <c r="D218" i="30"/>
  <c r="D217" i="30"/>
  <c r="D216" i="30"/>
  <c r="D215" i="30"/>
  <c r="D214" i="30"/>
  <c r="D213" i="30"/>
  <c r="D212" i="30"/>
  <c r="D211" i="30"/>
  <c r="D210" i="30"/>
  <c r="D209" i="30"/>
  <c r="D208" i="30"/>
  <c r="D207" i="30"/>
  <c r="D206" i="30"/>
  <c r="D205" i="30"/>
  <c r="D204" i="30"/>
  <c r="D203" i="30"/>
  <c r="D202" i="30"/>
  <c r="D201" i="30"/>
  <c r="D200" i="30"/>
  <c r="D199" i="30"/>
  <c r="D198" i="30"/>
  <c r="D197" i="30"/>
  <c r="D196" i="30"/>
  <c r="D195" i="30"/>
  <c r="D194" i="30"/>
  <c r="D193" i="30"/>
  <c r="D192" i="30"/>
  <c r="D191" i="30"/>
  <c r="D190" i="30"/>
  <c r="D189" i="30"/>
  <c r="D188" i="30"/>
  <c r="D187" i="30"/>
  <c r="D186" i="30"/>
  <c r="D185" i="30"/>
  <c r="D184" i="30"/>
  <c r="D183" i="30"/>
  <c r="D182" i="30"/>
  <c r="D181" i="30"/>
  <c r="D180" i="30"/>
  <c r="D179" i="30"/>
  <c r="D178" i="30"/>
  <c r="D177" i="30"/>
  <c r="D176" i="30"/>
  <c r="D175" i="30"/>
  <c r="D174" i="30"/>
  <c r="D173" i="30"/>
  <c r="D172" i="30"/>
  <c r="D171" i="30"/>
  <c r="D170" i="30"/>
  <c r="D169" i="30"/>
  <c r="D168" i="30"/>
  <c r="D167" i="30"/>
  <c r="D166" i="30"/>
  <c r="D165" i="30"/>
  <c r="D164" i="30"/>
  <c r="D163" i="30"/>
  <c r="D162" i="30"/>
  <c r="D161" i="30"/>
  <c r="D160" i="30"/>
  <c r="D159" i="30"/>
  <c r="D158" i="30"/>
  <c r="D157" i="30"/>
  <c r="D156" i="30"/>
  <c r="D155" i="30"/>
  <c r="D154" i="30"/>
  <c r="D153" i="30"/>
  <c r="D152" i="30"/>
  <c r="D151" i="30"/>
  <c r="D150" i="30"/>
  <c r="D149" i="30"/>
  <c r="D148" i="30"/>
  <c r="D147" i="30"/>
  <c r="D146" i="30"/>
  <c r="D145" i="30"/>
  <c r="D144" i="30"/>
  <c r="D143" i="30"/>
  <c r="D142" i="30"/>
  <c r="D141" i="30"/>
  <c r="D140" i="30"/>
  <c r="D139" i="30"/>
  <c r="D138" i="30"/>
  <c r="D137" i="30"/>
  <c r="D136" i="30"/>
  <c r="D135" i="30"/>
  <c r="D134" i="30"/>
  <c r="D133" i="30"/>
  <c r="D132" i="30"/>
  <c r="D131" i="30"/>
  <c r="D130" i="30"/>
  <c r="D129" i="30"/>
  <c r="D128" i="30"/>
  <c r="D127" i="30"/>
  <c r="D126" i="30"/>
  <c r="D125" i="30"/>
  <c r="D124" i="30"/>
  <c r="D123" i="30"/>
  <c r="D122" i="30"/>
  <c r="CA250" i="40"/>
  <c r="AV250" i="40"/>
  <c r="AK250" i="40"/>
  <c r="AC250" i="40"/>
  <c r="U250" i="40"/>
  <c r="CA249" i="40"/>
  <c r="AV249" i="40"/>
  <c r="AK249" i="40"/>
  <c r="AC249" i="40"/>
  <c r="U249" i="40"/>
  <c r="CA248" i="40"/>
  <c r="AV248" i="40"/>
  <c r="AK248" i="40"/>
  <c r="AC248" i="40"/>
  <c r="U248" i="40"/>
  <c r="CA247" i="40"/>
  <c r="AV247" i="40"/>
  <c r="AK247" i="40"/>
  <c r="AC247" i="40"/>
  <c r="U247" i="40"/>
  <c r="CA246" i="40"/>
  <c r="AV246" i="40"/>
  <c r="AK246" i="40"/>
  <c r="AC246" i="40"/>
  <c r="U246" i="40"/>
  <c r="CA245" i="40"/>
  <c r="AV245" i="40"/>
  <c r="AK245" i="40"/>
  <c r="AC245" i="40"/>
  <c r="U245" i="40"/>
  <c r="CA244" i="40"/>
  <c r="AV244" i="40"/>
  <c r="AK244" i="40"/>
  <c r="AC244" i="40"/>
  <c r="U244" i="40"/>
  <c r="CA243" i="40"/>
  <c r="AV243" i="40"/>
  <c r="AK243" i="40"/>
  <c r="AC243" i="40"/>
  <c r="U243" i="40"/>
  <c r="CA242" i="40"/>
  <c r="AV242" i="40"/>
  <c r="AK242" i="40"/>
  <c r="AC242" i="40"/>
  <c r="U242" i="40"/>
  <c r="CA241" i="40"/>
  <c r="AV241" i="40"/>
  <c r="AK241" i="40"/>
  <c r="AC241" i="40"/>
  <c r="U241" i="40"/>
  <c r="CA240" i="40"/>
  <c r="AV240" i="40"/>
  <c r="AK240" i="40"/>
  <c r="AC240" i="40"/>
  <c r="U240" i="40"/>
  <c r="CA239" i="40"/>
  <c r="AV239" i="40"/>
  <c r="AK239" i="40"/>
  <c r="AC239" i="40"/>
  <c r="U239" i="40"/>
  <c r="CA238" i="40"/>
  <c r="AV238" i="40"/>
  <c r="AK238" i="40"/>
  <c r="AC238" i="40"/>
  <c r="U238" i="40"/>
  <c r="CA237" i="40"/>
  <c r="AV237" i="40"/>
  <c r="AK237" i="40"/>
  <c r="AC237" i="40"/>
  <c r="U237" i="40"/>
  <c r="CA236" i="40"/>
  <c r="AV236" i="40"/>
  <c r="AK236" i="40"/>
  <c r="AC236" i="40"/>
  <c r="U236" i="40"/>
  <c r="CA235" i="40"/>
  <c r="AV235" i="40"/>
  <c r="AK235" i="40"/>
  <c r="AC235" i="40"/>
  <c r="U235" i="40"/>
  <c r="CA234" i="40"/>
  <c r="AV234" i="40"/>
  <c r="AK234" i="40"/>
  <c r="AC234" i="40"/>
  <c r="U234" i="40"/>
  <c r="CA233" i="40"/>
  <c r="AV233" i="40"/>
  <c r="AK233" i="40"/>
  <c r="AC233" i="40"/>
  <c r="U233" i="40"/>
  <c r="CA232" i="40"/>
  <c r="AV232" i="40"/>
  <c r="AK232" i="40"/>
  <c r="AC232" i="40"/>
  <c r="U232" i="40"/>
  <c r="CA231" i="40"/>
  <c r="AV231" i="40"/>
  <c r="AK231" i="40"/>
  <c r="AC231" i="40"/>
  <c r="U231" i="40"/>
  <c r="CA230" i="40"/>
  <c r="AV230" i="40"/>
  <c r="AK230" i="40"/>
  <c r="AC230" i="40"/>
  <c r="U230" i="40"/>
  <c r="CA229" i="40"/>
  <c r="AV229" i="40"/>
  <c r="AK229" i="40"/>
  <c r="AC229" i="40"/>
  <c r="U229" i="40"/>
  <c r="CA228" i="40"/>
  <c r="AV228" i="40"/>
  <c r="AK228" i="40"/>
  <c r="AC228" i="40"/>
  <c r="U228" i="40"/>
  <c r="CA227" i="40"/>
  <c r="AV227" i="40"/>
  <c r="AK227" i="40"/>
  <c r="AC227" i="40"/>
  <c r="U227" i="40"/>
  <c r="CA226" i="40"/>
  <c r="AV226" i="40"/>
  <c r="AK226" i="40"/>
  <c r="AC226" i="40"/>
  <c r="U226" i="40"/>
  <c r="CA225" i="40"/>
  <c r="AV225" i="40"/>
  <c r="AK225" i="40"/>
  <c r="AC225" i="40"/>
  <c r="U225" i="40"/>
  <c r="CA224" i="40"/>
  <c r="AV224" i="40"/>
  <c r="AK224" i="40"/>
  <c r="AC224" i="40"/>
  <c r="U224" i="40"/>
  <c r="CA223" i="40"/>
  <c r="AV223" i="40"/>
  <c r="AK223" i="40"/>
  <c r="AC223" i="40"/>
  <c r="U223" i="40"/>
  <c r="CA222" i="40"/>
  <c r="AV222" i="40"/>
  <c r="AK222" i="40"/>
  <c r="AC222" i="40"/>
  <c r="U222" i="40"/>
  <c r="CA221" i="40"/>
  <c r="AV221" i="40"/>
  <c r="AK221" i="40"/>
  <c r="AC221" i="40"/>
  <c r="U221" i="40"/>
  <c r="CA220" i="40"/>
  <c r="AV220" i="40"/>
  <c r="AK220" i="40"/>
  <c r="AC220" i="40"/>
  <c r="U220" i="40"/>
  <c r="CA219" i="40"/>
  <c r="AV219" i="40"/>
  <c r="AK219" i="40"/>
  <c r="AC219" i="40"/>
  <c r="U219" i="40"/>
  <c r="CA218" i="40"/>
  <c r="AV218" i="40"/>
  <c r="AK218" i="40"/>
  <c r="AC218" i="40"/>
  <c r="U218" i="40"/>
  <c r="CA217" i="40"/>
  <c r="AV217" i="40"/>
  <c r="AK217" i="40"/>
  <c r="AC217" i="40"/>
  <c r="U217" i="40"/>
  <c r="CA216" i="40"/>
  <c r="AV216" i="40"/>
  <c r="AK216" i="40"/>
  <c r="AC216" i="40"/>
  <c r="U216" i="40"/>
  <c r="CA215" i="40"/>
  <c r="AV215" i="40"/>
  <c r="AK215" i="40"/>
  <c r="AC215" i="40"/>
  <c r="U215" i="40"/>
  <c r="CA214" i="40"/>
  <c r="AV214" i="40"/>
  <c r="AK214" i="40"/>
  <c r="AC214" i="40"/>
  <c r="U214" i="40"/>
  <c r="CA213" i="40"/>
  <c r="AV213" i="40"/>
  <c r="AK213" i="40"/>
  <c r="AC213" i="40"/>
  <c r="U213" i="40"/>
  <c r="CA212" i="40"/>
  <c r="AV212" i="40"/>
  <c r="AK212" i="40"/>
  <c r="AC212" i="40"/>
  <c r="U212" i="40"/>
  <c r="CA211" i="40"/>
  <c r="AV211" i="40"/>
  <c r="AK211" i="40"/>
  <c r="AC211" i="40"/>
  <c r="U211" i="40"/>
  <c r="CA210" i="40"/>
  <c r="AV210" i="40"/>
  <c r="AK210" i="40"/>
  <c r="AC210" i="40"/>
  <c r="U210" i="40"/>
  <c r="CA209" i="40"/>
  <c r="AV209" i="40"/>
  <c r="AK209" i="40"/>
  <c r="AC209" i="40"/>
  <c r="U209" i="40"/>
  <c r="CA208" i="40"/>
  <c r="AV208" i="40"/>
  <c r="AK208" i="40"/>
  <c r="AC208" i="40"/>
  <c r="U208" i="40"/>
  <c r="CA207" i="40"/>
  <c r="AV207" i="40"/>
  <c r="AK207" i="40"/>
  <c r="AC207" i="40"/>
  <c r="U207" i="40"/>
  <c r="CA206" i="40"/>
  <c r="AV206" i="40"/>
  <c r="AK206" i="40"/>
  <c r="AC206" i="40"/>
  <c r="U206" i="40"/>
  <c r="CA205" i="40"/>
  <c r="AV205" i="40"/>
  <c r="AK205" i="40"/>
  <c r="AC205" i="40"/>
  <c r="U205" i="40"/>
  <c r="CA204" i="40"/>
  <c r="AV204" i="40"/>
  <c r="AK204" i="40"/>
  <c r="AC204" i="40"/>
  <c r="U204" i="40"/>
  <c r="CA203" i="40"/>
  <c r="AV203" i="40"/>
  <c r="AK203" i="40"/>
  <c r="AC203" i="40"/>
  <c r="U203" i="40"/>
  <c r="CA202" i="40"/>
  <c r="AV202" i="40"/>
  <c r="AK202" i="40"/>
  <c r="AC202" i="40"/>
  <c r="U202" i="40"/>
  <c r="CA201" i="40"/>
  <c r="AV201" i="40"/>
  <c r="AK201" i="40"/>
  <c r="AC201" i="40"/>
  <c r="U201" i="40"/>
  <c r="CA200" i="40"/>
  <c r="AV200" i="40"/>
  <c r="AK200" i="40"/>
  <c r="AC200" i="40"/>
  <c r="U200" i="40"/>
  <c r="CA199" i="40"/>
  <c r="AV199" i="40"/>
  <c r="AK199" i="40"/>
  <c r="AC199" i="40"/>
  <c r="U199" i="40"/>
  <c r="CA198" i="40"/>
  <c r="AV198" i="40"/>
  <c r="AK198" i="40"/>
  <c r="AC198" i="40"/>
  <c r="U198" i="40"/>
  <c r="CA197" i="40"/>
  <c r="AV197" i="40"/>
  <c r="AK197" i="40"/>
  <c r="AC197" i="40"/>
  <c r="U197" i="40"/>
  <c r="CA196" i="40"/>
  <c r="AV196" i="40"/>
  <c r="AK196" i="40"/>
  <c r="AC196" i="40"/>
  <c r="U196" i="40"/>
  <c r="CA195" i="40"/>
  <c r="AV195" i="40"/>
  <c r="AK195" i="40"/>
  <c r="AC195" i="40"/>
  <c r="U195" i="40"/>
  <c r="CA194" i="40"/>
  <c r="AV194" i="40"/>
  <c r="AK194" i="40"/>
  <c r="AC194" i="40"/>
  <c r="U194" i="40"/>
  <c r="CA193" i="40"/>
  <c r="AV193" i="40"/>
  <c r="AK193" i="40"/>
  <c r="AC193" i="40"/>
  <c r="U193" i="40"/>
  <c r="CA192" i="40"/>
  <c r="AV192" i="40"/>
  <c r="AK192" i="40"/>
  <c r="AC192" i="40"/>
  <c r="U192" i="40"/>
  <c r="CA191" i="40"/>
  <c r="AV191" i="40"/>
  <c r="AK191" i="40"/>
  <c r="AC191" i="40"/>
  <c r="U191" i="40"/>
  <c r="CA190" i="40"/>
  <c r="AV190" i="40"/>
  <c r="AK190" i="40"/>
  <c r="AC190" i="40"/>
  <c r="U190" i="40"/>
  <c r="CA189" i="40"/>
  <c r="AV189" i="40"/>
  <c r="AK189" i="40"/>
  <c r="AC189" i="40"/>
  <c r="U189" i="40"/>
  <c r="CA188" i="40"/>
  <c r="AV188" i="40"/>
  <c r="AK188" i="40"/>
  <c r="AC188" i="40"/>
  <c r="U188" i="40"/>
  <c r="CA187" i="40"/>
  <c r="AV187" i="40"/>
  <c r="AK187" i="40"/>
  <c r="AC187" i="40"/>
  <c r="U187" i="40"/>
  <c r="CA186" i="40"/>
  <c r="AV186" i="40"/>
  <c r="AK186" i="40"/>
  <c r="AC186" i="40"/>
  <c r="U186" i="40"/>
  <c r="CA185" i="40"/>
  <c r="AV185" i="40"/>
  <c r="AK185" i="40"/>
  <c r="AC185" i="40"/>
  <c r="U185" i="40"/>
  <c r="CA184" i="40"/>
  <c r="AV184" i="40"/>
  <c r="AK184" i="40"/>
  <c r="AC184" i="40"/>
  <c r="U184" i="40"/>
  <c r="CA183" i="40"/>
  <c r="AV183" i="40"/>
  <c r="AK183" i="40"/>
  <c r="AC183" i="40"/>
  <c r="U183" i="40"/>
  <c r="CA182" i="40"/>
  <c r="AV182" i="40"/>
  <c r="AK182" i="40"/>
  <c r="AC182" i="40"/>
  <c r="U182" i="40"/>
  <c r="CA181" i="40"/>
  <c r="AV181" i="40"/>
  <c r="AK181" i="40"/>
  <c r="AC181" i="40"/>
  <c r="U181" i="40"/>
  <c r="CA180" i="40"/>
  <c r="AV180" i="40"/>
  <c r="AK180" i="40"/>
  <c r="AC180" i="40"/>
  <c r="U180" i="40"/>
  <c r="CA179" i="40"/>
  <c r="AV179" i="40"/>
  <c r="AK179" i="40"/>
  <c r="AC179" i="40"/>
  <c r="U179" i="40"/>
  <c r="CA178" i="40"/>
  <c r="AV178" i="40"/>
  <c r="AK178" i="40"/>
  <c r="AC178" i="40"/>
  <c r="U178" i="40"/>
  <c r="CA177" i="40"/>
  <c r="AV177" i="40"/>
  <c r="AK177" i="40"/>
  <c r="AC177" i="40"/>
  <c r="U177" i="40"/>
  <c r="CA176" i="40"/>
  <c r="AV176" i="40"/>
  <c r="AK176" i="40"/>
  <c r="AC176" i="40"/>
  <c r="U176" i="40"/>
  <c r="CA175" i="40"/>
  <c r="AV175" i="40"/>
  <c r="AK175" i="40"/>
  <c r="AC175" i="40"/>
  <c r="U175" i="40"/>
  <c r="CA174" i="40"/>
  <c r="AV174" i="40"/>
  <c r="AK174" i="40"/>
  <c r="AC174" i="40"/>
  <c r="U174" i="40"/>
  <c r="CA173" i="40"/>
  <c r="AV173" i="40"/>
  <c r="AK173" i="40"/>
  <c r="AC173" i="40"/>
  <c r="U173" i="40"/>
  <c r="CA172" i="40"/>
  <c r="AV172" i="40"/>
  <c r="AK172" i="40"/>
  <c r="AC172" i="40"/>
  <c r="U172" i="40"/>
  <c r="CA171" i="40"/>
  <c r="AV171" i="40"/>
  <c r="AK171" i="40"/>
  <c r="AC171" i="40"/>
  <c r="U171" i="40"/>
  <c r="CA170" i="40"/>
  <c r="AV170" i="40"/>
  <c r="AK170" i="40"/>
  <c r="AC170" i="40"/>
  <c r="U170" i="40"/>
  <c r="CA169" i="40"/>
  <c r="AV169" i="40"/>
  <c r="AK169" i="40"/>
  <c r="AC169" i="40"/>
  <c r="U169" i="40"/>
  <c r="CA168" i="40"/>
  <c r="AV168" i="40"/>
  <c r="AK168" i="40"/>
  <c r="AC168" i="40"/>
  <c r="U168" i="40"/>
  <c r="CA167" i="40"/>
  <c r="AV167" i="40"/>
  <c r="AK167" i="40"/>
  <c r="AC167" i="40"/>
  <c r="U167" i="40"/>
  <c r="CA166" i="40"/>
  <c r="AV166" i="40"/>
  <c r="AK166" i="40"/>
  <c r="AC166" i="40"/>
  <c r="U166" i="40"/>
  <c r="CA165" i="40"/>
  <c r="AV165" i="40"/>
  <c r="AK165" i="40"/>
  <c r="AC165" i="40"/>
  <c r="U165" i="40"/>
  <c r="CA164" i="40"/>
  <c r="AV164" i="40"/>
  <c r="AK164" i="40"/>
  <c r="AC164" i="40"/>
  <c r="U164" i="40"/>
  <c r="CA163" i="40"/>
  <c r="AV163" i="40"/>
  <c r="AK163" i="40"/>
  <c r="AC163" i="40"/>
  <c r="U163" i="40"/>
  <c r="CA162" i="40"/>
  <c r="AV162" i="40"/>
  <c r="AK162" i="40"/>
  <c r="AC162" i="40"/>
  <c r="U162" i="40"/>
  <c r="CA161" i="40"/>
  <c r="AV161" i="40"/>
  <c r="AK161" i="40"/>
  <c r="AC161" i="40"/>
  <c r="U161" i="40"/>
  <c r="CA160" i="40"/>
  <c r="AV160" i="40"/>
  <c r="AK160" i="40"/>
  <c r="AC160" i="40"/>
  <c r="U160" i="40"/>
  <c r="CA159" i="40"/>
  <c r="AV159" i="40"/>
  <c r="AK159" i="40"/>
  <c r="AC159" i="40"/>
  <c r="U159" i="40"/>
  <c r="CA158" i="40"/>
  <c r="AV158" i="40"/>
  <c r="AK158" i="40"/>
  <c r="AC158" i="40"/>
  <c r="U158" i="40"/>
  <c r="CA157" i="40"/>
  <c r="AV157" i="40"/>
  <c r="AK157" i="40"/>
  <c r="AC157" i="40"/>
  <c r="U157" i="40"/>
  <c r="CA156" i="40"/>
  <c r="AV156" i="40"/>
  <c r="AK156" i="40"/>
  <c r="AC156" i="40"/>
  <c r="U156" i="40"/>
  <c r="CA155" i="40"/>
  <c r="AV155" i="40"/>
  <c r="AK155" i="40"/>
  <c r="AC155" i="40"/>
  <c r="U155" i="40"/>
  <c r="CA154" i="40"/>
  <c r="AV154" i="40"/>
  <c r="AK154" i="40"/>
  <c r="AC154" i="40"/>
  <c r="U154" i="40"/>
  <c r="CA153" i="40"/>
  <c r="AV153" i="40"/>
  <c r="AK153" i="40"/>
  <c r="AC153" i="40"/>
  <c r="U153" i="40"/>
  <c r="CA152" i="40"/>
  <c r="AV152" i="40"/>
  <c r="AK152" i="40"/>
  <c r="AC152" i="40"/>
  <c r="U152" i="40"/>
  <c r="CA151" i="40"/>
  <c r="AV151" i="40"/>
  <c r="AK151" i="40"/>
  <c r="AC151" i="40"/>
  <c r="U151" i="40"/>
  <c r="CA150" i="40"/>
  <c r="AV150" i="40"/>
  <c r="AK150" i="40"/>
  <c r="AC150" i="40"/>
  <c r="U150" i="40"/>
  <c r="CA149" i="40"/>
  <c r="AV149" i="40"/>
  <c r="AK149" i="40"/>
  <c r="AC149" i="40"/>
  <c r="U149" i="40"/>
  <c r="CA148" i="40"/>
  <c r="AV148" i="40"/>
  <c r="AK148" i="40"/>
  <c r="AC148" i="40"/>
  <c r="U148" i="40"/>
  <c r="CA147" i="40"/>
  <c r="AV147" i="40"/>
  <c r="AK147" i="40"/>
  <c r="AC147" i="40"/>
  <c r="U147" i="40"/>
  <c r="CA146" i="40"/>
  <c r="AV146" i="40"/>
  <c r="AK146" i="40"/>
  <c r="AC146" i="40"/>
  <c r="U146" i="40"/>
  <c r="CA145" i="40"/>
  <c r="AV145" i="40"/>
  <c r="AK145" i="40"/>
  <c r="AC145" i="40"/>
  <c r="U145" i="40"/>
  <c r="CA144" i="40"/>
  <c r="AV144" i="40"/>
  <c r="AK144" i="40"/>
  <c r="AC144" i="40"/>
  <c r="U144" i="40"/>
  <c r="CA143" i="40"/>
  <c r="AV143" i="40"/>
  <c r="AK143" i="40"/>
  <c r="AC143" i="40"/>
  <c r="U143" i="40"/>
  <c r="CA142" i="40"/>
  <c r="AV142" i="40"/>
  <c r="AK142" i="40"/>
  <c r="AC142" i="40"/>
  <c r="U142" i="40"/>
  <c r="CA141" i="40"/>
  <c r="AV141" i="40"/>
  <c r="AK141" i="40"/>
  <c r="AC141" i="40"/>
  <c r="U141" i="40"/>
  <c r="CA140" i="40"/>
  <c r="AV140" i="40"/>
  <c r="AK140" i="40"/>
  <c r="AC140" i="40"/>
  <c r="U140" i="40"/>
  <c r="CA139" i="40"/>
  <c r="AV139" i="40"/>
  <c r="AK139" i="40"/>
  <c r="AC139" i="40"/>
  <c r="U139" i="40"/>
  <c r="CA138" i="40"/>
  <c r="AV138" i="40"/>
  <c r="AK138" i="40"/>
  <c r="AC138" i="40"/>
  <c r="U138" i="40"/>
  <c r="CA137" i="40"/>
  <c r="AV137" i="40"/>
  <c r="AK137" i="40"/>
  <c r="AC137" i="40"/>
  <c r="U137" i="40"/>
  <c r="CA136" i="40"/>
  <c r="AV136" i="40"/>
  <c r="AK136" i="40"/>
  <c r="AC136" i="40"/>
  <c r="U136" i="40"/>
  <c r="CA135" i="40"/>
  <c r="AV135" i="40"/>
  <c r="AK135" i="40"/>
  <c r="AC135" i="40"/>
  <c r="U135" i="40"/>
  <c r="CA134" i="40"/>
  <c r="AV134" i="40"/>
  <c r="AK134" i="40"/>
  <c r="AC134" i="40"/>
  <c r="U134" i="40"/>
  <c r="CA133" i="40"/>
  <c r="AV133" i="40"/>
  <c r="AK133" i="40"/>
  <c r="AC133" i="40"/>
  <c r="U133" i="40"/>
  <c r="CA132" i="40"/>
  <c r="AV132" i="40"/>
  <c r="AK132" i="40"/>
  <c r="AC132" i="40"/>
  <c r="U132" i="40"/>
  <c r="CA131" i="40"/>
  <c r="AV131" i="40"/>
  <c r="AK131" i="40"/>
  <c r="AC131" i="40"/>
  <c r="U131" i="40"/>
  <c r="CA130" i="40"/>
  <c r="AV130" i="40"/>
  <c r="AK130" i="40"/>
  <c r="AC130" i="40"/>
  <c r="U130" i="40"/>
  <c r="CA129" i="40"/>
  <c r="AV129" i="40"/>
  <c r="AK129" i="40"/>
  <c r="AC129" i="40"/>
  <c r="U129" i="40"/>
  <c r="CA128" i="40"/>
  <c r="AV128" i="40"/>
  <c r="AK128" i="40"/>
  <c r="AC128" i="40"/>
  <c r="U128" i="40"/>
  <c r="CA127" i="40"/>
  <c r="AV127" i="40"/>
  <c r="AK127" i="40"/>
  <c r="AC127" i="40"/>
  <c r="U127" i="40"/>
  <c r="CA126" i="40"/>
  <c r="BY126" i="40"/>
  <c r="BX126" i="40"/>
  <c r="BW126" i="40"/>
  <c r="AV126" i="40"/>
  <c r="AK126" i="40"/>
  <c r="AC126" i="40"/>
  <c r="U126" i="40"/>
  <c r="CA125" i="40"/>
  <c r="AV125" i="40"/>
  <c r="AK125" i="40"/>
  <c r="AC125" i="40"/>
  <c r="U125" i="40"/>
  <c r="CA124" i="40"/>
  <c r="AV124" i="40"/>
  <c r="AK124" i="40"/>
  <c r="AC124" i="40"/>
  <c r="U124" i="40"/>
  <c r="CA123" i="40"/>
  <c r="AV123" i="40"/>
  <c r="AK123" i="40"/>
  <c r="AC123" i="40"/>
  <c r="U123" i="40"/>
  <c r="CA122" i="40"/>
  <c r="AV122" i="40"/>
  <c r="AK122" i="40"/>
  <c r="AC122" i="40"/>
  <c r="U122" i="40"/>
  <c r="CA121" i="40"/>
  <c r="AV121" i="40"/>
  <c r="AK121" i="40"/>
  <c r="AC121" i="40"/>
  <c r="U121" i="40"/>
  <c r="CC120" i="40"/>
  <c r="BY120" i="40"/>
  <c r="BU120" i="40"/>
  <c r="AK120" i="40"/>
  <c r="AC120" i="40"/>
  <c r="U120" i="40"/>
  <c r="CC119" i="40"/>
  <c r="BY119" i="40"/>
  <c r="BU119" i="40"/>
  <c r="AK119" i="40"/>
  <c r="AC119" i="40"/>
  <c r="U119" i="40"/>
  <c r="CC118" i="40"/>
  <c r="BY118" i="40"/>
  <c r="BU118" i="40"/>
  <c r="AK118" i="40"/>
  <c r="AC118" i="40"/>
  <c r="U118" i="40"/>
  <c r="CC117" i="40"/>
  <c r="BY117" i="40"/>
  <c r="BU117" i="40"/>
  <c r="AK117" i="40"/>
  <c r="AC117" i="40"/>
  <c r="U117" i="40"/>
  <c r="CC116" i="40"/>
  <c r="BY116" i="40"/>
  <c r="BU116" i="40"/>
  <c r="AK116" i="40"/>
  <c r="AC116" i="40"/>
  <c r="U116" i="40"/>
  <c r="CC115" i="40"/>
  <c r="BY115" i="40"/>
  <c r="BU115" i="40"/>
  <c r="AK115" i="40"/>
  <c r="AC115" i="40"/>
  <c r="U115" i="40"/>
  <c r="CC114" i="40"/>
  <c r="BY114" i="40"/>
  <c r="BU114" i="40"/>
  <c r="AK114" i="40"/>
  <c r="AC114" i="40"/>
  <c r="U114" i="40"/>
  <c r="CC113" i="40"/>
  <c r="BY113" i="40"/>
  <c r="BU113" i="40"/>
  <c r="AK113" i="40"/>
  <c r="AC113" i="40"/>
  <c r="U113" i="40"/>
  <c r="CC112" i="40"/>
  <c r="BY112" i="40"/>
  <c r="BU112" i="40"/>
  <c r="AK112" i="40"/>
  <c r="AC112" i="40"/>
  <c r="U112" i="40"/>
  <c r="CC111" i="40"/>
  <c r="BY111" i="40"/>
  <c r="BU111" i="40"/>
  <c r="AK111" i="40"/>
  <c r="AC111" i="40"/>
  <c r="U111" i="40"/>
  <c r="CC110" i="40"/>
  <c r="BY110" i="40"/>
  <c r="BU110" i="40"/>
  <c r="AK110" i="40"/>
  <c r="AC110" i="40"/>
  <c r="U110" i="40"/>
  <c r="CC109" i="40"/>
  <c r="AK109" i="40"/>
  <c r="AC109" i="40"/>
  <c r="U109" i="40"/>
  <c r="CC108" i="40"/>
  <c r="AK108" i="40"/>
  <c r="AC108" i="40"/>
  <c r="U108" i="40"/>
  <c r="CC107" i="40"/>
  <c r="AK107" i="40"/>
  <c r="AC107" i="40"/>
  <c r="U107" i="40"/>
  <c r="CC106" i="40"/>
  <c r="AK106" i="40"/>
  <c r="AC106" i="40"/>
  <c r="U106" i="40"/>
  <c r="CC105" i="40"/>
  <c r="AK105" i="40"/>
  <c r="AC105" i="40"/>
  <c r="U105" i="40"/>
  <c r="CC104" i="40"/>
  <c r="AK104" i="40"/>
  <c r="AC104" i="40"/>
  <c r="U104" i="40"/>
  <c r="CC103" i="40"/>
  <c r="AK103" i="40"/>
  <c r="AC103" i="40"/>
  <c r="U103" i="40"/>
  <c r="CC102" i="40"/>
  <c r="AK102" i="40"/>
  <c r="AC102" i="40"/>
  <c r="U102" i="40"/>
  <c r="CC101" i="40"/>
  <c r="AK101" i="40"/>
  <c r="AC101" i="40"/>
  <c r="U101" i="40"/>
  <c r="CC100" i="40"/>
  <c r="AK100" i="40"/>
  <c r="AC100" i="40"/>
  <c r="U100" i="40"/>
  <c r="AO99" i="40"/>
  <c r="AG99" i="40"/>
  <c r="Y99" i="40"/>
  <c r="CE94" i="40"/>
  <c r="CE136" i="40" s="1"/>
  <c r="BP84" i="40"/>
  <c r="BL84" i="40"/>
  <c r="BH84" i="40"/>
  <c r="BD84" i="40"/>
  <c r="AZ84" i="40"/>
  <c r="AV84" i="40"/>
  <c r="CA250" i="34"/>
  <c r="AV250" i="34"/>
  <c r="AK250" i="34"/>
  <c r="AC250" i="34"/>
  <c r="U250" i="34"/>
  <c r="CA249" i="34"/>
  <c r="AV249" i="34"/>
  <c r="AK249" i="34"/>
  <c r="AC249" i="34"/>
  <c r="U249" i="34"/>
  <c r="CA248" i="34"/>
  <c r="AV248" i="34"/>
  <c r="AK248" i="34"/>
  <c r="AC248" i="34"/>
  <c r="U248" i="34"/>
  <c r="CA247" i="34"/>
  <c r="AV247" i="34"/>
  <c r="AK247" i="34"/>
  <c r="AC247" i="34"/>
  <c r="U247" i="34"/>
  <c r="CA246" i="34"/>
  <c r="AV246" i="34"/>
  <c r="AK246" i="34"/>
  <c r="AC246" i="34"/>
  <c r="U246" i="34"/>
  <c r="CA245" i="34"/>
  <c r="AV245" i="34"/>
  <c r="AK245" i="34"/>
  <c r="AC245" i="34"/>
  <c r="U245" i="34"/>
  <c r="CA244" i="34"/>
  <c r="AV244" i="34"/>
  <c r="AK244" i="34"/>
  <c r="AC244" i="34"/>
  <c r="U244" i="34"/>
  <c r="CA243" i="34"/>
  <c r="AV243" i="34"/>
  <c r="AK243" i="34"/>
  <c r="AC243" i="34"/>
  <c r="U243" i="34"/>
  <c r="CA242" i="34"/>
  <c r="AV242" i="34"/>
  <c r="AK242" i="34"/>
  <c r="AC242" i="34"/>
  <c r="U242" i="34"/>
  <c r="CA241" i="34"/>
  <c r="AV241" i="34"/>
  <c r="AK241" i="34"/>
  <c r="AC241" i="34"/>
  <c r="U241" i="34"/>
  <c r="CA240" i="34"/>
  <c r="AV240" i="34"/>
  <c r="AK240" i="34"/>
  <c r="AC240" i="34"/>
  <c r="U240" i="34"/>
  <c r="CA239" i="34"/>
  <c r="AV239" i="34"/>
  <c r="AK239" i="34"/>
  <c r="AC239" i="34"/>
  <c r="U239" i="34"/>
  <c r="CA238" i="34"/>
  <c r="AV238" i="34"/>
  <c r="AK238" i="34"/>
  <c r="AC238" i="34"/>
  <c r="U238" i="34"/>
  <c r="CA237" i="34"/>
  <c r="AV237" i="34"/>
  <c r="AK237" i="34"/>
  <c r="AC237" i="34"/>
  <c r="U237" i="34"/>
  <c r="CA236" i="34"/>
  <c r="AV236" i="34"/>
  <c r="AK236" i="34"/>
  <c r="AC236" i="34"/>
  <c r="U236" i="34"/>
  <c r="CA235" i="34"/>
  <c r="AV235" i="34"/>
  <c r="AK235" i="34"/>
  <c r="AC235" i="34"/>
  <c r="U235" i="34"/>
  <c r="CA234" i="34"/>
  <c r="AV234" i="34"/>
  <c r="AK234" i="34"/>
  <c r="AC234" i="34"/>
  <c r="U234" i="34"/>
  <c r="CA233" i="34"/>
  <c r="AV233" i="34"/>
  <c r="AK233" i="34"/>
  <c r="AC233" i="34"/>
  <c r="U233" i="34"/>
  <c r="CA232" i="34"/>
  <c r="AV232" i="34"/>
  <c r="AK232" i="34"/>
  <c r="AC232" i="34"/>
  <c r="U232" i="34"/>
  <c r="CA231" i="34"/>
  <c r="AV231" i="34"/>
  <c r="AK231" i="34"/>
  <c r="AC231" i="34"/>
  <c r="U231" i="34"/>
  <c r="CA230" i="34"/>
  <c r="AV230" i="34"/>
  <c r="AK230" i="34"/>
  <c r="AC230" i="34"/>
  <c r="U230" i="34"/>
  <c r="CA229" i="34"/>
  <c r="AV229" i="34"/>
  <c r="AK229" i="34"/>
  <c r="AC229" i="34"/>
  <c r="U229" i="34"/>
  <c r="CA228" i="34"/>
  <c r="AV228" i="34"/>
  <c r="AK228" i="34"/>
  <c r="AC228" i="34"/>
  <c r="U228" i="34"/>
  <c r="CA227" i="34"/>
  <c r="AV227" i="34"/>
  <c r="AK227" i="34"/>
  <c r="AC227" i="34"/>
  <c r="U227" i="34"/>
  <c r="CA226" i="34"/>
  <c r="AV226" i="34"/>
  <c r="AK226" i="34"/>
  <c r="AC226" i="34"/>
  <c r="U226" i="34"/>
  <c r="CA225" i="34"/>
  <c r="AV225" i="34"/>
  <c r="AK225" i="34"/>
  <c r="AC225" i="34"/>
  <c r="U225" i="34"/>
  <c r="CA224" i="34"/>
  <c r="AV224" i="34"/>
  <c r="AK224" i="34"/>
  <c r="AC224" i="34"/>
  <c r="U224" i="34"/>
  <c r="CA223" i="34"/>
  <c r="AV223" i="34"/>
  <c r="AK223" i="34"/>
  <c r="AC223" i="34"/>
  <c r="U223" i="34"/>
  <c r="CA222" i="34"/>
  <c r="AV222" i="34"/>
  <c r="AK222" i="34"/>
  <c r="AC222" i="34"/>
  <c r="U222" i="34"/>
  <c r="CA221" i="34"/>
  <c r="AV221" i="34"/>
  <c r="AK221" i="34"/>
  <c r="AC221" i="34"/>
  <c r="U221" i="34"/>
  <c r="CA220" i="34"/>
  <c r="AV220" i="34"/>
  <c r="AK220" i="34"/>
  <c r="AC220" i="34"/>
  <c r="U220" i="34"/>
  <c r="CA219" i="34"/>
  <c r="AV219" i="34"/>
  <c r="AK219" i="34"/>
  <c r="AC219" i="34"/>
  <c r="U219" i="34"/>
  <c r="CA218" i="34"/>
  <c r="AV218" i="34"/>
  <c r="AK218" i="34"/>
  <c r="AC218" i="34"/>
  <c r="U218" i="34"/>
  <c r="CA217" i="34"/>
  <c r="AV217" i="34"/>
  <c r="AK217" i="34"/>
  <c r="AC217" i="34"/>
  <c r="U217" i="34"/>
  <c r="CA216" i="34"/>
  <c r="AV216" i="34"/>
  <c r="AK216" i="34"/>
  <c r="AC216" i="34"/>
  <c r="U216" i="34"/>
  <c r="CA215" i="34"/>
  <c r="AV215" i="34"/>
  <c r="AK215" i="34"/>
  <c r="AC215" i="34"/>
  <c r="U215" i="34"/>
  <c r="CA214" i="34"/>
  <c r="AV214" i="34"/>
  <c r="AK214" i="34"/>
  <c r="AC214" i="34"/>
  <c r="U214" i="34"/>
  <c r="CA213" i="34"/>
  <c r="AV213" i="34"/>
  <c r="AK213" i="34"/>
  <c r="AC213" i="34"/>
  <c r="U213" i="34"/>
  <c r="CA212" i="34"/>
  <c r="AV212" i="34"/>
  <c r="AK212" i="34"/>
  <c r="AC212" i="34"/>
  <c r="U212" i="34"/>
  <c r="CA211" i="34"/>
  <c r="AV211" i="34"/>
  <c r="AK211" i="34"/>
  <c r="AC211" i="34"/>
  <c r="U211" i="34"/>
  <c r="CA210" i="34"/>
  <c r="AV210" i="34"/>
  <c r="AK210" i="34"/>
  <c r="AC210" i="34"/>
  <c r="U210" i="34"/>
  <c r="CA209" i="34"/>
  <c r="AV209" i="34"/>
  <c r="AK209" i="34"/>
  <c r="AC209" i="34"/>
  <c r="U209" i="34"/>
  <c r="CA208" i="34"/>
  <c r="AV208" i="34"/>
  <c r="AK208" i="34"/>
  <c r="AC208" i="34"/>
  <c r="U208" i="34"/>
  <c r="CA207" i="34"/>
  <c r="AV207" i="34"/>
  <c r="AK207" i="34"/>
  <c r="AC207" i="34"/>
  <c r="U207" i="34"/>
  <c r="CA206" i="34"/>
  <c r="AV206" i="34"/>
  <c r="AK206" i="34"/>
  <c r="AC206" i="34"/>
  <c r="U206" i="34"/>
  <c r="CA205" i="34"/>
  <c r="AV205" i="34"/>
  <c r="AK205" i="34"/>
  <c r="AC205" i="34"/>
  <c r="U205" i="34"/>
  <c r="CA204" i="34"/>
  <c r="AV204" i="34"/>
  <c r="AK204" i="34"/>
  <c r="AC204" i="34"/>
  <c r="U204" i="34"/>
  <c r="CA203" i="34"/>
  <c r="AV203" i="34"/>
  <c r="AK203" i="34"/>
  <c r="AC203" i="34"/>
  <c r="U203" i="34"/>
  <c r="CA202" i="34"/>
  <c r="AV202" i="34"/>
  <c r="AK202" i="34"/>
  <c r="AC202" i="34"/>
  <c r="U202" i="34"/>
  <c r="CA201" i="34"/>
  <c r="AV201" i="34"/>
  <c r="AK201" i="34"/>
  <c r="AC201" i="34"/>
  <c r="U201" i="34"/>
  <c r="CA200" i="34"/>
  <c r="AV200" i="34"/>
  <c r="AK200" i="34"/>
  <c r="AC200" i="34"/>
  <c r="U200" i="34"/>
  <c r="CA199" i="34"/>
  <c r="AV199" i="34"/>
  <c r="AK199" i="34"/>
  <c r="AC199" i="34"/>
  <c r="U199" i="34"/>
  <c r="CA198" i="34"/>
  <c r="AV198" i="34"/>
  <c r="AK198" i="34"/>
  <c r="AC198" i="34"/>
  <c r="U198" i="34"/>
  <c r="CA197" i="34"/>
  <c r="AV197" i="34"/>
  <c r="AK197" i="34"/>
  <c r="AC197" i="34"/>
  <c r="U197" i="34"/>
  <c r="CA196" i="34"/>
  <c r="AV196" i="34"/>
  <c r="AK196" i="34"/>
  <c r="AC196" i="34"/>
  <c r="U196" i="34"/>
  <c r="CA195" i="34"/>
  <c r="AV195" i="34"/>
  <c r="AK195" i="34"/>
  <c r="AC195" i="34"/>
  <c r="U195" i="34"/>
  <c r="CA194" i="34"/>
  <c r="AV194" i="34"/>
  <c r="AK194" i="34"/>
  <c r="AC194" i="34"/>
  <c r="U194" i="34"/>
  <c r="CA193" i="34"/>
  <c r="AV193" i="34"/>
  <c r="AK193" i="34"/>
  <c r="AC193" i="34"/>
  <c r="U193" i="34"/>
  <c r="CA192" i="34"/>
  <c r="AV192" i="34"/>
  <c r="AK192" i="34"/>
  <c r="AC192" i="34"/>
  <c r="U192" i="34"/>
  <c r="CA191" i="34"/>
  <c r="AV191" i="34"/>
  <c r="AK191" i="34"/>
  <c r="AC191" i="34"/>
  <c r="U191" i="34"/>
  <c r="CA190" i="34"/>
  <c r="AV190" i="34"/>
  <c r="AK190" i="34"/>
  <c r="AC190" i="34"/>
  <c r="U190" i="34"/>
  <c r="CA189" i="34"/>
  <c r="AV189" i="34"/>
  <c r="AK189" i="34"/>
  <c r="AC189" i="34"/>
  <c r="U189" i="34"/>
  <c r="CA188" i="34"/>
  <c r="AV188" i="34"/>
  <c r="AK188" i="34"/>
  <c r="AC188" i="34"/>
  <c r="U188" i="34"/>
  <c r="CA187" i="34"/>
  <c r="AV187" i="34"/>
  <c r="AK187" i="34"/>
  <c r="AC187" i="34"/>
  <c r="U187" i="34"/>
  <c r="CA186" i="34"/>
  <c r="AV186" i="34"/>
  <c r="AK186" i="34"/>
  <c r="AC186" i="34"/>
  <c r="U186" i="34"/>
  <c r="CA185" i="34"/>
  <c r="AV185" i="34"/>
  <c r="AK185" i="34"/>
  <c r="AC185" i="34"/>
  <c r="U185" i="34"/>
  <c r="CA184" i="34"/>
  <c r="AV184" i="34"/>
  <c r="AK184" i="34"/>
  <c r="AC184" i="34"/>
  <c r="U184" i="34"/>
  <c r="CA183" i="34"/>
  <c r="AV183" i="34"/>
  <c r="AK183" i="34"/>
  <c r="AC183" i="34"/>
  <c r="U183" i="34"/>
  <c r="CA182" i="34"/>
  <c r="AV182" i="34"/>
  <c r="AK182" i="34"/>
  <c r="AC182" i="34"/>
  <c r="U182" i="34"/>
  <c r="CA181" i="34"/>
  <c r="AV181" i="34"/>
  <c r="AK181" i="34"/>
  <c r="AC181" i="34"/>
  <c r="U181" i="34"/>
  <c r="CA180" i="34"/>
  <c r="AV180" i="34"/>
  <c r="AK180" i="34"/>
  <c r="AC180" i="34"/>
  <c r="U180" i="34"/>
  <c r="CA179" i="34"/>
  <c r="AV179" i="34"/>
  <c r="AK179" i="34"/>
  <c r="AC179" i="34"/>
  <c r="U179" i="34"/>
  <c r="CA178" i="34"/>
  <c r="AV178" i="34"/>
  <c r="AK178" i="34"/>
  <c r="AC178" i="34"/>
  <c r="U178" i="34"/>
  <c r="CA177" i="34"/>
  <c r="AV177" i="34"/>
  <c r="AK177" i="34"/>
  <c r="AC177" i="34"/>
  <c r="U177" i="34"/>
  <c r="CA176" i="34"/>
  <c r="AV176" i="34"/>
  <c r="AK176" i="34"/>
  <c r="AC176" i="34"/>
  <c r="U176" i="34"/>
  <c r="CA175" i="34"/>
  <c r="AV175" i="34"/>
  <c r="AK175" i="34"/>
  <c r="AC175" i="34"/>
  <c r="U175" i="34"/>
  <c r="CA174" i="34"/>
  <c r="AV174" i="34"/>
  <c r="AK174" i="34"/>
  <c r="AC174" i="34"/>
  <c r="U174" i="34"/>
  <c r="CA173" i="34"/>
  <c r="AV173" i="34"/>
  <c r="AK173" i="34"/>
  <c r="AC173" i="34"/>
  <c r="U173" i="34"/>
  <c r="CA172" i="34"/>
  <c r="AV172" i="34"/>
  <c r="AK172" i="34"/>
  <c r="AC172" i="34"/>
  <c r="U172" i="34"/>
  <c r="CA171" i="34"/>
  <c r="AV171" i="34"/>
  <c r="AK171" i="34"/>
  <c r="AC171" i="34"/>
  <c r="U171" i="34"/>
  <c r="CA170" i="34"/>
  <c r="AV170" i="34"/>
  <c r="AK170" i="34"/>
  <c r="AC170" i="34"/>
  <c r="U170" i="34"/>
  <c r="CA169" i="34"/>
  <c r="AV169" i="34"/>
  <c r="AK169" i="34"/>
  <c r="AC169" i="34"/>
  <c r="U169" i="34"/>
  <c r="CA168" i="34"/>
  <c r="AV168" i="34"/>
  <c r="AK168" i="34"/>
  <c r="AC168" i="34"/>
  <c r="U168" i="34"/>
  <c r="CA167" i="34"/>
  <c r="AV167" i="34"/>
  <c r="AK167" i="34"/>
  <c r="AC167" i="34"/>
  <c r="U167" i="34"/>
  <c r="CA166" i="34"/>
  <c r="AV166" i="34"/>
  <c r="AK166" i="34"/>
  <c r="AC166" i="34"/>
  <c r="U166" i="34"/>
  <c r="CA165" i="34"/>
  <c r="AV165" i="34"/>
  <c r="AK165" i="34"/>
  <c r="AC165" i="34"/>
  <c r="U165" i="34"/>
  <c r="CA164" i="34"/>
  <c r="AV164" i="34"/>
  <c r="AK164" i="34"/>
  <c r="AC164" i="34"/>
  <c r="U164" i="34"/>
  <c r="CA163" i="34"/>
  <c r="AV163" i="34"/>
  <c r="AK163" i="34"/>
  <c r="AC163" i="34"/>
  <c r="U163" i="34"/>
  <c r="CA162" i="34"/>
  <c r="AV162" i="34"/>
  <c r="AK162" i="34"/>
  <c r="AC162" i="34"/>
  <c r="U162" i="34"/>
  <c r="CA161" i="34"/>
  <c r="AV161" i="34"/>
  <c r="AK161" i="34"/>
  <c r="AC161" i="34"/>
  <c r="U161" i="34"/>
  <c r="CA160" i="34"/>
  <c r="AV160" i="34"/>
  <c r="AK160" i="34"/>
  <c r="AC160" i="34"/>
  <c r="U160" i="34"/>
  <c r="CA159" i="34"/>
  <c r="AV159" i="34"/>
  <c r="AK159" i="34"/>
  <c r="AC159" i="34"/>
  <c r="U159" i="34"/>
  <c r="CA158" i="34"/>
  <c r="AV158" i="34"/>
  <c r="AK158" i="34"/>
  <c r="AC158" i="34"/>
  <c r="U158" i="34"/>
  <c r="CA157" i="34"/>
  <c r="AV157" i="34"/>
  <c r="AK157" i="34"/>
  <c r="AC157" i="34"/>
  <c r="U157" i="34"/>
  <c r="CA156" i="34"/>
  <c r="AV156" i="34"/>
  <c r="AK156" i="34"/>
  <c r="AC156" i="34"/>
  <c r="U156" i="34"/>
  <c r="CA155" i="34"/>
  <c r="AV155" i="34"/>
  <c r="AK155" i="34"/>
  <c r="AC155" i="34"/>
  <c r="U155" i="34"/>
  <c r="CA154" i="34"/>
  <c r="AV154" i="34"/>
  <c r="AK154" i="34"/>
  <c r="AC154" i="34"/>
  <c r="U154" i="34"/>
  <c r="CA153" i="34"/>
  <c r="AV153" i="34"/>
  <c r="AK153" i="34"/>
  <c r="AC153" i="34"/>
  <c r="U153" i="34"/>
  <c r="CA152" i="34"/>
  <c r="AV152" i="34"/>
  <c r="AK152" i="34"/>
  <c r="AC152" i="34"/>
  <c r="U152" i="34"/>
  <c r="CA151" i="34"/>
  <c r="AV151" i="34"/>
  <c r="AK151" i="34"/>
  <c r="AC151" i="34"/>
  <c r="U151" i="34"/>
  <c r="CA150" i="34"/>
  <c r="AV150" i="34"/>
  <c r="AK150" i="34"/>
  <c r="AC150" i="34"/>
  <c r="U150" i="34"/>
  <c r="CA149" i="34"/>
  <c r="AV149" i="34"/>
  <c r="AK149" i="34"/>
  <c r="AC149" i="34"/>
  <c r="U149" i="34"/>
  <c r="CA148" i="34"/>
  <c r="AV148" i="34"/>
  <c r="AK148" i="34"/>
  <c r="AC148" i="34"/>
  <c r="U148" i="34"/>
  <c r="CA147" i="34"/>
  <c r="AV147" i="34"/>
  <c r="AK147" i="34"/>
  <c r="AC147" i="34"/>
  <c r="U147" i="34"/>
  <c r="CA146" i="34"/>
  <c r="AV146" i="34"/>
  <c r="AK146" i="34"/>
  <c r="AC146" i="34"/>
  <c r="U146" i="34"/>
  <c r="CA145" i="34"/>
  <c r="AV145" i="34"/>
  <c r="AK145" i="34"/>
  <c r="AC145" i="34"/>
  <c r="U145" i="34"/>
  <c r="CA144" i="34"/>
  <c r="AV144" i="34"/>
  <c r="AK144" i="34"/>
  <c r="AC144" i="34"/>
  <c r="U144" i="34"/>
  <c r="CA143" i="34"/>
  <c r="AV143" i="34"/>
  <c r="AK143" i="34"/>
  <c r="AC143" i="34"/>
  <c r="U143" i="34"/>
  <c r="CA142" i="34"/>
  <c r="AV142" i="34"/>
  <c r="AK142" i="34"/>
  <c r="AC142" i="34"/>
  <c r="U142" i="34"/>
  <c r="CA141" i="34"/>
  <c r="AV141" i="34"/>
  <c r="AK141" i="34"/>
  <c r="AC141" i="34"/>
  <c r="U141" i="34"/>
  <c r="CA140" i="34"/>
  <c r="AV140" i="34"/>
  <c r="AK140" i="34"/>
  <c r="AC140" i="34"/>
  <c r="U140" i="34"/>
  <c r="CA139" i="34"/>
  <c r="AV139" i="34"/>
  <c r="AK139" i="34"/>
  <c r="AC139" i="34"/>
  <c r="U139" i="34"/>
  <c r="CA138" i="34"/>
  <c r="AV138" i="34"/>
  <c r="AK138" i="34"/>
  <c r="AC138" i="34"/>
  <c r="U138" i="34"/>
  <c r="CA137" i="34"/>
  <c r="AV137" i="34"/>
  <c r="AK137" i="34"/>
  <c r="AC137" i="34"/>
  <c r="U137" i="34"/>
  <c r="CA136" i="34"/>
  <c r="AV136" i="34"/>
  <c r="AK136" i="34"/>
  <c r="AC136" i="34"/>
  <c r="U136" i="34"/>
  <c r="CA135" i="34"/>
  <c r="AV135" i="34"/>
  <c r="AK135" i="34"/>
  <c r="AC135" i="34"/>
  <c r="U135" i="34"/>
  <c r="CA134" i="34"/>
  <c r="AV134" i="34"/>
  <c r="AK134" i="34"/>
  <c r="AC134" i="34"/>
  <c r="U134" i="34"/>
  <c r="CA133" i="34"/>
  <c r="AV133" i="34"/>
  <c r="AK133" i="34"/>
  <c r="AC133" i="34"/>
  <c r="U133" i="34"/>
  <c r="CA132" i="34"/>
  <c r="AV132" i="34"/>
  <c r="AK132" i="34"/>
  <c r="AC132" i="34"/>
  <c r="U132" i="34"/>
  <c r="CA131" i="34"/>
  <c r="AV131" i="34"/>
  <c r="AK131" i="34"/>
  <c r="AC131" i="34"/>
  <c r="U131" i="34"/>
  <c r="CA130" i="34"/>
  <c r="AV130" i="34"/>
  <c r="AK130" i="34"/>
  <c r="AC130" i="34"/>
  <c r="U130" i="34"/>
  <c r="CA129" i="34"/>
  <c r="AV129" i="34"/>
  <c r="AK129" i="34"/>
  <c r="AC129" i="34"/>
  <c r="U129" i="34"/>
  <c r="CA128" i="34"/>
  <c r="AV128" i="34"/>
  <c r="AK128" i="34"/>
  <c r="AC128" i="34"/>
  <c r="U128" i="34"/>
  <c r="CA127" i="34"/>
  <c r="AV127" i="34"/>
  <c r="AK127" i="34"/>
  <c r="AC127" i="34"/>
  <c r="U127" i="34"/>
  <c r="CA126" i="34"/>
  <c r="BY126" i="34"/>
  <c r="BX126" i="34"/>
  <c r="BW126" i="34"/>
  <c r="AV126" i="34"/>
  <c r="AK126" i="34"/>
  <c r="AC126" i="34"/>
  <c r="U126" i="34"/>
  <c r="CA125" i="34"/>
  <c r="AV125" i="34"/>
  <c r="AK125" i="34"/>
  <c r="AC125" i="34"/>
  <c r="U125" i="34"/>
  <c r="CA124" i="34"/>
  <c r="AV124" i="34"/>
  <c r="AK124" i="34"/>
  <c r="AC124" i="34"/>
  <c r="U124" i="34"/>
  <c r="CA123" i="34"/>
  <c r="AV123" i="34"/>
  <c r="AK123" i="34"/>
  <c r="AC123" i="34"/>
  <c r="U123" i="34"/>
  <c r="CA122" i="34"/>
  <c r="AV122" i="34"/>
  <c r="AK122" i="34"/>
  <c r="AC122" i="34"/>
  <c r="U122" i="34"/>
  <c r="CA121" i="34"/>
  <c r="AV121" i="34"/>
  <c r="AK121" i="34"/>
  <c r="AC121" i="34"/>
  <c r="U121" i="34"/>
  <c r="CC120" i="34"/>
  <c r="BY120" i="34"/>
  <c r="BU120" i="34"/>
  <c r="AK120" i="34"/>
  <c r="AC120" i="34"/>
  <c r="U120" i="34"/>
  <c r="CC119" i="34"/>
  <c r="BY119" i="34"/>
  <c r="BU119" i="34"/>
  <c r="AK119" i="34"/>
  <c r="AC119" i="34"/>
  <c r="U119" i="34"/>
  <c r="CC118" i="34"/>
  <c r="BY118" i="34"/>
  <c r="BU118" i="34"/>
  <c r="AK118" i="34"/>
  <c r="AC118" i="34"/>
  <c r="U118" i="34"/>
  <c r="CC117" i="34"/>
  <c r="BY117" i="34"/>
  <c r="BU117" i="34"/>
  <c r="AK117" i="34"/>
  <c r="AC117" i="34"/>
  <c r="U117" i="34"/>
  <c r="CC116" i="34"/>
  <c r="BY116" i="34"/>
  <c r="BU116" i="34"/>
  <c r="AK116" i="34"/>
  <c r="AC116" i="34"/>
  <c r="U116" i="34"/>
  <c r="CC115" i="34"/>
  <c r="BY115" i="34"/>
  <c r="BU115" i="34"/>
  <c r="AK115" i="34"/>
  <c r="AC115" i="34"/>
  <c r="U115" i="34"/>
  <c r="CC114" i="34"/>
  <c r="BY114" i="34"/>
  <c r="BU114" i="34"/>
  <c r="AK114" i="34"/>
  <c r="AC114" i="34"/>
  <c r="U114" i="34"/>
  <c r="CC113" i="34"/>
  <c r="BY113" i="34"/>
  <c r="BU113" i="34"/>
  <c r="AK113" i="34"/>
  <c r="AC113" i="34"/>
  <c r="U113" i="34"/>
  <c r="CC112" i="34"/>
  <c r="BY112" i="34"/>
  <c r="BU112" i="34"/>
  <c r="AK112" i="34"/>
  <c r="AC112" i="34"/>
  <c r="U112" i="34"/>
  <c r="CC111" i="34"/>
  <c r="BY111" i="34"/>
  <c r="BU111" i="34"/>
  <c r="AK111" i="34"/>
  <c r="AC111" i="34"/>
  <c r="U111" i="34"/>
  <c r="CC110" i="34"/>
  <c r="BY110" i="34"/>
  <c r="BU110" i="34"/>
  <c r="AK110" i="34"/>
  <c r="AC110" i="34"/>
  <c r="U110" i="34"/>
  <c r="CC109" i="34"/>
  <c r="AK109" i="34"/>
  <c r="AC109" i="34"/>
  <c r="U109" i="34"/>
  <c r="CC108" i="34"/>
  <c r="AK108" i="34"/>
  <c r="AC108" i="34"/>
  <c r="U108" i="34"/>
  <c r="CC107" i="34"/>
  <c r="AK107" i="34"/>
  <c r="AC107" i="34"/>
  <c r="U107" i="34"/>
  <c r="CC106" i="34"/>
  <c r="AK106" i="34"/>
  <c r="AC106" i="34"/>
  <c r="U106" i="34"/>
  <c r="CC105" i="34"/>
  <c r="AK105" i="34"/>
  <c r="AC105" i="34"/>
  <c r="U105" i="34"/>
  <c r="CC104" i="34"/>
  <c r="AK104" i="34"/>
  <c r="AC104" i="34"/>
  <c r="U104" i="34"/>
  <c r="CC103" i="34"/>
  <c r="AK103" i="34"/>
  <c r="AC103" i="34"/>
  <c r="U103" i="34"/>
  <c r="CC102" i="34"/>
  <c r="AK102" i="34"/>
  <c r="AC102" i="34"/>
  <c r="U102" i="34"/>
  <c r="CC101" i="34"/>
  <c r="AK101" i="34"/>
  <c r="AC101" i="34"/>
  <c r="U101" i="34"/>
  <c r="CC100" i="34"/>
  <c r="AK100" i="34"/>
  <c r="AC100" i="34"/>
  <c r="U100" i="34"/>
  <c r="AO99" i="34"/>
  <c r="AG99" i="34"/>
  <c r="Y99" i="34"/>
  <c r="CE94" i="34"/>
  <c r="CG117" i="34" s="1"/>
  <c r="BP84" i="34"/>
  <c r="BL84" i="34"/>
  <c r="BH84" i="34"/>
  <c r="BD84" i="34"/>
  <c r="AZ84" i="34"/>
  <c r="AV84" i="34"/>
  <c r="CA250" i="39"/>
  <c r="AV250" i="39"/>
  <c r="AK250" i="39"/>
  <c r="AC250" i="39"/>
  <c r="U250" i="39"/>
  <c r="CA249" i="39"/>
  <c r="AV249" i="39"/>
  <c r="AK249" i="39"/>
  <c r="AC249" i="39"/>
  <c r="U249" i="39"/>
  <c r="CA248" i="39"/>
  <c r="AV248" i="39"/>
  <c r="AK248" i="39"/>
  <c r="AC248" i="39"/>
  <c r="U248" i="39"/>
  <c r="CA247" i="39"/>
  <c r="AV247" i="39"/>
  <c r="AK247" i="39"/>
  <c r="AC247" i="39"/>
  <c r="U247" i="39"/>
  <c r="CA246" i="39"/>
  <c r="AV246" i="39"/>
  <c r="AK246" i="39"/>
  <c r="AC246" i="39"/>
  <c r="U246" i="39"/>
  <c r="CA245" i="39"/>
  <c r="AV245" i="39"/>
  <c r="AK245" i="39"/>
  <c r="AC245" i="39"/>
  <c r="U245" i="39"/>
  <c r="CA244" i="39"/>
  <c r="AV244" i="39"/>
  <c r="AK244" i="39"/>
  <c r="AC244" i="39"/>
  <c r="U244" i="39"/>
  <c r="CA243" i="39"/>
  <c r="AV243" i="39"/>
  <c r="AK243" i="39"/>
  <c r="AC243" i="39"/>
  <c r="U243" i="39"/>
  <c r="CA242" i="39"/>
  <c r="AV242" i="39"/>
  <c r="AK242" i="39"/>
  <c r="AC242" i="39"/>
  <c r="U242" i="39"/>
  <c r="CA241" i="39"/>
  <c r="AV241" i="39"/>
  <c r="AK241" i="39"/>
  <c r="AC241" i="39"/>
  <c r="U241" i="39"/>
  <c r="CA240" i="39"/>
  <c r="AV240" i="39"/>
  <c r="AK240" i="39"/>
  <c r="AC240" i="39"/>
  <c r="U240" i="39"/>
  <c r="CA239" i="39"/>
  <c r="AV239" i="39"/>
  <c r="AK239" i="39"/>
  <c r="AC239" i="39"/>
  <c r="U239" i="39"/>
  <c r="CA238" i="39"/>
  <c r="AV238" i="39"/>
  <c r="AK238" i="39"/>
  <c r="AC238" i="39"/>
  <c r="U238" i="39"/>
  <c r="CA237" i="39"/>
  <c r="AV237" i="39"/>
  <c r="AK237" i="39"/>
  <c r="AC237" i="39"/>
  <c r="U237" i="39"/>
  <c r="CA236" i="39"/>
  <c r="AV236" i="39"/>
  <c r="AK236" i="39"/>
  <c r="AC236" i="39"/>
  <c r="U236" i="39"/>
  <c r="CA235" i="39"/>
  <c r="AV235" i="39"/>
  <c r="AK235" i="39"/>
  <c r="AC235" i="39"/>
  <c r="U235" i="39"/>
  <c r="CA234" i="39"/>
  <c r="AV234" i="39"/>
  <c r="AK234" i="39"/>
  <c r="AC234" i="39"/>
  <c r="U234" i="39"/>
  <c r="CA233" i="39"/>
  <c r="AV233" i="39"/>
  <c r="AK233" i="39"/>
  <c r="AC233" i="39"/>
  <c r="U233" i="39"/>
  <c r="CA232" i="39"/>
  <c r="AV232" i="39"/>
  <c r="AK232" i="39"/>
  <c r="AC232" i="39"/>
  <c r="U232" i="39"/>
  <c r="CA231" i="39"/>
  <c r="AV231" i="39"/>
  <c r="AK231" i="39"/>
  <c r="AC231" i="39"/>
  <c r="U231" i="39"/>
  <c r="CA230" i="39"/>
  <c r="AV230" i="39"/>
  <c r="AK230" i="39"/>
  <c r="AC230" i="39"/>
  <c r="U230" i="39"/>
  <c r="CA229" i="39"/>
  <c r="AV229" i="39"/>
  <c r="AK229" i="39"/>
  <c r="AC229" i="39"/>
  <c r="U229" i="39"/>
  <c r="CA228" i="39"/>
  <c r="AV228" i="39"/>
  <c r="AK228" i="39"/>
  <c r="AC228" i="39"/>
  <c r="U228" i="39"/>
  <c r="CA227" i="39"/>
  <c r="AV227" i="39"/>
  <c r="AK227" i="39"/>
  <c r="AC227" i="39"/>
  <c r="U227" i="39"/>
  <c r="CA226" i="39"/>
  <c r="AV226" i="39"/>
  <c r="AK226" i="39"/>
  <c r="AC226" i="39"/>
  <c r="U226" i="39"/>
  <c r="CA225" i="39"/>
  <c r="AV225" i="39"/>
  <c r="AK225" i="39"/>
  <c r="AC225" i="39"/>
  <c r="U225" i="39"/>
  <c r="CA224" i="39"/>
  <c r="AV224" i="39"/>
  <c r="AK224" i="39"/>
  <c r="AC224" i="39"/>
  <c r="U224" i="39"/>
  <c r="CA223" i="39"/>
  <c r="AV223" i="39"/>
  <c r="AK223" i="39"/>
  <c r="AC223" i="39"/>
  <c r="U223" i="39"/>
  <c r="CA222" i="39"/>
  <c r="AV222" i="39"/>
  <c r="AK222" i="39"/>
  <c r="AC222" i="39"/>
  <c r="U222" i="39"/>
  <c r="CA221" i="39"/>
  <c r="AV221" i="39"/>
  <c r="AK221" i="39"/>
  <c r="AC221" i="39"/>
  <c r="U221" i="39"/>
  <c r="CA220" i="39"/>
  <c r="AV220" i="39"/>
  <c r="AK220" i="39"/>
  <c r="AC220" i="39"/>
  <c r="U220" i="39"/>
  <c r="CA219" i="39"/>
  <c r="AV219" i="39"/>
  <c r="AK219" i="39"/>
  <c r="AC219" i="39"/>
  <c r="U219" i="39"/>
  <c r="CA218" i="39"/>
  <c r="AV218" i="39"/>
  <c r="AK218" i="39"/>
  <c r="AC218" i="39"/>
  <c r="U218" i="39"/>
  <c r="CA217" i="39"/>
  <c r="AV217" i="39"/>
  <c r="AK217" i="39"/>
  <c r="AC217" i="39"/>
  <c r="U217" i="39"/>
  <c r="CA216" i="39"/>
  <c r="AV216" i="39"/>
  <c r="AK216" i="39"/>
  <c r="AC216" i="39"/>
  <c r="U216" i="39"/>
  <c r="CA215" i="39"/>
  <c r="AV215" i="39"/>
  <c r="AK215" i="39"/>
  <c r="AC215" i="39"/>
  <c r="U215" i="39"/>
  <c r="CA214" i="39"/>
  <c r="AV214" i="39"/>
  <c r="AK214" i="39"/>
  <c r="AC214" i="39"/>
  <c r="U214" i="39"/>
  <c r="CA213" i="39"/>
  <c r="AV213" i="39"/>
  <c r="AK213" i="39"/>
  <c r="AC213" i="39"/>
  <c r="U213" i="39"/>
  <c r="CA212" i="39"/>
  <c r="AV212" i="39"/>
  <c r="AK212" i="39"/>
  <c r="AC212" i="39"/>
  <c r="U212" i="39"/>
  <c r="CA211" i="39"/>
  <c r="AV211" i="39"/>
  <c r="AK211" i="39"/>
  <c r="AC211" i="39"/>
  <c r="U211" i="39"/>
  <c r="CA210" i="39"/>
  <c r="AV210" i="39"/>
  <c r="AK210" i="39"/>
  <c r="AC210" i="39"/>
  <c r="U210" i="39"/>
  <c r="CA209" i="39"/>
  <c r="AV209" i="39"/>
  <c r="AK209" i="39"/>
  <c r="AC209" i="39"/>
  <c r="U209" i="39"/>
  <c r="CA208" i="39"/>
  <c r="AV208" i="39"/>
  <c r="AK208" i="39"/>
  <c r="AC208" i="39"/>
  <c r="U208" i="39"/>
  <c r="CA207" i="39"/>
  <c r="AV207" i="39"/>
  <c r="AK207" i="39"/>
  <c r="AC207" i="39"/>
  <c r="U207" i="39"/>
  <c r="CA206" i="39"/>
  <c r="AV206" i="39"/>
  <c r="AK206" i="39"/>
  <c r="AC206" i="39"/>
  <c r="U206" i="39"/>
  <c r="CA205" i="39"/>
  <c r="AV205" i="39"/>
  <c r="AK205" i="39"/>
  <c r="AC205" i="39"/>
  <c r="U205" i="39"/>
  <c r="CA204" i="39"/>
  <c r="AV204" i="39"/>
  <c r="AK204" i="39"/>
  <c r="AC204" i="39"/>
  <c r="U204" i="39"/>
  <c r="CA203" i="39"/>
  <c r="AV203" i="39"/>
  <c r="AK203" i="39"/>
  <c r="AC203" i="39"/>
  <c r="U203" i="39"/>
  <c r="CA202" i="39"/>
  <c r="AV202" i="39"/>
  <c r="AK202" i="39"/>
  <c r="AC202" i="39"/>
  <c r="U202" i="39"/>
  <c r="CA201" i="39"/>
  <c r="AV201" i="39"/>
  <c r="AK201" i="39"/>
  <c r="AC201" i="39"/>
  <c r="U201" i="39"/>
  <c r="CA200" i="39"/>
  <c r="AV200" i="39"/>
  <c r="AK200" i="39"/>
  <c r="AC200" i="39"/>
  <c r="U200" i="39"/>
  <c r="CA199" i="39"/>
  <c r="AV199" i="39"/>
  <c r="AK199" i="39"/>
  <c r="AC199" i="39"/>
  <c r="U199" i="39"/>
  <c r="CA198" i="39"/>
  <c r="AV198" i="39"/>
  <c r="AK198" i="39"/>
  <c r="AC198" i="39"/>
  <c r="U198" i="39"/>
  <c r="CA197" i="39"/>
  <c r="AV197" i="39"/>
  <c r="AK197" i="39"/>
  <c r="AC197" i="39"/>
  <c r="U197" i="39"/>
  <c r="CA196" i="39"/>
  <c r="AV196" i="39"/>
  <c r="AK196" i="39"/>
  <c r="AC196" i="39"/>
  <c r="U196" i="39"/>
  <c r="CA195" i="39"/>
  <c r="AV195" i="39"/>
  <c r="AK195" i="39"/>
  <c r="AC195" i="39"/>
  <c r="U195" i="39"/>
  <c r="CA194" i="39"/>
  <c r="AV194" i="39"/>
  <c r="AK194" i="39"/>
  <c r="AC194" i="39"/>
  <c r="U194" i="39"/>
  <c r="CA193" i="39"/>
  <c r="AV193" i="39"/>
  <c r="AK193" i="39"/>
  <c r="AC193" i="39"/>
  <c r="U193" i="39"/>
  <c r="CA192" i="39"/>
  <c r="AV192" i="39"/>
  <c r="AK192" i="39"/>
  <c r="AC192" i="39"/>
  <c r="U192" i="39"/>
  <c r="CA191" i="39"/>
  <c r="AV191" i="39"/>
  <c r="AK191" i="39"/>
  <c r="AC191" i="39"/>
  <c r="U191" i="39"/>
  <c r="CA190" i="39"/>
  <c r="AV190" i="39"/>
  <c r="AK190" i="39"/>
  <c r="AC190" i="39"/>
  <c r="U190" i="39"/>
  <c r="CA189" i="39"/>
  <c r="AV189" i="39"/>
  <c r="AK189" i="39"/>
  <c r="AC189" i="39"/>
  <c r="U189" i="39"/>
  <c r="CA188" i="39"/>
  <c r="AV188" i="39"/>
  <c r="AK188" i="39"/>
  <c r="AC188" i="39"/>
  <c r="U188" i="39"/>
  <c r="CA187" i="39"/>
  <c r="AV187" i="39"/>
  <c r="AK187" i="39"/>
  <c r="AC187" i="39"/>
  <c r="U187" i="39"/>
  <c r="CA186" i="39"/>
  <c r="AV186" i="39"/>
  <c r="AK186" i="39"/>
  <c r="AC186" i="39"/>
  <c r="U186" i="39"/>
  <c r="CA185" i="39"/>
  <c r="AV185" i="39"/>
  <c r="AK185" i="39"/>
  <c r="AC185" i="39"/>
  <c r="U185" i="39"/>
  <c r="CA184" i="39"/>
  <c r="AV184" i="39"/>
  <c r="AK184" i="39"/>
  <c r="AC184" i="39"/>
  <c r="U184" i="39"/>
  <c r="CA183" i="39"/>
  <c r="AV183" i="39"/>
  <c r="AK183" i="39"/>
  <c r="AC183" i="39"/>
  <c r="U183" i="39"/>
  <c r="CA182" i="39"/>
  <c r="AV182" i="39"/>
  <c r="AK182" i="39"/>
  <c r="AC182" i="39"/>
  <c r="U182" i="39"/>
  <c r="CA181" i="39"/>
  <c r="AV181" i="39"/>
  <c r="AK181" i="39"/>
  <c r="AC181" i="39"/>
  <c r="U181" i="39"/>
  <c r="CA180" i="39"/>
  <c r="AV180" i="39"/>
  <c r="AK180" i="39"/>
  <c r="AC180" i="39"/>
  <c r="U180" i="39"/>
  <c r="CA179" i="39"/>
  <c r="AV179" i="39"/>
  <c r="AK179" i="39"/>
  <c r="AC179" i="39"/>
  <c r="U179" i="39"/>
  <c r="CA178" i="39"/>
  <c r="AV178" i="39"/>
  <c r="AK178" i="39"/>
  <c r="AC178" i="39"/>
  <c r="U178" i="39"/>
  <c r="CA177" i="39"/>
  <c r="AV177" i="39"/>
  <c r="AK177" i="39"/>
  <c r="AC177" i="39"/>
  <c r="U177" i="39"/>
  <c r="CA176" i="39"/>
  <c r="AV176" i="39"/>
  <c r="AK176" i="39"/>
  <c r="AC176" i="39"/>
  <c r="U176" i="39"/>
  <c r="CA175" i="39"/>
  <c r="AV175" i="39"/>
  <c r="AK175" i="39"/>
  <c r="AC175" i="39"/>
  <c r="U175" i="39"/>
  <c r="CA174" i="39"/>
  <c r="AV174" i="39"/>
  <c r="AK174" i="39"/>
  <c r="AC174" i="39"/>
  <c r="U174" i="39"/>
  <c r="CA173" i="39"/>
  <c r="AV173" i="39"/>
  <c r="AK173" i="39"/>
  <c r="AC173" i="39"/>
  <c r="U173" i="39"/>
  <c r="CA172" i="39"/>
  <c r="AV172" i="39"/>
  <c r="AK172" i="39"/>
  <c r="AC172" i="39"/>
  <c r="U172" i="39"/>
  <c r="CA171" i="39"/>
  <c r="AV171" i="39"/>
  <c r="AK171" i="39"/>
  <c r="AC171" i="39"/>
  <c r="U171" i="39"/>
  <c r="CA170" i="39"/>
  <c r="AV170" i="39"/>
  <c r="AK170" i="39"/>
  <c r="AC170" i="39"/>
  <c r="U170" i="39"/>
  <c r="CA169" i="39"/>
  <c r="AV169" i="39"/>
  <c r="AK169" i="39"/>
  <c r="AC169" i="39"/>
  <c r="U169" i="39"/>
  <c r="CA168" i="39"/>
  <c r="AV168" i="39"/>
  <c r="AK168" i="39"/>
  <c r="AC168" i="39"/>
  <c r="U168" i="39"/>
  <c r="CA167" i="39"/>
  <c r="AV167" i="39"/>
  <c r="AK167" i="39"/>
  <c r="AC167" i="39"/>
  <c r="U167" i="39"/>
  <c r="CA166" i="39"/>
  <c r="AV166" i="39"/>
  <c r="AK166" i="39"/>
  <c r="AC166" i="39"/>
  <c r="U166" i="39"/>
  <c r="CA165" i="39"/>
  <c r="AV165" i="39"/>
  <c r="AK165" i="39"/>
  <c r="AC165" i="39"/>
  <c r="U165" i="39"/>
  <c r="CA164" i="39"/>
  <c r="AV164" i="39"/>
  <c r="AK164" i="39"/>
  <c r="AC164" i="39"/>
  <c r="U164" i="39"/>
  <c r="CA163" i="39"/>
  <c r="AV163" i="39"/>
  <c r="AK163" i="39"/>
  <c r="AC163" i="39"/>
  <c r="U163" i="39"/>
  <c r="CA162" i="39"/>
  <c r="AV162" i="39"/>
  <c r="AK162" i="39"/>
  <c r="AC162" i="39"/>
  <c r="U162" i="39"/>
  <c r="CA161" i="39"/>
  <c r="AV161" i="39"/>
  <c r="AK161" i="39"/>
  <c r="AC161" i="39"/>
  <c r="U161" i="39"/>
  <c r="CA160" i="39"/>
  <c r="AV160" i="39"/>
  <c r="AK160" i="39"/>
  <c r="AC160" i="39"/>
  <c r="U160" i="39"/>
  <c r="CA159" i="39"/>
  <c r="AV159" i="39"/>
  <c r="AK159" i="39"/>
  <c r="AC159" i="39"/>
  <c r="U159" i="39"/>
  <c r="CA158" i="39"/>
  <c r="AV158" i="39"/>
  <c r="AK158" i="39"/>
  <c r="AC158" i="39"/>
  <c r="U158" i="39"/>
  <c r="CA157" i="39"/>
  <c r="AV157" i="39"/>
  <c r="AK157" i="39"/>
  <c r="AC157" i="39"/>
  <c r="U157" i="39"/>
  <c r="CA156" i="39"/>
  <c r="AV156" i="39"/>
  <c r="AK156" i="39"/>
  <c r="AC156" i="39"/>
  <c r="U156" i="39"/>
  <c r="CA155" i="39"/>
  <c r="AV155" i="39"/>
  <c r="AK155" i="39"/>
  <c r="AC155" i="39"/>
  <c r="U155" i="39"/>
  <c r="CA154" i="39"/>
  <c r="AV154" i="39"/>
  <c r="AK154" i="39"/>
  <c r="AC154" i="39"/>
  <c r="U154" i="39"/>
  <c r="CA153" i="39"/>
  <c r="AV153" i="39"/>
  <c r="AK153" i="39"/>
  <c r="AC153" i="39"/>
  <c r="U153" i="39"/>
  <c r="CA152" i="39"/>
  <c r="AV152" i="39"/>
  <c r="AK152" i="39"/>
  <c r="AC152" i="39"/>
  <c r="U152" i="39"/>
  <c r="CA151" i="39"/>
  <c r="AV151" i="39"/>
  <c r="AK151" i="39"/>
  <c r="AC151" i="39"/>
  <c r="U151" i="39"/>
  <c r="CA150" i="39"/>
  <c r="AV150" i="39"/>
  <c r="AK150" i="39"/>
  <c r="AC150" i="39"/>
  <c r="U150" i="39"/>
  <c r="CA149" i="39"/>
  <c r="AV149" i="39"/>
  <c r="AK149" i="39"/>
  <c r="AC149" i="39"/>
  <c r="U149" i="39"/>
  <c r="CA148" i="39"/>
  <c r="AV148" i="39"/>
  <c r="AK148" i="39"/>
  <c r="AC148" i="39"/>
  <c r="U148" i="39"/>
  <c r="CA147" i="39"/>
  <c r="AV147" i="39"/>
  <c r="AK147" i="39"/>
  <c r="AC147" i="39"/>
  <c r="U147" i="39"/>
  <c r="CA146" i="39"/>
  <c r="AV146" i="39"/>
  <c r="AK146" i="39"/>
  <c r="AC146" i="39"/>
  <c r="U146" i="39"/>
  <c r="CA145" i="39"/>
  <c r="AV145" i="39"/>
  <c r="AK145" i="39"/>
  <c r="AC145" i="39"/>
  <c r="U145" i="39"/>
  <c r="CA144" i="39"/>
  <c r="AV144" i="39"/>
  <c r="AK144" i="39"/>
  <c r="AC144" i="39"/>
  <c r="U144" i="39"/>
  <c r="CA143" i="39"/>
  <c r="AV143" i="39"/>
  <c r="AK143" i="39"/>
  <c r="AC143" i="39"/>
  <c r="U143" i="39"/>
  <c r="CA142" i="39"/>
  <c r="AV142" i="39"/>
  <c r="AK142" i="39"/>
  <c r="AC142" i="39"/>
  <c r="U142" i="39"/>
  <c r="CA141" i="39"/>
  <c r="AV141" i="39"/>
  <c r="AK141" i="39"/>
  <c r="AC141" i="39"/>
  <c r="U141" i="39"/>
  <c r="CA140" i="39"/>
  <c r="AV140" i="39"/>
  <c r="AK140" i="39"/>
  <c r="AC140" i="39"/>
  <c r="U140" i="39"/>
  <c r="CA139" i="39"/>
  <c r="AV139" i="39"/>
  <c r="AK139" i="39"/>
  <c r="AC139" i="39"/>
  <c r="U139" i="39"/>
  <c r="CA138" i="39"/>
  <c r="AV138" i="39"/>
  <c r="AK138" i="39"/>
  <c r="AC138" i="39"/>
  <c r="U138" i="39"/>
  <c r="CA137" i="39"/>
  <c r="AV137" i="39"/>
  <c r="AK137" i="39"/>
  <c r="AC137" i="39"/>
  <c r="U137" i="39"/>
  <c r="CA136" i="39"/>
  <c r="AV136" i="39"/>
  <c r="AK136" i="39"/>
  <c r="AC136" i="39"/>
  <c r="U136" i="39"/>
  <c r="CA135" i="39"/>
  <c r="AV135" i="39"/>
  <c r="AK135" i="39"/>
  <c r="AC135" i="39"/>
  <c r="U135" i="39"/>
  <c r="CA134" i="39"/>
  <c r="AV134" i="39"/>
  <c r="AK134" i="39"/>
  <c r="AC134" i="39"/>
  <c r="U134" i="39"/>
  <c r="CA133" i="39"/>
  <c r="AV133" i="39"/>
  <c r="AK133" i="39"/>
  <c r="AC133" i="39"/>
  <c r="U133" i="39"/>
  <c r="CA132" i="39"/>
  <c r="AV132" i="39"/>
  <c r="AK132" i="39"/>
  <c r="AC132" i="39"/>
  <c r="U132" i="39"/>
  <c r="CA131" i="39"/>
  <c r="AV131" i="39"/>
  <c r="AK131" i="39"/>
  <c r="AC131" i="39"/>
  <c r="U131" i="39"/>
  <c r="CA130" i="39"/>
  <c r="AV130" i="39"/>
  <c r="AK130" i="39"/>
  <c r="AC130" i="39"/>
  <c r="U130" i="39"/>
  <c r="CA129" i="39"/>
  <c r="AV129" i="39"/>
  <c r="AK129" i="39"/>
  <c r="AC129" i="39"/>
  <c r="U129" i="39"/>
  <c r="CA128" i="39"/>
  <c r="AV128" i="39"/>
  <c r="AK128" i="39"/>
  <c r="AC128" i="39"/>
  <c r="U128" i="39"/>
  <c r="CA127" i="39"/>
  <c r="AV127" i="39"/>
  <c r="AK127" i="39"/>
  <c r="AC127" i="39"/>
  <c r="U127" i="39"/>
  <c r="CA126" i="39"/>
  <c r="BY126" i="39"/>
  <c r="BX126" i="39"/>
  <c r="BW126" i="39"/>
  <c r="AV126" i="39"/>
  <c r="AK126" i="39"/>
  <c r="AC126" i="39"/>
  <c r="U126" i="39"/>
  <c r="CA125" i="39"/>
  <c r="AV125" i="39"/>
  <c r="AK125" i="39"/>
  <c r="AC125" i="39"/>
  <c r="U125" i="39"/>
  <c r="CA124" i="39"/>
  <c r="AV124" i="39"/>
  <c r="AK124" i="39"/>
  <c r="AC124" i="39"/>
  <c r="U124" i="39"/>
  <c r="CA123" i="39"/>
  <c r="AV123" i="39"/>
  <c r="AK123" i="39"/>
  <c r="AC123" i="39"/>
  <c r="U123" i="39"/>
  <c r="CA122" i="39"/>
  <c r="AV122" i="39"/>
  <c r="AK122" i="39"/>
  <c r="AC122" i="39"/>
  <c r="U122" i="39"/>
  <c r="CA121" i="39"/>
  <c r="AV121" i="39"/>
  <c r="AK121" i="39"/>
  <c r="AC121" i="39"/>
  <c r="U121" i="39"/>
  <c r="CC120" i="39"/>
  <c r="BY120" i="39"/>
  <c r="BU120" i="39"/>
  <c r="AK120" i="39"/>
  <c r="AC120" i="39"/>
  <c r="U120" i="39"/>
  <c r="CC119" i="39"/>
  <c r="BY119" i="39"/>
  <c r="BU119" i="39"/>
  <c r="AK119" i="39"/>
  <c r="AC119" i="39"/>
  <c r="U119" i="39"/>
  <c r="CC118" i="39"/>
  <c r="BY118" i="39"/>
  <c r="BU118" i="39"/>
  <c r="AK118" i="39"/>
  <c r="AC118" i="39"/>
  <c r="U118" i="39"/>
  <c r="CC117" i="39"/>
  <c r="BY117" i="39"/>
  <c r="BU117" i="39"/>
  <c r="AK117" i="39"/>
  <c r="AC117" i="39"/>
  <c r="U117" i="39"/>
  <c r="CC116" i="39"/>
  <c r="BY116" i="39"/>
  <c r="BU116" i="39"/>
  <c r="AK116" i="39"/>
  <c r="AC116" i="39"/>
  <c r="U116" i="39"/>
  <c r="CC115" i="39"/>
  <c r="BY115" i="39"/>
  <c r="BU115" i="39"/>
  <c r="AK115" i="39"/>
  <c r="AC115" i="39"/>
  <c r="U115" i="39"/>
  <c r="CC114" i="39"/>
  <c r="BY114" i="39"/>
  <c r="BU114" i="39"/>
  <c r="AK114" i="39"/>
  <c r="AC114" i="39"/>
  <c r="U114" i="39"/>
  <c r="CC113" i="39"/>
  <c r="BY113" i="39"/>
  <c r="BU113" i="39"/>
  <c r="AK113" i="39"/>
  <c r="AC113" i="39"/>
  <c r="U113" i="39"/>
  <c r="CC112" i="39"/>
  <c r="BY112" i="39"/>
  <c r="BU112" i="39"/>
  <c r="AK112" i="39"/>
  <c r="AC112" i="39"/>
  <c r="U112" i="39"/>
  <c r="CC111" i="39"/>
  <c r="BY111" i="39"/>
  <c r="BU111" i="39"/>
  <c r="AK111" i="39"/>
  <c r="AC111" i="39"/>
  <c r="U111" i="39"/>
  <c r="CC110" i="39"/>
  <c r="BY110" i="39"/>
  <c r="BU110" i="39"/>
  <c r="AK110" i="39"/>
  <c r="AC110" i="39"/>
  <c r="U110" i="39"/>
  <c r="CC109" i="39"/>
  <c r="AK109" i="39"/>
  <c r="AC109" i="39"/>
  <c r="U109" i="39"/>
  <c r="CC108" i="39"/>
  <c r="AK108" i="39"/>
  <c r="AC108" i="39"/>
  <c r="U108" i="39"/>
  <c r="CC107" i="39"/>
  <c r="AK107" i="39"/>
  <c r="AC107" i="39"/>
  <c r="U107" i="39"/>
  <c r="CC106" i="39"/>
  <c r="AK106" i="39"/>
  <c r="AC106" i="39"/>
  <c r="U106" i="39"/>
  <c r="CC105" i="39"/>
  <c r="AK105" i="39"/>
  <c r="AC105" i="39"/>
  <c r="U105" i="39"/>
  <c r="CC104" i="39"/>
  <c r="AK104" i="39"/>
  <c r="AC104" i="39"/>
  <c r="U104" i="39"/>
  <c r="CC103" i="39"/>
  <c r="AK103" i="39"/>
  <c r="AC103" i="39"/>
  <c r="U103" i="39"/>
  <c r="CC102" i="39"/>
  <c r="AK102" i="39"/>
  <c r="AC102" i="39"/>
  <c r="U102" i="39"/>
  <c r="CC101" i="39"/>
  <c r="AK101" i="39"/>
  <c r="AC101" i="39"/>
  <c r="U101" i="39"/>
  <c r="CC100" i="39"/>
  <c r="AK100" i="39"/>
  <c r="AC100" i="39"/>
  <c r="U100" i="39"/>
  <c r="AO99" i="39"/>
  <c r="AG99" i="39"/>
  <c r="Y99" i="39"/>
  <c r="CE94" i="39"/>
  <c r="CE125" i="39" s="1"/>
  <c r="BP84" i="39"/>
  <c r="BL84" i="39"/>
  <c r="BH84" i="39"/>
  <c r="BD84" i="39"/>
  <c r="AZ84" i="39"/>
  <c r="AV84" i="39"/>
  <c r="CA250" i="30"/>
  <c r="AV250" i="30"/>
  <c r="AK250" i="30"/>
  <c r="AC250" i="30"/>
  <c r="U250" i="30"/>
  <c r="CA249" i="30"/>
  <c r="AV249" i="30"/>
  <c r="AK249" i="30"/>
  <c r="AC249" i="30"/>
  <c r="U249" i="30"/>
  <c r="CA248" i="30"/>
  <c r="AV248" i="30"/>
  <c r="AK248" i="30"/>
  <c r="AC248" i="30"/>
  <c r="U248" i="30"/>
  <c r="CA247" i="30"/>
  <c r="AV247" i="30"/>
  <c r="AK247" i="30"/>
  <c r="AC247" i="30"/>
  <c r="U247" i="30"/>
  <c r="CA246" i="30"/>
  <c r="AV246" i="30"/>
  <c r="AK246" i="30"/>
  <c r="AC246" i="30"/>
  <c r="U246" i="30"/>
  <c r="CA245" i="30"/>
  <c r="AV245" i="30"/>
  <c r="AK245" i="30"/>
  <c r="AC245" i="30"/>
  <c r="U245" i="30"/>
  <c r="CA244" i="30"/>
  <c r="AV244" i="30"/>
  <c r="AK244" i="30"/>
  <c r="AC244" i="30"/>
  <c r="U244" i="30"/>
  <c r="CA243" i="30"/>
  <c r="AV243" i="30"/>
  <c r="AK243" i="30"/>
  <c r="AC243" i="30"/>
  <c r="U243" i="30"/>
  <c r="CA242" i="30"/>
  <c r="AV242" i="30"/>
  <c r="AK242" i="30"/>
  <c r="AC242" i="30"/>
  <c r="U242" i="30"/>
  <c r="CA241" i="30"/>
  <c r="AV241" i="30"/>
  <c r="AK241" i="30"/>
  <c r="AC241" i="30"/>
  <c r="U241" i="30"/>
  <c r="CA240" i="30"/>
  <c r="AV240" i="30"/>
  <c r="AK240" i="30"/>
  <c r="AC240" i="30"/>
  <c r="U240" i="30"/>
  <c r="CA239" i="30"/>
  <c r="AV239" i="30"/>
  <c r="AK239" i="30"/>
  <c r="AC239" i="30"/>
  <c r="U239" i="30"/>
  <c r="CA238" i="30"/>
  <c r="AV238" i="30"/>
  <c r="AK238" i="30"/>
  <c r="AC238" i="30"/>
  <c r="U238" i="30"/>
  <c r="CA237" i="30"/>
  <c r="AV237" i="30"/>
  <c r="AK237" i="30"/>
  <c r="AC237" i="30"/>
  <c r="U237" i="30"/>
  <c r="CA236" i="30"/>
  <c r="AV236" i="30"/>
  <c r="AK236" i="30"/>
  <c r="AC236" i="30"/>
  <c r="U236" i="30"/>
  <c r="CA235" i="30"/>
  <c r="AV235" i="30"/>
  <c r="AK235" i="30"/>
  <c r="AC235" i="30"/>
  <c r="U235" i="30"/>
  <c r="CA234" i="30"/>
  <c r="AV234" i="30"/>
  <c r="AK234" i="30"/>
  <c r="AC234" i="30"/>
  <c r="U234" i="30"/>
  <c r="CA233" i="30"/>
  <c r="AV233" i="30"/>
  <c r="AK233" i="30"/>
  <c r="AC233" i="30"/>
  <c r="U233" i="30"/>
  <c r="CA232" i="30"/>
  <c r="AV232" i="30"/>
  <c r="AK232" i="30"/>
  <c r="AC232" i="30"/>
  <c r="U232" i="30"/>
  <c r="CA231" i="30"/>
  <c r="AV231" i="30"/>
  <c r="AK231" i="30"/>
  <c r="AC231" i="30"/>
  <c r="U231" i="30"/>
  <c r="CA230" i="30"/>
  <c r="AV230" i="30"/>
  <c r="AK230" i="30"/>
  <c r="AC230" i="30"/>
  <c r="U230" i="30"/>
  <c r="CA229" i="30"/>
  <c r="AV229" i="30"/>
  <c r="AK229" i="30"/>
  <c r="AC229" i="30"/>
  <c r="U229" i="30"/>
  <c r="CA228" i="30"/>
  <c r="AV228" i="30"/>
  <c r="AK228" i="30"/>
  <c r="AC228" i="30"/>
  <c r="U228" i="30"/>
  <c r="CA227" i="30"/>
  <c r="AV227" i="30"/>
  <c r="AK227" i="30"/>
  <c r="AC227" i="30"/>
  <c r="U227" i="30"/>
  <c r="CA226" i="30"/>
  <c r="AV226" i="30"/>
  <c r="AK226" i="30"/>
  <c r="AC226" i="30"/>
  <c r="U226" i="30"/>
  <c r="CA225" i="30"/>
  <c r="AV225" i="30"/>
  <c r="AK225" i="30"/>
  <c r="AC225" i="30"/>
  <c r="U225" i="30"/>
  <c r="CA224" i="30"/>
  <c r="AV224" i="30"/>
  <c r="AK224" i="30"/>
  <c r="AC224" i="30"/>
  <c r="U224" i="30"/>
  <c r="CA223" i="30"/>
  <c r="AV223" i="30"/>
  <c r="AK223" i="30"/>
  <c r="AC223" i="30"/>
  <c r="U223" i="30"/>
  <c r="CA222" i="30"/>
  <c r="AV222" i="30"/>
  <c r="AK222" i="30"/>
  <c r="AC222" i="30"/>
  <c r="U222" i="30"/>
  <c r="CA221" i="30"/>
  <c r="AV221" i="30"/>
  <c r="AK221" i="30"/>
  <c r="AC221" i="30"/>
  <c r="U221" i="30"/>
  <c r="CA220" i="30"/>
  <c r="AV220" i="30"/>
  <c r="AK220" i="30"/>
  <c r="AC220" i="30"/>
  <c r="U220" i="30"/>
  <c r="CA219" i="30"/>
  <c r="AV219" i="30"/>
  <c r="AK219" i="30"/>
  <c r="AC219" i="30"/>
  <c r="U219" i="30"/>
  <c r="CA218" i="30"/>
  <c r="AV218" i="30"/>
  <c r="AK218" i="30"/>
  <c r="AC218" i="30"/>
  <c r="U218" i="30"/>
  <c r="CA217" i="30"/>
  <c r="AV217" i="30"/>
  <c r="AK217" i="30"/>
  <c r="AC217" i="30"/>
  <c r="U217" i="30"/>
  <c r="CA216" i="30"/>
  <c r="AV216" i="30"/>
  <c r="AK216" i="30"/>
  <c r="AC216" i="30"/>
  <c r="U216" i="30"/>
  <c r="CA215" i="30"/>
  <c r="AV215" i="30"/>
  <c r="AK215" i="30"/>
  <c r="AC215" i="30"/>
  <c r="U215" i="30"/>
  <c r="CA214" i="30"/>
  <c r="AV214" i="30"/>
  <c r="AK214" i="30"/>
  <c r="AC214" i="30"/>
  <c r="U214" i="30"/>
  <c r="CA213" i="30"/>
  <c r="AV213" i="30"/>
  <c r="AK213" i="30"/>
  <c r="AC213" i="30"/>
  <c r="U213" i="30"/>
  <c r="CA212" i="30"/>
  <c r="AV212" i="30"/>
  <c r="AK212" i="30"/>
  <c r="AC212" i="30"/>
  <c r="U212" i="30"/>
  <c r="CA211" i="30"/>
  <c r="AV211" i="30"/>
  <c r="AK211" i="30"/>
  <c r="AC211" i="30"/>
  <c r="U211" i="30"/>
  <c r="CA210" i="30"/>
  <c r="AV210" i="30"/>
  <c r="AK210" i="30"/>
  <c r="AC210" i="30"/>
  <c r="U210" i="30"/>
  <c r="CA209" i="30"/>
  <c r="AV209" i="30"/>
  <c r="AK209" i="30"/>
  <c r="AC209" i="30"/>
  <c r="U209" i="30"/>
  <c r="CA208" i="30"/>
  <c r="AV208" i="30"/>
  <c r="AK208" i="30"/>
  <c r="AC208" i="30"/>
  <c r="U208" i="30"/>
  <c r="CA207" i="30"/>
  <c r="AV207" i="30"/>
  <c r="AK207" i="30"/>
  <c r="AC207" i="30"/>
  <c r="U207" i="30"/>
  <c r="CA206" i="30"/>
  <c r="AV206" i="30"/>
  <c r="AK206" i="30"/>
  <c r="AC206" i="30"/>
  <c r="U206" i="30"/>
  <c r="CA205" i="30"/>
  <c r="AV205" i="30"/>
  <c r="AK205" i="30"/>
  <c r="AC205" i="30"/>
  <c r="U205" i="30"/>
  <c r="CA204" i="30"/>
  <c r="AV204" i="30"/>
  <c r="AK204" i="30"/>
  <c r="AC204" i="30"/>
  <c r="U204" i="30"/>
  <c r="CA203" i="30"/>
  <c r="AV203" i="30"/>
  <c r="AK203" i="30"/>
  <c r="AC203" i="30"/>
  <c r="U203" i="30"/>
  <c r="CA202" i="30"/>
  <c r="AV202" i="30"/>
  <c r="AK202" i="30"/>
  <c r="AC202" i="30"/>
  <c r="U202" i="30"/>
  <c r="CA201" i="30"/>
  <c r="AV201" i="30"/>
  <c r="AK201" i="30"/>
  <c r="AC201" i="30"/>
  <c r="U201" i="30"/>
  <c r="CA200" i="30"/>
  <c r="AV200" i="30"/>
  <c r="AK200" i="30"/>
  <c r="AC200" i="30"/>
  <c r="U200" i="30"/>
  <c r="CA199" i="30"/>
  <c r="AV199" i="30"/>
  <c r="AK199" i="30"/>
  <c r="AC199" i="30"/>
  <c r="U199" i="30"/>
  <c r="CA198" i="30"/>
  <c r="AV198" i="30"/>
  <c r="AK198" i="30"/>
  <c r="AC198" i="30"/>
  <c r="U198" i="30"/>
  <c r="CA197" i="30"/>
  <c r="AV197" i="30"/>
  <c r="AK197" i="30"/>
  <c r="AC197" i="30"/>
  <c r="U197" i="30"/>
  <c r="CA196" i="30"/>
  <c r="AV196" i="30"/>
  <c r="AK196" i="30"/>
  <c r="AC196" i="30"/>
  <c r="U196" i="30"/>
  <c r="CA195" i="30"/>
  <c r="AV195" i="30"/>
  <c r="AK195" i="30"/>
  <c r="AC195" i="30"/>
  <c r="U195" i="30"/>
  <c r="CA194" i="30"/>
  <c r="AV194" i="30"/>
  <c r="AK194" i="30"/>
  <c r="AC194" i="30"/>
  <c r="U194" i="30"/>
  <c r="CA193" i="30"/>
  <c r="AV193" i="30"/>
  <c r="AK193" i="30"/>
  <c r="AC193" i="30"/>
  <c r="U193" i="30"/>
  <c r="CA192" i="30"/>
  <c r="AV192" i="30"/>
  <c r="AK192" i="30"/>
  <c r="AC192" i="30"/>
  <c r="U192" i="30"/>
  <c r="CA191" i="30"/>
  <c r="AV191" i="30"/>
  <c r="AK191" i="30"/>
  <c r="AC191" i="30"/>
  <c r="U191" i="30"/>
  <c r="CA190" i="30"/>
  <c r="AV190" i="30"/>
  <c r="AK190" i="30"/>
  <c r="AC190" i="30"/>
  <c r="U190" i="30"/>
  <c r="CA189" i="30"/>
  <c r="AV189" i="30"/>
  <c r="AK189" i="30"/>
  <c r="AC189" i="30"/>
  <c r="U189" i="30"/>
  <c r="CA188" i="30"/>
  <c r="AV188" i="30"/>
  <c r="AK188" i="30"/>
  <c r="AC188" i="30"/>
  <c r="U188" i="30"/>
  <c r="CA187" i="30"/>
  <c r="AV187" i="30"/>
  <c r="AK187" i="30"/>
  <c r="AC187" i="30"/>
  <c r="U187" i="30"/>
  <c r="CA186" i="30"/>
  <c r="AV186" i="30"/>
  <c r="AK186" i="30"/>
  <c r="AC186" i="30"/>
  <c r="U186" i="30"/>
  <c r="CA185" i="30"/>
  <c r="AV185" i="30"/>
  <c r="AK185" i="30"/>
  <c r="AC185" i="30"/>
  <c r="U185" i="30"/>
  <c r="CA184" i="30"/>
  <c r="AV184" i="30"/>
  <c r="AK184" i="30"/>
  <c r="AC184" i="30"/>
  <c r="U184" i="30"/>
  <c r="CA183" i="30"/>
  <c r="AV183" i="30"/>
  <c r="AK183" i="30"/>
  <c r="AC183" i="30"/>
  <c r="U183" i="30"/>
  <c r="CA182" i="30"/>
  <c r="AV182" i="30"/>
  <c r="AK182" i="30"/>
  <c r="AC182" i="30"/>
  <c r="U182" i="30"/>
  <c r="CA181" i="30"/>
  <c r="AV181" i="30"/>
  <c r="AK181" i="30"/>
  <c r="AC181" i="30"/>
  <c r="U181" i="30"/>
  <c r="CA180" i="30"/>
  <c r="AV180" i="30"/>
  <c r="AK180" i="30"/>
  <c r="AC180" i="30"/>
  <c r="U180" i="30"/>
  <c r="CA179" i="30"/>
  <c r="AV179" i="30"/>
  <c r="AK179" i="30"/>
  <c r="AC179" i="30"/>
  <c r="U179" i="30"/>
  <c r="CA178" i="30"/>
  <c r="AV178" i="30"/>
  <c r="AK178" i="30"/>
  <c r="AC178" i="30"/>
  <c r="U178" i="30"/>
  <c r="CA177" i="30"/>
  <c r="AV177" i="30"/>
  <c r="AK177" i="30"/>
  <c r="AC177" i="30"/>
  <c r="U177" i="30"/>
  <c r="CA176" i="30"/>
  <c r="AV176" i="30"/>
  <c r="AK176" i="30"/>
  <c r="AC176" i="30"/>
  <c r="U176" i="30"/>
  <c r="CA175" i="30"/>
  <c r="AV175" i="30"/>
  <c r="AK175" i="30"/>
  <c r="AC175" i="30"/>
  <c r="U175" i="30"/>
  <c r="CA174" i="30"/>
  <c r="AV174" i="30"/>
  <c r="AK174" i="30"/>
  <c r="AC174" i="30"/>
  <c r="U174" i="30"/>
  <c r="CA173" i="30"/>
  <c r="AV173" i="30"/>
  <c r="AK173" i="30"/>
  <c r="AC173" i="30"/>
  <c r="U173" i="30"/>
  <c r="CA172" i="30"/>
  <c r="AV172" i="30"/>
  <c r="AK172" i="30"/>
  <c r="AC172" i="30"/>
  <c r="U172" i="30"/>
  <c r="CA171" i="30"/>
  <c r="AV171" i="30"/>
  <c r="AK171" i="30"/>
  <c r="AC171" i="30"/>
  <c r="U171" i="30"/>
  <c r="CA170" i="30"/>
  <c r="AV170" i="30"/>
  <c r="AK170" i="30"/>
  <c r="AC170" i="30"/>
  <c r="U170" i="30"/>
  <c r="CA169" i="30"/>
  <c r="AV169" i="30"/>
  <c r="AK169" i="30"/>
  <c r="AC169" i="30"/>
  <c r="U169" i="30"/>
  <c r="CA168" i="30"/>
  <c r="AV168" i="30"/>
  <c r="AK168" i="30"/>
  <c r="AC168" i="30"/>
  <c r="U168" i="30"/>
  <c r="CA167" i="30"/>
  <c r="AV167" i="30"/>
  <c r="AK167" i="30"/>
  <c r="AC167" i="30"/>
  <c r="U167" i="30"/>
  <c r="CA166" i="30"/>
  <c r="AV166" i="30"/>
  <c r="AK166" i="30"/>
  <c r="AC166" i="30"/>
  <c r="U166" i="30"/>
  <c r="CA165" i="30"/>
  <c r="AV165" i="30"/>
  <c r="AK165" i="30"/>
  <c r="AC165" i="30"/>
  <c r="U165" i="30"/>
  <c r="CA164" i="30"/>
  <c r="AV164" i="30"/>
  <c r="AK164" i="30"/>
  <c r="AC164" i="30"/>
  <c r="U164" i="30"/>
  <c r="CA163" i="30"/>
  <c r="AV163" i="30"/>
  <c r="AK163" i="30"/>
  <c r="AC163" i="30"/>
  <c r="U163" i="30"/>
  <c r="CA162" i="30"/>
  <c r="AV162" i="30"/>
  <c r="AK162" i="30"/>
  <c r="AC162" i="30"/>
  <c r="U162" i="30"/>
  <c r="CA161" i="30"/>
  <c r="AV161" i="30"/>
  <c r="AK161" i="30"/>
  <c r="AC161" i="30"/>
  <c r="U161" i="30"/>
  <c r="CA160" i="30"/>
  <c r="AV160" i="30"/>
  <c r="AK160" i="30"/>
  <c r="AC160" i="30"/>
  <c r="U160" i="30"/>
  <c r="CA159" i="30"/>
  <c r="AV159" i="30"/>
  <c r="AK159" i="30"/>
  <c r="AC159" i="30"/>
  <c r="U159" i="30"/>
  <c r="CA158" i="30"/>
  <c r="AV158" i="30"/>
  <c r="AK158" i="30"/>
  <c r="AC158" i="30"/>
  <c r="U158" i="30"/>
  <c r="CA157" i="30"/>
  <c r="AV157" i="30"/>
  <c r="AK157" i="30"/>
  <c r="AC157" i="30"/>
  <c r="U157" i="30"/>
  <c r="CA156" i="30"/>
  <c r="AV156" i="30"/>
  <c r="AK156" i="30"/>
  <c r="AC156" i="30"/>
  <c r="U156" i="30"/>
  <c r="CA155" i="30"/>
  <c r="AV155" i="30"/>
  <c r="AK155" i="30"/>
  <c r="AC155" i="30"/>
  <c r="U155" i="30"/>
  <c r="CA154" i="30"/>
  <c r="AV154" i="30"/>
  <c r="AK154" i="30"/>
  <c r="AC154" i="30"/>
  <c r="U154" i="30"/>
  <c r="CA153" i="30"/>
  <c r="AV153" i="30"/>
  <c r="AK153" i="30"/>
  <c r="AC153" i="30"/>
  <c r="U153" i="30"/>
  <c r="CA152" i="30"/>
  <c r="AV152" i="30"/>
  <c r="AK152" i="30"/>
  <c r="AC152" i="30"/>
  <c r="U152" i="30"/>
  <c r="CA151" i="30"/>
  <c r="AV151" i="30"/>
  <c r="AK151" i="30"/>
  <c r="AC151" i="30"/>
  <c r="U151" i="30"/>
  <c r="CA150" i="30"/>
  <c r="AV150" i="30"/>
  <c r="AK150" i="30"/>
  <c r="AC150" i="30"/>
  <c r="U150" i="30"/>
  <c r="CA149" i="30"/>
  <c r="AV149" i="30"/>
  <c r="AK149" i="30"/>
  <c r="AC149" i="30"/>
  <c r="U149" i="30"/>
  <c r="CA148" i="30"/>
  <c r="AV148" i="30"/>
  <c r="AK148" i="30"/>
  <c r="AC148" i="30"/>
  <c r="U148" i="30"/>
  <c r="CA147" i="30"/>
  <c r="AV147" i="30"/>
  <c r="AK147" i="30"/>
  <c r="AC147" i="30"/>
  <c r="U147" i="30"/>
  <c r="CA146" i="30"/>
  <c r="AV146" i="30"/>
  <c r="AK146" i="30"/>
  <c r="AC146" i="30"/>
  <c r="U146" i="30"/>
  <c r="CA145" i="30"/>
  <c r="AV145" i="30"/>
  <c r="AK145" i="30"/>
  <c r="AC145" i="30"/>
  <c r="U145" i="30"/>
  <c r="CA144" i="30"/>
  <c r="AV144" i="30"/>
  <c r="AK144" i="30"/>
  <c r="AC144" i="30"/>
  <c r="U144" i="30"/>
  <c r="CA143" i="30"/>
  <c r="AV143" i="30"/>
  <c r="AK143" i="30"/>
  <c r="AC143" i="30"/>
  <c r="U143" i="30"/>
  <c r="CA142" i="30"/>
  <c r="AV142" i="30"/>
  <c r="AK142" i="30"/>
  <c r="AC142" i="30"/>
  <c r="U142" i="30"/>
  <c r="CA141" i="30"/>
  <c r="AV141" i="30"/>
  <c r="AK141" i="30"/>
  <c r="AC141" i="30"/>
  <c r="U141" i="30"/>
  <c r="CA140" i="30"/>
  <c r="AV140" i="30"/>
  <c r="AK140" i="30"/>
  <c r="AC140" i="30"/>
  <c r="U140" i="30"/>
  <c r="CA139" i="30"/>
  <c r="AV139" i="30"/>
  <c r="AK139" i="30"/>
  <c r="AC139" i="30"/>
  <c r="U139" i="30"/>
  <c r="CA138" i="30"/>
  <c r="AV138" i="30"/>
  <c r="AK138" i="30"/>
  <c r="AC138" i="30"/>
  <c r="U138" i="30"/>
  <c r="CA137" i="30"/>
  <c r="AV137" i="30"/>
  <c r="AK137" i="30"/>
  <c r="AC137" i="30"/>
  <c r="U137" i="30"/>
  <c r="CA136" i="30"/>
  <c r="AV136" i="30"/>
  <c r="AK136" i="30"/>
  <c r="AC136" i="30"/>
  <c r="U136" i="30"/>
  <c r="CA135" i="30"/>
  <c r="AV135" i="30"/>
  <c r="AK135" i="30"/>
  <c r="AC135" i="30"/>
  <c r="U135" i="30"/>
  <c r="CA134" i="30"/>
  <c r="AV134" i="30"/>
  <c r="AK134" i="30"/>
  <c r="AC134" i="30"/>
  <c r="U134" i="30"/>
  <c r="CA133" i="30"/>
  <c r="AV133" i="30"/>
  <c r="AK133" i="30"/>
  <c r="AC133" i="30"/>
  <c r="U133" i="30"/>
  <c r="CA132" i="30"/>
  <c r="AV132" i="30"/>
  <c r="AK132" i="30"/>
  <c r="AC132" i="30"/>
  <c r="U132" i="30"/>
  <c r="CA131" i="30"/>
  <c r="AV131" i="30"/>
  <c r="AK131" i="30"/>
  <c r="AC131" i="30"/>
  <c r="U131" i="30"/>
  <c r="CA130" i="30"/>
  <c r="AV130" i="30"/>
  <c r="AK130" i="30"/>
  <c r="AC130" i="30"/>
  <c r="U130" i="30"/>
  <c r="CA129" i="30"/>
  <c r="AV129" i="30"/>
  <c r="AK129" i="30"/>
  <c r="AC129" i="30"/>
  <c r="U129" i="30"/>
  <c r="CA128" i="30"/>
  <c r="AV128" i="30"/>
  <c r="AK128" i="30"/>
  <c r="AC128" i="30"/>
  <c r="U128" i="30"/>
  <c r="CA127" i="30"/>
  <c r="AV127" i="30"/>
  <c r="AK127" i="30"/>
  <c r="AC127" i="30"/>
  <c r="U127" i="30"/>
  <c r="CA126" i="30"/>
  <c r="BY126" i="30"/>
  <c r="BX126" i="30"/>
  <c r="BW126" i="30"/>
  <c r="AV126" i="30"/>
  <c r="AK126" i="30"/>
  <c r="AC126" i="30"/>
  <c r="U126" i="30"/>
  <c r="CA125" i="30"/>
  <c r="AV125" i="30"/>
  <c r="AK125" i="30"/>
  <c r="AC125" i="30"/>
  <c r="U125" i="30"/>
  <c r="CA124" i="30"/>
  <c r="AV124" i="30"/>
  <c r="AK124" i="30"/>
  <c r="AC124" i="30"/>
  <c r="U124" i="30"/>
  <c r="CA123" i="30"/>
  <c r="AV123" i="30"/>
  <c r="AK123" i="30"/>
  <c r="AC123" i="30"/>
  <c r="U123" i="30"/>
  <c r="CA122" i="30"/>
  <c r="AV122" i="30"/>
  <c r="AK122" i="30"/>
  <c r="AC122" i="30"/>
  <c r="U122" i="30"/>
  <c r="CA121" i="30"/>
  <c r="AV121" i="30"/>
  <c r="AK121" i="30"/>
  <c r="AC121" i="30"/>
  <c r="U121" i="30"/>
  <c r="CC120" i="30"/>
  <c r="BY120" i="30"/>
  <c r="BU120" i="30"/>
  <c r="AK120" i="30"/>
  <c r="AC120" i="30"/>
  <c r="U120" i="30"/>
  <c r="CC119" i="30"/>
  <c r="BY119" i="30"/>
  <c r="BU119" i="30"/>
  <c r="BX119" i="30" s="1"/>
  <c r="AK119" i="30"/>
  <c r="AC119" i="30"/>
  <c r="U119" i="30"/>
  <c r="CC118" i="30"/>
  <c r="BY118" i="30"/>
  <c r="BU118" i="30"/>
  <c r="AK118" i="30"/>
  <c r="AC118" i="30"/>
  <c r="U118" i="30"/>
  <c r="CC117" i="30"/>
  <c r="BY117" i="30"/>
  <c r="BU117" i="30"/>
  <c r="AK117" i="30"/>
  <c r="AC117" i="30"/>
  <c r="U117" i="30"/>
  <c r="CC116" i="30"/>
  <c r="BY116" i="30"/>
  <c r="BU116" i="30"/>
  <c r="AK116" i="30"/>
  <c r="AC116" i="30"/>
  <c r="U116" i="30"/>
  <c r="CC115" i="30"/>
  <c r="BY115" i="30"/>
  <c r="BU115" i="30"/>
  <c r="AK115" i="30"/>
  <c r="AC115" i="30"/>
  <c r="U115" i="30"/>
  <c r="CC114" i="30"/>
  <c r="BY114" i="30"/>
  <c r="BU114" i="30"/>
  <c r="AK114" i="30"/>
  <c r="AC114" i="30"/>
  <c r="U114" i="30"/>
  <c r="CC113" i="30"/>
  <c r="BY113" i="30"/>
  <c r="BU113" i="30"/>
  <c r="AK113" i="30"/>
  <c r="AC113" i="30"/>
  <c r="U113" i="30"/>
  <c r="CC112" i="30"/>
  <c r="BY112" i="30"/>
  <c r="BU112" i="30"/>
  <c r="AK112" i="30"/>
  <c r="AC112" i="30"/>
  <c r="U112" i="30"/>
  <c r="CC111" i="30"/>
  <c r="BY111" i="30"/>
  <c r="BU111" i="30"/>
  <c r="AK111" i="30"/>
  <c r="AC111" i="30"/>
  <c r="U111" i="30"/>
  <c r="CC110" i="30"/>
  <c r="BY110" i="30"/>
  <c r="BU110" i="30"/>
  <c r="AK110" i="30"/>
  <c r="AC110" i="30"/>
  <c r="U110" i="30"/>
  <c r="CC109" i="30"/>
  <c r="AK109" i="30"/>
  <c r="AC109" i="30"/>
  <c r="U109" i="30"/>
  <c r="CC108" i="30"/>
  <c r="AK108" i="30"/>
  <c r="AC108" i="30"/>
  <c r="U108" i="30"/>
  <c r="CC107" i="30"/>
  <c r="AK107" i="30"/>
  <c r="AC107" i="30"/>
  <c r="U107" i="30"/>
  <c r="CC106" i="30"/>
  <c r="AK106" i="30"/>
  <c r="AC106" i="30"/>
  <c r="U106" i="30"/>
  <c r="CC105" i="30"/>
  <c r="AK105" i="30"/>
  <c r="AC105" i="30"/>
  <c r="U105" i="30"/>
  <c r="CC104" i="30"/>
  <c r="AK104" i="30"/>
  <c r="AC104" i="30"/>
  <c r="U104" i="30"/>
  <c r="CC103" i="30"/>
  <c r="AK103" i="30"/>
  <c r="AC103" i="30"/>
  <c r="U103" i="30"/>
  <c r="CC102" i="30"/>
  <c r="AK102" i="30"/>
  <c r="AC102" i="30"/>
  <c r="U102" i="30"/>
  <c r="CC101" i="30"/>
  <c r="AK101" i="30"/>
  <c r="AC101" i="30"/>
  <c r="U101" i="30"/>
  <c r="CC100" i="30"/>
  <c r="AK100" i="30"/>
  <c r="AC100" i="30"/>
  <c r="U100" i="30"/>
  <c r="AO99" i="30"/>
  <c r="AG99" i="30"/>
  <c r="Y99" i="30"/>
  <c r="CE94" i="30"/>
  <c r="CG112" i="30" s="1"/>
  <c r="BP84" i="30"/>
  <c r="BL84" i="30"/>
  <c r="BH84" i="30"/>
  <c r="BD84" i="30"/>
  <c r="AZ84" i="30"/>
  <c r="AV84" i="30"/>
  <c r="CA250" i="38"/>
  <c r="AK250" i="38"/>
  <c r="AC250" i="38"/>
  <c r="U250" i="38"/>
  <c r="CA249" i="38"/>
  <c r="AK249" i="38"/>
  <c r="AC249" i="38"/>
  <c r="U249" i="38"/>
  <c r="CA248" i="38"/>
  <c r="AK248" i="38"/>
  <c r="AC248" i="38"/>
  <c r="U248" i="38"/>
  <c r="CA247" i="38"/>
  <c r="AK247" i="38"/>
  <c r="AC247" i="38"/>
  <c r="U247" i="38"/>
  <c r="CA246" i="38"/>
  <c r="AK246" i="38"/>
  <c r="AC246" i="38"/>
  <c r="U246" i="38"/>
  <c r="CA245" i="38"/>
  <c r="AK245" i="38"/>
  <c r="AC245" i="38"/>
  <c r="U245" i="38"/>
  <c r="CA244" i="38"/>
  <c r="AK244" i="38"/>
  <c r="AC244" i="38"/>
  <c r="U244" i="38"/>
  <c r="CA243" i="38"/>
  <c r="AK243" i="38"/>
  <c r="AC243" i="38"/>
  <c r="U243" i="38"/>
  <c r="CA242" i="38"/>
  <c r="AK242" i="38"/>
  <c r="AC242" i="38"/>
  <c r="U242" i="38"/>
  <c r="CA241" i="38"/>
  <c r="AK241" i="38"/>
  <c r="AC241" i="38"/>
  <c r="U241" i="38"/>
  <c r="CA240" i="38"/>
  <c r="AK240" i="38"/>
  <c r="AC240" i="38"/>
  <c r="U240" i="38"/>
  <c r="CA239" i="38"/>
  <c r="AK239" i="38"/>
  <c r="AC239" i="38"/>
  <c r="U239" i="38"/>
  <c r="CA238" i="38"/>
  <c r="AK238" i="38"/>
  <c r="AC238" i="38"/>
  <c r="U238" i="38"/>
  <c r="CA237" i="38"/>
  <c r="AK237" i="38"/>
  <c r="AC237" i="38"/>
  <c r="U237" i="38"/>
  <c r="CA236" i="38"/>
  <c r="AK236" i="38"/>
  <c r="AC236" i="38"/>
  <c r="U236" i="38"/>
  <c r="CA235" i="38"/>
  <c r="AK235" i="38"/>
  <c r="AC235" i="38"/>
  <c r="U235" i="38"/>
  <c r="CA234" i="38"/>
  <c r="AK234" i="38"/>
  <c r="AC234" i="38"/>
  <c r="U234" i="38"/>
  <c r="CA233" i="38"/>
  <c r="AK233" i="38"/>
  <c r="AC233" i="38"/>
  <c r="U233" i="38"/>
  <c r="CA232" i="38"/>
  <c r="AK232" i="38"/>
  <c r="AC232" i="38"/>
  <c r="U232" i="38"/>
  <c r="CA231" i="38"/>
  <c r="AK231" i="38"/>
  <c r="AC231" i="38"/>
  <c r="U231" i="38"/>
  <c r="CA230" i="38"/>
  <c r="AK230" i="38"/>
  <c r="AC230" i="38"/>
  <c r="U230" i="38"/>
  <c r="CA229" i="38"/>
  <c r="AK229" i="38"/>
  <c r="AC229" i="38"/>
  <c r="U229" i="38"/>
  <c r="CA228" i="38"/>
  <c r="AK228" i="38"/>
  <c r="AC228" i="38"/>
  <c r="U228" i="38"/>
  <c r="CA227" i="38"/>
  <c r="AK227" i="38"/>
  <c r="AC227" i="38"/>
  <c r="U227" i="38"/>
  <c r="CA226" i="38"/>
  <c r="AK226" i="38"/>
  <c r="AC226" i="38"/>
  <c r="U226" i="38"/>
  <c r="CA225" i="38"/>
  <c r="AK225" i="38"/>
  <c r="AC225" i="38"/>
  <c r="U225" i="38"/>
  <c r="CA224" i="38"/>
  <c r="AK224" i="38"/>
  <c r="AC224" i="38"/>
  <c r="U224" i="38"/>
  <c r="CA223" i="38"/>
  <c r="AK223" i="38"/>
  <c r="AC223" i="38"/>
  <c r="U223" i="38"/>
  <c r="CA222" i="38"/>
  <c r="AK222" i="38"/>
  <c r="AC222" i="38"/>
  <c r="U222" i="38"/>
  <c r="CA221" i="38"/>
  <c r="AK221" i="38"/>
  <c r="AC221" i="38"/>
  <c r="U221" i="38"/>
  <c r="CA220" i="38"/>
  <c r="AK220" i="38"/>
  <c r="AC220" i="38"/>
  <c r="U220" i="38"/>
  <c r="CA219" i="38"/>
  <c r="AK219" i="38"/>
  <c r="AC219" i="38"/>
  <c r="U219" i="38"/>
  <c r="CA218" i="38"/>
  <c r="AK218" i="38"/>
  <c r="AC218" i="38"/>
  <c r="U218" i="38"/>
  <c r="CA217" i="38"/>
  <c r="AK217" i="38"/>
  <c r="AC217" i="38"/>
  <c r="U217" i="38"/>
  <c r="CA216" i="38"/>
  <c r="AK216" i="38"/>
  <c r="AC216" i="38"/>
  <c r="U216" i="38"/>
  <c r="CA215" i="38"/>
  <c r="AK215" i="38"/>
  <c r="AC215" i="38"/>
  <c r="U215" i="38"/>
  <c r="CA214" i="38"/>
  <c r="AK214" i="38"/>
  <c r="AC214" i="38"/>
  <c r="U214" i="38"/>
  <c r="CA213" i="38"/>
  <c r="AK213" i="38"/>
  <c r="AC213" i="38"/>
  <c r="U213" i="38"/>
  <c r="CA212" i="38"/>
  <c r="AK212" i="38"/>
  <c r="AC212" i="38"/>
  <c r="U212" i="38"/>
  <c r="CA211" i="38"/>
  <c r="AK211" i="38"/>
  <c r="AC211" i="38"/>
  <c r="U211" i="38"/>
  <c r="CA210" i="38"/>
  <c r="AK210" i="38"/>
  <c r="AC210" i="38"/>
  <c r="U210" i="38"/>
  <c r="CA209" i="38"/>
  <c r="AK209" i="38"/>
  <c r="AC209" i="38"/>
  <c r="U209" i="38"/>
  <c r="CA208" i="38"/>
  <c r="AK208" i="38"/>
  <c r="AC208" i="38"/>
  <c r="U208" i="38"/>
  <c r="CA207" i="38"/>
  <c r="AK207" i="38"/>
  <c r="AC207" i="38"/>
  <c r="U207" i="38"/>
  <c r="CA206" i="38"/>
  <c r="AK206" i="38"/>
  <c r="AC206" i="38"/>
  <c r="U206" i="38"/>
  <c r="CA205" i="38"/>
  <c r="AK205" i="38"/>
  <c r="AC205" i="38"/>
  <c r="U205" i="38"/>
  <c r="CA204" i="38"/>
  <c r="AK204" i="38"/>
  <c r="AC204" i="38"/>
  <c r="U204" i="38"/>
  <c r="CA203" i="38"/>
  <c r="AK203" i="38"/>
  <c r="AC203" i="38"/>
  <c r="U203" i="38"/>
  <c r="CA202" i="38"/>
  <c r="AK202" i="38"/>
  <c r="AC202" i="38"/>
  <c r="U202" i="38"/>
  <c r="CA201" i="38"/>
  <c r="AK201" i="38"/>
  <c r="AC201" i="38"/>
  <c r="U201" i="38"/>
  <c r="CA200" i="38"/>
  <c r="AK200" i="38"/>
  <c r="AC200" i="38"/>
  <c r="U200" i="38"/>
  <c r="CA199" i="38"/>
  <c r="AK199" i="38"/>
  <c r="AC199" i="38"/>
  <c r="U199" i="38"/>
  <c r="CA198" i="38"/>
  <c r="AK198" i="38"/>
  <c r="AC198" i="38"/>
  <c r="U198" i="38"/>
  <c r="CA197" i="38"/>
  <c r="AK197" i="38"/>
  <c r="AC197" i="38"/>
  <c r="U197" i="38"/>
  <c r="CA196" i="38"/>
  <c r="AK196" i="38"/>
  <c r="AC196" i="38"/>
  <c r="U196" i="38"/>
  <c r="CA195" i="38"/>
  <c r="AK195" i="38"/>
  <c r="AC195" i="38"/>
  <c r="U195" i="38"/>
  <c r="CA194" i="38"/>
  <c r="AK194" i="38"/>
  <c r="AC194" i="38"/>
  <c r="U194" i="38"/>
  <c r="CA193" i="38"/>
  <c r="AK193" i="38"/>
  <c r="AC193" i="38"/>
  <c r="U193" i="38"/>
  <c r="CA192" i="38"/>
  <c r="AK192" i="38"/>
  <c r="AC192" i="38"/>
  <c r="U192" i="38"/>
  <c r="CA191" i="38"/>
  <c r="AK191" i="38"/>
  <c r="AC191" i="38"/>
  <c r="U191" i="38"/>
  <c r="CA190" i="38"/>
  <c r="AK190" i="38"/>
  <c r="AC190" i="38"/>
  <c r="U190" i="38"/>
  <c r="CA189" i="38"/>
  <c r="AK189" i="38"/>
  <c r="AC189" i="38"/>
  <c r="U189" i="38"/>
  <c r="CA188" i="38"/>
  <c r="AK188" i="38"/>
  <c r="AC188" i="38"/>
  <c r="U188" i="38"/>
  <c r="CA187" i="38"/>
  <c r="AK187" i="38"/>
  <c r="AC187" i="38"/>
  <c r="U187" i="38"/>
  <c r="CA186" i="38"/>
  <c r="AK186" i="38"/>
  <c r="AC186" i="38"/>
  <c r="U186" i="38"/>
  <c r="CA185" i="38"/>
  <c r="AK185" i="38"/>
  <c r="AC185" i="38"/>
  <c r="U185" i="38"/>
  <c r="CA184" i="38"/>
  <c r="AK184" i="38"/>
  <c r="AC184" i="38"/>
  <c r="U184" i="38"/>
  <c r="CA183" i="38"/>
  <c r="AK183" i="38"/>
  <c r="AC183" i="38"/>
  <c r="U183" i="38"/>
  <c r="CA182" i="38"/>
  <c r="AK182" i="38"/>
  <c r="AC182" i="38"/>
  <c r="U182" i="38"/>
  <c r="CA181" i="38"/>
  <c r="AK181" i="38"/>
  <c r="AC181" i="38"/>
  <c r="U181" i="38"/>
  <c r="CA180" i="38"/>
  <c r="AK180" i="38"/>
  <c r="AC180" i="38"/>
  <c r="U180" i="38"/>
  <c r="CA179" i="38"/>
  <c r="AK179" i="38"/>
  <c r="AC179" i="38"/>
  <c r="U179" i="38"/>
  <c r="CA178" i="38"/>
  <c r="AK178" i="38"/>
  <c r="AC178" i="38"/>
  <c r="U178" i="38"/>
  <c r="CA177" i="38"/>
  <c r="AK177" i="38"/>
  <c r="AC177" i="38"/>
  <c r="U177" i="38"/>
  <c r="CA176" i="38"/>
  <c r="AK176" i="38"/>
  <c r="AC176" i="38"/>
  <c r="U176" i="38"/>
  <c r="CA175" i="38"/>
  <c r="AK175" i="38"/>
  <c r="AC175" i="38"/>
  <c r="U175" i="38"/>
  <c r="CA174" i="38"/>
  <c r="AK174" i="38"/>
  <c r="AC174" i="38"/>
  <c r="U174" i="38"/>
  <c r="CA173" i="38"/>
  <c r="AK173" i="38"/>
  <c r="AC173" i="38"/>
  <c r="U173" i="38"/>
  <c r="CA172" i="38"/>
  <c r="AK172" i="38"/>
  <c r="AC172" i="38"/>
  <c r="U172" i="38"/>
  <c r="CA171" i="38"/>
  <c r="AK171" i="38"/>
  <c r="AC171" i="38"/>
  <c r="U171" i="38"/>
  <c r="CA170" i="38"/>
  <c r="AK170" i="38"/>
  <c r="AC170" i="38"/>
  <c r="U170" i="38"/>
  <c r="CA169" i="38"/>
  <c r="AK169" i="38"/>
  <c r="AC169" i="38"/>
  <c r="U169" i="38"/>
  <c r="CA168" i="38"/>
  <c r="AK168" i="38"/>
  <c r="AC168" i="38"/>
  <c r="U168" i="38"/>
  <c r="CA167" i="38"/>
  <c r="AK167" i="38"/>
  <c r="AC167" i="38"/>
  <c r="U167" i="38"/>
  <c r="CA166" i="38"/>
  <c r="AK166" i="38"/>
  <c r="AC166" i="38"/>
  <c r="U166" i="38"/>
  <c r="CA165" i="38"/>
  <c r="AK165" i="38"/>
  <c r="AC165" i="38"/>
  <c r="U165" i="38"/>
  <c r="CA164" i="38"/>
  <c r="AK164" i="38"/>
  <c r="AC164" i="38"/>
  <c r="U164" i="38"/>
  <c r="CA163" i="38"/>
  <c r="AK163" i="38"/>
  <c r="AC163" i="38"/>
  <c r="U163" i="38"/>
  <c r="CA162" i="38"/>
  <c r="AK162" i="38"/>
  <c r="AC162" i="38"/>
  <c r="U162" i="38"/>
  <c r="CA161" i="38"/>
  <c r="AK161" i="38"/>
  <c r="AC161" i="38"/>
  <c r="U161" i="38"/>
  <c r="CA160" i="38"/>
  <c r="AK160" i="38"/>
  <c r="AC160" i="38"/>
  <c r="U160" i="38"/>
  <c r="CA159" i="38"/>
  <c r="AK159" i="38"/>
  <c r="AC159" i="38"/>
  <c r="U159" i="38"/>
  <c r="CA158" i="38"/>
  <c r="AK158" i="38"/>
  <c r="AC158" i="38"/>
  <c r="U158" i="38"/>
  <c r="CA157" i="38"/>
  <c r="AK157" i="38"/>
  <c r="AC157" i="38"/>
  <c r="U157" i="38"/>
  <c r="CA156" i="38"/>
  <c r="AK156" i="38"/>
  <c r="AC156" i="38"/>
  <c r="U156" i="38"/>
  <c r="CA155" i="38"/>
  <c r="AK155" i="38"/>
  <c r="AC155" i="38"/>
  <c r="U155" i="38"/>
  <c r="CA154" i="38"/>
  <c r="AK154" i="38"/>
  <c r="AC154" i="38"/>
  <c r="U154" i="38"/>
  <c r="CA153" i="38"/>
  <c r="AK153" i="38"/>
  <c r="AC153" i="38"/>
  <c r="U153" i="38"/>
  <c r="CA152" i="38"/>
  <c r="AK152" i="38"/>
  <c r="AC152" i="38"/>
  <c r="U152" i="38"/>
  <c r="CA151" i="38"/>
  <c r="AK151" i="38"/>
  <c r="AC151" i="38"/>
  <c r="U151" i="38"/>
  <c r="CA150" i="38"/>
  <c r="AK150" i="38"/>
  <c r="AC150" i="38"/>
  <c r="U150" i="38"/>
  <c r="CA149" i="38"/>
  <c r="AK149" i="38"/>
  <c r="AC149" i="38"/>
  <c r="U149" i="38"/>
  <c r="CA148" i="38"/>
  <c r="AK148" i="38"/>
  <c r="AC148" i="38"/>
  <c r="U148" i="38"/>
  <c r="CA147" i="38"/>
  <c r="AK147" i="38"/>
  <c r="AC147" i="38"/>
  <c r="U147" i="38"/>
  <c r="CA146" i="38"/>
  <c r="AK146" i="38"/>
  <c r="AC146" i="38"/>
  <c r="U146" i="38"/>
  <c r="CA145" i="38"/>
  <c r="AK145" i="38"/>
  <c r="AC145" i="38"/>
  <c r="U145" i="38"/>
  <c r="CA144" i="38"/>
  <c r="AK144" i="38"/>
  <c r="AC144" i="38"/>
  <c r="U144" i="38"/>
  <c r="CA143" i="38"/>
  <c r="AK143" i="38"/>
  <c r="AC143" i="38"/>
  <c r="U143" i="38"/>
  <c r="CA142" i="38"/>
  <c r="AK142" i="38"/>
  <c r="AC142" i="38"/>
  <c r="U142" i="38"/>
  <c r="CA141" i="38"/>
  <c r="AK141" i="38"/>
  <c r="AC141" i="38"/>
  <c r="U141" i="38"/>
  <c r="CA140" i="38"/>
  <c r="AK140" i="38"/>
  <c r="AC140" i="38"/>
  <c r="U140" i="38"/>
  <c r="CA139" i="38"/>
  <c r="AK139" i="38"/>
  <c r="AC139" i="38"/>
  <c r="U139" i="38"/>
  <c r="CA138" i="38"/>
  <c r="AK138" i="38"/>
  <c r="AC138" i="38"/>
  <c r="U138" i="38"/>
  <c r="CA137" i="38"/>
  <c r="AK137" i="38"/>
  <c r="AC137" i="38"/>
  <c r="U137" i="38"/>
  <c r="CA136" i="38"/>
  <c r="AK136" i="38"/>
  <c r="AC136" i="38"/>
  <c r="U136" i="38"/>
  <c r="CA135" i="38"/>
  <c r="AK135" i="38"/>
  <c r="AC135" i="38"/>
  <c r="U135" i="38"/>
  <c r="CA134" i="38"/>
  <c r="AK134" i="38"/>
  <c r="AC134" i="38"/>
  <c r="U134" i="38"/>
  <c r="CA133" i="38"/>
  <c r="AK133" i="38"/>
  <c r="AC133" i="38"/>
  <c r="U133" i="38"/>
  <c r="CA132" i="38"/>
  <c r="AK132" i="38"/>
  <c r="AC132" i="38"/>
  <c r="U132" i="38"/>
  <c r="CA131" i="38"/>
  <c r="AK131" i="38"/>
  <c r="AC131" i="38"/>
  <c r="U131" i="38"/>
  <c r="CA130" i="38"/>
  <c r="AK130" i="38"/>
  <c r="AC130" i="38"/>
  <c r="U130" i="38"/>
  <c r="CA129" i="38"/>
  <c r="AK129" i="38"/>
  <c r="AC129" i="38"/>
  <c r="U129" i="38"/>
  <c r="CA128" i="38"/>
  <c r="AK128" i="38"/>
  <c r="AC128" i="38"/>
  <c r="U128" i="38"/>
  <c r="CA127" i="38"/>
  <c r="AK127" i="38"/>
  <c r="AC127" i="38"/>
  <c r="U127" i="38"/>
  <c r="CA126" i="38"/>
  <c r="BY126" i="38"/>
  <c r="BX126" i="38"/>
  <c r="BW126" i="38"/>
  <c r="AK126" i="38"/>
  <c r="AC126" i="38"/>
  <c r="U126" i="38"/>
  <c r="CA125" i="38"/>
  <c r="AK125" i="38"/>
  <c r="AC125" i="38"/>
  <c r="U125" i="38"/>
  <c r="CA124" i="38"/>
  <c r="AK124" i="38"/>
  <c r="AC124" i="38"/>
  <c r="U124" i="38"/>
  <c r="CA123" i="38"/>
  <c r="AK123" i="38"/>
  <c r="AC123" i="38"/>
  <c r="U123" i="38"/>
  <c r="CA122" i="38"/>
  <c r="AK122" i="38"/>
  <c r="AC122" i="38"/>
  <c r="U122" i="38"/>
  <c r="CA121" i="38"/>
  <c r="AK121" i="38"/>
  <c r="AC121" i="38"/>
  <c r="U121" i="38"/>
  <c r="CC120" i="38"/>
  <c r="BY120" i="38"/>
  <c r="BU120" i="38"/>
  <c r="AK120" i="38"/>
  <c r="AC120" i="38"/>
  <c r="U120" i="38"/>
  <c r="CC119" i="38"/>
  <c r="BY119" i="38"/>
  <c r="BU119" i="38"/>
  <c r="AK119" i="38"/>
  <c r="AC119" i="38"/>
  <c r="U119" i="38"/>
  <c r="CC118" i="38"/>
  <c r="BY118" i="38"/>
  <c r="BU118" i="38"/>
  <c r="AK118" i="38"/>
  <c r="AC118" i="38"/>
  <c r="U118" i="38"/>
  <c r="CC117" i="38"/>
  <c r="BY117" i="38"/>
  <c r="BU117" i="38"/>
  <c r="AK117" i="38"/>
  <c r="AC117" i="38"/>
  <c r="U117" i="38"/>
  <c r="CC116" i="38"/>
  <c r="BY116" i="38"/>
  <c r="BU116" i="38"/>
  <c r="AK116" i="38"/>
  <c r="AC116" i="38"/>
  <c r="U116" i="38"/>
  <c r="CC115" i="38"/>
  <c r="BY115" i="38"/>
  <c r="BU115" i="38"/>
  <c r="AK115" i="38"/>
  <c r="AC115" i="38"/>
  <c r="U115" i="38"/>
  <c r="CC114" i="38"/>
  <c r="BY114" i="38"/>
  <c r="BU114" i="38"/>
  <c r="AK114" i="38"/>
  <c r="AC114" i="38"/>
  <c r="U114" i="38"/>
  <c r="CC113" i="38"/>
  <c r="BY113" i="38"/>
  <c r="BU113" i="38"/>
  <c r="AK113" i="38"/>
  <c r="AC113" i="38"/>
  <c r="U113" i="38"/>
  <c r="CC112" i="38"/>
  <c r="BY112" i="38"/>
  <c r="BU112" i="38"/>
  <c r="AK112" i="38"/>
  <c r="AC112" i="38"/>
  <c r="U112" i="38"/>
  <c r="CC111" i="38"/>
  <c r="BY111" i="38"/>
  <c r="BU111" i="38"/>
  <c r="AK111" i="38"/>
  <c r="AC111" i="38"/>
  <c r="U111" i="38"/>
  <c r="CC110" i="38"/>
  <c r="BY110" i="38"/>
  <c r="BU110" i="38"/>
  <c r="AK110" i="38"/>
  <c r="AC110" i="38"/>
  <c r="U110" i="38"/>
  <c r="CC109" i="38"/>
  <c r="AK109" i="38"/>
  <c r="AC109" i="38"/>
  <c r="U109" i="38"/>
  <c r="CC108" i="38"/>
  <c r="AK108" i="38"/>
  <c r="AC108" i="38"/>
  <c r="U108" i="38"/>
  <c r="CC107" i="38"/>
  <c r="AK107" i="38"/>
  <c r="AC107" i="38"/>
  <c r="U107" i="38"/>
  <c r="CC106" i="38"/>
  <c r="AK106" i="38"/>
  <c r="AC106" i="38"/>
  <c r="U106" i="38"/>
  <c r="CC105" i="38"/>
  <c r="AK105" i="38"/>
  <c r="AC105" i="38"/>
  <c r="U105" i="38"/>
  <c r="CC104" i="38"/>
  <c r="AK104" i="38"/>
  <c r="AC104" i="38"/>
  <c r="U104" i="38"/>
  <c r="CC103" i="38"/>
  <c r="AK103" i="38"/>
  <c r="AC103" i="38"/>
  <c r="U103" i="38"/>
  <c r="CC102" i="38"/>
  <c r="AK102" i="38"/>
  <c r="AC102" i="38"/>
  <c r="U102" i="38"/>
  <c r="CC101" i="38"/>
  <c r="AK101" i="38"/>
  <c r="AC101" i="38"/>
  <c r="U101" i="38"/>
  <c r="CC100" i="38"/>
  <c r="AK100" i="38"/>
  <c r="AC100" i="38"/>
  <c r="U100" i="38"/>
  <c r="AO99" i="38"/>
  <c r="AG99" i="38"/>
  <c r="Y99" i="38"/>
  <c r="CA250" i="27"/>
  <c r="AK250" i="27"/>
  <c r="AC250" i="27"/>
  <c r="U250" i="27"/>
  <c r="CA249" i="27"/>
  <c r="AK249" i="27"/>
  <c r="AC249" i="27"/>
  <c r="U249" i="27"/>
  <c r="CA248" i="27"/>
  <c r="AK248" i="27"/>
  <c r="AC248" i="27"/>
  <c r="U248" i="27"/>
  <c r="CA247" i="27"/>
  <c r="AK247" i="27"/>
  <c r="AC247" i="27"/>
  <c r="U247" i="27"/>
  <c r="CA246" i="27"/>
  <c r="AK246" i="27"/>
  <c r="AC246" i="27"/>
  <c r="U246" i="27"/>
  <c r="CA245" i="27"/>
  <c r="AK245" i="27"/>
  <c r="AC245" i="27"/>
  <c r="U245" i="27"/>
  <c r="CA244" i="27"/>
  <c r="AK244" i="27"/>
  <c r="AC244" i="27"/>
  <c r="U244" i="27"/>
  <c r="CA243" i="27"/>
  <c r="AK243" i="27"/>
  <c r="AC243" i="27"/>
  <c r="U243" i="27"/>
  <c r="CA242" i="27"/>
  <c r="AK242" i="27"/>
  <c r="AC242" i="27"/>
  <c r="U242" i="27"/>
  <c r="CA241" i="27"/>
  <c r="AK241" i="27"/>
  <c r="AC241" i="27"/>
  <c r="U241" i="27"/>
  <c r="CA240" i="27"/>
  <c r="AK240" i="27"/>
  <c r="AC240" i="27"/>
  <c r="U240" i="27"/>
  <c r="CA239" i="27"/>
  <c r="AK239" i="27"/>
  <c r="AC239" i="27"/>
  <c r="U239" i="27"/>
  <c r="CA238" i="27"/>
  <c r="AK238" i="27"/>
  <c r="AC238" i="27"/>
  <c r="U238" i="27"/>
  <c r="CA237" i="27"/>
  <c r="AK237" i="27"/>
  <c r="AC237" i="27"/>
  <c r="U237" i="27"/>
  <c r="CA236" i="27"/>
  <c r="AK236" i="27"/>
  <c r="AC236" i="27"/>
  <c r="U236" i="27"/>
  <c r="CA235" i="27"/>
  <c r="AK235" i="27"/>
  <c r="AC235" i="27"/>
  <c r="U235" i="27"/>
  <c r="CA234" i="27"/>
  <c r="AK234" i="27"/>
  <c r="AC234" i="27"/>
  <c r="U234" i="27"/>
  <c r="CA233" i="27"/>
  <c r="AK233" i="27"/>
  <c r="AC233" i="27"/>
  <c r="U233" i="27"/>
  <c r="CA232" i="27"/>
  <c r="AK232" i="27"/>
  <c r="AC232" i="27"/>
  <c r="U232" i="27"/>
  <c r="CA231" i="27"/>
  <c r="AK231" i="27"/>
  <c r="AC231" i="27"/>
  <c r="U231" i="27"/>
  <c r="CA230" i="27"/>
  <c r="AK230" i="27"/>
  <c r="AC230" i="27"/>
  <c r="U230" i="27"/>
  <c r="CA229" i="27"/>
  <c r="AK229" i="27"/>
  <c r="AC229" i="27"/>
  <c r="U229" i="27"/>
  <c r="CA228" i="27"/>
  <c r="AK228" i="27"/>
  <c r="AC228" i="27"/>
  <c r="U228" i="27"/>
  <c r="CA227" i="27"/>
  <c r="AK227" i="27"/>
  <c r="AC227" i="27"/>
  <c r="U227" i="27"/>
  <c r="CA226" i="27"/>
  <c r="AK226" i="27"/>
  <c r="AC226" i="27"/>
  <c r="U226" i="27"/>
  <c r="CA225" i="27"/>
  <c r="AK225" i="27"/>
  <c r="AC225" i="27"/>
  <c r="U225" i="27"/>
  <c r="CA224" i="27"/>
  <c r="AK224" i="27"/>
  <c r="AC224" i="27"/>
  <c r="U224" i="27"/>
  <c r="CA223" i="27"/>
  <c r="AK223" i="27"/>
  <c r="AC223" i="27"/>
  <c r="U223" i="27"/>
  <c r="CA222" i="27"/>
  <c r="AK222" i="27"/>
  <c r="AC222" i="27"/>
  <c r="U222" i="27"/>
  <c r="CA221" i="27"/>
  <c r="AK221" i="27"/>
  <c r="AC221" i="27"/>
  <c r="U221" i="27"/>
  <c r="CA220" i="27"/>
  <c r="AK220" i="27"/>
  <c r="AC220" i="27"/>
  <c r="U220" i="27"/>
  <c r="CA219" i="27"/>
  <c r="AK219" i="27"/>
  <c r="AC219" i="27"/>
  <c r="U219" i="27"/>
  <c r="CA218" i="27"/>
  <c r="AK218" i="27"/>
  <c r="AC218" i="27"/>
  <c r="U218" i="27"/>
  <c r="CA217" i="27"/>
  <c r="AK217" i="27"/>
  <c r="AC217" i="27"/>
  <c r="U217" i="27"/>
  <c r="CA216" i="27"/>
  <c r="AK216" i="27"/>
  <c r="AC216" i="27"/>
  <c r="U216" i="27"/>
  <c r="CA215" i="27"/>
  <c r="AK215" i="27"/>
  <c r="AC215" i="27"/>
  <c r="U215" i="27"/>
  <c r="CA214" i="27"/>
  <c r="AK214" i="27"/>
  <c r="AC214" i="27"/>
  <c r="U214" i="27"/>
  <c r="CA213" i="27"/>
  <c r="AK213" i="27"/>
  <c r="AC213" i="27"/>
  <c r="U213" i="27"/>
  <c r="CA212" i="27"/>
  <c r="AK212" i="27"/>
  <c r="AC212" i="27"/>
  <c r="U212" i="27"/>
  <c r="CA211" i="27"/>
  <c r="AK211" i="27"/>
  <c r="AC211" i="27"/>
  <c r="U211" i="27"/>
  <c r="CA210" i="27"/>
  <c r="AK210" i="27"/>
  <c r="AC210" i="27"/>
  <c r="U210" i="27"/>
  <c r="CA209" i="27"/>
  <c r="AK209" i="27"/>
  <c r="AC209" i="27"/>
  <c r="U209" i="27"/>
  <c r="CA208" i="27"/>
  <c r="AK208" i="27"/>
  <c r="AC208" i="27"/>
  <c r="U208" i="27"/>
  <c r="CA207" i="27"/>
  <c r="AK207" i="27"/>
  <c r="AC207" i="27"/>
  <c r="U207" i="27"/>
  <c r="CA206" i="27"/>
  <c r="AK206" i="27"/>
  <c r="AC206" i="27"/>
  <c r="U206" i="27"/>
  <c r="CA205" i="27"/>
  <c r="AK205" i="27"/>
  <c r="AC205" i="27"/>
  <c r="U205" i="27"/>
  <c r="CA204" i="27"/>
  <c r="AK204" i="27"/>
  <c r="AC204" i="27"/>
  <c r="U204" i="27"/>
  <c r="CA203" i="27"/>
  <c r="AK203" i="27"/>
  <c r="AC203" i="27"/>
  <c r="U203" i="27"/>
  <c r="CA202" i="27"/>
  <c r="AK202" i="27"/>
  <c r="AC202" i="27"/>
  <c r="U202" i="27"/>
  <c r="CA201" i="27"/>
  <c r="AK201" i="27"/>
  <c r="AC201" i="27"/>
  <c r="U201" i="27"/>
  <c r="CA200" i="27"/>
  <c r="AK200" i="27"/>
  <c r="AC200" i="27"/>
  <c r="U200" i="27"/>
  <c r="CA199" i="27"/>
  <c r="AK199" i="27"/>
  <c r="AC199" i="27"/>
  <c r="U199" i="27"/>
  <c r="CA198" i="27"/>
  <c r="AK198" i="27"/>
  <c r="AC198" i="27"/>
  <c r="U198" i="27"/>
  <c r="CA197" i="27"/>
  <c r="AK197" i="27"/>
  <c r="AC197" i="27"/>
  <c r="U197" i="27"/>
  <c r="CA196" i="27"/>
  <c r="AK196" i="27"/>
  <c r="AC196" i="27"/>
  <c r="U196" i="27"/>
  <c r="CA195" i="27"/>
  <c r="AK195" i="27"/>
  <c r="AC195" i="27"/>
  <c r="U195" i="27"/>
  <c r="CA194" i="27"/>
  <c r="AK194" i="27"/>
  <c r="AC194" i="27"/>
  <c r="U194" i="27"/>
  <c r="CA193" i="27"/>
  <c r="AK193" i="27"/>
  <c r="AC193" i="27"/>
  <c r="U193" i="27"/>
  <c r="CA192" i="27"/>
  <c r="AK192" i="27"/>
  <c r="AC192" i="27"/>
  <c r="U192" i="27"/>
  <c r="CA191" i="27"/>
  <c r="AK191" i="27"/>
  <c r="AC191" i="27"/>
  <c r="U191" i="27"/>
  <c r="CA190" i="27"/>
  <c r="AK190" i="27"/>
  <c r="AC190" i="27"/>
  <c r="U190" i="27"/>
  <c r="CA189" i="27"/>
  <c r="AK189" i="27"/>
  <c r="AC189" i="27"/>
  <c r="U189" i="27"/>
  <c r="CA188" i="27"/>
  <c r="AK188" i="27"/>
  <c r="AC188" i="27"/>
  <c r="U188" i="27"/>
  <c r="CA187" i="27"/>
  <c r="AK187" i="27"/>
  <c r="AC187" i="27"/>
  <c r="U187" i="27"/>
  <c r="CA186" i="27"/>
  <c r="AK186" i="27"/>
  <c r="AC186" i="27"/>
  <c r="U186" i="27"/>
  <c r="CA185" i="27"/>
  <c r="AK185" i="27"/>
  <c r="AC185" i="27"/>
  <c r="U185" i="27"/>
  <c r="CA184" i="27"/>
  <c r="AK184" i="27"/>
  <c r="AC184" i="27"/>
  <c r="U184" i="27"/>
  <c r="CA183" i="27"/>
  <c r="AK183" i="27"/>
  <c r="AC183" i="27"/>
  <c r="U183" i="27"/>
  <c r="CA182" i="27"/>
  <c r="AK182" i="27"/>
  <c r="AC182" i="27"/>
  <c r="U182" i="27"/>
  <c r="CA181" i="27"/>
  <c r="AK181" i="27"/>
  <c r="AC181" i="27"/>
  <c r="U181" i="27"/>
  <c r="CA180" i="27"/>
  <c r="AK180" i="27"/>
  <c r="AC180" i="27"/>
  <c r="U180" i="27"/>
  <c r="CA179" i="27"/>
  <c r="AK179" i="27"/>
  <c r="AC179" i="27"/>
  <c r="U179" i="27"/>
  <c r="CA178" i="27"/>
  <c r="AK178" i="27"/>
  <c r="AC178" i="27"/>
  <c r="U178" i="27"/>
  <c r="CA177" i="27"/>
  <c r="AK177" i="27"/>
  <c r="AC177" i="27"/>
  <c r="U177" i="27"/>
  <c r="CA176" i="27"/>
  <c r="AK176" i="27"/>
  <c r="AC176" i="27"/>
  <c r="U176" i="27"/>
  <c r="CA175" i="27"/>
  <c r="AK175" i="27"/>
  <c r="AC175" i="27"/>
  <c r="U175" i="27"/>
  <c r="CA174" i="27"/>
  <c r="AK174" i="27"/>
  <c r="AC174" i="27"/>
  <c r="U174" i="27"/>
  <c r="CA173" i="27"/>
  <c r="AK173" i="27"/>
  <c r="AC173" i="27"/>
  <c r="U173" i="27"/>
  <c r="CA172" i="27"/>
  <c r="AK172" i="27"/>
  <c r="AC172" i="27"/>
  <c r="U172" i="27"/>
  <c r="CA171" i="27"/>
  <c r="AK171" i="27"/>
  <c r="AC171" i="27"/>
  <c r="U171" i="27"/>
  <c r="CA170" i="27"/>
  <c r="AK170" i="27"/>
  <c r="AC170" i="27"/>
  <c r="U170" i="27"/>
  <c r="CA169" i="27"/>
  <c r="AK169" i="27"/>
  <c r="AC169" i="27"/>
  <c r="U169" i="27"/>
  <c r="CA168" i="27"/>
  <c r="AK168" i="27"/>
  <c r="AC168" i="27"/>
  <c r="U168" i="27"/>
  <c r="CA167" i="27"/>
  <c r="AK167" i="27"/>
  <c r="AC167" i="27"/>
  <c r="U167" i="27"/>
  <c r="CA166" i="27"/>
  <c r="AK166" i="27"/>
  <c r="AC166" i="27"/>
  <c r="U166" i="27"/>
  <c r="CA165" i="27"/>
  <c r="AK165" i="27"/>
  <c r="AC165" i="27"/>
  <c r="U165" i="27"/>
  <c r="CA164" i="27"/>
  <c r="AK164" i="27"/>
  <c r="AC164" i="27"/>
  <c r="U164" i="27"/>
  <c r="CA163" i="27"/>
  <c r="AK163" i="27"/>
  <c r="AC163" i="27"/>
  <c r="U163" i="27"/>
  <c r="CA162" i="27"/>
  <c r="AK162" i="27"/>
  <c r="AC162" i="27"/>
  <c r="U162" i="27"/>
  <c r="CA161" i="27"/>
  <c r="AK161" i="27"/>
  <c r="AC161" i="27"/>
  <c r="U161" i="27"/>
  <c r="CA160" i="27"/>
  <c r="AK160" i="27"/>
  <c r="AC160" i="27"/>
  <c r="U160" i="27"/>
  <c r="CA159" i="27"/>
  <c r="AK159" i="27"/>
  <c r="AC159" i="27"/>
  <c r="U159" i="27"/>
  <c r="CA158" i="27"/>
  <c r="AK158" i="27"/>
  <c r="AC158" i="27"/>
  <c r="U158" i="27"/>
  <c r="CA157" i="27"/>
  <c r="AK157" i="27"/>
  <c r="AC157" i="27"/>
  <c r="U157" i="27"/>
  <c r="CA156" i="27"/>
  <c r="AK156" i="27"/>
  <c r="AC156" i="27"/>
  <c r="U156" i="27"/>
  <c r="CA155" i="27"/>
  <c r="AK155" i="27"/>
  <c r="AC155" i="27"/>
  <c r="U155" i="27"/>
  <c r="CA154" i="27"/>
  <c r="AK154" i="27"/>
  <c r="AC154" i="27"/>
  <c r="U154" i="27"/>
  <c r="CA153" i="27"/>
  <c r="AK153" i="27"/>
  <c r="AC153" i="27"/>
  <c r="U153" i="27"/>
  <c r="CA152" i="27"/>
  <c r="AK152" i="27"/>
  <c r="AC152" i="27"/>
  <c r="U152" i="27"/>
  <c r="CA151" i="27"/>
  <c r="AK151" i="27"/>
  <c r="AC151" i="27"/>
  <c r="U151" i="27"/>
  <c r="CA150" i="27"/>
  <c r="AK150" i="27"/>
  <c r="AC150" i="27"/>
  <c r="U150" i="27"/>
  <c r="CA149" i="27"/>
  <c r="AK149" i="27"/>
  <c r="AC149" i="27"/>
  <c r="U149" i="27"/>
  <c r="CA148" i="27"/>
  <c r="AK148" i="27"/>
  <c r="AC148" i="27"/>
  <c r="U148" i="27"/>
  <c r="CA147" i="27"/>
  <c r="AK147" i="27"/>
  <c r="AC147" i="27"/>
  <c r="U147" i="27"/>
  <c r="CA146" i="27"/>
  <c r="AK146" i="27"/>
  <c r="AC146" i="27"/>
  <c r="U146" i="27"/>
  <c r="CA145" i="27"/>
  <c r="AK145" i="27"/>
  <c r="AC145" i="27"/>
  <c r="U145" i="27"/>
  <c r="CA144" i="27"/>
  <c r="AK144" i="27"/>
  <c r="AC144" i="27"/>
  <c r="U144" i="27"/>
  <c r="CA143" i="27"/>
  <c r="AK143" i="27"/>
  <c r="AC143" i="27"/>
  <c r="U143" i="27"/>
  <c r="CA142" i="27"/>
  <c r="AK142" i="27"/>
  <c r="AC142" i="27"/>
  <c r="U142" i="27"/>
  <c r="CA141" i="27"/>
  <c r="AK141" i="27"/>
  <c r="AC141" i="27"/>
  <c r="U141" i="27"/>
  <c r="CA140" i="27"/>
  <c r="AK140" i="27"/>
  <c r="AC140" i="27"/>
  <c r="U140" i="27"/>
  <c r="CA139" i="27"/>
  <c r="AK139" i="27"/>
  <c r="AC139" i="27"/>
  <c r="U139" i="27"/>
  <c r="CA138" i="27"/>
  <c r="AK138" i="27"/>
  <c r="AC138" i="27"/>
  <c r="U138" i="27"/>
  <c r="CA137" i="27"/>
  <c r="AK137" i="27"/>
  <c r="AC137" i="27"/>
  <c r="U137" i="27"/>
  <c r="CA136" i="27"/>
  <c r="AK136" i="27"/>
  <c r="AC136" i="27"/>
  <c r="U136" i="27"/>
  <c r="CA135" i="27"/>
  <c r="AK135" i="27"/>
  <c r="AC135" i="27"/>
  <c r="U135" i="27"/>
  <c r="CA134" i="27"/>
  <c r="AK134" i="27"/>
  <c r="AC134" i="27"/>
  <c r="U134" i="27"/>
  <c r="CA133" i="27"/>
  <c r="AK133" i="27"/>
  <c r="AC133" i="27"/>
  <c r="U133" i="27"/>
  <c r="CA132" i="27"/>
  <c r="AK132" i="27"/>
  <c r="AC132" i="27"/>
  <c r="U132" i="27"/>
  <c r="CA131" i="27"/>
  <c r="AK131" i="27"/>
  <c r="AC131" i="27"/>
  <c r="U131" i="27"/>
  <c r="CA130" i="27"/>
  <c r="AK130" i="27"/>
  <c r="AC130" i="27"/>
  <c r="U130" i="27"/>
  <c r="CA129" i="27"/>
  <c r="AK129" i="27"/>
  <c r="AC129" i="27"/>
  <c r="U129" i="27"/>
  <c r="CA128" i="27"/>
  <c r="AK128" i="27"/>
  <c r="AC128" i="27"/>
  <c r="U128" i="27"/>
  <c r="CA127" i="27"/>
  <c r="AK127" i="27"/>
  <c r="AC127" i="27"/>
  <c r="U127" i="27"/>
  <c r="CA126" i="27"/>
  <c r="BY126" i="27"/>
  <c r="BX126" i="27"/>
  <c r="BW126" i="27"/>
  <c r="AK126" i="27"/>
  <c r="AC126" i="27"/>
  <c r="U126" i="27"/>
  <c r="CA125" i="27"/>
  <c r="AK125" i="27"/>
  <c r="AC125" i="27"/>
  <c r="U125" i="27"/>
  <c r="CA124" i="27"/>
  <c r="AK124" i="27"/>
  <c r="AC124" i="27"/>
  <c r="U124" i="27"/>
  <c r="CA123" i="27"/>
  <c r="AK123" i="27"/>
  <c r="AC123" i="27"/>
  <c r="U123" i="27"/>
  <c r="CA122" i="27"/>
  <c r="AK122" i="27"/>
  <c r="AC122" i="27"/>
  <c r="U122" i="27"/>
  <c r="CA121" i="27"/>
  <c r="AK121" i="27"/>
  <c r="AC121" i="27"/>
  <c r="U121" i="27"/>
  <c r="CC120" i="27"/>
  <c r="BY120" i="27"/>
  <c r="BU120" i="27"/>
  <c r="AK120" i="27"/>
  <c r="AC120" i="27"/>
  <c r="U120" i="27"/>
  <c r="CC119" i="27"/>
  <c r="BY119" i="27"/>
  <c r="BU119" i="27"/>
  <c r="AK119" i="27"/>
  <c r="AC119" i="27"/>
  <c r="U119" i="27"/>
  <c r="CC118" i="27"/>
  <c r="BY118" i="27"/>
  <c r="BU118" i="27"/>
  <c r="AK118" i="27"/>
  <c r="AC118" i="27"/>
  <c r="U118" i="27"/>
  <c r="CC117" i="27"/>
  <c r="BY117" i="27"/>
  <c r="BU117" i="27"/>
  <c r="AK117" i="27"/>
  <c r="AC117" i="27"/>
  <c r="U117" i="27"/>
  <c r="CC116" i="27"/>
  <c r="BY116" i="27"/>
  <c r="BU116" i="27"/>
  <c r="AK116" i="27"/>
  <c r="AC116" i="27"/>
  <c r="U116" i="27"/>
  <c r="CC115" i="27"/>
  <c r="BY115" i="27"/>
  <c r="BU115" i="27"/>
  <c r="AK115" i="27"/>
  <c r="AC115" i="27"/>
  <c r="U115" i="27"/>
  <c r="CC114" i="27"/>
  <c r="BY114" i="27"/>
  <c r="BU114" i="27"/>
  <c r="AK114" i="27"/>
  <c r="AC114" i="27"/>
  <c r="U114" i="27"/>
  <c r="CC113" i="27"/>
  <c r="BY113" i="27"/>
  <c r="BU113" i="27"/>
  <c r="AK113" i="27"/>
  <c r="AC113" i="27"/>
  <c r="U113" i="27"/>
  <c r="CC112" i="27"/>
  <c r="BY112" i="27"/>
  <c r="BU112" i="27"/>
  <c r="AK112" i="27"/>
  <c r="AC112" i="27"/>
  <c r="U112" i="27"/>
  <c r="CC111" i="27"/>
  <c r="BY111" i="27"/>
  <c r="BU111" i="27"/>
  <c r="AK111" i="27"/>
  <c r="AC111" i="27"/>
  <c r="U111" i="27"/>
  <c r="CC110" i="27"/>
  <c r="BY110" i="27"/>
  <c r="BU110" i="27"/>
  <c r="AK110" i="27"/>
  <c r="AC110" i="27"/>
  <c r="U110" i="27"/>
  <c r="CC109" i="27"/>
  <c r="AK109" i="27"/>
  <c r="AC109" i="27"/>
  <c r="U109" i="27"/>
  <c r="CC108" i="27"/>
  <c r="AK108" i="27"/>
  <c r="AC108" i="27"/>
  <c r="U108" i="27"/>
  <c r="CC107" i="27"/>
  <c r="AK107" i="27"/>
  <c r="AC107" i="27"/>
  <c r="U107" i="27"/>
  <c r="CC106" i="27"/>
  <c r="AK106" i="27"/>
  <c r="AC106" i="27"/>
  <c r="U106" i="27"/>
  <c r="CC105" i="27"/>
  <c r="AK105" i="27"/>
  <c r="AC105" i="27"/>
  <c r="U105" i="27"/>
  <c r="CC104" i="27"/>
  <c r="AK104" i="27"/>
  <c r="AC104" i="27"/>
  <c r="U104" i="27"/>
  <c r="CC103" i="27"/>
  <c r="AK103" i="27"/>
  <c r="AC103" i="27"/>
  <c r="U103" i="27"/>
  <c r="CC102" i="27"/>
  <c r="AK102" i="27"/>
  <c r="AC102" i="27"/>
  <c r="U102" i="27"/>
  <c r="CC101" i="27"/>
  <c r="AK101" i="27"/>
  <c r="AC101" i="27"/>
  <c r="U101" i="27"/>
  <c r="CC100" i="27"/>
  <c r="AK100" i="27"/>
  <c r="AC100" i="27"/>
  <c r="U100" i="27"/>
  <c r="AO99" i="27"/>
  <c r="AG99" i="27"/>
  <c r="Y99" i="27"/>
  <c r="CA250" i="37"/>
  <c r="AK250" i="37"/>
  <c r="AC250" i="37"/>
  <c r="U250" i="37"/>
  <c r="CA249" i="37"/>
  <c r="AK249" i="37"/>
  <c r="AC249" i="37"/>
  <c r="U249" i="37"/>
  <c r="CA248" i="37"/>
  <c r="AK248" i="37"/>
  <c r="AC248" i="37"/>
  <c r="U248" i="37"/>
  <c r="CA247" i="37"/>
  <c r="AK247" i="37"/>
  <c r="AC247" i="37"/>
  <c r="U247" i="37"/>
  <c r="CA246" i="37"/>
  <c r="AK246" i="37"/>
  <c r="AC246" i="37"/>
  <c r="U246" i="37"/>
  <c r="CA245" i="37"/>
  <c r="AK245" i="37"/>
  <c r="AC245" i="37"/>
  <c r="U245" i="37"/>
  <c r="CA244" i="37"/>
  <c r="AK244" i="37"/>
  <c r="AC244" i="37"/>
  <c r="U244" i="37"/>
  <c r="CA243" i="37"/>
  <c r="AK243" i="37"/>
  <c r="AC243" i="37"/>
  <c r="U243" i="37"/>
  <c r="CA242" i="37"/>
  <c r="AK242" i="37"/>
  <c r="AC242" i="37"/>
  <c r="U242" i="37"/>
  <c r="CA241" i="37"/>
  <c r="AK241" i="37"/>
  <c r="AC241" i="37"/>
  <c r="U241" i="37"/>
  <c r="CA240" i="37"/>
  <c r="AK240" i="37"/>
  <c r="AC240" i="37"/>
  <c r="U240" i="37"/>
  <c r="CA239" i="37"/>
  <c r="AK239" i="37"/>
  <c r="AC239" i="37"/>
  <c r="U239" i="37"/>
  <c r="CA238" i="37"/>
  <c r="AK238" i="37"/>
  <c r="AC238" i="37"/>
  <c r="U238" i="37"/>
  <c r="CA237" i="37"/>
  <c r="AK237" i="37"/>
  <c r="AC237" i="37"/>
  <c r="U237" i="37"/>
  <c r="CA236" i="37"/>
  <c r="AK236" i="37"/>
  <c r="AC236" i="37"/>
  <c r="U236" i="37"/>
  <c r="CA235" i="37"/>
  <c r="AK235" i="37"/>
  <c r="AC235" i="37"/>
  <c r="U235" i="37"/>
  <c r="CA234" i="37"/>
  <c r="AK234" i="37"/>
  <c r="AC234" i="37"/>
  <c r="U234" i="37"/>
  <c r="CA233" i="37"/>
  <c r="AK233" i="37"/>
  <c r="AC233" i="37"/>
  <c r="U233" i="37"/>
  <c r="CA232" i="37"/>
  <c r="AK232" i="37"/>
  <c r="AC232" i="37"/>
  <c r="U232" i="37"/>
  <c r="CA231" i="37"/>
  <c r="AK231" i="37"/>
  <c r="AC231" i="37"/>
  <c r="U231" i="37"/>
  <c r="CA230" i="37"/>
  <c r="AK230" i="37"/>
  <c r="AC230" i="37"/>
  <c r="U230" i="37"/>
  <c r="CA229" i="37"/>
  <c r="AK229" i="37"/>
  <c r="AC229" i="37"/>
  <c r="U229" i="37"/>
  <c r="CA228" i="37"/>
  <c r="AK228" i="37"/>
  <c r="AC228" i="37"/>
  <c r="U228" i="37"/>
  <c r="CA227" i="37"/>
  <c r="AK227" i="37"/>
  <c r="AC227" i="37"/>
  <c r="U227" i="37"/>
  <c r="CA226" i="37"/>
  <c r="AK226" i="37"/>
  <c r="AC226" i="37"/>
  <c r="U226" i="37"/>
  <c r="CA225" i="37"/>
  <c r="AK225" i="37"/>
  <c r="AC225" i="37"/>
  <c r="U225" i="37"/>
  <c r="CA224" i="37"/>
  <c r="AK224" i="37"/>
  <c r="AC224" i="37"/>
  <c r="U224" i="37"/>
  <c r="CA223" i="37"/>
  <c r="AK223" i="37"/>
  <c r="AC223" i="37"/>
  <c r="U223" i="37"/>
  <c r="CA222" i="37"/>
  <c r="AK222" i="37"/>
  <c r="AC222" i="37"/>
  <c r="U222" i="37"/>
  <c r="CA221" i="37"/>
  <c r="AK221" i="37"/>
  <c r="AC221" i="37"/>
  <c r="U221" i="37"/>
  <c r="CA220" i="37"/>
  <c r="AK220" i="37"/>
  <c r="AC220" i="37"/>
  <c r="U220" i="37"/>
  <c r="CA219" i="37"/>
  <c r="AK219" i="37"/>
  <c r="AC219" i="37"/>
  <c r="U219" i="37"/>
  <c r="CA218" i="37"/>
  <c r="AK218" i="37"/>
  <c r="AC218" i="37"/>
  <c r="U218" i="37"/>
  <c r="CA217" i="37"/>
  <c r="AK217" i="37"/>
  <c r="AC217" i="37"/>
  <c r="U217" i="37"/>
  <c r="CA216" i="37"/>
  <c r="AK216" i="37"/>
  <c r="AC216" i="37"/>
  <c r="U216" i="37"/>
  <c r="CA215" i="37"/>
  <c r="AK215" i="37"/>
  <c r="AC215" i="37"/>
  <c r="U215" i="37"/>
  <c r="CA214" i="37"/>
  <c r="AK214" i="37"/>
  <c r="AC214" i="37"/>
  <c r="U214" i="37"/>
  <c r="CA213" i="37"/>
  <c r="AK213" i="37"/>
  <c r="AC213" i="37"/>
  <c r="U213" i="37"/>
  <c r="CA212" i="37"/>
  <c r="AK212" i="37"/>
  <c r="AC212" i="37"/>
  <c r="U212" i="37"/>
  <c r="CA211" i="37"/>
  <c r="AK211" i="37"/>
  <c r="AC211" i="37"/>
  <c r="U211" i="37"/>
  <c r="CA210" i="37"/>
  <c r="AK210" i="37"/>
  <c r="AC210" i="37"/>
  <c r="U210" i="37"/>
  <c r="CA209" i="37"/>
  <c r="AK209" i="37"/>
  <c r="AC209" i="37"/>
  <c r="U209" i="37"/>
  <c r="CA208" i="37"/>
  <c r="AK208" i="37"/>
  <c r="AC208" i="37"/>
  <c r="U208" i="37"/>
  <c r="CA207" i="37"/>
  <c r="AK207" i="37"/>
  <c r="AC207" i="37"/>
  <c r="U207" i="37"/>
  <c r="CA206" i="37"/>
  <c r="AK206" i="37"/>
  <c r="AC206" i="37"/>
  <c r="U206" i="37"/>
  <c r="CA205" i="37"/>
  <c r="AK205" i="37"/>
  <c r="AC205" i="37"/>
  <c r="U205" i="37"/>
  <c r="CA204" i="37"/>
  <c r="AK204" i="37"/>
  <c r="AC204" i="37"/>
  <c r="U204" i="37"/>
  <c r="CA203" i="37"/>
  <c r="AK203" i="37"/>
  <c r="AC203" i="37"/>
  <c r="U203" i="37"/>
  <c r="CA202" i="37"/>
  <c r="AK202" i="37"/>
  <c r="AC202" i="37"/>
  <c r="U202" i="37"/>
  <c r="CA201" i="37"/>
  <c r="AK201" i="37"/>
  <c r="AC201" i="37"/>
  <c r="U201" i="37"/>
  <c r="CA200" i="37"/>
  <c r="AK200" i="37"/>
  <c r="AC200" i="37"/>
  <c r="U200" i="37"/>
  <c r="CA199" i="37"/>
  <c r="AK199" i="37"/>
  <c r="AC199" i="37"/>
  <c r="U199" i="37"/>
  <c r="CA198" i="37"/>
  <c r="AK198" i="37"/>
  <c r="AC198" i="37"/>
  <c r="U198" i="37"/>
  <c r="CA197" i="37"/>
  <c r="AK197" i="37"/>
  <c r="AC197" i="37"/>
  <c r="U197" i="37"/>
  <c r="CA196" i="37"/>
  <c r="AK196" i="37"/>
  <c r="AC196" i="37"/>
  <c r="U196" i="37"/>
  <c r="CA195" i="37"/>
  <c r="AK195" i="37"/>
  <c r="AC195" i="37"/>
  <c r="U195" i="37"/>
  <c r="CA194" i="37"/>
  <c r="AK194" i="37"/>
  <c r="AC194" i="37"/>
  <c r="U194" i="37"/>
  <c r="CA193" i="37"/>
  <c r="AK193" i="37"/>
  <c r="AC193" i="37"/>
  <c r="U193" i="37"/>
  <c r="CA192" i="37"/>
  <c r="AK192" i="37"/>
  <c r="AC192" i="37"/>
  <c r="U192" i="37"/>
  <c r="CA191" i="37"/>
  <c r="AK191" i="37"/>
  <c r="AC191" i="37"/>
  <c r="U191" i="37"/>
  <c r="CA190" i="37"/>
  <c r="AK190" i="37"/>
  <c r="AC190" i="37"/>
  <c r="U190" i="37"/>
  <c r="CA189" i="37"/>
  <c r="AK189" i="37"/>
  <c r="AC189" i="37"/>
  <c r="U189" i="37"/>
  <c r="CA188" i="37"/>
  <c r="AK188" i="37"/>
  <c r="AC188" i="37"/>
  <c r="U188" i="37"/>
  <c r="CA187" i="37"/>
  <c r="AK187" i="37"/>
  <c r="AC187" i="37"/>
  <c r="U187" i="37"/>
  <c r="CA186" i="37"/>
  <c r="AK186" i="37"/>
  <c r="AC186" i="37"/>
  <c r="U186" i="37"/>
  <c r="CA185" i="37"/>
  <c r="AK185" i="37"/>
  <c r="AC185" i="37"/>
  <c r="U185" i="37"/>
  <c r="CA184" i="37"/>
  <c r="AK184" i="37"/>
  <c r="AC184" i="37"/>
  <c r="U184" i="37"/>
  <c r="CA183" i="37"/>
  <c r="AK183" i="37"/>
  <c r="AC183" i="37"/>
  <c r="U183" i="37"/>
  <c r="CA182" i="37"/>
  <c r="AK182" i="37"/>
  <c r="AC182" i="37"/>
  <c r="U182" i="37"/>
  <c r="CA181" i="37"/>
  <c r="AK181" i="37"/>
  <c r="AC181" i="37"/>
  <c r="U181" i="37"/>
  <c r="CA180" i="37"/>
  <c r="AK180" i="37"/>
  <c r="AC180" i="37"/>
  <c r="U180" i="37"/>
  <c r="CA179" i="37"/>
  <c r="AK179" i="37"/>
  <c r="AC179" i="37"/>
  <c r="U179" i="37"/>
  <c r="CA178" i="37"/>
  <c r="AK178" i="37"/>
  <c r="AC178" i="37"/>
  <c r="U178" i="37"/>
  <c r="CA177" i="37"/>
  <c r="AK177" i="37"/>
  <c r="AC177" i="37"/>
  <c r="U177" i="37"/>
  <c r="CA176" i="37"/>
  <c r="AK176" i="37"/>
  <c r="AC176" i="37"/>
  <c r="U176" i="37"/>
  <c r="CA175" i="37"/>
  <c r="AK175" i="37"/>
  <c r="AC175" i="37"/>
  <c r="U175" i="37"/>
  <c r="CA174" i="37"/>
  <c r="AK174" i="37"/>
  <c r="AC174" i="37"/>
  <c r="U174" i="37"/>
  <c r="CA173" i="37"/>
  <c r="AK173" i="37"/>
  <c r="AC173" i="37"/>
  <c r="U173" i="37"/>
  <c r="CA172" i="37"/>
  <c r="AK172" i="37"/>
  <c r="AC172" i="37"/>
  <c r="U172" i="37"/>
  <c r="CA171" i="37"/>
  <c r="AK171" i="37"/>
  <c r="AC171" i="37"/>
  <c r="U171" i="37"/>
  <c r="CA170" i="37"/>
  <c r="AK170" i="37"/>
  <c r="AC170" i="37"/>
  <c r="U170" i="37"/>
  <c r="CA169" i="37"/>
  <c r="AK169" i="37"/>
  <c r="AC169" i="37"/>
  <c r="U169" i="37"/>
  <c r="CA168" i="37"/>
  <c r="AK168" i="37"/>
  <c r="AC168" i="37"/>
  <c r="U168" i="37"/>
  <c r="CA167" i="37"/>
  <c r="AK167" i="37"/>
  <c r="AC167" i="37"/>
  <c r="U167" i="37"/>
  <c r="CA166" i="37"/>
  <c r="AK166" i="37"/>
  <c r="AC166" i="37"/>
  <c r="U166" i="37"/>
  <c r="CA165" i="37"/>
  <c r="AK165" i="37"/>
  <c r="AC165" i="37"/>
  <c r="U165" i="37"/>
  <c r="CA164" i="37"/>
  <c r="AK164" i="37"/>
  <c r="AC164" i="37"/>
  <c r="U164" i="37"/>
  <c r="CA163" i="37"/>
  <c r="AK163" i="37"/>
  <c r="AC163" i="37"/>
  <c r="U163" i="37"/>
  <c r="CA162" i="37"/>
  <c r="AK162" i="37"/>
  <c r="AC162" i="37"/>
  <c r="U162" i="37"/>
  <c r="CA161" i="37"/>
  <c r="AK161" i="37"/>
  <c r="AC161" i="37"/>
  <c r="U161" i="37"/>
  <c r="CA160" i="37"/>
  <c r="AK160" i="37"/>
  <c r="AC160" i="37"/>
  <c r="U160" i="37"/>
  <c r="CA159" i="37"/>
  <c r="AK159" i="37"/>
  <c r="AC159" i="37"/>
  <c r="U159" i="37"/>
  <c r="CA158" i="37"/>
  <c r="AK158" i="37"/>
  <c r="AC158" i="37"/>
  <c r="U158" i="37"/>
  <c r="CA157" i="37"/>
  <c r="AK157" i="37"/>
  <c r="AC157" i="37"/>
  <c r="U157" i="37"/>
  <c r="CA156" i="37"/>
  <c r="AK156" i="37"/>
  <c r="AC156" i="37"/>
  <c r="U156" i="37"/>
  <c r="CA155" i="37"/>
  <c r="AK155" i="37"/>
  <c r="AC155" i="37"/>
  <c r="U155" i="37"/>
  <c r="CA154" i="37"/>
  <c r="AK154" i="37"/>
  <c r="AC154" i="37"/>
  <c r="U154" i="37"/>
  <c r="CA153" i="37"/>
  <c r="AK153" i="37"/>
  <c r="AC153" i="37"/>
  <c r="U153" i="37"/>
  <c r="CA152" i="37"/>
  <c r="AK152" i="37"/>
  <c r="AC152" i="37"/>
  <c r="U152" i="37"/>
  <c r="CA151" i="37"/>
  <c r="AK151" i="37"/>
  <c r="AC151" i="37"/>
  <c r="U151" i="37"/>
  <c r="CA150" i="37"/>
  <c r="AK150" i="37"/>
  <c r="AC150" i="37"/>
  <c r="U150" i="37"/>
  <c r="CA149" i="37"/>
  <c r="AK149" i="37"/>
  <c r="AC149" i="37"/>
  <c r="U149" i="37"/>
  <c r="CA148" i="37"/>
  <c r="AK148" i="37"/>
  <c r="AC148" i="37"/>
  <c r="U148" i="37"/>
  <c r="CA147" i="37"/>
  <c r="AK147" i="37"/>
  <c r="AC147" i="37"/>
  <c r="U147" i="37"/>
  <c r="CA146" i="37"/>
  <c r="AK146" i="37"/>
  <c r="AC146" i="37"/>
  <c r="U146" i="37"/>
  <c r="CA145" i="37"/>
  <c r="AK145" i="37"/>
  <c r="AC145" i="37"/>
  <c r="U145" i="37"/>
  <c r="CA144" i="37"/>
  <c r="AK144" i="37"/>
  <c r="AC144" i="37"/>
  <c r="U144" i="37"/>
  <c r="CA143" i="37"/>
  <c r="AK143" i="37"/>
  <c r="AC143" i="37"/>
  <c r="U143" i="37"/>
  <c r="CA142" i="37"/>
  <c r="AK142" i="37"/>
  <c r="AC142" i="37"/>
  <c r="U142" i="37"/>
  <c r="CA141" i="37"/>
  <c r="AK141" i="37"/>
  <c r="AC141" i="37"/>
  <c r="U141" i="37"/>
  <c r="CA140" i="37"/>
  <c r="AK140" i="37"/>
  <c r="AC140" i="37"/>
  <c r="U140" i="37"/>
  <c r="CA139" i="37"/>
  <c r="AK139" i="37"/>
  <c r="AC139" i="37"/>
  <c r="U139" i="37"/>
  <c r="CA138" i="37"/>
  <c r="AK138" i="37"/>
  <c r="AC138" i="37"/>
  <c r="U138" i="37"/>
  <c r="CA137" i="37"/>
  <c r="AK137" i="37"/>
  <c r="AC137" i="37"/>
  <c r="U137" i="37"/>
  <c r="CA136" i="37"/>
  <c r="AK136" i="37"/>
  <c r="AC136" i="37"/>
  <c r="U136" i="37"/>
  <c r="CA135" i="37"/>
  <c r="AK135" i="37"/>
  <c r="AC135" i="37"/>
  <c r="U135" i="37"/>
  <c r="CA134" i="37"/>
  <c r="AK134" i="37"/>
  <c r="AC134" i="37"/>
  <c r="U134" i="37"/>
  <c r="CA133" i="37"/>
  <c r="AK133" i="37"/>
  <c r="AC133" i="37"/>
  <c r="U133" i="37"/>
  <c r="CA132" i="37"/>
  <c r="AK132" i="37"/>
  <c r="AC132" i="37"/>
  <c r="U132" i="37"/>
  <c r="CA131" i="37"/>
  <c r="AK131" i="37"/>
  <c r="AC131" i="37"/>
  <c r="U131" i="37"/>
  <c r="CA130" i="37"/>
  <c r="AK130" i="37"/>
  <c r="AC130" i="37"/>
  <c r="U130" i="37"/>
  <c r="CA129" i="37"/>
  <c r="AK129" i="37"/>
  <c r="AC129" i="37"/>
  <c r="U129" i="37"/>
  <c r="CA128" i="37"/>
  <c r="AK128" i="37"/>
  <c r="AC128" i="37"/>
  <c r="U128" i="37"/>
  <c r="CA127" i="37"/>
  <c r="AK127" i="37"/>
  <c r="AC127" i="37"/>
  <c r="U127" i="37"/>
  <c r="CA126" i="37"/>
  <c r="BY126" i="37"/>
  <c r="BX126" i="37"/>
  <c r="BW126" i="37"/>
  <c r="AK126" i="37"/>
  <c r="AC126" i="37"/>
  <c r="U126" i="37"/>
  <c r="CA125" i="37"/>
  <c r="AK125" i="37"/>
  <c r="AC125" i="37"/>
  <c r="U125" i="37"/>
  <c r="CA124" i="37"/>
  <c r="AK124" i="37"/>
  <c r="AC124" i="37"/>
  <c r="U124" i="37"/>
  <c r="CA123" i="37"/>
  <c r="AK123" i="37"/>
  <c r="AC123" i="37"/>
  <c r="U123" i="37"/>
  <c r="CA122" i="37"/>
  <c r="AK122" i="37"/>
  <c r="AC122" i="37"/>
  <c r="U122" i="37"/>
  <c r="CA121" i="37"/>
  <c r="AK121" i="37"/>
  <c r="AC121" i="37"/>
  <c r="U121" i="37"/>
  <c r="CC120" i="37"/>
  <c r="BY120" i="37"/>
  <c r="BU120" i="37"/>
  <c r="AK120" i="37"/>
  <c r="AC120" i="37"/>
  <c r="U120" i="37"/>
  <c r="CC119" i="37"/>
  <c r="BY119" i="37"/>
  <c r="BU119" i="37"/>
  <c r="AK119" i="37"/>
  <c r="AC119" i="37"/>
  <c r="U119" i="37"/>
  <c r="CC118" i="37"/>
  <c r="BY118" i="37"/>
  <c r="BU118" i="37"/>
  <c r="AK118" i="37"/>
  <c r="AC118" i="37"/>
  <c r="U118" i="37"/>
  <c r="CC117" i="37"/>
  <c r="BY117" i="37"/>
  <c r="BU117" i="37"/>
  <c r="AK117" i="37"/>
  <c r="AC117" i="37"/>
  <c r="U117" i="37"/>
  <c r="CC116" i="37"/>
  <c r="BY116" i="37"/>
  <c r="BU116" i="37"/>
  <c r="AK116" i="37"/>
  <c r="AC116" i="37"/>
  <c r="U116" i="37"/>
  <c r="CC115" i="37"/>
  <c r="BY115" i="37"/>
  <c r="BU115" i="37"/>
  <c r="AK115" i="37"/>
  <c r="AC115" i="37"/>
  <c r="U115" i="37"/>
  <c r="CC114" i="37"/>
  <c r="BY114" i="37"/>
  <c r="BU114" i="37"/>
  <c r="AK114" i="37"/>
  <c r="AC114" i="37"/>
  <c r="U114" i="37"/>
  <c r="CC113" i="37"/>
  <c r="BY113" i="37"/>
  <c r="BU113" i="37"/>
  <c r="AK113" i="37"/>
  <c r="AC113" i="37"/>
  <c r="U113" i="37"/>
  <c r="CC112" i="37"/>
  <c r="BY112" i="37"/>
  <c r="BU112" i="37"/>
  <c r="AK112" i="37"/>
  <c r="AC112" i="37"/>
  <c r="U112" i="37"/>
  <c r="CC111" i="37"/>
  <c r="BY111" i="37"/>
  <c r="BU111" i="37"/>
  <c r="AK111" i="37"/>
  <c r="AC111" i="37"/>
  <c r="U111" i="37"/>
  <c r="CC110" i="37"/>
  <c r="BY110" i="37"/>
  <c r="BU110" i="37"/>
  <c r="AK110" i="37"/>
  <c r="AC110" i="37"/>
  <c r="U110" i="37"/>
  <c r="CC109" i="37"/>
  <c r="AK109" i="37"/>
  <c r="AC109" i="37"/>
  <c r="U109" i="37"/>
  <c r="CC108" i="37"/>
  <c r="AK108" i="37"/>
  <c r="AC108" i="37"/>
  <c r="U108" i="37"/>
  <c r="CC107" i="37"/>
  <c r="AK107" i="37"/>
  <c r="AC107" i="37"/>
  <c r="U107" i="37"/>
  <c r="CC106" i="37"/>
  <c r="AK106" i="37"/>
  <c r="AC106" i="37"/>
  <c r="U106" i="37"/>
  <c r="CC105" i="37"/>
  <c r="AK105" i="37"/>
  <c r="AC105" i="37"/>
  <c r="U105" i="37"/>
  <c r="CC104" i="37"/>
  <c r="AK104" i="37"/>
  <c r="AC104" i="37"/>
  <c r="U104" i="37"/>
  <c r="CC103" i="37"/>
  <c r="AK103" i="37"/>
  <c r="AC103" i="37"/>
  <c r="U103" i="37"/>
  <c r="CC102" i="37"/>
  <c r="AK102" i="37"/>
  <c r="AC102" i="37"/>
  <c r="U102" i="37"/>
  <c r="CC101" i="37"/>
  <c r="AK101" i="37"/>
  <c r="AC101" i="37"/>
  <c r="U101" i="37"/>
  <c r="CC100" i="37"/>
  <c r="AK100" i="37"/>
  <c r="AC100" i="37"/>
  <c r="U100" i="37"/>
  <c r="AO99" i="37"/>
  <c r="AG99" i="37"/>
  <c r="Y99" i="37"/>
  <c r="BX113" i="39" l="1"/>
  <c r="BX116" i="27"/>
  <c r="BW117" i="27"/>
  <c r="BW118" i="40"/>
  <c r="BX120" i="40"/>
  <c r="BW114" i="27"/>
  <c r="BW119" i="27"/>
  <c r="BW114" i="39"/>
  <c r="CG106" i="39"/>
  <c r="CG103" i="30"/>
  <c r="CG106" i="40"/>
  <c r="BX114" i="37"/>
  <c r="BX113" i="37"/>
  <c r="BX120" i="37"/>
  <c r="BX120" i="30"/>
  <c r="CG131" i="39"/>
  <c r="BX111" i="30"/>
  <c r="BW119" i="30"/>
  <c r="CG123" i="39"/>
  <c r="CG102" i="40"/>
  <c r="CG109" i="40"/>
  <c r="CG112" i="39"/>
  <c r="CG104" i="34"/>
  <c r="CF127" i="34"/>
  <c r="CG169" i="40"/>
  <c r="BW120" i="38"/>
  <c r="CE134" i="39"/>
  <c r="CE122" i="34"/>
  <c r="CG140" i="39"/>
  <c r="CF149" i="39"/>
  <c r="CG120" i="40"/>
  <c r="BW114" i="38"/>
  <c r="CG119" i="30"/>
  <c r="CG107" i="40"/>
  <c r="CG110" i="40"/>
  <c r="BX111" i="39"/>
  <c r="CF126" i="39"/>
  <c r="CG129" i="39"/>
  <c r="CG168" i="39"/>
  <c r="CG112" i="34"/>
  <c r="CF145" i="40"/>
  <c r="CG104" i="39"/>
  <c r="CF124" i="39"/>
  <c r="CG104" i="40"/>
  <c r="CG135" i="39"/>
  <c r="CE138" i="39"/>
  <c r="CF124" i="40"/>
  <c r="CG141" i="39"/>
  <c r="CG144" i="39"/>
  <c r="CE150" i="39"/>
  <c r="CE153" i="39"/>
  <c r="CG101" i="40"/>
  <c r="CF122" i="39"/>
  <c r="CG166" i="39"/>
  <c r="CG143" i="40"/>
  <c r="CG114" i="39"/>
  <c r="CG133" i="39"/>
  <c r="CG119" i="40"/>
  <c r="CG113" i="34"/>
  <c r="BW117" i="34"/>
  <c r="BX112" i="30"/>
  <c r="BW117" i="40"/>
  <c r="BW120" i="40"/>
  <c r="BX114" i="34"/>
  <c r="BX120" i="39"/>
  <c r="BW116" i="40"/>
  <c r="BX111" i="37"/>
  <c r="BW113" i="27"/>
  <c r="BW111" i="37"/>
  <c r="BW119" i="37"/>
  <c r="BW118" i="27"/>
  <c r="BX118" i="27"/>
  <c r="BW114" i="40"/>
  <c r="BX117" i="27"/>
  <c r="BX114" i="40"/>
  <c r="BW112" i="27"/>
  <c r="BW115" i="38"/>
  <c r="BW113" i="39"/>
  <c r="BW113" i="34"/>
  <c r="BX116" i="30"/>
  <c r="BX113" i="40"/>
  <c r="BW120" i="37"/>
  <c r="BX115" i="38"/>
  <c r="BW120" i="30"/>
  <c r="BW114" i="37"/>
  <c r="BX116" i="37"/>
  <c r="BW112" i="30"/>
  <c r="BX115" i="39"/>
  <c r="BW115" i="39"/>
  <c r="BX119" i="34"/>
  <c r="BX113" i="27"/>
  <c r="BW120" i="27"/>
  <c r="BX120" i="38"/>
  <c r="BX119" i="27"/>
  <c r="BW112" i="39"/>
  <c r="BW115" i="34"/>
  <c r="BW114" i="34"/>
  <c r="BX111" i="38"/>
  <c r="BX112" i="38"/>
  <c r="BX112" i="39"/>
  <c r="BX115" i="34"/>
  <c r="BX119" i="37"/>
  <c r="BW112" i="38"/>
  <c r="BX114" i="38"/>
  <c r="BW116" i="38"/>
  <c r="BX117" i="30"/>
  <c r="BW118" i="39"/>
  <c r="BX116" i="38"/>
  <c r="BW116" i="30"/>
  <c r="BW117" i="30"/>
  <c r="BX118" i="39"/>
  <c r="BX117" i="40"/>
  <c r="BW115" i="37"/>
  <c r="BX114" i="39"/>
  <c r="BX111" i="27"/>
  <c r="BW116" i="27"/>
  <c r="BX113" i="30"/>
  <c r="BX114" i="27"/>
  <c r="BW112" i="34"/>
  <c r="BX117" i="38"/>
  <c r="BX111" i="40"/>
  <c r="BW111" i="40"/>
  <c r="CG100" i="40"/>
  <c r="CG108" i="40"/>
  <c r="BX115" i="40"/>
  <c r="BW115" i="40"/>
  <c r="BX116" i="40"/>
  <c r="CG118" i="40"/>
  <c r="CF122" i="40"/>
  <c r="CG127" i="40"/>
  <c r="CE130" i="40"/>
  <c r="CG139" i="40"/>
  <c r="CF151" i="40"/>
  <c r="BX118" i="40"/>
  <c r="BW119" i="40"/>
  <c r="CE126" i="40"/>
  <c r="CG129" i="40"/>
  <c r="CE132" i="40"/>
  <c r="CG161" i="40"/>
  <c r="CF165" i="40"/>
  <c r="CG103" i="40"/>
  <c r="CG111" i="40"/>
  <c r="BW112" i="40"/>
  <c r="BX119" i="40"/>
  <c r="CG135" i="40"/>
  <c r="BX112" i="40"/>
  <c r="CG112" i="40"/>
  <c r="BW113" i="40"/>
  <c r="CG131" i="40"/>
  <c r="CE134" i="40"/>
  <c r="CG250" i="40"/>
  <c r="CG248" i="40"/>
  <c r="CG246" i="40"/>
  <c r="CG244" i="40"/>
  <c r="CF250" i="40"/>
  <c r="CF248" i="40"/>
  <c r="CF246" i="40"/>
  <c r="CF244" i="40"/>
  <c r="CF242" i="40"/>
  <c r="CF240" i="40"/>
  <c r="CF238" i="40"/>
  <c r="CF236" i="40"/>
  <c r="CE250" i="40"/>
  <c r="CE248" i="40"/>
  <c r="CE246" i="40"/>
  <c r="CE244" i="40"/>
  <c r="CE242" i="40"/>
  <c r="CE240" i="40"/>
  <c r="CE238" i="40"/>
  <c r="CE236" i="40"/>
  <c r="CE234" i="40"/>
  <c r="CE232" i="40"/>
  <c r="CF249" i="40"/>
  <c r="CF247" i="40"/>
  <c r="CF245" i="40"/>
  <c r="CF243" i="40"/>
  <c r="CE249" i="40"/>
  <c r="CE247" i="40"/>
  <c r="CE245" i="40"/>
  <c r="CE243" i="40"/>
  <c r="CE241" i="40"/>
  <c r="CE239" i="40"/>
  <c r="CE237" i="40"/>
  <c r="CE235" i="40"/>
  <c r="CE233" i="40"/>
  <c r="CG243" i="40"/>
  <c r="CF241" i="40"/>
  <c r="CF239" i="40"/>
  <c r="CF233" i="40"/>
  <c r="CG229" i="40"/>
  <c r="CG227" i="40"/>
  <c r="CG225" i="40"/>
  <c r="CG223" i="40"/>
  <c r="CG221" i="40"/>
  <c r="CG245" i="40"/>
  <c r="CG238" i="40"/>
  <c r="CG232" i="40"/>
  <c r="CG231" i="40"/>
  <c r="CF229" i="40"/>
  <c r="CG242" i="40"/>
  <c r="CF232" i="40"/>
  <c r="CF231" i="40"/>
  <c r="CG247" i="40"/>
  <c r="CG240" i="40"/>
  <c r="CE231" i="40"/>
  <c r="CG230" i="40"/>
  <c r="CG228" i="40"/>
  <c r="CG226" i="40"/>
  <c r="CG224" i="40"/>
  <c r="CG237" i="40"/>
  <c r="CG235" i="40"/>
  <c r="CG234" i="40"/>
  <c r="CF230" i="40"/>
  <c r="CF228" i="40"/>
  <c r="CG249" i="40"/>
  <c r="CF237" i="40"/>
  <c r="CF235" i="40"/>
  <c r="CF234" i="40"/>
  <c r="CE230" i="40"/>
  <c r="CE228" i="40"/>
  <c r="CE224" i="40"/>
  <c r="CE220" i="40"/>
  <c r="CE218" i="40"/>
  <c r="CE216" i="40"/>
  <c r="CE214" i="40"/>
  <c r="CE212" i="40"/>
  <c r="CE210" i="40"/>
  <c r="CE208" i="40"/>
  <c r="CE229" i="40"/>
  <c r="CF223" i="40"/>
  <c r="CG241" i="40"/>
  <c r="CG236" i="40"/>
  <c r="CE223" i="40"/>
  <c r="CG219" i="40"/>
  <c r="CG217" i="40"/>
  <c r="CG215" i="40"/>
  <c r="CG213" i="40"/>
  <c r="CG211" i="40"/>
  <c r="CF227" i="40"/>
  <c r="CF226" i="40"/>
  <c r="CF221" i="40"/>
  <c r="CF219" i="40"/>
  <c r="CF217" i="40"/>
  <c r="CF215" i="40"/>
  <c r="CF213" i="40"/>
  <c r="CE225" i="40"/>
  <c r="CF222" i="40"/>
  <c r="CG220" i="40"/>
  <c r="CG218" i="40"/>
  <c r="CG216" i="40"/>
  <c r="CG214" i="40"/>
  <c r="CG212" i="40"/>
  <c r="CG239" i="40"/>
  <c r="CG233" i="40"/>
  <c r="CF224" i="40"/>
  <c r="CE222" i="40"/>
  <c r="CF220" i="40"/>
  <c r="CE219" i="40"/>
  <c r="CF218" i="40"/>
  <c r="CE213" i="40"/>
  <c r="CF225" i="40"/>
  <c r="CE209" i="40"/>
  <c r="CG206" i="40"/>
  <c r="CG204" i="40"/>
  <c r="CG202" i="40"/>
  <c r="CG200" i="40"/>
  <c r="CG198" i="40"/>
  <c r="CE227" i="40"/>
  <c r="CE215" i="40"/>
  <c r="CF206" i="40"/>
  <c r="CF204" i="40"/>
  <c r="CF202" i="40"/>
  <c r="CF200" i="40"/>
  <c r="CF198" i="40"/>
  <c r="CE217" i="40"/>
  <c r="CE221" i="40"/>
  <c r="CF208" i="40"/>
  <c r="CF207" i="40"/>
  <c r="CF205" i="40"/>
  <c r="CF203" i="40"/>
  <c r="CF201" i="40"/>
  <c r="CF199" i="40"/>
  <c r="CF197" i="40"/>
  <c r="CF216" i="40"/>
  <c r="CF212" i="40"/>
  <c r="CG210" i="40"/>
  <c r="CE207" i="40"/>
  <c r="CG203" i="40"/>
  <c r="CF210" i="40"/>
  <c r="CE204" i="40"/>
  <c r="CE203" i="40"/>
  <c r="CE200" i="40"/>
  <c r="CE199" i="40"/>
  <c r="CF196" i="40"/>
  <c r="CF194" i="40"/>
  <c r="CF192" i="40"/>
  <c r="CF190" i="40"/>
  <c r="CF188" i="40"/>
  <c r="CF186" i="40"/>
  <c r="CF184" i="40"/>
  <c r="CE206" i="40"/>
  <c r="CE196" i="40"/>
  <c r="CE194" i="40"/>
  <c r="CE192" i="40"/>
  <c r="CF214" i="40"/>
  <c r="CE211" i="40"/>
  <c r="CF209" i="40"/>
  <c r="CE205" i="40"/>
  <c r="CE195" i="40"/>
  <c r="CE193" i="40"/>
  <c r="CE191" i="40"/>
  <c r="CE189" i="40"/>
  <c r="CE187" i="40"/>
  <c r="CE185" i="40"/>
  <c r="CE183" i="40"/>
  <c r="CE181" i="40"/>
  <c r="CE179" i="40"/>
  <c r="CG222" i="40"/>
  <c r="CG207" i="40"/>
  <c r="CG197" i="40"/>
  <c r="CG191" i="40"/>
  <c r="CG189" i="40"/>
  <c r="CG188" i="40"/>
  <c r="CF181" i="40"/>
  <c r="CF180" i="40"/>
  <c r="CF177" i="40"/>
  <c r="CG199" i="40"/>
  <c r="CE197" i="40"/>
  <c r="CG192" i="40"/>
  <c r="CF191" i="40"/>
  <c r="CF189" i="40"/>
  <c r="CE188" i="40"/>
  <c r="CG183" i="40"/>
  <c r="CG182" i="40"/>
  <c r="CE180" i="40"/>
  <c r="CE177" i="40"/>
  <c r="CE226" i="40"/>
  <c r="CE198" i="40"/>
  <c r="CG195" i="40"/>
  <c r="CG187" i="40"/>
  <c r="CG186" i="40"/>
  <c r="CF183" i="40"/>
  <c r="CF182" i="40"/>
  <c r="CG196" i="40"/>
  <c r="CF195" i="40"/>
  <c r="CF187" i="40"/>
  <c r="CE186" i="40"/>
  <c r="CE182" i="40"/>
  <c r="CF211" i="40"/>
  <c r="CG209" i="40"/>
  <c r="CG194" i="40"/>
  <c r="CF193" i="40"/>
  <c r="CG190" i="40"/>
  <c r="CG184" i="40"/>
  <c r="CE190" i="40"/>
  <c r="CE184" i="40"/>
  <c r="CG181" i="40"/>
  <c r="CG180" i="40"/>
  <c r="CG205" i="40"/>
  <c r="CG201" i="40"/>
  <c r="CG179" i="40"/>
  <c r="CF178" i="40"/>
  <c r="CG174" i="40"/>
  <c r="CG172" i="40"/>
  <c r="CG170" i="40"/>
  <c r="CG168" i="40"/>
  <c r="CG166" i="40"/>
  <c r="CG164" i="40"/>
  <c r="CG162" i="40"/>
  <c r="CG160" i="40"/>
  <c r="CG158" i="40"/>
  <c r="CG156" i="40"/>
  <c r="CG154" i="40"/>
  <c r="CG152" i="40"/>
  <c r="CG208" i="40"/>
  <c r="CE201" i="40"/>
  <c r="CF179" i="40"/>
  <c r="CE178" i="40"/>
  <c r="CF174" i="40"/>
  <c r="CF172" i="40"/>
  <c r="CF170" i="40"/>
  <c r="CF168" i="40"/>
  <c r="CF166" i="40"/>
  <c r="CF164" i="40"/>
  <c r="CF162" i="40"/>
  <c r="CF160" i="40"/>
  <c r="CG185" i="40"/>
  <c r="CG177" i="40"/>
  <c r="CE174" i="40"/>
  <c r="CE172" i="40"/>
  <c r="CE170" i="40"/>
  <c r="CE168" i="40"/>
  <c r="CE166" i="40"/>
  <c r="CE164" i="40"/>
  <c r="CE162" i="40"/>
  <c r="CE160" i="40"/>
  <c r="CE158" i="40"/>
  <c r="CE156" i="40"/>
  <c r="CE154" i="40"/>
  <c r="CE152" i="40"/>
  <c r="CE150" i="40"/>
  <c r="CE148" i="40"/>
  <c r="CE202" i="40"/>
  <c r="CF185" i="40"/>
  <c r="CG193" i="40"/>
  <c r="CF176" i="40"/>
  <c r="CE175" i="40"/>
  <c r="CE173" i="40"/>
  <c r="CE171" i="40"/>
  <c r="CE169" i="40"/>
  <c r="CE167" i="40"/>
  <c r="CE165" i="40"/>
  <c r="CE163" i="40"/>
  <c r="CE161" i="40"/>
  <c r="CE159" i="40"/>
  <c r="CE157" i="40"/>
  <c r="CE155" i="40"/>
  <c r="CE153" i="40"/>
  <c r="CE151" i="40"/>
  <c r="CG178" i="40"/>
  <c r="CE176" i="40"/>
  <c r="CF171" i="40"/>
  <c r="CG155" i="40"/>
  <c r="CF153" i="40"/>
  <c r="CF149" i="40"/>
  <c r="CE147" i="40"/>
  <c r="CE145" i="40"/>
  <c r="CE143" i="40"/>
  <c r="CE141" i="40"/>
  <c r="CE139" i="40"/>
  <c r="CG173" i="40"/>
  <c r="CG167" i="40"/>
  <c r="CG163" i="40"/>
  <c r="CG159" i="40"/>
  <c r="CF158" i="40"/>
  <c r="CF155" i="40"/>
  <c r="CG151" i="40"/>
  <c r="CE149" i="40"/>
  <c r="CF173" i="40"/>
  <c r="CF167" i="40"/>
  <c r="CF163" i="40"/>
  <c r="CF159" i="40"/>
  <c r="CG176" i="40"/>
  <c r="CG175" i="40"/>
  <c r="CF152" i="40"/>
  <c r="CG150" i="40"/>
  <c r="CF146" i="40"/>
  <c r="CF144" i="40"/>
  <c r="CF142" i="40"/>
  <c r="CF140" i="40"/>
  <c r="CF138" i="40"/>
  <c r="CF175" i="40"/>
  <c r="CG157" i="40"/>
  <c r="CF150" i="40"/>
  <c r="CE146" i="40"/>
  <c r="CE144" i="40"/>
  <c r="CE142" i="40"/>
  <c r="CE140" i="40"/>
  <c r="CF161" i="40"/>
  <c r="CG149" i="40"/>
  <c r="CF139" i="40"/>
  <c r="CG137" i="40"/>
  <c r="CF135" i="40"/>
  <c r="CF133" i="40"/>
  <c r="CF131" i="40"/>
  <c r="CF129" i="40"/>
  <c r="CF127" i="40"/>
  <c r="CE124" i="40"/>
  <c r="CE122" i="40"/>
  <c r="CG171" i="40"/>
  <c r="CF157" i="40"/>
  <c r="CG148" i="40"/>
  <c r="CG146" i="40"/>
  <c r="CF137" i="40"/>
  <c r="CE135" i="40"/>
  <c r="CE133" i="40"/>
  <c r="CE131" i="40"/>
  <c r="CE129" i="40"/>
  <c r="CE127" i="40"/>
  <c r="CG117" i="40"/>
  <c r="CG153" i="40"/>
  <c r="CF148" i="40"/>
  <c r="CG144" i="40"/>
  <c r="CE137" i="40"/>
  <c r="CG125" i="40"/>
  <c r="CG123" i="40"/>
  <c r="CG121" i="40"/>
  <c r="CF156" i="40"/>
  <c r="CG147" i="40"/>
  <c r="CG142" i="40"/>
  <c r="CG138" i="40"/>
  <c r="CG136" i="40"/>
  <c r="CG134" i="40"/>
  <c r="CG132" i="40"/>
  <c r="CG130" i="40"/>
  <c r="CG128" i="40"/>
  <c r="CG126" i="40"/>
  <c r="CF125" i="40"/>
  <c r="CF123" i="40"/>
  <c r="CF121" i="40"/>
  <c r="CG115" i="40"/>
  <c r="CF154" i="40"/>
  <c r="CF147" i="40"/>
  <c r="CG145" i="40"/>
  <c r="CG140" i="40"/>
  <c r="CE138" i="40"/>
  <c r="CF136" i="40"/>
  <c r="CF134" i="40"/>
  <c r="CF132" i="40"/>
  <c r="CF130" i="40"/>
  <c r="CF128" i="40"/>
  <c r="CF126" i="40"/>
  <c r="CE125" i="40"/>
  <c r="CE123" i="40"/>
  <c r="CE121" i="40"/>
  <c r="CF169" i="40"/>
  <c r="CG165" i="40"/>
  <c r="CF143" i="40"/>
  <c r="CG141" i="40"/>
  <c r="CG124" i="40"/>
  <c r="CG122" i="40"/>
  <c r="CG105" i="40"/>
  <c r="CG113" i="40"/>
  <c r="CG114" i="40"/>
  <c r="CG116" i="40"/>
  <c r="CE128" i="40"/>
  <c r="CG133" i="40"/>
  <c r="CF141" i="40"/>
  <c r="CG105" i="34"/>
  <c r="BX117" i="34"/>
  <c r="BW118" i="34"/>
  <c r="CG122" i="34"/>
  <c r="CF146" i="34"/>
  <c r="BW119" i="34"/>
  <c r="CF154" i="34"/>
  <c r="BW120" i="34"/>
  <c r="BX120" i="34"/>
  <c r="CG115" i="34"/>
  <c r="BW116" i="34"/>
  <c r="BX118" i="34"/>
  <c r="CG250" i="34"/>
  <c r="CG248" i="34"/>
  <c r="CG246" i="34"/>
  <c r="CG244" i="34"/>
  <c r="CG242" i="34"/>
  <c r="CF250" i="34"/>
  <c r="CF248" i="34"/>
  <c r="CE250" i="34"/>
  <c r="CE248" i="34"/>
  <c r="CE246" i="34"/>
  <c r="CE244" i="34"/>
  <c r="CE242" i="34"/>
  <c r="CE240" i="34"/>
  <c r="CE238" i="34"/>
  <c r="CE236" i="34"/>
  <c r="CE234" i="34"/>
  <c r="CF249" i="34"/>
  <c r="CF247" i="34"/>
  <c r="CF245" i="34"/>
  <c r="CF243" i="34"/>
  <c r="CF241" i="34"/>
  <c r="CF239" i="34"/>
  <c r="CE249" i="34"/>
  <c r="CE247" i="34"/>
  <c r="CE241" i="34"/>
  <c r="CG238" i="34"/>
  <c r="CE235" i="34"/>
  <c r="CG240" i="34"/>
  <c r="CF237" i="34"/>
  <c r="CF236" i="34"/>
  <c r="CE233" i="34"/>
  <c r="CF244" i="34"/>
  <c r="CG237" i="34"/>
  <c r="CE229" i="34"/>
  <c r="CF226" i="34"/>
  <c r="CG225" i="34"/>
  <c r="CG223" i="34"/>
  <c r="CG221" i="34"/>
  <c r="CF242" i="34"/>
  <c r="CF240" i="34"/>
  <c r="CE237" i="34"/>
  <c r="CG236" i="34"/>
  <c r="CG228" i="34"/>
  <c r="CF227" i="34"/>
  <c r="CE225" i="34"/>
  <c r="CE223" i="34"/>
  <c r="CE221" i="34"/>
  <c r="CG245" i="34"/>
  <c r="CG233" i="34"/>
  <c r="CG232" i="34"/>
  <c r="CF228" i="34"/>
  <c r="CE227" i="34"/>
  <c r="CG249" i="34"/>
  <c r="CG243" i="34"/>
  <c r="CE239" i="34"/>
  <c r="CG235" i="34"/>
  <c r="CE231" i="34"/>
  <c r="CF230" i="34"/>
  <c r="CG229" i="34"/>
  <c r="CE224" i="34"/>
  <c r="CG247" i="34"/>
  <c r="CG231" i="34"/>
  <c r="CF225" i="34"/>
  <c r="CF231" i="34"/>
  <c r="CG224" i="34"/>
  <c r="CG220" i="34"/>
  <c r="CG218" i="34"/>
  <c r="CG216" i="34"/>
  <c r="CF246" i="34"/>
  <c r="CE245" i="34"/>
  <c r="CE243" i="34"/>
  <c r="CF232" i="34"/>
  <c r="CG226" i="34"/>
  <c r="CF224" i="34"/>
  <c r="CF220" i="34"/>
  <c r="CF218" i="34"/>
  <c r="CF216" i="34"/>
  <c r="CF214" i="34"/>
  <c r="CF212" i="34"/>
  <c r="CE232" i="34"/>
  <c r="CG230" i="34"/>
  <c r="CF229" i="34"/>
  <c r="CE226" i="34"/>
  <c r="CG222" i="34"/>
  <c r="CF221" i="34"/>
  <c r="CE220" i="34"/>
  <c r="CE218" i="34"/>
  <c r="CE216" i="34"/>
  <c r="CE214" i="34"/>
  <c r="CG239" i="34"/>
  <c r="CF238" i="34"/>
  <c r="CF235" i="34"/>
  <c r="CG234" i="34"/>
  <c r="CF219" i="34"/>
  <c r="CF217" i="34"/>
  <c r="CG217" i="34"/>
  <c r="CF213" i="34"/>
  <c r="CE210" i="34"/>
  <c r="CE208" i="34"/>
  <c r="CE206" i="34"/>
  <c r="CE204" i="34"/>
  <c r="CE202" i="34"/>
  <c r="CE200" i="34"/>
  <c r="CE198" i="34"/>
  <c r="CE196" i="34"/>
  <c r="CE194" i="34"/>
  <c r="CE192" i="34"/>
  <c r="CE190" i="34"/>
  <c r="CG241" i="34"/>
  <c r="CF234" i="34"/>
  <c r="CE230" i="34"/>
  <c r="CG227" i="34"/>
  <c r="CE217" i="34"/>
  <c r="CG215" i="34"/>
  <c r="CE213" i="34"/>
  <c r="CG212" i="34"/>
  <c r="CF215" i="34"/>
  <c r="CE212" i="34"/>
  <c r="CG211" i="34"/>
  <c r="CG209" i="34"/>
  <c r="CG207" i="34"/>
  <c r="CG205" i="34"/>
  <c r="CG203" i="34"/>
  <c r="CG201" i="34"/>
  <c r="CG199" i="34"/>
  <c r="CE228" i="34"/>
  <c r="CE215" i="34"/>
  <c r="CF211" i="34"/>
  <c r="CF209" i="34"/>
  <c r="CF207" i="34"/>
  <c r="CF205" i="34"/>
  <c r="CF203" i="34"/>
  <c r="CF233" i="34"/>
  <c r="CF223" i="34"/>
  <c r="CG210" i="34"/>
  <c r="CG208" i="34"/>
  <c r="CG206" i="34"/>
  <c r="CG204" i="34"/>
  <c r="CG202" i="34"/>
  <c r="CG200" i="34"/>
  <c r="CF222" i="34"/>
  <c r="CE219" i="34"/>
  <c r="CG213" i="34"/>
  <c r="CF206" i="34"/>
  <c r="CF194" i="34"/>
  <c r="CF193" i="34"/>
  <c r="CF188" i="34"/>
  <c r="CF186" i="34"/>
  <c r="CF184" i="34"/>
  <c r="CF182" i="34"/>
  <c r="CF180" i="34"/>
  <c r="CF178" i="34"/>
  <c r="CF176" i="34"/>
  <c r="CF174" i="34"/>
  <c r="CF208" i="34"/>
  <c r="CF201" i="34"/>
  <c r="CF196" i="34"/>
  <c r="CF195" i="34"/>
  <c r="CF210" i="34"/>
  <c r="CE205" i="34"/>
  <c r="CE201" i="34"/>
  <c r="CG198" i="34"/>
  <c r="CG197" i="34"/>
  <c r="CE195" i="34"/>
  <c r="CG190" i="34"/>
  <c r="CG189" i="34"/>
  <c r="CG187" i="34"/>
  <c r="CG185" i="34"/>
  <c r="CG183" i="34"/>
  <c r="CG181" i="34"/>
  <c r="CG179" i="34"/>
  <c r="CG177" i="34"/>
  <c r="CG175" i="34"/>
  <c r="CG173" i="34"/>
  <c r="CG171" i="34"/>
  <c r="CE209" i="34"/>
  <c r="CF204" i="34"/>
  <c r="CF200" i="34"/>
  <c r="CF192" i="34"/>
  <c r="CF191" i="34"/>
  <c r="CE222" i="34"/>
  <c r="CE197" i="34"/>
  <c r="CG193" i="34"/>
  <c r="CE191" i="34"/>
  <c r="CE180" i="34"/>
  <c r="CF177" i="34"/>
  <c r="CG174" i="34"/>
  <c r="CF202" i="34"/>
  <c r="CF198" i="34"/>
  <c r="CE193" i="34"/>
  <c r="CE177" i="34"/>
  <c r="CE174" i="34"/>
  <c r="CF173" i="34"/>
  <c r="CF172" i="34"/>
  <c r="CG170" i="34"/>
  <c r="CG194" i="34"/>
  <c r="CF189" i="34"/>
  <c r="CG188" i="34"/>
  <c r="CG178" i="34"/>
  <c r="CG214" i="34"/>
  <c r="CE203" i="34"/>
  <c r="CF199" i="34"/>
  <c r="CE187" i="34"/>
  <c r="CE186" i="34"/>
  <c r="CF185" i="34"/>
  <c r="CG184" i="34"/>
  <c r="CE175" i="34"/>
  <c r="CG195" i="34"/>
  <c r="CF187" i="34"/>
  <c r="CF169" i="34"/>
  <c r="CF167" i="34"/>
  <c r="CF165" i="34"/>
  <c r="CF163" i="34"/>
  <c r="CF161" i="34"/>
  <c r="CF159" i="34"/>
  <c r="CF157" i="34"/>
  <c r="CF155" i="34"/>
  <c r="CE207" i="34"/>
  <c r="CF197" i="34"/>
  <c r="CG192" i="34"/>
  <c r="CG182" i="34"/>
  <c r="CF179" i="34"/>
  <c r="CE169" i="34"/>
  <c r="CE167" i="34"/>
  <c r="CE165" i="34"/>
  <c r="CE163" i="34"/>
  <c r="CE161" i="34"/>
  <c r="CE159" i="34"/>
  <c r="CE157" i="34"/>
  <c r="CE155" i="34"/>
  <c r="CE153" i="34"/>
  <c r="CE151" i="34"/>
  <c r="CE149" i="34"/>
  <c r="CE147" i="34"/>
  <c r="CE182" i="34"/>
  <c r="CE179" i="34"/>
  <c r="CE199" i="34"/>
  <c r="CG191" i="34"/>
  <c r="CF190" i="34"/>
  <c r="CE189" i="34"/>
  <c r="CG176" i="34"/>
  <c r="CF171" i="34"/>
  <c r="CF170" i="34"/>
  <c r="CG168" i="34"/>
  <c r="CG166" i="34"/>
  <c r="CG164" i="34"/>
  <c r="CE211" i="34"/>
  <c r="CG186" i="34"/>
  <c r="CF181" i="34"/>
  <c r="CE178" i="34"/>
  <c r="CE176" i="34"/>
  <c r="CE173" i="34"/>
  <c r="CG172" i="34"/>
  <c r="CE171" i="34"/>
  <c r="CE170" i="34"/>
  <c r="CF168" i="34"/>
  <c r="CF166" i="34"/>
  <c r="CF164" i="34"/>
  <c r="CF162" i="34"/>
  <c r="CF160" i="34"/>
  <c r="CF158" i="34"/>
  <c r="CG165" i="34"/>
  <c r="CG163" i="34"/>
  <c r="CF156" i="34"/>
  <c r="CG155" i="34"/>
  <c r="CE154" i="34"/>
  <c r="CG149" i="34"/>
  <c r="CG148" i="34"/>
  <c r="CE146" i="34"/>
  <c r="CG144" i="34"/>
  <c r="CG142" i="34"/>
  <c r="CG140" i="34"/>
  <c r="CG138" i="34"/>
  <c r="CG136" i="34"/>
  <c r="CG134" i="34"/>
  <c r="CG132" i="34"/>
  <c r="CG219" i="34"/>
  <c r="CF183" i="34"/>
  <c r="CE166" i="34"/>
  <c r="CG160" i="34"/>
  <c r="CE156" i="34"/>
  <c r="CF149" i="34"/>
  <c r="CF148" i="34"/>
  <c r="CF144" i="34"/>
  <c r="CF142" i="34"/>
  <c r="CF140" i="34"/>
  <c r="CF138" i="34"/>
  <c r="CF136" i="34"/>
  <c r="CF134" i="34"/>
  <c r="CE183" i="34"/>
  <c r="CG167" i="34"/>
  <c r="CG161" i="34"/>
  <c r="CE160" i="34"/>
  <c r="CG151" i="34"/>
  <c r="CG150" i="34"/>
  <c r="CE148" i="34"/>
  <c r="CE144" i="34"/>
  <c r="CE142" i="34"/>
  <c r="CE140" i="34"/>
  <c r="CE138" i="34"/>
  <c r="CE136" i="34"/>
  <c r="CE134" i="34"/>
  <c r="CE132" i="34"/>
  <c r="CE188" i="34"/>
  <c r="CG180" i="34"/>
  <c r="CG157" i="34"/>
  <c r="CF151" i="34"/>
  <c r="CF150" i="34"/>
  <c r="CE184" i="34"/>
  <c r="CF175" i="34"/>
  <c r="CE172" i="34"/>
  <c r="CG153" i="34"/>
  <c r="CG152" i="34"/>
  <c r="CE150" i="34"/>
  <c r="CG145" i="34"/>
  <c r="CG143" i="34"/>
  <c r="CG141" i="34"/>
  <c r="CG139" i="34"/>
  <c r="CG137" i="34"/>
  <c r="CG135" i="34"/>
  <c r="CG133" i="34"/>
  <c r="CG196" i="34"/>
  <c r="CE158" i="34"/>
  <c r="CF153" i="34"/>
  <c r="CF141" i="34"/>
  <c r="CE139" i="34"/>
  <c r="CE133" i="34"/>
  <c r="CG130" i="34"/>
  <c r="CE168" i="34"/>
  <c r="CF145" i="34"/>
  <c r="CF143" i="34"/>
  <c r="CE141" i="34"/>
  <c r="CF130" i="34"/>
  <c r="CF128" i="34"/>
  <c r="CF126" i="34"/>
  <c r="CE125" i="34"/>
  <c r="CE123" i="34"/>
  <c r="CE121" i="34"/>
  <c r="CG114" i="34"/>
  <c r="CE185" i="34"/>
  <c r="CG169" i="34"/>
  <c r="CF152" i="34"/>
  <c r="CG147" i="34"/>
  <c r="CE145" i="34"/>
  <c r="CE143" i="34"/>
  <c r="CG131" i="34"/>
  <c r="CE130" i="34"/>
  <c r="CE128" i="34"/>
  <c r="CE126" i="34"/>
  <c r="CE152" i="34"/>
  <c r="CF147" i="34"/>
  <c r="CF131" i="34"/>
  <c r="CE164" i="34"/>
  <c r="CG154" i="34"/>
  <c r="CF132" i="34"/>
  <c r="CE131" i="34"/>
  <c r="CG129" i="34"/>
  <c r="CG127" i="34"/>
  <c r="CF124" i="34"/>
  <c r="CF122" i="34"/>
  <c r="CG119" i="34"/>
  <c r="CG111" i="34"/>
  <c r="CG162" i="34"/>
  <c r="CG158" i="34"/>
  <c r="CG156" i="34"/>
  <c r="CF135" i="34"/>
  <c r="CF129" i="34"/>
  <c r="CG125" i="34"/>
  <c r="CG116" i="34"/>
  <c r="CG103" i="34"/>
  <c r="CG124" i="34"/>
  <c r="CE162" i="34"/>
  <c r="CG159" i="34"/>
  <c r="CF137" i="34"/>
  <c r="CE135" i="34"/>
  <c r="CE129" i="34"/>
  <c r="CG128" i="34"/>
  <c r="CF125" i="34"/>
  <c r="CG123" i="34"/>
  <c r="CG110" i="34"/>
  <c r="CG102" i="34"/>
  <c r="CG106" i="34"/>
  <c r="CE181" i="34"/>
  <c r="CE137" i="34"/>
  <c r="CF123" i="34"/>
  <c r="CG121" i="34"/>
  <c r="CG109" i="34"/>
  <c r="CG101" i="34"/>
  <c r="CF133" i="34"/>
  <c r="CG126" i="34"/>
  <c r="CF121" i="34"/>
  <c r="CG118" i="34"/>
  <c r="CG108" i="34"/>
  <c r="CG100" i="34"/>
  <c r="CF139" i="34"/>
  <c r="CG107" i="34"/>
  <c r="CG146" i="34"/>
  <c r="CE124" i="34"/>
  <c r="BX116" i="34"/>
  <c r="CG120" i="34"/>
  <c r="CE127" i="34"/>
  <c r="BX111" i="34"/>
  <c r="BX112" i="34"/>
  <c r="BX113" i="34"/>
  <c r="BW111" i="34"/>
  <c r="BX116" i="39"/>
  <c r="BW116" i="39"/>
  <c r="BW117" i="39"/>
  <c r="CG250" i="39"/>
  <c r="CG248" i="39"/>
  <c r="CG246" i="39"/>
  <c r="CF250" i="39"/>
  <c r="CF248" i="39"/>
  <c r="CF246" i="39"/>
  <c r="CE250" i="39"/>
  <c r="CE248" i="39"/>
  <c r="CE246" i="39"/>
  <c r="CE244" i="39"/>
  <c r="CE242" i="39"/>
  <c r="CE240" i="39"/>
  <c r="CE238" i="39"/>
  <c r="CE236" i="39"/>
  <c r="CE234" i="39"/>
  <c r="CF249" i="39"/>
  <c r="CF247" i="39"/>
  <c r="CF234" i="39"/>
  <c r="CG245" i="39"/>
  <c r="CG243" i="39"/>
  <c r="CG241" i="39"/>
  <c r="CG239" i="39"/>
  <c r="CG236" i="39"/>
  <c r="CG235" i="39"/>
  <c r="CE233" i="39"/>
  <c r="CG249" i="39"/>
  <c r="CF245" i="39"/>
  <c r="CF243" i="39"/>
  <c r="CF241" i="39"/>
  <c r="CF239" i="39"/>
  <c r="CF236" i="39"/>
  <c r="CF235" i="39"/>
  <c r="CE249" i="39"/>
  <c r="CG247" i="39"/>
  <c r="CE245" i="39"/>
  <c r="CE243" i="39"/>
  <c r="CE241" i="39"/>
  <c r="CE239" i="39"/>
  <c r="CG238" i="39"/>
  <c r="CG237" i="39"/>
  <c r="CE235" i="39"/>
  <c r="CF232" i="39"/>
  <c r="CE247" i="39"/>
  <c r="CG244" i="39"/>
  <c r="CG242" i="39"/>
  <c r="CG240" i="39"/>
  <c r="CF238" i="39"/>
  <c r="CF237" i="39"/>
  <c r="CE232" i="39"/>
  <c r="CE230" i="39"/>
  <c r="CE228" i="39"/>
  <c r="CF231" i="39"/>
  <c r="CF230" i="39"/>
  <c r="CF229" i="39"/>
  <c r="CF227" i="39"/>
  <c r="CF225" i="39"/>
  <c r="CF244" i="39"/>
  <c r="CF240" i="39"/>
  <c r="CE237" i="39"/>
  <c r="CG233" i="39"/>
  <c r="CG232" i="39"/>
  <c r="CE231" i="39"/>
  <c r="CE229" i="39"/>
  <c r="CE227" i="39"/>
  <c r="CE225" i="39"/>
  <c r="CE223" i="39"/>
  <c r="CE221" i="39"/>
  <c r="CE219" i="39"/>
  <c r="CF233" i="39"/>
  <c r="CG226" i="39"/>
  <c r="CF226" i="39"/>
  <c r="CG230" i="39"/>
  <c r="CG227" i="39"/>
  <c r="CF221" i="39"/>
  <c r="CF220" i="39"/>
  <c r="CF216" i="39"/>
  <c r="CF214" i="39"/>
  <c r="CF212" i="39"/>
  <c r="CF210" i="39"/>
  <c r="CF208" i="39"/>
  <c r="CG223" i="39"/>
  <c r="CG222" i="39"/>
  <c r="CE220" i="39"/>
  <c r="CE216" i="39"/>
  <c r="CE214" i="39"/>
  <c r="CE212" i="39"/>
  <c r="CE210" i="39"/>
  <c r="CE208" i="39"/>
  <c r="CE226" i="39"/>
  <c r="CF223" i="39"/>
  <c r="CF222" i="39"/>
  <c r="CG234" i="39"/>
  <c r="CG224" i="39"/>
  <c r="CE222" i="39"/>
  <c r="CG217" i="39"/>
  <c r="CG215" i="39"/>
  <c r="CG213" i="39"/>
  <c r="CG211" i="39"/>
  <c r="CF242" i="39"/>
  <c r="CF224" i="39"/>
  <c r="CF217" i="39"/>
  <c r="CF215" i="39"/>
  <c r="CF213" i="39"/>
  <c r="CF211" i="39"/>
  <c r="CF228" i="39"/>
  <c r="CG225" i="39"/>
  <c r="CF219" i="39"/>
  <c r="CF218" i="39"/>
  <c r="CG219" i="39"/>
  <c r="CF206" i="39"/>
  <c r="CF204" i="39"/>
  <c r="CF202" i="39"/>
  <c r="CE224" i="39"/>
  <c r="CG221" i="39"/>
  <c r="CE215" i="39"/>
  <c r="CG212" i="39"/>
  <c r="CE206" i="39"/>
  <c r="CE204" i="39"/>
  <c r="CE202" i="39"/>
  <c r="CE200" i="39"/>
  <c r="CE198" i="39"/>
  <c r="CG231" i="39"/>
  <c r="CG228" i="39"/>
  <c r="CE217" i="39"/>
  <c r="CG216" i="39"/>
  <c r="CG214" i="39"/>
  <c r="CE211" i="39"/>
  <c r="CG207" i="39"/>
  <c r="CG205" i="39"/>
  <c r="CG203" i="39"/>
  <c r="CG201" i="39"/>
  <c r="CG229" i="39"/>
  <c r="CG209" i="39"/>
  <c r="CF207" i="39"/>
  <c r="CF205" i="39"/>
  <c r="CF203" i="39"/>
  <c r="CG220" i="39"/>
  <c r="CE218" i="39"/>
  <c r="CE209" i="39"/>
  <c r="CG210" i="39"/>
  <c r="CE207" i="39"/>
  <c r="CF200" i="39"/>
  <c r="CF194" i="39"/>
  <c r="CF192" i="39"/>
  <c r="CE213" i="39"/>
  <c r="CF209" i="39"/>
  <c r="CG208" i="39"/>
  <c r="CG199" i="39"/>
  <c r="CG196" i="39"/>
  <c r="CE194" i="39"/>
  <c r="CE192" i="39"/>
  <c r="CE190" i="39"/>
  <c r="CE188" i="39"/>
  <c r="CE186" i="39"/>
  <c r="CE184" i="39"/>
  <c r="CE182" i="39"/>
  <c r="CF201" i="39"/>
  <c r="CF199" i="39"/>
  <c r="CG198" i="39"/>
  <c r="CF196" i="39"/>
  <c r="CG206" i="39"/>
  <c r="CE205" i="39"/>
  <c r="CE201" i="39"/>
  <c r="CE199" i="39"/>
  <c r="CF198" i="39"/>
  <c r="CE196" i="39"/>
  <c r="CG195" i="39"/>
  <c r="CG193" i="39"/>
  <c r="CG191" i="39"/>
  <c r="CG189" i="39"/>
  <c r="CG187" i="39"/>
  <c r="CE197" i="39"/>
  <c r="CE203" i="39"/>
  <c r="CG197" i="39"/>
  <c r="CF187" i="39"/>
  <c r="CG182" i="39"/>
  <c r="CG181" i="39"/>
  <c r="CE179" i="39"/>
  <c r="CE177" i="39"/>
  <c r="CE175" i="39"/>
  <c r="CE173" i="39"/>
  <c r="CE171" i="39"/>
  <c r="CE169" i="39"/>
  <c r="CE167" i="39"/>
  <c r="CE165" i="39"/>
  <c r="CE163" i="39"/>
  <c r="CE161" i="39"/>
  <c r="CF197" i="39"/>
  <c r="CF189" i="39"/>
  <c r="CG188" i="39"/>
  <c r="CE187" i="39"/>
  <c r="CF182" i="39"/>
  <c r="CF181" i="39"/>
  <c r="CG218" i="39"/>
  <c r="CF195" i="39"/>
  <c r="CF193" i="39"/>
  <c r="CF191" i="39"/>
  <c r="CG190" i="39"/>
  <c r="CE189" i="39"/>
  <c r="CF188" i="39"/>
  <c r="CG184" i="39"/>
  <c r="CG183" i="39"/>
  <c r="CE181" i="39"/>
  <c r="CG180" i="39"/>
  <c r="CG178" i="39"/>
  <c r="CG176" i="39"/>
  <c r="CG174" i="39"/>
  <c r="CG172" i="39"/>
  <c r="CE195" i="39"/>
  <c r="CE193" i="39"/>
  <c r="CE191" i="39"/>
  <c r="CF190" i="39"/>
  <c r="CF184" i="39"/>
  <c r="CF183" i="39"/>
  <c r="CF180" i="39"/>
  <c r="CF178" i="39"/>
  <c r="CF176" i="39"/>
  <c r="CF174" i="39"/>
  <c r="CF172" i="39"/>
  <c r="CF170" i="39"/>
  <c r="CF168" i="39"/>
  <c r="CF166" i="39"/>
  <c r="CG204" i="39"/>
  <c r="CG186" i="39"/>
  <c r="CG185" i="39"/>
  <c r="CE183" i="39"/>
  <c r="CE180" i="39"/>
  <c r="CE178" i="39"/>
  <c r="CE176" i="39"/>
  <c r="CE174" i="39"/>
  <c r="CE172" i="39"/>
  <c r="CE170" i="39"/>
  <c r="CE168" i="39"/>
  <c r="CE166" i="39"/>
  <c r="CE164" i="39"/>
  <c r="CE162" i="39"/>
  <c r="CE160" i="39"/>
  <c r="CE158" i="39"/>
  <c r="CE185" i="39"/>
  <c r="CG179" i="39"/>
  <c r="CG177" i="39"/>
  <c r="CG175" i="39"/>
  <c r="CG173" i="39"/>
  <c r="CG171" i="39"/>
  <c r="CG169" i="39"/>
  <c r="CG167" i="39"/>
  <c r="CG200" i="39"/>
  <c r="CF185" i="39"/>
  <c r="CG161" i="39"/>
  <c r="CF159" i="39"/>
  <c r="CF156" i="39"/>
  <c r="CF154" i="39"/>
  <c r="CF152" i="39"/>
  <c r="CF150" i="39"/>
  <c r="CF148" i="39"/>
  <c r="CG165" i="39"/>
  <c r="CF161" i="39"/>
  <c r="CE159" i="39"/>
  <c r="CE156" i="39"/>
  <c r="CE154" i="39"/>
  <c r="CE152" i="39"/>
  <c r="CF171" i="39"/>
  <c r="CF165" i="39"/>
  <c r="CG164" i="39"/>
  <c r="CG160" i="39"/>
  <c r="CF179" i="39"/>
  <c r="CF177" i="39"/>
  <c r="CF175" i="39"/>
  <c r="CF169" i="39"/>
  <c r="CF167" i="39"/>
  <c r="CF164" i="39"/>
  <c r="CF160" i="39"/>
  <c r="CG155" i="39"/>
  <c r="CG153" i="39"/>
  <c r="CG151" i="39"/>
  <c r="CG149" i="39"/>
  <c r="CG147" i="39"/>
  <c r="CG145" i="39"/>
  <c r="CG194" i="39"/>
  <c r="CG163" i="39"/>
  <c r="CF155" i="39"/>
  <c r="CF153" i="39"/>
  <c r="CF151" i="39"/>
  <c r="CF173" i="39"/>
  <c r="CG170" i="39"/>
  <c r="CG162" i="39"/>
  <c r="CF158" i="39"/>
  <c r="CF157" i="39"/>
  <c r="CE157" i="39"/>
  <c r="CE151" i="39"/>
  <c r="CE149" i="39"/>
  <c r="CG148" i="39"/>
  <c r="CE147" i="39"/>
  <c r="CG146" i="39"/>
  <c r="CF144" i="39"/>
  <c r="CF143" i="39"/>
  <c r="CF142" i="39"/>
  <c r="CF141" i="39"/>
  <c r="CF140" i="39"/>
  <c r="CF139" i="39"/>
  <c r="CF137" i="39"/>
  <c r="CF135" i="39"/>
  <c r="CF133" i="39"/>
  <c r="CF131" i="39"/>
  <c r="CF129" i="39"/>
  <c r="CF127" i="39"/>
  <c r="CE124" i="39"/>
  <c r="CG156" i="39"/>
  <c r="CE148" i="39"/>
  <c r="CF146" i="39"/>
  <c r="CE144" i="39"/>
  <c r="CE143" i="39"/>
  <c r="CE142" i="39"/>
  <c r="CE141" i="39"/>
  <c r="CE140" i="39"/>
  <c r="CE139" i="39"/>
  <c r="CE137" i="39"/>
  <c r="CE135" i="39"/>
  <c r="CE133" i="39"/>
  <c r="CE131" i="39"/>
  <c r="CE129" i="39"/>
  <c r="CE127" i="39"/>
  <c r="CG117" i="39"/>
  <c r="CF163" i="39"/>
  <c r="CF162" i="39"/>
  <c r="CG158" i="39"/>
  <c r="CE155" i="39"/>
  <c r="CE146" i="39"/>
  <c r="CF145" i="39"/>
  <c r="CG202" i="39"/>
  <c r="CF186" i="39"/>
  <c r="CE145" i="39"/>
  <c r="CG138" i="39"/>
  <c r="CG136" i="39"/>
  <c r="CG134" i="39"/>
  <c r="CG132" i="39"/>
  <c r="CG130" i="39"/>
  <c r="CG128" i="39"/>
  <c r="CG126" i="39"/>
  <c r="CF125" i="39"/>
  <c r="CG154" i="39"/>
  <c r="CF138" i="39"/>
  <c r="CF136" i="39"/>
  <c r="CF134" i="39"/>
  <c r="CF132" i="39"/>
  <c r="CF130" i="39"/>
  <c r="CG150" i="39"/>
  <c r="CG105" i="39"/>
  <c r="CG113" i="39"/>
  <c r="CG118" i="39"/>
  <c r="CE122" i="39"/>
  <c r="CG125" i="39"/>
  <c r="CG127" i="39"/>
  <c r="CE130" i="39"/>
  <c r="CE132" i="39"/>
  <c r="CE136" i="39"/>
  <c r="CG107" i="39"/>
  <c r="CG115" i="39"/>
  <c r="CE121" i="39"/>
  <c r="CG122" i="39"/>
  <c r="CG124" i="39"/>
  <c r="CE128" i="39"/>
  <c r="CG137" i="39"/>
  <c r="CG152" i="39"/>
  <c r="CG159" i="39"/>
  <c r="CG100" i="39"/>
  <c r="CG108" i="39"/>
  <c r="CG116" i="39"/>
  <c r="BW119" i="39"/>
  <c r="CG119" i="39"/>
  <c r="CF121" i="39"/>
  <c r="CF128" i="39"/>
  <c r="CG139" i="39"/>
  <c r="CG143" i="39"/>
  <c r="CG101" i="39"/>
  <c r="CG109" i="39"/>
  <c r="BX119" i="39"/>
  <c r="CG121" i="39"/>
  <c r="CF147" i="39"/>
  <c r="CG192" i="39"/>
  <c r="CG102" i="39"/>
  <c r="CG110" i="39"/>
  <c r="BW111" i="39"/>
  <c r="BW120" i="39"/>
  <c r="CG120" i="39"/>
  <c r="CE123" i="39"/>
  <c r="CG142" i="39"/>
  <c r="CG157" i="39"/>
  <c r="CG103" i="39"/>
  <c r="CG111" i="39"/>
  <c r="BX117" i="39"/>
  <c r="CF123" i="39"/>
  <c r="CE126" i="39"/>
  <c r="BW111" i="30"/>
  <c r="BX115" i="30"/>
  <c r="BX114" i="30"/>
  <c r="BW114" i="30"/>
  <c r="CG250" i="30"/>
  <c r="CF250" i="30"/>
  <c r="CE250" i="30"/>
  <c r="CE248" i="30"/>
  <c r="CE246" i="30"/>
  <c r="CE244" i="30"/>
  <c r="CE242" i="30"/>
  <c r="CE240" i="30"/>
  <c r="CE238" i="30"/>
  <c r="CE236" i="30"/>
  <c r="CE234" i="30"/>
  <c r="CF249" i="30"/>
  <c r="CF247" i="30"/>
  <c r="CE249" i="30"/>
  <c r="CE247" i="30"/>
  <c r="CF236" i="30"/>
  <c r="CF235" i="30"/>
  <c r="CG246" i="30"/>
  <c r="CG237" i="30"/>
  <c r="CE235" i="30"/>
  <c r="CG247" i="30"/>
  <c r="CF246" i="30"/>
  <c r="CG245" i="30"/>
  <c r="CG243" i="30"/>
  <c r="CG241" i="30"/>
  <c r="CG239" i="30"/>
  <c r="CE237" i="30"/>
  <c r="CF245" i="30"/>
  <c r="CF243" i="30"/>
  <c r="CF241" i="30"/>
  <c r="CF239" i="30"/>
  <c r="CF248" i="30"/>
  <c r="CG244" i="30"/>
  <c r="CG242" i="30"/>
  <c r="CG240" i="30"/>
  <c r="CG238" i="30"/>
  <c r="CG249" i="30"/>
  <c r="CF244" i="30"/>
  <c r="CF242" i="30"/>
  <c r="CF240" i="30"/>
  <c r="CE232" i="30"/>
  <c r="CE227" i="30"/>
  <c r="CE225" i="30"/>
  <c r="CE223" i="30"/>
  <c r="CE221" i="30"/>
  <c r="CE219" i="30"/>
  <c r="CE243" i="30"/>
  <c r="CG236" i="30"/>
  <c r="CG235" i="30"/>
  <c r="CG229" i="30"/>
  <c r="CF229" i="30"/>
  <c r="CG228" i="30"/>
  <c r="CG226" i="30"/>
  <c r="CG224" i="30"/>
  <c r="CG248" i="30"/>
  <c r="CF237" i="30"/>
  <c r="CG234" i="30"/>
  <c r="CG230" i="30"/>
  <c r="CE229" i="30"/>
  <c r="CF228" i="30"/>
  <c r="CF238" i="30"/>
  <c r="CF234" i="30"/>
  <c r="CG233" i="30"/>
  <c r="CG231" i="30"/>
  <c r="CF230" i="30"/>
  <c r="CE228" i="30"/>
  <c r="CE226" i="30"/>
  <c r="CE224" i="30"/>
  <c r="CE222" i="30"/>
  <c r="CE220" i="30"/>
  <c r="CE233" i="30"/>
  <c r="CG232" i="30"/>
  <c r="CE231" i="30"/>
  <c r="CG227" i="30"/>
  <c r="CG225" i="30"/>
  <c r="CE245" i="30"/>
  <c r="CE241" i="30"/>
  <c r="CF232" i="30"/>
  <c r="CF227" i="30"/>
  <c r="CF225" i="30"/>
  <c r="CE239" i="30"/>
  <c r="CF226" i="30"/>
  <c r="CF219" i="30"/>
  <c r="CG217" i="30"/>
  <c r="CG215" i="30"/>
  <c r="CG213" i="30"/>
  <c r="CG211" i="30"/>
  <c r="CE230" i="30"/>
  <c r="CG222" i="30"/>
  <c r="CF217" i="30"/>
  <c r="CF215" i="30"/>
  <c r="CF213" i="30"/>
  <c r="CF231" i="30"/>
  <c r="CF222" i="30"/>
  <c r="CG218" i="30"/>
  <c r="CE217" i="30"/>
  <c r="CE215" i="30"/>
  <c r="CE213" i="30"/>
  <c r="CE211" i="30"/>
  <c r="CE209" i="30"/>
  <c r="CG223" i="30"/>
  <c r="CG221" i="30"/>
  <c r="CF218" i="30"/>
  <c r="CF224" i="30"/>
  <c r="CF223" i="30"/>
  <c r="CF221" i="30"/>
  <c r="CE218" i="30"/>
  <c r="CF233" i="30"/>
  <c r="CF220" i="30"/>
  <c r="CE216" i="30"/>
  <c r="CG219" i="30"/>
  <c r="CG212" i="30"/>
  <c r="CF211" i="30"/>
  <c r="CF212" i="30"/>
  <c r="CG207" i="30"/>
  <c r="CG205" i="30"/>
  <c r="CG203" i="30"/>
  <c r="CG201" i="30"/>
  <c r="CG199" i="30"/>
  <c r="CG197" i="30"/>
  <c r="CE212" i="30"/>
  <c r="CF207" i="30"/>
  <c r="CF205" i="30"/>
  <c r="CF203" i="30"/>
  <c r="CF201" i="30"/>
  <c r="CF199" i="30"/>
  <c r="CF197" i="30"/>
  <c r="CG220" i="30"/>
  <c r="CG214" i="30"/>
  <c r="CG209" i="30"/>
  <c r="CG208" i="30"/>
  <c r="CE207" i="30"/>
  <c r="CE205" i="30"/>
  <c r="CE203" i="30"/>
  <c r="CE201" i="30"/>
  <c r="CE199" i="30"/>
  <c r="CE197" i="30"/>
  <c r="CE195" i="30"/>
  <c r="CE193" i="30"/>
  <c r="CE191" i="30"/>
  <c r="CE189" i="30"/>
  <c r="CE187" i="30"/>
  <c r="CE185" i="30"/>
  <c r="CE183" i="30"/>
  <c r="CE181" i="30"/>
  <c r="CF214" i="30"/>
  <c r="CF209" i="30"/>
  <c r="CF208" i="30"/>
  <c r="CG216" i="30"/>
  <c r="CF210" i="30"/>
  <c r="CF206" i="30"/>
  <c r="CF204" i="30"/>
  <c r="CF202" i="30"/>
  <c r="CF200" i="30"/>
  <c r="CF198" i="30"/>
  <c r="CF216" i="30"/>
  <c r="CE210" i="30"/>
  <c r="CE206" i="30"/>
  <c r="CE204" i="30"/>
  <c r="CE202" i="30"/>
  <c r="CE200" i="30"/>
  <c r="CE198" i="30"/>
  <c r="CF194" i="30"/>
  <c r="CF193" i="30"/>
  <c r="CG185" i="30"/>
  <c r="CG184" i="30"/>
  <c r="CE182" i="30"/>
  <c r="CF180" i="30"/>
  <c r="CF178" i="30"/>
  <c r="CF176" i="30"/>
  <c r="CG198" i="30"/>
  <c r="CE194" i="30"/>
  <c r="CF185" i="30"/>
  <c r="CF184" i="30"/>
  <c r="CE180" i="30"/>
  <c r="CE178" i="30"/>
  <c r="CG192" i="30"/>
  <c r="CG191" i="30"/>
  <c r="CG187" i="30"/>
  <c r="CG186" i="30"/>
  <c r="CE184" i="30"/>
  <c r="CG204" i="30"/>
  <c r="CG202" i="30"/>
  <c r="CF192" i="30"/>
  <c r="CF191" i="30"/>
  <c r="CF187" i="30"/>
  <c r="CF186" i="30"/>
  <c r="CG206" i="30"/>
  <c r="CG196" i="30"/>
  <c r="CG195" i="30"/>
  <c r="CE192" i="30"/>
  <c r="CG188" i="30"/>
  <c r="CE186" i="30"/>
  <c r="CG181" i="30"/>
  <c r="CG210" i="30"/>
  <c r="CG200" i="30"/>
  <c r="CE196" i="30"/>
  <c r="CF190" i="30"/>
  <c r="CF189" i="30"/>
  <c r="CE188" i="30"/>
  <c r="CE214" i="30"/>
  <c r="CG194" i="30"/>
  <c r="CG193" i="30"/>
  <c r="CE190" i="30"/>
  <c r="CF183" i="30"/>
  <c r="CF182" i="30"/>
  <c r="CF179" i="30"/>
  <c r="CG174" i="30"/>
  <c r="CE172" i="30"/>
  <c r="CE170" i="30"/>
  <c r="CE168" i="30"/>
  <c r="CE166" i="30"/>
  <c r="CE164" i="30"/>
  <c r="CE162" i="30"/>
  <c r="CE160" i="30"/>
  <c r="CE158" i="30"/>
  <c r="CE156" i="30"/>
  <c r="CE154" i="30"/>
  <c r="CE152" i="30"/>
  <c r="CE150" i="30"/>
  <c r="CE148" i="30"/>
  <c r="CE146" i="30"/>
  <c r="CF196" i="30"/>
  <c r="CE179" i="30"/>
  <c r="CG175" i="30"/>
  <c r="CF174" i="30"/>
  <c r="CG189" i="30"/>
  <c r="CF175" i="30"/>
  <c r="CE174" i="30"/>
  <c r="CG173" i="30"/>
  <c r="CG171" i="30"/>
  <c r="CG169" i="30"/>
  <c r="CG167" i="30"/>
  <c r="CG165" i="30"/>
  <c r="CE175" i="30"/>
  <c r="CF173" i="30"/>
  <c r="CF171" i="30"/>
  <c r="CF169" i="30"/>
  <c r="CF167" i="30"/>
  <c r="CF165" i="30"/>
  <c r="CF163" i="30"/>
  <c r="CF161" i="30"/>
  <c r="CF159" i="30"/>
  <c r="CF188" i="30"/>
  <c r="CF177" i="30"/>
  <c r="CE176" i="30"/>
  <c r="CG172" i="30"/>
  <c r="CG170" i="30"/>
  <c r="CG168" i="30"/>
  <c r="CG166" i="30"/>
  <c r="CG183" i="30"/>
  <c r="CG182" i="30"/>
  <c r="CF181" i="30"/>
  <c r="CG180" i="30"/>
  <c r="CG179" i="30"/>
  <c r="CE177" i="30"/>
  <c r="CF172" i="30"/>
  <c r="CF170" i="30"/>
  <c r="CF168" i="30"/>
  <c r="CF166" i="30"/>
  <c r="CF164" i="30"/>
  <c r="CG178" i="30"/>
  <c r="CG161" i="30"/>
  <c r="CF156" i="30"/>
  <c r="CF155" i="30"/>
  <c r="CF148" i="30"/>
  <c r="CE161" i="30"/>
  <c r="CG158" i="30"/>
  <c r="CG157" i="30"/>
  <c r="CE155" i="30"/>
  <c r="CG150" i="30"/>
  <c r="CG149" i="30"/>
  <c r="CE147" i="30"/>
  <c r="CG190" i="30"/>
  <c r="CE167" i="30"/>
  <c r="CG164" i="30"/>
  <c r="CG163" i="30"/>
  <c r="CF158" i="30"/>
  <c r="CF157" i="30"/>
  <c r="CE208" i="30"/>
  <c r="CE163" i="30"/>
  <c r="CG160" i="30"/>
  <c r="CE157" i="30"/>
  <c r="CG152" i="30"/>
  <c r="CG151" i="30"/>
  <c r="CE149" i="30"/>
  <c r="CE169" i="30"/>
  <c r="CE165" i="30"/>
  <c r="CF162" i="30"/>
  <c r="CG159" i="30"/>
  <c r="CF195" i="30"/>
  <c r="CG177" i="30"/>
  <c r="CG176" i="30"/>
  <c r="CE159" i="30"/>
  <c r="CG156" i="30"/>
  <c r="CG155" i="30"/>
  <c r="CE153" i="30"/>
  <c r="CG148" i="30"/>
  <c r="CG147" i="30"/>
  <c r="CF160" i="30"/>
  <c r="CE145" i="30"/>
  <c r="CE143" i="30"/>
  <c r="CE141" i="30"/>
  <c r="CE139" i="30"/>
  <c r="CE137" i="30"/>
  <c r="CE135" i="30"/>
  <c r="CE133" i="30"/>
  <c r="CE131" i="30"/>
  <c r="CE129" i="30"/>
  <c r="CE127" i="30"/>
  <c r="CG162" i="30"/>
  <c r="CF149" i="30"/>
  <c r="CE171" i="30"/>
  <c r="CG144" i="30"/>
  <c r="CG142" i="30"/>
  <c r="CG140" i="30"/>
  <c r="CG138" i="30"/>
  <c r="CF151" i="30"/>
  <c r="CF144" i="30"/>
  <c r="CF142" i="30"/>
  <c r="CF140" i="30"/>
  <c r="CF138" i="30"/>
  <c r="CF136" i="30"/>
  <c r="CF134" i="30"/>
  <c r="CE151" i="30"/>
  <c r="CF150" i="30"/>
  <c r="CG146" i="30"/>
  <c r="CE144" i="30"/>
  <c r="CE142" i="30"/>
  <c r="CE140" i="30"/>
  <c r="CE138" i="30"/>
  <c r="CE136" i="30"/>
  <c r="CE134" i="30"/>
  <c r="CE132" i="30"/>
  <c r="CE130" i="30"/>
  <c r="CE128" i="30"/>
  <c r="CE126" i="30"/>
  <c r="CG154" i="30"/>
  <c r="CG153" i="30"/>
  <c r="CF147" i="30"/>
  <c r="CG145" i="30"/>
  <c r="CG143" i="30"/>
  <c r="CG141" i="30"/>
  <c r="CG139" i="30"/>
  <c r="CG137" i="30"/>
  <c r="CG135" i="30"/>
  <c r="CE173" i="30"/>
  <c r="CF154" i="30"/>
  <c r="CF153" i="30"/>
  <c r="CF152" i="30"/>
  <c r="CF145" i="30"/>
  <c r="CG136" i="30"/>
  <c r="CF131" i="30"/>
  <c r="CG130" i="30"/>
  <c r="CG126" i="30"/>
  <c r="CE123" i="30"/>
  <c r="CF122" i="30"/>
  <c r="CG116" i="30"/>
  <c r="CF141" i="30"/>
  <c r="CG132" i="30"/>
  <c r="CF130" i="30"/>
  <c r="CF126" i="30"/>
  <c r="CE122" i="30"/>
  <c r="CG115" i="30"/>
  <c r="CF132" i="30"/>
  <c r="CG129" i="30"/>
  <c r="CG114" i="30"/>
  <c r="CG106" i="30"/>
  <c r="CF139" i="30"/>
  <c r="CF129" i="30"/>
  <c r="CG113" i="30"/>
  <c r="CG105" i="30"/>
  <c r="CF135" i="30"/>
  <c r="CG128" i="30"/>
  <c r="CG125" i="30"/>
  <c r="CG121" i="30"/>
  <c r="CG120" i="30"/>
  <c r="CF146" i="30"/>
  <c r="CF143" i="30"/>
  <c r="CF133" i="30"/>
  <c r="CG127" i="30"/>
  <c r="CE125" i="30"/>
  <c r="CF124" i="30"/>
  <c r="CG123" i="30"/>
  <c r="CE121" i="30"/>
  <c r="CG118" i="30"/>
  <c r="CG110" i="30"/>
  <c r="CG102" i="30"/>
  <c r="CG134" i="30"/>
  <c r="CG131" i="30"/>
  <c r="CF127" i="30"/>
  <c r="CE124" i="30"/>
  <c r="CF123" i="30"/>
  <c r="CG122" i="30"/>
  <c r="CG117" i="30"/>
  <c r="CG109" i="30"/>
  <c r="CG101" i="30"/>
  <c r="CG107" i="30"/>
  <c r="CG124" i="30"/>
  <c r="CF128" i="30"/>
  <c r="BW113" i="30"/>
  <c r="CG104" i="30"/>
  <c r="CG108" i="30"/>
  <c r="CF121" i="30"/>
  <c r="CG100" i="30"/>
  <c r="CG111" i="30"/>
  <c r="CG133" i="30"/>
  <c r="CF125" i="30"/>
  <c r="CF137" i="30"/>
  <c r="BW118" i="30"/>
  <c r="BX118" i="30"/>
  <c r="BW115" i="30"/>
  <c r="BW118" i="38"/>
  <c r="BW119" i="38"/>
  <c r="BX118" i="38"/>
  <c r="BW111" i="38"/>
  <c r="BX119" i="38"/>
  <c r="BX113" i="38"/>
  <c r="BW113" i="38"/>
  <c r="BW117" i="38"/>
  <c r="BX112" i="27"/>
  <c r="BX120" i="27"/>
  <c r="BW111" i="27"/>
  <c r="BX115" i="27"/>
  <c r="BW115" i="27"/>
  <c r="BW112" i="37"/>
  <c r="BX112" i="37"/>
  <c r="BW116" i="37"/>
  <c r="BX115" i="37"/>
  <c r="BX118" i="37"/>
  <c r="BW118" i="37"/>
  <c r="BX117" i="37"/>
  <c r="BW117" i="37"/>
  <c r="BW113" i="37"/>
  <c r="F14" i="22" l="1"/>
  <c r="G122" i="22" l="1"/>
  <c r="G106" i="22"/>
  <c r="G121" i="22"/>
  <c r="G105" i="22"/>
  <c r="G120" i="22"/>
  <c r="G104" i="22"/>
  <c r="G119" i="22"/>
  <c r="G103" i="22"/>
  <c r="G118" i="22"/>
  <c r="G102" i="22"/>
  <c r="G117" i="22"/>
  <c r="G101" i="22"/>
  <c r="G116" i="22"/>
  <c r="G100" i="22"/>
  <c r="G115" i="22"/>
  <c r="F100" i="22"/>
  <c r="G114" i="22"/>
  <c r="G113" i="22"/>
  <c r="G112" i="22"/>
  <c r="G127" i="22"/>
  <c r="G111" i="22"/>
  <c r="G126" i="22"/>
  <c r="G110" i="22"/>
  <c r="G125" i="22"/>
  <c r="G109" i="22"/>
  <c r="G123" i="22"/>
  <c r="G107" i="22"/>
  <c r="G124" i="22"/>
  <c r="G108" i="22"/>
  <c r="F107" i="22"/>
  <c r="F106" i="22"/>
  <c r="F113" i="22"/>
  <c r="F105" i="22"/>
  <c r="F112" i="22"/>
  <c r="F104" i="22"/>
  <c r="F109" i="22"/>
  <c r="F111" i="22"/>
  <c r="F103" i="22"/>
  <c r="F110" i="22"/>
  <c r="F102" i="22"/>
  <c r="F101" i="22"/>
  <c r="F108" i="22"/>
  <c r="AM107" i="22"/>
  <c r="AM106" i="22"/>
  <c r="AM105" i="22"/>
  <c r="AM104" i="22"/>
  <c r="AM103" i="22"/>
  <c r="AM110" i="22"/>
  <c r="AM108" i="22"/>
  <c r="AM102" i="22"/>
  <c r="AM113" i="22"/>
  <c r="AM114" i="22" s="1"/>
  <c r="AM115" i="22" s="1"/>
  <c r="AM116" i="22" s="1"/>
  <c r="AM117" i="22" s="1"/>
  <c r="AM118" i="22" s="1"/>
  <c r="AM119" i="22" s="1"/>
  <c r="AM120" i="22" s="1"/>
  <c r="AM121" i="22" s="1"/>
  <c r="AM122" i="22" s="1"/>
  <c r="AM123" i="22" s="1"/>
  <c r="AM124" i="22" s="1"/>
  <c r="AM125" i="22" s="1"/>
  <c r="AM126" i="22" s="1"/>
  <c r="AM127" i="22" s="1"/>
  <c r="AM128" i="22" s="1"/>
  <c r="AM129" i="22" s="1"/>
  <c r="AM130" i="22" s="1"/>
  <c r="AM131" i="22" s="1"/>
  <c r="AM132" i="22" s="1"/>
  <c r="AM133" i="22" s="1"/>
  <c r="AM134" i="22" s="1"/>
  <c r="AM135" i="22" s="1"/>
  <c r="AM136" i="22" s="1"/>
  <c r="AM137" i="22" s="1"/>
  <c r="AM138" i="22" s="1"/>
  <c r="AM139" i="22" s="1"/>
  <c r="AM140" i="22" s="1"/>
  <c r="AM141" i="22" s="1"/>
  <c r="AM142" i="22" s="1"/>
  <c r="AM143" i="22" s="1"/>
  <c r="AM144" i="22" s="1"/>
  <c r="AM145" i="22" s="1"/>
  <c r="AM146" i="22" s="1"/>
  <c r="AM147" i="22" s="1"/>
  <c r="AM148" i="22" s="1"/>
  <c r="AM149" i="22" s="1"/>
  <c r="AM150" i="22" s="1"/>
  <c r="AM151" i="22" s="1"/>
  <c r="AM152" i="22" s="1"/>
  <c r="AM153" i="22" s="1"/>
  <c r="AM154" i="22" s="1"/>
  <c r="AM155" i="22" s="1"/>
  <c r="AM156" i="22" s="1"/>
  <c r="AM157" i="22" s="1"/>
  <c r="AM158" i="22" s="1"/>
  <c r="AM159" i="22" s="1"/>
  <c r="AM160" i="22" s="1"/>
  <c r="AM161" i="22" s="1"/>
  <c r="AM162" i="22" s="1"/>
  <c r="AM163" i="22" s="1"/>
  <c r="AM164" i="22" s="1"/>
  <c r="AM165" i="22" s="1"/>
  <c r="AM166" i="22" s="1"/>
  <c r="AM167" i="22" s="1"/>
  <c r="AM168" i="22" s="1"/>
  <c r="AM169" i="22" s="1"/>
  <c r="AM170" i="22" s="1"/>
  <c r="AM171" i="22" s="1"/>
  <c r="AM172" i="22" s="1"/>
  <c r="AM173" i="22" s="1"/>
  <c r="AM174" i="22" s="1"/>
  <c r="AM175" i="22" s="1"/>
  <c r="AM176" i="22" s="1"/>
  <c r="AM177" i="22" s="1"/>
  <c r="AM178" i="22" s="1"/>
  <c r="AM179" i="22" s="1"/>
  <c r="AM180" i="22" s="1"/>
  <c r="AM181" i="22" s="1"/>
  <c r="AM182" i="22" s="1"/>
  <c r="AM183" i="22" s="1"/>
  <c r="AM184" i="22" s="1"/>
  <c r="AM185" i="22" s="1"/>
  <c r="AM186" i="22" s="1"/>
  <c r="AM187" i="22" s="1"/>
  <c r="AM188" i="22" s="1"/>
  <c r="AM189" i="22" s="1"/>
  <c r="AM190" i="22" s="1"/>
  <c r="AM191" i="22" s="1"/>
  <c r="AM192" i="22" s="1"/>
  <c r="AM193" i="22" s="1"/>
  <c r="AM194" i="22" s="1"/>
  <c r="AM195" i="22" s="1"/>
  <c r="AM196" i="22" s="1"/>
  <c r="AM197" i="22" s="1"/>
  <c r="AM198" i="22" s="1"/>
  <c r="AM199" i="22" s="1"/>
  <c r="AM200" i="22" s="1"/>
  <c r="AM201" i="22" s="1"/>
  <c r="AM202" i="22" s="1"/>
  <c r="AM203" i="22" s="1"/>
  <c r="AM204" i="22" s="1"/>
  <c r="AM205" i="22" s="1"/>
  <c r="AM206" i="22" s="1"/>
  <c r="AM207" i="22" s="1"/>
  <c r="AM208" i="22" s="1"/>
  <c r="AM209" i="22" s="1"/>
  <c r="AM210" i="22" s="1"/>
  <c r="AM211" i="22" s="1"/>
  <c r="AM212" i="22" s="1"/>
  <c r="AM213" i="22" s="1"/>
  <c r="AM214" i="22" s="1"/>
  <c r="AM215" i="22" s="1"/>
  <c r="AM216" i="22" s="1"/>
  <c r="AM217" i="22" s="1"/>
  <c r="AM218" i="22" s="1"/>
  <c r="AM219" i="22" s="1"/>
  <c r="AM220" i="22" s="1"/>
  <c r="AM221" i="22" s="1"/>
  <c r="AM222" i="22" s="1"/>
  <c r="AM223" i="22" s="1"/>
  <c r="AM224" i="22" s="1"/>
  <c r="AM225" i="22" s="1"/>
  <c r="AM226" i="22" s="1"/>
  <c r="AM227" i="22" s="1"/>
  <c r="AM228" i="22" s="1"/>
  <c r="AM229" i="22" s="1"/>
  <c r="AM230" i="22" s="1"/>
  <c r="AM231" i="22" s="1"/>
  <c r="AM232" i="22" s="1"/>
  <c r="AM233" i="22" s="1"/>
  <c r="AM234" i="22" s="1"/>
  <c r="AM235" i="22" s="1"/>
  <c r="AM236" i="22" s="1"/>
  <c r="AM237" i="22" s="1"/>
  <c r="AM238" i="22" s="1"/>
  <c r="AM239" i="22" s="1"/>
  <c r="AM240" i="22" s="1"/>
  <c r="AM241" i="22" s="1"/>
  <c r="AM242" i="22" s="1"/>
  <c r="AM243" i="22" s="1"/>
  <c r="AM244" i="22" s="1"/>
  <c r="AM245" i="22" s="1"/>
  <c r="AM246" i="22" s="1"/>
  <c r="AM247" i="22" s="1"/>
  <c r="AM248" i="22" s="1"/>
  <c r="AM249" i="22" s="1"/>
  <c r="AM250" i="22" s="1"/>
  <c r="AM101" i="22"/>
  <c r="AM112" i="22"/>
  <c r="AM111" i="22"/>
  <c r="AM109" i="22"/>
  <c r="AM100" i="22"/>
  <c r="AL107" i="22"/>
  <c r="AL106" i="22"/>
  <c r="AE102" i="22"/>
  <c r="AD109" i="22"/>
  <c r="AE113" i="22"/>
  <c r="AE114" i="22" s="1"/>
  <c r="AE115" i="22" s="1"/>
  <c r="AE116" i="22" s="1"/>
  <c r="AE117" i="22" s="1"/>
  <c r="AE118" i="22" s="1"/>
  <c r="AE119" i="22" s="1"/>
  <c r="AE120" i="22" s="1"/>
  <c r="AE121" i="22" s="1"/>
  <c r="AE122" i="22" s="1"/>
  <c r="AE123" i="22" s="1"/>
  <c r="AE124" i="22" s="1"/>
  <c r="AE125" i="22" s="1"/>
  <c r="AE126" i="22" s="1"/>
  <c r="AE127" i="22" s="1"/>
  <c r="AE128" i="22" s="1"/>
  <c r="AE129" i="22" s="1"/>
  <c r="AE130" i="22" s="1"/>
  <c r="AE131" i="22" s="1"/>
  <c r="AE132" i="22" s="1"/>
  <c r="AE133" i="22" s="1"/>
  <c r="AE134" i="22" s="1"/>
  <c r="AE135" i="22" s="1"/>
  <c r="AE136" i="22" s="1"/>
  <c r="AE137" i="22" s="1"/>
  <c r="AE138" i="22" s="1"/>
  <c r="AE139" i="22" s="1"/>
  <c r="AE140" i="22" s="1"/>
  <c r="AE141" i="22" s="1"/>
  <c r="AE142" i="22" s="1"/>
  <c r="AE143" i="22" s="1"/>
  <c r="AE144" i="22" s="1"/>
  <c r="AE145" i="22" s="1"/>
  <c r="AE146" i="22" s="1"/>
  <c r="AE147" i="22" s="1"/>
  <c r="AE148" i="22" s="1"/>
  <c r="AE149" i="22" s="1"/>
  <c r="AE150" i="22" s="1"/>
  <c r="AE151" i="22" s="1"/>
  <c r="AE152" i="22" s="1"/>
  <c r="AE153" i="22" s="1"/>
  <c r="AE154" i="22" s="1"/>
  <c r="AE155" i="22" s="1"/>
  <c r="AE156" i="22" s="1"/>
  <c r="AE157" i="22" s="1"/>
  <c r="AE158" i="22" s="1"/>
  <c r="AE159" i="22" s="1"/>
  <c r="AE160" i="22" s="1"/>
  <c r="AE161" i="22" s="1"/>
  <c r="AE162" i="22" s="1"/>
  <c r="AE163" i="22" s="1"/>
  <c r="AE164" i="22" s="1"/>
  <c r="AE165" i="22" s="1"/>
  <c r="AE166" i="22" s="1"/>
  <c r="AE167" i="22" s="1"/>
  <c r="AE168" i="22" s="1"/>
  <c r="AE169" i="22" s="1"/>
  <c r="AE170" i="22" s="1"/>
  <c r="AE171" i="22" s="1"/>
  <c r="AE172" i="22" s="1"/>
  <c r="AE173" i="22" s="1"/>
  <c r="AE174" i="22" s="1"/>
  <c r="AE175" i="22" s="1"/>
  <c r="AE176" i="22" s="1"/>
  <c r="AE177" i="22" s="1"/>
  <c r="AE178" i="22" s="1"/>
  <c r="AE179" i="22" s="1"/>
  <c r="AE180" i="22" s="1"/>
  <c r="AE181" i="22" s="1"/>
  <c r="AE182" i="22" s="1"/>
  <c r="AE183" i="22" s="1"/>
  <c r="AE184" i="22" s="1"/>
  <c r="AE185" i="22" s="1"/>
  <c r="AE186" i="22" s="1"/>
  <c r="AE187" i="22" s="1"/>
  <c r="AE188" i="22" s="1"/>
  <c r="AE189" i="22" s="1"/>
  <c r="AE190" i="22" s="1"/>
  <c r="AE191" i="22" s="1"/>
  <c r="AE192" i="22" s="1"/>
  <c r="AE193" i="22" s="1"/>
  <c r="AE194" i="22" s="1"/>
  <c r="AE195" i="22" s="1"/>
  <c r="AE196" i="22" s="1"/>
  <c r="AE197" i="22" s="1"/>
  <c r="AE198" i="22" s="1"/>
  <c r="AE199" i="22" s="1"/>
  <c r="AE200" i="22" s="1"/>
  <c r="AE201" i="22" s="1"/>
  <c r="AE202" i="22" s="1"/>
  <c r="AE203" i="22" s="1"/>
  <c r="AE204" i="22" s="1"/>
  <c r="AE205" i="22" s="1"/>
  <c r="AE206" i="22" s="1"/>
  <c r="AE207" i="22" s="1"/>
  <c r="AE208" i="22" s="1"/>
  <c r="AE209" i="22" s="1"/>
  <c r="AE210" i="22" s="1"/>
  <c r="AE211" i="22" s="1"/>
  <c r="AE212" i="22" s="1"/>
  <c r="AE213" i="22" s="1"/>
  <c r="AE214" i="22" s="1"/>
  <c r="AE215" i="22" s="1"/>
  <c r="AE216" i="22" s="1"/>
  <c r="AE217" i="22" s="1"/>
  <c r="AE218" i="22" s="1"/>
  <c r="AE219" i="22" s="1"/>
  <c r="AE220" i="22" s="1"/>
  <c r="AE221" i="22" s="1"/>
  <c r="AE222" i="22" s="1"/>
  <c r="AE223" i="22" s="1"/>
  <c r="AE224" i="22" s="1"/>
  <c r="AE225" i="22" s="1"/>
  <c r="AE226" i="22" s="1"/>
  <c r="AE227" i="22" s="1"/>
  <c r="AE228" i="22" s="1"/>
  <c r="AE229" i="22" s="1"/>
  <c r="AE230" i="22" s="1"/>
  <c r="AE231" i="22" s="1"/>
  <c r="AE232" i="22" s="1"/>
  <c r="AE233" i="22" s="1"/>
  <c r="AE234" i="22" s="1"/>
  <c r="AE235" i="22" s="1"/>
  <c r="AE236" i="22" s="1"/>
  <c r="AE237" i="22" s="1"/>
  <c r="AE238" i="22" s="1"/>
  <c r="AE239" i="22" s="1"/>
  <c r="AE240" i="22" s="1"/>
  <c r="AE241" i="22" s="1"/>
  <c r="AE242" i="22" s="1"/>
  <c r="AE243" i="22" s="1"/>
  <c r="AE244" i="22" s="1"/>
  <c r="AE245" i="22" s="1"/>
  <c r="AE246" i="22" s="1"/>
  <c r="AE247" i="22" s="1"/>
  <c r="AE248" i="22" s="1"/>
  <c r="AE249" i="22" s="1"/>
  <c r="AE250" i="22" s="1"/>
  <c r="AE101" i="22"/>
  <c r="AD108" i="22"/>
  <c r="AE112" i="22"/>
  <c r="AE100" i="22"/>
  <c r="AD107" i="22"/>
  <c r="AL105" i="22"/>
  <c r="AL104" i="22"/>
  <c r="AL99" i="22"/>
  <c r="AD104" i="22"/>
  <c r="AD102" i="22"/>
  <c r="AD101" i="22"/>
  <c r="AD99" i="22"/>
  <c r="AE106" i="22"/>
  <c r="AE104" i="22"/>
  <c r="AL102" i="22"/>
  <c r="AD110" i="22"/>
  <c r="AE111" i="22"/>
  <c r="AD103" i="22"/>
  <c r="AE110" i="22"/>
  <c r="AE107" i="22"/>
  <c r="AE105" i="22"/>
  <c r="AD112" i="22"/>
  <c r="AD114" i="22" s="1"/>
  <c r="AD116" i="22" s="1"/>
  <c r="AD118" i="22" s="1"/>
  <c r="AD120" i="22" s="1"/>
  <c r="AD122" i="22" s="1"/>
  <c r="AD124" i="22" s="1"/>
  <c r="AD126" i="22" s="1"/>
  <c r="AD128" i="22" s="1"/>
  <c r="AD130" i="22" s="1"/>
  <c r="AD132" i="22" s="1"/>
  <c r="AD134" i="22" s="1"/>
  <c r="AD136" i="22" s="1"/>
  <c r="AD138" i="22" s="1"/>
  <c r="AD140" i="22" s="1"/>
  <c r="AD142" i="22" s="1"/>
  <c r="AD144" i="22" s="1"/>
  <c r="AD146" i="22" s="1"/>
  <c r="AD148" i="22" s="1"/>
  <c r="AD150" i="22" s="1"/>
  <c r="AD152" i="22" s="1"/>
  <c r="AD154" i="22" s="1"/>
  <c r="AD156" i="22" s="1"/>
  <c r="AD158" i="22" s="1"/>
  <c r="AD160" i="22" s="1"/>
  <c r="AD162" i="22" s="1"/>
  <c r="AD164" i="22" s="1"/>
  <c r="AD166" i="22" s="1"/>
  <c r="AD168" i="22" s="1"/>
  <c r="AD170" i="22" s="1"/>
  <c r="AD172" i="22" s="1"/>
  <c r="AD174" i="22" s="1"/>
  <c r="AD176" i="22" s="1"/>
  <c r="AD178" i="22" s="1"/>
  <c r="AD180" i="22" s="1"/>
  <c r="AD182" i="22" s="1"/>
  <c r="AD184" i="22" s="1"/>
  <c r="AD186" i="22" s="1"/>
  <c r="AD188" i="22" s="1"/>
  <c r="AD190" i="22" s="1"/>
  <c r="AD192" i="22" s="1"/>
  <c r="AD194" i="22" s="1"/>
  <c r="AD196" i="22" s="1"/>
  <c r="AD198" i="22" s="1"/>
  <c r="AD200" i="22" s="1"/>
  <c r="AD202" i="22" s="1"/>
  <c r="AD204" i="22" s="1"/>
  <c r="AD206" i="22" s="1"/>
  <c r="AD208" i="22" s="1"/>
  <c r="AD210" i="22" s="1"/>
  <c r="AD212" i="22" s="1"/>
  <c r="AD214" i="22" s="1"/>
  <c r="AD216" i="22" s="1"/>
  <c r="AD218" i="22" s="1"/>
  <c r="AD220" i="22" s="1"/>
  <c r="AD222" i="22" s="1"/>
  <c r="AD224" i="22" s="1"/>
  <c r="AD226" i="22" s="1"/>
  <c r="AD228" i="22" s="1"/>
  <c r="AD230" i="22" s="1"/>
  <c r="AD232" i="22" s="1"/>
  <c r="AD234" i="22" s="1"/>
  <c r="AD236" i="22" s="1"/>
  <c r="AD238" i="22" s="1"/>
  <c r="AD240" i="22" s="1"/>
  <c r="AD242" i="22" s="1"/>
  <c r="AD244" i="22" s="1"/>
  <c r="AD246" i="22" s="1"/>
  <c r="AD248" i="22" s="1"/>
  <c r="AD250" i="22" s="1"/>
  <c r="AD111" i="22"/>
  <c r="AD105" i="22"/>
  <c r="AL113" i="22"/>
  <c r="AL115" i="22" s="1"/>
  <c r="AL117" i="22" s="1"/>
  <c r="AL119" i="22" s="1"/>
  <c r="AL121" i="22" s="1"/>
  <c r="AL123" i="22" s="1"/>
  <c r="AL125" i="22" s="1"/>
  <c r="AL127" i="22" s="1"/>
  <c r="AL129" i="22" s="1"/>
  <c r="AL131" i="22" s="1"/>
  <c r="AL133" i="22" s="1"/>
  <c r="AL135" i="22" s="1"/>
  <c r="AL137" i="22" s="1"/>
  <c r="AL139" i="22" s="1"/>
  <c r="AL141" i="22" s="1"/>
  <c r="AL143" i="22" s="1"/>
  <c r="AL145" i="22" s="1"/>
  <c r="AL147" i="22" s="1"/>
  <c r="AL149" i="22" s="1"/>
  <c r="AL151" i="22" s="1"/>
  <c r="AL153" i="22" s="1"/>
  <c r="AL155" i="22" s="1"/>
  <c r="AL157" i="22" s="1"/>
  <c r="AL159" i="22" s="1"/>
  <c r="AL161" i="22" s="1"/>
  <c r="AL163" i="22" s="1"/>
  <c r="AL165" i="22" s="1"/>
  <c r="AL167" i="22" s="1"/>
  <c r="AL169" i="22" s="1"/>
  <c r="AL171" i="22" s="1"/>
  <c r="AL173" i="22" s="1"/>
  <c r="AL175" i="22" s="1"/>
  <c r="AL177" i="22" s="1"/>
  <c r="AL179" i="22" s="1"/>
  <c r="AL181" i="22" s="1"/>
  <c r="AL183" i="22" s="1"/>
  <c r="AL185" i="22" s="1"/>
  <c r="AL187" i="22" s="1"/>
  <c r="AL189" i="22" s="1"/>
  <c r="AL191" i="22" s="1"/>
  <c r="AL193" i="22" s="1"/>
  <c r="AL195" i="22" s="1"/>
  <c r="AL197" i="22" s="1"/>
  <c r="AL199" i="22" s="1"/>
  <c r="AL201" i="22" s="1"/>
  <c r="AL203" i="22" s="1"/>
  <c r="AL205" i="22" s="1"/>
  <c r="AL207" i="22" s="1"/>
  <c r="AL209" i="22" s="1"/>
  <c r="AL211" i="22" s="1"/>
  <c r="AL213" i="22" s="1"/>
  <c r="AL215" i="22" s="1"/>
  <c r="AL217" i="22" s="1"/>
  <c r="AL219" i="22" s="1"/>
  <c r="AL221" i="22" s="1"/>
  <c r="AL223" i="22" s="1"/>
  <c r="AL225" i="22" s="1"/>
  <c r="AL227" i="22" s="1"/>
  <c r="AL229" i="22" s="1"/>
  <c r="AL231" i="22" s="1"/>
  <c r="AL233" i="22" s="1"/>
  <c r="AL235" i="22" s="1"/>
  <c r="AL237" i="22" s="1"/>
  <c r="AL239" i="22" s="1"/>
  <c r="AL241" i="22" s="1"/>
  <c r="AL243" i="22" s="1"/>
  <c r="AL245" i="22" s="1"/>
  <c r="AL247" i="22" s="1"/>
  <c r="AL249" i="22" s="1"/>
  <c r="AL111" i="22"/>
  <c r="AE108" i="22"/>
  <c r="AL109" i="22"/>
  <c r="AD113" i="22"/>
  <c r="AD115" i="22" s="1"/>
  <c r="AD117" i="22" s="1"/>
  <c r="AD119" i="22" s="1"/>
  <c r="AD121" i="22" s="1"/>
  <c r="AD123" i="22" s="1"/>
  <c r="AD125" i="22" s="1"/>
  <c r="AD127" i="22" s="1"/>
  <c r="AD129" i="22" s="1"/>
  <c r="AD131" i="22" s="1"/>
  <c r="AD133" i="22" s="1"/>
  <c r="AD135" i="22" s="1"/>
  <c r="AD137" i="22" s="1"/>
  <c r="AD139" i="22" s="1"/>
  <c r="AD141" i="22" s="1"/>
  <c r="AD143" i="22" s="1"/>
  <c r="AD145" i="22" s="1"/>
  <c r="AD147" i="22" s="1"/>
  <c r="AD149" i="22" s="1"/>
  <c r="AD151" i="22" s="1"/>
  <c r="AD153" i="22" s="1"/>
  <c r="AD155" i="22" s="1"/>
  <c r="AD157" i="22" s="1"/>
  <c r="AD159" i="22" s="1"/>
  <c r="AD161" i="22" s="1"/>
  <c r="AD163" i="22" s="1"/>
  <c r="AD165" i="22" s="1"/>
  <c r="AD167" i="22" s="1"/>
  <c r="AD169" i="22" s="1"/>
  <c r="AD171" i="22" s="1"/>
  <c r="AD173" i="22" s="1"/>
  <c r="AD175" i="22" s="1"/>
  <c r="AD177" i="22" s="1"/>
  <c r="AD179" i="22" s="1"/>
  <c r="AD181" i="22" s="1"/>
  <c r="AD183" i="22" s="1"/>
  <c r="AD185" i="22" s="1"/>
  <c r="AD187" i="22" s="1"/>
  <c r="AD189" i="22" s="1"/>
  <c r="AD191" i="22" s="1"/>
  <c r="AD193" i="22" s="1"/>
  <c r="AD195" i="22" s="1"/>
  <c r="AD197" i="22" s="1"/>
  <c r="AD199" i="22" s="1"/>
  <c r="AD201" i="22" s="1"/>
  <c r="AD203" i="22" s="1"/>
  <c r="AD205" i="22" s="1"/>
  <c r="AD207" i="22" s="1"/>
  <c r="AD209" i="22" s="1"/>
  <c r="AD211" i="22" s="1"/>
  <c r="AD213" i="22" s="1"/>
  <c r="AD215" i="22" s="1"/>
  <c r="AD217" i="22" s="1"/>
  <c r="AD219" i="22" s="1"/>
  <c r="AD221" i="22" s="1"/>
  <c r="AD223" i="22" s="1"/>
  <c r="AD225" i="22" s="1"/>
  <c r="AD227" i="22" s="1"/>
  <c r="AD229" i="22" s="1"/>
  <c r="AD231" i="22" s="1"/>
  <c r="AD233" i="22" s="1"/>
  <c r="AD235" i="22" s="1"/>
  <c r="AD237" i="22" s="1"/>
  <c r="AD239" i="22" s="1"/>
  <c r="AD241" i="22" s="1"/>
  <c r="AD243" i="22" s="1"/>
  <c r="AD245" i="22" s="1"/>
  <c r="AD247" i="22" s="1"/>
  <c r="AD249" i="22" s="1"/>
  <c r="AL103" i="22"/>
  <c r="AE103" i="22"/>
  <c r="AL100" i="22"/>
  <c r="AL112" i="22"/>
  <c r="AL114" i="22" s="1"/>
  <c r="AL116" i="22" s="1"/>
  <c r="AL118" i="22" s="1"/>
  <c r="AL120" i="22" s="1"/>
  <c r="AL122" i="22" s="1"/>
  <c r="AL124" i="22" s="1"/>
  <c r="AL126" i="22" s="1"/>
  <c r="AL128" i="22" s="1"/>
  <c r="AL130" i="22" s="1"/>
  <c r="AL132" i="22" s="1"/>
  <c r="AL134" i="22" s="1"/>
  <c r="AL136" i="22" s="1"/>
  <c r="AL138" i="22" s="1"/>
  <c r="AL140" i="22" s="1"/>
  <c r="AL142" i="22" s="1"/>
  <c r="AL144" i="22" s="1"/>
  <c r="AL146" i="22" s="1"/>
  <c r="AL148" i="22" s="1"/>
  <c r="AL150" i="22" s="1"/>
  <c r="AL152" i="22" s="1"/>
  <c r="AL154" i="22" s="1"/>
  <c r="AL156" i="22" s="1"/>
  <c r="AL158" i="22" s="1"/>
  <c r="AL160" i="22" s="1"/>
  <c r="AL162" i="22" s="1"/>
  <c r="AL164" i="22" s="1"/>
  <c r="AL166" i="22" s="1"/>
  <c r="AL168" i="22" s="1"/>
  <c r="AL170" i="22" s="1"/>
  <c r="AL172" i="22" s="1"/>
  <c r="AL174" i="22" s="1"/>
  <c r="AL176" i="22" s="1"/>
  <c r="AL178" i="22" s="1"/>
  <c r="AL180" i="22" s="1"/>
  <c r="AL182" i="22" s="1"/>
  <c r="AL184" i="22" s="1"/>
  <c r="AL186" i="22" s="1"/>
  <c r="AL188" i="22" s="1"/>
  <c r="AL190" i="22" s="1"/>
  <c r="AL192" i="22" s="1"/>
  <c r="AL194" i="22" s="1"/>
  <c r="AL196" i="22" s="1"/>
  <c r="AL198" i="22" s="1"/>
  <c r="AL200" i="22" s="1"/>
  <c r="AL202" i="22" s="1"/>
  <c r="AL204" i="22" s="1"/>
  <c r="AL206" i="22" s="1"/>
  <c r="AL208" i="22" s="1"/>
  <c r="AL210" i="22" s="1"/>
  <c r="AL212" i="22" s="1"/>
  <c r="AL214" i="22" s="1"/>
  <c r="AL216" i="22" s="1"/>
  <c r="AL218" i="22" s="1"/>
  <c r="AL220" i="22" s="1"/>
  <c r="AL222" i="22" s="1"/>
  <c r="AL224" i="22" s="1"/>
  <c r="AL226" i="22" s="1"/>
  <c r="AL228" i="22" s="1"/>
  <c r="AL230" i="22" s="1"/>
  <c r="AL232" i="22" s="1"/>
  <c r="AL234" i="22" s="1"/>
  <c r="AL236" i="22" s="1"/>
  <c r="AL238" i="22" s="1"/>
  <c r="AL240" i="22" s="1"/>
  <c r="AL242" i="22" s="1"/>
  <c r="AL244" i="22" s="1"/>
  <c r="AL246" i="22" s="1"/>
  <c r="AL248" i="22" s="1"/>
  <c r="AL250" i="22" s="1"/>
  <c r="AE109" i="22"/>
  <c r="AD100" i="22"/>
  <c r="AL110" i="22"/>
  <c r="AL108" i="22"/>
  <c r="AL101" i="22"/>
  <c r="AD106" i="22"/>
  <c r="AK250" i="22" l="1"/>
  <c r="AK249" i="22"/>
  <c r="AK248" i="22"/>
  <c r="AK247" i="22"/>
  <c r="AK246" i="22"/>
  <c r="AK245" i="22"/>
  <c r="AK244" i="22"/>
  <c r="AK243" i="22"/>
  <c r="AK242" i="22"/>
  <c r="AK241" i="22"/>
  <c r="AK240" i="22"/>
  <c r="AK239" i="22"/>
  <c r="AK238" i="22"/>
  <c r="AK237" i="22"/>
  <c r="AK236" i="22"/>
  <c r="AK235" i="22"/>
  <c r="AK234" i="22"/>
  <c r="AK233" i="22"/>
  <c r="AK232" i="22"/>
  <c r="AK231" i="22"/>
  <c r="AK230" i="22"/>
  <c r="AK229" i="22"/>
  <c r="AK228" i="22"/>
  <c r="AK227" i="22"/>
  <c r="AK226" i="22"/>
  <c r="AK225" i="22"/>
  <c r="AK224" i="22"/>
  <c r="AK223" i="22"/>
  <c r="AK222" i="22"/>
  <c r="AK221" i="22"/>
  <c r="AK220" i="22"/>
  <c r="AK219" i="22"/>
  <c r="AK218" i="22"/>
  <c r="AK217" i="22"/>
  <c r="AK216" i="22"/>
  <c r="AK215" i="22"/>
  <c r="AK214" i="22"/>
  <c r="AK213" i="22"/>
  <c r="AK212" i="22"/>
  <c r="AK211" i="22"/>
  <c r="AK210" i="22"/>
  <c r="AK209" i="22"/>
  <c r="AK208" i="22"/>
  <c r="AK207" i="22"/>
  <c r="AK206" i="22"/>
  <c r="AK205" i="22"/>
  <c r="AK204" i="22"/>
  <c r="AK203" i="22"/>
  <c r="AK202" i="22"/>
  <c r="AK201" i="22"/>
  <c r="AK200" i="22"/>
  <c r="AK199" i="22"/>
  <c r="AK198" i="22"/>
  <c r="AK197" i="22"/>
  <c r="AK196" i="22"/>
  <c r="AK195" i="22"/>
  <c r="AK194" i="22"/>
  <c r="AK193" i="22"/>
  <c r="AK192" i="22"/>
  <c r="AK191" i="22"/>
  <c r="AK190" i="22"/>
  <c r="AK189" i="22"/>
  <c r="AK188" i="22"/>
  <c r="AK187" i="22"/>
  <c r="AK186" i="22"/>
  <c r="AK185" i="22"/>
  <c r="AK184" i="22"/>
  <c r="AK183" i="22"/>
  <c r="AK182" i="22"/>
  <c r="AK181" i="22"/>
  <c r="AK180" i="22"/>
  <c r="AK179" i="22"/>
  <c r="AK178" i="22"/>
  <c r="AK177" i="22"/>
  <c r="AK176" i="22"/>
  <c r="AK175" i="22"/>
  <c r="AK174" i="22"/>
  <c r="AK173" i="22"/>
  <c r="AK172" i="22"/>
  <c r="AK171" i="22"/>
  <c r="AK170" i="22"/>
  <c r="AK169" i="22"/>
  <c r="AK168" i="22"/>
  <c r="AK167" i="22"/>
  <c r="AK166" i="22"/>
  <c r="AK165" i="22"/>
  <c r="AK164" i="22"/>
  <c r="AK163" i="22"/>
  <c r="AK162" i="22"/>
  <c r="AK161" i="22"/>
  <c r="AK160" i="22"/>
  <c r="AK159" i="22"/>
  <c r="AK158" i="22"/>
  <c r="AK157" i="22"/>
  <c r="AK156" i="22"/>
  <c r="AK155" i="22"/>
  <c r="AK154" i="22"/>
  <c r="AK153" i="22"/>
  <c r="AK152" i="22"/>
  <c r="AK151" i="22"/>
  <c r="AK150" i="22"/>
  <c r="AK149" i="22"/>
  <c r="AK148" i="22"/>
  <c r="AK147" i="22"/>
  <c r="AK146" i="22"/>
  <c r="AK145" i="22"/>
  <c r="AK144" i="22"/>
  <c r="AK143" i="22"/>
  <c r="AK142" i="22"/>
  <c r="AK141" i="22"/>
  <c r="AK140" i="22"/>
  <c r="AK139" i="22"/>
  <c r="AK138" i="22"/>
  <c r="AK137" i="22"/>
  <c r="AK136" i="22"/>
  <c r="AK135" i="22"/>
  <c r="AK134" i="22"/>
  <c r="AK133" i="22"/>
  <c r="AK132" i="22"/>
  <c r="AK131" i="22"/>
  <c r="AK130" i="22"/>
  <c r="AK129" i="22"/>
  <c r="AK128" i="22"/>
  <c r="AK127" i="22"/>
  <c r="AK126" i="22"/>
  <c r="AK125" i="22"/>
  <c r="AK124" i="22"/>
  <c r="AK123" i="22"/>
  <c r="AK122" i="22"/>
  <c r="AK121" i="22"/>
  <c r="AK120" i="22"/>
  <c r="AK119" i="22"/>
  <c r="AK118" i="22"/>
  <c r="AK117" i="22"/>
  <c r="AK116" i="22"/>
  <c r="AK115" i="22"/>
  <c r="AK114" i="22"/>
  <c r="AK113" i="22"/>
  <c r="AK112" i="22"/>
  <c r="AK111" i="22"/>
  <c r="AK110" i="22"/>
  <c r="AK109" i="22"/>
  <c r="AK108" i="22"/>
  <c r="AK107" i="22"/>
  <c r="AK106" i="22"/>
  <c r="AK105" i="22"/>
  <c r="AK104" i="22"/>
  <c r="AK103" i="22"/>
  <c r="AK102" i="22"/>
  <c r="AK101" i="22"/>
  <c r="AK100" i="22"/>
  <c r="AO99" i="22"/>
  <c r="AG99" i="22"/>
  <c r="W100" i="22"/>
  <c r="V100" i="22"/>
  <c r="V99" i="22"/>
  <c r="AC241" i="22"/>
  <c r="AC242" i="22"/>
  <c r="AC243" i="22"/>
  <c r="AC244" i="22"/>
  <c r="AC245" i="22"/>
  <c r="AC246" i="22"/>
  <c r="AC247" i="22"/>
  <c r="AC248" i="22"/>
  <c r="AC249" i="22"/>
  <c r="AC250" i="22"/>
  <c r="AC101" i="22"/>
  <c r="AC102" i="22"/>
  <c r="AC103" i="22"/>
  <c r="AC104" i="22"/>
  <c r="AC105" i="22"/>
  <c r="AC106" i="22"/>
  <c r="AC107" i="22"/>
  <c r="AC108" i="22"/>
  <c r="AC109" i="22"/>
  <c r="AC110" i="22"/>
  <c r="AC111" i="22"/>
  <c r="AC112" i="22"/>
  <c r="AC113" i="22"/>
  <c r="AC114" i="22"/>
  <c r="AC115" i="22"/>
  <c r="AC116" i="22"/>
  <c r="AC117" i="22"/>
  <c r="AC118" i="22"/>
  <c r="AC119" i="22"/>
  <c r="AC120" i="22"/>
  <c r="AC121" i="22"/>
  <c r="AC122" i="22"/>
  <c r="AC123" i="22"/>
  <c r="AC124" i="22"/>
  <c r="AC125" i="22"/>
  <c r="AC126" i="22"/>
  <c r="AC127" i="22"/>
  <c r="AC128" i="22"/>
  <c r="AC129" i="22"/>
  <c r="AC130" i="22"/>
  <c r="AC131" i="22"/>
  <c r="AC132" i="22"/>
  <c r="AC133" i="22"/>
  <c r="AC134" i="22"/>
  <c r="AC135" i="22"/>
  <c r="AC136" i="22"/>
  <c r="AC137" i="22"/>
  <c r="AC138" i="22"/>
  <c r="AC139" i="22"/>
  <c r="AC140" i="22"/>
  <c r="AC141" i="22"/>
  <c r="AC142" i="22"/>
  <c r="AC143" i="22"/>
  <c r="AC144" i="22"/>
  <c r="AC145" i="22"/>
  <c r="AC146" i="22"/>
  <c r="AC147" i="22"/>
  <c r="AC148" i="22"/>
  <c r="AC149" i="22"/>
  <c r="AC150" i="22"/>
  <c r="AC151" i="22"/>
  <c r="AC152" i="22"/>
  <c r="AC153" i="22"/>
  <c r="AC154" i="22"/>
  <c r="AC155" i="22"/>
  <c r="AC156" i="22"/>
  <c r="AC157" i="22"/>
  <c r="AC158" i="22"/>
  <c r="AC159" i="22"/>
  <c r="AC160" i="22"/>
  <c r="AC161" i="22"/>
  <c r="AC162" i="22"/>
  <c r="AC163" i="22"/>
  <c r="AC164" i="22"/>
  <c r="AC165" i="22"/>
  <c r="AC166" i="22"/>
  <c r="AC167" i="22"/>
  <c r="AC168" i="22"/>
  <c r="AC169" i="22"/>
  <c r="AC170" i="22"/>
  <c r="AC171" i="22"/>
  <c r="AC172" i="22"/>
  <c r="AC173" i="22"/>
  <c r="AC174" i="22"/>
  <c r="AC175" i="22"/>
  <c r="AC176" i="22"/>
  <c r="AC177" i="22"/>
  <c r="AC178" i="22"/>
  <c r="AC179" i="22"/>
  <c r="AC180" i="22"/>
  <c r="AC181" i="22"/>
  <c r="AC182" i="22"/>
  <c r="AC183" i="22"/>
  <c r="AC184" i="22"/>
  <c r="AC185" i="22"/>
  <c r="AC186" i="22"/>
  <c r="AC187" i="22"/>
  <c r="AC188" i="22"/>
  <c r="AC189" i="22"/>
  <c r="AC190" i="22"/>
  <c r="AC191" i="22"/>
  <c r="AC192" i="22"/>
  <c r="AC193" i="22"/>
  <c r="AC194" i="22"/>
  <c r="AC195" i="22"/>
  <c r="AC196" i="22"/>
  <c r="AC197" i="22"/>
  <c r="AC198" i="22"/>
  <c r="AC199" i="22"/>
  <c r="AC200" i="22"/>
  <c r="AC201" i="22"/>
  <c r="AC202" i="22"/>
  <c r="AC203" i="22"/>
  <c r="AC204" i="22"/>
  <c r="AC205" i="22"/>
  <c r="AC206" i="22"/>
  <c r="AC207" i="22"/>
  <c r="AC208" i="22"/>
  <c r="AC209" i="22"/>
  <c r="AC210" i="22"/>
  <c r="AC211" i="22"/>
  <c r="AC212" i="22"/>
  <c r="AC213" i="22"/>
  <c r="AC214" i="22"/>
  <c r="AC215" i="22"/>
  <c r="AC216" i="22"/>
  <c r="AC217" i="22"/>
  <c r="AC218" i="22"/>
  <c r="AC219" i="22"/>
  <c r="AC220" i="22"/>
  <c r="AC221" i="22"/>
  <c r="AC222" i="22"/>
  <c r="AC223" i="22"/>
  <c r="AC224" i="22"/>
  <c r="AC225" i="22"/>
  <c r="AC226" i="22"/>
  <c r="AC227" i="22"/>
  <c r="AC228" i="22"/>
  <c r="AC229" i="22"/>
  <c r="AC230" i="22"/>
  <c r="AC231" i="22"/>
  <c r="AC232" i="22"/>
  <c r="AC233" i="22"/>
  <c r="AC234" i="22"/>
  <c r="AC235" i="22"/>
  <c r="AC236" i="22"/>
  <c r="AC237" i="22"/>
  <c r="AC238" i="22"/>
  <c r="AC239" i="22"/>
  <c r="AC240" i="22"/>
  <c r="AC100" i="22"/>
  <c r="D6" i="40"/>
  <c r="D6" i="39"/>
  <c r="D6" i="38"/>
  <c r="D6" i="37"/>
  <c r="D46" i="36" l="1"/>
  <c r="D47" i="36" s="1"/>
  <c r="F29" i="36"/>
  <c r="F28" i="36"/>
  <c r="F31" i="36" l="1"/>
  <c r="D28" i="27"/>
  <c r="D29" i="27" s="1"/>
  <c r="E19" i="7" l="1"/>
  <c r="D7" i="21" l="1"/>
  <c r="D6" i="21"/>
  <c r="D7" i="36"/>
  <c r="D6" i="36"/>
  <c r="D35" i="21"/>
  <c r="P37" i="21" s="1"/>
  <c r="D35" i="36"/>
  <c r="C48" i="40"/>
  <c r="B48" i="40"/>
  <c r="C47" i="40"/>
  <c r="B47" i="40"/>
  <c r="C46" i="40"/>
  <c r="B46" i="40"/>
  <c r="C45" i="40"/>
  <c r="B45" i="40"/>
  <c r="C44" i="40"/>
  <c r="B44" i="40"/>
  <c r="C43" i="40"/>
  <c r="B43" i="40"/>
  <c r="C42" i="40"/>
  <c r="B42" i="40"/>
  <c r="C41" i="40"/>
  <c r="B41" i="40"/>
  <c r="C40" i="40"/>
  <c r="B40" i="40"/>
  <c r="C39" i="40"/>
  <c r="B39" i="40"/>
  <c r="BU100" i="40" s="1"/>
  <c r="C48" i="38"/>
  <c r="C47" i="38"/>
  <c r="C46" i="38"/>
  <c r="C45" i="38"/>
  <c r="C44" i="38"/>
  <c r="C43" i="38"/>
  <c r="C42" i="38"/>
  <c r="C41" i="38"/>
  <c r="C40" i="38"/>
  <c r="C39" i="38"/>
  <c r="B48" i="38"/>
  <c r="B47" i="38"/>
  <c r="B46" i="38"/>
  <c r="B45" i="38"/>
  <c r="B44" i="38"/>
  <c r="B43" i="38"/>
  <c r="B42" i="38"/>
  <c r="B41" i="38"/>
  <c r="B40" i="38"/>
  <c r="B39" i="38"/>
  <c r="BU100" i="38" s="1"/>
  <c r="C48" i="34"/>
  <c r="B48" i="34"/>
  <c r="C47" i="34"/>
  <c r="B47" i="34"/>
  <c r="C46" i="34"/>
  <c r="B46" i="34"/>
  <c r="C45" i="34"/>
  <c r="B45" i="34"/>
  <c r="C44" i="34"/>
  <c r="B44" i="34"/>
  <c r="C43" i="34"/>
  <c r="B43" i="34"/>
  <c r="C42" i="34"/>
  <c r="B42" i="34"/>
  <c r="C41" i="34"/>
  <c r="B41" i="34"/>
  <c r="C40" i="34"/>
  <c r="B40" i="34"/>
  <c r="C39" i="34"/>
  <c r="B39" i="34"/>
  <c r="BU100" i="34" s="1"/>
  <c r="C48" i="27"/>
  <c r="C47" i="27"/>
  <c r="C46" i="27"/>
  <c r="C45" i="27"/>
  <c r="C44" i="27"/>
  <c r="C43" i="27"/>
  <c r="C42" i="27"/>
  <c r="C41" i="27"/>
  <c r="C40" i="27"/>
  <c r="C39" i="27"/>
  <c r="B48" i="27"/>
  <c r="B47" i="27"/>
  <c r="B46" i="27"/>
  <c r="B45" i="27"/>
  <c r="B44" i="27"/>
  <c r="B43" i="27"/>
  <c r="B42" i="27"/>
  <c r="B41" i="27"/>
  <c r="B40" i="27"/>
  <c r="B39" i="27"/>
  <c r="BU100" i="27" s="1"/>
  <c r="D6" i="34"/>
  <c r="D6" i="27"/>
  <c r="C48" i="39"/>
  <c r="B48" i="39"/>
  <c r="C47" i="39"/>
  <c r="B47" i="39"/>
  <c r="C46" i="39"/>
  <c r="B46" i="39"/>
  <c r="C45" i="39"/>
  <c r="B45" i="39"/>
  <c r="C44" i="39"/>
  <c r="B44" i="39"/>
  <c r="C43" i="39"/>
  <c r="B43" i="39"/>
  <c r="C42" i="39"/>
  <c r="B42" i="39"/>
  <c r="C41" i="39"/>
  <c r="B41" i="39"/>
  <c r="C40" i="39"/>
  <c r="B40" i="39"/>
  <c r="C39" i="39"/>
  <c r="B39" i="39"/>
  <c r="BU100" i="39" s="1"/>
  <c r="C48" i="30"/>
  <c r="B48" i="30"/>
  <c r="C47" i="30"/>
  <c r="B47" i="30"/>
  <c r="C46" i="30"/>
  <c r="B46" i="30"/>
  <c r="C45" i="30"/>
  <c r="B45" i="30"/>
  <c r="C44" i="30"/>
  <c r="B44" i="30"/>
  <c r="C43" i="30"/>
  <c r="B43" i="30"/>
  <c r="C42" i="30"/>
  <c r="B42" i="30"/>
  <c r="C41" i="30"/>
  <c r="B41" i="30"/>
  <c r="C40" i="30"/>
  <c r="B40" i="30"/>
  <c r="C39" i="30"/>
  <c r="B39" i="30"/>
  <c r="BU100" i="30" s="1"/>
  <c r="C48" i="37"/>
  <c r="C47" i="37"/>
  <c r="C46" i="37"/>
  <c r="C45" i="37"/>
  <c r="C44" i="37"/>
  <c r="C43" i="37"/>
  <c r="C42" i="37"/>
  <c r="C41" i="37"/>
  <c r="C40" i="37"/>
  <c r="C39" i="37"/>
  <c r="B48" i="37"/>
  <c r="B47" i="37"/>
  <c r="B46" i="37"/>
  <c r="B45" i="37"/>
  <c r="B44" i="37"/>
  <c r="B43" i="37"/>
  <c r="B42" i="37"/>
  <c r="B41" i="37"/>
  <c r="B40" i="37"/>
  <c r="B39" i="37"/>
  <c r="BU100" i="37" s="1"/>
  <c r="C48" i="22"/>
  <c r="C47" i="22"/>
  <c r="C46" i="22"/>
  <c r="C45" i="22"/>
  <c r="C44" i="22"/>
  <c r="C43" i="22"/>
  <c r="C42" i="22"/>
  <c r="C41" i="22"/>
  <c r="C40" i="22"/>
  <c r="C39" i="22"/>
  <c r="B48" i="22"/>
  <c r="BU109" i="22" s="1"/>
  <c r="B47" i="22"/>
  <c r="BU108" i="22" s="1"/>
  <c r="B46" i="22"/>
  <c r="BU107" i="22" s="1"/>
  <c r="B45" i="22"/>
  <c r="BU106" i="22" s="1"/>
  <c r="B44" i="22"/>
  <c r="BU105" i="22" s="1"/>
  <c r="B43" i="22"/>
  <c r="BU104" i="22" s="1"/>
  <c r="B42" i="22"/>
  <c r="BU103" i="22" s="1"/>
  <c r="B41" i="22"/>
  <c r="B40" i="22"/>
  <c r="B39" i="22"/>
  <c r="D6" i="30"/>
  <c r="D6" i="22"/>
  <c r="D31" i="40"/>
  <c r="D27" i="40"/>
  <c r="D26" i="40"/>
  <c r="D31" i="39"/>
  <c r="D27" i="39"/>
  <c r="D26" i="39"/>
  <c r="D31" i="38"/>
  <c r="D27" i="38"/>
  <c r="D26" i="38"/>
  <c r="D31" i="37"/>
  <c r="D27" i="37"/>
  <c r="D26" i="37"/>
  <c r="CC100" i="22"/>
  <c r="CC101" i="22"/>
  <c r="CC102" i="22"/>
  <c r="CC103" i="22"/>
  <c r="CC104" i="22"/>
  <c r="CC105" i="22"/>
  <c r="CC106" i="22"/>
  <c r="CC107" i="22"/>
  <c r="CC108" i="22"/>
  <c r="CC109" i="22"/>
  <c r="BU110" i="22"/>
  <c r="BY110" i="22"/>
  <c r="CC110" i="22"/>
  <c r="BU111" i="22"/>
  <c r="BY111" i="22"/>
  <c r="CC111" i="22"/>
  <c r="BU112" i="22"/>
  <c r="BY112" i="22"/>
  <c r="CC112" i="22"/>
  <c r="BU113" i="22"/>
  <c r="BY113" i="22"/>
  <c r="CC113" i="22"/>
  <c r="BU114" i="22"/>
  <c r="BY114" i="22"/>
  <c r="CC114" i="22"/>
  <c r="BU115" i="22"/>
  <c r="BY115" i="22"/>
  <c r="CC115" i="22"/>
  <c r="BU116" i="22"/>
  <c r="BY116" i="22"/>
  <c r="CC116" i="22"/>
  <c r="BU117" i="22"/>
  <c r="BY117" i="22"/>
  <c r="CC117" i="22"/>
  <c r="BU118" i="22"/>
  <c r="BY118" i="22"/>
  <c r="CC118" i="22"/>
  <c r="BU119" i="22"/>
  <c r="BY119" i="22"/>
  <c r="CC119" i="22"/>
  <c r="BU120" i="22"/>
  <c r="BY120" i="22"/>
  <c r="CC120" i="22"/>
  <c r="CA121" i="22"/>
  <c r="CA122" i="22"/>
  <c r="CA123" i="22"/>
  <c r="CA124" i="22"/>
  <c r="CA125" i="22"/>
  <c r="BW126" i="22"/>
  <c r="BX126" i="22"/>
  <c r="BY126" i="22"/>
  <c r="CA126" i="22"/>
  <c r="CA127" i="22"/>
  <c r="CA128" i="22"/>
  <c r="CA129" i="22"/>
  <c r="CA130" i="22"/>
  <c r="CA131" i="22"/>
  <c r="CA132" i="22"/>
  <c r="CA133" i="22"/>
  <c r="CA134" i="22"/>
  <c r="CA135" i="22"/>
  <c r="CA136" i="22"/>
  <c r="CA137" i="22"/>
  <c r="CA138" i="22"/>
  <c r="CA139" i="22"/>
  <c r="CA140" i="22"/>
  <c r="CA141" i="22"/>
  <c r="CA142" i="22"/>
  <c r="CA143" i="22"/>
  <c r="CA144" i="22"/>
  <c r="CA145" i="22"/>
  <c r="CA146" i="22"/>
  <c r="CA147" i="22"/>
  <c r="CA148" i="22"/>
  <c r="CA149" i="22"/>
  <c r="CA150" i="22"/>
  <c r="CA151" i="22"/>
  <c r="CA152" i="22"/>
  <c r="CA153" i="22"/>
  <c r="CA154" i="22"/>
  <c r="CA155" i="22"/>
  <c r="CA156" i="22"/>
  <c r="CA157" i="22"/>
  <c r="CA158" i="22"/>
  <c r="CA159" i="22"/>
  <c r="CA160" i="22"/>
  <c r="CA161" i="22"/>
  <c r="CA162" i="22"/>
  <c r="CA163" i="22"/>
  <c r="CA164" i="22"/>
  <c r="CA165" i="22"/>
  <c r="CA166" i="22"/>
  <c r="CA167" i="22"/>
  <c r="CA168" i="22"/>
  <c r="CA169" i="22"/>
  <c r="CA170" i="22"/>
  <c r="CA171" i="22"/>
  <c r="CA172" i="22"/>
  <c r="CA173" i="22"/>
  <c r="CA174" i="22"/>
  <c r="CA175" i="22"/>
  <c r="CA176" i="22"/>
  <c r="CA177" i="22"/>
  <c r="CA178" i="22"/>
  <c r="CA179" i="22"/>
  <c r="CA180" i="22"/>
  <c r="CA181" i="22"/>
  <c r="CA182" i="22"/>
  <c r="CA183" i="22"/>
  <c r="CA184" i="22"/>
  <c r="CA185" i="22"/>
  <c r="CA186" i="22"/>
  <c r="CA187" i="22"/>
  <c r="CA188" i="22"/>
  <c r="CA189" i="22"/>
  <c r="CA190" i="22"/>
  <c r="CA191" i="22"/>
  <c r="CA192" i="22"/>
  <c r="CA193" i="22"/>
  <c r="CA194" i="22"/>
  <c r="CA195" i="22"/>
  <c r="CA196" i="22"/>
  <c r="CA197" i="22"/>
  <c r="CA198" i="22"/>
  <c r="CA199" i="22"/>
  <c r="CA200" i="22"/>
  <c r="CA201" i="22"/>
  <c r="CA202" i="22"/>
  <c r="CA203" i="22"/>
  <c r="CA204" i="22"/>
  <c r="CA205" i="22"/>
  <c r="CA206" i="22"/>
  <c r="CA207" i="22"/>
  <c r="CA208" i="22"/>
  <c r="CA209" i="22"/>
  <c r="CA210" i="22"/>
  <c r="CA211" i="22"/>
  <c r="CA212" i="22"/>
  <c r="CA213" i="22"/>
  <c r="CA214" i="22"/>
  <c r="CA215" i="22"/>
  <c r="CA216" i="22"/>
  <c r="CA217" i="22"/>
  <c r="CA218" i="22"/>
  <c r="CA219" i="22"/>
  <c r="CA220" i="22"/>
  <c r="CA221" i="22"/>
  <c r="CA222" i="22"/>
  <c r="CA223" i="22"/>
  <c r="CA224" i="22"/>
  <c r="CA225" i="22"/>
  <c r="CA226" i="22"/>
  <c r="CA227" i="22"/>
  <c r="CA228" i="22"/>
  <c r="CA229" i="22"/>
  <c r="CA230" i="22"/>
  <c r="CA231" i="22"/>
  <c r="CA232" i="22"/>
  <c r="CA233" i="22"/>
  <c r="CA234" i="22"/>
  <c r="CA235" i="22"/>
  <c r="CA236" i="22"/>
  <c r="CA237" i="22"/>
  <c r="CA238" i="22"/>
  <c r="P38" i="36" l="1"/>
  <c r="P37" i="36"/>
  <c r="P39" i="36"/>
  <c r="BU106" i="27"/>
  <c r="BY106" i="27"/>
  <c r="BY109" i="34"/>
  <c r="BU109" i="34"/>
  <c r="BY105" i="40"/>
  <c r="BU105" i="40"/>
  <c r="BY107" i="27"/>
  <c r="BU107" i="27"/>
  <c r="BY105" i="27"/>
  <c r="BU105" i="27"/>
  <c r="BY108" i="27"/>
  <c r="BU108" i="27"/>
  <c r="BY109" i="27"/>
  <c r="BU109" i="27"/>
  <c r="BY108" i="34"/>
  <c r="BU108" i="34"/>
  <c r="BY106" i="40"/>
  <c r="BU106" i="40"/>
  <c r="BY107" i="40"/>
  <c r="BU107" i="40"/>
  <c r="BY108" i="40"/>
  <c r="BU108" i="40"/>
  <c r="BY105" i="34"/>
  <c r="BU105" i="34"/>
  <c r="BY106" i="38"/>
  <c r="BU106" i="38"/>
  <c r="BY109" i="40"/>
  <c r="BU109" i="40"/>
  <c r="BY105" i="38"/>
  <c r="BU105" i="38"/>
  <c r="BY107" i="38"/>
  <c r="BU107" i="38"/>
  <c r="BY106" i="34"/>
  <c r="BU106" i="34"/>
  <c r="BY108" i="38"/>
  <c r="BU108" i="38"/>
  <c r="BY109" i="38"/>
  <c r="BU109" i="38"/>
  <c r="BY107" i="34"/>
  <c r="BU107" i="34"/>
  <c r="BY108" i="30"/>
  <c r="BU108" i="30"/>
  <c r="BY106" i="39"/>
  <c r="BU106" i="39"/>
  <c r="BY105" i="37"/>
  <c r="BU105" i="37"/>
  <c r="BY107" i="39"/>
  <c r="BU107" i="39"/>
  <c r="BU107" i="37"/>
  <c r="BY107" i="37"/>
  <c r="BY109" i="30"/>
  <c r="BU109" i="30"/>
  <c r="BY108" i="37"/>
  <c r="BU108" i="37"/>
  <c r="BY108" i="39"/>
  <c r="BU108" i="39"/>
  <c r="BY109" i="39"/>
  <c r="BU109" i="39"/>
  <c r="BY106" i="37"/>
  <c r="BU106" i="37"/>
  <c r="BY105" i="30"/>
  <c r="BU105" i="30"/>
  <c r="BY106" i="30"/>
  <c r="BU106" i="30"/>
  <c r="BY109" i="37"/>
  <c r="BU109" i="37"/>
  <c r="BY107" i="30"/>
  <c r="BU107" i="30"/>
  <c r="BU105" i="39"/>
  <c r="BY105" i="39"/>
  <c r="BU103" i="27"/>
  <c r="BY103" i="27"/>
  <c r="BY104" i="27"/>
  <c r="BU104" i="27"/>
  <c r="BY101" i="34"/>
  <c r="BU101" i="34"/>
  <c r="BU103" i="34"/>
  <c r="BY103" i="34"/>
  <c r="BY104" i="34"/>
  <c r="BU104" i="34"/>
  <c r="BY102" i="34"/>
  <c r="BU102" i="34"/>
  <c r="BY101" i="27"/>
  <c r="BU101" i="27"/>
  <c r="BY102" i="27"/>
  <c r="BU102" i="27"/>
  <c r="BY101" i="30"/>
  <c r="BU101" i="30"/>
  <c r="BY102" i="30"/>
  <c r="BU102" i="30"/>
  <c r="BU100" i="22"/>
  <c r="C100" i="22"/>
  <c r="D100" i="22" s="1"/>
  <c r="BY104" i="30"/>
  <c r="BU104" i="30"/>
  <c r="BY103" i="30"/>
  <c r="BU103" i="30"/>
  <c r="BY101" i="38"/>
  <c r="BU101" i="38"/>
  <c r="BY102" i="38"/>
  <c r="BU102" i="38"/>
  <c r="BY103" i="38"/>
  <c r="BU103" i="38"/>
  <c r="BY104" i="38"/>
  <c r="BU104" i="38"/>
  <c r="BY101" i="40"/>
  <c r="BU101" i="40"/>
  <c r="BW101" i="40" s="1"/>
  <c r="BY102" i="40"/>
  <c r="BU102" i="40"/>
  <c r="BY103" i="40"/>
  <c r="BU103" i="40"/>
  <c r="BY104" i="40"/>
  <c r="BU104" i="40"/>
  <c r="BY101" i="39"/>
  <c r="BU101" i="39"/>
  <c r="BW101" i="39" s="1"/>
  <c r="BY104" i="37"/>
  <c r="BU104" i="37"/>
  <c r="BY102" i="39"/>
  <c r="BU102" i="39"/>
  <c r="BY103" i="39"/>
  <c r="BU103" i="39"/>
  <c r="BY104" i="39"/>
  <c r="BU104" i="39"/>
  <c r="BY101" i="37"/>
  <c r="BU101" i="37"/>
  <c r="BY102" i="37"/>
  <c r="BU102" i="37"/>
  <c r="BY103" i="37"/>
  <c r="BU103" i="37"/>
  <c r="BW118" i="22"/>
  <c r="BY101" i="22"/>
  <c r="BX114" i="22"/>
  <c r="BW111" i="22"/>
  <c r="BU101" i="22"/>
  <c r="BW113" i="22"/>
  <c r="BX118" i="22"/>
  <c r="BW116" i="22"/>
  <c r="BW115" i="22"/>
  <c r="BW119" i="22"/>
  <c r="BX113" i="22"/>
  <c r="BW112" i="22"/>
  <c r="BW117" i="22"/>
  <c r="BY106" i="22"/>
  <c r="BY103" i="22"/>
  <c r="BY108" i="22"/>
  <c r="BY107" i="22"/>
  <c r="BY109" i="22"/>
  <c r="BX105" i="22"/>
  <c r="BY102" i="22"/>
  <c r="BY105" i="22"/>
  <c r="BU102" i="22"/>
  <c r="BX103" i="22" s="1"/>
  <c r="BY104" i="22"/>
  <c r="BW110" i="22"/>
  <c r="BW109" i="22"/>
  <c r="BW107" i="22"/>
  <c r="BX106" i="22"/>
  <c r="BW104" i="22"/>
  <c r="BW105" i="22"/>
  <c r="BX111" i="22"/>
  <c r="BX109" i="22"/>
  <c r="BX107" i="22"/>
  <c r="BX116" i="22"/>
  <c r="BW114" i="22"/>
  <c r="BX112" i="22"/>
  <c r="BX119" i="22"/>
  <c r="BW108" i="22"/>
  <c r="BW106" i="22"/>
  <c r="BX117" i="22"/>
  <c r="BX110" i="22"/>
  <c r="BX108" i="22"/>
  <c r="BX115" i="22"/>
  <c r="BX104" i="22"/>
  <c r="BW120" i="22"/>
  <c r="BX120" i="22"/>
  <c r="BX106" i="27" l="1"/>
  <c r="BW106" i="27"/>
  <c r="BX107" i="38"/>
  <c r="BW107" i="38"/>
  <c r="BX108" i="38"/>
  <c r="BW108" i="38"/>
  <c r="BX106" i="34"/>
  <c r="BW106" i="34"/>
  <c r="BX108" i="34"/>
  <c r="BW108" i="34"/>
  <c r="BW109" i="27"/>
  <c r="BX109" i="27"/>
  <c r="BX110" i="27"/>
  <c r="BW110" i="27"/>
  <c r="BX107" i="40"/>
  <c r="BW107" i="40"/>
  <c r="BW108" i="27"/>
  <c r="BX108" i="27"/>
  <c r="BW107" i="34"/>
  <c r="BX107" i="34"/>
  <c r="BW107" i="27"/>
  <c r="BX107" i="27"/>
  <c r="BX109" i="34"/>
  <c r="BW110" i="34"/>
  <c r="BX110" i="34"/>
  <c r="BW109" i="34"/>
  <c r="BW106" i="40"/>
  <c r="BX106" i="40"/>
  <c r="BX109" i="40"/>
  <c r="BW109" i="40"/>
  <c r="BW110" i="40"/>
  <c r="BX110" i="40"/>
  <c r="BX106" i="38"/>
  <c r="BW106" i="38"/>
  <c r="BW109" i="38"/>
  <c r="BX110" i="38"/>
  <c r="BX109" i="38"/>
  <c r="BW110" i="38"/>
  <c r="BX108" i="40"/>
  <c r="BW108" i="40"/>
  <c r="BX106" i="39"/>
  <c r="BW106" i="39"/>
  <c r="BX108" i="37"/>
  <c r="BW108" i="37"/>
  <c r="BX107" i="30"/>
  <c r="BW107" i="30"/>
  <c r="BX110" i="30"/>
  <c r="BW109" i="30"/>
  <c r="BW110" i="30"/>
  <c r="BX109" i="30"/>
  <c r="BX106" i="37"/>
  <c r="BW106" i="37"/>
  <c r="BX110" i="37"/>
  <c r="BW110" i="37"/>
  <c r="BW109" i="37"/>
  <c r="BX109" i="37"/>
  <c r="BX108" i="39"/>
  <c r="BW108" i="39"/>
  <c r="BW107" i="37"/>
  <c r="BX107" i="37"/>
  <c r="BW106" i="30"/>
  <c r="BX106" i="30"/>
  <c r="BW107" i="39"/>
  <c r="BX107" i="39"/>
  <c r="BX110" i="39"/>
  <c r="BX109" i="39"/>
  <c r="BW109" i="39"/>
  <c r="BW110" i="39"/>
  <c r="BX108" i="30"/>
  <c r="BW108" i="30"/>
  <c r="BW102" i="27"/>
  <c r="BX102" i="27"/>
  <c r="BW101" i="27"/>
  <c r="BX101" i="27"/>
  <c r="BW102" i="34"/>
  <c r="BX102" i="34"/>
  <c r="BX105" i="34"/>
  <c r="BW105" i="34"/>
  <c r="BX104" i="34"/>
  <c r="BW104" i="34"/>
  <c r="BW103" i="27"/>
  <c r="BX103" i="27"/>
  <c r="BW103" i="34"/>
  <c r="BX103" i="34"/>
  <c r="BX101" i="34"/>
  <c r="BW101" i="34"/>
  <c r="BW104" i="27"/>
  <c r="BX104" i="27"/>
  <c r="BW105" i="27"/>
  <c r="BX105" i="27"/>
  <c r="BW103" i="30"/>
  <c r="BX103" i="30"/>
  <c r="BW101" i="30"/>
  <c r="BX101" i="30"/>
  <c r="BX104" i="30"/>
  <c r="BW105" i="30"/>
  <c r="BX105" i="30"/>
  <c r="BW104" i="30"/>
  <c r="BX102" i="30"/>
  <c r="BW102" i="30"/>
  <c r="BX103" i="40"/>
  <c r="BW103" i="40"/>
  <c r="BX102" i="38"/>
  <c r="BW102" i="38"/>
  <c r="BX104" i="38"/>
  <c r="BX103" i="38"/>
  <c r="BW103" i="38"/>
  <c r="BX101" i="40"/>
  <c r="BX101" i="38"/>
  <c r="BW101" i="38"/>
  <c r="BX102" i="40"/>
  <c r="BW102" i="40"/>
  <c r="BW104" i="38"/>
  <c r="BX105" i="38"/>
  <c r="BW105" i="38"/>
  <c r="BX105" i="40"/>
  <c r="BX104" i="40"/>
  <c r="BW105" i="40"/>
  <c r="BW104" i="40"/>
  <c r="BW102" i="37"/>
  <c r="BX102" i="37"/>
  <c r="BW101" i="37"/>
  <c r="BX101" i="37"/>
  <c r="BX105" i="37"/>
  <c r="BW105" i="37"/>
  <c r="BW104" i="37"/>
  <c r="BX104" i="37"/>
  <c r="BX102" i="39"/>
  <c r="BW102" i="39"/>
  <c r="BW104" i="39"/>
  <c r="BX105" i="39"/>
  <c r="BX104" i="39"/>
  <c r="BW105" i="39"/>
  <c r="BX103" i="39"/>
  <c r="BW103" i="39"/>
  <c r="BX103" i="37"/>
  <c r="BW103" i="37"/>
  <c r="BX101" i="39"/>
  <c r="BW101" i="22"/>
  <c r="BX101" i="22"/>
  <c r="BX102" i="22"/>
  <c r="BW102" i="22"/>
  <c r="BW103" i="22"/>
  <c r="T38" i="21"/>
  <c r="T39" i="21" s="1"/>
  <c r="T37" i="21"/>
  <c r="Q37" i="21"/>
  <c r="Q38" i="21" s="1"/>
  <c r="Q39" i="21" s="1"/>
  <c r="N37" i="21"/>
  <c r="N38" i="21" s="1"/>
  <c r="N39" i="21" s="1"/>
  <c r="J37" i="21"/>
  <c r="J38" i="21" s="1"/>
  <c r="J39" i="21" s="1"/>
  <c r="C250" i="40"/>
  <c r="C249" i="40"/>
  <c r="C248" i="40"/>
  <c r="C247" i="40"/>
  <c r="C246" i="40"/>
  <c r="C245" i="40"/>
  <c r="C244" i="40"/>
  <c r="C243" i="40"/>
  <c r="C242" i="40"/>
  <c r="C241" i="40"/>
  <c r="C240" i="40"/>
  <c r="C239" i="40"/>
  <c r="C238" i="40"/>
  <c r="C237" i="40"/>
  <c r="C236" i="40"/>
  <c r="C235" i="40"/>
  <c r="C234" i="40"/>
  <c r="C233" i="40"/>
  <c r="C232" i="40"/>
  <c r="C231" i="40"/>
  <c r="C230" i="40"/>
  <c r="C229" i="40"/>
  <c r="C228" i="40"/>
  <c r="C227" i="40"/>
  <c r="C226" i="40"/>
  <c r="C225" i="40"/>
  <c r="C224" i="40"/>
  <c r="C223" i="40"/>
  <c r="C222" i="40"/>
  <c r="C221" i="40"/>
  <c r="C220" i="40"/>
  <c r="C219" i="40"/>
  <c r="C218" i="40"/>
  <c r="C217" i="40"/>
  <c r="C216" i="40"/>
  <c r="C215" i="40"/>
  <c r="C214" i="40"/>
  <c r="C213" i="40"/>
  <c r="C212" i="40"/>
  <c r="C211" i="40"/>
  <c r="C210" i="40"/>
  <c r="C209" i="40"/>
  <c r="C208" i="40"/>
  <c r="C207" i="40"/>
  <c r="C206" i="40"/>
  <c r="C205" i="40"/>
  <c r="C204" i="40"/>
  <c r="C203" i="40"/>
  <c r="C202" i="40"/>
  <c r="C201" i="40"/>
  <c r="C200" i="40"/>
  <c r="C199" i="40"/>
  <c r="C198" i="40"/>
  <c r="C197" i="40"/>
  <c r="C196" i="40"/>
  <c r="C195" i="40"/>
  <c r="C194" i="40"/>
  <c r="C193" i="40"/>
  <c r="C192" i="40"/>
  <c r="C191" i="40"/>
  <c r="C190" i="40"/>
  <c r="C189" i="40"/>
  <c r="C188" i="40"/>
  <c r="C187" i="40"/>
  <c r="C186" i="40"/>
  <c r="C185" i="40"/>
  <c r="C184" i="40"/>
  <c r="C183" i="40"/>
  <c r="C182" i="40"/>
  <c r="C181" i="40"/>
  <c r="C180" i="40"/>
  <c r="C179" i="40"/>
  <c r="C178" i="40"/>
  <c r="C177" i="40"/>
  <c r="C176" i="40"/>
  <c r="C175" i="40"/>
  <c r="C174" i="40"/>
  <c r="C173" i="40"/>
  <c r="C172" i="40"/>
  <c r="C171" i="40"/>
  <c r="C170" i="40"/>
  <c r="C169" i="40"/>
  <c r="C168" i="40"/>
  <c r="C167" i="40"/>
  <c r="C166" i="40"/>
  <c r="C165" i="40"/>
  <c r="C164" i="40"/>
  <c r="C163" i="40"/>
  <c r="C162" i="40"/>
  <c r="C161" i="40"/>
  <c r="C160" i="40"/>
  <c r="C159" i="40"/>
  <c r="C158" i="40"/>
  <c r="C157" i="40"/>
  <c r="C156" i="40"/>
  <c r="C155" i="40"/>
  <c r="C154" i="40"/>
  <c r="C153" i="40"/>
  <c r="C152" i="40"/>
  <c r="C151" i="40"/>
  <c r="C150" i="40"/>
  <c r="C149" i="40"/>
  <c r="C148" i="40"/>
  <c r="C147" i="40"/>
  <c r="C146" i="40"/>
  <c r="C145" i="40"/>
  <c r="C144" i="40"/>
  <c r="C143" i="40"/>
  <c r="C142" i="40"/>
  <c r="C141" i="40"/>
  <c r="C140" i="40"/>
  <c r="C139" i="40"/>
  <c r="C138" i="40"/>
  <c r="C137" i="40"/>
  <c r="C136" i="40"/>
  <c r="C135" i="40"/>
  <c r="C134" i="40"/>
  <c r="C133" i="40"/>
  <c r="C132" i="40"/>
  <c r="C131" i="40"/>
  <c r="C130" i="40"/>
  <c r="C129" i="40"/>
  <c r="C128" i="40"/>
  <c r="C127" i="40"/>
  <c r="C126" i="40"/>
  <c r="C125" i="40"/>
  <c r="C124" i="40"/>
  <c r="C123" i="40"/>
  <c r="C122" i="40"/>
  <c r="C121" i="40"/>
  <c r="C120" i="40"/>
  <c r="C119" i="40"/>
  <c r="C118" i="40"/>
  <c r="C117" i="40"/>
  <c r="C116" i="40"/>
  <c r="C115" i="40"/>
  <c r="C114" i="40"/>
  <c r="C113" i="40"/>
  <c r="C112" i="40"/>
  <c r="C111" i="40"/>
  <c r="C110" i="40"/>
  <c r="C109" i="40"/>
  <c r="C108" i="40"/>
  <c r="C107" i="40"/>
  <c r="C106" i="40"/>
  <c r="C105" i="40"/>
  <c r="C104" i="40"/>
  <c r="C103" i="40"/>
  <c r="C102" i="40"/>
  <c r="C101" i="40"/>
  <c r="C100" i="40"/>
  <c r="D100" i="40" s="1"/>
  <c r="D59" i="40"/>
  <c r="D58" i="40"/>
  <c r="D57" i="40"/>
  <c r="D56" i="40"/>
  <c r="D55" i="40"/>
  <c r="D54" i="40"/>
  <c r="D53" i="40"/>
  <c r="D52" i="40"/>
  <c r="D51" i="40"/>
  <c r="D50" i="40"/>
  <c r="D49" i="40"/>
  <c r="D48" i="40"/>
  <c r="D47" i="40"/>
  <c r="D46" i="40"/>
  <c r="D45" i="40"/>
  <c r="D44" i="40"/>
  <c r="D43" i="40"/>
  <c r="D42" i="40"/>
  <c r="D41" i="40"/>
  <c r="D40" i="40"/>
  <c r="D39" i="40"/>
  <c r="F23" i="40"/>
  <c r="F21" i="40"/>
  <c r="F18" i="40"/>
  <c r="F14" i="40"/>
  <c r="F13" i="40"/>
  <c r="D5" i="40"/>
  <c r="C250" i="39"/>
  <c r="C249" i="39"/>
  <c r="C248" i="39"/>
  <c r="C247" i="39"/>
  <c r="C246" i="39"/>
  <c r="C245" i="39"/>
  <c r="C244" i="39"/>
  <c r="C243" i="39"/>
  <c r="C242" i="39"/>
  <c r="C241" i="39"/>
  <c r="C240" i="39"/>
  <c r="C239" i="39"/>
  <c r="C238" i="39"/>
  <c r="C237" i="39"/>
  <c r="C236" i="39"/>
  <c r="C235" i="39"/>
  <c r="C234" i="39"/>
  <c r="C233" i="39"/>
  <c r="C232" i="39"/>
  <c r="C231" i="39"/>
  <c r="C230" i="39"/>
  <c r="C229" i="39"/>
  <c r="C228" i="39"/>
  <c r="C227" i="39"/>
  <c r="C226" i="39"/>
  <c r="C225" i="39"/>
  <c r="C224" i="39"/>
  <c r="C223" i="39"/>
  <c r="C222" i="39"/>
  <c r="C221" i="39"/>
  <c r="C220" i="39"/>
  <c r="C219" i="39"/>
  <c r="C218" i="39"/>
  <c r="C217" i="39"/>
  <c r="C216" i="39"/>
  <c r="C215" i="39"/>
  <c r="C214" i="39"/>
  <c r="C213" i="39"/>
  <c r="C212" i="39"/>
  <c r="C211" i="39"/>
  <c r="C210" i="39"/>
  <c r="C209" i="39"/>
  <c r="C208" i="39"/>
  <c r="C207" i="39"/>
  <c r="C206" i="39"/>
  <c r="C205" i="39"/>
  <c r="C204" i="39"/>
  <c r="C203" i="39"/>
  <c r="C202" i="39"/>
  <c r="C201" i="39"/>
  <c r="C200" i="39"/>
  <c r="C199" i="39"/>
  <c r="C198" i="39"/>
  <c r="C197" i="39"/>
  <c r="C196" i="39"/>
  <c r="C195" i="39"/>
  <c r="C194" i="39"/>
  <c r="C193" i="39"/>
  <c r="C192" i="39"/>
  <c r="C191" i="39"/>
  <c r="C190" i="39"/>
  <c r="C189" i="39"/>
  <c r="C188" i="39"/>
  <c r="C187" i="39"/>
  <c r="C186" i="39"/>
  <c r="C185" i="39"/>
  <c r="C184" i="39"/>
  <c r="C183" i="39"/>
  <c r="C182" i="39"/>
  <c r="C181" i="39"/>
  <c r="C180" i="39"/>
  <c r="C179" i="39"/>
  <c r="C178" i="39"/>
  <c r="C177" i="39"/>
  <c r="C176" i="39"/>
  <c r="C175" i="39"/>
  <c r="C174" i="39"/>
  <c r="C173" i="39"/>
  <c r="C172" i="39"/>
  <c r="C171" i="39"/>
  <c r="C170" i="39"/>
  <c r="C169" i="39"/>
  <c r="C168" i="39"/>
  <c r="C167" i="39"/>
  <c r="C166" i="39"/>
  <c r="C165" i="39"/>
  <c r="C164" i="39"/>
  <c r="C163" i="39"/>
  <c r="C162" i="39"/>
  <c r="C161" i="39"/>
  <c r="C160" i="39"/>
  <c r="C159" i="39"/>
  <c r="C158" i="39"/>
  <c r="C157" i="39"/>
  <c r="C156" i="39"/>
  <c r="C155" i="39"/>
  <c r="C154" i="39"/>
  <c r="C153" i="39"/>
  <c r="C152" i="39"/>
  <c r="C151" i="39"/>
  <c r="C150" i="39"/>
  <c r="C149" i="39"/>
  <c r="C148" i="39"/>
  <c r="C147" i="39"/>
  <c r="C146" i="39"/>
  <c r="C145" i="39"/>
  <c r="C144" i="39"/>
  <c r="C143" i="39"/>
  <c r="C142" i="39"/>
  <c r="C141" i="39"/>
  <c r="C140" i="39"/>
  <c r="C139" i="39"/>
  <c r="C138" i="39"/>
  <c r="C137" i="39"/>
  <c r="C136" i="39"/>
  <c r="C135" i="39"/>
  <c r="C134" i="39"/>
  <c r="C133" i="39"/>
  <c r="C132" i="39"/>
  <c r="C131" i="39"/>
  <c r="C130" i="39"/>
  <c r="C129" i="39"/>
  <c r="C128" i="39"/>
  <c r="C127" i="39"/>
  <c r="C126" i="39"/>
  <c r="C125" i="39"/>
  <c r="C124" i="39"/>
  <c r="C123" i="39"/>
  <c r="C122" i="39"/>
  <c r="C121" i="39"/>
  <c r="C120" i="39"/>
  <c r="C119" i="39"/>
  <c r="C118" i="39"/>
  <c r="C117" i="39"/>
  <c r="C116" i="39"/>
  <c r="C115" i="39"/>
  <c r="C114" i="39"/>
  <c r="C113" i="39"/>
  <c r="C112" i="39"/>
  <c r="C111" i="39"/>
  <c r="C110" i="39"/>
  <c r="C109" i="39"/>
  <c r="C108" i="39"/>
  <c r="C107" i="39"/>
  <c r="C106" i="39"/>
  <c r="C105" i="39"/>
  <c r="C104" i="39"/>
  <c r="C103" i="39"/>
  <c r="C102" i="39"/>
  <c r="C101" i="39"/>
  <c r="C100" i="39"/>
  <c r="D100" i="39" s="1"/>
  <c r="D59" i="39"/>
  <c r="D58" i="39"/>
  <c r="D57" i="39"/>
  <c r="D56" i="39"/>
  <c r="D55" i="39"/>
  <c r="D54" i="39"/>
  <c r="D53" i="39"/>
  <c r="D52" i="39"/>
  <c r="D51" i="39"/>
  <c r="D50" i="39"/>
  <c r="D49" i="39"/>
  <c r="D48" i="39"/>
  <c r="D47" i="39"/>
  <c r="D46" i="39"/>
  <c r="D45" i="39"/>
  <c r="D44" i="39"/>
  <c r="D43" i="39"/>
  <c r="D42" i="39"/>
  <c r="D41" i="39"/>
  <c r="D40" i="39"/>
  <c r="D39" i="39"/>
  <c r="F23" i="39"/>
  <c r="F21" i="39"/>
  <c r="F20" i="39"/>
  <c r="J40" i="39" s="1"/>
  <c r="F18" i="39"/>
  <c r="F14" i="39"/>
  <c r="F13" i="39"/>
  <c r="D5" i="39"/>
  <c r="C250" i="38"/>
  <c r="C249" i="38"/>
  <c r="C248" i="38"/>
  <c r="C247" i="38"/>
  <c r="C246" i="38"/>
  <c r="C245" i="38"/>
  <c r="C244" i="38"/>
  <c r="C243" i="38"/>
  <c r="C242" i="38"/>
  <c r="C241" i="38"/>
  <c r="C240" i="38"/>
  <c r="C239" i="38"/>
  <c r="C238" i="38"/>
  <c r="C237" i="38"/>
  <c r="C236" i="38"/>
  <c r="C235" i="38"/>
  <c r="C234" i="38"/>
  <c r="C233" i="38"/>
  <c r="C232" i="38"/>
  <c r="C231" i="38"/>
  <c r="C230" i="38"/>
  <c r="C229" i="38"/>
  <c r="C228" i="38"/>
  <c r="C227" i="38"/>
  <c r="C226" i="38"/>
  <c r="C225" i="38"/>
  <c r="C224" i="38"/>
  <c r="C223" i="38"/>
  <c r="C222" i="38"/>
  <c r="C221" i="38"/>
  <c r="C220" i="38"/>
  <c r="C219" i="38"/>
  <c r="C218" i="38"/>
  <c r="C217" i="38"/>
  <c r="C216" i="38"/>
  <c r="C215" i="38"/>
  <c r="C214" i="38"/>
  <c r="C213" i="38"/>
  <c r="C212" i="38"/>
  <c r="C211" i="38"/>
  <c r="C210" i="38"/>
  <c r="C209" i="38"/>
  <c r="C208" i="38"/>
  <c r="C207" i="38"/>
  <c r="C206" i="38"/>
  <c r="C205" i="38"/>
  <c r="C204" i="38"/>
  <c r="C203" i="38"/>
  <c r="C202" i="38"/>
  <c r="C201" i="38"/>
  <c r="C200" i="38"/>
  <c r="C199" i="38"/>
  <c r="C198" i="38"/>
  <c r="C197" i="38"/>
  <c r="C196" i="38"/>
  <c r="C195" i="38"/>
  <c r="C194" i="38"/>
  <c r="C193" i="38"/>
  <c r="C192" i="38"/>
  <c r="C191" i="38"/>
  <c r="C190" i="38"/>
  <c r="C189" i="38"/>
  <c r="C188" i="38"/>
  <c r="C187" i="38"/>
  <c r="C186" i="38"/>
  <c r="C185" i="38"/>
  <c r="C184" i="38"/>
  <c r="C183" i="38"/>
  <c r="C182" i="38"/>
  <c r="C181" i="38"/>
  <c r="C180" i="38"/>
  <c r="C179" i="38"/>
  <c r="C178" i="38"/>
  <c r="C177" i="38"/>
  <c r="C176" i="38"/>
  <c r="C175" i="38"/>
  <c r="C174" i="38"/>
  <c r="C173" i="38"/>
  <c r="C172" i="38"/>
  <c r="C171" i="38"/>
  <c r="C170" i="38"/>
  <c r="C169" i="38"/>
  <c r="C168" i="38"/>
  <c r="C167" i="38"/>
  <c r="C166" i="38"/>
  <c r="C165" i="38"/>
  <c r="C164" i="38"/>
  <c r="C163" i="38"/>
  <c r="C162" i="38"/>
  <c r="C161" i="38"/>
  <c r="C160" i="38"/>
  <c r="C159" i="38"/>
  <c r="C158" i="38"/>
  <c r="C157" i="38"/>
  <c r="C156" i="38"/>
  <c r="C155" i="38"/>
  <c r="C154" i="38"/>
  <c r="C153" i="38"/>
  <c r="C152" i="38"/>
  <c r="C151" i="38"/>
  <c r="C150" i="38"/>
  <c r="C149" i="38"/>
  <c r="C148" i="38"/>
  <c r="C147" i="38"/>
  <c r="C146" i="38"/>
  <c r="C145" i="38"/>
  <c r="C144" i="38"/>
  <c r="C143" i="38"/>
  <c r="C142" i="38"/>
  <c r="C141" i="38"/>
  <c r="C140" i="38"/>
  <c r="C139" i="38"/>
  <c r="C138" i="38"/>
  <c r="C137" i="38"/>
  <c r="C136" i="38"/>
  <c r="C135" i="38"/>
  <c r="C134" i="38"/>
  <c r="C133" i="38"/>
  <c r="C132" i="38"/>
  <c r="C131" i="38"/>
  <c r="C130" i="38"/>
  <c r="C129" i="38"/>
  <c r="C128" i="38"/>
  <c r="C127" i="38"/>
  <c r="C126" i="38"/>
  <c r="C125" i="38"/>
  <c r="C124" i="38"/>
  <c r="C123" i="38"/>
  <c r="C122" i="38"/>
  <c r="C121" i="38"/>
  <c r="C120" i="38"/>
  <c r="C119" i="38"/>
  <c r="C118" i="38"/>
  <c r="C117" i="38"/>
  <c r="C116" i="38"/>
  <c r="C115" i="38"/>
  <c r="C114" i="38"/>
  <c r="C113" i="38"/>
  <c r="C112" i="38"/>
  <c r="C111" i="38"/>
  <c r="C110" i="38"/>
  <c r="C109" i="38"/>
  <c r="C108" i="38"/>
  <c r="C107" i="38"/>
  <c r="C106" i="38"/>
  <c r="C105" i="38"/>
  <c r="C104" i="38"/>
  <c r="C103" i="38"/>
  <c r="C102" i="38"/>
  <c r="C101" i="38"/>
  <c r="C100" i="38"/>
  <c r="D100" i="38" s="1"/>
  <c r="D59" i="38"/>
  <c r="D58" i="38"/>
  <c r="D57" i="38"/>
  <c r="D56" i="38"/>
  <c r="D55" i="38"/>
  <c r="D54" i="38"/>
  <c r="D53" i="38"/>
  <c r="D52" i="38"/>
  <c r="D51" i="38"/>
  <c r="D50" i="38"/>
  <c r="D49" i="38"/>
  <c r="D48" i="38"/>
  <c r="D47" i="38"/>
  <c r="D46" i="38"/>
  <c r="D45" i="38"/>
  <c r="D44" i="38"/>
  <c r="D43" i="38"/>
  <c r="D42" i="38"/>
  <c r="D41" i="38"/>
  <c r="D40" i="38"/>
  <c r="D39" i="38"/>
  <c r="F23" i="38"/>
  <c r="F22" i="38"/>
  <c r="F21" i="38"/>
  <c r="F18" i="38"/>
  <c r="F14" i="38"/>
  <c r="F13" i="38"/>
  <c r="D5" i="38"/>
  <c r="C250" i="37"/>
  <c r="C249" i="37"/>
  <c r="C248" i="37"/>
  <c r="C247" i="37"/>
  <c r="C246" i="37"/>
  <c r="C245" i="37"/>
  <c r="C244" i="37"/>
  <c r="C243" i="37"/>
  <c r="C242" i="37"/>
  <c r="C241" i="37"/>
  <c r="C240" i="37"/>
  <c r="C239" i="37"/>
  <c r="C238" i="37"/>
  <c r="C237" i="37"/>
  <c r="C236" i="37"/>
  <c r="C235" i="37"/>
  <c r="C234" i="37"/>
  <c r="C233" i="37"/>
  <c r="C232" i="37"/>
  <c r="C231" i="37"/>
  <c r="C230" i="37"/>
  <c r="C229" i="37"/>
  <c r="C228" i="37"/>
  <c r="C227" i="37"/>
  <c r="C226" i="37"/>
  <c r="C225" i="37"/>
  <c r="C224" i="37"/>
  <c r="C223" i="37"/>
  <c r="C222" i="37"/>
  <c r="C221" i="37"/>
  <c r="C220" i="37"/>
  <c r="C219" i="37"/>
  <c r="C218" i="37"/>
  <c r="C217" i="37"/>
  <c r="C216" i="37"/>
  <c r="C215" i="37"/>
  <c r="C214" i="37"/>
  <c r="C213" i="37"/>
  <c r="C212" i="37"/>
  <c r="C211" i="37"/>
  <c r="C210" i="37"/>
  <c r="C209" i="37"/>
  <c r="C208" i="37"/>
  <c r="C207" i="37"/>
  <c r="C206" i="37"/>
  <c r="C205" i="37"/>
  <c r="C204" i="37"/>
  <c r="C203" i="37"/>
  <c r="C202" i="37"/>
  <c r="C201" i="37"/>
  <c r="C200" i="37"/>
  <c r="C199" i="37"/>
  <c r="C198" i="37"/>
  <c r="C197" i="37"/>
  <c r="C196" i="37"/>
  <c r="C195" i="37"/>
  <c r="C194" i="37"/>
  <c r="C193" i="37"/>
  <c r="C192" i="37"/>
  <c r="C191" i="37"/>
  <c r="C190" i="37"/>
  <c r="C189" i="37"/>
  <c r="C188" i="37"/>
  <c r="C187" i="37"/>
  <c r="C186" i="37"/>
  <c r="C185" i="37"/>
  <c r="C184" i="37"/>
  <c r="C183" i="37"/>
  <c r="C182" i="37"/>
  <c r="C181" i="37"/>
  <c r="C180" i="37"/>
  <c r="C179" i="37"/>
  <c r="C178" i="37"/>
  <c r="C177" i="37"/>
  <c r="C176" i="37"/>
  <c r="C175" i="37"/>
  <c r="C174" i="37"/>
  <c r="C173" i="37"/>
  <c r="C172" i="37"/>
  <c r="C171" i="37"/>
  <c r="C170" i="37"/>
  <c r="C169" i="37"/>
  <c r="C168" i="37"/>
  <c r="C167" i="37"/>
  <c r="C166" i="37"/>
  <c r="C165" i="37"/>
  <c r="C164" i="37"/>
  <c r="C163" i="37"/>
  <c r="C162" i="37"/>
  <c r="C161" i="37"/>
  <c r="C160" i="37"/>
  <c r="C159" i="37"/>
  <c r="C158" i="37"/>
  <c r="C157" i="37"/>
  <c r="C156" i="37"/>
  <c r="C155" i="37"/>
  <c r="C154" i="37"/>
  <c r="C153" i="37"/>
  <c r="C152" i="37"/>
  <c r="C151" i="37"/>
  <c r="C150" i="37"/>
  <c r="C149" i="37"/>
  <c r="C148" i="37"/>
  <c r="C147" i="37"/>
  <c r="C146" i="37"/>
  <c r="C145" i="37"/>
  <c r="C144" i="37"/>
  <c r="C143" i="37"/>
  <c r="C142" i="37"/>
  <c r="C141" i="37"/>
  <c r="C140" i="37"/>
  <c r="C139" i="37"/>
  <c r="C138" i="37"/>
  <c r="C137" i="37"/>
  <c r="C136" i="37"/>
  <c r="C135" i="37"/>
  <c r="C134" i="37"/>
  <c r="C133" i="37"/>
  <c r="C132" i="37"/>
  <c r="C131" i="37"/>
  <c r="C130" i="37"/>
  <c r="C129" i="37"/>
  <c r="C128" i="37"/>
  <c r="C127" i="37"/>
  <c r="C126" i="37"/>
  <c r="C125" i="37"/>
  <c r="C124" i="37"/>
  <c r="C123" i="37"/>
  <c r="C122" i="37"/>
  <c r="C121" i="37"/>
  <c r="C120" i="37"/>
  <c r="C119" i="37"/>
  <c r="C118" i="37"/>
  <c r="C117" i="37"/>
  <c r="C116" i="37"/>
  <c r="C115" i="37"/>
  <c r="C114" i="37"/>
  <c r="C113" i="37"/>
  <c r="C112" i="37"/>
  <c r="C111" i="37"/>
  <c r="C110" i="37"/>
  <c r="C109" i="37"/>
  <c r="C108" i="37"/>
  <c r="C107" i="37"/>
  <c r="C106" i="37"/>
  <c r="C105" i="37"/>
  <c r="C104" i="37"/>
  <c r="C103" i="37"/>
  <c r="C102" i="37"/>
  <c r="C101" i="37"/>
  <c r="C100" i="37"/>
  <c r="D100" i="37" s="1"/>
  <c r="D59" i="37"/>
  <c r="D58" i="37"/>
  <c r="D57" i="37"/>
  <c r="D56" i="37"/>
  <c r="D55" i="37"/>
  <c r="D54" i="37"/>
  <c r="D53" i="37"/>
  <c r="D52" i="37"/>
  <c r="D51" i="37"/>
  <c r="D50" i="37"/>
  <c r="D49" i="37"/>
  <c r="D48" i="37"/>
  <c r="D47" i="37"/>
  <c r="D46" i="37"/>
  <c r="D45" i="37"/>
  <c r="D44" i="37"/>
  <c r="D43" i="37"/>
  <c r="D42" i="37"/>
  <c r="D41" i="37"/>
  <c r="D40" i="37"/>
  <c r="D39" i="37"/>
  <c r="F23" i="37"/>
  <c r="F22" i="37"/>
  <c r="F21" i="37"/>
  <c r="F20" i="37"/>
  <c r="F18" i="37"/>
  <c r="F14" i="37"/>
  <c r="F13" i="37"/>
  <c r="D5" i="37"/>
  <c r="Y99" i="22"/>
  <c r="BD235" i="40" l="1"/>
  <c r="BD219" i="40"/>
  <c r="BD203" i="40"/>
  <c r="BD187" i="40"/>
  <c r="BD171" i="40"/>
  <c r="BD155" i="40"/>
  <c r="BD139" i="40"/>
  <c r="BD107" i="40"/>
  <c r="BL249" i="40"/>
  <c r="BL233" i="40"/>
  <c r="BL217" i="40"/>
  <c r="BP224" i="40" s="1"/>
  <c r="BR224" i="40" s="1"/>
  <c r="BL201" i="40"/>
  <c r="BQ208" i="40" s="1"/>
  <c r="BL185" i="40"/>
  <c r="BQ192" i="40" s="1"/>
  <c r="BL169" i="40"/>
  <c r="BP176" i="40" s="1"/>
  <c r="BR176" i="40" s="1"/>
  <c r="BL153" i="40"/>
  <c r="BP160" i="40" s="1"/>
  <c r="BR160" i="40" s="1"/>
  <c r="BL121" i="40"/>
  <c r="BQ128" i="40" s="1"/>
  <c r="BL105" i="40"/>
  <c r="BD250" i="40"/>
  <c r="BD234" i="40"/>
  <c r="BD218" i="40"/>
  <c r="BD202" i="40"/>
  <c r="BD186" i="40"/>
  <c r="BD170" i="40"/>
  <c r="BD154" i="40"/>
  <c r="BD138" i="40"/>
  <c r="BD106" i="40"/>
  <c r="BI113" i="40" s="1"/>
  <c r="BL248" i="40"/>
  <c r="BL232" i="40"/>
  <c r="BQ239" i="40" s="1"/>
  <c r="BL216" i="40"/>
  <c r="BQ223" i="40" s="1"/>
  <c r="BL200" i="40"/>
  <c r="BP207" i="40" s="1"/>
  <c r="BR207" i="40" s="1"/>
  <c r="BL184" i="40"/>
  <c r="BP191" i="40" s="1"/>
  <c r="BR191" i="40" s="1"/>
  <c r="BL168" i="40"/>
  <c r="BP175" i="40" s="1"/>
  <c r="BR175" i="40" s="1"/>
  <c r="BL152" i="40"/>
  <c r="BL120" i="40"/>
  <c r="BL104" i="40"/>
  <c r="BD249" i="40"/>
  <c r="BD233" i="40"/>
  <c r="BD217" i="40"/>
  <c r="BD201" i="40"/>
  <c r="BD185" i="40"/>
  <c r="BD169" i="40"/>
  <c r="BD153" i="40"/>
  <c r="BI160" i="40" s="1"/>
  <c r="BD137" i="40"/>
  <c r="BH144" i="40" s="1"/>
  <c r="BJ144" i="40" s="1"/>
  <c r="BD105" i="40"/>
  <c r="BI112" i="40" s="1"/>
  <c r="BL247" i="40"/>
  <c r="BL231" i="40"/>
  <c r="BP238" i="40" s="1"/>
  <c r="BR238" i="40" s="1"/>
  <c r="BL215" i="40"/>
  <c r="BQ222" i="40" s="1"/>
  <c r="BL199" i="40"/>
  <c r="BP206" i="40" s="1"/>
  <c r="BR206" i="40" s="1"/>
  <c r="BL183" i="40"/>
  <c r="BL167" i="40"/>
  <c r="BL151" i="40"/>
  <c r="BL119" i="40"/>
  <c r="BL103" i="40"/>
  <c r="BD248" i="40"/>
  <c r="BD232" i="40"/>
  <c r="BD216" i="40"/>
  <c r="BD200" i="40"/>
  <c r="BD184" i="40"/>
  <c r="BH191" i="40" s="1"/>
  <c r="BJ191" i="40" s="1"/>
  <c r="BD168" i="40"/>
  <c r="BI175" i="40" s="1"/>
  <c r="BD152" i="40"/>
  <c r="BI159" i="40" s="1"/>
  <c r="BD136" i="40"/>
  <c r="BH143" i="40" s="1"/>
  <c r="BJ143" i="40" s="1"/>
  <c r="BD104" i="40"/>
  <c r="BI111" i="40" s="1"/>
  <c r="BL246" i="40"/>
  <c r="BL230" i="40"/>
  <c r="BP237" i="40" s="1"/>
  <c r="BR237" i="40" s="1"/>
  <c r="BL214" i="40"/>
  <c r="BL198" i="40"/>
  <c r="BL182" i="40"/>
  <c r="BL166" i="40"/>
  <c r="BL150" i="40"/>
  <c r="BL118" i="40"/>
  <c r="BL102" i="40"/>
  <c r="BD247" i="40"/>
  <c r="BD231" i="40"/>
  <c r="BD215" i="40"/>
  <c r="BI222" i="40" s="1"/>
  <c r="BD199" i="40"/>
  <c r="BI206" i="40" s="1"/>
  <c r="BD183" i="40"/>
  <c r="BH190" i="40" s="1"/>
  <c r="BJ190" i="40" s="1"/>
  <c r="BD167" i="40"/>
  <c r="BH174" i="40" s="1"/>
  <c r="BJ174" i="40" s="1"/>
  <c r="BD151" i="40"/>
  <c r="BH158" i="40" s="1"/>
  <c r="BJ158" i="40" s="1"/>
  <c r="BD135" i="40"/>
  <c r="BH142" i="40" s="1"/>
  <c r="BJ142" i="40" s="1"/>
  <c r="BD103" i="40"/>
  <c r="BI110" i="40" s="1"/>
  <c r="BL245" i="40"/>
  <c r="BL229" i="40"/>
  <c r="BL213" i="40"/>
  <c r="BL197" i="40"/>
  <c r="BL181" i="40"/>
  <c r="BL165" i="40"/>
  <c r="BL149" i="40"/>
  <c r="BL117" i="40"/>
  <c r="BL101" i="40"/>
  <c r="BD246" i="40"/>
  <c r="BD230" i="40"/>
  <c r="BH237" i="40" s="1"/>
  <c r="BJ237" i="40" s="1"/>
  <c r="BD214" i="40"/>
  <c r="BI221" i="40" s="1"/>
  <c r="BD198" i="40"/>
  <c r="BI205" i="40" s="1"/>
  <c r="BD182" i="40"/>
  <c r="BI189" i="40" s="1"/>
  <c r="BD166" i="40"/>
  <c r="BI173" i="40" s="1"/>
  <c r="BD150" i="40"/>
  <c r="BI157" i="40" s="1"/>
  <c r="BD102" i="40"/>
  <c r="BL244" i="40"/>
  <c r="BL228" i="40"/>
  <c r="BL212" i="40"/>
  <c r="BL196" i="40"/>
  <c r="BL180" i="40"/>
  <c r="BL164" i="40"/>
  <c r="BL116" i="40"/>
  <c r="BL100" i="40"/>
  <c r="BD245" i="40"/>
  <c r="BD229" i="40"/>
  <c r="BH236" i="40" s="1"/>
  <c r="BJ236" i="40" s="1"/>
  <c r="BD213" i="40"/>
  <c r="BI220" i="40" s="1"/>
  <c r="BD197" i="40"/>
  <c r="BH204" i="40" s="1"/>
  <c r="BJ204" i="40" s="1"/>
  <c r="BD181" i="40"/>
  <c r="BH188" i="40" s="1"/>
  <c r="BJ188" i="40" s="1"/>
  <c r="BD165" i="40"/>
  <c r="BH172" i="40" s="1"/>
  <c r="BJ172" i="40" s="1"/>
  <c r="BD149" i="40"/>
  <c r="BH156" i="40" s="1"/>
  <c r="BJ156" i="40" s="1"/>
  <c r="BD101" i="40"/>
  <c r="BL243" i="40"/>
  <c r="BL227" i="40"/>
  <c r="BL211" i="40"/>
  <c r="BL195" i="40"/>
  <c r="BL179" i="40"/>
  <c r="BL163" i="40"/>
  <c r="BL115" i="40"/>
  <c r="BD244" i="40"/>
  <c r="BD228" i="40"/>
  <c r="BD212" i="40"/>
  <c r="BI219" i="40" s="1"/>
  <c r="BD196" i="40"/>
  <c r="BI203" i="40" s="1"/>
  <c r="BD180" i="40"/>
  <c r="BH187" i="40" s="1"/>
  <c r="BJ187" i="40" s="1"/>
  <c r="BD164" i="40"/>
  <c r="BH171" i="40" s="1"/>
  <c r="BJ171" i="40" s="1"/>
  <c r="BD148" i="40"/>
  <c r="BH155" i="40" s="1"/>
  <c r="BJ155" i="40" s="1"/>
  <c r="BD100" i="40"/>
  <c r="BH107" i="40" s="1"/>
  <c r="BJ107" i="40" s="1"/>
  <c r="BL242" i="40"/>
  <c r="BL226" i="40"/>
  <c r="BL210" i="40"/>
  <c r="BL194" i="40"/>
  <c r="BL178" i="40"/>
  <c r="BL162" i="40"/>
  <c r="BL114" i="40"/>
  <c r="BD243" i="40"/>
  <c r="BD227" i="40"/>
  <c r="BD211" i="40"/>
  <c r="BH218" i="40" s="1"/>
  <c r="BJ218" i="40" s="1"/>
  <c r="BD195" i="40"/>
  <c r="BI202" i="40" s="1"/>
  <c r="BD179" i="40"/>
  <c r="BI186" i="40" s="1"/>
  <c r="BD163" i="40"/>
  <c r="BH170" i="40" s="1"/>
  <c r="BJ170" i="40" s="1"/>
  <c r="BD147" i="40"/>
  <c r="BH154" i="40" s="1"/>
  <c r="BJ154" i="40" s="1"/>
  <c r="BL241" i="40"/>
  <c r="BP248" i="40" s="1"/>
  <c r="BR248" i="40" s="1"/>
  <c r="BL225" i="40"/>
  <c r="BQ232" i="40" s="1"/>
  <c r="BL209" i="40"/>
  <c r="BL193" i="40"/>
  <c r="BL177" i="40"/>
  <c r="BL161" i="40"/>
  <c r="BL113" i="40"/>
  <c r="BD242" i="40"/>
  <c r="BD226" i="40"/>
  <c r="BD210" i="40"/>
  <c r="BD194" i="40"/>
  <c r="BD178" i="40"/>
  <c r="BH185" i="40" s="1"/>
  <c r="BJ185" i="40" s="1"/>
  <c r="BD162" i="40"/>
  <c r="BH169" i="40" s="1"/>
  <c r="BJ169" i="40" s="1"/>
  <c r="BD146" i="40"/>
  <c r="BH153" i="40" s="1"/>
  <c r="BJ153" i="40" s="1"/>
  <c r="BL240" i="40"/>
  <c r="BP247" i="40" s="1"/>
  <c r="BR247" i="40" s="1"/>
  <c r="BL224" i="40"/>
  <c r="BP231" i="40" s="1"/>
  <c r="BR231" i="40" s="1"/>
  <c r="BL208" i="40"/>
  <c r="BQ215" i="40" s="1"/>
  <c r="BL192" i="40"/>
  <c r="BP199" i="40" s="1"/>
  <c r="BR199" i="40" s="1"/>
  <c r="BL176" i="40"/>
  <c r="BL160" i="40"/>
  <c r="BL112" i="40"/>
  <c r="BD241" i="40"/>
  <c r="BD225" i="40"/>
  <c r="BD209" i="40"/>
  <c r="BD193" i="40"/>
  <c r="BD177" i="40"/>
  <c r="BD161" i="40"/>
  <c r="BD145" i="40"/>
  <c r="BH152" i="40" s="1"/>
  <c r="BJ152" i="40" s="1"/>
  <c r="BD113" i="40"/>
  <c r="BI120" i="40" s="1"/>
  <c r="BL239" i="40"/>
  <c r="BP246" i="40" s="1"/>
  <c r="BR246" i="40" s="1"/>
  <c r="BL223" i="40"/>
  <c r="BP230" i="40" s="1"/>
  <c r="BR230" i="40" s="1"/>
  <c r="BL207" i="40"/>
  <c r="BQ214" i="40" s="1"/>
  <c r="BL191" i="40"/>
  <c r="BQ198" i="40" s="1"/>
  <c r="BL175" i="40"/>
  <c r="BP182" i="40" s="1"/>
  <c r="BR182" i="40" s="1"/>
  <c r="BL159" i="40"/>
  <c r="BL127" i="40"/>
  <c r="BL111" i="40"/>
  <c r="BD240" i="40"/>
  <c r="BD224" i="40"/>
  <c r="BD208" i="40"/>
  <c r="BD192" i="40"/>
  <c r="BD176" i="40"/>
  <c r="BD160" i="40"/>
  <c r="BD144" i="40"/>
  <c r="BI151" i="40" s="1"/>
  <c r="BD112" i="40"/>
  <c r="BH119" i="40" s="1"/>
  <c r="BJ119" i="40" s="1"/>
  <c r="BL238" i="40"/>
  <c r="BQ245" i="40" s="1"/>
  <c r="BL222" i="40"/>
  <c r="BQ229" i="40" s="1"/>
  <c r="BL206" i="40"/>
  <c r="BP213" i="40" s="1"/>
  <c r="BR213" i="40" s="1"/>
  <c r="BL190" i="40"/>
  <c r="BP197" i="40" s="1"/>
  <c r="BR197" i="40" s="1"/>
  <c r="BL174" i="40"/>
  <c r="BQ181" i="40" s="1"/>
  <c r="BL158" i="40"/>
  <c r="BL126" i="40"/>
  <c r="BL110" i="40"/>
  <c r="BD239" i="40"/>
  <c r="BD223" i="40"/>
  <c r="BD207" i="40"/>
  <c r="BD191" i="40"/>
  <c r="BD175" i="40"/>
  <c r="BD159" i="40"/>
  <c r="BD143" i="40"/>
  <c r="BH150" i="40" s="1"/>
  <c r="BJ150" i="40" s="1"/>
  <c r="BD111" i="40"/>
  <c r="BH118" i="40" s="1"/>
  <c r="BJ118" i="40" s="1"/>
  <c r="BL237" i="40"/>
  <c r="BQ244" i="40" s="1"/>
  <c r="BL221" i="40"/>
  <c r="BQ228" i="40" s="1"/>
  <c r="BL205" i="40"/>
  <c r="BP212" i="40" s="1"/>
  <c r="BR212" i="40" s="1"/>
  <c r="BL189" i="40"/>
  <c r="BQ196" i="40" s="1"/>
  <c r="BL173" i="40"/>
  <c r="BP180" i="40" s="1"/>
  <c r="BR180" i="40" s="1"/>
  <c r="BL157" i="40"/>
  <c r="BL125" i="40"/>
  <c r="BL109" i="40"/>
  <c r="BD238" i="40"/>
  <c r="BD222" i="40"/>
  <c r="BD206" i="40"/>
  <c r="BD190" i="40"/>
  <c r="BD174" i="40"/>
  <c r="BD158" i="40"/>
  <c r="BD142" i="40"/>
  <c r="BD110" i="40"/>
  <c r="BH117" i="40" s="1"/>
  <c r="BJ117" i="40" s="1"/>
  <c r="BL236" i="40"/>
  <c r="BP243" i="40" s="1"/>
  <c r="BR243" i="40" s="1"/>
  <c r="BL220" i="40"/>
  <c r="BQ227" i="40" s="1"/>
  <c r="BL204" i="40"/>
  <c r="BQ211" i="40" s="1"/>
  <c r="BL188" i="40"/>
  <c r="BQ195" i="40" s="1"/>
  <c r="BL172" i="40"/>
  <c r="BQ179" i="40" s="1"/>
  <c r="BL156" i="40"/>
  <c r="BL124" i="40"/>
  <c r="BL108" i="40"/>
  <c r="BD237" i="40"/>
  <c r="BI244" i="40" s="1"/>
  <c r="BD221" i="40"/>
  <c r="BD205" i="40"/>
  <c r="BD189" i="40"/>
  <c r="BD173" i="40"/>
  <c r="BD157" i="40"/>
  <c r="BD141" i="40"/>
  <c r="BH148" i="40" s="1"/>
  <c r="BJ148" i="40" s="1"/>
  <c r="BD109" i="40"/>
  <c r="BI116" i="40" s="1"/>
  <c r="BL235" i="40"/>
  <c r="BQ242" i="40" s="1"/>
  <c r="BL219" i="40"/>
  <c r="BP226" i="40" s="1"/>
  <c r="BR226" i="40" s="1"/>
  <c r="BL203" i="40"/>
  <c r="BP210" i="40" s="1"/>
  <c r="BR210" i="40" s="1"/>
  <c r="BL187" i="40"/>
  <c r="BP194" i="40" s="1"/>
  <c r="BR194" i="40" s="1"/>
  <c r="BL171" i="40"/>
  <c r="BP178" i="40" s="1"/>
  <c r="BR178" i="40" s="1"/>
  <c r="BL155" i="40"/>
  <c r="BL123" i="40"/>
  <c r="BL107" i="40"/>
  <c r="BP114" i="40" s="1"/>
  <c r="BR114" i="40" s="1"/>
  <c r="BD236" i="40"/>
  <c r="BI243" i="40" s="1"/>
  <c r="BD220" i="40"/>
  <c r="BD204" i="40"/>
  <c r="BD188" i="40"/>
  <c r="BD172" i="40"/>
  <c r="BD156" i="40"/>
  <c r="BD140" i="40"/>
  <c r="BD108" i="40"/>
  <c r="BH115" i="40" s="1"/>
  <c r="BJ115" i="40" s="1"/>
  <c r="BL250" i="40"/>
  <c r="BL234" i="40"/>
  <c r="BP241" i="40" s="1"/>
  <c r="BR241" i="40" s="1"/>
  <c r="BL218" i="40"/>
  <c r="BQ225" i="40" s="1"/>
  <c r="BL202" i="40"/>
  <c r="BQ209" i="40" s="1"/>
  <c r="BL186" i="40"/>
  <c r="BP193" i="40" s="1"/>
  <c r="BR193" i="40" s="1"/>
  <c r="BL170" i="40"/>
  <c r="BL154" i="40"/>
  <c r="BL122" i="40"/>
  <c r="BP129" i="40" s="1"/>
  <c r="BR129" i="40" s="1"/>
  <c r="BL106" i="40"/>
  <c r="BQ113" i="40" s="1"/>
  <c r="BL249" i="38"/>
  <c r="BL233" i="38"/>
  <c r="BL217" i="38"/>
  <c r="BL201" i="38"/>
  <c r="BL185" i="38"/>
  <c r="BL169" i="38"/>
  <c r="BP176" i="38" s="1"/>
  <c r="BR176" i="38" s="1"/>
  <c r="BL121" i="38"/>
  <c r="BP128" i="38" s="1"/>
  <c r="BR128" i="38" s="1"/>
  <c r="BL105" i="38"/>
  <c r="BP112" i="38" s="1"/>
  <c r="BR112" i="38" s="1"/>
  <c r="BD240" i="38"/>
  <c r="BI247" i="38" s="1"/>
  <c r="BD224" i="38"/>
  <c r="BH231" i="38" s="1"/>
  <c r="BJ231" i="38" s="1"/>
  <c r="BD208" i="38"/>
  <c r="BI215" i="38" s="1"/>
  <c r="BD192" i="38"/>
  <c r="BH199" i="38" s="1"/>
  <c r="BJ199" i="38" s="1"/>
  <c r="BD176" i="38"/>
  <c r="BD160" i="38"/>
  <c r="BD112" i="38"/>
  <c r="BI119" i="38" s="1"/>
  <c r="BL248" i="38"/>
  <c r="BL232" i="38"/>
  <c r="BL216" i="38"/>
  <c r="BL200" i="38"/>
  <c r="BL184" i="38"/>
  <c r="BP191" i="38" s="1"/>
  <c r="BR191" i="38" s="1"/>
  <c r="BL168" i="38"/>
  <c r="BQ175" i="38" s="1"/>
  <c r="BL120" i="38"/>
  <c r="BP127" i="38" s="1"/>
  <c r="BR127" i="38" s="1"/>
  <c r="BL104" i="38"/>
  <c r="BP111" i="38" s="1"/>
  <c r="BR111" i="38" s="1"/>
  <c r="BD239" i="38"/>
  <c r="BI246" i="38" s="1"/>
  <c r="BD223" i="38"/>
  <c r="BH230" i="38" s="1"/>
  <c r="BJ230" i="38" s="1"/>
  <c r="BD207" i="38"/>
  <c r="BH214" i="38" s="1"/>
  <c r="BJ214" i="38" s="1"/>
  <c r="BD191" i="38"/>
  <c r="BH198" i="38" s="1"/>
  <c r="BJ198" i="38" s="1"/>
  <c r="BD175" i="38"/>
  <c r="BH182" i="38" s="1"/>
  <c r="BJ182" i="38" s="1"/>
  <c r="BD159" i="38"/>
  <c r="BD111" i="38"/>
  <c r="BL247" i="38"/>
  <c r="BL231" i="38"/>
  <c r="BQ238" i="38" s="1"/>
  <c r="BL215" i="38"/>
  <c r="BL199" i="38"/>
  <c r="BL183" i="38"/>
  <c r="BL119" i="38"/>
  <c r="BP126" i="38" s="1"/>
  <c r="BR126" i="38" s="1"/>
  <c r="BL103" i="38"/>
  <c r="BD238" i="38"/>
  <c r="BD222" i="38"/>
  <c r="BI229" i="38" s="1"/>
  <c r="BD206" i="38"/>
  <c r="BI213" i="38" s="1"/>
  <c r="BD190" i="38"/>
  <c r="BI197" i="38" s="1"/>
  <c r="BD174" i="38"/>
  <c r="BI181" i="38" s="1"/>
  <c r="BD158" i="38"/>
  <c r="BI165" i="38" s="1"/>
  <c r="BD110" i="38"/>
  <c r="BH117" i="38" s="1"/>
  <c r="BJ117" i="38" s="1"/>
  <c r="BL246" i="38"/>
  <c r="BL230" i="38"/>
  <c r="BL214" i="38"/>
  <c r="BP221" i="38" s="1"/>
  <c r="BR221" i="38" s="1"/>
  <c r="BL198" i="38"/>
  <c r="BQ205" i="38" s="1"/>
  <c r="BL182" i="38"/>
  <c r="BL118" i="38"/>
  <c r="BL102" i="38"/>
  <c r="BQ109" i="38" s="1"/>
  <c r="BD237" i="38"/>
  <c r="BH244" i="38" s="1"/>
  <c r="BJ244" i="38" s="1"/>
  <c r="BD221" i="38"/>
  <c r="BI228" i="38" s="1"/>
  <c r="BD205" i="38"/>
  <c r="BH212" i="38" s="1"/>
  <c r="BJ212" i="38" s="1"/>
  <c r="BD189" i="38"/>
  <c r="BH196" i="38" s="1"/>
  <c r="BJ196" i="38" s="1"/>
  <c r="BD173" i="38"/>
  <c r="BH180" i="38" s="1"/>
  <c r="BJ180" i="38" s="1"/>
  <c r="BD157" i="38"/>
  <c r="BI164" i="38" s="1"/>
  <c r="BD109" i="38"/>
  <c r="BH116" i="38" s="1"/>
  <c r="BJ116" i="38" s="1"/>
  <c r="BL245" i="38"/>
  <c r="BL229" i="38"/>
  <c r="BQ236" i="38" s="1"/>
  <c r="BL213" i="38"/>
  <c r="BL197" i="38"/>
  <c r="BL181" i="38"/>
  <c r="BQ188" i="38" s="1"/>
  <c r="BL117" i="38"/>
  <c r="BL101" i="38"/>
  <c r="BD236" i="38"/>
  <c r="BD220" i="38"/>
  <c r="BD204" i="38"/>
  <c r="BH211" i="38" s="1"/>
  <c r="BJ211" i="38" s="1"/>
  <c r="BD188" i="38"/>
  <c r="BH195" i="38" s="1"/>
  <c r="BJ195" i="38" s="1"/>
  <c r="BD172" i="38"/>
  <c r="BI179" i="38" s="1"/>
  <c r="BD156" i="38"/>
  <c r="BH163" i="38" s="1"/>
  <c r="BJ163" i="38" s="1"/>
  <c r="BD108" i="38"/>
  <c r="BI115" i="38" s="1"/>
  <c r="BL244" i="38"/>
  <c r="BL228" i="38"/>
  <c r="BP235" i="38" s="1"/>
  <c r="BR235" i="38" s="1"/>
  <c r="BL212" i="38"/>
  <c r="BP219" i="38" s="1"/>
  <c r="BR219" i="38" s="1"/>
  <c r="BL196" i="38"/>
  <c r="BP203" i="38" s="1"/>
  <c r="BR203" i="38" s="1"/>
  <c r="BL180" i="38"/>
  <c r="BL116" i="38"/>
  <c r="BL100" i="38"/>
  <c r="BP107" i="38" s="1"/>
  <c r="BR107" i="38" s="1"/>
  <c r="BD235" i="38"/>
  <c r="BH242" i="38" s="1"/>
  <c r="BJ242" i="38" s="1"/>
  <c r="BD219" i="38"/>
  <c r="BD203" i="38"/>
  <c r="BD187" i="38"/>
  <c r="BI194" i="38" s="1"/>
  <c r="BD171" i="38"/>
  <c r="BH178" i="38" s="1"/>
  <c r="BJ178" i="38" s="1"/>
  <c r="BD155" i="38"/>
  <c r="BD107" i="38"/>
  <c r="BL243" i="38"/>
  <c r="BP250" i="38" s="1"/>
  <c r="BR250" i="38" s="1"/>
  <c r="BL227" i="38"/>
  <c r="BP234" i="38" s="1"/>
  <c r="BR234" i="38" s="1"/>
  <c r="BL211" i="38"/>
  <c r="BQ218" i="38" s="1"/>
  <c r="BL195" i="38"/>
  <c r="BQ202" i="38" s="1"/>
  <c r="BL179" i="38"/>
  <c r="BP186" i="38" s="1"/>
  <c r="BR186" i="38" s="1"/>
  <c r="BL115" i="38"/>
  <c r="BP122" i="38" s="1"/>
  <c r="BR122" i="38" s="1"/>
  <c r="BD250" i="38"/>
  <c r="BD234" i="38"/>
  <c r="BD218" i="38"/>
  <c r="BI225" i="38" s="1"/>
  <c r="BD202" i="38"/>
  <c r="BD186" i="38"/>
  <c r="BD170" i="38"/>
  <c r="BD154" i="38"/>
  <c r="BI161" i="38" s="1"/>
  <c r="BD106" i="38"/>
  <c r="BH113" i="38" s="1"/>
  <c r="BJ113" i="38" s="1"/>
  <c r="BL242" i="38"/>
  <c r="BL226" i="38"/>
  <c r="BQ233" i="38" s="1"/>
  <c r="BL210" i="38"/>
  <c r="BP217" i="38" s="1"/>
  <c r="BR217" i="38" s="1"/>
  <c r="BL194" i="38"/>
  <c r="BQ201" i="38" s="1"/>
  <c r="BL178" i="38"/>
  <c r="BP185" i="38" s="1"/>
  <c r="BR185" i="38" s="1"/>
  <c r="BL114" i="38"/>
  <c r="BQ121" i="38" s="1"/>
  <c r="BD249" i="38"/>
  <c r="BD233" i="38"/>
  <c r="BI240" i="38" s="1"/>
  <c r="BD217" i="38"/>
  <c r="BD201" i="38"/>
  <c r="BI208" i="38" s="1"/>
  <c r="BD185" i="38"/>
  <c r="BH192" i="38" s="1"/>
  <c r="BJ192" i="38" s="1"/>
  <c r="BD169" i="38"/>
  <c r="BH176" i="38" s="1"/>
  <c r="BJ176" i="38" s="1"/>
  <c r="BD105" i="38"/>
  <c r="BL241" i="38"/>
  <c r="BP248" i="38" s="1"/>
  <c r="BR248" i="38" s="1"/>
  <c r="BL225" i="38"/>
  <c r="BP232" i="38" s="1"/>
  <c r="BR232" i="38" s="1"/>
  <c r="BL209" i="38"/>
  <c r="BP216" i="38" s="1"/>
  <c r="BR216" i="38" s="1"/>
  <c r="BL193" i="38"/>
  <c r="BP200" i="38" s="1"/>
  <c r="BR200" i="38" s="1"/>
  <c r="BL177" i="38"/>
  <c r="BP184" i="38" s="1"/>
  <c r="BR184" i="38" s="1"/>
  <c r="BL113" i="38"/>
  <c r="BQ120" i="38" s="1"/>
  <c r="BD248" i="38"/>
  <c r="BD232" i="38"/>
  <c r="BI239" i="38" s="1"/>
  <c r="BD216" i="38"/>
  <c r="BI223" i="38" s="1"/>
  <c r="BD200" i="38"/>
  <c r="BI207" i="38" s="1"/>
  <c r="BD184" i="38"/>
  <c r="BH191" i="38" s="1"/>
  <c r="BJ191" i="38" s="1"/>
  <c r="BD168" i="38"/>
  <c r="BD104" i="38"/>
  <c r="BH111" i="38" s="1"/>
  <c r="BJ111" i="38" s="1"/>
  <c r="BL240" i="38"/>
  <c r="BP247" i="38" s="1"/>
  <c r="BR247" i="38" s="1"/>
  <c r="BL224" i="38"/>
  <c r="BP231" i="38" s="1"/>
  <c r="BR231" i="38" s="1"/>
  <c r="BL208" i="38"/>
  <c r="BL192" i="38"/>
  <c r="BQ199" i="38" s="1"/>
  <c r="BL176" i="38"/>
  <c r="BL112" i="38"/>
  <c r="BP119" i="38" s="1"/>
  <c r="BR119" i="38" s="1"/>
  <c r="BD247" i="38"/>
  <c r="BD231" i="38"/>
  <c r="BH238" i="38" s="1"/>
  <c r="BJ238" i="38" s="1"/>
  <c r="BD215" i="38"/>
  <c r="BH222" i="38" s="1"/>
  <c r="BJ222" i="38" s="1"/>
  <c r="BD199" i="38"/>
  <c r="BI206" i="38" s="1"/>
  <c r="BD183" i="38"/>
  <c r="BH190" i="38" s="1"/>
  <c r="BJ190" i="38" s="1"/>
  <c r="BD167" i="38"/>
  <c r="BI174" i="38" s="1"/>
  <c r="BD103" i="38"/>
  <c r="BH110" i="38" s="1"/>
  <c r="BJ110" i="38" s="1"/>
  <c r="BL239" i="38"/>
  <c r="BP246" i="38" s="1"/>
  <c r="BR246" i="38" s="1"/>
  <c r="BL223" i="38"/>
  <c r="BL207" i="38"/>
  <c r="BP214" i="38" s="1"/>
  <c r="BR214" i="38" s="1"/>
  <c r="BL191" i="38"/>
  <c r="BP198" i="38" s="1"/>
  <c r="BR198" i="38" s="1"/>
  <c r="BL175" i="38"/>
  <c r="BQ182" i="38" s="1"/>
  <c r="BL127" i="38"/>
  <c r="BL111" i="38"/>
  <c r="BQ118" i="38" s="1"/>
  <c r="BD246" i="38"/>
  <c r="BD230" i="38"/>
  <c r="BI237" i="38" s="1"/>
  <c r="BD214" i="38"/>
  <c r="BH221" i="38" s="1"/>
  <c r="BJ221" i="38" s="1"/>
  <c r="BD198" i="38"/>
  <c r="BH205" i="38" s="1"/>
  <c r="BJ205" i="38" s="1"/>
  <c r="BD182" i="38"/>
  <c r="BH189" i="38" s="1"/>
  <c r="BJ189" i="38" s="1"/>
  <c r="BD166" i="38"/>
  <c r="BH173" i="38" s="1"/>
  <c r="BJ173" i="38" s="1"/>
  <c r="BD102" i="38"/>
  <c r="BH109" i="38" s="1"/>
  <c r="BJ109" i="38" s="1"/>
  <c r="BL238" i="38"/>
  <c r="BQ245" i="38" s="1"/>
  <c r="BL222" i="38"/>
  <c r="BP229" i="38" s="1"/>
  <c r="BR229" i="38" s="1"/>
  <c r="BL206" i="38"/>
  <c r="BP213" i="38" s="1"/>
  <c r="BR213" i="38" s="1"/>
  <c r="BL190" i="38"/>
  <c r="BL174" i="38"/>
  <c r="BQ181" i="38" s="1"/>
  <c r="BL126" i="38"/>
  <c r="BQ133" i="38" s="1"/>
  <c r="BL110" i="38"/>
  <c r="BP117" i="38" s="1"/>
  <c r="BR117" i="38" s="1"/>
  <c r="BD245" i="38"/>
  <c r="BD229" i="38"/>
  <c r="BD213" i="38"/>
  <c r="BD197" i="38"/>
  <c r="BI204" i="38" s="1"/>
  <c r="BD181" i="38"/>
  <c r="BH188" i="38" s="1"/>
  <c r="BJ188" i="38" s="1"/>
  <c r="BD165" i="38"/>
  <c r="BH172" i="38" s="1"/>
  <c r="BJ172" i="38" s="1"/>
  <c r="BD101" i="38"/>
  <c r="BI108" i="38" s="1"/>
  <c r="BL237" i="38"/>
  <c r="BP244" i="38" s="1"/>
  <c r="BR244" i="38" s="1"/>
  <c r="BL221" i="38"/>
  <c r="BP228" i="38" s="1"/>
  <c r="BR228" i="38" s="1"/>
  <c r="BL205" i="38"/>
  <c r="BQ212" i="38" s="1"/>
  <c r="BL189" i="38"/>
  <c r="BQ196" i="38" s="1"/>
  <c r="BL173" i="38"/>
  <c r="BP180" i="38" s="1"/>
  <c r="BR180" i="38" s="1"/>
  <c r="BL125" i="38"/>
  <c r="BL109" i="38"/>
  <c r="BP116" i="38" s="1"/>
  <c r="BR116" i="38" s="1"/>
  <c r="BD244" i="38"/>
  <c r="BD228" i="38"/>
  <c r="BI235" i="38" s="1"/>
  <c r="BD212" i="38"/>
  <c r="BD196" i="38"/>
  <c r="BI203" i="38" s="1"/>
  <c r="BD180" i="38"/>
  <c r="BI187" i="38" s="1"/>
  <c r="BD164" i="38"/>
  <c r="BI171" i="38" s="1"/>
  <c r="BD100" i="38"/>
  <c r="BI107" i="38" s="1"/>
  <c r="BL236" i="38"/>
  <c r="BQ243" i="38" s="1"/>
  <c r="BL220" i="38"/>
  <c r="BP227" i="38" s="1"/>
  <c r="BR227" i="38" s="1"/>
  <c r="BL204" i="38"/>
  <c r="BQ211" i="38" s="1"/>
  <c r="BL188" i="38"/>
  <c r="BQ195" i="38" s="1"/>
  <c r="BL172" i="38"/>
  <c r="BQ179" i="38" s="1"/>
  <c r="BL124" i="38"/>
  <c r="BQ131" i="38" s="1"/>
  <c r="BL108" i="38"/>
  <c r="BQ115" i="38" s="1"/>
  <c r="BD243" i="38"/>
  <c r="BD227" i="38"/>
  <c r="BH234" i="38" s="1"/>
  <c r="BJ234" i="38" s="1"/>
  <c r="BD211" i="38"/>
  <c r="BI218" i="38" s="1"/>
  <c r="BD195" i="38"/>
  <c r="BI202" i="38" s="1"/>
  <c r="BD179" i="38"/>
  <c r="BD163" i="38"/>
  <c r="BH170" i="38" s="1"/>
  <c r="BJ170" i="38" s="1"/>
  <c r="BL235" i="38"/>
  <c r="BL219" i="38"/>
  <c r="BQ226" i="38" s="1"/>
  <c r="BL203" i="38"/>
  <c r="BQ210" i="38" s="1"/>
  <c r="BL187" i="38"/>
  <c r="BP194" i="38" s="1"/>
  <c r="BR194" i="38" s="1"/>
  <c r="BL171" i="38"/>
  <c r="BQ178" i="38" s="1"/>
  <c r="BL123" i="38"/>
  <c r="BQ130" i="38" s="1"/>
  <c r="BL107" i="38"/>
  <c r="BQ114" i="38" s="1"/>
  <c r="BD242" i="38"/>
  <c r="BI249" i="38" s="1"/>
  <c r="BD226" i="38"/>
  <c r="BH233" i="38" s="1"/>
  <c r="BJ233" i="38" s="1"/>
  <c r="BD210" i="38"/>
  <c r="BI217" i="38" s="1"/>
  <c r="BD194" i="38"/>
  <c r="BD178" i="38"/>
  <c r="BI185" i="38" s="1"/>
  <c r="BD162" i="38"/>
  <c r="BH169" i="38" s="1"/>
  <c r="BJ169" i="38" s="1"/>
  <c r="BL250" i="38"/>
  <c r="BL234" i="38"/>
  <c r="BL218" i="38"/>
  <c r="BP225" i="38" s="1"/>
  <c r="BR225" i="38" s="1"/>
  <c r="BL202" i="38"/>
  <c r="BP209" i="38" s="1"/>
  <c r="BR209" i="38" s="1"/>
  <c r="BL186" i="38"/>
  <c r="BQ193" i="38" s="1"/>
  <c r="BL170" i="38"/>
  <c r="BP177" i="38" s="1"/>
  <c r="BR177" i="38" s="1"/>
  <c r="BL122" i="38"/>
  <c r="BL106" i="38"/>
  <c r="BP113" i="38" s="1"/>
  <c r="BR113" i="38" s="1"/>
  <c r="BD241" i="38"/>
  <c r="BH248" i="38" s="1"/>
  <c r="BJ248" i="38" s="1"/>
  <c r="BD225" i="38"/>
  <c r="BI232" i="38" s="1"/>
  <c r="BD209" i="38"/>
  <c r="BH216" i="38" s="1"/>
  <c r="BJ216" i="38" s="1"/>
  <c r="BD193" i="38"/>
  <c r="BI200" i="38" s="1"/>
  <c r="BD177" i="38"/>
  <c r="BH184" i="38" s="1"/>
  <c r="BJ184" i="38" s="1"/>
  <c r="BD161" i="38"/>
  <c r="BD113" i="38"/>
  <c r="BI120" i="38" s="1"/>
  <c r="BL249" i="39"/>
  <c r="BL233" i="39"/>
  <c r="BL217" i="39"/>
  <c r="BL201" i="39"/>
  <c r="BL185" i="39"/>
  <c r="BL169" i="39"/>
  <c r="BL153" i="39"/>
  <c r="BL121" i="39"/>
  <c r="BL105" i="39"/>
  <c r="BD240" i="39"/>
  <c r="BD224" i="39"/>
  <c r="BD208" i="39"/>
  <c r="BD192" i="39"/>
  <c r="BD176" i="39"/>
  <c r="BD160" i="39"/>
  <c r="BI160" i="39" s="1"/>
  <c r="BD144" i="39"/>
  <c r="BH144" i="39" s="1"/>
  <c r="BJ144" i="39" s="1"/>
  <c r="BD112" i="39"/>
  <c r="BL159" i="39"/>
  <c r="BL248" i="39"/>
  <c r="BL232" i="39"/>
  <c r="BL216" i="39"/>
  <c r="BL200" i="39"/>
  <c r="BL184" i="39"/>
  <c r="BL168" i="39"/>
  <c r="BL152" i="39"/>
  <c r="BL120" i="39"/>
  <c r="BL104" i="39"/>
  <c r="BD239" i="39"/>
  <c r="BH246" i="39" s="1"/>
  <c r="BJ246" i="39" s="1"/>
  <c r="BD223" i="39"/>
  <c r="BI230" i="39" s="1"/>
  <c r="BD207" i="39"/>
  <c r="BH214" i="39" s="1"/>
  <c r="BJ214" i="39" s="1"/>
  <c r="BD191" i="39"/>
  <c r="BD175" i="39"/>
  <c r="BD159" i="39"/>
  <c r="BD143" i="39"/>
  <c r="BD111" i="39"/>
  <c r="BL247" i="39"/>
  <c r="BL231" i="39"/>
  <c r="BL215" i="39"/>
  <c r="BL199" i="39"/>
  <c r="BL183" i="39"/>
  <c r="BP183" i="39" s="1"/>
  <c r="BR183" i="39" s="1"/>
  <c r="BL167" i="39"/>
  <c r="BL151" i="39"/>
  <c r="BL119" i="39"/>
  <c r="BL103" i="39"/>
  <c r="BD238" i="39"/>
  <c r="BD222" i="39"/>
  <c r="BH229" i="39" s="1"/>
  <c r="BJ229" i="39" s="1"/>
  <c r="BD206" i="39"/>
  <c r="BD190" i="39"/>
  <c r="BD174" i="39"/>
  <c r="BD158" i="39"/>
  <c r="BD142" i="39"/>
  <c r="BD110" i="39"/>
  <c r="BL246" i="39"/>
  <c r="BL230" i="39"/>
  <c r="BL214" i="39"/>
  <c r="BP214" i="39" s="1"/>
  <c r="BR214" i="39" s="1"/>
  <c r="BL198" i="39"/>
  <c r="BL182" i="39"/>
  <c r="BL166" i="39"/>
  <c r="BL150" i="39"/>
  <c r="BL118" i="39"/>
  <c r="BL102" i="39"/>
  <c r="BD237" i="39"/>
  <c r="BD221" i="39"/>
  <c r="BD205" i="39"/>
  <c r="BD189" i="39"/>
  <c r="BH196" i="39" s="1"/>
  <c r="BJ196" i="39" s="1"/>
  <c r="BD173" i="39"/>
  <c r="BI180" i="39" s="1"/>
  <c r="BD157" i="39"/>
  <c r="BD141" i="39"/>
  <c r="BD109" i="39"/>
  <c r="BL245" i="39"/>
  <c r="BL229" i="39"/>
  <c r="BL213" i="39"/>
  <c r="BL197" i="39"/>
  <c r="BL181" i="39"/>
  <c r="BL165" i="39"/>
  <c r="BL149" i="39"/>
  <c r="BL117" i="39"/>
  <c r="BP124" i="39" s="1"/>
  <c r="BR124" i="39" s="1"/>
  <c r="BL101" i="39"/>
  <c r="BQ108" i="39" s="1"/>
  <c r="BD236" i="39"/>
  <c r="BD220" i="39"/>
  <c r="BD204" i="39"/>
  <c r="BD188" i="39"/>
  <c r="BD172" i="39"/>
  <c r="BD156" i="39"/>
  <c r="BD140" i="39"/>
  <c r="BD108" i="39"/>
  <c r="BL207" i="39"/>
  <c r="BL244" i="39"/>
  <c r="BP244" i="39" s="1"/>
  <c r="BR244" i="39" s="1"/>
  <c r="BL228" i="39"/>
  <c r="BQ235" i="39" s="1"/>
  <c r="BL212" i="39"/>
  <c r="BP219" i="39" s="1"/>
  <c r="BR219" i="39" s="1"/>
  <c r="BL196" i="39"/>
  <c r="BL180" i="39"/>
  <c r="BL164" i="39"/>
  <c r="BL116" i="39"/>
  <c r="BL100" i="39"/>
  <c r="BD235" i="39"/>
  <c r="BD219" i="39"/>
  <c r="BD203" i="39"/>
  <c r="BD187" i="39"/>
  <c r="BD171" i="39"/>
  <c r="BI171" i="39" s="1"/>
  <c r="BD155" i="39"/>
  <c r="BD139" i="39"/>
  <c r="BD107" i="39"/>
  <c r="BL243" i="39"/>
  <c r="BL227" i="39"/>
  <c r="BL211" i="39"/>
  <c r="BQ211" i="39" s="1"/>
  <c r="BL195" i="39"/>
  <c r="BL179" i="39"/>
  <c r="BL163" i="39"/>
  <c r="BL115" i="39"/>
  <c r="BD250" i="39"/>
  <c r="BD234" i="39"/>
  <c r="BD218" i="39"/>
  <c r="BD202" i="39"/>
  <c r="BH209" i="39" s="1"/>
  <c r="BJ209" i="39" s="1"/>
  <c r="BD186" i="39"/>
  <c r="BD170" i="39"/>
  <c r="BD154" i="39"/>
  <c r="BD138" i="39"/>
  <c r="BD106" i="39"/>
  <c r="BL191" i="39"/>
  <c r="BD102" i="39"/>
  <c r="BL242" i="39"/>
  <c r="BL226" i="39"/>
  <c r="BL210" i="39"/>
  <c r="BQ217" i="39" s="1"/>
  <c r="BL194" i="39"/>
  <c r="BP201" i="39" s="1"/>
  <c r="BR201" i="39" s="1"/>
  <c r="BL178" i="39"/>
  <c r="BQ185" i="39" s="1"/>
  <c r="BL162" i="39"/>
  <c r="BL114" i="39"/>
  <c r="BD249" i="39"/>
  <c r="BD233" i="39"/>
  <c r="BI240" i="39" s="1"/>
  <c r="BD217" i="39"/>
  <c r="BD201" i="39"/>
  <c r="BD185" i="39"/>
  <c r="BD169" i="39"/>
  <c r="BD153" i="39"/>
  <c r="BD137" i="39"/>
  <c r="BD105" i="39"/>
  <c r="BH112" i="39" s="1"/>
  <c r="BJ112" i="39" s="1"/>
  <c r="BD150" i="39"/>
  <c r="BL241" i="39"/>
  <c r="BL225" i="39"/>
  <c r="BP232" i="39" s="1"/>
  <c r="BR232" i="39" s="1"/>
  <c r="BL209" i="39"/>
  <c r="BL193" i="39"/>
  <c r="BP200" i="39" s="1"/>
  <c r="BR200" i="39" s="1"/>
  <c r="BL177" i="39"/>
  <c r="BP184" i="39" s="1"/>
  <c r="BR184" i="39" s="1"/>
  <c r="BL161" i="39"/>
  <c r="BL113" i="39"/>
  <c r="BD248" i="39"/>
  <c r="BD232" i="39"/>
  <c r="BD216" i="39"/>
  <c r="BD200" i="39"/>
  <c r="BD184" i="39"/>
  <c r="BI184" i="39" s="1"/>
  <c r="BD168" i="39"/>
  <c r="BD152" i="39"/>
  <c r="BD136" i="39"/>
  <c r="BD104" i="39"/>
  <c r="BH104" i="39" s="1"/>
  <c r="BJ104" i="39" s="1"/>
  <c r="BD182" i="39"/>
  <c r="BL240" i="39"/>
  <c r="BQ247" i="39" s="1"/>
  <c r="BL224" i="39"/>
  <c r="BP231" i="39" s="1"/>
  <c r="BR231" i="39" s="1"/>
  <c r="BL208" i="39"/>
  <c r="BQ215" i="39" s="1"/>
  <c r="BL192" i="39"/>
  <c r="BQ199" i="39" s="1"/>
  <c r="BL176" i="39"/>
  <c r="BQ176" i="39" s="1"/>
  <c r="BL160" i="39"/>
  <c r="BQ167" i="39" s="1"/>
  <c r="BL112" i="39"/>
  <c r="BD247" i="39"/>
  <c r="BD231" i="39"/>
  <c r="BD215" i="39"/>
  <c r="BD199" i="39"/>
  <c r="BD183" i="39"/>
  <c r="BD167" i="39"/>
  <c r="BD151" i="39"/>
  <c r="BD135" i="39"/>
  <c r="BD103" i="39"/>
  <c r="BL223" i="39"/>
  <c r="BQ223" i="39" s="1"/>
  <c r="BL238" i="39"/>
  <c r="BL222" i="39"/>
  <c r="BQ229" i="39" s="1"/>
  <c r="BL206" i="39"/>
  <c r="BL190" i="39"/>
  <c r="BL174" i="39"/>
  <c r="BL158" i="39"/>
  <c r="BQ165" i="39" s="1"/>
  <c r="BL126" i="39"/>
  <c r="BL110" i="39"/>
  <c r="BD245" i="39"/>
  <c r="BD229" i="39"/>
  <c r="BD213" i="39"/>
  <c r="BD197" i="39"/>
  <c r="BD181" i="39"/>
  <c r="BD165" i="39"/>
  <c r="BH172" i="39" s="1"/>
  <c r="BJ172" i="39" s="1"/>
  <c r="BD149" i="39"/>
  <c r="BD101" i="39"/>
  <c r="BL239" i="39"/>
  <c r="BL127" i="39"/>
  <c r="BD246" i="39"/>
  <c r="BD230" i="39"/>
  <c r="BD198" i="39"/>
  <c r="BD166" i="39"/>
  <c r="BL237" i="39"/>
  <c r="BP237" i="39" s="1"/>
  <c r="BR237" i="39" s="1"/>
  <c r="BL221" i="39"/>
  <c r="BP221" i="39" s="1"/>
  <c r="BR221" i="39" s="1"/>
  <c r="BL205" i="39"/>
  <c r="BQ205" i="39" s="1"/>
  <c r="BL189" i="39"/>
  <c r="BL173" i="39"/>
  <c r="BL157" i="39"/>
  <c r="BL125" i="39"/>
  <c r="BL109" i="39"/>
  <c r="BQ116" i="39" s="1"/>
  <c r="BD244" i="39"/>
  <c r="BD228" i="39"/>
  <c r="BI235" i="39" s="1"/>
  <c r="BD212" i="39"/>
  <c r="BI219" i="39" s="1"/>
  <c r="BD196" i="39"/>
  <c r="BI203" i="39" s="1"/>
  <c r="BD180" i="39"/>
  <c r="BH187" i="39" s="1"/>
  <c r="BJ187" i="39" s="1"/>
  <c r="BD164" i="39"/>
  <c r="BI164" i="39" s="1"/>
  <c r="BD148" i="39"/>
  <c r="BH155" i="39" s="1"/>
  <c r="BJ155" i="39" s="1"/>
  <c r="BD100" i="39"/>
  <c r="BL236" i="39"/>
  <c r="BQ236" i="39" s="1"/>
  <c r="BL220" i="39"/>
  <c r="BL204" i="39"/>
  <c r="BL188" i="39"/>
  <c r="BL172" i="39"/>
  <c r="BL156" i="39"/>
  <c r="BQ163" i="39" s="1"/>
  <c r="BL124" i="39"/>
  <c r="BL108" i="39"/>
  <c r="BQ115" i="39" s="1"/>
  <c r="BD243" i="39"/>
  <c r="BH250" i="39" s="1"/>
  <c r="BJ250" i="39" s="1"/>
  <c r="BD227" i="39"/>
  <c r="BI234" i="39" s="1"/>
  <c r="BD211" i="39"/>
  <c r="BI218" i="39" s="1"/>
  <c r="BD195" i="39"/>
  <c r="BH202" i="39" s="1"/>
  <c r="BJ202" i="39" s="1"/>
  <c r="BD179" i="39"/>
  <c r="BH186" i="39" s="1"/>
  <c r="BJ186" i="39" s="1"/>
  <c r="BD163" i="39"/>
  <c r="BD147" i="39"/>
  <c r="BH154" i="39" s="1"/>
  <c r="BJ154" i="39" s="1"/>
  <c r="BL175" i="39"/>
  <c r="BQ182" i="39" s="1"/>
  <c r="BL235" i="39"/>
  <c r="BL219" i="39"/>
  <c r="BL203" i="39"/>
  <c r="BL187" i="39"/>
  <c r="BL171" i="39"/>
  <c r="BL155" i="39"/>
  <c r="BL123" i="39"/>
  <c r="BL107" i="39"/>
  <c r="BD242" i="39"/>
  <c r="BD226" i="39"/>
  <c r="BD210" i="39"/>
  <c r="BH217" i="39" s="1"/>
  <c r="BJ217" i="39" s="1"/>
  <c r="BD194" i="39"/>
  <c r="BI201" i="39" s="1"/>
  <c r="BD178" i="39"/>
  <c r="BD162" i="39"/>
  <c r="BD146" i="39"/>
  <c r="BD214" i="39"/>
  <c r="BL250" i="39"/>
  <c r="BQ250" i="39" s="1"/>
  <c r="BL234" i="39"/>
  <c r="BL218" i="39"/>
  <c r="BL202" i="39"/>
  <c r="BL186" i="39"/>
  <c r="BL170" i="39"/>
  <c r="BL154" i="39"/>
  <c r="BP161" i="39" s="1"/>
  <c r="BR161" i="39" s="1"/>
  <c r="BL122" i="39"/>
  <c r="BL106" i="39"/>
  <c r="BD241" i="39"/>
  <c r="BD225" i="39"/>
  <c r="BD209" i="39"/>
  <c r="BD193" i="39"/>
  <c r="BD177" i="39"/>
  <c r="BH177" i="39" s="1"/>
  <c r="BJ177" i="39" s="1"/>
  <c r="BD161" i="39"/>
  <c r="BH161" i="39" s="1"/>
  <c r="BJ161" i="39" s="1"/>
  <c r="BD145" i="39"/>
  <c r="BI152" i="39" s="1"/>
  <c r="BD113" i="39"/>
  <c r="BH113" i="39" s="1"/>
  <c r="BJ113" i="39" s="1"/>
  <c r="BL111" i="39"/>
  <c r="BQ118" i="39" s="1"/>
  <c r="BL249" i="37"/>
  <c r="BL233" i="37"/>
  <c r="BL217" i="37"/>
  <c r="BL201" i="37"/>
  <c r="BL185" i="37"/>
  <c r="BL169" i="37"/>
  <c r="BL121" i="37"/>
  <c r="BL105" i="37"/>
  <c r="BD240" i="37"/>
  <c r="BD224" i="37"/>
  <c r="BH231" i="37" s="1"/>
  <c r="BJ231" i="37" s="1"/>
  <c r="BD208" i="37"/>
  <c r="BD192" i="37"/>
  <c r="BD176" i="37"/>
  <c r="BD160" i="37"/>
  <c r="BH167" i="37" s="1"/>
  <c r="BJ167" i="37" s="1"/>
  <c r="BD112" i="37"/>
  <c r="BL248" i="37"/>
  <c r="BL232" i="37"/>
  <c r="BL216" i="37"/>
  <c r="BL200" i="37"/>
  <c r="BL184" i="37"/>
  <c r="BL168" i="37"/>
  <c r="BL120" i="37"/>
  <c r="BL104" i="37"/>
  <c r="BD239" i="37"/>
  <c r="BD223" i="37"/>
  <c r="BD207" i="37"/>
  <c r="BI214" i="37" s="1"/>
  <c r="BD191" i="37"/>
  <c r="BD175" i="37"/>
  <c r="BD159" i="37"/>
  <c r="BD111" i="37"/>
  <c r="BL247" i="37"/>
  <c r="BQ247" i="37" s="1"/>
  <c r="BL231" i="37"/>
  <c r="BQ231" i="37" s="1"/>
  <c r="BL215" i="37"/>
  <c r="BL199" i="37"/>
  <c r="BP199" i="37" s="1"/>
  <c r="BR199" i="37" s="1"/>
  <c r="BL183" i="37"/>
  <c r="BL119" i="37"/>
  <c r="BL103" i="37"/>
  <c r="BD238" i="37"/>
  <c r="BI245" i="37" s="1"/>
  <c r="BD222" i="37"/>
  <c r="BD206" i="37"/>
  <c r="BD190" i="37"/>
  <c r="BD174" i="37"/>
  <c r="BD158" i="37"/>
  <c r="BD110" i="37"/>
  <c r="BL246" i="37"/>
  <c r="BL230" i="37"/>
  <c r="BQ237" i="37" s="1"/>
  <c r="BL214" i="37"/>
  <c r="BQ214" i="37" s="1"/>
  <c r="BL198" i="37"/>
  <c r="BL182" i="37"/>
  <c r="BL118" i="37"/>
  <c r="BP118" i="37" s="1"/>
  <c r="BR118" i="37" s="1"/>
  <c r="BL102" i="37"/>
  <c r="BD237" i="37"/>
  <c r="BD221" i="37"/>
  <c r="BD205" i="37"/>
  <c r="BD189" i="37"/>
  <c r="BD173" i="37"/>
  <c r="BD157" i="37"/>
  <c r="BH164" i="37" s="1"/>
  <c r="BJ164" i="37" s="1"/>
  <c r="BD109" i="37"/>
  <c r="BL245" i="37"/>
  <c r="BL229" i="37"/>
  <c r="BL213" i="37"/>
  <c r="BL197" i="37"/>
  <c r="BQ197" i="37" s="1"/>
  <c r="BL181" i="37"/>
  <c r="BL117" i="37"/>
  <c r="BL101" i="37"/>
  <c r="BD236" i="37"/>
  <c r="BD220" i="37"/>
  <c r="BD204" i="37"/>
  <c r="BH211" i="37" s="1"/>
  <c r="BJ211" i="37" s="1"/>
  <c r="BD188" i="37"/>
  <c r="BI195" i="37" s="1"/>
  <c r="BD172" i="37"/>
  <c r="BI179" i="37" s="1"/>
  <c r="BD156" i="37"/>
  <c r="BD108" i="37"/>
  <c r="BL244" i="37"/>
  <c r="BL228" i="37"/>
  <c r="BL212" i="37"/>
  <c r="BL196" i="37"/>
  <c r="BL180" i="37"/>
  <c r="BL116" i="37"/>
  <c r="BL100" i="37"/>
  <c r="BQ100" i="37" s="1"/>
  <c r="BD235" i="37"/>
  <c r="BH235" i="37" s="1"/>
  <c r="BJ235" i="37" s="1"/>
  <c r="BD219" i="37"/>
  <c r="BI219" i="37" s="1"/>
  <c r="BD203" i="37"/>
  <c r="BD187" i="37"/>
  <c r="BD171" i="37"/>
  <c r="BD155" i="37"/>
  <c r="BD107" i="37"/>
  <c r="BL243" i="37"/>
  <c r="BL227" i="37"/>
  <c r="BL211" i="37"/>
  <c r="BL195" i="37"/>
  <c r="BL179" i="37"/>
  <c r="BL115" i="37"/>
  <c r="BD250" i="37"/>
  <c r="BD234" i="37"/>
  <c r="BI241" i="37" s="1"/>
  <c r="BD218" i="37"/>
  <c r="BI218" i="37" s="1"/>
  <c r="BD202" i="37"/>
  <c r="BD186" i="37"/>
  <c r="BD170" i="37"/>
  <c r="BH177" i="37" s="1"/>
  <c r="BJ177" i="37" s="1"/>
  <c r="BD154" i="37"/>
  <c r="BD106" i="37"/>
  <c r="BL242" i="37"/>
  <c r="BL226" i="37"/>
  <c r="BL210" i="37"/>
  <c r="BP217" i="37" s="1"/>
  <c r="BR217" i="37" s="1"/>
  <c r="BL194" i="37"/>
  <c r="BL178" i="37"/>
  <c r="BQ185" i="37" s="1"/>
  <c r="BL114" i="37"/>
  <c r="BQ121" i="37" s="1"/>
  <c r="BD249" i="37"/>
  <c r="BD233" i="37"/>
  <c r="BD217" i="37"/>
  <c r="BD201" i="37"/>
  <c r="BD185" i="37"/>
  <c r="BD169" i="37"/>
  <c r="BD105" i="37"/>
  <c r="BL241" i="37"/>
  <c r="BL225" i="37"/>
  <c r="BL209" i="37"/>
  <c r="BL193" i="37"/>
  <c r="BQ200" i="37" s="1"/>
  <c r="BL177" i="37"/>
  <c r="BP184" i="37" s="1"/>
  <c r="BR184" i="37" s="1"/>
  <c r="BL113" i="37"/>
  <c r="BD248" i="37"/>
  <c r="BD232" i="37"/>
  <c r="BH239" i="37" s="1"/>
  <c r="BJ239" i="37" s="1"/>
  <c r="BD216" i="37"/>
  <c r="BH223" i="37" s="1"/>
  <c r="BJ223" i="37" s="1"/>
  <c r="BD200" i="37"/>
  <c r="BD184" i="37"/>
  <c r="BH191" i="37" s="1"/>
  <c r="BJ191" i="37" s="1"/>
  <c r="BD168" i="37"/>
  <c r="BD104" i="37"/>
  <c r="BI104" i="37" s="1"/>
  <c r="BD113" i="37"/>
  <c r="BL240" i="37"/>
  <c r="BL224" i="37"/>
  <c r="BQ224" i="37" s="1"/>
  <c r="BL208" i="37"/>
  <c r="BP208" i="37" s="1"/>
  <c r="BR208" i="37" s="1"/>
  <c r="BL192" i="37"/>
  <c r="BL176" i="37"/>
  <c r="BL112" i="37"/>
  <c r="BQ119" i="37" s="1"/>
  <c r="BD247" i="37"/>
  <c r="BD231" i="37"/>
  <c r="BD215" i="37"/>
  <c r="BI222" i="37" s="1"/>
  <c r="BD199" i="37"/>
  <c r="BD183" i="37"/>
  <c r="BD167" i="37"/>
  <c r="BD103" i="37"/>
  <c r="BI110" i="37" s="1"/>
  <c r="BL239" i="37"/>
  <c r="BQ246" i="37" s="1"/>
  <c r="BL223" i="37"/>
  <c r="BQ230" i="37" s="1"/>
  <c r="BL207" i="37"/>
  <c r="BP207" i="37" s="1"/>
  <c r="BR207" i="37" s="1"/>
  <c r="BL191" i="37"/>
  <c r="BQ198" i="37" s="1"/>
  <c r="BL175" i="37"/>
  <c r="BL127" i="37"/>
  <c r="BL111" i="37"/>
  <c r="BD246" i="37"/>
  <c r="BD230" i="37"/>
  <c r="BD214" i="37"/>
  <c r="BD198" i="37"/>
  <c r="BD182" i="37"/>
  <c r="BD166" i="37"/>
  <c r="BI173" i="37" s="1"/>
  <c r="BD102" i="37"/>
  <c r="BH109" i="37" s="1"/>
  <c r="BJ109" i="37" s="1"/>
  <c r="BD193" i="37"/>
  <c r="BI200" i="37" s="1"/>
  <c r="BL238" i="37"/>
  <c r="BL222" i="37"/>
  <c r="BP229" i="37" s="1"/>
  <c r="BR229" i="37" s="1"/>
  <c r="BL206" i="37"/>
  <c r="BQ213" i="37" s="1"/>
  <c r="BL190" i="37"/>
  <c r="BL174" i="37"/>
  <c r="BP181" i="37" s="1"/>
  <c r="BR181" i="37" s="1"/>
  <c r="BL126" i="37"/>
  <c r="BL110" i="37"/>
  <c r="BD245" i="37"/>
  <c r="BD229" i="37"/>
  <c r="BD213" i="37"/>
  <c r="BH220" i="37" s="1"/>
  <c r="BJ220" i="37" s="1"/>
  <c r="BD197" i="37"/>
  <c r="BH204" i="37" s="1"/>
  <c r="BJ204" i="37" s="1"/>
  <c r="BD181" i="37"/>
  <c r="BD165" i="37"/>
  <c r="BD101" i="37"/>
  <c r="BH108" i="37" s="1"/>
  <c r="BJ108" i="37" s="1"/>
  <c r="BD161" i="37"/>
  <c r="BH168" i="37" s="1"/>
  <c r="BJ168" i="37" s="1"/>
  <c r="BL237" i="37"/>
  <c r="BL221" i="37"/>
  <c r="BL205" i="37"/>
  <c r="BP212" i="37" s="1"/>
  <c r="BR212" i="37" s="1"/>
  <c r="BL189" i="37"/>
  <c r="BP189" i="37" s="1"/>
  <c r="BR189" i="37" s="1"/>
  <c r="BL173" i="37"/>
  <c r="BL125" i="37"/>
  <c r="BL109" i="37"/>
  <c r="BQ109" i="37" s="1"/>
  <c r="BD244" i="37"/>
  <c r="BD228" i="37"/>
  <c r="BD212" i="37"/>
  <c r="BD196" i="37"/>
  <c r="BD180" i="37"/>
  <c r="BD164" i="37"/>
  <c r="BD100" i="37"/>
  <c r="BD209" i="37"/>
  <c r="BL236" i="37"/>
  <c r="BL220" i="37"/>
  <c r="BL204" i="37"/>
  <c r="BL188" i="37"/>
  <c r="BQ195" i="37" s="1"/>
  <c r="BL172" i="37"/>
  <c r="BP179" i="37" s="1"/>
  <c r="BR179" i="37" s="1"/>
  <c r="BL124" i="37"/>
  <c r="BL108" i="37"/>
  <c r="BD243" i="37"/>
  <c r="BD227" i="37"/>
  <c r="BI227" i="37" s="1"/>
  <c r="BD211" i="37"/>
  <c r="BD195" i="37"/>
  <c r="BH202" i="37" s="1"/>
  <c r="BJ202" i="37" s="1"/>
  <c r="BD179" i="37"/>
  <c r="BD163" i="37"/>
  <c r="BD177" i="37"/>
  <c r="BL235" i="37"/>
  <c r="BL219" i="37"/>
  <c r="BP226" i="37" s="1"/>
  <c r="BR226" i="37" s="1"/>
  <c r="BL203" i="37"/>
  <c r="BP210" i="37" s="1"/>
  <c r="BR210" i="37" s="1"/>
  <c r="BL187" i="37"/>
  <c r="BL171" i="37"/>
  <c r="BL123" i="37"/>
  <c r="BL107" i="37"/>
  <c r="BQ107" i="37" s="1"/>
  <c r="BD242" i="37"/>
  <c r="BD226" i="37"/>
  <c r="BD210" i="37"/>
  <c r="BD194" i="37"/>
  <c r="BD178" i="37"/>
  <c r="BD162" i="37"/>
  <c r="BD225" i="37"/>
  <c r="BH232" i="37" s="1"/>
  <c r="BJ232" i="37" s="1"/>
  <c r="BL250" i="37"/>
  <c r="BL234" i="37"/>
  <c r="BL218" i="37"/>
  <c r="BL202" i="37"/>
  <c r="BL186" i="37"/>
  <c r="BL170" i="37"/>
  <c r="BL122" i="37"/>
  <c r="BL106" i="37"/>
  <c r="BD241" i="37"/>
  <c r="BP105" i="38"/>
  <c r="BR105" i="38" s="1"/>
  <c r="BP101" i="38"/>
  <c r="BR101" i="38" s="1"/>
  <c r="BQ106" i="38"/>
  <c r="BA104" i="38"/>
  <c r="BA100" i="38"/>
  <c r="BP106" i="38"/>
  <c r="BR106" i="38" s="1"/>
  <c r="BI105" i="38"/>
  <c r="AZ104" i="38"/>
  <c r="BB104" i="38" s="1"/>
  <c r="BI101" i="38"/>
  <c r="AZ100" i="38"/>
  <c r="BB100" i="38" s="1"/>
  <c r="BH105" i="38"/>
  <c r="BJ105" i="38" s="1"/>
  <c r="BQ102" i="38"/>
  <c r="BH101" i="38"/>
  <c r="BJ101" i="38" s="1"/>
  <c r="BI106" i="38"/>
  <c r="BP102" i="38"/>
  <c r="BR102" i="38" s="1"/>
  <c r="BH106" i="38"/>
  <c r="BJ106" i="38" s="1"/>
  <c r="BA105" i="38"/>
  <c r="BA101" i="38"/>
  <c r="AZ105" i="38"/>
  <c r="BB105" i="38" s="1"/>
  <c r="BI102" i="38"/>
  <c r="AZ101" i="38"/>
  <c r="BB101" i="38" s="1"/>
  <c r="BA106" i="38"/>
  <c r="BQ103" i="38"/>
  <c r="BH102" i="38"/>
  <c r="BJ102" i="38" s="1"/>
  <c r="AZ106" i="38"/>
  <c r="BB106" i="38" s="1"/>
  <c r="BP103" i="38"/>
  <c r="BR103" i="38" s="1"/>
  <c r="BA102" i="38"/>
  <c r="BI103" i="38"/>
  <c r="AZ102" i="38"/>
  <c r="BB102" i="38" s="1"/>
  <c r="BQ104" i="38"/>
  <c r="BH103" i="38"/>
  <c r="BJ103" i="38" s="1"/>
  <c r="BQ100" i="38"/>
  <c r="BP104" i="38"/>
  <c r="BR104" i="38" s="1"/>
  <c r="BP100" i="38"/>
  <c r="BR100" i="38" s="1"/>
  <c r="BA103" i="38"/>
  <c r="BQ105" i="38"/>
  <c r="BH104" i="38"/>
  <c r="BJ104" i="38" s="1"/>
  <c r="BQ101" i="38"/>
  <c r="BH100" i="38"/>
  <c r="BJ100" i="38" s="1"/>
  <c r="BI104" i="38"/>
  <c r="BI100" i="38"/>
  <c r="AZ103" i="38"/>
  <c r="BB103" i="38" s="1"/>
  <c r="BP129" i="38"/>
  <c r="BR129" i="38" s="1"/>
  <c r="BI118" i="38"/>
  <c r="BQ222" i="38"/>
  <c r="BH112" i="38"/>
  <c r="BJ112" i="38" s="1"/>
  <c r="BI245" i="38"/>
  <c r="BP124" i="38"/>
  <c r="BR124" i="38" s="1"/>
  <c r="BI166" i="38"/>
  <c r="BP242" i="38"/>
  <c r="BR242" i="38" s="1"/>
  <c r="BI175" i="38"/>
  <c r="BQ197" i="38"/>
  <c r="BP206" i="38"/>
  <c r="BR206" i="38" s="1"/>
  <c r="BQ208" i="38"/>
  <c r="BP223" i="38"/>
  <c r="BR223" i="38" s="1"/>
  <c r="BH183" i="38"/>
  <c r="BJ183" i="38" s="1"/>
  <c r="BQ134" i="38"/>
  <c r="BI211" i="38"/>
  <c r="BP192" i="38"/>
  <c r="BR192" i="38" s="1"/>
  <c r="BH209" i="38"/>
  <c r="BJ209" i="38" s="1"/>
  <c r="BQ207" i="38"/>
  <c r="BP123" i="38"/>
  <c r="BR123" i="38" s="1"/>
  <c r="BH250" i="38"/>
  <c r="BJ250" i="38" s="1"/>
  <c r="BP240" i="38"/>
  <c r="BR240" i="38" s="1"/>
  <c r="BH186" i="38"/>
  <c r="BJ186" i="38" s="1"/>
  <c r="BI219" i="38"/>
  <c r="BP220" i="38"/>
  <c r="BR220" i="38" s="1"/>
  <c r="BI241" i="38"/>
  <c r="BP249" i="38"/>
  <c r="BR249" i="38" s="1"/>
  <c r="BP108" i="38"/>
  <c r="BR108" i="38" s="1"/>
  <c r="BQ190" i="38"/>
  <c r="BH227" i="38"/>
  <c r="BJ227" i="38" s="1"/>
  <c r="BQ215" i="38"/>
  <c r="BH175" i="38"/>
  <c r="BJ175" i="38" s="1"/>
  <c r="BQ123" i="38"/>
  <c r="BH202" i="38"/>
  <c r="BJ202" i="38" s="1"/>
  <c r="BP187" i="38"/>
  <c r="BR187" i="38" s="1"/>
  <c r="BQ224" i="38"/>
  <c r="BQ125" i="38"/>
  <c r="BI201" i="38"/>
  <c r="BP197" i="38"/>
  <c r="BR197" i="38" s="1"/>
  <c r="BI210" i="38"/>
  <c r="BI224" i="38"/>
  <c r="BI227" i="38"/>
  <c r="BQ184" i="38"/>
  <c r="BI168" i="38"/>
  <c r="BP190" i="38"/>
  <c r="BR190" i="38" s="1"/>
  <c r="BI162" i="38"/>
  <c r="BP183" i="38"/>
  <c r="BR183" i="38" s="1"/>
  <c r="BQ214" i="38"/>
  <c r="BI226" i="38"/>
  <c r="BQ230" i="38"/>
  <c r="BH179" i="38"/>
  <c r="BJ179" i="38" s="1"/>
  <c r="BH187" i="38"/>
  <c r="BJ187" i="38" s="1"/>
  <c r="BH208" i="38"/>
  <c r="BJ208" i="38" s="1"/>
  <c r="BH193" i="38"/>
  <c r="BJ193" i="38" s="1"/>
  <c r="BQ177" i="38"/>
  <c r="BQ204" i="38"/>
  <c r="BH220" i="38"/>
  <c r="BJ220" i="38" s="1"/>
  <c r="BQ110" i="38"/>
  <c r="BI177" i="38"/>
  <c r="BI193" i="38"/>
  <c r="BP181" i="38"/>
  <c r="BR181" i="38" s="1"/>
  <c r="BP204" i="38"/>
  <c r="BR204" i="38" s="1"/>
  <c r="BQ216" i="38"/>
  <c r="BI220" i="38"/>
  <c r="BH236" i="38"/>
  <c r="BJ236" i="38" s="1"/>
  <c r="BQ187" i="38"/>
  <c r="BP189" i="38"/>
  <c r="BR189" i="38" s="1"/>
  <c r="BH210" i="38"/>
  <c r="BJ210" i="38" s="1"/>
  <c r="BH226" i="38"/>
  <c r="BJ226" i="38" s="1"/>
  <c r="BH219" i="38"/>
  <c r="BJ219" i="38" s="1"/>
  <c r="BP239" i="38"/>
  <c r="BR239" i="38" s="1"/>
  <c r="BI170" i="38"/>
  <c r="BI205" i="38"/>
  <c r="BP215" i="38"/>
  <c r="BR215" i="38" s="1"/>
  <c r="BH107" i="38"/>
  <c r="BJ107" i="38" s="1"/>
  <c r="BP207" i="38"/>
  <c r="BR207" i="38" s="1"/>
  <c r="BH224" i="38"/>
  <c r="BJ224" i="38" s="1"/>
  <c r="BQ232" i="38"/>
  <c r="BQ241" i="38"/>
  <c r="BQ206" i="38"/>
  <c r="BH245" i="38"/>
  <c r="BJ245" i="38" s="1"/>
  <c r="BH204" i="38"/>
  <c r="BJ204" i="38" s="1"/>
  <c r="BI250" i="38"/>
  <c r="BP132" i="38"/>
  <c r="BR132" i="38" s="1"/>
  <c r="BI212" i="38"/>
  <c r="BH243" i="38"/>
  <c r="BJ243" i="38" s="1"/>
  <c r="BH201" i="38"/>
  <c r="BJ201" i="38" s="1"/>
  <c r="BP237" i="38"/>
  <c r="BR237" i="38" s="1"/>
  <c r="BQ183" i="38"/>
  <c r="BI112" i="38"/>
  <c r="BI167" i="38"/>
  <c r="BQ249" i="38"/>
  <c r="BH114" i="38"/>
  <c r="BJ114" i="38" s="1"/>
  <c r="AV84" i="38"/>
  <c r="CE94" i="38"/>
  <c r="BP84" i="38"/>
  <c r="BL84" i="38"/>
  <c r="BH84" i="38"/>
  <c r="AZ84" i="38"/>
  <c r="BD84" i="38"/>
  <c r="BP105" i="40"/>
  <c r="BR105" i="40" s="1"/>
  <c r="BH104" i="40"/>
  <c r="BJ104" i="40" s="1"/>
  <c r="BQ106" i="40"/>
  <c r="BI100" i="40"/>
  <c r="BP106" i="40"/>
  <c r="BR106" i="40" s="1"/>
  <c r="BI105" i="40"/>
  <c r="BA104" i="40"/>
  <c r="BQ101" i="40"/>
  <c r="BH100" i="40"/>
  <c r="BJ100" i="40" s="1"/>
  <c r="BH105" i="40"/>
  <c r="BJ105" i="40" s="1"/>
  <c r="AZ104" i="40"/>
  <c r="BB104" i="40" s="1"/>
  <c r="BP101" i="40"/>
  <c r="BR101" i="40" s="1"/>
  <c r="BI106" i="40"/>
  <c r="BA100" i="40"/>
  <c r="BH106" i="40"/>
  <c r="BJ106" i="40" s="1"/>
  <c r="BA105" i="40"/>
  <c r="BQ102" i="40"/>
  <c r="BI101" i="40"/>
  <c r="AZ100" i="40"/>
  <c r="BB100" i="40" s="1"/>
  <c r="AZ105" i="40"/>
  <c r="BB105" i="40" s="1"/>
  <c r="BP102" i="40"/>
  <c r="BR102" i="40" s="1"/>
  <c r="BH101" i="40"/>
  <c r="BJ101" i="40" s="1"/>
  <c r="BA106" i="40"/>
  <c r="AZ106" i="40"/>
  <c r="BB106" i="40" s="1"/>
  <c r="BQ103" i="40"/>
  <c r="BI102" i="40"/>
  <c r="BA101" i="40"/>
  <c r="BP103" i="40"/>
  <c r="BR103" i="40" s="1"/>
  <c r="BH102" i="40"/>
  <c r="BJ102" i="40" s="1"/>
  <c r="AZ101" i="40"/>
  <c r="BB101" i="40" s="1"/>
  <c r="BI103" i="40"/>
  <c r="BA102" i="40"/>
  <c r="BQ104" i="40"/>
  <c r="BH103" i="40"/>
  <c r="BJ103" i="40" s="1"/>
  <c r="AZ102" i="40"/>
  <c r="BB102" i="40" s="1"/>
  <c r="BP104" i="40"/>
  <c r="BR104" i="40" s="1"/>
  <c r="BA103" i="40"/>
  <c r="BQ100" i="40"/>
  <c r="BQ105" i="40"/>
  <c r="BI104" i="40"/>
  <c r="AZ103" i="40"/>
  <c r="BB103" i="40" s="1"/>
  <c r="BP100" i="40"/>
  <c r="BR100" i="40" s="1"/>
  <c r="AZ156" i="40"/>
  <c r="BB156" i="40" s="1"/>
  <c r="BA132" i="40"/>
  <c r="BP218" i="40"/>
  <c r="BR218" i="40" s="1"/>
  <c r="BP166" i="40"/>
  <c r="BR166" i="40" s="1"/>
  <c r="BI162" i="40"/>
  <c r="BH242" i="40"/>
  <c r="BJ242" i="40" s="1"/>
  <c r="BA224" i="40"/>
  <c r="BQ124" i="40"/>
  <c r="BI197" i="40"/>
  <c r="BA146" i="40"/>
  <c r="BP168" i="40"/>
  <c r="BR168" i="40" s="1"/>
  <c r="AZ173" i="40"/>
  <c r="BB173" i="40" s="1"/>
  <c r="AZ189" i="40"/>
  <c r="BB189" i="40" s="1"/>
  <c r="BP174" i="40"/>
  <c r="BR174" i="40" s="1"/>
  <c r="BA248" i="40"/>
  <c r="BH184" i="40"/>
  <c r="BJ184" i="40" s="1"/>
  <c r="BQ184" i="40"/>
  <c r="BA142" i="40"/>
  <c r="BI145" i="40"/>
  <c r="BA183" i="40"/>
  <c r="AZ132" i="40"/>
  <c r="BB132" i="40" s="1"/>
  <c r="BP188" i="40"/>
  <c r="BR188" i="40" s="1"/>
  <c r="AZ248" i="40"/>
  <c r="BB248" i="40" s="1"/>
  <c r="BP110" i="40"/>
  <c r="BR110" i="40" s="1"/>
  <c r="BQ250" i="40"/>
  <c r="AZ191" i="40"/>
  <c r="BB191" i="40" s="1"/>
  <c r="AZ150" i="40"/>
  <c r="BB150" i="40" s="1"/>
  <c r="BH192" i="40"/>
  <c r="BJ192" i="40" s="1"/>
  <c r="BP172" i="40"/>
  <c r="BR172" i="40" s="1"/>
  <c r="BA149" i="40"/>
  <c r="AZ207" i="40"/>
  <c r="BB207" i="40" s="1"/>
  <c r="AZ198" i="40"/>
  <c r="BB198" i="40" s="1"/>
  <c r="BI214" i="40"/>
  <c r="AZ155" i="40"/>
  <c r="BB155" i="40" s="1"/>
  <c r="BA194" i="40"/>
  <c r="AZ167" i="40"/>
  <c r="BB167" i="40" s="1"/>
  <c r="AZ199" i="40"/>
  <c r="BB199" i="40" s="1"/>
  <c r="AZ164" i="40"/>
  <c r="BB164" i="40" s="1"/>
  <c r="BA140" i="40"/>
  <c r="AZ245" i="40"/>
  <c r="BB245" i="40" s="1"/>
  <c r="AZ197" i="40"/>
  <c r="BB197" i="40" s="1"/>
  <c r="BA179" i="40"/>
  <c r="BI216" i="40"/>
  <c r="BP200" i="40"/>
  <c r="BR200" i="40" s="1"/>
  <c r="BA128" i="40"/>
  <c r="BQ201" i="40"/>
  <c r="AZ130" i="40"/>
  <c r="BB130" i="40" s="1"/>
  <c r="BA144" i="40"/>
  <c r="BP107" i="40"/>
  <c r="BR107" i="40" s="1"/>
  <c r="BQ218" i="40"/>
  <c r="BI177" i="40"/>
  <c r="BI208" i="40"/>
  <c r="AZ158" i="40"/>
  <c r="BB158" i="40" s="1"/>
  <c r="AZ145" i="40"/>
  <c r="BB145" i="40" s="1"/>
  <c r="BQ134" i="40"/>
  <c r="AZ157" i="40"/>
  <c r="BB157" i="40" s="1"/>
  <c r="BH182" i="40"/>
  <c r="BJ182" i="40" s="1"/>
  <c r="BA173" i="40"/>
  <c r="BQ163" i="40"/>
  <c r="BA209" i="40"/>
  <c r="BI196" i="40"/>
  <c r="BQ216" i="40"/>
  <c r="BI217" i="40"/>
  <c r="BI231" i="40"/>
  <c r="AZ249" i="40"/>
  <c r="BB249" i="40" s="1"/>
  <c r="BP170" i="40"/>
  <c r="BR170" i="40" s="1"/>
  <c r="BA130" i="40"/>
  <c r="BA237" i="40"/>
  <c r="BQ133" i="40"/>
  <c r="BP164" i="40"/>
  <c r="BR164" i="40" s="1"/>
  <c r="BA210" i="40"/>
  <c r="BA192" i="40"/>
  <c r="BH208" i="40"/>
  <c r="BJ208" i="40" s="1"/>
  <c r="AZ134" i="40"/>
  <c r="BB134" i="40" s="1"/>
  <c r="BP167" i="40"/>
  <c r="BR167" i="40" s="1"/>
  <c r="BA134" i="40"/>
  <c r="BH146" i="40"/>
  <c r="BJ146" i="40" s="1"/>
  <c r="BA177" i="40"/>
  <c r="BA141" i="40"/>
  <c r="BP216" i="40"/>
  <c r="BR216" i="40" s="1"/>
  <c r="BI147" i="40"/>
  <c r="BQ189" i="40"/>
  <c r="AZ226" i="40"/>
  <c r="BB226" i="40" s="1"/>
  <c r="BI201" i="40"/>
  <c r="AZ215" i="40"/>
  <c r="BB215" i="40" s="1"/>
  <c r="AZ172" i="40"/>
  <c r="BB172" i="40" s="1"/>
  <c r="AZ128" i="40"/>
  <c r="BB128" i="40" s="1"/>
  <c r="AZ136" i="40"/>
  <c r="BB136" i="40" s="1"/>
  <c r="AZ174" i="40"/>
  <c r="BB174" i="40" s="1"/>
  <c r="BH201" i="40"/>
  <c r="BJ201" i="40" s="1"/>
  <c r="BP112" i="40"/>
  <c r="BR112" i="40" s="1"/>
  <c r="BI114" i="40"/>
  <c r="BP115" i="40"/>
  <c r="BR115" i="40" s="1"/>
  <c r="BH149" i="40"/>
  <c r="BJ149" i="40" s="1"/>
  <c r="BA239" i="40"/>
  <c r="AZ230" i="40"/>
  <c r="BB230" i="40" s="1"/>
  <c r="BP157" i="40"/>
  <c r="BR157" i="40" s="1"/>
  <c r="AZ203" i="40"/>
  <c r="BB203" i="40" s="1"/>
  <c r="BH235" i="40"/>
  <c r="BJ235" i="40" s="1"/>
  <c r="BQ131" i="40"/>
  <c r="BI224" i="40"/>
  <c r="AZ193" i="40"/>
  <c r="BB193" i="40" s="1"/>
  <c r="AZ146" i="40"/>
  <c r="BB146" i="40" s="1"/>
  <c r="AZ142" i="40"/>
  <c r="BB142" i="40" s="1"/>
  <c r="BA198" i="40"/>
  <c r="BP201" i="40"/>
  <c r="BR201" i="40" s="1"/>
  <c r="BP131" i="40"/>
  <c r="BR131" i="40" s="1"/>
  <c r="BH210" i="40"/>
  <c r="BJ210" i="40" s="1"/>
  <c r="BP133" i="40"/>
  <c r="BR133" i="40" s="1"/>
  <c r="BI109" i="40"/>
  <c r="BH114" i="40"/>
  <c r="BJ114" i="40" s="1"/>
  <c r="BQ132" i="40"/>
  <c r="BQ120" i="40"/>
  <c r="BI152" i="40"/>
  <c r="AZ138" i="40"/>
  <c r="BB138" i="40" s="1"/>
  <c r="BI148" i="40"/>
  <c r="BA155" i="40"/>
  <c r="BQ174" i="40"/>
  <c r="BH194" i="40"/>
  <c r="BJ194" i="40" s="1"/>
  <c r="BA166" i="40"/>
  <c r="BP187" i="40"/>
  <c r="BR187" i="40" s="1"/>
  <c r="AZ206" i="40"/>
  <c r="BB206" i="40" s="1"/>
  <c r="BA195" i="40"/>
  <c r="AZ211" i="40"/>
  <c r="BB211" i="40" s="1"/>
  <c r="BH225" i="40"/>
  <c r="BJ225" i="40" s="1"/>
  <c r="BP233" i="40"/>
  <c r="BR233" i="40" s="1"/>
  <c r="BQ234" i="40"/>
  <c r="BI232" i="40"/>
  <c r="BH241" i="40"/>
  <c r="BJ241" i="40" s="1"/>
  <c r="BI238" i="40"/>
  <c r="BH250" i="40"/>
  <c r="BJ250" i="40" s="1"/>
  <c r="AZ229" i="40"/>
  <c r="BB229" i="40" s="1"/>
  <c r="AZ151" i="40"/>
  <c r="BB151" i="40" s="1"/>
  <c r="BA186" i="40"/>
  <c r="BI168" i="40"/>
  <c r="BI164" i="40"/>
  <c r="BH212" i="40"/>
  <c r="BJ212" i="40" s="1"/>
  <c r="AZ242" i="40"/>
  <c r="BB242" i="40" s="1"/>
  <c r="BA136" i="40"/>
  <c r="BH217" i="40"/>
  <c r="BJ217" i="40" s="1"/>
  <c r="AZ165" i="40"/>
  <c r="BB165" i="40" s="1"/>
  <c r="AZ163" i="40"/>
  <c r="BB163" i="40" s="1"/>
  <c r="BI195" i="40"/>
  <c r="BI183" i="40"/>
  <c r="BH238" i="40"/>
  <c r="BJ238" i="40" s="1"/>
  <c r="BA188" i="40"/>
  <c r="BA202" i="40"/>
  <c r="AZ184" i="40"/>
  <c r="BB184" i="40" s="1"/>
  <c r="BQ109" i="40"/>
  <c r="BI228" i="40"/>
  <c r="BP113" i="40"/>
  <c r="BR113" i="40" s="1"/>
  <c r="AZ240" i="40"/>
  <c r="BB240" i="40" s="1"/>
  <c r="BA247" i="40"/>
  <c r="BI199" i="40"/>
  <c r="BP111" i="40"/>
  <c r="BR111" i="40" s="1"/>
  <c r="BA245" i="40"/>
  <c r="BH197" i="40"/>
  <c r="BJ197" i="40" s="1"/>
  <c r="BH211" i="40"/>
  <c r="BJ211" i="40" s="1"/>
  <c r="BI193" i="40"/>
  <c r="BP124" i="40"/>
  <c r="BR124" i="40" s="1"/>
  <c r="BA196" i="40"/>
  <c r="BQ118" i="40"/>
  <c r="BA185" i="40"/>
  <c r="BQ249" i="40"/>
  <c r="AZ178" i="40"/>
  <c r="BB178" i="40" s="1"/>
  <c r="AZ244" i="40"/>
  <c r="BB244" i="40" s="1"/>
  <c r="BH215" i="40"/>
  <c r="BJ215" i="40" s="1"/>
  <c r="BA204" i="40"/>
  <c r="BH227" i="40"/>
  <c r="BJ227" i="40" s="1"/>
  <c r="BA200" i="40"/>
  <c r="BP126" i="40"/>
  <c r="BR126" i="40" s="1"/>
  <c r="BA147" i="40"/>
  <c r="BA139" i="40"/>
  <c r="BQ187" i="40"/>
  <c r="BQ107" i="40"/>
  <c r="AZ194" i="40"/>
  <c r="BB194" i="40" s="1"/>
  <c r="BP189" i="40"/>
  <c r="BR189" i="40" s="1"/>
  <c r="BI242" i="40"/>
  <c r="BI215" i="40"/>
  <c r="AZ129" i="40"/>
  <c r="BB129" i="40" s="1"/>
  <c r="AZ222" i="40"/>
  <c r="BB222" i="40" s="1"/>
  <c r="AZ140" i="40"/>
  <c r="BB140" i="40" s="1"/>
  <c r="BH213" i="40"/>
  <c r="BJ213" i="40" s="1"/>
  <c r="BQ117" i="40"/>
  <c r="BA243" i="40"/>
  <c r="BA250" i="40"/>
  <c r="BP202" i="40"/>
  <c r="BR202" i="40" s="1"/>
  <c r="BA138" i="40"/>
  <c r="AZ201" i="40"/>
  <c r="BB201" i="40" s="1"/>
  <c r="AZ162" i="40"/>
  <c r="BB162" i="40" s="1"/>
  <c r="AZ195" i="40"/>
  <c r="BB195" i="40" s="1"/>
  <c r="AZ166" i="40"/>
  <c r="BB166" i="40" s="1"/>
  <c r="AZ168" i="40"/>
  <c r="BB168" i="40" s="1"/>
  <c r="BP165" i="40"/>
  <c r="BR165" i="40" s="1"/>
  <c r="BH193" i="40"/>
  <c r="BJ193" i="40" s="1"/>
  <c r="BA143" i="40"/>
  <c r="BH209" i="40"/>
  <c r="BJ209" i="40" s="1"/>
  <c r="AZ144" i="40"/>
  <c r="BB144" i="40" s="1"/>
  <c r="AZ228" i="40"/>
  <c r="BB228" i="40" s="1"/>
  <c r="BI210" i="40"/>
  <c r="AZ153" i="40"/>
  <c r="BB153" i="40" s="1"/>
  <c r="AZ192" i="40"/>
  <c r="BB192" i="40" s="1"/>
  <c r="AZ196" i="40"/>
  <c r="BB196" i="40" s="1"/>
  <c r="AZ243" i="40"/>
  <c r="BB243" i="40" s="1"/>
  <c r="AZ170" i="40"/>
  <c r="BB170" i="40" s="1"/>
  <c r="BQ115" i="40"/>
  <c r="BI226" i="40"/>
  <c r="BI108" i="40"/>
  <c r="BQ122" i="40"/>
  <c r="BP109" i="40"/>
  <c r="BR109" i="40" s="1"/>
  <c r="AZ133" i="40"/>
  <c r="BB133" i="40" s="1"/>
  <c r="AZ135" i="40"/>
  <c r="BB135" i="40" s="1"/>
  <c r="AZ160" i="40"/>
  <c r="BB160" i="40" s="1"/>
  <c r="BH168" i="40"/>
  <c r="BJ168" i="40" s="1"/>
  <c r="BA153" i="40"/>
  <c r="BP158" i="40"/>
  <c r="BR158" i="40" s="1"/>
  <c r="BQ168" i="40"/>
  <c r="BP177" i="40"/>
  <c r="BR177" i="40" s="1"/>
  <c r="BQ186" i="40"/>
  <c r="BA180" i="40"/>
  <c r="BA217" i="40"/>
  <c r="BI184" i="40"/>
  <c r="BA225" i="40"/>
  <c r="BH233" i="40"/>
  <c r="BJ233" i="40" s="1"/>
  <c r="AZ235" i="40"/>
  <c r="BB235" i="40" s="1"/>
  <c r="BA220" i="40"/>
  <c r="BQ240" i="40"/>
  <c r="BH245" i="40"/>
  <c r="BJ245" i="40" s="1"/>
  <c r="BP132" i="40"/>
  <c r="BR132" i="40" s="1"/>
  <c r="BQ125" i="40"/>
  <c r="AZ148" i="40"/>
  <c r="BB148" i="40" s="1"/>
  <c r="BH147" i="40"/>
  <c r="BJ147" i="40" s="1"/>
  <c r="BQ217" i="40"/>
  <c r="BI180" i="40"/>
  <c r="BQ183" i="40"/>
  <c r="BQ161" i="40"/>
  <c r="AZ179" i="40"/>
  <c r="BB179" i="40" s="1"/>
  <c r="AZ183" i="40"/>
  <c r="BB183" i="40" s="1"/>
  <c r="AZ216" i="40"/>
  <c r="BB216" i="40" s="1"/>
  <c r="BA212" i="40"/>
  <c r="AZ238" i="40"/>
  <c r="BB238" i="40" s="1"/>
  <c r="BQ233" i="40"/>
  <c r="BA229" i="40"/>
  <c r="BA242" i="40"/>
  <c r="BA240" i="40"/>
  <c r="AZ175" i="40"/>
  <c r="BB175" i="40" s="1"/>
  <c r="BP162" i="40"/>
  <c r="BR162" i="40" s="1"/>
  <c r="BA228" i="40"/>
  <c r="BH177" i="40"/>
  <c r="BJ177" i="40" s="1"/>
  <c r="BP125" i="40"/>
  <c r="BR125" i="40" s="1"/>
  <c r="BP134" i="40"/>
  <c r="BR134" i="40" s="1"/>
  <c r="AZ141" i="40"/>
  <c r="BB141" i="40" s="1"/>
  <c r="BP217" i="40"/>
  <c r="BR217" i="40" s="1"/>
  <c r="AZ161" i="40"/>
  <c r="BB161" i="40" s="1"/>
  <c r="BQ166" i="40"/>
  <c r="BQ185" i="40"/>
  <c r="BA162" i="40"/>
  <c r="BA189" i="40"/>
  <c r="BH198" i="40"/>
  <c r="BJ198" i="40" s="1"/>
  <c r="BA193" i="40"/>
  <c r="AZ210" i="40"/>
  <c r="BB210" i="40" s="1"/>
  <c r="AZ212" i="40"/>
  <c r="BB212" i="40" s="1"/>
  <c r="BI218" i="40"/>
  <c r="BI227" i="40"/>
  <c r="BH228" i="40"/>
  <c r="BJ228" i="40" s="1"/>
  <c r="BA249" i="40"/>
  <c r="AZ250" i="40"/>
  <c r="BB250" i="40" s="1"/>
  <c r="BI213" i="40"/>
  <c r="BQ116" i="40"/>
  <c r="BQ130" i="40"/>
  <c r="AZ137" i="40"/>
  <c r="BB137" i="40" s="1"/>
  <c r="BA150" i="40"/>
  <c r="BA157" i="40"/>
  <c r="BA167" i="40"/>
  <c r="BP185" i="40"/>
  <c r="BR185" i="40" s="1"/>
  <c r="BA164" i="40"/>
  <c r="BA190" i="40"/>
  <c r="BQ190" i="40"/>
  <c r="BA199" i="40"/>
  <c r="BA233" i="40"/>
  <c r="BI207" i="40"/>
  <c r="AZ223" i="40"/>
  <c r="BB223" i="40" s="1"/>
  <c r="BA222" i="40"/>
  <c r="BA236" i="40"/>
  <c r="BA241" i="40"/>
  <c r="BP159" i="40"/>
  <c r="BR159" i="40" s="1"/>
  <c r="BI209" i="40"/>
  <c r="BP184" i="40"/>
  <c r="BR184" i="40" s="1"/>
  <c r="BH214" i="40"/>
  <c r="BJ214" i="40" s="1"/>
  <c r="BP116" i="40"/>
  <c r="BR116" i="40" s="1"/>
  <c r="BQ114" i="40"/>
  <c r="BA158" i="40"/>
  <c r="BP130" i="40"/>
  <c r="BR130" i="40" s="1"/>
  <c r="BA133" i="40"/>
  <c r="BA148" i="40"/>
  <c r="BA161" i="40"/>
  <c r="BQ165" i="40"/>
  <c r="AZ190" i="40"/>
  <c r="BB190" i="40" s="1"/>
  <c r="BI167" i="40"/>
  <c r="AZ233" i="40"/>
  <c r="BB233" i="40" s="1"/>
  <c r="BA214" i="40"/>
  <c r="BA223" i="40"/>
  <c r="AZ236" i="40"/>
  <c r="BB236" i="40" s="1"/>
  <c r="BP240" i="40"/>
  <c r="BR240" i="40" s="1"/>
  <c r="BH108" i="40"/>
  <c r="BJ108" i="40" s="1"/>
  <c r="BQ112" i="40"/>
  <c r="BP171" i="40"/>
  <c r="BR171" i="40" s="1"/>
  <c r="BI163" i="40"/>
  <c r="BA156" i="40"/>
  <c r="AZ149" i="40"/>
  <c r="BB149" i="40" s="1"/>
  <c r="BH183" i="40"/>
  <c r="BJ183" i="40" s="1"/>
  <c r="BA169" i="40"/>
  <c r="BA187" i="40"/>
  <c r="BQ167" i="40"/>
  <c r="BI194" i="40"/>
  <c r="BP190" i="40"/>
  <c r="BR190" i="40" s="1"/>
  <c r="AZ200" i="40"/>
  <c r="BB200" i="40" s="1"/>
  <c r="BQ200" i="40"/>
  <c r="AZ214" i="40"/>
  <c r="BB214" i="40" s="1"/>
  <c r="BA215" i="40"/>
  <c r="BI225" i="40"/>
  <c r="BQ219" i="40"/>
  <c r="BI250" i="40"/>
  <c r="AZ224" i="40"/>
  <c r="BB224" i="40" s="1"/>
  <c r="AZ188" i="40"/>
  <c r="BB188" i="40" s="1"/>
  <c r="BA207" i="40"/>
  <c r="BH207" i="40"/>
  <c r="BJ207" i="40" s="1"/>
  <c r="BQ123" i="40"/>
  <c r="BI161" i="40"/>
  <c r="AZ152" i="40"/>
  <c r="BB152" i="40" s="1"/>
  <c r="BH163" i="40"/>
  <c r="BJ163" i="40" s="1"/>
  <c r="BI149" i="40"/>
  <c r="BP156" i="40"/>
  <c r="BR156" i="40" s="1"/>
  <c r="AZ187" i="40"/>
  <c r="BB187" i="40" s="1"/>
  <c r="BA168" i="40"/>
  <c r="BP204" i="40"/>
  <c r="BR204" i="40" s="1"/>
  <c r="BI179" i="40"/>
  <c r="BA203" i="40"/>
  <c r="BQ202" i="40"/>
  <c r="BI241" i="40"/>
  <c r="BI212" i="40"/>
  <c r="BH161" i="40"/>
  <c r="BJ161" i="40" s="1"/>
  <c r="BQ156" i="40"/>
  <c r="BQ170" i="40"/>
  <c r="BQ169" i="40"/>
  <c r="BH179" i="40"/>
  <c r="BJ179" i="40" s="1"/>
  <c r="BA206" i="40"/>
  <c r="BP203" i="40"/>
  <c r="BR203" i="40" s="1"/>
  <c r="AZ221" i="40"/>
  <c r="BB221" i="40" s="1"/>
  <c r="BP220" i="40"/>
  <c r="BR220" i="40" s="1"/>
  <c r="AZ227" i="40"/>
  <c r="BB227" i="40" s="1"/>
  <c r="BA232" i="40"/>
  <c r="BQ221" i="40"/>
  <c r="BH244" i="40"/>
  <c r="BJ244" i="40" s="1"/>
  <c r="BI246" i="40"/>
  <c r="BA244" i="40"/>
  <c r="BA230" i="40"/>
  <c r="AZ237" i="40"/>
  <c r="BB237" i="40" s="1"/>
  <c r="BQ110" i="40"/>
  <c r="BH226" i="40"/>
  <c r="BJ226" i="40" s="1"/>
  <c r="BI211" i="40"/>
  <c r="BH109" i="40"/>
  <c r="BJ109" i="40" s="1"/>
  <c r="BP123" i="40"/>
  <c r="BR123" i="40" s="1"/>
  <c r="BA135" i="40"/>
  <c r="AZ143" i="40"/>
  <c r="BB143" i="40" s="1"/>
  <c r="BQ157" i="40"/>
  <c r="BH162" i="40"/>
  <c r="BJ162" i="40" s="1"/>
  <c r="BA171" i="40"/>
  <c r="BA170" i="40"/>
  <c r="AZ209" i="40"/>
  <c r="BB209" i="40" s="1"/>
  <c r="AZ204" i="40"/>
  <c r="BB204" i="40" s="1"/>
  <c r="BA221" i="40"/>
  <c r="AZ213" i="40"/>
  <c r="BB213" i="40" s="1"/>
  <c r="BA227" i="40"/>
  <c r="AZ232" i="40"/>
  <c r="BB232" i="40" s="1"/>
  <c r="BH222" i="40"/>
  <c r="BJ222" i="40" s="1"/>
  <c r="BA231" i="40"/>
  <c r="BH246" i="40"/>
  <c r="BJ246" i="40" s="1"/>
  <c r="AZ171" i="40"/>
  <c r="BB171" i="40" s="1"/>
  <c r="BH216" i="40"/>
  <c r="BJ216" i="40" s="1"/>
  <c r="BA145" i="40"/>
  <c r="BP122" i="40"/>
  <c r="BR122" i="40" s="1"/>
  <c r="BA137" i="40"/>
  <c r="BI146" i="40"/>
  <c r="BH164" i="40"/>
  <c r="BJ164" i="40" s="1"/>
  <c r="BQ158" i="40"/>
  <c r="BQ172" i="40"/>
  <c r="BQ171" i="40"/>
  <c r="BQ204" i="40"/>
  <c r="BI181" i="40"/>
  <c r="BQ188" i="40"/>
  <c r="BH234" i="40"/>
  <c r="BJ234" i="40" s="1"/>
  <c r="BA213" i="40"/>
  <c r="BQ220" i="40"/>
  <c r="AZ231" i="40"/>
  <c r="BB231" i="40" s="1"/>
  <c r="BA246" i="40"/>
  <c r="BH240" i="40"/>
  <c r="BJ240" i="40" s="1"/>
  <c r="BA184" i="40"/>
  <c r="BQ127" i="40"/>
  <c r="BA152" i="40"/>
  <c r="AZ159" i="40"/>
  <c r="BB159" i="40" s="1"/>
  <c r="BI165" i="40"/>
  <c r="AZ181" i="40"/>
  <c r="BB181" i="40" s="1"/>
  <c r="BA172" i="40"/>
  <c r="BH167" i="40"/>
  <c r="BJ167" i="40" s="1"/>
  <c r="BH181" i="40"/>
  <c r="BJ181" i="40" s="1"/>
  <c r="AZ186" i="40"/>
  <c r="BB186" i="40" s="1"/>
  <c r="AZ185" i="40"/>
  <c r="BB185" i="40" s="1"/>
  <c r="BI229" i="40"/>
  <c r="BA235" i="40"/>
  <c r="BP219" i="40"/>
  <c r="BR219" i="40" s="1"/>
  <c r="AZ239" i="40"/>
  <c r="BB239" i="40" s="1"/>
  <c r="BI248" i="40"/>
  <c r="BA151" i="40"/>
  <c r="BA201" i="40"/>
  <c r="BP173" i="40"/>
  <c r="BR173" i="40" s="1"/>
  <c r="BQ126" i="40"/>
  <c r="BI240" i="40"/>
  <c r="BP127" i="40"/>
  <c r="BR127" i="40" s="1"/>
  <c r="BP118" i="40"/>
  <c r="BR118" i="40" s="1"/>
  <c r="BP117" i="40"/>
  <c r="BR117" i="40" s="1"/>
  <c r="BH165" i="40"/>
  <c r="BJ165" i="40" s="1"/>
  <c r="BA181" i="40"/>
  <c r="BA176" i="40"/>
  <c r="AZ180" i="40"/>
  <c r="BB180" i="40" s="1"/>
  <c r="BI185" i="40"/>
  <c r="BI200" i="40"/>
  <c r="BA191" i="40"/>
  <c r="BI234" i="40"/>
  <c r="BA218" i="40"/>
  <c r="BI230" i="40"/>
  <c r="BH229" i="40"/>
  <c r="BJ229" i="40" s="1"/>
  <c r="BQ236" i="40"/>
  <c r="AZ220" i="40"/>
  <c r="BB220" i="40" s="1"/>
  <c r="BH224" i="40"/>
  <c r="BJ224" i="40" s="1"/>
  <c r="BQ235" i="40"/>
  <c r="BI235" i="40"/>
  <c r="AZ241" i="40"/>
  <c r="BB241" i="40" s="1"/>
  <c r="BH248" i="40"/>
  <c r="BJ248" i="40" s="1"/>
  <c r="BH247" i="40"/>
  <c r="BJ247" i="40" s="1"/>
  <c r="AZ219" i="40"/>
  <c r="BB219" i="40" s="1"/>
  <c r="BP161" i="40"/>
  <c r="BR161" i="40" s="1"/>
  <c r="BQ119" i="40"/>
  <c r="BQ121" i="40"/>
  <c r="BA160" i="40"/>
  <c r="BA159" i="40"/>
  <c r="BQ162" i="40"/>
  <c r="BA175" i="40"/>
  <c r="BQ177" i="40"/>
  <c r="BQ173" i="40"/>
  <c r="BH200" i="40"/>
  <c r="BJ200" i="40" s="1"/>
  <c r="BH196" i="40"/>
  <c r="BJ196" i="40" s="1"/>
  <c r="AZ217" i="40"/>
  <c r="BB217" i="40" s="1"/>
  <c r="AZ218" i="40"/>
  <c r="BB218" i="40" s="1"/>
  <c r="BH199" i="40"/>
  <c r="BJ199" i="40" s="1"/>
  <c r="BH230" i="40"/>
  <c r="BJ230" i="40" s="1"/>
  <c r="BP221" i="40"/>
  <c r="BR221" i="40" s="1"/>
  <c r="BP235" i="40"/>
  <c r="BR235" i="40" s="1"/>
  <c r="BH249" i="40"/>
  <c r="BJ249" i="40" s="1"/>
  <c r="BA219" i="40"/>
  <c r="BP163" i="40"/>
  <c r="BR163" i="40" s="1"/>
  <c r="BQ108" i="40"/>
  <c r="BA129" i="40"/>
  <c r="BP119" i="40"/>
  <c r="BR119" i="40" s="1"/>
  <c r="BP121" i="40"/>
  <c r="BR121" i="40" s="1"/>
  <c r="BH178" i="40"/>
  <c r="BJ178" i="40" s="1"/>
  <c r="BI176" i="40"/>
  <c r="BA163" i="40"/>
  <c r="BA174" i="40"/>
  <c r="AZ205" i="40"/>
  <c r="BB205" i="40" s="1"/>
  <c r="BI192" i="40"/>
  <c r="BI233" i="40"/>
  <c r="BP236" i="40"/>
  <c r="BR236" i="40" s="1"/>
  <c r="BH232" i="40"/>
  <c r="BJ232" i="40" s="1"/>
  <c r="BI245" i="40"/>
  <c r="BI166" i="40"/>
  <c r="BQ111" i="40"/>
  <c r="BQ203" i="40"/>
  <c r="BP108" i="40"/>
  <c r="BR108" i="40" s="1"/>
  <c r="BA154" i="40"/>
  <c r="BI178" i="40"/>
  <c r="BH176" i="40"/>
  <c r="BJ176" i="40" s="1"/>
  <c r="BQ159" i="40"/>
  <c r="BH166" i="40"/>
  <c r="BJ166" i="40" s="1"/>
  <c r="BP186" i="40"/>
  <c r="BR186" i="40" s="1"/>
  <c r="BA182" i="40"/>
  <c r="AZ208" i="40"/>
  <c r="BB208" i="40" s="1"/>
  <c r="BA205" i="40"/>
  <c r="BI223" i="40"/>
  <c r="BA197" i="40"/>
  <c r="BA211" i="40"/>
  <c r="BA234" i="40"/>
  <c r="BA226" i="40"/>
  <c r="BI239" i="40"/>
  <c r="BI247" i="40"/>
  <c r="AZ169" i="40"/>
  <c r="BB169" i="40" s="1"/>
  <c r="AZ246" i="40"/>
  <c r="BB246" i="40" s="1"/>
  <c r="BH195" i="40"/>
  <c r="BJ195" i="40" s="1"/>
  <c r="BP169" i="40"/>
  <c r="BR169" i="40" s="1"/>
  <c r="BA131" i="40"/>
  <c r="AZ154" i="40"/>
  <c r="BB154" i="40" s="1"/>
  <c r="BI150" i="40"/>
  <c r="BP120" i="40"/>
  <c r="BR120" i="40" s="1"/>
  <c r="AZ139" i="40"/>
  <c r="BB139" i="40" s="1"/>
  <c r="BQ164" i="40"/>
  <c r="AZ176" i="40"/>
  <c r="BB176" i="40" s="1"/>
  <c r="AZ182" i="40"/>
  <c r="BB182" i="40" s="1"/>
  <c r="BQ205" i="40"/>
  <c r="BH223" i="40"/>
  <c r="BJ223" i="40" s="1"/>
  <c r="AZ202" i="40"/>
  <c r="BB202" i="40" s="1"/>
  <c r="AZ234" i="40"/>
  <c r="BB234" i="40" s="1"/>
  <c r="BH239" i="40"/>
  <c r="BJ239" i="40" s="1"/>
  <c r="BI249" i="40"/>
  <c r="AZ147" i="40"/>
  <c r="BB147" i="40" s="1"/>
  <c r="AZ247" i="40"/>
  <c r="BB247" i="40" s="1"/>
  <c r="BP249" i="40"/>
  <c r="BR249" i="40" s="1"/>
  <c r="AZ131" i="40"/>
  <c r="BB131" i="40" s="1"/>
  <c r="BH145" i="40"/>
  <c r="BJ145" i="40" s="1"/>
  <c r="BI182" i="40"/>
  <c r="BH180" i="40"/>
  <c r="BJ180" i="40" s="1"/>
  <c r="BA165" i="40"/>
  <c r="BP183" i="40"/>
  <c r="BR183" i="40" s="1"/>
  <c r="BA178" i="40"/>
  <c r="AZ177" i="40"/>
  <c r="BB177" i="40" s="1"/>
  <c r="BP205" i="40"/>
  <c r="BR205" i="40" s="1"/>
  <c r="BA208" i="40"/>
  <c r="BI198" i="40"/>
  <c r="BA216" i="40"/>
  <c r="AZ225" i="40"/>
  <c r="BB225" i="40" s="1"/>
  <c r="BA238" i="40"/>
  <c r="BH231" i="40"/>
  <c r="BJ231" i="40" s="1"/>
  <c r="BP234" i="40"/>
  <c r="BR234" i="40" s="1"/>
  <c r="BP250" i="40"/>
  <c r="BR250" i="40" s="1"/>
  <c r="AW247" i="40"/>
  <c r="AX247" i="40" s="1"/>
  <c r="AW159" i="40"/>
  <c r="AX159" i="40" s="1"/>
  <c r="AW145" i="40"/>
  <c r="AX145" i="40" s="1"/>
  <c r="AW237" i="40"/>
  <c r="AX237" i="40" s="1"/>
  <c r="AW167" i="40"/>
  <c r="AX167" i="40" s="1"/>
  <c r="AW208" i="40"/>
  <c r="AX208" i="40" s="1"/>
  <c r="AW176" i="40"/>
  <c r="AX176" i="40" s="1"/>
  <c r="AW146" i="40"/>
  <c r="AX146" i="40" s="1"/>
  <c r="AW222" i="40"/>
  <c r="AX222" i="40" s="1"/>
  <c r="AW193" i="40"/>
  <c r="AX193" i="40" s="1"/>
  <c r="AW165" i="40"/>
  <c r="AX165" i="40" s="1"/>
  <c r="AW225" i="40"/>
  <c r="AX225" i="40" s="1"/>
  <c r="AW245" i="40"/>
  <c r="AX245" i="40" s="1"/>
  <c r="AW171" i="40"/>
  <c r="AX171" i="40" s="1"/>
  <c r="AW221" i="40"/>
  <c r="AX221" i="40" s="1"/>
  <c r="AW185" i="40"/>
  <c r="AX185" i="40" s="1"/>
  <c r="AW243" i="40"/>
  <c r="AX243" i="40" s="1"/>
  <c r="AW174" i="40"/>
  <c r="AX174" i="40" s="1"/>
  <c r="AW163" i="40"/>
  <c r="AX163" i="40" s="1"/>
  <c r="AW241" i="40"/>
  <c r="AX241" i="40" s="1"/>
  <c r="AW123" i="40"/>
  <c r="AX123" i="40" s="1"/>
  <c r="AW161" i="40"/>
  <c r="AX161" i="40" s="1"/>
  <c r="AW155" i="40"/>
  <c r="AX155" i="40" s="1"/>
  <c r="AW177" i="40"/>
  <c r="AX177" i="40" s="1"/>
  <c r="AW129" i="40"/>
  <c r="AX129" i="40" s="1"/>
  <c r="AW124" i="40"/>
  <c r="AX124" i="40" s="1"/>
  <c r="AW231" i="40"/>
  <c r="AX231" i="40" s="1"/>
  <c r="AW217" i="40"/>
  <c r="AX217" i="40" s="1"/>
  <c r="AW216" i="40"/>
  <c r="AX216" i="40" s="1"/>
  <c r="AW207" i="40"/>
  <c r="AX207" i="40" s="1"/>
  <c r="AW148" i="40"/>
  <c r="AX148" i="40" s="1"/>
  <c r="AW127" i="40"/>
  <c r="AX127" i="40" s="1"/>
  <c r="AW140" i="40"/>
  <c r="AX140" i="40" s="1"/>
  <c r="AW135" i="40"/>
  <c r="AX135" i="40" s="1"/>
  <c r="AW206" i="40"/>
  <c r="AX206" i="40" s="1"/>
  <c r="AW188" i="40"/>
  <c r="AX188" i="40" s="1"/>
  <c r="AW144" i="40"/>
  <c r="AX144" i="40" s="1"/>
  <c r="AW138" i="40"/>
  <c r="AX138" i="40" s="1"/>
  <c r="AW130" i="40"/>
  <c r="AX130" i="40" s="1"/>
  <c r="AW186" i="40"/>
  <c r="AX186" i="40" s="1"/>
  <c r="AW246" i="40"/>
  <c r="AX246" i="40" s="1"/>
  <c r="AW212" i="40"/>
  <c r="AX212" i="40" s="1"/>
  <c r="AW125" i="40"/>
  <c r="AX125" i="40" s="1"/>
  <c r="AW166" i="40"/>
  <c r="AX166" i="40" s="1"/>
  <c r="AW182" i="40"/>
  <c r="AX182" i="40" s="1"/>
  <c r="AW196" i="40"/>
  <c r="AX196" i="40" s="1"/>
  <c r="AW209" i="40"/>
  <c r="AX209" i="40" s="1"/>
  <c r="AW248" i="40"/>
  <c r="AX248" i="40" s="1"/>
  <c r="AW239" i="40"/>
  <c r="AX239" i="40" s="1"/>
  <c r="AW224" i="40"/>
  <c r="AX224" i="40" s="1"/>
  <c r="AW137" i="40"/>
  <c r="AX137" i="40" s="1"/>
  <c r="AW204" i="40"/>
  <c r="AX204" i="40" s="1"/>
  <c r="AW220" i="40"/>
  <c r="AX220" i="40" s="1"/>
  <c r="AW250" i="40"/>
  <c r="AX250" i="40" s="1"/>
  <c r="AW169" i="40"/>
  <c r="AX169" i="40" s="1"/>
  <c r="AW228" i="40"/>
  <c r="AX228" i="40" s="1"/>
  <c r="AW189" i="40"/>
  <c r="AX189" i="40" s="1"/>
  <c r="AW244" i="40"/>
  <c r="AX244" i="40" s="1"/>
  <c r="AW249" i="40"/>
  <c r="AX249" i="40" s="1"/>
  <c r="AW191" i="40"/>
  <c r="AX191" i="40" s="1"/>
  <c r="AW131" i="40"/>
  <c r="AX131" i="40" s="1"/>
  <c r="AW133" i="40"/>
  <c r="AX133" i="40" s="1"/>
  <c r="AW128" i="40"/>
  <c r="AX128" i="40" s="1"/>
  <c r="AW205" i="40"/>
  <c r="AX205" i="40" s="1"/>
  <c r="AW141" i="40"/>
  <c r="AX141" i="40" s="1"/>
  <c r="AW121" i="40"/>
  <c r="AX121" i="40" s="1"/>
  <c r="AW195" i="40"/>
  <c r="AX195" i="40" s="1"/>
  <c r="AW213" i="40"/>
  <c r="AX213" i="40" s="1"/>
  <c r="AW157" i="40"/>
  <c r="AX157" i="40" s="1"/>
  <c r="AW197" i="40"/>
  <c r="AX197" i="40" s="1"/>
  <c r="AW172" i="40"/>
  <c r="AX172" i="40" s="1"/>
  <c r="AW134" i="40"/>
  <c r="AX134" i="40" s="1"/>
  <c r="AW232" i="40"/>
  <c r="AX232" i="40" s="1"/>
  <c r="AW200" i="40"/>
  <c r="AX200" i="40" s="1"/>
  <c r="AW230" i="40"/>
  <c r="AX230" i="40" s="1"/>
  <c r="AW194" i="40"/>
  <c r="AX194" i="40" s="1"/>
  <c r="AW240" i="40"/>
  <c r="AX240" i="40" s="1"/>
  <c r="AW150" i="40"/>
  <c r="AX150" i="40" s="1"/>
  <c r="AW160" i="40"/>
  <c r="AX160" i="40" s="1"/>
  <c r="AW139" i="40"/>
  <c r="AX139" i="40" s="1"/>
  <c r="AW151" i="40"/>
  <c r="AX151" i="40" s="1"/>
  <c r="AW154" i="40"/>
  <c r="AX154" i="40" s="1"/>
  <c r="AW183" i="40"/>
  <c r="AX183" i="40" s="1"/>
  <c r="AW242" i="40"/>
  <c r="AX242" i="40" s="1"/>
  <c r="AW143" i="40"/>
  <c r="AX143" i="40" s="1"/>
  <c r="AW149" i="40"/>
  <c r="AX149" i="40" s="1"/>
  <c r="AW180" i="40"/>
  <c r="AX180" i="40" s="1"/>
  <c r="AW162" i="40"/>
  <c r="AX162" i="40" s="1"/>
  <c r="AW234" i="40"/>
  <c r="AX234" i="40" s="1"/>
  <c r="AW187" i="40"/>
  <c r="AX187" i="40" s="1"/>
  <c r="AW126" i="40"/>
  <c r="AX126" i="40" s="1"/>
  <c r="AW226" i="40"/>
  <c r="AX226" i="40" s="1"/>
  <c r="AW229" i="40"/>
  <c r="AX229" i="40" s="1"/>
  <c r="AW164" i="40"/>
  <c r="AX164" i="40" s="1"/>
  <c r="AW198" i="40"/>
  <c r="AX198" i="40" s="1"/>
  <c r="AW179" i="40"/>
  <c r="AX179" i="40" s="1"/>
  <c r="AW203" i="40"/>
  <c r="AX203" i="40" s="1"/>
  <c r="AW218" i="40"/>
  <c r="AX218" i="40" s="1"/>
  <c r="AW215" i="40"/>
  <c r="AX215" i="40" s="1"/>
  <c r="AW199" i="40"/>
  <c r="AX199" i="40" s="1"/>
  <c r="AW168" i="40"/>
  <c r="AX168" i="40" s="1"/>
  <c r="AW202" i="40"/>
  <c r="AX202" i="40" s="1"/>
  <c r="AW214" i="40"/>
  <c r="AX214" i="40" s="1"/>
  <c r="AW223" i="40"/>
  <c r="AX223" i="40" s="1"/>
  <c r="AW184" i="40"/>
  <c r="AX184" i="40" s="1"/>
  <c r="AW211" i="40"/>
  <c r="AX211" i="40" s="1"/>
  <c r="AW153" i="40"/>
  <c r="AX153" i="40" s="1"/>
  <c r="AW152" i="40"/>
  <c r="AX152" i="40" s="1"/>
  <c r="AW219" i="40"/>
  <c r="AX219" i="40" s="1"/>
  <c r="AW170" i="40"/>
  <c r="AX170" i="40" s="1"/>
  <c r="AW173" i="40"/>
  <c r="AX173" i="40" s="1"/>
  <c r="AW210" i="40"/>
  <c r="AX210" i="40" s="1"/>
  <c r="AW190" i="40"/>
  <c r="AX190" i="40" s="1"/>
  <c r="AW236" i="40"/>
  <c r="AX236" i="40" s="1"/>
  <c r="AW122" i="40"/>
  <c r="AX122" i="40" s="1"/>
  <c r="AW156" i="40"/>
  <c r="AX156" i="40" s="1"/>
  <c r="AW142" i="40"/>
  <c r="AX142" i="40" s="1"/>
  <c r="AW132" i="40"/>
  <c r="AX132" i="40" s="1"/>
  <c r="AW175" i="40"/>
  <c r="AX175" i="40" s="1"/>
  <c r="AW201" i="40"/>
  <c r="AX201" i="40" s="1"/>
  <c r="AW181" i="40"/>
  <c r="AX181" i="40" s="1"/>
  <c r="AW192" i="40"/>
  <c r="AX192" i="40" s="1"/>
  <c r="AW238" i="40"/>
  <c r="AX238" i="40" s="1"/>
  <c r="AW178" i="40"/>
  <c r="AX178" i="40" s="1"/>
  <c r="AW147" i="40"/>
  <c r="AX147" i="40" s="1"/>
  <c r="AW136" i="40"/>
  <c r="AX136" i="40" s="1"/>
  <c r="AW158" i="40"/>
  <c r="AX158" i="40" s="1"/>
  <c r="AW227" i="40"/>
  <c r="AX227" i="40" s="1"/>
  <c r="AW235" i="40"/>
  <c r="AX235" i="40" s="1"/>
  <c r="AW233" i="40"/>
  <c r="AX233" i="40" s="1"/>
  <c r="AW250" i="39"/>
  <c r="AX250" i="39" s="1"/>
  <c r="AW166" i="39"/>
  <c r="AX166" i="39" s="1"/>
  <c r="AW178" i="39"/>
  <c r="AX178" i="39" s="1"/>
  <c r="AW249" i="39"/>
  <c r="AX249" i="39" s="1"/>
  <c r="AW174" i="39"/>
  <c r="AX174" i="39" s="1"/>
  <c r="AW192" i="39"/>
  <c r="AX192" i="39" s="1"/>
  <c r="AW194" i="39"/>
  <c r="AX194" i="39" s="1"/>
  <c r="AW145" i="39"/>
  <c r="AX145" i="39" s="1"/>
  <c r="AW221" i="39"/>
  <c r="AX221" i="39" s="1"/>
  <c r="AW204" i="39"/>
  <c r="AX204" i="39" s="1"/>
  <c r="AW147" i="39"/>
  <c r="AX147" i="39" s="1"/>
  <c r="AW172" i="39"/>
  <c r="AX172" i="39" s="1"/>
  <c r="AW176" i="39"/>
  <c r="AX176" i="39" s="1"/>
  <c r="AW245" i="39"/>
  <c r="AX245" i="39" s="1"/>
  <c r="AW152" i="39"/>
  <c r="AX152" i="39" s="1"/>
  <c r="AW202" i="39"/>
  <c r="AX202" i="39" s="1"/>
  <c r="AW134" i="39"/>
  <c r="AX134" i="39" s="1"/>
  <c r="AW226" i="39"/>
  <c r="AX226" i="39" s="1"/>
  <c r="AW243" i="39"/>
  <c r="AX243" i="39" s="1"/>
  <c r="AW137" i="39"/>
  <c r="AX137" i="39" s="1"/>
  <c r="AW156" i="39"/>
  <c r="AX156" i="39" s="1"/>
  <c r="AW155" i="39"/>
  <c r="AX155" i="39" s="1"/>
  <c r="AW150" i="39"/>
  <c r="AX150" i="39" s="1"/>
  <c r="AW159" i="39"/>
  <c r="AX159" i="39" s="1"/>
  <c r="AW246" i="39"/>
  <c r="AX246" i="39" s="1"/>
  <c r="AW131" i="39"/>
  <c r="AX131" i="39" s="1"/>
  <c r="AW196" i="39"/>
  <c r="AX196" i="39" s="1"/>
  <c r="AW122" i="39"/>
  <c r="AX122" i="39" s="1"/>
  <c r="AW138" i="39"/>
  <c r="AX138" i="39" s="1"/>
  <c r="AW223" i="39"/>
  <c r="AX223" i="39" s="1"/>
  <c r="AW184" i="39"/>
  <c r="AX184" i="39" s="1"/>
  <c r="AW170" i="39"/>
  <c r="AX170" i="39" s="1"/>
  <c r="AW168" i="39"/>
  <c r="AX168" i="39" s="1"/>
  <c r="AW157" i="39"/>
  <c r="AX157" i="39" s="1"/>
  <c r="AW141" i="39"/>
  <c r="AX141" i="39" s="1"/>
  <c r="AW197" i="39"/>
  <c r="AX197" i="39" s="1"/>
  <c r="AW164" i="39"/>
  <c r="AX164" i="39" s="1"/>
  <c r="AW175" i="39"/>
  <c r="AX175" i="39" s="1"/>
  <c r="AW244" i="39"/>
  <c r="AX244" i="39" s="1"/>
  <c r="AW203" i="39"/>
  <c r="AX203" i="39" s="1"/>
  <c r="AW151" i="39"/>
  <c r="AX151" i="39" s="1"/>
  <c r="AW210" i="39"/>
  <c r="AX210" i="39" s="1"/>
  <c r="AW206" i="39"/>
  <c r="AX206" i="39" s="1"/>
  <c r="AW124" i="39"/>
  <c r="AX124" i="39" s="1"/>
  <c r="AW193" i="39"/>
  <c r="AX193" i="39" s="1"/>
  <c r="AW231" i="39"/>
  <c r="AX231" i="39" s="1"/>
  <c r="AW139" i="39"/>
  <c r="AX139" i="39" s="1"/>
  <c r="AW214" i="39"/>
  <c r="AX214" i="39" s="1"/>
  <c r="AW230" i="39"/>
  <c r="AX230" i="39" s="1"/>
  <c r="AW135" i="39"/>
  <c r="AX135" i="39" s="1"/>
  <c r="AW248" i="39"/>
  <c r="AX248" i="39" s="1"/>
  <c r="AW128" i="39"/>
  <c r="AX128" i="39" s="1"/>
  <c r="AW240" i="39"/>
  <c r="AX240" i="39" s="1"/>
  <c r="AW190" i="39"/>
  <c r="AX190" i="39" s="1"/>
  <c r="AW242" i="39"/>
  <c r="AX242" i="39" s="1"/>
  <c r="AW142" i="39"/>
  <c r="AX142" i="39" s="1"/>
  <c r="AW130" i="39"/>
  <c r="AX130" i="39" s="1"/>
  <c r="AW199" i="39"/>
  <c r="AX199" i="39" s="1"/>
  <c r="AW186" i="39"/>
  <c r="AX186" i="39" s="1"/>
  <c r="AW212" i="39"/>
  <c r="AX212" i="39" s="1"/>
  <c r="AW207" i="39"/>
  <c r="AX207" i="39" s="1"/>
  <c r="AW143" i="39"/>
  <c r="AX143" i="39" s="1"/>
  <c r="AW234" i="39"/>
  <c r="AX234" i="39" s="1"/>
  <c r="AW187" i="39"/>
  <c r="AX187" i="39" s="1"/>
  <c r="AW185" i="39"/>
  <c r="AX185" i="39" s="1"/>
  <c r="AW209" i="39"/>
  <c r="AX209" i="39" s="1"/>
  <c r="AW222" i="39"/>
  <c r="AX222" i="39" s="1"/>
  <c r="AW237" i="39"/>
  <c r="AX237" i="39" s="1"/>
  <c r="AW225" i="39"/>
  <c r="AX225" i="39" s="1"/>
  <c r="AW123" i="39"/>
  <c r="AX123" i="39" s="1"/>
  <c r="AW144" i="39"/>
  <c r="AX144" i="39" s="1"/>
  <c r="AW179" i="39"/>
  <c r="AX179" i="39" s="1"/>
  <c r="AW201" i="39"/>
  <c r="AX201" i="39" s="1"/>
  <c r="AW127" i="39"/>
  <c r="AX127" i="39" s="1"/>
  <c r="AW125" i="39"/>
  <c r="AX125" i="39" s="1"/>
  <c r="AW146" i="39"/>
  <c r="AX146" i="39" s="1"/>
  <c r="AW216" i="39"/>
  <c r="AX216" i="39" s="1"/>
  <c r="AW167" i="39"/>
  <c r="AX167" i="39" s="1"/>
  <c r="AW218" i="39"/>
  <c r="AX218" i="39" s="1"/>
  <c r="AW241" i="39"/>
  <c r="AX241" i="39" s="1"/>
  <c r="AW247" i="39"/>
  <c r="AX247" i="39" s="1"/>
  <c r="AW129" i="39"/>
  <c r="AX129" i="39" s="1"/>
  <c r="AW133" i="39"/>
  <c r="AX133" i="39" s="1"/>
  <c r="AW149" i="39"/>
  <c r="AX149" i="39" s="1"/>
  <c r="AW217" i="39"/>
  <c r="AX217" i="39" s="1"/>
  <c r="AW148" i="39"/>
  <c r="AX148" i="39" s="1"/>
  <c r="AW154" i="39"/>
  <c r="AX154" i="39" s="1"/>
  <c r="AW153" i="39"/>
  <c r="AX153" i="39" s="1"/>
  <c r="AW219" i="39"/>
  <c r="AX219" i="39" s="1"/>
  <c r="AW132" i="39"/>
  <c r="AX132" i="39" s="1"/>
  <c r="AW158" i="39"/>
  <c r="AX158" i="39" s="1"/>
  <c r="AW200" i="39"/>
  <c r="AX200" i="39" s="1"/>
  <c r="AW121" i="39"/>
  <c r="AX121" i="39" s="1"/>
  <c r="AW188" i="39"/>
  <c r="AX188" i="39" s="1"/>
  <c r="AW232" i="39"/>
  <c r="AX232" i="39" s="1"/>
  <c r="AW182" i="39"/>
  <c r="AX182" i="39" s="1"/>
  <c r="AW227" i="39"/>
  <c r="AX227" i="39" s="1"/>
  <c r="AW180" i="39"/>
  <c r="AX180" i="39" s="1"/>
  <c r="AW169" i="39"/>
  <c r="AX169" i="39" s="1"/>
  <c r="AW171" i="39"/>
  <c r="AX171" i="39" s="1"/>
  <c r="AW160" i="39"/>
  <c r="AX160" i="39" s="1"/>
  <c r="AW161" i="39"/>
  <c r="AX161" i="39" s="1"/>
  <c r="AW165" i="39"/>
  <c r="AX165" i="39" s="1"/>
  <c r="AW224" i="39"/>
  <c r="AX224" i="39" s="1"/>
  <c r="AW189" i="39"/>
  <c r="AX189" i="39" s="1"/>
  <c r="AW228" i="39"/>
  <c r="AX228" i="39" s="1"/>
  <c r="AW229" i="39"/>
  <c r="AX229" i="39" s="1"/>
  <c r="AW191" i="39"/>
  <c r="AX191" i="39" s="1"/>
  <c r="AW162" i="39"/>
  <c r="AX162" i="39" s="1"/>
  <c r="AW173" i="39"/>
  <c r="AX173" i="39" s="1"/>
  <c r="AW215" i="39"/>
  <c r="AX215" i="39" s="1"/>
  <c r="AW220" i="39"/>
  <c r="AX220" i="39" s="1"/>
  <c r="AW195" i="39"/>
  <c r="AX195" i="39" s="1"/>
  <c r="AW205" i="39"/>
  <c r="AX205" i="39" s="1"/>
  <c r="AW198" i="39"/>
  <c r="AX198" i="39" s="1"/>
  <c r="AW163" i="39"/>
  <c r="AX163" i="39" s="1"/>
  <c r="AW183" i="39"/>
  <c r="AX183" i="39" s="1"/>
  <c r="AW213" i="39"/>
  <c r="AX213" i="39" s="1"/>
  <c r="AW235" i="39"/>
  <c r="AX235" i="39" s="1"/>
  <c r="AW177" i="39"/>
  <c r="AX177" i="39" s="1"/>
  <c r="AW211" i="39"/>
  <c r="AX211" i="39" s="1"/>
  <c r="AW233" i="39"/>
  <c r="AX233" i="39" s="1"/>
  <c r="AW136" i="39"/>
  <c r="AX136" i="39" s="1"/>
  <c r="AW126" i="39"/>
  <c r="AX126" i="39" s="1"/>
  <c r="AW140" i="39"/>
  <c r="AX140" i="39" s="1"/>
  <c r="AW181" i="39"/>
  <c r="AX181" i="39" s="1"/>
  <c r="AW208" i="39"/>
  <c r="AX208" i="39" s="1"/>
  <c r="AW236" i="39"/>
  <c r="AX236" i="39" s="1"/>
  <c r="AW238" i="39"/>
  <c r="AX238" i="39" s="1"/>
  <c r="AW239" i="39"/>
  <c r="AX239" i="39" s="1"/>
  <c r="G127" i="37"/>
  <c r="J127" i="37" s="1"/>
  <c r="G111" i="37"/>
  <c r="J111" i="37" s="1"/>
  <c r="G126" i="37"/>
  <c r="J126" i="37" s="1"/>
  <c r="G110" i="37"/>
  <c r="J110" i="37" s="1"/>
  <c r="G125" i="37"/>
  <c r="J125" i="37" s="1"/>
  <c r="G109" i="37"/>
  <c r="J109" i="37" s="1"/>
  <c r="G124" i="37"/>
  <c r="J124" i="37" s="1"/>
  <c r="G108" i="37"/>
  <c r="J108" i="37" s="1"/>
  <c r="G123" i="37"/>
  <c r="J123" i="37" s="1"/>
  <c r="G107" i="37"/>
  <c r="J107" i="37" s="1"/>
  <c r="G122" i="37"/>
  <c r="J122" i="37" s="1"/>
  <c r="G106" i="37"/>
  <c r="J106" i="37" s="1"/>
  <c r="G121" i="37"/>
  <c r="J121" i="37" s="1"/>
  <c r="G105" i="37"/>
  <c r="J105" i="37" s="1"/>
  <c r="G120" i="37"/>
  <c r="J120" i="37" s="1"/>
  <c r="G104" i="37"/>
  <c r="J104" i="37" s="1"/>
  <c r="G119" i="37"/>
  <c r="J119" i="37" s="1"/>
  <c r="G103" i="37"/>
  <c r="J103" i="37" s="1"/>
  <c r="G118" i="37"/>
  <c r="J118" i="37" s="1"/>
  <c r="G102" i="37"/>
  <c r="J102" i="37" s="1"/>
  <c r="G117" i="37"/>
  <c r="J117" i="37" s="1"/>
  <c r="G101" i="37"/>
  <c r="J101" i="37" s="1"/>
  <c r="G116" i="37"/>
  <c r="J116" i="37" s="1"/>
  <c r="G115" i="37"/>
  <c r="J115" i="37" s="1"/>
  <c r="G114" i="37"/>
  <c r="J114" i="37" s="1"/>
  <c r="G113" i="37"/>
  <c r="J113" i="37" s="1"/>
  <c r="G112" i="37"/>
  <c r="J112" i="37" s="1"/>
  <c r="J43" i="37"/>
  <c r="J40" i="37"/>
  <c r="N100" i="37" s="1"/>
  <c r="BP103" i="37"/>
  <c r="BR103" i="37" s="1"/>
  <c r="BH104" i="37"/>
  <c r="BJ104" i="37" s="1"/>
  <c r="BP100" i="37"/>
  <c r="BR100" i="37" s="1"/>
  <c r="BQ106" i="37"/>
  <c r="BP106" i="37"/>
  <c r="BR106" i="37" s="1"/>
  <c r="BI105" i="37"/>
  <c r="BQ101" i="37"/>
  <c r="BI100" i="37"/>
  <c r="BH105" i="37"/>
  <c r="BJ105" i="37" s="1"/>
  <c r="BP101" i="37"/>
  <c r="BR101" i="37" s="1"/>
  <c r="BH100" i="37"/>
  <c r="BJ100" i="37" s="1"/>
  <c r="BI106" i="37"/>
  <c r="BH106" i="37"/>
  <c r="BJ106" i="37" s="1"/>
  <c r="BI101" i="37"/>
  <c r="BQ102" i="37"/>
  <c r="BH101" i="37"/>
  <c r="BJ101" i="37" s="1"/>
  <c r="BP102" i="37"/>
  <c r="BR102" i="37" s="1"/>
  <c r="BQ103" i="37"/>
  <c r="BQ117" i="37"/>
  <c r="BQ232" i="37"/>
  <c r="BQ181" i="37"/>
  <c r="BQ182" i="37"/>
  <c r="BI112" i="37"/>
  <c r="BP182" i="37"/>
  <c r="BR182" i="37" s="1"/>
  <c r="BH233" i="37"/>
  <c r="BJ233" i="37" s="1"/>
  <c r="BH243" i="37"/>
  <c r="BJ243" i="37" s="1"/>
  <c r="BQ215" i="37"/>
  <c r="BQ108" i="37"/>
  <c r="BH111" i="37"/>
  <c r="BJ111" i="37" s="1"/>
  <c r="BP190" i="37"/>
  <c r="BR190" i="37" s="1"/>
  <c r="BP221" i="37"/>
  <c r="BR221" i="37" s="1"/>
  <c r="BH217" i="37"/>
  <c r="BJ217" i="37" s="1"/>
  <c r="BQ189" i="37"/>
  <c r="BI210" i="37"/>
  <c r="BP116" i="37"/>
  <c r="BR116" i="37" s="1"/>
  <c r="BP108" i="37"/>
  <c r="BR108" i="37" s="1"/>
  <c r="BH185" i="37"/>
  <c r="BJ185" i="37" s="1"/>
  <c r="BH194" i="37"/>
  <c r="BJ194" i="37" s="1"/>
  <c r="BQ248" i="37"/>
  <c r="BP248" i="37"/>
  <c r="BR248" i="37" s="1"/>
  <c r="BI226" i="37"/>
  <c r="BI217" i="37"/>
  <c r="BI243" i="37"/>
  <c r="BQ180" i="37"/>
  <c r="BP180" i="37"/>
  <c r="BR180" i="37" s="1"/>
  <c r="BI215" i="37"/>
  <c r="BI242" i="37"/>
  <c r="BP222" i="37"/>
  <c r="BR222" i="37" s="1"/>
  <c r="BH236" i="37"/>
  <c r="BJ236" i="37" s="1"/>
  <c r="BQ221" i="37"/>
  <c r="BH192" i="37"/>
  <c r="BJ192" i="37" s="1"/>
  <c r="BI185" i="37"/>
  <c r="CE94" i="37"/>
  <c r="BP84" i="37"/>
  <c r="BL84" i="37"/>
  <c r="BH84" i="37"/>
  <c r="BD84" i="37"/>
  <c r="AZ84" i="37"/>
  <c r="AV84" i="37"/>
  <c r="BI102" i="39"/>
  <c r="BQ103" i="39"/>
  <c r="BH102" i="39"/>
  <c r="BJ102" i="39" s="1"/>
  <c r="BP103" i="39"/>
  <c r="BR103" i="39" s="1"/>
  <c r="BQ104" i="39"/>
  <c r="BH103" i="39"/>
  <c r="BJ103" i="39" s="1"/>
  <c r="BQ100" i="39"/>
  <c r="BP104" i="39"/>
  <c r="BR104" i="39" s="1"/>
  <c r="BP100" i="39"/>
  <c r="BR100" i="39" s="1"/>
  <c r="BQ105" i="39"/>
  <c r="BP105" i="39"/>
  <c r="BR105" i="39" s="1"/>
  <c r="BQ106" i="39"/>
  <c r="BP106" i="39"/>
  <c r="BR106" i="39" s="1"/>
  <c r="BI101" i="39"/>
  <c r="BI106" i="39"/>
  <c r="BQ102" i="39"/>
  <c r="BH101" i="39"/>
  <c r="BJ101" i="39" s="1"/>
  <c r="BH106" i="39"/>
  <c r="BJ106" i="39" s="1"/>
  <c r="BP102" i="39"/>
  <c r="BR102" i="39" s="1"/>
  <c r="BA161" i="39"/>
  <c r="BI227" i="39"/>
  <c r="BA132" i="39"/>
  <c r="AZ221" i="39"/>
  <c r="BB221" i="39" s="1"/>
  <c r="BH162" i="39"/>
  <c r="BJ162" i="39" s="1"/>
  <c r="BA130" i="39"/>
  <c r="AZ162" i="39"/>
  <c r="BB162" i="39" s="1"/>
  <c r="BA201" i="39"/>
  <c r="AZ248" i="39"/>
  <c r="BB248" i="39" s="1"/>
  <c r="BH238" i="39"/>
  <c r="BJ238" i="39" s="1"/>
  <c r="BH170" i="39"/>
  <c r="BJ170" i="39" s="1"/>
  <c r="BA187" i="39"/>
  <c r="AZ201" i="39"/>
  <c r="BB201" i="39" s="1"/>
  <c r="BI176" i="39"/>
  <c r="BA197" i="39"/>
  <c r="AZ134" i="39"/>
  <c r="BB134" i="39" s="1"/>
  <c r="BH147" i="39"/>
  <c r="BJ147" i="39" s="1"/>
  <c r="BA191" i="39"/>
  <c r="BA237" i="39"/>
  <c r="AZ224" i="39"/>
  <c r="BB224" i="39" s="1"/>
  <c r="AZ237" i="39"/>
  <c r="BB237" i="39" s="1"/>
  <c r="AZ149" i="39"/>
  <c r="BB149" i="39" s="1"/>
  <c r="BQ198" i="39"/>
  <c r="BA133" i="39"/>
  <c r="AZ135" i="39"/>
  <c r="BB135" i="39" s="1"/>
  <c r="BQ164" i="39"/>
  <c r="BI169" i="39"/>
  <c r="BH178" i="39"/>
  <c r="BJ178" i="39" s="1"/>
  <c r="AZ168" i="39"/>
  <c r="BB168" i="39" s="1"/>
  <c r="BI175" i="39"/>
  <c r="BI192" i="39"/>
  <c r="AZ230" i="39"/>
  <c r="BB230" i="39" s="1"/>
  <c r="BI208" i="39"/>
  <c r="BP208" i="39"/>
  <c r="BR208" i="39" s="1"/>
  <c r="BA214" i="39"/>
  <c r="AZ206" i="39"/>
  <c r="BB206" i="39" s="1"/>
  <c r="AZ223" i="39"/>
  <c r="BB223" i="39" s="1"/>
  <c r="BA246" i="39"/>
  <c r="BA152" i="39"/>
  <c r="BA207" i="39"/>
  <c r="BA162" i="39"/>
  <c r="BA203" i="39"/>
  <c r="BA199" i="39"/>
  <c r="BA213" i="39"/>
  <c r="AZ247" i="39"/>
  <c r="BB247" i="39" s="1"/>
  <c r="AZ161" i="39"/>
  <c r="BB161" i="39" s="1"/>
  <c r="BA195" i="39"/>
  <c r="BA157" i="39"/>
  <c r="BA198" i="39"/>
  <c r="BA180" i="39"/>
  <c r="BI212" i="39"/>
  <c r="BA217" i="39"/>
  <c r="BH208" i="39"/>
  <c r="BJ208" i="39" s="1"/>
  <c r="AZ191" i="39"/>
  <c r="BB191" i="39" s="1"/>
  <c r="AZ164" i="39"/>
  <c r="BB164" i="39" s="1"/>
  <c r="AZ165" i="39"/>
  <c r="BB165" i="39" s="1"/>
  <c r="AZ137" i="39"/>
  <c r="BB137" i="39" s="1"/>
  <c r="AZ163" i="39"/>
  <c r="BB163" i="39" s="1"/>
  <c r="BA182" i="39"/>
  <c r="AZ172" i="39"/>
  <c r="BB172" i="39" s="1"/>
  <c r="BA183" i="39"/>
  <c r="BI190" i="39"/>
  <c r="BI206" i="39"/>
  <c r="BA222" i="39"/>
  <c r="AZ207" i="39"/>
  <c r="BB207" i="39" s="1"/>
  <c r="AZ208" i="39"/>
  <c r="BB208" i="39" s="1"/>
  <c r="BP207" i="39"/>
  <c r="BR207" i="39" s="1"/>
  <c r="BQ209" i="39"/>
  <c r="BA224" i="39"/>
  <c r="AZ228" i="39"/>
  <c r="BB228" i="39" s="1"/>
  <c r="BQ197" i="39"/>
  <c r="BH159" i="39"/>
  <c r="BJ159" i="39" s="1"/>
  <c r="BP168" i="39"/>
  <c r="BR168" i="39" s="1"/>
  <c r="BA223" i="39"/>
  <c r="AZ214" i="39"/>
  <c r="BB214" i="39" s="1"/>
  <c r="BA196" i="39"/>
  <c r="AZ219" i="39"/>
  <c r="BB219" i="39" s="1"/>
  <c r="BA178" i="39"/>
  <c r="AZ233" i="39"/>
  <c r="BB233" i="39" s="1"/>
  <c r="BH224" i="39"/>
  <c r="BJ224" i="39" s="1"/>
  <c r="BA136" i="39"/>
  <c r="AZ197" i="39"/>
  <c r="BB197" i="39" s="1"/>
  <c r="AZ193" i="39"/>
  <c r="BB193" i="39" s="1"/>
  <c r="AZ195" i="39"/>
  <c r="BB195" i="39" s="1"/>
  <c r="BP198" i="39"/>
  <c r="BR198" i="39" s="1"/>
  <c r="AZ231" i="39"/>
  <c r="BB231" i="39" s="1"/>
  <c r="BA172" i="39"/>
  <c r="AZ245" i="39"/>
  <c r="BB245" i="39" s="1"/>
  <c r="AZ241" i="39"/>
  <c r="BB241" i="39" s="1"/>
  <c r="AZ203" i="39"/>
  <c r="BB203" i="39" s="1"/>
  <c r="BP239" i="39"/>
  <c r="BR239" i="39" s="1"/>
  <c r="AZ131" i="39"/>
  <c r="BB131" i="39" s="1"/>
  <c r="AZ139" i="39"/>
  <c r="BB139" i="39" s="1"/>
  <c r="BH146" i="39"/>
  <c r="BJ146" i="39" s="1"/>
  <c r="AZ150" i="39"/>
  <c r="BB150" i="39" s="1"/>
  <c r="BA190" i="39"/>
  <c r="AZ211" i="39"/>
  <c r="BB211" i="39" s="1"/>
  <c r="BQ179" i="39"/>
  <c r="BA239" i="39"/>
  <c r="AZ212" i="39"/>
  <c r="BB212" i="39" s="1"/>
  <c r="BA141" i="39"/>
  <c r="BA149" i="39"/>
  <c r="AZ157" i="39"/>
  <c r="BB157" i="39" s="1"/>
  <c r="AZ128" i="39"/>
  <c r="BB128" i="39" s="1"/>
  <c r="AZ136" i="39"/>
  <c r="BB136" i="39" s="1"/>
  <c r="AZ209" i="39"/>
  <c r="BB209" i="39" s="1"/>
  <c r="BI151" i="39"/>
  <c r="BA139" i="39"/>
  <c r="BA171" i="39"/>
  <c r="BA184" i="39"/>
  <c r="BQ168" i="39"/>
  <c r="AZ190" i="39"/>
  <c r="BB190" i="39" s="1"/>
  <c r="BQ191" i="39"/>
  <c r="AZ175" i="39"/>
  <c r="BB175" i="39" s="1"/>
  <c r="AZ234" i="39"/>
  <c r="BB234" i="39" s="1"/>
  <c r="BA220" i="39"/>
  <c r="BH212" i="39"/>
  <c r="BJ212" i="39" s="1"/>
  <c r="BA240" i="39"/>
  <c r="AZ227" i="39"/>
  <c r="BB227" i="39" s="1"/>
  <c r="AZ235" i="39"/>
  <c r="BB235" i="39" s="1"/>
  <c r="BA250" i="39"/>
  <c r="BA142" i="39"/>
  <c r="BA193" i="39"/>
  <c r="BA200" i="39"/>
  <c r="AZ246" i="39"/>
  <c r="BB246" i="39" s="1"/>
  <c r="BA228" i="39"/>
  <c r="BA249" i="39"/>
  <c r="BA247" i="39"/>
  <c r="AZ225" i="39"/>
  <c r="BB225" i="39" s="1"/>
  <c r="AZ155" i="39"/>
  <c r="BB155" i="39" s="1"/>
  <c r="BH220" i="39"/>
  <c r="BJ220" i="39" s="1"/>
  <c r="BA147" i="39"/>
  <c r="AZ130" i="39"/>
  <c r="BB130" i="39" s="1"/>
  <c r="BA226" i="39"/>
  <c r="BA151" i="39"/>
  <c r="BH163" i="39"/>
  <c r="BJ163" i="39" s="1"/>
  <c r="AZ226" i="39"/>
  <c r="BB226" i="39" s="1"/>
  <c r="BA158" i="39"/>
  <c r="BA159" i="39"/>
  <c r="BA209" i="39"/>
  <c r="BA138" i="39"/>
  <c r="AZ250" i="39"/>
  <c r="BB250" i="39" s="1"/>
  <c r="AZ160" i="39"/>
  <c r="BB160" i="39" s="1"/>
  <c r="BP118" i="39"/>
  <c r="BR118" i="39" s="1"/>
  <c r="BA146" i="39"/>
  <c r="AZ154" i="39"/>
  <c r="BB154" i="39" s="1"/>
  <c r="BA186" i="39"/>
  <c r="BI182" i="39"/>
  <c r="AZ183" i="39"/>
  <c r="BB183" i="39" s="1"/>
  <c r="AZ177" i="39"/>
  <c r="BB177" i="39" s="1"/>
  <c r="BA177" i="39"/>
  <c r="BQ195" i="39"/>
  <c r="BP225" i="39"/>
  <c r="BR225" i="39" s="1"/>
  <c r="BA227" i="39"/>
  <c r="BA134" i="39"/>
  <c r="BA140" i="39"/>
  <c r="BA128" i="39"/>
  <c r="BA156" i="39"/>
  <c r="BQ224" i="39"/>
  <c r="BQ190" i="39"/>
  <c r="BA210" i="39"/>
  <c r="AZ132" i="39"/>
  <c r="BB132" i="39" s="1"/>
  <c r="BA211" i="39"/>
  <c r="AZ146" i="39"/>
  <c r="BB146" i="39" s="1"/>
  <c r="AZ147" i="39"/>
  <c r="BB147" i="39" s="1"/>
  <c r="BI163" i="39"/>
  <c r="BH182" i="39"/>
  <c r="BJ182" i="39" s="1"/>
  <c r="BA194" i="39"/>
  <c r="AZ187" i="39"/>
  <c r="BB187" i="39" s="1"/>
  <c r="BA192" i="39"/>
  <c r="BP197" i="39"/>
  <c r="BR197" i="39" s="1"/>
  <c r="BA216" i="39"/>
  <c r="BP220" i="39"/>
  <c r="BR220" i="39" s="1"/>
  <c r="BA221" i="39"/>
  <c r="BA244" i="39"/>
  <c r="BI241" i="39"/>
  <c r="AZ249" i="39"/>
  <c r="BB249" i="39" s="1"/>
  <c r="BA168" i="39"/>
  <c r="BH241" i="39"/>
  <c r="BJ241" i="39" s="1"/>
  <c r="BA145" i="39"/>
  <c r="BA189" i="39"/>
  <c r="BA143" i="39"/>
  <c r="AZ158" i="39"/>
  <c r="BB158" i="39" s="1"/>
  <c r="BI146" i="39"/>
  <c r="AZ138" i="39"/>
  <c r="BB138" i="39" s="1"/>
  <c r="AZ186" i="39"/>
  <c r="BB186" i="39" s="1"/>
  <c r="BA155" i="39"/>
  <c r="BA150" i="39"/>
  <c r="BA148" i="39"/>
  <c r="BA144" i="39"/>
  <c r="BA204" i="39"/>
  <c r="AZ151" i="39"/>
  <c r="BB151" i="39" s="1"/>
  <c r="AZ217" i="39"/>
  <c r="BB217" i="39" s="1"/>
  <c r="BA241" i="39"/>
  <c r="AZ205" i="39"/>
  <c r="BB205" i="39" s="1"/>
  <c r="BA153" i="39"/>
  <c r="AZ167" i="39"/>
  <c r="BB167" i="39" s="1"/>
  <c r="BA154" i="39"/>
  <c r="AZ140" i="39"/>
  <c r="BB140" i="39" s="1"/>
  <c r="AZ159" i="39"/>
  <c r="BB159" i="39" s="1"/>
  <c r="AZ218" i="39"/>
  <c r="BB218" i="39" s="1"/>
  <c r="BP243" i="39"/>
  <c r="BR243" i="39" s="1"/>
  <c r="BA164" i="39"/>
  <c r="BA160" i="39"/>
  <c r="BI178" i="39"/>
  <c r="BQ242" i="39"/>
  <c r="BA163" i="39"/>
  <c r="BA185" i="39"/>
  <c r="AZ153" i="39"/>
  <c r="BB153" i="39" s="1"/>
  <c r="BI238" i="39"/>
  <c r="AZ174" i="39"/>
  <c r="BB174" i="39" s="1"/>
  <c r="BH237" i="39"/>
  <c r="BJ237" i="39" s="1"/>
  <c r="BH206" i="39"/>
  <c r="BJ206" i="39" s="1"/>
  <c r="BA206" i="39"/>
  <c r="AZ243" i="39"/>
  <c r="BB243" i="39" s="1"/>
  <c r="BA174" i="39"/>
  <c r="AZ141" i="39"/>
  <c r="BB141" i="39" s="1"/>
  <c r="BI159" i="39"/>
  <c r="BI162" i="39"/>
  <c r="BP182" i="39"/>
  <c r="BR182" i="39" s="1"/>
  <c r="AZ142" i="39"/>
  <c r="BB142" i="39" s="1"/>
  <c r="BA135" i="39"/>
  <c r="AZ179" i="39"/>
  <c r="BB179" i="39" s="1"/>
  <c r="BI237" i="39"/>
  <c r="BQ207" i="39"/>
  <c r="BA231" i="39"/>
  <c r="BP224" i="39"/>
  <c r="BR224" i="39" s="1"/>
  <c r="BA236" i="39"/>
  <c r="AZ176" i="39"/>
  <c r="BB176" i="39" s="1"/>
  <c r="AZ143" i="39"/>
  <c r="BB143" i="39" s="1"/>
  <c r="BA165" i="39"/>
  <c r="AZ178" i="39"/>
  <c r="BB178" i="39" s="1"/>
  <c r="BA167" i="39"/>
  <c r="AZ166" i="39"/>
  <c r="BB166" i="39" s="1"/>
  <c r="BP191" i="39"/>
  <c r="BR191" i="39" s="1"/>
  <c r="BA235" i="39"/>
  <c r="AZ236" i="39"/>
  <c r="BB236" i="39" s="1"/>
  <c r="BP250" i="39"/>
  <c r="BR250" i="39" s="1"/>
  <c r="BA176" i="39"/>
  <c r="AZ144" i="39"/>
  <c r="BB144" i="39" s="1"/>
  <c r="BA137" i="39"/>
  <c r="BH169" i="39"/>
  <c r="BJ169" i="39" s="1"/>
  <c r="BA166" i="39"/>
  <c r="BI193" i="39"/>
  <c r="BP180" i="39"/>
  <c r="BR180" i="39" s="1"/>
  <c r="BA230" i="39"/>
  <c r="BP195" i="39"/>
  <c r="BR195" i="39" s="1"/>
  <c r="AZ204" i="39"/>
  <c r="BB204" i="39" s="1"/>
  <c r="AZ213" i="39"/>
  <c r="BB213" i="39" s="1"/>
  <c r="BP242" i="39"/>
  <c r="BR242" i="39" s="1"/>
  <c r="AZ145" i="39"/>
  <c r="BB145" i="39" s="1"/>
  <c r="AZ181" i="39"/>
  <c r="BB181" i="39" s="1"/>
  <c r="AZ192" i="39"/>
  <c r="BB192" i="39" s="1"/>
  <c r="AZ196" i="39"/>
  <c r="BB196" i="39" s="1"/>
  <c r="AZ216" i="39"/>
  <c r="BB216" i="39" s="1"/>
  <c r="BQ225" i="39"/>
  <c r="BP226" i="39"/>
  <c r="BR226" i="39" s="1"/>
  <c r="BA173" i="39"/>
  <c r="AZ210" i="39"/>
  <c r="BB210" i="39" s="1"/>
  <c r="BP205" i="39"/>
  <c r="BR205" i="39" s="1"/>
  <c r="BA229" i="39"/>
  <c r="BI147" i="39"/>
  <c r="BP179" i="39"/>
  <c r="BR179" i="39" s="1"/>
  <c r="BH175" i="39"/>
  <c r="BJ175" i="39" s="1"/>
  <c r="BA175" i="39"/>
  <c r="AZ229" i="39"/>
  <c r="BB229" i="39" s="1"/>
  <c r="BA219" i="39"/>
  <c r="BA225" i="39"/>
  <c r="AZ232" i="39"/>
  <c r="BB232" i="39" s="1"/>
  <c r="BQ227" i="39"/>
  <c r="BA208" i="39"/>
  <c r="BA232" i="39"/>
  <c r="AZ239" i="39"/>
  <c r="BB239" i="39" s="1"/>
  <c r="BP227" i="39"/>
  <c r="BR227" i="39" s="1"/>
  <c r="BI222" i="39"/>
  <c r="BA169" i="39"/>
  <c r="AZ180" i="39"/>
  <c r="BB180" i="39" s="1"/>
  <c r="AZ148" i="39"/>
  <c r="BB148" i="39" s="1"/>
  <c r="BA179" i="39"/>
  <c r="BA205" i="39"/>
  <c r="AZ222" i="39"/>
  <c r="BB222" i="39" s="1"/>
  <c r="BP209" i="39"/>
  <c r="BR209" i="39" s="1"/>
  <c r="BI220" i="39"/>
  <c r="BA233" i="39"/>
  <c r="BP163" i="39"/>
  <c r="BR163" i="39" s="1"/>
  <c r="BA129" i="39"/>
  <c r="AZ169" i="39"/>
  <c r="BB169" i="39" s="1"/>
  <c r="AZ182" i="39"/>
  <c r="BB182" i="39" s="1"/>
  <c r="AZ189" i="39"/>
  <c r="BB189" i="39" s="1"/>
  <c r="BQ180" i="39"/>
  <c r="AZ220" i="39"/>
  <c r="BB220" i="39" s="1"/>
  <c r="BQ237" i="39"/>
  <c r="BI224" i="39"/>
  <c r="BQ239" i="39"/>
  <c r="BP120" i="39"/>
  <c r="BR120" i="39" s="1"/>
  <c r="AZ129" i="39"/>
  <c r="BB129" i="39" s="1"/>
  <c r="BH151" i="39"/>
  <c r="BJ151" i="39" s="1"/>
  <c r="AZ152" i="39"/>
  <c r="BB152" i="39" s="1"/>
  <c r="AZ184" i="39"/>
  <c r="BB184" i="39" s="1"/>
  <c r="BA181" i="39"/>
  <c r="BA202" i="39"/>
  <c r="AZ170" i="39"/>
  <c r="BB170" i="39" s="1"/>
  <c r="BQ181" i="39"/>
  <c r="BH176" i="39"/>
  <c r="BJ176" i="39" s="1"/>
  <c r="AZ173" i="39"/>
  <c r="BB173" i="39" s="1"/>
  <c r="AZ202" i="39"/>
  <c r="BB202" i="39" s="1"/>
  <c r="AZ198" i="39"/>
  <c r="BB198" i="39" s="1"/>
  <c r="AZ240" i="39"/>
  <c r="BB240" i="39" s="1"/>
  <c r="BA242" i="39"/>
  <c r="BA238" i="39"/>
  <c r="BA131" i="39"/>
  <c r="AZ133" i="39"/>
  <c r="BB133" i="39" s="1"/>
  <c r="BA170" i="39"/>
  <c r="BA188" i="39"/>
  <c r="AZ185" i="39"/>
  <c r="BB185" i="39" s="1"/>
  <c r="BH192" i="39"/>
  <c r="BJ192" i="39" s="1"/>
  <c r="BH190" i="39"/>
  <c r="BJ190" i="39" s="1"/>
  <c r="AZ200" i="39"/>
  <c r="BB200" i="39" s="1"/>
  <c r="BA215" i="39"/>
  <c r="AZ199" i="39"/>
  <c r="BB199" i="39" s="1"/>
  <c r="AZ242" i="39"/>
  <c r="BB242" i="39" s="1"/>
  <c r="AZ238" i="39"/>
  <c r="BB238" i="39" s="1"/>
  <c r="AZ244" i="39"/>
  <c r="BB244" i="39" s="1"/>
  <c r="BQ243" i="39"/>
  <c r="BQ121" i="39"/>
  <c r="AZ156" i="39"/>
  <c r="BB156" i="39" s="1"/>
  <c r="BI170" i="39"/>
  <c r="AZ188" i="39"/>
  <c r="BB188" i="39" s="1"/>
  <c r="AZ194" i="39"/>
  <c r="BB194" i="39" s="1"/>
  <c r="BP206" i="39"/>
  <c r="BR206" i="39" s="1"/>
  <c r="AZ215" i="39"/>
  <c r="BB215" i="39" s="1"/>
  <c r="BA218" i="39"/>
  <c r="BA243" i="39"/>
  <c r="BA245" i="39"/>
  <c r="BA248" i="39"/>
  <c r="BP121" i="39"/>
  <c r="BR121" i="39" s="1"/>
  <c r="AZ171" i="39"/>
  <c r="BB171" i="39" s="1"/>
  <c r="BP190" i="39"/>
  <c r="BR190" i="39" s="1"/>
  <c r="BP176" i="39"/>
  <c r="BR176" i="39" s="1"/>
  <c r="BA234" i="39"/>
  <c r="BQ208" i="39"/>
  <c r="BA212" i="39"/>
  <c r="G250" i="40"/>
  <c r="J250" i="40" s="1"/>
  <c r="G234" i="40"/>
  <c r="J234" i="40" s="1"/>
  <c r="G218" i="40"/>
  <c r="J218" i="40" s="1"/>
  <c r="G202" i="40"/>
  <c r="J202" i="40" s="1"/>
  <c r="G186" i="40"/>
  <c r="J186" i="40" s="1"/>
  <c r="G170" i="40"/>
  <c r="J170" i="40" s="1"/>
  <c r="G154" i="40"/>
  <c r="J154" i="40" s="1"/>
  <c r="G138" i="40"/>
  <c r="J138" i="40" s="1"/>
  <c r="G122" i="40"/>
  <c r="J122" i="40" s="1"/>
  <c r="G106" i="40"/>
  <c r="J106" i="40" s="1"/>
  <c r="G249" i="40"/>
  <c r="J249" i="40" s="1"/>
  <c r="G233" i="40"/>
  <c r="J233" i="40" s="1"/>
  <c r="G217" i="40"/>
  <c r="J217" i="40" s="1"/>
  <c r="G201" i="40"/>
  <c r="J201" i="40" s="1"/>
  <c r="G185" i="40"/>
  <c r="J185" i="40" s="1"/>
  <c r="G169" i="40"/>
  <c r="J169" i="40" s="1"/>
  <c r="G153" i="40"/>
  <c r="J153" i="40" s="1"/>
  <c r="G137" i="40"/>
  <c r="J137" i="40" s="1"/>
  <c r="G121" i="40"/>
  <c r="J121" i="40" s="1"/>
  <c r="G105" i="40"/>
  <c r="J105" i="40" s="1"/>
  <c r="G248" i="40"/>
  <c r="J248" i="40" s="1"/>
  <c r="G232" i="40"/>
  <c r="J232" i="40" s="1"/>
  <c r="G216" i="40"/>
  <c r="J216" i="40" s="1"/>
  <c r="G200" i="40"/>
  <c r="J200" i="40" s="1"/>
  <c r="G184" i="40"/>
  <c r="J184" i="40" s="1"/>
  <c r="G168" i="40"/>
  <c r="J168" i="40" s="1"/>
  <c r="G152" i="40"/>
  <c r="J152" i="40" s="1"/>
  <c r="G136" i="40"/>
  <c r="J136" i="40" s="1"/>
  <c r="G120" i="40"/>
  <c r="J120" i="40" s="1"/>
  <c r="G104" i="40"/>
  <c r="J104" i="40" s="1"/>
  <c r="G247" i="40"/>
  <c r="J247" i="40" s="1"/>
  <c r="G231" i="40"/>
  <c r="J231" i="40" s="1"/>
  <c r="G215" i="40"/>
  <c r="J215" i="40" s="1"/>
  <c r="G199" i="40"/>
  <c r="J199" i="40" s="1"/>
  <c r="G183" i="40"/>
  <c r="J183" i="40" s="1"/>
  <c r="G167" i="40"/>
  <c r="J167" i="40" s="1"/>
  <c r="G151" i="40"/>
  <c r="J151" i="40" s="1"/>
  <c r="G135" i="40"/>
  <c r="J135" i="40" s="1"/>
  <c r="G119" i="40"/>
  <c r="J119" i="40" s="1"/>
  <c r="G103" i="40"/>
  <c r="J103" i="40" s="1"/>
  <c r="G246" i="40"/>
  <c r="J246" i="40" s="1"/>
  <c r="G230" i="40"/>
  <c r="J230" i="40" s="1"/>
  <c r="G214" i="40"/>
  <c r="J214" i="40" s="1"/>
  <c r="G198" i="40"/>
  <c r="J198" i="40" s="1"/>
  <c r="G182" i="40"/>
  <c r="J182" i="40" s="1"/>
  <c r="G166" i="40"/>
  <c r="J166" i="40" s="1"/>
  <c r="G150" i="40"/>
  <c r="J150" i="40" s="1"/>
  <c r="G134" i="40"/>
  <c r="J134" i="40" s="1"/>
  <c r="G118" i="40"/>
  <c r="J118" i="40" s="1"/>
  <c r="G102" i="40"/>
  <c r="J102" i="40" s="1"/>
  <c r="G245" i="40"/>
  <c r="J245" i="40" s="1"/>
  <c r="G229" i="40"/>
  <c r="J229" i="40" s="1"/>
  <c r="G213" i="40"/>
  <c r="J213" i="40" s="1"/>
  <c r="G197" i="40"/>
  <c r="J197" i="40" s="1"/>
  <c r="G181" i="40"/>
  <c r="J181" i="40" s="1"/>
  <c r="G165" i="40"/>
  <c r="J165" i="40" s="1"/>
  <c r="G149" i="40"/>
  <c r="J149" i="40" s="1"/>
  <c r="G133" i="40"/>
  <c r="J133" i="40" s="1"/>
  <c r="G117" i="40"/>
  <c r="J117" i="40" s="1"/>
  <c r="G101" i="40"/>
  <c r="J101" i="40" s="1"/>
  <c r="G244" i="40"/>
  <c r="J244" i="40" s="1"/>
  <c r="G228" i="40"/>
  <c r="J228" i="40" s="1"/>
  <c r="G212" i="40"/>
  <c r="J212" i="40" s="1"/>
  <c r="G196" i="40"/>
  <c r="J196" i="40" s="1"/>
  <c r="G180" i="40"/>
  <c r="J180" i="40" s="1"/>
  <c r="G164" i="40"/>
  <c r="J164" i="40" s="1"/>
  <c r="G148" i="40"/>
  <c r="J148" i="40" s="1"/>
  <c r="G132" i="40"/>
  <c r="J132" i="40" s="1"/>
  <c r="G116" i="40"/>
  <c r="J116" i="40" s="1"/>
  <c r="G243" i="40"/>
  <c r="J243" i="40" s="1"/>
  <c r="G227" i="40"/>
  <c r="J227" i="40" s="1"/>
  <c r="G211" i="40"/>
  <c r="J211" i="40" s="1"/>
  <c r="G195" i="40"/>
  <c r="J195" i="40" s="1"/>
  <c r="G179" i="40"/>
  <c r="J179" i="40" s="1"/>
  <c r="G163" i="40"/>
  <c r="J163" i="40" s="1"/>
  <c r="G147" i="40"/>
  <c r="J147" i="40" s="1"/>
  <c r="G131" i="40"/>
  <c r="J131" i="40" s="1"/>
  <c r="G115" i="40"/>
  <c r="J115" i="40" s="1"/>
  <c r="G242" i="40"/>
  <c r="J242" i="40" s="1"/>
  <c r="G226" i="40"/>
  <c r="J226" i="40" s="1"/>
  <c r="G210" i="40"/>
  <c r="J210" i="40" s="1"/>
  <c r="G194" i="40"/>
  <c r="J194" i="40" s="1"/>
  <c r="G178" i="40"/>
  <c r="J178" i="40" s="1"/>
  <c r="G162" i="40"/>
  <c r="J162" i="40" s="1"/>
  <c r="G146" i="40"/>
  <c r="J146" i="40" s="1"/>
  <c r="G130" i="40"/>
  <c r="J130" i="40" s="1"/>
  <c r="G114" i="40"/>
  <c r="J114" i="40" s="1"/>
  <c r="G241" i="40"/>
  <c r="J241" i="40" s="1"/>
  <c r="G225" i="40"/>
  <c r="J225" i="40" s="1"/>
  <c r="G209" i="40"/>
  <c r="J209" i="40" s="1"/>
  <c r="G193" i="40"/>
  <c r="J193" i="40" s="1"/>
  <c r="G177" i="40"/>
  <c r="J177" i="40" s="1"/>
  <c r="G161" i="40"/>
  <c r="J161" i="40" s="1"/>
  <c r="G145" i="40"/>
  <c r="J145" i="40" s="1"/>
  <c r="G129" i="40"/>
  <c r="J129" i="40" s="1"/>
  <c r="G113" i="40"/>
  <c r="J113" i="40" s="1"/>
  <c r="G240" i="40"/>
  <c r="J240" i="40" s="1"/>
  <c r="G224" i="40"/>
  <c r="J224" i="40" s="1"/>
  <c r="G208" i="40"/>
  <c r="J208" i="40" s="1"/>
  <c r="G192" i="40"/>
  <c r="J192" i="40" s="1"/>
  <c r="G176" i="40"/>
  <c r="J176" i="40" s="1"/>
  <c r="G160" i="40"/>
  <c r="J160" i="40" s="1"/>
  <c r="G144" i="40"/>
  <c r="J144" i="40" s="1"/>
  <c r="G128" i="40"/>
  <c r="J128" i="40" s="1"/>
  <c r="G112" i="40"/>
  <c r="J112" i="40" s="1"/>
  <c r="G239" i="40"/>
  <c r="J239" i="40" s="1"/>
  <c r="G223" i="40"/>
  <c r="J223" i="40" s="1"/>
  <c r="G207" i="40"/>
  <c r="J207" i="40" s="1"/>
  <c r="G191" i="40"/>
  <c r="J191" i="40" s="1"/>
  <c r="G175" i="40"/>
  <c r="J175" i="40" s="1"/>
  <c r="G159" i="40"/>
  <c r="J159" i="40" s="1"/>
  <c r="G143" i="40"/>
  <c r="J143" i="40" s="1"/>
  <c r="G127" i="40"/>
  <c r="J127" i="40" s="1"/>
  <c r="G111" i="40"/>
  <c r="J111" i="40" s="1"/>
  <c r="G238" i="40"/>
  <c r="J238" i="40" s="1"/>
  <c r="G222" i="40"/>
  <c r="J222" i="40" s="1"/>
  <c r="G206" i="40"/>
  <c r="J206" i="40" s="1"/>
  <c r="G190" i="40"/>
  <c r="J190" i="40" s="1"/>
  <c r="G174" i="40"/>
  <c r="J174" i="40" s="1"/>
  <c r="G158" i="40"/>
  <c r="J158" i="40" s="1"/>
  <c r="G142" i="40"/>
  <c r="J142" i="40" s="1"/>
  <c r="G126" i="40"/>
  <c r="J126" i="40" s="1"/>
  <c r="G110" i="40"/>
  <c r="J110" i="40" s="1"/>
  <c r="G237" i="40"/>
  <c r="J237" i="40" s="1"/>
  <c r="G221" i="40"/>
  <c r="J221" i="40" s="1"/>
  <c r="G205" i="40"/>
  <c r="J205" i="40" s="1"/>
  <c r="G189" i="40"/>
  <c r="J189" i="40" s="1"/>
  <c r="G173" i="40"/>
  <c r="J173" i="40" s="1"/>
  <c r="G157" i="40"/>
  <c r="J157" i="40" s="1"/>
  <c r="G141" i="40"/>
  <c r="J141" i="40" s="1"/>
  <c r="G125" i="40"/>
  <c r="J125" i="40" s="1"/>
  <c r="G109" i="40"/>
  <c r="J109" i="40" s="1"/>
  <c r="G236" i="40"/>
  <c r="J236" i="40" s="1"/>
  <c r="G220" i="40"/>
  <c r="J220" i="40" s="1"/>
  <c r="G204" i="40"/>
  <c r="J204" i="40" s="1"/>
  <c r="G188" i="40"/>
  <c r="J188" i="40" s="1"/>
  <c r="G172" i="40"/>
  <c r="J172" i="40" s="1"/>
  <c r="G156" i="40"/>
  <c r="J156" i="40" s="1"/>
  <c r="G140" i="40"/>
  <c r="J140" i="40" s="1"/>
  <c r="G124" i="40"/>
  <c r="J124" i="40" s="1"/>
  <c r="G108" i="40"/>
  <c r="J108" i="40" s="1"/>
  <c r="G235" i="40"/>
  <c r="J235" i="40" s="1"/>
  <c r="G219" i="40"/>
  <c r="J219" i="40" s="1"/>
  <c r="G203" i="40"/>
  <c r="J203" i="40" s="1"/>
  <c r="G187" i="40"/>
  <c r="J187" i="40" s="1"/>
  <c r="G171" i="40"/>
  <c r="J171" i="40" s="1"/>
  <c r="G155" i="40"/>
  <c r="J155" i="40" s="1"/>
  <c r="G139" i="40"/>
  <c r="J139" i="40" s="1"/>
  <c r="G123" i="40"/>
  <c r="J123" i="40" s="1"/>
  <c r="G107" i="40"/>
  <c r="J107" i="40" s="1"/>
  <c r="G118" i="38"/>
  <c r="J118" i="38" s="1"/>
  <c r="G102" i="38"/>
  <c r="J102" i="38" s="1"/>
  <c r="G117" i="38"/>
  <c r="J117" i="38" s="1"/>
  <c r="G101" i="38"/>
  <c r="J101" i="38" s="1"/>
  <c r="G116" i="38"/>
  <c r="J116" i="38" s="1"/>
  <c r="G115" i="38"/>
  <c r="J115" i="38" s="1"/>
  <c r="G114" i="38"/>
  <c r="J114" i="38" s="1"/>
  <c r="G113" i="38"/>
  <c r="J113" i="38" s="1"/>
  <c r="G112" i="38"/>
  <c r="J112" i="38" s="1"/>
  <c r="G127" i="38"/>
  <c r="J127" i="38" s="1"/>
  <c r="G111" i="38"/>
  <c r="J111" i="38" s="1"/>
  <c r="G126" i="38"/>
  <c r="J126" i="38" s="1"/>
  <c r="G110" i="38"/>
  <c r="J110" i="38" s="1"/>
  <c r="G125" i="38"/>
  <c r="J125" i="38" s="1"/>
  <c r="G109" i="38"/>
  <c r="J109" i="38" s="1"/>
  <c r="G124" i="38"/>
  <c r="J124" i="38" s="1"/>
  <c r="G108" i="38"/>
  <c r="J108" i="38" s="1"/>
  <c r="G123" i="38"/>
  <c r="J123" i="38" s="1"/>
  <c r="G107" i="38"/>
  <c r="J107" i="38" s="1"/>
  <c r="G122" i="38"/>
  <c r="J122" i="38" s="1"/>
  <c r="G106" i="38"/>
  <c r="J106" i="38" s="1"/>
  <c r="G121" i="38"/>
  <c r="J121" i="38" s="1"/>
  <c r="G105" i="38"/>
  <c r="J105" i="38" s="1"/>
  <c r="G120" i="38"/>
  <c r="J120" i="38" s="1"/>
  <c r="G104" i="38"/>
  <c r="J104" i="38" s="1"/>
  <c r="G119" i="38"/>
  <c r="J119" i="38" s="1"/>
  <c r="G103" i="38"/>
  <c r="J103" i="38" s="1"/>
  <c r="G246" i="39"/>
  <c r="J246" i="39" s="1"/>
  <c r="G230" i="39"/>
  <c r="J230" i="39" s="1"/>
  <c r="G214" i="39"/>
  <c r="J214" i="39" s="1"/>
  <c r="G198" i="39"/>
  <c r="J198" i="39" s="1"/>
  <c r="G182" i="39"/>
  <c r="J182" i="39" s="1"/>
  <c r="G166" i="39"/>
  <c r="J166" i="39" s="1"/>
  <c r="G150" i="39"/>
  <c r="J150" i="39" s="1"/>
  <c r="G134" i="39"/>
  <c r="J134" i="39" s="1"/>
  <c r="G118" i="39"/>
  <c r="J118" i="39" s="1"/>
  <c r="G102" i="39"/>
  <c r="J102" i="39" s="1"/>
  <c r="G245" i="39"/>
  <c r="J245" i="39" s="1"/>
  <c r="G229" i="39"/>
  <c r="J229" i="39" s="1"/>
  <c r="G213" i="39"/>
  <c r="J213" i="39" s="1"/>
  <c r="G197" i="39"/>
  <c r="J197" i="39" s="1"/>
  <c r="G181" i="39"/>
  <c r="J181" i="39" s="1"/>
  <c r="G165" i="39"/>
  <c r="J165" i="39" s="1"/>
  <c r="G149" i="39"/>
  <c r="J149" i="39" s="1"/>
  <c r="G133" i="39"/>
  <c r="J133" i="39" s="1"/>
  <c r="G117" i="39"/>
  <c r="J117" i="39" s="1"/>
  <c r="G101" i="39"/>
  <c r="J101" i="39" s="1"/>
  <c r="G244" i="39"/>
  <c r="J244" i="39" s="1"/>
  <c r="G228" i="39"/>
  <c r="J228" i="39" s="1"/>
  <c r="G212" i="39"/>
  <c r="J212" i="39" s="1"/>
  <c r="G196" i="39"/>
  <c r="J196" i="39" s="1"/>
  <c r="G180" i="39"/>
  <c r="J180" i="39" s="1"/>
  <c r="G164" i="39"/>
  <c r="J164" i="39" s="1"/>
  <c r="G148" i="39"/>
  <c r="J148" i="39" s="1"/>
  <c r="G132" i="39"/>
  <c r="J132" i="39" s="1"/>
  <c r="G116" i="39"/>
  <c r="J116" i="39" s="1"/>
  <c r="G243" i="39"/>
  <c r="J243" i="39" s="1"/>
  <c r="G227" i="39"/>
  <c r="J227" i="39" s="1"/>
  <c r="G211" i="39"/>
  <c r="J211" i="39" s="1"/>
  <c r="G195" i="39"/>
  <c r="J195" i="39" s="1"/>
  <c r="G179" i="39"/>
  <c r="J179" i="39" s="1"/>
  <c r="G163" i="39"/>
  <c r="J163" i="39" s="1"/>
  <c r="G147" i="39"/>
  <c r="J147" i="39" s="1"/>
  <c r="G131" i="39"/>
  <c r="J131" i="39" s="1"/>
  <c r="G115" i="39"/>
  <c r="J115" i="39" s="1"/>
  <c r="G242" i="39"/>
  <c r="J242" i="39" s="1"/>
  <c r="G226" i="39"/>
  <c r="J226" i="39" s="1"/>
  <c r="G210" i="39"/>
  <c r="J210" i="39" s="1"/>
  <c r="G194" i="39"/>
  <c r="J194" i="39" s="1"/>
  <c r="G178" i="39"/>
  <c r="J178" i="39" s="1"/>
  <c r="G162" i="39"/>
  <c r="J162" i="39" s="1"/>
  <c r="G146" i="39"/>
  <c r="J146" i="39" s="1"/>
  <c r="G130" i="39"/>
  <c r="J130" i="39" s="1"/>
  <c r="G114" i="39"/>
  <c r="J114" i="39" s="1"/>
  <c r="G241" i="39"/>
  <c r="J241" i="39" s="1"/>
  <c r="G225" i="39"/>
  <c r="J225" i="39" s="1"/>
  <c r="G209" i="39"/>
  <c r="J209" i="39" s="1"/>
  <c r="G193" i="39"/>
  <c r="J193" i="39" s="1"/>
  <c r="G177" i="39"/>
  <c r="J177" i="39" s="1"/>
  <c r="G161" i="39"/>
  <c r="J161" i="39" s="1"/>
  <c r="G145" i="39"/>
  <c r="J145" i="39" s="1"/>
  <c r="G129" i="39"/>
  <c r="J129" i="39" s="1"/>
  <c r="G113" i="39"/>
  <c r="J113" i="39" s="1"/>
  <c r="G240" i="39"/>
  <c r="J240" i="39" s="1"/>
  <c r="G224" i="39"/>
  <c r="J224" i="39" s="1"/>
  <c r="G208" i="39"/>
  <c r="J208" i="39" s="1"/>
  <c r="G192" i="39"/>
  <c r="J192" i="39" s="1"/>
  <c r="G176" i="39"/>
  <c r="J176" i="39" s="1"/>
  <c r="G160" i="39"/>
  <c r="J160" i="39" s="1"/>
  <c r="G144" i="39"/>
  <c r="J144" i="39" s="1"/>
  <c r="G128" i="39"/>
  <c r="J128" i="39" s="1"/>
  <c r="G112" i="39"/>
  <c r="J112" i="39" s="1"/>
  <c r="G239" i="39"/>
  <c r="J239" i="39" s="1"/>
  <c r="G223" i="39"/>
  <c r="J223" i="39" s="1"/>
  <c r="G207" i="39"/>
  <c r="J207" i="39" s="1"/>
  <c r="G191" i="39"/>
  <c r="J191" i="39" s="1"/>
  <c r="G175" i="39"/>
  <c r="J175" i="39" s="1"/>
  <c r="G159" i="39"/>
  <c r="J159" i="39" s="1"/>
  <c r="G143" i="39"/>
  <c r="J143" i="39" s="1"/>
  <c r="G127" i="39"/>
  <c r="J127" i="39" s="1"/>
  <c r="G111" i="39"/>
  <c r="J111" i="39" s="1"/>
  <c r="G238" i="39"/>
  <c r="J238" i="39" s="1"/>
  <c r="G222" i="39"/>
  <c r="J222" i="39" s="1"/>
  <c r="G206" i="39"/>
  <c r="J206" i="39" s="1"/>
  <c r="G190" i="39"/>
  <c r="J190" i="39" s="1"/>
  <c r="G174" i="39"/>
  <c r="J174" i="39" s="1"/>
  <c r="G158" i="39"/>
  <c r="J158" i="39" s="1"/>
  <c r="G142" i="39"/>
  <c r="J142" i="39" s="1"/>
  <c r="G126" i="39"/>
  <c r="J126" i="39" s="1"/>
  <c r="G110" i="39"/>
  <c r="J110" i="39" s="1"/>
  <c r="G237" i="39"/>
  <c r="J237" i="39" s="1"/>
  <c r="G221" i="39"/>
  <c r="J221" i="39" s="1"/>
  <c r="G205" i="39"/>
  <c r="J205" i="39" s="1"/>
  <c r="G189" i="39"/>
  <c r="J189" i="39" s="1"/>
  <c r="G173" i="39"/>
  <c r="J173" i="39" s="1"/>
  <c r="G157" i="39"/>
  <c r="J157" i="39" s="1"/>
  <c r="G141" i="39"/>
  <c r="J141" i="39" s="1"/>
  <c r="G125" i="39"/>
  <c r="J125" i="39" s="1"/>
  <c r="G109" i="39"/>
  <c r="J109" i="39" s="1"/>
  <c r="G236" i="39"/>
  <c r="J236" i="39" s="1"/>
  <c r="G220" i="39"/>
  <c r="J220" i="39" s="1"/>
  <c r="G204" i="39"/>
  <c r="J204" i="39" s="1"/>
  <c r="G188" i="39"/>
  <c r="J188" i="39" s="1"/>
  <c r="G172" i="39"/>
  <c r="J172" i="39" s="1"/>
  <c r="G156" i="39"/>
  <c r="J156" i="39" s="1"/>
  <c r="G140" i="39"/>
  <c r="J140" i="39" s="1"/>
  <c r="G124" i="39"/>
  <c r="J124" i="39" s="1"/>
  <c r="G108" i="39"/>
  <c r="J108" i="39" s="1"/>
  <c r="G235" i="39"/>
  <c r="J235" i="39" s="1"/>
  <c r="G219" i="39"/>
  <c r="J219" i="39" s="1"/>
  <c r="G203" i="39"/>
  <c r="J203" i="39" s="1"/>
  <c r="G187" i="39"/>
  <c r="J187" i="39" s="1"/>
  <c r="G171" i="39"/>
  <c r="J171" i="39" s="1"/>
  <c r="G155" i="39"/>
  <c r="J155" i="39" s="1"/>
  <c r="G139" i="39"/>
  <c r="J139" i="39" s="1"/>
  <c r="G123" i="39"/>
  <c r="J123" i="39" s="1"/>
  <c r="G107" i="39"/>
  <c r="J107" i="39" s="1"/>
  <c r="G250" i="39"/>
  <c r="J250" i="39" s="1"/>
  <c r="G234" i="39"/>
  <c r="J234" i="39" s="1"/>
  <c r="G218" i="39"/>
  <c r="J218" i="39" s="1"/>
  <c r="G202" i="39"/>
  <c r="J202" i="39" s="1"/>
  <c r="G186" i="39"/>
  <c r="J186" i="39" s="1"/>
  <c r="G170" i="39"/>
  <c r="J170" i="39" s="1"/>
  <c r="G154" i="39"/>
  <c r="J154" i="39" s="1"/>
  <c r="G138" i="39"/>
  <c r="J138" i="39" s="1"/>
  <c r="G122" i="39"/>
  <c r="J122" i="39" s="1"/>
  <c r="G106" i="39"/>
  <c r="J106" i="39" s="1"/>
  <c r="G249" i="39"/>
  <c r="J249" i="39" s="1"/>
  <c r="G233" i="39"/>
  <c r="J233" i="39" s="1"/>
  <c r="G217" i="39"/>
  <c r="J217" i="39" s="1"/>
  <c r="G201" i="39"/>
  <c r="J201" i="39" s="1"/>
  <c r="G185" i="39"/>
  <c r="J185" i="39" s="1"/>
  <c r="G169" i="39"/>
  <c r="J169" i="39" s="1"/>
  <c r="G153" i="39"/>
  <c r="J153" i="39" s="1"/>
  <c r="G137" i="39"/>
  <c r="J137" i="39" s="1"/>
  <c r="G121" i="39"/>
  <c r="J121" i="39" s="1"/>
  <c r="G105" i="39"/>
  <c r="J105" i="39" s="1"/>
  <c r="G248" i="39"/>
  <c r="J248" i="39" s="1"/>
  <c r="G232" i="39"/>
  <c r="J232" i="39" s="1"/>
  <c r="G216" i="39"/>
  <c r="J216" i="39" s="1"/>
  <c r="G200" i="39"/>
  <c r="J200" i="39" s="1"/>
  <c r="G184" i="39"/>
  <c r="J184" i="39" s="1"/>
  <c r="G168" i="39"/>
  <c r="J168" i="39" s="1"/>
  <c r="G152" i="39"/>
  <c r="J152" i="39" s="1"/>
  <c r="G136" i="39"/>
  <c r="J136" i="39" s="1"/>
  <c r="G120" i="39"/>
  <c r="J120" i="39" s="1"/>
  <c r="G104" i="39"/>
  <c r="J104" i="39" s="1"/>
  <c r="G247" i="39"/>
  <c r="J247" i="39" s="1"/>
  <c r="G231" i="39"/>
  <c r="J231" i="39" s="1"/>
  <c r="G215" i="39"/>
  <c r="J215" i="39" s="1"/>
  <c r="G199" i="39"/>
  <c r="J199" i="39" s="1"/>
  <c r="G183" i="39"/>
  <c r="J183" i="39" s="1"/>
  <c r="G167" i="39"/>
  <c r="J167" i="39" s="1"/>
  <c r="G151" i="39"/>
  <c r="J151" i="39" s="1"/>
  <c r="G135" i="39"/>
  <c r="J135" i="39" s="1"/>
  <c r="G119" i="39"/>
  <c r="J119" i="39" s="1"/>
  <c r="G103" i="39"/>
  <c r="J103" i="39" s="1"/>
  <c r="Q250" i="39"/>
  <c r="Q242" i="39"/>
  <c r="Q234" i="39"/>
  <c r="Q226" i="39"/>
  <c r="Q218" i="39"/>
  <c r="Q210" i="39"/>
  <c r="Q202" i="39"/>
  <c r="Q194" i="39"/>
  <c r="Q186" i="39"/>
  <c r="Q178" i="39"/>
  <c r="Q170" i="39"/>
  <c r="Q162" i="39"/>
  <c r="Q154" i="39"/>
  <c r="Q249" i="39"/>
  <c r="Q241" i="39"/>
  <c r="Q233" i="39"/>
  <c r="Q225" i="39"/>
  <c r="Q217" i="39"/>
  <c r="Q209" i="39"/>
  <c r="Q201" i="39"/>
  <c r="Q193" i="39"/>
  <c r="Q185" i="39"/>
  <c r="Q177" i="39"/>
  <c r="Q169" i="39"/>
  <c r="Q161" i="39"/>
  <c r="Q153" i="39"/>
  <c r="Q145" i="39"/>
  <c r="Q137" i="39"/>
  <c r="Q129" i="39"/>
  <c r="Q121" i="39"/>
  <c r="Q113" i="39"/>
  <c r="Q105" i="39"/>
  <c r="N247" i="39"/>
  <c r="N239" i="39"/>
  <c r="N231" i="39"/>
  <c r="N223" i="39"/>
  <c r="N215" i="39"/>
  <c r="N207" i="39"/>
  <c r="N199" i="39"/>
  <c r="N191" i="39"/>
  <c r="N183" i="39"/>
  <c r="N175" i="39"/>
  <c r="N167" i="39"/>
  <c r="N159" i="39"/>
  <c r="N151" i="39"/>
  <c r="N143" i="39"/>
  <c r="N135" i="39"/>
  <c r="N127" i="39"/>
  <c r="N119" i="39"/>
  <c r="N111" i="39"/>
  <c r="N103" i="39"/>
  <c r="Q248" i="39"/>
  <c r="Q240" i="39"/>
  <c r="Q232" i="39"/>
  <c r="Q224" i="39"/>
  <c r="Q216" i="39"/>
  <c r="Q208" i="39"/>
  <c r="Q200" i="39"/>
  <c r="Q192" i="39"/>
  <c r="Q184" i="39"/>
  <c r="Q176" i="39"/>
  <c r="Q168" i="39"/>
  <c r="Q160" i="39"/>
  <c r="Q152" i="39"/>
  <c r="Q144" i="39"/>
  <c r="Q136" i="39"/>
  <c r="Q128" i="39"/>
  <c r="Q120" i="39"/>
  <c r="Q112" i="39"/>
  <c r="Q104" i="39"/>
  <c r="N246" i="39"/>
  <c r="N238" i="39"/>
  <c r="N230" i="39"/>
  <c r="N222" i="39"/>
  <c r="N214" i="39"/>
  <c r="N206" i="39"/>
  <c r="N198" i="39"/>
  <c r="N190" i="39"/>
  <c r="N182" i="39"/>
  <c r="N174" i="39"/>
  <c r="N166" i="39"/>
  <c r="N158" i="39"/>
  <c r="N150" i="39"/>
  <c r="N142" i="39"/>
  <c r="N134" i="39"/>
  <c r="N126" i="39"/>
  <c r="N118" i="39"/>
  <c r="N110" i="39"/>
  <c r="N102" i="39"/>
  <c r="Q247" i="39"/>
  <c r="Q239" i="39"/>
  <c r="Q231" i="39"/>
  <c r="Q223" i="39"/>
  <c r="Q215" i="39"/>
  <c r="Q207" i="39"/>
  <c r="Q199" i="39"/>
  <c r="Q191" i="39"/>
  <c r="Q183" i="39"/>
  <c r="Q175" i="39"/>
  <c r="Q167" i="39"/>
  <c r="Q159" i="39"/>
  <c r="Q151" i="39"/>
  <c r="Q246" i="39"/>
  <c r="Q238" i="39"/>
  <c r="Q230" i="39"/>
  <c r="Q222" i="39"/>
  <c r="Q214" i="39"/>
  <c r="Q206" i="39"/>
  <c r="Q198" i="39"/>
  <c r="Q190" i="39"/>
  <c r="Q182" i="39"/>
  <c r="Q174" i="39"/>
  <c r="Q166" i="39"/>
  <c r="Q158" i="39"/>
  <c r="Q150" i="39"/>
  <c r="Q142" i="39"/>
  <c r="Q134" i="39"/>
  <c r="Q126" i="39"/>
  <c r="Q118" i="39"/>
  <c r="Q110" i="39"/>
  <c r="Q102" i="39"/>
  <c r="N244" i="39"/>
  <c r="N236" i="39"/>
  <c r="N228" i="39"/>
  <c r="N220" i="39"/>
  <c r="N212" i="39"/>
  <c r="N204" i="39"/>
  <c r="N196" i="39"/>
  <c r="N188" i="39"/>
  <c r="N180" i="39"/>
  <c r="N172" i="39"/>
  <c r="N164" i="39"/>
  <c r="N156" i="39"/>
  <c r="N148" i="39"/>
  <c r="N140" i="39"/>
  <c r="N132" i="39"/>
  <c r="N124" i="39"/>
  <c r="N116" i="39"/>
  <c r="N108" i="39"/>
  <c r="N100" i="39"/>
  <c r="Q244" i="39"/>
  <c r="Q236" i="39"/>
  <c r="Q228" i="39"/>
  <c r="Q220" i="39"/>
  <c r="Q212" i="39"/>
  <c r="Q204" i="39"/>
  <c r="Q196" i="39"/>
  <c r="Q188" i="39"/>
  <c r="Q180" i="39"/>
  <c r="Q172" i="39"/>
  <c r="Q164" i="39"/>
  <c r="Q156" i="39"/>
  <c r="Q148" i="39"/>
  <c r="Q140" i="39"/>
  <c r="Q132" i="39"/>
  <c r="Q124" i="39"/>
  <c r="Q116" i="39"/>
  <c r="Q108" i="39"/>
  <c r="N250" i="39"/>
  <c r="N242" i="39"/>
  <c r="N234" i="39"/>
  <c r="N226" i="39"/>
  <c r="N218" i="39"/>
  <c r="N210" i="39"/>
  <c r="N202" i="39"/>
  <c r="N194" i="39"/>
  <c r="N186" i="39"/>
  <c r="N178" i="39"/>
  <c r="N170" i="39"/>
  <c r="N162" i="39"/>
  <c r="N154" i="39"/>
  <c r="N146" i="39"/>
  <c r="N138" i="39"/>
  <c r="N130" i="39"/>
  <c r="N122" i="39"/>
  <c r="N114" i="39"/>
  <c r="N106" i="39"/>
  <c r="Q245" i="39"/>
  <c r="Q213" i="39"/>
  <c r="Q181" i="39"/>
  <c r="Q149" i="39"/>
  <c r="Q133" i="39"/>
  <c r="Q117" i="39"/>
  <c r="Q101" i="39"/>
  <c r="N243" i="39"/>
  <c r="N227" i="39"/>
  <c r="N211" i="39"/>
  <c r="N195" i="39"/>
  <c r="N179" i="39"/>
  <c r="N163" i="39"/>
  <c r="N147" i="39"/>
  <c r="N131" i="39"/>
  <c r="N115" i="39"/>
  <c r="F112" i="39"/>
  <c r="I112" i="39" s="1"/>
  <c r="F108" i="39"/>
  <c r="I108" i="39" s="1"/>
  <c r="F104" i="39"/>
  <c r="I104" i="39" s="1"/>
  <c r="G100" i="39"/>
  <c r="J100" i="39" s="1"/>
  <c r="Q243" i="39"/>
  <c r="Q211" i="39"/>
  <c r="Q179" i="39"/>
  <c r="Q147" i="39"/>
  <c r="Q131" i="39"/>
  <c r="Q115" i="39"/>
  <c r="N241" i="39"/>
  <c r="N225" i="39"/>
  <c r="N209" i="39"/>
  <c r="N193" i="39"/>
  <c r="N177" i="39"/>
  <c r="N161" i="39"/>
  <c r="N145" i="39"/>
  <c r="N129" i="39"/>
  <c r="N113" i="39"/>
  <c r="F100" i="39"/>
  <c r="I100" i="39" s="1"/>
  <c r="Q237" i="39"/>
  <c r="Q205" i="39"/>
  <c r="Q173" i="39"/>
  <c r="Q146" i="39"/>
  <c r="Q130" i="39"/>
  <c r="Q114" i="39"/>
  <c r="N240" i="39"/>
  <c r="N224" i="39"/>
  <c r="N208" i="39"/>
  <c r="N192" i="39"/>
  <c r="N176" i="39"/>
  <c r="N160" i="39"/>
  <c r="N144" i="39"/>
  <c r="N128" i="39"/>
  <c r="N112" i="39"/>
  <c r="F111" i="39"/>
  <c r="I111" i="39" s="1"/>
  <c r="F107" i="39"/>
  <c r="F103" i="39"/>
  <c r="I103" i="39" s="1"/>
  <c r="Q235" i="39"/>
  <c r="Q203" i="39"/>
  <c r="Q171" i="39"/>
  <c r="Q143" i="39"/>
  <c r="Q127" i="39"/>
  <c r="Q111" i="39"/>
  <c r="N237" i="39"/>
  <c r="N221" i="39"/>
  <c r="N205" i="39"/>
  <c r="N189" i="39"/>
  <c r="N173" i="39"/>
  <c r="N157" i="39"/>
  <c r="N141" i="39"/>
  <c r="N125" i="39"/>
  <c r="N109" i="39"/>
  <c r="Q221" i="39"/>
  <c r="Q189" i="39"/>
  <c r="Q157" i="39"/>
  <c r="Q138" i="39"/>
  <c r="Q122" i="39"/>
  <c r="Q106" i="39"/>
  <c r="N248" i="39"/>
  <c r="N232" i="39"/>
  <c r="N216" i="39"/>
  <c r="N200" i="39"/>
  <c r="N184" i="39"/>
  <c r="N168" i="39"/>
  <c r="N152" i="39"/>
  <c r="N136" i="39"/>
  <c r="N120" i="39"/>
  <c r="N104" i="39"/>
  <c r="F113" i="39"/>
  <c r="I113" i="39" s="1"/>
  <c r="F109" i="39"/>
  <c r="I109" i="39" s="1"/>
  <c r="F105" i="39"/>
  <c r="I105" i="39" s="1"/>
  <c r="F101" i="39"/>
  <c r="I101" i="39" s="1"/>
  <c r="Q219" i="39"/>
  <c r="Q187" i="39"/>
  <c r="Q155" i="39"/>
  <c r="Q135" i="39"/>
  <c r="Q119" i="39"/>
  <c r="Q103" i="39"/>
  <c r="N245" i="39"/>
  <c r="N229" i="39"/>
  <c r="N213" i="39"/>
  <c r="N197" i="39"/>
  <c r="N181" i="39"/>
  <c r="N165" i="39"/>
  <c r="N149" i="39"/>
  <c r="N133" i="39"/>
  <c r="N117" i="39"/>
  <c r="N101" i="39"/>
  <c r="Q229" i="39"/>
  <c r="Q125" i="39"/>
  <c r="N235" i="39"/>
  <c r="N171" i="39"/>
  <c r="N107" i="39"/>
  <c r="AM250" i="39"/>
  <c r="AM248" i="39"/>
  <c r="AM246" i="39"/>
  <c r="AM245" i="39"/>
  <c r="AL244" i="39"/>
  <c r="AL235" i="39"/>
  <c r="AL232" i="39"/>
  <c r="AL231" i="39"/>
  <c r="AM229" i="39"/>
  <c r="AL226" i="39"/>
  <c r="AL224" i="39"/>
  <c r="Q227" i="39"/>
  <c r="Q123" i="39"/>
  <c r="N233" i="39"/>
  <c r="N169" i="39"/>
  <c r="N105" i="39"/>
  <c r="AL250" i="39"/>
  <c r="AM249" i="39"/>
  <c r="AL248" i="39"/>
  <c r="AM247" i="39"/>
  <c r="AL246" i="39"/>
  <c r="AL245" i="39"/>
  <c r="AL229" i="39"/>
  <c r="Q197" i="39"/>
  <c r="Q109" i="39"/>
  <c r="N219" i="39"/>
  <c r="N155" i="39"/>
  <c r="AL249" i="39"/>
  <c r="AL247" i="39"/>
  <c r="Q195" i="39"/>
  <c r="Q107" i="39"/>
  <c r="N217" i="39"/>
  <c r="N153" i="39"/>
  <c r="F110" i="39"/>
  <c r="I110" i="39" s="1"/>
  <c r="Q165" i="39"/>
  <c r="N203" i="39"/>
  <c r="N139" i="39"/>
  <c r="AM241" i="39"/>
  <c r="AM240" i="39"/>
  <c r="AL239" i="39"/>
  <c r="AM238" i="39"/>
  <c r="AM237" i="39"/>
  <c r="AM234" i="39"/>
  <c r="AL230" i="39"/>
  <c r="Q163" i="39"/>
  <c r="N201" i="39"/>
  <c r="N137" i="39"/>
  <c r="F106" i="39"/>
  <c r="AM242" i="39"/>
  <c r="AL241" i="39"/>
  <c r="AL240" i="39"/>
  <c r="AL238" i="39"/>
  <c r="AL237" i="39"/>
  <c r="AL234" i="39"/>
  <c r="AM228" i="39"/>
  <c r="AM222" i="39"/>
  <c r="AL220" i="39"/>
  <c r="Q141" i="39"/>
  <c r="N187" i="39"/>
  <c r="AM227" i="39"/>
  <c r="AM223" i="39"/>
  <c r="AM221" i="39"/>
  <c r="AM219" i="39"/>
  <c r="AM216" i="39"/>
  <c r="AM212" i="39"/>
  <c r="AM210" i="39"/>
  <c r="AM203" i="39"/>
  <c r="AM202" i="39"/>
  <c r="AM201" i="39"/>
  <c r="AM199" i="39"/>
  <c r="AL195" i="39"/>
  <c r="AL194" i="39"/>
  <c r="AM189" i="39"/>
  <c r="AM188" i="39"/>
  <c r="AM184" i="39"/>
  <c r="Q139" i="39"/>
  <c r="N185" i="39"/>
  <c r="N123" i="39"/>
  <c r="F102" i="39"/>
  <c r="I102" i="39" s="1"/>
  <c r="N121" i="39"/>
  <c r="AL243" i="39"/>
  <c r="AL228" i="39"/>
  <c r="AL222" i="39"/>
  <c r="AM218" i="39"/>
  <c r="AL213" i="39"/>
  <c r="AM207" i="39"/>
  <c r="AM206" i="39"/>
  <c r="AL205" i="39"/>
  <c r="AL204" i="39"/>
  <c r="AM197" i="39"/>
  <c r="AL190" i="39"/>
  <c r="AL242" i="39"/>
  <c r="AM232" i="39"/>
  <c r="AM224" i="39"/>
  <c r="AL218" i="39"/>
  <c r="AM214" i="39"/>
  <c r="AM211" i="39"/>
  <c r="AM209" i="39"/>
  <c r="AM208" i="39"/>
  <c r="AL207" i="39"/>
  <c r="AL206" i="39"/>
  <c r="AL197" i="39"/>
  <c r="AM191" i="39"/>
  <c r="AL214" i="39"/>
  <c r="AL211" i="39"/>
  <c r="AL209" i="39"/>
  <c r="AL208" i="39"/>
  <c r="AL191" i="39"/>
  <c r="N249" i="39"/>
  <c r="AM244" i="39"/>
  <c r="AL233" i="39"/>
  <c r="AM230" i="39"/>
  <c r="AM226" i="39"/>
  <c r="AL225" i="39"/>
  <c r="AL215" i="39"/>
  <c r="AM195" i="39"/>
  <c r="AM194" i="39"/>
  <c r="AL193" i="39"/>
  <c r="AL192" i="39"/>
  <c r="AL187" i="39"/>
  <c r="AL186" i="39"/>
  <c r="AM239" i="39"/>
  <c r="AL217" i="39"/>
  <c r="AM215" i="39"/>
  <c r="AM205" i="39"/>
  <c r="AL173" i="39"/>
  <c r="AM168" i="39"/>
  <c r="AM165" i="39"/>
  <c r="AM164" i="39"/>
  <c r="AM243" i="39"/>
  <c r="AL201" i="39"/>
  <c r="AM193" i="39"/>
  <c r="AL189" i="39"/>
  <c r="AM185" i="39"/>
  <c r="AM183" i="39"/>
  <c r="AM182" i="39"/>
  <c r="AM181" i="39"/>
  <c r="AM179" i="39"/>
  <c r="AM178" i="39"/>
  <c r="AM172" i="39"/>
  <c r="AL168" i="39"/>
  <c r="AL165" i="39"/>
  <c r="AL164" i="39"/>
  <c r="AL163" i="39"/>
  <c r="AM236" i="39"/>
  <c r="AM231" i="39"/>
  <c r="AL227" i="39"/>
  <c r="AL223" i="39"/>
  <c r="AM213" i="39"/>
  <c r="AM200" i="39"/>
  <c r="AL188" i="39"/>
  <c r="AL185" i="39"/>
  <c r="AL183" i="39"/>
  <c r="AL182" i="39"/>
  <c r="AL181" i="39"/>
  <c r="AM180" i="39"/>
  <c r="AL179" i="39"/>
  <c r="AL178" i="39"/>
  <c r="AM177" i="39"/>
  <c r="AL172" i="39"/>
  <c r="AM171" i="39"/>
  <c r="AM167" i="39"/>
  <c r="AM162" i="39"/>
  <c r="AM158" i="39"/>
  <c r="AL236" i="39"/>
  <c r="AL221" i="39"/>
  <c r="AM235" i="39"/>
  <c r="AM220" i="39"/>
  <c r="AL216" i="39"/>
  <c r="AM204" i="39"/>
  <c r="AL199" i="39"/>
  <c r="AM196" i="39"/>
  <c r="AM192" i="39"/>
  <c r="AL176" i="39"/>
  <c r="AL175" i="39"/>
  <c r="AM170" i="39"/>
  <c r="AM161" i="39"/>
  <c r="AL160" i="39"/>
  <c r="AM155" i="39"/>
  <c r="AM154" i="39"/>
  <c r="AM153" i="39"/>
  <c r="AM152" i="39"/>
  <c r="AL151" i="39"/>
  <c r="AM150" i="39"/>
  <c r="AM149" i="39"/>
  <c r="AL148" i="39"/>
  <c r="AM145" i="39"/>
  <c r="AL144" i="39"/>
  <c r="AM198" i="39"/>
  <c r="AL196" i="39"/>
  <c r="AM186" i="39"/>
  <c r="AL184" i="39"/>
  <c r="AM174" i="39"/>
  <c r="AL170" i="39"/>
  <c r="AM166" i="39"/>
  <c r="AL161" i="39"/>
  <c r="AM159" i="39"/>
  <c r="AM233" i="39"/>
  <c r="AM225" i="39"/>
  <c r="AL219" i="39"/>
  <c r="AL212" i="39"/>
  <c r="AL210" i="39"/>
  <c r="AL203" i="39"/>
  <c r="AL198" i="39"/>
  <c r="AL174" i="39"/>
  <c r="AM169" i="39"/>
  <c r="AL202" i="39"/>
  <c r="AM176" i="39"/>
  <c r="AL166" i="39"/>
  <c r="AL156" i="39"/>
  <c r="AM139" i="39"/>
  <c r="AM128" i="39"/>
  <c r="AM127" i="39"/>
  <c r="AL125" i="39"/>
  <c r="AM124" i="39"/>
  <c r="AL123" i="39"/>
  <c r="AM121" i="39"/>
  <c r="AM120" i="39"/>
  <c r="AL114" i="39"/>
  <c r="AD112" i="39"/>
  <c r="AL109" i="39"/>
  <c r="W109" i="39"/>
  <c r="AD107" i="39"/>
  <c r="AE104" i="39"/>
  <c r="W103" i="39"/>
  <c r="V102" i="39"/>
  <c r="W100" i="39"/>
  <c r="V99" i="39"/>
  <c r="AA100" i="39" s="1"/>
  <c r="E100" i="39" s="1"/>
  <c r="H100" i="39" s="1"/>
  <c r="AM217" i="39"/>
  <c r="AL158" i="39"/>
  <c r="AM157" i="39"/>
  <c r="AL152" i="39"/>
  <c r="AM144" i="39"/>
  <c r="AM140" i="39"/>
  <c r="AL139" i="39"/>
  <c r="AM138" i="39"/>
  <c r="AM130" i="39"/>
  <c r="AM129" i="39"/>
  <c r="AL128" i="39"/>
  <c r="AL127" i="39"/>
  <c r="AL124" i="39"/>
  <c r="AL121" i="39"/>
  <c r="AL120" i="39"/>
  <c r="V114" i="39"/>
  <c r="W113" i="39"/>
  <c r="W114" i="39" s="1"/>
  <c r="W111" i="39"/>
  <c r="AE110" i="39"/>
  <c r="V109" i="39"/>
  <c r="AE106" i="39"/>
  <c r="AE105" i="39"/>
  <c r="AD104" i="39"/>
  <c r="V103" i="39"/>
  <c r="AM102" i="39"/>
  <c r="AE101" i="39"/>
  <c r="V100" i="39"/>
  <c r="AM175" i="39"/>
  <c r="AM163" i="39"/>
  <c r="AL159" i="39"/>
  <c r="AL157" i="39"/>
  <c r="AL155" i="39"/>
  <c r="AL150" i="39"/>
  <c r="AM146" i="39"/>
  <c r="AM141" i="39"/>
  <c r="AL140" i="39"/>
  <c r="AL138" i="39"/>
  <c r="AM137" i="39"/>
  <c r="AM136" i="39"/>
  <c r="AM132" i="39"/>
  <c r="AM131" i="39"/>
  <c r="AL130" i="39"/>
  <c r="AL129" i="39"/>
  <c r="AM122" i="39"/>
  <c r="AM119" i="39"/>
  <c r="AM117" i="39"/>
  <c r="V113" i="39"/>
  <c r="W112" i="39"/>
  <c r="V111" i="39"/>
  <c r="AD110" i="39"/>
  <c r="AM108" i="39"/>
  <c r="W107" i="39"/>
  <c r="AD106" i="39"/>
  <c r="AD105" i="39"/>
  <c r="AM103" i="39"/>
  <c r="AL102" i="39"/>
  <c r="AD101" i="39"/>
  <c r="AM100" i="39"/>
  <c r="AL169" i="39"/>
  <c r="AL167" i="39"/>
  <c r="AM148" i="39"/>
  <c r="AL146" i="39"/>
  <c r="AM142" i="39"/>
  <c r="AL141" i="39"/>
  <c r="AL137" i="39"/>
  <c r="AL136" i="39"/>
  <c r="AM135" i="39"/>
  <c r="AM134" i="39"/>
  <c r="AM133" i="39"/>
  <c r="AL132" i="39"/>
  <c r="AL131" i="39"/>
  <c r="AL122" i="39"/>
  <c r="AL119" i="39"/>
  <c r="AM118" i="39"/>
  <c r="AL117" i="39"/>
  <c r="AM113" i="39"/>
  <c r="V112" i="39"/>
  <c r="AM111" i="39"/>
  <c r="AE109" i="39"/>
  <c r="AL108" i="39"/>
  <c r="W108" i="39"/>
  <c r="V107" i="39"/>
  <c r="W104" i="39"/>
  <c r="AL103" i="39"/>
  <c r="AL100" i="39"/>
  <c r="AM173" i="39"/>
  <c r="AL153" i="39"/>
  <c r="AM151" i="39"/>
  <c r="AL142" i="39"/>
  <c r="AL135" i="39"/>
  <c r="AL134" i="39"/>
  <c r="AL133" i="39"/>
  <c r="AL118" i="39"/>
  <c r="V117" i="39"/>
  <c r="AL113" i="39"/>
  <c r="AM112" i="39"/>
  <c r="AL111" i="39"/>
  <c r="AD109" i="39"/>
  <c r="V108" i="39"/>
  <c r="AM107" i="39"/>
  <c r="AM106" i="39"/>
  <c r="W105" i="39"/>
  <c r="V104" i="39"/>
  <c r="AE102" i="39"/>
  <c r="W101" i="39"/>
  <c r="AL99" i="39"/>
  <c r="AQ100" i="39" s="1"/>
  <c r="AM187" i="39"/>
  <c r="AL180" i="39"/>
  <c r="AM160" i="39"/>
  <c r="AM147" i="39"/>
  <c r="AL145" i="39"/>
  <c r="AM116" i="39"/>
  <c r="V115" i="39"/>
  <c r="AD114" i="39"/>
  <c r="AD116" i="39" s="1"/>
  <c r="AD118" i="39" s="1"/>
  <c r="AD120" i="39" s="1"/>
  <c r="AD122" i="39" s="1"/>
  <c r="AD124" i="39" s="1"/>
  <c r="AD126" i="39" s="1"/>
  <c r="AD128" i="39" s="1"/>
  <c r="AD130" i="39" s="1"/>
  <c r="AD132" i="39" s="1"/>
  <c r="AD134" i="39" s="1"/>
  <c r="AD136" i="39" s="1"/>
  <c r="AD138" i="39" s="1"/>
  <c r="AD140" i="39" s="1"/>
  <c r="AD142" i="39" s="1"/>
  <c r="AD144" i="39" s="1"/>
  <c r="AD146" i="39" s="1"/>
  <c r="AD148" i="39" s="1"/>
  <c r="AD150" i="39" s="1"/>
  <c r="AD152" i="39" s="1"/>
  <c r="AD154" i="39" s="1"/>
  <c r="AD156" i="39" s="1"/>
  <c r="AD158" i="39" s="1"/>
  <c r="AD160" i="39" s="1"/>
  <c r="AD162" i="39" s="1"/>
  <c r="AD164" i="39" s="1"/>
  <c r="AD166" i="39" s="1"/>
  <c r="AD168" i="39" s="1"/>
  <c r="AD170" i="39" s="1"/>
  <c r="AD172" i="39" s="1"/>
  <c r="AD174" i="39" s="1"/>
  <c r="AD176" i="39" s="1"/>
  <c r="AD178" i="39" s="1"/>
  <c r="AD180" i="39" s="1"/>
  <c r="AD182" i="39" s="1"/>
  <c r="AD184" i="39" s="1"/>
  <c r="AD186" i="39" s="1"/>
  <c r="AD188" i="39" s="1"/>
  <c r="AD190" i="39" s="1"/>
  <c r="AD192" i="39" s="1"/>
  <c r="AD194" i="39" s="1"/>
  <c r="AD196" i="39" s="1"/>
  <c r="AD198" i="39" s="1"/>
  <c r="AD200" i="39" s="1"/>
  <c r="AD202" i="39" s="1"/>
  <c r="AD204" i="39" s="1"/>
  <c r="AD206" i="39" s="1"/>
  <c r="AD208" i="39" s="1"/>
  <c r="AD210" i="39" s="1"/>
  <c r="AD212" i="39" s="1"/>
  <c r="AD214" i="39" s="1"/>
  <c r="AD216" i="39" s="1"/>
  <c r="AD218" i="39" s="1"/>
  <c r="AD220" i="39" s="1"/>
  <c r="AD222" i="39" s="1"/>
  <c r="AD224" i="39" s="1"/>
  <c r="AD226" i="39" s="1"/>
  <c r="AD228" i="39" s="1"/>
  <c r="AD230" i="39" s="1"/>
  <c r="AD232" i="39" s="1"/>
  <c r="AD234" i="39" s="1"/>
  <c r="AD236" i="39" s="1"/>
  <c r="AD238" i="39" s="1"/>
  <c r="AD240" i="39" s="1"/>
  <c r="AD242" i="39" s="1"/>
  <c r="AD244" i="39" s="1"/>
  <c r="AD246" i="39" s="1"/>
  <c r="AD248" i="39" s="1"/>
  <c r="AD250" i="39" s="1"/>
  <c r="AL112" i="39"/>
  <c r="AM110" i="39"/>
  <c r="W110" i="39"/>
  <c r="AL107" i="39"/>
  <c r="AL106" i="39"/>
  <c r="W106" i="39"/>
  <c r="V105" i="39"/>
  <c r="AM104" i="39"/>
  <c r="AE103" i="39"/>
  <c r="AD102" i="39"/>
  <c r="V101" i="39"/>
  <c r="AE100" i="39"/>
  <c r="AM143" i="39"/>
  <c r="AM126" i="39"/>
  <c r="AL177" i="39"/>
  <c r="AL162" i="39"/>
  <c r="AL143" i="39"/>
  <c r="AL126" i="39"/>
  <c r="AM114" i="39"/>
  <c r="V110" i="39"/>
  <c r="AM109" i="39"/>
  <c r="AM105" i="39"/>
  <c r="AL147" i="39"/>
  <c r="AM123" i="39"/>
  <c r="AE112" i="39"/>
  <c r="V106" i="39"/>
  <c r="AL105" i="39"/>
  <c r="AM101" i="39"/>
  <c r="AD100" i="39"/>
  <c r="AL149" i="39"/>
  <c r="AL116" i="39"/>
  <c r="AE111" i="39"/>
  <c r="AL104" i="39"/>
  <c r="AD103" i="39"/>
  <c r="AL101" i="39"/>
  <c r="AM156" i="39"/>
  <c r="AM125" i="39"/>
  <c r="AD111" i="39"/>
  <c r="AL200" i="39"/>
  <c r="AL154" i="39"/>
  <c r="AM115" i="39"/>
  <c r="AE108" i="39"/>
  <c r="W102" i="39"/>
  <c r="V116" i="39"/>
  <c r="V118" i="39" s="1"/>
  <c r="AL115" i="39"/>
  <c r="AE113" i="39"/>
  <c r="AE114" i="39" s="1"/>
  <c r="AE115" i="39" s="1"/>
  <c r="AE116" i="39" s="1"/>
  <c r="AE117" i="39" s="1"/>
  <c r="AE118" i="39" s="1"/>
  <c r="AE119" i="39" s="1"/>
  <c r="AE120" i="39" s="1"/>
  <c r="AE121" i="39" s="1"/>
  <c r="AE122" i="39" s="1"/>
  <c r="AE123" i="39" s="1"/>
  <c r="AE124" i="39" s="1"/>
  <c r="AE125" i="39" s="1"/>
  <c r="AE126" i="39" s="1"/>
  <c r="AE127" i="39" s="1"/>
  <c r="AE128" i="39" s="1"/>
  <c r="AE129" i="39" s="1"/>
  <c r="AE130" i="39" s="1"/>
  <c r="AE131" i="39" s="1"/>
  <c r="AE132" i="39" s="1"/>
  <c r="AE133" i="39" s="1"/>
  <c r="AE134" i="39" s="1"/>
  <c r="AE135" i="39" s="1"/>
  <c r="AE136" i="39" s="1"/>
  <c r="AE137" i="39" s="1"/>
  <c r="AE138" i="39" s="1"/>
  <c r="AE139" i="39" s="1"/>
  <c r="AE140" i="39" s="1"/>
  <c r="AE141" i="39" s="1"/>
  <c r="AE142" i="39" s="1"/>
  <c r="AE143" i="39" s="1"/>
  <c r="AE144" i="39" s="1"/>
  <c r="AE145" i="39" s="1"/>
  <c r="AE146" i="39" s="1"/>
  <c r="AE147" i="39" s="1"/>
  <c r="AE148" i="39" s="1"/>
  <c r="AE149" i="39" s="1"/>
  <c r="AE150" i="39" s="1"/>
  <c r="AE151" i="39" s="1"/>
  <c r="AE152" i="39" s="1"/>
  <c r="AE153" i="39" s="1"/>
  <c r="AE154" i="39" s="1"/>
  <c r="AE155" i="39" s="1"/>
  <c r="AE156" i="39" s="1"/>
  <c r="AE157" i="39" s="1"/>
  <c r="AE158" i="39" s="1"/>
  <c r="AE159" i="39" s="1"/>
  <c r="AE160" i="39" s="1"/>
  <c r="AE161" i="39" s="1"/>
  <c r="AE162" i="39" s="1"/>
  <c r="AE163" i="39" s="1"/>
  <c r="AE164" i="39" s="1"/>
  <c r="AE165" i="39" s="1"/>
  <c r="AE166" i="39" s="1"/>
  <c r="AE167" i="39" s="1"/>
  <c r="AE168" i="39" s="1"/>
  <c r="AE169" i="39" s="1"/>
  <c r="AE170" i="39" s="1"/>
  <c r="AE171" i="39" s="1"/>
  <c r="AE172" i="39" s="1"/>
  <c r="AE173" i="39" s="1"/>
  <c r="AE174" i="39" s="1"/>
  <c r="AE175" i="39" s="1"/>
  <c r="AE176" i="39" s="1"/>
  <c r="AE177" i="39" s="1"/>
  <c r="AE178" i="39" s="1"/>
  <c r="AE179" i="39" s="1"/>
  <c r="AE180" i="39" s="1"/>
  <c r="AE181" i="39" s="1"/>
  <c r="AE182" i="39" s="1"/>
  <c r="AE183" i="39" s="1"/>
  <c r="AE184" i="39" s="1"/>
  <c r="AE185" i="39" s="1"/>
  <c r="AE186" i="39" s="1"/>
  <c r="AE187" i="39" s="1"/>
  <c r="AE188" i="39" s="1"/>
  <c r="AE189" i="39" s="1"/>
  <c r="AE190" i="39" s="1"/>
  <c r="AE191" i="39" s="1"/>
  <c r="AE192" i="39" s="1"/>
  <c r="AE193" i="39" s="1"/>
  <c r="AE194" i="39" s="1"/>
  <c r="AE195" i="39" s="1"/>
  <c r="AE196" i="39" s="1"/>
  <c r="AE197" i="39" s="1"/>
  <c r="AE198" i="39" s="1"/>
  <c r="AE199" i="39" s="1"/>
  <c r="AE200" i="39" s="1"/>
  <c r="AE201" i="39" s="1"/>
  <c r="AE202" i="39" s="1"/>
  <c r="AE203" i="39" s="1"/>
  <c r="AE204" i="39" s="1"/>
  <c r="AE205" i="39" s="1"/>
  <c r="AE206" i="39" s="1"/>
  <c r="AE207" i="39" s="1"/>
  <c r="AE208" i="39" s="1"/>
  <c r="AE209" i="39" s="1"/>
  <c r="AE210" i="39" s="1"/>
  <c r="AE211" i="39" s="1"/>
  <c r="AE212" i="39" s="1"/>
  <c r="AE213" i="39" s="1"/>
  <c r="AE214" i="39" s="1"/>
  <c r="AE215" i="39" s="1"/>
  <c r="AE216" i="39" s="1"/>
  <c r="AE217" i="39" s="1"/>
  <c r="AE218" i="39" s="1"/>
  <c r="AE219" i="39" s="1"/>
  <c r="AE220" i="39" s="1"/>
  <c r="AE221" i="39" s="1"/>
  <c r="AE222" i="39" s="1"/>
  <c r="AE223" i="39" s="1"/>
  <c r="AE224" i="39" s="1"/>
  <c r="AE225" i="39" s="1"/>
  <c r="AE226" i="39" s="1"/>
  <c r="AE227" i="39" s="1"/>
  <c r="AE228" i="39" s="1"/>
  <c r="AE229" i="39" s="1"/>
  <c r="AE230" i="39" s="1"/>
  <c r="AE231" i="39" s="1"/>
  <c r="AE232" i="39" s="1"/>
  <c r="AE233" i="39" s="1"/>
  <c r="AE234" i="39" s="1"/>
  <c r="AE235" i="39" s="1"/>
  <c r="AE236" i="39" s="1"/>
  <c r="AE237" i="39" s="1"/>
  <c r="AE238" i="39" s="1"/>
  <c r="AE239" i="39" s="1"/>
  <c r="AE240" i="39" s="1"/>
  <c r="AE241" i="39" s="1"/>
  <c r="AE242" i="39" s="1"/>
  <c r="AE243" i="39" s="1"/>
  <c r="AE244" i="39" s="1"/>
  <c r="AE245" i="39" s="1"/>
  <c r="AE246" i="39" s="1"/>
  <c r="AE247" i="39" s="1"/>
  <c r="AE248" i="39" s="1"/>
  <c r="AE249" i="39" s="1"/>
  <c r="AE250" i="39" s="1"/>
  <c r="AL110" i="39"/>
  <c r="AD108" i="39"/>
  <c r="AE107" i="39"/>
  <c r="AL171" i="39"/>
  <c r="AM190" i="39"/>
  <c r="AD113" i="39"/>
  <c r="AD115" i="39" s="1"/>
  <c r="AD117" i="39" s="1"/>
  <c r="AD119" i="39" s="1"/>
  <c r="AD121" i="39" s="1"/>
  <c r="AD123" i="39" s="1"/>
  <c r="AD125" i="39" s="1"/>
  <c r="AD127" i="39" s="1"/>
  <c r="AD129" i="39" s="1"/>
  <c r="AD131" i="39" s="1"/>
  <c r="AD133" i="39" s="1"/>
  <c r="AD135" i="39" s="1"/>
  <c r="AD137" i="39" s="1"/>
  <c r="AD139" i="39" s="1"/>
  <c r="AD141" i="39" s="1"/>
  <c r="AD143" i="39" s="1"/>
  <c r="AD145" i="39" s="1"/>
  <c r="AD147" i="39" s="1"/>
  <c r="AD149" i="39" s="1"/>
  <c r="AD151" i="39" s="1"/>
  <c r="AD153" i="39" s="1"/>
  <c r="AD155" i="39" s="1"/>
  <c r="AD157" i="39" s="1"/>
  <c r="AD159" i="39" s="1"/>
  <c r="AD161" i="39" s="1"/>
  <c r="AD163" i="39" s="1"/>
  <c r="AD165" i="39" s="1"/>
  <c r="AD167" i="39" s="1"/>
  <c r="AD169" i="39" s="1"/>
  <c r="AD171" i="39" s="1"/>
  <c r="AD173" i="39" s="1"/>
  <c r="AD175" i="39" s="1"/>
  <c r="AD177" i="39" s="1"/>
  <c r="AD179" i="39" s="1"/>
  <c r="AD181" i="39" s="1"/>
  <c r="AD183" i="39" s="1"/>
  <c r="AD185" i="39" s="1"/>
  <c r="AD187" i="39" s="1"/>
  <c r="AD189" i="39" s="1"/>
  <c r="AD191" i="39" s="1"/>
  <c r="AD193" i="39" s="1"/>
  <c r="AD195" i="39" s="1"/>
  <c r="AD197" i="39" s="1"/>
  <c r="AD199" i="39" s="1"/>
  <c r="AD201" i="39" s="1"/>
  <c r="AD203" i="39" s="1"/>
  <c r="AD205" i="39" s="1"/>
  <c r="AD207" i="39" s="1"/>
  <c r="AD209" i="39" s="1"/>
  <c r="AD211" i="39" s="1"/>
  <c r="AD213" i="39" s="1"/>
  <c r="AD215" i="39" s="1"/>
  <c r="AD217" i="39" s="1"/>
  <c r="AD219" i="39" s="1"/>
  <c r="AD221" i="39" s="1"/>
  <c r="AD223" i="39" s="1"/>
  <c r="AD225" i="39" s="1"/>
  <c r="AD227" i="39" s="1"/>
  <c r="AD229" i="39" s="1"/>
  <c r="AD231" i="39" s="1"/>
  <c r="AD233" i="39" s="1"/>
  <c r="AD235" i="39" s="1"/>
  <c r="AD237" i="39" s="1"/>
  <c r="AD239" i="39" s="1"/>
  <c r="AD241" i="39" s="1"/>
  <c r="AD243" i="39" s="1"/>
  <c r="AD245" i="39" s="1"/>
  <c r="AD247" i="39" s="1"/>
  <c r="AD249" i="39" s="1"/>
  <c r="AD99" i="39"/>
  <c r="AI100" i="39" s="1"/>
  <c r="F114" i="39" s="1"/>
  <c r="Q250" i="40"/>
  <c r="Q249" i="40"/>
  <c r="Q241" i="40"/>
  <c r="Q233" i="40"/>
  <c r="Q225" i="40"/>
  <c r="Q248" i="40"/>
  <c r="Q240" i="40"/>
  <c r="Q232" i="40"/>
  <c r="Q224" i="40"/>
  <c r="Q216" i="40"/>
  <c r="Q208" i="40"/>
  <c r="Q200" i="40"/>
  <c r="Q192" i="40"/>
  <c r="Q184" i="40"/>
  <c r="Q176" i="40"/>
  <c r="Q168" i="40"/>
  <c r="Q160" i="40"/>
  <c r="Q152" i="40"/>
  <c r="Q144" i="40"/>
  <c r="Q136" i="40"/>
  <c r="Q128" i="40"/>
  <c r="Q120" i="40"/>
  <c r="Q112" i="40"/>
  <c r="Q104" i="40"/>
  <c r="N244" i="40"/>
  <c r="N236" i="40"/>
  <c r="N228" i="40"/>
  <c r="N220" i="40"/>
  <c r="N212" i="40"/>
  <c r="N204" i="40"/>
  <c r="N196" i="40"/>
  <c r="N188" i="40"/>
  <c r="N180" i="40"/>
  <c r="N172" i="40"/>
  <c r="N164" i="40"/>
  <c r="N156" i="40"/>
  <c r="N148" i="40"/>
  <c r="N140" i="40"/>
  <c r="N132" i="40"/>
  <c r="N124" i="40"/>
  <c r="N116" i="40"/>
  <c r="N108" i="40"/>
  <c r="N100" i="40"/>
  <c r="Q247" i="40"/>
  <c r="Q239" i="40"/>
  <c r="Q231" i="40"/>
  <c r="Q223" i="40"/>
  <c r="Q246" i="40"/>
  <c r="Q245" i="40"/>
  <c r="Q237" i="40"/>
  <c r="Q229" i="40"/>
  <c r="Q221" i="40"/>
  <c r="Q213" i="40"/>
  <c r="Q205" i="40"/>
  <c r="Q197" i="40"/>
  <c r="Q189" i="40"/>
  <c r="Q181" i="40"/>
  <c r="Q173" i="40"/>
  <c r="Q165" i="40"/>
  <c r="Q157" i="40"/>
  <c r="Q149" i="40"/>
  <c r="Q141" i="40"/>
  <c r="Q133" i="40"/>
  <c r="Q125" i="40"/>
  <c r="Q117" i="40"/>
  <c r="Q109" i="40"/>
  <c r="Q101" i="40"/>
  <c r="N249" i="40"/>
  <c r="N241" i="40"/>
  <c r="N233" i="40"/>
  <c r="N225" i="40"/>
  <c r="N217" i="40"/>
  <c r="N209" i="40"/>
  <c r="N201" i="40"/>
  <c r="N193" i="40"/>
  <c r="N185" i="40"/>
  <c r="N177" i="40"/>
  <c r="N169" i="40"/>
  <c r="N161" i="40"/>
  <c r="N153" i="40"/>
  <c r="N145" i="40"/>
  <c r="N137" i="40"/>
  <c r="N129" i="40"/>
  <c r="N121" i="40"/>
  <c r="N113" i="40"/>
  <c r="N105" i="40"/>
  <c r="Q244" i="40"/>
  <c r="Q236" i="40"/>
  <c r="Q228" i="40"/>
  <c r="Q220" i="40"/>
  <c r="Q212" i="40"/>
  <c r="Q204" i="40"/>
  <c r="Q196" i="40"/>
  <c r="Q188" i="40"/>
  <c r="Q180" i="40"/>
  <c r="Q172" i="40"/>
  <c r="Q164" i="40"/>
  <c r="Q156" i="40"/>
  <c r="Q148" i="40"/>
  <c r="Q140" i="40"/>
  <c r="Q132" i="40"/>
  <c r="Q124" i="40"/>
  <c r="Q116" i="40"/>
  <c r="Q108" i="40"/>
  <c r="Q100" i="40"/>
  <c r="N248" i="40"/>
  <c r="N240" i="40"/>
  <c r="N232" i="40"/>
  <c r="N224" i="40"/>
  <c r="N216" i="40"/>
  <c r="N208" i="40"/>
  <c r="N200" i="40"/>
  <c r="N192" i="40"/>
  <c r="N184" i="40"/>
  <c r="N176" i="40"/>
  <c r="N168" i="40"/>
  <c r="N160" i="40"/>
  <c r="N152" i="40"/>
  <c r="N144" i="40"/>
  <c r="N136" i="40"/>
  <c r="N128" i="40"/>
  <c r="N120" i="40"/>
  <c r="N112" i="40"/>
  <c r="N104" i="40"/>
  <c r="Q243" i="40"/>
  <c r="Q242" i="40"/>
  <c r="Q238" i="40"/>
  <c r="Q218" i="40"/>
  <c r="Q206" i="40"/>
  <c r="Q193" i="40"/>
  <c r="Q179" i="40"/>
  <c r="Q167" i="40"/>
  <c r="Q154" i="40"/>
  <c r="Q142" i="40"/>
  <c r="Q129" i="40"/>
  <c r="Q115" i="40"/>
  <c r="Q103" i="40"/>
  <c r="N247" i="40"/>
  <c r="N235" i="40"/>
  <c r="N222" i="40"/>
  <c r="N210" i="40"/>
  <c r="N197" i="40"/>
  <c r="N183" i="40"/>
  <c r="N171" i="40"/>
  <c r="N158" i="40"/>
  <c r="N146" i="40"/>
  <c r="N133" i="40"/>
  <c r="N119" i="40"/>
  <c r="N107" i="40"/>
  <c r="Q235" i="40"/>
  <c r="Q217" i="40"/>
  <c r="Q203" i="40"/>
  <c r="Q191" i="40"/>
  <c r="Q178" i="40"/>
  <c r="Q166" i="40"/>
  <c r="Q153" i="40"/>
  <c r="Q139" i="40"/>
  <c r="Q127" i="40"/>
  <c r="Q114" i="40"/>
  <c r="Q102" i="40"/>
  <c r="N246" i="40"/>
  <c r="N234" i="40"/>
  <c r="N221" i="40"/>
  <c r="N207" i="40"/>
  <c r="N195" i="40"/>
  <c r="N182" i="40"/>
  <c r="N170" i="40"/>
  <c r="N157" i="40"/>
  <c r="N143" i="40"/>
  <c r="N131" i="40"/>
  <c r="N118" i="40"/>
  <c r="N106" i="40"/>
  <c r="Q234" i="40"/>
  <c r="Q230" i="40"/>
  <c r="Q227" i="40"/>
  <c r="Q211" i="40"/>
  <c r="Q199" i="40"/>
  <c r="Q186" i="40"/>
  <c r="Q174" i="40"/>
  <c r="Q161" i="40"/>
  <c r="Q147" i="40"/>
  <c r="Q135" i="40"/>
  <c r="Q122" i="40"/>
  <c r="Q110" i="40"/>
  <c r="N242" i="40"/>
  <c r="N229" i="40"/>
  <c r="N215" i="40"/>
  <c r="N203" i="40"/>
  <c r="N190" i="40"/>
  <c r="N178" i="40"/>
  <c r="N165" i="40"/>
  <c r="N151" i="40"/>
  <c r="N139" i="40"/>
  <c r="N126" i="40"/>
  <c r="N114" i="40"/>
  <c r="N101" i="40"/>
  <c r="F112" i="40"/>
  <c r="I112" i="40" s="1"/>
  <c r="F108" i="40"/>
  <c r="I108" i="40" s="1"/>
  <c r="F104" i="40"/>
  <c r="I104" i="40" s="1"/>
  <c r="G100" i="40"/>
  <c r="J100" i="40" s="1"/>
  <c r="Q219" i="40"/>
  <c r="Q198" i="40"/>
  <c r="Q177" i="40"/>
  <c r="Q158" i="40"/>
  <c r="Q137" i="40"/>
  <c r="Q118" i="40"/>
  <c r="N250" i="40"/>
  <c r="N227" i="40"/>
  <c r="N206" i="40"/>
  <c r="N187" i="40"/>
  <c r="N166" i="40"/>
  <c r="N147" i="40"/>
  <c r="N125" i="40"/>
  <c r="N103" i="40"/>
  <c r="F107" i="40"/>
  <c r="I107" i="40" s="1"/>
  <c r="F102" i="40"/>
  <c r="I102" i="40" s="1"/>
  <c r="Q215" i="40"/>
  <c r="Q195" i="40"/>
  <c r="Q175" i="40"/>
  <c r="Q155" i="40"/>
  <c r="Q134" i="40"/>
  <c r="Q113" i="40"/>
  <c r="N245" i="40"/>
  <c r="N226" i="40"/>
  <c r="N205" i="40"/>
  <c r="N186" i="40"/>
  <c r="N163" i="40"/>
  <c r="N142" i="40"/>
  <c r="N123" i="40"/>
  <c r="N102" i="40"/>
  <c r="F101" i="40"/>
  <c r="I101" i="40" s="1"/>
  <c r="Q209" i="40"/>
  <c r="Q187" i="40"/>
  <c r="Q169" i="40"/>
  <c r="Q146" i="40"/>
  <c r="Q126" i="40"/>
  <c r="Q106" i="40"/>
  <c r="N238" i="40"/>
  <c r="N218" i="40"/>
  <c r="N198" i="40"/>
  <c r="N175" i="40"/>
  <c r="N155" i="40"/>
  <c r="N135" i="40"/>
  <c r="N115" i="40"/>
  <c r="F110" i="40"/>
  <c r="I110" i="40" s="1"/>
  <c r="Q226" i="40"/>
  <c r="Q190" i="40"/>
  <c r="Q159" i="40"/>
  <c r="Q123" i="40"/>
  <c r="N214" i="40"/>
  <c r="N181" i="40"/>
  <c r="N150" i="40"/>
  <c r="N117" i="40"/>
  <c r="AM247" i="40"/>
  <c r="AL243" i="40"/>
  <c r="Q222" i="40"/>
  <c r="Q185" i="40"/>
  <c r="Q151" i="40"/>
  <c r="Q121" i="40"/>
  <c r="N243" i="40"/>
  <c r="N213" i="40"/>
  <c r="N179" i="40"/>
  <c r="N149" i="40"/>
  <c r="N111" i="40"/>
  <c r="F109" i="40"/>
  <c r="I109" i="40" s="1"/>
  <c r="Q214" i="40"/>
  <c r="Q183" i="40"/>
  <c r="Q150" i="40"/>
  <c r="Q119" i="40"/>
  <c r="N239" i="40"/>
  <c r="N211" i="40"/>
  <c r="N174" i="40"/>
  <c r="N141" i="40"/>
  <c r="N110" i="40"/>
  <c r="F100" i="40"/>
  <c r="I100" i="40" s="1"/>
  <c r="AM248" i="40"/>
  <c r="Q210" i="40"/>
  <c r="Q182" i="40"/>
  <c r="Q145" i="40"/>
  <c r="Q111" i="40"/>
  <c r="N237" i="40"/>
  <c r="N202" i="40"/>
  <c r="N173" i="40"/>
  <c r="N138" i="40"/>
  <c r="N109" i="40"/>
  <c r="AL248" i="40"/>
  <c r="AL244" i="40"/>
  <c r="AM239" i="40"/>
  <c r="AM236" i="40"/>
  <c r="AM233" i="40"/>
  <c r="AM227" i="40"/>
  <c r="Q207" i="40"/>
  <c r="Q171" i="40"/>
  <c r="Q143" i="40"/>
  <c r="Q107" i="40"/>
  <c r="N231" i="40"/>
  <c r="N199" i="40"/>
  <c r="N167" i="40"/>
  <c r="N134" i="40"/>
  <c r="F106" i="40"/>
  <c r="I106" i="40" s="1"/>
  <c r="AM249" i="40"/>
  <c r="AM245" i="40"/>
  <c r="AM242" i="40"/>
  <c r="Q202" i="40"/>
  <c r="Q170" i="40"/>
  <c r="Q138" i="40"/>
  <c r="Q105" i="40"/>
  <c r="N230" i="40"/>
  <c r="N194" i="40"/>
  <c r="N162" i="40"/>
  <c r="N130" i="40"/>
  <c r="F105" i="40"/>
  <c r="I105" i="40" s="1"/>
  <c r="AL249" i="40"/>
  <c r="Q201" i="40"/>
  <c r="Q163" i="40"/>
  <c r="Q131" i="40"/>
  <c r="N223" i="40"/>
  <c r="N191" i="40"/>
  <c r="N159" i="40"/>
  <c r="N127" i="40"/>
  <c r="F113" i="40"/>
  <c r="I113" i="40" s="1"/>
  <c r="AM250" i="40"/>
  <c r="AM246" i="40"/>
  <c r="Q194" i="40"/>
  <c r="Q162" i="40"/>
  <c r="Q130" i="40"/>
  <c r="N219" i="40"/>
  <c r="N189" i="40"/>
  <c r="N154" i="40"/>
  <c r="N122" i="40"/>
  <c r="F111" i="40"/>
  <c r="I111" i="40" s="1"/>
  <c r="F103" i="40"/>
  <c r="I103" i="40" s="1"/>
  <c r="AL250" i="40"/>
  <c r="AL246" i="40"/>
  <c r="AM243" i="40"/>
  <c r="AL240" i="40"/>
  <c r="AL234" i="40"/>
  <c r="AL231" i="40"/>
  <c r="AL230" i="40"/>
  <c r="AL229" i="40"/>
  <c r="AM225" i="40"/>
  <c r="AM244" i="40"/>
  <c r="AL236" i="40"/>
  <c r="AM228" i="40"/>
  <c r="AM226" i="40"/>
  <c r="AM223" i="40"/>
  <c r="AL222" i="40"/>
  <c r="AM217" i="40"/>
  <c r="AL214" i="40"/>
  <c r="AM201" i="40"/>
  <c r="AM197" i="40"/>
  <c r="AM193" i="40"/>
  <c r="AM189" i="40"/>
  <c r="AM185" i="40"/>
  <c r="AM182" i="40"/>
  <c r="AM180" i="40"/>
  <c r="AM176" i="40"/>
  <c r="AL169" i="40"/>
  <c r="AL167" i="40"/>
  <c r="AM165" i="40"/>
  <c r="AL163" i="40"/>
  <c r="AM154" i="40"/>
  <c r="AM231" i="40"/>
  <c r="AL228" i="40"/>
  <c r="AL226" i="40"/>
  <c r="AL223" i="40"/>
  <c r="AM218" i="40"/>
  <c r="AL217" i="40"/>
  <c r="AM206" i="40"/>
  <c r="AL201" i="40"/>
  <c r="AM200" i="40"/>
  <c r="AL197" i="40"/>
  <c r="AM194" i="40"/>
  <c r="AL193" i="40"/>
  <c r="AL189" i="40"/>
  <c r="AL185" i="40"/>
  <c r="AL182" i="40"/>
  <c r="AL180" i="40"/>
  <c r="AL176" i="40"/>
  <c r="AM174" i="40"/>
  <c r="AM172" i="40"/>
  <c r="AM170" i="40"/>
  <c r="AL165" i="40"/>
  <c r="AM161" i="40"/>
  <c r="AM159" i="40"/>
  <c r="AM157" i="40"/>
  <c r="AL154" i="40"/>
  <c r="AL247" i="40"/>
  <c r="AM237" i="40"/>
  <c r="AM235" i="40"/>
  <c r="AL218" i="40"/>
  <c r="AM215" i="40"/>
  <c r="AM212" i="40"/>
  <c r="AL206" i="40"/>
  <c r="AM205" i="40"/>
  <c r="AL200" i="40"/>
  <c r="AM195" i="40"/>
  <c r="AL194" i="40"/>
  <c r="AM190" i="40"/>
  <c r="AM186" i="40"/>
  <c r="AM177" i="40"/>
  <c r="AL174" i="40"/>
  <c r="AL172" i="40"/>
  <c r="AL170" i="40"/>
  <c r="AL161" i="40"/>
  <c r="AL159" i="40"/>
  <c r="AL157" i="40"/>
  <c r="AM155" i="40"/>
  <c r="AL242" i="40"/>
  <c r="AM241" i="40"/>
  <c r="AL239" i="40"/>
  <c r="AL237" i="40"/>
  <c r="AL235" i="40"/>
  <c r="AL233" i="40"/>
  <c r="AM224" i="40"/>
  <c r="AM219" i="40"/>
  <c r="AL215" i="40"/>
  <c r="AL212" i="40"/>
  <c r="AM209" i="40"/>
  <c r="AL205" i="40"/>
  <c r="AM204" i="40"/>
  <c r="AM198" i="40"/>
  <c r="AL195" i="40"/>
  <c r="AL190" i="40"/>
  <c r="AL186" i="40"/>
  <c r="AM183" i="40"/>
  <c r="AM181" i="40"/>
  <c r="AL177" i="40"/>
  <c r="AM168" i="40"/>
  <c r="AL155" i="40"/>
  <c r="AM151" i="40"/>
  <c r="AM148" i="40"/>
  <c r="AL140" i="40"/>
  <c r="AM138" i="40"/>
  <c r="AM131" i="40"/>
  <c r="AM129" i="40"/>
  <c r="AL125" i="40"/>
  <c r="AL122" i="40"/>
  <c r="AL121" i="40"/>
  <c r="AL241" i="40"/>
  <c r="AM229" i="40"/>
  <c r="AL224" i="40"/>
  <c r="AL219" i="40"/>
  <c r="AM210" i="40"/>
  <c r="AL209" i="40"/>
  <c r="AM208" i="40"/>
  <c r="AL204" i="40"/>
  <c r="AM203" i="40"/>
  <c r="AM199" i="40"/>
  <c r="AL198" i="40"/>
  <c r="AM191" i="40"/>
  <c r="AM187" i="40"/>
  <c r="AL183" i="40"/>
  <c r="AL181" i="40"/>
  <c r="AM173" i="40"/>
  <c r="AM171" i="40"/>
  <c r="AL168" i="40"/>
  <c r="AM166" i="40"/>
  <c r="AM164" i="40"/>
  <c r="AM162" i="40"/>
  <c r="AM152" i="40"/>
  <c r="AL151" i="40"/>
  <c r="AM150" i="40"/>
  <c r="AL148" i="40"/>
  <c r="AM145" i="40"/>
  <c r="AM232" i="40"/>
  <c r="AM220" i="40"/>
  <c r="AM216" i="40"/>
  <c r="AM213" i="40"/>
  <c r="AL210" i="40"/>
  <c r="AL208" i="40"/>
  <c r="AL203" i="40"/>
  <c r="AL199" i="40"/>
  <c r="AM196" i="40"/>
  <c r="AL191" i="40"/>
  <c r="AL187" i="40"/>
  <c r="AM178" i="40"/>
  <c r="AM175" i="40"/>
  <c r="AL173" i="40"/>
  <c r="AL171" i="40"/>
  <c r="AL166" i="40"/>
  <c r="AL164" i="40"/>
  <c r="AL162" i="40"/>
  <c r="AM160" i="40"/>
  <c r="AL245" i="40"/>
  <c r="AM238" i="40"/>
  <c r="AL232" i="40"/>
  <c r="AM230" i="40"/>
  <c r="AL227" i="40"/>
  <c r="AL225" i="40"/>
  <c r="AM221" i="40"/>
  <c r="AL220" i="40"/>
  <c r="AL216" i="40"/>
  <c r="AL213" i="40"/>
  <c r="AM211" i="40"/>
  <c r="AM207" i="40"/>
  <c r="AM202" i="40"/>
  <c r="AL196" i="40"/>
  <c r="AM192" i="40"/>
  <c r="AM188" i="40"/>
  <c r="AM184" i="40"/>
  <c r="AM179" i="40"/>
  <c r="AL178" i="40"/>
  <c r="AL175" i="40"/>
  <c r="AL160" i="40"/>
  <c r="AM158" i="40"/>
  <c r="AM156" i="40"/>
  <c r="AL153" i="40"/>
  <c r="AM240" i="40"/>
  <c r="AL238" i="40"/>
  <c r="AM234" i="40"/>
  <c r="AM222" i="40"/>
  <c r="AL221" i="40"/>
  <c r="AM214" i="40"/>
  <c r="AL211" i="40"/>
  <c r="AL207" i="40"/>
  <c r="AL202" i="40"/>
  <c r="AL192" i="40"/>
  <c r="AL188" i="40"/>
  <c r="AL184" i="40"/>
  <c r="AL179" i="40"/>
  <c r="AM169" i="40"/>
  <c r="AM167" i="40"/>
  <c r="AM163" i="40"/>
  <c r="AL158" i="40"/>
  <c r="AL156" i="40"/>
  <c r="AL146" i="40"/>
  <c r="AL139" i="40"/>
  <c r="AL136" i="40"/>
  <c r="AM130" i="40"/>
  <c r="AM128" i="40"/>
  <c r="AL120" i="40"/>
  <c r="AM119" i="40"/>
  <c r="AL150" i="40"/>
  <c r="AM149" i="40"/>
  <c r="AL138" i="40"/>
  <c r="AM132" i="40"/>
  <c r="AL128" i="40"/>
  <c r="AM126" i="40"/>
  <c r="AM124" i="40"/>
  <c r="AM115" i="40"/>
  <c r="AD113" i="40"/>
  <c r="AD115" i="40" s="1"/>
  <c r="AD117" i="40" s="1"/>
  <c r="AD119" i="40" s="1"/>
  <c r="AD121" i="40" s="1"/>
  <c r="AD123" i="40" s="1"/>
  <c r="AD125" i="40" s="1"/>
  <c r="AD127" i="40" s="1"/>
  <c r="AD129" i="40" s="1"/>
  <c r="AD131" i="40" s="1"/>
  <c r="AD133" i="40" s="1"/>
  <c r="AD135" i="40" s="1"/>
  <c r="AD137" i="40" s="1"/>
  <c r="AD139" i="40" s="1"/>
  <c r="AD141" i="40" s="1"/>
  <c r="AD143" i="40" s="1"/>
  <c r="AD145" i="40" s="1"/>
  <c r="AD147" i="40" s="1"/>
  <c r="AD149" i="40" s="1"/>
  <c r="AD151" i="40" s="1"/>
  <c r="AD153" i="40" s="1"/>
  <c r="AD155" i="40" s="1"/>
  <c r="AD157" i="40" s="1"/>
  <c r="AD159" i="40" s="1"/>
  <c r="AD161" i="40" s="1"/>
  <c r="AD163" i="40" s="1"/>
  <c r="AD165" i="40" s="1"/>
  <c r="AD167" i="40" s="1"/>
  <c r="AD169" i="40" s="1"/>
  <c r="AD171" i="40" s="1"/>
  <c r="AD173" i="40" s="1"/>
  <c r="AD175" i="40" s="1"/>
  <c r="AD177" i="40" s="1"/>
  <c r="AD179" i="40" s="1"/>
  <c r="AD181" i="40" s="1"/>
  <c r="AD183" i="40" s="1"/>
  <c r="AD185" i="40" s="1"/>
  <c r="AD187" i="40" s="1"/>
  <c r="AD189" i="40" s="1"/>
  <c r="AD191" i="40" s="1"/>
  <c r="AD193" i="40" s="1"/>
  <c r="AD195" i="40" s="1"/>
  <c r="AD197" i="40" s="1"/>
  <c r="AD199" i="40" s="1"/>
  <c r="AD201" i="40" s="1"/>
  <c r="AD203" i="40" s="1"/>
  <c r="AD205" i="40" s="1"/>
  <c r="AD207" i="40" s="1"/>
  <c r="AD209" i="40" s="1"/>
  <c r="AD211" i="40" s="1"/>
  <c r="AD213" i="40" s="1"/>
  <c r="AD215" i="40" s="1"/>
  <c r="AD217" i="40" s="1"/>
  <c r="AD219" i="40" s="1"/>
  <c r="AD221" i="40" s="1"/>
  <c r="AD223" i="40" s="1"/>
  <c r="AD225" i="40" s="1"/>
  <c r="AD227" i="40" s="1"/>
  <c r="AD229" i="40" s="1"/>
  <c r="AD231" i="40" s="1"/>
  <c r="AD233" i="40" s="1"/>
  <c r="AD235" i="40" s="1"/>
  <c r="AD237" i="40" s="1"/>
  <c r="AD239" i="40" s="1"/>
  <c r="AD241" i="40" s="1"/>
  <c r="AD243" i="40" s="1"/>
  <c r="AD245" i="40" s="1"/>
  <c r="AD247" i="40" s="1"/>
  <c r="AD249" i="40" s="1"/>
  <c r="AE111" i="40"/>
  <c r="AL110" i="40"/>
  <c r="V110" i="40"/>
  <c r="V109" i="40"/>
  <c r="V108" i="40"/>
  <c r="W107" i="40"/>
  <c r="V106" i="40"/>
  <c r="AL105" i="40"/>
  <c r="AE104" i="40"/>
  <c r="AD103" i="40"/>
  <c r="AD100" i="40"/>
  <c r="AM153" i="40"/>
  <c r="AL152" i="40"/>
  <c r="AL149" i="40"/>
  <c r="AM144" i="40"/>
  <c r="AM135" i="40"/>
  <c r="AL132" i="40"/>
  <c r="AL126" i="40"/>
  <c r="AL124" i="40"/>
  <c r="AM122" i="40"/>
  <c r="AM117" i="40"/>
  <c r="AL115" i="40"/>
  <c r="W112" i="40"/>
  <c r="AD111" i="40"/>
  <c r="AM109" i="40"/>
  <c r="AM108" i="40"/>
  <c r="V107" i="40"/>
  <c r="AM106" i="40"/>
  <c r="AD104" i="40"/>
  <c r="AE102" i="40"/>
  <c r="AE101" i="40"/>
  <c r="AD99" i="40"/>
  <c r="AI100" i="40" s="1"/>
  <c r="F114" i="40" s="1"/>
  <c r="I114" i="40" s="1"/>
  <c r="AL144" i="40"/>
  <c r="AM137" i="40"/>
  <c r="AL135" i="40"/>
  <c r="AL131" i="40"/>
  <c r="AM127" i="40"/>
  <c r="AL117" i="40"/>
  <c r="W113" i="40"/>
  <c r="V112" i="40"/>
  <c r="AL109" i="40"/>
  <c r="AL108" i="40"/>
  <c r="AM107" i="40"/>
  <c r="AL106" i="40"/>
  <c r="AE105" i="40"/>
  <c r="W103" i="40"/>
  <c r="AD102" i="40"/>
  <c r="AD101" i="40"/>
  <c r="AM147" i="40"/>
  <c r="AM142" i="40"/>
  <c r="AM140" i="40"/>
  <c r="AL137" i="40"/>
  <c r="AL127" i="40"/>
  <c r="AM118" i="40"/>
  <c r="V113" i="40"/>
  <c r="V115" i="40" s="1"/>
  <c r="AM112" i="40"/>
  <c r="AM111" i="40"/>
  <c r="W111" i="40"/>
  <c r="AL107" i="40"/>
  <c r="AD105" i="40"/>
  <c r="W104" i="40"/>
  <c r="AM103" i="40"/>
  <c r="V103" i="40"/>
  <c r="AM100" i="40"/>
  <c r="W100" i="40"/>
  <c r="V99" i="40"/>
  <c r="AA100" i="40" s="1"/>
  <c r="E100" i="40" s="1"/>
  <c r="H100" i="40" s="1"/>
  <c r="AL147" i="40"/>
  <c r="AL142" i="40"/>
  <c r="AM134" i="40"/>
  <c r="AL130" i="40"/>
  <c r="AM123" i="40"/>
  <c r="AL118" i="40"/>
  <c r="AM116" i="40"/>
  <c r="W114" i="40"/>
  <c r="W115" i="40" s="1"/>
  <c r="W116" i="40" s="1"/>
  <c r="W117" i="40" s="1"/>
  <c r="W118" i="40" s="1"/>
  <c r="W119" i="40" s="1"/>
  <c r="W120" i="40" s="1"/>
  <c r="W121" i="40" s="1"/>
  <c r="W122" i="40" s="1"/>
  <c r="W123" i="40" s="1"/>
  <c r="W124" i="40" s="1"/>
  <c r="W125" i="40" s="1"/>
  <c r="W126" i="40" s="1"/>
  <c r="AM113" i="40"/>
  <c r="AL112" i="40"/>
  <c r="AL111" i="40"/>
  <c r="V111" i="40"/>
  <c r="AE110" i="40"/>
  <c r="AE109" i="40"/>
  <c r="AE108" i="40"/>
  <c r="AE106" i="40"/>
  <c r="V104" i="40"/>
  <c r="AL103" i="40"/>
  <c r="AM102" i="40"/>
  <c r="W102" i="40"/>
  <c r="W101" i="40"/>
  <c r="AL100" i="40"/>
  <c r="V100" i="40"/>
  <c r="AM139" i="40"/>
  <c r="AL134" i="40"/>
  <c r="AM125" i="40"/>
  <c r="AL123" i="40"/>
  <c r="AL116" i="40"/>
  <c r="AL113" i="40"/>
  <c r="AD110" i="40"/>
  <c r="AD109" i="40"/>
  <c r="AD108" i="40"/>
  <c r="AE107" i="40"/>
  <c r="AD106" i="40"/>
  <c r="W105" i="40"/>
  <c r="AM104" i="40"/>
  <c r="AL102" i="40"/>
  <c r="V102" i="40"/>
  <c r="AM101" i="40"/>
  <c r="V101" i="40"/>
  <c r="AM146" i="40"/>
  <c r="AM143" i="40"/>
  <c r="AM141" i="40"/>
  <c r="AM136" i="40"/>
  <c r="AM133" i="40"/>
  <c r="AL129" i="40"/>
  <c r="AM121" i="40"/>
  <c r="AL119" i="40"/>
  <c r="AM114" i="40"/>
  <c r="AE112" i="40"/>
  <c r="AD107" i="40"/>
  <c r="V105" i="40"/>
  <c r="AL104" i="40"/>
  <c r="AL101" i="40"/>
  <c r="AL145" i="40"/>
  <c r="AL143" i="40"/>
  <c r="AL141" i="40"/>
  <c r="AL133" i="40"/>
  <c r="AM120" i="40"/>
  <c r="AL114" i="40"/>
  <c r="AE113" i="40"/>
  <c r="AE114" i="40" s="1"/>
  <c r="AE115" i="40" s="1"/>
  <c r="AE116" i="40" s="1"/>
  <c r="AE117" i="40" s="1"/>
  <c r="AE118" i="40" s="1"/>
  <c r="AE119" i="40" s="1"/>
  <c r="AE120" i="40" s="1"/>
  <c r="AE121" i="40" s="1"/>
  <c r="AE122" i="40" s="1"/>
  <c r="AE123" i="40" s="1"/>
  <c r="AE124" i="40" s="1"/>
  <c r="AE125" i="40" s="1"/>
  <c r="AE126" i="40" s="1"/>
  <c r="AE127" i="40" s="1"/>
  <c r="AE128" i="40" s="1"/>
  <c r="AE129" i="40" s="1"/>
  <c r="AE130" i="40" s="1"/>
  <c r="AE131" i="40" s="1"/>
  <c r="AE132" i="40" s="1"/>
  <c r="AE133" i="40" s="1"/>
  <c r="AE134" i="40" s="1"/>
  <c r="AE135" i="40" s="1"/>
  <c r="AE136" i="40" s="1"/>
  <c r="AE137" i="40" s="1"/>
  <c r="AE138" i="40" s="1"/>
  <c r="AE139" i="40" s="1"/>
  <c r="AE140" i="40" s="1"/>
  <c r="AE141" i="40" s="1"/>
  <c r="AE142" i="40" s="1"/>
  <c r="AE143" i="40" s="1"/>
  <c r="AE144" i="40" s="1"/>
  <c r="AE145" i="40" s="1"/>
  <c r="AE146" i="40" s="1"/>
  <c r="AE147" i="40" s="1"/>
  <c r="AE148" i="40" s="1"/>
  <c r="AE149" i="40" s="1"/>
  <c r="AE150" i="40" s="1"/>
  <c r="AE151" i="40" s="1"/>
  <c r="AE152" i="40" s="1"/>
  <c r="AE153" i="40" s="1"/>
  <c r="AE154" i="40" s="1"/>
  <c r="AE155" i="40" s="1"/>
  <c r="AE156" i="40" s="1"/>
  <c r="AE157" i="40" s="1"/>
  <c r="AE158" i="40" s="1"/>
  <c r="AE159" i="40" s="1"/>
  <c r="AE160" i="40" s="1"/>
  <c r="AE161" i="40" s="1"/>
  <c r="AE162" i="40" s="1"/>
  <c r="AE163" i="40" s="1"/>
  <c r="AE164" i="40" s="1"/>
  <c r="AE165" i="40" s="1"/>
  <c r="AE166" i="40" s="1"/>
  <c r="AE167" i="40" s="1"/>
  <c r="AE168" i="40" s="1"/>
  <c r="AE169" i="40" s="1"/>
  <c r="AE170" i="40" s="1"/>
  <c r="AE171" i="40" s="1"/>
  <c r="AE172" i="40" s="1"/>
  <c r="AE173" i="40" s="1"/>
  <c r="AE174" i="40" s="1"/>
  <c r="AE175" i="40" s="1"/>
  <c r="AE176" i="40" s="1"/>
  <c r="AE177" i="40" s="1"/>
  <c r="AE178" i="40" s="1"/>
  <c r="AE179" i="40" s="1"/>
  <c r="AE180" i="40" s="1"/>
  <c r="AE181" i="40" s="1"/>
  <c r="AE182" i="40" s="1"/>
  <c r="AE183" i="40" s="1"/>
  <c r="AE184" i="40" s="1"/>
  <c r="AE185" i="40" s="1"/>
  <c r="AE186" i="40" s="1"/>
  <c r="AE187" i="40" s="1"/>
  <c r="AE188" i="40" s="1"/>
  <c r="AE189" i="40" s="1"/>
  <c r="AE190" i="40" s="1"/>
  <c r="AE191" i="40" s="1"/>
  <c r="AE192" i="40" s="1"/>
  <c r="AE193" i="40" s="1"/>
  <c r="AE194" i="40" s="1"/>
  <c r="AE195" i="40" s="1"/>
  <c r="AE196" i="40" s="1"/>
  <c r="AE197" i="40" s="1"/>
  <c r="AE198" i="40" s="1"/>
  <c r="AE199" i="40" s="1"/>
  <c r="AE200" i="40" s="1"/>
  <c r="AE201" i="40" s="1"/>
  <c r="AE202" i="40" s="1"/>
  <c r="AE203" i="40" s="1"/>
  <c r="AE204" i="40" s="1"/>
  <c r="AE205" i="40" s="1"/>
  <c r="AE206" i="40" s="1"/>
  <c r="AE207" i="40" s="1"/>
  <c r="AE208" i="40" s="1"/>
  <c r="AE209" i="40" s="1"/>
  <c r="AE210" i="40" s="1"/>
  <c r="AE211" i="40" s="1"/>
  <c r="AE212" i="40" s="1"/>
  <c r="AE213" i="40" s="1"/>
  <c r="AE214" i="40" s="1"/>
  <c r="AE215" i="40" s="1"/>
  <c r="AE216" i="40" s="1"/>
  <c r="AE217" i="40" s="1"/>
  <c r="AE218" i="40" s="1"/>
  <c r="AE219" i="40" s="1"/>
  <c r="AE220" i="40" s="1"/>
  <c r="AE221" i="40" s="1"/>
  <c r="AE222" i="40" s="1"/>
  <c r="AE223" i="40" s="1"/>
  <c r="AE224" i="40" s="1"/>
  <c r="AE225" i="40" s="1"/>
  <c r="AE226" i="40" s="1"/>
  <c r="AE227" i="40" s="1"/>
  <c r="AE228" i="40" s="1"/>
  <c r="AE229" i="40" s="1"/>
  <c r="AE230" i="40" s="1"/>
  <c r="AE231" i="40" s="1"/>
  <c r="AE232" i="40" s="1"/>
  <c r="AE233" i="40" s="1"/>
  <c r="AE234" i="40" s="1"/>
  <c r="AE235" i="40" s="1"/>
  <c r="AE236" i="40" s="1"/>
  <c r="AE237" i="40" s="1"/>
  <c r="AE238" i="40" s="1"/>
  <c r="AE239" i="40" s="1"/>
  <c r="AE240" i="40" s="1"/>
  <c r="AE241" i="40" s="1"/>
  <c r="AE242" i="40" s="1"/>
  <c r="AE243" i="40" s="1"/>
  <c r="AE244" i="40" s="1"/>
  <c r="AE245" i="40" s="1"/>
  <c r="AE246" i="40" s="1"/>
  <c r="AE247" i="40" s="1"/>
  <c r="AE248" i="40" s="1"/>
  <c r="AE249" i="40" s="1"/>
  <c r="AE250" i="40" s="1"/>
  <c r="AD112" i="40"/>
  <c r="AD114" i="40" s="1"/>
  <c r="AD116" i="40" s="1"/>
  <c r="AD118" i="40" s="1"/>
  <c r="AD120" i="40" s="1"/>
  <c r="AD122" i="40" s="1"/>
  <c r="AD124" i="40" s="1"/>
  <c r="AD126" i="40" s="1"/>
  <c r="AD128" i="40" s="1"/>
  <c r="AD130" i="40" s="1"/>
  <c r="AD132" i="40" s="1"/>
  <c r="AD134" i="40" s="1"/>
  <c r="AD136" i="40" s="1"/>
  <c r="AD138" i="40" s="1"/>
  <c r="AD140" i="40" s="1"/>
  <c r="AD142" i="40" s="1"/>
  <c r="AD144" i="40" s="1"/>
  <c r="AD146" i="40" s="1"/>
  <c r="AD148" i="40" s="1"/>
  <c r="AD150" i="40" s="1"/>
  <c r="AD152" i="40" s="1"/>
  <c r="AD154" i="40" s="1"/>
  <c r="AD156" i="40" s="1"/>
  <c r="AD158" i="40" s="1"/>
  <c r="AD160" i="40" s="1"/>
  <c r="AD162" i="40" s="1"/>
  <c r="AD164" i="40" s="1"/>
  <c r="AD166" i="40" s="1"/>
  <c r="AD168" i="40" s="1"/>
  <c r="AD170" i="40" s="1"/>
  <c r="AD172" i="40" s="1"/>
  <c r="AD174" i="40" s="1"/>
  <c r="AD176" i="40" s="1"/>
  <c r="AD178" i="40" s="1"/>
  <c r="AD180" i="40" s="1"/>
  <c r="AD182" i="40" s="1"/>
  <c r="AD184" i="40" s="1"/>
  <c r="AD186" i="40" s="1"/>
  <c r="AD188" i="40" s="1"/>
  <c r="AD190" i="40" s="1"/>
  <c r="AD192" i="40" s="1"/>
  <c r="AD194" i="40" s="1"/>
  <c r="AD196" i="40" s="1"/>
  <c r="AD198" i="40" s="1"/>
  <c r="AD200" i="40" s="1"/>
  <c r="AD202" i="40" s="1"/>
  <c r="AD204" i="40" s="1"/>
  <c r="AD206" i="40" s="1"/>
  <c r="AD208" i="40" s="1"/>
  <c r="AD210" i="40" s="1"/>
  <c r="AD212" i="40" s="1"/>
  <c r="AD214" i="40" s="1"/>
  <c r="AD216" i="40" s="1"/>
  <c r="AD218" i="40" s="1"/>
  <c r="AD220" i="40" s="1"/>
  <c r="AD222" i="40" s="1"/>
  <c r="AD224" i="40" s="1"/>
  <c r="AD226" i="40" s="1"/>
  <c r="AD228" i="40" s="1"/>
  <c r="AD230" i="40" s="1"/>
  <c r="AD232" i="40" s="1"/>
  <c r="AD234" i="40" s="1"/>
  <c r="AD236" i="40" s="1"/>
  <c r="AD238" i="40" s="1"/>
  <c r="AD240" i="40" s="1"/>
  <c r="AD242" i="40" s="1"/>
  <c r="AD244" i="40" s="1"/>
  <c r="AD246" i="40" s="1"/>
  <c r="AD248" i="40" s="1"/>
  <c r="AD250" i="40" s="1"/>
  <c r="AM110" i="40"/>
  <c r="W110" i="40"/>
  <c r="W109" i="40"/>
  <c r="W108" i="40"/>
  <c r="W106" i="40"/>
  <c r="AM105" i="40"/>
  <c r="AE103" i="40"/>
  <c r="AE100" i="40"/>
  <c r="AL99" i="40"/>
  <c r="AQ100" i="40" s="1"/>
  <c r="V114" i="40"/>
  <c r="V116" i="40" s="1"/>
  <c r="V118" i="40" s="1"/>
  <c r="V120" i="40" s="1"/>
  <c r="V122" i="40" s="1"/>
  <c r="V124" i="40" s="1"/>
  <c r="V126" i="40" s="1"/>
  <c r="V128" i="40" s="1"/>
  <c r="V130" i="40" s="1"/>
  <c r="V132" i="40" s="1"/>
  <c r="V134" i="40" s="1"/>
  <c r="V136" i="40" s="1"/>
  <c r="V117" i="40"/>
  <c r="V119" i="40"/>
  <c r="V121" i="40"/>
  <c r="V123" i="40" s="1"/>
  <c r="V125" i="40" s="1"/>
  <c r="V127" i="40" s="1"/>
  <c r="V129" i="40" s="1"/>
  <c r="V131" i="40" s="1"/>
  <c r="V133" i="40" s="1"/>
  <c r="V135" i="40" s="1"/>
  <c r="V137" i="40" s="1"/>
  <c r="V139" i="40" s="1"/>
  <c r="Q244" i="38"/>
  <c r="Q236" i="38"/>
  <c r="Q228" i="38"/>
  <c r="Q220" i="38"/>
  <c r="Q212" i="38"/>
  <c r="Q204" i="38"/>
  <c r="Q196" i="38"/>
  <c r="Q188" i="38"/>
  <c r="Q180" i="38"/>
  <c r="Q172" i="38"/>
  <c r="Q164" i="38"/>
  <c r="Q156" i="38"/>
  <c r="Q148" i="38"/>
  <c r="Q140" i="38"/>
  <c r="Q132" i="38"/>
  <c r="Q124" i="38"/>
  <c r="Q116" i="38"/>
  <c r="Q108" i="38"/>
  <c r="Q100" i="38"/>
  <c r="N250" i="38"/>
  <c r="N242" i="38"/>
  <c r="N234" i="38"/>
  <c r="N226" i="38"/>
  <c r="N218" i="38"/>
  <c r="N210" i="38"/>
  <c r="N202" i="38"/>
  <c r="N194" i="38"/>
  <c r="N186" i="38"/>
  <c r="N178" i="38"/>
  <c r="N170" i="38"/>
  <c r="N162" i="38"/>
  <c r="N154" i="38"/>
  <c r="N146" i="38"/>
  <c r="N138" i="38"/>
  <c r="N130" i="38"/>
  <c r="N122" i="38"/>
  <c r="N114" i="38"/>
  <c r="N106" i="38"/>
  <c r="Q243" i="38"/>
  <c r="Q235" i="38"/>
  <c r="Q227" i="38"/>
  <c r="Q219" i="38"/>
  <c r="Q211" i="38"/>
  <c r="Q203" i="38"/>
  <c r="Q195" i="38"/>
  <c r="Q187" i="38"/>
  <c r="Q179" i="38"/>
  <c r="Q171" i="38"/>
  <c r="Q163" i="38"/>
  <c r="Q155" i="38"/>
  <c r="Q147" i="38"/>
  <c r="Q139" i="38"/>
  <c r="Q131" i="38"/>
  <c r="Q123" i="38"/>
  <c r="Q115" i="38"/>
  <c r="Q107" i="38"/>
  <c r="N249" i="38"/>
  <c r="N241" i="38"/>
  <c r="N233" i="38"/>
  <c r="N225" i="38"/>
  <c r="N217" i="38"/>
  <c r="N209" i="38"/>
  <c r="N201" i="38"/>
  <c r="N193" i="38"/>
  <c r="N185" i="38"/>
  <c r="N177" i="38"/>
  <c r="N169" i="38"/>
  <c r="N161" i="38"/>
  <c r="N153" i="38"/>
  <c r="N145" i="38"/>
  <c r="N137" i="38"/>
  <c r="N129" i="38"/>
  <c r="N121" i="38"/>
  <c r="N113" i="38"/>
  <c r="N105" i="38"/>
  <c r="Q250" i="38"/>
  <c r="Q242" i="38"/>
  <c r="Q234" i="38"/>
  <c r="Q226" i="38"/>
  <c r="Q218" i="38"/>
  <c r="Q210" i="38"/>
  <c r="Q202" i="38"/>
  <c r="Q194" i="38"/>
  <c r="Q186" i="38"/>
  <c r="Q178" i="38"/>
  <c r="Q170" i="38"/>
  <c r="Q162" i="38"/>
  <c r="Q154" i="38"/>
  <c r="Q146" i="38"/>
  <c r="Q138" i="38"/>
  <c r="Q130" i="38"/>
  <c r="Q122" i="38"/>
  <c r="Q114" i="38"/>
  <c r="Q106" i="38"/>
  <c r="N248" i="38"/>
  <c r="N240" i="38"/>
  <c r="N232" i="38"/>
  <c r="N224" i="38"/>
  <c r="N216" i="38"/>
  <c r="N208" i="38"/>
  <c r="N200" i="38"/>
  <c r="N192" i="38"/>
  <c r="N184" i="38"/>
  <c r="N176" i="38"/>
  <c r="N168" i="38"/>
  <c r="N160" i="38"/>
  <c r="N152" i="38"/>
  <c r="N144" i="38"/>
  <c r="N136" i="38"/>
  <c r="N128" i="38"/>
  <c r="N120" i="38"/>
  <c r="N112" i="38"/>
  <c r="N104" i="38"/>
  <c r="Q249" i="38"/>
  <c r="Q241" i="38"/>
  <c r="Q233" i="38"/>
  <c r="Q225" i="38"/>
  <c r="Q217" i="38"/>
  <c r="Q209" i="38"/>
  <c r="Q201" i="38"/>
  <c r="Q193" i="38"/>
  <c r="Q185" i="38"/>
  <c r="Q177" i="38"/>
  <c r="Q169" i="38"/>
  <c r="Q161" i="38"/>
  <c r="Q153" i="38"/>
  <c r="Q145" i="38"/>
  <c r="Q137" i="38"/>
  <c r="Q129" i="38"/>
  <c r="Q121" i="38"/>
  <c r="Q113" i="38"/>
  <c r="Q105" i="38"/>
  <c r="N247" i="38"/>
  <c r="N239" i="38"/>
  <c r="N231" i="38"/>
  <c r="N223" i="38"/>
  <c r="N215" i="38"/>
  <c r="N207" i="38"/>
  <c r="N199" i="38"/>
  <c r="N191" i="38"/>
  <c r="N183" i="38"/>
  <c r="N175" i="38"/>
  <c r="N167" i="38"/>
  <c r="N159" i="38"/>
  <c r="N151" i="38"/>
  <c r="N143" i="38"/>
  <c r="N135" i="38"/>
  <c r="N127" i="38"/>
  <c r="N119" i="38"/>
  <c r="N111" i="38"/>
  <c r="N103" i="38"/>
  <c r="Q248" i="38"/>
  <c r="Q240" i="38"/>
  <c r="Q232" i="38"/>
  <c r="Q224" i="38"/>
  <c r="Q216" i="38"/>
  <c r="Q208" i="38"/>
  <c r="Q200" i="38"/>
  <c r="Q192" i="38"/>
  <c r="Q184" i="38"/>
  <c r="Q176" i="38"/>
  <c r="Q168" i="38"/>
  <c r="Q160" i="38"/>
  <c r="Q152" i="38"/>
  <c r="Q144" i="38"/>
  <c r="Q136" i="38"/>
  <c r="Q128" i="38"/>
  <c r="Q120" i="38"/>
  <c r="Q112" i="38"/>
  <c r="Q104" i="38"/>
  <c r="N246" i="38"/>
  <c r="N238" i="38"/>
  <c r="N230" i="38"/>
  <c r="N222" i="38"/>
  <c r="N214" i="38"/>
  <c r="N206" i="38"/>
  <c r="N198" i="38"/>
  <c r="N190" i="38"/>
  <c r="N182" i="38"/>
  <c r="N174" i="38"/>
  <c r="N166" i="38"/>
  <c r="N158" i="38"/>
  <c r="N150" i="38"/>
  <c r="N142" i="38"/>
  <c r="N134" i="38"/>
  <c r="N126" i="38"/>
  <c r="N118" i="38"/>
  <c r="N110" i="38"/>
  <c r="N102" i="38"/>
  <c r="Q247" i="38"/>
  <c r="Q239" i="38"/>
  <c r="Q231" i="38"/>
  <c r="Q223" i="38"/>
  <c r="Q215" i="38"/>
  <c r="Q207" i="38"/>
  <c r="Q199" i="38"/>
  <c r="Q191" i="38"/>
  <c r="Q183" i="38"/>
  <c r="Q246" i="38"/>
  <c r="Q238" i="38"/>
  <c r="Q230" i="38"/>
  <c r="Q222" i="38"/>
  <c r="Q214" i="38"/>
  <c r="Q206" i="38"/>
  <c r="Q198" i="38"/>
  <c r="Q190" i="38"/>
  <c r="Q182" i="38"/>
  <c r="Q174" i="38"/>
  <c r="Q166" i="38"/>
  <c r="Q158" i="38"/>
  <c r="Q150" i="38"/>
  <c r="Q142" i="38"/>
  <c r="Q134" i="38"/>
  <c r="Q126" i="38"/>
  <c r="Q118" i="38"/>
  <c r="Q110" i="38"/>
  <c r="Q102" i="38"/>
  <c r="N244" i="38"/>
  <c r="N236" i="38"/>
  <c r="N228" i="38"/>
  <c r="N220" i="38"/>
  <c r="N212" i="38"/>
  <c r="N204" i="38"/>
  <c r="N196" i="38"/>
  <c r="N188" i="38"/>
  <c r="N180" i="38"/>
  <c r="N172" i="38"/>
  <c r="N164" i="38"/>
  <c r="N156" i="38"/>
  <c r="N148" i="38"/>
  <c r="N140" i="38"/>
  <c r="N132" i="38"/>
  <c r="N124" i="38"/>
  <c r="N116" i="38"/>
  <c r="N108" i="38"/>
  <c r="N100" i="38"/>
  <c r="Q237" i="38"/>
  <c r="Q175" i="38"/>
  <c r="Q143" i="38"/>
  <c r="Q111" i="38"/>
  <c r="N221" i="38"/>
  <c r="N189" i="38"/>
  <c r="N157" i="38"/>
  <c r="N125" i="38"/>
  <c r="Q229" i="38"/>
  <c r="Q173" i="38"/>
  <c r="Q141" i="38"/>
  <c r="Q109" i="38"/>
  <c r="N219" i="38"/>
  <c r="N187" i="38"/>
  <c r="N155" i="38"/>
  <c r="N123" i="38"/>
  <c r="F113" i="38"/>
  <c r="I113" i="38" s="1"/>
  <c r="F109" i="38"/>
  <c r="I109" i="38" s="1"/>
  <c r="F105" i="38"/>
  <c r="I105" i="38" s="1"/>
  <c r="F101" i="38"/>
  <c r="I101" i="38" s="1"/>
  <c r="Q213" i="38"/>
  <c r="Q165" i="38"/>
  <c r="Q133" i="38"/>
  <c r="Q101" i="38"/>
  <c r="N243" i="38"/>
  <c r="N211" i="38"/>
  <c r="N179" i="38"/>
  <c r="N147" i="38"/>
  <c r="N115" i="38"/>
  <c r="Q205" i="38"/>
  <c r="Q159" i="38"/>
  <c r="Q127" i="38"/>
  <c r="N237" i="38"/>
  <c r="N205" i="38"/>
  <c r="N173" i="38"/>
  <c r="N141" i="38"/>
  <c r="N109" i="38"/>
  <c r="F100" i="38"/>
  <c r="I100" i="38" s="1"/>
  <c r="Q245" i="38"/>
  <c r="Q149" i="38"/>
  <c r="Q221" i="38"/>
  <c r="Q135" i="38"/>
  <c r="N245" i="38"/>
  <c r="N181" i="38"/>
  <c r="N117" i="38"/>
  <c r="F110" i="38"/>
  <c r="I110" i="38" s="1"/>
  <c r="F103" i="38"/>
  <c r="I103" i="38" s="1"/>
  <c r="Q197" i="38"/>
  <c r="Q125" i="38"/>
  <c r="N235" i="38"/>
  <c r="N171" i="38"/>
  <c r="N107" i="38"/>
  <c r="Q189" i="38"/>
  <c r="Q119" i="38"/>
  <c r="Q181" i="38"/>
  <c r="Q117" i="38"/>
  <c r="N227" i="38"/>
  <c r="N163" i="38"/>
  <c r="F107" i="38"/>
  <c r="I107" i="38" s="1"/>
  <c r="Q167" i="38"/>
  <c r="Q103" i="38"/>
  <c r="N213" i="38"/>
  <c r="N149" i="38"/>
  <c r="G100" i="38"/>
  <c r="J100" i="38" s="1"/>
  <c r="Q157" i="38"/>
  <c r="N133" i="38"/>
  <c r="F111" i="38"/>
  <c r="Q151" i="38"/>
  <c r="N131" i="38"/>
  <c r="N229" i="38"/>
  <c r="N101" i="38"/>
  <c r="F108" i="38"/>
  <c r="I108" i="38" s="1"/>
  <c r="N203" i="38"/>
  <c r="F106" i="38"/>
  <c r="I106" i="38" s="1"/>
  <c r="N197" i="38"/>
  <c r="N165" i="38"/>
  <c r="F102" i="38"/>
  <c r="I102" i="38" s="1"/>
  <c r="N195" i="38"/>
  <c r="F112" i="38"/>
  <c r="I112" i="38" s="1"/>
  <c r="N139" i="38"/>
  <c r="F104" i="38"/>
  <c r="I104" i="38" s="1"/>
  <c r="W127" i="38"/>
  <c r="V126" i="38"/>
  <c r="V121" i="38"/>
  <c r="AL112" i="38"/>
  <c r="V112" i="38"/>
  <c r="W109" i="38"/>
  <c r="W106" i="38"/>
  <c r="AM105" i="38"/>
  <c r="AM102" i="38"/>
  <c r="V124" i="38"/>
  <c r="W122" i="38"/>
  <c r="AD114" i="38"/>
  <c r="AD113" i="38"/>
  <c r="AD115" i="38" s="1"/>
  <c r="AL111" i="38"/>
  <c r="W111" i="38"/>
  <c r="V110" i="38"/>
  <c r="AM109" i="38"/>
  <c r="V108" i="38"/>
  <c r="W107" i="38"/>
  <c r="AM106" i="38"/>
  <c r="AD104" i="38"/>
  <c r="W126" i="38"/>
  <c r="V122" i="38"/>
  <c r="W120" i="38"/>
  <c r="W119" i="38"/>
  <c r="W117" i="38"/>
  <c r="W115" i="38"/>
  <c r="AE112" i="38"/>
  <c r="V111" i="38"/>
  <c r="AM110" i="38"/>
  <c r="AL109" i="38"/>
  <c r="AM108" i="38"/>
  <c r="AM107" i="38"/>
  <c r="V107" i="38"/>
  <c r="AL106" i="38"/>
  <c r="AE105" i="38"/>
  <c r="AM103" i="38"/>
  <c r="AE102" i="38"/>
  <c r="AD101" i="38"/>
  <c r="W123" i="38"/>
  <c r="V120" i="38"/>
  <c r="V119" i="38"/>
  <c r="V117" i="38"/>
  <c r="V115" i="38"/>
  <c r="W113" i="38"/>
  <c r="AD112" i="38"/>
  <c r="AL110" i="38"/>
  <c r="AL108" i="38"/>
  <c r="AL107" i="38"/>
  <c r="AD105" i="38"/>
  <c r="W104" i="38"/>
  <c r="AL103" i="38"/>
  <c r="AD102" i="38"/>
  <c r="W100" i="38"/>
  <c r="V99" i="38"/>
  <c r="AA100" i="38" s="1"/>
  <c r="E100" i="38" s="1"/>
  <c r="H100" i="38" s="1"/>
  <c r="W125" i="38"/>
  <c r="V123" i="38"/>
  <c r="W118" i="38"/>
  <c r="W114" i="38"/>
  <c r="V113" i="38"/>
  <c r="AE109" i="38"/>
  <c r="AE106" i="38"/>
  <c r="V104" i="38"/>
  <c r="AM100" i="38"/>
  <c r="V100" i="38"/>
  <c r="AL114" i="38"/>
  <c r="AL116" i="38" s="1"/>
  <c r="AL118" i="38" s="1"/>
  <c r="AL120" i="38" s="1"/>
  <c r="AL122" i="38" s="1"/>
  <c r="AL124" i="38" s="1"/>
  <c r="AL126" i="38" s="1"/>
  <c r="AL128" i="38" s="1"/>
  <c r="AL130" i="38" s="1"/>
  <c r="AL132" i="38" s="1"/>
  <c r="AL134" i="38" s="1"/>
  <c r="AL136" i="38" s="1"/>
  <c r="AL138" i="38" s="1"/>
  <c r="AL140" i="38" s="1"/>
  <c r="AL142" i="38" s="1"/>
  <c r="AL144" i="38" s="1"/>
  <c r="AL146" i="38" s="1"/>
  <c r="AL148" i="38" s="1"/>
  <c r="AL150" i="38" s="1"/>
  <c r="AL152" i="38" s="1"/>
  <c r="AL154" i="38" s="1"/>
  <c r="AL156" i="38" s="1"/>
  <c r="AL158" i="38" s="1"/>
  <c r="AL160" i="38" s="1"/>
  <c r="AL162" i="38" s="1"/>
  <c r="AL164" i="38" s="1"/>
  <c r="AL166" i="38" s="1"/>
  <c r="AL168" i="38" s="1"/>
  <c r="AL170" i="38" s="1"/>
  <c r="AL172" i="38" s="1"/>
  <c r="AL174" i="38" s="1"/>
  <c r="AL176" i="38" s="1"/>
  <c r="AL178" i="38" s="1"/>
  <c r="AL180" i="38" s="1"/>
  <c r="AL182" i="38" s="1"/>
  <c r="AL184" i="38" s="1"/>
  <c r="AL186" i="38" s="1"/>
  <c r="AL188" i="38" s="1"/>
  <c r="AL190" i="38" s="1"/>
  <c r="AL192" i="38" s="1"/>
  <c r="AL194" i="38" s="1"/>
  <c r="AL196" i="38" s="1"/>
  <c r="AL198" i="38" s="1"/>
  <c r="AL200" i="38" s="1"/>
  <c r="AL202" i="38" s="1"/>
  <c r="AL204" i="38" s="1"/>
  <c r="AL206" i="38" s="1"/>
  <c r="AL208" i="38" s="1"/>
  <c r="AL210" i="38" s="1"/>
  <c r="AL212" i="38" s="1"/>
  <c r="AL214" i="38" s="1"/>
  <c r="AL216" i="38" s="1"/>
  <c r="AL218" i="38" s="1"/>
  <c r="AL220" i="38" s="1"/>
  <c r="AL222" i="38" s="1"/>
  <c r="AL224" i="38" s="1"/>
  <c r="AL226" i="38" s="1"/>
  <c r="AL228" i="38" s="1"/>
  <c r="AL230" i="38" s="1"/>
  <c r="AL232" i="38" s="1"/>
  <c r="AL234" i="38" s="1"/>
  <c r="AL236" i="38" s="1"/>
  <c r="AL238" i="38" s="1"/>
  <c r="AL240" i="38" s="1"/>
  <c r="AL242" i="38" s="1"/>
  <c r="AL244" i="38" s="1"/>
  <c r="AL246" i="38" s="1"/>
  <c r="AL248" i="38" s="1"/>
  <c r="AL250" i="38" s="1"/>
  <c r="AM112" i="38"/>
  <c r="AL102" i="38"/>
  <c r="W101" i="38"/>
  <c r="AE100" i="38"/>
  <c r="V130" i="38"/>
  <c r="W116" i="38"/>
  <c r="AE110" i="38"/>
  <c r="AE108" i="38"/>
  <c r="AD106" i="38"/>
  <c r="W103" i="38"/>
  <c r="V101" i="38"/>
  <c r="AD100" i="38"/>
  <c r="V116" i="38"/>
  <c r="AE114" i="38"/>
  <c r="AE115" i="38" s="1"/>
  <c r="AE116" i="38" s="1"/>
  <c r="AD110" i="38"/>
  <c r="AD108" i="38"/>
  <c r="AL105" i="38"/>
  <c r="V103" i="38"/>
  <c r="AM101" i="38"/>
  <c r="V127" i="38"/>
  <c r="W124" i="38"/>
  <c r="AM113" i="38"/>
  <c r="AM114" i="38" s="1"/>
  <c r="AM115" i="38" s="1"/>
  <c r="AM116" i="38" s="1"/>
  <c r="AM117" i="38" s="1"/>
  <c r="AM118" i="38" s="1"/>
  <c r="AM119" i="38" s="1"/>
  <c r="AM120" i="38" s="1"/>
  <c r="AM121" i="38" s="1"/>
  <c r="AM122" i="38" s="1"/>
  <c r="AM123" i="38" s="1"/>
  <c r="AM124" i="38" s="1"/>
  <c r="AM125" i="38" s="1"/>
  <c r="AM126" i="38" s="1"/>
  <c r="AM127" i="38" s="1"/>
  <c r="AM128" i="38" s="1"/>
  <c r="AM129" i="38" s="1"/>
  <c r="AM130" i="38" s="1"/>
  <c r="AM131" i="38" s="1"/>
  <c r="AM132" i="38" s="1"/>
  <c r="AM133" i="38" s="1"/>
  <c r="AM134" i="38" s="1"/>
  <c r="AM135" i="38" s="1"/>
  <c r="AM136" i="38" s="1"/>
  <c r="AM137" i="38" s="1"/>
  <c r="AM138" i="38" s="1"/>
  <c r="AM139" i="38" s="1"/>
  <c r="AM140" i="38" s="1"/>
  <c r="AM141" i="38" s="1"/>
  <c r="AM142" i="38" s="1"/>
  <c r="AM143" i="38" s="1"/>
  <c r="AM144" i="38" s="1"/>
  <c r="AM145" i="38" s="1"/>
  <c r="AM146" i="38" s="1"/>
  <c r="AM147" i="38" s="1"/>
  <c r="AM148" i="38" s="1"/>
  <c r="AM149" i="38" s="1"/>
  <c r="AM150" i="38" s="1"/>
  <c r="AM151" i="38" s="1"/>
  <c r="AM152" i="38" s="1"/>
  <c r="AM153" i="38" s="1"/>
  <c r="AM154" i="38" s="1"/>
  <c r="AM155" i="38" s="1"/>
  <c r="AM156" i="38" s="1"/>
  <c r="AM157" i="38" s="1"/>
  <c r="AM158" i="38" s="1"/>
  <c r="AM159" i="38" s="1"/>
  <c r="AM160" i="38" s="1"/>
  <c r="AM161" i="38" s="1"/>
  <c r="AM162" i="38" s="1"/>
  <c r="AM163" i="38" s="1"/>
  <c r="AM164" i="38" s="1"/>
  <c r="AM165" i="38" s="1"/>
  <c r="AM166" i="38" s="1"/>
  <c r="AM167" i="38" s="1"/>
  <c r="AM168" i="38" s="1"/>
  <c r="AM169" i="38" s="1"/>
  <c r="AM170" i="38" s="1"/>
  <c r="AM171" i="38" s="1"/>
  <c r="AM172" i="38" s="1"/>
  <c r="AM173" i="38" s="1"/>
  <c r="AM174" i="38" s="1"/>
  <c r="AM175" i="38" s="1"/>
  <c r="AM176" i="38" s="1"/>
  <c r="AM177" i="38" s="1"/>
  <c r="AM178" i="38" s="1"/>
  <c r="AM179" i="38" s="1"/>
  <c r="AM180" i="38" s="1"/>
  <c r="AM181" i="38" s="1"/>
  <c r="AM182" i="38" s="1"/>
  <c r="AM183" i="38" s="1"/>
  <c r="AM184" i="38" s="1"/>
  <c r="AM185" i="38" s="1"/>
  <c r="AM186" i="38" s="1"/>
  <c r="AM187" i="38" s="1"/>
  <c r="AM188" i="38" s="1"/>
  <c r="AM189" i="38" s="1"/>
  <c r="AM190" i="38" s="1"/>
  <c r="AM191" i="38" s="1"/>
  <c r="AM192" i="38" s="1"/>
  <c r="AM193" i="38" s="1"/>
  <c r="AM194" i="38" s="1"/>
  <c r="AM195" i="38" s="1"/>
  <c r="AM196" i="38" s="1"/>
  <c r="AM197" i="38" s="1"/>
  <c r="AM198" i="38" s="1"/>
  <c r="AM199" i="38" s="1"/>
  <c r="AM200" i="38" s="1"/>
  <c r="AM201" i="38" s="1"/>
  <c r="AM202" i="38" s="1"/>
  <c r="AM203" i="38" s="1"/>
  <c r="AM204" i="38" s="1"/>
  <c r="AM205" i="38" s="1"/>
  <c r="AM206" i="38" s="1"/>
  <c r="AM207" i="38" s="1"/>
  <c r="AM208" i="38" s="1"/>
  <c r="AM209" i="38" s="1"/>
  <c r="AM210" i="38" s="1"/>
  <c r="AM211" i="38" s="1"/>
  <c r="AM212" i="38" s="1"/>
  <c r="AM213" i="38" s="1"/>
  <c r="AM214" i="38" s="1"/>
  <c r="AM215" i="38" s="1"/>
  <c r="AM216" i="38" s="1"/>
  <c r="AM217" i="38" s="1"/>
  <c r="AM218" i="38" s="1"/>
  <c r="AM219" i="38" s="1"/>
  <c r="AM220" i="38" s="1"/>
  <c r="AM221" i="38" s="1"/>
  <c r="AM222" i="38" s="1"/>
  <c r="AM223" i="38" s="1"/>
  <c r="AM224" i="38" s="1"/>
  <c r="AM225" i="38" s="1"/>
  <c r="AM226" i="38" s="1"/>
  <c r="AM227" i="38" s="1"/>
  <c r="AM228" i="38" s="1"/>
  <c r="AM229" i="38" s="1"/>
  <c r="AM230" i="38" s="1"/>
  <c r="AM231" i="38" s="1"/>
  <c r="AM232" i="38" s="1"/>
  <c r="AM233" i="38" s="1"/>
  <c r="AM234" i="38" s="1"/>
  <c r="AM235" i="38" s="1"/>
  <c r="AM236" i="38" s="1"/>
  <c r="AM237" i="38" s="1"/>
  <c r="AM238" i="38" s="1"/>
  <c r="AM239" i="38" s="1"/>
  <c r="AM240" i="38" s="1"/>
  <c r="AM241" i="38" s="1"/>
  <c r="AM242" i="38" s="1"/>
  <c r="AM243" i="38" s="1"/>
  <c r="AM244" i="38" s="1"/>
  <c r="AM245" i="38" s="1"/>
  <c r="AM246" i="38" s="1"/>
  <c r="AM247" i="38" s="1"/>
  <c r="AM248" i="38" s="1"/>
  <c r="AM249" i="38" s="1"/>
  <c r="AM250" i="38" s="1"/>
  <c r="V106" i="38"/>
  <c r="W102" i="38"/>
  <c r="AL101" i="38"/>
  <c r="V125" i="38"/>
  <c r="W121" i="38"/>
  <c r="V114" i="38"/>
  <c r="AL113" i="38"/>
  <c r="AL115" i="38" s="1"/>
  <c r="AL117" i="38" s="1"/>
  <c r="AL119" i="38" s="1"/>
  <c r="AL121" i="38" s="1"/>
  <c r="AL123" i="38" s="1"/>
  <c r="AL125" i="38" s="1"/>
  <c r="AL127" i="38" s="1"/>
  <c r="AL129" i="38" s="1"/>
  <c r="AL131" i="38" s="1"/>
  <c r="AL133" i="38" s="1"/>
  <c r="AL135" i="38" s="1"/>
  <c r="AL137" i="38" s="1"/>
  <c r="AL139" i="38" s="1"/>
  <c r="AL141" i="38" s="1"/>
  <c r="AL143" i="38" s="1"/>
  <c r="AL145" i="38" s="1"/>
  <c r="AL147" i="38" s="1"/>
  <c r="AL149" i="38" s="1"/>
  <c r="AL151" i="38" s="1"/>
  <c r="AL153" i="38" s="1"/>
  <c r="AL155" i="38" s="1"/>
  <c r="AL157" i="38" s="1"/>
  <c r="AL159" i="38" s="1"/>
  <c r="AL161" i="38" s="1"/>
  <c r="AL163" i="38" s="1"/>
  <c r="AL165" i="38" s="1"/>
  <c r="AL167" i="38" s="1"/>
  <c r="AL169" i="38" s="1"/>
  <c r="AL171" i="38" s="1"/>
  <c r="AL173" i="38" s="1"/>
  <c r="AL175" i="38" s="1"/>
  <c r="AL177" i="38" s="1"/>
  <c r="AL179" i="38" s="1"/>
  <c r="AL181" i="38" s="1"/>
  <c r="AL183" i="38" s="1"/>
  <c r="AL185" i="38" s="1"/>
  <c r="AL187" i="38" s="1"/>
  <c r="AL189" i="38" s="1"/>
  <c r="AL191" i="38" s="1"/>
  <c r="AL193" i="38" s="1"/>
  <c r="AL195" i="38" s="1"/>
  <c r="AL197" i="38" s="1"/>
  <c r="AL199" i="38" s="1"/>
  <c r="AL201" i="38" s="1"/>
  <c r="AL203" i="38" s="1"/>
  <c r="AL205" i="38" s="1"/>
  <c r="AL207" i="38" s="1"/>
  <c r="AL209" i="38" s="1"/>
  <c r="AL211" i="38" s="1"/>
  <c r="AL213" i="38" s="1"/>
  <c r="AL215" i="38" s="1"/>
  <c r="AL217" i="38" s="1"/>
  <c r="AL219" i="38" s="1"/>
  <c r="AL221" i="38" s="1"/>
  <c r="AL223" i="38" s="1"/>
  <c r="AL225" i="38" s="1"/>
  <c r="AL227" i="38" s="1"/>
  <c r="AL229" i="38" s="1"/>
  <c r="AL231" i="38" s="1"/>
  <c r="AL233" i="38" s="1"/>
  <c r="AL235" i="38" s="1"/>
  <c r="AL237" i="38" s="1"/>
  <c r="AL239" i="38" s="1"/>
  <c r="AL241" i="38" s="1"/>
  <c r="AL243" i="38" s="1"/>
  <c r="AL245" i="38" s="1"/>
  <c r="AL247" i="38" s="1"/>
  <c r="AL249" i="38" s="1"/>
  <c r="W112" i="38"/>
  <c r="AM111" i="38"/>
  <c r="W110" i="38"/>
  <c r="W108" i="38"/>
  <c r="AM104" i="38"/>
  <c r="V102" i="38"/>
  <c r="V118" i="38"/>
  <c r="AE113" i="38"/>
  <c r="AE111" i="38"/>
  <c r="AE107" i="38"/>
  <c r="V105" i="38"/>
  <c r="AE103" i="38"/>
  <c r="AE101" i="38"/>
  <c r="AD111" i="38"/>
  <c r="V109" i="38"/>
  <c r="AD107" i="38"/>
  <c r="AE104" i="38"/>
  <c r="AD103" i="38"/>
  <c r="AD99" i="38"/>
  <c r="AI100" i="38" s="1"/>
  <c r="F114" i="38" s="1"/>
  <c r="I114" i="38" s="1"/>
  <c r="W105" i="38"/>
  <c r="AL100" i="38"/>
  <c r="V128" i="38"/>
  <c r="AD109" i="38"/>
  <c r="AL99" i="38"/>
  <c r="AQ100" i="38" s="1"/>
  <c r="G128" i="38" s="1"/>
  <c r="J128" i="38" s="1"/>
  <c r="AL104" i="38"/>
  <c r="N250" i="37"/>
  <c r="R248" i="37"/>
  <c r="P247" i="37"/>
  <c r="N246" i="37"/>
  <c r="R244" i="37"/>
  <c r="P243" i="37"/>
  <c r="N242" i="37"/>
  <c r="R240" i="37"/>
  <c r="P239" i="37"/>
  <c r="N238" i="37"/>
  <c r="R236" i="37"/>
  <c r="P235" i="37"/>
  <c r="N234" i="37"/>
  <c r="R232" i="37"/>
  <c r="P231" i="37"/>
  <c r="N230" i="37"/>
  <c r="R228" i="37"/>
  <c r="P227" i="37"/>
  <c r="N226" i="37"/>
  <c r="R224" i="37"/>
  <c r="P223" i="37"/>
  <c r="N222" i="37"/>
  <c r="R220" i="37"/>
  <c r="P219" i="37"/>
  <c r="N218" i="37"/>
  <c r="R216" i="37"/>
  <c r="P215" i="37"/>
  <c r="N214" i="37"/>
  <c r="R212" i="37"/>
  <c r="P211" i="37"/>
  <c r="N210" i="37"/>
  <c r="R208" i="37"/>
  <c r="P207" i="37"/>
  <c r="N206" i="37"/>
  <c r="R204" i="37"/>
  <c r="P203" i="37"/>
  <c r="N202" i="37"/>
  <c r="R200" i="37"/>
  <c r="P199" i="37"/>
  <c r="N198" i="37"/>
  <c r="R196" i="37"/>
  <c r="P195" i="37"/>
  <c r="N194" i="37"/>
  <c r="R192" i="37"/>
  <c r="P191" i="37"/>
  <c r="N190" i="37"/>
  <c r="R188" i="37"/>
  <c r="P187" i="37"/>
  <c r="N186" i="37"/>
  <c r="R184" i="37"/>
  <c r="P183" i="37"/>
  <c r="N182" i="37"/>
  <c r="R180" i="37"/>
  <c r="P179" i="37"/>
  <c r="N178" i="37"/>
  <c r="R176" i="37"/>
  <c r="P175" i="37"/>
  <c r="N174" i="37"/>
  <c r="R172" i="37"/>
  <c r="P171" i="37"/>
  <c r="N170" i="37"/>
  <c r="R168" i="37"/>
  <c r="P167" i="37"/>
  <c r="N166" i="37"/>
  <c r="R164" i="37"/>
  <c r="P163" i="37"/>
  <c r="N162" i="37"/>
  <c r="R160" i="37"/>
  <c r="P159" i="37"/>
  <c r="N158" i="37"/>
  <c r="R156" i="37"/>
  <c r="P155" i="37"/>
  <c r="N154" i="37"/>
  <c r="R152" i="37"/>
  <c r="P151" i="37"/>
  <c r="N150" i="37"/>
  <c r="R148" i="37"/>
  <c r="P147" i="37"/>
  <c r="N146" i="37"/>
  <c r="R144" i="37"/>
  <c r="S249" i="37"/>
  <c r="Q248" i="37"/>
  <c r="O247" i="37"/>
  <c r="S245" i="37"/>
  <c r="Q244" i="37"/>
  <c r="O243" i="37"/>
  <c r="S241" i="37"/>
  <c r="Q240" i="37"/>
  <c r="O239" i="37"/>
  <c r="S237" i="37"/>
  <c r="Q236" i="37"/>
  <c r="O235" i="37"/>
  <c r="S233" i="37"/>
  <c r="Q232" i="37"/>
  <c r="O231" i="37"/>
  <c r="S229" i="37"/>
  <c r="Q228" i="37"/>
  <c r="O227" i="37"/>
  <c r="S225" i="37"/>
  <c r="Q224" i="37"/>
  <c r="O223" i="37"/>
  <c r="S221" i="37"/>
  <c r="Q220" i="37"/>
  <c r="O219" i="37"/>
  <c r="S217" i="37"/>
  <c r="Q216" i="37"/>
  <c r="O215" i="37"/>
  <c r="S213" i="37"/>
  <c r="Q212" i="37"/>
  <c r="O211" i="37"/>
  <c r="S209" i="37"/>
  <c r="Q208" i="37"/>
  <c r="O207" i="37"/>
  <c r="S205" i="37"/>
  <c r="Q204" i="37"/>
  <c r="O203" i="37"/>
  <c r="S201" i="37"/>
  <c r="Q200" i="37"/>
  <c r="O199" i="37"/>
  <c r="S197" i="37"/>
  <c r="Q196" i="37"/>
  <c r="O195" i="37"/>
  <c r="S193" i="37"/>
  <c r="Q192" i="37"/>
  <c r="O191" i="37"/>
  <c r="S189" i="37"/>
  <c r="Q188" i="37"/>
  <c r="O187" i="37"/>
  <c r="S185" i="37"/>
  <c r="Q184" i="37"/>
  <c r="O183" i="37"/>
  <c r="S181" i="37"/>
  <c r="Q180" i="37"/>
  <c r="O179" i="37"/>
  <c r="S177" i="37"/>
  <c r="Q176" i="37"/>
  <c r="O175" i="37"/>
  <c r="S173" i="37"/>
  <c r="Q172" i="37"/>
  <c r="O171" i="37"/>
  <c r="S169" i="37"/>
  <c r="Q168" i="37"/>
  <c r="O167" i="37"/>
  <c r="S165" i="37"/>
  <c r="Q164" i="37"/>
  <c r="O163" i="37"/>
  <c r="S161" i="37"/>
  <c r="Q160" i="37"/>
  <c r="O159" i="37"/>
  <c r="S157" i="37"/>
  <c r="Q156" i="37"/>
  <c r="O155" i="37"/>
  <c r="S153" i="37"/>
  <c r="Q152" i="37"/>
  <c r="O151" i="37"/>
  <c r="S149" i="37"/>
  <c r="Q148" i="37"/>
  <c r="O147" i="37"/>
  <c r="S145" i="37"/>
  <c r="Q144" i="37"/>
  <c r="O143" i="37"/>
  <c r="S141" i="37"/>
  <c r="R249" i="37"/>
  <c r="P248" i="37"/>
  <c r="N247" i="37"/>
  <c r="R245" i="37"/>
  <c r="P244" i="37"/>
  <c r="N243" i="37"/>
  <c r="R241" i="37"/>
  <c r="P240" i="37"/>
  <c r="N239" i="37"/>
  <c r="R237" i="37"/>
  <c r="P236" i="37"/>
  <c r="N235" i="37"/>
  <c r="R233" i="37"/>
  <c r="P232" i="37"/>
  <c r="N231" i="37"/>
  <c r="R229" i="37"/>
  <c r="P228" i="37"/>
  <c r="N227" i="37"/>
  <c r="R225" i="37"/>
  <c r="P224" i="37"/>
  <c r="N223" i="37"/>
  <c r="R221" i="37"/>
  <c r="P220" i="37"/>
  <c r="N219" i="37"/>
  <c r="R217" i="37"/>
  <c r="P216" i="37"/>
  <c r="N215" i="37"/>
  <c r="R213" i="37"/>
  <c r="P212" i="37"/>
  <c r="N211" i="37"/>
  <c r="R209" i="37"/>
  <c r="P208" i="37"/>
  <c r="N207" i="37"/>
  <c r="R205" i="37"/>
  <c r="P204" i="37"/>
  <c r="N203" i="37"/>
  <c r="R201" i="37"/>
  <c r="P200" i="37"/>
  <c r="N199" i="37"/>
  <c r="R197" i="37"/>
  <c r="P196" i="37"/>
  <c r="N195" i="37"/>
  <c r="R193" i="37"/>
  <c r="P192" i="37"/>
  <c r="N191" i="37"/>
  <c r="R189" i="37"/>
  <c r="P188" i="37"/>
  <c r="N187" i="37"/>
  <c r="R185" i="37"/>
  <c r="P184" i="37"/>
  <c r="N183" i="37"/>
  <c r="R181" i="37"/>
  <c r="P180" i="37"/>
  <c r="N179" i="37"/>
  <c r="R177" i="37"/>
  <c r="P176" i="37"/>
  <c r="N175" i="37"/>
  <c r="R173" i="37"/>
  <c r="P172" i="37"/>
  <c r="N171" i="37"/>
  <c r="R169" i="37"/>
  <c r="P168" i="37"/>
  <c r="N167" i="37"/>
  <c r="R165" i="37"/>
  <c r="P164" i="37"/>
  <c r="N163" i="37"/>
  <c r="R161" i="37"/>
  <c r="P160" i="37"/>
  <c r="N159" i="37"/>
  <c r="R157" i="37"/>
  <c r="P156" i="37"/>
  <c r="N155" i="37"/>
  <c r="R153" i="37"/>
  <c r="P152" i="37"/>
  <c r="N151" i="37"/>
  <c r="R149" i="37"/>
  <c r="P148" i="37"/>
  <c r="N147" i="37"/>
  <c r="R145" i="37"/>
  <c r="P144" i="37"/>
  <c r="N143" i="37"/>
  <c r="R141" i="37"/>
  <c r="P140" i="37"/>
  <c r="N139" i="37"/>
  <c r="S250" i="37"/>
  <c r="Q249" i="37"/>
  <c r="O248" i="37"/>
  <c r="S246" i="37"/>
  <c r="Q245" i="37"/>
  <c r="O244" i="37"/>
  <c r="S242" i="37"/>
  <c r="Q241" i="37"/>
  <c r="O240" i="37"/>
  <c r="S238" i="37"/>
  <c r="Q237" i="37"/>
  <c r="O236" i="37"/>
  <c r="S234" i="37"/>
  <c r="Q233" i="37"/>
  <c r="O232" i="37"/>
  <c r="S230" i="37"/>
  <c r="Q229" i="37"/>
  <c r="O228" i="37"/>
  <c r="S226" i="37"/>
  <c r="Q225" i="37"/>
  <c r="O224" i="37"/>
  <c r="S222" i="37"/>
  <c r="Q221" i="37"/>
  <c r="O220" i="37"/>
  <c r="S218" i="37"/>
  <c r="Q217" i="37"/>
  <c r="O216" i="37"/>
  <c r="S214" i="37"/>
  <c r="Q213" i="37"/>
  <c r="O212" i="37"/>
  <c r="S210" i="37"/>
  <c r="Q209" i="37"/>
  <c r="O208" i="37"/>
  <c r="S206" i="37"/>
  <c r="Q205" i="37"/>
  <c r="O204" i="37"/>
  <c r="S202" i="37"/>
  <c r="Q201" i="37"/>
  <c r="O200" i="37"/>
  <c r="S198" i="37"/>
  <c r="Q197" i="37"/>
  <c r="O196" i="37"/>
  <c r="S194" i="37"/>
  <c r="Q193" i="37"/>
  <c r="O192" i="37"/>
  <c r="S190" i="37"/>
  <c r="Q189" i="37"/>
  <c r="O188" i="37"/>
  <c r="S186" i="37"/>
  <c r="Q185" i="37"/>
  <c r="O184" i="37"/>
  <c r="S182" i="37"/>
  <c r="Q181" i="37"/>
  <c r="O180" i="37"/>
  <c r="S178" i="37"/>
  <c r="Q177" i="37"/>
  <c r="O176" i="37"/>
  <c r="S174" i="37"/>
  <c r="Q173" i="37"/>
  <c r="O172" i="37"/>
  <c r="S170" i="37"/>
  <c r="Q169" i="37"/>
  <c r="O168" i="37"/>
  <c r="S166" i="37"/>
  <c r="Q165" i="37"/>
  <c r="O164" i="37"/>
  <c r="S162" i="37"/>
  <c r="Q161" i="37"/>
  <c r="O160" i="37"/>
  <c r="S158" i="37"/>
  <c r="Q157" i="37"/>
  <c r="O156" i="37"/>
  <c r="S154" i="37"/>
  <c r="Q153" i="37"/>
  <c r="O152" i="37"/>
  <c r="S150" i="37"/>
  <c r="Q149" i="37"/>
  <c r="O148" i="37"/>
  <c r="S146" i="37"/>
  <c r="Q145" i="37"/>
  <c r="O144" i="37"/>
  <c r="S142" i="37"/>
  <c r="Q141" i="37"/>
  <c r="O140" i="37"/>
  <c r="R250" i="37"/>
  <c r="P249" i="37"/>
  <c r="N248" i="37"/>
  <c r="R246" i="37"/>
  <c r="P245" i="37"/>
  <c r="N244" i="37"/>
  <c r="R242" i="37"/>
  <c r="P241" i="37"/>
  <c r="N240" i="37"/>
  <c r="R238" i="37"/>
  <c r="P237" i="37"/>
  <c r="N236" i="37"/>
  <c r="R234" i="37"/>
  <c r="P233" i="37"/>
  <c r="N232" i="37"/>
  <c r="R230" i="37"/>
  <c r="P229" i="37"/>
  <c r="N228" i="37"/>
  <c r="R226" i="37"/>
  <c r="P225" i="37"/>
  <c r="N224" i="37"/>
  <c r="R222" i="37"/>
  <c r="P221" i="37"/>
  <c r="N220" i="37"/>
  <c r="R218" i="37"/>
  <c r="P217" i="37"/>
  <c r="N216" i="37"/>
  <c r="R214" i="37"/>
  <c r="P213" i="37"/>
  <c r="N212" i="37"/>
  <c r="R210" i="37"/>
  <c r="P209" i="37"/>
  <c r="N208" i="37"/>
  <c r="R206" i="37"/>
  <c r="P205" i="37"/>
  <c r="N204" i="37"/>
  <c r="R202" i="37"/>
  <c r="P201" i="37"/>
  <c r="N200" i="37"/>
  <c r="R198" i="37"/>
  <c r="P197" i="37"/>
  <c r="N196" i="37"/>
  <c r="R194" i="37"/>
  <c r="P193" i="37"/>
  <c r="N192" i="37"/>
  <c r="R190" i="37"/>
  <c r="P189" i="37"/>
  <c r="N188" i="37"/>
  <c r="R186" i="37"/>
  <c r="P185" i="37"/>
  <c r="N184" i="37"/>
  <c r="R182" i="37"/>
  <c r="P181" i="37"/>
  <c r="N180" i="37"/>
  <c r="R178" i="37"/>
  <c r="P177" i="37"/>
  <c r="N176" i="37"/>
  <c r="R174" i="37"/>
  <c r="P173" i="37"/>
  <c r="N172" i="37"/>
  <c r="R170" i="37"/>
  <c r="P169" i="37"/>
  <c r="N168" i="37"/>
  <c r="R166" i="37"/>
  <c r="P165" i="37"/>
  <c r="N164" i="37"/>
  <c r="R162" i="37"/>
  <c r="P161" i="37"/>
  <c r="N160" i="37"/>
  <c r="R158" i="37"/>
  <c r="P157" i="37"/>
  <c r="N156" i="37"/>
  <c r="R154" i="37"/>
  <c r="P153" i="37"/>
  <c r="N152" i="37"/>
  <c r="R150" i="37"/>
  <c r="P149" i="37"/>
  <c r="N148" i="37"/>
  <c r="R146" i="37"/>
  <c r="P145" i="37"/>
  <c r="N144" i="37"/>
  <c r="Q250" i="37"/>
  <c r="O249" i="37"/>
  <c r="S247" i="37"/>
  <c r="Q246" i="37"/>
  <c r="O245" i="37"/>
  <c r="S243" i="37"/>
  <c r="Q242" i="37"/>
  <c r="O241" i="37"/>
  <c r="S239" i="37"/>
  <c r="Q238" i="37"/>
  <c r="O237" i="37"/>
  <c r="S235" i="37"/>
  <c r="Q234" i="37"/>
  <c r="O233" i="37"/>
  <c r="S231" i="37"/>
  <c r="Q230" i="37"/>
  <c r="O229" i="37"/>
  <c r="S227" i="37"/>
  <c r="Q226" i="37"/>
  <c r="O225" i="37"/>
  <c r="S223" i="37"/>
  <c r="Q222" i="37"/>
  <c r="O221" i="37"/>
  <c r="S219" i="37"/>
  <c r="Q218" i="37"/>
  <c r="O217" i="37"/>
  <c r="S215" i="37"/>
  <c r="Q214" i="37"/>
  <c r="O213" i="37"/>
  <c r="S211" i="37"/>
  <c r="Q210" i="37"/>
  <c r="O209" i="37"/>
  <c r="S207" i="37"/>
  <c r="Q206" i="37"/>
  <c r="O205" i="37"/>
  <c r="S203" i="37"/>
  <c r="Q202" i="37"/>
  <c r="O201" i="37"/>
  <c r="S199" i="37"/>
  <c r="Q198" i="37"/>
  <c r="O197" i="37"/>
  <c r="S195" i="37"/>
  <c r="Q194" i="37"/>
  <c r="O193" i="37"/>
  <c r="S191" i="37"/>
  <c r="Q190" i="37"/>
  <c r="O189" i="37"/>
  <c r="S187" i="37"/>
  <c r="Q186" i="37"/>
  <c r="O185" i="37"/>
  <c r="S183" i="37"/>
  <c r="Q182" i="37"/>
  <c r="O181" i="37"/>
  <c r="S179" i="37"/>
  <c r="Q178" i="37"/>
  <c r="O177" i="37"/>
  <c r="S175" i="37"/>
  <c r="Q174" i="37"/>
  <c r="O173" i="37"/>
  <c r="S171" i="37"/>
  <c r="Q170" i="37"/>
  <c r="O169" i="37"/>
  <c r="S167" i="37"/>
  <c r="Q166" i="37"/>
  <c r="O165" i="37"/>
  <c r="S163" i="37"/>
  <c r="Q162" i="37"/>
  <c r="O161" i="37"/>
  <c r="S159" i="37"/>
  <c r="Q158" i="37"/>
  <c r="O157" i="37"/>
  <c r="S155" i="37"/>
  <c r="Q154" i="37"/>
  <c r="O153" i="37"/>
  <c r="S151" i="37"/>
  <c r="Q150" i="37"/>
  <c r="O149" i="37"/>
  <c r="S147" i="37"/>
  <c r="Q146" i="37"/>
  <c r="O145" i="37"/>
  <c r="S143" i="37"/>
  <c r="Q142" i="37"/>
  <c r="P250" i="37"/>
  <c r="N249" i="37"/>
  <c r="R247" i="37"/>
  <c r="P246" i="37"/>
  <c r="N245" i="37"/>
  <c r="R243" i="37"/>
  <c r="P242" i="37"/>
  <c r="N241" i="37"/>
  <c r="R239" i="37"/>
  <c r="P238" i="37"/>
  <c r="N237" i="37"/>
  <c r="R235" i="37"/>
  <c r="P234" i="37"/>
  <c r="N233" i="37"/>
  <c r="R231" i="37"/>
  <c r="P230" i="37"/>
  <c r="N229" i="37"/>
  <c r="R227" i="37"/>
  <c r="P226" i="37"/>
  <c r="N225" i="37"/>
  <c r="R223" i="37"/>
  <c r="P222" i="37"/>
  <c r="N221" i="37"/>
  <c r="R219" i="37"/>
  <c r="P218" i="37"/>
  <c r="N217" i="37"/>
  <c r="R215" i="37"/>
  <c r="P214" i="37"/>
  <c r="N213" i="37"/>
  <c r="R211" i="37"/>
  <c r="P210" i="37"/>
  <c r="N209" i="37"/>
  <c r="R207" i="37"/>
  <c r="P206" i="37"/>
  <c r="N205" i="37"/>
  <c r="R203" i="37"/>
  <c r="P202" i="37"/>
  <c r="N201" i="37"/>
  <c r="R199" i="37"/>
  <c r="P198" i="37"/>
  <c r="N197" i="37"/>
  <c r="R195" i="37"/>
  <c r="P194" i="37"/>
  <c r="N193" i="37"/>
  <c r="R191" i="37"/>
  <c r="P190" i="37"/>
  <c r="N189" i="37"/>
  <c r="R187" i="37"/>
  <c r="P186" i="37"/>
  <c r="N185" i="37"/>
  <c r="R183" i="37"/>
  <c r="P182" i="37"/>
  <c r="N181" i="37"/>
  <c r="R179" i="37"/>
  <c r="P178" i="37"/>
  <c r="N177" i="37"/>
  <c r="R175" i="37"/>
  <c r="P174" i="37"/>
  <c r="N173" i="37"/>
  <c r="R171" i="37"/>
  <c r="P170" i="37"/>
  <c r="N169" i="37"/>
  <c r="R167" i="37"/>
  <c r="P166" i="37"/>
  <c r="N165" i="37"/>
  <c r="R163" i="37"/>
  <c r="P162" i="37"/>
  <c r="N161" i="37"/>
  <c r="R159" i="37"/>
  <c r="P158" i="37"/>
  <c r="N157" i="37"/>
  <c r="R155" i="37"/>
  <c r="P154" i="37"/>
  <c r="N153" i="37"/>
  <c r="R151" i="37"/>
  <c r="P150" i="37"/>
  <c r="N149" i="37"/>
  <c r="R147" i="37"/>
  <c r="P146" i="37"/>
  <c r="N145" i="37"/>
  <c r="R143" i="37"/>
  <c r="O250" i="37"/>
  <c r="S248" i="37"/>
  <c r="Q247" i="37"/>
  <c r="O246" i="37"/>
  <c r="S244" i="37"/>
  <c r="Q243" i="37"/>
  <c r="O242" i="37"/>
  <c r="S240" i="37"/>
  <c r="Q239" i="37"/>
  <c r="O238" i="37"/>
  <c r="S236" i="37"/>
  <c r="Q235" i="37"/>
  <c r="O234" i="37"/>
  <c r="S232" i="37"/>
  <c r="Q231" i="37"/>
  <c r="O230" i="37"/>
  <c r="S228" i="37"/>
  <c r="Q227" i="37"/>
  <c r="O226" i="37"/>
  <c r="S224" i="37"/>
  <c r="Q223" i="37"/>
  <c r="O222" i="37"/>
  <c r="S220" i="37"/>
  <c r="Q219" i="37"/>
  <c r="O218" i="37"/>
  <c r="S216" i="37"/>
  <c r="Q215" i="37"/>
  <c r="O214" i="37"/>
  <c r="S212" i="37"/>
  <c r="Q211" i="37"/>
  <c r="O210" i="37"/>
  <c r="S208" i="37"/>
  <c r="Q207" i="37"/>
  <c r="O206" i="37"/>
  <c r="S204" i="37"/>
  <c r="Q203" i="37"/>
  <c r="O202" i="37"/>
  <c r="S200" i="37"/>
  <c r="Q199" i="37"/>
  <c r="O198" i="37"/>
  <c r="S196" i="37"/>
  <c r="Q195" i="37"/>
  <c r="O194" i="37"/>
  <c r="S192" i="37"/>
  <c r="Q191" i="37"/>
  <c r="O190" i="37"/>
  <c r="S188" i="37"/>
  <c r="Q187" i="37"/>
  <c r="O186" i="37"/>
  <c r="S184" i="37"/>
  <c r="Q183" i="37"/>
  <c r="O182" i="37"/>
  <c r="S180" i="37"/>
  <c r="Q179" i="37"/>
  <c r="O178" i="37"/>
  <c r="S176" i="37"/>
  <c r="Q175" i="37"/>
  <c r="O174" i="37"/>
  <c r="S172" i="37"/>
  <c r="Q171" i="37"/>
  <c r="O170" i="37"/>
  <c r="S168" i="37"/>
  <c r="Q167" i="37"/>
  <c r="O166" i="37"/>
  <c r="S164" i="37"/>
  <c r="Q163" i="37"/>
  <c r="O162" i="37"/>
  <c r="S160" i="37"/>
  <c r="Q159" i="37"/>
  <c r="O158" i="37"/>
  <c r="S156" i="37"/>
  <c r="Q155" i="37"/>
  <c r="O154" i="37"/>
  <c r="S152" i="37"/>
  <c r="Q151" i="37"/>
  <c r="O150" i="37"/>
  <c r="S148" i="37"/>
  <c r="Q147" i="37"/>
  <c r="O146" i="37"/>
  <c r="S144" i="37"/>
  <c r="Q143" i="37"/>
  <c r="O142" i="37"/>
  <c r="S140" i="37"/>
  <c r="Q139" i="37"/>
  <c r="O138" i="37"/>
  <c r="O141" i="37"/>
  <c r="O139" i="37"/>
  <c r="Q137" i="37"/>
  <c r="O136" i="37"/>
  <c r="S134" i="37"/>
  <c r="Q133" i="37"/>
  <c r="O132" i="37"/>
  <c r="S130" i="37"/>
  <c r="Q129" i="37"/>
  <c r="O128" i="37"/>
  <c r="S126" i="37"/>
  <c r="Q125" i="37"/>
  <c r="O124" i="37"/>
  <c r="S122" i="37"/>
  <c r="Q121" i="37"/>
  <c r="O120" i="37"/>
  <c r="S118" i="37"/>
  <c r="Q117" i="37"/>
  <c r="O116" i="37"/>
  <c r="S114" i="37"/>
  <c r="Q113" i="37"/>
  <c r="O112" i="37"/>
  <c r="S110" i="37"/>
  <c r="Q109" i="37"/>
  <c r="O108" i="37"/>
  <c r="S106" i="37"/>
  <c r="Q105" i="37"/>
  <c r="O104" i="37"/>
  <c r="S102" i="37"/>
  <c r="Q101" i="37"/>
  <c r="O100" i="37"/>
  <c r="N141" i="37"/>
  <c r="S138" i="37"/>
  <c r="P137" i="37"/>
  <c r="N136" i="37"/>
  <c r="R134" i="37"/>
  <c r="P133" i="37"/>
  <c r="N132" i="37"/>
  <c r="R130" i="37"/>
  <c r="P129" i="37"/>
  <c r="N128" i="37"/>
  <c r="R126" i="37"/>
  <c r="P125" i="37"/>
  <c r="N124" i="37"/>
  <c r="R122" i="37"/>
  <c r="P121" i="37"/>
  <c r="N120" i="37"/>
  <c r="R118" i="37"/>
  <c r="P117" i="37"/>
  <c r="N116" i="37"/>
  <c r="R114" i="37"/>
  <c r="P113" i="37"/>
  <c r="N112" i="37"/>
  <c r="R110" i="37"/>
  <c r="P109" i="37"/>
  <c r="N108" i="37"/>
  <c r="R106" i="37"/>
  <c r="P105" i="37"/>
  <c r="N104" i="37"/>
  <c r="R102" i="37"/>
  <c r="P101" i="37"/>
  <c r="R140" i="37"/>
  <c r="R138" i="37"/>
  <c r="O137" i="37"/>
  <c r="S135" i="37"/>
  <c r="Q134" i="37"/>
  <c r="O133" i="37"/>
  <c r="S131" i="37"/>
  <c r="Q130" i="37"/>
  <c r="O129" i="37"/>
  <c r="S127" i="37"/>
  <c r="Q126" i="37"/>
  <c r="O125" i="37"/>
  <c r="S123" i="37"/>
  <c r="Q122" i="37"/>
  <c r="O121" i="37"/>
  <c r="S119" i="37"/>
  <c r="Q118" i="37"/>
  <c r="O117" i="37"/>
  <c r="S115" i="37"/>
  <c r="Q114" i="37"/>
  <c r="O113" i="37"/>
  <c r="S111" i="37"/>
  <c r="Q110" i="37"/>
  <c r="O109" i="37"/>
  <c r="S107" i="37"/>
  <c r="Q106" i="37"/>
  <c r="O105" i="37"/>
  <c r="S103" i="37"/>
  <c r="Q102" i="37"/>
  <c r="O101" i="37"/>
  <c r="P143" i="37"/>
  <c r="Q140" i="37"/>
  <c r="Q138" i="37"/>
  <c r="N137" i="37"/>
  <c r="R135" i="37"/>
  <c r="P134" i="37"/>
  <c r="N133" i="37"/>
  <c r="R131" i="37"/>
  <c r="P130" i="37"/>
  <c r="N129" i="37"/>
  <c r="R127" i="37"/>
  <c r="P126" i="37"/>
  <c r="N125" i="37"/>
  <c r="R123" i="37"/>
  <c r="P122" i="37"/>
  <c r="N121" i="37"/>
  <c r="R119" i="37"/>
  <c r="P118" i="37"/>
  <c r="N117" i="37"/>
  <c r="R115" i="37"/>
  <c r="P114" i="37"/>
  <c r="N113" i="37"/>
  <c r="R111" i="37"/>
  <c r="P110" i="37"/>
  <c r="N109" i="37"/>
  <c r="R107" i="37"/>
  <c r="P106" i="37"/>
  <c r="N105" i="37"/>
  <c r="R103" i="37"/>
  <c r="P102" i="37"/>
  <c r="N101" i="37"/>
  <c r="R142" i="37"/>
  <c r="N140" i="37"/>
  <c r="P138" i="37"/>
  <c r="S136" i="37"/>
  <c r="Q135" i="37"/>
  <c r="O134" i="37"/>
  <c r="S132" i="37"/>
  <c r="Q131" i="37"/>
  <c r="O130" i="37"/>
  <c r="S128" i="37"/>
  <c r="Q127" i="37"/>
  <c r="O126" i="37"/>
  <c r="S124" i="37"/>
  <c r="Q123" i="37"/>
  <c r="O122" i="37"/>
  <c r="S120" i="37"/>
  <c r="Q119" i="37"/>
  <c r="O118" i="37"/>
  <c r="S116" i="37"/>
  <c r="Q115" i="37"/>
  <c r="O114" i="37"/>
  <c r="S112" i="37"/>
  <c r="Q111" i="37"/>
  <c r="O110" i="37"/>
  <c r="S108" i="37"/>
  <c r="Q107" i="37"/>
  <c r="O106" i="37"/>
  <c r="S104" i="37"/>
  <c r="Q103" i="37"/>
  <c r="O102" i="37"/>
  <c r="S100" i="37"/>
  <c r="P142" i="37"/>
  <c r="S139" i="37"/>
  <c r="N138" i="37"/>
  <c r="R136" i="37"/>
  <c r="P135" i="37"/>
  <c r="N134" i="37"/>
  <c r="R132" i="37"/>
  <c r="P131" i="37"/>
  <c r="N130" i="37"/>
  <c r="R128" i="37"/>
  <c r="P127" i="37"/>
  <c r="N126" i="37"/>
  <c r="R124" i="37"/>
  <c r="P123" i="37"/>
  <c r="N122" i="37"/>
  <c r="R120" i="37"/>
  <c r="P119" i="37"/>
  <c r="N118" i="37"/>
  <c r="R116" i="37"/>
  <c r="P115" i="37"/>
  <c r="N114" i="37"/>
  <c r="R112" i="37"/>
  <c r="P111" i="37"/>
  <c r="N110" i="37"/>
  <c r="R108" i="37"/>
  <c r="P107" i="37"/>
  <c r="N106" i="37"/>
  <c r="R104" i="37"/>
  <c r="P103" i="37"/>
  <c r="N102" i="37"/>
  <c r="R100" i="37"/>
  <c r="N142" i="37"/>
  <c r="R139" i="37"/>
  <c r="S137" i="37"/>
  <c r="Q136" i="37"/>
  <c r="O135" i="37"/>
  <c r="S133" i="37"/>
  <c r="Q132" i="37"/>
  <c r="O131" i="37"/>
  <c r="S129" i="37"/>
  <c r="Q128" i="37"/>
  <c r="O127" i="37"/>
  <c r="S125" i="37"/>
  <c r="Q124" i="37"/>
  <c r="O123" i="37"/>
  <c r="S121" i="37"/>
  <c r="Q120" i="37"/>
  <c r="O119" i="37"/>
  <c r="S117" i="37"/>
  <c r="Q116" i="37"/>
  <c r="O115" i="37"/>
  <c r="S113" i="37"/>
  <c r="Q112" i="37"/>
  <c r="O111" i="37"/>
  <c r="S109" i="37"/>
  <c r="Q108" i="37"/>
  <c r="O107" i="37"/>
  <c r="S105" i="37"/>
  <c r="Q104" i="37"/>
  <c r="O103" i="37"/>
  <c r="S101" i="37"/>
  <c r="Q100" i="37"/>
  <c r="R133" i="37"/>
  <c r="N123" i="37"/>
  <c r="P112" i="37"/>
  <c r="R101" i="37"/>
  <c r="F111" i="37"/>
  <c r="I111" i="37" s="1"/>
  <c r="F107" i="37"/>
  <c r="I107" i="37" s="1"/>
  <c r="F103" i="37"/>
  <c r="I103" i="37" s="1"/>
  <c r="P132" i="37"/>
  <c r="R121" i="37"/>
  <c r="N111" i="37"/>
  <c r="P100" i="37"/>
  <c r="N131" i="37"/>
  <c r="P120" i="37"/>
  <c r="R109" i="37"/>
  <c r="F110" i="37"/>
  <c r="I110" i="37" s="1"/>
  <c r="F106" i="37"/>
  <c r="I106" i="37" s="1"/>
  <c r="F102" i="37"/>
  <c r="I102" i="37" s="1"/>
  <c r="P141" i="37"/>
  <c r="R129" i="37"/>
  <c r="N119" i="37"/>
  <c r="P108" i="37"/>
  <c r="P139" i="37"/>
  <c r="R117" i="37"/>
  <c r="N107" i="37"/>
  <c r="F113" i="37"/>
  <c r="I113" i="37" s="1"/>
  <c r="F109" i="37"/>
  <c r="I109" i="37" s="1"/>
  <c r="F105" i="37"/>
  <c r="I105" i="37" s="1"/>
  <c r="F101" i="37"/>
  <c r="I101" i="37" s="1"/>
  <c r="R137" i="37"/>
  <c r="N127" i="37"/>
  <c r="P116" i="37"/>
  <c r="R105" i="37"/>
  <c r="P136" i="37"/>
  <c r="R125" i="37"/>
  <c r="N115" i="37"/>
  <c r="P104" i="37"/>
  <c r="F112" i="37"/>
  <c r="I112" i="37" s="1"/>
  <c r="F108" i="37"/>
  <c r="I108" i="37" s="1"/>
  <c r="F104" i="37"/>
  <c r="I104" i="37" s="1"/>
  <c r="G100" i="37"/>
  <c r="J100" i="37" s="1"/>
  <c r="N135" i="37"/>
  <c r="P124" i="37"/>
  <c r="F100" i="37"/>
  <c r="I100" i="37" s="1"/>
  <c r="R113" i="37"/>
  <c r="N103" i="37"/>
  <c r="V129" i="37"/>
  <c r="V131" i="37" s="1"/>
  <c r="V133" i="37" s="1"/>
  <c r="V127" i="37"/>
  <c r="V123" i="37"/>
  <c r="W121" i="37"/>
  <c r="V124" i="37"/>
  <c r="W125" i="37"/>
  <c r="W122" i="37"/>
  <c r="W120" i="37"/>
  <c r="V125" i="37"/>
  <c r="V122" i="37"/>
  <c r="V120" i="37"/>
  <c r="W118" i="37"/>
  <c r="V117" i="37"/>
  <c r="AL113" i="37"/>
  <c r="AE110" i="37"/>
  <c r="AE107" i="37"/>
  <c r="AE106" i="37"/>
  <c r="W105" i="37"/>
  <c r="AM104" i="37"/>
  <c r="W104" i="37"/>
  <c r="AD103" i="37"/>
  <c r="AD102" i="37"/>
  <c r="AM101" i="37"/>
  <c r="W115" i="37"/>
  <c r="AM112" i="37"/>
  <c r="W112" i="37"/>
  <c r="AE111" i="37"/>
  <c r="AE108" i="37"/>
  <c r="W101" i="37"/>
  <c r="W100" i="37"/>
  <c r="V99" i="37"/>
  <c r="AA100" i="37" s="1"/>
  <c r="E100" i="37" s="1"/>
  <c r="H100" i="37" s="1"/>
  <c r="W127" i="37"/>
  <c r="W128" i="37" s="1"/>
  <c r="W129" i="37" s="1"/>
  <c r="V118" i="37"/>
  <c r="AL115" i="37"/>
  <c r="AL117" i="37" s="1"/>
  <c r="AL119" i="37" s="1"/>
  <c r="AL121" i="37" s="1"/>
  <c r="AL123" i="37" s="1"/>
  <c r="AL125" i="37" s="1"/>
  <c r="AL127" i="37" s="1"/>
  <c r="AL129" i="37" s="1"/>
  <c r="AL131" i="37" s="1"/>
  <c r="AL133" i="37" s="1"/>
  <c r="AL135" i="37" s="1"/>
  <c r="AL137" i="37" s="1"/>
  <c r="AL139" i="37" s="1"/>
  <c r="AL141" i="37" s="1"/>
  <c r="AL143" i="37" s="1"/>
  <c r="AL145" i="37" s="1"/>
  <c r="AL147" i="37" s="1"/>
  <c r="AL149" i="37" s="1"/>
  <c r="AL151" i="37" s="1"/>
  <c r="AL153" i="37" s="1"/>
  <c r="AL155" i="37" s="1"/>
  <c r="AL157" i="37" s="1"/>
  <c r="AL159" i="37" s="1"/>
  <c r="AL161" i="37" s="1"/>
  <c r="AL163" i="37" s="1"/>
  <c r="AL165" i="37" s="1"/>
  <c r="AL167" i="37" s="1"/>
  <c r="AL169" i="37" s="1"/>
  <c r="AL171" i="37" s="1"/>
  <c r="AL173" i="37" s="1"/>
  <c r="AL175" i="37" s="1"/>
  <c r="AL177" i="37" s="1"/>
  <c r="AL179" i="37" s="1"/>
  <c r="AL181" i="37" s="1"/>
  <c r="AL183" i="37" s="1"/>
  <c r="AL185" i="37" s="1"/>
  <c r="AL187" i="37" s="1"/>
  <c r="AL189" i="37" s="1"/>
  <c r="AL191" i="37" s="1"/>
  <c r="AL193" i="37" s="1"/>
  <c r="AL195" i="37" s="1"/>
  <c r="AL197" i="37" s="1"/>
  <c r="AL199" i="37" s="1"/>
  <c r="AL201" i="37" s="1"/>
  <c r="AL203" i="37" s="1"/>
  <c r="AL205" i="37" s="1"/>
  <c r="AL207" i="37" s="1"/>
  <c r="AL209" i="37" s="1"/>
  <c r="AL211" i="37" s="1"/>
  <c r="AL213" i="37" s="1"/>
  <c r="AL215" i="37" s="1"/>
  <c r="AL217" i="37" s="1"/>
  <c r="AL219" i="37" s="1"/>
  <c r="AL221" i="37" s="1"/>
  <c r="AL223" i="37" s="1"/>
  <c r="AL225" i="37" s="1"/>
  <c r="AL227" i="37" s="1"/>
  <c r="AL229" i="37" s="1"/>
  <c r="AL231" i="37" s="1"/>
  <c r="AL233" i="37" s="1"/>
  <c r="AL235" i="37" s="1"/>
  <c r="AL237" i="37" s="1"/>
  <c r="AL239" i="37" s="1"/>
  <c r="AL241" i="37" s="1"/>
  <c r="AL243" i="37" s="1"/>
  <c r="AL245" i="37" s="1"/>
  <c r="AL247" i="37" s="1"/>
  <c r="AL249" i="37" s="1"/>
  <c r="AD110" i="37"/>
  <c r="W109" i="37"/>
  <c r="W108" i="37"/>
  <c r="AD107" i="37"/>
  <c r="AD106" i="37"/>
  <c r="V105" i="37"/>
  <c r="AL104" i="37"/>
  <c r="V104" i="37"/>
  <c r="AL101" i="37"/>
  <c r="AE100" i="37"/>
  <c r="W114" i="37"/>
  <c r="AL110" i="37"/>
  <c r="W119" i="37"/>
  <c r="AE113" i="37"/>
  <c r="AE112" i="37"/>
  <c r="AM111" i="37"/>
  <c r="W111" i="37"/>
  <c r="V109" i="37"/>
  <c r="V108" i="37"/>
  <c r="AM105" i="37"/>
  <c r="W102" i="37"/>
  <c r="AD100" i="37"/>
  <c r="AL99" i="37"/>
  <c r="V113" i="37"/>
  <c r="V119" i="37"/>
  <c r="AE114" i="37"/>
  <c r="AE115" i="37" s="1"/>
  <c r="AE116" i="37" s="1"/>
  <c r="AE117" i="37" s="1"/>
  <c r="AD113" i="37"/>
  <c r="AD112" i="37"/>
  <c r="AL111" i="37"/>
  <c r="V111" i="37"/>
  <c r="W110" i="37"/>
  <c r="AM109" i="37"/>
  <c r="AM108" i="37"/>
  <c r="AL105" i="37"/>
  <c r="AM103" i="37"/>
  <c r="W103" i="37"/>
  <c r="V102" i="37"/>
  <c r="AE101" i="37"/>
  <c r="AE109" i="37"/>
  <c r="AD105" i="37"/>
  <c r="W126" i="37"/>
  <c r="W124" i="37"/>
  <c r="V121" i="37"/>
  <c r="V110" i="37"/>
  <c r="AL109" i="37"/>
  <c r="AL108" i="37"/>
  <c r="AM107" i="37"/>
  <c r="W107" i="37"/>
  <c r="AM106" i="37"/>
  <c r="W106" i="37"/>
  <c r="AE104" i="37"/>
  <c r="AL103" i="37"/>
  <c r="V103" i="37"/>
  <c r="AM102" i="37"/>
  <c r="AD101" i="37"/>
  <c r="AM100" i="37"/>
  <c r="AD99" i="37"/>
  <c r="AI100" i="37" s="1"/>
  <c r="F114" i="37" s="1"/>
  <c r="I114" i="37" s="1"/>
  <c r="V126" i="37"/>
  <c r="V128" i="37" s="1"/>
  <c r="W123" i="37"/>
  <c r="W113" i="37"/>
  <c r="AM110" i="37"/>
  <c r="AL107" i="37"/>
  <c r="V107" i="37"/>
  <c r="AL106" i="37"/>
  <c r="V106" i="37"/>
  <c r="AE105" i="37"/>
  <c r="AD104" i="37"/>
  <c r="AL102" i="37"/>
  <c r="AL100" i="37"/>
  <c r="W116" i="37"/>
  <c r="V115" i="37"/>
  <c r="AD108" i="37"/>
  <c r="AD111" i="37"/>
  <c r="V116" i="37"/>
  <c r="V114" i="37"/>
  <c r="AM113" i="37"/>
  <c r="AM114" i="37" s="1"/>
  <c r="AM115" i="37" s="1"/>
  <c r="AM116" i="37" s="1"/>
  <c r="AM117" i="37" s="1"/>
  <c r="AM118" i="37" s="1"/>
  <c r="AM119" i="37" s="1"/>
  <c r="AM120" i="37" s="1"/>
  <c r="AM121" i="37" s="1"/>
  <c r="AM122" i="37" s="1"/>
  <c r="AM123" i="37" s="1"/>
  <c r="AM124" i="37" s="1"/>
  <c r="AM125" i="37" s="1"/>
  <c r="AM126" i="37" s="1"/>
  <c r="AM127" i="37" s="1"/>
  <c r="AM128" i="37" s="1"/>
  <c r="AM129" i="37" s="1"/>
  <c r="AM130" i="37" s="1"/>
  <c r="AM131" i="37" s="1"/>
  <c r="AM132" i="37" s="1"/>
  <c r="AM133" i="37" s="1"/>
  <c r="AM134" i="37" s="1"/>
  <c r="AM135" i="37" s="1"/>
  <c r="AM136" i="37" s="1"/>
  <c r="AM137" i="37" s="1"/>
  <c r="AM138" i="37" s="1"/>
  <c r="AM139" i="37" s="1"/>
  <c r="AM140" i="37" s="1"/>
  <c r="AM141" i="37" s="1"/>
  <c r="AM142" i="37" s="1"/>
  <c r="AM143" i="37" s="1"/>
  <c r="AM144" i="37" s="1"/>
  <c r="AM145" i="37" s="1"/>
  <c r="AM146" i="37" s="1"/>
  <c r="AM147" i="37" s="1"/>
  <c r="AM148" i="37" s="1"/>
  <c r="AM149" i="37" s="1"/>
  <c r="AM150" i="37" s="1"/>
  <c r="AM151" i="37" s="1"/>
  <c r="AM152" i="37" s="1"/>
  <c r="AM153" i="37" s="1"/>
  <c r="AM154" i="37" s="1"/>
  <c r="AM155" i="37" s="1"/>
  <c r="AM156" i="37" s="1"/>
  <c r="AM157" i="37" s="1"/>
  <c r="AM158" i="37" s="1"/>
  <c r="AM159" i="37" s="1"/>
  <c r="AM160" i="37" s="1"/>
  <c r="AM161" i="37" s="1"/>
  <c r="AM162" i="37" s="1"/>
  <c r="AM163" i="37" s="1"/>
  <c r="AM164" i="37" s="1"/>
  <c r="AM165" i="37" s="1"/>
  <c r="AM166" i="37" s="1"/>
  <c r="AM167" i="37" s="1"/>
  <c r="AM168" i="37" s="1"/>
  <c r="AM169" i="37" s="1"/>
  <c r="AM170" i="37" s="1"/>
  <c r="AM171" i="37" s="1"/>
  <c r="AM172" i="37" s="1"/>
  <c r="AM173" i="37" s="1"/>
  <c r="AM174" i="37" s="1"/>
  <c r="AM175" i="37" s="1"/>
  <c r="AM176" i="37" s="1"/>
  <c r="AM177" i="37" s="1"/>
  <c r="AM178" i="37" s="1"/>
  <c r="AM179" i="37" s="1"/>
  <c r="AM180" i="37" s="1"/>
  <c r="AM181" i="37" s="1"/>
  <c r="AM182" i="37" s="1"/>
  <c r="AM183" i="37" s="1"/>
  <c r="AM184" i="37" s="1"/>
  <c r="AM185" i="37" s="1"/>
  <c r="AM186" i="37" s="1"/>
  <c r="AM187" i="37" s="1"/>
  <c r="AM188" i="37" s="1"/>
  <c r="AM189" i="37" s="1"/>
  <c r="AM190" i="37" s="1"/>
  <c r="AM191" i="37" s="1"/>
  <c r="AM192" i="37" s="1"/>
  <c r="AM193" i="37" s="1"/>
  <c r="AM194" i="37" s="1"/>
  <c r="AM195" i="37" s="1"/>
  <c r="AM196" i="37" s="1"/>
  <c r="AM197" i="37" s="1"/>
  <c r="AM198" i="37" s="1"/>
  <c r="AM199" i="37" s="1"/>
  <c r="AM200" i="37" s="1"/>
  <c r="AM201" i="37" s="1"/>
  <c r="AM202" i="37" s="1"/>
  <c r="AM203" i="37" s="1"/>
  <c r="AM204" i="37" s="1"/>
  <c r="AM205" i="37" s="1"/>
  <c r="AM206" i="37" s="1"/>
  <c r="AM207" i="37" s="1"/>
  <c r="AM208" i="37" s="1"/>
  <c r="AM209" i="37" s="1"/>
  <c r="AM210" i="37" s="1"/>
  <c r="AM211" i="37" s="1"/>
  <c r="AM212" i="37" s="1"/>
  <c r="AM213" i="37" s="1"/>
  <c r="AM214" i="37" s="1"/>
  <c r="AM215" i="37" s="1"/>
  <c r="AM216" i="37" s="1"/>
  <c r="AM217" i="37" s="1"/>
  <c r="AM218" i="37" s="1"/>
  <c r="AM219" i="37" s="1"/>
  <c r="AM220" i="37" s="1"/>
  <c r="AM221" i="37" s="1"/>
  <c r="AM222" i="37" s="1"/>
  <c r="AM223" i="37" s="1"/>
  <c r="AM224" i="37" s="1"/>
  <c r="AM225" i="37" s="1"/>
  <c r="AM226" i="37" s="1"/>
  <c r="AM227" i="37" s="1"/>
  <c r="AM228" i="37" s="1"/>
  <c r="AM229" i="37" s="1"/>
  <c r="AM230" i="37" s="1"/>
  <c r="AM231" i="37" s="1"/>
  <c r="AM232" i="37" s="1"/>
  <c r="AM233" i="37" s="1"/>
  <c r="AM234" i="37" s="1"/>
  <c r="AM235" i="37" s="1"/>
  <c r="AM236" i="37" s="1"/>
  <c r="AM237" i="37" s="1"/>
  <c r="AM238" i="37" s="1"/>
  <c r="AM239" i="37" s="1"/>
  <c r="AM240" i="37" s="1"/>
  <c r="AM241" i="37" s="1"/>
  <c r="AM242" i="37" s="1"/>
  <c r="AM243" i="37" s="1"/>
  <c r="AM244" i="37" s="1"/>
  <c r="AM245" i="37" s="1"/>
  <c r="AM246" i="37" s="1"/>
  <c r="AM247" i="37" s="1"/>
  <c r="AM248" i="37" s="1"/>
  <c r="AM249" i="37" s="1"/>
  <c r="AM250" i="37" s="1"/>
  <c r="W117" i="37"/>
  <c r="AD109" i="37"/>
  <c r="AE102" i="37"/>
  <c r="V101" i="37"/>
  <c r="AL112" i="37"/>
  <c r="AL114" i="37" s="1"/>
  <c r="AL116" i="37" s="1"/>
  <c r="AL118" i="37" s="1"/>
  <c r="AL120" i="37" s="1"/>
  <c r="AL122" i="37" s="1"/>
  <c r="AL124" i="37" s="1"/>
  <c r="AL126" i="37" s="1"/>
  <c r="AL128" i="37" s="1"/>
  <c r="AL130" i="37" s="1"/>
  <c r="AL132" i="37" s="1"/>
  <c r="AL134" i="37" s="1"/>
  <c r="AL136" i="37" s="1"/>
  <c r="AL138" i="37" s="1"/>
  <c r="AL140" i="37" s="1"/>
  <c r="AL142" i="37" s="1"/>
  <c r="AL144" i="37" s="1"/>
  <c r="AL146" i="37" s="1"/>
  <c r="AL148" i="37" s="1"/>
  <c r="AL150" i="37" s="1"/>
  <c r="AL152" i="37" s="1"/>
  <c r="AL154" i="37" s="1"/>
  <c r="AL156" i="37" s="1"/>
  <c r="AL158" i="37" s="1"/>
  <c r="AL160" i="37" s="1"/>
  <c r="AL162" i="37" s="1"/>
  <c r="AL164" i="37" s="1"/>
  <c r="AL166" i="37" s="1"/>
  <c r="AL168" i="37" s="1"/>
  <c r="AL170" i="37" s="1"/>
  <c r="AL172" i="37" s="1"/>
  <c r="AL174" i="37" s="1"/>
  <c r="AL176" i="37" s="1"/>
  <c r="AL178" i="37" s="1"/>
  <c r="AL180" i="37" s="1"/>
  <c r="AL182" i="37" s="1"/>
  <c r="AL184" i="37" s="1"/>
  <c r="AL186" i="37" s="1"/>
  <c r="AL188" i="37" s="1"/>
  <c r="AL190" i="37" s="1"/>
  <c r="AL192" i="37" s="1"/>
  <c r="AL194" i="37" s="1"/>
  <c r="AL196" i="37" s="1"/>
  <c r="AL198" i="37" s="1"/>
  <c r="AL200" i="37" s="1"/>
  <c r="AL202" i="37" s="1"/>
  <c r="AL204" i="37" s="1"/>
  <c r="AL206" i="37" s="1"/>
  <c r="AL208" i="37" s="1"/>
  <c r="AL210" i="37" s="1"/>
  <c r="AL212" i="37" s="1"/>
  <c r="AL214" i="37" s="1"/>
  <c r="AL216" i="37" s="1"/>
  <c r="AL218" i="37" s="1"/>
  <c r="AL220" i="37" s="1"/>
  <c r="AL222" i="37" s="1"/>
  <c r="AL224" i="37" s="1"/>
  <c r="AL226" i="37" s="1"/>
  <c r="AL228" i="37" s="1"/>
  <c r="AL230" i="37" s="1"/>
  <c r="AL232" i="37" s="1"/>
  <c r="AL234" i="37" s="1"/>
  <c r="AL236" i="37" s="1"/>
  <c r="AL238" i="37" s="1"/>
  <c r="AL240" i="37" s="1"/>
  <c r="AL242" i="37" s="1"/>
  <c r="AL244" i="37" s="1"/>
  <c r="AL246" i="37" s="1"/>
  <c r="AL248" i="37" s="1"/>
  <c r="AL250" i="37" s="1"/>
  <c r="AE103" i="37"/>
  <c r="V112" i="37"/>
  <c r="V100" i="37"/>
  <c r="D65" i="39"/>
  <c r="D101" i="39" s="1"/>
  <c r="D102" i="39" s="1"/>
  <c r="D103" i="39" s="1"/>
  <c r="D104" i="39" s="1"/>
  <c r="D105" i="39" s="1"/>
  <c r="D106" i="39" s="1"/>
  <c r="D107" i="39" s="1"/>
  <c r="D108" i="39" s="1"/>
  <c r="D109" i="39" s="1"/>
  <c r="D110" i="39" s="1"/>
  <c r="D111" i="39" s="1"/>
  <c r="D112" i="39" s="1"/>
  <c r="D113" i="39" s="1"/>
  <c r="D114" i="39" s="1"/>
  <c r="D115" i="39" s="1"/>
  <c r="D116" i="39" s="1"/>
  <c r="D117" i="39" s="1"/>
  <c r="D118" i="39" s="1"/>
  <c r="D119" i="39" s="1"/>
  <c r="D120" i="39" s="1"/>
  <c r="S249" i="38"/>
  <c r="O247" i="38"/>
  <c r="S245" i="38"/>
  <c r="O243" i="38"/>
  <c r="S241" i="38"/>
  <c r="R249" i="38"/>
  <c r="P248" i="38"/>
  <c r="R245" i="38"/>
  <c r="P244" i="38"/>
  <c r="R241" i="38"/>
  <c r="P240" i="38"/>
  <c r="R237" i="38"/>
  <c r="P236" i="38"/>
  <c r="R233" i="38"/>
  <c r="P232" i="38"/>
  <c r="R229" i="38"/>
  <c r="P228" i="38"/>
  <c r="R225" i="38"/>
  <c r="P224" i="38"/>
  <c r="R221" i="38"/>
  <c r="P220" i="38"/>
  <c r="R217" i="38"/>
  <c r="P216" i="38"/>
  <c r="R213" i="38"/>
  <c r="P212" i="38"/>
  <c r="R209" i="38"/>
  <c r="P208" i="38"/>
  <c r="R205" i="38"/>
  <c r="P204" i="38"/>
  <c r="R201" i="38"/>
  <c r="P200" i="38"/>
  <c r="R197" i="38"/>
  <c r="P196" i="38"/>
  <c r="R193" i="38"/>
  <c r="P192" i="38"/>
  <c r="R189" i="38"/>
  <c r="P188" i="38"/>
  <c r="R185" i="38"/>
  <c r="P184" i="38"/>
  <c r="R181" i="38"/>
  <c r="P180" i="38"/>
  <c r="R177" i="38"/>
  <c r="P176" i="38"/>
  <c r="R173" i="38"/>
  <c r="P172" i="38"/>
  <c r="R169" i="38"/>
  <c r="P168" i="38"/>
  <c r="R165" i="38"/>
  <c r="P164" i="38"/>
  <c r="R161" i="38"/>
  <c r="P160" i="38"/>
  <c r="R157" i="38"/>
  <c r="P156" i="38"/>
  <c r="R153" i="38"/>
  <c r="P152" i="38"/>
  <c r="R149" i="38"/>
  <c r="P148" i="38"/>
  <c r="R145" i="38"/>
  <c r="P144" i="38"/>
  <c r="R141" i="38"/>
  <c r="P140" i="38"/>
  <c r="R137" i="38"/>
  <c r="P136" i="38"/>
  <c r="R133" i="38"/>
  <c r="P132" i="38"/>
  <c r="R129" i="38"/>
  <c r="P128" i="38"/>
  <c r="S124" i="38"/>
  <c r="S118" i="38"/>
  <c r="R117" i="38"/>
  <c r="R112" i="38"/>
  <c r="R111" i="38"/>
  <c r="R110" i="38"/>
  <c r="R109" i="38"/>
  <c r="S250" i="38"/>
  <c r="O248" i="38"/>
  <c r="S246" i="38"/>
  <c r="O244" i="38"/>
  <c r="S242" i="38"/>
  <c r="O240" i="38"/>
  <c r="S238" i="38"/>
  <c r="O236" i="38"/>
  <c r="S234" i="38"/>
  <c r="O232" i="38"/>
  <c r="S230" i="38"/>
  <c r="O228" i="38"/>
  <c r="S226" i="38"/>
  <c r="O224" i="38"/>
  <c r="S222" i="38"/>
  <c r="O220" i="38"/>
  <c r="S218" i="38"/>
  <c r="O216" i="38"/>
  <c r="S214" i="38"/>
  <c r="O212" i="38"/>
  <c r="S210" i="38"/>
  <c r="O208" i="38"/>
  <c r="S206" i="38"/>
  <c r="O204" i="38"/>
  <c r="S202" i="38"/>
  <c r="O200" i="38"/>
  <c r="S198" i="38"/>
  <c r="O196" i="38"/>
  <c r="S194" i="38"/>
  <c r="O192" i="38"/>
  <c r="S190" i="38"/>
  <c r="O188" i="38"/>
  <c r="S186" i="38"/>
  <c r="O184" i="38"/>
  <c r="S182" i="38"/>
  <c r="O180" i="38"/>
  <c r="S178" i="38"/>
  <c r="O176" i="38"/>
  <c r="S174" i="38"/>
  <c r="O172" i="38"/>
  <c r="S170" i="38"/>
  <c r="O168" i="38"/>
  <c r="S166" i="38"/>
  <c r="O164" i="38"/>
  <c r="S162" i="38"/>
  <c r="O160" i="38"/>
  <c r="S158" i="38"/>
  <c r="O156" i="38"/>
  <c r="S154" i="38"/>
  <c r="O152" i="38"/>
  <c r="S150" i="38"/>
  <c r="O148" i="38"/>
  <c r="S146" i="38"/>
  <c r="O144" i="38"/>
  <c r="S142" i="38"/>
  <c r="O140" i="38"/>
  <c r="S138" i="38"/>
  <c r="O136" i="38"/>
  <c r="S134" i="38"/>
  <c r="O132" i="38"/>
  <c r="S130" i="38"/>
  <c r="O128" i="38"/>
  <c r="S125" i="38"/>
  <c r="R124" i="38"/>
  <c r="S123" i="38"/>
  <c r="S122" i="38"/>
  <c r="S121" i="38"/>
  <c r="S120" i="38"/>
  <c r="S119" i="38"/>
  <c r="R118" i="38"/>
  <c r="P116" i="38"/>
  <c r="P115" i="38"/>
  <c r="P114" i="38"/>
  <c r="P113" i="38"/>
  <c r="R250" i="38"/>
  <c r="P249" i="38"/>
  <c r="R246" i="38"/>
  <c r="P245" i="38"/>
  <c r="R242" i="38"/>
  <c r="P241" i="38"/>
  <c r="R238" i="38"/>
  <c r="P237" i="38"/>
  <c r="R234" i="38"/>
  <c r="P233" i="38"/>
  <c r="R230" i="38"/>
  <c r="P229" i="38"/>
  <c r="R226" i="38"/>
  <c r="P225" i="38"/>
  <c r="R222" i="38"/>
  <c r="P221" i="38"/>
  <c r="R218" i="38"/>
  <c r="P217" i="38"/>
  <c r="R214" i="38"/>
  <c r="P213" i="38"/>
  <c r="R210" i="38"/>
  <c r="P209" i="38"/>
  <c r="R206" i="38"/>
  <c r="P205" i="38"/>
  <c r="R202" i="38"/>
  <c r="P201" i="38"/>
  <c r="R198" i="38"/>
  <c r="P197" i="38"/>
  <c r="R194" i="38"/>
  <c r="P193" i="38"/>
  <c r="R190" i="38"/>
  <c r="P189" i="38"/>
  <c r="R186" i="38"/>
  <c r="P185" i="38"/>
  <c r="R182" i="38"/>
  <c r="P181" i="38"/>
  <c r="R178" i="38"/>
  <c r="P177" i="38"/>
  <c r="R174" i="38"/>
  <c r="P173" i="38"/>
  <c r="R170" i="38"/>
  <c r="P169" i="38"/>
  <c r="R166" i="38"/>
  <c r="P165" i="38"/>
  <c r="R162" i="38"/>
  <c r="P161" i="38"/>
  <c r="R158" i="38"/>
  <c r="P157" i="38"/>
  <c r="R154" i="38"/>
  <c r="P153" i="38"/>
  <c r="R150" i="38"/>
  <c r="P149" i="38"/>
  <c r="R146" i="38"/>
  <c r="P145" i="38"/>
  <c r="R142" i="38"/>
  <c r="P141" i="38"/>
  <c r="R138" i="38"/>
  <c r="P137" i="38"/>
  <c r="R134" i="38"/>
  <c r="P133" i="38"/>
  <c r="R130" i="38"/>
  <c r="P129" i="38"/>
  <c r="S126" i="38"/>
  <c r="R125" i="38"/>
  <c r="R123" i="38"/>
  <c r="R122" i="38"/>
  <c r="R121" i="38"/>
  <c r="R120" i="38"/>
  <c r="R119" i="38"/>
  <c r="P117" i="38"/>
  <c r="O116" i="38"/>
  <c r="O115" i="38"/>
  <c r="O114" i="38"/>
  <c r="O113" i="38"/>
  <c r="P112" i="38"/>
  <c r="P111" i="38"/>
  <c r="P110" i="38"/>
  <c r="P109" i="38"/>
  <c r="S108" i="38"/>
  <c r="S107" i="38"/>
  <c r="O249" i="38"/>
  <c r="S247" i="38"/>
  <c r="O245" i="38"/>
  <c r="S243" i="38"/>
  <c r="O241" i="38"/>
  <c r="S239" i="38"/>
  <c r="O237" i="38"/>
  <c r="S235" i="38"/>
  <c r="O233" i="38"/>
  <c r="S231" i="38"/>
  <c r="O229" i="38"/>
  <c r="S227" i="38"/>
  <c r="O225" i="38"/>
  <c r="S223" i="38"/>
  <c r="O221" i="38"/>
  <c r="S219" i="38"/>
  <c r="O217" i="38"/>
  <c r="S215" i="38"/>
  <c r="O213" i="38"/>
  <c r="S211" i="38"/>
  <c r="O209" i="38"/>
  <c r="S207" i="38"/>
  <c r="O205" i="38"/>
  <c r="S203" i="38"/>
  <c r="O201" i="38"/>
  <c r="S199" i="38"/>
  <c r="O197" i="38"/>
  <c r="S195" i="38"/>
  <c r="O193" i="38"/>
  <c r="S191" i="38"/>
  <c r="O189" i="38"/>
  <c r="S187" i="38"/>
  <c r="O185" i="38"/>
  <c r="S183" i="38"/>
  <c r="O181" i="38"/>
  <c r="S179" i="38"/>
  <c r="O177" i="38"/>
  <c r="S175" i="38"/>
  <c r="O173" i="38"/>
  <c r="S171" i="38"/>
  <c r="O169" i="38"/>
  <c r="S167" i="38"/>
  <c r="O165" i="38"/>
  <c r="S163" i="38"/>
  <c r="O161" i="38"/>
  <c r="S159" i="38"/>
  <c r="O157" i="38"/>
  <c r="S155" i="38"/>
  <c r="O153" i="38"/>
  <c r="S151" i="38"/>
  <c r="O149" i="38"/>
  <c r="S147" i="38"/>
  <c r="O145" i="38"/>
  <c r="S143" i="38"/>
  <c r="O141" i="38"/>
  <c r="S139" i="38"/>
  <c r="O137" i="38"/>
  <c r="S135" i="38"/>
  <c r="O133" i="38"/>
  <c r="S131" i="38"/>
  <c r="O129" i="38"/>
  <c r="S127" i="38"/>
  <c r="R126" i="38"/>
  <c r="P124" i="38"/>
  <c r="P118" i="38"/>
  <c r="O117" i="38"/>
  <c r="O112" i="38"/>
  <c r="O111" i="38"/>
  <c r="O110" i="38"/>
  <c r="O109" i="38"/>
  <c r="R108" i="38"/>
  <c r="R107" i="38"/>
  <c r="S106" i="38"/>
  <c r="S105" i="38"/>
  <c r="S104" i="38"/>
  <c r="S103" i="38"/>
  <c r="S102" i="38"/>
  <c r="S101" i="38"/>
  <c r="S100" i="38"/>
  <c r="P250" i="38"/>
  <c r="R247" i="38"/>
  <c r="P246" i="38"/>
  <c r="R243" i="38"/>
  <c r="P242" i="38"/>
  <c r="R239" i="38"/>
  <c r="P238" i="38"/>
  <c r="R235" i="38"/>
  <c r="P234" i="38"/>
  <c r="R231" i="38"/>
  <c r="P230" i="38"/>
  <c r="R227" i="38"/>
  <c r="P226" i="38"/>
  <c r="R223" i="38"/>
  <c r="P222" i="38"/>
  <c r="R219" i="38"/>
  <c r="P218" i="38"/>
  <c r="R215" i="38"/>
  <c r="P214" i="38"/>
  <c r="R211" i="38"/>
  <c r="P210" i="38"/>
  <c r="R207" i="38"/>
  <c r="P206" i="38"/>
  <c r="R203" i="38"/>
  <c r="P202" i="38"/>
  <c r="R199" i="38"/>
  <c r="P198" i="38"/>
  <c r="R195" i="38"/>
  <c r="P194" i="38"/>
  <c r="R191" i="38"/>
  <c r="P190" i="38"/>
  <c r="R187" i="38"/>
  <c r="P186" i="38"/>
  <c r="R183" i="38"/>
  <c r="P182" i="38"/>
  <c r="R179" i="38"/>
  <c r="P178" i="38"/>
  <c r="R175" i="38"/>
  <c r="P174" i="38"/>
  <c r="R171" i="38"/>
  <c r="P170" i="38"/>
  <c r="R167" i="38"/>
  <c r="P166" i="38"/>
  <c r="R163" i="38"/>
  <c r="P162" i="38"/>
  <c r="R159" i="38"/>
  <c r="P158" i="38"/>
  <c r="R155" i="38"/>
  <c r="P154" i="38"/>
  <c r="R151" i="38"/>
  <c r="P150" i="38"/>
  <c r="R147" i="38"/>
  <c r="P146" i="38"/>
  <c r="R143" i="38"/>
  <c r="P142" i="38"/>
  <c r="R139" i="38"/>
  <c r="P138" i="38"/>
  <c r="R135" i="38"/>
  <c r="P134" i="38"/>
  <c r="R131" i="38"/>
  <c r="P130" i="38"/>
  <c r="R127" i="38"/>
  <c r="P125" i="38"/>
  <c r="O124" i="38"/>
  <c r="P123" i="38"/>
  <c r="P122" i="38"/>
  <c r="P121" i="38"/>
  <c r="P120" i="38"/>
  <c r="P119" i="38"/>
  <c r="O118" i="38"/>
  <c r="R106" i="38"/>
  <c r="R105" i="38"/>
  <c r="R104" i="38"/>
  <c r="R103" i="38"/>
  <c r="R102" i="38"/>
  <c r="R101" i="38"/>
  <c r="R100" i="38"/>
  <c r="O250" i="38"/>
  <c r="S248" i="38"/>
  <c r="O246" i="38"/>
  <c r="S244" i="38"/>
  <c r="O242" i="38"/>
  <c r="S240" i="38"/>
  <c r="O238" i="38"/>
  <c r="S236" i="38"/>
  <c r="O234" i="38"/>
  <c r="S232" i="38"/>
  <c r="O230" i="38"/>
  <c r="S228" i="38"/>
  <c r="O226" i="38"/>
  <c r="S224" i="38"/>
  <c r="O222" i="38"/>
  <c r="S220" i="38"/>
  <c r="O218" i="38"/>
  <c r="S216" i="38"/>
  <c r="O214" i="38"/>
  <c r="S212" i="38"/>
  <c r="O210" i="38"/>
  <c r="S208" i="38"/>
  <c r="O206" i="38"/>
  <c r="S204" i="38"/>
  <c r="O202" i="38"/>
  <c r="S200" i="38"/>
  <c r="O198" i="38"/>
  <c r="S196" i="38"/>
  <c r="O194" i="38"/>
  <c r="S192" i="38"/>
  <c r="O190" i="38"/>
  <c r="S188" i="38"/>
  <c r="O186" i="38"/>
  <c r="S184" i="38"/>
  <c r="O182" i="38"/>
  <c r="S180" i="38"/>
  <c r="O178" i="38"/>
  <c r="S176" i="38"/>
  <c r="O174" i="38"/>
  <c r="S172" i="38"/>
  <c r="O170" i="38"/>
  <c r="S168" i="38"/>
  <c r="O166" i="38"/>
  <c r="S164" i="38"/>
  <c r="O162" i="38"/>
  <c r="S160" i="38"/>
  <c r="O158" i="38"/>
  <c r="S156" i="38"/>
  <c r="O154" i="38"/>
  <c r="S152" i="38"/>
  <c r="O150" i="38"/>
  <c r="S148" i="38"/>
  <c r="O146" i="38"/>
  <c r="S144" i="38"/>
  <c r="O142" i="38"/>
  <c r="S140" i="38"/>
  <c r="O138" i="38"/>
  <c r="S136" i="38"/>
  <c r="O134" i="38"/>
  <c r="S132" i="38"/>
  <c r="O130" i="38"/>
  <c r="S128" i="38"/>
  <c r="P126" i="38"/>
  <c r="O125" i="38"/>
  <c r="P243" i="38"/>
  <c r="O231" i="38"/>
  <c r="S225" i="38"/>
  <c r="O215" i="38"/>
  <c r="S209" i="38"/>
  <c r="O199" i="38"/>
  <c r="S193" i="38"/>
  <c r="O183" i="38"/>
  <c r="S177" i="38"/>
  <c r="O167" i="38"/>
  <c r="S161" i="38"/>
  <c r="O151" i="38"/>
  <c r="S145" i="38"/>
  <c r="O135" i="38"/>
  <c r="S129" i="38"/>
  <c r="O119" i="38"/>
  <c r="R116" i="38"/>
  <c r="S113" i="38"/>
  <c r="P106" i="38"/>
  <c r="O101" i="38"/>
  <c r="P235" i="38"/>
  <c r="R224" i="38"/>
  <c r="P219" i="38"/>
  <c r="R208" i="38"/>
  <c r="P203" i="38"/>
  <c r="R192" i="38"/>
  <c r="P187" i="38"/>
  <c r="R176" i="38"/>
  <c r="P171" i="38"/>
  <c r="R160" i="38"/>
  <c r="P155" i="38"/>
  <c r="R144" i="38"/>
  <c r="P139" i="38"/>
  <c r="R128" i="38"/>
  <c r="R113" i="38"/>
  <c r="P108" i="38"/>
  <c r="O106" i="38"/>
  <c r="P103" i="38"/>
  <c r="P239" i="38"/>
  <c r="R228" i="38"/>
  <c r="P223" i="38"/>
  <c r="R212" i="38"/>
  <c r="P207" i="38"/>
  <c r="R196" i="38"/>
  <c r="P191" i="38"/>
  <c r="R180" i="38"/>
  <c r="P175" i="38"/>
  <c r="R164" i="38"/>
  <c r="P159" i="38"/>
  <c r="R148" i="38"/>
  <c r="P143" i="38"/>
  <c r="R132" i="38"/>
  <c r="P127" i="38"/>
  <c r="R115" i="38"/>
  <c r="P105" i="38"/>
  <c r="O100" i="38"/>
  <c r="P247" i="38"/>
  <c r="R232" i="38"/>
  <c r="P227" i="38"/>
  <c r="R216" i="38"/>
  <c r="P211" i="38"/>
  <c r="R200" i="38"/>
  <c r="P195" i="38"/>
  <c r="R184" i="38"/>
  <c r="P179" i="38"/>
  <c r="R168" i="38"/>
  <c r="P163" i="38"/>
  <c r="R152" i="38"/>
  <c r="P147" i="38"/>
  <c r="R136" i="38"/>
  <c r="P131" i="38"/>
  <c r="O126" i="38"/>
  <c r="O120" i="38"/>
  <c r="S117" i="38"/>
  <c r="S114" i="38"/>
  <c r="S109" i="38"/>
  <c r="O107" i="38"/>
  <c r="O102" i="38"/>
  <c r="S237" i="38"/>
  <c r="O227" i="38"/>
  <c r="S221" i="38"/>
  <c r="O211" i="38"/>
  <c r="S205" i="38"/>
  <c r="O195" i="38"/>
  <c r="S189" i="38"/>
  <c r="O179" i="38"/>
  <c r="S173" i="38"/>
  <c r="O163" i="38"/>
  <c r="S157" i="38"/>
  <c r="O147" i="38"/>
  <c r="S141" i="38"/>
  <c r="O131" i="38"/>
  <c r="R114" i="38"/>
  <c r="P104" i="38"/>
  <c r="P231" i="38"/>
  <c r="S217" i="38"/>
  <c r="O203" i="38"/>
  <c r="R188" i="38"/>
  <c r="O175" i="38"/>
  <c r="O121" i="38"/>
  <c r="P107" i="38"/>
  <c r="P100" i="38"/>
  <c r="R248" i="38"/>
  <c r="S229" i="38"/>
  <c r="P215" i="38"/>
  <c r="S201" i="38"/>
  <c r="O187" i="38"/>
  <c r="R172" i="38"/>
  <c r="O159" i="38"/>
  <c r="R244" i="38"/>
  <c r="S213" i="38"/>
  <c r="P199" i="38"/>
  <c r="S185" i="38"/>
  <c r="O171" i="38"/>
  <c r="R156" i="38"/>
  <c r="O143" i="38"/>
  <c r="S112" i="38"/>
  <c r="O219" i="38"/>
  <c r="O122" i="38"/>
  <c r="O108" i="38"/>
  <c r="R240" i="38"/>
  <c r="S197" i="38"/>
  <c r="P183" i="38"/>
  <c r="S169" i="38"/>
  <c r="O155" i="38"/>
  <c r="R140" i="38"/>
  <c r="O127" i="38"/>
  <c r="S111" i="38"/>
  <c r="O105" i="38"/>
  <c r="O191" i="38"/>
  <c r="O239" i="38"/>
  <c r="S181" i="38"/>
  <c r="P167" i="38"/>
  <c r="S153" i="38"/>
  <c r="O139" i="38"/>
  <c r="S110" i="38"/>
  <c r="O104" i="38"/>
  <c r="R204" i="38"/>
  <c r="R236" i="38"/>
  <c r="O223" i="38"/>
  <c r="S165" i="38"/>
  <c r="P151" i="38"/>
  <c r="S137" i="38"/>
  <c r="S116" i="38"/>
  <c r="O103" i="38"/>
  <c r="O235" i="38"/>
  <c r="R220" i="38"/>
  <c r="O207" i="38"/>
  <c r="S149" i="38"/>
  <c r="P135" i="38"/>
  <c r="O123" i="38"/>
  <c r="S115" i="38"/>
  <c r="P102" i="38"/>
  <c r="S233" i="38"/>
  <c r="S133" i="38"/>
  <c r="P101" i="38"/>
  <c r="S249" i="40"/>
  <c r="O247" i="40"/>
  <c r="S245" i="40"/>
  <c r="O243" i="40"/>
  <c r="S241" i="40"/>
  <c r="O239" i="40"/>
  <c r="S237" i="40"/>
  <c r="O235" i="40"/>
  <c r="S233" i="40"/>
  <c r="O231" i="40"/>
  <c r="S229" i="40"/>
  <c r="O227" i="40"/>
  <c r="S225" i="40"/>
  <c r="O223" i="40"/>
  <c r="S221" i="40"/>
  <c r="O219" i="40"/>
  <c r="S217" i="40"/>
  <c r="O215" i="40"/>
  <c r="S213" i="40"/>
  <c r="O211" i="40"/>
  <c r="S209" i="40"/>
  <c r="O207" i="40"/>
  <c r="S205" i="40"/>
  <c r="O203" i="40"/>
  <c r="S201" i="40"/>
  <c r="O199" i="40"/>
  <c r="S197" i="40"/>
  <c r="O195" i="40"/>
  <c r="S193" i="40"/>
  <c r="O191" i="40"/>
  <c r="S189" i="40"/>
  <c r="O187" i="40"/>
  <c r="S185" i="40"/>
  <c r="O183" i="40"/>
  <c r="S181" i="40"/>
  <c r="O179" i="40"/>
  <c r="S177" i="40"/>
  <c r="O175" i="40"/>
  <c r="S173" i="40"/>
  <c r="O171" i="40"/>
  <c r="S169" i="40"/>
  <c r="O167" i="40"/>
  <c r="S165" i="40"/>
  <c r="O163" i="40"/>
  <c r="R249" i="40"/>
  <c r="P248" i="40"/>
  <c r="R245" i="40"/>
  <c r="P244" i="40"/>
  <c r="R241" i="40"/>
  <c r="P240" i="40"/>
  <c r="R237" i="40"/>
  <c r="P236" i="40"/>
  <c r="R233" i="40"/>
  <c r="P232" i="40"/>
  <c r="R229" i="40"/>
  <c r="P228" i="40"/>
  <c r="R225" i="40"/>
  <c r="P224" i="40"/>
  <c r="R221" i="40"/>
  <c r="P220" i="40"/>
  <c r="R217" i="40"/>
  <c r="P216" i="40"/>
  <c r="R213" i="40"/>
  <c r="P212" i="40"/>
  <c r="R209" i="40"/>
  <c r="P208" i="40"/>
  <c r="R205" i="40"/>
  <c r="P204" i="40"/>
  <c r="R201" i="40"/>
  <c r="P200" i="40"/>
  <c r="R197" i="40"/>
  <c r="P196" i="40"/>
  <c r="R193" i="40"/>
  <c r="P192" i="40"/>
  <c r="R189" i="40"/>
  <c r="P188" i="40"/>
  <c r="R185" i="40"/>
  <c r="P184" i="40"/>
  <c r="R181" i="40"/>
  <c r="P180" i="40"/>
  <c r="R177" i="40"/>
  <c r="P176" i="40"/>
  <c r="R173" i="40"/>
  <c r="P172" i="40"/>
  <c r="R169" i="40"/>
  <c r="P168" i="40"/>
  <c r="R165" i="40"/>
  <c r="P164" i="40"/>
  <c r="R161" i="40"/>
  <c r="P160" i="40"/>
  <c r="R157" i="40"/>
  <c r="P156" i="40"/>
  <c r="R153" i="40"/>
  <c r="P152" i="40"/>
  <c r="R149" i="40"/>
  <c r="P148" i="40"/>
  <c r="R145" i="40"/>
  <c r="P144" i="40"/>
  <c r="R141" i="40"/>
  <c r="P140" i="40"/>
  <c r="R137" i="40"/>
  <c r="P136" i="40"/>
  <c r="R133" i="40"/>
  <c r="P132" i="40"/>
  <c r="R129" i="40"/>
  <c r="P128" i="40"/>
  <c r="S124" i="40"/>
  <c r="S121" i="40"/>
  <c r="R120" i="40"/>
  <c r="P118" i="40"/>
  <c r="O117" i="40"/>
  <c r="O116" i="40"/>
  <c r="O115" i="40"/>
  <c r="O112" i="40"/>
  <c r="P111" i="40"/>
  <c r="P110" i="40"/>
  <c r="P109" i="40"/>
  <c r="P108" i="40"/>
  <c r="R107" i="40"/>
  <c r="S106" i="40"/>
  <c r="S105" i="40"/>
  <c r="S104" i="40"/>
  <c r="S103" i="40"/>
  <c r="S102" i="40"/>
  <c r="S250" i="40"/>
  <c r="O248" i="40"/>
  <c r="S246" i="40"/>
  <c r="O244" i="40"/>
  <c r="S242" i="40"/>
  <c r="O240" i="40"/>
  <c r="S238" i="40"/>
  <c r="O236" i="40"/>
  <c r="S234" i="40"/>
  <c r="O232" i="40"/>
  <c r="S230" i="40"/>
  <c r="O228" i="40"/>
  <c r="S226" i="40"/>
  <c r="O224" i="40"/>
  <c r="S222" i="40"/>
  <c r="O220" i="40"/>
  <c r="S218" i="40"/>
  <c r="O216" i="40"/>
  <c r="S214" i="40"/>
  <c r="O212" i="40"/>
  <c r="S210" i="40"/>
  <c r="O208" i="40"/>
  <c r="S206" i="40"/>
  <c r="O204" i="40"/>
  <c r="S202" i="40"/>
  <c r="O200" i="40"/>
  <c r="S198" i="40"/>
  <c r="O196" i="40"/>
  <c r="S194" i="40"/>
  <c r="O192" i="40"/>
  <c r="S190" i="40"/>
  <c r="O188" i="40"/>
  <c r="S186" i="40"/>
  <c r="O184" i="40"/>
  <c r="S182" i="40"/>
  <c r="O180" i="40"/>
  <c r="S178" i="40"/>
  <c r="O176" i="40"/>
  <c r="S174" i="40"/>
  <c r="O172" i="40"/>
  <c r="S170" i="40"/>
  <c r="O168" i="40"/>
  <c r="S166" i="40"/>
  <c r="O164" i="40"/>
  <c r="S162" i="40"/>
  <c r="O160" i="40"/>
  <c r="S158" i="40"/>
  <c r="O156" i="40"/>
  <c r="S154" i="40"/>
  <c r="O152" i="40"/>
  <c r="S150" i="40"/>
  <c r="O148" i="40"/>
  <c r="S146" i="40"/>
  <c r="O144" i="40"/>
  <c r="S142" i="40"/>
  <c r="O140" i="40"/>
  <c r="S138" i="40"/>
  <c r="O136" i="40"/>
  <c r="S134" i="40"/>
  <c r="O132" i="40"/>
  <c r="S130" i="40"/>
  <c r="O128" i="40"/>
  <c r="S125" i="40"/>
  <c r="R124" i="40"/>
  <c r="S123" i="40"/>
  <c r="S122" i="40"/>
  <c r="R121" i="40"/>
  <c r="P119" i="40"/>
  <c r="O118" i="40"/>
  <c r="O111" i="40"/>
  <c r="O110" i="40"/>
  <c r="O109" i="40"/>
  <c r="O108" i="40"/>
  <c r="R106" i="40"/>
  <c r="R105" i="40"/>
  <c r="R104" i="40"/>
  <c r="R103" i="40"/>
  <c r="R102" i="40"/>
  <c r="S101" i="40"/>
  <c r="R250" i="40"/>
  <c r="P249" i="40"/>
  <c r="R246" i="40"/>
  <c r="P245" i="40"/>
  <c r="R242" i="40"/>
  <c r="P241" i="40"/>
  <c r="R238" i="40"/>
  <c r="P237" i="40"/>
  <c r="R234" i="40"/>
  <c r="P233" i="40"/>
  <c r="R230" i="40"/>
  <c r="P229" i="40"/>
  <c r="R226" i="40"/>
  <c r="P225" i="40"/>
  <c r="R222" i="40"/>
  <c r="P221" i="40"/>
  <c r="R218" i="40"/>
  <c r="P217" i="40"/>
  <c r="R214" i="40"/>
  <c r="P213" i="40"/>
  <c r="R210" i="40"/>
  <c r="P209" i="40"/>
  <c r="R206" i="40"/>
  <c r="P205" i="40"/>
  <c r="R202" i="40"/>
  <c r="P201" i="40"/>
  <c r="R198" i="40"/>
  <c r="P197" i="40"/>
  <c r="R194" i="40"/>
  <c r="P193" i="40"/>
  <c r="R190" i="40"/>
  <c r="P189" i="40"/>
  <c r="R186" i="40"/>
  <c r="P185" i="40"/>
  <c r="R182" i="40"/>
  <c r="P181" i="40"/>
  <c r="R178" i="40"/>
  <c r="P177" i="40"/>
  <c r="R174" i="40"/>
  <c r="P173" i="40"/>
  <c r="R170" i="40"/>
  <c r="P169" i="40"/>
  <c r="R166" i="40"/>
  <c r="P165" i="40"/>
  <c r="R162" i="40"/>
  <c r="P161" i="40"/>
  <c r="R158" i="40"/>
  <c r="P157" i="40"/>
  <c r="R154" i="40"/>
  <c r="P153" i="40"/>
  <c r="R150" i="40"/>
  <c r="P149" i="40"/>
  <c r="R146" i="40"/>
  <c r="P145" i="40"/>
  <c r="R142" i="40"/>
  <c r="P141" i="40"/>
  <c r="R138" i="40"/>
  <c r="P137" i="40"/>
  <c r="R134" i="40"/>
  <c r="P133" i="40"/>
  <c r="R130" i="40"/>
  <c r="P129" i="40"/>
  <c r="S126" i="40"/>
  <c r="R125" i="40"/>
  <c r="R123" i="40"/>
  <c r="R122" i="40"/>
  <c r="P120" i="40"/>
  <c r="O119" i="40"/>
  <c r="S113" i="40"/>
  <c r="O249" i="40"/>
  <c r="S247" i="40"/>
  <c r="O245" i="40"/>
  <c r="S243" i="40"/>
  <c r="O241" i="40"/>
  <c r="S239" i="40"/>
  <c r="O237" i="40"/>
  <c r="S235" i="40"/>
  <c r="O233" i="40"/>
  <c r="S231" i="40"/>
  <c r="O229" i="40"/>
  <c r="S227" i="40"/>
  <c r="O225" i="40"/>
  <c r="S223" i="40"/>
  <c r="O221" i="40"/>
  <c r="S219" i="40"/>
  <c r="O217" i="40"/>
  <c r="S215" i="40"/>
  <c r="O213" i="40"/>
  <c r="S211" i="40"/>
  <c r="O209" i="40"/>
  <c r="S207" i="40"/>
  <c r="O205" i="40"/>
  <c r="S203" i="40"/>
  <c r="O201" i="40"/>
  <c r="S199" i="40"/>
  <c r="O197" i="40"/>
  <c r="S195" i="40"/>
  <c r="O193" i="40"/>
  <c r="S191" i="40"/>
  <c r="O189" i="40"/>
  <c r="S187" i="40"/>
  <c r="O185" i="40"/>
  <c r="S183" i="40"/>
  <c r="O181" i="40"/>
  <c r="S179" i="40"/>
  <c r="O177" i="40"/>
  <c r="S175" i="40"/>
  <c r="O173" i="40"/>
  <c r="S171" i="40"/>
  <c r="O169" i="40"/>
  <c r="S167" i="40"/>
  <c r="O165" i="40"/>
  <c r="P250" i="40"/>
  <c r="R247" i="40"/>
  <c r="P246" i="40"/>
  <c r="R243" i="40"/>
  <c r="P242" i="40"/>
  <c r="R239" i="40"/>
  <c r="P238" i="40"/>
  <c r="R235" i="40"/>
  <c r="P234" i="40"/>
  <c r="R231" i="40"/>
  <c r="P230" i="40"/>
  <c r="R227" i="40"/>
  <c r="P226" i="40"/>
  <c r="R223" i="40"/>
  <c r="P222" i="40"/>
  <c r="R219" i="40"/>
  <c r="P218" i="40"/>
  <c r="R215" i="40"/>
  <c r="P214" i="40"/>
  <c r="R211" i="40"/>
  <c r="P210" i="40"/>
  <c r="R207" i="40"/>
  <c r="P206" i="40"/>
  <c r="R203" i="40"/>
  <c r="P202" i="40"/>
  <c r="R199" i="40"/>
  <c r="P198" i="40"/>
  <c r="R195" i="40"/>
  <c r="P194" i="40"/>
  <c r="R191" i="40"/>
  <c r="P190" i="40"/>
  <c r="R187" i="40"/>
  <c r="P186" i="40"/>
  <c r="R183" i="40"/>
  <c r="P182" i="40"/>
  <c r="R179" i="40"/>
  <c r="P178" i="40"/>
  <c r="R175" i="40"/>
  <c r="P174" i="40"/>
  <c r="R171" i="40"/>
  <c r="P170" i="40"/>
  <c r="R167" i="40"/>
  <c r="P166" i="40"/>
  <c r="R163" i="40"/>
  <c r="P162" i="40"/>
  <c r="R159" i="40"/>
  <c r="P158" i="40"/>
  <c r="R155" i="40"/>
  <c r="P154" i="40"/>
  <c r="R151" i="40"/>
  <c r="P150" i="40"/>
  <c r="R147" i="40"/>
  <c r="P146" i="40"/>
  <c r="R143" i="40"/>
  <c r="P142" i="40"/>
  <c r="R139" i="40"/>
  <c r="P138" i="40"/>
  <c r="R135" i="40"/>
  <c r="P134" i="40"/>
  <c r="R131" i="40"/>
  <c r="P130" i="40"/>
  <c r="R127" i="40"/>
  <c r="P125" i="40"/>
  <c r="O124" i="40"/>
  <c r="P123" i="40"/>
  <c r="P122" i="40"/>
  <c r="O121" i="40"/>
  <c r="S117" i="40"/>
  <c r="S116" i="40"/>
  <c r="S115" i="40"/>
  <c r="R114" i="40"/>
  <c r="S112" i="40"/>
  <c r="O106" i="40"/>
  <c r="O105" i="40"/>
  <c r="O104" i="40"/>
  <c r="O103" i="40"/>
  <c r="O250" i="40"/>
  <c r="S248" i="40"/>
  <c r="O246" i="40"/>
  <c r="S244" i="40"/>
  <c r="O242" i="40"/>
  <c r="S240" i="40"/>
  <c r="O238" i="40"/>
  <c r="S236" i="40"/>
  <c r="O234" i="40"/>
  <c r="S232" i="40"/>
  <c r="O230" i="40"/>
  <c r="S228" i="40"/>
  <c r="O226" i="40"/>
  <c r="S224" i="40"/>
  <c r="O222" i="40"/>
  <c r="S220" i="40"/>
  <c r="O218" i="40"/>
  <c r="S216" i="40"/>
  <c r="O214" i="40"/>
  <c r="S212" i="40"/>
  <c r="O210" i="40"/>
  <c r="S208" i="40"/>
  <c r="O206" i="40"/>
  <c r="S204" i="40"/>
  <c r="O202" i="40"/>
  <c r="S200" i="40"/>
  <c r="O198" i="40"/>
  <c r="S196" i="40"/>
  <c r="O194" i="40"/>
  <c r="S192" i="40"/>
  <c r="O190" i="40"/>
  <c r="S188" i="40"/>
  <c r="O186" i="40"/>
  <c r="S184" i="40"/>
  <c r="O182" i="40"/>
  <c r="S180" i="40"/>
  <c r="O178" i="40"/>
  <c r="S176" i="40"/>
  <c r="O174" i="40"/>
  <c r="S172" i="40"/>
  <c r="O170" i="40"/>
  <c r="S168" i="40"/>
  <c r="O166" i="40"/>
  <c r="S164" i="40"/>
  <c r="O162" i="40"/>
  <c r="S160" i="40"/>
  <c r="O158" i="40"/>
  <c r="S156" i="40"/>
  <c r="O154" i="40"/>
  <c r="S152" i="40"/>
  <c r="O150" i="40"/>
  <c r="S148" i="40"/>
  <c r="O146" i="40"/>
  <c r="S144" i="40"/>
  <c r="O142" i="40"/>
  <c r="S140" i="40"/>
  <c r="O138" i="40"/>
  <c r="S136" i="40"/>
  <c r="O134" i="40"/>
  <c r="S132" i="40"/>
  <c r="O130" i="40"/>
  <c r="S128" i="40"/>
  <c r="P126" i="40"/>
  <c r="O125" i="40"/>
  <c r="O123" i="40"/>
  <c r="O122" i="40"/>
  <c r="S118" i="40"/>
  <c r="R117" i="40"/>
  <c r="R116" i="40"/>
  <c r="R115" i="40"/>
  <c r="P113" i="40"/>
  <c r="R112" i="40"/>
  <c r="S111" i="40"/>
  <c r="S110" i="40"/>
  <c r="S109" i="40"/>
  <c r="S108" i="40"/>
  <c r="R244" i="40"/>
  <c r="P223" i="40"/>
  <c r="R212" i="40"/>
  <c r="P191" i="40"/>
  <c r="R180" i="40"/>
  <c r="O155" i="40"/>
  <c r="P151" i="40"/>
  <c r="S147" i="40"/>
  <c r="R140" i="40"/>
  <c r="O137" i="40"/>
  <c r="S133" i="40"/>
  <c r="R126" i="40"/>
  <c r="P115" i="40"/>
  <c r="R110" i="40"/>
  <c r="R108" i="40"/>
  <c r="R101" i="40"/>
  <c r="P243" i="40"/>
  <c r="R232" i="40"/>
  <c r="P211" i="40"/>
  <c r="R200" i="40"/>
  <c r="P179" i="40"/>
  <c r="R168" i="40"/>
  <c r="S161" i="40"/>
  <c r="O151" i="40"/>
  <c r="P147" i="40"/>
  <c r="S143" i="40"/>
  <c r="R136" i="40"/>
  <c r="O133" i="40"/>
  <c r="S129" i="40"/>
  <c r="O126" i="40"/>
  <c r="S120" i="40"/>
  <c r="S114" i="40"/>
  <c r="P112" i="40"/>
  <c r="P100" i="40"/>
  <c r="P231" i="40"/>
  <c r="R220" i="40"/>
  <c r="P199" i="40"/>
  <c r="R188" i="40"/>
  <c r="P167" i="40"/>
  <c r="O161" i="40"/>
  <c r="S157" i="40"/>
  <c r="O147" i="40"/>
  <c r="P143" i="40"/>
  <c r="S139" i="40"/>
  <c r="R132" i="40"/>
  <c r="O129" i="40"/>
  <c r="O120" i="40"/>
  <c r="P117" i="40"/>
  <c r="P114" i="40"/>
  <c r="P101" i="40"/>
  <c r="O100" i="40"/>
  <c r="R240" i="40"/>
  <c r="P219" i="40"/>
  <c r="R208" i="40"/>
  <c r="P187" i="40"/>
  <c r="R176" i="40"/>
  <c r="R160" i="40"/>
  <c r="O157" i="40"/>
  <c r="S153" i="40"/>
  <c r="O143" i="40"/>
  <c r="P139" i="40"/>
  <c r="S135" i="40"/>
  <c r="R128" i="40"/>
  <c r="S119" i="40"/>
  <c r="O114" i="40"/>
  <c r="P106" i="40"/>
  <c r="P104" i="40"/>
  <c r="P102" i="40"/>
  <c r="O101" i="40"/>
  <c r="P239" i="40"/>
  <c r="R228" i="40"/>
  <c r="P207" i="40"/>
  <c r="R196" i="40"/>
  <c r="P175" i="40"/>
  <c r="R164" i="40"/>
  <c r="R156" i="40"/>
  <c r="O153" i="40"/>
  <c r="S149" i="40"/>
  <c r="O139" i="40"/>
  <c r="P135" i="40"/>
  <c r="S131" i="40"/>
  <c r="R119" i="40"/>
  <c r="R113" i="40"/>
  <c r="R111" i="40"/>
  <c r="R109" i="40"/>
  <c r="O102" i="40"/>
  <c r="R248" i="40"/>
  <c r="P227" i="40"/>
  <c r="R216" i="40"/>
  <c r="P195" i="40"/>
  <c r="R184" i="40"/>
  <c r="S163" i="40"/>
  <c r="S159" i="40"/>
  <c r="R152" i="40"/>
  <c r="O149" i="40"/>
  <c r="S145" i="40"/>
  <c r="O135" i="40"/>
  <c r="P131" i="40"/>
  <c r="S127" i="40"/>
  <c r="P116" i="40"/>
  <c r="O113" i="40"/>
  <c r="S107" i="40"/>
  <c r="P247" i="40"/>
  <c r="R236" i="40"/>
  <c r="P215" i="40"/>
  <c r="R204" i="40"/>
  <c r="P183" i="40"/>
  <c r="R172" i="40"/>
  <c r="P163" i="40"/>
  <c r="P159" i="40"/>
  <c r="S155" i="40"/>
  <c r="R148" i="40"/>
  <c r="O145" i="40"/>
  <c r="S141" i="40"/>
  <c r="O131" i="40"/>
  <c r="P127" i="40"/>
  <c r="P124" i="40"/>
  <c r="R118" i="40"/>
  <c r="P107" i="40"/>
  <c r="S100" i="40"/>
  <c r="P235" i="40"/>
  <c r="O159" i="40"/>
  <c r="R224" i="40"/>
  <c r="P155" i="40"/>
  <c r="O127" i="40"/>
  <c r="O107" i="40"/>
  <c r="P203" i="40"/>
  <c r="P121" i="40"/>
  <c r="P103" i="40"/>
  <c r="O141" i="40"/>
  <c r="R100" i="40"/>
  <c r="P171" i="40"/>
  <c r="S137" i="40"/>
  <c r="R144" i="40"/>
  <c r="R192" i="40"/>
  <c r="P105" i="40"/>
  <c r="S151" i="40"/>
  <c r="S249" i="39"/>
  <c r="O247" i="39"/>
  <c r="S245" i="39"/>
  <c r="O243" i="39"/>
  <c r="S241" i="39"/>
  <c r="O239" i="39"/>
  <c r="S237" i="39"/>
  <c r="O235" i="39"/>
  <c r="S233" i="39"/>
  <c r="O231" i="39"/>
  <c r="S229" i="39"/>
  <c r="O227" i="39"/>
  <c r="S225" i="39"/>
  <c r="O223" i="39"/>
  <c r="S221" i="39"/>
  <c r="O219" i="39"/>
  <c r="S217" i="39"/>
  <c r="O215" i="39"/>
  <c r="S213" i="39"/>
  <c r="O211" i="39"/>
  <c r="S209" i="39"/>
  <c r="O207" i="39"/>
  <c r="S205" i="39"/>
  <c r="O203" i="39"/>
  <c r="S201" i="39"/>
  <c r="O199" i="39"/>
  <c r="S197" i="39"/>
  <c r="O195" i="39"/>
  <c r="S193" i="39"/>
  <c r="O191" i="39"/>
  <c r="S189" i="39"/>
  <c r="R249" i="39"/>
  <c r="P248" i="39"/>
  <c r="R245" i="39"/>
  <c r="P244" i="39"/>
  <c r="R241" i="39"/>
  <c r="P240" i="39"/>
  <c r="R237" i="39"/>
  <c r="P236" i="39"/>
  <c r="R233" i="39"/>
  <c r="P232" i="39"/>
  <c r="R229" i="39"/>
  <c r="P228" i="39"/>
  <c r="R225" i="39"/>
  <c r="P224" i="39"/>
  <c r="R221" i="39"/>
  <c r="P220" i="39"/>
  <c r="R217" i="39"/>
  <c r="P216" i="39"/>
  <c r="R213" i="39"/>
  <c r="P212" i="39"/>
  <c r="R209" i="39"/>
  <c r="P208" i="39"/>
  <c r="R205" i="39"/>
  <c r="P204" i="39"/>
  <c r="R201" i="39"/>
  <c r="P200" i="39"/>
  <c r="R197" i="39"/>
  <c r="P196" i="39"/>
  <c r="R193" i="39"/>
  <c r="P192" i="39"/>
  <c r="R189" i="39"/>
  <c r="S250" i="39"/>
  <c r="O248" i="39"/>
  <c r="S246" i="39"/>
  <c r="O244" i="39"/>
  <c r="S242" i="39"/>
  <c r="O240" i="39"/>
  <c r="S238" i="39"/>
  <c r="O236" i="39"/>
  <c r="S234" i="39"/>
  <c r="O232" i="39"/>
  <c r="S230" i="39"/>
  <c r="O228" i="39"/>
  <c r="S226" i="39"/>
  <c r="O224" i="39"/>
  <c r="S222" i="39"/>
  <c r="O220" i="39"/>
  <c r="S218" i="39"/>
  <c r="O216" i="39"/>
  <c r="S214" i="39"/>
  <c r="O212" i="39"/>
  <c r="S210" i="39"/>
  <c r="O208" i="39"/>
  <c r="S206" i="39"/>
  <c r="O204" i="39"/>
  <c r="S202" i="39"/>
  <c r="O200" i="39"/>
  <c r="S198" i="39"/>
  <c r="O196" i="39"/>
  <c r="S194" i="39"/>
  <c r="O192" i="39"/>
  <c r="S190" i="39"/>
  <c r="R250" i="39"/>
  <c r="P249" i="39"/>
  <c r="R246" i="39"/>
  <c r="P245" i="39"/>
  <c r="R242" i="39"/>
  <c r="P241" i="39"/>
  <c r="R238" i="39"/>
  <c r="P237" i="39"/>
  <c r="R234" i="39"/>
  <c r="P233" i="39"/>
  <c r="R230" i="39"/>
  <c r="P229" i="39"/>
  <c r="R226" i="39"/>
  <c r="P225" i="39"/>
  <c r="R222" i="39"/>
  <c r="P221" i="39"/>
  <c r="R218" i="39"/>
  <c r="P217" i="39"/>
  <c r="R214" i="39"/>
  <c r="P213" i="39"/>
  <c r="R210" i="39"/>
  <c r="P209" i="39"/>
  <c r="R206" i="39"/>
  <c r="P205" i="39"/>
  <c r="R202" i="39"/>
  <c r="P201" i="39"/>
  <c r="R198" i="39"/>
  <c r="P197" i="39"/>
  <c r="R194" i="39"/>
  <c r="P193" i="39"/>
  <c r="R190" i="39"/>
  <c r="P250" i="39"/>
  <c r="R247" i="39"/>
  <c r="P246" i="39"/>
  <c r="R243" i="39"/>
  <c r="P242" i="39"/>
  <c r="R239" i="39"/>
  <c r="P238" i="39"/>
  <c r="R235" i="39"/>
  <c r="P234" i="39"/>
  <c r="R231" i="39"/>
  <c r="P230" i="39"/>
  <c r="R227" i="39"/>
  <c r="P226" i="39"/>
  <c r="R223" i="39"/>
  <c r="P222" i="39"/>
  <c r="R219" i="39"/>
  <c r="P218" i="39"/>
  <c r="R215" i="39"/>
  <c r="P214" i="39"/>
  <c r="R211" i="39"/>
  <c r="P210" i="39"/>
  <c r="R207" i="39"/>
  <c r="P206" i="39"/>
  <c r="R203" i="39"/>
  <c r="P202" i="39"/>
  <c r="R199" i="39"/>
  <c r="P198" i="39"/>
  <c r="R195" i="39"/>
  <c r="P194" i="39"/>
  <c r="R191" i="39"/>
  <c r="P190" i="39"/>
  <c r="R248" i="39"/>
  <c r="S244" i="39"/>
  <c r="O241" i="39"/>
  <c r="O234" i="39"/>
  <c r="P227" i="39"/>
  <c r="S219" i="39"/>
  <c r="R216" i="39"/>
  <c r="S212" i="39"/>
  <c r="O209" i="39"/>
  <c r="O202" i="39"/>
  <c r="P195" i="39"/>
  <c r="S188" i="39"/>
  <c r="O186" i="39"/>
  <c r="S184" i="39"/>
  <c r="O182" i="39"/>
  <c r="S180" i="39"/>
  <c r="O178" i="39"/>
  <c r="S176" i="39"/>
  <c r="O174" i="39"/>
  <c r="S172" i="39"/>
  <c r="O170" i="39"/>
  <c r="S168" i="39"/>
  <c r="O166" i="39"/>
  <c r="S164" i="39"/>
  <c r="O162" i="39"/>
  <c r="S160" i="39"/>
  <c r="O158" i="39"/>
  <c r="S156" i="39"/>
  <c r="O154" i="39"/>
  <c r="S152" i="39"/>
  <c r="O150" i="39"/>
  <c r="S148" i="39"/>
  <c r="O146" i="39"/>
  <c r="S144" i="39"/>
  <c r="O142" i="39"/>
  <c r="S140" i="39"/>
  <c r="O138" i="39"/>
  <c r="S136" i="39"/>
  <c r="O134" i="39"/>
  <c r="S247" i="39"/>
  <c r="R244" i="39"/>
  <c r="S240" i="39"/>
  <c r="O237" i="39"/>
  <c r="O230" i="39"/>
  <c r="P223" i="39"/>
  <c r="S215" i="39"/>
  <c r="R212" i="39"/>
  <c r="S208" i="39"/>
  <c r="O205" i="39"/>
  <c r="O198" i="39"/>
  <c r="P191" i="39"/>
  <c r="R188" i="39"/>
  <c r="P187" i="39"/>
  <c r="R184" i="39"/>
  <c r="P183" i="39"/>
  <c r="R180" i="39"/>
  <c r="P179" i="39"/>
  <c r="R176" i="39"/>
  <c r="P175" i="39"/>
  <c r="R172" i="39"/>
  <c r="P171" i="39"/>
  <c r="R168" i="39"/>
  <c r="P167" i="39"/>
  <c r="R164" i="39"/>
  <c r="P163" i="39"/>
  <c r="R160" i="39"/>
  <c r="P159" i="39"/>
  <c r="R156" i="39"/>
  <c r="P155" i="39"/>
  <c r="R152" i="39"/>
  <c r="P151" i="39"/>
  <c r="R148" i="39"/>
  <c r="P147" i="39"/>
  <c r="R144" i="39"/>
  <c r="P143" i="39"/>
  <c r="R140" i="39"/>
  <c r="P139" i="39"/>
  <c r="R136" i="39"/>
  <c r="P135" i="39"/>
  <c r="S243" i="39"/>
  <c r="R240" i="39"/>
  <c r="S236" i="39"/>
  <c r="O233" i="39"/>
  <c r="O226" i="39"/>
  <c r="P219" i="39"/>
  <c r="S211" i="39"/>
  <c r="R208" i="39"/>
  <c r="S204" i="39"/>
  <c r="O201" i="39"/>
  <c r="O194" i="39"/>
  <c r="O187" i="39"/>
  <c r="S185" i="39"/>
  <c r="O183" i="39"/>
  <c r="S181" i="39"/>
  <c r="O179" i="39"/>
  <c r="S177" i="39"/>
  <c r="O175" i="39"/>
  <c r="S173" i="39"/>
  <c r="O171" i="39"/>
  <c r="S169" i="39"/>
  <c r="O167" i="39"/>
  <c r="S165" i="39"/>
  <c r="O163" i="39"/>
  <c r="S161" i="39"/>
  <c r="O159" i="39"/>
  <c r="S157" i="39"/>
  <c r="O155" i="39"/>
  <c r="S153" i="39"/>
  <c r="O151" i="39"/>
  <c r="S149" i="39"/>
  <c r="O147" i="39"/>
  <c r="S145" i="39"/>
  <c r="O143" i="39"/>
  <c r="S141" i="39"/>
  <c r="O139" i="39"/>
  <c r="S137" i="39"/>
  <c r="O135" i="39"/>
  <c r="O250" i="39"/>
  <c r="P243" i="39"/>
  <c r="S235" i="39"/>
  <c r="R232" i="39"/>
  <c r="S228" i="39"/>
  <c r="O225" i="39"/>
  <c r="O218" i="39"/>
  <c r="P211" i="39"/>
  <c r="S203" i="39"/>
  <c r="R200" i="39"/>
  <c r="S196" i="39"/>
  <c r="O193" i="39"/>
  <c r="O188" i="39"/>
  <c r="S186" i="39"/>
  <c r="O184" i="39"/>
  <c r="S182" i="39"/>
  <c r="O180" i="39"/>
  <c r="S178" i="39"/>
  <c r="O176" i="39"/>
  <c r="S174" i="39"/>
  <c r="O172" i="39"/>
  <c r="S170" i="39"/>
  <c r="O168" i="39"/>
  <c r="S166" i="39"/>
  <c r="O164" i="39"/>
  <c r="S162" i="39"/>
  <c r="O160" i="39"/>
  <c r="S158" i="39"/>
  <c r="O156" i="39"/>
  <c r="S154" i="39"/>
  <c r="O152" i="39"/>
  <c r="S150" i="39"/>
  <c r="O148" i="39"/>
  <c r="S146" i="39"/>
  <c r="O144" i="39"/>
  <c r="S142" i="39"/>
  <c r="O140" i="39"/>
  <c r="S138" i="39"/>
  <c r="O136" i="39"/>
  <c r="S248" i="39"/>
  <c r="R220" i="39"/>
  <c r="O213" i="39"/>
  <c r="O206" i="39"/>
  <c r="P199" i="39"/>
  <c r="S191" i="39"/>
  <c r="R187" i="39"/>
  <c r="P182" i="39"/>
  <c r="R179" i="39"/>
  <c r="P174" i="39"/>
  <c r="R171" i="39"/>
  <c r="P166" i="39"/>
  <c r="R163" i="39"/>
  <c r="P158" i="39"/>
  <c r="R155" i="39"/>
  <c r="P150" i="39"/>
  <c r="R147" i="39"/>
  <c r="P142" i="39"/>
  <c r="R139" i="39"/>
  <c r="R131" i="39"/>
  <c r="P130" i="39"/>
  <c r="R127" i="39"/>
  <c r="P125" i="39"/>
  <c r="O124" i="39"/>
  <c r="S120" i="39"/>
  <c r="R119" i="39"/>
  <c r="S118" i="39"/>
  <c r="S117" i="39"/>
  <c r="S116" i="39"/>
  <c r="R115" i="39"/>
  <c r="P113" i="39"/>
  <c r="R112" i="39"/>
  <c r="S111" i="39"/>
  <c r="S110" i="39"/>
  <c r="P103" i="39"/>
  <c r="P102" i="39"/>
  <c r="S101" i="39"/>
  <c r="O246" i="39"/>
  <c r="P239" i="39"/>
  <c r="S231" i="39"/>
  <c r="S224" i="39"/>
  <c r="R196" i="39"/>
  <c r="P189" i="39"/>
  <c r="R186" i="39"/>
  <c r="P181" i="39"/>
  <c r="R178" i="39"/>
  <c r="P173" i="39"/>
  <c r="R170" i="39"/>
  <c r="P165" i="39"/>
  <c r="R162" i="39"/>
  <c r="P157" i="39"/>
  <c r="R154" i="39"/>
  <c r="P149" i="39"/>
  <c r="R146" i="39"/>
  <c r="P141" i="39"/>
  <c r="R138" i="39"/>
  <c r="R132" i="39"/>
  <c r="P131" i="39"/>
  <c r="R128" i="39"/>
  <c r="P127" i="39"/>
  <c r="O126" i="39"/>
  <c r="S122" i="39"/>
  <c r="R121" i="39"/>
  <c r="P119" i="39"/>
  <c r="P115" i="39"/>
  <c r="O114" i="39"/>
  <c r="P112" i="39"/>
  <c r="S109" i="39"/>
  <c r="S108" i="39"/>
  <c r="S107" i="39"/>
  <c r="S106" i="39"/>
  <c r="R100" i="39"/>
  <c r="R224" i="39"/>
  <c r="O217" i="39"/>
  <c r="O210" i="39"/>
  <c r="P203" i="39"/>
  <c r="S195" i="39"/>
  <c r="O189" i="39"/>
  <c r="S183" i="39"/>
  <c r="O181" i="39"/>
  <c r="S175" i="39"/>
  <c r="O173" i="39"/>
  <c r="S167" i="39"/>
  <c r="O165" i="39"/>
  <c r="S159" i="39"/>
  <c r="O157" i="39"/>
  <c r="S151" i="39"/>
  <c r="O149" i="39"/>
  <c r="S143" i="39"/>
  <c r="O141" i="39"/>
  <c r="S135" i="39"/>
  <c r="S133" i="39"/>
  <c r="O131" i="39"/>
  <c r="S129" i="39"/>
  <c r="O127" i="39"/>
  <c r="S123" i="39"/>
  <c r="R122" i="39"/>
  <c r="P120" i="39"/>
  <c r="O119" i="39"/>
  <c r="P118" i="39"/>
  <c r="P117" i="39"/>
  <c r="P116" i="39"/>
  <c r="O115" i="39"/>
  <c r="O112" i="39"/>
  <c r="P111" i="39"/>
  <c r="P110" i="39"/>
  <c r="R109" i="39"/>
  <c r="R108" i="39"/>
  <c r="R107" i="39"/>
  <c r="R106" i="39"/>
  <c r="S105" i="39"/>
  <c r="S104" i="39"/>
  <c r="P101" i="39"/>
  <c r="R236" i="39"/>
  <c r="O229" i="39"/>
  <c r="O222" i="39"/>
  <c r="P215" i="39"/>
  <c r="S207" i="39"/>
  <c r="S200" i="39"/>
  <c r="P188" i="39"/>
  <c r="R185" i="39"/>
  <c r="P180" i="39"/>
  <c r="R177" i="39"/>
  <c r="P172" i="39"/>
  <c r="R169" i="39"/>
  <c r="P164" i="39"/>
  <c r="R161" i="39"/>
  <c r="P156" i="39"/>
  <c r="R153" i="39"/>
  <c r="P148" i="39"/>
  <c r="R145" i="39"/>
  <c r="P140" i="39"/>
  <c r="R137" i="39"/>
  <c r="O132" i="39"/>
  <c r="S130" i="39"/>
  <c r="O128" i="39"/>
  <c r="S125" i="39"/>
  <c r="R124" i="39"/>
  <c r="P122" i="39"/>
  <c r="O121" i="39"/>
  <c r="S113" i="39"/>
  <c r="P109" i="39"/>
  <c r="P108" i="39"/>
  <c r="P107" i="39"/>
  <c r="P106" i="39"/>
  <c r="S103" i="39"/>
  <c r="S102" i="39"/>
  <c r="O100" i="39"/>
  <c r="R228" i="39"/>
  <c r="O221" i="39"/>
  <c r="O214" i="39"/>
  <c r="P207" i="39"/>
  <c r="S199" i="39"/>
  <c r="S192" i="39"/>
  <c r="P185" i="39"/>
  <c r="R182" i="39"/>
  <c r="P177" i="39"/>
  <c r="R174" i="39"/>
  <c r="P169" i="39"/>
  <c r="R166" i="39"/>
  <c r="P161" i="39"/>
  <c r="R158" i="39"/>
  <c r="P153" i="39"/>
  <c r="R150" i="39"/>
  <c r="P145" i="39"/>
  <c r="R142" i="39"/>
  <c r="P137" i="39"/>
  <c r="S134" i="39"/>
  <c r="P133" i="39"/>
  <c r="R130" i="39"/>
  <c r="P129" i="39"/>
  <c r="S126" i="39"/>
  <c r="R125" i="39"/>
  <c r="P123" i="39"/>
  <c r="O122" i="39"/>
  <c r="S114" i="39"/>
  <c r="R113" i="39"/>
  <c r="O109" i="39"/>
  <c r="O108" i="39"/>
  <c r="O107" i="39"/>
  <c r="O106" i="39"/>
  <c r="P105" i="39"/>
  <c r="P104" i="39"/>
  <c r="R103" i="39"/>
  <c r="R102" i="39"/>
  <c r="O238" i="39"/>
  <c r="P186" i="39"/>
  <c r="S171" i="39"/>
  <c r="R157" i="39"/>
  <c r="R143" i="39"/>
  <c r="P136" i="39"/>
  <c r="S131" i="39"/>
  <c r="P128" i="39"/>
  <c r="O125" i="39"/>
  <c r="R116" i="39"/>
  <c r="O111" i="39"/>
  <c r="R101" i="39"/>
  <c r="P235" i="39"/>
  <c r="S216" i="39"/>
  <c r="O197" i="39"/>
  <c r="O185" i="39"/>
  <c r="P178" i="39"/>
  <c r="S163" i="39"/>
  <c r="R149" i="39"/>
  <c r="R135" i="39"/>
  <c r="S127" i="39"/>
  <c r="S124" i="39"/>
  <c r="S121" i="39"/>
  <c r="O116" i="39"/>
  <c r="O113" i="39"/>
  <c r="O101" i="39"/>
  <c r="S232" i="39"/>
  <c r="P184" i="39"/>
  <c r="O177" i="39"/>
  <c r="P170" i="39"/>
  <c r="S155" i="39"/>
  <c r="R141" i="39"/>
  <c r="R134" i="39"/>
  <c r="P124" i="39"/>
  <c r="P121" i="39"/>
  <c r="R118" i="39"/>
  <c r="S115" i="39"/>
  <c r="R110" i="39"/>
  <c r="R105" i="39"/>
  <c r="O103" i="39"/>
  <c r="O249" i="39"/>
  <c r="P231" i="39"/>
  <c r="R192" i="39"/>
  <c r="R183" i="39"/>
  <c r="P176" i="39"/>
  <c r="O169" i="39"/>
  <c r="P162" i="39"/>
  <c r="S147" i="39"/>
  <c r="P134" i="39"/>
  <c r="O118" i="39"/>
  <c r="S112" i="39"/>
  <c r="O110" i="39"/>
  <c r="O105" i="39"/>
  <c r="S100" i="39"/>
  <c r="P247" i="39"/>
  <c r="S227" i="39"/>
  <c r="O190" i="39"/>
  <c r="R175" i="39"/>
  <c r="P168" i="39"/>
  <c r="O161" i="39"/>
  <c r="P154" i="39"/>
  <c r="S139" i="39"/>
  <c r="R133" i="39"/>
  <c r="O130" i="39"/>
  <c r="R126" i="39"/>
  <c r="R123" i="39"/>
  <c r="R120" i="39"/>
  <c r="P100" i="39"/>
  <c r="S179" i="39"/>
  <c r="R159" i="39"/>
  <c r="S128" i="39"/>
  <c r="S119" i="39"/>
  <c r="R204" i="39"/>
  <c r="P138" i="39"/>
  <c r="P126" i="39"/>
  <c r="R104" i="39"/>
  <c r="O245" i="39"/>
  <c r="R173" i="39"/>
  <c r="O153" i="39"/>
  <c r="O137" i="39"/>
  <c r="R117" i="39"/>
  <c r="R111" i="39"/>
  <c r="O104" i="39"/>
  <c r="O242" i="39"/>
  <c r="P152" i="39"/>
  <c r="O133" i="39"/>
  <c r="O117" i="39"/>
  <c r="S239" i="39"/>
  <c r="S187" i="39"/>
  <c r="R167" i="39"/>
  <c r="R151" i="39"/>
  <c r="S132" i="39"/>
  <c r="O123" i="39"/>
  <c r="O102" i="39"/>
  <c r="P146" i="39"/>
  <c r="P132" i="39"/>
  <c r="S223" i="39"/>
  <c r="R181" i="39"/>
  <c r="R165" i="39"/>
  <c r="O145" i="39"/>
  <c r="R129" i="39"/>
  <c r="P114" i="39"/>
  <c r="S220" i="39"/>
  <c r="P160" i="39"/>
  <c r="P144" i="39"/>
  <c r="O129" i="39"/>
  <c r="O120" i="39"/>
  <c r="D65" i="38"/>
  <c r="D101" i="38" s="1"/>
  <c r="D102" i="38" s="1"/>
  <c r="D103" i="38" s="1"/>
  <c r="D104" i="38" s="1"/>
  <c r="D105" i="38" s="1"/>
  <c r="D106" i="38" s="1"/>
  <c r="D107" i="38" s="1"/>
  <c r="D108" i="38" s="1"/>
  <c r="D109" i="38" s="1"/>
  <c r="D110" i="38" s="1"/>
  <c r="D111" i="38" s="1"/>
  <c r="D112" i="38" s="1"/>
  <c r="D113" i="38" s="1"/>
  <c r="D114" i="38" s="1"/>
  <c r="D115" i="38" s="1"/>
  <c r="D116" i="38" s="1"/>
  <c r="D117" i="38" s="1"/>
  <c r="D118" i="38" s="1"/>
  <c r="D119" i="38" s="1"/>
  <c r="D120" i="38" s="1"/>
  <c r="D121" i="38" s="1"/>
  <c r="D122" i="38" s="1"/>
  <c r="D123" i="38" s="1"/>
  <c r="D124" i="38" s="1"/>
  <c r="D125" i="38" s="1"/>
  <c r="D126" i="38" s="1"/>
  <c r="D127" i="38" s="1"/>
  <c r="D128" i="38" s="1"/>
  <c r="D129" i="38" s="1"/>
  <c r="D130" i="38" s="1"/>
  <c r="D131" i="38" s="1"/>
  <c r="D132" i="38" s="1"/>
  <c r="D133" i="38" s="1"/>
  <c r="D134" i="38" s="1"/>
  <c r="D135" i="38" s="1"/>
  <c r="D136" i="38" s="1"/>
  <c r="D137" i="38" s="1"/>
  <c r="D138" i="38" s="1"/>
  <c r="D139" i="38" s="1"/>
  <c r="J56" i="38"/>
  <c r="J43" i="39"/>
  <c r="Q100" i="39" s="1"/>
  <c r="D65" i="40"/>
  <c r="D101" i="40" s="1"/>
  <c r="D102" i="40" s="1"/>
  <c r="D103" i="40" s="1"/>
  <c r="D104" i="40" s="1"/>
  <c r="D105" i="40" s="1"/>
  <c r="D106" i="40" s="1"/>
  <c r="D107" i="40" s="1"/>
  <c r="D108" i="40" s="1"/>
  <c r="D109" i="40" s="1"/>
  <c r="D110" i="40" s="1"/>
  <c r="D111" i="40" s="1"/>
  <c r="D112" i="40" s="1"/>
  <c r="D113" i="40" s="1"/>
  <c r="D114" i="40" s="1"/>
  <c r="D115" i="40" s="1"/>
  <c r="D116" i="40" s="1"/>
  <c r="D117" i="40" s="1"/>
  <c r="D118" i="40" s="1"/>
  <c r="D119" i="40" s="1"/>
  <c r="D120" i="40" s="1"/>
  <c r="J56" i="40"/>
  <c r="J56" i="39"/>
  <c r="J56" i="37"/>
  <c r="D65" i="37"/>
  <c r="D101" i="37" s="1"/>
  <c r="D102" i="37" s="1"/>
  <c r="D103" i="37" s="1"/>
  <c r="D104" i="37" s="1"/>
  <c r="D105" i="37" s="1"/>
  <c r="D106" i="37" s="1"/>
  <c r="D107" i="37" s="1"/>
  <c r="D108" i="37" s="1"/>
  <c r="D109" i="37" s="1"/>
  <c r="D110" i="37" s="1"/>
  <c r="D111" i="37" s="1"/>
  <c r="D112" i="37" s="1"/>
  <c r="D113" i="37" s="1"/>
  <c r="D114" i="37" s="1"/>
  <c r="D115" i="37" s="1"/>
  <c r="D116" i="37" s="1"/>
  <c r="D117" i="37" s="1"/>
  <c r="D118" i="37" s="1"/>
  <c r="D119" i="37" s="1"/>
  <c r="D120" i="37" s="1"/>
  <c r="D121" i="37" s="1"/>
  <c r="D122" i="37" s="1"/>
  <c r="D123" i="37" s="1"/>
  <c r="D124" i="37" s="1"/>
  <c r="D125" i="37" s="1"/>
  <c r="D126" i="37" s="1"/>
  <c r="D127" i="37" s="1"/>
  <c r="D128" i="37" s="1"/>
  <c r="D129" i="37" s="1"/>
  <c r="D130" i="37" s="1"/>
  <c r="D131" i="37" s="1"/>
  <c r="D132" i="37" s="1"/>
  <c r="D133" i="37" s="1"/>
  <c r="D134" i="37" s="1"/>
  <c r="D135" i="37" s="1"/>
  <c r="D136" i="37" s="1"/>
  <c r="D137" i="37" s="1"/>
  <c r="D138" i="37" s="1"/>
  <c r="D139" i="37" s="1"/>
  <c r="F15" i="36"/>
  <c r="E67" i="36"/>
  <c r="D67" i="36"/>
  <c r="E66" i="36"/>
  <c r="D66" i="36"/>
  <c r="E63" i="36"/>
  <c r="D63" i="36"/>
  <c r="D50" i="36"/>
  <c r="N39" i="36"/>
  <c r="T37" i="36"/>
  <c r="T38" i="36" s="1"/>
  <c r="Q37" i="36"/>
  <c r="Q38" i="36" s="1"/>
  <c r="N37" i="36"/>
  <c r="N38" i="36" s="1"/>
  <c r="J37" i="36"/>
  <c r="J38" i="36" s="1"/>
  <c r="G37" i="36"/>
  <c r="G38" i="36" s="1"/>
  <c r="D37" i="36"/>
  <c r="I26" i="36"/>
  <c r="E68" i="36" s="1"/>
  <c r="G26" i="36"/>
  <c r="D68" i="36" s="1"/>
  <c r="H22" i="36"/>
  <c r="F22" i="36"/>
  <c r="F23" i="36" s="1"/>
  <c r="D64" i="36" s="1"/>
  <c r="H16" i="36"/>
  <c r="E65" i="36" s="1"/>
  <c r="F16" i="36"/>
  <c r="D65" i="36" s="1"/>
  <c r="F14" i="36"/>
  <c r="F14" i="34"/>
  <c r="C250" i="34"/>
  <c r="C249" i="34"/>
  <c r="C248" i="34"/>
  <c r="C247" i="34"/>
  <c r="C246" i="34"/>
  <c r="C245" i="34"/>
  <c r="C244" i="34"/>
  <c r="C243" i="34"/>
  <c r="C242" i="34"/>
  <c r="C241" i="34"/>
  <c r="C240" i="34"/>
  <c r="C239" i="34"/>
  <c r="C238" i="34"/>
  <c r="C237" i="34"/>
  <c r="C236" i="34"/>
  <c r="C235" i="34"/>
  <c r="C234" i="34"/>
  <c r="C233" i="34"/>
  <c r="C232" i="34"/>
  <c r="C231" i="34"/>
  <c r="C230" i="34"/>
  <c r="C229" i="34"/>
  <c r="C228" i="34"/>
  <c r="C227" i="34"/>
  <c r="C226" i="34"/>
  <c r="C225" i="34"/>
  <c r="C224" i="34"/>
  <c r="C223" i="34"/>
  <c r="C222" i="34"/>
  <c r="C221" i="34"/>
  <c r="C220" i="34"/>
  <c r="C219" i="34"/>
  <c r="C218" i="34"/>
  <c r="C217" i="34"/>
  <c r="C216" i="34"/>
  <c r="C215" i="34"/>
  <c r="C214" i="34"/>
  <c r="C213" i="34"/>
  <c r="C212" i="34"/>
  <c r="C211" i="34"/>
  <c r="C210" i="34"/>
  <c r="C209" i="34"/>
  <c r="C208" i="34"/>
  <c r="C207" i="34"/>
  <c r="C206" i="34"/>
  <c r="C205" i="34"/>
  <c r="C204" i="34"/>
  <c r="C203" i="34"/>
  <c r="C202" i="34"/>
  <c r="C201" i="34"/>
  <c r="C200" i="34"/>
  <c r="C199" i="34"/>
  <c r="C198" i="34"/>
  <c r="C197" i="34"/>
  <c r="C196" i="34"/>
  <c r="C195" i="34"/>
  <c r="C194" i="34"/>
  <c r="C193" i="34"/>
  <c r="C192" i="34"/>
  <c r="C191" i="34"/>
  <c r="C190" i="34"/>
  <c r="C189" i="34"/>
  <c r="C188" i="34"/>
  <c r="C187" i="34"/>
  <c r="C186" i="34"/>
  <c r="C185" i="34"/>
  <c r="C184" i="34"/>
  <c r="C183" i="34"/>
  <c r="C182" i="34"/>
  <c r="C181" i="34"/>
  <c r="C180" i="34"/>
  <c r="C179" i="34"/>
  <c r="C178" i="34"/>
  <c r="C177" i="34"/>
  <c r="C176" i="34"/>
  <c r="C175" i="34"/>
  <c r="C174" i="34"/>
  <c r="C173" i="34"/>
  <c r="C172" i="34"/>
  <c r="C171" i="34"/>
  <c r="C170" i="34"/>
  <c r="C169" i="34"/>
  <c r="C168" i="34"/>
  <c r="C167" i="34"/>
  <c r="C166" i="34"/>
  <c r="C165" i="34"/>
  <c r="C164" i="34"/>
  <c r="C163" i="34"/>
  <c r="C162" i="34"/>
  <c r="C161" i="34"/>
  <c r="C160" i="34"/>
  <c r="C159" i="34"/>
  <c r="C158" i="34"/>
  <c r="C157" i="34"/>
  <c r="C156" i="34"/>
  <c r="C155" i="34"/>
  <c r="C154" i="34"/>
  <c r="C153" i="34"/>
  <c r="C152" i="34"/>
  <c r="C151" i="34"/>
  <c r="C150" i="34"/>
  <c r="C149" i="34"/>
  <c r="C148" i="34"/>
  <c r="C147" i="34"/>
  <c r="C146" i="34"/>
  <c r="C145" i="34"/>
  <c r="C144" i="34"/>
  <c r="C143" i="34"/>
  <c r="C142" i="34"/>
  <c r="C141" i="34"/>
  <c r="C140" i="34"/>
  <c r="C139" i="34"/>
  <c r="C138" i="34"/>
  <c r="C137" i="34"/>
  <c r="C136" i="34"/>
  <c r="C135" i="34"/>
  <c r="C134" i="34"/>
  <c r="C133" i="34"/>
  <c r="C132" i="34"/>
  <c r="C131" i="34"/>
  <c r="C130" i="34"/>
  <c r="C129" i="34"/>
  <c r="C128" i="34"/>
  <c r="C127" i="34"/>
  <c r="C126" i="34"/>
  <c r="C125" i="34"/>
  <c r="C124" i="34"/>
  <c r="C123" i="34"/>
  <c r="C122" i="34"/>
  <c r="C121" i="34"/>
  <c r="C120" i="34"/>
  <c r="C119" i="34"/>
  <c r="C118" i="34"/>
  <c r="C117" i="34"/>
  <c r="C116" i="34"/>
  <c r="C115" i="34"/>
  <c r="C114" i="34"/>
  <c r="C113" i="34"/>
  <c r="C112" i="34"/>
  <c r="C111" i="34"/>
  <c r="C110" i="34"/>
  <c r="C109" i="34"/>
  <c r="C108" i="34"/>
  <c r="C107" i="34"/>
  <c r="C106" i="34"/>
  <c r="C105" i="34"/>
  <c r="C104" i="34"/>
  <c r="C103" i="34"/>
  <c r="C102" i="34"/>
  <c r="C101" i="34"/>
  <c r="C100" i="34"/>
  <c r="D100" i="34" s="1"/>
  <c r="D59" i="34"/>
  <c r="D58" i="34"/>
  <c r="D57" i="34"/>
  <c r="D56" i="34"/>
  <c r="D55" i="34"/>
  <c r="D54" i="34"/>
  <c r="D53" i="34"/>
  <c r="D52" i="34"/>
  <c r="D51" i="34"/>
  <c r="D50" i="34"/>
  <c r="D49" i="34"/>
  <c r="D48" i="34"/>
  <c r="D47" i="34"/>
  <c r="D46" i="34"/>
  <c r="D45" i="34"/>
  <c r="D44" i="34"/>
  <c r="D43" i="34"/>
  <c r="D42" i="34"/>
  <c r="D41" i="34"/>
  <c r="D40" i="34"/>
  <c r="D39" i="34"/>
  <c r="D28" i="34"/>
  <c r="F23" i="34"/>
  <c r="F21" i="34"/>
  <c r="F18" i="34"/>
  <c r="F13" i="34"/>
  <c r="D5" i="34"/>
  <c r="F14" i="27"/>
  <c r="F14" i="30"/>
  <c r="C250" i="30"/>
  <c r="C249" i="30"/>
  <c r="C248" i="30"/>
  <c r="C247" i="30"/>
  <c r="C246" i="30"/>
  <c r="C245" i="30"/>
  <c r="C244" i="30"/>
  <c r="C243" i="30"/>
  <c r="C242" i="30"/>
  <c r="C241" i="30"/>
  <c r="C240" i="30"/>
  <c r="C239" i="30"/>
  <c r="C238" i="30"/>
  <c r="C237" i="30"/>
  <c r="C236" i="30"/>
  <c r="C235" i="30"/>
  <c r="C234" i="30"/>
  <c r="C233" i="30"/>
  <c r="C232" i="30"/>
  <c r="C231" i="30"/>
  <c r="C230" i="30"/>
  <c r="C229" i="30"/>
  <c r="C228" i="30"/>
  <c r="C227" i="30"/>
  <c r="C226" i="30"/>
  <c r="C225" i="30"/>
  <c r="C224" i="30"/>
  <c r="C223" i="30"/>
  <c r="C222" i="30"/>
  <c r="C221" i="30"/>
  <c r="C220" i="30"/>
  <c r="C219" i="30"/>
  <c r="C218" i="30"/>
  <c r="C217" i="30"/>
  <c r="C216" i="30"/>
  <c r="C215" i="30"/>
  <c r="C214" i="30"/>
  <c r="C213" i="30"/>
  <c r="C212" i="30"/>
  <c r="C211" i="30"/>
  <c r="C210" i="30"/>
  <c r="C209" i="30"/>
  <c r="C208" i="30"/>
  <c r="C207" i="30"/>
  <c r="C206" i="30"/>
  <c r="C205" i="30"/>
  <c r="C204" i="30"/>
  <c r="C203" i="30"/>
  <c r="C202" i="30"/>
  <c r="C201" i="30"/>
  <c r="C200" i="30"/>
  <c r="C199" i="30"/>
  <c r="C198" i="30"/>
  <c r="C197" i="30"/>
  <c r="C196" i="30"/>
  <c r="C195" i="30"/>
  <c r="C194" i="30"/>
  <c r="C193" i="30"/>
  <c r="C192" i="30"/>
  <c r="C191" i="30"/>
  <c r="C190" i="30"/>
  <c r="C189" i="30"/>
  <c r="C188" i="30"/>
  <c r="C187" i="30"/>
  <c r="C186" i="30"/>
  <c r="C185" i="30"/>
  <c r="C184" i="30"/>
  <c r="C183" i="30"/>
  <c r="C182" i="30"/>
  <c r="C181" i="30"/>
  <c r="C180" i="30"/>
  <c r="C179" i="30"/>
  <c r="C178" i="30"/>
  <c r="C177" i="30"/>
  <c r="C176" i="30"/>
  <c r="C175" i="30"/>
  <c r="C174" i="30"/>
  <c r="C173" i="30"/>
  <c r="C172" i="30"/>
  <c r="C171" i="30"/>
  <c r="C170" i="30"/>
  <c r="C169" i="30"/>
  <c r="C168" i="30"/>
  <c r="C167" i="30"/>
  <c r="C166" i="30"/>
  <c r="C165" i="30"/>
  <c r="C164" i="30"/>
  <c r="C163" i="30"/>
  <c r="C162" i="30"/>
  <c r="C161" i="30"/>
  <c r="C160" i="30"/>
  <c r="C159" i="30"/>
  <c r="C158" i="30"/>
  <c r="C157" i="30"/>
  <c r="C156" i="30"/>
  <c r="C155" i="30"/>
  <c r="C154" i="30"/>
  <c r="C153" i="30"/>
  <c r="C152" i="30"/>
  <c r="C151" i="30"/>
  <c r="C150" i="30"/>
  <c r="C149" i="30"/>
  <c r="C148" i="30"/>
  <c r="C147" i="30"/>
  <c r="C146" i="30"/>
  <c r="C145" i="30"/>
  <c r="C144" i="30"/>
  <c r="C143" i="30"/>
  <c r="C142" i="30"/>
  <c r="C141" i="30"/>
  <c r="C140" i="30"/>
  <c r="C139" i="30"/>
  <c r="C138" i="30"/>
  <c r="C137" i="30"/>
  <c r="C136" i="30"/>
  <c r="C135" i="30"/>
  <c r="C134" i="30"/>
  <c r="C133" i="30"/>
  <c r="C132" i="30"/>
  <c r="C131" i="30"/>
  <c r="C130" i="30"/>
  <c r="C129" i="30"/>
  <c r="C128" i="30"/>
  <c r="C127" i="30"/>
  <c r="C126" i="30"/>
  <c r="C125" i="30"/>
  <c r="C124" i="30"/>
  <c r="C123" i="30"/>
  <c r="C122" i="30"/>
  <c r="C121" i="30"/>
  <c r="C120" i="30"/>
  <c r="C119" i="30"/>
  <c r="C118" i="30"/>
  <c r="C117" i="30"/>
  <c r="C116" i="30"/>
  <c r="C115" i="30"/>
  <c r="C114" i="30"/>
  <c r="C113" i="30"/>
  <c r="C112" i="30"/>
  <c r="C111" i="30"/>
  <c r="C110" i="30"/>
  <c r="C109" i="30"/>
  <c r="C108" i="30"/>
  <c r="C107" i="30"/>
  <c r="C106" i="30"/>
  <c r="C105" i="30"/>
  <c r="C104" i="30"/>
  <c r="C103" i="30"/>
  <c r="C102" i="30"/>
  <c r="C101" i="30"/>
  <c r="C100" i="30"/>
  <c r="D100" i="30" s="1"/>
  <c r="D59" i="30"/>
  <c r="D58" i="30"/>
  <c r="D57" i="30"/>
  <c r="D56" i="30"/>
  <c r="D55" i="30"/>
  <c r="D54" i="30"/>
  <c r="D53" i="30"/>
  <c r="D52" i="30"/>
  <c r="D51" i="30"/>
  <c r="D50" i="30"/>
  <c r="D49" i="30"/>
  <c r="D48" i="30"/>
  <c r="D47" i="30"/>
  <c r="D46" i="30"/>
  <c r="D45" i="30"/>
  <c r="D44" i="30"/>
  <c r="D43" i="30"/>
  <c r="D42" i="30"/>
  <c r="D41" i="30"/>
  <c r="D40" i="30"/>
  <c r="D39" i="30"/>
  <c r="D28" i="30"/>
  <c r="D28" i="39" s="1"/>
  <c r="F23" i="30"/>
  <c r="F21" i="30"/>
  <c r="F20" i="30"/>
  <c r="J40" i="30" s="1"/>
  <c r="F18" i="30"/>
  <c r="F13" i="30"/>
  <c r="D5" i="30"/>
  <c r="I26" i="21"/>
  <c r="G26" i="21"/>
  <c r="F28" i="21"/>
  <c r="F22" i="21"/>
  <c r="F23" i="21" s="1"/>
  <c r="D64" i="21" s="1"/>
  <c r="H22" i="21"/>
  <c r="H23" i="21" s="1"/>
  <c r="E64" i="21" s="1"/>
  <c r="F16" i="21"/>
  <c r="H16" i="21"/>
  <c r="E65" i="21" s="1"/>
  <c r="F14" i="21"/>
  <c r="H7" i="2"/>
  <c r="F23" i="27"/>
  <c r="F22" i="27"/>
  <c r="F21" i="27"/>
  <c r="F18" i="27"/>
  <c r="F13" i="27"/>
  <c r="F13" i="22"/>
  <c r="D28" i="22"/>
  <c r="F23" i="22"/>
  <c r="J56" i="22" s="1"/>
  <c r="F21" i="22"/>
  <c r="F20" i="22"/>
  <c r="J43" i="22" s="1"/>
  <c r="F18" i="22"/>
  <c r="H6" i="7"/>
  <c r="H9" i="7"/>
  <c r="D29" i="7" s="1"/>
  <c r="H8" i="7"/>
  <c r="H7" i="7"/>
  <c r="H11" i="2"/>
  <c r="H10" i="2"/>
  <c r="H9" i="2"/>
  <c r="C25" i="2" s="1"/>
  <c r="H8" i="2"/>
  <c r="D5" i="27"/>
  <c r="D5" i="22"/>
  <c r="C5" i="7"/>
  <c r="C6" i="2"/>
  <c r="C250" i="27"/>
  <c r="C249" i="27"/>
  <c r="C248" i="27"/>
  <c r="C247" i="27"/>
  <c r="C246" i="27"/>
  <c r="C245" i="27"/>
  <c r="C244" i="27"/>
  <c r="C243" i="27"/>
  <c r="C242" i="27"/>
  <c r="C241" i="27"/>
  <c r="C240" i="27"/>
  <c r="C239" i="27"/>
  <c r="C238" i="27"/>
  <c r="C237" i="27"/>
  <c r="C236" i="27"/>
  <c r="C235" i="27"/>
  <c r="C234" i="27"/>
  <c r="C233" i="27"/>
  <c r="C232" i="27"/>
  <c r="C231" i="27"/>
  <c r="C230" i="27"/>
  <c r="C229" i="27"/>
  <c r="C228" i="27"/>
  <c r="C227" i="27"/>
  <c r="C226" i="27"/>
  <c r="C225" i="27"/>
  <c r="C224" i="27"/>
  <c r="C223" i="27"/>
  <c r="C222" i="27"/>
  <c r="C221" i="27"/>
  <c r="C220" i="27"/>
  <c r="C219" i="27"/>
  <c r="C218" i="27"/>
  <c r="C217" i="27"/>
  <c r="C216" i="27"/>
  <c r="C215" i="27"/>
  <c r="C214" i="27"/>
  <c r="C213" i="27"/>
  <c r="C212" i="27"/>
  <c r="C211" i="27"/>
  <c r="C210" i="27"/>
  <c r="C209" i="27"/>
  <c r="C208" i="27"/>
  <c r="C207" i="27"/>
  <c r="C206" i="27"/>
  <c r="C205" i="27"/>
  <c r="C204" i="27"/>
  <c r="C203" i="27"/>
  <c r="C202" i="27"/>
  <c r="C201" i="27"/>
  <c r="C200" i="27"/>
  <c r="C199" i="27"/>
  <c r="C198" i="27"/>
  <c r="C197" i="27"/>
  <c r="C196" i="27"/>
  <c r="C195" i="27"/>
  <c r="C194" i="27"/>
  <c r="C193" i="27"/>
  <c r="C192" i="27"/>
  <c r="C191" i="27"/>
  <c r="C190" i="27"/>
  <c r="C189" i="27"/>
  <c r="C188" i="27"/>
  <c r="C187" i="27"/>
  <c r="C186" i="27"/>
  <c r="C185" i="27"/>
  <c r="C184" i="27"/>
  <c r="C183" i="27"/>
  <c r="C182" i="27"/>
  <c r="C181" i="27"/>
  <c r="C180" i="27"/>
  <c r="C179" i="27"/>
  <c r="C178" i="27"/>
  <c r="C177" i="27"/>
  <c r="C176" i="27"/>
  <c r="C175" i="27"/>
  <c r="C174" i="27"/>
  <c r="C173" i="27"/>
  <c r="C172" i="27"/>
  <c r="C171" i="27"/>
  <c r="C170" i="27"/>
  <c r="C169" i="27"/>
  <c r="C168" i="27"/>
  <c r="C167" i="27"/>
  <c r="C166" i="27"/>
  <c r="C165" i="27"/>
  <c r="C164" i="27"/>
  <c r="C163" i="27"/>
  <c r="C162" i="27"/>
  <c r="C161" i="27"/>
  <c r="C160" i="27"/>
  <c r="C159" i="27"/>
  <c r="C158" i="27"/>
  <c r="C157" i="27"/>
  <c r="C156" i="27"/>
  <c r="C155" i="27"/>
  <c r="C154" i="27"/>
  <c r="C153" i="27"/>
  <c r="C152" i="27"/>
  <c r="C151" i="27"/>
  <c r="C150" i="27"/>
  <c r="C149" i="27"/>
  <c r="C148" i="27"/>
  <c r="C147" i="27"/>
  <c r="C146" i="27"/>
  <c r="C145" i="27"/>
  <c r="C144" i="27"/>
  <c r="C143" i="27"/>
  <c r="C142" i="27"/>
  <c r="C141" i="27"/>
  <c r="C140" i="27"/>
  <c r="C139" i="27"/>
  <c r="C138" i="27"/>
  <c r="C137" i="27"/>
  <c r="C136" i="27"/>
  <c r="C135" i="27"/>
  <c r="C134" i="27"/>
  <c r="C133" i="27"/>
  <c r="C132" i="27"/>
  <c r="C131" i="27"/>
  <c r="C130" i="27"/>
  <c r="C129" i="27"/>
  <c r="C128" i="27"/>
  <c r="C127" i="27"/>
  <c r="C126" i="27"/>
  <c r="C125" i="27"/>
  <c r="C124" i="27"/>
  <c r="C123" i="27"/>
  <c r="C122" i="27"/>
  <c r="C121" i="27"/>
  <c r="C120" i="27"/>
  <c r="C119" i="27"/>
  <c r="C118" i="27"/>
  <c r="C117" i="27"/>
  <c r="C116" i="27"/>
  <c r="C115" i="27"/>
  <c r="C114" i="27"/>
  <c r="C113" i="27"/>
  <c r="C112" i="27"/>
  <c r="C111" i="27"/>
  <c r="C110" i="27"/>
  <c r="C109" i="27"/>
  <c r="C108" i="27"/>
  <c r="C107" i="27"/>
  <c r="C106" i="27"/>
  <c r="C105" i="27"/>
  <c r="C104" i="27"/>
  <c r="C103" i="27"/>
  <c r="C102" i="27"/>
  <c r="C101" i="27"/>
  <c r="C100" i="27"/>
  <c r="D100" i="27" s="1"/>
  <c r="D59" i="27"/>
  <c r="D58" i="27"/>
  <c r="D57" i="27"/>
  <c r="D56" i="27"/>
  <c r="D55" i="27"/>
  <c r="D54" i="27"/>
  <c r="D53" i="27"/>
  <c r="D52" i="27"/>
  <c r="D51" i="27"/>
  <c r="D50" i="27"/>
  <c r="D49" i="27"/>
  <c r="D48" i="27"/>
  <c r="D47" i="27"/>
  <c r="D46" i="27"/>
  <c r="D45" i="27"/>
  <c r="D44" i="27"/>
  <c r="D43" i="27"/>
  <c r="D42" i="27"/>
  <c r="D41" i="27"/>
  <c r="D40" i="27"/>
  <c r="D39" i="27"/>
  <c r="P10" i="2"/>
  <c r="C24" i="2" s="1"/>
  <c r="P9" i="2"/>
  <c r="C23" i="2" s="1"/>
  <c r="Q10" i="2"/>
  <c r="D24" i="2" s="1"/>
  <c r="Q9" i="2"/>
  <c r="D23" i="2" s="1"/>
  <c r="G37" i="21"/>
  <c r="G38" i="21" s="1"/>
  <c r="D37" i="21"/>
  <c r="U101" i="22"/>
  <c r="U102" i="22"/>
  <c r="U103" i="22"/>
  <c r="U104" i="22"/>
  <c r="U105" i="22"/>
  <c r="U106" i="22"/>
  <c r="U107" i="22"/>
  <c r="U108" i="22"/>
  <c r="U109" i="22"/>
  <c r="U110" i="22"/>
  <c r="U111" i="22"/>
  <c r="U112" i="22"/>
  <c r="U113" i="22"/>
  <c r="U114" i="22"/>
  <c r="U115" i="22"/>
  <c r="U116" i="22"/>
  <c r="U117" i="22"/>
  <c r="U118" i="22"/>
  <c r="U119" i="22"/>
  <c r="U120" i="22"/>
  <c r="U121" i="22"/>
  <c r="U122" i="22"/>
  <c r="U123" i="22"/>
  <c r="U124" i="22"/>
  <c r="U125" i="22"/>
  <c r="U126" i="22"/>
  <c r="U127" i="22"/>
  <c r="U128" i="22"/>
  <c r="U129" i="22"/>
  <c r="U130" i="22"/>
  <c r="U131" i="22"/>
  <c r="U132" i="22"/>
  <c r="U133" i="22"/>
  <c r="U134" i="22"/>
  <c r="U135" i="22"/>
  <c r="U136" i="22"/>
  <c r="U137" i="22"/>
  <c r="U138" i="22"/>
  <c r="U139" i="22"/>
  <c r="U140" i="22"/>
  <c r="U141" i="22"/>
  <c r="U142" i="22"/>
  <c r="U143" i="22"/>
  <c r="U144" i="22"/>
  <c r="U145" i="22"/>
  <c r="U146" i="22"/>
  <c r="U147" i="22"/>
  <c r="U148" i="22"/>
  <c r="U149" i="22"/>
  <c r="U150" i="22"/>
  <c r="U151" i="22"/>
  <c r="U152" i="22"/>
  <c r="U153" i="22"/>
  <c r="U154" i="22"/>
  <c r="U155" i="22"/>
  <c r="U156" i="22"/>
  <c r="U157" i="22"/>
  <c r="U158" i="22"/>
  <c r="U159" i="22"/>
  <c r="U160" i="22"/>
  <c r="U161" i="22"/>
  <c r="U162" i="22"/>
  <c r="U163" i="22"/>
  <c r="U164" i="22"/>
  <c r="U165" i="22"/>
  <c r="U166" i="22"/>
  <c r="U167" i="22"/>
  <c r="U168" i="22"/>
  <c r="U169" i="22"/>
  <c r="U170" i="22"/>
  <c r="U171" i="22"/>
  <c r="U172" i="22"/>
  <c r="U173" i="22"/>
  <c r="U174" i="22"/>
  <c r="U175" i="22"/>
  <c r="U176" i="22"/>
  <c r="U177" i="22"/>
  <c r="U178" i="22"/>
  <c r="U179" i="22"/>
  <c r="U180" i="22"/>
  <c r="U181" i="22"/>
  <c r="U182" i="22"/>
  <c r="U183" i="22"/>
  <c r="U184" i="22"/>
  <c r="U185" i="22"/>
  <c r="U186" i="22"/>
  <c r="U187" i="22"/>
  <c r="U188" i="22"/>
  <c r="U189" i="22"/>
  <c r="U190" i="22"/>
  <c r="U191" i="22"/>
  <c r="U192" i="22"/>
  <c r="U193" i="22"/>
  <c r="U194" i="22"/>
  <c r="U195" i="22"/>
  <c r="U196" i="22"/>
  <c r="U197" i="22"/>
  <c r="U198" i="22"/>
  <c r="U199" i="22"/>
  <c r="U200" i="22"/>
  <c r="U201" i="22"/>
  <c r="U202" i="22"/>
  <c r="U203" i="22"/>
  <c r="U204" i="22"/>
  <c r="U205" i="22"/>
  <c r="U206" i="22"/>
  <c r="U207" i="22"/>
  <c r="U208" i="22"/>
  <c r="U209" i="22"/>
  <c r="U210" i="22"/>
  <c r="U211" i="22"/>
  <c r="U212" i="22"/>
  <c r="U213" i="22"/>
  <c r="U214" i="22"/>
  <c r="U215" i="22"/>
  <c r="U216" i="22"/>
  <c r="U217" i="22"/>
  <c r="U218" i="22"/>
  <c r="U219" i="22"/>
  <c r="U220" i="22"/>
  <c r="U221" i="22"/>
  <c r="U222" i="22"/>
  <c r="U223" i="22"/>
  <c r="U224" i="22"/>
  <c r="U225" i="22"/>
  <c r="U226" i="22"/>
  <c r="U227" i="22"/>
  <c r="U228" i="22"/>
  <c r="U229" i="22"/>
  <c r="U230" i="22"/>
  <c r="U231" i="22"/>
  <c r="U232" i="22"/>
  <c r="U233" i="22"/>
  <c r="U234" i="22"/>
  <c r="U235" i="22"/>
  <c r="U236" i="22"/>
  <c r="U237" i="22"/>
  <c r="U238" i="22"/>
  <c r="U239" i="22"/>
  <c r="U240" i="22"/>
  <c r="U241" i="22"/>
  <c r="U242" i="22"/>
  <c r="U243" i="22"/>
  <c r="U244" i="22"/>
  <c r="U245" i="22"/>
  <c r="U246" i="22"/>
  <c r="U247" i="22"/>
  <c r="U248" i="22"/>
  <c r="U249" i="22"/>
  <c r="U250" i="22"/>
  <c r="U100" i="22"/>
  <c r="C250" i="22"/>
  <c r="C249" i="22"/>
  <c r="C248" i="22"/>
  <c r="C247" i="22"/>
  <c r="C246" i="22"/>
  <c r="C245" i="22"/>
  <c r="C244" i="22"/>
  <c r="C243" i="22"/>
  <c r="C242" i="22"/>
  <c r="C241" i="22"/>
  <c r="C240" i="22"/>
  <c r="C239" i="22"/>
  <c r="C238" i="22"/>
  <c r="C237" i="22"/>
  <c r="C236" i="22"/>
  <c r="C235" i="22"/>
  <c r="C234" i="22"/>
  <c r="C233" i="22"/>
  <c r="C232" i="22"/>
  <c r="C231" i="22"/>
  <c r="C230" i="22"/>
  <c r="C229" i="22"/>
  <c r="C228" i="22"/>
  <c r="C227" i="22"/>
  <c r="C226" i="22"/>
  <c r="C225" i="22"/>
  <c r="C224" i="22"/>
  <c r="C223" i="22"/>
  <c r="C222" i="22"/>
  <c r="C221" i="22"/>
  <c r="C220" i="22"/>
  <c r="C219" i="22"/>
  <c r="C218" i="22"/>
  <c r="C217" i="22"/>
  <c r="C216" i="22"/>
  <c r="C215" i="22"/>
  <c r="C214" i="22"/>
  <c r="C213" i="22"/>
  <c r="C212" i="22"/>
  <c r="C211" i="22"/>
  <c r="C210" i="22"/>
  <c r="C209" i="22"/>
  <c r="C208" i="22"/>
  <c r="C207" i="22"/>
  <c r="C206" i="22"/>
  <c r="C205" i="22"/>
  <c r="C204" i="22"/>
  <c r="C203" i="22"/>
  <c r="C202" i="22"/>
  <c r="C201" i="22"/>
  <c r="C200" i="22"/>
  <c r="C199" i="22"/>
  <c r="C198" i="22"/>
  <c r="C197" i="22"/>
  <c r="C196" i="22"/>
  <c r="C195" i="22"/>
  <c r="C194" i="22"/>
  <c r="C193" i="22"/>
  <c r="C192" i="22"/>
  <c r="C191" i="22"/>
  <c r="C190" i="22"/>
  <c r="C189" i="22"/>
  <c r="C188" i="22"/>
  <c r="C187" i="22"/>
  <c r="C186" i="22"/>
  <c r="C185" i="22"/>
  <c r="C184" i="22"/>
  <c r="C183" i="22"/>
  <c r="C182" i="22"/>
  <c r="C181" i="22"/>
  <c r="C180" i="22"/>
  <c r="C179" i="22"/>
  <c r="C178" i="22"/>
  <c r="C177" i="22"/>
  <c r="C176" i="22"/>
  <c r="C175" i="22"/>
  <c r="C174" i="22"/>
  <c r="C173" i="22"/>
  <c r="C172" i="22"/>
  <c r="C171" i="22"/>
  <c r="C170" i="22"/>
  <c r="C169" i="22"/>
  <c r="C168" i="22"/>
  <c r="C167" i="22"/>
  <c r="C166" i="22"/>
  <c r="C165" i="22"/>
  <c r="C164" i="22"/>
  <c r="C163" i="22"/>
  <c r="C162" i="22"/>
  <c r="C161" i="22"/>
  <c r="C160" i="22"/>
  <c r="C159" i="22"/>
  <c r="C158" i="22"/>
  <c r="C157" i="22"/>
  <c r="C156" i="22"/>
  <c r="C155" i="22"/>
  <c r="C154" i="22"/>
  <c r="C153" i="22"/>
  <c r="C152" i="22"/>
  <c r="C151" i="22"/>
  <c r="C150" i="22"/>
  <c r="C149" i="22"/>
  <c r="C148" i="22"/>
  <c r="C147" i="22"/>
  <c r="C146" i="22"/>
  <c r="C145" i="22"/>
  <c r="C144" i="22"/>
  <c r="C143" i="22"/>
  <c r="C142" i="22"/>
  <c r="C141" i="22"/>
  <c r="C140" i="22"/>
  <c r="C139" i="22"/>
  <c r="C138" i="22"/>
  <c r="C137" i="22"/>
  <c r="C136" i="22"/>
  <c r="C135" i="22"/>
  <c r="C134" i="22"/>
  <c r="C133" i="22"/>
  <c r="C132" i="22"/>
  <c r="C131" i="22"/>
  <c r="C130" i="22"/>
  <c r="C129" i="22"/>
  <c r="C128" i="22"/>
  <c r="C127" i="22"/>
  <c r="C126" i="22"/>
  <c r="C125" i="22"/>
  <c r="C124" i="22"/>
  <c r="C123" i="22"/>
  <c r="C122" i="22"/>
  <c r="C121" i="22"/>
  <c r="C120" i="22"/>
  <c r="C119" i="22"/>
  <c r="C118" i="22"/>
  <c r="C117" i="22"/>
  <c r="C116" i="22"/>
  <c r="C115" i="22"/>
  <c r="C114" i="22"/>
  <c r="C113" i="22"/>
  <c r="C112" i="22"/>
  <c r="C111" i="22"/>
  <c r="C110" i="22"/>
  <c r="C109" i="22"/>
  <c r="C108" i="22"/>
  <c r="C107" i="22"/>
  <c r="C106" i="22"/>
  <c r="C105" i="22"/>
  <c r="C104" i="22"/>
  <c r="C103" i="22"/>
  <c r="C102" i="22"/>
  <c r="C101" i="22"/>
  <c r="D59" i="22"/>
  <c r="D58" i="22"/>
  <c r="D57" i="22"/>
  <c r="D56" i="22"/>
  <c r="D55" i="22"/>
  <c r="D54" i="22"/>
  <c r="D53" i="22"/>
  <c r="D52" i="22"/>
  <c r="D51" i="22"/>
  <c r="D50" i="22"/>
  <c r="D49" i="22"/>
  <c r="D48" i="22"/>
  <c r="D47" i="22"/>
  <c r="D46" i="22"/>
  <c r="D45" i="22"/>
  <c r="D44" i="22"/>
  <c r="E67" i="21"/>
  <c r="D67" i="21"/>
  <c r="E66" i="21"/>
  <c r="D66" i="21"/>
  <c r="E63" i="21"/>
  <c r="D63" i="21"/>
  <c r="D46" i="21"/>
  <c r="D47" i="21" s="1"/>
  <c r="D41" i="22"/>
  <c r="D42" i="22"/>
  <c r="D43" i="22"/>
  <c r="D40" i="22"/>
  <c r="D39" i="22"/>
  <c r="D62" i="21"/>
  <c r="BH171" i="39" l="1"/>
  <c r="BJ171" i="39" s="1"/>
  <c r="BI144" i="39"/>
  <c r="BQ239" i="37"/>
  <c r="BH227" i="39"/>
  <c r="BJ227" i="39" s="1"/>
  <c r="BQ178" i="39"/>
  <c r="BQ199" i="37"/>
  <c r="BP110" i="37"/>
  <c r="BR110" i="37" s="1"/>
  <c r="BI230" i="37"/>
  <c r="BH183" i="37"/>
  <c r="BJ183" i="37" s="1"/>
  <c r="BP181" i="39"/>
  <c r="BR181" i="39" s="1"/>
  <c r="BH245" i="39"/>
  <c r="BJ245" i="39" s="1"/>
  <c r="BH166" i="39"/>
  <c r="BJ166" i="39" s="1"/>
  <c r="BP101" i="39"/>
  <c r="BR101" i="39" s="1"/>
  <c r="BI108" i="39"/>
  <c r="BP223" i="39"/>
  <c r="BR223" i="39" s="1"/>
  <c r="BI205" i="37"/>
  <c r="BI174" i="37"/>
  <c r="BP172" i="39"/>
  <c r="BR172" i="39" s="1"/>
  <c r="BP194" i="39"/>
  <c r="BR194" i="39" s="1"/>
  <c r="BH223" i="39"/>
  <c r="BJ223" i="39" s="1"/>
  <c r="BQ183" i="39"/>
  <c r="BP210" i="39"/>
  <c r="BR210" i="39" s="1"/>
  <c r="BP224" i="37"/>
  <c r="BR224" i="37" s="1"/>
  <c r="BH103" i="37"/>
  <c r="BJ103" i="37" s="1"/>
  <c r="BI158" i="39"/>
  <c r="BQ120" i="39"/>
  <c r="BH248" i="39"/>
  <c r="BJ248" i="39" s="1"/>
  <c r="BQ248" i="39"/>
  <c r="BI113" i="39"/>
  <c r="BH194" i="39"/>
  <c r="BJ194" i="39" s="1"/>
  <c r="BP193" i="39"/>
  <c r="BR193" i="39" s="1"/>
  <c r="BQ206" i="37"/>
  <c r="BP236" i="37"/>
  <c r="BR236" i="37" s="1"/>
  <c r="BQ187" i="39"/>
  <c r="BQ222" i="37"/>
  <c r="BP107" i="37"/>
  <c r="BR107" i="37" s="1"/>
  <c r="BP241" i="37"/>
  <c r="BR241" i="37" s="1"/>
  <c r="BP194" i="37"/>
  <c r="BR194" i="37" s="1"/>
  <c r="BI235" i="37"/>
  <c r="BI188" i="37"/>
  <c r="BP120" i="37"/>
  <c r="BR120" i="37" s="1"/>
  <c r="BI163" i="37"/>
  <c r="BP111" i="37"/>
  <c r="BR111" i="37" s="1"/>
  <c r="BH215" i="37"/>
  <c r="BJ215" i="37" s="1"/>
  <c r="BI249" i="39"/>
  <c r="BH156" i="39"/>
  <c r="BJ156" i="39" s="1"/>
  <c r="BQ213" i="39"/>
  <c r="BQ169" i="39"/>
  <c r="BP203" i="39"/>
  <c r="BR203" i="39" s="1"/>
  <c r="BH243" i="39"/>
  <c r="BJ243" i="39" s="1"/>
  <c r="BQ126" i="39"/>
  <c r="BH198" i="39"/>
  <c r="BJ198" i="39" s="1"/>
  <c r="BH161" i="37"/>
  <c r="BJ161" i="37" s="1"/>
  <c r="BI161" i="37"/>
  <c r="BP127" i="37"/>
  <c r="BR127" i="37" s="1"/>
  <c r="BP158" i="39"/>
  <c r="BR158" i="39" s="1"/>
  <c r="BQ166" i="39"/>
  <c r="BH227" i="37"/>
  <c r="BJ227" i="37" s="1"/>
  <c r="BQ175" i="37"/>
  <c r="BH247" i="37"/>
  <c r="BJ247" i="37" s="1"/>
  <c r="BI188" i="39"/>
  <c r="BQ245" i="39"/>
  <c r="BQ174" i="39"/>
  <c r="BI169" i="37"/>
  <c r="BP242" i="37"/>
  <c r="BR242" i="37" s="1"/>
  <c r="BP211" i="37"/>
  <c r="BR211" i="37" s="1"/>
  <c r="BI236" i="37"/>
  <c r="BI189" i="37"/>
  <c r="BP216" i="37"/>
  <c r="BR216" i="37" s="1"/>
  <c r="BP201" i="37"/>
  <c r="BR201" i="37" s="1"/>
  <c r="BP122" i="37"/>
  <c r="BR122" i="37" s="1"/>
  <c r="BI180" i="37"/>
  <c r="BQ238" i="37"/>
  <c r="BQ191" i="37"/>
  <c r="BP112" i="37"/>
  <c r="BR112" i="37" s="1"/>
  <c r="BH204" i="39"/>
  <c r="BJ204" i="39" s="1"/>
  <c r="BQ156" i="39"/>
  <c r="BI104" i="39"/>
  <c r="BH184" i="37"/>
  <c r="BJ184" i="37" s="1"/>
  <c r="BQ227" i="37"/>
  <c r="BI196" i="37"/>
  <c r="BH165" i="37"/>
  <c r="BJ165" i="37" s="1"/>
  <c r="BP233" i="39"/>
  <c r="BR233" i="39" s="1"/>
  <c r="BI228" i="39"/>
  <c r="BQ111" i="39"/>
  <c r="BH237" i="37"/>
  <c r="BJ237" i="37" s="1"/>
  <c r="BH206" i="37"/>
  <c r="BJ206" i="37" s="1"/>
  <c r="BI175" i="37"/>
  <c r="BI194" i="39"/>
  <c r="BI171" i="37"/>
  <c r="BP113" i="39"/>
  <c r="BR113" i="39" s="1"/>
  <c r="BH185" i="39"/>
  <c r="BJ185" i="39" s="1"/>
  <c r="BQ157" i="39"/>
  <c r="BP193" i="37"/>
  <c r="BR193" i="37" s="1"/>
  <c r="BP235" i="37"/>
  <c r="BR235" i="37" s="1"/>
  <c r="BP123" i="39"/>
  <c r="BR123" i="39" s="1"/>
  <c r="BQ160" i="39"/>
  <c r="BI145" i="39"/>
  <c r="BI239" i="39"/>
  <c r="BH239" i="39"/>
  <c r="BJ239" i="39" s="1"/>
  <c r="BI242" i="39"/>
  <c r="BH160" i="39"/>
  <c r="BJ160" i="39" s="1"/>
  <c r="BP236" i="39"/>
  <c r="BR236" i="39" s="1"/>
  <c r="BH218" i="37"/>
  <c r="BJ218" i="37" s="1"/>
  <c r="BH193" i="37"/>
  <c r="BJ193" i="37" s="1"/>
  <c r="BI193" i="37"/>
  <c r="BQ209" i="37"/>
  <c r="BH250" i="37"/>
  <c r="BJ250" i="37" s="1"/>
  <c r="BI203" i="37"/>
  <c r="BH224" i="37"/>
  <c r="BJ224" i="37" s="1"/>
  <c r="BH162" i="37"/>
  <c r="BJ162" i="37" s="1"/>
  <c r="BQ246" i="39"/>
  <c r="BI143" i="39"/>
  <c r="BP234" i="39"/>
  <c r="BR234" i="39" s="1"/>
  <c r="BP171" i="39"/>
  <c r="BR171" i="39" s="1"/>
  <c r="BH211" i="39"/>
  <c r="BJ211" i="39" s="1"/>
  <c r="BP189" i="39"/>
  <c r="BR189" i="39" s="1"/>
  <c r="BP112" i="39"/>
  <c r="BR112" i="39" s="1"/>
  <c r="I114" i="39"/>
  <c r="BH145" i="39"/>
  <c r="BJ145" i="39" s="1"/>
  <c r="BQ228" i="39"/>
  <c r="BQ206" i="39"/>
  <c r="BI223" i="39"/>
  <c r="BH234" i="37"/>
  <c r="BJ234" i="37" s="1"/>
  <c r="BP114" i="37"/>
  <c r="BR114" i="37" s="1"/>
  <c r="BI187" i="37"/>
  <c r="BH208" i="37"/>
  <c r="BJ208" i="37" s="1"/>
  <c r="BP204" i="37"/>
  <c r="BR204" i="37" s="1"/>
  <c r="BQ240" i="37"/>
  <c r="BQ218" i="39"/>
  <c r="BI195" i="39"/>
  <c r="BI150" i="39"/>
  <c r="BI247" i="39"/>
  <c r="BI149" i="39"/>
  <c r="BP228" i="39"/>
  <c r="BR228" i="39" s="1"/>
  <c r="BP222" i="39"/>
  <c r="BR222" i="39" s="1"/>
  <c r="BQ244" i="39"/>
  <c r="BQ194" i="39"/>
  <c r="BI177" i="39"/>
  <c r="BI105" i="39"/>
  <c r="BP188" i="37"/>
  <c r="BR188" i="37" s="1"/>
  <c r="BP231" i="37"/>
  <c r="BR231" i="37" s="1"/>
  <c r="BP220" i="37"/>
  <c r="BR220" i="37" s="1"/>
  <c r="BQ105" i="37"/>
  <c r="BQ225" i="37"/>
  <c r="BQ178" i="37"/>
  <c r="BQ115" i="37"/>
  <c r="BH219" i="37"/>
  <c r="BJ219" i="37" s="1"/>
  <c r="BH172" i="37"/>
  <c r="BJ172" i="37" s="1"/>
  <c r="BQ245" i="37"/>
  <c r="BP183" i="37"/>
  <c r="BR183" i="37" s="1"/>
  <c r="BI240" i="37"/>
  <c r="BI209" i="37"/>
  <c r="BI178" i="37"/>
  <c r="BQ205" i="37"/>
  <c r="BQ126" i="37"/>
  <c r="BI246" i="37"/>
  <c r="BI199" i="37"/>
  <c r="BI233" i="39"/>
  <c r="BP164" i="39"/>
  <c r="BR164" i="39" s="1"/>
  <c r="BP110" i="39"/>
  <c r="BR110" i="39" s="1"/>
  <c r="BP196" i="39"/>
  <c r="BR196" i="39" s="1"/>
  <c r="BH107" i="39"/>
  <c r="BJ107" i="39" s="1"/>
  <c r="BQ119" i="39"/>
  <c r="BI168" i="39"/>
  <c r="BH191" i="39"/>
  <c r="BJ191" i="39" s="1"/>
  <c r="BI157" i="39"/>
  <c r="BP212" i="39"/>
  <c r="BR212" i="39" s="1"/>
  <c r="BP241" i="39"/>
  <c r="BR241" i="39" s="1"/>
  <c r="BQ241" i="39"/>
  <c r="BP104" i="37"/>
  <c r="BR104" i="37" s="1"/>
  <c r="BQ230" i="39"/>
  <c r="BH149" i="39"/>
  <c r="BJ149" i="39" s="1"/>
  <c r="BQ210" i="39"/>
  <c r="BQ101" i="39"/>
  <c r="BP214" i="37"/>
  <c r="BR214" i="37" s="1"/>
  <c r="BP206" i="37"/>
  <c r="BR206" i="37" s="1"/>
  <c r="BP186" i="37"/>
  <c r="BR186" i="37" s="1"/>
  <c r="BI200" i="39"/>
  <c r="BH110" i="39"/>
  <c r="BJ110" i="39" s="1"/>
  <c r="BI181" i="39"/>
  <c r="BI148" i="39"/>
  <c r="BQ196" i="39"/>
  <c r="BI197" i="39"/>
  <c r="BH164" i="39"/>
  <c r="BJ164" i="39" s="1"/>
  <c r="BQ192" i="39"/>
  <c r="BQ238" i="39"/>
  <c r="BH225" i="37"/>
  <c r="BJ225" i="37" s="1"/>
  <c r="BP109" i="37"/>
  <c r="BR109" i="37" s="1"/>
  <c r="BI103" i="37"/>
  <c r="BI248" i="37"/>
  <c r="BH170" i="37"/>
  <c r="BJ170" i="37" s="1"/>
  <c r="BQ243" i="37"/>
  <c r="BP196" i="37"/>
  <c r="BR196" i="37" s="1"/>
  <c r="BI221" i="37"/>
  <c r="BI190" i="37"/>
  <c r="BP233" i="37"/>
  <c r="BR233" i="37" s="1"/>
  <c r="BQ202" i="37"/>
  <c r="BP123" i="37"/>
  <c r="BR123" i="37" s="1"/>
  <c r="BI212" i="37"/>
  <c r="BI181" i="37"/>
  <c r="BP176" i="37"/>
  <c r="BR176" i="37" s="1"/>
  <c r="BH216" i="39"/>
  <c r="BJ216" i="39" s="1"/>
  <c r="BH221" i="39"/>
  <c r="BJ221" i="39" s="1"/>
  <c r="BH173" i="39"/>
  <c r="BJ173" i="39" s="1"/>
  <c r="BI142" i="39"/>
  <c r="BP249" i="39"/>
  <c r="BR249" i="39" s="1"/>
  <c r="BQ122" i="39"/>
  <c r="BI210" i="39"/>
  <c r="BP188" i="39"/>
  <c r="BR188" i="39" s="1"/>
  <c r="BH244" i="39"/>
  <c r="BJ244" i="39" s="1"/>
  <c r="BH165" i="39"/>
  <c r="BJ165" i="39" s="1"/>
  <c r="BP127" i="39"/>
  <c r="BR127" i="39" s="1"/>
  <c r="BH183" i="39"/>
  <c r="BJ183" i="39" s="1"/>
  <c r="BP240" i="39"/>
  <c r="BR240" i="39" s="1"/>
  <c r="BQ214" i="39"/>
  <c r="BI191" i="39"/>
  <c r="BP162" i="39"/>
  <c r="BR162" i="39" s="1"/>
  <c r="BI225" i="37"/>
  <c r="BP175" i="39"/>
  <c r="BR175" i="39" s="1"/>
  <c r="BQ193" i="39"/>
  <c r="BP192" i="39"/>
  <c r="BR192" i="39" s="1"/>
  <c r="BQ117" i="39"/>
  <c r="BP178" i="39"/>
  <c r="BR178" i="39" s="1"/>
  <c r="BI207" i="39"/>
  <c r="BH193" i="39"/>
  <c r="BJ193" i="39" s="1"/>
  <c r="BQ221" i="39"/>
  <c r="BI103" i="39"/>
  <c r="BI201" i="37"/>
  <c r="BQ104" i="37"/>
  <c r="BQ113" i="37"/>
  <c r="BH186" i="37"/>
  <c r="BJ186" i="37" s="1"/>
  <c r="BI216" i="37"/>
  <c r="BQ249" i="37"/>
  <c r="BQ218" i="37"/>
  <c r="BQ187" i="37"/>
  <c r="BI228" i="37"/>
  <c r="BI197" i="37"/>
  <c r="BI166" i="37"/>
  <c r="BP192" i="37"/>
  <c r="BR192" i="37" s="1"/>
  <c r="BI232" i="39"/>
  <c r="BI153" i="39"/>
  <c r="BI205" i="39"/>
  <c r="BI109" i="39"/>
  <c r="BP170" i="39"/>
  <c r="BR170" i="39" s="1"/>
  <c r="BH226" i="39"/>
  <c r="BJ226" i="39" s="1"/>
  <c r="BQ204" i="39"/>
  <c r="BP109" i="39"/>
  <c r="BR109" i="39" s="1"/>
  <c r="BH181" i="39"/>
  <c r="BJ181" i="39" s="1"/>
  <c r="BQ159" i="39"/>
  <c r="BI199" i="39"/>
  <c r="BI102" i="37"/>
  <c r="BQ162" i="39"/>
  <c r="BH197" i="39"/>
  <c r="BJ197" i="39" s="1"/>
  <c r="BP238" i="39"/>
  <c r="BR238" i="39" s="1"/>
  <c r="BH184" i="39"/>
  <c r="BJ184" i="39" s="1"/>
  <c r="BQ212" i="39"/>
  <c r="BH207" i="39"/>
  <c r="BJ207" i="39" s="1"/>
  <c r="BP160" i="39"/>
  <c r="BR160" i="39" s="1"/>
  <c r="BQ222" i="39"/>
  <c r="BH242" i="39"/>
  <c r="BJ242" i="39" s="1"/>
  <c r="BP117" i="39"/>
  <c r="BR117" i="39" s="1"/>
  <c r="BH222" i="39"/>
  <c r="BJ222" i="39" s="1"/>
  <c r="BI100" i="39"/>
  <c r="BP105" i="37"/>
  <c r="BR105" i="37" s="1"/>
  <c r="BH107" i="37"/>
  <c r="BJ107" i="37" s="1"/>
  <c r="BP228" i="37"/>
  <c r="BR228" i="37" s="1"/>
  <c r="BI176" i="37"/>
  <c r="BI113" i="37"/>
  <c r="BP234" i="37"/>
  <c r="BR234" i="37" s="1"/>
  <c r="BP203" i="37"/>
  <c r="BR203" i="37" s="1"/>
  <c r="BQ124" i="37"/>
  <c r="BI244" i="37"/>
  <c r="BH213" i="37"/>
  <c r="BJ213" i="37" s="1"/>
  <c r="BI182" i="37"/>
  <c r="BQ208" i="37"/>
  <c r="BQ226" i="39"/>
  <c r="BQ186" i="39"/>
  <c r="BQ125" i="39"/>
  <c r="BQ175" i="39"/>
  <c r="BH215" i="39"/>
  <c r="BJ215" i="39" s="1"/>
  <c r="BH100" i="39"/>
  <c r="BJ100" i="39" s="1"/>
  <c r="BP223" i="37"/>
  <c r="BR223" i="37" s="1"/>
  <c r="BH179" i="39"/>
  <c r="BJ179" i="39" s="1"/>
  <c r="BH148" i="39"/>
  <c r="BJ148" i="39" s="1"/>
  <c r="BI179" i="39"/>
  <c r="BP211" i="39"/>
  <c r="BR211" i="39" s="1"/>
  <c r="BI161" i="39"/>
  <c r="BH105" i="39"/>
  <c r="BJ105" i="39" s="1"/>
  <c r="BI234" i="37"/>
  <c r="BP197" i="37"/>
  <c r="BR197" i="37" s="1"/>
  <c r="BP125" i="37"/>
  <c r="BR125" i="37" s="1"/>
  <c r="BH102" i="37"/>
  <c r="BJ102" i="37" s="1"/>
  <c r="BQ177" i="37"/>
  <c r="BH249" i="37"/>
  <c r="BJ249" i="37" s="1"/>
  <c r="BP244" i="37"/>
  <c r="BR244" i="37" s="1"/>
  <c r="BI238" i="37"/>
  <c r="BH207" i="37"/>
  <c r="BJ207" i="37" s="1"/>
  <c r="BQ250" i="37"/>
  <c r="BQ219" i="37"/>
  <c r="BH229" i="37"/>
  <c r="BJ229" i="37" s="1"/>
  <c r="BI198" i="37"/>
  <c r="BH189" i="39"/>
  <c r="BJ189" i="39" s="1"/>
  <c r="BQ202" i="39"/>
  <c r="BP107" i="39"/>
  <c r="BR107" i="39" s="1"/>
  <c r="BI213" i="39"/>
  <c r="BH231" i="39"/>
  <c r="BJ231" i="39" s="1"/>
  <c r="L104" i="39"/>
  <c r="L112" i="37"/>
  <c r="AN101" i="39"/>
  <c r="L104" i="38"/>
  <c r="L112" i="39"/>
  <c r="L102" i="40"/>
  <c r="L111" i="37"/>
  <c r="V39" i="36"/>
  <c r="V38" i="36"/>
  <c r="V37" i="36"/>
  <c r="L38" i="36"/>
  <c r="L37" i="36"/>
  <c r="S38" i="36"/>
  <c r="S37" i="36"/>
  <c r="I38" i="36"/>
  <c r="I37" i="36"/>
  <c r="BI221" i="39"/>
  <c r="BQ240" i="39"/>
  <c r="BH152" i="39"/>
  <c r="BJ152" i="39" s="1"/>
  <c r="BI242" i="38"/>
  <c r="BI173" i="39"/>
  <c r="BP238" i="38"/>
  <c r="BR238" i="38" s="1"/>
  <c r="BI176" i="38"/>
  <c r="BH180" i="39"/>
  <c r="BJ180" i="39" s="1"/>
  <c r="BH243" i="40"/>
  <c r="BJ243" i="40" s="1"/>
  <c r="BQ117" i="38"/>
  <c r="BP165" i="39"/>
  <c r="BR165" i="39" s="1"/>
  <c r="BH195" i="39"/>
  <c r="BJ195" i="39" s="1"/>
  <c r="BI107" i="39"/>
  <c r="BP166" i="39"/>
  <c r="BR166" i="39" s="1"/>
  <c r="BI165" i="39"/>
  <c r="BP205" i="38"/>
  <c r="BR205" i="38" s="1"/>
  <c r="BI209" i="39"/>
  <c r="BH210" i="39"/>
  <c r="BJ210" i="39" s="1"/>
  <c r="BI208" i="37"/>
  <c r="BH240" i="39"/>
  <c r="BJ240" i="39" s="1"/>
  <c r="BP119" i="39"/>
  <c r="BR119" i="39" s="1"/>
  <c r="BQ246" i="40"/>
  <c r="BQ188" i="39"/>
  <c r="BQ243" i="40"/>
  <c r="BI226" i="39"/>
  <c r="BI224" i="37"/>
  <c r="BH205" i="39"/>
  <c r="BJ205" i="39" s="1"/>
  <c r="BP167" i="39"/>
  <c r="BR167" i="39" s="1"/>
  <c r="BI211" i="39"/>
  <c r="BI166" i="39"/>
  <c r="BI154" i="39"/>
  <c r="BH168" i="39"/>
  <c r="BJ168" i="39" s="1"/>
  <c r="BI196" i="39"/>
  <c r="BQ212" i="37"/>
  <c r="BH153" i="39"/>
  <c r="BJ153" i="39" s="1"/>
  <c r="BQ107" i="38"/>
  <c r="BH166" i="37"/>
  <c r="BJ166" i="37" s="1"/>
  <c r="BP195" i="37"/>
  <c r="BR195" i="37" s="1"/>
  <c r="BI169" i="38"/>
  <c r="BI183" i="37"/>
  <c r="BQ129" i="40"/>
  <c r="BH218" i="38"/>
  <c r="BJ218" i="38" s="1"/>
  <c r="BP188" i="38"/>
  <c r="BR188" i="38" s="1"/>
  <c r="BQ229" i="37"/>
  <c r="BI192" i="38"/>
  <c r="BH225" i="38"/>
  <c r="BJ225" i="38" s="1"/>
  <c r="BQ247" i="38"/>
  <c r="L110" i="38"/>
  <c r="AN111" i="40"/>
  <c r="AO111" i="40" s="1"/>
  <c r="AP111" i="40" s="1"/>
  <c r="AN107" i="40"/>
  <c r="AN105" i="39"/>
  <c r="AO105" i="39" s="1"/>
  <c r="AP105" i="39" s="1"/>
  <c r="L109" i="40"/>
  <c r="L110" i="40"/>
  <c r="L103" i="37"/>
  <c r="AN110" i="39"/>
  <c r="D38" i="21"/>
  <c r="D68" i="21"/>
  <c r="D38" i="36"/>
  <c r="L100" i="37"/>
  <c r="BQ189" i="39"/>
  <c r="BP115" i="39"/>
  <c r="BR115" i="39" s="1"/>
  <c r="BI172" i="39"/>
  <c r="BH188" i="39"/>
  <c r="BJ188" i="39" s="1"/>
  <c r="BH220" i="40"/>
  <c r="BJ220" i="40" s="1"/>
  <c r="BH159" i="40"/>
  <c r="BJ159" i="40" s="1"/>
  <c r="BQ249" i="39"/>
  <c r="BP239" i="40"/>
  <c r="BR239" i="40" s="1"/>
  <c r="BQ112" i="38"/>
  <c r="BP130" i="38"/>
  <c r="BR130" i="38" s="1"/>
  <c r="BI248" i="38"/>
  <c r="BP232" i="40"/>
  <c r="BR232" i="40" s="1"/>
  <c r="BI154" i="40"/>
  <c r="BQ210" i="40"/>
  <c r="BQ213" i="40"/>
  <c r="BQ231" i="40"/>
  <c r="BP245" i="38"/>
  <c r="BR245" i="38" s="1"/>
  <c r="BH189" i="40"/>
  <c r="BJ189" i="40" s="1"/>
  <c r="BP210" i="38"/>
  <c r="BR210" i="38" s="1"/>
  <c r="BI221" i="38"/>
  <c r="BH228" i="38"/>
  <c r="BJ228" i="38" s="1"/>
  <c r="BQ126" i="38"/>
  <c r="BQ200" i="38"/>
  <c r="BP175" i="38"/>
  <c r="BR175" i="38" s="1"/>
  <c r="BI244" i="38"/>
  <c r="BI178" i="38"/>
  <c r="BQ182" i="40"/>
  <c r="BH110" i="40"/>
  <c r="BJ110" i="40" s="1"/>
  <c r="BQ175" i="40"/>
  <c r="BQ178" i="40"/>
  <c r="BI191" i="38"/>
  <c r="BI216" i="39"/>
  <c r="BP118" i="38"/>
  <c r="BR118" i="38" s="1"/>
  <c r="BQ183" i="37"/>
  <c r="BP238" i="37"/>
  <c r="BR238" i="37" s="1"/>
  <c r="BQ216" i="37"/>
  <c r="BI204" i="39"/>
  <c r="BH209" i="37"/>
  <c r="BJ209" i="37" s="1"/>
  <c r="BH203" i="38"/>
  <c r="BJ203" i="38" s="1"/>
  <c r="BH201" i="39"/>
  <c r="BJ201" i="39" s="1"/>
  <c r="BP108" i="39"/>
  <c r="BR108" i="39" s="1"/>
  <c r="BQ193" i="40"/>
  <c r="BI156" i="40"/>
  <c r="BQ123" i="39"/>
  <c r="BQ237" i="40"/>
  <c r="BQ206" i="40"/>
  <c r="BI202" i="39"/>
  <c r="BI229" i="39"/>
  <c r="BQ180" i="40"/>
  <c r="BP122" i="39"/>
  <c r="BR122" i="39" s="1"/>
  <c r="BP229" i="39"/>
  <c r="BR229" i="39" s="1"/>
  <c r="BI168" i="37"/>
  <c r="BH157" i="40"/>
  <c r="BJ157" i="40" s="1"/>
  <c r="BI214" i="39"/>
  <c r="BQ210" i="37"/>
  <c r="BP128" i="40"/>
  <c r="BR128" i="40" s="1"/>
  <c r="BI199" i="38"/>
  <c r="BI183" i="39"/>
  <c r="BP185" i="39"/>
  <c r="BR185" i="39" s="1"/>
  <c r="BP202" i="37"/>
  <c r="BR202" i="37" s="1"/>
  <c r="BQ180" i="38"/>
  <c r="BH217" i="38"/>
  <c r="BJ217" i="38" s="1"/>
  <c r="BH240" i="38"/>
  <c r="BJ240" i="38" s="1"/>
  <c r="BQ203" i="38"/>
  <c r="BH181" i="37"/>
  <c r="BJ181" i="37" s="1"/>
  <c r="BQ199" i="40"/>
  <c r="BP181" i="40"/>
  <c r="BR181" i="40" s="1"/>
  <c r="BH203" i="39"/>
  <c r="BJ203" i="39" s="1"/>
  <c r="BI244" i="39"/>
  <c r="BP243" i="37"/>
  <c r="BR243" i="37" s="1"/>
  <c r="BQ213" i="38"/>
  <c r="BI182" i="38"/>
  <c r="BQ200" i="39"/>
  <c r="BP121" i="37"/>
  <c r="BR121" i="37" s="1"/>
  <c r="BI107" i="40"/>
  <c r="BI231" i="37"/>
  <c r="BP179" i="40"/>
  <c r="BR179" i="40" s="1"/>
  <c r="BP215" i="39"/>
  <c r="BR215" i="39" s="1"/>
  <c r="BQ122" i="37"/>
  <c r="BH194" i="38"/>
  <c r="BJ194" i="38" s="1"/>
  <c r="BP109" i="38"/>
  <c r="BR109" i="38" s="1"/>
  <c r="BP243" i="38"/>
  <c r="BR243" i="38" s="1"/>
  <c r="BP245" i="37"/>
  <c r="BR245" i="37" s="1"/>
  <c r="BI191" i="37"/>
  <c r="BP178" i="37"/>
  <c r="BR178" i="37" s="1"/>
  <c r="BQ112" i="39"/>
  <c r="BH240" i="37"/>
  <c r="BJ240" i="37" s="1"/>
  <c r="BI172" i="38"/>
  <c r="BH160" i="40"/>
  <c r="BJ160" i="40" s="1"/>
  <c r="BH151" i="40"/>
  <c r="BJ151" i="40" s="1"/>
  <c r="BP204" i="39"/>
  <c r="BR204" i="39" s="1"/>
  <c r="BI119" i="40"/>
  <c r="BI144" i="40"/>
  <c r="BI191" i="40"/>
  <c r="BH161" i="38"/>
  <c r="BJ161" i="38" s="1"/>
  <c r="BQ211" i="37"/>
  <c r="BQ228" i="37"/>
  <c r="BH113" i="40"/>
  <c r="BJ113" i="40" s="1"/>
  <c r="BI196" i="38"/>
  <c r="BI163" i="38"/>
  <c r="BH248" i="37"/>
  <c r="BJ248" i="37" s="1"/>
  <c r="BQ212" i="40"/>
  <c r="BP198" i="40"/>
  <c r="BR198" i="40" s="1"/>
  <c r="BP214" i="40"/>
  <c r="BR214" i="40" s="1"/>
  <c r="BI188" i="40"/>
  <c r="BP211" i="40"/>
  <c r="BR211" i="40" s="1"/>
  <c r="BP247" i="39"/>
  <c r="BR247" i="39" s="1"/>
  <c r="BP187" i="39"/>
  <c r="BR187" i="39" s="1"/>
  <c r="BQ238" i="40"/>
  <c r="BH174" i="38"/>
  <c r="BJ174" i="38" s="1"/>
  <c r="BP237" i="37"/>
  <c r="BR237" i="37" s="1"/>
  <c r="BP196" i="40"/>
  <c r="BR196" i="40" s="1"/>
  <c r="BP196" i="38"/>
  <c r="BR196" i="38" s="1"/>
  <c r="BP125" i="39"/>
  <c r="BR125" i="39" s="1"/>
  <c r="BH173" i="40"/>
  <c r="BJ173" i="40" s="1"/>
  <c r="BQ204" i="37"/>
  <c r="BI174" i="40"/>
  <c r="BI171" i="40"/>
  <c r="BH181" i="38"/>
  <c r="BJ181" i="38" s="1"/>
  <c r="BI246" i="39"/>
  <c r="BP209" i="40"/>
  <c r="BR209" i="40" s="1"/>
  <c r="BH111" i="40"/>
  <c r="BJ111" i="40" s="1"/>
  <c r="BH249" i="38"/>
  <c r="BJ249" i="38" s="1"/>
  <c r="BP212" i="38"/>
  <c r="BR212" i="38" s="1"/>
  <c r="BH223" i="38"/>
  <c r="BJ223" i="38" s="1"/>
  <c r="BP186" i="39"/>
  <c r="BR186" i="39" s="1"/>
  <c r="BH232" i="39"/>
  <c r="BJ232" i="39" s="1"/>
  <c r="BI158" i="40"/>
  <c r="BQ232" i="39"/>
  <c r="BH150" i="39"/>
  <c r="BJ150" i="39" s="1"/>
  <c r="BP213" i="37"/>
  <c r="BR213" i="37" s="1"/>
  <c r="BQ176" i="40"/>
  <c r="BP228" i="40"/>
  <c r="BR228" i="40" s="1"/>
  <c r="BH215" i="38"/>
  <c r="BJ215" i="38" s="1"/>
  <c r="BQ207" i="40"/>
  <c r="BP225" i="40"/>
  <c r="BR225" i="40" s="1"/>
  <c r="BI231" i="38"/>
  <c r="BP202" i="38"/>
  <c r="BR202" i="38" s="1"/>
  <c r="BI204" i="40"/>
  <c r="BP222" i="40"/>
  <c r="BR222" i="40" s="1"/>
  <c r="BP121" i="38"/>
  <c r="BR121" i="38" s="1"/>
  <c r="BP179" i="38"/>
  <c r="BR179" i="38" s="1"/>
  <c r="BI172" i="40"/>
  <c r="BI184" i="37"/>
  <c r="BH221" i="40"/>
  <c r="BJ221" i="40" s="1"/>
  <c r="BP245" i="40"/>
  <c r="BR245" i="40" s="1"/>
  <c r="BI143" i="40"/>
  <c r="BP208" i="40"/>
  <c r="BR208" i="40" s="1"/>
  <c r="BH112" i="40"/>
  <c r="BJ112" i="40" s="1"/>
  <c r="BI230" i="38"/>
  <c r="BQ228" i="38"/>
  <c r="BI170" i="40"/>
  <c r="BP218" i="38"/>
  <c r="BR218" i="38" s="1"/>
  <c r="BI155" i="40"/>
  <c r="BQ197" i="40"/>
  <c r="BI153" i="40"/>
  <c r="BQ234" i="38"/>
  <c r="BP201" i="38"/>
  <c r="BR201" i="38" s="1"/>
  <c r="BP218" i="39"/>
  <c r="BR218" i="39" s="1"/>
  <c r="BP116" i="39"/>
  <c r="BR116" i="39" s="1"/>
  <c r="BQ247" i="40"/>
  <c r="BH115" i="38"/>
  <c r="BJ115" i="38" s="1"/>
  <c r="BI217" i="39"/>
  <c r="BQ127" i="39"/>
  <c r="BQ233" i="39"/>
  <c r="BI187" i="40"/>
  <c r="BH203" i="40"/>
  <c r="BJ203" i="40" s="1"/>
  <c r="BH205" i="40"/>
  <c r="BJ205" i="40" s="1"/>
  <c r="BP229" i="40"/>
  <c r="BR229" i="40" s="1"/>
  <c r="BP242" i="40"/>
  <c r="BR242" i="40" s="1"/>
  <c r="BP195" i="40"/>
  <c r="BR195" i="40" s="1"/>
  <c r="BH247" i="38"/>
  <c r="BJ247" i="38" s="1"/>
  <c r="BI190" i="38"/>
  <c r="BQ186" i="38"/>
  <c r="BH232" i="38"/>
  <c r="BJ232" i="38" s="1"/>
  <c r="BQ109" i="39"/>
  <c r="BI250" i="39"/>
  <c r="BI110" i="39"/>
  <c r="BI142" i="40"/>
  <c r="BQ191" i="40"/>
  <c r="BH186" i="40"/>
  <c r="BJ186" i="40" s="1"/>
  <c r="BQ194" i="40"/>
  <c r="BP244" i="40"/>
  <c r="BR244" i="40" s="1"/>
  <c r="BH206" i="38"/>
  <c r="BJ206" i="38" s="1"/>
  <c r="BQ171" i="39"/>
  <c r="BQ241" i="40"/>
  <c r="BQ226" i="40"/>
  <c r="BP227" i="40"/>
  <c r="BR227" i="40" s="1"/>
  <c r="BI198" i="38"/>
  <c r="BH165" i="38"/>
  <c r="BJ165" i="38" s="1"/>
  <c r="BH157" i="39"/>
  <c r="BJ157" i="39" s="1"/>
  <c r="BP185" i="37"/>
  <c r="BR185" i="37" s="1"/>
  <c r="BQ230" i="40"/>
  <c r="BP192" i="40"/>
  <c r="BR192" i="40" s="1"/>
  <c r="BH247" i="39"/>
  <c r="BJ247" i="39" s="1"/>
  <c r="BQ172" i="39"/>
  <c r="BP202" i="39"/>
  <c r="BR202" i="39" s="1"/>
  <c r="BQ160" i="40"/>
  <c r="BQ248" i="40"/>
  <c r="BQ185" i="38"/>
  <c r="BI110" i="38"/>
  <c r="BI245" i="39"/>
  <c r="BQ158" i="39"/>
  <c r="BI190" i="40"/>
  <c r="BP223" i="40"/>
  <c r="BR223" i="40" s="1"/>
  <c r="BH219" i="39"/>
  <c r="BJ219" i="39" s="1"/>
  <c r="BH142" i="39"/>
  <c r="BJ142" i="39" s="1"/>
  <c r="BQ219" i="39"/>
  <c r="BI180" i="38"/>
  <c r="BQ231" i="39"/>
  <c r="BQ170" i="39"/>
  <c r="BP157" i="39"/>
  <c r="BR157" i="39" s="1"/>
  <c r="BP215" i="40"/>
  <c r="BR215" i="40" s="1"/>
  <c r="BH143" i="39"/>
  <c r="BJ143" i="39" s="1"/>
  <c r="BH158" i="39"/>
  <c r="BJ158" i="39" s="1"/>
  <c r="BP218" i="37"/>
  <c r="BR218" i="37" s="1"/>
  <c r="BH229" i="38"/>
  <c r="BJ229" i="38" s="1"/>
  <c r="BP178" i="38"/>
  <c r="BR178" i="38" s="1"/>
  <c r="BI232" i="37"/>
  <c r="BH116" i="40"/>
  <c r="BJ116" i="40" s="1"/>
  <c r="BP174" i="39"/>
  <c r="BR174" i="39" s="1"/>
  <c r="BH109" i="39"/>
  <c r="BJ109" i="39" s="1"/>
  <c r="BQ242" i="37"/>
  <c r="BH222" i="37"/>
  <c r="BJ222" i="37" s="1"/>
  <c r="BI169" i="40"/>
  <c r="BH219" i="40"/>
  <c r="BJ219" i="40" s="1"/>
  <c r="BI115" i="40"/>
  <c r="BH189" i="37"/>
  <c r="BJ189" i="37" s="1"/>
  <c r="BI117" i="40"/>
  <c r="BQ224" i="40"/>
  <c r="BP159" i="39"/>
  <c r="BR159" i="39" s="1"/>
  <c r="BI162" i="37"/>
  <c r="BH206" i="40"/>
  <c r="BJ206" i="40" s="1"/>
  <c r="BI118" i="40"/>
  <c r="BI112" i="39"/>
  <c r="BP175" i="37"/>
  <c r="BR175" i="37" s="1"/>
  <c r="BI233" i="38"/>
  <c r="BH234" i="39"/>
  <c r="BJ234" i="39" s="1"/>
  <c r="BP235" i="39"/>
  <c r="BR235" i="39" s="1"/>
  <c r="BI236" i="40"/>
  <c r="BH233" i="39"/>
  <c r="BJ233" i="39" s="1"/>
  <c r="BH108" i="39"/>
  <c r="BJ108" i="39" s="1"/>
  <c r="BI164" i="37"/>
  <c r="BH202" i="40"/>
  <c r="BJ202" i="40" s="1"/>
  <c r="BH175" i="40"/>
  <c r="BJ175" i="40" s="1"/>
  <c r="BI222" i="38"/>
  <c r="BQ234" i="39"/>
  <c r="BQ161" i="39"/>
  <c r="BH120" i="40"/>
  <c r="BJ120" i="40" s="1"/>
  <c r="BH246" i="37"/>
  <c r="BJ246" i="37" s="1"/>
  <c r="BH230" i="37"/>
  <c r="BJ230" i="37" s="1"/>
  <c r="BI186" i="37"/>
  <c r="BI206" i="37"/>
  <c r="BQ234" i="37"/>
  <c r="BI237" i="40"/>
  <c r="BQ217" i="38"/>
  <c r="BH200" i="38"/>
  <c r="BJ200" i="38" s="1"/>
  <c r="BF172" i="40"/>
  <c r="BE172" i="40"/>
  <c r="BF141" i="40"/>
  <c r="BE141" i="40"/>
  <c r="BF110" i="40"/>
  <c r="BE110" i="40"/>
  <c r="BM221" i="40"/>
  <c r="BN221" i="40"/>
  <c r="BM190" i="40"/>
  <c r="BN190" i="40"/>
  <c r="BN159" i="40"/>
  <c r="BM159" i="40"/>
  <c r="BF242" i="40"/>
  <c r="BE242" i="40"/>
  <c r="BF211" i="40"/>
  <c r="BE211" i="40"/>
  <c r="BE164" i="40"/>
  <c r="BF164" i="40"/>
  <c r="BM212" i="40"/>
  <c r="BN212" i="40"/>
  <c r="BM149" i="40"/>
  <c r="BN149" i="40"/>
  <c r="BF247" i="40"/>
  <c r="BE247" i="40"/>
  <c r="BE184" i="40"/>
  <c r="BF184" i="40"/>
  <c r="BM216" i="40"/>
  <c r="BN216" i="40"/>
  <c r="BM153" i="40"/>
  <c r="BN153" i="40"/>
  <c r="AN112" i="40"/>
  <c r="BF188" i="40"/>
  <c r="BE188" i="40"/>
  <c r="BF157" i="40"/>
  <c r="BE157" i="40"/>
  <c r="BN237" i="40"/>
  <c r="BM237" i="40"/>
  <c r="BM206" i="40"/>
  <c r="BN206" i="40"/>
  <c r="BN175" i="40"/>
  <c r="BM175" i="40"/>
  <c r="BN113" i="40"/>
  <c r="BM113" i="40"/>
  <c r="BE227" i="40"/>
  <c r="BF227" i="40"/>
  <c r="BF180" i="40"/>
  <c r="BE180" i="40"/>
  <c r="BN228" i="40"/>
  <c r="BM228" i="40"/>
  <c r="BM165" i="40"/>
  <c r="BN165" i="40"/>
  <c r="BN102" i="40"/>
  <c r="BM102" i="40"/>
  <c r="BE200" i="40"/>
  <c r="BF200" i="40"/>
  <c r="BE137" i="40"/>
  <c r="BF137" i="40"/>
  <c r="BM232" i="40"/>
  <c r="BN232" i="40"/>
  <c r="BN169" i="40"/>
  <c r="BM169" i="40"/>
  <c r="L101" i="38"/>
  <c r="BM106" i="40"/>
  <c r="BN106" i="40"/>
  <c r="BF204" i="40"/>
  <c r="BE204" i="40"/>
  <c r="BE173" i="40"/>
  <c r="BF173" i="40"/>
  <c r="BE142" i="40"/>
  <c r="BF142" i="40"/>
  <c r="BE111" i="40"/>
  <c r="BF111" i="40"/>
  <c r="BM222" i="40"/>
  <c r="BN222" i="40"/>
  <c r="BN191" i="40"/>
  <c r="BM191" i="40"/>
  <c r="BM160" i="40"/>
  <c r="BN160" i="40"/>
  <c r="BF243" i="40"/>
  <c r="BE243" i="40"/>
  <c r="BF196" i="40"/>
  <c r="BE196" i="40"/>
  <c r="BF149" i="40"/>
  <c r="BE149" i="40"/>
  <c r="BM244" i="40"/>
  <c r="BN244" i="40"/>
  <c r="BN181" i="40"/>
  <c r="BM181" i="40"/>
  <c r="BM118" i="40"/>
  <c r="BN118" i="40"/>
  <c r="BE216" i="40"/>
  <c r="BF216" i="40"/>
  <c r="BE153" i="40"/>
  <c r="BF153" i="40"/>
  <c r="BM248" i="40"/>
  <c r="BN248" i="40"/>
  <c r="BM185" i="40"/>
  <c r="BN185" i="40"/>
  <c r="BN122" i="40"/>
  <c r="BM122" i="40"/>
  <c r="BE220" i="40"/>
  <c r="BF220" i="40"/>
  <c r="BF189" i="40"/>
  <c r="BE189" i="40"/>
  <c r="BE158" i="40"/>
  <c r="BF158" i="40"/>
  <c r="BM238" i="40"/>
  <c r="BN238" i="40"/>
  <c r="BM207" i="40"/>
  <c r="BN207" i="40"/>
  <c r="BM176" i="40"/>
  <c r="BN176" i="40"/>
  <c r="BN114" i="40"/>
  <c r="BM114" i="40"/>
  <c r="BF212" i="40"/>
  <c r="BE212" i="40"/>
  <c r="BF165" i="40"/>
  <c r="BE165" i="40"/>
  <c r="BE102" i="40"/>
  <c r="BF102" i="40"/>
  <c r="BN197" i="40"/>
  <c r="BM197" i="40"/>
  <c r="BF232" i="40"/>
  <c r="BE232" i="40"/>
  <c r="BF169" i="40"/>
  <c r="BE169" i="40"/>
  <c r="BF106" i="40"/>
  <c r="BE106" i="40"/>
  <c r="BN201" i="40"/>
  <c r="BM201" i="40"/>
  <c r="L108" i="38"/>
  <c r="BE236" i="40"/>
  <c r="BF236" i="40"/>
  <c r="BF205" i="40"/>
  <c r="BE205" i="40"/>
  <c r="BF174" i="40"/>
  <c r="BE174" i="40"/>
  <c r="BF143" i="40"/>
  <c r="BE143" i="40"/>
  <c r="BF112" i="40"/>
  <c r="BE112" i="40"/>
  <c r="BN223" i="40"/>
  <c r="BM223" i="40"/>
  <c r="BN192" i="40"/>
  <c r="BM192" i="40"/>
  <c r="BN161" i="40"/>
  <c r="BM161" i="40"/>
  <c r="BF228" i="40"/>
  <c r="BE228" i="40"/>
  <c r="BF181" i="40"/>
  <c r="BE181" i="40"/>
  <c r="BM213" i="40"/>
  <c r="BN213" i="40"/>
  <c r="BN150" i="40"/>
  <c r="BM150" i="40"/>
  <c r="BF248" i="40"/>
  <c r="BE248" i="40"/>
  <c r="BE185" i="40"/>
  <c r="BF185" i="40"/>
  <c r="BN217" i="40"/>
  <c r="BM217" i="40"/>
  <c r="BM154" i="40"/>
  <c r="BN154" i="40"/>
  <c r="BN107" i="40"/>
  <c r="BM107" i="40"/>
  <c r="BF221" i="40"/>
  <c r="BE221" i="40"/>
  <c r="BF190" i="40"/>
  <c r="BE190" i="40"/>
  <c r="BE159" i="40"/>
  <c r="BF159" i="40"/>
  <c r="BN239" i="40"/>
  <c r="BM239" i="40"/>
  <c r="BN208" i="40"/>
  <c r="BM208" i="40"/>
  <c r="BM177" i="40"/>
  <c r="BN177" i="40"/>
  <c r="BF244" i="40"/>
  <c r="BE244" i="40"/>
  <c r="BF197" i="40"/>
  <c r="BE197" i="40"/>
  <c r="BM229" i="40"/>
  <c r="BN229" i="40"/>
  <c r="BM166" i="40"/>
  <c r="BN166" i="40"/>
  <c r="BN103" i="40"/>
  <c r="BM103" i="40"/>
  <c r="BE201" i="40"/>
  <c r="BF201" i="40"/>
  <c r="BF138" i="40"/>
  <c r="BE138" i="40"/>
  <c r="BM233" i="40"/>
  <c r="BN233" i="40"/>
  <c r="BM170" i="40"/>
  <c r="BN170" i="40"/>
  <c r="BN123" i="40"/>
  <c r="BM123" i="40"/>
  <c r="BF237" i="40"/>
  <c r="BE237" i="40"/>
  <c r="BF206" i="40"/>
  <c r="BE206" i="40"/>
  <c r="BE175" i="40"/>
  <c r="BF175" i="40"/>
  <c r="BF144" i="40"/>
  <c r="BE144" i="40"/>
  <c r="BE113" i="40"/>
  <c r="BF113" i="40"/>
  <c r="BM224" i="40"/>
  <c r="BN224" i="40"/>
  <c r="BM193" i="40"/>
  <c r="BN193" i="40"/>
  <c r="BM162" i="40"/>
  <c r="BN162" i="40"/>
  <c r="BN115" i="40"/>
  <c r="BM115" i="40"/>
  <c r="BF213" i="40"/>
  <c r="BE213" i="40"/>
  <c r="BF150" i="40"/>
  <c r="BE150" i="40"/>
  <c r="BN245" i="40"/>
  <c r="BM245" i="40"/>
  <c r="BM182" i="40"/>
  <c r="BN182" i="40"/>
  <c r="BM119" i="40"/>
  <c r="BN119" i="40"/>
  <c r="BE217" i="40"/>
  <c r="BF217" i="40"/>
  <c r="BE154" i="40"/>
  <c r="BF154" i="40"/>
  <c r="BM249" i="40"/>
  <c r="BN249" i="40"/>
  <c r="BL247" i="27"/>
  <c r="BL231" i="27"/>
  <c r="BQ238" i="27" s="1"/>
  <c r="BL215" i="27"/>
  <c r="BQ222" i="27" s="1"/>
  <c r="BL199" i="27"/>
  <c r="BQ206" i="27" s="1"/>
  <c r="BL183" i="27"/>
  <c r="BP190" i="27" s="1"/>
  <c r="BR190" i="27" s="1"/>
  <c r="BL119" i="27"/>
  <c r="BL103" i="27"/>
  <c r="BQ110" i="27" s="1"/>
  <c r="BD238" i="27"/>
  <c r="BI245" i="27" s="1"/>
  <c r="BD222" i="27"/>
  <c r="BH229" i="27" s="1"/>
  <c r="BJ229" i="27" s="1"/>
  <c r="BD206" i="27"/>
  <c r="BI213" i="27" s="1"/>
  <c r="BD190" i="27"/>
  <c r="BH197" i="27" s="1"/>
  <c r="BJ197" i="27" s="1"/>
  <c r="BD174" i="27"/>
  <c r="BI181" i="27" s="1"/>
  <c r="BD158" i="27"/>
  <c r="BH165" i="27" s="1"/>
  <c r="BJ165" i="27" s="1"/>
  <c r="BD110" i="27"/>
  <c r="BH117" i="27" s="1"/>
  <c r="BJ117" i="27" s="1"/>
  <c r="BL246" i="27"/>
  <c r="BL230" i="27"/>
  <c r="BP237" i="27" s="1"/>
  <c r="BR237" i="27" s="1"/>
  <c r="BL214" i="27"/>
  <c r="BQ221" i="27" s="1"/>
  <c r="BL198" i="27"/>
  <c r="BP205" i="27" s="1"/>
  <c r="BR205" i="27" s="1"/>
  <c r="BL182" i="27"/>
  <c r="BQ189" i="27" s="1"/>
  <c r="BL118" i="27"/>
  <c r="BP125" i="27" s="1"/>
  <c r="BR125" i="27" s="1"/>
  <c r="BL102" i="27"/>
  <c r="BP109" i="27" s="1"/>
  <c r="BR109" i="27" s="1"/>
  <c r="BD237" i="27"/>
  <c r="BD221" i="27"/>
  <c r="BH228" i="27" s="1"/>
  <c r="BJ228" i="27" s="1"/>
  <c r="BD205" i="27"/>
  <c r="BH212" i="27" s="1"/>
  <c r="BJ212" i="27" s="1"/>
  <c r="BD189" i="27"/>
  <c r="BH196" i="27" s="1"/>
  <c r="BJ196" i="27" s="1"/>
  <c r="BD173" i="27"/>
  <c r="BI180" i="27" s="1"/>
  <c r="BD157" i="27"/>
  <c r="BH164" i="27" s="1"/>
  <c r="BJ164" i="27" s="1"/>
  <c r="BD109" i="27"/>
  <c r="BI116" i="27" s="1"/>
  <c r="BL245" i="27"/>
  <c r="BL229" i="27"/>
  <c r="BP236" i="27" s="1"/>
  <c r="BR236" i="27" s="1"/>
  <c r="BL213" i="27"/>
  <c r="BP220" i="27" s="1"/>
  <c r="BR220" i="27" s="1"/>
  <c r="BL197" i="27"/>
  <c r="BP204" i="27" s="1"/>
  <c r="BR204" i="27" s="1"/>
  <c r="BL181" i="27"/>
  <c r="BP188" i="27" s="1"/>
  <c r="BR188" i="27" s="1"/>
  <c r="BL117" i="27"/>
  <c r="BQ124" i="27" s="1"/>
  <c r="BL101" i="27"/>
  <c r="BP108" i="27" s="1"/>
  <c r="BR108" i="27" s="1"/>
  <c r="BD236" i="27"/>
  <c r="BH243" i="27" s="1"/>
  <c r="BJ243" i="27" s="1"/>
  <c r="BD220" i="27"/>
  <c r="BI227" i="27" s="1"/>
  <c r="BD204" i="27"/>
  <c r="BD188" i="27"/>
  <c r="BH195" i="27" s="1"/>
  <c r="BJ195" i="27" s="1"/>
  <c r="BD172" i="27"/>
  <c r="BI179" i="27" s="1"/>
  <c r="BD156" i="27"/>
  <c r="BI163" i="27" s="1"/>
  <c r="BD108" i="27"/>
  <c r="BI115" i="27" s="1"/>
  <c r="BL244" i="27"/>
  <c r="BL228" i="27"/>
  <c r="BQ235" i="27" s="1"/>
  <c r="BL212" i="27"/>
  <c r="BP219" i="27" s="1"/>
  <c r="BR219" i="27" s="1"/>
  <c r="BL196" i="27"/>
  <c r="BQ203" i="27" s="1"/>
  <c r="BL180" i="27"/>
  <c r="BP187" i="27" s="1"/>
  <c r="BR187" i="27" s="1"/>
  <c r="BL116" i="27"/>
  <c r="BP123" i="27" s="1"/>
  <c r="BR123" i="27" s="1"/>
  <c r="BL100" i="27"/>
  <c r="BQ107" i="27" s="1"/>
  <c r="BD235" i="27"/>
  <c r="BH242" i="27" s="1"/>
  <c r="BJ242" i="27" s="1"/>
  <c r="BD219" i="27"/>
  <c r="BH226" i="27" s="1"/>
  <c r="BJ226" i="27" s="1"/>
  <c r="BD203" i="27"/>
  <c r="BI210" i="27" s="1"/>
  <c r="BD187" i="27"/>
  <c r="BI194" i="27" s="1"/>
  <c r="BD171" i="27"/>
  <c r="BD155" i="27"/>
  <c r="BI162" i="27" s="1"/>
  <c r="BD107" i="27"/>
  <c r="BH114" i="27" s="1"/>
  <c r="BJ114" i="27" s="1"/>
  <c r="BL243" i="27"/>
  <c r="BP250" i="27" s="1"/>
  <c r="BR250" i="27" s="1"/>
  <c r="BL227" i="27"/>
  <c r="BQ234" i="27" s="1"/>
  <c r="BL211" i="27"/>
  <c r="BQ218" i="27" s="1"/>
  <c r="BL195" i="27"/>
  <c r="BQ202" i="27" s="1"/>
  <c r="BL179" i="27"/>
  <c r="BP186" i="27" s="1"/>
  <c r="BR186" i="27" s="1"/>
  <c r="BL115" i="27"/>
  <c r="BQ122" i="27" s="1"/>
  <c r="BD250" i="27"/>
  <c r="BD234" i="27"/>
  <c r="BH241" i="27" s="1"/>
  <c r="BJ241" i="27" s="1"/>
  <c r="BD218" i="27"/>
  <c r="BI225" i="27" s="1"/>
  <c r="BD202" i="27"/>
  <c r="BI209" i="27" s="1"/>
  <c r="BD186" i="27"/>
  <c r="BH193" i="27" s="1"/>
  <c r="BJ193" i="27" s="1"/>
  <c r="BD170" i="27"/>
  <c r="BI177" i="27" s="1"/>
  <c r="BD154" i="27"/>
  <c r="BH161" i="27" s="1"/>
  <c r="BJ161" i="27" s="1"/>
  <c r="BD106" i="27"/>
  <c r="BL242" i="27"/>
  <c r="BP249" i="27" s="1"/>
  <c r="BR249" i="27" s="1"/>
  <c r="BL226" i="27"/>
  <c r="BQ233" i="27" s="1"/>
  <c r="BL210" i="27"/>
  <c r="BQ217" i="27" s="1"/>
  <c r="BL194" i="27"/>
  <c r="BP201" i="27" s="1"/>
  <c r="BR201" i="27" s="1"/>
  <c r="BL178" i="27"/>
  <c r="BQ185" i="27" s="1"/>
  <c r="BL114" i="27"/>
  <c r="BQ121" i="27" s="1"/>
  <c r="BD249" i="27"/>
  <c r="BD233" i="27"/>
  <c r="BH240" i="27" s="1"/>
  <c r="BJ240" i="27" s="1"/>
  <c r="BD217" i="27"/>
  <c r="BI224" i="27" s="1"/>
  <c r="BD201" i="27"/>
  <c r="BH208" i="27" s="1"/>
  <c r="BJ208" i="27" s="1"/>
  <c r="BD185" i="27"/>
  <c r="BH192" i="27" s="1"/>
  <c r="BJ192" i="27" s="1"/>
  <c r="BD169" i="27"/>
  <c r="BI176" i="27" s="1"/>
  <c r="BD105" i="27"/>
  <c r="BI112" i="27" s="1"/>
  <c r="BL241" i="27"/>
  <c r="BP248" i="27" s="1"/>
  <c r="BR248" i="27" s="1"/>
  <c r="BL225" i="27"/>
  <c r="BP232" i="27" s="1"/>
  <c r="BR232" i="27" s="1"/>
  <c r="BL209" i="27"/>
  <c r="BL193" i="27"/>
  <c r="BP200" i="27" s="1"/>
  <c r="BR200" i="27" s="1"/>
  <c r="BL177" i="27"/>
  <c r="BP184" i="27" s="1"/>
  <c r="BR184" i="27" s="1"/>
  <c r="BL113" i="27"/>
  <c r="BP120" i="27" s="1"/>
  <c r="BR120" i="27" s="1"/>
  <c r="BD248" i="27"/>
  <c r="BD232" i="27"/>
  <c r="BH239" i="27" s="1"/>
  <c r="BJ239" i="27" s="1"/>
  <c r="BD216" i="27"/>
  <c r="BH223" i="27" s="1"/>
  <c r="BJ223" i="27" s="1"/>
  <c r="BD200" i="27"/>
  <c r="BI207" i="27" s="1"/>
  <c r="BD184" i="27"/>
  <c r="BH191" i="27" s="1"/>
  <c r="BJ191" i="27" s="1"/>
  <c r="BD168" i="27"/>
  <c r="BH175" i="27" s="1"/>
  <c r="BJ175" i="27" s="1"/>
  <c r="BD104" i="27"/>
  <c r="BI111" i="27" s="1"/>
  <c r="BL240" i="27"/>
  <c r="BP247" i="27" s="1"/>
  <c r="BR247" i="27" s="1"/>
  <c r="BL224" i="27"/>
  <c r="BP231" i="27" s="1"/>
  <c r="BR231" i="27" s="1"/>
  <c r="BL208" i="27"/>
  <c r="BP215" i="27" s="1"/>
  <c r="BR215" i="27" s="1"/>
  <c r="BL192" i="27"/>
  <c r="BP199" i="27" s="1"/>
  <c r="BR199" i="27" s="1"/>
  <c r="BL176" i="27"/>
  <c r="BP183" i="27" s="1"/>
  <c r="BR183" i="27" s="1"/>
  <c r="BL112" i="27"/>
  <c r="BD247" i="27"/>
  <c r="BD231" i="27"/>
  <c r="BH238" i="27" s="1"/>
  <c r="BJ238" i="27" s="1"/>
  <c r="BD215" i="27"/>
  <c r="BH222" i="27" s="1"/>
  <c r="BJ222" i="27" s="1"/>
  <c r="BD199" i="27"/>
  <c r="BI206" i="27" s="1"/>
  <c r="BD183" i="27"/>
  <c r="BH190" i="27" s="1"/>
  <c r="BJ190" i="27" s="1"/>
  <c r="BD167" i="27"/>
  <c r="BH174" i="27" s="1"/>
  <c r="BJ174" i="27" s="1"/>
  <c r="BD103" i="27"/>
  <c r="BI110" i="27" s="1"/>
  <c r="BL239" i="27"/>
  <c r="BQ246" i="27" s="1"/>
  <c r="BL223" i="27"/>
  <c r="BQ230" i="27" s="1"/>
  <c r="BL207" i="27"/>
  <c r="BQ214" i="27" s="1"/>
  <c r="BL191" i="27"/>
  <c r="BP198" i="27" s="1"/>
  <c r="BR198" i="27" s="1"/>
  <c r="BL175" i="27"/>
  <c r="BP182" i="27" s="1"/>
  <c r="BR182" i="27" s="1"/>
  <c r="BL127" i="27"/>
  <c r="BQ134" i="27" s="1"/>
  <c r="BL111" i="27"/>
  <c r="BP118" i="27" s="1"/>
  <c r="BR118" i="27" s="1"/>
  <c r="BD246" i="27"/>
  <c r="BD230" i="27"/>
  <c r="BD214" i="27"/>
  <c r="BH221" i="27" s="1"/>
  <c r="BJ221" i="27" s="1"/>
  <c r="BD198" i="27"/>
  <c r="BH205" i="27" s="1"/>
  <c r="BJ205" i="27" s="1"/>
  <c r="BD182" i="27"/>
  <c r="BH189" i="27" s="1"/>
  <c r="BJ189" i="27" s="1"/>
  <c r="BD166" i="27"/>
  <c r="BI173" i="27" s="1"/>
  <c r="BD102" i="27"/>
  <c r="BH109" i="27" s="1"/>
  <c r="BJ109" i="27" s="1"/>
  <c r="BL238" i="27"/>
  <c r="BP245" i="27" s="1"/>
  <c r="BR245" i="27" s="1"/>
  <c r="BL222" i="27"/>
  <c r="BP229" i="27" s="1"/>
  <c r="BR229" i="27" s="1"/>
  <c r="BL206" i="27"/>
  <c r="BQ213" i="27" s="1"/>
  <c r="BL190" i="27"/>
  <c r="BQ197" i="27" s="1"/>
  <c r="BL174" i="27"/>
  <c r="BQ181" i="27" s="1"/>
  <c r="BL126" i="27"/>
  <c r="BP133" i="27" s="1"/>
  <c r="BR133" i="27" s="1"/>
  <c r="BL110" i="27"/>
  <c r="BQ117" i="27" s="1"/>
  <c r="BD245" i="27"/>
  <c r="BD229" i="27"/>
  <c r="BI236" i="27" s="1"/>
  <c r="BD213" i="27"/>
  <c r="BH220" i="27" s="1"/>
  <c r="BJ220" i="27" s="1"/>
  <c r="BD197" i="27"/>
  <c r="BD181" i="27"/>
  <c r="BH188" i="27" s="1"/>
  <c r="BJ188" i="27" s="1"/>
  <c r="BD165" i="27"/>
  <c r="BI172" i="27" s="1"/>
  <c r="BD101" i="27"/>
  <c r="BH108" i="27" s="1"/>
  <c r="BJ108" i="27" s="1"/>
  <c r="BL237" i="27"/>
  <c r="BP244" i="27" s="1"/>
  <c r="BR244" i="27" s="1"/>
  <c r="BL221" i="27"/>
  <c r="BQ228" i="27" s="1"/>
  <c r="BL205" i="27"/>
  <c r="BP212" i="27" s="1"/>
  <c r="BR212" i="27" s="1"/>
  <c r="BL189" i="27"/>
  <c r="BP196" i="27" s="1"/>
  <c r="BR196" i="27" s="1"/>
  <c r="BL173" i="27"/>
  <c r="BQ180" i="27" s="1"/>
  <c r="BL125" i="27"/>
  <c r="BQ132" i="27" s="1"/>
  <c r="BL109" i="27"/>
  <c r="BP116" i="27" s="1"/>
  <c r="BR116" i="27" s="1"/>
  <c r="BD244" i="27"/>
  <c r="BD228" i="27"/>
  <c r="BI235" i="27" s="1"/>
  <c r="BD212" i="27"/>
  <c r="BI219" i="27" s="1"/>
  <c r="BD196" i="27"/>
  <c r="BH203" i="27" s="1"/>
  <c r="BJ203" i="27" s="1"/>
  <c r="BD180" i="27"/>
  <c r="BH187" i="27" s="1"/>
  <c r="BJ187" i="27" s="1"/>
  <c r="BD164" i="27"/>
  <c r="BD100" i="27"/>
  <c r="BI107" i="27" s="1"/>
  <c r="BL236" i="27"/>
  <c r="BP243" i="27" s="1"/>
  <c r="BR243" i="27" s="1"/>
  <c r="BL220" i="27"/>
  <c r="BP227" i="27" s="1"/>
  <c r="BR227" i="27" s="1"/>
  <c r="BL204" i="27"/>
  <c r="BQ211" i="27" s="1"/>
  <c r="BL188" i="27"/>
  <c r="BP195" i="27" s="1"/>
  <c r="BR195" i="27" s="1"/>
  <c r="BL172" i="27"/>
  <c r="BP179" i="27" s="1"/>
  <c r="BR179" i="27" s="1"/>
  <c r="BL124" i="27"/>
  <c r="BP131" i="27" s="1"/>
  <c r="BR131" i="27" s="1"/>
  <c r="BL108" i="27"/>
  <c r="BP115" i="27" s="1"/>
  <c r="BR115" i="27" s="1"/>
  <c r="BD243" i="27"/>
  <c r="BH250" i="27" s="1"/>
  <c r="BJ250" i="27" s="1"/>
  <c r="BD227" i="27"/>
  <c r="BH234" i="27" s="1"/>
  <c r="BJ234" i="27" s="1"/>
  <c r="BD211" i="27"/>
  <c r="BH218" i="27" s="1"/>
  <c r="BJ218" i="27" s="1"/>
  <c r="BD195" i="27"/>
  <c r="BI202" i="27" s="1"/>
  <c r="BD179" i="27"/>
  <c r="BH186" i="27" s="1"/>
  <c r="BJ186" i="27" s="1"/>
  <c r="BD163" i="27"/>
  <c r="BI170" i="27" s="1"/>
  <c r="BL235" i="27"/>
  <c r="BP242" i="27" s="1"/>
  <c r="BR242" i="27" s="1"/>
  <c r="BL219" i="27"/>
  <c r="BL203" i="27"/>
  <c r="BP210" i="27" s="1"/>
  <c r="BR210" i="27" s="1"/>
  <c r="BL187" i="27"/>
  <c r="BP194" i="27" s="1"/>
  <c r="BR194" i="27" s="1"/>
  <c r="BL171" i="27"/>
  <c r="BP178" i="27" s="1"/>
  <c r="BR178" i="27" s="1"/>
  <c r="BL123" i="27"/>
  <c r="BQ130" i="27" s="1"/>
  <c r="BL107" i="27"/>
  <c r="BQ114" i="27" s="1"/>
  <c r="BD242" i="27"/>
  <c r="BH249" i="27" s="1"/>
  <c r="BJ249" i="27" s="1"/>
  <c r="BD226" i="27"/>
  <c r="BH233" i="27" s="1"/>
  <c r="BJ233" i="27" s="1"/>
  <c r="BD210" i="27"/>
  <c r="BH217" i="27" s="1"/>
  <c r="BJ217" i="27" s="1"/>
  <c r="BD194" i="27"/>
  <c r="BH201" i="27" s="1"/>
  <c r="BJ201" i="27" s="1"/>
  <c r="BD178" i="27"/>
  <c r="BH185" i="27" s="1"/>
  <c r="BJ185" i="27" s="1"/>
  <c r="BD162" i="27"/>
  <c r="BH169" i="27" s="1"/>
  <c r="BJ169" i="27" s="1"/>
  <c r="BL250" i="27"/>
  <c r="BL234" i="27"/>
  <c r="BP241" i="27" s="1"/>
  <c r="BR241" i="27" s="1"/>
  <c r="BL218" i="27"/>
  <c r="BQ225" i="27" s="1"/>
  <c r="BL202" i="27"/>
  <c r="BQ209" i="27" s="1"/>
  <c r="BL186" i="27"/>
  <c r="BL170" i="27"/>
  <c r="BP177" i="27" s="1"/>
  <c r="BR177" i="27" s="1"/>
  <c r="BL122" i="27"/>
  <c r="BP129" i="27" s="1"/>
  <c r="BR129" i="27" s="1"/>
  <c r="BL106" i="27"/>
  <c r="BP113" i="27" s="1"/>
  <c r="BR113" i="27" s="1"/>
  <c r="BD241" i="27"/>
  <c r="BH248" i="27" s="1"/>
  <c r="BJ248" i="27" s="1"/>
  <c r="BD225" i="27"/>
  <c r="BH232" i="27" s="1"/>
  <c r="BJ232" i="27" s="1"/>
  <c r="BD209" i="27"/>
  <c r="BH216" i="27" s="1"/>
  <c r="BJ216" i="27" s="1"/>
  <c r="BD193" i="27"/>
  <c r="BH200" i="27" s="1"/>
  <c r="BJ200" i="27" s="1"/>
  <c r="BD177" i="27"/>
  <c r="BH184" i="27" s="1"/>
  <c r="BJ184" i="27" s="1"/>
  <c r="BD161" i="27"/>
  <c r="BI168" i="27" s="1"/>
  <c r="BD113" i="27"/>
  <c r="BH120" i="27" s="1"/>
  <c r="BJ120" i="27" s="1"/>
  <c r="BL249" i="27"/>
  <c r="BL233" i="27"/>
  <c r="BQ240" i="27" s="1"/>
  <c r="BL217" i="27"/>
  <c r="BP224" i="27" s="1"/>
  <c r="BR224" i="27" s="1"/>
  <c r="BL201" i="27"/>
  <c r="BP208" i="27" s="1"/>
  <c r="BR208" i="27" s="1"/>
  <c r="BL185" i="27"/>
  <c r="BP192" i="27" s="1"/>
  <c r="BR192" i="27" s="1"/>
  <c r="BL169" i="27"/>
  <c r="BL121" i="27"/>
  <c r="BP128" i="27" s="1"/>
  <c r="BR128" i="27" s="1"/>
  <c r="BL105" i="27"/>
  <c r="BQ112" i="27" s="1"/>
  <c r="BD240" i="27"/>
  <c r="BH247" i="27" s="1"/>
  <c r="BJ247" i="27" s="1"/>
  <c r="BD224" i="27"/>
  <c r="BH231" i="27" s="1"/>
  <c r="BJ231" i="27" s="1"/>
  <c r="BD208" i="27"/>
  <c r="BH215" i="27" s="1"/>
  <c r="BJ215" i="27" s="1"/>
  <c r="BD192" i="27"/>
  <c r="BH199" i="27" s="1"/>
  <c r="BJ199" i="27" s="1"/>
  <c r="BD176" i="27"/>
  <c r="BI183" i="27" s="1"/>
  <c r="BD160" i="27"/>
  <c r="BI167" i="27" s="1"/>
  <c r="BD112" i="27"/>
  <c r="BI119" i="27" s="1"/>
  <c r="BL248" i="27"/>
  <c r="BL232" i="27"/>
  <c r="BQ239" i="27" s="1"/>
  <c r="BL216" i="27"/>
  <c r="BQ223" i="27" s="1"/>
  <c r="BL200" i="27"/>
  <c r="BQ207" i="27" s="1"/>
  <c r="BL184" i="27"/>
  <c r="BP191" i="27" s="1"/>
  <c r="BR191" i="27" s="1"/>
  <c r="BL168" i="27"/>
  <c r="BP175" i="27" s="1"/>
  <c r="BR175" i="27" s="1"/>
  <c r="BL120" i="27"/>
  <c r="BL104" i="27"/>
  <c r="BQ111" i="27" s="1"/>
  <c r="BD239" i="27"/>
  <c r="BI246" i="27" s="1"/>
  <c r="BD223" i="27"/>
  <c r="BH230" i="27" s="1"/>
  <c r="BJ230" i="27" s="1"/>
  <c r="BD207" i="27"/>
  <c r="BH214" i="27" s="1"/>
  <c r="BJ214" i="27" s="1"/>
  <c r="BD191" i="27"/>
  <c r="BI198" i="27" s="1"/>
  <c r="BD175" i="27"/>
  <c r="BI182" i="27" s="1"/>
  <c r="BD159" i="27"/>
  <c r="BI166" i="27" s="1"/>
  <c r="BD111" i="27"/>
  <c r="BH118" i="27" s="1"/>
  <c r="BJ118" i="27" s="1"/>
  <c r="BN186" i="40"/>
  <c r="BM186" i="40"/>
  <c r="BM108" i="40"/>
  <c r="BN108" i="40"/>
  <c r="BF222" i="40"/>
  <c r="BE222" i="40"/>
  <c r="BE191" i="40"/>
  <c r="BF191" i="40"/>
  <c r="BE160" i="40"/>
  <c r="BF160" i="40"/>
  <c r="BM240" i="40"/>
  <c r="BN240" i="40"/>
  <c r="BM209" i="40"/>
  <c r="BN209" i="40"/>
  <c r="BN178" i="40"/>
  <c r="BM178" i="40"/>
  <c r="BE229" i="40"/>
  <c r="BF229" i="40"/>
  <c r="BE166" i="40"/>
  <c r="BF166" i="40"/>
  <c r="BE103" i="40"/>
  <c r="BF103" i="40"/>
  <c r="BN198" i="40"/>
  <c r="BM198" i="40"/>
  <c r="BF233" i="40"/>
  <c r="BE233" i="40"/>
  <c r="BE170" i="40"/>
  <c r="BF170" i="40"/>
  <c r="BE107" i="40"/>
  <c r="BF107" i="40"/>
  <c r="BM202" i="40"/>
  <c r="BN202" i="40"/>
  <c r="BN155" i="40"/>
  <c r="BM155" i="40"/>
  <c r="BN124" i="40"/>
  <c r="BM124" i="40"/>
  <c r="BF238" i="40"/>
  <c r="BE238" i="40"/>
  <c r="BE207" i="40"/>
  <c r="BF207" i="40"/>
  <c r="BF176" i="40"/>
  <c r="BE176" i="40"/>
  <c r="BE145" i="40"/>
  <c r="BF145" i="40"/>
  <c r="BM225" i="40"/>
  <c r="BN225" i="40"/>
  <c r="BN194" i="40"/>
  <c r="BM194" i="40"/>
  <c r="BF245" i="40"/>
  <c r="BE245" i="40"/>
  <c r="BF182" i="40"/>
  <c r="BE182" i="40"/>
  <c r="BM214" i="40"/>
  <c r="BN214" i="40"/>
  <c r="BN151" i="40"/>
  <c r="BM151" i="40"/>
  <c r="BF249" i="40"/>
  <c r="BE249" i="40"/>
  <c r="BE186" i="40"/>
  <c r="BF186" i="40"/>
  <c r="BD242" i="34"/>
  <c r="BI249" i="34" s="1"/>
  <c r="BD226" i="34"/>
  <c r="BH233" i="34" s="1"/>
  <c r="BJ233" i="34" s="1"/>
  <c r="BD210" i="34"/>
  <c r="BI217" i="34" s="1"/>
  <c r="BD194" i="34"/>
  <c r="BH201" i="34" s="1"/>
  <c r="BJ201" i="34" s="1"/>
  <c r="BD178" i="34"/>
  <c r="BH185" i="34" s="1"/>
  <c r="BJ185" i="34" s="1"/>
  <c r="BD162" i="34"/>
  <c r="BI169" i="34" s="1"/>
  <c r="BD146" i="34"/>
  <c r="BH153" i="34" s="1"/>
  <c r="BJ153" i="34" s="1"/>
  <c r="BL240" i="34"/>
  <c r="BQ247" i="34" s="1"/>
  <c r="BL224" i="34"/>
  <c r="BQ231" i="34" s="1"/>
  <c r="BL208" i="34"/>
  <c r="BQ215" i="34" s="1"/>
  <c r="BL192" i="34"/>
  <c r="BQ199" i="34" s="1"/>
  <c r="BL176" i="34"/>
  <c r="BL160" i="34"/>
  <c r="BP167" i="34" s="1"/>
  <c r="BR167" i="34" s="1"/>
  <c r="BL112" i="34"/>
  <c r="BQ119" i="34" s="1"/>
  <c r="BD241" i="34"/>
  <c r="BH248" i="34" s="1"/>
  <c r="BJ248" i="34" s="1"/>
  <c r="BD225" i="34"/>
  <c r="BI232" i="34" s="1"/>
  <c r="BD209" i="34"/>
  <c r="BI216" i="34" s="1"/>
  <c r="BD193" i="34"/>
  <c r="BI200" i="34" s="1"/>
  <c r="BD177" i="34"/>
  <c r="BH184" i="34" s="1"/>
  <c r="BJ184" i="34" s="1"/>
  <c r="BD161" i="34"/>
  <c r="BH168" i="34" s="1"/>
  <c r="BJ168" i="34" s="1"/>
  <c r="BD145" i="34"/>
  <c r="BI152" i="34" s="1"/>
  <c r="BD113" i="34"/>
  <c r="BI120" i="34" s="1"/>
  <c r="BL239" i="34"/>
  <c r="BQ246" i="34" s="1"/>
  <c r="BL223" i="34"/>
  <c r="BQ230" i="34" s="1"/>
  <c r="BL207" i="34"/>
  <c r="BQ214" i="34" s="1"/>
  <c r="BL191" i="34"/>
  <c r="BQ198" i="34" s="1"/>
  <c r="BL175" i="34"/>
  <c r="BQ182" i="34" s="1"/>
  <c r="BL159" i="34"/>
  <c r="BL127" i="34"/>
  <c r="BQ134" i="34" s="1"/>
  <c r="BL111" i="34"/>
  <c r="BQ118" i="34" s="1"/>
  <c r="BD240" i="34"/>
  <c r="BH247" i="34" s="1"/>
  <c r="BJ247" i="34" s="1"/>
  <c r="BD224" i="34"/>
  <c r="BH231" i="34" s="1"/>
  <c r="BJ231" i="34" s="1"/>
  <c r="BD208" i="34"/>
  <c r="BH215" i="34" s="1"/>
  <c r="BJ215" i="34" s="1"/>
  <c r="BD192" i="34"/>
  <c r="BH199" i="34" s="1"/>
  <c r="BJ199" i="34" s="1"/>
  <c r="BD176" i="34"/>
  <c r="BI183" i="34" s="1"/>
  <c r="BD160" i="34"/>
  <c r="BH167" i="34" s="1"/>
  <c r="BJ167" i="34" s="1"/>
  <c r="BD144" i="34"/>
  <c r="BI151" i="34" s="1"/>
  <c r="BD112" i="34"/>
  <c r="BI119" i="34" s="1"/>
  <c r="BL238" i="34"/>
  <c r="BP245" i="34" s="1"/>
  <c r="BR245" i="34" s="1"/>
  <c r="BL222" i="34"/>
  <c r="BQ229" i="34" s="1"/>
  <c r="BL206" i="34"/>
  <c r="BQ213" i="34" s="1"/>
  <c r="BL190" i="34"/>
  <c r="BP197" i="34" s="1"/>
  <c r="BR197" i="34" s="1"/>
  <c r="BL174" i="34"/>
  <c r="BP181" i="34" s="1"/>
  <c r="BR181" i="34" s="1"/>
  <c r="BL158" i="34"/>
  <c r="BL126" i="34"/>
  <c r="BP133" i="34" s="1"/>
  <c r="BR133" i="34" s="1"/>
  <c r="BL110" i="34"/>
  <c r="BQ117" i="34" s="1"/>
  <c r="BD239" i="34"/>
  <c r="BH246" i="34" s="1"/>
  <c r="BJ246" i="34" s="1"/>
  <c r="BD223" i="34"/>
  <c r="BH230" i="34" s="1"/>
  <c r="BJ230" i="34" s="1"/>
  <c r="BD207" i="34"/>
  <c r="BI214" i="34" s="1"/>
  <c r="BD191" i="34"/>
  <c r="BI198" i="34" s="1"/>
  <c r="BD175" i="34"/>
  <c r="BH182" i="34" s="1"/>
  <c r="BJ182" i="34" s="1"/>
  <c r="BD159" i="34"/>
  <c r="BH166" i="34" s="1"/>
  <c r="BJ166" i="34" s="1"/>
  <c r="BD143" i="34"/>
  <c r="BH150" i="34" s="1"/>
  <c r="BJ150" i="34" s="1"/>
  <c r="BD111" i="34"/>
  <c r="BI118" i="34" s="1"/>
  <c r="BL237" i="34"/>
  <c r="BP244" i="34" s="1"/>
  <c r="BR244" i="34" s="1"/>
  <c r="BL221" i="34"/>
  <c r="BP228" i="34" s="1"/>
  <c r="BR228" i="34" s="1"/>
  <c r="BL205" i="34"/>
  <c r="BQ212" i="34" s="1"/>
  <c r="BL189" i="34"/>
  <c r="BP196" i="34" s="1"/>
  <c r="BR196" i="34" s="1"/>
  <c r="BL173" i="34"/>
  <c r="BQ180" i="34" s="1"/>
  <c r="BL157" i="34"/>
  <c r="BL125" i="34"/>
  <c r="BP132" i="34" s="1"/>
  <c r="BR132" i="34" s="1"/>
  <c r="BL109" i="34"/>
  <c r="BP116" i="34" s="1"/>
  <c r="BR116" i="34" s="1"/>
  <c r="BD238" i="34"/>
  <c r="BH245" i="34" s="1"/>
  <c r="BJ245" i="34" s="1"/>
  <c r="BD222" i="34"/>
  <c r="BH229" i="34" s="1"/>
  <c r="BJ229" i="34" s="1"/>
  <c r="BD206" i="34"/>
  <c r="BI213" i="34" s="1"/>
  <c r="BD190" i="34"/>
  <c r="BI197" i="34" s="1"/>
  <c r="BD174" i="34"/>
  <c r="BI181" i="34" s="1"/>
  <c r="BD158" i="34"/>
  <c r="BH165" i="34" s="1"/>
  <c r="BJ165" i="34" s="1"/>
  <c r="BD142" i="34"/>
  <c r="BH149" i="34" s="1"/>
  <c r="BJ149" i="34" s="1"/>
  <c r="BD110" i="34"/>
  <c r="BH117" i="34" s="1"/>
  <c r="BJ117" i="34" s="1"/>
  <c r="BL236" i="34"/>
  <c r="BP243" i="34" s="1"/>
  <c r="BR243" i="34" s="1"/>
  <c r="BL220" i="34"/>
  <c r="BP227" i="34" s="1"/>
  <c r="BR227" i="34" s="1"/>
  <c r="BL204" i="34"/>
  <c r="BQ211" i="34" s="1"/>
  <c r="BL188" i="34"/>
  <c r="BQ195" i="34" s="1"/>
  <c r="BL172" i="34"/>
  <c r="BQ179" i="34" s="1"/>
  <c r="BL156" i="34"/>
  <c r="BL124" i="34"/>
  <c r="BQ131" i="34" s="1"/>
  <c r="BL108" i="34"/>
  <c r="BP115" i="34" s="1"/>
  <c r="BR115" i="34" s="1"/>
  <c r="BD237" i="34"/>
  <c r="BI244" i="34" s="1"/>
  <c r="BD221" i="34"/>
  <c r="BH228" i="34" s="1"/>
  <c r="BJ228" i="34" s="1"/>
  <c r="BD205" i="34"/>
  <c r="BI212" i="34" s="1"/>
  <c r="BD189" i="34"/>
  <c r="BI196" i="34" s="1"/>
  <c r="BD173" i="34"/>
  <c r="BI180" i="34" s="1"/>
  <c r="BD157" i="34"/>
  <c r="BI164" i="34" s="1"/>
  <c r="BD141" i="34"/>
  <c r="BI148" i="34" s="1"/>
  <c r="BD109" i="34"/>
  <c r="BI116" i="34" s="1"/>
  <c r="BL235" i="34"/>
  <c r="BP242" i="34" s="1"/>
  <c r="BR242" i="34" s="1"/>
  <c r="BL219" i="34"/>
  <c r="BQ226" i="34" s="1"/>
  <c r="BL203" i="34"/>
  <c r="BP210" i="34" s="1"/>
  <c r="BR210" i="34" s="1"/>
  <c r="BL187" i="34"/>
  <c r="BP194" i="34" s="1"/>
  <c r="BR194" i="34" s="1"/>
  <c r="BL171" i="34"/>
  <c r="BQ178" i="34" s="1"/>
  <c r="BL155" i="34"/>
  <c r="BL123" i="34"/>
  <c r="BQ130" i="34" s="1"/>
  <c r="BL107" i="34"/>
  <c r="BQ114" i="34" s="1"/>
  <c r="BD236" i="34"/>
  <c r="BH243" i="34" s="1"/>
  <c r="BJ243" i="34" s="1"/>
  <c r="BD220" i="34"/>
  <c r="BH227" i="34" s="1"/>
  <c r="BJ227" i="34" s="1"/>
  <c r="BD204" i="34"/>
  <c r="BI211" i="34" s="1"/>
  <c r="BD188" i="34"/>
  <c r="BI195" i="34" s="1"/>
  <c r="BD172" i="34"/>
  <c r="BI179" i="34" s="1"/>
  <c r="BD156" i="34"/>
  <c r="BH163" i="34" s="1"/>
  <c r="BJ163" i="34" s="1"/>
  <c r="BD140" i="34"/>
  <c r="BH147" i="34" s="1"/>
  <c r="BJ147" i="34" s="1"/>
  <c r="BD108" i="34"/>
  <c r="BH115" i="34" s="1"/>
  <c r="BJ115" i="34" s="1"/>
  <c r="BL250" i="34"/>
  <c r="BL234" i="34"/>
  <c r="BP241" i="34" s="1"/>
  <c r="BR241" i="34" s="1"/>
  <c r="BL218" i="34"/>
  <c r="BP225" i="34" s="1"/>
  <c r="BR225" i="34" s="1"/>
  <c r="BL202" i="34"/>
  <c r="BQ209" i="34" s="1"/>
  <c r="BL186" i="34"/>
  <c r="BP193" i="34" s="1"/>
  <c r="BR193" i="34" s="1"/>
  <c r="BL170" i="34"/>
  <c r="BL154" i="34"/>
  <c r="BQ161" i="34" s="1"/>
  <c r="BL122" i="34"/>
  <c r="BP129" i="34" s="1"/>
  <c r="BR129" i="34" s="1"/>
  <c r="BL106" i="34"/>
  <c r="BQ113" i="34" s="1"/>
  <c r="BD235" i="34"/>
  <c r="BI242" i="34" s="1"/>
  <c r="BD219" i="34"/>
  <c r="BI226" i="34" s="1"/>
  <c r="BD203" i="34"/>
  <c r="BI210" i="34" s="1"/>
  <c r="BD187" i="34"/>
  <c r="BH194" i="34" s="1"/>
  <c r="BJ194" i="34" s="1"/>
  <c r="BD171" i="34"/>
  <c r="BI178" i="34" s="1"/>
  <c r="BD155" i="34"/>
  <c r="BI162" i="34" s="1"/>
  <c r="BD139" i="34"/>
  <c r="BH146" i="34" s="1"/>
  <c r="BJ146" i="34" s="1"/>
  <c r="BD107" i="34"/>
  <c r="BI114" i="34" s="1"/>
  <c r="BL249" i="34"/>
  <c r="BL233" i="34"/>
  <c r="BQ240" i="34" s="1"/>
  <c r="BL217" i="34"/>
  <c r="BP224" i="34" s="1"/>
  <c r="BR224" i="34" s="1"/>
  <c r="BL201" i="34"/>
  <c r="BQ208" i="34" s="1"/>
  <c r="BL185" i="34"/>
  <c r="BL169" i="34"/>
  <c r="BP176" i="34" s="1"/>
  <c r="BR176" i="34" s="1"/>
  <c r="BL153" i="34"/>
  <c r="BQ160" i="34" s="1"/>
  <c r="BL121" i="34"/>
  <c r="BQ128" i="34" s="1"/>
  <c r="BL105" i="34"/>
  <c r="BQ112" i="34" s="1"/>
  <c r="BD250" i="34"/>
  <c r="BD234" i="34"/>
  <c r="BI241" i="34" s="1"/>
  <c r="BD218" i="34"/>
  <c r="BH225" i="34" s="1"/>
  <c r="BJ225" i="34" s="1"/>
  <c r="BD202" i="34"/>
  <c r="BI209" i="34" s="1"/>
  <c r="BD186" i="34"/>
  <c r="BI193" i="34" s="1"/>
  <c r="BD170" i="34"/>
  <c r="BI177" i="34" s="1"/>
  <c r="BD154" i="34"/>
  <c r="BI161" i="34" s="1"/>
  <c r="BD138" i="34"/>
  <c r="BH145" i="34" s="1"/>
  <c r="BJ145" i="34" s="1"/>
  <c r="BD106" i="34"/>
  <c r="BI113" i="34" s="1"/>
  <c r="BL248" i="34"/>
  <c r="BL232" i="34"/>
  <c r="BQ239" i="34" s="1"/>
  <c r="BL216" i="34"/>
  <c r="BL200" i="34"/>
  <c r="BQ207" i="34" s="1"/>
  <c r="BL184" i="34"/>
  <c r="BQ191" i="34" s="1"/>
  <c r="BL168" i="34"/>
  <c r="BQ175" i="34" s="1"/>
  <c r="BL152" i="34"/>
  <c r="BP159" i="34" s="1"/>
  <c r="BR159" i="34" s="1"/>
  <c r="BL120" i="34"/>
  <c r="BP127" i="34" s="1"/>
  <c r="BR127" i="34" s="1"/>
  <c r="BL104" i="34"/>
  <c r="BP111" i="34" s="1"/>
  <c r="BR111" i="34" s="1"/>
  <c r="BD249" i="34"/>
  <c r="BD233" i="34"/>
  <c r="BI240" i="34" s="1"/>
  <c r="BD217" i="34"/>
  <c r="BI224" i="34" s="1"/>
  <c r="BD201" i="34"/>
  <c r="BH208" i="34" s="1"/>
  <c r="BJ208" i="34" s="1"/>
  <c r="BD185" i="34"/>
  <c r="BH192" i="34" s="1"/>
  <c r="BJ192" i="34" s="1"/>
  <c r="BD169" i="34"/>
  <c r="BI176" i="34" s="1"/>
  <c r="BD153" i="34"/>
  <c r="BH160" i="34" s="1"/>
  <c r="BJ160" i="34" s="1"/>
  <c r="BD137" i="34"/>
  <c r="BI144" i="34" s="1"/>
  <c r="BD105" i="34"/>
  <c r="BH112" i="34" s="1"/>
  <c r="BJ112" i="34" s="1"/>
  <c r="BL247" i="34"/>
  <c r="BL231" i="34"/>
  <c r="BQ238" i="34" s="1"/>
  <c r="BL215" i="34"/>
  <c r="BP222" i="34" s="1"/>
  <c r="BR222" i="34" s="1"/>
  <c r="BL199" i="34"/>
  <c r="BQ206" i="34" s="1"/>
  <c r="BL183" i="34"/>
  <c r="BQ190" i="34" s="1"/>
  <c r="BL167" i="34"/>
  <c r="BP174" i="34" s="1"/>
  <c r="BR174" i="34" s="1"/>
  <c r="BL151" i="34"/>
  <c r="BQ158" i="34" s="1"/>
  <c r="BL119" i="34"/>
  <c r="BQ126" i="34" s="1"/>
  <c r="BL103" i="34"/>
  <c r="BP110" i="34" s="1"/>
  <c r="BR110" i="34" s="1"/>
  <c r="BD248" i="34"/>
  <c r="BD232" i="34"/>
  <c r="BH239" i="34" s="1"/>
  <c r="BJ239" i="34" s="1"/>
  <c r="BD216" i="34"/>
  <c r="BI223" i="34" s="1"/>
  <c r="BD200" i="34"/>
  <c r="BI207" i="34" s="1"/>
  <c r="BD184" i="34"/>
  <c r="BH191" i="34" s="1"/>
  <c r="BJ191" i="34" s="1"/>
  <c r="BD168" i="34"/>
  <c r="BH175" i="34" s="1"/>
  <c r="BJ175" i="34" s="1"/>
  <c r="BD152" i="34"/>
  <c r="BI159" i="34" s="1"/>
  <c r="BD136" i="34"/>
  <c r="BD104" i="34"/>
  <c r="BI111" i="34" s="1"/>
  <c r="BL246" i="34"/>
  <c r="BL230" i="34"/>
  <c r="BP237" i="34" s="1"/>
  <c r="BR237" i="34" s="1"/>
  <c r="BL214" i="34"/>
  <c r="BQ221" i="34" s="1"/>
  <c r="BL198" i="34"/>
  <c r="BP205" i="34" s="1"/>
  <c r="BR205" i="34" s="1"/>
  <c r="BL182" i="34"/>
  <c r="BQ189" i="34" s="1"/>
  <c r="BL166" i="34"/>
  <c r="BP173" i="34" s="1"/>
  <c r="BR173" i="34" s="1"/>
  <c r="BL150" i="34"/>
  <c r="BQ157" i="34" s="1"/>
  <c r="BL118" i="34"/>
  <c r="BP125" i="34" s="1"/>
  <c r="BR125" i="34" s="1"/>
  <c r="BL102" i="34"/>
  <c r="BQ109" i="34" s="1"/>
  <c r="BD247" i="34"/>
  <c r="BD231" i="34"/>
  <c r="BH238" i="34" s="1"/>
  <c r="BJ238" i="34" s="1"/>
  <c r="BD215" i="34"/>
  <c r="BH222" i="34" s="1"/>
  <c r="BJ222" i="34" s="1"/>
  <c r="BD199" i="34"/>
  <c r="BI206" i="34" s="1"/>
  <c r="BD183" i="34"/>
  <c r="BH190" i="34" s="1"/>
  <c r="BJ190" i="34" s="1"/>
  <c r="BD167" i="34"/>
  <c r="BD151" i="34"/>
  <c r="BI158" i="34" s="1"/>
  <c r="BD135" i="34"/>
  <c r="BI142" i="34" s="1"/>
  <c r="BD103" i="34"/>
  <c r="BI110" i="34" s="1"/>
  <c r="BL245" i="34"/>
  <c r="BL229" i="34"/>
  <c r="BP236" i="34" s="1"/>
  <c r="BR236" i="34" s="1"/>
  <c r="BL213" i="34"/>
  <c r="BP220" i="34" s="1"/>
  <c r="BR220" i="34" s="1"/>
  <c r="BL197" i="34"/>
  <c r="BP204" i="34" s="1"/>
  <c r="BR204" i="34" s="1"/>
  <c r="BL181" i="34"/>
  <c r="BQ188" i="34" s="1"/>
  <c r="BL165" i="34"/>
  <c r="BP172" i="34" s="1"/>
  <c r="BR172" i="34" s="1"/>
  <c r="BL149" i="34"/>
  <c r="BP156" i="34" s="1"/>
  <c r="BR156" i="34" s="1"/>
  <c r="BL117" i="34"/>
  <c r="BP124" i="34" s="1"/>
  <c r="BR124" i="34" s="1"/>
  <c r="BL101" i="34"/>
  <c r="BP108" i="34" s="1"/>
  <c r="BR108" i="34" s="1"/>
  <c r="BD246" i="34"/>
  <c r="BD230" i="34"/>
  <c r="BI237" i="34" s="1"/>
  <c r="BD214" i="34"/>
  <c r="BI221" i="34" s="1"/>
  <c r="BD198" i="34"/>
  <c r="BD182" i="34"/>
  <c r="BI189" i="34" s="1"/>
  <c r="BD166" i="34"/>
  <c r="BI173" i="34" s="1"/>
  <c r="BD150" i="34"/>
  <c r="BI157" i="34" s="1"/>
  <c r="BD102" i="34"/>
  <c r="BH109" i="34" s="1"/>
  <c r="BJ109" i="34" s="1"/>
  <c r="BL244" i="34"/>
  <c r="BL228" i="34"/>
  <c r="BQ235" i="34" s="1"/>
  <c r="BL212" i="34"/>
  <c r="BP219" i="34" s="1"/>
  <c r="BR219" i="34" s="1"/>
  <c r="BL196" i="34"/>
  <c r="BP203" i="34" s="1"/>
  <c r="BR203" i="34" s="1"/>
  <c r="BL180" i="34"/>
  <c r="BP187" i="34" s="1"/>
  <c r="BR187" i="34" s="1"/>
  <c r="BL164" i="34"/>
  <c r="BQ171" i="34" s="1"/>
  <c r="BL116" i="34"/>
  <c r="BP123" i="34" s="1"/>
  <c r="BR123" i="34" s="1"/>
  <c r="BL100" i="34"/>
  <c r="BP107" i="34" s="1"/>
  <c r="BR107" i="34" s="1"/>
  <c r="BD245" i="34"/>
  <c r="BD229" i="34"/>
  <c r="BH236" i="34" s="1"/>
  <c r="BJ236" i="34" s="1"/>
  <c r="BD213" i="34"/>
  <c r="BH220" i="34" s="1"/>
  <c r="BJ220" i="34" s="1"/>
  <c r="BD197" i="34"/>
  <c r="BD181" i="34"/>
  <c r="BH188" i="34" s="1"/>
  <c r="BJ188" i="34" s="1"/>
  <c r="BD165" i="34"/>
  <c r="BI172" i="34" s="1"/>
  <c r="BD149" i="34"/>
  <c r="BH156" i="34" s="1"/>
  <c r="BJ156" i="34" s="1"/>
  <c r="BD101" i="34"/>
  <c r="BI108" i="34" s="1"/>
  <c r="BL243" i="34"/>
  <c r="BQ250" i="34" s="1"/>
  <c r="BL227" i="34"/>
  <c r="BP234" i="34" s="1"/>
  <c r="BR234" i="34" s="1"/>
  <c r="BL211" i="34"/>
  <c r="BP218" i="34" s="1"/>
  <c r="BR218" i="34" s="1"/>
  <c r="BL195" i="34"/>
  <c r="BQ202" i="34" s="1"/>
  <c r="BL179" i="34"/>
  <c r="BP186" i="34" s="1"/>
  <c r="BR186" i="34" s="1"/>
  <c r="BL163" i="34"/>
  <c r="BP170" i="34" s="1"/>
  <c r="BR170" i="34" s="1"/>
  <c r="BL115" i="34"/>
  <c r="BQ122" i="34" s="1"/>
  <c r="BD244" i="34"/>
  <c r="BD228" i="34"/>
  <c r="BH235" i="34" s="1"/>
  <c r="BJ235" i="34" s="1"/>
  <c r="BD212" i="34"/>
  <c r="BH219" i="34" s="1"/>
  <c r="BJ219" i="34" s="1"/>
  <c r="BD196" i="34"/>
  <c r="BH203" i="34" s="1"/>
  <c r="BJ203" i="34" s="1"/>
  <c r="BD180" i="34"/>
  <c r="BD164" i="34"/>
  <c r="BI171" i="34" s="1"/>
  <c r="BD148" i="34"/>
  <c r="BI155" i="34" s="1"/>
  <c r="BD100" i="34"/>
  <c r="BI107" i="34" s="1"/>
  <c r="BL242" i="34"/>
  <c r="BP249" i="34" s="1"/>
  <c r="BR249" i="34" s="1"/>
  <c r="BL226" i="34"/>
  <c r="BQ233" i="34" s="1"/>
  <c r="BL210" i="34"/>
  <c r="BP217" i="34" s="1"/>
  <c r="BR217" i="34" s="1"/>
  <c r="BL194" i="34"/>
  <c r="BP201" i="34" s="1"/>
  <c r="BR201" i="34" s="1"/>
  <c r="BL178" i="34"/>
  <c r="BP185" i="34" s="1"/>
  <c r="BR185" i="34" s="1"/>
  <c r="BL162" i="34"/>
  <c r="BP169" i="34" s="1"/>
  <c r="BR169" i="34" s="1"/>
  <c r="BL114" i="34"/>
  <c r="BQ121" i="34" s="1"/>
  <c r="BD243" i="34"/>
  <c r="BI250" i="34" s="1"/>
  <c r="BD227" i="34"/>
  <c r="BH234" i="34" s="1"/>
  <c r="BJ234" i="34" s="1"/>
  <c r="BD211" i="34"/>
  <c r="BI218" i="34" s="1"/>
  <c r="BD195" i="34"/>
  <c r="BI202" i="34" s="1"/>
  <c r="BD179" i="34"/>
  <c r="BI186" i="34" s="1"/>
  <c r="BD163" i="34"/>
  <c r="BD147" i="34"/>
  <c r="BI154" i="34" s="1"/>
  <c r="BL241" i="34"/>
  <c r="BQ248" i="34" s="1"/>
  <c r="BL225" i="34"/>
  <c r="BP232" i="34" s="1"/>
  <c r="BR232" i="34" s="1"/>
  <c r="BL209" i="34"/>
  <c r="BP216" i="34" s="1"/>
  <c r="BR216" i="34" s="1"/>
  <c r="BL193" i="34"/>
  <c r="BQ200" i="34" s="1"/>
  <c r="BL177" i="34"/>
  <c r="BP184" i="34" s="1"/>
  <c r="BR184" i="34" s="1"/>
  <c r="BL161" i="34"/>
  <c r="BP168" i="34" s="1"/>
  <c r="BR168" i="34" s="1"/>
  <c r="BL113" i="34"/>
  <c r="BP120" i="34" s="1"/>
  <c r="BR120" i="34" s="1"/>
  <c r="BM218" i="40"/>
  <c r="BN218" i="40"/>
  <c r="BN171" i="40"/>
  <c r="BM171" i="40"/>
  <c r="BN109" i="40"/>
  <c r="BM109" i="40"/>
  <c r="BF223" i="40"/>
  <c r="BE223" i="40"/>
  <c r="BF192" i="40"/>
  <c r="BE192" i="40"/>
  <c r="BF161" i="40"/>
  <c r="BE161" i="40"/>
  <c r="BN241" i="40"/>
  <c r="BM241" i="40"/>
  <c r="BM210" i="40"/>
  <c r="BN210" i="40"/>
  <c r="BN163" i="40"/>
  <c r="BM163" i="40"/>
  <c r="BM100" i="40"/>
  <c r="BN100" i="40"/>
  <c r="BE198" i="40"/>
  <c r="BF198" i="40"/>
  <c r="BF135" i="40"/>
  <c r="BE135" i="40"/>
  <c r="BN230" i="40"/>
  <c r="BM230" i="40"/>
  <c r="BM167" i="40"/>
  <c r="BN167" i="40"/>
  <c r="BN104" i="40"/>
  <c r="BM104" i="40"/>
  <c r="BF202" i="40"/>
  <c r="BE202" i="40"/>
  <c r="BE139" i="40"/>
  <c r="BF139" i="40"/>
  <c r="BN234" i="40"/>
  <c r="BM234" i="40"/>
  <c r="BM187" i="40"/>
  <c r="BN187" i="40"/>
  <c r="BM156" i="40"/>
  <c r="BN156" i="40"/>
  <c r="BN125" i="40"/>
  <c r="BM125" i="40"/>
  <c r="BE239" i="40"/>
  <c r="BF239" i="40"/>
  <c r="BE208" i="40"/>
  <c r="BF208" i="40"/>
  <c r="BF177" i="40"/>
  <c r="BE177" i="40"/>
  <c r="BF146" i="40"/>
  <c r="BE146" i="40"/>
  <c r="BM226" i="40"/>
  <c r="BN226" i="40"/>
  <c r="BN179" i="40"/>
  <c r="BM179" i="40"/>
  <c r="BN116" i="40"/>
  <c r="BM116" i="40"/>
  <c r="BE214" i="40"/>
  <c r="BF214" i="40"/>
  <c r="BF151" i="40"/>
  <c r="BE151" i="40"/>
  <c r="BN246" i="40"/>
  <c r="BM246" i="40"/>
  <c r="BN183" i="40"/>
  <c r="BM183" i="40"/>
  <c r="BN120" i="40"/>
  <c r="BM120" i="40"/>
  <c r="BF218" i="40"/>
  <c r="BE218" i="40"/>
  <c r="BF155" i="40"/>
  <c r="BE155" i="40"/>
  <c r="BN250" i="40"/>
  <c r="BM250" i="40"/>
  <c r="BM203" i="40"/>
  <c r="BN203" i="40"/>
  <c r="BM172" i="40"/>
  <c r="BN172" i="40"/>
  <c r="BM110" i="40"/>
  <c r="BN110" i="40"/>
  <c r="BE224" i="40"/>
  <c r="BF224" i="40"/>
  <c r="BE193" i="40"/>
  <c r="BF193" i="40"/>
  <c r="BE162" i="40"/>
  <c r="BF162" i="40"/>
  <c r="BM242" i="40"/>
  <c r="BN242" i="40"/>
  <c r="BN195" i="40"/>
  <c r="BM195" i="40"/>
  <c r="BF230" i="40"/>
  <c r="BE230" i="40"/>
  <c r="BE167" i="40"/>
  <c r="BF167" i="40"/>
  <c r="BE104" i="40"/>
  <c r="BF104" i="40"/>
  <c r="BM199" i="40"/>
  <c r="BN199" i="40"/>
  <c r="BE234" i="40"/>
  <c r="BF234" i="40"/>
  <c r="BE171" i="40"/>
  <c r="BF171" i="40"/>
  <c r="BF108" i="40"/>
  <c r="BE108" i="40"/>
  <c r="BM219" i="40"/>
  <c r="BN219" i="40"/>
  <c r="BN188" i="40"/>
  <c r="BM188" i="40"/>
  <c r="BN157" i="40"/>
  <c r="BM157" i="40"/>
  <c r="BM126" i="40"/>
  <c r="BN126" i="40"/>
  <c r="BF240" i="40"/>
  <c r="BE240" i="40"/>
  <c r="BE209" i="40"/>
  <c r="BF209" i="40"/>
  <c r="BF178" i="40"/>
  <c r="BE178" i="40"/>
  <c r="BF147" i="40"/>
  <c r="BE147" i="40"/>
  <c r="BE100" i="40"/>
  <c r="BF100" i="40"/>
  <c r="BN211" i="40"/>
  <c r="BM211" i="40"/>
  <c r="BF246" i="40"/>
  <c r="BE246" i="40"/>
  <c r="BE183" i="40"/>
  <c r="BF183" i="40"/>
  <c r="BM215" i="40"/>
  <c r="BN215" i="40"/>
  <c r="BN152" i="40"/>
  <c r="BM152" i="40"/>
  <c r="BF250" i="40"/>
  <c r="BE250" i="40"/>
  <c r="BE187" i="40"/>
  <c r="BF187" i="40"/>
  <c r="BN235" i="40"/>
  <c r="BM235" i="40"/>
  <c r="BM204" i="40"/>
  <c r="BN204" i="40"/>
  <c r="BN173" i="40"/>
  <c r="BM173" i="40"/>
  <c r="BN111" i="40"/>
  <c r="BM111" i="40"/>
  <c r="BF225" i="40"/>
  <c r="BE225" i="40"/>
  <c r="BF194" i="40"/>
  <c r="BE194" i="40"/>
  <c r="BF163" i="40"/>
  <c r="BE163" i="40"/>
  <c r="BM227" i="40"/>
  <c r="BN227" i="40"/>
  <c r="BM164" i="40"/>
  <c r="BN164" i="40"/>
  <c r="BN101" i="40"/>
  <c r="BM101" i="40"/>
  <c r="BF199" i="40"/>
  <c r="BE199" i="40"/>
  <c r="BF136" i="40"/>
  <c r="BE136" i="40"/>
  <c r="BN231" i="40"/>
  <c r="BM231" i="40"/>
  <c r="BM168" i="40"/>
  <c r="BN168" i="40"/>
  <c r="BM105" i="40"/>
  <c r="BN105" i="40"/>
  <c r="BE203" i="40"/>
  <c r="BF203" i="40"/>
  <c r="BE140" i="40"/>
  <c r="BF140" i="40"/>
  <c r="BE109" i="40"/>
  <c r="BF109" i="40"/>
  <c r="BN220" i="40"/>
  <c r="BM220" i="40"/>
  <c r="BM189" i="40"/>
  <c r="BN189" i="40"/>
  <c r="BM158" i="40"/>
  <c r="BN158" i="40"/>
  <c r="BM127" i="40"/>
  <c r="BN127" i="40"/>
  <c r="BE241" i="40"/>
  <c r="BF241" i="40"/>
  <c r="BF210" i="40"/>
  <c r="BE210" i="40"/>
  <c r="BE179" i="40"/>
  <c r="BF179" i="40"/>
  <c r="BM243" i="40"/>
  <c r="BN243" i="40"/>
  <c r="BN180" i="40"/>
  <c r="BM180" i="40"/>
  <c r="BN117" i="40"/>
  <c r="BM117" i="40"/>
  <c r="BE215" i="40"/>
  <c r="BF215" i="40"/>
  <c r="BE152" i="40"/>
  <c r="BF152" i="40"/>
  <c r="BM247" i="40"/>
  <c r="BN247" i="40"/>
  <c r="BN184" i="40"/>
  <c r="BM184" i="40"/>
  <c r="BN121" i="40"/>
  <c r="BM121" i="40"/>
  <c r="BF219" i="40"/>
  <c r="BE219" i="40"/>
  <c r="BE156" i="40"/>
  <c r="BF156" i="40"/>
  <c r="BM236" i="40"/>
  <c r="BN236" i="40"/>
  <c r="BN205" i="40"/>
  <c r="BM205" i="40"/>
  <c r="BM174" i="40"/>
  <c r="BN174" i="40"/>
  <c r="BN112" i="40"/>
  <c r="BM112" i="40"/>
  <c r="BE226" i="40"/>
  <c r="BF226" i="40"/>
  <c r="BF195" i="40"/>
  <c r="BE195" i="40"/>
  <c r="BE148" i="40"/>
  <c r="BF148" i="40"/>
  <c r="BE101" i="40"/>
  <c r="BF101" i="40"/>
  <c r="BN196" i="40"/>
  <c r="BM196" i="40"/>
  <c r="BE231" i="40"/>
  <c r="BF231" i="40"/>
  <c r="BE168" i="40"/>
  <c r="BF168" i="40"/>
  <c r="BF105" i="40"/>
  <c r="BE105" i="40"/>
  <c r="BN200" i="40"/>
  <c r="BM200" i="40"/>
  <c r="BF235" i="40"/>
  <c r="BE235" i="40"/>
  <c r="BP156" i="39"/>
  <c r="BR156" i="39" s="1"/>
  <c r="BH235" i="39"/>
  <c r="BJ235" i="39" s="1"/>
  <c r="BI215" i="39"/>
  <c r="BP111" i="39"/>
  <c r="BR111" i="39" s="1"/>
  <c r="BH216" i="37"/>
  <c r="BJ216" i="37" s="1"/>
  <c r="BQ233" i="37"/>
  <c r="BH187" i="37"/>
  <c r="BJ187" i="37" s="1"/>
  <c r="BP250" i="37"/>
  <c r="BR250" i="37" s="1"/>
  <c r="BH249" i="39"/>
  <c r="BJ249" i="39" s="1"/>
  <c r="BI156" i="39"/>
  <c r="BQ113" i="39"/>
  <c r="BI189" i="39"/>
  <c r="BQ124" i="39"/>
  <c r="BH238" i="37"/>
  <c r="BJ238" i="37" s="1"/>
  <c r="BQ241" i="37"/>
  <c r="BP230" i="39"/>
  <c r="BR230" i="39" s="1"/>
  <c r="BQ226" i="37"/>
  <c r="BQ176" i="37"/>
  <c r="BI239" i="37"/>
  <c r="BI170" i="37"/>
  <c r="BH188" i="37"/>
  <c r="BJ188" i="37" s="1"/>
  <c r="BI248" i="39"/>
  <c r="BH221" i="37"/>
  <c r="BJ221" i="37" s="1"/>
  <c r="BI247" i="37"/>
  <c r="BI231" i="39"/>
  <c r="BH199" i="39"/>
  <c r="BJ199" i="39" s="1"/>
  <c r="BP246" i="39"/>
  <c r="BR246" i="39" s="1"/>
  <c r="BQ110" i="39"/>
  <c r="BP245" i="39"/>
  <c r="BR245" i="39" s="1"/>
  <c r="BP217" i="39"/>
  <c r="BR217" i="39" s="1"/>
  <c r="BP248" i="39"/>
  <c r="BR248" i="39" s="1"/>
  <c r="BQ203" i="39"/>
  <c r="BP225" i="37"/>
  <c r="BR225" i="37" s="1"/>
  <c r="BQ201" i="39"/>
  <c r="BH200" i="39"/>
  <c r="BJ200" i="39" s="1"/>
  <c r="BI243" i="39"/>
  <c r="BI185" i="39"/>
  <c r="BP199" i="39"/>
  <c r="BR199" i="39" s="1"/>
  <c r="BI186" i="39"/>
  <c r="BP169" i="39"/>
  <c r="BR169" i="39" s="1"/>
  <c r="BP219" i="37"/>
  <c r="BR219" i="37" s="1"/>
  <c r="BP227" i="37"/>
  <c r="BR227" i="37" s="1"/>
  <c r="BI198" i="39"/>
  <c r="BQ244" i="37"/>
  <c r="BH213" i="39"/>
  <c r="BJ213" i="39" s="1"/>
  <c r="BP213" i="39"/>
  <c r="BR213" i="39" s="1"/>
  <c r="BQ107" i="39"/>
  <c r="BH228" i="39"/>
  <c r="BJ228" i="39" s="1"/>
  <c r="BP177" i="37"/>
  <c r="BR177" i="37" s="1"/>
  <c r="BI207" i="37"/>
  <c r="BI187" i="39"/>
  <c r="BQ184" i="39"/>
  <c r="BN170" i="39"/>
  <c r="BM170" i="39"/>
  <c r="BN107" i="39"/>
  <c r="BM107" i="39"/>
  <c r="BE211" i="39"/>
  <c r="BF211" i="39"/>
  <c r="BE148" i="39"/>
  <c r="BF148" i="39"/>
  <c r="BF229" i="39"/>
  <c r="BE229" i="39"/>
  <c r="BF167" i="39"/>
  <c r="BE167" i="39"/>
  <c r="BF104" i="39"/>
  <c r="BE104" i="39"/>
  <c r="BN209" i="39"/>
  <c r="BM209" i="39"/>
  <c r="BE218" i="39"/>
  <c r="BF218" i="39"/>
  <c r="BE171" i="39"/>
  <c r="BF171" i="39"/>
  <c r="BE108" i="39"/>
  <c r="BF108" i="39"/>
  <c r="BN213" i="39"/>
  <c r="BM213" i="39"/>
  <c r="BN166" i="39"/>
  <c r="BM166" i="39"/>
  <c r="BN119" i="39"/>
  <c r="BM119" i="39"/>
  <c r="BE223" i="39"/>
  <c r="BF223" i="39"/>
  <c r="BF160" i="39"/>
  <c r="BE160" i="39"/>
  <c r="BL248" i="30"/>
  <c r="BL232" i="30"/>
  <c r="BL216" i="30"/>
  <c r="BL200" i="30"/>
  <c r="BL184" i="30"/>
  <c r="BL168" i="30"/>
  <c r="BL152" i="30"/>
  <c r="BL120" i="30"/>
  <c r="BL104" i="30"/>
  <c r="BP104" i="30" s="1"/>
  <c r="BR104" i="30" s="1"/>
  <c r="BD239" i="30"/>
  <c r="BD223" i="30"/>
  <c r="BD207" i="30"/>
  <c r="BD191" i="30"/>
  <c r="BD175" i="30"/>
  <c r="BD159" i="30"/>
  <c r="BD143" i="30"/>
  <c r="BD111" i="30"/>
  <c r="BL247" i="30"/>
  <c r="BL231" i="30"/>
  <c r="BL215" i="30"/>
  <c r="BL199" i="30"/>
  <c r="BL183" i="30"/>
  <c r="BL167" i="30"/>
  <c r="BL151" i="30"/>
  <c r="BL119" i="30"/>
  <c r="BL103" i="30"/>
  <c r="BQ103" i="30" s="1"/>
  <c r="BD238" i="30"/>
  <c r="BD222" i="30"/>
  <c r="BD206" i="30"/>
  <c r="BD190" i="30"/>
  <c r="BD174" i="30"/>
  <c r="BD158" i="30"/>
  <c r="BD142" i="30"/>
  <c r="BD110" i="30"/>
  <c r="BL246" i="30"/>
  <c r="BL230" i="30"/>
  <c r="BL214" i="30"/>
  <c r="BL198" i="30"/>
  <c r="BL182" i="30"/>
  <c r="BQ182" i="30" s="1"/>
  <c r="BL166" i="30"/>
  <c r="BL150" i="30"/>
  <c r="BL118" i="30"/>
  <c r="BL102" i="30"/>
  <c r="BD237" i="30"/>
  <c r="BD221" i="30"/>
  <c r="BD205" i="30"/>
  <c r="BD189" i="30"/>
  <c r="BD173" i="30"/>
  <c r="BD157" i="30"/>
  <c r="BD141" i="30"/>
  <c r="BD109" i="30"/>
  <c r="BD165" i="30"/>
  <c r="BL245" i="30"/>
  <c r="BL229" i="30"/>
  <c r="BL213" i="30"/>
  <c r="BL197" i="30"/>
  <c r="BL181" i="30"/>
  <c r="BL165" i="30"/>
  <c r="BL149" i="30"/>
  <c r="BL117" i="30"/>
  <c r="BL101" i="30"/>
  <c r="BD236" i="30"/>
  <c r="BD220" i="30"/>
  <c r="BD204" i="30"/>
  <c r="BD188" i="30"/>
  <c r="BD172" i="30"/>
  <c r="BD156" i="30"/>
  <c r="BD140" i="30"/>
  <c r="BD108" i="30"/>
  <c r="BL244" i="30"/>
  <c r="BL228" i="30"/>
  <c r="BL212" i="30"/>
  <c r="BL196" i="30"/>
  <c r="BL180" i="30"/>
  <c r="BL164" i="30"/>
  <c r="BL116" i="30"/>
  <c r="BL100" i="30"/>
  <c r="BD235" i="30"/>
  <c r="BD219" i="30"/>
  <c r="BD203" i="30"/>
  <c r="BD187" i="30"/>
  <c r="BD171" i="30"/>
  <c r="BD155" i="30"/>
  <c r="BD139" i="30"/>
  <c r="BD107" i="30"/>
  <c r="BL190" i="30"/>
  <c r="BL243" i="30"/>
  <c r="BL227" i="30"/>
  <c r="BL211" i="30"/>
  <c r="BL195" i="30"/>
  <c r="BL179" i="30"/>
  <c r="BL163" i="30"/>
  <c r="BL115" i="30"/>
  <c r="BD250" i="30"/>
  <c r="BD234" i="30"/>
  <c r="BD218" i="30"/>
  <c r="BD202" i="30"/>
  <c r="BD186" i="30"/>
  <c r="BD170" i="30"/>
  <c r="BD154" i="30"/>
  <c r="BD138" i="30"/>
  <c r="BI145" i="30" s="1"/>
  <c r="BD106" i="30"/>
  <c r="BL242" i="30"/>
  <c r="BL226" i="30"/>
  <c r="BL210" i="30"/>
  <c r="BL194" i="30"/>
  <c r="BL178" i="30"/>
  <c r="BL162" i="30"/>
  <c r="BL114" i="30"/>
  <c r="BD249" i="30"/>
  <c r="BD233" i="30"/>
  <c r="BD217" i="30"/>
  <c r="BD201" i="30"/>
  <c r="BH208" i="30" s="1"/>
  <c r="BJ208" i="30" s="1"/>
  <c r="BD185" i="30"/>
  <c r="BI192" i="30" s="1"/>
  <c r="BD169" i="30"/>
  <c r="BD153" i="30"/>
  <c r="BD137" i="30"/>
  <c r="BD105" i="30"/>
  <c r="BL158" i="30"/>
  <c r="BL241" i="30"/>
  <c r="BL225" i="30"/>
  <c r="BL209" i="30"/>
  <c r="BL193" i="30"/>
  <c r="BL177" i="30"/>
  <c r="BL161" i="30"/>
  <c r="BL113" i="30"/>
  <c r="BD248" i="30"/>
  <c r="BD232" i="30"/>
  <c r="BD216" i="30"/>
  <c r="BD200" i="30"/>
  <c r="BD184" i="30"/>
  <c r="BH191" i="30" s="1"/>
  <c r="BJ191" i="30" s="1"/>
  <c r="BD168" i="30"/>
  <c r="BD152" i="30"/>
  <c r="BD136" i="30"/>
  <c r="BD104" i="30"/>
  <c r="BH104" i="30" s="1"/>
  <c r="BJ104" i="30" s="1"/>
  <c r="BL240" i="30"/>
  <c r="BL224" i="30"/>
  <c r="BL208" i="30"/>
  <c r="BL192" i="30"/>
  <c r="BL176" i="30"/>
  <c r="BL160" i="30"/>
  <c r="BL112" i="30"/>
  <c r="BD247" i="30"/>
  <c r="BD231" i="30"/>
  <c r="BD215" i="30"/>
  <c r="BD199" i="30"/>
  <c r="BD183" i="30"/>
  <c r="BD167" i="30"/>
  <c r="BD151" i="30"/>
  <c r="BD135" i="30"/>
  <c r="BD103" i="30"/>
  <c r="BL239" i="30"/>
  <c r="BL223" i="30"/>
  <c r="BL207" i="30"/>
  <c r="BL191" i="30"/>
  <c r="BL175" i="30"/>
  <c r="BL159" i="30"/>
  <c r="BL127" i="30"/>
  <c r="BL111" i="30"/>
  <c r="BD246" i="30"/>
  <c r="BD230" i="30"/>
  <c r="BD214" i="30"/>
  <c r="BD198" i="30"/>
  <c r="BD182" i="30"/>
  <c r="BD166" i="30"/>
  <c r="BD150" i="30"/>
  <c r="BD102" i="30"/>
  <c r="BD213" i="30"/>
  <c r="BL237" i="30"/>
  <c r="BL221" i="30"/>
  <c r="BP228" i="30" s="1"/>
  <c r="BR228" i="30" s="1"/>
  <c r="BL205" i="30"/>
  <c r="BQ212" i="30" s="1"/>
  <c r="BL189" i="30"/>
  <c r="BL173" i="30"/>
  <c r="BL157" i="30"/>
  <c r="BL125" i="30"/>
  <c r="BL109" i="30"/>
  <c r="BD244" i="30"/>
  <c r="BH244" i="30" s="1"/>
  <c r="BJ244" i="30" s="1"/>
  <c r="BD228" i="30"/>
  <c r="BD212" i="30"/>
  <c r="BD196" i="30"/>
  <c r="BD180" i="30"/>
  <c r="BD164" i="30"/>
  <c r="BD148" i="30"/>
  <c r="BI155" i="30" s="1"/>
  <c r="BD100" i="30"/>
  <c r="BL238" i="30"/>
  <c r="BP245" i="30" s="1"/>
  <c r="BR245" i="30" s="1"/>
  <c r="BL126" i="30"/>
  <c r="BL110" i="30"/>
  <c r="BD245" i="30"/>
  <c r="BL236" i="30"/>
  <c r="BL220" i="30"/>
  <c r="BL204" i="30"/>
  <c r="BL188" i="30"/>
  <c r="BL172" i="30"/>
  <c r="BL156" i="30"/>
  <c r="BL124" i="30"/>
  <c r="BL108" i="30"/>
  <c r="BD243" i="30"/>
  <c r="BH250" i="30" s="1"/>
  <c r="BJ250" i="30" s="1"/>
  <c r="BD227" i="30"/>
  <c r="BH234" i="30" s="1"/>
  <c r="BJ234" i="30" s="1"/>
  <c r="BD211" i="30"/>
  <c r="BD195" i="30"/>
  <c r="BD179" i="30"/>
  <c r="BD163" i="30"/>
  <c r="BD147" i="30"/>
  <c r="BL222" i="30"/>
  <c r="BD197" i="30"/>
  <c r="BL235" i="30"/>
  <c r="BL219" i="30"/>
  <c r="BL203" i="30"/>
  <c r="BL187" i="30"/>
  <c r="BQ194" i="30" s="1"/>
  <c r="BL171" i="30"/>
  <c r="BQ178" i="30" s="1"/>
  <c r="BL155" i="30"/>
  <c r="BL123" i="30"/>
  <c r="BQ123" i="30" s="1"/>
  <c r="BL107" i="30"/>
  <c r="BD242" i="30"/>
  <c r="BD226" i="30"/>
  <c r="BD210" i="30"/>
  <c r="BD194" i="30"/>
  <c r="BD178" i="30"/>
  <c r="BD162" i="30"/>
  <c r="BD146" i="30"/>
  <c r="BL174" i="30"/>
  <c r="BD149" i="30"/>
  <c r="BL250" i="30"/>
  <c r="BL234" i="30"/>
  <c r="BL218" i="30"/>
  <c r="BL202" i="30"/>
  <c r="BL186" i="30"/>
  <c r="BL170" i="30"/>
  <c r="BL154" i="30"/>
  <c r="BL122" i="30"/>
  <c r="BL106" i="30"/>
  <c r="BP106" i="30" s="1"/>
  <c r="BR106" i="30" s="1"/>
  <c r="BD241" i="30"/>
  <c r="BD225" i="30"/>
  <c r="BD209" i="30"/>
  <c r="BD193" i="30"/>
  <c r="BD177" i="30"/>
  <c r="BD161" i="30"/>
  <c r="BD145" i="30"/>
  <c r="BD113" i="30"/>
  <c r="BD229" i="30"/>
  <c r="BL249" i="30"/>
  <c r="BL233" i="30"/>
  <c r="BL217" i="30"/>
  <c r="BL201" i="30"/>
  <c r="BL185" i="30"/>
  <c r="BL169" i="30"/>
  <c r="BL153" i="30"/>
  <c r="BL121" i="30"/>
  <c r="BL105" i="30"/>
  <c r="BP112" i="30" s="1"/>
  <c r="BR112" i="30" s="1"/>
  <c r="BD240" i="30"/>
  <c r="BD224" i="30"/>
  <c r="BH231" i="30" s="1"/>
  <c r="BJ231" i="30" s="1"/>
  <c r="BD208" i="30"/>
  <c r="BD192" i="30"/>
  <c r="BD176" i="30"/>
  <c r="BD160" i="30"/>
  <c r="BD144" i="30"/>
  <c r="BD112" i="30"/>
  <c r="BL206" i="30"/>
  <c r="BD181" i="30"/>
  <c r="BD101" i="30"/>
  <c r="BH236" i="39"/>
  <c r="BJ236" i="39" s="1"/>
  <c r="BH174" i="39"/>
  <c r="BJ174" i="39" s="1"/>
  <c r="BI155" i="39"/>
  <c r="BH190" i="37"/>
  <c r="BJ190" i="37" s="1"/>
  <c r="BM186" i="39"/>
  <c r="BN186" i="39"/>
  <c r="BN123" i="39"/>
  <c r="BM123" i="39"/>
  <c r="BF227" i="39"/>
  <c r="BE227" i="39"/>
  <c r="BE164" i="39"/>
  <c r="BF164" i="39"/>
  <c r="BF245" i="39"/>
  <c r="BE245" i="39"/>
  <c r="BE183" i="39"/>
  <c r="BF183" i="39"/>
  <c r="BN225" i="39"/>
  <c r="BM225" i="39"/>
  <c r="BN162" i="39"/>
  <c r="BM162" i="39"/>
  <c r="BE234" i="39"/>
  <c r="BF234" i="39"/>
  <c r="BE187" i="39"/>
  <c r="BF187" i="39"/>
  <c r="BN229" i="39"/>
  <c r="BM229" i="39"/>
  <c r="BN182" i="39"/>
  <c r="BM182" i="39"/>
  <c r="BE239" i="39"/>
  <c r="BF239" i="39"/>
  <c r="BF176" i="39"/>
  <c r="BE176" i="39"/>
  <c r="BI250" i="37"/>
  <c r="BM111" i="39"/>
  <c r="BN111" i="39"/>
  <c r="BM202" i="39"/>
  <c r="BN202" i="39"/>
  <c r="BF243" i="39"/>
  <c r="BE243" i="39"/>
  <c r="BE180" i="39"/>
  <c r="BF180" i="39"/>
  <c r="BF166" i="39"/>
  <c r="BE166" i="39"/>
  <c r="BM110" i="39"/>
  <c r="BN110" i="39"/>
  <c r="BE199" i="39"/>
  <c r="BF199" i="39"/>
  <c r="BF136" i="39"/>
  <c r="BE136" i="39"/>
  <c r="BN241" i="39"/>
  <c r="BM241" i="39"/>
  <c r="BN178" i="39"/>
  <c r="BM178" i="39"/>
  <c r="BF250" i="39"/>
  <c r="BE250" i="39"/>
  <c r="BF203" i="39"/>
  <c r="BE203" i="39"/>
  <c r="BF140" i="39"/>
  <c r="BE140" i="39"/>
  <c r="BN245" i="39"/>
  <c r="BM245" i="39"/>
  <c r="BM198" i="39"/>
  <c r="BN198" i="39"/>
  <c r="BN151" i="39"/>
  <c r="BM151" i="39"/>
  <c r="BN104" i="39"/>
  <c r="BM104" i="39"/>
  <c r="BF192" i="39"/>
  <c r="BE192" i="39"/>
  <c r="BH230" i="39"/>
  <c r="BJ230" i="39" s="1"/>
  <c r="BH225" i="39"/>
  <c r="BJ225" i="39" s="1"/>
  <c r="BF113" i="39"/>
  <c r="BE113" i="39"/>
  <c r="BM218" i="39"/>
  <c r="BN218" i="39"/>
  <c r="BM155" i="39"/>
  <c r="BN155" i="39"/>
  <c r="BN108" i="39"/>
  <c r="BM108" i="39"/>
  <c r="BF196" i="39"/>
  <c r="BE196" i="39"/>
  <c r="BF198" i="39"/>
  <c r="BE198" i="39"/>
  <c r="BN126" i="39"/>
  <c r="BM126" i="39"/>
  <c r="BE215" i="39"/>
  <c r="BF215" i="39"/>
  <c r="BE152" i="39"/>
  <c r="BF152" i="39"/>
  <c r="BE150" i="39"/>
  <c r="BF150" i="39"/>
  <c r="BN194" i="39"/>
  <c r="BM194" i="39"/>
  <c r="BM115" i="39"/>
  <c r="BN115" i="39"/>
  <c r="BF219" i="39"/>
  <c r="BE219" i="39"/>
  <c r="BF156" i="39"/>
  <c r="BE156" i="39"/>
  <c r="BF109" i="39"/>
  <c r="BE109" i="39"/>
  <c r="BN214" i="39"/>
  <c r="BM214" i="39"/>
  <c r="BM167" i="39"/>
  <c r="BN167" i="39"/>
  <c r="BN120" i="39"/>
  <c r="BM120" i="39"/>
  <c r="BF208" i="39"/>
  <c r="BE208" i="39"/>
  <c r="BN234" i="39"/>
  <c r="BM234" i="39"/>
  <c r="BM171" i="39"/>
  <c r="BN171" i="39"/>
  <c r="BM124" i="39"/>
  <c r="BN124" i="39"/>
  <c r="BE212" i="39"/>
  <c r="BF212" i="39"/>
  <c r="BF230" i="39"/>
  <c r="BE230" i="39"/>
  <c r="BE231" i="39"/>
  <c r="BF231" i="39"/>
  <c r="BF168" i="39"/>
  <c r="BE168" i="39"/>
  <c r="BE105" i="39"/>
  <c r="BF105" i="39"/>
  <c r="BM210" i="39"/>
  <c r="BN210" i="39"/>
  <c r="BE235" i="39"/>
  <c r="BF235" i="39"/>
  <c r="BF172" i="39"/>
  <c r="BE172" i="39"/>
  <c r="BN230" i="39"/>
  <c r="BM230" i="39"/>
  <c r="BN183" i="39"/>
  <c r="BM183" i="39"/>
  <c r="BE224" i="39"/>
  <c r="BF224" i="39"/>
  <c r="BF145" i="39"/>
  <c r="BE145" i="39"/>
  <c r="BN250" i="39"/>
  <c r="BM250" i="39"/>
  <c r="BN187" i="39"/>
  <c r="BM187" i="39"/>
  <c r="BF228" i="39"/>
  <c r="BE228" i="39"/>
  <c r="BF246" i="39"/>
  <c r="BE246" i="39"/>
  <c r="BM158" i="39"/>
  <c r="BN158" i="39"/>
  <c r="BF247" i="39"/>
  <c r="BE247" i="39"/>
  <c r="BE184" i="39"/>
  <c r="BF184" i="39"/>
  <c r="BM226" i="39"/>
  <c r="BN226" i="39"/>
  <c r="BM100" i="39"/>
  <c r="BN100" i="39"/>
  <c r="BE188" i="39"/>
  <c r="BF188" i="39"/>
  <c r="BF141" i="39"/>
  <c r="BE141" i="39"/>
  <c r="BM246" i="39"/>
  <c r="BN246" i="39"/>
  <c r="BN199" i="39"/>
  <c r="BM199" i="39"/>
  <c r="BM152" i="39"/>
  <c r="BN152" i="39"/>
  <c r="BE240" i="39"/>
  <c r="BF240" i="39"/>
  <c r="BF161" i="39"/>
  <c r="BE161" i="39"/>
  <c r="BF214" i="39"/>
  <c r="BE214" i="39"/>
  <c r="BN203" i="39"/>
  <c r="BM203" i="39"/>
  <c r="BM156" i="39"/>
  <c r="BN156" i="39"/>
  <c r="BF244" i="39"/>
  <c r="BE244" i="39"/>
  <c r="BN127" i="39"/>
  <c r="BM127" i="39"/>
  <c r="BN174" i="39"/>
  <c r="BM174" i="39"/>
  <c r="BN112" i="39"/>
  <c r="BM112" i="39"/>
  <c r="BE200" i="39"/>
  <c r="BF200" i="39"/>
  <c r="BF137" i="39"/>
  <c r="BE137" i="39"/>
  <c r="BM242" i="39"/>
  <c r="BN242" i="39"/>
  <c r="BM163" i="39"/>
  <c r="BN163" i="39"/>
  <c r="BN116" i="39"/>
  <c r="BM116" i="39"/>
  <c r="BF204" i="39"/>
  <c r="BE204" i="39"/>
  <c r="BE157" i="39"/>
  <c r="BF157" i="39"/>
  <c r="BF110" i="39"/>
  <c r="BE110" i="39"/>
  <c r="BM215" i="39"/>
  <c r="BN215" i="39"/>
  <c r="BN168" i="39"/>
  <c r="BM168" i="39"/>
  <c r="BN105" i="39"/>
  <c r="BM105" i="39"/>
  <c r="BI177" i="37"/>
  <c r="BF177" i="39"/>
  <c r="BE177" i="39"/>
  <c r="BN219" i="39"/>
  <c r="BM219" i="39"/>
  <c r="BN172" i="39"/>
  <c r="BM172" i="39"/>
  <c r="BM109" i="39"/>
  <c r="BN109" i="39"/>
  <c r="BN239" i="39"/>
  <c r="BM239" i="39"/>
  <c r="BN190" i="39"/>
  <c r="BM190" i="39"/>
  <c r="BF216" i="39"/>
  <c r="BE216" i="39"/>
  <c r="BF153" i="39"/>
  <c r="BE153" i="39"/>
  <c r="BF102" i="39"/>
  <c r="BE102" i="39"/>
  <c r="BM179" i="39"/>
  <c r="BN179" i="39"/>
  <c r="BE220" i="39"/>
  <c r="BF220" i="39"/>
  <c r="BF173" i="39"/>
  <c r="BE173" i="39"/>
  <c r="BN231" i="39"/>
  <c r="BM231" i="39"/>
  <c r="BN184" i="39"/>
  <c r="BM184" i="39"/>
  <c r="BN121" i="39"/>
  <c r="BM121" i="39"/>
  <c r="P128" i="37"/>
  <c r="AU128" i="37" s="1"/>
  <c r="BI236" i="39"/>
  <c r="BI174" i="39"/>
  <c r="BE193" i="39"/>
  <c r="BF193" i="39"/>
  <c r="BM235" i="39"/>
  <c r="BN235" i="39"/>
  <c r="BM188" i="39"/>
  <c r="BN188" i="39"/>
  <c r="BN125" i="39"/>
  <c r="BM125" i="39"/>
  <c r="BF101" i="39"/>
  <c r="BE101" i="39"/>
  <c r="BN206" i="39"/>
  <c r="BM206" i="39"/>
  <c r="BF232" i="39"/>
  <c r="BE232" i="39"/>
  <c r="BE169" i="39"/>
  <c r="BF169" i="39"/>
  <c r="BM191" i="39"/>
  <c r="BN191" i="39"/>
  <c r="BN195" i="39"/>
  <c r="BM195" i="39"/>
  <c r="BF236" i="39"/>
  <c r="BE236" i="39"/>
  <c r="BF189" i="39"/>
  <c r="BE189" i="39"/>
  <c r="BF142" i="39"/>
  <c r="BE142" i="39"/>
  <c r="BN247" i="39"/>
  <c r="BM247" i="39"/>
  <c r="BM200" i="39"/>
  <c r="BN200" i="39"/>
  <c r="L105" i="39"/>
  <c r="BP216" i="39"/>
  <c r="BR216" i="39" s="1"/>
  <c r="BH167" i="39"/>
  <c r="BJ167" i="39" s="1"/>
  <c r="BP173" i="39"/>
  <c r="BR173" i="39" s="1"/>
  <c r="BI220" i="37"/>
  <c r="BF209" i="39"/>
  <c r="BE209" i="39"/>
  <c r="BE146" i="39"/>
  <c r="BF146" i="39"/>
  <c r="BM175" i="39"/>
  <c r="BN175" i="39"/>
  <c r="BN204" i="39"/>
  <c r="BM204" i="39"/>
  <c r="BN222" i="39"/>
  <c r="BM222" i="39"/>
  <c r="BN160" i="39"/>
  <c r="BM160" i="39"/>
  <c r="BF248" i="39"/>
  <c r="BE248" i="39"/>
  <c r="BE185" i="39"/>
  <c r="BF185" i="39"/>
  <c r="BF106" i="39"/>
  <c r="BE106" i="39"/>
  <c r="BM211" i="39"/>
  <c r="BN211" i="39"/>
  <c r="BN164" i="39"/>
  <c r="BM164" i="39"/>
  <c r="BM101" i="39"/>
  <c r="BN101" i="39"/>
  <c r="BF205" i="39"/>
  <c r="BE205" i="39"/>
  <c r="BE158" i="39"/>
  <c r="BF158" i="39"/>
  <c r="BE111" i="39"/>
  <c r="BF111" i="39"/>
  <c r="BM216" i="39"/>
  <c r="BN216" i="39"/>
  <c r="BM153" i="39"/>
  <c r="BN153" i="39"/>
  <c r="BI167" i="39"/>
  <c r="BH218" i="39"/>
  <c r="BJ218" i="39" s="1"/>
  <c r="BQ173" i="39"/>
  <c r="BI249" i="37"/>
  <c r="BE225" i="39"/>
  <c r="BF225" i="39"/>
  <c r="BF162" i="39"/>
  <c r="BE162" i="39"/>
  <c r="BM220" i="39"/>
  <c r="BN220" i="39"/>
  <c r="BN157" i="39"/>
  <c r="BM157" i="39"/>
  <c r="BN238" i="39"/>
  <c r="BM238" i="39"/>
  <c r="BN176" i="39"/>
  <c r="BM176" i="39"/>
  <c r="BM113" i="39"/>
  <c r="BN113" i="39"/>
  <c r="BF201" i="39"/>
  <c r="BE201" i="39"/>
  <c r="BN227" i="39"/>
  <c r="BM227" i="39"/>
  <c r="BN180" i="39"/>
  <c r="BM180" i="39"/>
  <c r="BN117" i="39"/>
  <c r="BM117" i="39"/>
  <c r="BE221" i="39"/>
  <c r="BF221" i="39"/>
  <c r="BF174" i="39"/>
  <c r="BE174" i="39"/>
  <c r="BN232" i="39"/>
  <c r="BM232" i="39"/>
  <c r="BM169" i="39"/>
  <c r="BN169" i="39"/>
  <c r="BP240" i="37"/>
  <c r="BR240" i="37" s="1"/>
  <c r="BF241" i="39"/>
  <c r="BE241" i="39"/>
  <c r="BE178" i="39"/>
  <c r="BF178" i="39"/>
  <c r="BM236" i="39"/>
  <c r="BN236" i="39"/>
  <c r="BM173" i="39"/>
  <c r="BN173" i="39"/>
  <c r="BF149" i="39"/>
  <c r="BE149" i="39"/>
  <c r="BM223" i="39"/>
  <c r="BN223" i="39"/>
  <c r="BN192" i="39"/>
  <c r="BM192" i="39"/>
  <c r="BE217" i="39"/>
  <c r="BF217" i="39"/>
  <c r="BF138" i="39"/>
  <c r="BE138" i="39"/>
  <c r="BN243" i="39"/>
  <c r="BM243" i="39"/>
  <c r="BM196" i="39"/>
  <c r="BN196" i="39"/>
  <c r="BE237" i="39"/>
  <c r="BF237" i="39"/>
  <c r="BF190" i="39"/>
  <c r="BE190" i="39"/>
  <c r="BF143" i="39"/>
  <c r="BE143" i="39"/>
  <c r="BM248" i="39"/>
  <c r="BN248" i="39"/>
  <c r="BM185" i="39"/>
  <c r="BN185" i="39"/>
  <c r="BP126" i="39"/>
  <c r="BR126" i="39" s="1"/>
  <c r="BQ177" i="39"/>
  <c r="BN106" i="39"/>
  <c r="BM106" i="39"/>
  <c r="BF194" i="39"/>
  <c r="BE194" i="39"/>
  <c r="BF147" i="39"/>
  <c r="BE147" i="39"/>
  <c r="BN189" i="39"/>
  <c r="BM189" i="39"/>
  <c r="BF165" i="39"/>
  <c r="BE165" i="39"/>
  <c r="BF103" i="39"/>
  <c r="BE103" i="39"/>
  <c r="BN208" i="39"/>
  <c r="BM208" i="39"/>
  <c r="BF233" i="39"/>
  <c r="BE233" i="39"/>
  <c r="BE154" i="39"/>
  <c r="BF154" i="39"/>
  <c r="BF107" i="39"/>
  <c r="BE107" i="39"/>
  <c r="BN212" i="39"/>
  <c r="BM212" i="39"/>
  <c r="BM149" i="39"/>
  <c r="BN149" i="39"/>
  <c r="BM102" i="39"/>
  <c r="BN102" i="39"/>
  <c r="BF206" i="39"/>
  <c r="BE206" i="39"/>
  <c r="BE159" i="39"/>
  <c r="BF159" i="39"/>
  <c r="BM159" i="39"/>
  <c r="BN159" i="39"/>
  <c r="BM201" i="39"/>
  <c r="BN201" i="39"/>
  <c r="AA100" i="22"/>
  <c r="E100" i="22" s="1"/>
  <c r="K100" i="22" s="1"/>
  <c r="I106" i="22"/>
  <c r="J125" i="22"/>
  <c r="J112" i="22"/>
  <c r="J115" i="22"/>
  <c r="J103" i="22"/>
  <c r="J121" i="22"/>
  <c r="I107" i="22"/>
  <c r="J102" i="22"/>
  <c r="I112" i="22"/>
  <c r="J100" i="22"/>
  <c r="I110" i="22"/>
  <c r="J113" i="22"/>
  <c r="J108" i="22"/>
  <c r="J110" i="22"/>
  <c r="J106" i="22"/>
  <c r="J116" i="22"/>
  <c r="J119" i="22"/>
  <c r="I105" i="22"/>
  <c r="J124" i="22"/>
  <c r="I103" i="22"/>
  <c r="J114" i="22"/>
  <c r="J101" i="22"/>
  <c r="J126" i="22"/>
  <c r="J122" i="22"/>
  <c r="J107" i="22"/>
  <c r="J104" i="22"/>
  <c r="I113" i="22"/>
  <c r="I108" i="22"/>
  <c r="J117" i="22"/>
  <c r="I111" i="22"/>
  <c r="I100" i="22"/>
  <c r="J111" i="22"/>
  <c r="I101" i="22"/>
  <c r="J120" i="22"/>
  <c r="J109" i="22"/>
  <c r="I109" i="22"/>
  <c r="J105" i="22"/>
  <c r="J118" i="22"/>
  <c r="J127" i="22"/>
  <c r="J123" i="22"/>
  <c r="I102" i="22"/>
  <c r="I104" i="22"/>
  <c r="BP177" i="39"/>
  <c r="BR177" i="39" s="1"/>
  <c r="BQ114" i="39"/>
  <c r="BN122" i="39"/>
  <c r="BM122" i="39"/>
  <c r="BF210" i="39"/>
  <c r="BE210" i="39"/>
  <c r="BF163" i="39"/>
  <c r="BE163" i="39"/>
  <c r="BF100" i="39"/>
  <c r="BE100" i="39"/>
  <c r="BM205" i="39"/>
  <c r="BN205" i="39"/>
  <c r="BF181" i="39"/>
  <c r="BE181" i="39"/>
  <c r="BN224" i="39"/>
  <c r="BM224" i="39"/>
  <c r="BN161" i="39"/>
  <c r="BM161" i="39"/>
  <c r="BF249" i="39"/>
  <c r="BE249" i="39"/>
  <c r="BF170" i="39"/>
  <c r="BE170" i="39"/>
  <c r="BM228" i="39"/>
  <c r="BN228" i="39"/>
  <c r="BM165" i="39"/>
  <c r="BN165" i="39"/>
  <c r="BN118" i="39"/>
  <c r="BM118" i="39"/>
  <c r="BF222" i="39"/>
  <c r="BE222" i="39"/>
  <c r="BE175" i="39"/>
  <c r="BF175" i="39"/>
  <c r="BF112" i="39"/>
  <c r="BE112" i="39"/>
  <c r="BM217" i="39"/>
  <c r="BN217" i="39"/>
  <c r="BF226" i="39"/>
  <c r="BE226" i="39"/>
  <c r="BF179" i="39"/>
  <c r="BE179" i="39"/>
  <c r="BN221" i="39"/>
  <c r="BM221" i="39"/>
  <c r="BE197" i="39"/>
  <c r="BF197" i="39"/>
  <c r="BF135" i="39"/>
  <c r="BE135" i="39"/>
  <c r="BM240" i="39"/>
  <c r="BN240" i="39"/>
  <c r="BN177" i="39"/>
  <c r="BM177" i="39"/>
  <c r="BN114" i="39"/>
  <c r="BM114" i="39"/>
  <c r="BE186" i="39"/>
  <c r="BF186" i="39"/>
  <c r="BE139" i="39"/>
  <c r="BF139" i="39"/>
  <c r="BM244" i="39"/>
  <c r="BN244" i="39"/>
  <c r="BM181" i="39"/>
  <c r="BN181" i="39"/>
  <c r="BE238" i="39"/>
  <c r="BF238" i="39"/>
  <c r="BE191" i="39"/>
  <c r="BF191" i="39"/>
  <c r="BM233" i="39"/>
  <c r="BN233" i="39"/>
  <c r="BH111" i="39"/>
  <c r="BJ111" i="39" s="1"/>
  <c r="BI111" i="39"/>
  <c r="BP114" i="39"/>
  <c r="BR114" i="39" s="1"/>
  <c r="BQ220" i="39"/>
  <c r="BQ216" i="39"/>
  <c r="BI225" i="39"/>
  <c r="BM154" i="39"/>
  <c r="BN154" i="39"/>
  <c r="BE242" i="39"/>
  <c r="BF242" i="39"/>
  <c r="BF195" i="39"/>
  <c r="BE195" i="39"/>
  <c r="BN237" i="39"/>
  <c r="BM237" i="39"/>
  <c r="BF213" i="39"/>
  <c r="BE213" i="39"/>
  <c r="BE151" i="39"/>
  <c r="BF151" i="39"/>
  <c r="BE182" i="39"/>
  <c r="BF182" i="39"/>
  <c r="BM193" i="39"/>
  <c r="BN193" i="39"/>
  <c r="BF202" i="39"/>
  <c r="BE202" i="39"/>
  <c r="BE155" i="39"/>
  <c r="BF155" i="39"/>
  <c r="BN207" i="39"/>
  <c r="BM207" i="39"/>
  <c r="BN197" i="39"/>
  <c r="BM197" i="39"/>
  <c r="BM150" i="39"/>
  <c r="BN150" i="39"/>
  <c r="BN103" i="39"/>
  <c r="BM103" i="39"/>
  <c r="BE207" i="39"/>
  <c r="BF207" i="39"/>
  <c r="BF144" i="39"/>
  <c r="BE144" i="39"/>
  <c r="BN249" i="39"/>
  <c r="BM249" i="39"/>
  <c r="BL247" i="22"/>
  <c r="BL231" i="22"/>
  <c r="BL215" i="22"/>
  <c r="BL199" i="22"/>
  <c r="BL183" i="22"/>
  <c r="BL119" i="22"/>
  <c r="BL103" i="22"/>
  <c r="BD238" i="22"/>
  <c r="BD222" i="22"/>
  <c r="BD206" i="22"/>
  <c r="BD190" i="22"/>
  <c r="BD174" i="22"/>
  <c r="BD158" i="22"/>
  <c r="BD110" i="22"/>
  <c r="BL168" i="22"/>
  <c r="BL246" i="22"/>
  <c r="BL230" i="22"/>
  <c r="BL214" i="22"/>
  <c r="BL198" i="22"/>
  <c r="BL182" i="22"/>
  <c r="BL118" i="22"/>
  <c r="BL102" i="22"/>
  <c r="BN102" i="22" s="1"/>
  <c r="BD237" i="22"/>
  <c r="BD221" i="22"/>
  <c r="BD205" i="22"/>
  <c r="BD189" i="22"/>
  <c r="BD173" i="22"/>
  <c r="BD157" i="22"/>
  <c r="BD109" i="22"/>
  <c r="BL232" i="22"/>
  <c r="BL245" i="22"/>
  <c r="BL229" i="22"/>
  <c r="BL213" i="22"/>
  <c r="BL197" i="22"/>
  <c r="BL181" i="22"/>
  <c r="BL117" i="22"/>
  <c r="BL101" i="22"/>
  <c r="BD236" i="22"/>
  <c r="BD220" i="22"/>
  <c r="BD204" i="22"/>
  <c r="BD188" i="22"/>
  <c r="BD172" i="22"/>
  <c r="BD156" i="22"/>
  <c r="BD108" i="22"/>
  <c r="BL244" i="22"/>
  <c r="BL228" i="22"/>
  <c r="BL212" i="22"/>
  <c r="BL196" i="22"/>
  <c r="BL180" i="22"/>
  <c r="BL116" i="22"/>
  <c r="BL100" i="22"/>
  <c r="BQ100" i="22" s="1"/>
  <c r="BD235" i="22"/>
  <c r="BD219" i="22"/>
  <c r="BD203" i="22"/>
  <c r="BD187" i="22"/>
  <c r="BD171" i="22"/>
  <c r="BD155" i="22"/>
  <c r="BD107" i="22"/>
  <c r="BL243" i="22"/>
  <c r="BL227" i="22"/>
  <c r="BL211" i="22"/>
  <c r="BL195" i="22"/>
  <c r="BL179" i="22"/>
  <c r="BL115" i="22"/>
  <c r="BD250" i="22"/>
  <c r="BD234" i="22"/>
  <c r="BD218" i="22"/>
  <c r="BD202" i="22"/>
  <c r="BD186" i="22"/>
  <c r="BD170" i="22"/>
  <c r="BD154" i="22"/>
  <c r="BD106" i="22"/>
  <c r="BL216" i="22"/>
  <c r="BL242" i="22"/>
  <c r="BL226" i="22"/>
  <c r="BL210" i="22"/>
  <c r="BL194" i="22"/>
  <c r="BL178" i="22"/>
  <c r="BL114" i="22"/>
  <c r="BD249" i="22"/>
  <c r="BD233" i="22"/>
  <c r="BD217" i="22"/>
  <c r="BD201" i="22"/>
  <c r="BD185" i="22"/>
  <c r="BD169" i="22"/>
  <c r="BD105" i="22"/>
  <c r="BL248" i="22"/>
  <c r="BL241" i="22"/>
  <c r="BL225" i="22"/>
  <c r="BL209" i="22"/>
  <c r="BL193" i="22"/>
  <c r="BL177" i="22"/>
  <c r="BL113" i="22"/>
  <c r="BD248" i="22"/>
  <c r="BD232" i="22"/>
  <c r="BD216" i="22"/>
  <c r="BD200" i="22"/>
  <c r="BD184" i="22"/>
  <c r="BD168" i="22"/>
  <c r="BD104" i="22"/>
  <c r="BL184" i="22"/>
  <c r="BL240" i="22"/>
  <c r="BL224" i="22"/>
  <c r="BL208" i="22"/>
  <c r="BL192" i="22"/>
  <c r="BL176" i="22"/>
  <c r="BL112" i="22"/>
  <c r="BD247" i="22"/>
  <c r="BD231" i="22"/>
  <c r="BD215" i="22"/>
  <c r="BD199" i="22"/>
  <c r="BD183" i="22"/>
  <c r="BD167" i="22"/>
  <c r="BD103" i="22"/>
  <c r="BL200" i="22"/>
  <c r="BL239" i="22"/>
  <c r="BL223" i="22"/>
  <c r="BL207" i="22"/>
  <c r="BL191" i="22"/>
  <c r="BL175" i="22"/>
  <c r="BL127" i="22"/>
  <c r="BL111" i="22"/>
  <c r="BD246" i="22"/>
  <c r="BD230" i="22"/>
  <c r="BD214" i="22"/>
  <c r="BD198" i="22"/>
  <c r="BD182" i="22"/>
  <c r="BD166" i="22"/>
  <c r="BD102" i="22"/>
  <c r="BL238" i="22"/>
  <c r="BL222" i="22"/>
  <c r="BL206" i="22"/>
  <c r="BL190" i="22"/>
  <c r="BL174" i="22"/>
  <c r="BL126" i="22"/>
  <c r="BL110" i="22"/>
  <c r="BD245" i="22"/>
  <c r="BD229" i="22"/>
  <c r="BD213" i="22"/>
  <c r="BD197" i="22"/>
  <c r="BD181" i="22"/>
  <c r="BD165" i="22"/>
  <c r="BD101" i="22"/>
  <c r="BL237" i="22"/>
  <c r="BL221" i="22"/>
  <c r="BL205" i="22"/>
  <c r="BL189" i="22"/>
  <c r="BL173" i="22"/>
  <c r="BL125" i="22"/>
  <c r="BL109" i="22"/>
  <c r="BD244" i="22"/>
  <c r="BD228" i="22"/>
  <c r="BD212" i="22"/>
  <c r="BD196" i="22"/>
  <c r="BD180" i="22"/>
  <c r="BD164" i="22"/>
  <c r="BL236" i="22"/>
  <c r="BL220" i="22"/>
  <c r="BL204" i="22"/>
  <c r="BL188" i="22"/>
  <c r="BL172" i="22"/>
  <c r="BL124" i="22"/>
  <c r="BL108" i="22"/>
  <c r="BD243" i="22"/>
  <c r="BD227" i="22"/>
  <c r="BD211" i="22"/>
  <c r="BD195" i="22"/>
  <c r="BD179" i="22"/>
  <c r="BD163" i="22"/>
  <c r="BL235" i="22"/>
  <c r="BL219" i="22"/>
  <c r="BL203" i="22"/>
  <c r="BL187" i="22"/>
  <c r="BL171" i="22"/>
  <c r="BL123" i="22"/>
  <c r="BL107" i="22"/>
  <c r="BN107" i="22" s="1"/>
  <c r="BD242" i="22"/>
  <c r="BD226" i="22"/>
  <c r="BD210" i="22"/>
  <c r="BD194" i="22"/>
  <c r="BD178" i="22"/>
  <c r="BD162" i="22"/>
  <c r="BL250" i="22"/>
  <c r="BL234" i="22"/>
  <c r="BL218" i="22"/>
  <c r="BL202" i="22"/>
  <c r="BL186" i="22"/>
  <c r="BL170" i="22"/>
  <c r="BL122" i="22"/>
  <c r="BL106" i="22"/>
  <c r="BN106" i="22" s="1"/>
  <c r="BD241" i="22"/>
  <c r="BD225" i="22"/>
  <c r="BD209" i="22"/>
  <c r="BD193" i="22"/>
  <c r="BD177" i="22"/>
  <c r="BD161" i="22"/>
  <c r="BD113" i="22"/>
  <c r="BL249" i="22"/>
  <c r="BL233" i="22"/>
  <c r="BL217" i="22"/>
  <c r="BL201" i="22"/>
  <c r="BL185" i="22"/>
  <c r="BL169" i="22"/>
  <c r="BL121" i="22"/>
  <c r="BL105" i="22"/>
  <c r="BN105" i="22" s="1"/>
  <c r="BD240" i="22"/>
  <c r="BD224" i="22"/>
  <c r="BD208" i="22"/>
  <c r="BD192" i="22"/>
  <c r="BD176" i="22"/>
  <c r="BD160" i="22"/>
  <c r="BD112" i="22"/>
  <c r="BL120" i="22"/>
  <c r="BL104" i="22"/>
  <c r="BN104" i="22" s="1"/>
  <c r="BD239" i="22"/>
  <c r="BD223" i="22"/>
  <c r="BD207" i="22"/>
  <c r="BD191" i="22"/>
  <c r="BD175" i="22"/>
  <c r="BD159" i="22"/>
  <c r="BD111" i="22"/>
  <c r="L106" i="37"/>
  <c r="D140" i="38"/>
  <c r="D141" i="38" s="1"/>
  <c r="D142" i="38" s="1"/>
  <c r="D143" i="38" s="1"/>
  <c r="D144" i="38" s="1"/>
  <c r="D145" i="38" s="1"/>
  <c r="D146" i="38" s="1"/>
  <c r="D147" i="38" s="1"/>
  <c r="D148" i="38" s="1"/>
  <c r="D149" i="38" s="1"/>
  <c r="D150" i="38" s="1"/>
  <c r="D151" i="38" s="1"/>
  <c r="D152" i="38" s="1"/>
  <c r="D153" i="38" s="1"/>
  <c r="D154" i="38" s="1"/>
  <c r="D155" i="38" s="1"/>
  <c r="D156" i="38" s="1"/>
  <c r="D157" i="38" s="1"/>
  <c r="D158" i="38" s="1"/>
  <c r="D159" i="38" s="1"/>
  <c r="D160" i="38" s="1"/>
  <c r="D161" i="38" s="1"/>
  <c r="D162" i="38" s="1"/>
  <c r="D163" i="38" s="1"/>
  <c r="D164" i="38" s="1"/>
  <c r="D165" i="38" s="1"/>
  <c r="D166" i="38" s="1"/>
  <c r="D167" i="38" s="1"/>
  <c r="D168" i="38" s="1"/>
  <c r="D169" i="38" s="1"/>
  <c r="D170" i="38" s="1"/>
  <c r="D171" i="38" s="1"/>
  <c r="D172" i="38" s="1"/>
  <c r="D173" i="38" s="1"/>
  <c r="D174" i="38" s="1"/>
  <c r="D175" i="38" s="1"/>
  <c r="D176" i="38" s="1"/>
  <c r="D177" i="38" s="1"/>
  <c r="D178" i="38" s="1"/>
  <c r="D179" i="38" s="1"/>
  <c r="D180" i="38" s="1"/>
  <c r="D181" i="38" s="1"/>
  <c r="D182" i="38" s="1"/>
  <c r="D183" i="38" s="1"/>
  <c r="D184" i="38" s="1"/>
  <c r="D185" i="38" s="1"/>
  <c r="D186" i="38" s="1"/>
  <c r="D187" i="38" s="1"/>
  <c r="D188" i="38" s="1"/>
  <c r="D189" i="38" s="1"/>
  <c r="D190" i="38" s="1"/>
  <c r="D191" i="38" s="1"/>
  <c r="D192" i="38" s="1"/>
  <c r="D193" i="38" s="1"/>
  <c r="D194" i="38" s="1"/>
  <c r="D195" i="38" s="1"/>
  <c r="D196" i="38" s="1"/>
  <c r="D197" i="38" s="1"/>
  <c r="D198" i="38" s="1"/>
  <c r="D199" i="38" s="1"/>
  <c r="D200" i="38" s="1"/>
  <c r="D201" i="38" s="1"/>
  <c r="D202" i="38" s="1"/>
  <c r="D203" i="38" s="1"/>
  <c r="D204" i="38" s="1"/>
  <c r="D205" i="38" s="1"/>
  <c r="D206" i="38" s="1"/>
  <c r="D207" i="38" s="1"/>
  <c r="D208" i="38" s="1"/>
  <c r="D209" i="38" s="1"/>
  <c r="D210" i="38" s="1"/>
  <c r="D211" i="38" s="1"/>
  <c r="D212" i="38" s="1"/>
  <c r="D213" i="38" s="1"/>
  <c r="D214" i="38" s="1"/>
  <c r="D215" i="38" s="1"/>
  <c r="D216" i="38" s="1"/>
  <c r="D217" i="38" s="1"/>
  <c r="D218" i="38" s="1"/>
  <c r="D219" i="38" s="1"/>
  <c r="D220" i="38" s="1"/>
  <c r="D221" i="38" s="1"/>
  <c r="D222" i="38" s="1"/>
  <c r="D223" i="38" s="1"/>
  <c r="D224" i="38" s="1"/>
  <c r="D225" i="38" s="1"/>
  <c r="D226" i="38" s="1"/>
  <c r="D227" i="38" s="1"/>
  <c r="D228" i="38" s="1"/>
  <c r="D229" i="38" s="1"/>
  <c r="D230" i="38" s="1"/>
  <c r="D231" i="38" s="1"/>
  <c r="D232" i="38" s="1"/>
  <c r="D233" i="38" s="1"/>
  <c r="D234" i="38" s="1"/>
  <c r="D235" i="38" s="1"/>
  <c r="D236" i="38" s="1"/>
  <c r="D237" i="38" s="1"/>
  <c r="D238" i="38" s="1"/>
  <c r="D239" i="38" s="1"/>
  <c r="D240" i="38" s="1"/>
  <c r="D241" i="38" s="1"/>
  <c r="D242" i="38" s="1"/>
  <c r="D243" i="38" s="1"/>
  <c r="D244" i="38" s="1"/>
  <c r="D245" i="38" s="1"/>
  <c r="D246" i="38" s="1"/>
  <c r="D247" i="38" s="1"/>
  <c r="D248" i="38" s="1"/>
  <c r="D249" i="38" s="1"/>
  <c r="D250" i="38" s="1"/>
  <c r="AW134" i="34"/>
  <c r="AX134" i="34" s="1"/>
  <c r="AW238" i="34"/>
  <c r="AX238" i="34" s="1"/>
  <c r="AW228" i="34"/>
  <c r="AX228" i="34" s="1"/>
  <c r="AW202" i="34"/>
  <c r="AX202" i="34" s="1"/>
  <c r="AW177" i="34"/>
  <c r="AX177" i="34" s="1"/>
  <c r="AW143" i="34"/>
  <c r="AX143" i="34" s="1"/>
  <c r="AW190" i="34"/>
  <c r="AX190" i="34" s="1"/>
  <c r="AW122" i="34"/>
  <c r="AX122" i="34" s="1"/>
  <c r="AW245" i="34"/>
  <c r="AX245" i="34" s="1"/>
  <c r="AW155" i="34"/>
  <c r="AX155" i="34" s="1"/>
  <c r="AW185" i="34"/>
  <c r="AX185" i="34" s="1"/>
  <c r="AW236" i="34"/>
  <c r="AX236" i="34" s="1"/>
  <c r="AW230" i="34"/>
  <c r="AX230" i="34" s="1"/>
  <c r="AW142" i="34"/>
  <c r="AX142" i="34" s="1"/>
  <c r="AW220" i="34"/>
  <c r="AX220" i="34" s="1"/>
  <c r="AW248" i="34"/>
  <c r="AX248" i="34" s="1"/>
  <c r="AW205" i="34"/>
  <c r="AX205" i="34" s="1"/>
  <c r="AW206" i="34"/>
  <c r="AX206" i="34" s="1"/>
  <c r="AW146" i="34"/>
  <c r="AX146" i="34" s="1"/>
  <c r="AW159" i="34"/>
  <c r="AX159" i="34" s="1"/>
  <c r="AW242" i="34"/>
  <c r="AX242" i="34" s="1"/>
  <c r="AW165" i="34"/>
  <c r="AX165" i="34" s="1"/>
  <c r="AW209" i="34"/>
  <c r="AX209" i="34" s="1"/>
  <c r="AW237" i="34"/>
  <c r="AX237" i="34" s="1"/>
  <c r="AW233" i="34"/>
  <c r="AX233" i="34" s="1"/>
  <c r="AW211" i="34"/>
  <c r="AX211" i="34" s="1"/>
  <c r="AW173" i="34"/>
  <c r="AX173" i="34" s="1"/>
  <c r="AW153" i="34"/>
  <c r="AX153" i="34" s="1"/>
  <c r="AW187" i="34"/>
  <c r="AX187" i="34" s="1"/>
  <c r="AW176" i="34"/>
  <c r="AX176" i="34" s="1"/>
  <c r="AW172" i="34"/>
  <c r="AX172" i="34" s="1"/>
  <c r="AW250" i="34"/>
  <c r="AX250" i="34" s="1"/>
  <c r="AW241" i="34"/>
  <c r="AX241" i="34" s="1"/>
  <c r="AW246" i="34"/>
  <c r="AX246" i="34" s="1"/>
  <c r="AW203" i="34"/>
  <c r="AX203" i="34" s="1"/>
  <c r="AW145" i="34"/>
  <c r="AX145" i="34" s="1"/>
  <c r="AW204" i="34"/>
  <c r="AX204" i="34" s="1"/>
  <c r="AW249" i="34"/>
  <c r="AX249" i="34" s="1"/>
  <c r="AW207" i="34"/>
  <c r="AX207" i="34" s="1"/>
  <c r="AW212" i="34"/>
  <c r="AX212" i="34" s="1"/>
  <c r="AW235" i="34"/>
  <c r="AX235" i="34" s="1"/>
  <c r="AW243" i="34"/>
  <c r="AX243" i="34" s="1"/>
  <c r="AW125" i="34"/>
  <c r="AX125" i="34" s="1"/>
  <c r="AW171" i="34"/>
  <c r="AX171" i="34" s="1"/>
  <c r="AW189" i="34"/>
  <c r="AX189" i="34" s="1"/>
  <c r="AW180" i="34"/>
  <c r="AX180" i="34" s="1"/>
  <c r="AW124" i="34"/>
  <c r="AX124" i="34" s="1"/>
  <c r="AW247" i="34"/>
  <c r="AX247" i="34" s="1"/>
  <c r="AW213" i="34"/>
  <c r="AX213" i="34" s="1"/>
  <c r="AW218" i="34"/>
  <c r="AX218" i="34" s="1"/>
  <c r="AW214" i="34"/>
  <c r="AX214" i="34" s="1"/>
  <c r="AW223" i="34"/>
  <c r="AX223" i="34" s="1"/>
  <c r="AW154" i="34"/>
  <c r="AX154" i="34" s="1"/>
  <c r="AW239" i="34"/>
  <c r="AX239" i="34" s="1"/>
  <c r="AW216" i="34"/>
  <c r="AX216" i="34" s="1"/>
  <c r="AW229" i="34"/>
  <c r="AX229" i="34" s="1"/>
  <c r="AW244" i="34"/>
  <c r="AX244" i="34" s="1"/>
  <c r="AW226" i="34"/>
  <c r="AX226" i="34" s="1"/>
  <c r="AW162" i="34"/>
  <c r="AX162" i="34" s="1"/>
  <c r="AW225" i="34"/>
  <c r="AX225" i="34" s="1"/>
  <c r="AW186" i="34"/>
  <c r="AX186" i="34" s="1"/>
  <c r="AW227" i="34"/>
  <c r="AX227" i="34" s="1"/>
  <c r="AW144" i="34"/>
  <c r="AX144" i="34" s="1"/>
  <c r="AW123" i="34"/>
  <c r="AX123" i="34" s="1"/>
  <c r="AW169" i="34"/>
  <c r="AX169" i="34" s="1"/>
  <c r="AW191" i="34"/>
  <c r="AX191" i="34" s="1"/>
  <c r="AW232" i="34"/>
  <c r="AX232" i="34" s="1"/>
  <c r="AW129" i="34"/>
  <c r="AX129" i="34" s="1"/>
  <c r="AW158" i="34"/>
  <c r="AX158" i="34" s="1"/>
  <c r="AW200" i="34"/>
  <c r="AX200" i="34" s="1"/>
  <c r="AW161" i="34"/>
  <c r="AX161" i="34" s="1"/>
  <c r="AW221" i="34"/>
  <c r="AX221" i="34" s="1"/>
  <c r="AW194" i="34"/>
  <c r="AX194" i="34" s="1"/>
  <c r="AW121" i="34"/>
  <c r="AX121" i="34" s="1"/>
  <c r="AW178" i="34"/>
  <c r="AX178" i="34" s="1"/>
  <c r="AW184" i="34"/>
  <c r="AX184" i="34" s="1"/>
  <c r="AW137" i="34"/>
  <c r="AX137" i="34" s="1"/>
  <c r="AW217" i="34"/>
  <c r="AX217" i="34" s="1"/>
  <c r="AW193" i="34"/>
  <c r="AX193" i="34" s="1"/>
  <c r="AW130" i="34"/>
  <c r="AX130" i="34" s="1"/>
  <c r="AW126" i="34"/>
  <c r="AX126" i="34" s="1"/>
  <c r="AW222" i="34"/>
  <c r="AX222" i="34" s="1"/>
  <c r="AW198" i="34"/>
  <c r="AX198" i="34" s="1"/>
  <c r="AW192" i="34"/>
  <c r="AX192" i="34" s="1"/>
  <c r="AW148" i="34"/>
  <c r="AX148" i="34" s="1"/>
  <c r="AW240" i="34"/>
  <c r="AX240" i="34" s="1"/>
  <c r="AW182" i="34"/>
  <c r="AX182" i="34" s="1"/>
  <c r="AW128" i="34"/>
  <c r="AX128" i="34" s="1"/>
  <c r="AW136" i="34"/>
  <c r="AX136" i="34" s="1"/>
  <c r="AW147" i="34"/>
  <c r="AX147" i="34" s="1"/>
  <c r="AW179" i="34"/>
  <c r="AX179" i="34" s="1"/>
  <c r="AW195" i="34"/>
  <c r="AX195" i="34" s="1"/>
  <c r="AW199" i="34"/>
  <c r="AX199" i="34" s="1"/>
  <c r="AW219" i="34"/>
  <c r="AX219" i="34" s="1"/>
  <c r="AW152" i="34"/>
  <c r="AX152" i="34" s="1"/>
  <c r="AW183" i="34"/>
  <c r="AX183" i="34" s="1"/>
  <c r="AW131" i="34"/>
  <c r="AX131" i="34" s="1"/>
  <c r="AW135" i="34"/>
  <c r="AX135" i="34" s="1"/>
  <c r="AW196" i="34"/>
  <c r="AX196" i="34" s="1"/>
  <c r="AW188" i="34"/>
  <c r="AX188" i="34" s="1"/>
  <c r="AW163" i="34"/>
  <c r="AX163" i="34" s="1"/>
  <c r="AW150" i="34"/>
  <c r="AX150" i="34" s="1"/>
  <c r="AW170" i="34"/>
  <c r="AX170" i="34" s="1"/>
  <c r="AW210" i="34"/>
  <c r="AX210" i="34" s="1"/>
  <c r="AW181" i="34"/>
  <c r="AX181" i="34" s="1"/>
  <c r="AW208" i="34"/>
  <c r="AX208" i="34" s="1"/>
  <c r="AW164" i="34"/>
  <c r="AX164" i="34" s="1"/>
  <c r="AW224" i="34"/>
  <c r="AX224" i="34" s="1"/>
  <c r="AW231" i="34"/>
  <c r="AX231" i="34" s="1"/>
  <c r="AW138" i="34"/>
  <c r="AX138" i="34" s="1"/>
  <c r="AW149" i="34"/>
  <c r="AX149" i="34" s="1"/>
  <c r="AW201" i="34"/>
  <c r="AX201" i="34" s="1"/>
  <c r="AW127" i="34"/>
  <c r="AX127" i="34" s="1"/>
  <c r="AW139" i="34"/>
  <c r="AX139" i="34" s="1"/>
  <c r="AW151" i="34"/>
  <c r="AX151" i="34" s="1"/>
  <c r="AW141" i="34"/>
  <c r="AX141" i="34" s="1"/>
  <c r="AW156" i="34"/>
  <c r="AX156" i="34" s="1"/>
  <c r="AW166" i="34"/>
  <c r="AX166" i="34" s="1"/>
  <c r="AW175" i="34"/>
  <c r="AX175" i="34" s="1"/>
  <c r="AW234" i="34"/>
  <c r="AX234" i="34" s="1"/>
  <c r="AW174" i="34"/>
  <c r="AX174" i="34" s="1"/>
  <c r="AW197" i="34"/>
  <c r="AX197" i="34" s="1"/>
  <c r="AW132" i="34"/>
  <c r="AX132" i="34" s="1"/>
  <c r="AW157" i="34"/>
  <c r="AX157" i="34" s="1"/>
  <c r="AW160" i="34"/>
  <c r="AX160" i="34" s="1"/>
  <c r="AW168" i="34"/>
  <c r="AX168" i="34" s="1"/>
  <c r="AW215" i="34"/>
  <c r="AX215" i="34" s="1"/>
  <c r="AW167" i="34"/>
  <c r="AX167" i="34" s="1"/>
  <c r="AW133" i="34"/>
  <c r="AX133" i="34" s="1"/>
  <c r="AW140" i="34"/>
  <c r="AX140" i="34" s="1"/>
  <c r="BM172" i="38"/>
  <c r="BN172" i="38"/>
  <c r="BQ124" i="38"/>
  <c r="BM117" i="38"/>
  <c r="BN117" i="38"/>
  <c r="BH239" i="38"/>
  <c r="BJ239" i="38" s="1"/>
  <c r="BE232" i="38"/>
  <c r="BF232" i="38"/>
  <c r="BQ189" i="38"/>
  <c r="BN182" i="38"/>
  <c r="BM182" i="38"/>
  <c r="BM221" i="38"/>
  <c r="BN221" i="38"/>
  <c r="BN171" i="38"/>
  <c r="BM171" i="38"/>
  <c r="BF194" i="38"/>
  <c r="BE194" i="38"/>
  <c r="BQ113" i="38"/>
  <c r="BN106" i="38"/>
  <c r="BM106" i="38"/>
  <c r="BE240" i="38"/>
  <c r="BF240" i="38"/>
  <c r="BH213" i="38"/>
  <c r="BJ213" i="38" s="1"/>
  <c r="BF206" i="38"/>
  <c r="BE206" i="38"/>
  <c r="BM206" i="38"/>
  <c r="BN206" i="38"/>
  <c r="BN179" i="38"/>
  <c r="BM179" i="38"/>
  <c r="BI186" i="38"/>
  <c r="BF179" i="38"/>
  <c r="BE179" i="38"/>
  <c r="BP193" i="38"/>
  <c r="BR193" i="38" s="1"/>
  <c r="BM186" i="38"/>
  <c r="BN186" i="38"/>
  <c r="BQ225" i="38"/>
  <c r="BM218" i="38"/>
  <c r="BN218" i="38"/>
  <c r="BP182" i="38"/>
  <c r="BR182" i="38" s="1"/>
  <c r="BM175" i="38"/>
  <c r="BN175" i="38"/>
  <c r="BM198" i="38"/>
  <c r="BN198" i="38"/>
  <c r="BH235" i="38"/>
  <c r="BJ235" i="38" s="1"/>
  <c r="BF228" i="38"/>
  <c r="BE228" i="38"/>
  <c r="BH185" i="38"/>
  <c r="BJ185" i="38" s="1"/>
  <c r="BF178" i="38"/>
  <c r="BE178" i="38"/>
  <c r="BN210" i="38"/>
  <c r="BM210" i="38"/>
  <c r="BN183" i="38"/>
  <c r="BM183" i="38"/>
  <c r="BF100" i="38"/>
  <c r="BE100" i="38"/>
  <c r="BE213" i="38"/>
  <c r="BF213" i="38"/>
  <c r="BP211" i="38"/>
  <c r="BR211" i="38" s="1"/>
  <c r="BM204" i="38"/>
  <c r="BN204" i="38"/>
  <c r="BF225" i="38"/>
  <c r="BE225" i="38"/>
  <c r="BQ248" i="38"/>
  <c r="BM241" i="38"/>
  <c r="BN241" i="38"/>
  <c r="BI189" i="38"/>
  <c r="BF182" i="38"/>
  <c r="BE182" i="38"/>
  <c r="BQ198" i="38"/>
  <c r="BM191" i="38"/>
  <c r="BN191" i="38"/>
  <c r="BF205" i="38"/>
  <c r="BE205" i="38"/>
  <c r="BQ116" i="38"/>
  <c r="BM109" i="38"/>
  <c r="BN109" i="38"/>
  <c r="BM203" i="38"/>
  <c r="BN203" i="38"/>
  <c r="BH108" i="38"/>
  <c r="BJ108" i="38" s="1"/>
  <c r="BF101" i="38"/>
  <c r="BE101" i="38"/>
  <c r="BF217" i="38"/>
  <c r="BE217" i="38"/>
  <c r="BN249" i="38"/>
  <c r="BM249" i="38"/>
  <c r="BP222" i="38"/>
  <c r="BR222" i="38" s="1"/>
  <c r="BM215" i="38"/>
  <c r="BN215" i="38"/>
  <c r="BI111" i="38"/>
  <c r="BE104" i="38"/>
  <c r="BF104" i="38"/>
  <c r="BI234" i="38"/>
  <c r="BE227" i="38"/>
  <c r="BF227" i="38"/>
  <c r="BI195" i="38"/>
  <c r="BF188" i="38"/>
  <c r="BE188" i="38"/>
  <c r="BN195" i="38"/>
  <c r="BM195" i="38"/>
  <c r="BF248" i="38"/>
  <c r="BE248" i="38"/>
  <c r="BE191" i="38"/>
  <c r="BF191" i="38"/>
  <c r="BF198" i="38"/>
  <c r="BE198" i="38"/>
  <c r="BN111" i="38"/>
  <c r="BM111" i="38"/>
  <c r="BQ244" i="38"/>
  <c r="BM237" i="38"/>
  <c r="BN237" i="38"/>
  <c r="BE187" i="38"/>
  <c r="BF187" i="38"/>
  <c r="BF210" i="38"/>
  <c r="BE210" i="38"/>
  <c r="BF105" i="38"/>
  <c r="BE105" i="38"/>
  <c r="BP199" i="38"/>
  <c r="BR199" i="38" s="1"/>
  <c r="BM192" i="38"/>
  <c r="BN192" i="38"/>
  <c r="BF222" i="38"/>
  <c r="BE222" i="38"/>
  <c r="BI117" i="38"/>
  <c r="BF110" i="38"/>
  <c r="BE110" i="38"/>
  <c r="BQ229" i="38"/>
  <c r="BN222" i="38"/>
  <c r="BM222" i="38"/>
  <c r="BF195" i="38"/>
  <c r="BE195" i="38"/>
  <c r="BI209" i="38"/>
  <c r="BE202" i="38"/>
  <c r="BF202" i="38"/>
  <c r="BP241" i="38"/>
  <c r="BR241" i="38" s="1"/>
  <c r="BN234" i="38"/>
  <c r="BM234" i="38"/>
  <c r="BM168" i="38"/>
  <c r="BN168" i="38"/>
  <c r="BI109" i="38"/>
  <c r="BE102" i="38"/>
  <c r="BF102" i="38"/>
  <c r="BQ221" i="38"/>
  <c r="BM214" i="38"/>
  <c r="BN214" i="38"/>
  <c r="BP120" i="38"/>
  <c r="BR120" i="38" s="1"/>
  <c r="BN113" i="38"/>
  <c r="BM113" i="38"/>
  <c r="BF244" i="38"/>
  <c r="BE244" i="38"/>
  <c r="BP125" i="38"/>
  <c r="BR125" i="38" s="1"/>
  <c r="BM118" i="38"/>
  <c r="BN118" i="38"/>
  <c r="BP233" i="38"/>
  <c r="BR233" i="38" s="1"/>
  <c r="BN226" i="38"/>
  <c r="BM226" i="38"/>
  <c r="BF199" i="38"/>
  <c r="BE199" i="38"/>
  <c r="BH119" i="38"/>
  <c r="BJ119" i="38" s="1"/>
  <c r="BF112" i="38"/>
  <c r="BE112" i="38"/>
  <c r="BI236" i="38"/>
  <c r="BE229" i="38"/>
  <c r="BF229" i="38"/>
  <c r="BM197" i="38"/>
  <c r="BN197" i="38"/>
  <c r="BE241" i="38"/>
  <c r="BF241" i="38"/>
  <c r="BE175" i="38"/>
  <c r="BF175" i="38"/>
  <c r="BM200" i="38"/>
  <c r="BN200" i="38"/>
  <c r="BN207" i="38"/>
  <c r="BM207" i="38"/>
  <c r="BI116" i="38"/>
  <c r="BE109" i="38"/>
  <c r="BF109" i="38"/>
  <c r="BE221" i="38"/>
  <c r="BF221" i="38"/>
  <c r="BN196" i="38"/>
  <c r="BM196" i="38"/>
  <c r="BP226" i="38"/>
  <c r="BR226" i="38" s="1"/>
  <c r="BN219" i="38"/>
  <c r="BM219" i="38"/>
  <c r="BN123" i="38"/>
  <c r="BM123" i="38"/>
  <c r="BE233" i="38"/>
  <c r="BF233" i="38"/>
  <c r="BN176" i="38"/>
  <c r="BM176" i="38"/>
  <c r="BQ108" i="38"/>
  <c r="BN101" i="38"/>
  <c r="BM101" i="38"/>
  <c r="BN231" i="38"/>
  <c r="BM231" i="38"/>
  <c r="BN114" i="38"/>
  <c r="BM114" i="38"/>
  <c r="BH177" i="38"/>
  <c r="BJ177" i="38" s="1"/>
  <c r="BE170" i="38"/>
  <c r="BF170" i="38"/>
  <c r="BF204" i="38"/>
  <c r="BE204" i="38"/>
  <c r="BM211" i="38"/>
  <c r="BN211" i="38"/>
  <c r="BF103" i="38"/>
  <c r="BE103" i="38"/>
  <c r="BI214" i="38"/>
  <c r="BE207" i="38"/>
  <c r="BF207" i="38"/>
  <c r="CG135" i="38"/>
  <c r="CG121" i="38"/>
  <c r="CF244" i="38"/>
  <c r="CF234" i="38"/>
  <c r="CG248" i="38"/>
  <c r="CF226" i="38"/>
  <c r="CG222" i="38"/>
  <c r="CF190" i="38"/>
  <c r="CF179" i="38"/>
  <c r="CF159" i="38"/>
  <c r="CF158" i="38"/>
  <c r="CF155" i="38"/>
  <c r="CF152" i="38"/>
  <c r="CF142" i="38"/>
  <c r="CG139" i="38"/>
  <c r="CG137" i="38"/>
  <c r="CF239" i="38"/>
  <c r="CG240" i="38"/>
  <c r="CG227" i="38"/>
  <c r="CF230" i="38"/>
  <c r="CF227" i="38"/>
  <c r="CG214" i="38"/>
  <c r="CG215" i="38"/>
  <c r="CF216" i="38"/>
  <c r="CF212" i="38"/>
  <c r="CF211" i="38"/>
  <c r="CF202" i="38"/>
  <c r="CF196" i="38"/>
  <c r="CF185" i="38"/>
  <c r="CF163" i="38"/>
  <c r="CG154" i="38"/>
  <c r="CG174" i="38"/>
  <c r="CG138" i="38"/>
  <c r="CG151" i="38"/>
  <c r="CG113" i="38"/>
  <c r="CG111" i="38"/>
  <c r="CG127" i="38"/>
  <c r="CF242" i="38"/>
  <c r="CG237" i="38"/>
  <c r="CG210" i="38"/>
  <c r="CG211" i="38"/>
  <c r="CF209" i="38"/>
  <c r="CF208" i="38"/>
  <c r="CF203" i="38"/>
  <c r="CF193" i="38"/>
  <c r="CF181" i="38"/>
  <c r="CG150" i="38"/>
  <c r="CG188" i="38"/>
  <c r="CG134" i="38"/>
  <c r="CF144" i="38"/>
  <c r="CG153" i="38"/>
  <c r="CG106" i="38"/>
  <c r="CF249" i="38"/>
  <c r="CG234" i="38"/>
  <c r="CF238" i="38"/>
  <c r="CG231" i="38"/>
  <c r="CF224" i="38"/>
  <c r="CF205" i="38"/>
  <c r="CF206" i="38"/>
  <c r="CF184" i="38"/>
  <c r="CF175" i="38"/>
  <c r="CG176" i="38"/>
  <c r="CF160" i="38"/>
  <c r="CG159" i="38"/>
  <c r="CF154" i="38"/>
  <c r="CG120" i="38"/>
  <c r="CG140" i="38"/>
  <c r="CF250" i="38"/>
  <c r="CG244" i="38"/>
  <c r="CF218" i="38"/>
  <c r="CF210" i="38"/>
  <c r="CG195" i="38"/>
  <c r="CG206" i="38"/>
  <c r="CG185" i="38"/>
  <c r="CG177" i="38"/>
  <c r="CF194" i="38"/>
  <c r="CF147" i="38"/>
  <c r="CF150" i="38"/>
  <c r="CG124" i="38"/>
  <c r="CG123" i="38"/>
  <c r="CG101" i="38"/>
  <c r="CF246" i="38"/>
  <c r="CF241" i="38"/>
  <c r="CG242" i="38"/>
  <c r="CG218" i="38"/>
  <c r="CF215" i="38"/>
  <c r="CG199" i="38"/>
  <c r="CG197" i="38"/>
  <c r="CG173" i="38"/>
  <c r="CG180" i="38"/>
  <c r="CG166" i="38"/>
  <c r="CF172" i="38"/>
  <c r="CG141" i="38"/>
  <c r="CG161" i="38"/>
  <c r="CG109" i="38"/>
  <c r="CF151" i="38"/>
  <c r="CG250" i="38"/>
  <c r="CG209" i="38"/>
  <c r="CF217" i="38"/>
  <c r="CG198" i="38"/>
  <c r="CG175" i="38"/>
  <c r="CF146" i="38"/>
  <c r="CG165" i="38"/>
  <c r="CG118" i="38"/>
  <c r="CG232" i="38"/>
  <c r="CF229" i="38"/>
  <c r="CF221" i="38"/>
  <c r="CG200" i="38"/>
  <c r="CF199" i="38"/>
  <c r="CG158" i="38"/>
  <c r="CG172" i="38"/>
  <c r="CF178" i="38"/>
  <c r="CF174" i="38"/>
  <c r="CG147" i="38"/>
  <c r="CG230" i="38"/>
  <c r="CF225" i="38"/>
  <c r="CF214" i="38"/>
  <c r="CG193" i="38"/>
  <c r="CF192" i="38"/>
  <c r="CF197" i="38"/>
  <c r="CG191" i="38"/>
  <c r="CG156" i="38"/>
  <c r="CG167" i="38"/>
  <c r="CG149" i="38"/>
  <c r="CG122" i="38"/>
  <c r="CG235" i="38"/>
  <c r="CG228" i="38"/>
  <c r="CF207" i="38"/>
  <c r="CG204" i="38"/>
  <c r="CG208" i="38"/>
  <c r="CF195" i="38"/>
  <c r="CF166" i="38"/>
  <c r="CG155" i="38"/>
  <c r="CF145" i="38"/>
  <c r="CG112" i="38"/>
  <c r="CG110" i="38"/>
  <c r="CG105" i="38"/>
  <c r="CG238" i="38"/>
  <c r="CG226" i="38"/>
  <c r="CG224" i="38"/>
  <c r="CG225" i="38"/>
  <c r="CG203" i="38"/>
  <c r="CG190" i="38"/>
  <c r="CF189" i="38"/>
  <c r="CF191" i="38"/>
  <c r="CF162" i="38"/>
  <c r="CF153" i="38"/>
  <c r="CG170" i="38"/>
  <c r="CG160" i="38"/>
  <c r="CG107" i="38"/>
  <c r="CF247" i="38"/>
  <c r="CF233" i="38"/>
  <c r="CG219" i="38"/>
  <c r="CG217" i="38"/>
  <c r="CF200" i="38"/>
  <c r="CG189" i="38"/>
  <c r="CF186" i="38"/>
  <c r="CF173" i="38"/>
  <c r="CF198" i="38"/>
  <c r="CG148" i="38"/>
  <c r="CF164" i="38"/>
  <c r="CF149" i="38"/>
  <c r="CG117" i="38"/>
  <c r="CG130" i="38"/>
  <c r="CG243" i="38"/>
  <c r="CF240" i="38"/>
  <c r="CF219" i="38"/>
  <c r="CG194" i="38"/>
  <c r="CG192" i="38"/>
  <c r="CF183" i="38"/>
  <c r="CF167" i="38"/>
  <c r="CF157" i="38"/>
  <c r="CG146" i="38"/>
  <c r="CG143" i="38"/>
  <c r="CG133" i="38"/>
  <c r="CF237" i="38"/>
  <c r="CF236" i="38"/>
  <c r="CF187" i="38"/>
  <c r="CG142" i="38"/>
  <c r="CF141" i="38"/>
  <c r="CG119" i="38"/>
  <c r="CG100" i="38"/>
  <c r="CF235" i="38"/>
  <c r="CG216" i="38"/>
  <c r="CF188" i="38"/>
  <c r="CG136" i="38"/>
  <c r="CG115" i="38"/>
  <c r="CG116" i="38"/>
  <c r="CG128" i="38"/>
  <c r="CG247" i="38"/>
  <c r="CG212" i="38"/>
  <c r="CG241" i="38"/>
  <c r="CG220" i="38"/>
  <c r="CG202" i="38"/>
  <c r="CG186" i="38"/>
  <c r="CG181" i="38"/>
  <c r="CG132" i="38"/>
  <c r="CF143" i="38"/>
  <c r="CG108" i="38"/>
  <c r="CF231" i="38"/>
  <c r="CG184" i="38"/>
  <c r="CG162" i="38"/>
  <c r="CF180" i="38"/>
  <c r="CG223" i="38"/>
  <c r="CF182" i="38"/>
  <c r="CG152" i="38"/>
  <c r="CG126" i="38"/>
  <c r="CG229" i="38"/>
  <c r="CF213" i="38"/>
  <c r="CG169" i="38"/>
  <c r="CG131" i="38"/>
  <c r="CF245" i="38"/>
  <c r="CF220" i="38"/>
  <c r="CF171" i="38"/>
  <c r="CG164" i="38"/>
  <c r="CG103" i="38"/>
  <c r="CF243" i="38"/>
  <c r="CG221" i="38"/>
  <c r="CF169" i="38"/>
  <c r="CG102" i="38"/>
  <c r="CG213" i="38"/>
  <c r="CG163" i="38"/>
  <c r="CG114" i="38"/>
  <c r="CG239" i="38"/>
  <c r="CG196" i="38"/>
  <c r="CF156" i="38"/>
  <c r="CF232" i="38"/>
  <c r="CG205" i="38"/>
  <c r="CG182" i="38"/>
  <c r="CF170" i="38"/>
  <c r="CG145" i="38"/>
  <c r="CF140" i="38"/>
  <c r="CG245" i="38"/>
  <c r="CG144" i="38"/>
  <c r="CF223" i="38"/>
  <c r="CF168" i="38"/>
  <c r="CF222" i="38"/>
  <c r="CF165" i="38"/>
  <c r="CF161" i="38"/>
  <c r="CG207" i="38"/>
  <c r="CF176" i="38"/>
  <c r="CF148" i="38"/>
  <c r="CG201" i="38"/>
  <c r="CG157" i="38"/>
  <c r="CF201" i="38"/>
  <c r="CG168" i="38"/>
  <c r="CF204" i="38"/>
  <c r="CG125" i="38"/>
  <c r="CG187" i="38"/>
  <c r="CG129" i="38"/>
  <c r="CG183" i="38"/>
  <c r="CG104" i="38"/>
  <c r="CF248" i="38"/>
  <c r="CG249" i="38"/>
  <c r="CG179" i="38"/>
  <c r="CG233" i="38"/>
  <c r="CG171" i="38"/>
  <c r="CG246" i="38"/>
  <c r="CG236" i="38"/>
  <c r="CF177" i="38"/>
  <c r="CG178" i="38"/>
  <c r="CF228" i="38"/>
  <c r="BF214" i="38"/>
  <c r="BE214" i="38"/>
  <c r="BH118" i="38"/>
  <c r="BJ118" i="38" s="1"/>
  <c r="BE111" i="38"/>
  <c r="BF111" i="38"/>
  <c r="BE203" i="38"/>
  <c r="BF203" i="38"/>
  <c r="BN102" i="38"/>
  <c r="BM102" i="38"/>
  <c r="BF226" i="38"/>
  <c r="BE226" i="38"/>
  <c r="BF183" i="38"/>
  <c r="BE183" i="38"/>
  <c r="BN208" i="38"/>
  <c r="BM208" i="38"/>
  <c r="BM105" i="38"/>
  <c r="BN105" i="38"/>
  <c r="BE238" i="38"/>
  <c r="BF238" i="38"/>
  <c r="BM238" i="38"/>
  <c r="BN238" i="38"/>
  <c r="BH164" i="38"/>
  <c r="BJ164" i="38" s="1"/>
  <c r="BF157" i="38"/>
  <c r="BE157" i="38"/>
  <c r="BM100" i="38"/>
  <c r="BN100" i="38"/>
  <c r="BE218" i="38"/>
  <c r="BF218" i="38"/>
  <c r="BH167" i="38"/>
  <c r="BJ167" i="38" s="1"/>
  <c r="BE160" i="38"/>
  <c r="BF160" i="38"/>
  <c r="BN250" i="38"/>
  <c r="BM250" i="38"/>
  <c r="BQ191" i="38"/>
  <c r="BM184" i="38"/>
  <c r="BN184" i="38"/>
  <c r="BP110" i="38"/>
  <c r="BR110" i="38" s="1"/>
  <c r="BN103" i="38"/>
  <c r="BM103" i="38"/>
  <c r="BH120" i="38"/>
  <c r="BJ120" i="38" s="1"/>
  <c r="BE113" i="38"/>
  <c r="BF113" i="38"/>
  <c r="BQ237" i="38"/>
  <c r="BM230" i="38"/>
  <c r="BN230" i="38"/>
  <c r="BE171" i="38"/>
  <c r="BF171" i="38"/>
  <c r="BP133" i="38"/>
  <c r="BR133" i="38" s="1"/>
  <c r="BN126" i="38"/>
  <c r="BM126" i="38"/>
  <c r="BE156" i="38"/>
  <c r="BF156" i="38"/>
  <c r="BM242" i="38"/>
  <c r="BN242" i="38"/>
  <c r="BF192" i="38"/>
  <c r="BE192" i="38"/>
  <c r="BF215" i="38"/>
  <c r="BE215" i="38"/>
  <c r="BP115" i="38"/>
  <c r="BR115" i="38" s="1"/>
  <c r="BM108" i="38"/>
  <c r="BN108" i="38"/>
  <c r="BF154" i="38"/>
  <c r="BE154" i="38"/>
  <c r="BF245" i="38"/>
  <c r="BE245" i="38"/>
  <c r="BM110" i="38"/>
  <c r="BN110" i="38"/>
  <c r="BQ220" i="38"/>
  <c r="BN213" i="38"/>
  <c r="BM213" i="38"/>
  <c r="BQ111" i="38"/>
  <c r="BN104" i="38"/>
  <c r="BM104" i="38"/>
  <c r="BF168" i="38"/>
  <c r="BE168" i="38"/>
  <c r="BQ223" i="38"/>
  <c r="BM216" i="38"/>
  <c r="BN216" i="38"/>
  <c r="BP114" i="38"/>
  <c r="BR114" i="38" s="1"/>
  <c r="BN107" i="38"/>
  <c r="BM107" i="38"/>
  <c r="BP230" i="38"/>
  <c r="BR230" i="38" s="1"/>
  <c r="BN223" i="38"/>
  <c r="BM223" i="38"/>
  <c r="BE237" i="38"/>
  <c r="BF237" i="38"/>
  <c r="BQ219" i="38"/>
  <c r="BM212" i="38"/>
  <c r="BN212" i="38"/>
  <c r="BQ242" i="38"/>
  <c r="BM235" i="38"/>
  <c r="BN235" i="38"/>
  <c r="BH171" i="38"/>
  <c r="BJ171" i="38" s="1"/>
  <c r="BE164" i="38"/>
  <c r="BF164" i="38"/>
  <c r="BF249" i="38"/>
  <c r="BE249" i="38"/>
  <c r="BN247" i="38"/>
  <c r="BM247" i="38"/>
  <c r="BF162" i="38"/>
  <c r="BE162" i="38"/>
  <c r="BF165" i="38"/>
  <c r="BE165" i="38"/>
  <c r="BQ119" i="38"/>
  <c r="BN112" i="38"/>
  <c r="BM112" i="38"/>
  <c r="BE220" i="38"/>
  <c r="BF220" i="38"/>
  <c r="BM119" i="38"/>
  <c r="BN119" i="38"/>
  <c r="BM227" i="38"/>
  <c r="BN227" i="38"/>
  <c r="BN193" i="38"/>
  <c r="BM193" i="38"/>
  <c r="BE223" i="38"/>
  <c r="BF223" i="38"/>
  <c r="BQ122" i="38"/>
  <c r="BM115" i="38"/>
  <c r="BN115" i="38"/>
  <c r="BH237" i="38"/>
  <c r="BJ237" i="38" s="1"/>
  <c r="BE230" i="38"/>
  <c r="BF230" i="38"/>
  <c r="BF158" i="38"/>
  <c r="BE158" i="38"/>
  <c r="BN180" i="38"/>
  <c r="BM180" i="38"/>
  <c r="BE219" i="38"/>
  <c r="BF219" i="38"/>
  <c r="BE242" i="38"/>
  <c r="BF242" i="38"/>
  <c r="BQ176" i="38"/>
  <c r="BN169" i="38"/>
  <c r="BM169" i="38"/>
  <c r="BP208" i="38"/>
  <c r="BR208" i="38" s="1"/>
  <c r="BN201" i="38"/>
  <c r="BM201" i="38"/>
  <c r="BQ231" i="38"/>
  <c r="BM224" i="38"/>
  <c r="BN224" i="38"/>
  <c r="BE172" i="38"/>
  <c r="BF172" i="38"/>
  <c r="BP105" i="27"/>
  <c r="BR105" i="27" s="1"/>
  <c r="BI103" i="27"/>
  <c r="AZ101" i="27"/>
  <c r="BB101" i="27" s="1"/>
  <c r="BQ106" i="27"/>
  <c r="BI104" i="27"/>
  <c r="BH103" i="27"/>
  <c r="BJ103" i="27" s="1"/>
  <c r="BA102" i="27"/>
  <c r="BP106" i="27"/>
  <c r="BR106" i="27" s="1"/>
  <c r="BI105" i="27"/>
  <c r="BH104" i="27"/>
  <c r="BJ104" i="27" s="1"/>
  <c r="AZ102" i="27"/>
  <c r="BB102" i="27" s="1"/>
  <c r="BH105" i="27"/>
  <c r="BJ105" i="27" s="1"/>
  <c r="BA103" i="27"/>
  <c r="BI106" i="27"/>
  <c r="BA104" i="27"/>
  <c r="AZ103" i="27"/>
  <c r="BB103" i="27" s="1"/>
  <c r="BH106" i="27"/>
  <c r="BJ106" i="27" s="1"/>
  <c r="BA105" i="27"/>
  <c r="AZ104" i="27"/>
  <c r="BB104" i="27" s="1"/>
  <c r="AZ105" i="27"/>
  <c r="BB105" i="27" s="1"/>
  <c r="BQ100" i="27"/>
  <c r="BA106" i="27"/>
  <c r="BP100" i="27"/>
  <c r="BR100" i="27" s="1"/>
  <c r="AZ106" i="27"/>
  <c r="BB106" i="27" s="1"/>
  <c r="BQ101" i="27"/>
  <c r="BI100" i="27"/>
  <c r="BP101" i="27"/>
  <c r="BR101" i="27" s="1"/>
  <c r="BH100" i="27"/>
  <c r="BJ100" i="27" s="1"/>
  <c r="BQ102" i="27"/>
  <c r="BP102" i="27"/>
  <c r="BR102" i="27" s="1"/>
  <c r="BI101" i="27"/>
  <c r="BA100" i="27"/>
  <c r="BQ103" i="27"/>
  <c r="BH101" i="27"/>
  <c r="BJ101" i="27" s="1"/>
  <c r="AZ100" i="27"/>
  <c r="BB100" i="27" s="1"/>
  <c r="BP103" i="27"/>
  <c r="BR103" i="27" s="1"/>
  <c r="BQ104" i="27"/>
  <c r="BI102" i="27"/>
  <c r="BQ105" i="27"/>
  <c r="BP104" i="27"/>
  <c r="BR104" i="27" s="1"/>
  <c r="BH102" i="27"/>
  <c r="BJ102" i="27" s="1"/>
  <c r="BA101" i="27"/>
  <c r="BP216" i="27"/>
  <c r="BR216" i="27" s="1"/>
  <c r="BP193" i="27"/>
  <c r="BR193" i="27" s="1"/>
  <c r="BH237" i="27"/>
  <c r="BJ237" i="27" s="1"/>
  <c r="BP127" i="27"/>
  <c r="BR127" i="27" s="1"/>
  <c r="BH113" i="27"/>
  <c r="BJ113" i="27" s="1"/>
  <c r="BI237" i="27"/>
  <c r="BH178" i="27"/>
  <c r="BJ178" i="27" s="1"/>
  <c r="BI171" i="27"/>
  <c r="BH211" i="27"/>
  <c r="BJ211" i="27" s="1"/>
  <c r="BI211" i="27"/>
  <c r="BI204" i="27"/>
  <c r="BP126" i="27"/>
  <c r="BR126" i="27" s="1"/>
  <c r="BP119" i="27"/>
  <c r="BR119" i="27" s="1"/>
  <c r="BH204" i="27"/>
  <c r="BJ204" i="27" s="1"/>
  <c r="BP226" i="27"/>
  <c r="BR226" i="27" s="1"/>
  <c r="BQ226" i="27"/>
  <c r="BQ126" i="27"/>
  <c r="BI178" i="27"/>
  <c r="BI244" i="27"/>
  <c r="BQ176" i="27"/>
  <c r="BQ193" i="27"/>
  <c r="BP176" i="27"/>
  <c r="BR176" i="27" s="1"/>
  <c r="BQ127" i="27"/>
  <c r="BQ128" i="38"/>
  <c r="BM121" i="38"/>
  <c r="BN121" i="38"/>
  <c r="BP134" i="38"/>
  <c r="BR134" i="38" s="1"/>
  <c r="BM127" i="38"/>
  <c r="BN127" i="38"/>
  <c r="BH241" i="38"/>
  <c r="BJ241" i="38" s="1"/>
  <c r="BF234" i="38"/>
  <c r="BE234" i="38"/>
  <c r="BM177" i="38"/>
  <c r="BN177" i="38"/>
  <c r="BH207" i="38"/>
  <c r="BJ207" i="38" s="1"/>
  <c r="BF200" i="38"/>
  <c r="BE200" i="38"/>
  <c r="BQ129" i="38"/>
  <c r="BN122" i="38"/>
  <c r="BM122" i="38"/>
  <c r="BI173" i="38"/>
  <c r="BF166" i="38"/>
  <c r="BE166" i="38"/>
  <c r="BM246" i="38"/>
  <c r="BN246" i="38"/>
  <c r="BM189" i="38"/>
  <c r="BN189" i="38"/>
  <c r="BI183" i="38"/>
  <c r="BE176" i="38"/>
  <c r="BF176" i="38"/>
  <c r="BF208" i="38"/>
  <c r="BE208" i="38"/>
  <c r="BE108" i="38"/>
  <c r="BF108" i="38"/>
  <c r="BI238" i="38"/>
  <c r="BE231" i="38"/>
  <c r="BF231" i="38"/>
  <c r="CE94" i="27"/>
  <c r="BP84" i="27"/>
  <c r="BL84" i="27"/>
  <c r="BH84" i="27"/>
  <c r="BD84" i="27"/>
  <c r="AZ84" i="27"/>
  <c r="AV84" i="27"/>
  <c r="BP195" i="38"/>
  <c r="BR195" i="38" s="1"/>
  <c r="BN188" i="38"/>
  <c r="BM188" i="38"/>
  <c r="BP131" i="38"/>
  <c r="BR131" i="38" s="1"/>
  <c r="BN124" i="38"/>
  <c r="BM124" i="38"/>
  <c r="BP236" i="38"/>
  <c r="BR236" i="38" s="1"/>
  <c r="BM229" i="38"/>
  <c r="BN229" i="38"/>
  <c r="BF184" i="38"/>
  <c r="BE184" i="38"/>
  <c r="BI114" i="38"/>
  <c r="BF107" i="38"/>
  <c r="BE107" i="38"/>
  <c r="BQ239" i="38"/>
  <c r="BM232" i="38"/>
  <c r="BN232" i="38"/>
  <c r="BQ246" i="38"/>
  <c r="BN239" i="38"/>
  <c r="BM239" i="38"/>
  <c r="BE196" i="38"/>
  <c r="BF196" i="38"/>
  <c r="BI113" i="38"/>
  <c r="BF106" i="38"/>
  <c r="BE106" i="38"/>
  <c r="BQ235" i="38"/>
  <c r="BM228" i="38"/>
  <c r="BN228" i="38"/>
  <c r="BF169" i="38"/>
  <c r="BE169" i="38"/>
  <c r="BM116" i="38"/>
  <c r="BN116" i="38"/>
  <c r="BM174" i="38"/>
  <c r="BN174" i="38"/>
  <c r="BN181" i="38"/>
  <c r="BM181" i="38"/>
  <c r="BQ227" i="38"/>
  <c r="BN220" i="38"/>
  <c r="BM220" i="38"/>
  <c r="BF211" i="38"/>
  <c r="BE211" i="38"/>
  <c r="BI243" i="38"/>
  <c r="BE236" i="38"/>
  <c r="BF236" i="38"/>
  <c r="BQ250" i="38"/>
  <c r="BN243" i="38"/>
  <c r="BM243" i="38"/>
  <c r="BE193" i="38"/>
  <c r="BF193" i="38"/>
  <c r="BM209" i="38"/>
  <c r="BN209" i="38"/>
  <c r="BQ132" i="38"/>
  <c r="BN125" i="38"/>
  <c r="BM125" i="38"/>
  <c r="BH246" i="38"/>
  <c r="BJ246" i="38" s="1"/>
  <c r="BE239" i="38"/>
  <c r="BF239" i="38"/>
  <c r="BF246" i="38"/>
  <c r="BE246" i="38"/>
  <c r="BN173" i="38"/>
  <c r="BM173" i="38"/>
  <c r="BQ127" i="38"/>
  <c r="BN120" i="38"/>
  <c r="BM120" i="38"/>
  <c r="BF235" i="38"/>
  <c r="BE235" i="38"/>
  <c r="BQ192" i="38"/>
  <c r="BM185" i="38"/>
  <c r="BN185" i="38"/>
  <c r="BP224" i="38"/>
  <c r="BR224" i="38" s="1"/>
  <c r="BN217" i="38"/>
  <c r="BM217" i="38"/>
  <c r="BM240" i="38"/>
  <c r="BN240" i="38"/>
  <c r="BI188" i="38"/>
  <c r="BF181" i="38"/>
  <c r="BE181" i="38"/>
  <c r="BF243" i="38"/>
  <c r="BE243" i="38"/>
  <c r="BF250" i="38"/>
  <c r="BE250" i="38"/>
  <c r="BF216" i="38"/>
  <c r="BE216" i="38"/>
  <c r="BF180" i="38"/>
  <c r="BE180" i="38"/>
  <c r="BN205" i="38"/>
  <c r="BM205" i="38"/>
  <c r="BN178" i="38"/>
  <c r="BM178" i="38"/>
  <c r="BE224" i="38"/>
  <c r="BF224" i="38"/>
  <c r="BH166" i="38"/>
  <c r="BJ166" i="38" s="1"/>
  <c r="BF159" i="38"/>
  <c r="BE159" i="38"/>
  <c r="BF247" i="38"/>
  <c r="BE247" i="38"/>
  <c r="BH197" i="38"/>
  <c r="BJ197" i="38" s="1"/>
  <c r="BF190" i="38"/>
  <c r="BE190" i="38"/>
  <c r="BM190" i="38"/>
  <c r="BN190" i="38"/>
  <c r="BE186" i="38"/>
  <c r="BF186" i="38"/>
  <c r="BM245" i="38"/>
  <c r="BN245" i="38"/>
  <c r="BM170" i="38"/>
  <c r="BN170" i="38"/>
  <c r="BQ209" i="38"/>
  <c r="BN202" i="38"/>
  <c r="BM202" i="38"/>
  <c r="BH162" i="38"/>
  <c r="BJ162" i="38" s="1"/>
  <c r="BF155" i="38"/>
  <c r="BE155" i="38"/>
  <c r="BN248" i="38"/>
  <c r="BM248" i="38"/>
  <c r="BE173" i="38"/>
  <c r="BF173" i="38"/>
  <c r="BF212" i="38"/>
  <c r="BE212" i="38"/>
  <c r="BH168" i="38"/>
  <c r="BJ168" i="38" s="1"/>
  <c r="BF161" i="38"/>
  <c r="BE161" i="38"/>
  <c r="BM244" i="38"/>
  <c r="BN244" i="38"/>
  <c r="BF185" i="38"/>
  <c r="BE185" i="38"/>
  <c r="BN194" i="38"/>
  <c r="BM194" i="38"/>
  <c r="BE167" i="38"/>
  <c r="BF167" i="38"/>
  <c r="BE197" i="38"/>
  <c r="BF197" i="38"/>
  <c r="BQ104" i="34"/>
  <c r="BP103" i="34"/>
  <c r="BR103" i="34" s="1"/>
  <c r="BI102" i="34"/>
  <c r="BQ105" i="34"/>
  <c r="BP104" i="34"/>
  <c r="BR104" i="34" s="1"/>
  <c r="BH102" i="34"/>
  <c r="BJ102" i="34" s="1"/>
  <c r="BA101" i="34"/>
  <c r="BQ106" i="34"/>
  <c r="BP105" i="34"/>
  <c r="BR105" i="34" s="1"/>
  <c r="BI103" i="34"/>
  <c r="AZ101" i="34"/>
  <c r="BB101" i="34" s="1"/>
  <c r="BP106" i="34"/>
  <c r="BR106" i="34" s="1"/>
  <c r="BI104" i="34"/>
  <c r="BH103" i="34"/>
  <c r="BJ103" i="34" s="1"/>
  <c r="BA102" i="34"/>
  <c r="BI105" i="34"/>
  <c r="BH104" i="34"/>
  <c r="BJ104" i="34" s="1"/>
  <c r="AZ102" i="34"/>
  <c r="BB102" i="34" s="1"/>
  <c r="BI106" i="34"/>
  <c r="BH105" i="34"/>
  <c r="BJ105" i="34" s="1"/>
  <c r="BA103" i="34"/>
  <c r="BH106" i="34"/>
  <c r="BJ106" i="34" s="1"/>
  <c r="BA104" i="34"/>
  <c r="AZ103" i="34"/>
  <c r="BB103" i="34" s="1"/>
  <c r="BA105" i="34"/>
  <c r="AZ104" i="34"/>
  <c r="BB104" i="34" s="1"/>
  <c r="BA106" i="34"/>
  <c r="AZ105" i="34"/>
  <c r="BB105" i="34" s="1"/>
  <c r="BQ100" i="34"/>
  <c r="AZ106" i="34"/>
  <c r="BB106" i="34" s="1"/>
  <c r="BP100" i="34"/>
  <c r="BR100" i="34" s="1"/>
  <c r="BQ101" i="34"/>
  <c r="BI100" i="34"/>
  <c r="BP101" i="34"/>
  <c r="BR101" i="34" s="1"/>
  <c r="BH100" i="34"/>
  <c r="BJ100" i="34" s="1"/>
  <c r="BQ102" i="34"/>
  <c r="BP102" i="34"/>
  <c r="BR102" i="34" s="1"/>
  <c r="BI101" i="34"/>
  <c r="BA100" i="34"/>
  <c r="BQ103" i="34"/>
  <c r="BH101" i="34"/>
  <c r="BJ101" i="34" s="1"/>
  <c r="AZ100" i="34"/>
  <c r="BB100" i="34" s="1"/>
  <c r="BA183" i="34"/>
  <c r="BA195" i="34"/>
  <c r="BA193" i="34"/>
  <c r="AZ180" i="34"/>
  <c r="BB180" i="34" s="1"/>
  <c r="BA147" i="34"/>
  <c r="BA180" i="34"/>
  <c r="AZ246" i="34"/>
  <c r="BB246" i="34" s="1"/>
  <c r="BA181" i="34"/>
  <c r="BA223" i="34"/>
  <c r="BA185" i="34"/>
  <c r="BI204" i="34"/>
  <c r="BA239" i="34"/>
  <c r="BA189" i="34"/>
  <c r="AZ196" i="34"/>
  <c r="BB196" i="34" s="1"/>
  <c r="AZ133" i="34"/>
  <c r="BB133" i="34" s="1"/>
  <c r="BA155" i="34"/>
  <c r="BA242" i="34"/>
  <c r="AZ201" i="34"/>
  <c r="BB201" i="34" s="1"/>
  <c r="AZ160" i="34"/>
  <c r="BB160" i="34" s="1"/>
  <c r="AZ231" i="34"/>
  <c r="BB231" i="34" s="1"/>
  <c r="AZ136" i="34"/>
  <c r="BB136" i="34" s="1"/>
  <c r="AZ213" i="34"/>
  <c r="BB213" i="34" s="1"/>
  <c r="BA148" i="34"/>
  <c r="AZ211" i="34"/>
  <c r="BB211" i="34" s="1"/>
  <c r="AZ209" i="34"/>
  <c r="BB209" i="34" s="1"/>
  <c r="BH205" i="34"/>
  <c r="BJ205" i="34" s="1"/>
  <c r="AZ145" i="34"/>
  <c r="BB145" i="34" s="1"/>
  <c r="AZ156" i="34"/>
  <c r="BB156" i="34" s="1"/>
  <c r="BA200" i="34"/>
  <c r="AZ178" i="34"/>
  <c r="BB178" i="34" s="1"/>
  <c r="BA238" i="34"/>
  <c r="BA154" i="34"/>
  <c r="BA131" i="34"/>
  <c r="BA233" i="34"/>
  <c r="AZ176" i="34"/>
  <c r="BB176" i="34" s="1"/>
  <c r="BA247" i="34"/>
  <c r="BA243" i="34"/>
  <c r="BA225" i="34"/>
  <c r="BA221" i="34"/>
  <c r="BI187" i="34"/>
  <c r="AZ152" i="34"/>
  <c r="BB152" i="34" s="1"/>
  <c r="AZ129" i="34"/>
  <c r="BB129" i="34" s="1"/>
  <c r="BA137" i="34"/>
  <c r="AZ245" i="34"/>
  <c r="BB245" i="34" s="1"/>
  <c r="BH187" i="34"/>
  <c r="BJ187" i="34" s="1"/>
  <c r="BA245" i="34"/>
  <c r="BA237" i="34"/>
  <c r="AZ171" i="34"/>
  <c r="BB171" i="34" s="1"/>
  <c r="AZ194" i="34"/>
  <c r="BB194" i="34" s="1"/>
  <c r="AZ237" i="34"/>
  <c r="BB237" i="34" s="1"/>
  <c r="AZ247" i="34"/>
  <c r="BB247" i="34" s="1"/>
  <c r="BA249" i="34"/>
  <c r="AZ192" i="34"/>
  <c r="BB192" i="34" s="1"/>
  <c r="BA241" i="34"/>
  <c r="BA187" i="34"/>
  <c r="AZ181" i="34"/>
  <c r="BB181" i="34" s="1"/>
  <c r="BA129" i="34"/>
  <c r="BA160" i="34"/>
  <c r="BA156" i="34"/>
  <c r="BA240" i="34"/>
  <c r="BA190" i="34"/>
  <c r="BA188" i="34"/>
  <c r="BA234" i="34"/>
  <c r="AZ198" i="34"/>
  <c r="BB198" i="34" s="1"/>
  <c r="AZ236" i="34"/>
  <c r="BB236" i="34" s="1"/>
  <c r="AZ155" i="34"/>
  <c r="BB155" i="34" s="1"/>
  <c r="BQ192" i="34"/>
  <c r="AZ238" i="34"/>
  <c r="BB238" i="34" s="1"/>
  <c r="AZ163" i="34"/>
  <c r="BB163" i="34" s="1"/>
  <c r="AZ239" i="34"/>
  <c r="BB239" i="34" s="1"/>
  <c r="AZ193" i="34"/>
  <c r="BB193" i="34" s="1"/>
  <c r="AZ223" i="34"/>
  <c r="BB223" i="34" s="1"/>
  <c r="AZ220" i="34"/>
  <c r="BB220" i="34" s="1"/>
  <c r="AZ137" i="34"/>
  <c r="BB137" i="34" s="1"/>
  <c r="AZ146" i="34"/>
  <c r="BB146" i="34" s="1"/>
  <c r="BP177" i="34"/>
  <c r="BR177" i="34" s="1"/>
  <c r="BA230" i="34"/>
  <c r="BA235" i="34"/>
  <c r="AZ249" i="34"/>
  <c r="BB249" i="34" s="1"/>
  <c r="AZ241" i="34"/>
  <c r="BB241" i="34" s="1"/>
  <c r="BA133" i="34"/>
  <c r="BA209" i="34"/>
  <c r="AZ183" i="34"/>
  <c r="BB183" i="34" s="1"/>
  <c r="AZ153" i="34"/>
  <c r="BB153" i="34" s="1"/>
  <c r="BA179" i="34"/>
  <c r="AZ154" i="34"/>
  <c r="BB154" i="34" s="1"/>
  <c r="BA191" i="34"/>
  <c r="BA146" i="34"/>
  <c r="AZ190" i="34"/>
  <c r="BB190" i="34" s="1"/>
  <c r="BA213" i="34"/>
  <c r="AZ189" i="34"/>
  <c r="BB189" i="34" s="1"/>
  <c r="AZ197" i="34"/>
  <c r="BB197" i="34" s="1"/>
  <c r="BI170" i="34"/>
  <c r="AZ168" i="34"/>
  <c r="BB168" i="34" s="1"/>
  <c r="BA152" i="34"/>
  <c r="AZ128" i="34"/>
  <c r="BB128" i="34" s="1"/>
  <c r="BA161" i="34"/>
  <c r="AZ191" i="34"/>
  <c r="BB191" i="34" s="1"/>
  <c r="AZ216" i="34"/>
  <c r="BB216" i="34" s="1"/>
  <c r="BA192" i="34"/>
  <c r="AZ230" i="34"/>
  <c r="BB230" i="34" s="1"/>
  <c r="AZ179" i="34"/>
  <c r="BB179" i="34" s="1"/>
  <c r="BA143" i="34"/>
  <c r="AZ151" i="34"/>
  <c r="BB151" i="34" s="1"/>
  <c r="BP165" i="34"/>
  <c r="BR165" i="34" s="1"/>
  <c r="BP166" i="34"/>
  <c r="BR166" i="34" s="1"/>
  <c r="BA159" i="34"/>
  <c r="AZ148" i="34"/>
  <c r="BB148" i="34" s="1"/>
  <c r="BA167" i="34"/>
  <c r="AZ161" i="34"/>
  <c r="BB161" i="34" s="1"/>
  <c r="AZ204" i="34"/>
  <c r="BB204" i="34" s="1"/>
  <c r="AZ214" i="34"/>
  <c r="BB214" i="34" s="1"/>
  <c r="BA244" i="34"/>
  <c r="BA169" i="34"/>
  <c r="BA130" i="34"/>
  <c r="AZ174" i="34"/>
  <c r="BB174" i="34" s="1"/>
  <c r="BA162" i="34"/>
  <c r="AZ207" i="34"/>
  <c r="BB207" i="34" s="1"/>
  <c r="AZ167" i="34"/>
  <c r="BB167" i="34" s="1"/>
  <c r="BA228" i="34"/>
  <c r="BA211" i="34"/>
  <c r="AZ212" i="34"/>
  <c r="BB212" i="34" s="1"/>
  <c r="AZ225" i="34"/>
  <c r="BB225" i="34" s="1"/>
  <c r="AZ187" i="34"/>
  <c r="BB187" i="34" s="1"/>
  <c r="AZ169" i="34"/>
  <c r="BB169" i="34" s="1"/>
  <c r="AZ130" i="34"/>
  <c r="BB130" i="34" s="1"/>
  <c r="BA132" i="34"/>
  <c r="BA174" i="34"/>
  <c r="BA198" i="34"/>
  <c r="AZ188" i="34"/>
  <c r="BB188" i="34" s="1"/>
  <c r="BA219" i="34"/>
  <c r="BP223" i="34"/>
  <c r="BR223" i="34" s="1"/>
  <c r="BA246" i="34"/>
  <c r="AZ203" i="34"/>
  <c r="BB203" i="34" s="1"/>
  <c r="AZ235" i="34"/>
  <c r="BB235" i="34" s="1"/>
  <c r="BH204" i="34"/>
  <c r="BJ204" i="34" s="1"/>
  <c r="BA140" i="34"/>
  <c r="AZ141" i="34"/>
  <c r="BB141" i="34" s="1"/>
  <c r="BA145" i="34"/>
  <c r="AZ165" i="34"/>
  <c r="BB165" i="34" s="1"/>
  <c r="BA172" i="34"/>
  <c r="BI143" i="34"/>
  <c r="BA186" i="34"/>
  <c r="BA229" i="34"/>
  <c r="BA205" i="34"/>
  <c r="BA171" i="34"/>
  <c r="BA199" i="34"/>
  <c r="BA227" i="34"/>
  <c r="BA236" i="34"/>
  <c r="AZ185" i="34"/>
  <c r="BB185" i="34" s="1"/>
  <c r="AZ140" i="34"/>
  <c r="BB140" i="34" s="1"/>
  <c r="BA141" i="34"/>
  <c r="AZ147" i="34"/>
  <c r="BB147" i="34" s="1"/>
  <c r="BA144" i="34"/>
  <c r="BA166" i="34"/>
  <c r="BQ164" i="34"/>
  <c r="AZ186" i="34"/>
  <c r="BB186" i="34" s="1"/>
  <c r="BA224" i="34"/>
  <c r="AZ200" i="34"/>
  <c r="BB200" i="34" s="1"/>
  <c r="BA226" i="34"/>
  <c r="AZ227" i="34"/>
  <c r="BB227" i="34" s="1"/>
  <c r="AZ234" i="34"/>
  <c r="BB234" i="34" s="1"/>
  <c r="BA168" i="34"/>
  <c r="BA170" i="34"/>
  <c r="AZ144" i="34"/>
  <c r="BB144" i="34" s="1"/>
  <c r="AZ166" i="34"/>
  <c r="BB166" i="34" s="1"/>
  <c r="BP164" i="34"/>
  <c r="BR164" i="34" s="1"/>
  <c r="BA217" i="34"/>
  <c r="AZ229" i="34"/>
  <c r="BB229" i="34" s="1"/>
  <c r="BA216" i="34"/>
  <c r="BA218" i="34"/>
  <c r="BA194" i="34"/>
  <c r="AZ248" i="34"/>
  <c r="BB248" i="34" s="1"/>
  <c r="AZ170" i="34"/>
  <c r="BB170" i="34" s="1"/>
  <c r="BA215" i="34"/>
  <c r="AZ217" i="34"/>
  <c r="BB217" i="34" s="1"/>
  <c r="BA173" i="34"/>
  <c r="BQ183" i="34"/>
  <c r="BA202" i="34"/>
  <c r="AZ195" i="34"/>
  <c r="BB195" i="34" s="1"/>
  <c r="BA206" i="34"/>
  <c r="AZ243" i="34"/>
  <c r="BB243" i="34" s="1"/>
  <c r="AZ135" i="34"/>
  <c r="BB135" i="34" s="1"/>
  <c r="BA138" i="34"/>
  <c r="BA142" i="34"/>
  <c r="AZ150" i="34"/>
  <c r="BB150" i="34" s="1"/>
  <c r="AZ215" i="34"/>
  <c r="BB215" i="34" s="1"/>
  <c r="AZ173" i="34"/>
  <c r="BB173" i="34" s="1"/>
  <c r="BP183" i="34"/>
  <c r="BR183" i="34" s="1"/>
  <c r="AZ202" i="34"/>
  <c r="BB202" i="34" s="1"/>
  <c r="AZ206" i="34"/>
  <c r="BB206" i="34" s="1"/>
  <c r="BA220" i="34"/>
  <c r="BA210" i="34"/>
  <c r="BA231" i="34"/>
  <c r="BA250" i="34"/>
  <c r="AZ233" i="34"/>
  <c r="BB233" i="34" s="1"/>
  <c r="BP163" i="34"/>
  <c r="BR163" i="34" s="1"/>
  <c r="BQ177" i="34"/>
  <c r="BA135" i="34"/>
  <c r="AZ138" i="34"/>
  <c r="BB138" i="34" s="1"/>
  <c r="AZ131" i="34"/>
  <c r="BB131" i="34" s="1"/>
  <c r="BA157" i="34"/>
  <c r="AZ142" i="34"/>
  <c r="BB142" i="34" s="1"/>
  <c r="BA153" i="34"/>
  <c r="BI174" i="34"/>
  <c r="BA197" i="34"/>
  <c r="BA248" i="34"/>
  <c r="AZ134" i="34"/>
  <c r="BB134" i="34" s="1"/>
  <c r="BA136" i="34"/>
  <c r="AZ157" i="34"/>
  <c r="BB157" i="34" s="1"/>
  <c r="BA175" i="34"/>
  <c r="BH174" i="34"/>
  <c r="BJ174" i="34" s="1"/>
  <c r="BA203" i="34"/>
  <c r="BA201" i="34"/>
  <c r="AZ244" i="34"/>
  <c r="BB244" i="34" s="1"/>
  <c r="BA149" i="34"/>
  <c r="BA158" i="34"/>
  <c r="AZ159" i="34"/>
  <c r="BB159" i="34" s="1"/>
  <c r="BA177" i="34"/>
  <c r="AZ175" i="34"/>
  <c r="BB175" i="34" s="1"/>
  <c r="BA182" i="34"/>
  <c r="BA184" i="34"/>
  <c r="BA208" i="34"/>
  <c r="BP192" i="34"/>
  <c r="BR192" i="34" s="1"/>
  <c r="BA134" i="34"/>
  <c r="AZ149" i="34"/>
  <c r="BB149" i="34" s="1"/>
  <c r="BQ162" i="34"/>
  <c r="AZ158" i="34"/>
  <c r="BB158" i="34" s="1"/>
  <c r="AZ162" i="34"/>
  <c r="BB162" i="34" s="1"/>
  <c r="BA150" i="34"/>
  <c r="AZ177" i="34"/>
  <c r="BB177" i="34" s="1"/>
  <c r="AZ182" i="34"/>
  <c r="BB182" i="34" s="1"/>
  <c r="AZ184" i="34"/>
  <c r="BB184" i="34" s="1"/>
  <c r="AZ208" i="34"/>
  <c r="BB208" i="34" s="1"/>
  <c r="AZ210" i="34"/>
  <c r="BB210" i="34" s="1"/>
  <c r="BA214" i="34"/>
  <c r="BQ223" i="34"/>
  <c r="AZ240" i="34"/>
  <c r="BB240" i="34" s="1"/>
  <c r="BA128" i="34"/>
  <c r="BP162" i="34"/>
  <c r="BR162" i="34" s="1"/>
  <c r="BA164" i="34"/>
  <c r="BQ163" i="34"/>
  <c r="BH143" i="34"/>
  <c r="BJ143" i="34" s="1"/>
  <c r="BA163" i="34"/>
  <c r="BA178" i="34"/>
  <c r="BI205" i="34"/>
  <c r="AZ222" i="34"/>
  <c r="BB222" i="34" s="1"/>
  <c r="AZ226" i="34"/>
  <c r="BB226" i="34" s="1"/>
  <c r="BA196" i="34"/>
  <c r="AZ139" i="34"/>
  <c r="BB139" i="34" s="1"/>
  <c r="AZ164" i="34"/>
  <c r="BB164" i="34" s="1"/>
  <c r="BA232" i="34"/>
  <c r="BA222" i="34"/>
  <c r="AZ242" i="34"/>
  <c r="BB242" i="34" s="1"/>
  <c r="BA176" i="34"/>
  <c r="BH170" i="34"/>
  <c r="BJ170" i="34" s="1"/>
  <c r="BA139" i="34"/>
  <c r="AZ143" i="34"/>
  <c r="BB143" i="34" s="1"/>
  <c r="BA151" i="34"/>
  <c r="BQ165" i="34"/>
  <c r="BQ166" i="34"/>
  <c r="BA204" i="34"/>
  <c r="AZ232" i="34"/>
  <c r="BB232" i="34" s="1"/>
  <c r="BA212" i="34"/>
  <c r="AZ250" i="34"/>
  <c r="BB250" i="34" s="1"/>
  <c r="AZ224" i="34"/>
  <c r="BB224" i="34" s="1"/>
  <c r="AZ219" i="34"/>
  <c r="BB219" i="34" s="1"/>
  <c r="AZ199" i="34"/>
  <c r="BB199" i="34" s="1"/>
  <c r="BA165" i="34"/>
  <c r="AZ228" i="34"/>
  <c r="BB228" i="34" s="1"/>
  <c r="AZ218" i="34"/>
  <c r="BB218" i="34" s="1"/>
  <c r="BA207" i="34"/>
  <c r="AZ132" i="34"/>
  <c r="BB132" i="34" s="1"/>
  <c r="AZ205" i="34"/>
  <c r="BB205" i="34" s="1"/>
  <c r="AZ172" i="34"/>
  <c r="BB172" i="34" s="1"/>
  <c r="AZ221" i="34"/>
  <c r="BB221" i="34" s="1"/>
  <c r="BM236" i="38"/>
  <c r="BN236" i="38"/>
  <c r="BI184" i="38"/>
  <c r="BE177" i="38"/>
  <c r="BF177" i="38"/>
  <c r="BI216" i="38"/>
  <c r="BE209" i="38"/>
  <c r="BF209" i="38"/>
  <c r="BM225" i="38"/>
  <c r="BN225" i="38"/>
  <c r="BE163" i="38"/>
  <c r="BF163" i="38"/>
  <c r="BF189" i="38"/>
  <c r="BE189" i="38"/>
  <c r="BQ194" i="38"/>
  <c r="BM187" i="38"/>
  <c r="BN187" i="38"/>
  <c r="BE201" i="38"/>
  <c r="BF201" i="38"/>
  <c r="BQ240" i="38"/>
  <c r="BM233" i="38"/>
  <c r="BN233" i="38"/>
  <c r="BF174" i="38"/>
  <c r="BE174" i="38"/>
  <c r="BM199" i="38"/>
  <c r="BN199" i="38"/>
  <c r="D140" i="37"/>
  <c r="D141" i="37" s="1"/>
  <c r="D142" i="37" s="1"/>
  <c r="D143" i="37" s="1"/>
  <c r="D144" i="37" s="1"/>
  <c r="D145" i="37" s="1"/>
  <c r="D146" i="37" s="1"/>
  <c r="D147" i="37" s="1"/>
  <c r="D148" i="37" s="1"/>
  <c r="D149" i="37" s="1"/>
  <c r="D150" i="37" s="1"/>
  <c r="D151" i="37" s="1"/>
  <c r="D152" i="37" s="1"/>
  <c r="D153" i="37" s="1"/>
  <c r="D154" i="37" s="1"/>
  <c r="D155" i="37" s="1"/>
  <c r="D156" i="37" s="1"/>
  <c r="D157" i="37" s="1"/>
  <c r="D158" i="37" s="1"/>
  <c r="D159" i="37" s="1"/>
  <c r="D160" i="37" s="1"/>
  <c r="D161" i="37" s="1"/>
  <c r="D162" i="37" s="1"/>
  <c r="D163" i="37" s="1"/>
  <c r="D164" i="37" s="1"/>
  <c r="D165" i="37" s="1"/>
  <c r="D166" i="37" s="1"/>
  <c r="D167" i="37" s="1"/>
  <c r="D168" i="37" s="1"/>
  <c r="D169" i="37" s="1"/>
  <c r="D170" i="37" s="1"/>
  <c r="D171" i="37" s="1"/>
  <c r="D172" i="37" s="1"/>
  <c r="D173" i="37" s="1"/>
  <c r="D174" i="37" s="1"/>
  <c r="D175" i="37" s="1"/>
  <c r="D176" i="37" s="1"/>
  <c r="D177" i="37" s="1"/>
  <c r="D178" i="37" s="1"/>
  <c r="D179" i="37" s="1"/>
  <c r="D180" i="37" s="1"/>
  <c r="D181" i="37" s="1"/>
  <c r="D182" i="37" s="1"/>
  <c r="D183" i="37" s="1"/>
  <c r="D184" i="37" s="1"/>
  <c r="D185" i="37" s="1"/>
  <c r="D186" i="37" s="1"/>
  <c r="D187" i="37" s="1"/>
  <c r="D188" i="37" s="1"/>
  <c r="D189" i="37" s="1"/>
  <c r="D190" i="37" s="1"/>
  <c r="D191" i="37" s="1"/>
  <c r="D192" i="37" s="1"/>
  <c r="D193" i="37" s="1"/>
  <c r="D194" i="37" s="1"/>
  <c r="D195" i="37" s="1"/>
  <c r="D196" i="37" s="1"/>
  <c r="D197" i="37" s="1"/>
  <c r="D198" i="37" s="1"/>
  <c r="D199" i="37" s="1"/>
  <c r="D200" i="37" s="1"/>
  <c r="D201" i="37" s="1"/>
  <c r="D202" i="37" s="1"/>
  <c r="D203" i="37" s="1"/>
  <c r="D204" i="37" s="1"/>
  <c r="D205" i="37" s="1"/>
  <c r="D206" i="37" s="1"/>
  <c r="D207" i="37" s="1"/>
  <c r="D208" i="37" s="1"/>
  <c r="D209" i="37" s="1"/>
  <c r="D210" i="37" s="1"/>
  <c r="D211" i="37" s="1"/>
  <c r="D212" i="37" s="1"/>
  <c r="D213" i="37" s="1"/>
  <c r="D214" i="37" s="1"/>
  <c r="D215" i="37" s="1"/>
  <c r="D216" i="37" s="1"/>
  <c r="D217" i="37" s="1"/>
  <c r="D218" i="37" s="1"/>
  <c r="D219" i="37" s="1"/>
  <c r="D220" i="37" s="1"/>
  <c r="D221" i="37" s="1"/>
  <c r="D222" i="37" s="1"/>
  <c r="D223" i="37" s="1"/>
  <c r="D224" i="37" s="1"/>
  <c r="D225" i="37" s="1"/>
  <c r="D226" i="37" s="1"/>
  <c r="D227" i="37" s="1"/>
  <c r="D228" i="37" s="1"/>
  <c r="D229" i="37" s="1"/>
  <c r="D230" i="37" s="1"/>
  <c r="D231" i="37" s="1"/>
  <c r="D232" i="37" s="1"/>
  <c r="D233" i="37" s="1"/>
  <c r="D234" i="37" s="1"/>
  <c r="D235" i="37" s="1"/>
  <c r="D236" i="37" s="1"/>
  <c r="D237" i="37" s="1"/>
  <c r="D238" i="37" s="1"/>
  <c r="D239" i="37" s="1"/>
  <c r="D240" i="37" s="1"/>
  <c r="D241" i="37" s="1"/>
  <c r="D242" i="37" s="1"/>
  <c r="D243" i="37" s="1"/>
  <c r="D244" i="37" s="1"/>
  <c r="D245" i="37" s="1"/>
  <c r="D246" i="37" s="1"/>
  <c r="D247" i="37" s="1"/>
  <c r="D248" i="37" s="1"/>
  <c r="D249" i="37" s="1"/>
  <c r="D250" i="37" s="1"/>
  <c r="BQ193" i="37"/>
  <c r="BN186" i="37"/>
  <c r="BM186" i="37"/>
  <c r="BF200" i="37"/>
  <c r="BE200" i="37"/>
  <c r="BF214" i="37"/>
  <c r="BE214" i="37"/>
  <c r="BN115" i="37"/>
  <c r="BM115" i="37"/>
  <c r="BM230" i="37"/>
  <c r="BN230" i="37"/>
  <c r="BM122" i="37"/>
  <c r="BN122" i="37"/>
  <c r="BP187" i="37"/>
  <c r="BR187" i="37" s="1"/>
  <c r="BN180" i="37"/>
  <c r="BM180" i="37"/>
  <c r="BI111" i="37"/>
  <c r="BE104" i="37"/>
  <c r="BF104" i="37"/>
  <c r="BF217" i="37"/>
  <c r="BE217" i="37"/>
  <c r="BQ127" i="37"/>
  <c r="BM120" i="37"/>
  <c r="BN120" i="37"/>
  <c r="BF247" i="37"/>
  <c r="BE247" i="37"/>
  <c r="BH197" i="37"/>
  <c r="BJ197" i="37" s="1"/>
  <c r="BF190" i="37"/>
  <c r="BE190" i="37"/>
  <c r="BN195" i="37"/>
  <c r="BM195" i="37"/>
  <c r="BF220" i="37"/>
  <c r="BE220" i="37"/>
  <c r="AU104" i="37"/>
  <c r="BH200" i="37"/>
  <c r="BJ200" i="37" s="1"/>
  <c r="BF193" i="37"/>
  <c r="BE193" i="37"/>
  <c r="BE107" i="37"/>
  <c r="BF107" i="37"/>
  <c r="BQ223" i="37"/>
  <c r="BN216" i="37"/>
  <c r="BM216" i="37"/>
  <c r="BN125" i="37"/>
  <c r="BM125" i="37"/>
  <c r="BH244" i="37"/>
  <c r="BJ244" i="37" s="1"/>
  <c r="BF237" i="37"/>
  <c r="BE237" i="37"/>
  <c r="BN237" i="37"/>
  <c r="BM237" i="37"/>
  <c r="BI194" i="37"/>
  <c r="BF187" i="37"/>
  <c r="BE187" i="37"/>
  <c r="BN219" i="37"/>
  <c r="BM219" i="37"/>
  <c r="BQ112" i="37"/>
  <c r="BM105" i="37"/>
  <c r="BN105" i="37"/>
  <c r="BM126" i="37"/>
  <c r="BN126" i="37"/>
  <c r="BM233" i="37"/>
  <c r="BN233" i="37"/>
  <c r="BM206" i="37"/>
  <c r="BN206" i="37"/>
  <c r="BN243" i="37"/>
  <c r="BM243" i="37"/>
  <c r="BQ179" i="37"/>
  <c r="BN172" i="37"/>
  <c r="BM172" i="37"/>
  <c r="BM209" i="37"/>
  <c r="BN209" i="37"/>
  <c r="BQ186" i="37"/>
  <c r="BM179" i="37"/>
  <c r="BN179" i="37"/>
  <c r="BF223" i="37"/>
  <c r="BE223" i="37"/>
  <c r="BH113" i="37"/>
  <c r="BJ113" i="37" s="1"/>
  <c r="BE106" i="37"/>
  <c r="BF106" i="37"/>
  <c r="BP230" i="37"/>
  <c r="BR230" i="37" s="1"/>
  <c r="BN223" i="37"/>
  <c r="BM223" i="37"/>
  <c r="BI165" i="37"/>
  <c r="BE158" i="37"/>
  <c r="BF158" i="37"/>
  <c r="BF244" i="37"/>
  <c r="BE244" i="37"/>
  <c r="BI233" i="37"/>
  <c r="BE226" i="37"/>
  <c r="BF226" i="37"/>
  <c r="BF108" i="37"/>
  <c r="BE108" i="37"/>
  <c r="BN226" i="37"/>
  <c r="BM226" i="37"/>
  <c r="BF240" i="37"/>
  <c r="BE240" i="37"/>
  <c r="BM199" i="37"/>
  <c r="BN199" i="37"/>
  <c r="BF213" i="37"/>
  <c r="BE213" i="37"/>
  <c r="BP119" i="37"/>
  <c r="BR119" i="37" s="1"/>
  <c r="BN112" i="37"/>
  <c r="BM112" i="37"/>
  <c r="BQ236" i="37"/>
  <c r="BM229" i="37"/>
  <c r="BN229" i="37"/>
  <c r="AU129" i="37"/>
  <c r="BF179" i="37"/>
  <c r="BE179" i="37"/>
  <c r="BP209" i="37"/>
  <c r="BR209" i="37" s="1"/>
  <c r="BM202" i="37"/>
  <c r="BN202" i="37"/>
  <c r="BI223" i="37"/>
  <c r="BF216" i="37"/>
  <c r="BE216" i="37"/>
  <c r="BI108" i="37"/>
  <c r="BE101" i="37"/>
  <c r="BF101" i="37"/>
  <c r="BQ118" i="37"/>
  <c r="BM111" i="37"/>
  <c r="BN111" i="37"/>
  <c r="BI237" i="37"/>
  <c r="BE230" i="37"/>
  <c r="BF230" i="37"/>
  <c r="BM246" i="37"/>
  <c r="BN246" i="37"/>
  <c r="BH173" i="37"/>
  <c r="BJ173" i="37" s="1"/>
  <c r="BF166" i="37"/>
  <c r="BE166" i="37"/>
  <c r="BQ203" i="37"/>
  <c r="BM196" i="37"/>
  <c r="BN196" i="37"/>
  <c r="BE110" i="37"/>
  <c r="BF110" i="37"/>
  <c r="BF233" i="37"/>
  <c r="BE233" i="37"/>
  <c r="BH163" i="37"/>
  <c r="BJ163" i="37" s="1"/>
  <c r="BE156" i="37"/>
  <c r="BF156" i="37"/>
  <c r="BN176" i="37"/>
  <c r="BM176" i="37"/>
  <c r="BI213" i="37"/>
  <c r="BF206" i="37"/>
  <c r="BE206" i="37"/>
  <c r="BF157" i="37"/>
  <c r="BE157" i="37"/>
  <c r="BM114" i="37"/>
  <c r="BN114" i="37"/>
  <c r="BF236" i="37"/>
  <c r="BE236" i="37"/>
  <c r="BE209" i="37"/>
  <c r="BF209" i="37"/>
  <c r="BI172" i="37"/>
  <c r="BE165" i="37"/>
  <c r="BF165" i="37"/>
  <c r="BF111" i="37"/>
  <c r="BE111" i="37"/>
  <c r="BP239" i="37"/>
  <c r="BR239" i="37" s="1"/>
  <c r="BN232" i="37"/>
  <c r="BM232" i="37"/>
  <c r="BP124" i="37"/>
  <c r="BR124" i="37" s="1"/>
  <c r="BN117" i="37"/>
  <c r="BM117" i="37"/>
  <c r="BH210" i="37"/>
  <c r="BJ210" i="37" s="1"/>
  <c r="BF203" i="37"/>
  <c r="BE203" i="37"/>
  <c r="BM235" i="37"/>
  <c r="BN235" i="37"/>
  <c r="BH171" i="37"/>
  <c r="BJ171" i="37" s="1"/>
  <c r="BE164" i="37"/>
  <c r="BF164" i="37"/>
  <c r="BN249" i="37"/>
  <c r="BM249" i="37"/>
  <c r="BF183" i="37"/>
  <c r="BE183" i="37"/>
  <c r="BM211" i="37"/>
  <c r="BN211" i="37"/>
  <c r="BM222" i="37"/>
  <c r="BN222" i="37"/>
  <c r="Q228" i="22"/>
  <c r="Q100" i="22"/>
  <c r="Q123" i="22"/>
  <c r="N147" i="22"/>
  <c r="Q170" i="22"/>
  <c r="N194" i="22"/>
  <c r="Q217" i="22"/>
  <c r="Q240" i="22"/>
  <c r="Q112" i="22"/>
  <c r="N136" i="22"/>
  <c r="Q159" i="22"/>
  <c r="N183" i="22"/>
  <c r="Q206" i="22"/>
  <c r="N230" i="22"/>
  <c r="N102" i="22"/>
  <c r="N153" i="22"/>
  <c r="N233" i="22"/>
  <c r="N101" i="22"/>
  <c r="N161" i="22"/>
  <c r="Q220" i="22"/>
  <c r="Q243" i="22"/>
  <c r="Q115" i="22"/>
  <c r="N139" i="22"/>
  <c r="Q162" i="22"/>
  <c r="N186" i="22"/>
  <c r="Q209" i="22"/>
  <c r="Q232" i="22"/>
  <c r="Q104" i="22"/>
  <c r="N128" i="22"/>
  <c r="Q151" i="22"/>
  <c r="N175" i="22"/>
  <c r="Q198" i="22"/>
  <c r="N222" i="22"/>
  <c r="Q197" i="22"/>
  <c r="N132" i="22"/>
  <c r="N212" i="22"/>
  <c r="Q221" i="22"/>
  <c r="N140" i="22"/>
  <c r="Q212" i="22"/>
  <c r="Q235" i="22"/>
  <c r="Q107" i="22"/>
  <c r="N131" i="22"/>
  <c r="Q154" i="22"/>
  <c r="N178" i="22"/>
  <c r="Q201" i="22"/>
  <c r="Q224" i="22"/>
  <c r="N248" i="22"/>
  <c r="N120" i="22"/>
  <c r="Q143" i="22"/>
  <c r="N167" i="22"/>
  <c r="Q190" i="22"/>
  <c r="N214" i="22"/>
  <c r="Q133" i="22"/>
  <c r="N109" i="22"/>
  <c r="N189" i="22"/>
  <c r="Q157" i="22"/>
  <c r="N117" i="22"/>
  <c r="Q204" i="22"/>
  <c r="Q227" i="22"/>
  <c r="N123" i="22"/>
  <c r="Q146" i="22"/>
  <c r="N170" i="22"/>
  <c r="Q193" i="22"/>
  <c r="Q216" i="22"/>
  <c r="N240" i="22"/>
  <c r="N112" i="22"/>
  <c r="Q135" i="22"/>
  <c r="N159" i="22"/>
  <c r="Q182" i="22"/>
  <c r="N206" i="22"/>
  <c r="N241" i="22"/>
  <c r="Q245" i="22"/>
  <c r="N169" i="22"/>
  <c r="N249" i="22"/>
  <c r="Q141" i="22"/>
  <c r="Q196" i="22"/>
  <c r="Q219" i="22"/>
  <c r="N243" i="22"/>
  <c r="N115" i="22"/>
  <c r="Q138" i="22"/>
  <c r="N162" i="22"/>
  <c r="Q185" i="22"/>
  <c r="Q208" i="22"/>
  <c r="N232" i="22"/>
  <c r="N104" i="22"/>
  <c r="Q127" i="22"/>
  <c r="N151" i="22"/>
  <c r="Q174" i="22"/>
  <c r="N198" i="22"/>
  <c r="N220" i="22"/>
  <c r="Q181" i="22"/>
  <c r="N148" i="22"/>
  <c r="N228" i="22"/>
  <c r="N244" i="22"/>
  <c r="Q188" i="22"/>
  <c r="Q211" i="22"/>
  <c r="N235" i="22"/>
  <c r="N107" i="22"/>
  <c r="Q130" i="22"/>
  <c r="N154" i="22"/>
  <c r="Q177" i="22"/>
  <c r="Q200" i="22"/>
  <c r="N224" i="22"/>
  <c r="Q247" i="22"/>
  <c r="Q119" i="22"/>
  <c r="N143" i="22"/>
  <c r="Q166" i="22"/>
  <c r="N190" i="22"/>
  <c r="N197" i="22"/>
  <c r="Q117" i="22"/>
  <c r="N125" i="22"/>
  <c r="N205" i="22"/>
  <c r="N221" i="22"/>
  <c r="Q180" i="22"/>
  <c r="Q203" i="22"/>
  <c r="N227" i="22"/>
  <c r="Q250" i="22"/>
  <c r="Q122" i="22"/>
  <c r="N146" i="22"/>
  <c r="Q169" i="22"/>
  <c r="Q192" i="22"/>
  <c r="N216" i="22"/>
  <c r="Q239" i="22"/>
  <c r="Q111" i="22"/>
  <c r="N135" i="22"/>
  <c r="Q158" i="22"/>
  <c r="N182" i="22"/>
  <c r="N177" i="22"/>
  <c r="N236" i="22"/>
  <c r="N105" i="22"/>
  <c r="N185" i="22"/>
  <c r="N201" i="22"/>
  <c r="Q172" i="22"/>
  <c r="Q195" i="22"/>
  <c r="N219" i="22"/>
  <c r="Q242" i="22"/>
  <c r="Q114" i="22"/>
  <c r="N138" i="22"/>
  <c r="Q161" i="22"/>
  <c r="Q184" i="22"/>
  <c r="N208" i="22"/>
  <c r="Q231" i="22"/>
  <c r="Q103" i="22"/>
  <c r="N127" i="22"/>
  <c r="Q150" i="22"/>
  <c r="N174" i="22"/>
  <c r="N156" i="22"/>
  <c r="N213" i="22"/>
  <c r="Q229" i="22"/>
  <c r="N164" i="22"/>
  <c r="N180" i="22"/>
  <c r="Q164" i="22"/>
  <c r="Q187" i="22"/>
  <c r="N211" i="22"/>
  <c r="Q234" i="22"/>
  <c r="Q106" i="22"/>
  <c r="N130" i="22"/>
  <c r="Q153" i="22"/>
  <c r="Q176" i="22"/>
  <c r="N200" i="22"/>
  <c r="Q223" i="22"/>
  <c r="N247" i="22"/>
  <c r="N119" i="22"/>
  <c r="Q142" i="22"/>
  <c r="N166" i="22"/>
  <c r="N133" i="22"/>
  <c r="N193" i="22"/>
  <c r="Q165" i="22"/>
  <c r="N141" i="22"/>
  <c r="N157" i="22"/>
  <c r="Q156" i="22"/>
  <c r="Q179" i="22"/>
  <c r="N203" i="22"/>
  <c r="Q226" i="22"/>
  <c r="N250" i="22"/>
  <c r="N122" i="22"/>
  <c r="Q145" i="22"/>
  <c r="Q168" i="22"/>
  <c r="N192" i="22"/>
  <c r="Q215" i="22"/>
  <c r="N239" i="22"/>
  <c r="N111" i="22"/>
  <c r="Q134" i="22"/>
  <c r="N158" i="22"/>
  <c r="N113" i="22"/>
  <c r="N172" i="22"/>
  <c r="Q101" i="22"/>
  <c r="N121" i="22"/>
  <c r="N137" i="22"/>
  <c r="Q148" i="22"/>
  <c r="Q171" i="22"/>
  <c r="N195" i="22"/>
  <c r="Q218" i="22"/>
  <c r="N242" i="22"/>
  <c r="N114" i="22"/>
  <c r="Q137" i="22"/>
  <c r="Q160" i="22"/>
  <c r="N184" i="22"/>
  <c r="Q207" i="22"/>
  <c r="N231" i="22"/>
  <c r="N103" i="22"/>
  <c r="Q126" i="22"/>
  <c r="N150" i="22"/>
  <c r="Q189" i="22"/>
  <c r="N149" i="22"/>
  <c r="N229" i="22"/>
  <c r="Q213" i="22"/>
  <c r="Q205" i="22"/>
  <c r="Q140" i="22"/>
  <c r="Q163" i="22"/>
  <c r="N187" i="22"/>
  <c r="Q210" i="22"/>
  <c r="N234" i="22"/>
  <c r="N106" i="22"/>
  <c r="Q129" i="22"/>
  <c r="Q152" i="22"/>
  <c r="N176" i="22"/>
  <c r="Q199" i="22"/>
  <c r="N223" i="22"/>
  <c r="Q246" i="22"/>
  <c r="Q118" i="22"/>
  <c r="N142" i="22"/>
  <c r="Q125" i="22"/>
  <c r="N129" i="22"/>
  <c r="N209" i="22"/>
  <c r="Q149" i="22"/>
  <c r="N116" i="22"/>
  <c r="Q132" i="22"/>
  <c r="Q155" i="22"/>
  <c r="N179" i="22"/>
  <c r="Q202" i="22"/>
  <c r="N226" i="22"/>
  <c r="Q249" i="22"/>
  <c r="Q121" i="22"/>
  <c r="Q144" i="22"/>
  <c r="N168" i="22"/>
  <c r="Q191" i="22"/>
  <c r="N215" i="22"/>
  <c r="Q238" i="22"/>
  <c r="Q110" i="22"/>
  <c r="N134" i="22"/>
  <c r="N237" i="22"/>
  <c r="N108" i="22"/>
  <c r="N188" i="22"/>
  <c r="N245" i="22"/>
  <c r="Q124" i="22"/>
  <c r="Q147" i="22"/>
  <c r="N171" i="22"/>
  <c r="Q194" i="22"/>
  <c r="N218" i="22"/>
  <c r="Q241" i="22"/>
  <c r="Q113" i="22"/>
  <c r="Q136" i="22"/>
  <c r="N160" i="22"/>
  <c r="Q183" i="22"/>
  <c r="N207" i="22"/>
  <c r="Q230" i="22"/>
  <c r="Q102" i="22"/>
  <c r="N126" i="22"/>
  <c r="N217" i="22"/>
  <c r="Q237" i="22"/>
  <c r="N165" i="22"/>
  <c r="N225" i="22"/>
  <c r="Q244" i="22"/>
  <c r="Q116" i="22"/>
  <c r="Q139" i="22"/>
  <c r="N163" i="22"/>
  <c r="Q186" i="22"/>
  <c r="N210" i="22"/>
  <c r="Q233" i="22"/>
  <c r="Q105" i="22"/>
  <c r="Q128" i="22"/>
  <c r="N152" i="22"/>
  <c r="Q175" i="22"/>
  <c r="N199" i="22"/>
  <c r="Q222" i="22"/>
  <c r="N246" i="22"/>
  <c r="N118" i="22"/>
  <c r="N196" i="22"/>
  <c r="Q173" i="22"/>
  <c r="N145" i="22"/>
  <c r="N204" i="22"/>
  <c r="Q236" i="22"/>
  <c r="Q108" i="22"/>
  <c r="Q131" i="22"/>
  <c r="N155" i="22"/>
  <c r="Q178" i="22"/>
  <c r="N202" i="22"/>
  <c r="Q225" i="22"/>
  <c r="Q248" i="22"/>
  <c r="Q120" i="22"/>
  <c r="N144" i="22"/>
  <c r="Q167" i="22"/>
  <c r="N191" i="22"/>
  <c r="Q214" i="22"/>
  <c r="N238" i="22"/>
  <c r="N110" i="22"/>
  <c r="N173" i="22"/>
  <c r="Q109" i="22"/>
  <c r="N124" i="22"/>
  <c r="N181" i="22"/>
  <c r="BN188" i="37"/>
  <c r="BM188" i="37"/>
  <c r="BN102" i="37"/>
  <c r="BM102" i="37"/>
  <c r="BP232" i="37"/>
  <c r="BR232" i="37" s="1"/>
  <c r="BN225" i="37"/>
  <c r="BM225" i="37"/>
  <c r="BF239" i="37"/>
  <c r="BE239" i="37"/>
  <c r="BP246" i="37"/>
  <c r="BR246" i="37" s="1"/>
  <c r="BM239" i="37"/>
  <c r="BN239" i="37"/>
  <c r="BH180" i="37"/>
  <c r="BJ180" i="37" s="1"/>
  <c r="BE173" i="37"/>
  <c r="BF173" i="37"/>
  <c r="BN173" i="37"/>
  <c r="BM173" i="37"/>
  <c r="BF242" i="37"/>
  <c r="BE242" i="37"/>
  <c r="BP249" i="37"/>
  <c r="BR249" i="37" s="1"/>
  <c r="BN242" i="37"/>
  <c r="BM242" i="37"/>
  <c r="BN169" i="37"/>
  <c r="BM169" i="37"/>
  <c r="BM215" i="37"/>
  <c r="BN215" i="37"/>
  <c r="CG100" i="37"/>
  <c r="CG113" i="37"/>
  <c r="CG115" i="37"/>
  <c r="CG111" i="37"/>
  <c r="CG119" i="37"/>
  <c r="CG102" i="37"/>
  <c r="CG107" i="37"/>
  <c r="CG104" i="37"/>
  <c r="CG103" i="37"/>
  <c r="CG110" i="37"/>
  <c r="CG248" i="37"/>
  <c r="CG224" i="37"/>
  <c r="CG219" i="37"/>
  <c r="CG236" i="37"/>
  <c r="CG211" i="37"/>
  <c r="CG188" i="37"/>
  <c r="CG210" i="37"/>
  <c r="CG191" i="37"/>
  <c r="CG112" i="37"/>
  <c r="CG234" i="37"/>
  <c r="CG229" i="37"/>
  <c r="CG222" i="37"/>
  <c r="CG196" i="37"/>
  <c r="CG176" i="37"/>
  <c r="CG101" i="37"/>
  <c r="CG245" i="37"/>
  <c r="CG206" i="37"/>
  <c r="CG151" i="37"/>
  <c r="CG137" i="37"/>
  <c r="CG125" i="37"/>
  <c r="CG187" i="37"/>
  <c r="CG218" i="37"/>
  <c r="CG243" i="37"/>
  <c r="CG241" i="37"/>
  <c r="CG226" i="37"/>
  <c r="CG147" i="37"/>
  <c r="CG163" i="37"/>
  <c r="CG135" i="37"/>
  <c r="CG121" i="37"/>
  <c r="CG109" i="37"/>
  <c r="CG239" i="37"/>
  <c r="CG237" i="37"/>
  <c r="CG145" i="37"/>
  <c r="CG162" i="37"/>
  <c r="CG133" i="37"/>
  <c r="CG116" i="37"/>
  <c r="CG235" i="37"/>
  <c r="CG233" i="37"/>
  <c r="CG170" i="37"/>
  <c r="CG143" i="37"/>
  <c r="CG204" i="37"/>
  <c r="CG190" i="37"/>
  <c r="CG168" i="37"/>
  <c r="CG175" i="37"/>
  <c r="CG167" i="37"/>
  <c r="CG174" i="37"/>
  <c r="CG156" i="37"/>
  <c r="CG127" i="37"/>
  <c r="CG132" i="37"/>
  <c r="CG186" i="37"/>
  <c r="CG166" i="37"/>
  <c r="CG173" i="37"/>
  <c r="CG154" i="37"/>
  <c r="CG130" i="37"/>
  <c r="CG106" i="37"/>
  <c r="CG114" i="37"/>
  <c r="CG231" i="37"/>
  <c r="CG184" i="37"/>
  <c r="CG195" i="37"/>
  <c r="CG171" i="37"/>
  <c r="CG152" i="37"/>
  <c r="CG128" i="37"/>
  <c r="CG217" i="37"/>
  <c r="CG182" i="37"/>
  <c r="CG194" i="37"/>
  <c r="CG250" i="37"/>
  <c r="CG247" i="37"/>
  <c r="CG221" i="37"/>
  <c r="CG216" i="37"/>
  <c r="CG209" i="37"/>
  <c r="CG180" i="37"/>
  <c r="CG148" i="37"/>
  <c r="CG142" i="37"/>
  <c r="CG220" i="37"/>
  <c r="CG215" i="37"/>
  <c r="CG203" i="37"/>
  <c r="CG202" i="37"/>
  <c r="CG178" i="37"/>
  <c r="CG183" i="37"/>
  <c r="CG161" i="37"/>
  <c r="CG146" i="37"/>
  <c r="CG124" i="37"/>
  <c r="CG118" i="37"/>
  <c r="CG242" i="37"/>
  <c r="CG228" i="37"/>
  <c r="CG213" i="37"/>
  <c r="CG201" i="37"/>
  <c r="CG200" i="37"/>
  <c r="CG246" i="37"/>
  <c r="CG232" i="37"/>
  <c r="CG212" i="37"/>
  <c r="CG208" i="37"/>
  <c r="CG197" i="37"/>
  <c r="CG185" i="37"/>
  <c r="CG155" i="37"/>
  <c r="CG164" i="37"/>
  <c r="CG138" i="37"/>
  <c r="CG240" i="37"/>
  <c r="CG230" i="37"/>
  <c r="CG227" i="37"/>
  <c r="CG225" i="37"/>
  <c r="CG207" i="37"/>
  <c r="CG153" i="37"/>
  <c r="CG141" i="37"/>
  <c r="CG117" i="37"/>
  <c r="CG134" i="37"/>
  <c r="CG205" i="37"/>
  <c r="CG193" i="37"/>
  <c r="CG179" i="37"/>
  <c r="CG157" i="37"/>
  <c r="CG199" i="37"/>
  <c r="CG172" i="37"/>
  <c r="CG160" i="37"/>
  <c r="CG139" i="37"/>
  <c r="CG158" i="37"/>
  <c r="CG123" i="37"/>
  <c r="CG198" i="37"/>
  <c r="CG159" i="37"/>
  <c r="CG150" i="37"/>
  <c r="CG140" i="37"/>
  <c r="CG192" i="37"/>
  <c r="CG149" i="37"/>
  <c r="CG165" i="37"/>
  <c r="CG126" i="37"/>
  <c r="CG181" i="37"/>
  <c r="CG238" i="37"/>
  <c r="CG105" i="37"/>
  <c r="CG249" i="37"/>
  <c r="CG136" i="37"/>
  <c r="CG169" i="37"/>
  <c r="CG122" i="37"/>
  <c r="CG108" i="37"/>
  <c r="CG244" i="37"/>
  <c r="CG189" i="37"/>
  <c r="CG177" i="37"/>
  <c r="CG120" i="37"/>
  <c r="CG214" i="37"/>
  <c r="CG131" i="37"/>
  <c r="CG223" i="37"/>
  <c r="CG129" i="37"/>
  <c r="CG144" i="37"/>
  <c r="BF229" i="37"/>
  <c r="BE229" i="37"/>
  <c r="BE154" i="37"/>
  <c r="BF154" i="37"/>
  <c r="BM245" i="37"/>
  <c r="BN245" i="37"/>
  <c r="BI202" i="37"/>
  <c r="BF195" i="37"/>
  <c r="BE195" i="37"/>
  <c r="BN218" i="37"/>
  <c r="BM218" i="37"/>
  <c r="BQ116" i="37"/>
  <c r="BM109" i="37"/>
  <c r="BN109" i="37"/>
  <c r="BF232" i="37"/>
  <c r="BE232" i="37"/>
  <c r="BE155" i="37"/>
  <c r="BF155" i="37"/>
  <c r="BF246" i="37"/>
  <c r="BE246" i="37"/>
  <c r="BF180" i="37"/>
  <c r="BE180" i="37"/>
  <c r="BM212" i="37"/>
  <c r="BN212" i="37"/>
  <c r="BF161" i="37"/>
  <c r="BE161" i="37"/>
  <c r="BE249" i="37"/>
  <c r="BF249" i="37"/>
  <c r="BE176" i="37"/>
  <c r="BF176" i="37"/>
  <c r="BN192" i="37"/>
  <c r="BM192" i="37"/>
  <c r="BI229" i="37"/>
  <c r="BF222" i="37"/>
  <c r="BE222" i="37"/>
  <c r="BF112" i="37"/>
  <c r="BE112" i="37"/>
  <c r="BH169" i="37"/>
  <c r="BJ169" i="37" s="1"/>
  <c r="BE162" i="37"/>
  <c r="BF162" i="37"/>
  <c r="AN103" i="39"/>
  <c r="AO103" i="39" s="1"/>
  <c r="AP103" i="39" s="1"/>
  <c r="BQ114" i="37"/>
  <c r="BM107" i="37"/>
  <c r="BN107" i="37"/>
  <c r="BF225" i="37"/>
  <c r="BE225" i="37"/>
  <c r="BP126" i="37"/>
  <c r="BR126" i="37" s="1"/>
  <c r="BN119" i="37"/>
  <c r="BM119" i="37"/>
  <c r="BM248" i="37"/>
  <c r="BN248" i="37"/>
  <c r="BF163" i="37"/>
  <c r="BE163" i="37"/>
  <c r="BM182" i="37"/>
  <c r="BN182" i="37"/>
  <c r="BH226" i="37"/>
  <c r="BJ226" i="37" s="1"/>
  <c r="BF219" i="37"/>
  <c r="BE219" i="37"/>
  <c r="BH176" i="37"/>
  <c r="BJ176" i="37" s="1"/>
  <c r="BF169" i="37"/>
  <c r="BE169" i="37"/>
  <c r="BF199" i="37"/>
  <c r="BE199" i="37"/>
  <c r="BQ123" i="37"/>
  <c r="BM116" i="37"/>
  <c r="BN116" i="37"/>
  <c r="BN238" i="37"/>
  <c r="BM238" i="37"/>
  <c r="BH179" i="37"/>
  <c r="BJ179" i="37" s="1"/>
  <c r="BE172" i="37"/>
  <c r="BF172" i="37"/>
  <c r="BN204" i="37"/>
  <c r="BM204" i="37"/>
  <c r="BE109" i="37"/>
  <c r="BF109" i="37"/>
  <c r="BM127" i="37"/>
  <c r="BN127" i="37"/>
  <c r="BN241" i="37"/>
  <c r="BM241" i="37"/>
  <c r="BN168" i="37"/>
  <c r="BM168" i="37"/>
  <c r="BH196" i="37"/>
  <c r="BJ196" i="37" s="1"/>
  <c r="BE189" i="37"/>
  <c r="BF189" i="37"/>
  <c r="BQ196" i="37"/>
  <c r="BN189" i="37"/>
  <c r="BM189" i="37"/>
  <c r="BN171" i="37"/>
  <c r="BM171" i="37"/>
  <c r="BQ192" i="37"/>
  <c r="BN185" i="37"/>
  <c r="BM185" i="37"/>
  <c r="BH110" i="37"/>
  <c r="BJ110" i="37" s="1"/>
  <c r="BE103" i="37"/>
  <c r="BF103" i="37"/>
  <c r="BN231" i="37"/>
  <c r="BM231" i="37"/>
  <c r="BF245" i="37"/>
  <c r="BE245" i="37"/>
  <c r="BQ101" i="30"/>
  <c r="BI100" i="30"/>
  <c r="BP101" i="30"/>
  <c r="BR101" i="30" s="1"/>
  <c r="BQ102" i="30"/>
  <c r="BI101" i="30"/>
  <c r="BQ104" i="30"/>
  <c r="BI102" i="30"/>
  <c r="BH102" i="30"/>
  <c r="BJ102" i="30" s="1"/>
  <c r="BQ106" i="30"/>
  <c r="BI105" i="30"/>
  <c r="BH105" i="30"/>
  <c r="BJ105" i="30" s="1"/>
  <c r="BP100" i="30"/>
  <c r="BR100" i="30" s="1"/>
  <c r="BA200" i="30"/>
  <c r="BA180" i="30"/>
  <c r="BA190" i="30"/>
  <c r="BA163" i="30"/>
  <c r="AZ177" i="30"/>
  <c r="BB177" i="30" s="1"/>
  <c r="BA167" i="30"/>
  <c r="BA171" i="30"/>
  <c r="BA162" i="30"/>
  <c r="BA206" i="30"/>
  <c r="BQ124" i="30"/>
  <c r="BA173" i="30"/>
  <c r="AZ149" i="30"/>
  <c r="BB149" i="30" s="1"/>
  <c r="BA196" i="30"/>
  <c r="AZ222" i="30"/>
  <c r="BB222" i="30" s="1"/>
  <c r="BA182" i="30"/>
  <c r="AZ140" i="30"/>
  <c r="BB140" i="30" s="1"/>
  <c r="AZ164" i="30"/>
  <c r="BB164" i="30" s="1"/>
  <c r="BA166" i="30"/>
  <c r="AZ173" i="30"/>
  <c r="BB173" i="30" s="1"/>
  <c r="AZ212" i="30"/>
  <c r="BB212" i="30" s="1"/>
  <c r="BA189" i="30"/>
  <c r="AZ186" i="30"/>
  <c r="BB186" i="30" s="1"/>
  <c r="AZ199" i="30"/>
  <c r="BB199" i="30" s="1"/>
  <c r="AZ137" i="30"/>
  <c r="BB137" i="30" s="1"/>
  <c r="BA238" i="30"/>
  <c r="AZ190" i="30"/>
  <c r="BB190" i="30" s="1"/>
  <c r="AZ144" i="30"/>
  <c r="BB144" i="30" s="1"/>
  <c r="AZ136" i="30"/>
  <c r="BB136" i="30" s="1"/>
  <c r="AZ161" i="30"/>
  <c r="BB161" i="30" s="1"/>
  <c r="AZ159" i="30"/>
  <c r="BB159" i="30" s="1"/>
  <c r="AZ217" i="30"/>
  <c r="BB217" i="30" s="1"/>
  <c r="AZ215" i="30"/>
  <c r="BB215" i="30" s="1"/>
  <c r="BP183" i="30"/>
  <c r="BR183" i="30" s="1"/>
  <c r="BA193" i="30"/>
  <c r="AZ246" i="30"/>
  <c r="BB246" i="30" s="1"/>
  <c r="BA177" i="30"/>
  <c r="AZ182" i="30"/>
  <c r="BB182" i="30" s="1"/>
  <c r="BA219" i="30"/>
  <c r="BA231" i="30"/>
  <c r="AZ245" i="30"/>
  <c r="BB245" i="30" s="1"/>
  <c r="AZ163" i="30"/>
  <c r="BB163" i="30" s="1"/>
  <c r="BA198" i="30"/>
  <c r="AZ237" i="30"/>
  <c r="BB237" i="30" s="1"/>
  <c r="BA235" i="30"/>
  <c r="AZ133" i="30"/>
  <c r="BB133" i="30" s="1"/>
  <c r="BA247" i="30"/>
  <c r="BA211" i="30"/>
  <c r="AZ249" i="30"/>
  <c r="BB249" i="30" s="1"/>
  <c r="BA188" i="30"/>
  <c r="AZ128" i="30"/>
  <c r="BB128" i="30" s="1"/>
  <c r="BA213" i="30"/>
  <c r="BA159" i="30"/>
  <c r="AZ189" i="30"/>
  <c r="BB189" i="30" s="1"/>
  <c r="AZ214" i="30"/>
  <c r="BB214" i="30" s="1"/>
  <c r="BA155" i="30"/>
  <c r="BA249" i="30"/>
  <c r="BA142" i="30"/>
  <c r="BA245" i="30"/>
  <c r="BA129" i="30"/>
  <c r="BA236" i="30"/>
  <c r="AZ208" i="30"/>
  <c r="BB208" i="30" s="1"/>
  <c r="BA209" i="30"/>
  <c r="AZ230" i="30"/>
  <c r="BB230" i="30" s="1"/>
  <c r="BA131" i="30"/>
  <c r="BA243" i="30"/>
  <c r="BA140" i="30"/>
  <c r="AZ250" i="30"/>
  <c r="BB250" i="30" s="1"/>
  <c r="AZ142" i="30"/>
  <c r="BB142" i="30" s="1"/>
  <c r="AZ207" i="30"/>
  <c r="BB207" i="30" s="1"/>
  <c r="BQ112" i="30"/>
  <c r="BA192" i="30"/>
  <c r="AZ188" i="30"/>
  <c r="BB188" i="30" s="1"/>
  <c r="AZ248" i="30"/>
  <c r="BB248" i="30" s="1"/>
  <c r="BA225" i="30"/>
  <c r="AZ132" i="30"/>
  <c r="BB132" i="30" s="1"/>
  <c r="BA178" i="30"/>
  <c r="BA208" i="30"/>
  <c r="AZ153" i="30"/>
  <c r="BB153" i="30" s="1"/>
  <c r="AZ180" i="30"/>
  <c r="BB180" i="30" s="1"/>
  <c r="BA146" i="30"/>
  <c r="AZ223" i="30"/>
  <c r="BB223" i="30" s="1"/>
  <c r="BA130" i="30"/>
  <c r="BA194" i="30"/>
  <c r="AZ169" i="30"/>
  <c r="BB169" i="30" s="1"/>
  <c r="AZ167" i="30"/>
  <c r="BB167" i="30" s="1"/>
  <c r="BA204" i="30"/>
  <c r="BA170" i="30"/>
  <c r="BA132" i="30"/>
  <c r="AZ130" i="30"/>
  <c r="BB130" i="30" s="1"/>
  <c r="BA128" i="30"/>
  <c r="AZ131" i="30"/>
  <c r="BB131" i="30" s="1"/>
  <c r="BQ170" i="30"/>
  <c r="BA210" i="30"/>
  <c r="AZ224" i="30"/>
  <c r="BB224" i="30" s="1"/>
  <c r="BA186" i="30"/>
  <c r="AZ151" i="30"/>
  <c r="BB151" i="30" s="1"/>
  <c r="AZ158" i="30"/>
  <c r="BB158" i="30" s="1"/>
  <c r="BA184" i="30"/>
  <c r="AZ171" i="30"/>
  <c r="BB171" i="30" s="1"/>
  <c r="BA226" i="30"/>
  <c r="AZ183" i="30"/>
  <c r="BB183" i="30" s="1"/>
  <c r="AZ236" i="30"/>
  <c r="BB236" i="30" s="1"/>
  <c r="BA202" i="30"/>
  <c r="BA133" i="30"/>
  <c r="BA160" i="30"/>
  <c r="AZ162" i="30"/>
  <c r="BB162" i="30" s="1"/>
  <c r="AZ247" i="30"/>
  <c r="BB247" i="30" s="1"/>
  <c r="AZ156" i="30"/>
  <c r="BB156" i="30" s="1"/>
  <c r="AZ143" i="30"/>
  <c r="BB143" i="30" s="1"/>
  <c r="BP170" i="30"/>
  <c r="BR170" i="30" s="1"/>
  <c r="BA176" i="30"/>
  <c r="BA216" i="30"/>
  <c r="BA250" i="30"/>
  <c r="BA156" i="30"/>
  <c r="BA144" i="30"/>
  <c r="AZ145" i="30"/>
  <c r="BB145" i="30" s="1"/>
  <c r="AZ194" i="30"/>
  <c r="BB194" i="30" s="1"/>
  <c r="BA218" i="30"/>
  <c r="BA147" i="30"/>
  <c r="BA175" i="30"/>
  <c r="AZ176" i="30"/>
  <c r="BB176" i="30" s="1"/>
  <c r="BA183" i="30"/>
  <c r="BA205" i="30"/>
  <c r="BA201" i="30"/>
  <c r="AZ210" i="30"/>
  <c r="BB210" i="30" s="1"/>
  <c r="AZ218" i="30"/>
  <c r="BB218" i="30" s="1"/>
  <c r="AZ225" i="30"/>
  <c r="BB225" i="30" s="1"/>
  <c r="AZ154" i="30"/>
  <c r="BB154" i="30" s="1"/>
  <c r="BA153" i="30"/>
  <c r="AZ175" i="30"/>
  <c r="BB175" i="30" s="1"/>
  <c r="BP182" i="30"/>
  <c r="BR182" i="30" s="1"/>
  <c r="AZ197" i="30"/>
  <c r="BB197" i="30" s="1"/>
  <c r="BA207" i="30"/>
  <c r="AZ198" i="30"/>
  <c r="BB198" i="30" s="1"/>
  <c r="AZ243" i="30"/>
  <c r="BB243" i="30" s="1"/>
  <c r="BH229" i="30"/>
  <c r="BJ229" i="30" s="1"/>
  <c r="BA150" i="30"/>
  <c r="BA154" i="30"/>
  <c r="AZ155" i="30"/>
  <c r="BB155" i="30" s="1"/>
  <c r="AZ201" i="30"/>
  <c r="BB201" i="30" s="1"/>
  <c r="AZ209" i="30"/>
  <c r="BB209" i="30" s="1"/>
  <c r="AZ219" i="30"/>
  <c r="BB219" i="30" s="1"/>
  <c r="BA227" i="30"/>
  <c r="BA234" i="30"/>
  <c r="BA242" i="30"/>
  <c r="AZ129" i="30"/>
  <c r="BB129" i="30" s="1"/>
  <c r="BA158" i="30"/>
  <c r="BA185" i="30"/>
  <c r="AZ203" i="30"/>
  <c r="BB203" i="30" s="1"/>
  <c r="BA214" i="30"/>
  <c r="AZ227" i="30"/>
  <c r="BB227" i="30" s="1"/>
  <c r="AZ234" i="30"/>
  <c r="BB234" i="30" s="1"/>
  <c r="BA244" i="30"/>
  <c r="BA239" i="30"/>
  <c r="AZ238" i="30"/>
  <c r="BB238" i="30" s="1"/>
  <c r="AZ150" i="30"/>
  <c r="BB150" i="30" s="1"/>
  <c r="BA137" i="30"/>
  <c r="BA174" i="30"/>
  <c r="BQ196" i="30"/>
  <c r="AZ185" i="30"/>
  <c r="BB185" i="30" s="1"/>
  <c r="AZ184" i="30"/>
  <c r="BB184" i="30" s="1"/>
  <c r="AZ205" i="30"/>
  <c r="BB205" i="30" s="1"/>
  <c r="AZ200" i="30"/>
  <c r="BB200" i="30" s="1"/>
  <c r="AZ244" i="30"/>
  <c r="BB244" i="30" s="1"/>
  <c r="AZ239" i="30"/>
  <c r="BB239" i="30" s="1"/>
  <c r="AZ242" i="30"/>
  <c r="BB242" i="30" s="1"/>
  <c r="BA135" i="30"/>
  <c r="BA138" i="30"/>
  <c r="AZ170" i="30"/>
  <c r="BB170" i="30" s="1"/>
  <c r="BP196" i="30"/>
  <c r="BR196" i="30" s="1"/>
  <c r="AZ196" i="30"/>
  <c r="BB196" i="30" s="1"/>
  <c r="BA220" i="30"/>
  <c r="BI215" i="30"/>
  <c r="BA228" i="30"/>
  <c r="BA229" i="30"/>
  <c r="BA240" i="30"/>
  <c r="AZ226" i="30"/>
  <c r="BB226" i="30" s="1"/>
  <c r="AZ135" i="30"/>
  <c r="BB135" i="30" s="1"/>
  <c r="AZ174" i="30"/>
  <c r="BB174" i="30" s="1"/>
  <c r="AZ166" i="30"/>
  <c r="BB166" i="30" s="1"/>
  <c r="BA199" i="30"/>
  <c r="AZ191" i="30"/>
  <c r="BB191" i="30" s="1"/>
  <c r="AZ220" i="30"/>
  <c r="BB220" i="30" s="1"/>
  <c r="BA212" i="30"/>
  <c r="AZ202" i="30"/>
  <c r="BB202" i="30" s="1"/>
  <c r="BA222" i="30"/>
  <c r="BI229" i="30"/>
  <c r="AZ229" i="30"/>
  <c r="BB229" i="30" s="1"/>
  <c r="AZ240" i="30"/>
  <c r="BB240" i="30" s="1"/>
  <c r="BA233" i="30"/>
  <c r="AZ134" i="30"/>
  <c r="BB134" i="30" s="1"/>
  <c r="AZ146" i="30"/>
  <c r="BB146" i="30" s="1"/>
  <c r="BH145" i="30"/>
  <c r="BJ145" i="30" s="1"/>
  <c r="AZ147" i="30"/>
  <c r="BB147" i="30" s="1"/>
  <c r="BA181" i="30"/>
  <c r="BA161" i="30"/>
  <c r="AZ213" i="30"/>
  <c r="BB213" i="30" s="1"/>
  <c r="BA241" i="30"/>
  <c r="BA164" i="30"/>
  <c r="BA151" i="30"/>
  <c r="BA149" i="30"/>
  <c r="AZ181" i="30"/>
  <c r="BB181" i="30" s="1"/>
  <c r="AZ178" i="30"/>
  <c r="BB178" i="30" s="1"/>
  <c r="BH184" i="30"/>
  <c r="BJ184" i="30" s="1"/>
  <c r="AZ204" i="30"/>
  <c r="BB204" i="30" s="1"/>
  <c r="BA223" i="30"/>
  <c r="BA237" i="30"/>
  <c r="AZ138" i="30"/>
  <c r="BB138" i="30" s="1"/>
  <c r="AZ179" i="30"/>
  <c r="BB179" i="30" s="1"/>
  <c r="BA152" i="30"/>
  <c r="BA139" i="30"/>
  <c r="AZ160" i="30"/>
  <c r="BB160" i="30" s="1"/>
  <c r="BA187" i="30"/>
  <c r="AZ193" i="30"/>
  <c r="BB193" i="30" s="1"/>
  <c r="BA191" i="30"/>
  <c r="BA221" i="30"/>
  <c r="BQ229" i="30"/>
  <c r="AZ241" i="30"/>
  <c r="BB241" i="30" s="1"/>
  <c r="BA134" i="30"/>
  <c r="BA165" i="30"/>
  <c r="BA179" i="30"/>
  <c r="AZ152" i="30"/>
  <c r="BB152" i="30" s="1"/>
  <c r="BA157" i="30"/>
  <c r="BI184" i="30"/>
  <c r="AZ187" i="30"/>
  <c r="BB187" i="30" s="1"/>
  <c r="AZ192" i="30"/>
  <c r="BB192" i="30" s="1"/>
  <c r="AZ211" i="30"/>
  <c r="BB211" i="30" s="1"/>
  <c r="AZ221" i="30"/>
  <c r="BB221" i="30" s="1"/>
  <c r="AZ206" i="30"/>
  <c r="BB206" i="30" s="1"/>
  <c r="BA224" i="30"/>
  <c r="AZ235" i="30"/>
  <c r="BB235" i="30" s="1"/>
  <c r="BA246" i="30"/>
  <c r="BA148" i="30"/>
  <c r="AZ165" i="30"/>
  <c r="BB165" i="30" s="1"/>
  <c r="BA136" i="30"/>
  <c r="BA172" i="30"/>
  <c r="BA141" i="30"/>
  <c r="AZ157" i="30"/>
  <c r="BB157" i="30" s="1"/>
  <c r="BA168" i="30"/>
  <c r="BA197" i="30"/>
  <c r="BA215" i="30"/>
  <c r="BA232" i="30"/>
  <c r="AZ231" i="30"/>
  <c r="BB231" i="30" s="1"/>
  <c r="AZ148" i="30"/>
  <c r="BB148" i="30" s="1"/>
  <c r="AZ172" i="30"/>
  <c r="BB172" i="30" s="1"/>
  <c r="AZ139" i="30"/>
  <c r="BB139" i="30" s="1"/>
  <c r="BA143" i="30"/>
  <c r="AZ168" i="30"/>
  <c r="BB168" i="30" s="1"/>
  <c r="BA169" i="30"/>
  <c r="AZ232" i="30"/>
  <c r="BB232" i="30" s="1"/>
  <c r="BA230" i="30"/>
  <c r="AZ233" i="30"/>
  <c r="BB233" i="30" s="1"/>
  <c r="BA248" i="30"/>
  <c r="BQ183" i="30"/>
  <c r="AZ141" i="30"/>
  <c r="BB141" i="30" s="1"/>
  <c r="BA145" i="30"/>
  <c r="BA203" i="30"/>
  <c r="AZ195" i="30"/>
  <c r="BB195" i="30" s="1"/>
  <c r="BA195" i="30"/>
  <c r="AZ216" i="30"/>
  <c r="BB216" i="30" s="1"/>
  <c r="BH215" i="30"/>
  <c r="BJ215" i="30" s="1"/>
  <c r="BA217" i="30"/>
  <c r="AZ228" i="30"/>
  <c r="BB228" i="30" s="1"/>
  <c r="BF211" i="37"/>
  <c r="BE211" i="37"/>
  <c r="BF186" i="37"/>
  <c r="BE186" i="37"/>
  <c r="BN121" i="37"/>
  <c r="BM121" i="37"/>
  <c r="BM234" i="37"/>
  <c r="BN234" i="37"/>
  <c r="BI167" i="37"/>
  <c r="BF160" i="37"/>
  <c r="BE160" i="37"/>
  <c r="BF248" i="37"/>
  <c r="BE248" i="37"/>
  <c r="BH182" i="37"/>
  <c r="BJ182" i="37" s="1"/>
  <c r="BE175" i="37"/>
  <c r="BF175" i="37"/>
  <c r="BN175" i="37"/>
  <c r="BM175" i="37"/>
  <c r="BH203" i="37"/>
  <c r="BJ203" i="37" s="1"/>
  <c r="BF196" i="37"/>
  <c r="BE196" i="37"/>
  <c r="BQ235" i="37"/>
  <c r="BN228" i="37"/>
  <c r="BM228" i="37"/>
  <c r="BF178" i="37"/>
  <c r="BE178" i="37"/>
  <c r="BM178" i="37"/>
  <c r="BN178" i="37"/>
  <c r="BH199" i="37"/>
  <c r="BJ199" i="37" s="1"/>
  <c r="BF192" i="37"/>
  <c r="BE192" i="37"/>
  <c r="BP215" i="37"/>
  <c r="BR215" i="37" s="1"/>
  <c r="BN208" i="37"/>
  <c r="BM208" i="37"/>
  <c r="BQ111" i="37"/>
  <c r="BM104" i="37"/>
  <c r="BN104" i="37"/>
  <c r="BH245" i="37"/>
  <c r="BJ245" i="37" s="1"/>
  <c r="BE238" i="37"/>
  <c r="BF238" i="37"/>
  <c r="BQ188" i="37"/>
  <c r="BN181" i="37"/>
  <c r="BM181" i="37"/>
  <c r="AW248" i="30"/>
  <c r="AX248" i="30" s="1"/>
  <c r="AW229" i="30"/>
  <c r="AX229" i="30" s="1"/>
  <c r="AW150" i="30"/>
  <c r="AX150" i="30" s="1"/>
  <c r="AW180" i="30"/>
  <c r="AX180" i="30" s="1"/>
  <c r="AW249" i="30"/>
  <c r="AX249" i="30" s="1"/>
  <c r="AW245" i="30"/>
  <c r="AX245" i="30" s="1"/>
  <c r="AW240" i="30"/>
  <c r="AX240" i="30" s="1"/>
  <c r="AW207" i="30"/>
  <c r="AX207" i="30" s="1"/>
  <c r="AW181" i="30"/>
  <c r="AX181" i="30" s="1"/>
  <c r="AW125" i="30"/>
  <c r="AX125" i="30" s="1"/>
  <c r="AW179" i="30"/>
  <c r="AX179" i="30" s="1"/>
  <c r="AW194" i="30"/>
  <c r="AX194" i="30" s="1"/>
  <c r="AW192" i="30"/>
  <c r="AX192" i="30" s="1"/>
  <c r="AW152" i="30"/>
  <c r="AX152" i="30" s="1"/>
  <c r="AW183" i="30"/>
  <c r="AX183" i="30" s="1"/>
  <c r="AW126" i="30"/>
  <c r="AX126" i="30" s="1"/>
  <c r="AW175" i="30"/>
  <c r="AX175" i="30" s="1"/>
  <c r="AW145" i="30"/>
  <c r="AX145" i="30" s="1"/>
  <c r="AW243" i="30"/>
  <c r="AX243" i="30" s="1"/>
  <c r="AW162" i="30"/>
  <c r="AX162" i="30" s="1"/>
  <c r="AW231" i="30"/>
  <c r="AX231" i="30" s="1"/>
  <c r="AW187" i="30"/>
  <c r="AX187" i="30" s="1"/>
  <c r="AW182" i="30"/>
  <c r="AX182" i="30" s="1"/>
  <c r="AW174" i="30"/>
  <c r="AX174" i="30" s="1"/>
  <c r="AW188" i="30"/>
  <c r="AX188" i="30" s="1"/>
  <c r="AW191" i="30"/>
  <c r="AX191" i="30" s="1"/>
  <c r="AW199" i="30"/>
  <c r="AX199" i="30" s="1"/>
  <c r="AW236" i="30"/>
  <c r="AX236" i="30" s="1"/>
  <c r="AW127" i="30"/>
  <c r="AX127" i="30" s="1"/>
  <c r="AW241" i="30"/>
  <c r="AX241" i="30" s="1"/>
  <c r="AW247" i="30"/>
  <c r="AX247" i="30" s="1"/>
  <c r="AW195" i="30"/>
  <c r="AX195" i="30" s="1"/>
  <c r="AW148" i="30"/>
  <c r="AX148" i="30" s="1"/>
  <c r="AW215" i="30"/>
  <c r="AX215" i="30" s="1"/>
  <c r="AW190" i="30"/>
  <c r="AX190" i="30" s="1"/>
  <c r="AW204" i="30"/>
  <c r="AX204" i="30" s="1"/>
  <c r="AW197" i="30"/>
  <c r="AX197" i="30" s="1"/>
  <c r="AW226" i="30"/>
  <c r="AX226" i="30" s="1"/>
  <c r="AW186" i="30"/>
  <c r="AX186" i="30" s="1"/>
  <c r="AW140" i="30"/>
  <c r="AX140" i="30" s="1"/>
  <c r="AW193" i="30"/>
  <c r="AX193" i="30" s="1"/>
  <c r="AW184" i="30"/>
  <c r="AX184" i="30" s="1"/>
  <c r="AW246" i="30"/>
  <c r="AX246" i="30" s="1"/>
  <c r="AW238" i="30"/>
  <c r="AX238" i="30" s="1"/>
  <c r="AW205" i="30"/>
  <c r="AX205" i="30" s="1"/>
  <c r="AW203" i="30"/>
  <c r="AX203" i="30" s="1"/>
  <c r="AW244" i="30"/>
  <c r="AX244" i="30" s="1"/>
  <c r="AW155" i="30"/>
  <c r="AX155" i="30" s="1"/>
  <c r="AW153" i="30"/>
  <c r="AX153" i="30" s="1"/>
  <c r="AW230" i="30"/>
  <c r="AX230" i="30" s="1"/>
  <c r="AW121" i="30"/>
  <c r="AX121" i="30" s="1"/>
  <c r="AW141" i="30"/>
  <c r="AX141" i="30" s="1"/>
  <c r="AW130" i="30"/>
  <c r="AX130" i="30" s="1"/>
  <c r="AW147" i="30"/>
  <c r="AX147" i="30" s="1"/>
  <c r="AW138" i="30"/>
  <c r="AX138" i="30" s="1"/>
  <c r="AW136" i="30"/>
  <c r="AX136" i="30" s="1"/>
  <c r="AW166" i="30"/>
  <c r="AX166" i="30" s="1"/>
  <c r="AW123" i="30"/>
  <c r="AX123" i="30" s="1"/>
  <c r="AW239" i="30"/>
  <c r="AX239" i="30" s="1"/>
  <c r="AW132" i="30"/>
  <c r="AX132" i="30" s="1"/>
  <c r="AW144" i="30"/>
  <c r="AX144" i="30" s="1"/>
  <c r="AW170" i="30"/>
  <c r="AX170" i="30" s="1"/>
  <c r="AW124" i="30"/>
  <c r="AX124" i="30" s="1"/>
  <c r="AW151" i="30"/>
  <c r="AX151" i="30" s="1"/>
  <c r="AW201" i="30"/>
  <c r="AX201" i="30" s="1"/>
  <c r="AW189" i="30"/>
  <c r="AX189" i="30" s="1"/>
  <c r="AW250" i="30"/>
  <c r="AX250" i="30" s="1"/>
  <c r="AW242" i="30"/>
  <c r="AX242" i="30" s="1"/>
  <c r="AW177" i="30"/>
  <c r="AX177" i="30" s="1"/>
  <c r="AW217" i="30"/>
  <c r="AX217" i="30" s="1"/>
  <c r="AW134" i="30"/>
  <c r="AX134" i="30" s="1"/>
  <c r="AW178" i="30"/>
  <c r="AX178" i="30" s="1"/>
  <c r="AW156" i="30"/>
  <c r="AX156" i="30" s="1"/>
  <c r="AW133" i="30"/>
  <c r="AX133" i="30" s="1"/>
  <c r="AW129" i="30"/>
  <c r="AX129" i="30" s="1"/>
  <c r="AW169" i="30"/>
  <c r="AX169" i="30" s="1"/>
  <c r="AW173" i="30"/>
  <c r="AX173" i="30" s="1"/>
  <c r="AW198" i="30"/>
  <c r="AX198" i="30" s="1"/>
  <c r="AW218" i="30"/>
  <c r="AX218" i="30" s="1"/>
  <c r="AW216" i="30"/>
  <c r="AX216" i="30" s="1"/>
  <c r="AW232" i="30"/>
  <c r="AX232" i="30" s="1"/>
  <c r="AW200" i="30"/>
  <c r="AX200" i="30" s="1"/>
  <c r="AW206" i="30"/>
  <c r="AX206" i="30" s="1"/>
  <c r="AW135" i="30"/>
  <c r="AX135" i="30" s="1"/>
  <c r="AW212" i="30"/>
  <c r="AX212" i="30" s="1"/>
  <c r="AW220" i="30"/>
  <c r="AX220" i="30" s="1"/>
  <c r="AW235" i="30"/>
  <c r="AX235" i="30" s="1"/>
  <c r="AW154" i="30"/>
  <c r="AX154" i="30" s="1"/>
  <c r="AW237" i="30"/>
  <c r="AX237" i="30" s="1"/>
  <c r="AW137" i="30"/>
  <c r="AX137" i="30" s="1"/>
  <c r="AW143" i="30"/>
  <c r="AX143" i="30" s="1"/>
  <c r="AW128" i="30"/>
  <c r="AX128" i="30" s="1"/>
  <c r="AW163" i="30"/>
  <c r="AX163" i="30" s="1"/>
  <c r="AW160" i="30"/>
  <c r="AX160" i="30" s="1"/>
  <c r="AW227" i="30"/>
  <c r="AX227" i="30" s="1"/>
  <c r="AW222" i="30"/>
  <c r="AX222" i="30" s="1"/>
  <c r="AW233" i="30"/>
  <c r="AX233" i="30" s="1"/>
  <c r="AW219" i="30"/>
  <c r="AX219" i="30" s="1"/>
  <c r="AW167" i="30"/>
  <c r="AX167" i="30" s="1"/>
  <c r="AW159" i="30"/>
  <c r="AX159" i="30" s="1"/>
  <c r="AW176" i="30"/>
  <c r="AX176" i="30" s="1"/>
  <c r="AW139" i="30"/>
  <c r="AX139" i="30" s="1"/>
  <c r="AW142" i="30"/>
  <c r="AX142" i="30" s="1"/>
  <c r="AW157" i="30"/>
  <c r="AX157" i="30" s="1"/>
  <c r="AW146" i="30"/>
  <c r="AX146" i="30" s="1"/>
  <c r="AW213" i="30"/>
  <c r="AX213" i="30" s="1"/>
  <c r="AW131" i="30"/>
  <c r="AX131" i="30" s="1"/>
  <c r="AW164" i="30"/>
  <c r="AX164" i="30" s="1"/>
  <c r="AW209" i="30"/>
  <c r="AX209" i="30" s="1"/>
  <c r="AW234" i="30"/>
  <c r="AX234" i="30" s="1"/>
  <c r="AW185" i="30"/>
  <c r="AX185" i="30" s="1"/>
  <c r="AW122" i="30"/>
  <c r="AX122" i="30" s="1"/>
  <c r="AW165" i="30"/>
  <c r="AX165" i="30" s="1"/>
  <c r="AW208" i="30"/>
  <c r="AX208" i="30" s="1"/>
  <c r="AW224" i="30"/>
  <c r="AX224" i="30" s="1"/>
  <c r="AW172" i="30"/>
  <c r="AX172" i="30" s="1"/>
  <c r="AW161" i="30"/>
  <c r="AX161" i="30" s="1"/>
  <c r="AW214" i="30"/>
  <c r="AX214" i="30" s="1"/>
  <c r="AW228" i="30"/>
  <c r="AX228" i="30" s="1"/>
  <c r="AW158" i="30"/>
  <c r="AX158" i="30" s="1"/>
  <c r="AW196" i="30"/>
  <c r="AX196" i="30" s="1"/>
  <c r="AW202" i="30"/>
  <c r="AX202" i="30" s="1"/>
  <c r="AW210" i="30"/>
  <c r="AX210" i="30" s="1"/>
  <c r="AW211" i="30"/>
  <c r="AX211" i="30" s="1"/>
  <c r="AW221" i="30"/>
  <c r="AX221" i="30" s="1"/>
  <c r="AW149" i="30"/>
  <c r="AX149" i="30" s="1"/>
  <c r="AW168" i="30"/>
  <c r="AX168" i="30" s="1"/>
  <c r="AW171" i="30"/>
  <c r="AX171" i="30" s="1"/>
  <c r="AW225" i="30"/>
  <c r="AX225" i="30" s="1"/>
  <c r="AW223" i="30"/>
  <c r="AX223" i="30" s="1"/>
  <c r="BE170" i="37"/>
  <c r="BF170" i="37"/>
  <c r="BF202" i="37"/>
  <c r="BE202" i="37"/>
  <c r="BE241" i="37"/>
  <c r="BF241" i="37"/>
  <c r="BH175" i="37"/>
  <c r="BJ175" i="37" s="1"/>
  <c r="BE168" i="37"/>
  <c r="BF168" i="37"/>
  <c r="BF182" i="37"/>
  <c r="BE182" i="37"/>
  <c r="BP205" i="37"/>
  <c r="BR205" i="37" s="1"/>
  <c r="BN198" i="37"/>
  <c r="BM198" i="37"/>
  <c r="BH242" i="37"/>
  <c r="BJ242" i="37" s="1"/>
  <c r="BE235" i="37"/>
  <c r="BF235" i="37"/>
  <c r="BI192" i="37"/>
  <c r="BF185" i="37"/>
  <c r="BE185" i="37"/>
  <c r="BE215" i="37"/>
  <c r="BF215" i="37"/>
  <c r="BH195" i="37"/>
  <c r="BJ195" i="37" s="1"/>
  <c r="BE188" i="37"/>
  <c r="BF188" i="37"/>
  <c r="BN220" i="37"/>
  <c r="BM220" i="37"/>
  <c r="BP191" i="37"/>
  <c r="BR191" i="37" s="1"/>
  <c r="BM184" i="37"/>
  <c r="BN184" i="37"/>
  <c r="BH212" i="37"/>
  <c r="BJ212" i="37" s="1"/>
  <c r="BE205" i="37"/>
  <c r="BF205" i="37"/>
  <c r="BM205" i="37"/>
  <c r="BN205" i="37"/>
  <c r="BP113" i="37"/>
  <c r="BR113" i="37" s="1"/>
  <c r="BN106" i="37"/>
  <c r="BM106" i="37"/>
  <c r="BQ194" i="37"/>
  <c r="BN187" i="37"/>
  <c r="BM187" i="37"/>
  <c r="BM201" i="37"/>
  <c r="BN201" i="37"/>
  <c r="BF159" i="37"/>
  <c r="BE159" i="37"/>
  <c r="BM247" i="37"/>
  <c r="BN247" i="37"/>
  <c r="BM174" i="37"/>
  <c r="BN174" i="37"/>
  <c r="BI109" i="37"/>
  <c r="BE102" i="37"/>
  <c r="BF102" i="37"/>
  <c r="BF227" i="37"/>
  <c r="BE227" i="37"/>
  <c r="BF218" i="37"/>
  <c r="BE218" i="37"/>
  <c r="BN250" i="37"/>
  <c r="BM250" i="37"/>
  <c r="BQ184" i="37"/>
  <c r="BM177" i="37"/>
  <c r="BN177" i="37"/>
  <c r="BH198" i="37"/>
  <c r="BJ198" i="37" s="1"/>
  <c r="BF191" i="37"/>
  <c r="BE191" i="37"/>
  <c r="BP198" i="37"/>
  <c r="BR198" i="37" s="1"/>
  <c r="BM191" i="37"/>
  <c r="BN191" i="37"/>
  <c r="BI107" i="37"/>
  <c r="BE100" i="37"/>
  <c r="BF100" i="37"/>
  <c r="BF212" i="37"/>
  <c r="BE212" i="37"/>
  <c r="BM244" i="37"/>
  <c r="BN244" i="37"/>
  <c r="BH201" i="37"/>
  <c r="BJ201" i="37" s="1"/>
  <c r="BF194" i="37"/>
  <c r="BE194" i="37"/>
  <c r="BQ201" i="37"/>
  <c r="BN194" i="37"/>
  <c r="BM194" i="37"/>
  <c r="BF208" i="37"/>
  <c r="BE208" i="37"/>
  <c r="BN224" i="37"/>
  <c r="BM224" i="37"/>
  <c r="BH174" i="37"/>
  <c r="BJ174" i="37" s="1"/>
  <c r="BE167" i="37"/>
  <c r="BF167" i="37"/>
  <c r="BF181" i="37"/>
  <c r="BE181" i="37"/>
  <c r="BM197" i="37"/>
  <c r="BN197" i="37"/>
  <c r="BQ110" i="37"/>
  <c r="BM103" i="37"/>
  <c r="BN103" i="37"/>
  <c r="BM170" i="37"/>
  <c r="BN170" i="37"/>
  <c r="BF184" i="37"/>
  <c r="BE184" i="37"/>
  <c r="BH205" i="37"/>
  <c r="BJ205" i="37" s="1"/>
  <c r="BE198" i="37"/>
  <c r="BF198" i="37"/>
  <c r="BN214" i="37"/>
  <c r="BM214" i="37"/>
  <c r="BM101" i="37"/>
  <c r="BN101" i="37"/>
  <c r="BE201" i="37"/>
  <c r="BF201" i="37"/>
  <c r="BQ125" i="37"/>
  <c r="BN118" i="37"/>
  <c r="BM118" i="37"/>
  <c r="BF231" i="37"/>
  <c r="BE231" i="37"/>
  <c r="BE174" i="37"/>
  <c r="BF174" i="37"/>
  <c r="BI211" i="37"/>
  <c r="BF204" i="37"/>
  <c r="BE204" i="37"/>
  <c r="L109" i="37"/>
  <c r="AU117" i="37"/>
  <c r="BM236" i="37"/>
  <c r="BN236" i="37"/>
  <c r="BN227" i="37"/>
  <c r="BM227" i="37"/>
  <c r="BF177" i="37"/>
  <c r="BE177" i="37"/>
  <c r="BQ207" i="37"/>
  <c r="BN200" i="37"/>
  <c r="BM200" i="37"/>
  <c r="BE250" i="37"/>
  <c r="BF250" i="37"/>
  <c r="BH228" i="37"/>
  <c r="BJ228" i="37" s="1"/>
  <c r="BF221" i="37"/>
  <c r="BE221" i="37"/>
  <c r="BH112" i="37"/>
  <c r="BJ112" i="37" s="1"/>
  <c r="BF105" i="37"/>
  <c r="BE105" i="37"/>
  <c r="BN221" i="37"/>
  <c r="BM221" i="37"/>
  <c r="BH178" i="37"/>
  <c r="BJ178" i="37" s="1"/>
  <c r="BF171" i="37"/>
  <c r="BE171" i="37"/>
  <c r="BM203" i="37"/>
  <c r="BN203" i="37"/>
  <c r="BP115" i="37"/>
  <c r="BR115" i="37" s="1"/>
  <c r="BM108" i="37"/>
  <c r="BN108" i="37"/>
  <c r="BM217" i="37"/>
  <c r="BN217" i="37"/>
  <c r="BN123" i="37"/>
  <c r="BM123" i="37"/>
  <c r="BN190" i="37"/>
  <c r="BM190" i="37"/>
  <c r="BF243" i="37"/>
  <c r="BE243" i="37"/>
  <c r="BH241" i="37"/>
  <c r="BJ241" i="37" s="1"/>
  <c r="BF234" i="37"/>
  <c r="BE234" i="37"/>
  <c r="BP200" i="37"/>
  <c r="BR200" i="37" s="1"/>
  <c r="BM193" i="37"/>
  <c r="BN193" i="37"/>
  <c r="BH214" i="37"/>
  <c r="BJ214" i="37" s="1"/>
  <c r="BF207" i="37"/>
  <c r="BE207" i="37"/>
  <c r="BN124" i="37"/>
  <c r="BM124" i="37"/>
  <c r="BN207" i="37"/>
  <c r="BM207" i="37"/>
  <c r="BF113" i="37"/>
  <c r="BE113" i="37"/>
  <c r="BQ120" i="37"/>
  <c r="BM113" i="37"/>
  <c r="BN113" i="37"/>
  <c r="BE228" i="37"/>
  <c r="BF228" i="37"/>
  <c r="BE210" i="37"/>
  <c r="BF210" i="37"/>
  <c r="BN100" i="37"/>
  <c r="BM100" i="37"/>
  <c r="BQ217" i="37"/>
  <c r="BN210" i="37"/>
  <c r="BM210" i="37"/>
  <c r="BP117" i="37"/>
  <c r="BR117" i="37" s="1"/>
  <c r="BN110" i="37"/>
  <c r="BM110" i="37"/>
  <c r="BF224" i="37"/>
  <c r="BE224" i="37"/>
  <c r="BP247" i="37"/>
  <c r="BR247" i="37" s="1"/>
  <c r="BM240" i="37"/>
  <c r="BN240" i="37"/>
  <c r="BQ190" i="37"/>
  <c r="BN183" i="37"/>
  <c r="BM183" i="37"/>
  <c r="BI204" i="37"/>
  <c r="BE197" i="37"/>
  <c r="BF197" i="37"/>
  <c r="BQ220" i="37"/>
  <c r="BN213" i="37"/>
  <c r="BM213" i="37"/>
  <c r="G240" i="34"/>
  <c r="J240" i="34" s="1"/>
  <c r="G224" i="34"/>
  <c r="J224" i="34" s="1"/>
  <c r="G208" i="34"/>
  <c r="J208" i="34" s="1"/>
  <c r="G192" i="34"/>
  <c r="J192" i="34" s="1"/>
  <c r="G176" i="34"/>
  <c r="J176" i="34" s="1"/>
  <c r="G160" i="34"/>
  <c r="J160" i="34" s="1"/>
  <c r="G144" i="34"/>
  <c r="J144" i="34" s="1"/>
  <c r="G128" i="34"/>
  <c r="J128" i="34" s="1"/>
  <c r="G112" i="34"/>
  <c r="J112" i="34" s="1"/>
  <c r="G239" i="34"/>
  <c r="J239" i="34" s="1"/>
  <c r="G223" i="34"/>
  <c r="J223" i="34" s="1"/>
  <c r="G207" i="34"/>
  <c r="J207" i="34" s="1"/>
  <c r="G191" i="34"/>
  <c r="J191" i="34" s="1"/>
  <c r="G175" i="34"/>
  <c r="J175" i="34" s="1"/>
  <c r="G159" i="34"/>
  <c r="J159" i="34" s="1"/>
  <c r="G143" i="34"/>
  <c r="J143" i="34" s="1"/>
  <c r="G127" i="34"/>
  <c r="J127" i="34" s="1"/>
  <c r="G111" i="34"/>
  <c r="J111" i="34" s="1"/>
  <c r="G238" i="34"/>
  <c r="J238" i="34" s="1"/>
  <c r="G222" i="34"/>
  <c r="J222" i="34" s="1"/>
  <c r="G206" i="34"/>
  <c r="J206" i="34" s="1"/>
  <c r="G190" i="34"/>
  <c r="J190" i="34" s="1"/>
  <c r="G174" i="34"/>
  <c r="J174" i="34" s="1"/>
  <c r="G158" i="34"/>
  <c r="J158" i="34" s="1"/>
  <c r="G142" i="34"/>
  <c r="J142" i="34" s="1"/>
  <c r="G126" i="34"/>
  <c r="J126" i="34" s="1"/>
  <c r="G110" i="34"/>
  <c r="J110" i="34" s="1"/>
  <c r="G237" i="34"/>
  <c r="J237" i="34" s="1"/>
  <c r="G221" i="34"/>
  <c r="J221" i="34" s="1"/>
  <c r="G205" i="34"/>
  <c r="J205" i="34" s="1"/>
  <c r="G189" i="34"/>
  <c r="J189" i="34" s="1"/>
  <c r="G173" i="34"/>
  <c r="J173" i="34" s="1"/>
  <c r="G157" i="34"/>
  <c r="J157" i="34" s="1"/>
  <c r="G141" i="34"/>
  <c r="J141" i="34" s="1"/>
  <c r="G125" i="34"/>
  <c r="J125" i="34" s="1"/>
  <c r="G109" i="34"/>
  <c r="J109" i="34" s="1"/>
  <c r="G236" i="34"/>
  <c r="J236" i="34" s="1"/>
  <c r="G220" i="34"/>
  <c r="J220" i="34" s="1"/>
  <c r="G204" i="34"/>
  <c r="J204" i="34" s="1"/>
  <c r="G188" i="34"/>
  <c r="J188" i="34" s="1"/>
  <c r="G172" i="34"/>
  <c r="J172" i="34" s="1"/>
  <c r="G156" i="34"/>
  <c r="J156" i="34" s="1"/>
  <c r="G140" i="34"/>
  <c r="J140" i="34" s="1"/>
  <c r="G124" i="34"/>
  <c r="J124" i="34" s="1"/>
  <c r="G108" i="34"/>
  <c r="J108" i="34" s="1"/>
  <c r="G235" i="34"/>
  <c r="J235" i="34" s="1"/>
  <c r="G219" i="34"/>
  <c r="J219" i="34" s="1"/>
  <c r="G203" i="34"/>
  <c r="J203" i="34" s="1"/>
  <c r="G187" i="34"/>
  <c r="J187" i="34" s="1"/>
  <c r="G171" i="34"/>
  <c r="J171" i="34" s="1"/>
  <c r="G155" i="34"/>
  <c r="J155" i="34" s="1"/>
  <c r="G139" i="34"/>
  <c r="J139" i="34" s="1"/>
  <c r="G123" i="34"/>
  <c r="J123" i="34" s="1"/>
  <c r="G107" i="34"/>
  <c r="J107" i="34" s="1"/>
  <c r="G250" i="34"/>
  <c r="J250" i="34" s="1"/>
  <c r="G234" i="34"/>
  <c r="J234" i="34" s="1"/>
  <c r="G218" i="34"/>
  <c r="J218" i="34" s="1"/>
  <c r="G202" i="34"/>
  <c r="J202" i="34" s="1"/>
  <c r="G186" i="34"/>
  <c r="J186" i="34" s="1"/>
  <c r="G170" i="34"/>
  <c r="J170" i="34" s="1"/>
  <c r="G154" i="34"/>
  <c r="J154" i="34" s="1"/>
  <c r="G138" i="34"/>
  <c r="J138" i="34" s="1"/>
  <c r="G122" i="34"/>
  <c r="J122" i="34" s="1"/>
  <c r="G106" i="34"/>
  <c r="J106" i="34" s="1"/>
  <c r="G249" i="34"/>
  <c r="J249" i="34" s="1"/>
  <c r="G233" i="34"/>
  <c r="J233" i="34" s="1"/>
  <c r="G217" i="34"/>
  <c r="J217" i="34" s="1"/>
  <c r="G201" i="34"/>
  <c r="J201" i="34" s="1"/>
  <c r="G185" i="34"/>
  <c r="J185" i="34" s="1"/>
  <c r="G169" i="34"/>
  <c r="J169" i="34" s="1"/>
  <c r="G153" i="34"/>
  <c r="J153" i="34" s="1"/>
  <c r="G137" i="34"/>
  <c r="J137" i="34" s="1"/>
  <c r="G121" i="34"/>
  <c r="J121" i="34" s="1"/>
  <c r="G105" i="34"/>
  <c r="J105" i="34" s="1"/>
  <c r="G248" i="34"/>
  <c r="J248" i="34" s="1"/>
  <c r="G232" i="34"/>
  <c r="J232" i="34" s="1"/>
  <c r="G216" i="34"/>
  <c r="J216" i="34" s="1"/>
  <c r="G200" i="34"/>
  <c r="J200" i="34" s="1"/>
  <c r="G184" i="34"/>
  <c r="J184" i="34" s="1"/>
  <c r="G168" i="34"/>
  <c r="J168" i="34" s="1"/>
  <c r="G152" i="34"/>
  <c r="J152" i="34" s="1"/>
  <c r="G136" i="34"/>
  <c r="J136" i="34" s="1"/>
  <c r="G120" i="34"/>
  <c r="J120" i="34" s="1"/>
  <c r="G104" i="34"/>
  <c r="J104" i="34" s="1"/>
  <c r="G247" i="34"/>
  <c r="J247" i="34" s="1"/>
  <c r="G231" i="34"/>
  <c r="J231" i="34" s="1"/>
  <c r="G215" i="34"/>
  <c r="J215" i="34" s="1"/>
  <c r="G199" i="34"/>
  <c r="J199" i="34" s="1"/>
  <c r="G183" i="34"/>
  <c r="J183" i="34" s="1"/>
  <c r="G167" i="34"/>
  <c r="J167" i="34" s="1"/>
  <c r="G151" i="34"/>
  <c r="J151" i="34" s="1"/>
  <c r="G135" i="34"/>
  <c r="J135" i="34" s="1"/>
  <c r="G119" i="34"/>
  <c r="J119" i="34" s="1"/>
  <c r="G103" i="34"/>
  <c r="J103" i="34" s="1"/>
  <c r="G246" i="34"/>
  <c r="J246" i="34" s="1"/>
  <c r="G230" i="34"/>
  <c r="J230" i="34" s="1"/>
  <c r="G214" i="34"/>
  <c r="J214" i="34" s="1"/>
  <c r="G198" i="34"/>
  <c r="J198" i="34" s="1"/>
  <c r="G182" i="34"/>
  <c r="J182" i="34" s="1"/>
  <c r="G166" i="34"/>
  <c r="J166" i="34" s="1"/>
  <c r="G150" i="34"/>
  <c r="J150" i="34" s="1"/>
  <c r="G134" i="34"/>
  <c r="J134" i="34" s="1"/>
  <c r="G118" i="34"/>
  <c r="J118" i="34" s="1"/>
  <c r="G102" i="34"/>
  <c r="J102" i="34" s="1"/>
  <c r="G245" i="34"/>
  <c r="J245" i="34" s="1"/>
  <c r="G229" i="34"/>
  <c r="J229" i="34" s="1"/>
  <c r="G213" i="34"/>
  <c r="J213" i="34" s="1"/>
  <c r="G197" i="34"/>
  <c r="J197" i="34" s="1"/>
  <c r="G181" i="34"/>
  <c r="J181" i="34" s="1"/>
  <c r="G165" i="34"/>
  <c r="J165" i="34" s="1"/>
  <c r="G149" i="34"/>
  <c r="J149" i="34" s="1"/>
  <c r="G133" i="34"/>
  <c r="J133" i="34" s="1"/>
  <c r="G117" i="34"/>
  <c r="J117" i="34" s="1"/>
  <c r="G101" i="34"/>
  <c r="J101" i="34" s="1"/>
  <c r="G244" i="34"/>
  <c r="J244" i="34" s="1"/>
  <c r="G228" i="34"/>
  <c r="J228" i="34" s="1"/>
  <c r="G212" i="34"/>
  <c r="J212" i="34" s="1"/>
  <c r="G196" i="34"/>
  <c r="J196" i="34" s="1"/>
  <c r="G180" i="34"/>
  <c r="J180" i="34" s="1"/>
  <c r="G164" i="34"/>
  <c r="J164" i="34" s="1"/>
  <c r="G148" i="34"/>
  <c r="J148" i="34" s="1"/>
  <c r="G132" i="34"/>
  <c r="J132" i="34" s="1"/>
  <c r="G116" i="34"/>
  <c r="J116" i="34" s="1"/>
  <c r="G243" i="34"/>
  <c r="J243" i="34" s="1"/>
  <c r="G227" i="34"/>
  <c r="J227" i="34" s="1"/>
  <c r="G211" i="34"/>
  <c r="J211" i="34" s="1"/>
  <c r="G195" i="34"/>
  <c r="J195" i="34" s="1"/>
  <c r="G179" i="34"/>
  <c r="J179" i="34" s="1"/>
  <c r="G163" i="34"/>
  <c r="J163" i="34" s="1"/>
  <c r="G147" i="34"/>
  <c r="J147" i="34" s="1"/>
  <c r="G131" i="34"/>
  <c r="J131" i="34" s="1"/>
  <c r="G115" i="34"/>
  <c r="J115" i="34" s="1"/>
  <c r="G242" i="34"/>
  <c r="J242" i="34" s="1"/>
  <c r="G226" i="34"/>
  <c r="J226" i="34" s="1"/>
  <c r="G210" i="34"/>
  <c r="J210" i="34" s="1"/>
  <c r="G194" i="34"/>
  <c r="J194" i="34" s="1"/>
  <c r="G178" i="34"/>
  <c r="J178" i="34" s="1"/>
  <c r="G162" i="34"/>
  <c r="J162" i="34" s="1"/>
  <c r="G146" i="34"/>
  <c r="J146" i="34" s="1"/>
  <c r="G130" i="34"/>
  <c r="J130" i="34" s="1"/>
  <c r="G114" i="34"/>
  <c r="J114" i="34" s="1"/>
  <c r="G241" i="34"/>
  <c r="J241" i="34" s="1"/>
  <c r="G225" i="34"/>
  <c r="J225" i="34" s="1"/>
  <c r="G209" i="34"/>
  <c r="J209" i="34" s="1"/>
  <c r="G193" i="34"/>
  <c r="J193" i="34" s="1"/>
  <c r="G177" i="34"/>
  <c r="J177" i="34" s="1"/>
  <c r="G161" i="34"/>
  <c r="J161" i="34" s="1"/>
  <c r="G145" i="34"/>
  <c r="J145" i="34" s="1"/>
  <c r="G129" i="34"/>
  <c r="J129" i="34" s="1"/>
  <c r="G113" i="34"/>
  <c r="J113" i="34" s="1"/>
  <c r="G124" i="27"/>
  <c r="J124" i="27" s="1"/>
  <c r="G108" i="27"/>
  <c r="J108" i="27" s="1"/>
  <c r="G123" i="27"/>
  <c r="J123" i="27" s="1"/>
  <c r="G107" i="27"/>
  <c r="J107" i="27" s="1"/>
  <c r="G122" i="27"/>
  <c r="J122" i="27" s="1"/>
  <c r="G106" i="27"/>
  <c r="J106" i="27" s="1"/>
  <c r="G121" i="27"/>
  <c r="J121" i="27" s="1"/>
  <c r="G105" i="27"/>
  <c r="J105" i="27" s="1"/>
  <c r="G120" i="27"/>
  <c r="J120" i="27" s="1"/>
  <c r="G104" i="27"/>
  <c r="J104" i="27" s="1"/>
  <c r="G119" i="27"/>
  <c r="J119" i="27" s="1"/>
  <c r="G103" i="27"/>
  <c r="J103" i="27" s="1"/>
  <c r="G118" i="27"/>
  <c r="J118" i="27" s="1"/>
  <c r="G102" i="27"/>
  <c r="J102" i="27" s="1"/>
  <c r="G117" i="27"/>
  <c r="J117" i="27" s="1"/>
  <c r="G101" i="27"/>
  <c r="J101" i="27" s="1"/>
  <c r="G116" i="27"/>
  <c r="J116" i="27" s="1"/>
  <c r="G115" i="27"/>
  <c r="J115" i="27" s="1"/>
  <c r="G114" i="27"/>
  <c r="J114" i="27" s="1"/>
  <c r="G113" i="27"/>
  <c r="J113" i="27" s="1"/>
  <c r="G112" i="27"/>
  <c r="J112" i="27" s="1"/>
  <c r="G127" i="27"/>
  <c r="J127" i="27" s="1"/>
  <c r="G111" i="27"/>
  <c r="J111" i="27" s="1"/>
  <c r="G126" i="27"/>
  <c r="J126" i="27" s="1"/>
  <c r="G110" i="27"/>
  <c r="J110" i="27" s="1"/>
  <c r="G125" i="27"/>
  <c r="J125" i="27" s="1"/>
  <c r="G109" i="27"/>
  <c r="J109" i="27" s="1"/>
  <c r="G236" i="30"/>
  <c r="J236" i="30" s="1"/>
  <c r="G220" i="30"/>
  <c r="J220" i="30" s="1"/>
  <c r="G204" i="30"/>
  <c r="J204" i="30" s="1"/>
  <c r="G188" i="30"/>
  <c r="J188" i="30" s="1"/>
  <c r="G172" i="30"/>
  <c r="J172" i="30" s="1"/>
  <c r="G156" i="30"/>
  <c r="J156" i="30" s="1"/>
  <c r="G140" i="30"/>
  <c r="J140" i="30" s="1"/>
  <c r="G124" i="30"/>
  <c r="J124" i="30" s="1"/>
  <c r="G108" i="30"/>
  <c r="J108" i="30" s="1"/>
  <c r="G235" i="30"/>
  <c r="J235" i="30" s="1"/>
  <c r="G219" i="30"/>
  <c r="J219" i="30" s="1"/>
  <c r="G203" i="30"/>
  <c r="J203" i="30" s="1"/>
  <c r="G187" i="30"/>
  <c r="J187" i="30" s="1"/>
  <c r="G171" i="30"/>
  <c r="J171" i="30" s="1"/>
  <c r="G155" i="30"/>
  <c r="J155" i="30" s="1"/>
  <c r="G139" i="30"/>
  <c r="J139" i="30" s="1"/>
  <c r="G123" i="30"/>
  <c r="J123" i="30" s="1"/>
  <c r="G107" i="30"/>
  <c r="J107" i="30" s="1"/>
  <c r="G250" i="30"/>
  <c r="J250" i="30" s="1"/>
  <c r="G234" i="30"/>
  <c r="J234" i="30" s="1"/>
  <c r="G218" i="30"/>
  <c r="J218" i="30" s="1"/>
  <c r="G202" i="30"/>
  <c r="J202" i="30" s="1"/>
  <c r="G186" i="30"/>
  <c r="J186" i="30" s="1"/>
  <c r="G170" i="30"/>
  <c r="J170" i="30" s="1"/>
  <c r="G154" i="30"/>
  <c r="J154" i="30" s="1"/>
  <c r="G138" i="30"/>
  <c r="J138" i="30" s="1"/>
  <c r="G122" i="30"/>
  <c r="J122" i="30" s="1"/>
  <c r="G106" i="30"/>
  <c r="J106" i="30" s="1"/>
  <c r="G249" i="30"/>
  <c r="J249" i="30" s="1"/>
  <c r="G233" i="30"/>
  <c r="J233" i="30" s="1"/>
  <c r="G217" i="30"/>
  <c r="J217" i="30" s="1"/>
  <c r="G201" i="30"/>
  <c r="J201" i="30" s="1"/>
  <c r="G185" i="30"/>
  <c r="J185" i="30" s="1"/>
  <c r="G169" i="30"/>
  <c r="J169" i="30" s="1"/>
  <c r="G153" i="30"/>
  <c r="J153" i="30" s="1"/>
  <c r="G137" i="30"/>
  <c r="J137" i="30" s="1"/>
  <c r="G121" i="30"/>
  <c r="J121" i="30" s="1"/>
  <c r="G105" i="30"/>
  <c r="J105" i="30" s="1"/>
  <c r="G248" i="30"/>
  <c r="J248" i="30" s="1"/>
  <c r="G232" i="30"/>
  <c r="J232" i="30" s="1"/>
  <c r="G216" i="30"/>
  <c r="J216" i="30" s="1"/>
  <c r="G200" i="30"/>
  <c r="J200" i="30" s="1"/>
  <c r="G184" i="30"/>
  <c r="J184" i="30" s="1"/>
  <c r="G168" i="30"/>
  <c r="J168" i="30" s="1"/>
  <c r="G152" i="30"/>
  <c r="J152" i="30" s="1"/>
  <c r="G136" i="30"/>
  <c r="J136" i="30" s="1"/>
  <c r="G120" i="30"/>
  <c r="J120" i="30" s="1"/>
  <c r="G104" i="30"/>
  <c r="J104" i="30" s="1"/>
  <c r="G247" i="30"/>
  <c r="J247" i="30" s="1"/>
  <c r="G231" i="30"/>
  <c r="J231" i="30" s="1"/>
  <c r="G215" i="30"/>
  <c r="J215" i="30" s="1"/>
  <c r="G199" i="30"/>
  <c r="J199" i="30" s="1"/>
  <c r="G183" i="30"/>
  <c r="J183" i="30" s="1"/>
  <c r="G167" i="30"/>
  <c r="J167" i="30" s="1"/>
  <c r="G151" i="30"/>
  <c r="J151" i="30" s="1"/>
  <c r="G135" i="30"/>
  <c r="J135" i="30" s="1"/>
  <c r="G119" i="30"/>
  <c r="J119" i="30" s="1"/>
  <c r="G103" i="30"/>
  <c r="J103" i="30" s="1"/>
  <c r="G246" i="30"/>
  <c r="J246" i="30" s="1"/>
  <c r="G230" i="30"/>
  <c r="J230" i="30" s="1"/>
  <c r="G214" i="30"/>
  <c r="J214" i="30" s="1"/>
  <c r="G198" i="30"/>
  <c r="J198" i="30" s="1"/>
  <c r="G182" i="30"/>
  <c r="J182" i="30" s="1"/>
  <c r="G166" i="30"/>
  <c r="J166" i="30" s="1"/>
  <c r="G150" i="30"/>
  <c r="J150" i="30" s="1"/>
  <c r="G134" i="30"/>
  <c r="J134" i="30" s="1"/>
  <c r="G118" i="30"/>
  <c r="J118" i="30" s="1"/>
  <c r="G102" i="30"/>
  <c r="J102" i="30" s="1"/>
  <c r="G245" i="30"/>
  <c r="J245" i="30" s="1"/>
  <c r="G229" i="30"/>
  <c r="J229" i="30" s="1"/>
  <c r="G213" i="30"/>
  <c r="J213" i="30" s="1"/>
  <c r="G197" i="30"/>
  <c r="J197" i="30" s="1"/>
  <c r="G181" i="30"/>
  <c r="J181" i="30" s="1"/>
  <c r="G165" i="30"/>
  <c r="J165" i="30" s="1"/>
  <c r="G149" i="30"/>
  <c r="J149" i="30" s="1"/>
  <c r="G133" i="30"/>
  <c r="J133" i="30" s="1"/>
  <c r="G117" i="30"/>
  <c r="J117" i="30" s="1"/>
  <c r="G101" i="30"/>
  <c r="J101" i="30" s="1"/>
  <c r="G244" i="30"/>
  <c r="J244" i="30" s="1"/>
  <c r="G228" i="30"/>
  <c r="J228" i="30" s="1"/>
  <c r="G212" i="30"/>
  <c r="J212" i="30" s="1"/>
  <c r="G196" i="30"/>
  <c r="J196" i="30" s="1"/>
  <c r="G180" i="30"/>
  <c r="J180" i="30" s="1"/>
  <c r="G164" i="30"/>
  <c r="J164" i="30" s="1"/>
  <c r="G148" i="30"/>
  <c r="J148" i="30" s="1"/>
  <c r="G132" i="30"/>
  <c r="J132" i="30" s="1"/>
  <c r="G116" i="30"/>
  <c r="J116" i="30" s="1"/>
  <c r="G243" i="30"/>
  <c r="J243" i="30" s="1"/>
  <c r="G227" i="30"/>
  <c r="J227" i="30" s="1"/>
  <c r="G211" i="30"/>
  <c r="J211" i="30" s="1"/>
  <c r="G195" i="30"/>
  <c r="J195" i="30" s="1"/>
  <c r="G179" i="30"/>
  <c r="J179" i="30" s="1"/>
  <c r="G163" i="30"/>
  <c r="J163" i="30" s="1"/>
  <c r="G147" i="30"/>
  <c r="J147" i="30" s="1"/>
  <c r="G131" i="30"/>
  <c r="J131" i="30" s="1"/>
  <c r="G115" i="30"/>
  <c r="J115" i="30" s="1"/>
  <c r="G242" i="30"/>
  <c r="J242" i="30" s="1"/>
  <c r="G226" i="30"/>
  <c r="J226" i="30" s="1"/>
  <c r="G210" i="30"/>
  <c r="J210" i="30" s="1"/>
  <c r="G194" i="30"/>
  <c r="J194" i="30" s="1"/>
  <c r="G178" i="30"/>
  <c r="J178" i="30" s="1"/>
  <c r="G162" i="30"/>
  <c r="J162" i="30" s="1"/>
  <c r="G146" i="30"/>
  <c r="J146" i="30" s="1"/>
  <c r="G130" i="30"/>
  <c r="J130" i="30" s="1"/>
  <c r="G114" i="30"/>
  <c r="J114" i="30" s="1"/>
  <c r="G241" i="30"/>
  <c r="J241" i="30" s="1"/>
  <c r="G225" i="30"/>
  <c r="J225" i="30" s="1"/>
  <c r="G209" i="30"/>
  <c r="J209" i="30" s="1"/>
  <c r="G193" i="30"/>
  <c r="J193" i="30" s="1"/>
  <c r="G177" i="30"/>
  <c r="J177" i="30" s="1"/>
  <c r="G161" i="30"/>
  <c r="J161" i="30" s="1"/>
  <c r="G145" i="30"/>
  <c r="J145" i="30" s="1"/>
  <c r="G129" i="30"/>
  <c r="J129" i="30" s="1"/>
  <c r="G113" i="30"/>
  <c r="J113" i="30" s="1"/>
  <c r="G240" i="30"/>
  <c r="J240" i="30" s="1"/>
  <c r="G224" i="30"/>
  <c r="J224" i="30" s="1"/>
  <c r="G208" i="30"/>
  <c r="J208" i="30" s="1"/>
  <c r="G192" i="30"/>
  <c r="J192" i="30" s="1"/>
  <c r="G176" i="30"/>
  <c r="J176" i="30" s="1"/>
  <c r="G160" i="30"/>
  <c r="J160" i="30" s="1"/>
  <c r="G144" i="30"/>
  <c r="J144" i="30" s="1"/>
  <c r="G128" i="30"/>
  <c r="J128" i="30" s="1"/>
  <c r="G112" i="30"/>
  <c r="J112" i="30" s="1"/>
  <c r="G239" i="30"/>
  <c r="J239" i="30" s="1"/>
  <c r="G223" i="30"/>
  <c r="J223" i="30" s="1"/>
  <c r="G207" i="30"/>
  <c r="J207" i="30" s="1"/>
  <c r="G191" i="30"/>
  <c r="J191" i="30" s="1"/>
  <c r="G175" i="30"/>
  <c r="J175" i="30" s="1"/>
  <c r="G159" i="30"/>
  <c r="J159" i="30" s="1"/>
  <c r="G143" i="30"/>
  <c r="J143" i="30" s="1"/>
  <c r="G127" i="30"/>
  <c r="J127" i="30" s="1"/>
  <c r="G111" i="30"/>
  <c r="J111" i="30" s="1"/>
  <c r="G238" i="30"/>
  <c r="J238" i="30" s="1"/>
  <c r="G222" i="30"/>
  <c r="J222" i="30" s="1"/>
  <c r="G206" i="30"/>
  <c r="J206" i="30" s="1"/>
  <c r="G190" i="30"/>
  <c r="J190" i="30" s="1"/>
  <c r="G174" i="30"/>
  <c r="J174" i="30" s="1"/>
  <c r="G158" i="30"/>
  <c r="J158" i="30" s="1"/>
  <c r="G142" i="30"/>
  <c r="J142" i="30" s="1"/>
  <c r="G126" i="30"/>
  <c r="J126" i="30" s="1"/>
  <c r="G110" i="30"/>
  <c r="J110" i="30" s="1"/>
  <c r="G237" i="30"/>
  <c r="J237" i="30" s="1"/>
  <c r="G221" i="30"/>
  <c r="J221" i="30" s="1"/>
  <c r="G205" i="30"/>
  <c r="J205" i="30" s="1"/>
  <c r="G189" i="30"/>
  <c r="J189" i="30" s="1"/>
  <c r="G173" i="30"/>
  <c r="J173" i="30" s="1"/>
  <c r="G157" i="30"/>
  <c r="J157" i="30" s="1"/>
  <c r="G141" i="30"/>
  <c r="J141" i="30" s="1"/>
  <c r="G125" i="30"/>
  <c r="J125" i="30" s="1"/>
  <c r="G109" i="30"/>
  <c r="J109" i="30" s="1"/>
  <c r="AU191" i="39"/>
  <c r="AU212" i="39"/>
  <c r="AU118" i="39"/>
  <c r="AU218" i="39"/>
  <c r="AU125" i="39"/>
  <c r="AN107" i="39"/>
  <c r="AO107" i="39" s="1"/>
  <c r="AP107" i="39" s="1"/>
  <c r="AO101" i="39"/>
  <c r="AP101" i="39" s="1"/>
  <c r="AU225" i="39"/>
  <c r="AU240" i="39"/>
  <c r="AU127" i="39"/>
  <c r="AN112" i="39"/>
  <c r="AO112" i="39" s="1"/>
  <c r="AP112" i="39" s="1"/>
  <c r="AU182" i="39"/>
  <c r="AU154" i="39"/>
  <c r="AU137" i="39"/>
  <c r="AU109" i="37"/>
  <c r="L111" i="38"/>
  <c r="I111" i="38"/>
  <c r="L102" i="38"/>
  <c r="L105" i="37"/>
  <c r="L107" i="39"/>
  <c r="I107" i="39"/>
  <c r="L106" i="39"/>
  <c r="I106" i="39"/>
  <c r="AU137" i="37"/>
  <c r="AU113" i="37"/>
  <c r="AU116" i="37"/>
  <c r="AN105" i="40"/>
  <c r="AO105" i="40" s="1"/>
  <c r="AP105" i="40" s="1"/>
  <c r="AU162" i="40"/>
  <c r="AU175" i="40"/>
  <c r="AU186" i="40"/>
  <c r="AU242" i="40"/>
  <c r="AU106" i="40"/>
  <c r="AU207" i="40"/>
  <c r="AU146" i="40"/>
  <c r="AU247" i="40"/>
  <c r="AU128" i="40"/>
  <c r="AU192" i="40"/>
  <c r="AU137" i="40"/>
  <c r="AU201" i="40"/>
  <c r="AU109" i="40"/>
  <c r="AN113" i="40"/>
  <c r="AO113" i="40" s="1"/>
  <c r="AP113" i="40" s="1"/>
  <c r="AN104" i="40"/>
  <c r="AO104" i="40" s="1"/>
  <c r="AP104" i="40" s="1"/>
  <c r="V120" i="39"/>
  <c r="W115" i="39"/>
  <c r="W116" i="39" s="1"/>
  <c r="W117" i="39" s="1"/>
  <c r="AU203" i="39"/>
  <c r="AU149" i="39"/>
  <c r="AU136" i="39"/>
  <c r="AU112" i="39"/>
  <c r="AU211" i="39"/>
  <c r="AU148" i="39"/>
  <c r="AU246" i="39"/>
  <c r="AN171" i="39"/>
  <c r="AO171" i="39" s="1"/>
  <c r="AP171" i="39" s="1"/>
  <c r="AR171" i="39"/>
  <c r="AQ172" i="39"/>
  <c r="AN104" i="39"/>
  <c r="AO104" i="39" s="1"/>
  <c r="AP104" i="39" s="1"/>
  <c r="AQ150" i="39"/>
  <c r="AR149" i="39"/>
  <c r="AN149" i="39"/>
  <c r="AO149" i="39" s="1"/>
  <c r="AP149" i="39" s="1"/>
  <c r="AN147" i="39"/>
  <c r="AO147" i="39" s="1"/>
  <c r="AP147" i="39" s="1"/>
  <c r="AQ148" i="39"/>
  <c r="AR147" i="39"/>
  <c r="AQ144" i="39"/>
  <c r="AN143" i="39"/>
  <c r="AO143" i="39" s="1"/>
  <c r="AP143" i="39" s="1"/>
  <c r="AR143" i="39"/>
  <c r="AN118" i="39"/>
  <c r="AO118" i="39" s="1"/>
  <c r="AP118" i="39" s="1"/>
  <c r="AQ119" i="39"/>
  <c r="AR118" i="39"/>
  <c r="AQ134" i="39"/>
  <c r="AR133" i="39"/>
  <c r="AN133" i="39"/>
  <c r="AO133" i="39" s="1"/>
  <c r="AP133" i="39" s="1"/>
  <c r="AQ138" i="39"/>
  <c r="AR137" i="39"/>
  <c r="AN137" i="39"/>
  <c r="AO137" i="39" s="1"/>
  <c r="AP137" i="39" s="1"/>
  <c r="AN102" i="39"/>
  <c r="AO102" i="39" s="1"/>
  <c r="AP102" i="39" s="1"/>
  <c r="AN159" i="39"/>
  <c r="AO159" i="39" s="1"/>
  <c r="AP159" i="39" s="1"/>
  <c r="AQ160" i="39"/>
  <c r="AR159" i="39"/>
  <c r="AR152" i="39"/>
  <c r="AQ153" i="39"/>
  <c r="AN152" i="39"/>
  <c r="AO152" i="39" s="1"/>
  <c r="AP152" i="39" s="1"/>
  <c r="AR148" i="39"/>
  <c r="AQ149" i="39"/>
  <c r="AN148" i="39"/>
  <c r="AO148" i="39" s="1"/>
  <c r="AP148" i="39" s="1"/>
  <c r="AN175" i="39"/>
  <c r="AO175" i="39" s="1"/>
  <c r="AP175" i="39" s="1"/>
  <c r="AR175" i="39"/>
  <c r="AQ176" i="39"/>
  <c r="AQ200" i="39"/>
  <c r="AR199" i="39"/>
  <c r="AN199" i="39"/>
  <c r="AO199" i="39" s="1"/>
  <c r="AP199" i="39" s="1"/>
  <c r="AR182" i="39"/>
  <c r="AQ183" i="39"/>
  <c r="AN182" i="39"/>
  <c r="AO182" i="39" s="1"/>
  <c r="AP182" i="39" s="1"/>
  <c r="AR206" i="39"/>
  <c r="AQ207" i="39"/>
  <c r="AN206" i="39"/>
  <c r="AO206" i="39" s="1"/>
  <c r="AP206" i="39" s="1"/>
  <c r="AQ223" i="39"/>
  <c r="AN222" i="39"/>
  <c r="AO222" i="39" s="1"/>
  <c r="AP222" i="39" s="1"/>
  <c r="AR222" i="39"/>
  <c r="AQ244" i="39"/>
  <c r="AR243" i="39"/>
  <c r="AN243" i="39"/>
  <c r="AO243" i="39" s="1"/>
  <c r="AP243" i="39" s="1"/>
  <c r="AQ242" i="39"/>
  <c r="AN241" i="39"/>
  <c r="AO241" i="39" s="1"/>
  <c r="AP241" i="39" s="1"/>
  <c r="AR241" i="39"/>
  <c r="AU201" i="39"/>
  <c r="AQ231" i="39"/>
  <c r="AR230" i="39"/>
  <c r="AN230" i="39"/>
  <c r="AO230" i="39" s="1"/>
  <c r="AP230" i="39" s="1"/>
  <c r="AR247" i="39"/>
  <c r="AQ248" i="39"/>
  <c r="AN247" i="39"/>
  <c r="AO247" i="39" s="1"/>
  <c r="AP247" i="39" s="1"/>
  <c r="AU233" i="39"/>
  <c r="AU165" i="39"/>
  <c r="AU152" i="39"/>
  <c r="AU141" i="39"/>
  <c r="AU128" i="39"/>
  <c r="AU113" i="39"/>
  <c r="AU241" i="39"/>
  <c r="AU227" i="39"/>
  <c r="AU162" i="39"/>
  <c r="AU226" i="39"/>
  <c r="AU156" i="39"/>
  <c r="AU220" i="39"/>
  <c r="AU126" i="39"/>
  <c r="AU190" i="39"/>
  <c r="AU135" i="39"/>
  <c r="AU199" i="39"/>
  <c r="AO110" i="39"/>
  <c r="AP110" i="39" s="1"/>
  <c r="AN117" i="39"/>
  <c r="AO117" i="39" s="1"/>
  <c r="AP117" i="39" s="1"/>
  <c r="AQ118" i="39"/>
  <c r="AR117" i="39"/>
  <c r="AQ142" i="39"/>
  <c r="AN141" i="39"/>
  <c r="AO141" i="39" s="1"/>
  <c r="AP141" i="39" s="1"/>
  <c r="AR141" i="39"/>
  <c r="AN138" i="39"/>
  <c r="AO138" i="39" s="1"/>
  <c r="AP138" i="39" s="1"/>
  <c r="AR138" i="39"/>
  <c r="AQ139" i="39"/>
  <c r="AR150" i="39"/>
  <c r="AQ151" i="39"/>
  <c r="AN150" i="39"/>
  <c r="AO150" i="39" s="1"/>
  <c r="AP150" i="39" s="1"/>
  <c r="AR120" i="39"/>
  <c r="AN120" i="39"/>
  <c r="AO120" i="39" s="1"/>
  <c r="AP120" i="39" s="1"/>
  <c r="AQ121" i="39"/>
  <c r="AR128" i="39"/>
  <c r="AN128" i="39"/>
  <c r="AO128" i="39" s="1"/>
  <c r="AP128" i="39" s="1"/>
  <c r="AQ129" i="39"/>
  <c r="AQ140" i="39"/>
  <c r="AR139" i="39"/>
  <c r="AN139" i="39"/>
  <c r="AO139" i="39" s="1"/>
  <c r="AP139" i="39" s="1"/>
  <c r="AN114" i="39"/>
  <c r="AO114" i="39" s="1"/>
  <c r="AP114" i="39" s="1"/>
  <c r="AQ184" i="39"/>
  <c r="AR183" i="39"/>
  <c r="AN183" i="39"/>
  <c r="AO183" i="39" s="1"/>
  <c r="AP183" i="39" s="1"/>
  <c r="AQ164" i="39"/>
  <c r="AN163" i="39"/>
  <c r="AO163" i="39" s="1"/>
  <c r="AP163" i="39" s="1"/>
  <c r="AR163" i="39"/>
  <c r="AN217" i="39"/>
  <c r="AO217" i="39" s="1"/>
  <c r="AP217" i="39" s="1"/>
  <c r="AQ218" i="39"/>
  <c r="AR217" i="39"/>
  <c r="AR192" i="39"/>
  <c r="AQ193" i="39"/>
  <c r="AN192" i="39"/>
  <c r="AO192" i="39" s="1"/>
  <c r="AP192" i="39" s="1"/>
  <c r="AQ226" i="39"/>
  <c r="AN225" i="39"/>
  <c r="AO225" i="39" s="1"/>
  <c r="AP225" i="39" s="1"/>
  <c r="AR225" i="39"/>
  <c r="AR197" i="39"/>
  <c r="AQ198" i="39"/>
  <c r="AN197" i="39"/>
  <c r="AO197" i="39" s="1"/>
  <c r="AP197" i="39" s="1"/>
  <c r="AR220" i="39"/>
  <c r="AQ221" i="39"/>
  <c r="AN220" i="39"/>
  <c r="AO220" i="39" s="1"/>
  <c r="AP220" i="39" s="1"/>
  <c r="AR239" i="39"/>
  <c r="AQ240" i="39"/>
  <c r="AN239" i="39"/>
  <c r="AO239" i="39" s="1"/>
  <c r="AP239" i="39" s="1"/>
  <c r="AU153" i="39"/>
  <c r="AU123" i="39"/>
  <c r="AN231" i="39"/>
  <c r="AO231" i="39" s="1"/>
  <c r="AP231" i="39" s="1"/>
  <c r="AQ232" i="39"/>
  <c r="AR231" i="39"/>
  <c r="AU181" i="39"/>
  <c r="AU168" i="39"/>
  <c r="AU157" i="39"/>
  <c r="AU144" i="39"/>
  <c r="AU129" i="39"/>
  <c r="AU115" i="39"/>
  <c r="AU243" i="39"/>
  <c r="AU106" i="39"/>
  <c r="AU170" i="39"/>
  <c r="AU234" i="39"/>
  <c r="AU100" i="39"/>
  <c r="AU164" i="39"/>
  <c r="AU228" i="39"/>
  <c r="AU134" i="39"/>
  <c r="AU198" i="39"/>
  <c r="AU143" i="39"/>
  <c r="AU207" i="39"/>
  <c r="AR200" i="39"/>
  <c r="AN200" i="39"/>
  <c r="AO200" i="39" s="1"/>
  <c r="AP200" i="39" s="1"/>
  <c r="AQ201" i="39"/>
  <c r="AR116" i="39"/>
  <c r="AQ117" i="39"/>
  <c r="AN116" i="39"/>
  <c r="AO116" i="39" s="1"/>
  <c r="AP116" i="39" s="1"/>
  <c r="AN145" i="39"/>
  <c r="AO145" i="39" s="1"/>
  <c r="AP145" i="39" s="1"/>
  <c r="AQ146" i="39"/>
  <c r="AR145" i="39"/>
  <c r="AN111" i="39"/>
  <c r="AO111" i="39" s="1"/>
  <c r="AP111" i="39" s="1"/>
  <c r="AN134" i="39"/>
  <c r="AO134" i="39" s="1"/>
  <c r="AP134" i="39" s="1"/>
  <c r="AQ135" i="39"/>
  <c r="AR134" i="39"/>
  <c r="X100" i="39"/>
  <c r="Y100" i="39" s="1"/>
  <c r="Z100" i="39" s="1"/>
  <c r="AQ122" i="39"/>
  <c r="AR121" i="39"/>
  <c r="AN121" i="39"/>
  <c r="AO121" i="39" s="1"/>
  <c r="AP121" i="39" s="1"/>
  <c r="AQ126" i="39"/>
  <c r="AR125" i="39"/>
  <c r="AN125" i="39"/>
  <c r="AO125" i="39" s="1"/>
  <c r="AP125" i="39" s="1"/>
  <c r="AR156" i="39"/>
  <c r="AQ157" i="39"/>
  <c r="AN156" i="39"/>
  <c r="AO156" i="39" s="1"/>
  <c r="AP156" i="39" s="1"/>
  <c r="AR210" i="39"/>
  <c r="AN210" i="39"/>
  <c r="AO210" i="39" s="1"/>
  <c r="AP210" i="39" s="1"/>
  <c r="AQ211" i="39"/>
  <c r="AQ177" i="39"/>
  <c r="AR176" i="39"/>
  <c r="AN176" i="39"/>
  <c r="AO176" i="39" s="1"/>
  <c r="AP176" i="39" s="1"/>
  <c r="AQ179" i="39"/>
  <c r="AR178" i="39"/>
  <c r="AN178" i="39"/>
  <c r="AO178" i="39" s="1"/>
  <c r="AP178" i="39" s="1"/>
  <c r="AR201" i="39"/>
  <c r="AN201" i="39"/>
  <c r="AO201" i="39" s="1"/>
  <c r="AP201" i="39" s="1"/>
  <c r="AQ202" i="39"/>
  <c r="AN173" i="39"/>
  <c r="AO173" i="39" s="1"/>
  <c r="AP173" i="39" s="1"/>
  <c r="AR173" i="39"/>
  <c r="AQ174" i="39"/>
  <c r="AQ212" i="39"/>
  <c r="AN211" i="39"/>
  <c r="AO211" i="39" s="1"/>
  <c r="AP211" i="39" s="1"/>
  <c r="AR211" i="39"/>
  <c r="AN207" i="39"/>
  <c r="AO207" i="39" s="1"/>
  <c r="AP207" i="39" s="1"/>
  <c r="AQ208" i="39"/>
  <c r="AR207" i="39"/>
  <c r="AR234" i="39"/>
  <c r="AN234" i="39"/>
  <c r="AO234" i="39" s="1"/>
  <c r="AP234" i="39" s="1"/>
  <c r="AQ235" i="39"/>
  <c r="AU217" i="39"/>
  <c r="AR249" i="39"/>
  <c r="AQ250" i="39"/>
  <c r="AN249" i="39"/>
  <c r="AO249" i="39" s="1"/>
  <c r="AP249" i="39" s="1"/>
  <c r="AQ230" i="39"/>
  <c r="AR229" i="39"/>
  <c r="AN229" i="39"/>
  <c r="AO229" i="39" s="1"/>
  <c r="AP229" i="39" s="1"/>
  <c r="AN248" i="39"/>
  <c r="AO248" i="39" s="1"/>
  <c r="AP248" i="39" s="1"/>
  <c r="AQ249" i="39"/>
  <c r="AR248" i="39"/>
  <c r="AU197" i="39"/>
  <c r="AU184" i="39"/>
  <c r="AU173" i="39"/>
  <c r="AU160" i="39"/>
  <c r="AU145" i="39"/>
  <c r="AU131" i="39"/>
  <c r="AU178" i="39"/>
  <c r="AU242" i="39"/>
  <c r="AU108" i="39"/>
  <c r="AU172" i="39"/>
  <c r="AU236" i="39"/>
  <c r="AU142" i="39"/>
  <c r="AU206" i="39"/>
  <c r="AU151" i="39"/>
  <c r="AU215" i="39"/>
  <c r="AQ128" i="39"/>
  <c r="AR127" i="39"/>
  <c r="AN127" i="39"/>
  <c r="AO127" i="39" s="1"/>
  <c r="AP127" i="39" s="1"/>
  <c r="AQ220" i="39"/>
  <c r="AN219" i="39"/>
  <c r="AO219" i="39" s="1"/>
  <c r="AP219" i="39" s="1"/>
  <c r="AR219" i="39"/>
  <c r="AN108" i="39"/>
  <c r="AO108" i="39" s="1"/>
  <c r="AP108" i="39" s="1"/>
  <c r="V119" i="39"/>
  <c r="AN140" i="39"/>
  <c r="AO140" i="39" s="1"/>
  <c r="AP140" i="39" s="1"/>
  <c r="AQ141" i="39"/>
  <c r="AR140" i="39"/>
  <c r="AQ175" i="39"/>
  <c r="AR174" i="39"/>
  <c r="AN174" i="39"/>
  <c r="AO174" i="39" s="1"/>
  <c r="AP174" i="39" s="1"/>
  <c r="AQ213" i="39"/>
  <c r="AN212" i="39"/>
  <c r="AO212" i="39" s="1"/>
  <c r="AP212" i="39" s="1"/>
  <c r="AR212" i="39"/>
  <c r="AR196" i="39"/>
  <c r="AQ197" i="39"/>
  <c r="AN196" i="39"/>
  <c r="AO196" i="39" s="1"/>
  <c r="AP196" i="39" s="1"/>
  <c r="AR216" i="39"/>
  <c r="AQ217" i="39"/>
  <c r="AN216" i="39"/>
  <c r="AO216" i="39" s="1"/>
  <c r="AP216" i="39" s="1"/>
  <c r="AN179" i="39"/>
  <c r="AO179" i="39" s="1"/>
  <c r="AP179" i="39" s="1"/>
  <c r="AR179" i="39"/>
  <c r="AQ180" i="39"/>
  <c r="AN185" i="39"/>
  <c r="AO185" i="39" s="1"/>
  <c r="AP185" i="39" s="1"/>
  <c r="AQ186" i="39"/>
  <c r="AR185" i="39"/>
  <c r="AR223" i="39"/>
  <c r="AN223" i="39"/>
  <c r="AO223" i="39" s="1"/>
  <c r="AP223" i="39" s="1"/>
  <c r="AQ224" i="39"/>
  <c r="AR164" i="39"/>
  <c r="AQ165" i="39"/>
  <c r="AN164" i="39"/>
  <c r="AO164" i="39" s="1"/>
  <c r="AP164" i="39" s="1"/>
  <c r="AN193" i="39"/>
  <c r="AO193" i="39" s="1"/>
  <c r="AP193" i="39" s="1"/>
  <c r="AQ194" i="39"/>
  <c r="AR193" i="39"/>
  <c r="AN191" i="39"/>
  <c r="AO191" i="39" s="1"/>
  <c r="AP191" i="39" s="1"/>
  <c r="AQ192" i="39"/>
  <c r="AR191" i="39"/>
  <c r="AN214" i="39"/>
  <c r="AO214" i="39" s="1"/>
  <c r="AP214" i="39" s="1"/>
  <c r="AQ215" i="39"/>
  <c r="AR214" i="39"/>
  <c r="AN218" i="39"/>
  <c r="AO218" i="39" s="1"/>
  <c r="AP218" i="39" s="1"/>
  <c r="AQ219" i="39"/>
  <c r="AR218" i="39"/>
  <c r="AQ229" i="39"/>
  <c r="AN228" i="39"/>
  <c r="AO228" i="39" s="1"/>
  <c r="AP228" i="39" s="1"/>
  <c r="AR228" i="39"/>
  <c r="AU185" i="39"/>
  <c r="AU107" i="39"/>
  <c r="AQ233" i="39"/>
  <c r="AR232" i="39"/>
  <c r="AN232" i="39"/>
  <c r="AO232" i="39" s="1"/>
  <c r="AP232" i="39" s="1"/>
  <c r="AU213" i="39"/>
  <c r="AU200" i="39"/>
  <c r="AU189" i="39"/>
  <c r="AU176" i="39"/>
  <c r="AU161" i="39"/>
  <c r="AU147" i="39"/>
  <c r="AU122" i="39"/>
  <c r="AU186" i="39"/>
  <c r="AU250" i="39"/>
  <c r="AU116" i="39"/>
  <c r="AU180" i="39"/>
  <c r="AU244" i="39"/>
  <c r="AU150" i="39"/>
  <c r="AU214" i="39"/>
  <c r="AU159" i="39"/>
  <c r="AU223" i="39"/>
  <c r="AR154" i="39"/>
  <c r="AQ155" i="39"/>
  <c r="AN154" i="39"/>
  <c r="AO154" i="39" s="1"/>
  <c r="AP154" i="39" s="1"/>
  <c r="AN203" i="39"/>
  <c r="AO203" i="39" s="1"/>
  <c r="AP203" i="39" s="1"/>
  <c r="AR203" i="39"/>
  <c r="AQ204" i="39"/>
  <c r="AR209" i="39"/>
  <c r="AQ210" i="39"/>
  <c r="AN209" i="39"/>
  <c r="AO209" i="39" s="1"/>
  <c r="AP209" i="39" s="1"/>
  <c r="AN195" i="39"/>
  <c r="AO195" i="39" s="1"/>
  <c r="AP195" i="39" s="1"/>
  <c r="AQ196" i="39"/>
  <c r="AR195" i="39"/>
  <c r="AQ241" i="39"/>
  <c r="AN240" i="39"/>
  <c r="AO240" i="39" s="1"/>
  <c r="AP240" i="39" s="1"/>
  <c r="AR240" i="39"/>
  <c r="AN246" i="39"/>
  <c r="AO246" i="39" s="1"/>
  <c r="AP246" i="39" s="1"/>
  <c r="AQ247" i="39"/>
  <c r="AR246" i="39"/>
  <c r="AU169" i="39"/>
  <c r="AN162" i="39"/>
  <c r="AO162" i="39" s="1"/>
  <c r="AP162" i="39" s="1"/>
  <c r="AQ163" i="39"/>
  <c r="AR162" i="39"/>
  <c r="AN113" i="39"/>
  <c r="AQ136" i="39"/>
  <c r="AR135" i="39"/>
  <c r="AN135" i="39"/>
  <c r="AO135" i="39" s="1"/>
  <c r="AP135" i="39" s="1"/>
  <c r="AQ120" i="39"/>
  <c r="AR119" i="39"/>
  <c r="AN119" i="39"/>
  <c r="AO119" i="39" s="1"/>
  <c r="AP119" i="39" s="1"/>
  <c r="AQ132" i="39"/>
  <c r="AR131" i="39"/>
  <c r="AN131" i="39"/>
  <c r="AO131" i="39" s="1"/>
  <c r="AP131" i="39" s="1"/>
  <c r="AN167" i="39"/>
  <c r="AO167" i="39" s="1"/>
  <c r="AP167" i="39" s="1"/>
  <c r="AR167" i="39"/>
  <c r="AQ168" i="39"/>
  <c r="AQ159" i="39"/>
  <c r="AR158" i="39"/>
  <c r="AQ171" i="39"/>
  <c r="AR170" i="39"/>
  <c r="AN170" i="39"/>
  <c r="AO170" i="39" s="1"/>
  <c r="AP170" i="39" s="1"/>
  <c r="AQ145" i="39"/>
  <c r="AR144" i="39"/>
  <c r="AN144" i="39"/>
  <c r="AO144" i="39" s="1"/>
  <c r="AP144" i="39" s="1"/>
  <c r="AQ222" i="39"/>
  <c r="AR221" i="39"/>
  <c r="AN221" i="39"/>
  <c r="AO221" i="39" s="1"/>
  <c r="AP221" i="39" s="1"/>
  <c r="AR188" i="39"/>
  <c r="AN188" i="39"/>
  <c r="AO188" i="39" s="1"/>
  <c r="AP188" i="39" s="1"/>
  <c r="AQ189" i="39"/>
  <c r="AR227" i="39"/>
  <c r="AN227" i="39"/>
  <c r="AO227" i="39" s="1"/>
  <c r="AP227" i="39" s="1"/>
  <c r="AQ228" i="39"/>
  <c r="AR165" i="39"/>
  <c r="AQ166" i="39"/>
  <c r="AN165" i="39"/>
  <c r="AO165" i="39" s="1"/>
  <c r="AP165" i="39" s="1"/>
  <c r="AU249" i="39"/>
  <c r="AR190" i="39"/>
  <c r="AN190" i="39"/>
  <c r="AO190" i="39" s="1"/>
  <c r="AP190" i="39" s="1"/>
  <c r="AQ191" i="39"/>
  <c r="AR204" i="39"/>
  <c r="AQ205" i="39"/>
  <c r="AN204" i="39"/>
  <c r="AO204" i="39" s="1"/>
  <c r="AP204" i="39" s="1"/>
  <c r="AQ214" i="39"/>
  <c r="AR213" i="39"/>
  <c r="AN213" i="39"/>
  <c r="AO213" i="39" s="1"/>
  <c r="AP213" i="39" s="1"/>
  <c r="AU121" i="39"/>
  <c r="AQ238" i="39"/>
  <c r="AN237" i="39"/>
  <c r="AO237" i="39" s="1"/>
  <c r="AP237" i="39" s="1"/>
  <c r="AR237" i="39"/>
  <c r="AU195" i="39"/>
  <c r="AU155" i="39"/>
  <c r="AQ225" i="39"/>
  <c r="AR224" i="39"/>
  <c r="AN224" i="39"/>
  <c r="AO224" i="39" s="1"/>
  <c r="AP224" i="39" s="1"/>
  <c r="AQ236" i="39"/>
  <c r="AR235" i="39"/>
  <c r="AN235" i="39"/>
  <c r="AO235" i="39" s="1"/>
  <c r="AP235" i="39" s="1"/>
  <c r="AQ245" i="39"/>
  <c r="AN244" i="39"/>
  <c r="AO244" i="39" s="1"/>
  <c r="AP244" i="39" s="1"/>
  <c r="AR244" i="39"/>
  <c r="AU101" i="39"/>
  <c r="AU229" i="39"/>
  <c r="AU216" i="39"/>
  <c r="AU205" i="39"/>
  <c r="AU235" i="39"/>
  <c r="AU192" i="39"/>
  <c r="AU177" i="39"/>
  <c r="AU163" i="39"/>
  <c r="AU130" i="39"/>
  <c r="AU194" i="39"/>
  <c r="AU124" i="39"/>
  <c r="AU188" i="39"/>
  <c r="AU158" i="39"/>
  <c r="AU222" i="39"/>
  <c r="AU103" i="39"/>
  <c r="AU167" i="39"/>
  <c r="AU231" i="39"/>
  <c r="AR122" i="39"/>
  <c r="AQ123" i="39"/>
  <c r="AN122" i="39"/>
  <c r="AO122" i="39" s="1"/>
  <c r="AP122" i="39" s="1"/>
  <c r="AN130" i="39"/>
  <c r="AO130" i="39" s="1"/>
  <c r="AP130" i="39" s="1"/>
  <c r="AR130" i="39"/>
  <c r="AQ131" i="39"/>
  <c r="AR123" i="39"/>
  <c r="AQ124" i="39"/>
  <c r="AN123" i="39"/>
  <c r="AO123" i="39" s="1"/>
  <c r="AP123" i="39" s="1"/>
  <c r="AR202" i="39"/>
  <c r="AQ203" i="39"/>
  <c r="AN202" i="39"/>
  <c r="AO202" i="39" s="1"/>
  <c r="AP202" i="39" s="1"/>
  <c r="AN181" i="39"/>
  <c r="AO181" i="39" s="1"/>
  <c r="AP181" i="39" s="1"/>
  <c r="AQ182" i="39"/>
  <c r="AR181" i="39"/>
  <c r="AN115" i="39"/>
  <c r="AO115" i="39" s="1"/>
  <c r="AP115" i="39" s="1"/>
  <c r="AR115" i="39"/>
  <c r="AQ116" i="39"/>
  <c r="AF100" i="39"/>
  <c r="AG100" i="39" s="1"/>
  <c r="AN177" i="39"/>
  <c r="AO177" i="39" s="1"/>
  <c r="AP177" i="39" s="1"/>
  <c r="AQ178" i="39"/>
  <c r="AR177" i="39"/>
  <c r="AN153" i="39"/>
  <c r="AO153" i="39" s="1"/>
  <c r="AP153" i="39" s="1"/>
  <c r="AR153" i="39"/>
  <c r="AQ154" i="39"/>
  <c r="AR146" i="39"/>
  <c r="AN146" i="39"/>
  <c r="AO146" i="39" s="1"/>
  <c r="AP146" i="39" s="1"/>
  <c r="AQ147" i="39"/>
  <c r="AN169" i="39"/>
  <c r="AO169" i="39" s="1"/>
  <c r="AP169" i="39" s="1"/>
  <c r="AR169" i="39"/>
  <c r="AQ170" i="39"/>
  <c r="AQ130" i="39"/>
  <c r="AR129" i="39"/>
  <c r="AN129" i="39"/>
  <c r="AO129" i="39" s="1"/>
  <c r="AP129" i="39" s="1"/>
  <c r="AN155" i="39"/>
  <c r="AO155" i="39" s="1"/>
  <c r="AP155" i="39" s="1"/>
  <c r="AR155" i="39"/>
  <c r="AQ156" i="39"/>
  <c r="AR124" i="39"/>
  <c r="AQ125" i="39"/>
  <c r="AN124" i="39"/>
  <c r="AO124" i="39" s="1"/>
  <c r="AP124" i="39" s="1"/>
  <c r="AQ162" i="39"/>
  <c r="AN161" i="39"/>
  <c r="AO161" i="39" s="1"/>
  <c r="AP161" i="39" s="1"/>
  <c r="AR161" i="39"/>
  <c r="AQ152" i="39"/>
  <c r="AR151" i="39"/>
  <c r="AN151" i="39"/>
  <c r="AO151" i="39" s="1"/>
  <c r="AP151" i="39" s="1"/>
  <c r="AR172" i="39"/>
  <c r="AQ173" i="39"/>
  <c r="AN172" i="39"/>
  <c r="AO172" i="39" s="1"/>
  <c r="AP172" i="39" s="1"/>
  <c r="AQ187" i="39"/>
  <c r="AN186" i="39"/>
  <c r="AO186" i="39" s="1"/>
  <c r="AP186" i="39" s="1"/>
  <c r="AR186" i="39"/>
  <c r="AQ216" i="39"/>
  <c r="AR215" i="39"/>
  <c r="AN215" i="39"/>
  <c r="AO215" i="39" s="1"/>
  <c r="AP215" i="39" s="1"/>
  <c r="AQ234" i="39"/>
  <c r="AR233" i="39"/>
  <c r="AN233" i="39"/>
  <c r="AO233" i="39" s="1"/>
  <c r="AP233" i="39" s="1"/>
  <c r="AR208" i="39"/>
  <c r="AN208" i="39"/>
  <c r="AO208" i="39" s="1"/>
  <c r="AP208" i="39" s="1"/>
  <c r="AQ209" i="39"/>
  <c r="AQ243" i="39"/>
  <c r="AN242" i="39"/>
  <c r="AO242" i="39" s="1"/>
  <c r="AP242" i="39" s="1"/>
  <c r="AR242" i="39"/>
  <c r="AR194" i="39"/>
  <c r="AQ195" i="39"/>
  <c r="AN194" i="39"/>
  <c r="AO194" i="39" s="1"/>
  <c r="AP194" i="39" s="1"/>
  <c r="AU219" i="39"/>
  <c r="AN250" i="39"/>
  <c r="AO250" i="39" s="1"/>
  <c r="AP250" i="39" s="1"/>
  <c r="AR250" i="39"/>
  <c r="AQ227" i="39"/>
  <c r="AR226" i="39"/>
  <c r="AN226" i="39"/>
  <c r="AO226" i="39" s="1"/>
  <c r="AP226" i="39" s="1"/>
  <c r="AU117" i="39"/>
  <c r="AU245" i="39"/>
  <c r="AU104" i="39"/>
  <c r="AU232" i="39"/>
  <c r="AU221" i="39"/>
  <c r="AU208" i="39"/>
  <c r="AU193" i="39"/>
  <c r="AU179" i="39"/>
  <c r="AU138" i="39"/>
  <c r="AU202" i="39"/>
  <c r="AU132" i="39"/>
  <c r="AU196" i="39"/>
  <c r="AU102" i="39"/>
  <c r="AU166" i="39"/>
  <c r="AU230" i="39"/>
  <c r="AU111" i="39"/>
  <c r="AU175" i="39"/>
  <c r="AU239" i="39"/>
  <c r="AQ181" i="39"/>
  <c r="AR180" i="39"/>
  <c r="AN180" i="39"/>
  <c r="AO180" i="39" s="1"/>
  <c r="AP180" i="39" s="1"/>
  <c r="Q248" i="30"/>
  <c r="Q240" i="30"/>
  <c r="Q232" i="30"/>
  <c r="Q224" i="30"/>
  <c r="Q216" i="30"/>
  <c r="Q208" i="30"/>
  <c r="Q200" i="30"/>
  <c r="Q192" i="30"/>
  <c r="Q184" i="30"/>
  <c r="Q176" i="30"/>
  <c r="Q168" i="30"/>
  <c r="Q160" i="30"/>
  <c r="Q152" i="30"/>
  <c r="Q144" i="30"/>
  <c r="Q136" i="30"/>
  <c r="Q128" i="30"/>
  <c r="Q120" i="30"/>
  <c r="Q112" i="30"/>
  <c r="Q104" i="30"/>
  <c r="N246" i="30"/>
  <c r="N238" i="30"/>
  <c r="N230" i="30"/>
  <c r="N222" i="30"/>
  <c r="N214" i="30"/>
  <c r="N206" i="30"/>
  <c r="N198" i="30"/>
  <c r="N190" i="30"/>
  <c r="N182" i="30"/>
  <c r="N174" i="30"/>
  <c r="N166" i="30"/>
  <c r="N158" i="30"/>
  <c r="N150" i="30"/>
  <c r="N142" i="30"/>
  <c r="N134" i="30"/>
  <c r="N126" i="30"/>
  <c r="N118" i="30"/>
  <c r="N110" i="30"/>
  <c r="N102" i="30"/>
  <c r="Q247" i="30"/>
  <c r="Q239" i="30"/>
  <c r="Q231" i="30"/>
  <c r="Q223" i="30"/>
  <c r="Q215" i="30"/>
  <c r="Q207" i="30"/>
  <c r="Q199" i="30"/>
  <c r="Q191" i="30"/>
  <c r="Q183" i="30"/>
  <c r="Q175" i="30"/>
  <c r="Q167" i="30"/>
  <c r="Q159" i="30"/>
  <c r="Q151" i="30"/>
  <c r="Q143" i="30"/>
  <c r="Q135" i="30"/>
  <c r="Q127" i="30"/>
  <c r="Q119" i="30"/>
  <c r="Q111" i="30"/>
  <c r="Q103" i="30"/>
  <c r="N245" i="30"/>
  <c r="N237" i="30"/>
  <c r="N229" i="30"/>
  <c r="N221" i="30"/>
  <c r="N213" i="30"/>
  <c r="N205" i="30"/>
  <c r="N197" i="30"/>
  <c r="N189" i="30"/>
  <c r="N181" i="30"/>
  <c r="N173" i="30"/>
  <c r="N165" i="30"/>
  <c r="N157" i="30"/>
  <c r="N149" i="30"/>
  <c r="N141" i="30"/>
  <c r="N133" i="30"/>
  <c r="N125" i="30"/>
  <c r="N117" i="30"/>
  <c r="N109" i="30"/>
  <c r="N101" i="30"/>
  <c r="Q245" i="30"/>
  <c r="Q237" i="30"/>
  <c r="Q229" i="30"/>
  <c r="Q221" i="30"/>
  <c r="Q213" i="30"/>
  <c r="Q205" i="30"/>
  <c r="Q197" i="30"/>
  <c r="Q189" i="30"/>
  <c r="Q181" i="30"/>
  <c r="Q173" i="30"/>
  <c r="Q165" i="30"/>
  <c r="Q157" i="30"/>
  <c r="Q149" i="30"/>
  <c r="Q141" i="30"/>
  <c r="Q133" i="30"/>
  <c r="Q125" i="30"/>
  <c r="Q117" i="30"/>
  <c r="Q109" i="30"/>
  <c r="Q101" i="30"/>
  <c r="N243" i="30"/>
  <c r="N235" i="30"/>
  <c r="N227" i="30"/>
  <c r="N219" i="30"/>
  <c r="N211" i="30"/>
  <c r="N203" i="30"/>
  <c r="N195" i="30"/>
  <c r="N187" i="30"/>
  <c r="N179" i="30"/>
  <c r="N171" i="30"/>
  <c r="N163" i="30"/>
  <c r="N155" i="30"/>
  <c r="N147" i="30"/>
  <c r="N139" i="30"/>
  <c r="N131" i="30"/>
  <c r="N123" i="30"/>
  <c r="N115" i="30"/>
  <c r="N107" i="30"/>
  <c r="Q243" i="30"/>
  <c r="Q235" i="30"/>
  <c r="Q227" i="30"/>
  <c r="Q219" i="30"/>
  <c r="Q211" i="30"/>
  <c r="Q203" i="30"/>
  <c r="Q195" i="30"/>
  <c r="Q187" i="30"/>
  <c r="Q179" i="30"/>
  <c r="Q171" i="30"/>
  <c r="Q163" i="30"/>
  <c r="Q155" i="30"/>
  <c r="Q147" i="30"/>
  <c r="Q139" i="30"/>
  <c r="Q131" i="30"/>
  <c r="Q123" i="30"/>
  <c r="Q115" i="30"/>
  <c r="Q107" i="30"/>
  <c r="N249" i="30"/>
  <c r="N241" i="30"/>
  <c r="N233" i="30"/>
  <c r="N225" i="30"/>
  <c r="N217" i="30"/>
  <c r="N209" i="30"/>
  <c r="N201" i="30"/>
  <c r="N193" i="30"/>
  <c r="N185" i="30"/>
  <c r="N177" i="30"/>
  <c r="N169" i="30"/>
  <c r="N161" i="30"/>
  <c r="N153" i="30"/>
  <c r="N145" i="30"/>
  <c r="N137" i="30"/>
  <c r="N129" i="30"/>
  <c r="N121" i="30"/>
  <c r="N113" i="30"/>
  <c r="N105" i="30"/>
  <c r="Q236" i="30"/>
  <c r="Q220" i="30"/>
  <c r="Q204" i="30"/>
  <c r="Q188" i="30"/>
  <c r="Q172" i="30"/>
  <c r="Q156" i="30"/>
  <c r="Q140" i="30"/>
  <c r="Q124" i="30"/>
  <c r="Q108" i="30"/>
  <c r="N250" i="30"/>
  <c r="N234" i="30"/>
  <c r="N218" i="30"/>
  <c r="N202" i="30"/>
  <c r="N186" i="30"/>
  <c r="N170" i="30"/>
  <c r="N154" i="30"/>
  <c r="N138" i="30"/>
  <c r="N122" i="30"/>
  <c r="N106" i="30"/>
  <c r="Q250" i="30"/>
  <c r="Q234" i="30"/>
  <c r="Q218" i="30"/>
  <c r="Q202" i="30"/>
  <c r="Q186" i="30"/>
  <c r="Q170" i="30"/>
  <c r="Q154" i="30"/>
  <c r="Q138" i="30"/>
  <c r="Q122" i="30"/>
  <c r="Q106" i="30"/>
  <c r="N248" i="30"/>
  <c r="N232" i="30"/>
  <c r="N216" i="30"/>
  <c r="N200" i="30"/>
  <c r="N184" i="30"/>
  <c r="N168" i="30"/>
  <c r="N152" i="30"/>
  <c r="N136" i="30"/>
  <c r="N120" i="30"/>
  <c r="N104" i="30"/>
  <c r="Q249" i="30"/>
  <c r="Q233" i="30"/>
  <c r="Q217" i="30"/>
  <c r="Q201" i="30"/>
  <c r="Q185" i="30"/>
  <c r="Q169" i="30"/>
  <c r="Q153" i="30"/>
  <c r="Q137" i="30"/>
  <c r="Q121" i="30"/>
  <c r="Q105" i="30"/>
  <c r="N247" i="30"/>
  <c r="N231" i="30"/>
  <c r="N215" i="30"/>
  <c r="N199" i="30"/>
  <c r="N183" i="30"/>
  <c r="N167" i="30"/>
  <c r="N151" i="30"/>
  <c r="N135" i="30"/>
  <c r="N119" i="30"/>
  <c r="N103" i="30"/>
  <c r="Q246" i="30"/>
  <c r="Q230" i="30"/>
  <c r="Q214" i="30"/>
  <c r="Q198" i="30"/>
  <c r="Q182" i="30"/>
  <c r="Q166" i="30"/>
  <c r="Q150" i="30"/>
  <c r="Q134" i="30"/>
  <c r="Q118" i="30"/>
  <c r="Q102" i="30"/>
  <c r="N244" i="30"/>
  <c r="N228" i="30"/>
  <c r="N212" i="30"/>
  <c r="N196" i="30"/>
  <c r="N180" i="30"/>
  <c r="N164" i="30"/>
  <c r="N148" i="30"/>
  <c r="N132" i="30"/>
  <c r="N116" i="30"/>
  <c r="N100" i="30"/>
  <c r="Q241" i="30"/>
  <c r="Q225" i="30"/>
  <c r="Q209" i="30"/>
  <c r="Q193" i="30"/>
  <c r="Q177" i="30"/>
  <c r="Q161" i="30"/>
  <c r="Q145" i="30"/>
  <c r="Q129" i="30"/>
  <c r="Q113" i="30"/>
  <c r="N239" i="30"/>
  <c r="N223" i="30"/>
  <c r="N207" i="30"/>
  <c r="N191" i="30"/>
  <c r="N175" i="30"/>
  <c r="N159" i="30"/>
  <c r="N143" i="30"/>
  <c r="N127" i="30"/>
  <c r="N111" i="30"/>
  <c r="Q238" i="30"/>
  <c r="Q222" i="30"/>
  <c r="Q206" i="30"/>
  <c r="Q190" i="30"/>
  <c r="Q174" i="30"/>
  <c r="Q158" i="30"/>
  <c r="Q142" i="30"/>
  <c r="Q126" i="30"/>
  <c r="Q110" i="30"/>
  <c r="N236" i="30"/>
  <c r="N220" i="30"/>
  <c r="N204" i="30"/>
  <c r="N188" i="30"/>
  <c r="N172" i="30"/>
  <c r="N156" i="30"/>
  <c r="N140" i="30"/>
  <c r="N124" i="30"/>
  <c r="N108" i="30"/>
  <c r="Q212" i="30"/>
  <c r="Q148" i="30"/>
  <c r="N194" i="30"/>
  <c r="N130" i="30"/>
  <c r="F100" i="30"/>
  <c r="I100" i="30" s="1"/>
  <c r="Q210" i="30"/>
  <c r="Q146" i="30"/>
  <c r="N192" i="30"/>
  <c r="N128" i="30"/>
  <c r="F111" i="30"/>
  <c r="I111" i="30" s="1"/>
  <c r="F107" i="30"/>
  <c r="I107" i="30" s="1"/>
  <c r="F103" i="30"/>
  <c r="I103" i="30" s="1"/>
  <c r="Q196" i="30"/>
  <c r="Q132" i="30"/>
  <c r="N242" i="30"/>
  <c r="N178" i="30"/>
  <c r="N114" i="30"/>
  <c r="Q194" i="30"/>
  <c r="Q130" i="30"/>
  <c r="N240" i="30"/>
  <c r="N176" i="30"/>
  <c r="N112" i="30"/>
  <c r="F110" i="30"/>
  <c r="I110" i="30" s="1"/>
  <c r="F106" i="30"/>
  <c r="I106" i="30" s="1"/>
  <c r="F102" i="30"/>
  <c r="I102" i="30" s="1"/>
  <c r="Q244" i="30"/>
  <c r="Q180" i="30"/>
  <c r="Q116" i="30"/>
  <c r="N226" i="30"/>
  <c r="N162" i="30"/>
  <c r="Q242" i="30"/>
  <c r="Q178" i="30"/>
  <c r="Q114" i="30"/>
  <c r="N224" i="30"/>
  <c r="N160" i="30"/>
  <c r="F113" i="30"/>
  <c r="I113" i="30" s="1"/>
  <c r="F109" i="30"/>
  <c r="I109" i="30" s="1"/>
  <c r="F105" i="30"/>
  <c r="I105" i="30" s="1"/>
  <c r="F101" i="30"/>
  <c r="I101" i="30" s="1"/>
  <c r="F108" i="30"/>
  <c r="I108" i="30" s="1"/>
  <c r="Q228" i="30"/>
  <c r="F104" i="30"/>
  <c r="I104" i="30" s="1"/>
  <c r="Q226" i="30"/>
  <c r="Q164" i="30"/>
  <c r="N210" i="30"/>
  <c r="G100" i="30"/>
  <c r="J100" i="30" s="1"/>
  <c r="Q162" i="30"/>
  <c r="N208" i="30"/>
  <c r="N146" i="30"/>
  <c r="F112" i="30"/>
  <c r="I112" i="30" s="1"/>
  <c r="N144" i="30"/>
  <c r="AM250" i="30"/>
  <c r="AL250" i="30"/>
  <c r="AM249" i="30"/>
  <c r="AL248" i="30"/>
  <c r="AM244" i="30"/>
  <c r="AL235" i="30"/>
  <c r="AM245" i="30"/>
  <c r="AL240" i="30"/>
  <c r="AL239" i="30"/>
  <c r="AL245" i="30"/>
  <c r="AM241" i="30"/>
  <c r="AM238" i="30"/>
  <c r="AM237" i="30"/>
  <c r="AM246" i="30"/>
  <c r="AM242" i="30"/>
  <c r="AL241" i="30"/>
  <c r="AL238" i="30"/>
  <c r="AL237" i="30"/>
  <c r="AM232" i="30"/>
  <c r="AM231" i="30"/>
  <c r="AM247" i="30"/>
  <c r="AL225" i="30"/>
  <c r="AL223" i="30"/>
  <c r="AL217" i="30"/>
  <c r="AM216" i="30"/>
  <c r="AL215" i="30"/>
  <c r="AM214" i="30"/>
  <c r="AM213" i="30"/>
  <c r="AM212" i="30"/>
  <c r="AM211" i="30"/>
  <c r="AL208" i="30"/>
  <c r="AM204" i="30"/>
  <c r="AL197" i="30"/>
  <c r="AM196" i="30"/>
  <c r="AM193" i="30"/>
  <c r="AL247" i="30"/>
  <c r="AM243" i="30"/>
  <c r="AM235" i="30"/>
  <c r="AL232" i="30"/>
  <c r="AM222" i="30"/>
  <c r="AL216" i="30"/>
  <c r="AL214" i="30"/>
  <c r="AL213" i="30"/>
  <c r="AL212" i="30"/>
  <c r="AL211" i="30"/>
  <c r="AL204" i="30"/>
  <c r="AM203" i="30"/>
  <c r="AM200" i="30"/>
  <c r="AL249" i="30"/>
  <c r="AL243" i="30"/>
  <c r="AM236" i="30"/>
  <c r="AM224" i="30"/>
  <c r="AL222" i="30"/>
  <c r="AM207" i="30"/>
  <c r="AL203" i="30"/>
  <c r="AL200" i="30"/>
  <c r="AL246" i="30"/>
  <c r="AM239" i="30"/>
  <c r="AL236" i="30"/>
  <c r="AL224" i="30"/>
  <c r="AM221" i="30"/>
  <c r="AM210" i="30"/>
  <c r="AL207" i="30"/>
  <c r="AM199" i="30"/>
  <c r="AL242" i="30"/>
  <c r="AM229" i="30"/>
  <c r="AL221" i="30"/>
  <c r="AM219" i="30"/>
  <c r="AL210" i="30"/>
  <c r="AM202" i="30"/>
  <c r="AL199" i="30"/>
  <c r="AM233" i="30"/>
  <c r="AM230" i="30"/>
  <c r="AL229" i="30"/>
  <c r="AM227" i="30"/>
  <c r="AM220" i="30"/>
  <c r="AL219" i="30"/>
  <c r="AM206" i="30"/>
  <c r="AL202" i="30"/>
  <c r="AM194" i="30"/>
  <c r="AM248" i="30"/>
  <c r="AM234" i="30"/>
  <c r="AL233" i="30"/>
  <c r="AL231" i="30"/>
  <c r="AL230" i="30"/>
  <c r="AM228" i="30"/>
  <c r="AL227" i="30"/>
  <c r="AM226" i="30"/>
  <c r="AL220" i="30"/>
  <c r="AM218" i="30"/>
  <c r="AM209" i="30"/>
  <c r="AL206" i="30"/>
  <c r="AM205" i="30"/>
  <c r="AM201" i="30"/>
  <c r="AM198" i="30"/>
  <c r="AM195" i="30"/>
  <c r="AL194" i="30"/>
  <c r="AL228" i="30"/>
  <c r="AL226" i="30"/>
  <c r="AM225" i="30"/>
  <c r="AL196" i="30"/>
  <c r="AL190" i="30"/>
  <c r="AM184" i="30"/>
  <c r="AL181" i="30"/>
  <c r="AM171" i="30"/>
  <c r="AM170" i="30"/>
  <c r="AL169" i="30"/>
  <c r="AL168" i="30"/>
  <c r="AL167" i="30"/>
  <c r="AL166" i="30"/>
  <c r="AM162" i="30"/>
  <c r="AL209" i="30"/>
  <c r="AL198" i="30"/>
  <c r="AM189" i="30"/>
  <c r="AL184" i="30"/>
  <c r="AM179" i="30"/>
  <c r="AM172" i="30"/>
  <c r="AL171" i="30"/>
  <c r="AL170" i="30"/>
  <c r="AL162" i="30"/>
  <c r="AM158" i="30"/>
  <c r="AM223" i="30"/>
  <c r="AM208" i="30"/>
  <c r="AL189" i="30"/>
  <c r="AM185" i="30"/>
  <c r="AM180" i="30"/>
  <c r="AL179" i="30"/>
  <c r="AM178" i="30"/>
  <c r="AM177" i="30"/>
  <c r="AM175" i="30"/>
  <c r="AM173" i="30"/>
  <c r="AL172" i="30"/>
  <c r="AM161" i="30"/>
  <c r="AL158" i="30"/>
  <c r="AM154" i="30"/>
  <c r="AM152" i="30"/>
  <c r="AM149" i="30"/>
  <c r="AL218" i="30"/>
  <c r="AM217" i="30"/>
  <c r="AL205" i="30"/>
  <c r="AM197" i="30"/>
  <c r="AL195" i="30"/>
  <c r="AL185" i="30"/>
  <c r="AM183" i="30"/>
  <c r="AL180" i="30"/>
  <c r="AL178" i="30"/>
  <c r="AL177" i="30"/>
  <c r="AM176" i="30"/>
  <c r="AL175" i="30"/>
  <c r="AM174" i="30"/>
  <c r="AL173" i="30"/>
  <c r="AL161" i="30"/>
  <c r="AM155" i="30"/>
  <c r="AL154" i="30"/>
  <c r="AL152" i="30"/>
  <c r="AL149" i="30"/>
  <c r="AM147" i="30"/>
  <c r="AL234" i="30"/>
  <c r="AM188" i="30"/>
  <c r="AM187" i="30"/>
  <c r="AM186" i="30"/>
  <c r="AL183" i="30"/>
  <c r="AM240" i="30"/>
  <c r="AM215" i="30"/>
  <c r="AM192" i="30"/>
  <c r="AL188" i="30"/>
  <c r="AL187" i="30"/>
  <c r="AL186" i="30"/>
  <c r="AM163" i="30"/>
  <c r="AL156" i="30"/>
  <c r="AL153" i="30"/>
  <c r="AL151" i="30"/>
  <c r="AL150" i="30"/>
  <c r="AL146" i="30"/>
  <c r="AM145" i="30"/>
  <c r="AM144" i="30"/>
  <c r="AL201" i="30"/>
  <c r="AL193" i="30"/>
  <c r="AL192" i="30"/>
  <c r="AM191" i="30"/>
  <c r="AM182" i="30"/>
  <c r="AM165" i="30"/>
  <c r="AM164" i="30"/>
  <c r="AL163" i="30"/>
  <c r="AM160" i="30"/>
  <c r="AM148" i="30"/>
  <c r="AL145" i="30"/>
  <c r="AL144" i="30"/>
  <c r="AM143" i="30"/>
  <c r="AL244" i="30"/>
  <c r="AL191" i="30"/>
  <c r="AM190" i="30"/>
  <c r="AL182" i="30"/>
  <c r="AM181" i="30"/>
  <c r="AM169" i="30"/>
  <c r="AM168" i="30"/>
  <c r="AM167" i="30"/>
  <c r="AM166" i="30"/>
  <c r="AL174" i="30"/>
  <c r="AM150" i="30"/>
  <c r="AL141" i="30"/>
  <c r="AM140" i="30"/>
  <c r="AM139" i="30"/>
  <c r="AM138" i="30"/>
  <c r="AM126" i="30"/>
  <c r="AM122" i="30"/>
  <c r="AM121" i="30"/>
  <c r="AL116" i="30"/>
  <c r="W115" i="30"/>
  <c r="AM114" i="30"/>
  <c r="AL113" i="30"/>
  <c r="W110" i="30"/>
  <c r="V109" i="30"/>
  <c r="W107" i="30"/>
  <c r="AL106" i="30"/>
  <c r="AE105" i="30"/>
  <c r="AD104" i="30"/>
  <c r="AM102" i="30"/>
  <c r="V102" i="30"/>
  <c r="AL176" i="30"/>
  <c r="AL164" i="30"/>
  <c r="AL160" i="30"/>
  <c r="AL140" i="30"/>
  <c r="AL139" i="30"/>
  <c r="AL138" i="30"/>
  <c r="AM137" i="30"/>
  <c r="AM134" i="30"/>
  <c r="AL126" i="30"/>
  <c r="AL122" i="30"/>
  <c r="AL121" i="30"/>
  <c r="V115" i="30"/>
  <c r="V117" i="30" s="1"/>
  <c r="AL114" i="30"/>
  <c r="AM112" i="30"/>
  <c r="W112" i="30"/>
  <c r="W111" i="30"/>
  <c r="V110" i="30"/>
  <c r="AM109" i="30"/>
  <c r="V107" i="30"/>
  <c r="AD105" i="30"/>
  <c r="W103" i="30"/>
  <c r="AL102" i="30"/>
  <c r="AE101" i="30"/>
  <c r="AM100" i="30"/>
  <c r="W100" i="30"/>
  <c r="V99" i="30"/>
  <c r="AA100" i="30" s="1"/>
  <c r="E100" i="30" s="1"/>
  <c r="H100" i="30" s="1"/>
  <c r="AM153" i="30"/>
  <c r="AM142" i="30"/>
  <c r="AL137" i="30"/>
  <c r="AM136" i="30"/>
  <c r="AM135" i="30"/>
  <c r="AL134" i="30"/>
  <c r="AM123" i="30"/>
  <c r="AE113" i="30"/>
  <c r="AL112" i="30"/>
  <c r="V112" i="30"/>
  <c r="V111" i="30"/>
  <c r="AM110" i="30"/>
  <c r="AL109" i="30"/>
  <c r="AM108" i="30"/>
  <c r="W108" i="30"/>
  <c r="AM107" i="30"/>
  <c r="AE106" i="30"/>
  <c r="W104" i="30"/>
  <c r="V103" i="30"/>
  <c r="AD101" i="30"/>
  <c r="AL100" i="30"/>
  <c r="V100" i="30"/>
  <c r="AM159" i="30"/>
  <c r="AM157" i="30"/>
  <c r="AM151" i="30"/>
  <c r="AL148" i="30"/>
  <c r="AL142" i="30"/>
  <c r="AL136" i="30"/>
  <c r="AL135" i="30"/>
  <c r="AL123" i="30"/>
  <c r="AE114" i="30"/>
  <c r="AE115" i="30" s="1"/>
  <c r="AE116" i="30" s="1"/>
  <c r="AE117" i="30" s="1"/>
  <c r="AE118" i="30" s="1"/>
  <c r="AE119" i="30" s="1"/>
  <c r="AE120" i="30" s="1"/>
  <c r="AE121" i="30" s="1"/>
  <c r="AE122" i="30" s="1"/>
  <c r="AE123" i="30" s="1"/>
  <c r="AE124" i="30" s="1"/>
  <c r="AE125" i="30" s="1"/>
  <c r="AE126" i="30" s="1"/>
  <c r="AE127" i="30" s="1"/>
  <c r="AE128" i="30" s="1"/>
  <c r="AE129" i="30" s="1"/>
  <c r="AE130" i="30" s="1"/>
  <c r="AE131" i="30" s="1"/>
  <c r="AE132" i="30" s="1"/>
  <c r="AE133" i="30" s="1"/>
  <c r="AE134" i="30" s="1"/>
  <c r="AE135" i="30" s="1"/>
  <c r="AE136" i="30" s="1"/>
  <c r="AE137" i="30" s="1"/>
  <c r="AE138" i="30" s="1"/>
  <c r="AE139" i="30" s="1"/>
  <c r="AE140" i="30" s="1"/>
  <c r="AE141" i="30" s="1"/>
  <c r="AE142" i="30" s="1"/>
  <c r="AE143" i="30" s="1"/>
  <c r="AE144" i="30" s="1"/>
  <c r="AE145" i="30" s="1"/>
  <c r="AE146" i="30" s="1"/>
  <c r="AE147" i="30" s="1"/>
  <c r="AE148" i="30" s="1"/>
  <c r="AE149" i="30" s="1"/>
  <c r="AE150" i="30" s="1"/>
  <c r="AE151" i="30" s="1"/>
  <c r="AE152" i="30" s="1"/>
  <c r="AE153" i="30" s="1"/>
  <c r="AE154" i="30" s="1"/>
  <c r="AE155" i="30" s="1"/>
  <c r="AE156" i="30" s="1"/>
  <c r="AE157" i="30" s="1"/>
  <c r="AE158" i="30" s="1"/>
  <c r="AE159" i="30" s="1"/>
  <c r="AE160" i="30" s="1"/>
  <c r="AE161" i="30" s="1"/>
  <c r="AE162" i="30" s="1"/>
  <c r="AE163" i="30" s="1"/>
  <c r="AE164" i="30" s="1"/>
  <c r="AE165" i="30" s="1"/>
  <c r="AE166" i="30" s="1"/>
  <c r="AE167" i="30" s="1"/>
  <c r="AE168" i="30" s="1"/>
  <c r="AE169" i="30" s="1"/>
  <c r="AE170" i="30" s="1"/>
  <c r="AE171" i="30" s="1"/>
  <c r="AE172" i="30" s="1"/>
  <c r="AE173" i="30" s="1"/>
  <c r="AE174" i="30" s="1"/>
  <c r="AE175" i="30" s="1"/>
  <c r="AE176" i="30" s="1"/>
  <c r="AE177" i="30" s="1"/>
  <c r="AE178" i="30" s="1"/>
  <c r="AE179" i="30" s="1"/>
  <c r="AE180" i="30" s="1"/>
  <c r="AE181" i="30" s="1"/>
  <c r="AE182" i="30" s="1"/>
  <c r="AE183" i="30" s="1"/>
  <c r="AE184" i="30" s="1"/>
  <c r="AE185" i="30" s="1"/>
  <c r="AE186" i="30" s="1"/>
  <c r="AE187" i="30" s="1"/>
  <c r="AE188" i="30" s="1"/>
  <c r="AE189" i="30" s="1"/>
  <c r="AE190" i="30" s="1"/>
  <c r="AE191" i="30" s="1"/>
  <c r="AE192" i="30" s="1"/>
  <c r="AE193" i="30" s="1"/>
  <c r="AE194" i="30" s="1"/>
  <c r="AE195" i="30" s="1"/>
  <c r="AE196" i="30" s="1"/>
  <c r="AE197" i="30" s="1"/>
  <c r="AE198" i="30" s="1"/>
  <c r="AE199" i="30" s="1"/>
  <c r="AE200" i="30" s="1"/>
  <c r="AE201" i="30" s="1"/>
  <c r="AE202" i="30" s="1"/>
  <c r="AE203" i="30" s="1"/>
  <c r="AE204" i="30" s="1"/>
  <c r="AE205" i="30" s="1"/>
  <c r="AE206" i="30" s="1"/>
  <c r="AE207" i="30" s="1"/>
  <c r="AE208" i="30" s="1"/>
  <c r="AE209" i="30" s="1"/>
  <c r="AE210" i="30" s="1"/>
  <c r="AE211" i="30" s="1"/>
  <c r="AE212" i="30" s="1"/>
  <c r="AE213" i="30" s="1"/>
  <c r="AE214" i="30" s="1"/>
  <c r="AE215" i="30" s="1"/>
  <c r="AE216" i="30" s="1"/>
  <c r="AE217" i="30" s="1"/>
  <c r="AE218" i="30" s="1"/>
  <c r="AE219" i="30" s="1"/>
  <c r="AE220" i="30" s="1"/>
  <c r="AE221" i="30" s="1"/>
  <c r="AE222" i="30" s="1"/>
  <c r="AE223" i="30" s="1"/>
  <c r="AE224" i="30" s="1"/>
  <c r="AE225" i="30" s="1"/>
  <c r="AE226" i="30" s="1"/>
  <c r="AE227" i="30" s="1"/>
  <c r="AE228" i="30" s="1"/>
  <c r="AE229" i="30" s="1"/>
  <c r="AE230" i="30" s="1"/>
  <c r="AE231" i="30" s="1"/>
  <c r="AE232" i="30" s="1"/>
  <c r="AE233" i="30" s="1"/>
  <c r="AE234" i="30" s="1"/>
  <c r="AE235" i="30" s="1"/>
  <c r="AE236" i="30" s="1"/>
  <c r="AE237" i="30" s="1"/>
  <c r="AE238" i="30" s="1"/>
  <c r="AE239" i="30" s="1"/>
  <c r="AE240" i="30" s="1"/>
  <c r="AE241" i="30" s="1"/>
  <c r="AE242" i="30" s="1"/>
  <c r="AE243" i="30" s="1"/>
  <c r="AE244" i="30" s="1"/>
  <c r="AE245" i="30" s="1"/>
  <c r="AE246" i="30" s="1"/>
  <c r="AE247" i="30" s="1"/>
  <c r="AE248" i="30" s="1"/>
  <c r="AE249" i="30" s="1"/>
  <c r="AE250" i="30" s="1"/>
  <c r="AD113" i="30"/>
  <c r="AD115" i="30" s="1"/>
  <c r="AD117" i="30" s="1"/>
  <c r="AD119" i="30" s="1"/>
  <c r="AD121" i="30" s="1"/>
  <c r="AD123" i="30" s="1"/>
  <c r="AD125" i="30" s="1"/>
  <c r="AD127" i="30" s="1"/>
  <c r="AD129" i="30" s="1"/>
  <c r="AD131" i="30" s="1"/>
  <c r="AD133" i="30" s="1"/>
  <c r="AD135" i="30" s="1"/>
  <c r="AD137" i="30" s="1"/>
  <c r="AD139" i="30" s="1"/>
  <c r="AD141" i="30" s="1"/>
  <c r="AD143" i="30" s="1"/>
  <c r="AD145" i="30" s="1"/>
  <c r="AD147" i="30" s="1"/>
  <c r="AD149" i="30" s="1"/>
  <c r="AD151" i="30" s="1"/>
  <c r="AD153" i="30" s="1"/>
  <c r="AD155" i="30" s="1"/>
  <c r="AD157" i="30" s="1"/>
  <c r="AD159" i="30" s="1"/>
  <c r="AD161" i="30" s="1"/>
  <c r="AD163" i="30" s="1"/>
  <c r="AD165" i="30" s="1"/>
  <c r="AD167" i="30" s="1"/>
  <c r="AD169" i="30" s="1"/>
  <c r="AD171" i="30" s="1"/>
  <c r="AD173" i="30" s="1"/>
  <c r="AD175" i="30" s="1"/>
  <c r="AD177" i="30" s="1"/>
  <c r="AD179" i="30" s="1"/>
  <c r="AD181" i="30" s="1"/>
  <c r="AD183" i="30" s="1"/>
  <c r="AD185" i="30" s="1"/>
  <c r="AD187" i="30" s="1"/>
  <c r="AD189" i="30" s="1"/>
  <c r="AD191" i="30" s="1"/>
  <c r="AD193" i="30" s="1"/>
  <c r="AD195" i="30" s="1"/>
  <c r="AD197" i="30" s="1"/>
  <c r="AD199" i="30" s="1"/>
  <c r="AD201" i="30" s="1"/>
  <c r="AD203" i="30" s="1"/>
  <c r="AD205" i="30" s="1"/>
  <c r="AD207" i="30" s="1"/>
  <c r="AD209" i="30" s="1"/>
  <c r="AD211" i="30" s="1"/>
  <c r="AD213" i="30" s="1"/>
  <c r="AD215" i="30" s="1"/>
  <c r="AD217" i="30" s="1"/>
  <c r="AD219" i="30" s="1"/>
  <c r="AD221" i="30" s="1"/>
  <c r="AD223" i="30" s="1"/>
  <c r="AD225" i="30" s="1"/>
  <c r="AD227" i="30" s="1"/>
  <c r="AD229" i="30" s="1"/>
  <c r="AD231" i="30" s="1"/>
  <c r="AD233" i="30" s="1"/>
  <c r="AD235" i="30" s="1"/>
  <c r="AD237" i="30" s="1"/>
  <c r="AD239" i="30" s="1"/>
  <c r="AD241" i="30" s="1"/>
  <c r="AD243" i="30" s="1"/>
  <c r="AD245" i="30" s="1"/>
  <c r="AD247" i="30" s="1"/>
  <c r="AD249" i="30" s="1"/>
  <c r="AM111" i="30"/>
  <c r="AL110" i="30"/>
  <c r="AL108" i="30"/>
  <c r="V108" i="30"/>
  <c r="AL107" i="30"/>
  <c r="AD106" i="30"/>
  <c r="W105" i="30"/>
  <c r="V104" i="30"/>
  <c r="AM103" i="30"/>
  <c r="AE102" i="30"/>
  <c r="AL159" i="30"/>
  <c r="AL157" i="30"/>
  <c r="AM156" i="30"/>
  <c r="AL147" i="30"/>
  <c r="AM131" i="30"/>
  <c r="AM129" i="30"/>
  <c r="AM128" i="30"/>
  <c r="AM124" i="30"/>
  <c r="AM117" i="30"/>
  <c r="AM115" i="30"/>
  <c r="AL111" i="30"/>
  <c r="AE109" i="30"/>
  <c r="V105" i="30"/>
  <c r="AM104" i="30"/>
  <c r="AL103" i="30"/>
  <c r="AD102" i="30"/>
  <c r="W101" i="30"/>
  <c r="AL143" i="30"/>
  <c r="AM132" i="30"/>
  <c r="AL131" i="30"/>
  <c r="AM130" i="30"/>
  <c r="AL129" i="30"/>
  <c r="AL128" i="30"/>
  <c r="AM127" i="30"/>
  <c r="AM125" i="30"/>
  <c r="AL124" i="30"/>
  <c r="AM119" i="30"/>
  <c r="AM118" i="30"/>
  <c r="AL117" i="30"/>
  <c r="AL115" i="30"/>
  <c r="W113" i="30"/>
  <c r="AE112" i="30"/>
  <c r="AE110" i="30"/>
  <c r="AD109" i="30"/>
  <c r="AE107" i="30"/>
  <c r="W106" i="30"/>
  <c r="AM105" i="30"/>
  <c r="AL104" i="30"/>
  <c r="V101" i="30"/>
  <c r="AE100" i="30"/>
  <c r="AL99" i="30"/>
  <c r="AQ100" i="30" s="1"/>
  <c r="AL165" i="30"/>
  <c r="AM146" i="30"/>
  <c r="AM133" i="30"/>
  <c r="AL132" i="30"/>
  <c r="AL130" i="30"/>
  <c r="AL127" i="30"/>
  <c r="AL125" i="30"/>
  <c r="AM120" i="30"/>
  <c r="AL119" i="30"/>
  <c r="AL118" i="30"/>
  <c r="W114" i="30"/>
  <c r="V113" i="30"/>
  <c r="AD112" i="30"/>
  <c r="AD114" i="30" s="1"/>
  <c r="AD116" i="30" s="1"/>
  <c r="AD118" i="30" s="1"/>
  <c r="AD120" i="30" s="1"/>
  <c r="AD122" i="30" s="1"/>
  <c r="AD124" i="30" s="1"/>
  <c r="AD126" i="30" s="1"/>
  <c r="AD128" i="30" s="1"/>
  <c r="AD130" i="30" s="1"/>
  <c r="AD132" i="30" s="1"/>
  <c r="AD134" i="30" s="1"/>
  <c r="AD136" i="30" s="1"/>
  <c r="AD138" i="30" s="1"/>
  <c r="AD140" i="30" s="1"/>
  <c r="AD142" i="30" s="1"/>
  <c r="AD144" i="30" s="1"/>
  <c r="AD146" i="30" s="1"/>
  <c r="AD148" i="30" s="1"/>
  <c r="AD150" i="30" s="1"/>
  <c r="AD152" i="30" s="1"/>
  <c r="AD154" i="30" s="1"/>
  <c r="AD156" i="30" s="1"/>
  <c r="AD158" i="30" s="1"/>
  <c r="AD160" i="30" s="1"/>
  <c r="AD162" i="30" s="1"/>
  <c r="AD164" i="30" s="1"/>
  <c r="AD166" i="30" s="1"/>
  <c r="AD168" i="30" s="1"/>
  <c r="AD170" i="30" s="1"/>
  <c r="AD172" i="30" s="1"/>
  <c r="AD174" i="30" s="1"/>
  <c r="AD176" i="30" s="1"/>
  <c r="AD178" i="30" s="1"/>
  <c r="AD180" i="30" s="1"/>
  <c r="AD182" i="30" s="1"/>
  <c r="AD184" i="30" s="1"/>
  <c r="AD186" i="30" s="1"/>
  <c r="AD188" i="30" s="1"/>
  <c r="AD190" i="30" s="1"/>
  <c r="AD192" i="30" s="1"/>
  <c r="AD194" i="30" s="1"/>
  <c r="AD196" i="30" s="1"/>
  <c r="AD198" i="30" s="1"/>
  <c r="AD200" i="30" s="1"/>
  <c r="AD202" i="30" s="1"/>
  <c r="AD204" i="30" s="1"/>
  <c r="AD206" i="30" s="1"/>
  <c r="AD208" i="30" s="1"/>
  <c r="AD210" i="30" s="1"/>
  <c r="AD212" i="30" s="1"/>
  <c r="AD214" i="30" s="1"/>
  <c r="AD216" i="30" s="1"/>
  <c r="AD218" i="30" s="1"/>
  <c r="AD220" i="30" s="1"/>
  <c r="AD222" i="30" s="1"/>
  <c r="AD224" i="30" s="1"/>
  <c r="AD226" i="30" s="1"/>
  <c r="AD228" i="30" s="1"/>
  <c r="AD230" i="30" s="1"/>
  <c r="AD232" i="30" s="1"/>
  <c r="AD234" i="30" s="1"/>
  <c r="AD236" i="30" s="1"/>
  <c r="AD238" i="30" s="1"/>
  <c r="AD240" i="30" s="1"/>
  <c r="AD242" i="30" s="1"/>
  <c r="AD244" i="30" s="1"/>
  <c r="AD246" i="30" s="1"/>
  <c r="AD248" i="30" s="1"/>
  <c r="AD250" i="30" s="1"/>
  <c r="AE111" i="30"/>
  <c r="AD110" i="30"/>
  <c r="AE108" i="30"/>
  <c r="AD107" i="30"/>
  <c r="V106" i="30"/>
  <c r="AL105" i="30"/>
  <c r="AE103" i="30"/>
  <c r="AM101" i="30"/>
  <c r="AD100" i="30"/>
  <c r="AL155" i="30"/>
  <c r="AM141" i="30"/>
  <c r="AL133" i="30"/>
  <c r="AL120" i="30"/>
  <c r="AM116" i="30"/>
  <c r="AM113" i="30"/>
  <c r="AD111" i="30"/>
  <c r="W109" i="30"/>
  <c r="AD108" i="30"/>
  <c r="AM106" i="30"/>
  <c r="AE104" i="30"/>
  <c r="AD103" i="30"/>
  <c r="W102" i="30"/>
  <c r="AL101" i="30"/>
  <c r="AD99" i="30"/>
  <c r="AI100" i="30" s="1"/>
  <c r="F114" i="30" s="1"/>
  <c r="I114" i="30" s="1"/>
  <c r="AN126" i="39"/>
  <c r="AO126" i="39" s="1"/>
  <c r="AP126" i="39" s="1"/>
  <c r="AR126" i="39"/>
  <c r="AQ127" i="39"/>
  <c r="AN106" i="39"/>
  <c r="AO106" i="39" s="1"/>
  <c r="AP106" i="39" s="1"/>
  <c r="AQ143" i="39"/>
  <c r="AN142" i="39"/>
  <c r="AO142" i="39" s="1"/>
  <c r="AP142" i="39" s="1"/>
  <c r="AR142" i="39"/>
  <c r="AN100" i="39"/>
  <c r="AO100" i="39" s="1"/>
  <c r="AP100" i="39" s="1"/>
  <c r="AN132" i="39"/>
  <c r="AO132" i="39" s="1"/>
  <c r="AP132" i="39" s="1"/>
  <c r="AR132" i="39"/>
  <c r="AQ133" i="39"/>
  <c r="AN136" i="39"/>
  <c r="AO136" i="39" s="1"/>
  <c r="AP136" i="39" s="1"/>
  <c r="AR136" i="39"/>
  <c r="AQ137" i="39"/>
  <c r="AN158" i="39"/>
  <c r="AO158" i="39" s="1"/>
  <c r="AP158" i="39" s="1"/>
  <c r="AQ158" i="39"/>
  <c r="AR157" i="39"/>
  <c r="AN157" i="39"/>
  <c r="AO157" i="39" s="1"/>
  <c r="AP157" i="39" s="1"/>
  <c r="AN109" i="39"/>
  <c r="AO109" i="39" s="1"/>
  <c r="AP109" i="39" s="1"/>
  <c r="AQ167" i="39"/>
  <c r="AR166" i="39"/>
  <c r="AN166" i="39"/>
  <c r="AO166" i="39" s="1"/>
  <c r="AP166" i="39" s="1"/>
  <c r="AR198" i="39"/>
  <c r="AQ199" i="39"/>
  <c r="AN198" i="39"/>
  <c r="AO198" i="39" s="1"/>
  <c r="AP198" i="39" s="1"/>
  <c r="AR184" i="39"/>
  <c r="AN184" i="39"/>
  <c r="AO184" i="39" s="1"/>
  <c r="AP184" i="39" s="1"/>
  <c r="AQ185" i="39"/>
  <c r="AN160" i="39"/>
  <c r="AO160" i="39" s="1"/>
  <c r="AP160" i="39" s="1"/>
  <c r="AQ161" i="39"/>
  <c r="AR160" i="39"/>
  <c r="AQ237" i="39"/>
  <c r="AR236" i="39"/>
  <c r="AN236" i="39"/>
  <c r="AO236" i="39" s="1"/>
  <c r="AP236" i="39" s="1"/>
  <c r="AQ169" i="39"/>
  <c r="AR168" i="39"/>
  <c r="AN168" i="39"/>
  <c r="AO168" i="39" s="1"/>
  <c r="AP168" i="39" s="1"/>
  <c r="AN189" i="39"/>
  <c r="AO189" i="39" s="1"/>
  <c r="AP189" i="39" s="1"/>
  <c r="AQ190" i="39"/>
  <c r="AR189" i="39"/>
  <c r="AN187" i="39"/>
  <c r="AO187" i="39" s="1"/>
  <c r="AP187" i="39" s="1"/>
  <c r="AQ188" i="39"/>
  <c r="AR187" i="39"/>
  <c r="AN205" i="39"/>
  <c r="AO205" i="39" s="1"/>
  <c r="AP205" i="39" s="1"/>
  <c r="AQ206" i="39"/>
  <c r="AR205" i="39"/>
  <c r="AU187" i="39"/>
  <c r="AQ239" i="39"/>
  <c r="AR238" i="39"/>
  <c r="AN238" i="39"/>
  <c r="AO238" i="39" s="1"/>
  <c r="AP238" i="39" s="1"/>
  <c r="AU139" i="39"/>
  <c r="AQ246" i="39"/>
  <c r="AR245" i="39"/>
  <c r="AN245" i="39"/>
  <c r="AO245" i="39" s="1"/>
  <c r="AP245" i="39" s="1"/>
  <c r="AU105" i="39"/>
  <c r="AU171" i="39"/>
  <c r="AU133" i="39"/>
  <c r="AU120" i="39"/>
  <c r="AU248" i="39"/>
  <c r="AU109" i="39"/>
  <c r="AU237" i="39"/>
  <c r="AU224" i="39"/>
  <c r="AU209" i="39"/>
  <c r="AU146" i="39"/>
  <c r="AU210" i="39"/>
  <c r="AU140" i="39"/>
  <c r="AU204" i="39"/>
  <c r="AU110" i="39"/>
  <c r="AU174" i="39"/>
  <c r="AU238" i="39"/>
  <c r="AU119" i="39"/>
  <c r="AU183" i="39"/>
  <c r="AU247" i="39"/>
  <c r="AR122" i="40"/>
  <c r="AQ123" i="40"/>
  <c r="AN122" i="40"/>
  <c r="AO122" i="40" s="1"/>
  <c r="AP122" i="40" s="1"/>
  <c r="AN235" i="40"/>
  <c r="AO235" i="40" s="1"/>
  <c r="AP235" i="40" s="1"/>
  <c r="AR235" i="40"/>
  <c r="AQ236" i="40"/>
  <c r="AN143" i="40"/>
  <c r="AO143" i="40" s="1"/>
  <c r="AP143" i="40" s="1"/>
  <c r="AR143" i="40"/>
  <c r="AQ144" i="40"/>
  <c r="AN102" i="40"/>
  <c r="AO102" i="40" s="1"/>
  <c r="AP102" i="40" s="1"/>
  <c r="AQ131" i="40"/>
  <c r="AR130" i="40"/>
  <c r="AN128" i="40"/>
  <c r="AO128" i="40" s="1"/>
  <c r="AP128" i="40" s="1"/>
  <c r="AQ128" i="40"/>
  <c r="AN127" i="40"/>
  <c r="AO127" i="40" s="1"/>
  <c r="AP127" i="40" s="1"/>
  <c r="AR127" i="40"/>
  <c r="AN132" i="40"/>
  <c r="AO132" i="40" s="1"/>
  <c r="AP132" i="40" s="1"/>
  <c r="AQ132" i="40"/>
  <c r="AN131" i="40"/>
  <c r="AO131" i="40" s="1"/>
  <c r="AP131" i="40" s="1"/>
  <c r="AR131" i="40"/>
  <c r="AN175" i="40"/>
  <c r="AO175" i="40" s="1"/>
  <c r="AP175" i="40" s="1"/>
  <c r="AQ176" i="40"/>
  <c r="AR175" i="40"/>
  <c r="AQ211" i="40"/>
  <c r="AR210" i="40"/>
  <c r="AN210" i="40"/>
  <c r="AQ152" i="40"/>
  <c r="AN151" i="40"/>
  <c r="AO151" i="40" s="1"/>
  <c r="AP151" i="40" s="1"/>
  <c r="AR151" i="40"/>
  <c r="AQ225" i="40"/>
  <c r="AR224" i="40"/>
  <c r="AN224" i="40"/>
  <c r="AO224" i="40" s="1"/>
  <c r="AP224" i="40" s="1"/>
  <c r="AR125" i="40"/>
  <c r="AQ126" i="40"/>
  <c r="AN125" i="40"/>
  <c r="AO125" i="40" s="1"/>
  <c r="AP125" i="40" s="1"/>
  <c r="AQ238" i="40"/>
  <c r="AR237" i="40"/>
  <c r="AN237" i="40"/>
  <c r="AO237" i="40" s="1"/>
  <c r="AP237" i="40" s="1"/>
  <c r="AR159" i="40"/>
  <c r="AQ160" i="40"/>
  <c r="AN159" i="40"/>
  <c r="AO159" i="40" s="1"/>
  <c r="AP159" i="40" s="1"/>
  <c r="AR176" i="40"/>
  <c r="AQ177" i="40"/>
  <c r="AN176" i="40"/>
  <c r="AO176" i="40" s="1"/>
  <c r="AP176" i="40" s="1"/>
  <c r="AQ202" i="40"/>
  <c r="AR201" i="40"/>
  <c r="AN201" i="40"/>
  <c r="AO201" i="40" s="1"/>
  <c r="AP201" i="40" s="1"/>
  <c r="AQ224" i="40"/>
  <c r="AR223" i="40"/>
  <c r="AN223" i="40"/>
  <c r="AO223" i="40" s="1"/>
  <c r="AP223" i="40" s="1"/>
  <c r="AQ168" i="40"/>
  <c r="AN167" i="40"/>
  <c r="AO167" i="40" s="1"/>
  <c r="AP167" i="40" s="1"/>
  <c r="AR167" i="40"/>
  <c r="AQ232" i="40"/>
  <c r="AN231" i="40"/>
  <c r="AO231" i="40" s="1"/>
  <c r="AP231" i="40" s="1"/>
  <c r="AR231" i="40"/>
  <c r="AU191" i="40"/>
  <c r="AU194" i="40"/>
  <c r="AU198" i="40"/>
  <c r="AU206" i="40"/>
  <c r="AU151" i="40"/>
  <c r="AU118" i="40"/>
  <c r="AU221" i="40"/>
  <c r="AU158" i="40"/>
  <c r="AU136" i="40"/>
  <c r="AU200" i="40"/>
  <c r="AU145" i="40"/>
  <c r="AU209" i="40"/>
  <c r="AU181" i="40"/>
  <c r="AU132" i="40"/>
  <c r="AU196" i="40"/>
  <c r="AQ175" i="40"/>
  <c r="AN174" i="40"/>
  <c r="AO174" i="40" s="1"/>
  <c r="AP174" i="40" s="1"/>
  <c r="AR174" i="40"/>
  <c r="AR189" i="40"/>
  <c r="AQ190" i="40"/>
  <c r="AN189" i="40"/>
  <c r="AO189" i="40" s="1"/>
  <c r="AP189" i="40" s="1"/>
  <c r="AU139" i="40"/>
  <c r="AU173" i="40"/>
  <c r="AN114" i="40"/>
  <c r="AO114" i="40" s="1"/>
  <c r="AN145" i="40"/>
  <c r="AO145" i="40" s="1"/>
  <c r="AP145" i="40" s="1"/>
  <c r="AQ146" i="40"/>
  <c r="AR145" i="40"/>
  <c r="AN119" i="40"/>
  <c r="AO119" i="40" s="1"/>
  <c r="AP119" i="40" s="1"/>
  <c r="AR119" i="40"/>
  <c r="AQ120" i="40"/>
  <c r="X100" i="40"/>
  <c r="Y100" i="40" s="1"/>
  <c r="AN136" i="40"/>
  <c r="AO136" i="40" s="1"/>
  <c r="AP136" i="40" s="1"/>
  <c r="AQ136" i="40"/>
  <c r="AR135" i="40"/>
  <c r="AN135" i="40"/>
  <c r="AO135" i="40" s="1"/>
  <c r="AP135" i="40" s="1"/>
  <c r="AN124" i="40"/>
  <c r="AO124" i="40" s="1"/>
  <c r="AP124" i="40" s="1"/>
  <c r="AQ125" i="40"/>
  <c r="AR124" i="40"/>
  <c r="AQ150" i="40"/>
  <c r="AR149" i="40"/>
  <c r="AN149" i="40"/>
  <c r="AO149" i="40" s="1"/>
  <c r="AP149" i="40" s="1"/>
  <c r="AN121" i="40"/>
  <c r="AO121" i="40" s="1"/>
  <c r="AP121" i="40" s="1"/>
  <c r="AQ121" i="40"/>
  <c r="AR120" i="40"/>
  <c r="AN120" i="40"/>
  <c r="AO120" i="40" s="1"/>
  <c r="AP120" i="40" s="1"/>
  <c r="AQ147" i="40"/>
  <c r="AR146" i="40"/>
  <c r="AN146" i="40"/>
  <c r="AO146" i="40" s="1"/>
  <c r="AP146" i="40" s="1"/>
  <c r="AR188" i="40"/>
  <c r="AQ189" i="40"/>
  <c r="AN188" i="40"/>
  <c r="AO188" i="40" s="1"/>
  <c r="AP188" i="40" s="1"/>
  <c r="AQ222" i="40"/>
  <c r="AR221" i="40"/>
  <c r="AN221" i="40"/>
  <c r="AO221" i="40" s="1"/>
  <c r="AP221" i="40" s="1"/>
  <c r="AR153" i="40"/>
  <c r="AN153" i="40"/>
  <c r="AO153" i="40" s="1"/>
  <c r="AP153" i="40" s="1"/>
  <c r="AQ154" i="40"/>
  <c r="AQ163" i="40"/>
  <c r="AN162" i="40"/>
  <c r="AO162" i="40" s="1"/>
  <c r="AP162" i="40" s="1"/>
  <c r="AR162" i="40"/>
  <c r="AQ182" i="40"/>
  <c r="AN181" i="40"/>
  <c r="AO181" i="40" s="1"/>
  <c r="AP181" i="40" s="1"/>
  <c r="AR181" i="40"/>
  <c r="AR186" i="40"/>
  <c r="AQ187" i="40"/>
  <c r="AN186" i="40"/>
  <c r="AO186" i="40" s="1"/>
  <c r="AP186" i="40" s="1"/>
  <c r="AR239" i="40"/>
  <c r="AN239" i="40"/>
  <c r="AO239" i="40" s="1"/>
  <c r="AP239" i="40" s="1"/>
  <c r="AQ240" i="40"/>
  <c r="AQ162" i="40"/>
  <c r="AN161" i="40"/>
  <c r="AO161" i="40" s="1"/>
  <c r="AP161" i="40" s="1"/>
  <c r="AR161" i="40"/>
  <c r="AQ194" i="40"/>
  <c r="AR193" i="40"/>
  <c r="AN193" i="40"/>
  <c r="AO193" i="40" s="1"/>
  <c r="AP193" i="40" s="1"/>
  <c r="AQ170" i="40"/>
  <c r="AN169" i="40"/>
  <c r="AO169" i="40" s="1"/>
  <c r="AP169" i="40" s="1"/>
  <c r="AR169" i="40"/>
  <c r="AQ237" i="40"/>
  <c r="AN236" i="40"/>
  <c r="AO236" i="40" s="1"/>
  <c r="AP236" i="40" s="1"/>
  <c r="AR236" i="40"/>
  <c r="AN246" i="40"/>
  <c r="AO246" i="40" s="1"/>
  <c r="AP246" i="40" s="1"/>
  <c r="AQ247" i="40"/>
  <c r="AR246" i="40"/>
  <c r="AU223" i="40"/>
  <c r="AU230" i="40"/>
  <c r="AU138" i="40"/>
  <c r="AU218" i="40"/>
  <c r="AU226" i="40"/>
  <c r="AU227" i="40"/>
  <c r="AU131" i="40"/>
  <c r="AU234" i="40"/>
  <c r="AU171" i="40"/>
  <c r="AU144" i="40"/>
  <c r="AU208" i="40"/>
  <c r="AU153" i="40"/>
  <c r="AU217" i="40"/>
  <c r="AU189" i="40"/>
  <c r="AU140" i="40"/>
  <c r="AU204" i="40"/>
  <c r="AQ195" i="40"/>
  <c r="AR194" i="40"/>
  <c r="AN194" i="40"/>
  <c r="AO194" i="40" s="1"/>
  <c r="AP194" i="40" s="1"/>
  <c r="AN248" i="40"/>
  <c r="AO248" i="40" s="1"/>
  <c r="AP248" i="40" s="1"/>
  <c r="AQ249" i="40"/>
  <c r="AR248" i="40"/>
  <c r="AU213" i="40"/>
  <c r="AQ117" i="40"/>
  <c r="AN116" i="40"/>
  <c r="AO116" i="40" s="1"/>
  <c r="AP116" i="40" s="1"/>
  <c r="AR116" i="40"/>
  <c r="AN101" i="40"/>
  <c r="AO101" i="40" s="1"/>
  <c r="AP101" i="40" s="1"/>
  <c r="AN100" i="40"/>
  <c r="AO100" i="40" s="1"/>
  <c r="AQ138" i="40"/>
  <c r="AN137" i="40"/>
  <c r="AO137" i="40" s="1"/>
  <c r="AP137" i="40" s="1"/>
  <c r="AR137" i="40"/>
  <c r="AN126" i="40"/>
  <c r="AO126" i="40" s="1"/>
  <c r="AP126" i="40" s="1"/>
  <c r="AR126" i="40"/>
  <c r="AQ127" i="40"/>
  <c r="AQ153" i="40"/>
  <c r="AR152" i="40"/>
  <c r="AN152" i="40"/>
  <c r="AO152" i="40" s="1"/>
  <c r="AP152" i="40" s="1"/>
  <c r="AQ157" i="40"/>
  <c r="AR156" i="40"/>
  <c r="AN156" i="40"/>
  <c r="AO156" i="40" s="1"/>
  <c r="AP156" i="40" s="1"/>
  <c r="AQ208" i="40"/>
  <c r="AR207" i="40"/>
  <c r="AN207" i="40"/>
  <c r="AO207" i="40" s="1"/>
  <c r="AP207" i="40" s="1"/>
  <c r="AN178" i="40"/>
  <c r="AO178" i="40" s="1"/>
  <c r="AP178" i="40" s="1"/>
  <c r="AR178" i="40"/>
  <c r="AQ179" i="40"/>
  <c r="AR213" i="40"/>
  <c r="AN213" i="40"/>
  <c r="AO213" i="40" s="1"/>
  <c r="AP213" i="40" s="1"/>
  <c r="AQ214" i="40"/>
  <c r="AQ226" i="40"/>
  <c r="AN225" i="40"/>
  <c r="AO225" i="40" s="1"/>
  <c r="AP225" i="40" s="1"/>
  <c r="AR225" i="40"/>
  <c r="AQ165" i="40"/>
  <c r="AN164" i="40"/>
  <c r="AO164" i="40" s="1"/>
  <c r="AP164" i="40" s="1"/>
  <c r="AR164" i="40"/>
  <c r="AR199" i="40"/>
  <c r="AN199" i="40"/>
  <c r="AO199" i="40" s="1"/>
  <c r="AP199" i="40" s="1"/>
  <c r="AQ200" i="40"/>
  <c r="AQ169" i="40"/>
  <c r="AR168" i="40"/>
  <c r="AN168" i="40"/>
  <c r="AO168" i="40" s="1"/>
  <c r="AP168" i="40" s="1"/>
  <c r="AQ199" i="40"/>
  <c r="AR198" i="40"/>
  <c r="AN198" i="40"/>
  <c r="AO198" i="40" s="1"/>
  <c r="AP198" i="40" s="1"/>
  <c r="AN209" i="40"/>
  <c r="AO209" i="40" s="1"/>
  <c r="AP209" i="40" s="1"/>
  <c r="AR209" i="40"/>
  <c r="AQ210" i="40"/>
  <c r="AN205" i="40"/>
  <c r="AO205" i="40" s="1"/>
  <c r="AP205" i="40" s="1"/>
  <c r="AQ206" i="40"/>
  <c r="AR205" i="40"/>
  <c r="AN154" i="40"/>
  <c r="AO154" i="40" s="1"/>
  <c r="AP154" i="40" s="1"/>
  <c r="AQ155" i="40"/>
  <c r="AR154" i="40"/>
  <c r="AQ166" i="40"/>
  <c r="AN165" i="40"/>
  <c r="AO165" i="40" s="1"/>
  <c r="AP165" i="40" s="1"/>
  <c r="AR165" i="40"/>
  <c r="AN180" i="40"/>
  <c r="AO180" i="40" s="1"/>
  <c r="AP180" i="40" s="1"/>
  <c r="AQ181" i="40"/>
  <c r="AR180" i="40"/>
  <c r="AQ227" i="40"/>
  <c r="AR226" i="40"/>
  <c r="AN226" i="40"/>
  <c r="AO226" i="40" s="1"/>
  <c r="AP226" i="40" s="1"/>
  <c r="AQ235" i="40"/>
  <c r="AR234" i="40"/>
  <c r="AN234" i="40"/>
  <c r="AO234" i="40" s="1"/>
  <c r="AP234" i="40" s="1"/>
  <c r="AU117" i="40"/>
  <c r="AU238" i="40"/>
  <c r="AU245" i="40"/>
  <c r="AU250" i="40"/>
  <c r="AU178" i="40"/>
  <c r="AU143" i="40"/>
  <c r="AU246" i="40"/>
  <c r="AU183" i="40"/>
  <c r="AU152" i="40"/>
  <c r="AU216" i="40"/>
  <c r="AU161" i="40"/>
  <c r="AU225" i="40"/>
  <c r="AU133" i="40"/>
  <c r="AU197" i="40"/>
  <c r="AU148" i="40"/>
  <c r="AU212" i="40"/>
  <c r="AR191" i="40"/>
  <c r="AQ192" i="40"/>
  <c r="AN191" i="40"/>
  <c r="AO191" i="40" s="1"/>
  <c r="AP191" i="40" s="1"/>
  <c r="AU219" i="40"/>
  <c r="AU188" i="40"/>
  <c r="AN130" i="40"/>
  <c r="AO130" i="40" s="1"/>
  <c r="AP130" i="40" s="1"/>
  <c r="AQ130" i="40"/>
  <c r="AN129" i="40"/>
  <c r="AO129" i="40" s="1"/>
  <c r="AP129" i="40" s="1"/>
  <c r="AR129" i="40"/>
  <c r="AQ135" i="40"/>
  <c r="AR134" i="40"/>
  <c r="AQ119" i="40"/>
  <c r="AR118" i="40"/>
  <c r="AN118" i="40"/>
  <c r="AO118" i="40" s="1"/>
  <c r="AP118" i="40" s="1"/>
  <c r="AQ133" i="40"/>
  <c r="AR132" i="40"/>
  <c r="AQ139" i="40"/>
  <c r="AR138" i="40"/>
  <c r="AN138" i="40"/>
  <c r="AO138" i="40" s="1"/>
  <c r="AP138" i="40" s="1"/>
  <c r="AQ137" i="40"/>
  <c r="AR136" i="40"/>
  <c r="AQ159" i="40"/>
  <c r="AR158" i="40"/>
  <c r="AN158" i="40"/>
  <c r="AO158" i="40" s="1"/>
  <c r="AP158" i="40" s="1"/>
  <c r="AR192" i="40"/>
  <c r="AQ193" i="40"/>
  <c r="AN192" i="40"/>
  <c r="AO192" i="40" s="1"/>
  <c r="AP192" i="40" s="1"/>
  <c r="AQ228" i="40"/>
  <c r="AR227" i="40"/>
  <c r="AN227" i="40"/>
  <c r="AO227" i="40" s="1"/>
  <c r="AP227" i="40" s="1"/>
  <c r="AQ167" i="40"/>
  <c r="AN166" i="40"/>
  <c r="AO166" i="40" s="1"/>
  <c r="AP166" i="40" s="1"/>
  <c r="AR166" i="40"/>
  <c r="AR183" i="40"/>
  <c r="AN183" i="40"/>
  <c r="AO183" i="40" s="1"/>
  <c r="AP183" i="40" s="1"/>
  <c r="AQ184" i="40"/>
  <c r="AO210" i="40"/>
  <c r="AP210" i="40" s="1"/>
  <c r="AR241" i="40"/>
  <c r="AN241" i="40"/>
  <c r="AO241" i="40" s="1"/>
  <c r="AP241" i="40" s="1"/>
  <c r="AQ242" i="40"/>
  <c r="AR177" i="40"/>
  <c r="AQ178" i="40"/>
  <c r="AN177" i="40"/>
  <c r="AO177" i="40" s="1"/>
  <c r="AP177" i="40" s="1"/>
  <c r="AR190" i="40"/>
  <c r="AQ191" i="40"/>
  <c r="AN190" i="40"/>
  <c r="AO190" i="40" s="1"/>
  <c r="AP190" i="40" s="1"/>
  <c r="AQ243" i="40"/>
  <c r="AN242" i="40"/>
  <c r="AO242" i="40" s="1"/>
  <c r="AP242" i="40" s="1"/>
  <c r="AR242" i="40"/>
  <c r="AQ201" i="40"/>
  <c r="AN200" i="40"/>
  <c r="AO200" i="40" s="1"/>
  <c r="AP200" i="40" s="1"/>
  <c r="AR200" i="40"/>
  <c r="AQ183" i="40"/>
  <c r="AR182" i="40"/>
  <c r="AN182" i="40"/>
  <c r="AO182" i="40" s="1"/>
  <c r="AP182" i="40" s="1"/>
  <c r="AQ223" i="40"/>
  <c r="AR222" i="40"/>
  <c r="AN222" i="40"/>
  <c r="AO222" i="40" s="1"/>
  <c r="AP222" i="40" s="1"/>
  <c r="AN250" i="40"/>
  <c r="AO250" i="40" s="1"/>
  <c r="AP250" i="40" s="1"/>
  <c r="AR250" i="40"/>
  <c r="AU134" i="40"/>
  <c r="AU202" i="40"/>
  <c r="AU110" i="40"/>
  <c r="AU150" i="40"/>
  <c r="AU102" i="40"/>
  <c r="AU103" i="40"/>
  <c r="AU190" i="40"/>
  <c r="AU160" i="40"/>
  <c r="AU224" i="40"/>
  <c r="AU105" i="40"/>
  <c r="AU169" i="40"/>
  <c r="AU233" i="40"/>
  <c r="AU205" i="40"/>
  <c r="AU156" i="40"/>
  <c r="AU220" i="40"/>
  <c r="AR184" i="40"/>
  <c r="AQ185" i="40"/>
  <c r="AN184" i="40"/>
  <c r="AO184" i="40" s="1"/>
  <c r="AP184" i="40" s="1"/>
  <c r="AR208" i="40"/>
  <c r="AQ209" i="40"/>
  <c r="AN208" i="40"/>
  <c r="AO208" i="40" s="1"/>
  <c r="AP208" i="40" s="1"/>
  <c r="AR215" i="40"/>
  <c r="AQ216" i="40"/>
  <c r="AN215" i="40"/>
  <c r="AO215" i="40" s="1"/>
  <c r="AP215" i="40" s="1"/>
  <c r="AQ207" i="40"/>
  <c r="AN206" i="40"/>
  <c r="AO206" i="40" s="1"/>
  <c r="AP206" i="40" s="1"/>
  <c r="AR206" i="40"/>
  <c r="AU124" i="40"/>
  <c r="AN117" i="40"/>
  <c r="AO117" i="40" s="1"/>
  <c r="AP117" i="40" s="1"/>
  <c r="AQ118" i="40"/>
  <c r="AR117" i="40"/>
  <c r="AQ116" i="40"/>
  <c r="AR115" i="40"/>
  <c r="AN115" i="40"/>
  <c r="AO115" i="40" s="1"/>
  <c r="AP115" i="40" s="1"/>
  <c r="AF101" i="40"/>
  <c r="AG101" i="40" s="1"/>
  <c r="AH101" i="40" s="1"/>
  <c r="AF100" i="40"/>
  <c r="AG100" i="40" s="1"/>
  <c r="AR179" i="40"/>
  <c r="AQ180" i="40"/>
  <c r="AN179" i="40"/>
  <c r="AO179" i="40" s="1"/>
  <c r="AP179" i="40" s="1"/>
  <c r="AQ212" i="40"/>
  <c r="AR211" i="40"/>
  <c r="AN211" i="40"/>
  <c r="AO211" i="40" s="1"/>
  <c r="AP211" i="40" s="1"/>
  <c r="AQ197" i="40"/>
  <c r="AR196" i="40"/>
  <c r="AN196" i="40"/>
  <c r="AO196" i="40" s="1"/>
  <c r="AP196" i="40" s="1"/>
  <c r="AR216" i="40"/>
  <c r="AN216" i="40"/>
  <c r="AO216" i="40" s="1"/>
  <c r="AP216" i="40" s="1"/>
  <c r="AQ217" i="40"/>
  <c r="AR245" i="40"/>
  <c r="AQ246" i="40"/>
  <c r="AN245" i="40"/>
  <c r="AO245" i="40" s="1"/>
  <c r="AP245" i="40" s="1"/>
  <c r="AN218" i="40"/>
  <c r="AO218" i="40" s="1"/>
  <c r="AP218" i="40" s="1"/>
  <c r="AR218" i="40"/>
  <c r="AQ219" i="40"/>
  <c r="AQ198" i="40"/>
  <c r="AN197" i="40"/>
  <c r="AO197" i="40" s="1"/>
  <c r="AP197" i="40" s="1"/>
  <c r="AR197" i="40"/>
  <c r="AQ229" i="40"/>
  <c r="AR228" i="40"/>
  <c r="AN228" i="40"/>
  <c r="AO228" i="40" s="1"/>
  <c r="AP228" i="40" s="1"/>
  <c r="AN163" i="40"/>
  <c r="AO163" i="40" s="1"/>
  <c r="AP163" i="40" s="1"/>
  <c r="AR163" i="40"/>
  <c r="AQ164" i="40"/>
  <c r="AU122" i="40"/>
  <c r="AU167" i="40"/>
  <c r="AU141" i="40"/>
  <c r="AU111" i="40"/>
  <c r="AU115" i="40"/>
  <c r="AU123" i="40"/>
  <c r="AU125" i="40"/>
  <c r="AU101" i="40"/>
  <c r="AU203" i="40"/>
  <c r="AU170" i="40"/>
  <c r="AU210" i="40"/>
  <c r="AU243" i="40"/>
  <c r="AU104" i="40"/>
  <c r="AU168" i="40"/>
  <c r="AU232" i="40"/>
  <c r="AU113" i="40"/>
  <c r="AU177" i="40"/>
  <c r="AU241" i="40"/>
  <c r="AU149" i="40"/>
  <c r="AU100" i="40"/>
  <c r="AU164" i="40"/>
  <c r="AU228" i="40"/>
  <c r="AN109" i="40"/>
  <c r="AO109" i="40" s="1"/>
  <c r="AP109" i="40" s="1"/>
  <c r="AN108" i="40"/>
  <c r="AO108" i="40" s="1"/>
  <c r="AP108" i="40" s="1"/>
  <c r="AQ203" i="40"/>
  <c r="AR202" i="40"/>
  <c r="AN202" i="40"/>
  <c r="AO202" i="40" s="1"/>
  <c r="AP202" i="40" s="1"/>
  <c r="AQ174" i="40"/>
  <c r="AN173" i="40"/>
  <c r="AO173" i="40" s="1"/>
  <c r="AP173" i="40" s="1"/>
  <c r="AR173" i="40"/>
  <c r="AQ231" i="40"/>
  <c r="AR230" i="40"/>
  <c r="AN230" i="40"/>
  <c r="AO230" i="40" s="1"/>
  <c r="AP230" i="40" s="1"/>
  <c r="Q247" i="34"/>
  <c r="Q239" i="34"/>
  <c r="Q231" i="34"/>
  <c r="Q223" i="34"/>
  <c r="Q215" i="34"/>
  <c r="Q207" i="34"/>
  <c r="Q199" i="34"/>
  <c r="Q191" i="34"/>
  <c r="Q183" i="34"/>
  <c r="Q175" i="34"/>
  <c r="Q167" i="34"/>
  <c r="Q159" i="34"/>
  <c r="Q151" i="34"/>
  <c r="Q143" i="34"/>
  <c r="Q135" i="34"/>
  <c r="Q127" i="34"/>
  <c r="Q119" i="34"/>
  <c r="Q111" i="34"/>
  <c r="Q103" i="34"/>
  <c r="N243" i="34"/>
  <c r="N235" i="34"/>
  <c r="N227" i="34"/>
  <c r="N219" i="34"/>
  <c r="N211" i="34"/>
  <c r="N203" i="34"/>
  <c r="N195" i="34"/>
  <c r="N187" i="34"/>
  <c r="N179" i="34"/>
  <c r="N171" i="34"/>
  <c r="N163" i="34"/>
  <c r="N155" i="34"/>
  <c r="N147" i="34"/>
  <c r="N139" i="34"/>
  <c r="N131" i="34"/>
  <c r="N123" i="34"/>
  <c r="N115" i="34"/>
  <c r="N107" i="34"/>
  <c r="Q244" i="34"/>
  <c r="Q236" i="34"/>
  <c r="Q228" i="34"/>
  <c r="Q220" i="34"/>
  <c r="Q212" i="34"/>
  <c r="Q204" i="34"/>
  <c r="Q196" i="34"/>
  <c r="Q188" i="34"/>
  <c r="Q180" i="34"/>
  <c r="Q172" i="34"/>
  <c r="Q164" i="34"/>
  <c r="Q156" i="34"/>
  <c r="Q148" i="34"/>
  <c r="Q140" i="34"/>
  <c r="Q132" i="34"/>
  <c r="Q124" i="34"/>
  <c r="Q116" i="34"/>
  <c r="Q108" i="34"/>
  <c r="Q100" i="34"/>
  <c r="N248" i="34"/>
  <c r="N240" i="34"/>
  <c r="N232" i="34"/>
  <c r="N224" i="34"/>
  <c r="N216" i="34"/>
  <c r="N208" i="34"/>
  <c r="N200" i="34"/>
  <c r="N192" i="34"/>
  <c r="N184" i="34"/>
  <c r="N176" i="34"/>
  <c r="N168" i="34"/>
  <c r="N160" i="34"/>
  <c r="N152" i="34"/>
  <c r="N144" i="34"/>
  <c r="N136" i="34"/>
  <c r="N128" i="34"/>
  <c r="N120" i="34"/>
  <c r="N112" i="34"/>
  <c r="N104" i="34"/>
  <c r="Q243" i="34"/>
  <c r="Q235" i="34"/>
  <c r="Q227" i="34"/>
  <c r="Q219" i="34"/>
  <c r="Q211" i="34"/>
  <c r="Q203" i="34"/>
  <c r="Q195" i="34"/>
  <c r="Q187" i="34"/>
  <c r="Q179" i="34"/>
  <c r="Q171" i="34"/>
  <c r="Q163" i="34"/>
  <c r="Q155" i="34"/>
  <c r="Q147" i="34"/>
  <c r="Q139" i="34"/>
  <c r="Q131" i="34"/>
  <c r="Q123" i="34"/>
  <c r="Q115" i="34"/>
  <c r="Q107" i="34"/>
  <c r="N247" i="34"/>
  <c r="N239" i="34"/>
  <c r="N231" i="34"/>
  <c r="N223" i="34"/>
  <c r="N215" i="34"/>
  <c r="N207" i="34"/>
  <c r="N199" i="34"/>
  <c r="N191" i="34"/>
  <c r="N183" i="34"/>
  <c r="N175" i="34"/>
  <c r="N167" i="34"/>
  <c r="N159" i="34"/>
  <c r="N151" i="34"/>
  <c r="N143" i="34"/>
  <c r="N135" i="34"/>
  <c r="N127" i="34"/>
  <c r="N119" i="34"/>
  <c r="N111" i="34"/>
  <c r="N103" i="34"/>
  <c r="Q241" i="34"/>
  <c r="Q229" i="34"/>
  <c r="Q216" i="34"/>
  <c r="Q202" i="34"/>
  <c r="Q190" i="34"/>
  <c r="Q177" i="34"/>
  <c r="Q165" i="34"/>
  <c r="Q152" i="34"/>
  <c r="Q138" i="34"/>
  <c r="Q126" i="34"/>
  <c r="Q113" i="34"/>
  <c r="Q101" i="34"/>
  <c r="N245" i="34"/>
  <c r="N233" i="34"/>
  <c r="N220" i="34"/>
  <c r="N206" i="34"/>
  <c r="N194" i="34"/>
  <c r="N181" i="34"/>
  <c r="N169" i="34"/>
  <c r="N156" i="34"/>
  <c r="N142" i="34"/>
  <c r="N130" i="34"/>
  <c r="N117" i="34"/>
  <c r="N105" i="34"/>
  <c r="Q240" i="34"/>
  <c r="Q226" i="34"/>
  <c r="Q214" i="34"/>
  <c r="Q201" i="34"/>
  <c r="Q189" i="34"/>
  <c r="Q176" i="34"/>
  <c r="Q162" i="34"/>
  <c r="Q150" i="34"/>
  <c r="Q137" i="34"/>
  <c r="Q125" i="34"/>
  <c r="Q112" i="34"/>
  <c r="N244" i="34"/>
  <c r="N230" i="34"/>
  <c r="N218" i="34"/>
  <c r="N205" i="34"/>
  <c r="N193" i="34"/>
  <c r="N180" i="34"/>
  <c r="N166" i="34"/>
  <c r="N154" i="34"/>
  <c r="N141" i="34"/>
  <c r="N129" i="34"/>
  <c r="N116" i="34"/>
  <c r="N102" i="34"/>
  <c r="Q248" i="34"/>
  <c r="Q234" i="34"/>
  <c r="Q222" i="34"/>
  <c r="Q209" i="34"/>
  <c r="Q197" i="34"/>
  <c r="Q184" i="34"/>
  <c r="Q170" i="34"/>
  <c r="Q158" i="34"/>
  <c r="Q145" i="34"/>
  <c r="Q133" i="34"/>
  <c r="Q120" i="34"/>
  <c r="Q106" i="34"/>
  <c r="N238" i="34"/>
  <c r="N226" i="34"/>
  <c r="N213" i="34"/>
  <c r="N201" i="34"/>
  <c r="N188" i="34"/>
  <c r="N174" i="34"/>
  <c r="N162" i="34"/>
  <c r="N149" i="34"/>
  <c r="N137" i="34"/>
  <c r="N124" i="34"/>
  <c r="N110" i="34"/>
  <c r="Q246" i="34"/>
  <c r="Q225" i="34"/>
  <c r="Q206" i="34"/>
  <c r="Q185" i="34"/>
  <c r="Q166" i="34"/>
  <c r="Q144" i="34"/>
  <c r="Q122" i="34"/>
  <c r="Q104" i="34"/>
  <c r="N236" i="34"/>
  <c r="N214" i="34"/>
  <c r="N196" i="34"/>
  <c r="N173" i="34"/>
  <c r="N153" i="34"/>
  <c r="N133" i="34"/>
  <c r="N113" i="34"/>
  <c r="Q245" i="34"/>
  <c r="Q224" i="34"/>
  <c r="Q205" i="34"/>
  <c r="Q182" i="34"/>
  <c r="Q161" i="34"/>
  <c r="Q142" i="34"/>
  <c r="Q121" i="34"/>
  <c r="Q102" i="34"/>
  <c r="N234" i="34"/>
  <c r="N212" i="34"/>
  <c r="N190" i="34"/>
  <c r="N172" i="34"/>
  <c r="N150" i="34"/>
  <c r="N132" i="34"/>
  <c r="N109" i="34"/>
  <c r="Q237" i="34"/>
  <c r="Q217" i="34"/>
  <c r="Q194" i="34"/>
  <c r="Q174" i="34"/>
  <c r="Q154" i="34"/>
  <c r="Q134" i="34"/>
  <c r="Q114" i="34"/>
  <c r="N246" i="34"/>
  <c r="N225" i="34"/>
  <c r="N204" i="34"/>
  <c r="N185" i="34"/>
  <c r="N164" i="34"/>
  <c r="N145" i="34"/>
  <c r="N122" i="34"/>
  <c r="N101" i="34"/>
  <c r="Q242" i="34"/>
  <c r="Q210" i="34"/>
  <c r="Q178" i="34"/>
  <c r="Q146" i="34"/>
  <c r="Q110" i="34"/>
  <c r="N237" i="34"/>
  <c r="N202" i="34"/>
  <c r="N170" i="34"/>
  <c r="N138" i="34"/>
  <c r="N106" i="34"/>
  <c r="F111" i="34"/>
  <c r="I111" i="34" s="1"/>
  <c r="F107" i="34"/>
  <c r="I107" i="34" s="1"/>
  <c r="F103" i="34"/>
  <c r="I103" i="34" s="1"/>
  <c r="Q238" i="34"/>
  <c r="Q208" i="34"/>
  <c r="Q173" i="34"/>
  <c r="Q141" i="34"/>
  <c r="Q109" i="34"/>
  <c r="N229" i="34"/>
  <c r="N198" i="34"/>
  <c r="N165" i="34"/>
  <c r="N134" i="34"/>
  <c r="N100" i="34"/>
  <c r="Q233" i="34"/>
  <c r="Q200" i="34"/>
  <c r="Q169" i="34"/>
  <c r="Q136" i="34"/>
  <c r="Q105" i="34"/>
  <c r="N228" i="34"/>
  <c r="N197" i="34"/>
  <c r="N161" i="34"/>
  <c r="N126" i="34"/>
  <c r="F110" i="34"/>
  <c r="I110" i="34" s="1"/>
  <c r="F106" i="34"/>
  <c r="I106" i="34" s="1"/>
  <c r="F102" i="34"/>
  <c r="I102" i="34" s="1"/>
  <c r="Q232" i="34"/>
  <c r="Q198" i="34"/>
  <c r="Q168" i="34"/>
  <c r="Q130" i="34"/>
  <c r="N222" i="34"/>
  <c r="N189" i="34"/>
  <c r="N158" i="34"/>
  <c r="N125" i="34"/>
  <c r="Q230" i="34"/>
  <c r="Q193" i="34"/>
  <c r="Q160" i="34"/>
  <c r="Q129" i="34"/>
  <c r="N250" i="34"/>
  <c r="N221" i="34"/>
  <c r="N186" i="34"/>
  <c r="N157" i="34"/>
  <c r="N121" i="34"/>
  <c r="F113" i="34"/>
  <c r="I113" i="34" s="1"/>
  <c r="F109" i="34"/>
  <c r="I109" i="34" s="1"/>
  <c r="F105" i="34"/>
  <c r="I105" i="34" s="1"/>
  <c r="F101" i="34"/>
  <c r="I101" i="34" s="1"/>
  <c r="Q221" i="34"/>
  <c r="Q192" i="34"/>
  <c r="Q157" i="34"/>
  <c r="Q128" i="34"/>
  <c r="N249" i="34"/>
  <c r="N217" i="34"/>
  <c r="N182" i="34"/>
  <c r="N148" i="34"/>
  <c r="N118" i="34"/>
  <c r="Q250" i="34"/>
  <c r="Q218" i="34"/>
  <c r="Q186" i="34"/>
  <c r="Q153" i="34"/>
  <c r="Q118" i="34"/>
  <c r="N242" i="34"/>
  <c r="N210" i="34"/>
  <c r="N178" i="34"/>
  <c r="N146" i="34"/>
  <c r="N114" i="34"/>
  <c r="F112" i="34"/>
  <c r="I112" i="34" s="1"/>
  <c r="F108" i="34"/>
  <c r="I108" i="34" s="1"/>
  <c r="F104" i="34"/>
  <c r="I104" i="34" s="1"/>
  <c r="G100" i="34"/>
  <c r="J100" i="34" s="1"/>
  <c r="Q249" i="34"/>
  <c r="Q213" i="34"/>
  <c r="Q181" i="34"/>
  <c r="Q149" i="34"/>
  <c r="Q117" i="34"/>
  <c r="N241" i="34"/>
  <c r="N209" i="34"/>
  <c r="N177" i="34"/>
  <c r="N140" i="34"/>
  <c r="N108" i="34"/>
  <c r="F100" i="34"/>
  <c r="I100" i="34" s="1"/>
  <c r="AM246" i="34"/>
  <c r="AM242" i="34"/>
  <c r="AM239" i="34"/>
  <c r="AL236" i="34"/>
  <c r="AM227" i="34"/>
  <c r="AM221" i="34"/>
  <c r="AM219" i="34"/>
  <c r="AM214" i="34"/>
  <c r="AL213" i="34"/>
  <c r="AM208" i="34"/>
  <c r="AL246" i="34"/>
  <c r="AM243" i="34"/>
  <c r="AL242" i="34"/>
  <c r="AL239" i="34"/>
  <c r="AM230" i="34"/>
  <c r="AL227" i="34"/>
  <c r="AM222" i="34"/>
  <c r="AL221" i="34"/>
  <c r="AM220" i="34"/>
  <c r="AL219" i="34"/>
  <c r="AM218" i="34"/>
  <c r="AL214" i="34"/>
  <c r="AM248" i="34"/>
  <c r="AM247" i="34"/>
  <c r="AL243" i="34"/>
  <c r="AM237" i="34"/>
  <c r="AM234" i="34"/>
  <c r="AM233" i="34"/>
  <c r="AL230" i="34"/>
  <c r="AM224" i="34"/>
  <c r="AM223" i="34"/>
  <c r="AL222" i="34"/>
  <c r="AL220" i="34"/>
  <c r="AL218" i="34"/>
  <c r="AM217" i="34"/>
  <c r="AM216" i="34"/>
  <c r="AM215" i="34"/>
  <c r="AM249" i="34"/>
  <c r="AL248" i="34"/>
  <c r="AL247" i="34"/>
  <c r="AM244" i="34"/>
  <c r="AM240" i="34"/>
  <c r="AL237" i="34"/>
  <c r="AL234" i="34"/>
  <c r="AL233" i="34"/>
  <c r="AM231" i="34"/>
  <c r="AM225" i="34"/>
  <c r="AL224" i="34"/>
  <c r="AL223" i="34"/>
  <c r="AL217" i="34"/>
  <c r="AL216" i="34"/>
  <c r="AL215" i="34"/>
  <c r="AL210" i="34"/>
  <c r="AM203" i="34"/>
  <c r="AM199" i="34"/>
  <c r="AM195" i="34"/>
  <c r="AL187" i="34"/>
  <c r="AL184" i="34"/>
  <c r="AL178" i="34"/>
  <c r="AL177" i="34"/>
  <c r="AL173" i="34"/>
  <c r="AM171" i="34"/>
  <c r="AL170" i="34"/>
  <c r="AM250" i="34"/>
  <c r="AL249" i="34"/>
  <c r="AL244" i="34"/>
  <c r="AL240" i="34"/>
  <c r="AM235" i="34"/>
  <c r="AL231" i="34"/>
  <c r="AL225" i="34"/>
  <c r="AL250" i="34"/>
  <c r="AM245" i="34"/>
  <c r="AL235" i="34"/>
  <c r="AM228" i="34"/>
  <c r="AM226" i="34"/>
  <c r="AL245" i="34"/>
  <c r="AM241" i="34"/>
  <c r="AM238" i="34"/>
  <c r="AM232" i="34"/>
  <c r="AM229" i="34"/>
  <c r="AL228" i="34"/>
  <c r="AL226" i="34"/>
  <c r="AL241" i="34"/>
  <c r="AL238" i="34"/>
  <c r="AM236" i="34"/>
  <c r="AL232" i="34"/>
  <c r="AL229" i="34"/>
  <c r="AM213" i="34"/>
  <c r="AL212" i="34"/>
  <c r="AL204" i="34"/>
  <c r="AM201" i="34"/>
  <c r="AL197" i="34"/>
  <c r="AM194" i="34"/>
  <c r="AL193" i="34"/>
  <c r="AL188" i="34"/>
  <c r="AM186" i="34"/>
  <c r="AM183" i="34"/>
  <c r="AM180" i="34"/>
  <c r="AL175" i="34"/>
  <c r="AL174" i="34"/>
  <c r="AM172" i="34"/>
  <c r="AM204" i="34"/>
  <c r="AL202" i="34"/>
  <c r="AM200" i="34"/>
  <c r="AL195" i="34"/>
  <c r="AM190" i="34"/>
  <c r="AM181" i="34"/>
  <c r="AM179" i="34"/>
  <c r="AL169" i="34"/>
  <c r="AM168" i="34"/>
  <c r="AM164" i="34"/>
  <c r="AL160" i="34"/>
  <c r="AM157" i="34"/>
  <c r="AM156" i="34"/>
  <c r="AL155" i="34"/>
  <c r="AL154" i="34"/>
  <c r="AM153" i="34"/>
  <c r="AM152" i="34"/>
  <c r="AL147" i="34"/>
  <c r="AM144" i="34"/>
  <c r="AM141" i="34"/>
  <c r="AM134" i="34"/>
  <c r="AM127" i="34"/>
  <c r="AL125" i="34"/>
  <c r="AM122" i="34"/>
  <c r="AM121" i="34"/>
  <c r="AM120" i="34"/>
  <c r="AM210" i="34"/>
  <c r="AL208" i="34"/>
  <c r="AM206" i="34"/>
  <c r="AL200" i="34"/>
  <c r="AM198" i="34"/>
  <c r="AL190" i="34"/>
  <c r="AM188" i="34"/>
  <c r="AL181" i="34"/>
  <c r="AL179" i="34"/>
  <c r="AM173" i="34"/>
  <c r="AL168" i="34"/>
  <c r="AM167" i="34"/>
  <c r="AL164" i="34"/>
  <c r="AM163" i="34"/>
  <c r="AM159" i="34"/>
  <c r="AM158" i="34"/>
  <c r="AL157" i="34"/>
  <c r="AL156" i="34"/>
  <c r="AL153" i="34"/>
  <c r="AL152" i="34"/>
  <c r="AL144" i="34"/>
  <c r="AL141" i="34"/>
  <c r="AM139" i="34"/>
  <c r="AM136" i="34"/>
  <c r="AL134" i="34"/>
  <c r="AM131" i="34"/>
  <c r="AL127" i="34"/>
  <c r="AL122" i="34"/>
  <c r="AL121" i="34"/>
  <c r="AL120" i="34"/>
  <c r="AL206" i="34"/>
  <c r="AL198" i="34"/>
  <c r="AM196" i="34"/>
  <c r="AL194" i="34"/>
  <c r="AM185" i="34"/>
  <c r="AM177" i="34"/>
  <c r="AM175" i="34"/>
  <c r="AM170" i="34"/>
  <c r="AL167" i="34"/>
  <c r="AL163" i="34"/>
  <c r="AL159" i="34"/>
  <c r="AL158" i="34"/>
  <c r="AM150" i="34"/>
  <c r="AM148" i="34"/>
  <c r="AM142" i="34"/>
  <c r="AL139" i="34"/>
  <c r="AL136" i="34"/>
  <c r="AM133" i="34"/>
  <c r="AL131" i="34"/>
  <c r="AM128" i="34"/>
  <c r="AM123" i="34"/>
  <c r="AM209" i="34"/>
  <c r="AM207" i="34"/>
  <c r="AM205" i="34"/>
  <c r="AL203" i="34"/>
  <c r="AL196" i="34"/>
  <c r="AL185" i="34"/>
  <c r="AL183" i="34"/>
  <c r="AM166" i="34"/>
  <c r="AM162" i="34"/>
  <c r="AL150" i="34"/>
  <c r="AL148" i="34"/>
  <c r="AM145" i="34"/>
  <c r="AL142" i="34"/>
  <c r="AL133" i="34"/>
  <c r="AL128" i="34"/>
  <c r="AM126" i="34"/>
  <c r="AL123" i="34"/>
  <c r="AM118" i="34"/>
  <c r="AM115" i="34"/>
  <c r="W113" i="34"/>
  <c r="W112" i="34"/>
  <c r="V111" i="34"/>
  <c r="V110" i="34"/>
  <c r="W109" i="34"/>
  <c r="AD108" i="34"/>
  <c r="AE104" i="34"/>
  <c r="AD103" i="34"/>
  <c r="AM101" i="34"/>
  <c r="V101" i="34"/>
  <c r="AL99" i="34"/>
  <c r="AQ100" i="34" s="1"/>
  <c r="AM212" i="34"/>
  <c r="AL209" i="34"/>
  <c r="AL207" i="34"/>
  <c r="AL205" i="34"/>
  <c r="AM191" i="34"/>
  <c r="AM189" i="34"/>
  <c r="AM187" i="34"/>
  <c r="AL172" i="34"/>
  <c r="AL166" i="34"/>
  <c r="AL162" i="34"/>
  <c r="AL145" i="34"/>
  <c r="AM137" i="34"/>
  <c r="AM129" i="34"/>
  <c r="AL126" i="34"/>
  <c r="AM124" i="34"/>
  <c r="AL201" i="34"/>
  <c r="AL191" i="34"/>
  <c r="AL189" i="34"/>
  <c r="AM182" i="34"/>
  <c r="AM178" i="34"/>
  <c r="AM176" i="34"/>
  <c r="AM165" i="34"/>
  <c r="AM161" i="34"/>
  <c r="AM151" i="34"/>
  <c r="AM143" i="34"/>
  <c r="AM140" i="34"/>
  <c r="AL137" i="34"/>
  <c r="AL129" i="34"/>
  <c r="AL124" i="34"/>
  <c r="AM211" i="34"/>
  <c r="AL199" i="34"/>
  <c r="AM197" i="34"/>
  <c r="AM193" i="34"/>
  <c r="AM192" i="34"/>
  <c r="AL182" i="34"/>
  <c r="AL180" i="34"/>
  <c r="AL176" i="34"/>
  <c r="AL171" i="34"/>
  <c r="AL165" i="34"/>
  <c r="AL161" i="34"/>
  <c r="AL151" i="34"/>
  <c r="AM149" i="34"/>
  <c r="AM146" i="34"/>
  <c r="AL143" i="34"/>
  <c r="AL140" i="34"/>
  <c r="AM138" i="34"/>
  <c r="AM135" i="34"/>
  <c r="AM132" i="34"/>
  <c r="AM130" i="34"/>
  <c r="AM119" i="34"/>
  <c r="AM116" i="34"/>
  <c r="AL211" i="34"/>
  <c r="AM202" i="34"/>
  <c r="AL192" i="34"/>
  <c r="AL186" i="34"/>
  <c r="AM184" i="34"/>
  <c r="AM174" i="34"/>
  <c r="AM169" i="34"/>
  <c r="AM160" i="34"/>
  <c r="AM155" i="34"/>
  <c r="AM154" i="34"/>
  <c r="AL149" i="34"/>
  <c r="AM147" i="34"/>
  <c r="AL146" i="34"/>
  <c r="AL138" i="34"/>
  <c r="AL135" i="34"/>
  <c r="AL132" i="34"/>
  <c r="AL130" i="34"/>
  <c r="AM125" i="34"/>
  <c r="AL119" i="34"/>
  <c r="AL116" i="34"/>
  <c r="AE111" i="34"/>
  <c r="AE110" i="34"/>
  <c r="AD107" i="34"/>
  <c r="W105" i="34"/>
  <c r="V104" i="34"/>
  <c r="AM103" i="34"/>
  <c r="AL102" i="34"/>
  <c r="AE101" i="34"/>
  <c r="W100" i="34"/>
  <c r="V99" i="34"/>
  <c r="AA100" i="34" s="1"/>
  <c r="E100" i="34" s="1"/>
  <c r="H100" i="34" s="1"/>
  <c r="AL115" i="34"/>
  <c r="AD113" i="34"/>
  <c r="AD115" i="34" s="1"/>
  <c r="AD117" i="34" s="1"/>
  <c r="AD119" i="34" s="1"/>
  <c r="AD121" i="34" s="1"/>
  <c r="AD123" i="34" s="1"/>
  <c r="AD125" i="34" s="1"/>
  <c r="AD127" i="34" s="1"/>
  <c r="AD129" i="34" s="1"/>
  <c r="AD131" i="34" s="1"/>
  <c r="AD133" i="34" s="1"/>
  <c r="AD135" i="34" s="1"/>
  <c r="AD137" i="34" s="1"/>
  <c r="AD139" i="34" s="1"/>
  <c r="AD141" i="34" s="1"/>
  <c r="AD143" i="34" s="1"/>
  <c r="AD145" i="34" s="1"/>
  <c r="AD147" i="34" s="1"/>
  <c r="AD149" i="34" s="1"/>
  <c r="AD151" i="34" s="1"/>
  <c r="AD153" i="34" s="1"/>
  <c r="AD155" i="34" s="1"/>
  <c r="AD157" i="34" s="1"/>
  <c r="AD159" i="34" s="1"/>
  <c r="AD161" i="34" s="1"/>
  <c r="AD163" i="34" s="1"/>
  <c r="AD165" i="34" s="1"/>
  <c r="AD167" i="34" s="1"/>
  <c r="AD169" i="34" s="1"/>
  <c r="AD171" i="34" s="1"/>
  <c r="AD173" i="34" s="1"/>
  <c r="AD175" i="34" s="1"/>
  <c r="AD177" i="34" s="1"/>
  <c r="AD179" i="34" s="1"/>
  <c r="AD181" i="34" s="1"/>
  <c r="AD183" i="34" s="1"/>
  <c r="AD185" i="34" s="1"/>
  <c r="AD187" i="34" s="1"/>
  <c r="AD189" i="34" s="1"/>
  <c r="AD191" i="34" s="1"/>
  <c r="AD193" i="34" s="1"/>
  <c r="AD195" i="34" s="1"/>
  <c r="AD197" i="34" s="1"/>
  <c r="AD199" i="34" s="1"/>
  <c r="AD201" i="34" s="1"/>
  <c r="AD203" i="34" s="1"/>
  <c r="AD205" i="34" s="1"/>
  <c r="AD207" i="34" s="1"/>
  <c r="AD209" i="34" s="1"/>
  <c r="AD211" i="34" s="1"/>
  <c r="AD213" i="34" s="1"/>
  <c r="AD215" i="34" s="1"/>
  <c r="AD217" i="34" s="1"/>
  <c r="AD219" i="34" s="1"/>
  <c r="AD221" i="34" s="1"/>
  <c r="AD223" i="34" s="1"/>
  <c r="AD225" i="34" s="1"/>
  <c r="AD227" i="34" s="1"/>
  <c r="AD229" i="34" s="1"/>
  <c r="AD231" i="34" s="1"/>
  <c r="AD233" i="34" s="1"/>
  <c r="AD235" i="34" s="1"/>
  <c r="AD237" i="34" s="1"/>
  <c r="AD239" i="34" s="1"/>
  <c r="AD241" i="34" s="1"/>
  <c r="AD243" i="34" s="1"/>
  <c r="AD245" i="34" s="1"/>
  <c r="AD247" i="34" s="1"/>
  <c r="AD249" i="34" s="1"/>
  <c r="AM111" i="34"/>
  <c r="AD110" i="34"/>
  <c r="V109" i="34"/>
  <c r="AM108" i="34"/>
  <c r="V108" i="34"/>
  <c r="W107" i="34"/>
  <c r="AL106" i="34"/>
  <c r="AL105" i="34"/>
  <c r="AE102" i="34"/>
  <c r="AM117" i="34"/>
  <c r="V112" i="34"/>
  <c r="V114" i="34" s="1"/>
  <c r="V116" i="34" s="1"/>
  <c r="V118" i="34" s="1"/>
  <c r="V120" i="34" s="1"/>
  <c r="V122" i="34" s="1"/>
  <c r="V124" i="34" s="1"/>
  <c r="V126" i="34" s="1"/>
  <c r="V128" i="34" s="1"/>
  <c r="V130" i="34" s="1"/>
  <c r="V132" i="34" s="1"/>
  <c r="V134" i="34" s="1"/>
  <c r="V136" i="34" s="1"/>
  <c r="V138" i="34" s="1"/>
  <c r="V140" i="34" s="1"/>
  <c r="AL111" i="34"/>
  <c r="AL108" i="34"/>
  <c r="AM107" i="34"/>
  <c r="V107" i="34"/>
  <c r="W104" i="34"/>
  <c r="AL103" i="34"/>
  <c r="AD102" i="34"/>
  <c r="V100" i="34"/>
  <c r="AL117" i="34"/>
  <c r="W114" i="34"/>
  <c r="V113" i="34"/>
  <c r="W110" i="34"/>
  <c r="AM109" i="34"/>
  <c r="AL107" i="34"/>
  <c r="AE105" i="34"/>
  <c r="AL101" i="34"/>
  <c r="AM112" i="34"/>
  <c r="AD111" i="34"/>
  <c r="AL109" i="34"/>
  <c r="AE106" i="34"/>
  <c r="AD105" i="34"/>
  <c r="AE103" i="34"/>
  <c r="W102" i="34"/>
  <c r="AM100" i="34"/>
  <c r="AM113" i="34"/>
  <c r="AL112" i="34"/>
  <c r="AD106" i="34"/>
  <c r="AM104" i="34"/>
  <c r="V102" i="34"/>
  <c r="AL100" i="34"/>
  <c r="W115" i="34"/>
  <c r="W116" i="34" s="1"/>
  <c r="W117" i="34" s="1"/>
  <c r="W118" i="34" s="1"/>
  <c r="W119" i="34" s="1"/>
  <c r="W120" i="34" s="1"/>
  <c r="W121" i="34" s="1"/>
  <c r="W122" i="34" s="1"/>
  <c r="W123" i="34" s="1"/>
  <c r="W124" i="34" s="1"/>
  <c r="W125" i="34" s="1"/>
  <c r="W126" i="34" s="1"/>
  <c r="W127" i="34" s="1"/>
  <c r="W128" i="34" s="1"/>
  <c r="W129" i="34" s="1"/>
  <c r="AM114" i="34"/>
  <c r="AL113" i="34"/>
  <c r="W111" i="34"/>
  <c r="AM110" i="34"/>
  <c r="AE109" i="34"/>
  <c r="AE108" i="34"/>
  <c r="V105" i="34"/>
  <c r="AL104" i="34"/>
  <c r="W103" i="34"/>
  <c r="AD101" i="34"/>
  <c r="AD99" i="34"/>
  <c r="AI100" i="34" s="1"/>
  <c r="F114" i="34" s="1"/>
  <c r="I114" i="34" s="1"/>
  <c r="AL114" i="34"/>
  <c r="AE112" i="34"/>
  <c r="AL110" i="34"/>
  <c r="AD109" i="34"/>
  <c r="AE107" i="34"/>
  <c r="W106" i="34"/>
  <c r="V103" i="34"/>
  <c r="AM102" i="34"/>
  <c r="AE100" i="34"/>
  <c r="AL118" i="34"/>
  <c r="AE113" i="34"/>
  <c r="AE114" i="34" s="1"/>
  <c r="AE115" i="34" s="1"/>
  <c r="AE116" i="34" s="1"/>
  <c r="AE117" i="34" s="1"/>
  <c r="AE118" i="34" s="1"/>
  <c r="AE119" i="34" s="1"/>
  <c r="AE120" i="34" s="1"/>
  <c r="AE121" i="34" s="1"/>
  <c r="AE122" i="34" s="1"/>
  <c r="AE123" i="34" s="1"/>
  <c r="AE124" i="34" s="1"/>
  <c r="AE125" i="34" s="1"/>
  <c r="AE126" i="34" s="1"/>
  <c r="AE127" i="34" s="1"/>
  <c r="AE128" i="34" s="1"/>
  <c r="AE129" i="34" s="1"/>
  <c r="AE130" i="34" s="1"/>
  <c r="AE131" i="34" s="1"/>
  <c r="AE132" i="34" s="1"/>
  <c r="AE133" i="34" s="1"/>
  <c r="AE134" i="34" s="1"/>
  <c r="AE135" i="34" s="1"/>
  <c r="AE136" i="34" s="1"/>
  <c r="AE137" i="34" s="1"/>
  <c r="AE138" i="34" s="1"/>
  <c r="AE139" i="34" s="1"/>
  <c r="AE140" i="34" s="1"/>
  <c r="AE141" i="34" s="1"/>
  <c r="AE142" i="34" s="1"/>
  <c r="AE143" i="34" s="1"/>
  <c r="AE144" i="34" s="1"/>
  <c r="AE145" i="34" s="1"/>
  <c r="AE146" i="34" s="1"/>
  <c r="AE147" i="34" s="1"/>
  <c r="AE148" i="34" s="1"/>
  <c r="AE149" i="34" s="1"/>
  <c r="AE150" i="34" s="1"/>
  <c r="AE151" i="34" s="1"/>
  <c r="AE152" i="34" s="1"/>
  <c r="AE153" i="34" s="1"/>
  <c r="AE154" i="34" s="1"/>
  <c r="AE155" i="34" s="1"/>
  <c r="AE156" i="34" s="1"/>
  <c r="AE157" i="34" s="1"/>
  <c r="AE158" i="34" s="1"/>
  <c r="AE159" i="34" s="1"/>
  <c r="AE160" i="34" s="1"/>
  <c r="AE161" i="34" s="1"/>
  <c r="AE162" i="34" s="1"/>
  <c r="AE163" i="34" s="1"/>
  <c r="AE164" i="34" s="1"/>
  <c r="AE165" i="34" s="1"/>
  <c r="AE166" i="34" s="1"/>
  <c r="AE167" i="34" s="1"/>
  <c r="AE168" i="34" s="1"/>
  <c r="AE169" i="34" s="1"/>
  <c r="AE170" i="34" s="1"/>
  <c r="AE171" i="34" s="1"/>
  <c r="AE172" i="34" s="1"/>
  <c r="AE173" i="34" s="1"/>
  <c r="AE174" i="34" s="1"/>
  <c r="AE175" i="34" s="1"/>
  <c r="AE176" i="34" s="1"/>
  <c r="AE177" i="34" s="1"/>
  <c r="AE178" i="34" s="1"/>
  <c r="AE179" i="34" s="1"/>
  <c r="AE180" i="34" s="1"/>
  <c r="AE181" i="34" s="1"/>
  <c r="AE182" i="34" s="1"/>
  <c r="AE183" i="34" s="1"/>
  <c r="AE184" i="34" s="1"/>
  <c r="AE185" i="34" s="1"/>
  <c r="AE186" i="34" s="1"/>
  <c r="AE187" i="34" s="1"/>
  <c r="AE188" i="34" s="1"/>
  <c r="AE189" i="34" s="1"/>
  <c r="AE190" i="34" s="1"/>
  <c r="AE191" i="34" s="1"/>
  <c r="AE192" i="34" s="1"/>
  <c r="AE193" i="34" s="1"/>
  <c r="AE194" i="34" s="1"/>
  <c r="AE195" i="34" s="1"/>
  <c r="AE196" i="34" s="1"/>
  <c r="AE197" i="34" s="1"/>
  <c r="AE198" i="34" s="1"/>
  <c r="AE199" i="34" s="1"/>
  <c r="AE200" i="34" s="1"/>
  <c r="AE201" i="34" s="1"/>
  <c r="AE202" i="34" s="1"/>
  <c r="AE203" i="34" s="1"/>
  <c r="AE204" i="34" s="1"/>
  <c r="AE205" i="34" s="1"/>
  <c r="AE206" i="34" s="1"/>
  <c r="AE207" i="34" s="1"/>
  <c r="AE208" i="34" s="1"/>
  <c r="AE209" i="34" s="1"/>
  <c r="AE210" i="34" s="1"/>
  <c r="AE211" i="34" s="1"/>
  <c r="AE212" i="34" s="1"/>
  <c r="AE213" i="34" s="1"/>
  <c r="AE214" i="34" s="1"/>
  <c r="AE215" i="34" s="1"/>
  <c r="AE216" i="34" s="1"/>
  <c r="AE217" i="34" s="1"/>
  <c r="AE218" i="34" s="1"/>
  <c r="AE219" i="34" s="1"/>
  <c r="AE220" i="34" s="1"/>
  <c r="AE221" i="34" s="1"/>
  <c r="AE222" i="34" s="1"/>
  <c r="AE223" i="34" s="1"/>
  <c r="AE224" i="34" s="1"/>
  <c r="AE225" i="34" s="1"/>
  <c r="AE226" i="34" s="1"/>
  <c r="AE227" i="34" s="1"/>
  <c r="AE228" i="34" s="1"/>
  <c r="AE229" i="34" s="1"/>
  <c r="AE230" i="34" s="1"/>
  <c r="AE231" i="34" s="1"/>
  <c r="AE232" i="34" s="1"/>
  <c r="AE233" i="34" s="1"/>
  <c r="AE234" i="34" s="1"/>
  <c r="AE235" i="34" s="1"/>
  <c r="AE236" i="34" s="1"/>
  <c r="AE237" i="34" s="1"/>
  <c r="AE238" i="34" s="1"/>
  <c r="AE239" i="34" s="1"/>
  <c r="AE240" i="34" s="1"/>
  <c r="AE241" i="34" s="1"/>
  <c r="AE242" i="34" s="1"/>
  <c r="AE243" i="34" s="1"/>
  <c r="AE244" i="34" s="1"/>
  <c r="AE245" i="34" s="1"/>
  <c r="AE246" i="34" s="1"/>
  <c r="AE247" i="34" s="1"/>
  <c r="AE248" i="34" s="1"/>
  <c r="AE249" i="34" s="1"/>
  <c r="AE250" i="34" s="1"/>
  <c r="AD112" i="34"/>
  <c r="AD114" i="34" s="1"/>
  <c r="AD116" i="34" s="1"/>
  <c r="AD118" i="34" s="1"/>
  <c r="AD120" i="34" s="1"/>
  <c r="AD122" i="34" s="1"/>
  <c r="AD124" i="34" s="1"/>
  <c r="AD126" i="34" s="1"/>
  <c r="AD128" i="34" s="1"/>
  <c r="AD130" i="34" s="1"/>
  <c r="AD132" i="34" s="1"/>
  <c r="AD134" i="34" s="1"/>
  <c r="AD136" i="34" s="1"/>
  <c r="AD138" i="34" s="1"/>
  <c r="AD140" i="34" s="1"/>
  <c r="AD142" i="34" s="1"/>
  <c r="AD144" i="34" s="1"/>
  <c r="AD146" i="34" s="1"/>
  <c r="AD148" i="34" s="1"/>
  <c r="AD150" i="34" s="1"/>
  <c r="AD152" i="34" s="1"/>
  <c r="AD154" i="34" s="1"/>
  <c r="AD156" i="34" s="1"/>
  <c r="AD158" i="34" s="1"/>
  <c r="AD160" i="34" s="1"/>
  <c r="AD162" i="34" s="1"/>
  <c r="AD164" i="34" s="1"/>
  <c r="AD166" i="34" s="1"/>
  <c r="AD168" i="34" s="1"/>
  <c r="AD170" i="34" s="1"/>
  <c r="AD172" i="34" s="1"/>
  <c r="AD174" i="34" s="1"/>
  <c r="AD176" i="34" s="1"/>
  <c r="AD178" i="34" s="1"/>
  <c r="AD180" i="34" s="1"/>
  <c r="AD182" i="34" s="1"/>
  <c r="AD184" i="34" s="1"/>
  <c r="AD186" i="34" s="1"/>
  <c r="AD188" i="34" s="1"/>
  <c r="AD190" i="34" s="1"/>
  <c r="AD192" i="34" s="1"/>
  <c r="AD194" i="34" s="1"/>
  <c r="AD196" i="34" s="1"/>
  <c r="AD198" i="34" s="1"/>
  <c r="AD200" i="34" s="1"/>
  <c r="AD202" i="34" s="1"/>
  <c r="AD204" i="34" s="1"/>
  <c r="AD206" i="34" s="1"/>
  <c r="AD208" i="34" s="1"/>
  <c r="AD210" i="34" s="1"/>
  <c r="AD212" i="34" s="1"/>
  <c r="AD214" i="34" s="1"/>
  <c r="AD216" i="34" s="1"/>
  <c r="AD218" i="34" s="1"/>
  <c r="AD220" i="34" s="1"/>
  <c r="AD222" i="34" s="1"/>
  <c r="AD224" i="34" s="1"/>
  <c r="AD226" i="34" s="1"/>
  <c r="AD228" i="34" s="1"/>
  <c r="AD230" i="34" s="1"/>
  <c r="AD232" i="34" s="1"/>
  <c r="AD234" i="34" s="1"/>
  <c r="AD236" i="34" s="1"/>
  <c r="AD238" i="34" s="1"/>
  <c r="AD240" i="34" s="1"/>
  <c r="AD242" i="34" s="1"/>
  <c r="AD244" i="34" s="1"/>
  <c r="AD246" i="34" s="1"/>
  <c r="AD248" i="34" s="1"/>
  <c r="AD250" i="34" s="1"/>
  <c r="W108" i="34"/>
  <c r="AM106" i="34"/>
  <c r="V106" i="34"/>
  <c r="AM105" i="34"/>
  <c r="AD104" i="34"/>
  <c r="W101" i="34"/>
  <c r="AD100" i="34"/>
  <c r="AN134" i="40"/>
  <c r="AO134" i="40" s="1"/>
  <c r="AP134" i="40" s="1"/>
  <c r="AQ134" i="40"/>
  <c r="AN133" i="40"/>
  <c r="AO133" i="40" s="1"/>
  <c r="AP133" i="40" s="1"/>
  <c r="AR133" i="40"/>
  <c r="AQ124" i="40"/>
  <c r="AR123" i="40"/>
  <c r="AN123" i="40"/>
  <c r="AO123" i="40" s="1"/>
  <c r="AP123" i="40" s="1"/>
  <c r="AQ143" i="40"/>
  <c r="AR142" i="40"/>
  <c r="AN142" i="40"/>
  <c r="AO142" i="40" s="1"/>
  <c r="AP142" i="40" s="1"/>
  <c r="AN106" i="40"/>
  <c r="AO106" i="40" s="1"/>
  <c r="AP106" i="40" s="1"/>
  <c r="AQ145" i="40"/>
  <c r="AR144" i="40"/>
  <c r="AN144" i="40"/>
  <c r="AO144" i="40" s="1"/>
  <c r="AP144" i="40" s="1"/>
  <c r="AN110" i="40"/>
  <c r="AO110" i="40" s="1"/>
  <c r="AP110" i="40" s="1"/>
  <c r="AR139" i="40"/>
  <c r="AN139" i="40"/>
  <c r="AO139" i="40" s="1"/>
  <c r="AP139" i="40" s="1"/>
  <c r="AQ140" i="40"/>
  <c r="AQ161" i="40"/>
  <c r="AN160" i="40"/>
  <c r="AO160" i="40" s="1"/>
  <c r="AP160" i="40" s="1"/>
  <c r="AR160" i="40"/>
  <c r="AR232" i="40"/>
  <c r="AQ233" i="40"/>
  <c r="AN232" i="40"/>
  <c r="AO232" i="40" s="1"/>
  <c r="AP232" i="40" s="1"/>
  <c r="AQ172" i="40"/>
  <c r="AN171" i="40"/>
  <c r="AO171" i="40" s="1"/>
  <c r="AP171" i="40" s="1"/>
  <c r="AR171" i="40"/>
  <c r="AR187" i="40"/>
  <c r="AQ188" i="40"/>
  <c r="AN187" i="40"/>
  <c r="AO187" i="40" s="1"/>
  <c r="AP187" i="40" s="1"/>
  <c r="AQ204" i="40"/>
  <c r="AR203" i="40"/>
  <c r="AN203" i="40"/>
  <c r="AO203" i="40" s="1"/>
  <c r="AP203" i="40" s="1"/>
  <c r="AR155" i="40"/>
  <c r="AQ156" i="40"/>
  <c r="AN155" i="40"/>
  <c r="AO155" i="40" s="1"/>
  <c r="AP155" i="40" s="1"/>
  <c r="AQ196" i="40"/>
  <c r="AN195" i="40"/>
  <c r="AO195" i="40" s="1"/>
  <c r="AP195" i="40" s="1"/>
  <c r="AR195" i="40"/>
  <c r="AQ171" i="40"/>
  <c r="AR170" i="40"/>
  <c r="AN170" i="40"/>
  <c r="AO170" i="40" s="1"/>
  <c r="AP170" i="40" s="1"/>
  <c r="AQ186" i="40"/>
  <c r="AR185" i="40"/>
  <c r="AN185" i="40"/>
  <c r="AO185" i="40" s="1"/>
  <c r="AP185" i="40" s="1"/>
  <c r="AQ241" i="40"/>
  <c r="AN240" i="40"/>
  <c r="AO240" i="40" s="1"/>
  <c r="AP240" i="40" s="1"/>
  <c r="AR240" i="40"/>
  <c r="AU154" i="40"/>
  <c r="AR249" i="40"/>
  <c r="AQ250" i="40"/>
  <c r="AN249" i="40"/>
  <c r="AO249" i="40" s="1"/>
  <c r="AP249" i="40" s="1"/>
  <c r="AU199" i="40"/>
  <c r="AN244" i="40"/>
  <c r="AO244" i="40" s="1"/>
  <c r="AP244" i="40" s="1"/>
  <c r="AQ245" i="40"/>
  <c r="AR244" i="40"/>
  <c r="AU174" i="40"/>
  <c r="AU214" i="40"/>
  <c r="AU135" i="40"/>
  <c r="AU142" i="40"/>
  <c r="AU147" i="40"/>
  <c r="AU114" i="40"/>
  <c r="AU215" i="40"/>
  <c r="AU182" i="40"/>
  <c r="AU119" i="40"/>
  <c r="AU222" i="40"/>
  <c r="AU112" i="40"/>
  <c r="AU176" i="40"/>
  <c r="AU240" i="40"/>
  <c r="AU121" i="40"/>
  <c r="AU185" i="40"/>
  <c r="AU249" i="40"/>
  <c r="AU157" i="40"/>
  <c r="AU108" i="40"/>
  <c r="AU172" i="40"/>
  <c r="AU236" i="40"/>
  <c r="AQ129" i="40"/>
  <c r="AR128" i="40"/>
  <c r="AR214" i="40"/>
  <c r="AQ215" i="40"/>
  <c r="AN214" i="40"/>
  <c r="AO214" i="40" s="1"/>
  <c r="AP214" i="40" s="1"/>
  <c r="AU159" i="40"/>
  <c r="AU107" i="40"/>
  <c r="AU239" i="40"/>
  <c r="AU187" i="40"/>
  <c r="AU237" i="40"/>
  <c r="AN141" i="40"/>
  <c r="AO141" i="40" s="1"/>
  <c r="AP141" i="40" s="1"/>
  <c r="AQ142" i="40"/>
  <c r="AR141" i="40"/>
  <c r="AN103" i="40"/>
  <c r="AO103" i="40" s="1"/>
  <c r="AP103" i="40" s="1"/>
  <c r="AO112" i="40"/>
  <c r="AP112" i="40" s="1"/>
  <c r="AQ148" i="40"/>
  <c r="AN147" i="40"/>
  <c r="AO147" i="40" s="1"/>
  <c r="AP147" i="40" s="1"/>
  <c r="AR147" i="40"/>
  <c r="AO107" i="40"/>
  <c r="AP107" i="40" s="1"/>
  <c r="AQ151" i="40"/>
  <c r="AR150" i="40"/>
  <c r="AN150" i="40"/>
  <c r="AO150" i="40" s="1"/>
  <c r="AP150" i="40" s="1"/>
  <c r="AN238" i="40"/>
  <c r="AO238" i="40" s="1"/>
  <c r="AP238" i="40" s="1"/>
  <c r="AQ239" i="40"/>
  <c r="AR238" i="40"/>
  <c r="AR220" i="40"/>
  <c r="AN220" i="40"/>
  <c r="AO220" i="40" s="1"/>
  <c r="AP220" i="40" s="1"/>
  <c r="AQ221" i="40"/>
  <c r="AR148" i="40"/>
  <c r="AQ149" i="40"/>
  <c r="AN148" i="40"/>
  <c r="AO148" i="40" s="1"/>
  <c r="AP148" i="40" s="1"/>
  <c r="AQ205" i="40"/>
  <c r="AR204" i="40"/>
  <c r="AN204" i="40"/>
  <c r="AO204" i="40" s="1"/>
  <c r="AP204" i="40" s="1"/>
  <c r="AN219" i="40"/>
  <c r="AO219" i="40" s="1"/>
  <c r="AP219" i="40" s="1"/>
  <c r="AR219" i="40"/>
  <c r="AQ220" i="40"/>
  <c r="AR121" i="40"/>
  <c r="AQ122" i="40"/>
  <c r="AR140" i="40"/>
  <c r="AQ141" i="40"/>
  <c r="AN140" i="40"/>
  <c r="AO140" i="40" s="1"/>
  <c r="AP140" i="40" s="1"/>
  <c r="AR212" i="40"/>
  <c r="AQ213" i="40"/>
  <c r="AN212" i="40"/>
  <c r="AO212" i="40" s="1"/>
  <c r="AP212" i="40" s="1"/>
  <c r="AR233" i="40"/>
  <c r="AQ234" i="40"/>
  <c r="AN233" i="40"/>
  <c r="AO233" i="40" s="1"/>
  <c r="AP233" i="40" s="1"/>
  <c r="AQ158" i="40"/>
  <c r="AR157" i="40"/>
  <c r="AN157" i="40"/>
  <c r="AO157" i="40" s="1"/>
  <c r="AP157" i="40" s="1"/>
  <c r="AQ173" i="40"/>
  <c r="AR172" i="40"/>
  <c r="AN172" i="40"/>
  <c r="AO172" i="40" s="1"/>
  <c r="AP172" i="40" s="1"/>
  <c r="AR247" i="40"/>
  <c r="AQ248" i="40"/>
  <c r="AN247" i="40"/>
  <c r="AO247" i="40" s="1"/>
  <c r="AP247" i="40" s="1"/>
  <c r="AR217" i="40"/>
  <c r="AN217" i="40"/>
  <c r="AO217" i="40" s="1"/>
  <c r="AP217" i="40" s="1"/>
  <c r="AQ218" i="40"/>
  <c r="AQ230" i="40"/>
  <c r="AR229" i="40"/>
  <c r="AN229" i="40"/>
  <c r="AO229" i="40" s="1"/>
  <c r="AP229" i="40" s="1"/>
  <c r="AU127" i="40"/>
  <c r="AU130" i="40"/>
  <c r="AU231" i="40"/>
  <c r="AU211" i="40"/>
  <c r="AU179" i="40"/>
  <c r="AR243" i="40"/>
  <c r="AQ244" i="40"/>
  <c r="AN243" i="40"/>
  <c r="AO243" i="40" s="1"/>
  <c r="AP243" i="40" s="1"/>
  <c r="AU155" i="40"/>
  <c r="AU163" i="40"/>
  <c r="AU166" i="40"/>
  <c r="AU126" i="40"/>
  <c r="AU195" i="40"/>
  <c r="AU235" i="40"/>
  <c r="AU120" i="40"/>
  <c r="AU184" i="40"/>
  <c r="AU248" i="40"/>
  <c r="AU129" i="40"/>
  <c r="AU193" i="40"/>
  <c r="AU165" i="40"/>
  <c r="AU229" i="40"/>
  <c r="AU116" i="40"/>
  <c r="AU180" i="40"/>
  <c r="AU244" i="40"/>
  <c r="V138" i="40"/>
  <c r="V141" i="40"/>
  <c r="W127" i="40"/>
  <c r="AU126" i="37"/>
  <c r="AU131" i="38"/>
  <c r="AU149" i="38"/>
  <c r="AU133" i="38"/>
  <c r="AU115" i="37"/>
  <c r="AU127" i="37"/>
  <c r="AU106" i="37"/>
  <c r="AU138" i="37"/>
  <c r="AU173" i="37"/>
  <c r="AU147" i="37"/>
  <c r="AU157" i="37"/>
  <c r="AU168" i="37"/>
  <c r="AU179" i="37"/>
  <c r="AU189" i="37"/>
  <c r="AU200" i="37"/>
  <c r="AU211" i="37"/>
  <c r="AU221" i="37"/>
  <c r="AU232" i="37"/>
  <c r="AU243" i="37"/>
  <c r="AU166" i="37"/>
  <c r="AU198" i="37"/>
  <c r="AU230" i="37"/>
  <c r="AU124" i="37"/>
  <c r="AU118" i="37"/>
  <c r="AU135" i="37"/>
  <c r="AU136" i="37"/>
  <c r="AU130" i="37"/>
  <c r="AU145" i="37"/>
  <c r="AU107" i="37"/>
  <c r="AU108" i="37"/>
  <c r="AU102" i="37"/>
  <c r="AU134" i="37"/>
  <c r="AU103" i="37"/>
  <c r="AU105" i="37"/>
  <c r="AU119" i="37"/>
  <c r="AU114" i="37"/>
  <c r="AU109" i="38"/>
  <c r="Q243" i="27"/>
  <c r="Q235" i="27"/>
  <c r="Q227" i="27"/>
  <c r="Q219" i="27"/>
  <c r="Q211" i="27"/>
  <c r="Q203" i="27"/>
  <c r="Q195" i="27"/>
  <c r="Q187" i="27"/>
  <c r="Q179" i="27"/>
  <c r="Q171" i="27"/>
  <c r="Q163" i="27"/>
  <c r="Q155" i="27"/>
  <c r="Q147" i="27"/>
  <c r="Q139" i="27"/>
  <c r="Q131" i="27"/>
  <c r="Q123" i="27"/>
  <c r="Q115" i="27"/>
  <c r="Q107" i="27"/>
  <c r="N250" i="27"/>
  <c r="N242" i="27"/>
  <c r="N234" i="27"/>
  <c r="N226" i="27"/>
  <c r="N218" i="27"/>
  <c r="N210" i="27"/>
  <c r="N202" i="27"/>
  <c r="N194" i="27"/>
  <c r="N186" i="27"/>
  <c r="N178" i="27"/>
  <c r="N170" i="27"/>
  <c r="Q250" i="27"/>
  <c r="Q242" i="27"/>
  <c r="Q234" i="27"/>
  <c r="Q226" i="27"/>
  <c r="Q218" i="27"/>
  <c r="Q210" i="27"/>
  <c r="Q202" i="27"/>
  <c r="Q194" i="27"/>
  <c r="Q186" i="27"/>
  <c r="Q178" i="27"/>
  <c r="Q170" i="27"/>
  <c r="Q162" i="27"/>
  <c r="Q154" i="27"/>
  <c r="Q146" i="27"/>
  <c r="Q138" i="27"/>
  <c r="Q130" i="27"/>
  <c r="Q122" i="27"/>
  <c r="Q114" i="27"/>
  <c r="Q106" i="27"/>
  <c r="N249" i="27"/>
  <c r="N241" i="27"/>
  <c r="N233" i="27"/>
  <c r="N225" i="27"/>
  <c r="N217" i="27"/>
  <c r="N209" i="27"/>
  <c r="N201" i="27"/>
  <c r="N193" i="27"/>
  <c r="N185" i="27"/>
  <c r="N177" i="27"/>
  <c r="N169" i="27"/>
  <c r="N161" i="27"/>
  <c r="N153" i="27"/>
  <c r="Q249" i="27"/>
  <c r="Q241" i="27"/>
  <c r="Q233" i="27"/>
  <c r="Q225" i="27"/>
  <c r="Q217" i="27"/>
  <c r="Q209" i="27"/>
  <c r="Q201" i="27"/>
  <c r="Q193" i="27"/>
  <c r="Q185" i="27"/>
  <c r="Q177" i="27"/>
  <c r="Q169" i="27"/>
  <c r="Q161" i="27"/>
  <c r="Q153" i="27"/>
  <c r="Q145" i="27"/>
  <c r="Q137" i="27"/>
  <c r="Q129" i="27"/>
  <c r="Q121" i="27"/>
  <c r="Q113" i="27"/>
  <c r="Q105" i="27"/>
  <c r="N248" i="27"/>
  <c r="N240" i="27"/>
  <c r="N232" i="27"/>
  <c r="N224" i="27"/>
  <c r="N216" i="27"/>
  <c r="N208" i="27"/>
  <c r="N200" i="27"/>
  <c r="N192" i="27"/>
  <c r="N184" i="27"/>
  <c r="N176" i="27"/>
  <c r="N168" i="27"/>
  <c r="N160" i="27"/>
  <c r="N152" i="27"/>
  <c r="N144" i="27"/>
  <c r="N136" i="27"/>
  <c r="N128" i="27"/>
  <c r="N120" i="27"/>
  <c r="N112" i="27"/>
  <c r="N104" i="27"/>
  <c r="Q248" i="27"/>
  <c r="Q240" i="27"/>
  <c r="Q232" i="27"/>
  <c r="Q224" i="27"/>
  <c r="Q216" i="27"/>
  <c r="Q208" i="27"/>
  <c r="Q200" i="27"/>
  <c r="Q192" i="27"/>
  <c r="Q184" i="27"/>
  <c r="Q176" i="27"/>
  <c r="Q168" i="27"/>
  <c r="Q160" i="27"/>
  <c r="Q152" i="27"/>
  <c r="Q144" i="27"/>
  <c r="Q136" i="27"/>
  <c r="Q128" i="27"/>
  <c r="Q120" i="27"/>
  <c r="Q112" i="27"/>
  <c r="Q104" i="27"/>
  <c r="N247" i="27"/>
  <c r="N239" i="27"/>
  <c r="N231" i="27"/>
  <c r="N223" i="27"/>
  <c r="N215" i="27"/>
  <c r="N207" i="27"/>
  <c r="N199" i="27"/>
  <c r="N191" i="27"/>
  <c r="N183" i="27"/>
  <c r="N175" i="27"/>
  <c r="N167" i="27"/>
  <c r="N159" i="27"/>
  <c r="N151" i="27"/>
  <c r="N143" i="27"/>
  <c r="N135" i="27"/>
  <c r="N127" i="27"/>
  <c r="N119" i="27"/>
  <c r="N111" i="27"/>
  <c r="N103" i="27"/>
  <c r="Q247" i="27"/>
  <c r="Q239" i="27"/>
  <c r="Q231" i="27"/>
  <c r="Q223" i="27"/>
  <c r="Q215" i="27"/>
  <c r="Q207" i="27"/>
  <c r="Q199" i="27"/>
  <c r="Q191" i="27"/>
  <c r="Q183" i="27"/>
  <c r="Q175" i="27"/>
  <c r="Q167" i="27"/>
  <c r="Q159" i="27"/>
  <c r="Q151" i="27"/>
  <c r="Q143" i="27"/>
  <c r="Q135" i="27"/>
  <c r="Q127" i="27"/>
  <c r="Q119" i="27"/>
  <c r="Q111" i="27"/>
  <c r="Q103" i="27"/>
  <c r="N246" i="27"/>
  <c r="N238" i="27"/>
  <c r="N230" i="27"/>
  <c r="N222" i="27"/>
  <c r="N214" i="27"/>
  <c r="N206" i="27"/>
  <c r="N198" i="27"/>
  <c r="N190" i="27"/>
  <c r="N182" i="27"/>
  <c r="N174" i="27"/>
  <c r="N166" i="27"/>
  <c r="N158" i="27"/>
  <c r="N150" i="27"/>
  <c r="N142" i="27"/>
  <c r="N134" i="27"/>
  <c r="N126" i="27"/>
  <c r="N118" i="27"/>
  <c r="N110" i="27"/>
  <c r="N102" i="27"/>
  <c r="Q245" i="27"/>
  <c r="Q237" i="27"/>
  <c r="Q229" i="27"/>
  <c r="Q221" i="27"/>
  <c r="Q213" i="27"/>
  <c r="Q205" i="27"/>
  <c r="Q197" i="27"/>
  <c r="Q189" i="27"/>
  <c r="Q181" i="27"/>
  <c r="Q173" i="27"/>
  <c r="Q165" i="27"/>
  <c r="Q157" i="27"/>
  <c r="Q149" i="27"/>
  <c r="Q141" i="27"/>
  <c r="Q133" i="27"/>
  <c r="Q125" i="27"/>
  <c r="Q117" i="27"/>
  <c r="Q109" i="27"/>
  <c r="Q101" i="27"/>
  <c r="N244" i="27"/>
  <c r="N236" i="27"/>
  <c r="N228" i="27"/>
  <c r="N220" i="27"/>
  <c r="N212" i="27"/>
  <c r="N204" i="27"/>
  <c r="N196" i="27"/>
  <c r="N188" i="27"/>
  <c r="N180" i="27"/>
  <c r="N172" i="27"/>
  <c r="N164" i="27"/>
  <c r="N156" i="27"/>
  <c r="N148" i="27"/>
  <c r="N140" i="27"/>
  <c r="N132" i="27"/>
  <c r="N124" i="27"/>
  <c r="N116" i="27"/>
  <c r="N108" i="27"/>
  <c r="Q230" i="27"/>
  <c r="Q198" i="27"/>
  <c r="Q166" i="27"/>
  <c r="Q134" i="27"/>
  <c r="Q102" i="27"/>
  <c r="N245" i="27"/>
  <c r="N213" i="27"/>
  <c r="N181" i="27"/>
  <c r="N155" i="27"/>
  <c r="N138" i="27"/>
  <c r="N122" i="27"/>
  <c r="N106" i="27"/>
  <c r="Q228" i="27"/>
  <c r="Q196" i="27"/>
  <c r="Q164" i="27"/>
  <c r="Q132" i="27"/>
  <c r="Q100" i="27"/>
  <c r="N243" i="27"/>
  <c r="N211" i="27"/>
  <c r="N179" i="27"/>
  <c r="N154" i="27"/>
  <c r="N137" i="27"/>
  <c r="N121" i="27"/>
  <c r="N105" i="27"/>
  <c r="Q220" i="27"/>
  <c r="Q188" i="27"/>
  <c r="Q156" i="27"/>
  <c r="Q124" i="27"/>
  <c r="N235" i="27"/>
  <c r="N203" i="27"/>
  <c r="N171" i="27"/>
  <c r="N147" i="27"/>
  <c r="N131" i="27"/>
  <c r="N115" i="27"/>
  <c r="Q246" i="27"/>
  <c r="Q214" i="27"/>
  <c r="Q182" i="27"/>
  <c r="Q150" i="27"/>
  <c r="Q118" i="27"/>
  <c r="N229" i="27"/>
  <c r="N197" i="27"/>
  <c r="N165" i="27"/>
  <c r="N146" i="27"/>
  <c r="N130" i="27"/>
  <c r="N114" i="27"/>
  <c r="Q236" i="27"/>
  <c r="Q172" i="27"/>
  <c r="Q222" i="27"/>
  <c r="Q158" i="27"/>
  <c r="N205" i="27"/>
  <c r="N149" i="27"/>
  <c r="N117" i="27"/>
  <c r="F112" i="27"/>
  <c r="I112" i="27" s="1"/>
  <c r="F108" i="27"/>
  <c r="I108" i="27" s="1"/>
  <c r="F104" i="27"/>
  <c r="I104" i="27" s="1"/>
  <c r="G100" i="27"/>
  <c r="J100" i="27" s="1"/>
  <c r="Q212" i="27"/>
  <c r="Q148" i="27"/>
  <c r="N195" i="27"/>
  <c r="N145" i="27"/>
  <c r="N113" i="27"/>
  <c r="F100" i="27"/>
  <c r="I100" i="27" s="1"/>
  <c r="Q206" i="27"/>
  <c r="Q204" i="27"/>
  <c r="Q140" i="27"/>
  <c r="N100" i="27"/>
  <c r="N187" i="27"/>
  <c r="N139" i="27"/>
  <c r="N107" i="27"/>
  <c r="Q190" i="27"/>
  <c r="Q126" i="27"/>
  <c r="N237" i="27"/>
  <c r="N173" i="27"/>
  <c r="N133" i="27"/>
  <c r="N101" i="27"/>
  <c r="F110" i="27"/>
  <c r="I110" i="27" s="1"/>
  <c r="F106" i="27"/>
  <c r="I106" i="27" s="1"/>
  <c r="F102" i="27"/>
  <c r="I102" i="27" s="1"/>
  <c r="Q110" i="27"/>
  <c r="N162" i="27"/>
  <c r="F113" i="27"/>
  <c r="I113" i="27" s="1"/>
  <c r="F105" i="27"/>
  <c r="I105" i="27" s="1"/>
  <c r="Q108" i="27"/>
  <c r="N157" i="27"/>
  <c r="Q244" i="27"/>
  <c r="N141" i="27"/>
  <c r="F111" i="27"/>
  <c r="I111" i="27" s="1"/>
  <c r="F103" i="27"/>
  <c r="I103" i="27" s="1"/>
  <c r="Q238" i="27"/>
  <c r="N227" i="27"/>
  <c r="N129" i="27"/>
  <c r="Q180" i="27"/>
  <c r="N221" i="27"/>
  <c r="N125" i="27"/>
  <c r="Q142" i="27"/>
  <c r="N189" i="27"/>
  <c r="N109" i="27"/>
  <c r="F107" i="27"/>
  <c r="I107" i="27" s="1"/>
  <c r="Q174" i="27"/>
  <c r="F109" i="27"/>
  <c r="I109" i="27" s="1"/>
  <c r="Q116" i="27"/>
  <c r="F101" i="27"/>
  <c r="I101" i="27" s="1"/>
  <c r="N219" i="27"/>
  <c r="N163" i="27"/>
  <c r="N123" i="27"/>
  <c r="W127" i="27"/>
  <c r="W125" i="27"/>
  <c r="W121" i="27"/>
  <c r="V120" i="27"/>
  <c r="W119" i="27"/>
  <c r="V114" i="27"/>
  <c r="AE113" i="27"/>
  <c r="V112" i="27"/>
  <c r="AM111" i="27"/>
  <c r="AM110" i="27"/>
  <c r="AD109" i="27"/>
  <c r="V108" i="27"/>
  <c r="AM107" i="27"/>
  <c r="W107" i="27"/>
  <c r="W105" i="27"/>
  <c r="V104" i="27"/>
  <c r="AM103" i="27"/>
  <c r="AL102" i="27"/>
  <c r="AE101" i="27"/>
  <c r="AM100" i="27"/>
  <c r="V100" i="27"/>
  <c r="V127" i="27"/>
  <c r="V125" i="27"/>
  <c r="W124" i="27"/>
  <c r="V121" i="27"/>
  <c r="V119" i="27"/>
  <c r="AD113" i="27"/>
  <c r="AL111" i="27"/>
  <c r="AL110" i="27"/>
  <c r="AL107" i="27"/>
  <c r="V107" i="27"/>
  <c r="AM106" i="27"/>
  <c r="V105" i="27"/>
  <c r="AM104" i="27"/>
  <c r="AL103" i="27"/>
  <c r="AD101" i="27"/>
  <c r="AL100" i="27"/>
  <c r="V124" i="27"/>
  <c r="W123" i="27"/>
  <c r="W122" i="27"/>
  <c r="AE108" i="27"/>
  <c r="AL106" i="27"/>
  <c r="AM105" i="27"/>
  <c r="AL104" i="27"/>
  <c r="AE102" i="27"/>
  <c r="W128" i="27"/>
  <c r="V123" i="27"/>
  <c r="V122" i="27"/>
  <c r="W118" i="27"/>
  <c r="AE114" i="27"/>
  <c r="AE115" i="27" s="1"/>
  <c r="AE112" i="27"/>
  <c r="AE111" i="27"/>
  <c r="AE110" i="27"/>
  <c r="AM109" i="27"/>
  <c r="W109" i="27"/>
  <c r="AD108" i="27"/>
  <c r="W106" i="27"/>
  <c r="AL105" i="27"/>
  <c r="AE103" i="27"/>
  <c r="AD102" i="27"/>
  <c r="W101" i="27"/>
  <c r="AL99" i="27"/>
  <c r="AQ100" i="27" s="1"/>
  <c r="G128" i="27" s="1"/>
  <c r="J128" i="27" s="1"/>
  <c r="V118" i="27"/>
  <c r="W115" i="27"/>
  <c r="AM113" i="27"/>
  <c r="AD112" i="27"/>
  <c r="AD111" i="27"/>
  <c r="AD110" i="27"/>
  <c r="AL109" i="27"/>
  <c r="V109" i="27"/>
  <c r="AE107" i="27"/>
  <c r="V106" i="27"/>
  <c r="AE104" i="27"/>
  <c r="AD103" i="27"/>
  <c r="AM101" i="27"/>
  <c r="V101" i="27"/>
  <c r="AE100" i="27"/>
  <c r="W129" i="27"/>
  <c r="W130" i="27" s="1"/>
  <c r="W131" i="27" s="1"/>
  <c r="W132" i="27" s="1"/>
  <c r="W133" i="27" s="1"/>
  <c r="W126" i="27"/>
  <c r="W117" i="27"/>
  <c r="V115" i="27"/>
  <c r="AL113" i="27"/>
  <c r="AL115" i="27" s="1"/>
  <c r="AL117" i="27" s="1"/>
  <c r="AL119" i="27" s="1"/>
  <c r="AL121" i="27" s="1"/>
  <c r="AL123" i="27" s="1"/>
  <c r="AL125" i="27" s="1"/>
  <c r="AL127" i="27" s="1"/>
  <c r="AL129" i="27" s="1"/>
  <c r="AL131" i="27" s="1"/>
  <c r="AL133" i="27" s="1"/>
  <c r="AL135" i="27" s="1"/>
  <c r="AL137" i="27" s="1"/>
  <c r="AL139" i="27" s="1"/>
  <c r="AL141" i="27" s="1"/>
  <c r="AL143" i="27" s="1"/>
  <c r="AL145" i="27" s="1"/>
  <c r="AL147" i="27" s="1"/>
  <c r="AL149" i="27" s="1"/>
  <c r="AL151" i="27" s="1"/>
  <c r="AL153" i="27" s="1"/>
  <c r="AL155" i="27" s="1"/>
  <c r="AL157" i="27" s="1"/>
  <c r="AL159" i="27" s="1"/>
  <c r="AL161" i="27" s="1"/>
  <c r="AL163" i="27" s="1"/>
  <c r="AL165" i="27" s="1"/>
  <c r="AL167" i="27" s="1"/>
  <c r="AL169" i="27" s="1"/>
  <c r="AL171" i="27" s="1"/>
  <c r="AL173" i="27" s="1"/>
  <c r="AL175" i="27" s="1"/>
  <c r="AL177" i="27" s="1"/>
  <c r="AL179" i="27" s="1"/>
  <c r="AL181" i="27" s="1"/>
  <c r="AL183" i="27" s="1"/>
  <c r="AL185" i="27" s="1"/>
  <c r="AL187" i="27" s="1"/>
  <c r="AL189" i="27" s="1"/>
  <c r="AL191" i="27" s="1"/>
  <c r="AL193" i="27" s="1"/>
  <c r="AL195" i="27" s="1"/>
  <c r="AL197" i="27" s="1"/>
  <c r="AL199" i="27" s="1"/>
  <c r="AL201" i="27" s="1"/>
  <c r="AL203" i="27" s="1"/>
  <c r="AL205" i="27" s="1"/>
  <c r="AL207" i="27" s="1"/>
  <c r="AL209" i="27" s="1"/>
  <c r="AL211" i="27" s="1"/>
  <c r="AL213" i="27" s="1"/>
  <c r="AL215" i="27" s="1"/>
  <c r="AL217" i="27" s="1"/>
  <c r="AL219" i="27" s="1"/>
  <c r="AL221" i="27" s="1"/>
  <c r="AL223" i="27" s="1"/>
  <c r="AL225" i="27" s="1"/>
  <c r="AL227" i="27" s="1"/>
  <c r="AL229" i="27" s="1"/>
  <c r="AL231" i="27" s="1"/>
  <c r="AL233" i="27" s="1"/>
  <c r="AL235" i="27" s="1"/>
  <c r="AL237" i="27" s="1"/>
  <c r="AL239" i="27" s="1"/>
  <c r="AL241" i="27" s="1"/>
  <c r="AL243" i="27" s="1"/>
  <c r="AL245" i="27" s="1"/>
  <c r="AL247" i="27" s="1"/>
  <c r="AL249" i="27" s="1"/>
  <c r="W113" i="27"/>
  <c r="AM108" i="27"/>
  <c r="AD107" i="27"/>
  <c r="AE105" i="27"/>
  <c r="AD104" i="27"/>
  <c r="W102" i="27"/>
  <c r="AL101" i="27"/>
  <c r="AD100" i="27"/>
  <c r="AD99" i="27"/>
  <c r="AI100" i="27" s="1"/>
  <c r="F114" i="27" s="1"/>
  <c r="I114" i="27" s="1"/>
  <c r="V129" i="27"/>
  <c r="V131" i="27" s="1"/>
  <c r="V126" i="27"/>
  <c r="V117" i="27"/>
  <c r="W116" i="27"/>
  <c r="V113" i="27"/>
  <c r="AM112" i="27"/>
  <c r="W111" i="27"/>
  <c r="W110" i="27"/>
  <c r="AL108" i="27"/>
  <c r="AE106" i="27"/>
  <c r="AD105" i="27"/>
  <c r="W103" i="27"/>
  <c r="V102" i="27"/>
  <c r="V111" i="27"/>
  <c r="AD106" i="27"/>
  <c r="W104" i="27"/>
  <c r="W100" i="27"/>
  <c r="AM102" i="27"/>
  <c r="W120" i="27"/>
  <c r="V116" i="27"/>
  <c r="W114" i="27"/>
  <c r="V103" i="27"/>
  <c r="AL112" i="27"/>
  <c r="AL114" i="27" s="1"/>
  <c r="AL116" i="27" s="1"/>
  <c r="AL118" i="27" s="1"/>
  <c r="AL120" i="27" s="1"/>
  <c r="AL122" i="27" s="1"/>
  <c r="AL124" i="27" s="1"/>
  <c r="AL126" i="27" s="1"/>
  <c r="AL128" i="27" s="1"/>
  <c r="AL130" i="27" s="1"/>
  <c r="AL132" i="27" s="1"/>
  <c r="AL134" i="27" s="1"/>
  <c r="AL136" i="27" s="1"/>
  <c r="AL138" i="27" s="1"/>
  <c r="AL140" i="27" s="1"/>
  <c r="AL142" i="27" s="1"/>
  <c r="AL144" i="27" s="1"/>
  <c r="AL146" i="27" s="1"/>
  <c r="AL148" i="27" s="1"/>
  <c r="AL150" i="27" s="1"/>
  <c r="AL152" i="27" s="1"/>
  <c r="AL154" i="27" s="1"/>
  <c r="AL156" i="27" s="1"/>
  <c r="AL158" i="27" s="1"/>
  <c r="AL160" i="27" s="1"/>
  <c r="AL162" i="27" s="1"/>
  <c r="AL164" i="27" s="1"/>
  <c r="AL166" i="27" s="1"/>
  <c r="AL168" i="27" s="1"/>
  <c r="AL170" i="27" s="1"/>
  <c r="AL172" i="27" s="1"/>
  <c r="AL174" i="27" s="1"/>
  <c r="AL176" i="27" s="1"/>
  <c r="AL178" i="27" s="1"/>
  <c r="AL180" i="27" s="1"/>
  <c r="AL182" i="27" s="1"/>
  <c r="AL184" i="27" s="1"/>
  <c r="AL186" i="27" s="1"/>
  <c r="AL188" i="27" s="1"/>
  <c r="AL190" i="27" s="1"/>
  <c r="AL192" i="27" s="1"/>
  <c r="AL194" i="27" s="1"/>
  <c r="AL196" i="27" s="1"/>
  <c r="AL198" i="27" s="1"/>
  <c r="AL200" i="27" s="1"/>
  <c r="AL202" i="27" s="1"/>
  <c r="AL204" i="27" s="1"/>
  <c r="AL206" i="27" s="1"/>
  <c r="AL208" i="27" s="1"/>
  <c r="AL210" i="27" s="1"/>
  <c r="AL212" i="27" s="1"/>
  <c r="AL214" i="27" s="1"/>
  <c r="AL216" i="27" s="1"/>
  <c r="AL218" i="27" s="1"/>
  <c r="AL220" i="27" s="1"/>
  <c r="AL222" i="27" s="1"/>
  <c r="AL224" i="27" s="1"/>
  <c r="AL226" i="27" s="1"/>
  <c r="AL228" i="27" s="1"/>
  <c r="AL230" i="27" s="1"/>
  <c r="AL232" i="27" s="1"/>
  <c r="AL234" i="27" s="1"/>
  <c r="AL236" i="27" s="1"/>
  <c r="AL238" i="27" s="1"/>
  <c r="AL240" i="27" s="1"/>
  <c r="AL242" i="27" s="1"/>
  <c r="AL244" i="27" s="1"/>
  <c r="AL246" i="27" s="1"/>
  <c r="AL248" i="27" s="1"/>
  <c r="AL250" i="27" s="1"/>
  <c r="V110" i="27"/>
  <c r="AE109" i="27"/>
  <c r="V99" i="27"/>
  <c r="AA100" i="27" s="1"/>
  <c r="E100" i="27" s="1"/>
  <c r="W112" i="27"/>
  <c r="AM114" i="27"/>
  <c r="AM115" i="27" s="1"/>
  <c r="AM116" i="27" s="1"/>
  <c r="AM117" i="27" s="1"/>
  <c r="AM118" i="27" s="1"/>
  <c r="AM119" i="27" s="1"/>
  <c r="AM120" i="27" s="1"/>
  <c r="AM121" i="27" s="1"/>
  <c r="AM122" i="27" s="1"/>
  <c r="AM123" i="27" s="1"/>
  <c r="AM124" i="27" s="1"/>
  <c r="AM125" i="27" s="1"/>
  <c r="AM126" i="27" s="1"/>
  <c r="AM127" i="27" s="1"/>
  <c r="AM128" i="27" s="1"/>
  <c r="AM129" i="27" s="1"/>
  <c r="AM130" i="27" s="1"/>
  <c r="AM131" i="27" s="1"/>
  <c r="AM132" i="27" s="1"/>
  <c r="AM133" i="27" s="1"/>
  <c r="AM134" i="27" s="1"/>
  <c r="AM135" i="27" s="1"/>
  <c r="AM136" i="27" s="1"/>
  <c r="AM137" i="27" s="1"/>
  <c r="AM138" i="27" s="1"/>
  <c r="AM139" i="27" s="1"/>
  <c r="AM140" i="27" s="1"/>
  <c r="AM141" i="27" s="1"/>
  <c r="AM142" i="27" s="1"/>
  <c r="AM143" i="27" s="1"/>
  <c r="AM144" i="27" s="1"/>
  <c r="AM145" i="27" s="1"/>
  <c r="AM146" i="27" s="1"/>
  <c r="AM147" i="27" s="1"/>
  <c r="AM148" i="27" s="1"/>
  <c r="AM149" i="27" s="1"/>
  <c r="AM150" i="27" s="1"/>
  <c r="AM151" i="27" s="1"/>
  <c r="AM152" i="27" s="1"/>
  <c r="AM153" i="27" s="1"/>
  <c r="AM154" i="27" s="1"/>
  <c r="AM155" i="27" s="1"/>
  <c r="AM156" i="27" s="1"/>
  <c r="AM157" i="27" s="1"/>
  <c r="AM158" i="27" s="1"/>
  <c r="AM159" i="27" s="1"/>
  <c r="AM160" i="27" s="1"/>
  <c r="AM161" i="27" s="1"/>
  <c r="AM162" i="27" s="1"/>
  <c r="AM163" i="27" s="1"/>
  <c r="AM164" i="27" s="1"/>
  <c r="AM165" i="27" s="1"/>
  <c r="AM166" i="27" s="1"/>
  <c r="AM167" i="27" s="1"/>
  <c r="AM168" i="27" s="1"/>
  <c r="AM169" i="27" s="1"/>
  <c r="AM170" i="27" s="1"/>
  <c r="AM171" i="27" s="1"/>
  <c r="AM172" i="27" s="1"/>
  <c r="AM173" i="27" s="1"/>
  <c r="AM174" i="27" s="1"/>
  <c r="AM175" i="27" s="1"/>
  <c r="AM176" i="27" s="1"/>
  <c r="AM177" i="27" s="1"/>
  <c r="AM178" i="27" s="1"/>
  <c r="AM179" i="27" s="1"/>
  <c r="AM180" i="27" s="1"/>
  <c r="AM181" i="27" s="1"/>
  <c r="AM182" i="27" s="1"/>
  <c r="AM183" i="27" s="1"/>
  <c r="AM184" i="27" s="1"/>
  <c r="AM185" i="27" s="1"/>
  <c r="AM186" i="27" s="1"/>
  <c r="AM187" i="27" s="1"/>
  <c r="AM188" i="27" s="1"/>
  <c r="AM189" i="27" s="1"/>
  <c r="AM190" i="27" s="1"/>
  <c r="AM191" i="27" s="1"/>
  <c r="AM192" i="27" s="1"/>
  <c r="AM193" i="27" s="1"/>
  <c r="AM194" i="27" s="1"/>
  <c r="AM195" i="27" s="1"/>
  <c r="AM196" i="27" s="1"/>
  <c r="AM197" i="27" s="1"/>
  <c r="AM198" i="27" s="1"/>
  <c r="AM199" i="27" s="1"/>
  <c r="AM200" i="27" s="1"/>
  <c r="AM201" i="27" s="1"/>
  <c r="AM202" i="27" s="1"/>
  <c r="AM203" i="27" s="1"/>
  <c r="AM204" i="27" s="1"/>
  <c r="AM205" i="27" s="1"/>
  <c r="AM206" i="27" s="1"/>
  <c r="AM207" i="27" s="1"/>
  <c r="AM208" i="27" s="1"/>
  <c r="AM209" i="27" s="1"/>
  <c r="AM210" i="27" s="1"/>
  <c r="AM211" i="27" s="1"/>
  <c r="AM212" i="27" s="1"/>
  <c r="AM213" i="27" s="1"/>
  <c r="AM214" i="27" s="1"/>
  <c r="AM215" i="27" s="1"/>
  <c r="AM216" i="27" s="1"/>
  <c r="AM217" i="27" s="1"/>
  <c r="AM218" i="27" s="1"/>
  <c r="AM219" i="27" s="1"/>
  <c r="AM220" i="27" s="1"/>
  <c r="AM221" i="27" s="1"/>
  <c r="AM222" i="27" s="1"/>
  <c r="AM223" i="27" s="1"/>
  <c r="AM224" i="27" s="1"/>
  <c r="AM225" i="27" s="1"/>
  <c r="AM226" i="27" s="1"/>
  <c r="AM227" i="27" s="1"/>
  <c r="AM228" i="27" s="1"/>
  <c r="AM229" i="27" s="1"/>
  <c r="AM230" i="27" s="1"/>
  <c r="AM231" i="27" s="1"/>
  <c r="AM232" i="27" s="1"/>
  <c r="AM233" i="27" s="1"/>
  <c r="AM234" i="27" s="1"/>
  <c r="AM235" i="27" s="1"/>
  <c r="AM236" i="27" s="1"/>
  <c r="AM237" i="27" s="1"/>
  <c r="AM238" i="27" s="1"/>
  <c r="AM239" i="27" s="1"/>
  <c r="AM240" i="27" s="1"/>
  <c r="AM241" i="27" s="1"/>
  <c r="AM242" i="27" s="1"/>
  <c r="AM243" i="27" s="1"/>
  <c r="AM244" i="27" s="1"/>
  <c r="AM245" i="27" s="1"/>
  <c r="AM246" i="27" s="1"/>
  <c r="AM247" i="27" s="1"/>
  <c r="AM248" i="27" s="1"/>
  <c r="AM249" i="27" s="1"/>
  <c r="AM250" i="27" s="1"/>
  <c r="W108" i="27"/>
  <c r="V132" i="38"/>
  <c r="AU163" i="38"/>
  <c r="AD117" i="38"/>
  <c r="AD116" i="38"/>
  <c r="AU108" i="38"/>
  <c r="AU172" i="38"/>
  <c r="AU236" i="38"/>
  <c r="AU110" i="38"/>
  <c r="AU174" i="38"/>
  <c r="AU238" i="38"/>
  <c r="AU127" i="38"/>
  <c r="AU191" i="38"/>
  <c r="AE117" i="38"/>
  <c r="AE118" i="38" s="1"/>
  <c r="AE119" i="38" s="1"/>
  <c r="AF100" i="38"/>
  <c r="AG100" i="38" s="1"/>
  <c r="AH100" i="38" s="1"/>
  <c r="AU203" i="38"/>
  <c r="AU101" i="38"/>
  <c r="AU157" i="38"/>
  <c r="AU189" i="38"/>
  <c r="AU125" i="38"/>
  <c r="AU211" i="38"/>
  <c r="AU155" i="38"/>
  <c r="AU212" i="38"/>
  <c r="AU150" i="38"/>
  <c r="AU103" i="38"/>
  <c r="AU231" i="38"/>
  <c r="AU112" i="38"/>
  <c r="AU176" i="38"/>
  <c r="AU240" i="38"/>
  <c r="AU129" i="38"/>
  <c r="AF101" i="38"/>
  <c r="AG101" i="38" s="1"/>
  <c r="AU197" i="38"/>
  <c r="AU243" i="38"/>
  <c r="AU187" i="38"/>
  <c r="AU156" i="38"/>
  <c r="AU220" i="38"/>
  <c r="AU158" i="38"/>
  <c r="AU222" i="38"/>
  <c r="AU111" i="38"/>
  <c r="AU175" i="38"/>
  <c r="AU120" i="38"/>
  <c r="AU184" i="38"/>
  <c r="AU248" i="38"/>
  <c r="AU137" i="38"/>
  <c r="AU201" i="38"/>
  <c r="AU162" i="38"/>
  <c r="AU226" i="38"/>
  <c r="AU218" i="38"/>
  <c r="X114" i="38"/>
  <c r="Y114" i="38" s="1"/>
  <c r="Z114" i="38" s="1"/>
  <c r="AU221" i="38"/>
  <c r="AU219" i="38"/>
  <c r="AU100" i="38"/>
  <c r="AU164" i="38"/>
  <c r="AU228" i="38"/>
  <c r="AU102" i="38"/>
  <c r="AU166" i="38"/>
  <c r="AU230" i="38"/>
  <c r="AU119" i="38"/>
  <c r="AU183" i="38"/>
  <c r="AU128" i="38"/>
  <c r="AU192" i="38"/>
  <c r="AU145" i="38"/>
  <c r="AU209" i="38"/>
  <c r="AU106" i="38"/>
  <c r="AU170" i="38"/>
  <c r="AU234" i="38"/>
  <c r="AU136" i="38"/>
  <c r="AU200" i="38"/>
  <c r="AU153" i="38"/>
  <c r="AU217" i="38"/>
  <c r="AU114" i="38"/>
  <c r="AU178" i="38"/>
  <c r="AU242" i="38"/>
  <c r="AU227" i="38"/>
  <c r="AU245" i="38"/>
  <c r="AU116" i="38"/>
  <c r="AU180" i="38"/>
  <c r="AU244" i="38"/>
  <c r="AU118" i="38"/>
  <c r="AU182" i="38"/>
  <c r="AU246" i="38"/>
  <c r="AU135" i="38"/>
  <c r="AU199" i="38"/>
  <c r="AU144" i="38"/>
  <c r="AU208" i="38"/>
  <c r="AU161" i="38"/>
  <c r="AU225" i="38"/>
  <c r="AU122" i="38"/>
  <c r="AU186" i="38"/>
  <c r="AU250" i="38"/>
  <c r="V129" i="38"/>
  <c r="AU195" i="38"/>
  <c r="AU117" i="38"/>
  <c r="AU107" i="38"/>
  <c r="AU115" i="38"/>
  <c r="AU213" i="38"/>
  <c r="AU173" i="38"/>
  <c r="AU124" i="38"/>
  <c r="AU188" i="38"/>
  <c r="AU126" i="38"/>
  <c r="AU190" i="38"/>
  <c r="AU143" i="38"/>
  <c r="AU207" i="38"/>
  <c r="AU152" i="38"/>
  <c r="AU216" i="38"/>
  <c r="AU105" i="38"/>
  <c r="AU169" i="38"/>
  <c r="AU233" i="38"/>
  <c r="AU130" i="38"/>
  <c r="AU194" i="38"/>
  <c r="AN100" i="38"/>
  <c r="AO100" i="38" s="1"/>
  <c r="AP100" i="38" s="1"/>
  <c r="W128" i="38"/>
  <c r="W129" i="38" s="1"/>
  <c r="AU181" i="38"/>
  <c r="AU171" i="38"/>
  <c r="AU205" i="38"/>
  <c r="AU147" i="38"/>
  <c r="AU229" i="38"/>
  <c r="AU132" i="38"/>
  <c r="AU196" i="38"/>
  <c r="AU134" i="38"/>
  <c r="AU198" i="38"/>
  <c r="AU151" i="38"/>
  <c r="AU215" i="38"/>
  <c r="AU160" i="38"/>
  <c r="AU224" i="38"/>
  <c r="AU113" i="38"/>
  <c r="AU177" i="38"/>
  <c r="AU241" i="38"/>
  <c r="AU138" i="38"/>
  <c r="AU202" i="38"/>
  <c r="X100" i="38"/>
  <c r="Y100" i="38" s="1"/>
  <c r="Z100" i="38" s="1"/>
  <c r="AF102" i="38"/>
  <c r="AG102" i="38" s="1"/>
  <c r="AH102" i="38" s="1"/>
  <c r="AU139" i="38"/>
  <c r="AU165" i="38"/>
  <c r="AU235" i="38"/>
  <c r="AU179" i="38"/>
  <c r="AU123" i="38"/>
  <c r="AU237" i="38"/>
  <c r="AU140" i="38"/>
  <c r="AU204" i="38"/>
  <c r="AU239" i="38"/>
  <c r="AU142" i="38"/>
  <c r="AU206" i="38"/>
  <c r="AU159" i="38"/>
  <c r="AU223" i="38"/>
  <c r="AU104" i="38"/>
  <c r="AU168" i="38"/>
  <c r="AU232" i="38"/>
  <c r="AU121" i="38"/>
  <c r="AU185" i="38"/>
  <c r="AU249" i="38"/>
  <c r="AU146" i="38"/>
  <c r="AU210" i="38"/>
  <c r="AU141" i="38"/>
  <c r="AU148" i="38"/>
  <c r="AU247" i="38"/>
  <c r="AU214" i="38"/>
  <c r="AU167" i="38"/>
  <c r="AU193" i="38"/>
  <c r="AU154" i="38"/>
  <c r="V135" i="37"/>
  <c r="V130" i="37"/>
  <c r="W130" i="37"/>
  <c r="AE118" i="37"/>
  <c r="AE119" i="37" s="1"/>
  <c r="X100" i="37"/>
  <c r="Y100" i="37" s="1"/>
  <c r="Z100" i="37" s="1"/>
  <c r="X114" i="37"/>
  <c r="Y114" i="37" s="1"/>
  <c r="Z114" i="37" s="1"/>
  <c r="AN100" i="37"/>
  <c r="AO100" i="37" s="1"/>
  <c r="AQ100" i="37"/>
  <c r="G128" i="37" s="1"/>
  <c r="J128" i="37" s="1"/>
  <c r="AD114" i="37"/>
  <c r="AF100" i="37"/>
  <c r="AG100" i="37" s="1"/>
  <c r="AH100" i="37" s="1"/>
  <c r="AD115" i="37"/>
  <c r="AU131" i="37"/>
  <c r="AU148" i="37"/>
  <c r="AU159" i="37"/>
  <c r="AU169" i="37"/>
  <c r="AU180" i="37"/>
  <c r="AU191" i="37"/>
  <c r="AU201" i="37"/>
  <c r="AU212" i="37"/>
  <c r="AU223" i="37"/>
  <c r="AU233" i="37"/>
  <c r="AU244" i="37"/>
  <c r="AU146" i="37"/>
  <c r="AU178" i="37"/>
  <c r="AU210" i="37"/>
  <c r="AU242" i="37"/>
  <c r="AU125" i="37"/>
  <c r="AU139" i="37"/>
  <c r="AU149" i="37"/>
  <c r="AU160" i="37"/>
  <c r="AU171" i="37"/>
  <c r="AU192" i="37"/>
  <c r="AU203" i="37"/>
  <c r="AU213" i="37"/>
  <c r="AU224" i="37"/>
  <c r="AU235" i="37"/>
  <c r="AU245" i="37"/>
  <c r="AU158" i="37"/>
  <c r="AU190" i="37"/>
  <c r="AU222" i="37"/>
  <c r="AU140" i="37"/>
  <c r="AU151" i="37"/>
  <c r="AU161" i="37"/>
  <c r="AU172" i="37"/>
  <c r="AU183" i="37"/>
  <c r="AU193" i="37"/>
  <c r="AU204" i="37"/>
  <c r="AU215" i="37"/>
  <c r="AU225" i="37"/>
  <c r="AU236" i="37"/>
  <c r="AU247" i="37"/>
  <c r="AU170" i="37"/>
  <c r="AU202" i="37"/>
  <c r="AU234" i="37"/>
  <c r="AU100" i="37"/>
  <c r="AU101" i="37"/>
  <c r="AU152" i="37"/>
  <c r="AU163" i="37"/>
  <c r="AU184" i="37"/>
  <c r="AU195" i="37"/>
  <c r="AU205" i="37"/>
  <c r="AU216" i="37"/>
  <c r="AU227" i="37"/>
  <c r="AU237" i="37"/>
  <c r="AU248" i="37"/>
  <c r="AU150" i="37"/>
  <c r="AU182" i="37"/>
  <c r="AU214" i="37"/>
  <c r="AU246" i="37"/>
  <c r="AU111" i="37"/>
  <c r="AU112" i="37"/>
  <c r="AU141" i="37"/>
  <c r="AU143" i="37"/>
  <c r="AU153" i="37"/>
  <c r="AU164" i="37"/>
  <c r="AU175" i="37"/>
  <c r="AU185" i="37"/>
  <c r="AU196" i="37"/>
  <c r="AU207" i="37"/>
  <c r="AU217" i="37"/>
  <c r="AU228" i="37"/>
  <c r="AU239" i="37"/>
  <c r="AU249" i="37"/>
  <c r="AU162" i="37"/>
  <c r="AU194" i="37"/>
  <c r="AU226" i="37"/>
  <c r="AU123" i="37"/>
  <c r="AU142" i="37"/>
  <c r="AU110" i="37"/>
  <c r="AU120" i="37"/>
  <c r="AU181" i="37"/>
  <c r="AU144" i="37"/>
  <c r="AU155" i="37"/>
  <c r="AU165" i="37"/>
  <c r="AU176" i="37"/>
  <c r="AU187" i="37"/>
  <c r="AU197" i="37"/>
  <c r="AU208" i="37"/>
  <c r="AU219" i="37"/>
  <c r="AU229" i="37"/>
  <c r="AU240" i="37"/>
  <c r="AU174" i="37"/>
  <c r="AU206" i="37"/>
  <c r="AU238" i="37"/>
  <c r="AU133" i="37"/>
  <c r="AU122" i="37"/>
  <c r="AU121" i="37"/>
  <c r="AU132" i="37"/>
  <c r="AU156" i="37"/>
  <c r="AU167" i="37"/>
  <c r="AU177" i="37"/>
  <c r="AU188" i="37"/>
  <c r="AU199" i="37"/>
  <c r="AU209" i="37"/>
  <c r="AU220" i="37"/>
  <c r="AU231" i="37"/>
  <c r="AU241" i="37"/>
  <c r="AU154" i="37"/>
  <c r="AU186" i="37"/>
  <c r="AU218" i="37"/>
  <c r="AU250" i="37"/>
  <c r="AQ100" i="22"/>
  <c r="G128" i="22" s="1"/>
  <c r="J128" i="22" s="1"/>
  <c r="AI100" i="22"/>
  <c r="F114" i="22" s="1"/>
  <c r="I114" i="22" s="1"/>
  <c r="E71" i="21"/>
  <c r="D71" i="21"/>
  <c r="F36" i="21" s="1"/>
  <c r="F37" i="21" s="1"/>
  <c r="AN100" i="22"/>
  <c r="AN101" i="22" s="1"/>
  <c r="AN102" i="22" s="1"/>
  <c r="AN103" i="22" s="1"/>
  <c r="AN104" i="22" s="1"/>
  <c r="AN105" i="22" s="1"/>
  <c r="AN106" i="22" s="1"/>
  <c r="AN107" i="22" s="1"/>
  <c r="AN108" i="22" s="1"/>
  <c r="AN109" i="22" s="1"/>
  <c r="AN110" i="22" s="1"/>
  <c r="AF100" i="22"/>
  <c r="AF101" i="22" s="1"/>
  <c r="AF102" i="22" s="1"/>
  <c r="AF103" i="22" s="1"/>
  <c r="AF104" i="22" s="1"/>
  <c r="AF105" i="22" s="1"/>
  <c r="AF106" i="22" s="1"/>
  <c r="AF107" i="22" s="1"/>
  <c r="AF108" i="22" s="1"/>
  <c r="AF109" i="22" s="1"/>
  <c r="AF110" i="22" s="1"/>
  <c r="AF111" i="22" s="1"/>
  <c r="AF112" i="22" s="1"/>
  <c r="AF113" i="22" s="1"/>
  <c r="AF114" i="22" s="1"/>
  <c r="AF115" i="22" s="1"/>
  <c r="AF116" i="22" s="1"/>
  <c r="AF117" i="22" s="1"/>
  <c r="AF118" i="22" s="1"/>
  <c r="AF119" i="22" s="1"/>
  <c r="AF120" i="22" s="1"/>
  <c r="AF121" i="22" s="1"/>
  <c r="AF122" i="22" s="1"/>
  <c r="AF123" i="22" s="1"/>
  <c r="AF124" i="22" s="1"/>
  <c r="AF125" i="22" s="1"/>
  <c r="AF126" i="22" s="1"/>
  <c r="AF127" i="22" s="1"/>
  <c r="AF128" i="22" s="1"/>
  <c r="AF129" i="22" s="1"/>
  <c r="AF130" i="22" s="1"/>
  <c r="AF131" i="22" s="1"/>
  <c r="AF132" i="22" s="1"/>
  <c r="AF133" i="22" s="1"/>
  <c r="AF134" i="22" s="1"/>
  <c r="AF135" i="22" s="1"/>
  <c r="AF136" i="22" s="1"/>
  <c r="AF137" i="22" s="1"/>
  <c r="AF138" i="22" s="1"/>
  <c r="AF139" i="22" s="1"/>
  <c r="AF140" i="22" s="1"/>
  <c r="AF141" i="22" s="1"/>
  <c r="AF142" i="22" s="1"/>
  <c r="AF143" i="22" s="1"/>
  <c r="AF144" i="22" s="1"/>
  <c r="AF145" i="22" s="1"/>
  <c r="AF146" i="22" s="1"/>
  <c r="AF147" i="22" s="1"/>
  <c r="AF148" i="22" s="1"/>
  <c r="AF149" i="22" s="1"/>
  <c r="AF150" i="22" s="1"/>
  <c r="AF151" i="22" s="1"/>
  <c r="AF152" i="22" s="1"/>
  <c r="AF153" i="22" s="1"/>
  <c r="AF154" i="22" s="1"/>
  <c r="AF155" i="22" s="1"/>
  <c r="AF156" i="22" s="1"/>
  <c r="AF157" i="22" s="1"/>
  <c r="AF158" i="22" s="1"/>
  <c r="AF159" i="22" s="1"/>
  <c r="AF160" i="22" s="1"/>
  <c r="AF161" i="22" s="1"/>
  <c r="AF162" i="22" s="1"/>
  <c r="AF163" i="22" s="1"/>
  <c r="AF164" i="22" s="1"/>
  <c r="AF165" i="22" s="1"/>
  <c r="AF166" i="22" s="1"/>
  <c r="AF167" i="22" s="1"/>
  <c r="AF168" i="22" s="1"/>
  <c r="AF169" i="22" s="1"/>
  <c r="AF170" i="22" s="1"/>
  <c r="AF171" i="22" s="1"/>
  <c r="AF172" i="22" s="1"/>
  <c r="AF173" i="22" s="1"/>
  <c r="AF174" i="22" s="1"/>
  <c r="AF175" i="22" s="1"/>
  <c r="AF176" i="22" s="1"/>
  <c r="AF177" i="22" s="1"/>
  <c r="AF178" i="22" s="1"/>
  <c r="AF179" i="22" s="1"/>
  <c r="AF180" i="22" s="1"/>
  <c r="AF181" i="22" s="1"/>
  <c r="AF182" i="22" s="1"/>
  <c r="AF183" i="22" s="1"/>
  <c r="AF184" i="22" s="1"/>
  <c r="AF185" i="22" s="1"/>
  <c r="AF186" i="22" s="1"/>
  <c r="AF187" i="22" s="1"/>
  <c r="AF188" i="22" s="1"/>
  <c r="AF189" i="22" s="1"/>
  <c r="AF190" i="22" s="1"/>
  <c r="AF191" i="22" s="1"/>
  <c r="AF192" i="22" s="1"/>
  <c r="AF193" i="22" s="1"/>
  <c r="AF194" i="22" s="1"/>
  <c r="AF195" i="22" s="1"/>
  <c r="AF196" i="22" s="1"/>
  <c r="AF197" i="22" s="1"/>
  <c r="AF198" i="22" s="1"/>
  <c r="AF199" i="22" s="1"/>
  <c r="AF200" i="22" s="1"/>
  <c r="AF201" i="22" s="1"/>
  <c r="AF202" i="22" s="1"/>
  <c r="AF203" i="22" s="1"/>
  <c r="AF204" i="22" s="1"/>
  <c r="AF205" i="22" s="1"/>
  <c r="AF206" i="22" s="1"/>
  <c r="AF207" i="22" s="1"/>
  <c r="AF208" i="22" s="1"/>
  <c r="AF209" i="22" s="1"/>
  <c r="AF210" i="22" s="1"/>
  <c r="AF211" i="22" s="1"/>
  <c r="AF212" i="22" s="1"/>
  <c r="AF213" i="22" s="1"/>
  <c r="AF214" i="22" s="1"/>
  <c r="AF215" i="22" s="1"/>
  <c r="AF216" i="22" s="1"/>
  <c r="AF217" i="22" s="1"/>
  <c r="AF218" i="22" s="1"/>
  <c r="AF219" i="22" s="1"/>
  <c r="AF220" i="22" s="1"/>
  <c r="AF221" i="22" s="1"/>
  <c r="AF222" i="22" s="1"/>
  <c r="AF223" i="22" s="1"/>
  <c r="AF224" i="22" s="1"/>
  <c r="AF225" i="22" s="1"/>
  <c r="AF226" i="22" s="1"/>
  <c r="AF227" i="22" s="1"/>
  <c r="AF228" i="22" s="1"/>
  <c r="AF229" i="22" s="1"/>
  <c r="AF230" i="22" s="1"/>
  <c r="AF231" i="22" s="1"/>
  <c r="AF232" i="22" s="1"/>
  <c r="AF233" i="22" s="1"/>
  <c r="AF234" i="22" s="1"/>
  <c r="AF235" i="22" s="1"/>
  <c r="AF236" i="22" s="1"/>
  <c r="AF237" i="22" s="1"/>
  <c r="AF238" i="22" s="1"/>
  <c r="AF239" i="22" s="1"/>
  <c r="AF240" i="22" s="1"/>
  <c r="AF241" i="22" s="1"/>
  <c r="AF242" i="22" s="1"/>
  <c r="AF243" i="22" s="1"/>
  <c r="AF244" i="22" s="1"/>
  <c r="AF245" i="22" s="1"/>
  <c r="AF246" i="22" s="1"/>
  <c r="AF247" i="22" s="1"/>
  <c r="AF248" i="22" s="1"/>
  <c r="AF249" i="22" s="1"/>
  <c r="AF250" i="22" s="1"/>
  <c r="X100" i="22"/>
  <c r="D29" i="34"/>
  <c r="D29" i="40" s="1"/>
  <c r="D28" i="40"/>
  <c r="D30" i="2"/>
  <c r="D33" i="2"/>
  <c r="D32" i="2"/>
  <c r="D31" i="2"/>
  <c r="E35" i="7"/>
  <c r="E34" i="7" s="1"/>
  <c r="E32" i="7"/>
  <c r="H23" i="36"/>
  <c r="E64" i="36" s="1"/>
  <c r="D32" i="7"/>
  <c r="D35" i="7"/>
  <c r="D34" i="7" s="1"/>
  <c r="D37" i="7" s="1"/>
  <c r="O8" i="29" s="1"/>
  <c r="E75" i="29" s="1"/>
  <c r="C30" i="2"/>
  <c r="C31" i="2" s="1"/>
  <c r="C32" i="2"/>
  <c r="D71" i="36"/>
  <c r="L36" i="36" s="1"/>
  <c r="S100" i="22"/>
  <c r="R100" i="22"/>
  <c r="P100" i="22"/>
  <c r="O100" i="22"/>
  <c r="E68" i="21"/>
  <c r="D28" i="38"/>
  <c r="D29" i="22"/>
  <c r="D28" i="37"/>
  <c r="BI100" i="22"/>
  <c r="S36" i="21"/>
  <c r="V36" i="21"/>
  <c r="L36" i="21"/>
  <c r="E62" i="21"/>
  <c r="M114" i="22"/>
  <c r="F30" i="21"/>
  <c r="C27" i="2"/>
  <c r="C33" i="2" s="1"/>
  <c r="F30" i="36"/>
  <c r="E62" i="36"/>
  <c r="D62" i="36"/>
  <c r="D50" i="21"/>
  <c r="D52" i="21" s="1"/>
  <c r="D29" i="30"/>
  <c r="D29" i="39" s="1"/>
  <c r="D65" i="34"/>
  <c r="D65" i="30"/>
  <c r="D65" i="21"/>
  <c r="E71" i="36"/>
  <c r="S36" i="36" s="1"/>
  <c r="M104" i="40"/>
  <c r="M112" i="40"/>
  <c r="M105" i="40"/>
  <c r="L112" i="40"/>
  <c r="M114" i="40"/>
  <c r="M127" i="40"/>
  <c r="M101" i="40"/>
  <c r="L113" i="40"/>
  <c r="M125" i="40"/>
  <c r="M106" i="40"/>
  <c r="M107" i="40"/>
  <c r="M114" i="38"/>
  <c r="L112" i="38"/>
  <c r="L105" i="38"/>
  <c r="M106" i="38"/>
  <c r="M127" i="38"/>
  <c r="M109" i="38"/>
  <c r="M121" i="38"/>
  <c r="M116" i="40"/>
  <c r="L108" i="40"/>
  <c r="M117" i="40"/>
  <c r="L103" i="40"/>
  <c r="L105" i="40"/>
  <c r="M108" i="40"/>
  <c r="M123" i="40"/>
  <c r="P250" i="34"/>
  <c r="R247" i="34"/>
  <c r="P246" i="34"/>
  <c r="R243" i="34"/>
  <c r="P242" i="34"/>
  <c r="R239" i="34"/>
  <c r="P238" i="34"/>
  <c r="R235" i="34"/>
  <c r="P234" i="34"/>
  <c r="R231" i="34"/>
  <c r="P230" i="34"/>
  <c r="R227" i="34"/>
  <c r="P226" i="34"/>
  <c r="R223" i="34"/>
  <c r="P222" i="34"/>
  <c r="R219" i="34"/>
  <c r="P218" i="34"/>
  <c r="R215" i="34"/>
  <c r="P214" i="34"/>
  <c r="R211" i="34"/>
  <c r="P210" i="34"/>
  <c r="R207" i="34"/>
  <c r="P206" i="34"/>
  <c r="R203" i="34"/>
  <c r="P202" i="34"/>
  <c r="R199" i="34"/>
  <c r="P198" i="34"/>
  <c r="R195" i="34"/>
  <c r="P194" i="34"/>
  <c r="R191" i="34"/>
  <c r="P190" i="34"/>
  <c r="R187" i="34"/>
  <c r="P186" i="34"/>
  <c r="R183" i="34"/>
  <c r="P182" i="34"/>
  <c r="R179" i="34"/>
  <c r="P178" i="34"/>
  <c r="R175" i="34"/>
  <c r="P174" i="34"/>
  <c r="R171" i="34"/>
  <c r="P170" i="34"/>
  <c r="R167" i="34"/>
  <c r="P166" i="34"/>
  <c r="R163" i="34"/>
  <c r="P162" i="34"/>
  <c r="R159" i="34"/>
  <c r="P158" i="34"/>
  <c r="R155" i="34"/>
  <c r="P154" i="34"/>
  <c r="R151" i="34"/>
  <c r="P150" i="34"/>
  <c r="R147" i="34"/>
  <c r="P146" i="34"/>
  <c r="R143" i="34"/>
  <c r="P142" i="34"/>
  <c r="R139" i="34"/>
  <c r="P138" i="34"/>
  <c r="R135" i="34"/>
  <c r="P134" i="34"/>
  <c r="R131" i="34"/>
  <c r="P130" i="34"/>
  <c r="R127" i="34"/>
  <c r="R125" i="34"/>
  <c r="R124" i="34"/>
  <c r="R123" i="34"/>
  <c r="P121" i="34"/>
  <c r="P120" i="34"/>
  <c r="P119" i="34"/>
  <c r="P118" i="34"/>
  <c r="P114" i="34"/>
  <c r="O113" i="34"/>
  <c r="P112" i="34"/>
  <c r="S110" i="34"/>
  <c r="P101" i="34"/>
  <c r="O250" i="34"/>
  <c r="S248" i="34"/>
  <c r="O246" i="34"/>
  <c r="S244" i="34"/>
  <c r="O242" i="34"/>
  <c r="S240" i="34"/>
  <c r="O238" i="34"/>
  <c r="S236" i="34"/>
  <c r="O234" i="34"/>
  <c r="S232" i="34"/>
  <c r="O230" i="34"/>
  <c r="S228" i="34"/>
  <c r="O226" i="34"/>
  <c r="S224" i="34"/>
  <c r="O222" i="34"/>
  <c r="S220" i="34"/>
  <c r="O218" i="34"/>
  <c r="S216" i="34"/>
  <c r="O214" i="34"/>
  <c r="S212" i="34"/>
  <c r="O210" i="34"/>
  <c r="S208" i="34"/>
  <c r="O206" i="34"/>
  <c r="S204" i="34"/>
  <c r="O202" i="34"/>
  <c r="S200" i="34"/>
  <c r="O198" i="34"/>
  <c r="S196" i="34"/>
  <c r="O194" i="34"/>
  <c r="S192" i="34"/>
  <c r="O190" i="34"/>
  <c r="S188" i="34"/>
  <c r="O186" i="34"/>
  <c r="S184" i="34"/>
  <c r="O182" i="34"/>
  <c r="S180" i="34"/>
  <c r="O178" i="34"/>
  <c r="S176" i="34"/>
  <c r="O174" i="34"/>
  <c r="S172" i="34"/>
  <c r="O170" i="34"/>
  <c r="S168" i="34"/>
  <c r="O166" i="34"/>
  <c r="S164" i="34"/>
  <c r="O162" i="34"/>
  <c r="S160" i="34"/>
  <c r="O158" i="34"/>
  <c r="S156" i="34"/>
  <c r="O154" i="34"/>
  <c r="S152" i="34"/>
  <c r="O150" i="34"/>
  <c r="S148" i="34"/>
  <c r="O146" i="34"/>
  <c r="S144" i="34"/>
  <c r="O142" i="34"/>
  <c r="S140" i="34"/>
  <c r="O138" i="34"/>
  <c r="S136" i="34"/>
  <c r="O134" i="34"/>
  <c r="S132" i="34"/>
  <c r="O130" i="34"/>
  <c r="S128" i="34"/>
  <c r="P126" i="34"/>
  <c r="P122" i="34"/>
  <c r="O121" i="34"/>
  <c r="O120" i="34"/>
  <c r="O119" i="34"/>
  <c r="O118" i="34"/>
  <c r="P117" i="34"/>
  <c r="P116" i="34"/>
  <c r="P115" i="34"/>
  <c r="O114" i="34"/>
  <c r="O112" i="34"/>
  <c r="P111" i="34"/>
  <c r="R110" i="34"/>
  <c r="S109" i="34"/>
  <c r="S108" i="34"/>
  <c r="O101" i="34"/>
  <c r="P100" i="34"/>
  <c r="R248" i="34"/>
  <c r="P247" i="34"/>
  <c r="R244" i="34"/>
  <c r="P243" i="34"/>
  <c r="R240" i="34"/>
  <c r="P239" i="34"/>
  <c r="R236" i="34"/>
  <c r="P235" i="34"/>
  <c r="R232" i="34"/>
  <c r="P231" i="34"/>
  <c r="R228" i="34"/>
  <c r="P227" i="34"/>
  <c r="R224" i="34"/>
  <c r="P223" i="34"/>
  <c r="R220" i="34"/>
  <c r="P219" i="34"/>
  <c r="R216" i="34"/>
  <c r="P215" i="34"/>
  <c r="R212" i="34"/>
  <c r="P211" i="34"/>
  <c r="R208" i="34"/>
  <c r="P207" i="34"/>
  <c r="R204" i="34"/>
  <c r="P203" i="34"/>
  <c r="R200" i="34"/>
  <c r="P199" i="34"/>
  <c r="R196" i="34"/>
  <c r="P195" i="34"/>
  <c r="R192" i="34"/>
  <c r="P191" i="34"/>
  <c r="R188" i="34"/>
  <c r="P187" i="34"/>
  <c r="R184" i="34"/>
  <c r="P183" i="34"/>
  <c r="R180" i="34"/>
  <c r="P179" i="34"/>
  <c r="R176" i="34"/>
  <c r="P175" i="34"/>
  <c r="R172" i="34"/>
  <c r="P171" i="34"/>
  <c r="R168" i="34"/>
  <c r="P167" i="34"/>
  <c r="R164" i="34"/>
  <c r="P163" i="34"/>
  <c r="R160" i="34"/>
  <c r="P159" i="34"/>
  <c r="R156" i="34"/>
  <c r="P155" i="34"/>
  <c r="R152" i="34"/>
  <c r="P151" i="34"/>
  <c r="R148" i="34"/>
  <c r="P147" i="34"/>
  <c r="R144" i="34"/>
  <c r="P143" i="34"/>
  <c r="R140" i="34"/>
  <c r="P139" i="34"/>
  <c r="R136" i="34"/>
  <c r="P135" i="34"/>
  <c r="R132" i="34"/>
  <c r="P131" i="34"/>
  <c r="R128" i="34"/>
  <c r="P127" i="34"/>
  <c r="O126" i="34"/>
  <c r="P125" i="34"/>
  <c r="P124" i="34"/>
  <c r="P123" i="34"/>
  <c r="O122" i="34"/>
  <c r="O117" i="34"/>
  <c r="O116" i="34"/>
  <c r="O115" i="34"/>
  <c r="O111" i="34"/>
  <c r="R109" i="34"/>
  <c r="R108" i="34"/>
  <c r="S107" i="34"/>
  <c r="S106" i="34"/>
  <c r="O100" i="34"/>
  <c r="S249" i="34"/>
  <c r="O247" i="34"/>
  <c r="S245" i="34"/>
  <c r="O243" i="34"/>
  <c r="S241" i="34"/>
  <c r="O239" i="34"/>
  <c r="S237" i="34"/>
  <c r="O235" i="34"/>
  <c r="S233" i="34"/>
  <c r="O231" i="34"/>
  <c r="S229" i="34"/>
  <c r="O227" i="34"/>
  <c r="S225" i="34"/>
  <c r="O223" i="34"/>
  <c r="S221" i="34"/>
  <c r="O219" i="34"/>
  <c r="S217" i="34"/>
  <c r="O215" i="34"/>
  <c r="S213" i="34"/>
  <c r="O211" i="34"/>
  <c r="S209" i="34"/>
  <c r="O207" i="34"/>
  <c r="S205" i="34"/>
  <c r="O203" i="34"/>
  <c r="S201" i="34"/>
  <c r="O199" i="34"/>
  <c r="S197" i="34"/>
  <c r="O195" i="34"/>
  <c r="S193" i="34"/>
  <c r="O191" i="34"/>
  <c r="S189" i="34"/>
  <c r="O187" i="34"/>
  <c r="S185" i="34"/>
  <c r="O183" i="34"/>
  <c r="S181" i="34"/>
  <c r="O179" i="34"/>
  <c r="S177" i="34"/>
  <c r="O175" i="34"/>
  <c r="S173" i="34"/>
  <c r="O171" i="34"/>
  <c r="S169" i="34"/>
  <c r="O167" i="34"/>
  <c r="S165" i="34"/>
  <c r="O163" i="34"/>
  <c r="S161" i="34"/>
  <c r="O159" i="34"/>
  <c r="S157" i="34"/>
  <c r="O155" i="34"/>
  <c r="S153" i="34"/>
  <c r="O151" i="34"/>
  <c r="S149" i="34"/>
  <c r="O147" i="34"/>
  <c r="S145" i="34"/>
  <c r="O143" i="34"/>
  <c r="S141" i="34"/>
  <c r="O139" i="34"/>
  <c r="S137" i="34"/>
  <c r="O135" i="34"/>
  <c r="S133" i="34"/>
  <c r="O131" i="34"/>
  <c r="S129" i="34"/>
  <c r="O127" i="34"/>
  <c r="O125" i="34"/>
  <c r="O124" i="34"/>
  <c r="O123" i="34"/>
  <c r="P110" i="34"/>
  <c r="R107" i="34"/>
  <c r="R106" i="34"/>
  <c r="S105" i="34"/>
  <c r="S104" i="34"/>
  <c r="S103" i="34"/>
  <c r="S102" i="34"/>
  <c r="R249" i="34"/>
  <c r="P248" i="34"/>
  <c r="R245" i="34"/>
  <c r="P244" i="34"/>
  <c r="R241" i="34"/>
  <c r="P240" i="34"/>
  <c r="R237" i="34"/>
  <c r="P236" i="34"/>
  <c r="R233" i="34"/>
  <c r="P232" i="34"/>
  <c r="R229" i="34"/>
  <c r="P228" i="34"/>
  <c r="R225" i="34"/>
  <c r="P224" i="34"/>
  <c r="R221" i="34"/>
  <c r="P220" i="34"/>
  <c r="R217" i="34"/>
  <c r="P216" i="34"/>
  <c r="R213" i="34"/>
  <c r="P212" i="34"/>
  <c r="R209" i="34"/>
  <c r="P208" i="34"/>
  <c r="R205" i="34"/>
  <c r="P204" i="34"/>
  <c r="R201" i="34"/>
  <c r="P200" i="34"/>
  <c r="R197" i="34"/>
  <c r="P196" i="34"/>
  <c r="R193" i="34"/>
  <c r="P192" i="34"/>
  <c r="R189" i="34"/>
  <c r="P188" i="34"/>
  <c r="R185" i="34"/>
  <c r="P184" i="34"/>
  <c r="R181" i="34"/>
  <c r="P180" i="34"/>
  <c r="R177" i="34"/>
  <c r="P176" i="34"/>
  <c r="R173" i="34"/>
  <c r="P172" i="34"/>
  <c r="R169" i="34"/>
  <c r="P168" i="34"/>
  <c r="R165" i="34"/>
  <c r="P164" i="34"/>
  <c r="R161" i="34"/>
  <c r="P160" i="34"/>
  <c r="R157" i="34"/>
  <c r="P156" i="34"/>
  <c r="R153" i="34"/>
  <c r="P152" i="34"/>
  <c r="R149" i="34"/>
  <c r="P148" i="34"/>
  <c r="R145" i="34"/>
  <c r="P144" i="34"/>
  <c r="R141" i="34"/>
  <c r="P140" i="34"/>
  <c r="R137" i="34"/>
  <c r="P136" i="34"/>
  <c r="R133" i="34"/>
  <c r="P132" i="34"/>
  <c r="R129" i="34"/>
  <c r="P128" i="34"/>
  <c r="S113" i="34"/>
  <c r="O110" i="34"/>
  <c r="P109" i="34"/>
  <c r="P108" i="34"/>
  <c r="R105" i="34"/>
  <c r="R104" i="34"/>
  <c r="R103" i="34"/>
  <c r="R102" i="34"/>
  <c r="S250" i="34"/>
  <c r="O248" i="34"/>
  <c r="S246" i="34"/>
  <c r="O244" i="34"/>
  <c r="S242" i="34"/>
  <c r="O240" i="34"/>
  <c r="S238" i="34"/>
  <c r="O236" i="34"/>
  <c r="S234" i="34"/>
  <c r="O232" i="34"/>
  <c r="S230" i="34"/>
  <c r="O228" i="34"/>
  <c r="S226" i="34"/>
  <c r="O224" i="34"/>
  <c r="S222" i="34"/>
  <c r="O220" i="34"/>
  <c r="S218" i="34"/>
  <c r="O216" i="34"/>
  <c r="S214" i="34"/>
  <c r="O212" i="34"/>
  <c r="S210" i="34"/>
  <c r="O208" i="34"/>
  <c r="S206" i="34"/>
  <c r="O204" i="34"/>
  <c r="S202" i="34"/>
  <c r="O200" i="34"/>
  <c r="S198" i="34"/>
  <c r="O196" i="34"/>
  <c r="S194" i="34"/>
  <c r="O192" i="34"/>
  <c r="S190" i="34"/>
  <c r="O188" i="34"/>
  <c r="S186" i="34"/>
  <c r="O184" i="34"/>
  <c r="S182" i="34"/>
  <c r="O180" i="34"/>
  <c r="S178" i="34"/>
  <c r="O176" i="34"/>
  <c r="S174" i="34"/>
  <c r="O172" i="34"/>
  <c r="S170" i="34"/>
  <c r="O168" i="34"/>
  <c r="S166" i="34"/>
  <c r="O164" i="34"/>
  <c r="S162" i="34"/>
  <c r="O160" i="34"/>
  <c r="S158" i="34"/>
  <c r="O156" i="34"/>
  <c r="S154" i="34"/>
  <c r="O152" i="34"/>
  <c r="S150" i="34"/>
  <c r="O148" i="34"/>
  <c r="S146" i="34"/>
  <c r="O144" i="34"/>
  <c r="S142" i="34"/>
  <c r="O140" i="34"/>
  <c r="S138" i="34"/>
  <c r="O136" i="34"/>
  <c r="S134" i="34"/>
  <c r="O132" i="34"/>
  <c r="S130" i="34"/>
  <c r="O128" i="34"/>
  <c r="S121" i="34"/>
  <c r="S120" i="34"/>
  <c r="S119" i="34"/>
  <c r="S118" i="34"/>
  <c r="S114" i="34"/>
  <c r="R113" i="34"/>
  <c r="S112" i="34"/>
  <c r="O109" i="34"/>
  <c r="O108" i="34"/>
  <c r="P107" i="34"/>
  <c r="P106" i="34"/>
  <c r="S101" i="34"/>
  <c r="R250" i="34"/>
  <c r="P249" i="34"/>
  <c r="R246" i="34"/>
  <c r="P245" i="34"/>
  <c r="R242" i="34"/>
  <c r="P241" i="34"/>
  <c r="R238" i="34"/>
  <c r="P237" i="34"/>
  <c r="R234" i="34"/>
  <c r="P233" i="34"/>
  <c r="R230" i="34"/>
  <c r="P229" i="34"/>
  <c r="R226" i="34"/>
  <c r="P225" i="34"/>
  <c r="R222" i="34"/>
  <c r="P221" i="34"/>
  <c r="R218" i="34"/>
  <c r="P217" i="34"/>
  <c r="R214" i="34"/>
  <c r="P213" i="34"/>
  <c r="R210" i="34"/>
  <c r="P209" i="34"/>
  <c r="R206" i="34"/>
  <c r="P205" i="34"/>
  <c r="R202" i="34"/>
  <c r="P201" i="34"/>
  <c r="R198" i="34"/>
  <c r="P197" i="34"/>
  <c r="R194" i="34"/>
  <c r="P193" i="34"/>
  <c r="R190" i="34"/>
  <c r="P189" i="34"/>
  <c r="R186" i="34"/>
  <c r="P185" i="34"/>
  <c r="R182" i="34"/>
  <c r="P181" i="34"/>
  <c r="R178" i="34"/>
  <c r="P177" i="34"/>
  <c r="R174" i="34"/>
  <c r="P173" i="34"/>
  <c r="R170" i="34"/>
  <c r="P169" i="34"/>
  <c r="R166" i="34"/>
  <c r="P165" i="34"/>
  <c r="R162" i="34"/>
  <c r="P161" i="34"/>
  <c r="R158" i="34"/>
  <c r="P157" i="34"/>
  <c r="R154" i="34"/>
  <c r="P153" i="34"/>
  <c r="R150" i="34"/>
  <c r="P149" i="34"/>
  <c r="R146" i="34"/>
  <c r="P145" i="34"/>
  <c r="R142" i="34"/>
  <c r="P141" i="34"/>
  <c r="R138" i="34"/>
  <c r="P137" i="34"/>
  <c r="R134" i="34"/>
  <c r="P133" i="34"/>
  <c r="R130" i="34"/>
  <c r="P129" i="34"/>
  <c r="S126" i="34"/>
  <c r="S122" i="34"/>
  <c r="R121" i="34"/>
  <c r="R120" i="34"/>
  <c r="R119" i="34"/>
  <c r="R118" i="34"/>
  <c r="S117" i="34"/>
  <c r="S116" i="34"/>
  <c r="S115" i="34"/>
  <c r="R114" i="34"/>
  <c r="R112" i="34"/>
  <c r="S111" i="34"/>
  <c r="O107" i="34"/>
  <c r="O106" i="34"/>
  <c r="P105" i="34"/>
  <c r="P104" i="34"/>
  <c r="P103" i="34"/>
  <c r="P102" i="34"/>
  <c r="R101" i="34"/>
  <c r="S100" i="34"/>
  <c r="O249" i="34"/>
  <c r="S227" i="34"/>
  <c r="O217" i="34"/>
  <c r="S195" i="34"/>
  <c r="O185" i="34"/>
  <c r="S163" i="34"/>
  <c r="O153" i="34"/>
  <c r="S131" i="34"/>
  <c r="R122" i="34"/>
  <c r="S247" i="34"/>
  <c r="O237" i="34"/>
  <c r="S215" i="34"/>
  <c r="O205" i="34"/>
  <c r="S183" i="34"/>
  <c r="O173" i="34"/>
  <c r="S151" i="34"/>
  <c r="O141" i="34"/>
  <c r="P113" i="34"/>
  <c r="O245" i="34"/>
  <c r="S223" i="34"/>
  <c r="O213" i="34"/>
  <c r="S191" i="34"/>
  <c r="O181" i="34"/>
  <c r="S159" i="34"/>
  <c r="O149" i="34"/>
  <c r="S127" i="34"/>
  <c r="R111" i="34"/>
  <c r="O104" i="34"/>
  <c r="S231" i="34"/>
  <c r="O221" i="34"/>
  <c r="S199" i="34"/>
  <c r="O189" i="34"/>
  <c r="S167" i="34"/>
  <c r="O157" i="34"/>
  <c r="S135" i="34"/>
  <c r="S125" i="34"/>
  <c r="R117" i="34"/>
  <c r="O102" i="34"/>
  <c r="O241" i="34"/>
  <c r="S219" i="34"/>
  <c r="O209" i="34"/>
  <c r="S187" i="34"/>
  <c r="O177" i="34"/>
  <c r="S155" i="34"/>
  <c r="O145" i="34"/>
  <c r="S124" i="34"/>
  <c r="R116" i="34"/>
  <c r="O193" i="34"/>
  <c r="O165" i="34"/>
  <c r="O137" i="34"/>
  <c r="O161" i="34"/>
  <c r="O133" i="34"/>
  <c r="S243" i="34"/>
  <c r="O129" i="34"/>
  <c r="O225" i="34"/>
  <c r="O169" i="34"/>
  <c r="R115" i="34"/>
  <c r="S239" i="34"/>
  <c r="S211" i="34"/>
  <c r="R126" i="34"/>
  <c r="O105" i="34"/>
  <c r="S235" i="34"/>
  <c r="S207" i="34"/>
  <c r="S179" i="34"/>
  <c r="S123" i="34"/>
  <c r="O103" i="34"/>
  <c r="O233" i="34"/>
  <c r="S203" i="34"/>
  <c r="S175" i="34"/>
  <c r="S147" i="34"/>
  <c r="R100" i="34"/>
  <c r="O229" i="34"/>
  <c r="O201" i="34"/>
  <c r="S171" i="34"/>
  <c r="S143" i="34"/>
  <c r="O197" i="34"/>
  <c r="S139" i="34"/>
  <c r="M102" i="40"/>
  <c r="M122" i="40"/>
  <c r="L104" i="40"/>
  <c r="L107" i="40"/>
  <c r="L100" i="40"/>
  <c r="M124" i="40"/>
  <c r="P250" i="27"/>
  <c r="R247" i="27"/>
  <c r="P246" i="27"/>
  <c r="R243" i="27"/>
  <c r="P242" i="27"/>
  <c r="R239" i="27"/>
  <c r="P238" i="27"/>
  <c r="R235" i="27"/>
  <c r="P234" i="27"/>
  <c r="R231" i="27"/>
  <c r="P230" i="27"/>
  <c r="R227" i="27"/>
  <c r="P226" i="27"/>
  <c r="R223" i="27"/>
  <c r="P222" i="27"/>
  <c r="R219" i="27"/>
  <c r="P218" i="27"/>
  <c r="R215" i="27"/>
  <c r="P214" i="27"/>
  <c r="R211" i="27"/>
  <c r="P210" i="27"/>
  <c r="R207" i="27"/>
  <c r="P206" i="27"/>
  <c r="R203" i="27"/>
  <c r="P202" i="27"/>
  <c r="R199" i="27"/>
  <c r="P198" i="27"/>
  <c r="R195" i="27"/>
  <c r="P194" i="27"/>
  <c r="R191" i="27"/>
  <c r="P190" i="27"/>
  <c r="R187" i="27"/>
  <c r="P186" i="27"/>
  <c r="R183" i="27"/>
  <c r="P182" i="27"/>
  <c r="R179" i="27"/>
  <c r="P178" i="27"/>
  <c r="R175" i="27"/>
  <c r="P174" i="27"/>
  <c r="R171" i="27"/>
  <c r="P170" i="27"/>
  <c r="O250" i="27"/>
  <c r="S248" i="27"/>
  <c r="R248" i="27"/>
  <c r="P247" i="27"/>
  <c r="R244" i="27"/>
  <c r="P243" i="27"/>
  <c r="R240" i="27"/>
  <c r="P239" i="27"/>
  <c r="R236" i="27"/>
  <c r="P235" i="27"/>
  <c r="R232" i="27"/>
  <c r="P231" i="27"/>
  <c r="R228" i="27"/>
  <c r="P227" i="27"/>
  <c r="R224" i="27"/>
  <c r="P223" i="27"/>
  <c r="R220" i="27"/>
  <c r="P219" i="27"/>
  <c r="R216" i="27"/>
  <c r="P215" i="27"/>
  <c r="R212" i="27"/>
  <c r="P211" i="27"/>
  <c r="R208" i="27"/>
  <c r="P207" i="27"/>
  <c r="R204" i="27"/>
  <c r="P203" i="27"/>
  <c r="R200" i="27"/>
  <c r="P199" i="27"/>
  <c r="R196" i="27"/>
  <c r="P195" i="27"/>
  <c r="R192" i="27"/>
  <c r="P191" i="27"/>
  <c r="R188" i="27"/>
  <c r="P187" i="27"/>
  <c r="R184" i="27"/>
  <c r="P183" i="27"/>
  <c r="R180" i="27"/>
  <c r="P179" i="27"/>
  <c r="R176" i="27"/>
  <c r="P175" i="27"/>
  <c r="R172" i="27"/>
  <c r="S249" i="27"/>
  <c r="O247" i="27"/>
  <c r="S245" i="27"/>
  <c r="O243" i="27"/>
  <c r="S241" i="27"/>
  <c r="O239" i="27"/>
  <c r="S237" i="27"/>
  <c r="O235" i="27"/>
  <c r="S233" i="27"/>
  <c r="O231" i="27"/>
  <c r="S229" i="27"/>
  <c r="O227" i="27"/>
  <c r="S225" i="27"/>
  <c r="O223" i="27"/>
  <c r="S221" i="27"/>
  <c r="O219" i="27"/>
  <c r="S217" i="27"/>
  <c r="O215" i="27"/>
  <c r="S213" i="27"/>
  <c r="O211" i="27"/>
  <c r="S209" i="27"/>
  <c r="O207" i="27"/>
  <c r="S205" i="27"/>
  <c r="O203" i="27"/>
  <c r="S201" i="27"/>
  <c r="O199" i="27"/>
  <c r="S197" i="27"/>
  <c r="O195" i="27"/>
  <c r="S193" i="27"/>
  <c r="O191" i="27"/>
  <c r="S189" i="27"/>
  <c r="O187" i="27"/>
  <c r="S185" i="27"/>
  <c r="O183" i="27"/>
  <c r="S181" i="27"/>
  <c r="O179" i="27"/>
  <c r="S177" i="27"/>
  <c r="O175" i="27"/>
  <c r="S173" i="27"/>
  <c r="O171" i="27"/>
  <c r="R249" i="27"/>
  <c r="O245" i="27"/>
  <c r="S242" i="27"/>
  <c r="S240" i="27"/>
  <c r="R238" i="27"/>
  <c r="P236" i="27"/>
  <c r="O232" i="27"/>
  <c r="O230" i="27"/>
  <c r="R225" i="27"/>
  <c r="S223" i="27"/>
  <c r="P217" i="27"/>
  <c r="O213" i="27"/>
  <c r="S210" i="27"/>
  <c r="S208" i="27"/>
  <c r="R206" i="27"/>
  <c r="P204" i="27"/>
  <c r="O200" i="27"/>
  <c r="O198" i="27"/>
  <c r="R193" i="27"/>
  <c r="S191" i="27"/>
  <c r="P185" i="27"/>
  <c r="O181" i="27"/>
  <c r="S178" i="27"/>
  <c r="S176" i="27"/>
  <c r="R174" i="27"/>
  <c r="P172" i="27"/>
  <c r="R170" i="27"/>
  <c r="O169" i="27"/>
  <c r="S167" i="27"/>
  <c r="O165" i="27"/>
  <c r="S163" i="27"/>
  <c r="O161" i="27"/>
  <c r="S159" i="27"/>
  <c r="O157" i="27"/>
  <c r="S155" i="27"/>
  <c r="O153" i="27"/>
  <c r="S151" i="27"/>
  <c r="O149" i="27"/>
  <c r="S147" i="27"/>
  <c r="O145" i="27"/>
  <c r="S143" i="27"/>
  <c r="O141" i="27"/>
  <c r="S139" i="27"/>
  <c r="O137" i="27"/>
  <c r="S135" i="27"/>
  <c r="O133" i="27"/>
  <c r="S131" i="27"/>
  <c r="O129" i="27"/>
  <c r="S127" i="27"/>
  <c r="R126" i="27"/>
  <c r="R125" i="27"/>
  <c r="P123" i="27"/>
  <c r="O122" i="27"/>
  <c r="S118" i="27"/>
  <c r="R117" i="27"/>
  <c r="P115" i="27"/>
  <c r="O114" i="27"/>
  <c r="O113" i="27"/>
  <c r="P112" i="27"/>
  <c r="S110" i="27"/>
  <c r="O102" i="27"/>
  <c r="O101" i="27"/>
  <c r="O100" i="27"/>
  <c r="S246" i="27"/>
  <c r="S244" i="27"/>
  <c r="R242" i="27"/>
  <c r="P240" i="27"/>
  <c r="O236" i="27"/>
  <c r="O234" i="27"/>
  <c r="R229" i="27"/>
  <c r="S227" i="27"/>
  <c r="P221" i="27"/>
  <c r="O217" i="27"/>
  <c r="S214" i="27"/>
  <c r="S212" i="27"/>
  <c r="R210" i="27"/>
  <c r="P208" i="27"/>
  <c r="O204" i="27"/>
  <c r="O202" i="27"/>
  <c r="R197" i="27"/>
  <c r="S195" i="27"/>
  <c r="P189" i="27"/>
  <c r="O185" i="27"/>
  <c r="S182" i="27"/>
  <c r="S180" i="27"/>
  <c r="R178" i="27"/>
  <c r="P176" i="27"/>
  <c r="O172" i="27"/>
  <c r="R167" i="27"/>
  <c r="P166" i="27"/>
  <c r="R163" i="27"/>
  <c r="P162" i="27"/>
  <c r="R159" i="27"/>
  <c r="P158" i="27"/>
  <c r="R155" i="27"/>
  <c r="P154" i="27"/>
  <c r="R151" i="27"/>
  <c r="P150" i="27"/>
  <c r="R147" i="27"/>
  <c r="P146" i="27"/>
  <c r="R143" i="27"/>
  <c r="P142" i="27"/>
  <c r="R139" i="27"/>
  <c r="P138" i="27"/>
  <c r="R135" i="27"/>
  <c r="P134" i="27"/>
  <c r="R131" i="27"/>
  <c r="P130" i="27"/>
  <c r="R127" i="27"/>
  <c r="P124" i="27"/>
  <c r="O123" i="27"/>
  <c r="S119" i="27"/>
  <c r="R118" i="27"/>
  <c r="P116" i="27"/>
  <c r="O115" i="27"/>
  <c r="O112" i="27"/>
  <c r="P111" i="27"/>
  <c r="R110" i="27"/>
  <c r="S109" i="27"/>
  <c r="S108" i="27"/>
  <c r="S107" i="27"/>
  <c r="S106" i="27"/>
  <c r="O249" i="27"/>
  <c r="O244" i="27"/>
  <c r="O242" i="27"/>
  <c r="R237" i="27"/>
  <c r="S235" i="27"/>
  <c r="P229" i="27"/>
  <c r="O225" i="27"/>
  <c r="S222" i="27"/>
  <c r="S220" i="27"/>
  <c r="R218" i="27"/>
  <c r="P216" i="27"/>
  <c r="O212" i="27"/>
  <c r="O210" i="27"/>
  <c r="R205" i="27"/>
  <c r="S203" i="27"/>
  <c r="P197" i="27"/>
  <c r="O193" i="27"/>
  <c r="S190" i="27"/>
  <c r="S188" i="27"/>
  <c r="R186" i="27"/>
  <c r="P184" i="27"/>
  <c r="O180" i="27"/>
  <c r="O178" i="27"/>
  <c r="R173" i="27"/>
  <c r="S171" i="27"/>
  <c r="R168" i="27"/>
  <c r="P167" i="27"/>
  <c r="R164" i="27"/>
  <c r="P163" i="27"/>
  <c r="R160" i="27"/>
  <c r="P159" i="27"/>
  <c r="R156" i="27"/>
  <c r="P155" i="27"/>
  <c r="R152" i="27"/>
  <c r="P151" i="27"/>
  <c r="R148" i="27"/>
  <c r="P147" i="27"/>
  <c r="R144" i="27"/>
  <c r="P143" i="27"/>
  <c r="R140" i="27"/>
  <c r="P139" i="27"/>
  <c r="R136" i="27"/>
  <c r="P135" i="27"/>
  <c r="R132" i="27"/>
  <c r="P131" i="27"/>
  <c r="R128" i="27"/>
  <c r="P127" i="27"/>
  <c r="O126" i="27"/>
  <c r="O125" i="27"/>
  <c r="S121" i="27"/>
  <c r="R120" i="27"/>
  <c r="P118" i="27"/>
  <c r="O117" i="27"/>
  <c r="P110" i="27"/>
  <c r="R105" i="27"/>
  <c r="R104" i="27"/>
  <c r="R103" i="27"/>
  <c r="S250" i="27"/>
  <c r="O248" i="27"/>
  <c r="R245" i="27"/>
  <c r="S243" i="27"/>
  <c r="P237" i="27"/>
  <c r="O233" i="27"/>
  <c r="S230" i="27"/>
  <c r="S228" i="27"/>
  <c r="R226" i="27"/>
  <c r="P224" i="27"/>
  <c r="O220" i="27"/>
  <c r="O218" i="27"/>
  <c r="R213" i="27"/>
  <c r="S211" i="27"/>
  <c r="P205" i="27"/>
  <c r="O201" i="27"/>
  <c r="S198" i="27"/>
  <c r="S196" i="27"/>
  <c r="R194" i="27"/>
  <c r="P192" i="27"/>
  <c r="O188" i="27"/>
  <c r="O186" i="27"/>
  <c r="R181" i="27"/>
  <c r="S179" i="27"/>
  <c r="P173" i="27"/>
  <c r="P171" i="27"/>
  <c r="R169" i="27"/>
  <c r="P168" i="27"/>
  <c r="R165" i="27"/>
  <c r="P164" i="27"/>
  <c r="R161" i="27"/>
  <c r="P160" i="27"/>
  <c r="R157" i="27"/>
  <c r="P156" i="27"/>
  <c r="R153" i="27"/>
  <c r="P152" i="27"/>
  <c r="R149" i="27"/>
  <c r="P148" i="27"/>
  <c r="R145" i="27"/>
  <c r="P144" i="27"/>
  <c r="R141" i="27"/>
  <c r="P140" i="27"/>
  <c r="R137" i="27"/>
  <c r="P136" i="27"/>
  <c r="R133" i="27"/>
  <c r="P132" i="27"/>
  <c r="R129" i="27"/>
  <c r="P128" i="27"/>
  <c r="S123" i="27"/>
  <c r="R122" i="27"/>
  <c r="P120" i="27"/>
  <c r="O119" i="27"/>
  <c r="S115" i="27"/>
  <c r="R114" i="27"/>
  <c r="R113" i="27"/>
  <c r="S112" i="27"/>
  <c r="O109" i="27"/>
  <c r="O108" i="27"/>
  <c r="O107" i="27"/>
  <c r="O106" i="27"/>
  <c r="P105" i="27"/>
  <c r="P104" i="27"/>
  <c r="P103" i="27"/>
  <c r="R102" i="27"/>
  <c r="R101" i="27"/>
  <c r="R100" i="27"/>
  <c r="R250" i="27"/>
  <c r="P241" i="27"/>
  <c r="O237" i="27"/>
  <c r="S234" i="27"/>
  <c r="S232" i="27"/>
  <c r="R230" i="27"/>
  <c r="P228" i="27"/>
  <c r="O224" i="27"/>
  <c r="O222" i="27"/>
  <c r="R217" i="27"/>
  <c r="S215" i="27"/>
  <c r="P209" i="27"/>
  <c r="O205" i="27"/>
  <c r="S202" i="27"/>
  <c r="S200" i="27"/>
  <c r="R198" i="27"/>
  <c r="P196" i="27"/>
  <c r="O192" i="27"/>
  <c r="O190" i="27"/>
  <c r="R185" i="27"/>
  <c r="S183" i="27"/>
  <c r="P177" i="27"/>
  <c r="P245" i="27"/>
  <c r="S239" i="27"/>
  <c r="R233" i="27"/>
  <c r="O228" i="27"/>
  <c r="R222" i="27"/>
  <c r="S216" i="27"/>
  <c r="S199" i="27"/>
  <c r="O194" i="27"/>
  <c r="P188" i="27"/>
  <c r="R182" i="27"/>
  <c r="O177" i="27"/>
  <c r="S172" i="27"/>
  <c r="P169" i="27"/>
  <c r="R166" i="27"/>
  <c r="P161" i="27"/>
  <c r="R158" i="27"/>
  <c r="P153" i="27"/>
  <c r="R150" i="27"/>
  <c r="P145" i="27"/>
  <c r="R142" i="27"/>
  <c r="P137" i="27"/>
  <c r="R134" i="27"/>
  <c r="P129" i="27"/>
  <c r="S126" i="27"/>
  <c r="R124" i="27"/>
  <c r="P122" i="27"/>
  <c r="S117" i="27"/>
  <c r="P113" i="27"/>
  <c r="R111" i="27"/>
  <c r="P102" i="27"/>
  <c r="P100" i="27"/>
  <c r="O148" i="27"/>
  <c r="P244" i="27"/>
  <c r="S238" i="27"/>
  <c r="P233" i="27"/>
  <c r="R221" i="27"/>
  <c r="O216" i="27"/>
  <c r="S204" i="27"/>
  <c r="P193" i="27"/>
  <c r="S187" i="27"/>
  <c r="O182" i="27"/>
  <c r="O176" i="27"/>
  <c r="S168" i="27"/>
  <c r="O166" i="27"/>
  <c r="S160" i="27"/>
  <c r="O158" i="27"/>
  <c r="S152" i="27"/>
  <c r="O150" i="27"/>
  <c r="S144" i="27"/>
  <c r="O142" i="27"/>
  <c r="S136" i="27"/>
  <c r="O134" i="27"/>
  <c r="S128" i="27"/>
  <c r="P126" i="27"/>
  <c r="O124" i="27"/>
  <c r="R119" i="27"/>
  <c r="P117" i="27"/>
  <c r="O111" i="27"/>
  <c r="R109" i="27"/>
  <c r="R107" i="27"/>
  <c r="S105" i="27"/>
  <c r="S103" i="27"/>
  <c r="O104" i="27"/>
  <c r="O238" i="27"/>
  <c r="P232" i="27"/>
  <c r="S226" i="27"/>
  <c r="O221" i="27"/>
  <c r="R209" i="27"/>
  <c r="S192" i="27"/>
  <c r="S186" i="27"/>
  <c r="P181" i="27"/>
  <c r="S175" i="27"/>
  <c r="S165" i="27"/>
  <c r="O163" i="27"/>
  <c r="S157" i="27"/>
  <c r="O155" i="27"/>
  <c r="S149" i="27"/>
  <c r="O147" i="27"/>
  <c r="S141" i="27"/>
  <c r="O139" i="27"/>
  <c r="S133" i="27"/>
  <c r="O131" i="27"/>
  <c r="R121" i="27"/>
  <c r="P119" i="27"/>
  <c r="S114" i="27"/>
  <c r="P109" i="27"/>
  <c r="P107" i="27"/>
  <c r="S101" i="27"/>
  <c r="O246" i="27"/>
  <c r="O206" i="27"/>
  <c r="S194" i="27"/>
  <c r="O173" i="27"/>
  <c r="S166" i="27"/>
  <c r="O156" i="27"/>
  <c r="R115" i="27"/>
  <c r="P249" i="27"/>
  <c r="S231" i="27"/>
  <c r="O226" i="27"/>
  <c r="P220" i="27"/>
  <c r="R214" i="27"/>
  <c r="O209" i="27"/>
  <c r="P180" i="27"/>
  <c r="O168" i="27"/>
  <c r="S162" i="27"/>
  <c r="O160" i="27"/>
  <c r="S154" i="27"/>
  <c r="O152" i="27"/>
  <c r="S146" i="27"/>
  <c r="O144" i="27"/>
  <c r="S138" i="27"/>
  <c r="O136" i="27"/>
  <c r="S130" i="27"/>
  <c r="O128" i="27"/>
  <c r="R123" i="27"/>
  <c r="P121" i="27"/>
  <c r="S116" i="27"/>
  <c r="R112" i="27"/>
  <c r="O105" i="27"/>
  <c r="O103" i="27"/>
  <c r="O229" i="27"/>
  <c r="S134" i="27"/>
  <c r="O120" i="27"/>
  <c r="P248" i="27"/>
  <c r="S236" i="27"/>
  <c r="P225" i="27"/>
  <c r="S219" i="27"/>
  <c r="O214" i="27"/>
  <c r="O208" i="27"/>
  <c r="R202" i="27"/>
  <c r="O197" i="27"/>
  <c r="S174" i="27"/>
  <c r="S170" i="27"/>
  <c r="P165" i="27"/>
  <c r="R162" i="27"/>
  <c r="P157" i="27"/>
  <c r="R154" i="27"/>
  <c r="P149" i="27"/>
  <c r="R146" i="27"/>
  <c r="P141" i="27"/>
  <c r="R138" i="27"/>
  <c r="P133" i="27"/>
  <c r="R130" i="27"/>
  <c r="S125" i="27"/>
  <c r="O121" i="27"/>
  <c r="R116" i="27"/>
  <c r="P114" i="27"/>
  <c r="P101" i="27"/>
  <c r="O240" i="27"/>
  <c r="O189" i="27"/>
  <c r="O140" i="27"/>
  <c r="S124" i="27"/>
  <c r="S111" i="27"/>
  <c r="S247" i="27"/>
  <c r="R241" i="27"/>
  <c r="S224" i="27"/>
  <c r="S218" i="27"/>
  <c r="P213" i="27"/>
  <c r="S207" i="27"/>
  <c r="R201" i="27"/>
  <c r="O196" i="27"/>
  <c r="R190" i="27"/>
  <c r="S184" i="27"/>
  <c r="O174" i="27"/>
  <c r="O170" i="27"/>
  <c r="S164" i="27"/>
  <c r="O162" i="27"/>
  <c r="S156" i="27"/>
  <c r="O154" i="27"/>
  <c r="S148" i="27"/>
  <c r="O146" i="27"/>
  <c r="S140" i="27"/>
  <c r="O138" i="27"/>
  <c r="S132" i="27"/>
  <c r="O130" i="27"/>
  <c r="P125" i="27"/>
  <c r="S120" i="27"/>
  <c r="O116" i="27"/>
  <c r="R108" i="27"/>
  <c r="R106" i="27"/>
  <c r="S104" i="27"/>
  <c r="R246" i="27"/>
  <c r="O241" i="27"/>
  <c r="P212" i="27"/>
  <c r="S206" i="27"/>
  <c r="P201" i="27"/>
  <c r="R189" i="27"/>
  <c r="O184" i="27"/>
  <c r="S169" i="27"/>
  <c r="O167" i="27"/>
  <c r="S161" i="27"/>
  <c r="O159" i="27"/>
  <c r="S153" i="27"/>
  <c r="O151" i="27"/>
  <c r="S145" i="27"/>
  <c r="O143" i="27"/>
  <c r="S137" i="27"/>
  <c r="O135" i="27"/>
  <c r="S129" i="27"/>
  <c r="O127" i="27"/>
  <c r="S122" i="27"/>
  <c r="O118" i="27"/>
  <c r="S113" i="27"/>
  <c r="O110" i="27"/>
  <c r="P108" i="27"/>
  <c r="P106" i="27"/>
  <c r="S102" i="27"/>
  <c r="S100" i="27"/>
  <c r="R234" i="27"/>
  <c r="P200" i="27"/>
  <c r="R177" i="27"/>
  <c r="O164" i="27"/>
  <c r="S158" i="27"/>
  <c r="S150" i="27"/>
  <c r="S142" i="27"/>
  <c r="O132" i="27"/>
  <c r="M109" i="40"/>
  <c r="L106" i="40"/>
  <c r="M118" i="40"/>
  <c r="M113" i="40"/>
  <c r="L101" i="40"/>
  <c r="M121" i="40"/>
  <c r="M120" i="40"/>
  <c r="M119" i="40"/>
  <c r="M126" i="40"/>
  <c r="M111" i="40"/>
  <c r="M110" i="40"/>
  <c r="M103" i="40"/>
  <c r="L111" i="40"/>
  <c r="M115" i="40"/>
  <c r="M100" i="40"/>
  <c r="M113" i="38"/>
  <c r="M125" i="38"/>
  <c r="L100" i="38"/>
  <c r="L103" i="38"/>
  <c r="M104" i="38"/>
  <c r="M105" i="38"/>
  <c r="M108" i="38"/>
  <c r="M120" i="38"/>
  <c r="M116" i="38"/>
  <c r="L106" i="38"/>
  <c r="M107" i="38"/>
  <c r="M122" i="38"/>
  <c r="M118" i="38"/>
  <c r="M117" i="38"/>
  <c r="M110" i="38"/>
  <c r="M111" i="38"/>
  <c r="L107" i="38"/>
  <c r="M123" i="38"/>
  <c r="M119" i="38"/>
  <c r="L113" i="38"/>
  <c r="M101" i="38"/>
  <c r="L109" i="38"/>
  <c r="M124" i="38"/>
  <c r="M115" i="38"/>
  <c r="M112" i="38"/>
  <c r="M100" i="38"/>
  <c r="M102" i="38"/>
  <c r="M103" i="38"/>
  <c r="M126" i="38"/>
  <c r="S249" i="30"/>
  <c r="O247" i="30"/>
  <c r="S245" i="30"/>
  <c r="O243" i="30"/>
  <c r="S241" i="30"/>
  <c r="O239" i="30"/>
  <c r="S250" i="30"/>
  <c r="O248" i="30"/>
  <c r="S246" i="30"/>
  <c r="O244" i="30"/>
  <c r="S242" i="30"/>
  <c r="O240" i="30"/>
  <c r="S238" i="30"/>
  <c r="R250" i="30"/>
  <c r="P249" i="30"/>
  <c r="R246" i="30"/>
  <c r="P245" i="30"/>
  <c r="R242" i="30"/>
  <c r="P241" i="30"/>
  <c r="R238" i="30"/>
  <c r="P250" i="30"/>
  <c r="R247" i="30"/>
  <c r="P246" i="30"/>
  <c r="R243" i="30"/>
  <c r="P242" i="30"/>
  <c r="R239" i="30"/>
  <c r="P238" i="30"/>
  <c r="O250" i="30"/>
  <c r="S248" i="30"/>
  <c r="O246" i="30"/>
  <c r="S244" i="30"/>
  <c r="O242" i="30"/>
  <c r="S240" i="30"/>
  <c r="P239" i="30"/>
  <c r="P237" i="30"/>
  <c r="R234" i="30"/>
  <c r="P233" i="30"/>
  <c r="R230" i="30"/>
  <c r="P229" i="30"/>
  <c r="R226" i="30"/>
  <c r="P225" i="30"/>
  <c r="R222" i="30"/>
  <c r="P221" i="30"/>
  <c r="R218" i="30"/>
  <c r="P217" i="30"/>
  <c r="R214" i="30"/>
  <c r="P213" i="30"/>
  <c r="R210" i="30"/>
  <c r="P209" i="30"/>
  <c r="R206" i="30"/>
  <c r="P205" i="30"/>
  <c r="R202" i="30"/>
  <c r="P201" i="30"/>
  <c r="R198" i="30"/>
  <c r="P197" i="30"/>
  <c r="R194" i="30"/>
  <c r="P193" i="30"/>
  <c r="R190" i="30"/>
  <c r="P189" i="30"/>
  <c r="R186" i="30"/>
  <c r="P185" i="30"/>
  <c r="R182" i="30"/>
  <c r="P181" i="30"/>
  <c r="R178" i="30"/>
  <c r="P177" i="30"/>
  <c r="R174" i="30"/>
  <c r="P173" i="30"/>
  <c r="R170" i="30"/>
  <c r="P169" i="30"/>
  <c r="R166" i="30"/>
  <c r="P165" i="30"/>
  <c r="R162" i="30"/>
  <c r="P161" i="30"/>
  <c r="R158" i="30"/>
  <c r="P157" i="30"/>
  <c r="R154" i="30"/>
  <c r="P153" i="30"/>
  <c r="R150" i="30"/>
  <c r="P149" i="30"/>
  <c r="R146" i="30"/>
  <c r="P145" i="30"/>
  <c r="R142" i="30"/>
  <c r="P141" i="30"/>
  <c r="R138" i="30"/>
  <c r="P137" i="30"/>
  <c r="R134" i="30"/>
  <c r="P133" i="30"/>
  <c r="R130" i="30"/>
  <c r="P129" i="30"/>
  <c r="S126" i="30"/>
  <c r="R125" i="30"/>
  <c r="P123" i="30"/>
  <c r="O122" i="30"/>
  <c r="O121" i="30"/>
  <c r="O118" i="30"/>
  <c r="O111" i="30"/>
  <c r="R106" i="30"/>
  <c r="R105" i="30"/>
  <c r="S104" i="30"/>
  <c r="P102" i="30"/>
  <c r="R249" i="30"/>
  <c r="O237" i="30"/>
  <c r="S235" i="30"/>
  <c r="O233" i="30"/>
  <c r="S231" i="30"/>
  <c r="O229" i="30"/>
  <c r="S227" i="30"/>
  <c r="O225" i="30"/>
  <c r="S223" i="30"/>
  <c r="O221" i="30"/>
  <c r="S219" i="30"/>
  <c r="O217" i="30"/>
  <c r="S215" i="30"/>
  <c r="O213" i="30"/>
  <c r="S211" i="30"/>
  <c r="O209" i="30"/>
  <c r="S207" i="30"/>
  <c r="O205" i="30"/>
  <c r="S203" i="30"/>
  <c r="O201" i="30"/>
  <c r="S199" i="30"/>
  <c r="O197" i="30"/>
  <c r="S195" i="30"/>
  <c r="O193" i="30"/>
  <c r="S191" i="30"/>
  <c r="O189" i="30"/>
  <c r="S187" i="30"/>
  <c r="O185" i="30"/>
  <c r="S183" i="30"/>
  <c r="O181" i="30"/>
  <c r="S179" i="30"/>
  <c r="O177" i="30"/>
  <c r="S175" i="30"/>
  <c r="O173" i="30"/>
  <c r="S171" i="30"/>
  <c r="O169" i="30"/>
  <c r="S167" i="30"/>
  <c r="O165" i="30"/>
  <c r="S163" i="30"/>
  <c r="O161" i="30"/>
  <c r="S159" i="30"/>
  <c r="O157" i="30"/>
  <c r="S155" i="30"/>
  <c r="O153" i="30"/>
  <c r="S151" i="30"/>
  <c r="O149" i="30"/>
  <c r="S147" i="30"/>
  <c r="O145" i="30"/>
  <c r="S143" i="30"/>
  <c r="O141" i="30"/>
  <c r="S139" i="30"/>
  <c r="O137" i="30"/>
  <c r="S135" i="30"/>
  <c r="O133" i="30"/>
  <c r="S131" i="30"/>
  <c r="O129" i="30"/>
  <c r="S127" i="30"/>
  <c r="R126" i="30"/>
  <c r="P124" i="30"/>
  <c r="O123" i="30"/>
  <c r="S114" i="30"/>
  <c r="S113" i="30"/>
  <c r="S112" i="30"/>
  <c r="P110" i="30"/>
  <c r="P109" i="30"/>
  <c r="P108" i="30"/>
  <c r="P107" i="30"/>
  <c r="R104" i="30"/>
  <c r="O102" i="30"/>
  <c r="P101" i="30"/>
  <c r="P100" i="30"/>
  <c r="O249" i="30"/>
  <c r="R245" i="30"/>
  <c r="R235" i="30"/>
  <c r="P234" i="30"/>
  <c r="R231" i="30"/>
  <c r="P230" i="30"/>
  <c r="R227" i="30"/>
  <c r="P226" i="30"/>
  <c r="R223" i="30"/>
  <c r="P222" i="30"/>
  <c r="R219" i="30"/>
  <c r="P218" i="30"/>
  <c r="R215" i="30"/>
  <c r="P214" i="30"/>
  <c r="R211" i="30"/>
  <c r="P210" i="30"/>
  <c r="R207" i="30"/>
  <c r="P206" i="30"/>
  <c r="R203" i="30"/>
  <c r="P202" i="30"/>
  <c r="R199" i="30"/>
  <c r="P198" i="30"/>
  <c r="R195" i="30"/>
  <c r="P194" i="30"/>
  <c r="R191" i="30"/>
  <c r="P190" i="30"/>
  <c r="R187" i="30"/>
  <c r="P186" i="30"/>
  <c r="R183" i="30"/>
  <c r="P182" i="30"/>
  <c r="R179" i="30"/>
  <c r="P178" i="30"/>
  <c r="R175" i="30"/>
  <c r="P174" i="30"/>
  <c r="R171" i="30"/>
  <c r="P170" i="30"/>
  <c r="R167" i="30"/>
  <c r="P166" i="30"/>
  <c r="R163" i="30"/>
  <c r="P162" i="30"/>
  <c r="R159" i="30"/>
  <c r="P158" i="30"/>
  <c r="R155" i="30"/>
  <c r="P154" i="30"/>
  <c r="R151" i="30"/>
  <c r="P150" i="30"/>
  <c r="R147" i="30"/>
  <c r="P146" i="30"/>
  <c r="R143" i="30"/>
  <c r="P142" i="30"/>
  <c r="R139" i="30"/>
  <c r="P138" i="30"/>
  <c r="R135" i="30"/>
  <c r="P134" i="30"/>
  <c r="R131" i="30"/>
  <c r="P130" i="30"/>
  <c r="R127" i="30"/>
  <c r="P125" i="30"/>
  <c r="O124" i="30"/>
  <c r="S115" i="30"/>
  <c r="R113" i="30"/>
  <c r="R112" i="30"/>
  <c r="O110" i="30"/>
  <c r="O109" i="30"/>
  <c r="O108" i="30"/>
  <c r="O107" i="30"/>
  <c r="P106" i="30"/>
  <c r="P105" i="30"/>
  <c r="O101" i="30"/>
  <c r="O100" i="30"/>
  <c r="R248" i="30"/>
  <c r="O245" i="30"/>
  <c r="R241" i="30"/>
  <c r="O238" i="30"/>
  <c r="S236" i="30"/>
  <c r="O234" i="30"/>
  <c r="S232" i="30"/>
  <c r="O230" i="30"/>
  <c r="S228" i="30"/>
  <c r="O226" i="30"/>
  <c r="S224" i="30"/>
  <c r="O222" i="30"/>
  <c r="S220" i="30"/>
  <c r="O218" i="30"/>
  <c r="S216" i="30"/>
  <c r="O214" i="30"/>
  <c r="S212" i="30"/>
  <c r="O210" i="30"/>
  <c r="S208" i="30"/>
  <c r="O206" i="30"/>
  <c r="S204" i="30"/>
  <c r="O202" i="30"/>
  <c r="S200" i="30"/>
  <c r="O198" i="30"/>
  <c r="S196" i="30"/>
  <c r="O194" i="30"/>
  <c r="S192" i="30"/>
  <c r="O190" i="30"/>
  <c r="S188" i="30"/>
  <c r="O186" i="30"/>
  <c r="S184" i="30"/>
  <c r="O182" i="30"/>
  <c r="S180" i="30"/>
  <c r="O178" i="30"/>
  <c r="S176" i="30"/>
  <c r="O174" i="30"/>
  <c r="S172" i="30"/>
  <c r="O170" i="30"/>
  <c r="S168" i="30"/>
  <c r="O166" i="30"/>
  <c r="S164" i="30"/>
  <c r="O162" i="30"/>
  <c r="S160" i="30"/>
  <c r="O158" i="30"/>
  <c r="S156" i="30"/>
  <c r="O154" i="30"/>
  <c r="S152" i="30"/>
  <c r="O150" i="30"/>
  <c r="S148" i="30"/>
  <c r="O146" i="30"/>
  <c r="S144" i="30"/>
  <c r="O142" i="30"/>
  <c r="S140" i="30"/>
  <c r="O138" i="30"/>
  <c r="S136" i="30"/>
  <c r="O134" i="30"/>
  <c r="S132" i="30"/>
  <c r="O130" i="30"/>
  <c r="S128" i="30"/>
  <c r="P126" i="30"/>
  <c r="O125" i="30"/>
  <c r="S120" i="30"/>
  <c r="S119" i="30"/>
  <c r="S117" i="30"/>
  <c r="S116" i="30"/>
  <c r="R115" i="30"/>
  <c r="O106" i="30"/>
  <c r="O105" i="30"/>
  <c r="P104" i="30"/>
  <c r="S103" i="30"/>
  <c r="P248" i="30"/>
  <c r="R244" i="30"/>
  <c r="O241" i="30"/>
  <c r="R236" i="30"/>
  <c r="P235" i="30"/>
  <c r="R232" i="30"/>
  <c r="P231" i="30"/>
  <c r="R228" i="30"/>
  <c r="P227" i="30"/>
  <c r="R224" i="30"/>
  <c r="P223" i="30"/>
  <c r="R220" i="30"/>
  <c r="P219" i="30"/>
  <c r="R216" i="30"/>
  <c r="P215" i="30"/>
  <c r="R212" i="30"/>
  <c r="P211" i="30"/>
  <c r="R208" i="30"/>
  <c r="P207" i="30"/>
  <c r="R204" i="30"/>
  <c r="P203" i="30"/>
  <c r="R200" i="30"/>
  <c r="P199" i="30"/>
  <c r="R196" i="30"/>
  <c r="P195" i="30"/>
  <c r="R192" i="30"/>
  <c r="P191" i="30"/>
  <c r="R188" i="30"/>
  <c r="P187" i="30"/>
  <c r="R184" i="30"/>
  <c r="P183" i="30"/>
  <c r="R180" i="30"/>
  <c r="P179" i="30"/>
  <c r="R176" i="30"/>
  <c r="P175" i="30"/>
  <c r="R172" i="30"/>
  <c r="P171" i="30"/>
  <c r="R168" i="30"/>
  <c r="P167" i="30"/>
  <c r="R164" i="30"/>
  <c r="P163" i="30"/>
  <c r="R160" i="30"/>
  <c r="P159" i="30"/>
  <c r="R156" i="30"/>
  <c r="P155" i="30"/>
  <c r="R152" i="30"/>
  <c r="P151" i="30"/>
  <c r="R148" i="30"/>
  <c r="P147" i="30"/>
  <c r="R144" i="30"/>
  <c r="P143" i="30"/>
  <c r="R140" i="30"/>
  <c r="P139" i="30"/>
  <c r="R136" i="30"/>
  <c r="P135" i="30"/>
  <c r="R132" i="30"/>
  <c r="P131" i="30"/>
  <c r="R128" i="30"/>
  <c r="P127" i="30"/>
  <c r="O126" i="30"/>
  <c r="S122" i="30"/>
  <c r="S121" i="30"/>
  <c r="R120" i="30"/>
  <c r="R119" i="30"/>
  <c r="S118" i="30"/>
  <c r="R117" i="30"/>
  <c r="R116" i="30"/>
  <c r="P114" i="30"/>
  <c r="P113" i="30"/>
  <c r="P112" i="30"/>
  <c r="S111" i="30"/>
  <c r="O104" i="30"/>
  <c r="R103" i="30"/>
  <c r="R240" i="30"/>
  <c r="O236" i="30"/>
  <c r="P232" i="30"/>
  <c r="R221" i="30"/>
  <c r="S217" i="30"/>
  <c r="S214" i="30"/>
  <c r="O207" i="30"/>
  <c r="O204" i="30"/>
  <c r="P200" i="30"/>
  <c r="R189" i="30"/>
  <c r="S185" i="30"/>
  <c r="S182" i="30"/>
  <c r="O175" i="30"/>
  <c r="O172" i="30"/>
  <c r="P168" i="30"/>
  <c r="R157" i="30"/>
  <c r="S153" i="30"/>
  <c r="S150" i="30"/>
  <c r="O143" i="30"/>
  <c r="O140" i="30"/>
  <c r="P136" i="30"/>
  <c r="R122" i="30"/>
  <c r="O120" i="30"/>
  <c r="P117" i="30"/>
  <c r="O114" i="30"/>
  <c r="S109" i="30"/>
  <c r="R102" i="30"/>
  <c r="P240" i="30"/>
  <c r="O235" i="30"/>
  <c r="O232" i="30"/>
  <c r="P228" i="30"/>
  <c r="R217" i="30"/>
  <c r="S213" i="30"/>
  <c r="S210" i="30"/>
  <c r="O203" i="30"/>
  <c r="O200" i="30"/>
  <c r="P196" i="30"/>
  <c r="R185" i="30"/>
  <c r="S181" i="30"/>
  <c r="S178" i="30"/>
  <c r="O171" i="30"/>
  <c r="O168" i="30"/>
  <c r="P164" i="30"/>
  <c r="R153" i="30"/>
  <c r="S149" i="30"/>
  <c r="S146" i="30"/>
  <c r="O139" i="30"/>
  <c r="O136" i="30"/>
  <c r="P132" i="30"/>
  <c r="S125" i="30"/>
  <c r="O117" i="30"/>
  <c r="R111" i="30"/>
  <c r="R109" i="30"/>
  <c r="R129" i="30"/>
  <c r="S247" i="30"/>
  <c r="S239" i="30"/>
  <c r="O231" i="30"/>
  <c r="O228" i="30"/>
  <c r="P224" i="30"/>
  <c r="R213" i="30"/>
  <c r="S209" i="30"/>
  <c r="S206" i="30"/>
  <c r="O199" i="30"/>
  <c r="O196" i="30"/>
  <c r="P192" i="30"/>
  <c r="R181" i="30"/>
  <c r="S177" i="30"/>
  <c r="S174" i="30"/>
  <c r="O167" i="30"/>
  <c r="O164" i="30"/>
  <c r="P160" i="30"/>
  <c r="R149" i="30"/>
  <c r="S145" i="30"/>
  <c r="S142" i="30"/>
  <c r="O135" i="30"/>
  <c r="O132" i="30"/>
  <c r="P128" i="30"/>
  <c r="P122" i="30"/>
  <c r="P119" i="30"/>
  <c r="S106" i="30"/>
  <c r="P247" i="30"/>
  <c r="S237" i="30"/>
  <c r="S234" i="30"/>
  <c r="O227" i="30"/>
  <c r="O224" i="30"/>
  <c r="P220" i="30"/>
  <c r="R209" i="30"/>
  <c r="S205" i="30"/>
  <c r="S202" i="30"/>
  <c r="O195" i="30"/>
  <c r="O192" i="30"/>
  <c r="P188" i="30"/>
  <c r="R177" i="30"/>
  <c r="S173" i="30"/>
  <c r="S170" i="30"/>
  <c r="O163" i="30"/>
  <c r="O160" i="30"/>
  <c r="P156" i="30"/>
  <c r="R145" i="30"/>
  <c r="S141" i="30"/>
  <c r="S138" i="30"/>
  <c r="O131" i="30"/>
  <c r="O128" i="30"/>
  <c r="S124" i="30"/>
  <c r="R121" i="30"/>
  <c r="O119" i="30"/>
  <c r="P116" i="30"/>
  <c r="O113" i="30"/>
  <c r="P111" i="30"/>
  <c r="S108" i="30"/>
  <c r="S101" i="30"/>
  <c r="R237" i="30"/>
  <c r="S233" i="30"/>
  <c r="S230" i="30"/>
  <c r="O223" i="30"/>
  <c r="O220" i="30"/>
  <c r="P216" i="30"/>
  <c r="R205" i="30"/>
  <c r="S201" i="30"/>
  <c r="S198" i="30"/>
  <c r="O191" i="30"/>
  <c r="O188" i="30"/>
  <c r="P184" i="30"/>
  <c r="R173" i="30"/>
  <c r="S169" i="30"/>
  <c r="S166" i="30"/>
  <c r="O159" i="30"/>
  <c r="O156" i="30"/>
  <c r="P152" i="30"/>
  <c r="R141" i="30"/>
  <c r="S137" i="30"/>
  <c r="S134" i="30"/>
  <c r="O127" i="30"/>
  <c r="R124" i="30"/>
  <c r="R118" i="30"/>
  <c r="O116" i="30"/>
  <c r="R108" i="30"/>
  <c r="R101" i="30"/>
  <c r="P244" i="30"/>
  <c r="R233" i="30"/>
  <c r="S229" i="30"/>
  <c r="S226" i="30"/>
  <c r="O219" i="30"/>
  <c r="O216" i="30"/>
  <c r="P212" i="30"/>
  <c r="R201" i="30"/>
  <c r="S197" i="30"/>
  <c r="S194" i="30"/>
  <c r="O187" i="30"/>
  <c r="O184" i="30"/>
  <c r="P180" i="30"/>
  <c r="R169" i="30"/>
  <c r="S165" i="30"/>
  <c r="S162" i="30"/>
  <c r="O155" i="30"/>
  <c r="O152" i="30"/>
  <c r="P148" i="30"/>
  <c r="R137" i="30"/>
  <c r="S133" i="30"/>
  <c r="S130" i="30"/>
  <c r="S123" i="30"/>
  <c r="P121" i="30"/>
  <c r="P115" i="30"/>
  <c r="S110" i="30"/>
  <c r="S105" i="30"/>
  <c r="P103" i="30"/>
  <c r="P140" i="30"/>
  <c r="S243" i="30"/>
  <c r="R229" i="30"/>
  <c r="S225" i="30"/>
  <c r="S222" i="30"/>
  <c r="O215" i="30"/>
  <c r="O212" i="30"/>
  <c r="P208" i="30"/>
  <c r="R197" i="30"/>
  <c r="S193" i="30"/>
  <c r="S190" i="30"/>
  <c r="O183" i="30"/>
  <c r="O180" i="30"/>
  <c r="P176" i="30"/>
  <c r="R165" i="30"/>
  <c r="S161" i="30"/>
  <c r="S158" i="30"/>
  <c r="O151" i="30"/>
  <c r="O148" i="30"/>
  <c r="P144" i="30"/>
  <c r="R133" i="30"/>
  <c r="S129" i="30"/>
  <c r="R123" i="30"/>
  <c r="P118" i="30"/>
  <c r="O115" i="30"/>
  <c r="O112" i="30"/>
  <c r="R110" i="30"/>
  <c r="S107" i="30"/>
  <c r="O103" i="30"/>
  <c r="S100" i="30"/>
  <c r="O144" i="30"/>
  <c r="P243" i="30"/>
  <c r="P236" i="30"/>
  <c r="R225" i="30"/>
  <c r="S221" i="30"/>
  <c r="S218" i="30"/>
  <c r="O211" i="30"/>
  <c r="O208" i="30"/>
  <c r="P204" i="30"/>
  <c r="R193" i="30"/>
  <c r="S189" i="30"/>
  <c r="S186" i="30"/>
  <c r="O179" i="30"/>
  <c r="O176" i="30"/>
  <c r="P172" i="30"/>
  <c r="R161" i="30"/>
  <c r="S157" i="30"/>
  <c r="S154" i="30"/>
  <c r="O147" i="30"/>
  <c r="P120" i="30"/>
  <c r="R107" i="30"/>
  <c r="S102" i="30"/>
  <c r="R100" i="30"/>
  <c r="R114" i="39"/>
  <c r="AU114" i="39" s="1"/>
  <c r="M117" i="39"/>
  <c r="L108" i="39"/>
  <c r="L109" i="39"/>
  <c r="M112" i="39"/>
  <c r="M108" i="39"/>
  <c r="L113" i="39"/>
  <c r="M127" i="39"/>
  <c r="M109" i="39"/>
  <c r="M119" i="39"/>
  <c r="M113" i="39"/>
  <c r="M103" i="39"/>
  <c r="M124" i="39"/>
  <c r="M110" i="39"/>
  <c r="M102" i="39"/>
  <c r="M104" i="39"/>
  <c r="L100" i="39"/>
  <c r="M123" i="39"/>
  <c r="M121" i="39"/>
  <c r="M116" i="39"/>
  <c r="M115" i="39"/>
  <c r="M100" i="39"/>
  <c r="M101" i="39"/>
  <c r="M120" i="39"/>
  <c r="M125" i="39"/>
  <c r="M122" i="39"/>
  <c r="M105" i="39"/>
  <c r="L103" i="39"/>
  <c r="L101" i="39"/>
  <c r="M106" i="39"/>
  <c r="L102" i="39"/>
  <c r="M114" i="39"/>
  <c r="L110" i="39"/>
  <c r="M126" i="39"/>
  <c r="M118" i="39"/>
  <c r="L111" i="39"/>
  <c r="M111" i="39"/>
  <c r="M107" i="39"/>
  <c r="K100" i="39"/>
  <c r="L104" i="37"/>
  <c r="M103" i="37"/>
  <c r="M111" i="37"/>
  <c r="M119" i="37"/>
  <c r="L113" i="37"/>
  <c r="M104" i="37"/>
  <c r="M112" i="37"/>
  <c r="M120" i="37"/>
  <c r="CE94" i="22"/>
  <c r="M124" i="37"/>
  <c r="M114" i="37"/>
  <c r="M105" i="37"/>
  <c r="M113" i="37"/>
  <c r="M126" i="37"/>
  <c r="L107" i="37"/>
  <c r="M106" i="37"/>
  <c r="M123" i="37"/>
  <c r="L108" i="37"/>
  <c r="M107" i="37"/>
  <c r="M116" i="37"/>
  <c r="M117" i="37"/>
  <c r="L101" i="37"/>
  <c r="M100" i="37"/>
  <c r="M108" i="37"/>
  <c r="M127" i="37"/>
  <c r="M118" i="37"/>
  <c r="M125" i="37"/>
  <c r="L102" i="37"/>
  <c r="L110" i="37"/>
  <c r="M101" i="37"/>
  <c r="M109" i="37"/>
  <c r="M115" i="37"/>
  <c r="M122" i="37"/>
  <c r="M102" i="37"/>
  <c r="M110" i="37"/>
  <c r="M121" i="37"/>
  <c r="K100" i="37"/>
  <c r="J40" i="22"/>
  <c r="N100" i="22" s="1"/>
  <c r="J43" i="30"/>
  <c r="R114" i="30" s="1"/>
  <c r="D65" i="22"/>
  <c r="D101" i="22" s="1"/>
  <c r="P36" i="21"/>
  <c r="F31" i="21"/>
  <c r="J56" i="34"/>
  <c r="J56" i="27"/>
  <c r="S235" i="22"/>
  <c r="S219" i="22"/>
  <c r="S203" i="22"/>
  <c r="S187" i="22"/>
  <c r="S171" i="22"/>
  <c r="S155" i="22"/>
  <c r="S139" i="22"/>
  <c r="S123" i="22"/>
  <c r="S107" i="22"/>
  <c r="R242" i="22"/>
  <c r="R226" i="22"/>
  <c r="R210" i="22"/>
  <c r="R194" i="22"/>
  <c r="S250" i="22"/>
  <c r="S234" i="22"/>
  <c r="S218" i="22"/>
  <c r="S202" i="22"/>
  <c r="S186" i="22"/>
  <c r="S170" i="22"/>
  <c r="S154" i="22"/>
  <c r="S138" i="22"/>
  <c r="S122" i="22"/>
  <c r="S106" i="22"/>
  <c r="R241" i="22"/>
  <c r="R225" i="22"/>
  <c r="R209" i="22"/>
  <c r="R193" i="22"/>
  <c r="S249" i="22"/>
  <c r="S233" i="22"/>
  <c r="S217" i="22"/>
  <c r="S201" i="22"/>
  <c r="S185" i="22"/>
  <c r="S169" i="22"/>
  <c r="S153" i="22"/>
  <c r="S137" i="22"/>
  <c r="S121" i="22"/>
  <c r="S105" i="22"/>
  <c r="R240" i="22"/>
  <c r="R224" i="22"/>
  <c r="R208" i="22"/>
  <c r="R192" i="22"/>
  <c r="S246" i="22"/>
  <c r="S230" i="22"/>
  <c r="S214" i="22"/>
  <c r="S198" i="22"/>
  <c r="S182" i="22"/>
  <c r="S166" i="22"/>
  <c r="S150" i="22"/>
  <c r="S134" i="22"/>
  <c r="S118" i="22"/>
  <c r="S102" i="22"/>
  <c r="R237" i="22"/>
  <c r="R221" i="22"/>
  <c r="R205" i="22"/>
  <c r="R189" i="22"/>
  <c r="S245" i="22"/>
  <c r="S229" i="22"/>
  <c r="S213" i="22"/>
  <c r="S197" i="22"/>
  <c r="S181" i="22"/>
  <c r="S165" i="22"/>
  <c r="S149" i="22"/>
  <c r="S133" i="22"/>
  <c r="S117" i="22"/>
  <c r="S101" i="22"/>
  <c r="R236" i="22"/>
  <c r="R220" i="22"/>
  <c r="R204" i="22"/>
  <c r="R188" i="22"/>
  <c r="S244" i="22"/>
  <c r="S228" i="22"/>
  <c r="S212" i="22"/>
  <c r="S196" i="22"/>
  <c r="S180" i="22"/>
  <c r="S164" i="22"/>
  <c r="S148" i="22"/>
  <c r="S132" i="22"/>
  <c r="S116" i="22"/>
  <c r="R235" i="22"/>
  <c r="R219" i="22"/>
  <c r="R203" i="22"/>
  <c r="R187" i="22"/>
  <c r="W101" i="22"/>
  <c r="W102" i="22" s="1"/>
  <c r="W103" i="22" s="1"/>
  <c r="W104" i="22" s="1"/>
  <c r="W105" i="22" s="1"/>
  <c r="W106" i="22" s="1"/>
  <c r="W107" i="22" s="1"/>
  <c r="W108" i="22" s="1"/>
  <c r="W109" i="22" s="1"/>
  <c r="W110" i="22" s="1"/>
  <c r="W111" i="22" s="1"/>
  <c r="W112" i="22" s="1"/>
  <c r="W113" i="22" s="1"/>
  <c r="W114" i="22" s="1"/>
  <c r="W115" i="22" s="1"/>
  <c r="W116" i="22" s="1"/>
  <c r="S243" i="22"/>
  <c r="S227" i="22"/>
  <c r="S211" i="22"/>
  <c r="S195" i="22"/>
  <c r="S179" i="22"/>
  <c r="S163" i="22"/>
  <c r="S147" i="22"/>
  <c r="S131" i="22"/>
  <c r="S115" i="22"/>
  <c r="R250" i="22"/>
  <c r="R234" i="22"/>
  <c r="R218" i="22"/>
  <c r="R202" i="22"/>
  <c r="R186" i="22"/>
  <c r="S242" i="22"/>
  <c r="S226" i="22"/>
  <c r="S210" i="22"/>
  <c r="S194" i="22"/>
  <c r="S178" i="22"/>
  <c r="S162" i="22"/>
  <c r="S146" i="22"/>
  <c r="S130" i="22"/>
  <c r="S114" i="22"/>
  <c r="R249" i="22"/>
  <c r="R233" i="22"/>
  <c r="R217" i="22"/>
  <c r="R201" i="22"/>
  <c r="R185" i="22"/>
  <c r="S241" i="22"/>
  <c r="S225" i="22"/>
  <c r="S209" i="22"/>
  <c r="S193" i="22"/>
  <c r="S177" i="22"/>
  <c r="S161" i="22"/>
  <c r="S145" i="22"/>
  <c r="S129" i="22"/>
  <c r="S113" i="22"/>
  <c r="R248" i="22"/>
  <c r="R232" i="22"/>
  <c r="R216" i="22"/>
  <c r="R200" i="22"/>
  <c r="S240" i="22"/>
  <c r="S224" i="22"/>
  <c r="S208" i="22"/>
  <c r="S192" i="22"/>
  <c r="S176" i="22"/>
  <c r="S160" i="22"/>
  <c r="S144" i="22"/>
  <c r="S128" i="22"/>
  <c r="S112" i="22"/>
  <c r="R247" i="22"/>
  <c r="R231" i="22"/>
  <c r="R215" i="22"/>
  <c r="R199" i="22"/>
  <c r="S239" i="22"/>
  <c r="S223" i="22"/>
  <c r="S207" i="22"/>
  <c r="S191" i="22"/>
  <c r="S175" i="22"/>
  <c r="S159" i="22"/>
  <c r="S143" i="22"/>
  <c r="S127" i="22"/>
  <c r="S111" i="22"/>
  <c r="R246" i="22"/>
  <c r="R230" i="22"/>
  <c r="R214" i="22"/>
  <c r="R198" i="22"/>
  <c r="S238" i="22"/>
  <c r="S222" i="22"/>
  <c r="S206" i="22"/>
  <c r="S190" i="22"/>
  <c r="S174" i="22"/>
  <c r="S158" i="22"/>
  <c r="S142" i="22"/>
  <c r="S126" i="22"/>
  <c r="S110" i="22"/>
  <c r="R245" i="22"/>
  <c r="R229" i="22"/>
  <c r="R213" i="22"/>
  <c r="R197" i="22"/>
  <c r="S237" i="22"/>
  <c r="S173" i="22"/>
  <c r="S109" i="22"/>
  <c r="R196" i="22"/>
  <c r="R172" i="22"/>
  <c r="R156" i="22"/>
  <c r="R140" i="22"/>
  <c r="R124" i="22"/>
  <c r="R108" i="22"/>
  <c r="P250" i="22"/>
  <c r="P234" i="22"/>
  <c r="P218" i="22"/>
  <c r="P202" i="22"/>
  <c r="P186" i="22"/>
  <c r="P170" i="22"/>
  <c r="P154" i="22"/>
  <c r="P138" i="22"/>
  <c r="P122" i="22"/>
  <c r="P106" i="22"/>
  <c r="O241" i="22"/>
  <c r="O225" i="22"/>
  <c r="O209" i="22"/>
  <c r="O193" i="22"/>
  <c r="O177" i="22"/>
  <c r="O161" i="22"/>
  <c r="O145" i="22"/>
  <c r="O129" i="22"/>
  <c r="O113" i="22"/>
  <c r="S236" i="22"/>
  <c r="S172" i="22"/>
  <c r="R195" i="22"/>
  <c r="R155" i="22"/>
  <c r="R123" i="22"/>
  <c r="P233" i="22"/>
  <c r="P201" i="22"/>
  <c r="P169" i="22"/>
  <c r="P153" i="22"/>
  <c r="P121" i="22"/>
  <c r="O240" i="22"/>
  <c r="O208" i="22"/>
  <c r="O176" i="22"/>
  <c r="O144" i="22"/>
  <c r="O112" i="22"/>
  <c r="S108" i="22"/>
  <c r="R171" i="22"/>
  <c r="R139" i="22"/>
  <c r="R107" i="22"/>
  <c r="P249" i="22"/>
  <c r="P217" i="22"/>
  <c r="P185" i="22"/>
  <c r="P137" i="22"/>
  <c r="P105" i="22"/>
  <c r="O224" i="22"/>
  <c r="O192" i="22"/>
  <c r="O160" i="22"/>
  <c r="O128" i="22"/>
  <c r="S232" i="22"/>
  <c r="S168" i="22"/>
  <c r="S104" i="22"/>
  <c r="R191" i="22"/>
  <c r="R170" i="22"/>
  <c r="R154" i="22"/>
  <c r="R138" i="22"/>
  <c r="R122" i="22"/>
  <c r="R106" i="22"/>
  <c r="P248" i="22"/>
  <c r="P232" i="22"/>
  <c r="P216" i="22"/>
  <c r="P200" i="22"/>
  <c r="P184" i="22"/>
  <c r="P168" i="22"/>
  <c r="P152" i="22"/>
  <c r="P136" i="22"/>
  <c r="P120" i="22"/>
  <c r="P104" i="22"/>
  <c r="O239" i="22"/>
  <c r="O223" i="22"/>
  <c r="O207" i="22"/>
  <c r="O191" i="22"/>
  <c r="O175" i="22"/>
  <c r="O159" i="22"/>
  <c r="O143" i="22"/>
  <c r="O127" i="22"/>
  <c r="O111" i="22"/>
  <c r="O246" i="22"/>
  <c r="O134" i="22"/>
  <c r="P124" i="22"/>
  <c r="P123" i="22"/>
  <c r="S231" i="22"/>
  <c r="S167" i="22"/>
  <c r="S103" i="22"/>
  <c r="R190" i="22"/>
  <c r="R169" i="22"/>
  <c r="R153" i="22"/>
  <c r="R137" i="22"/>
  <c r="R121" i="22"/>
  <c r="R105" i="22"/>
  <c r="P247" i="22"/>
  <c r="P231" i="22"/>
  <c r="P215" i="22"/>
  <c r="P199" i="22"/>
  <c r="P183" i="22"/>
  <c r="P167" i="22"/>
  <c r="P151" i="22"/>
  <c r="P135" i="22"/>
  <c r="P119" i="22"/>
  <c r="P103" i="22"/>
  <c r="O238" i="22"/>
  <c r="O222" i="22"/>
  <c r="O206" i="22"/>
  <c r="O190" i="22"/>
  <c r="O174" i="22"/>
  <c r="O158" i="22"/>
  <c r="O142" i="22"/>
  <c r="O126" i="22"/>
  <c r="O110" i="22"/>
  <c r="P127" i="22"/>
  <c r="O150" i="22"/>
  <c r="P236" i="22"/>
  <c r="O194" i="22"/>
  <c r="S221" i="22"/>
  <c r="S157" i="22"/>
  <c r="R244" i="22"/>
  <c r="R184" i="22"/>
  <c r="R168" i="22"/>
  <c r="R152" i="22"/>
  <c r="R136" i="22"/>
  <c r="R120" i="22"/>
  <c r="R104" i="22"/>
  <c r="P246" i="22"/>
  <c r="P230" i="22"/>
  <c r="P214" i="22"/>
  <c r="P198" i="22"/>
  <c r="P182" i="22"/>
  <c r="P166" i="22"/>
  <c r="P150" i="22"/>
  <c r="P134" i="22"/>
  <c r="P118" i="22"/>
  <c r="P102" i="22"/>
  <c r="O237" i="22"/>
  <c r="O221" i="22"/>
  <c r="O205" i="22"/>
  <c r="O189" i="22"/>
  <c r="O173" i="22"/>
  <c r="O157" i="22"/>
  <c r="O141" i="22"/>
  <c r="O125" i="22"/>
  <c r="O109" i="22"/>
  <c r="P111" i="22"/>
  <c r="O243" i="22"/>
  <c r="R206" i="22"/>
  <c r="R141" i="22"/>
  <c r="P171" i="22"/>
  <c r="O242" i="22"/>
  <c r="O178" i="22"/>
  <c r="S220" i="22"/>
  <c r="S156" i="22"/>
  <c r="R243" i="22"/>
  <c r="R183" i="22"/>
  <c r="R167" i="22"/>
  <c r="R151" i="22"/>
  <c r="R135" i="22"/>
  <c r="R119" i="22"/>
  <c r="R103" i="22"/>
  <c r="P245" i="22"/>
  <c r="P229" i="22"/>
  <c r="P213" i="22"/>
  <c r="P197" i="22"/>
  <c r="P181" i="22"/>
  <c r="P165" i="22"/>
  <c r="P149" i="22"/>
  <c r="P133" i="22"/>
  <c r="P117" i="22"/>
  <c r="P101" i="22"/>
  <c r="O236" i="22"/>
  <c r="O220" i="22"/>
  <c r="O204" i="22"/>
  <c r="O188" i="22"/>
  <c r="O172" i="22"/>
  <c r="O156" i="22"/>
  <c r="O140" i="22"/>
  <c r="O124" i="22"/>
  <c r="O108" i="22"/>
  <c r="O214" i="22"/>
  <c r="O166" i="22"/>
  <c r="R207" i="22"/>
  <c r="R142" i="22"/>
  <c r="P220" i="22"/>
  <c r="P140" i="22"/>
  <c r="O195" i="22"/>
  <c r="O147" i="22"/>
  <c r="R157" i="22"/>
  <c r="P219" i="22"/>
  <c r="S216" i="22"/>
  <c r="S152" i="22"/>
  <c r="R239" i="22"/>
  <c r="R182" i="22"/>
  <c r="R166" i="22"/>
  <c r="R150" i="22"/>
  <c r="R134" i="22"/>
  <c r="R118" i="22"/>
  <c r="R102" i="22"/>
  <c r="P244" i="22"/>
  <c r="P228" i="22"/>
  <c r="P212" i="22"/>
  <c r="P196" i="22"/>
  <c r="P180" i="22"/>
  <c r="P164" i="22"/>
  <c r="P148" i="22"/>
  <c r="P132" i="22"/>
  <c r="P116" i="22"/>
  <c r="O235" i="22"/>
  <c r="O219" i="22"/>
  <c r="O203" i="22"/>
  <c r="O187" i="22"/>
  <c r="O171" i="22"/>
  <c r="O155" i="22"/>
  <c r="O139" i="22"/>
  <c r="O123" i="22"/>
  <c r="O107" i="22"/>
  <c r="P175" i="22"/>
  <c r="R174" i="22"/>
  <c r="P156" i="22"/>
  <c r="O179" i="22"/>
  <c r="S183" i="22"/>
  <c r="O226" i="22"/>
  <c r="S215" i="22"/>
  <c r="S151" i="22"/>
  <c r="R238" i="22"/>
  <c r="R181" i="22"/>
  <c r="R165" i="22"/>
  <c r="R149" i="22"/>
  <c r="R133" i="22"/>
  <c r="R117" i="22"/>
  <c r="R101" i="22"/>
  <c r="P243" i="22"/>
  <c r="P227" i="22"/>
  <c r="P211" i="22"/>
  <c r="P195" i="22"/>
  <c r="P179" i="22"/>
  <c r="P163" i="22"/>
  <c r="P147" i="22"/>
  <c r="P131" i="22"/>
  <c r="P115" i="22"/>
  <c r="O250" i="22"/>
  <c r="O234" i="22"/>
  <c r="O218" i="22"/>
  <c r="O202" i="22"/>
  <c r="O186" i="22"/>
  <c r="O170" i="22"/>
  <c r="O154" i="22"/>
  <c r="O138" i="22"/>
  <c r="O122" i="22"/>
  <c r="O106" i="22"/>
  <c r="O230" i="22"/>
  <c r="O182" i="22"/>
  <c r="S248" i="22"/>
  <c r="P188" i="22"/>
  <c r="P107" i="22"/>
  <c r="S205" i="22"/>
  <c r="S141" i="22"/>
  <c r="R228" i="22"/>
  <c r="R180" i="22"/>
  <c r="R164" i="22"/>
  <c r="R148" i="22"/>
  <c r="R132" i="22"/>
  <c r="R116" i="22"/>
  <c r="P242" i="22"/>
  <c r="P226" i="22"/>
  <c r="P210" i="22"/>
  <c r="P194" i="22"/>
  <c r="P178" i="22"/>
  <c r="P162" i="22"/>
  <c r="P146" i="22"/>
  <c r="P130" i="22"/>
  <c r="P114" i="22"/>
  <c r="O249" i="22"/>
  <c r="O233" i="22"/>
  <c r="O217" i="22"/>
  <c r="O201" i="22"/>
  <c r="O185" i="22"/>
  <c r="O169" i="22"/>
  <c r="O153" i="22"/>
  <c r="O137" i="22"/>
  <c r="O121" i="22"/>
  <c r="O105" i="22"/>
  <c r="P191" i="22"/>
  <c r="O118" i="22"/>
  <c r="S204" i="22"/>
  <c r="S140" i="22"/>
  <c r="R227" i="22"/>
  <c r="R179" i="22"/>
  <c r="R163" i="22"/>
  <c r="R147" i="22"/>
  <c r="R131" i="22"/>
  <c r="R115" i="22"/>
  <c r="P241" i="22"/>
  <c r="P225" i="22"/>
  <c r="P209" i="22"/>
  <c r="P193" i="22"/>
  <c r="P177" i="22"/>
  <c r="P161" i="22"/>
  <c r="P145" i="22"/>
  <c r="P129" i="22"/>
  <c r="P113" i="22"/>
  <c r="O248" i="22"/>
  <c r="O232" i="22"/>
  <c r="O216" i="22"/>
  <c r="O200" i="22"/>
  <c r="O184" i="22"/>
  <c r="O168" i="22"/>
  <c r="O152" i="22"/>
  <c r="O136" i="22"/>
  <c r="O120" i="22"/>
  <c r="O104" i="22"/>
  <c r="P159" i="22"/>
  <c r="P187" i="22"/>
  <c r="S200" i="22"/>
  <c r="S136" i="22"/>
  <c r="R223" i="22"/>
  <c r="R178" i="22"/>
  <c r="R162" i="22"/>
  <c r="R146" i="22"/>
  <c r="R130" i="22"/>
  <c r="R114" i="22"/>
  <c r="P240" i="22"/>
  <c r="P224" i="22"/>
  <c r="P208" i="22"/>
  <c r="P192" i="22"/>
  <c r="P176" i="22"/>
  <c r="P160" i="22"/>
  <c r="P144" i="22"/>
  <c r="P112" i="22"/>
  <c r="O247" i="22"/>
  <c r="O231" i="22"/>
  <c r="O215" i="22"/>
  <c r="O199" i="22"/>
  <c r="O183" i="22"/>
  <c r="O167" i="22"/>
  <c r="O151" i="22"/>
  <c r="O135" i="22"/>
  <c r="O119" i="22"/>
  <c r="O103" i="22"/>
  <c r="P207" i="22"/>
  <c r="O162" i="22"/>
  <c r="S199" i="22"/>
  <c r="S135" i="22"/>
  <c r="R222" i="22"/>
  <c r="R177" i="22"/>
  <c r="R161" i="22"/>
  <c r="R145" i="22"/>
  <c r="R129" i="22"/>
  <c r="R113" i="22"/>
  <c r="P239" i="22"/>
  <c r="P223" i="22"/>
  <c r="P143" i="22"/>
  <c r="O198" i="22"/>
  <c r="O102" i="22"/>
  <c r="P108" i="22"/>
  <c r="S247" i="22"/>
  <c r="R173" i="22"/>
  <c r="R125" i="22"/>
  <c r="P203" i="22"/>
  <c r="P155" i="22"/>
  <c r="O210" i="22"/>
  <c r="O130" i="22"/>
  <c r="V101" i="22"/>
  <c r="S189" i="22"/>
  <c r="S125" i="22"/>
  <c r="R212" i="22"/>
  <c r="R176" i="22"/>
  <c r="R160" i="22"/>
  <c r="R144" i="22"/>
  <c r="R128" i="22"/>
  <c r="R112" i="22"/>
  <c r="P238" i="22"/>
  <c r="P222" i="22"/>
  <c r="P206" i="22"/>
  <c r="P190" i="22"/>
  <c r="P174" i="22"/>
  <c r="P158" i="22"/>
  <c r="P142" i="22"/>
  <c r="P126" i="22"/>
  <c r="P110" i="22"/>
  <c r="O245" i="22"/>
  <c r="O229" i="22"/>
  <c r="O213" i="22"/>
  <c r="O197" i="22"/>
  <c r="O181" i="22"/>
  <c r="O165" i="22"/>
  <c r="O149" i="22"/>
  <c r="O133" i="22"/>
  <c r="O117" i="22"/>
  <c r="O101" i="22"/>
  <c r="S184" i="22"/>
  <c r="R158" i="22"/>
  <c r="R110" i="22"/>
  <c r="P172" i="22"/>
  <c r="O227" i="22"/>
  <c r="O163" i="22"/>
  <c r="O115" i="22"/>
  <c r="S119" i="22"/>
  <c r="P235" i="22"/>
  <c r="O146" i="22"/>
  <c r="V102" i="22"/>
  <c r="S188" i="22"/>
  <c r="S124" i="22"/>
  <c r="R211" i="22"/>
  <c r="R175" i="22"/>
  <c r="R159" i="22"/>
  <c r="R143" i="22"/>
  <c r="R127" i="22"/>
  <c r="R111" i="22"/>
  <c r="P237" i="22"/>
  <c r="P221" i="22"/>
  <c r="P205" i="22"/>
  <c r="P189" i="22"/>
  <c r="P173" i="22"/>
  <c r="P157" i="22"/>
  <c r="P141" i="22"/>
  <c r="P125" i="22"/>
  <c r="P109" i="22"/>
  <c r="O244" i="22"/>
  <c r="O228" i="22"/>
  <c r="O212" i="22"/>
  <c r="O196" i="22"/>
  <c r="O180" i="22"/>
  <c r="O164" i="22"/>
  <c r="O148" i="22"/>
  <c r="O132" i="22"/>
  <c r="O116" i="22"/>
  <c r="S120" i="22"/>
  <c r="R126" i="22"/>
  <c r="P204" i="22"/>
  <c r="O211" i="22"/>
  <c r="O131" i="22"/>
  <c r="R109" i="22"/>
  <c r="P139" i="22"/>
  <c r="J56" i="30"/>
  <c r="G39" i="21"/>
  <c r="Q39" i="36"/>
  <c r="S39" i="36" s="1"/>
  <c r="T39" i="36"/>
  <c r="G39" i="36"/>
  <c r="I39" i="36" s="1"/>
  <c r="M101" i="22"/>
  <c r="D52" i="36"/>
  <c r="D65" i="27"/>
  <c r="AV84" i="22"/>
  <c r="BD84" i="22"/>
  <c r="BP84" i="22"/>
  <c r="BH84" i="22"/>
  <c r="BL84" i="22"/>
  <c r="AZ84" i="22"/>
  <c r="BP123" i="30" l="1"/>
  <c r="BR123" i="30" s="1"/>
  <c r="BQ165" i="30"/>
  <c r="BH196" i="30"/>
  <c r="BJ196" i="30" s="1"/>
  <c r="BP176" i="30"/>
  <c r="BR176" i="30" s="1"/>
  <c r="BI216" i="30"/>
  <c r="BH221" i="30"/>
  <c r="BJ221" i="30" s="1"/>
  <c r="BI142" i="30"/>
  <c r="BQ215" i="30"/>
  <c r="BQ120" i="30"/>
  <c r="BQ202" i="30"/>
  <c r="BH242" i="30"/>
  <c r="BJ242" i="30" s="1"/>
  <c r="BH179" i="30"/>
  <c r="BJ179" i="30" s="1"/>
  <c r="BP236" i="30"/>
  <c r="BR236" i="30" s="1"/>
  <c r="BP181" i="30"/>
  <c r="BR181" i="30" s="1"/>
  <c r="BH237" i="30"/>
  <c r="BJ237" i="30" s="1"/>
  <c r="BH158" i="30"/>
  <c r="BJ158" i="30" s="1"/>
  <c r="BP218" i="30"/>
  <c r="BR218" i="30" s="1"/>
  <c r="BP107" i="30"/>
  <c r="BR107" i="30" s="1"/>
  <c r="BH195" i="30"/>
  <c r="BJ195" i="30" s="1"/>
  <c r="BI244" i="30"/>
  <c r="BP210" i="30"/>
  <c r="BR210" i="30" s="1"/>
  <c r="BQ115" i="30"/>
  <c r="BI107" i="30"/>
  <c r="BH161" i="30"/>
  <c r="BJ161" i="30" s="1"/>
  <c r="BQ234" i="30"/>
  <c r="BH150" i="30"/>
  <c r="BJ150" i="30" s="1"/>
  <c r="BQ207" i="30"/>
  <c r="BP226" i="30"/>
  <c r="BR226" i="30" s="1"/>
  <c r="BQ223" i="30"/>
  <c r="BP100" i="22"/>
  <c r="BR100" i="22" s="1"/>
  <c r="BP105" i="30"/>
  <c r="BR105" i="30" s="1"/>
  <c r="BP163" i="30"/>
  <c r="BR163" i="30" s="1"/>
  <c r="BH171" i="30"/>
  <c r="BJ171" i="30" s="1"/>
  <c r="BQ197" i="30"/>
  <c r="BQ105" i="30"/>
  <c r="BQ180" i="30"/>
  <c r="BH213" i="30"/>
  <c r="BJ213" i="30" s="1"/>
  <c r="BQ191" i="30"/>
  <c r="BP103" i="30"/>
  <c r="BR103" i="30" s="1"/>
  <c r="BI109" i="30"/>
  <c r="BP198" i="30"/>
  <c r="BR198" i="30" s="1"/>
  <c r="BH247" i="30"/>
  <c r="BJ247" i="30" s="1"/>
  <c r="BI152" i="30"/>
  <c r="BQ209" i="30"/>
  <c r="BH249" i="30"/>
  <c r="BJ249" i="30" s="1"/>
  <c r="BI157" i="30"/>
  <c r="BQ214" i="30"/>
  <c r="BQ119" i="30"/>
  <c r="BH207" i="30"/>
  <c r="BJ207" i="30" s="1"/>
  <c r="BQ172" i="30"/>
  <c r="BH168" i="30"/>
  <c r="BJ168" i="30" s="1"/>
  <c r="BP225" i="30"/>
  <c r="BR225" i="30" s="1"/>
  <c r="BQ114" i="30"/>
  <c r="BH186" i="30"/>
  <c r="BJ186" i="30" s="1"/>
  <c r="BH173" i="30"/>
  <c r="BJ173" i="30" s="1"/>
  <c r="BP230" i="30"/>
  <c r="BR230" i="30" s="1"/>
  <c r="BP167" i="30"/>
  <c r="BR167" i="30" s="1"/>
  <c r="BH223" i="30"/>
  <c r="BJ223" i="30" s="1"/>
  <c r="BH194" i="30"/>
  <c r="BJ194" i="30" s="1"/>
  <c r="BQ188" i="30"/>
  <c r="BH108" i="30"/>
  <c r="BJ108" i="30" s="1"/>
  <c r="BP241" i="30"/>
  <c r="BR241" i="30" s="1"/>
  <c r="BI202" i="30"/>
  <c r="BH189" i="30"/>
  <c r="BJ189" i="30" s="1"/>
  <c r="BI239" i="30"/>
  <c r="BH210" i="30"/>
  <c r="BJ210" i="30" s="1"/>
  <c r="BQ222" i="30"/>
  <c r="BH100" i="30"/>
  <c r="BJ100" i="30" s="1"/>
  <c r="BH188" i="30"/>
  <c r="BJ188" i="30" s="1"/>
  <c r="BQ160" i="30"/>
  <c r="BI200" i="30"/>
  <c r="BP162" i="30"/>
  <c r="BR162" i="30" s="1"/>
  <c r="BI218" i="30"/>
  <c r="BQ117" i="30"/>
  <c r="BI205" i="30"/>
  <c r="BI110" i="30"/>
  <c r="BP199" i="30"/>
  <c r="BR199" i="30" s="1"/>
  <c r="BI176" i="30"/>
  <c r="BP249" i="30"/>
  <c r="BR249" i="30" s="1"/>
  <c r="BQ186" i="30"/>
  <c r="BI226" i="30"/>
  <c r="BI163" i="30"/>
  <c r="BQ220" i="30"/>
  <c r="BP109" i="30"/>
  <c r="BR109" i="30" s="1"/>
  <c r="BQ238" i="30"/>
  <c r="BP159" i="30"/>
  <c r="BR159" i="30" s="1"/>
  <c r="BP164" i="30"/>
  <c r="BR164" i="30" s="1"/>
  <c r="BI113" i="30"/>
  <c r="BI197" i="30"/>
  <c r="BP175" i="30"/>
  <c r="BR175" i="30" s="1"/>
  <c r="BP192" i="30"/>
  <c r="BR192" i="30" s="1"/>
  <c r="BH170" i="30"/>
  <c r="BJ170" i="30" s="1"/>
  <c r="BP227" i="30"/>
  <c r="BR227" i="30" s="1"/>
  <c r="BH235" i="30"/>
  <c r="BJ235" i="30" s="1"/>
  <c r="BH112" i="30"/>
  <c r="BJ112" i="30" s="1"/>
  <c r="BP201" i="30"/>
  <c r="BR201" i="30" s="1"/>
  <c r="BI178" i="30"/>
  <c r="BI212" i="30"/>
  <c r="BQ190" i="30"/>
  <c r="BI246" i="30"/>
  <c r="BP229" i="30"/>
  <c r="BR229" i="30" s="1"/>
  <c r="BI103" i="30"/>
  <c r="BQ243" i="30"/>
  <c r="BI144" i="30"/>
  <c r="BP217" i="30"/>
  <c r="BR217" i="30" s="1"/>
  <c r="BP122" i="30"/>
  <c r="BR122" i="30" s="1"/>
  <c r="BH228" i="30"/>
  <c r="BJ228" i="30" s="1"/>
  <c r="BH149" i="30"/>
  <c r="BJ149" i="30" s="1"/>
  <c r="BP206" i="30"/>
  <c r="BR206" i="30" s="1"/>
  <c r="BQ111" i="30"/>
  <c r="BI156" i="30"/>
  <c r="BP169" i="30"/>
  <c r="BR169" i="30" s="1"/>
  <c r="BP102" i="30"/>
  <c r="BR102" i="30" s="1"/>
  <c r="BQ116" i="30"/>
  <c r="BH160" i="30"/>
  <c r="BJ160" i="30" s="1"/>
  <c r="BQ233" i="30"/>
  <c r="BH147" i="30"/>
  <c r="BJ147" i="30" s="1"/>
  <c r="BQ204" i="30"/>
  <c r="BI165" i="30"/>
  <c r="BP127" i="30"/>
  <c r="BR127" i="30" s="1"/>
  <c r="BP157" i="30"/>
  <c r="BR157" i="30" s="1"/>
  <c r="BQ100" i="30"/>
  <c r="BH167" i="30"/>
  <c r="BJ167" i="30" s="1"/>
  <c r="BQ224" i="30"/>
  <c r="BQ113" i="30"/>
  <c r="BH169" i="30"/>
  <c r="BJ169" i="30" s="1"/>
  <c r="BQ118" i="30"/>
  <c r="BI190" i="30"/>
  <c r="BI111" i="30"/>
  <c r="BQ200" i="30"/>
  <c r="BI240" i="30"/>
  <c r="BI177" i="30"/>
  <c r="BQ250" i="30"/>
  <c r="BQ171" i="30"/>
  <c r="BH227" i="30"/>
  <c r="BJ227" i="30" s="1"/>
  <c r="BP189" i="30"/>
  <c r="BR189" i="30" s="1"/>
  <c r="BI245" i="30"/>
  <c r="BI181" i="30"/>
  <c r="BQ184" i="30"/>
  <c r="BH106" i="30"/>
  <c r="BJ106" i="30" s="1"/>
  <c r="BH183" i="30"/>
  <c r="BJ183" i="30" s="1"/>
  <c r="BP240" i="30"/>
  <c r="BR240" i="30" s="1"/>
  <c r="BI185" i="30"/>
  <c r="BQ242" i="30"/>
  <c r="BH206" i="30"/>
  <c r="BJ206" i="30" s="1"/>
  <c r="BH143" i="30"/>
  <c r="BJ143" i="30" s="1"/>
  <c r="BP216" i="30"/>
  <c r="BR216" i="30" s="1"/>
  <c r="BH193" i="30"/>
  <c r="BJ193" i="30" s="1"/>
  <c r="BQ187" i="30"/>
  <c r="BH243" i="30"/>
  <c r="BJ243" i="30" s="1"/>
  <c r="BI148" i="30"/>
  <c r="BP205" i="30"/>
  <c r="BR205" i="30" s="1"/>
  <c r="BP110" i="30"/>
  <c r="BR110" i="30" s="1"/>
  <c r="BI182" i="30"/>
  <c r="BP239" i="30"/>
  <c r="BR239" i="30" s="1"/>
  <c r="BQ213" i="30"/>
  <c r="BI214" i="30"/>
  <c r="BQ168" i="30"/>
  <c r="BQ208" i="30"/>
  <c r="BP247" i="30"/>
  <c r="BR247" i="30" s="1"/>
  <c r="BI211" i="30"/>
  <c r="BI172" i="30"/>
  <c r="BQ169" i="30"/>
  <c r="BH103" i="30"/>
  <c r="BJ103" i="30" s="1"/>
  <c r="BH199" i="30"/>
  <c r="BJ199" i="30" s="1"/>
  <c r="BQ161" i="30"/>
  <c r="BI201" i="30"/>
  <c r="BH204" i="30"/>
  <c r="BJ204" i="30" s="1"/>
  <c r="BH187" i="30"/>
  <c r="BJ187" i="30" s="1"/>
  <c r="BP244" i="30"/>
  <c r="BR244" i="30" s="1"/>
  <c r="BQ166" i="30"/>
  <c r="BH222" i="30"/>
  <c r="BJ222" i="30" s="1"/>
  <c r="BH159" i="30"/>
  <c r="BJ159" i="30" s="1"/>
  <c r="BP232" i="30"/>
  <c r="BR232" i="30" s="1"/>
  <c r="BP121" i="30"/>
  <c r="BR121" i="30" s="1"/>
  <c r="BI209" i="30"/>
  <c r="BP203" i="30"/>
  <c r="BR203" i="30" s="1"/>
  <c r="BP108" i="30"/>
  <c r="BR108" i="30" s="1"/>
  <c r="BI164" i="30"/>
  <c r="BQ221" i="30"/>
  <c r="BQ126" i="30"/>
  <c r="BH198" i="30"/>
  <c r="BJ198" i="30" s="1"/>
  <c r="BI151" i="30"/>
  <c r="BH248" i="30"/>
  <c r="BJ248" i="30" s="1"/>
  <c r="BH174" i="30"/>
  <c r="BJ174" i="30" s="1"/>
  <c r="BP173" i="30"/>
  <c r="BR173" i="30" s="1"/>
  <c r="BP184" i="30"/>
  <c r="BR184" i="30" s="1"/>
  <c r="BP124" i="30"/>
  <c r="BR124" i="30" s="1"/>
  <c r="BI106" i="30"/>
  <c r="BI104" i="30"/>
  <c r="BH101" i="30"/>
  <c r="BJ101" i="30" s="1"/>
  <c r="BI236" i="30"/>
  <c r="BQ177" i="30"/>
  <c r="BI217" i="30"/>
  <c r="BQ195" i="30"/>
  <c r="BH203" i="30"/>
  <c r="BJ203" i="30" s="1"/>
  <c r="BI220" i="30"/>
  <c r="BH238" i="30"/>
  <c r="BJ238" i="30" s="1"/>
  <c r="BH175" i="30"/>
  <c r="BJ175" i="30" s="1"/>
  <c r="BQ248" i="30"/>
  <c r="BI225" i="30"/>
  <c r="BI146" i="30"/>
  <c r="BP219" i="30"/>
  <c r="BR219" i="30" s="1"/>
  <c r="BH180" i="30"/>
  <c r="BJ180" i="30" s="1"/>
  <c r="BP237" i="30"/>
  <c r="BR237" i="30" s="1"/>
  <c r="BP158" i="30"/>
  <c r="BR158" i="30" s="1"/>
  <c r="BP125" i="30"/>
  <c r="BR125" i="30" s="1"/>
  <c r="BP231" i="30"/>
  <c r="BR231" i="30" s="1"/>
  <c r="BP161" i="30"/>
  <c r="BR161" i="30" s="1"/>
  <c r="BH214" i="30"/>
  <c r="BJ214" i="30" s="1"/>
  <c r="BP193" i="30"/>
  <c r="BR193" i="30" s="1"/>
  <c r="BI233" i="30"/>
  <c r="BH154" i="30"/>
  <c r="BJ154" i="30" s="1"/>
  <c r="BQ211" i="30"/>
  <c r="BI219" i="30"/>
  <c r="BP185" i="30"/>
  <c r="BR185" i="30" s="1"/>
  <c r="BH241" i="30"/>
  <c r="BJ241" i="30" s="1"/>
  <c r="BI162" i="30"/>
  <c r="BP235" i="30"/>
  <c r="BR235" i="30" s="1"/>
  <c r="BP156" i="30"/>
  <c r="BR156" i="30" s="1"/>
  <c r="BQ174" i="30"/>
  <c r="BI230" i="30"/>
  <c r="AR101" i="39"/>
  <c r="AN104" i="34"/>
  <c r="AN110" i="30"/>
  <c r="AO110" i="30" s="1"/>
  <c r="AP110" i="30" s="1"/>
  <c r="BP199" i="34"/>
  <c r="BR199" i="34" s="1"/>
  <c r="BQ210" i="30"/>
  <c r="BH236" i="30"/>
  <c r="BJ236" i="30" s="1"/>
  <c r="BH195" i="34"/>
  <c r="BJ195" i="34" s="1"/>
  <c r="BH211" i="30"/>
  <c r="BJ211" i="30" s="1"/>
  <c r="BI205" i="27"/>
  <c r="BH173" i="27"/>
  <c r="BJ173" i="27" s="1"/>
  <c r="BI210" i="30"/>
  <c r="BQ184" i="27"/>
  <c r="BQ216" i="34"/>
  <c r="BH232" i="34"/>
  <c r="BJ232" i="34" s="1"/>
  <c r="BP221" i="34"/>
  <c r="BR221" i="34" s="1"/>
  <c r="BH165" i="30"/>
  <c r="BJ165" i="30" s="1"/>
  <c r="BH212" i="30"/>
  <c r="BJ212" i="30" s="1"/>
  <c r="BI109" i="34"/>
  <c r="BP112" i="34"/>
  <c r="BR112" i="34" s="1"/>
  <c r="BQ159" i="34"/>
  <c r="BH151" i="30"/>
  <c r="BJ151" i="30" s="1"/>
  <c r="BI238" i="30"/>
  <c r="BI248" i="27"/>
  <c r="BH206" i="27"/>
  <c r="BJ206" i="27" s="1"/>
  <c r="BI180" i="30"/>
  <c r="BP190" i="34"/>
  <c r="BR190" i="34" s="1"/>
  <c r="BP130" i="27"/>
  <c r="BR130" i="27" s="1"/>
  <c r="BP211" i="27"/>
  <c r="BR211" i="27" s="1"/>
  <c r="BH239" i="30"/>
  <c r="BJ239" i="30" s="1"/>
  <c r="BQ241" i="30"/>
  <c r="BP195" i="30"/>
  <c r="BR195" i="30" s="1"/>
  <c r="BH225" i="30"/>
  <c r="BJ225" i="30" s="1"/>
  <c r="BI150" i="30"/>
  <c r="BH108" i="34"/>
  <c r="BJ108" i="34" s="1"/>
  <c r="BQ244" i="27"/>
  <c r="BH242" i="34"/>
  <c r="BJ242" i="34" s="1"/>
  <c r="BQ249" i="34"/>
  <c r="BI231" i="27"/>
  <c r="BI228" i="34"/>
  <c r="BQ201" i="27"/>
  <c r="BP116" i="30"/>
  <c r="BR116" i="30" s="1"/>
  <c r="BI227" i="34"/>
  <c r="BI229" i="34"/>
  <c r="BH213" i="27"/>
  <c r="BJ213" i="27" s="1"/>
  <c r="BI230" i="34"/>
  <c r="BH180" i="27"/>
  <c r="BJ180" i="27" s="1"/>
  <c r="BI231" i="34"/>
  <c r="BP204" i="30"/>
  <c r="BR204" i="30" s="1"/>
  <c r="BP124" i="27"/>
  <c r="BR124" i="27" s="1"/>
  <c r="BH111" i="34"/>
  <c r="BJ111" i="34" s="1"/>
  <c r="BI161" i="27"/>
  <c r="BQ128" i="27"/>
  <c r="BQ107" i="30"/>
  <c r="BP238" i="34"/>
  <c r="BR238" i="34" s="1"/>
  <c r="BI221" i="27"/>
  <c r="BP134" i="34"/>
  <c r="BR134" i="34" s="1"/>
  <c r="BP130" i="34"/>
  <c r="BR130" i="34" s="1"/>
  <c r="BP131" i="34"/>
  <c r="BR131" i="34" s="1"/>
  <c r="BQ176" i="34"/>
  <c r="BQ167" i="30"/>
  <c r="BH171" i="34"/>
  <c r="BJ171" i="34" s="1"/>
  <c r="BI228" i="30"/>
  <c r="BI167" i="30"/>
  <c r="BI247" i="34"/>
  <c r="BQ226" i="30"/>
  <c r="BI241" i="30"/>
  <c r="BP161" i="34"/>
  <c r="BR161" i="34" s="1"/>
  <c r="BQ249" i="27"/>
  <c r="BI199" i="30"/>
  <c r="BI168" i="30"/>
  <c r="BH107" i="27"/>
  <c r="BJ107" i="27" s="1"/>
  <c r="BP168" i="30"/>
  <c r="BR168" i="30" s="1"/>
  <c r="BP180" i="30"/>
  <c r="BR180" i="30" s="1"/>
  <c r="BQ181" i="30"/>
  <c r="BH158" i="34"/>
  <c r="BJ158" i="34" s="1"/>
  <c r="BP207" i="34"/>
  <c r="BR207" i="34" s="1"/>
  <c r="BI188" i="34"/>
  <c r="BQ122" i="30"/>
  <c r="BI228" i="27"/>
  <c r="BI204" i="30"/>
  <c r="BP166" i="30"/>
  <c r="BR166" i="30" s="1"/>
  <c r="BQ121" i="30"/>
  <c r="BQ108" i="30"/>
  <c r="BI198" i="30"/>
  <c r="BP222" i="30"/>
  <c r="BR222" i="30" s="1"/>
  <c r="BQ167" i="34"/>
  <c r="BQ133" i="34"/>
  <c r="BH154" i="34"/>
  <c r="BJ154" i="34" s="1"/>
  <c r="BH189" i="34"/>
  <c r="BJ189" i="34" s="1"/>
  <c r="BQ200" i="27"/>
  <c r="BP243" i="30"/>
  <c r="BR243" i="30" s="1"/>
  <c r="BQ132" i="34"/>
  <c r="BP111" i="27"/>
  <c r="BR111" i="27" s="1"/>
  <c r="BI188" i="27"/>
  <c r="BP126" i="30"/>
  <c r="BR126" i="30" s="1"/>
  <c r="BP231" i="34"/>
  <c r="BR231" i="34" s="1"/>
  <c r="BI186" i="30"/>
  <c r="BQ208" i="27"/>
  <c r="BQ244" i="30"/>
  <c r="BP198" i="34"/>
  <c r="BR198" i="34" s="1"/>
  <c r="BP189" i="27"/>
  <c r="BR189" i="27" s="1"/>
  <c r="BP111" i="30"/>
  <c r="BR111" i="30" s="1"/>
  <c r="BH170" i="27"/>
  <c r="BJ170" i="27" s="1"/>
  <c r="BH110" i="30"/>
  <c r="BJ110" i="30" s="1"/>
  <c r="BP114" i="30"/>
  <c r="BR114" i="30" s="1"/>
  <c r="BI187" i="30"/>
  <c r="BI173" i="30"/>
  <c r="BH144" i="30"/>
  <c r="BJ144" i="30" s="1"/>
  <c r="BH220" i="30"/>
  <c r="BJ220" i="30" s="1"/>
  <c r="BI156" i="34"/>
  <c r="BH110" i="34"/>
  <c r="BJ110" i="34" s="1"/>
  <c r="BI238" i="34"/>
  <c r="BQ205" i="27"/>
  <c r="BP240" i="27"/>
  <c r="BR240" i="27" s="1"/>
  <c r="BP128" i="34"/>
  <c r="BR128" i="34" s="1"/>
  <c r="BP230" i="34"/>
  <c r="BR230" i="34" s="1"/>
  <c r="BI248" i="34"/>
  <c r="BQ228" i="34"/>
  <c r="BP211" i="30"/>
  <c r="BR211" i="30" s="1"/>
  <c r="BH107" i="30"/>
  <c r="BJ107" i="30" s="1"/>
  <c r="BQ158" i="30"/>
  <c r="BH207" i="34"/>
  <c r="BJ207" i="34" s="1"/>
  <c r="BH176" i="34"/>
  <c r="BJ176" i="34" s="1"/>
  <c r="BQ108" i="34"/>
  <c r="BQ127" i="30"/>
  <c r="BI230" i="27"/>
  <c r="BP247" i="34"/>
  <c r="BR247" i="34" s="1"/>
  <c r="BP226" i="34"/>
  <c r="BR226" i="34" s="1"/>
  <c r="AA101" i="38"/>
  <c r="E101" i="38" s="1"/>
  <c r="H101" i="38" s="1"/>
  <c r="AN107" i="30"/>
  <c r="AI101" i="38"/>
  <c r="F115" i="38" s="1"/>
  <c r="I115" i="38" s="1"/>
  <c r="AN104" i="30"/>
  <c r="L109" i="27"/>
  <c r="AA101" i="39"/>
  <c r="E101" i="39" s="1"/>
  <c r="H101" i="39" s="1"/>
  <c r="L107" i="27"/>
  <c r="L105" i="27"/>
  <c r="L106" i="30"/>
  <c r="D39" i="36"/>
  <c r="L108" i="30"/>
  <c r="F38" i="21"/>
  <c r="D39" i="21"/>
  <c r="F39" i="21" s="1"/>
  <c r="AI101" i="37"/>
  <c r="F115" i="37" s="1"/>
  <c r="I115" i="37" s="1"/>
  <c r="D32" i="34"/>
  <c r="D34" i="34" s="1"/>
  <c r="BB88" i="34" s="1"/>
  <c r="AQ101" i="38"/>
  <c r="G129" i="38" s="1"/>
  <c r="J129" i="38" s="1"/>
  <c r="BQ186" i="34"/>
  <c r="AN103" i="30"/>
  <c r="AO103" i="30" s="1"/>
  <c r="AP103" i="30" s="1"/>
  <c r="BP109" i="34"/>
  <c r="BR109" i="34" s="1"/>
  <c r="BP120" i="30"/>
  <c r="BR120" i="30" s="1"/>
  <c r="BH173" i="34"/>
  <c r="BJ173" i="34" s="1"/>
  <c r="BQ249" i="30"/>
  <c r="BH142" i="34"/>
  <c r="BJ142" i="34" s="1"/>
  <c r="BH177" i="34"/>
  <c r="BJ177" i="34" s="1"/>
  <c r="BH218" i="30"/>
  <c r="BJ218" i="30" s="1"/>
  <c r="BP246" i="34"/>
  <c r="BR246" i="34" s="1"/>
  <c r="BH233" i="30"/>
  <c r="BJ233" i="30" s="1"/>
  <c r="BH111" i="30"/>
  <c r="BJ111" i="30" s="1"/>
  <c r="BQ192" i="30"/>
  <c r="BH148" i="34"/>
  <c r="BJ148" i="34" s="1"/>
  <c r="BH250" i="34"/>
  <c r="BJ250" i="34" s="1"/>
  <c r="BQ125" i="34"/>
  <c r="BP221" i="30"/>
  <c r="BR221" i="30" s="1"/>
  <c r="BI159" i="30"/>
  <c r="BH151" i="34"/>
  <c r="BJ151" i="34" s="1"/>
  <c r="BH193" i="34"/>
  <c r="BJ193" i="34" s="1"/>
  <c r="BP191" i="30"/>
  <c r="BR191" i="30" s="1"/>
  <c r="BI192" i="27"/>
  <c r="BI192" i="34"/>
  <c r="BH162" i="34"/>
  <c r="BJ162" i="34" s="1"/>
  <c r="BP239" i="27"/>
  <c r="BR239" i="27" s="1"/>
  <c r="BP221" i="27"/>
  <c r="BR221" i="27" s="1"/>
  <c r="BQ172" i="34"/>
  <c r="BQ159" i="30"/>
  <c r="BI225" i="34"/>
  <c r="BH168" i="27"/>
  <c r="BJ168" i="27" s="1"/>
  <c r="BI206" i="30"/>
  <c r="BQ168" i="34"/>
  <c r="BH183" i="34"/>
  <c r="BJ183" i="34" s="1"/>
  <c r="BI188" i="30"/>
  <c r="BI184" i="34"/>
  <c r="BQ219" i="27"/>
  <c r="BQ111" i="34"/>
  <c r="BH181" i="34"/>
  <c r="BJ181" i="34" s="1"/>
  <c r="BQ179" i="27"/>
  <c r="BI191" i="30"/>
  <c r="BI200" i="27"/>
  <c r="BP224" i="30"/>
  <c r="BR224" i="30" s="1"/>
  <c r="BQ201" i="34"/>
  <c r="BQ217" i="34"/>
  <c r="BI193" i="30"/>
  <c r="BQ220" i="34"/>
  <c r="BI179" i="30"/>
  <c r="BH181" i="27"/>
  <c r="BJ181" i="27" s="1"/>
  <c r="BP180" i="27"/>
  <c r="BR180" i="27" s="1"/>
  <c r="BQ234" i="34"/>
  <c r="BQ212" i="27"/>
  <c r="BH178" i="34"/>
  <c r="BJ178" i="34" s="1"/>
  <c r="BH241" i="34"/>
  <c r="BJ241" i="34" s="1"/>
  <c r="BH164" i="34"/>
  <c r="BJ164" i="34" s="1"/>
  <c r="BH200" i="34"/>
  <c r="BJ200" i="34" s="1"/>
  <c r="BI216" i="27"/>
  <c r="BH197" i="34"/>
  <c r="BJ197" i="34" s="1"/>
  <c r="BP208" i="30"/>
  <c r="BR208" i="30" s="1"/>
  <c r="BI161" i="30"/>
  <c r="BP158" i="34"/>
  <c r="BR158" i="34" s="1"/>
  <c r="BI233" i="34"/>
  <c r="BH116" i="27"/>
  <c r="BJ116" i="27" s="1"/>
  <c r="BI199" i="34"/>
  <c r="BQ184" i="34"/>
  <c r="BP213" i="27"/>
  <c r="BR213" i="27" s="1"/>
  <c r="BP121" i="27"/>
  <c r="BR121" i="27" s="1"/>
  <c r="BH182" i="27"/>
  <c r="BJ182" i="27" s="1"/>
  <c r="BI108" i="30"/>
  <c r="BH178" i="30"/>
  <c r="BJ178" i="30" s="1"/>
  <c r="BP189" i="34"/>
  <c r="BR189" i="34" s="1"/>
  <c r="BQ110" i="30"/>
  <c r="BQ201" i="30"/>
  <c r="BQ203" i="30"/>
  <c r="BI160" i="34"/>
  <c r="BI248" i="30"/>
  <c r="BH246" i="30"/>
  <c r="BJ246" i="30" s="1"/>
  <c r="BQ157" i="30"/>
  <c r="BQ239" i="30"/>
  <c r="BP211" i="34"/>
  <c r="BR211" i="34" s="1"/>
  <c r="BP240" i="34"/>
  <c r="BR240" i="34" s="1"/>
  <c r="BI235" i="34"/>
  <c r="BI203" i="27"/>
  <c r="BI186" i="27"/>
  <c r="BI222" i="34"/>
  <c r="BH218" i="34"/>
  <c r="BJ218" i="34" s="1"/>
  <c r="BQ224" i="34"/>
  <c r="BQ118" i="27"/>
  <c r="BQ240" i="30"/>
  <c r="BQ173" i="30"/>
  <c r="BQ163" i="30"/>
  <c r="BP172" i="30"/>
  <c r="BR172" i="30" s="1"/>
  <c r="BP178" i="30"/>
  <c r="BR178" i="30" s="1"/>
  <c r="BI207" i="30"/>
  <c r="BH192" i="30"/>
  <c r="BJ192" i="30" s="1"/>
  <c r="BQ194" i="34"/>
  <c r="BQ210" i="34"/>
  <c r="BP209" i="34"/>
  <c r="BR209" i="34" s="1"/>
  <c r="BI219" i="34"/>
  <c r="BP213" i="34"/>
  <c r="BR213" i="34" s="1"/>
  <c r="BP195" i="34"/>
  <c r="BR195" i="34" s="1"/>
  <c r="BI223" i="27"/>
  <c r="BQ125" i="27"/>
  <c r="BH185" i="30"/>
  <c r="BJ185" i="30" s="1"/>
  <c r="BH237" i="34"/>
  <c r="BJ237" i="34" s="1"/>
  <c r="BQ228" i="30"/>
  <c r="BQ245" i="30"/>
  <c r="BP209" i="30"/>
  <c r="BR209" i="30" s="1"/>
  <c r="BP248" i="30"/>
  <c r="BR248" i="30" s="1"/>
  <c r="BH206" i="34"/>
  <c r="BJ206" i="34" s="1"/>
  <c r="BH210" i="34"/>
  <c r="BJ210" i="34" s="1"/>
  <c r="BP229" i="34"/>
  <c r="BR229" i="34" s="1"/>
  <c r="BQ107" i="34"/>
  <c r="BH198" i="34"/>
  <c r="BJ198" i="34" s="1"/>
  <c r="BQ197" i="34"/>
  <c r="BI226" i="27"/>
  <c r="BQ215" i="27"/>
  <c r="BP202" i="27"/>
  <c r="BR202" i="27" s="1"/>
  <c r="BH177" i="27"/>
  <c r="BJ177" i="27" s="1"/>
  <c r="BQ231" i="30"/>
  <c r="BQ247" i="30"/>
  <c r="BQ218" i="30"/>
  <c r="BP234" i="30"/>
  <c r="BR234" i="30" s="1"/>
  <c r="BQ125" i="30"/>
  <c r="BH202" i="34"/>
  <c r="BJ202" i="34" s="1"/>
  <c r="BI236" i="34"/>
  <c r="BP235" i="34"/>
  <c r="BR235" i="34" s="1"/>
  <c r="BI145" i="34"/>
  <c r="BH219" i="27"/>
  <c r="BJ219" i="27" s="1"/>
  <c r="BH235" i="27"/>
  <c r="BJ235" i="27" s="1"/>
  <c r="BH201" i="30"/>
  <c r="BJ201" i="30" s="1"/>
  <c r="BQ232" i="30"/>
  <c r="BP188" i="30"/>
  <c r="BR188" i="30" s="1"/>
  <c r="BP214" i="30"/>
  <c r="BR214" i="30" s="1"/>
  <c r="BP202" i="30"/>
  <c r="BR202" i="30" s="1"/>
  <c r="BH144" i="34"/>
  <c r="BJ144" i="34" s="1"/>
  <c r="BI234" i="34"/>
  <c r="BI191" i="34"/>
  <c r="BP212" i="34"/>
  <c r="BR212" i="34" s="1"/>
  <c r="BP235" i="27"/>
  <c r="BR235" i="27" s="1"/>
  <c r="BH216" i="30"/>
  <c r="BJ216" i="30" s="1"/>
  <c r="BQ248" i="27"/>
  <c r="BI247" i="30"/>
  <c r="BH202" i="30"/>
  <c r="BJ202" i="30" s="1"/>
  <c r="BQ216" i="30"/>
  <c r="BP215" i="30"/>
  <c r="BR215" i="30" s="1"/>
  <c r="BI235" i="30"/>
  <c r="BH217" i="30"/>
  <c r="BJ217" i="30" s="1"/>
  <c r="BI170" i="30"/>
  <c r="BP213" i="30"/>
  <c r="BR213" i="30" s="1"/>
  <c r="BH113" i="34"/>
  <c r="BJ113" i="34" s="1"/>
  <c r="BI174" i="27"/>
  <c r="BQ241" i="27"/>
  <c r="BP187" i="30"/>
  <c r="BR187" i="30" s="1"/>
  <c r="BQ217" i="30"/>
  <c r="BP233" i="30"/>
  <c r="BR233" i="30" s="1"/>
  <c r="BI175" i="34"/>
  <c r="BH209" i="27"/>
  <c r="BJ209" i="27" s="1"/>
  <c r="BP207" i="27"/>
  <c r="BR207" i="27" s="1"/>
  <c r="BH210" i="27"/>
  <c r="BJ210" i="27" s="1"/>
  <c r="BH148" i="30"/>
  <c r="BJ148" i="30" s="1"/>
  <c r="BQ225" i="34"/>
  <c r="BQ227" i="34"/>
  <c r="BP117" i="27"/>
  <c r="BR117" i="27" s="1"/>
  <c r="BI242" i="27"/>
  <c r="BP215" i="34"/>
  <c r="BR215" i="34" s="1"/>
  <c r="BQ230" i="30"/>
  <c r="BI221" i="30"/>
  <c r="BH196" i="34"/>
  <c r="BJ196" i="34" s="1"/>
  <c r="BQ196" i="34"/>
  <c r="BQ224" i="27"/>
  <c r="BQ191" i="27"/>
  <c r="BP222" i="27"/>
  <c r="BR222" i="27" s="1"/>
  <c r="L100" i="30"/>
  <c r="BP214" i="34"/>
  <c r="BR214" i="34" s="1"/>
  <c r="BQ241" i="34"/>
  <c r="BQ199" i="27"/>
  <c r="BP118" i="30"/>
  <c r="BR118" i="30" s="1"/>
  <c r="BP194" i="30"/>
  <c r="BR194" i="30" s="1"/>
  <c r="BH107" i="34"/>
  <c r="BJ107" i="34" s="1"/>
  <c r="BP113" i="34"/>
  <c r="BR113" i="34" s="1"/>
  <c r="BP206" i="34"/>
  <c r="BR206" i="34" s="1"/>
  <c r="BH240" i="30"/>
  <c r="BJ240" i="30" s="1"/>
  <c r="BI196" i="30"/>
  <c r="BI227" i="30"/>
  <c r="BH157" i="34"/>
  <c r="BJ157" i="34" s="1"/>
  <c r="BI195" i="30"/>
  <c r="BH181" i="30"/>
  <c r="BJ181" i="30" s="1"/>
  <c r="BP217" i="27"/>
  <c r="BR217" i="27" s="1"/>
  <c r="BQ232" i="34"/>
  <c r="BI243" i="34"/>
  <c r="BI246" i="34"/>
  <c r="BI196" i="27"/>
  <c r="BI222" i="30"/>
  <c r="BI245" i="34"/>
  <c r="BQ227" i="27"/>
  <c r="BH163" i="27"/>
  <c r="BJ163" i="27" s="1"/>
  <c r="BI223" i="30"/>
  <c r="BI108" i="27"/>
  <c r="BH164" i="30"/>
  <c r="BJ164" i="30" s="1"/>
  <c r="BH226" i="30"/>
  <c r="BJ226" i="30" s="1"/>
  <c r="BH209" i="30"/>
  <c r="BJ209" i="30" s="1"/>
  <c r="BQ237" i="34"/>
  <c r="BI208" i="30"/>
  <c r="BP175" i="34"/>
  <c r="BR175" i="34" s="1"/>
  <c r="BH244" i="34"/>
  <c r="BJ244" i="34" s="1"/>
  <c r="BI229" i="27"/>
  <c r="BQ225" i="30"/>
  <c r="BI149" i="30"/>
  <c r="BQ250" i="27"/>
  <c r="BI194" i="30"/>
  <c r="BI237" i="30"/>
  <c r="BP165" i="30"/>
  <c r="BR165" i="30" s="1"/>
  <c r="BH205" i="30"/>
  <c r="BJ205" i="30" s="1"/>
  <c r="BQ175" i="30"/>
  <c r="BP250" i="30"/>
  <c r="BR250" i="30" s="1"/>
  <c r="BH152" i="34"/>
  <c r="BJ152" i="34" s="1"/>
  <c r="BH161" i="34"/>
  <c r="BJ161" i="34" s="1"/>
  <c r="BH224" i="34"/>
  <c r="BJ224" i="34" s="1"/>
  <c r="BP230" i="27"/>
  <c r="BR230" i="27" s="1"/>
  <c r="BH225" i="27"/>
  <c r="BJ225" i="27" s="1"/>
  <c r="BH119" i="27"/>
  <c r="BJ119" i="27" s="1"/>
  <c r="BQ186" i="27"/>
  <c r="BP160" i="30"/>
  <c r="BR160" i="30" s="1"/>
  <c r="BH176" i="30"/>
  <c r="BJ176" i="30" s="1"/>
  <c r="BQ235" i="30"/>
  <c r="BH162" i="30"/>
  <c r="BJ162" i="30" s="1"/>
  <c r="BP174" i="30"/>
  <c r="BR174" i="30" s="1"/>
  <c r="BP223" i="30"/>
  <c r="BR223" i="30" s="1"/>
  <c r="BQ173" i="34"/>
  <c r="BI158" i="30"/>
  <c r="BQ204" i="34"/>
  <c r="BQ169" i="34"/>
  <c r="BI194" i="34"/>
  <c r="BI150" i="34"/>
  <c r="BQ242" i="34"/>
  <c r="BI175" i="27"/>
  <c r="BH224" i="27"/>
  <c r="BJ224" i="27" s="1"/>
  <c r="BQ162" i="30"/>
  <c r="BP220" i="30"/>
  <c r="BR220" i="30" s="1"/>
  <c r="BI250" i="30"/>
  <c r="BH219" i="30"/>
  <c r="BJ219" i="30" s="1"/>
  <c r="BQ189" i="30"/>
  <c r="BH180" i="34"/>
  <c r="BJ180" i="34" s="1"/>
  <c r="BH223" i="34"/>
  <c r="BJ223" i="34" s="1"/>
  <c r="BP122" i="34"/>
  <c r="BR122" i="34" s="1"/>
  <c r="BQ187" i="34"/>
  <c r="BQ244" i="34"/>
  <c r="BQ187" i="27"/>
  <c r="BH155" i="30"/>
  <c r="BJ155" i="30" s="1"/>
  <c r="BQ243" i="34"/>
  <c r="BQ219" i="34"/>
  <c r="BQ124" i="34"/>
  <c r="BQ123" i="34"/>
  <c r="BQ133" i="27"/>
  <c r="BH190" i="30"/>
  <c r="BJ190" i="30" s="1"/>
  <c r="BP197" i="30"/>
  <c r="BR197" i="30" s="1"/>
  <c r="BQ206" i="30"/>
  <c r="BQ193" i="30"/>
  <c r="BI182" i="34"/>
  <c r="BI153" i="34"/>
  <c r="BI201" i="27"/>
  <c r="BH183" i="27"/>
  <c r="BJ183" i="27" s="1"/>
  <c r="BQ220" i="27"/>
  <c r="BH163" i="30"/>
  <c r="BJ163" i="30" s="1"/>
  <c r="BH179" i="34"/>
  <c r="BJ179" i="34" s="1"/>
  <c r="BH217" i="34"/>
  <c r="BJ217" i="34" s="1"/>
  <c r="BI185" i="34"/>
  <c r="BQ245" i="34"/>
  <c r="BH109" i="30"/>
  <c r="BJ109" i="30" s="1"/>
  <c r="BH114" i="34"/>
  <c r="BJ114" i="34" s="1"/>
  <c r="BP197" i="27"/>
  <c r="BR197" i="27" s="1"/>
  <c r="BQ218" i="34"/>
  <c r="BI149" i="34"/>
  <c r="BI147" i="34"/>
  <c r="BI233" i="27"/>
  <c r="BQ131" i="27"/>
  <c r="BP238" i="30"/>
  <c r="BR238" i="30" s="1"/>
  <c r="BP113" i="30"/>
  <c r="BR113" i="30" s="1"/>
  <c r="BP126" i="34"/>
  <c r="BR126" i="34" s="1"/>
  <c r="BI239" i="34"/>
  <c r="BP207" i="30"/>
  <c r="BR207" i="30" s="1"/>
  <c r="BI189" i="30"/>
  <c r="BP177" i="30"/>
  <c r="BR177" i="30" s="1"/>
  <c r="BI174" i="30"/>
  <c r="BH146" i="30"/>
  <c r="BJ146" i="30" s="1"/>
  <c r="BQ120" i="34"/>
  <c r="BI165" i="34"/>
  <c r="BH167" i="27"/>
  <c r="BJ167" i="27" s="1"/>
  <c r="BP115" i="30"/>
  <c r="BR115" i="30" s="1"/>
  <c r="BI201" i="34"/>
  <c r="BH209" i="34"/>
  <c r="BJ209" i="34" s="1"/>
  <c r="BI167" i="34"/>
  <c r="BH240" i="34"/>
  <c r="BJ240" i="34" s="1"/>
  <c r="BP246" i="27"/>
  <c r="BR246" i="27" s="1"/>
  <c r="BQ236" i="27"/>
  <c r="BQ237" i="30"/>
  <c r="BP157" i="34"/>
  <c r="BR157" i="34" s="1"/>
  <c r="BI166" i="34"/>
  <c r="BQ203" i="34"/>
  <c r="BI163" i="34"/>
  <c r="BI240" i="27"/>
  <c r="BP188" i="34"/>
  <c r="BR188" i="34" s="1"/>
  <c r="BI168" i="34"/>
  <c r="BI175" i="30"/>
  <c r="BQ110" i="34"/>
  <c r="BI217" i="27"/>
  <c r="BI117" i="27"/>
  <c r="L105" i="30"/>
  <c r="BI160" i="30"/>
  <c r="BI147" i="30"/>
  <c r="BH172" i="30"/>
  <c r="BJ172" i="30" s="1"/>
  <c r="BQ185" i="34"/>
  <c r="BP202" i="34"/>
  <c r="BR202" i="34" s="1"/>
  <c r="BH155" i="34"/>
  <c r="BJ155" i="34" s="1"/>
  <c r="BQ129" i="27"/>
  <c r="BQ227" i="30"/>
  <c r="BP119" i="30"/>
  <c r="BR119" i="30" s="1"/>
  <c r="BQ222" i="34"/>
  <c r="BH172" i="34"/>
  <c r="BJ172" i="34" s="1"/>
  <c r="BI112" i="34"/>
  <c r="BI238" i="27"/>
  <c r="BQ164" i="30"/>
  <c r="BP242" i="30"/>
  <c r="BR242" i="30" s="1"/>
  <c r="BI190" i="34"/>
  <c r="BH245" i="27"/>
  <c r="BJ245" i="27" s="1"/>
  <c r="BQ116" i="34"/>
  <c r="BP117" i="34"/>
  <c r="BR117" i="34" s="1"/>
  <c r="BP160" i="34"/>
  <c r="BR160" i="34" s="1"/>
  <c r="BH156" i="30"/>
  <c r="BJ156" i="30" s="1"/>
  <c r="BP114" i="34"/>
  <c r="BR114" i="34" s="1"/>
  <c r="BP118" i="34"/>
  <c r="BR118" i="34" s="1"/>
  <c r="BH179" i="27"/>
  <c r="BJ179" i="27" s="1"/>
  <c r="BH246" i="27"/>
  <c r="BJ246" i="27" s="1"/>
  <c r="BH152" i="30"/>
  <c r="BJ152" i="30" s="1"/>
  <c r="BP171" i="30"/>
  <c r="BR171" i="30" s="1"/>
  <c r="BH197" i="30"/>
  <c r="BJ197" i="30" s="1"/>
  <c r="BI183" i="30"/>
  <c r="BP117" i="30"/>
  <c r="BR117" i="30" s="1"/>
  <c r="BQ185" i="30"/>
  <c r="BQ129" i="34"/>
  <c r="BH230" i="30"/>
  <c r="BJ230" i="30" s="1"/>
  <c r="BH182" i="30"/>
  <c r="BJ182" i="30" s="1"/>
  <c r="BQ115" i="34"/>
  <c r="BI231" i="30"/>
  <c r="BI242" i="30"/>
  <c r="BI243" i="30"/>
  <c r="BP248" i="34"/>
  <c r="BR248" i="34" s="1"/>
  <c r="BP191" i="34"/>
  <c r="BR191" i="34" s="1"/>
  <c r="BQ181" i="34"/>
  <c r="BH172" i="27"/>
  <c r="BJ172" i="27" s="1"/>
  <c r="BP186" i="30"/>
  <c r="BR186" i="30" s="1"/>
  <c r="BP119" i="34"/>
  <c r="BR119" i="34" s="1"/>
  <c r="BI220" i="34"/>
  <c r="BH211" i="34"/>
  <c r="BJ211" i="34" s="1"/>
  <c r="BQ195" i="27"/>
  <c r="BI215" i="27"/>
  <c r="BH213" i="34"/>
  <c r="BJ213" i="34" s="1"/>
  <c r="BP233" i="34"/>
  <c r="BR233" i="34" s="1"/>
  <c r="BQ127" i="34"/>
  <c r="BH198" i="27"/>
  <c r="BJ198" i="27" s="1"/>
  <c r="BP200" i="34"/>
  <c r="BR200" i="34" s="1"/>
  <c r="BH216" i="34"/>
  <c r="BJ216" i="34" s="1"/>
  <c r="BP250" i="34"/>
  <c r="BR250" i="34" s="1"/>
  <c r="BQ236" i="34"/>
  <c r="BI190" i="27"/>
  <c r="BI164" i="27"/>
  <c r="BQ205" i="34"/>
  <c r="BH212" i="34"/>
  <c r="BJ212" i="34" s="1"/>
  <c r="BQ174" i="34"/>
  <c r="BP228" i="27"/>
  <c r="BR228" i="27" s="1"/>
  <c r="BP185" i="27"/>
  <c r="BR185" i="27" s="1"/>
  <c r="BH214" i="34"/>
  <c r="BJ214" i="34" s="1"/>
  <c r="BH249" i="34"/>
  <c r="BJ249" i="34" s="1"/>
  <c r="BH226" i="34"/>
  <c r="BJ226" i="34" s="1"/>
  <c r="BI215" i="34"/>
  <c r="BP208" i="34"/>
  <c r="BR208" i="34" s="1"/>
  <c r="BP209" i="27"/>
  <c r="BR209" i="27" s="1"/>
  <c r="BH194" i="27"/>
  <c r="BJ194" i="27" s="1"/>
  <c r="BP182" i="34"/>
  <c r="BR182" i="34" s="1"/>
  <c r="BP179" i="34"/>
  <c r="BR179" i="34" s="1"/>
  <c r="BH159" i="34"/>
  <c r="BJ159" i="34" s="1"/>
  <c r="BH186" i="34"/>
  <c r="BJ186" i="34" s="1"/>
  <c r="BQ193" i="34"/>
  <c r="BH221" i="34"/>
  <c r="BJ221" i="34" s="1"/>
  <c r="BQ242" i="27"/>
  <c r="BP178" i="34"/>
  <c r="BR178" i="34" s="1"/>
  <c r="BP180" i="34"/>
  <c r="BR180" i="34" s="1"/>
  <c r="BQ183" i="27"/>
  <c r="BI203" i="34"/>
  <c r="BP239" i="34"/>
  <c r="BR239" i="34" s="1"/>
  <c r="BI112" i="30"/>
  <c r="BI117" i="34"/>
  <c r="BH118" i="34"/>
  <c r="BJ118" i="34" s="1"/>
  <c r="BI146" i="34"/>
  <c r="BH119" i="34"/>
  <c r="BJ119" i="34" s="1"/>
  <c r="BH116" i="34"/>
  <c r="BJ116" i="34" s="1"/>
  <c r="BI234" i="27"/>
  <c r="BQ237" i="27"/>
  <c r="BH113" i="30"/>
  <c r="BJ113" i="30" s="1"/>
  <c r="BQ236" i="30"/>
  <c r="BQ170" i="34"/>
  <c r="BI208" i="34"/>
  <c r="BP190" i="30"/>
  <c r="BR190" i="30" s="1"/>
  <c r="BH142" i="30"/>
  <c r="BJ142" i="30" s="1"/>
  <c r="BP121" i="34"/>
  <c r="BR121" i="34" s="1"/>
  <c r="BI185" i="27"/>
  <c r="BQ156" i="34"/>
  <c r="BH169" i="34"/>
  <c r="BJ169" i="34" s="1"/>
  <c r="BI115" i="34"/>
  <c r="BI249" i="30"/>
  <c r="BP171" i="34"/>
  <c r="BR171" i="34" s="1"/>
  <c r="BH120" i="34"/>
  <c r="BJ120" i="34" s="1"/>
  <c r="BI171" i="30"/>
  <c r="BP181" i="27"/>
  <c r="BR181" i="27" s="1"/>
  <c r="BQ176" i="30"/>
  <c r="BP214" i="27"/>
  <c r="BR214" i="27" s="1"/>
  <c r="BI143" i="30"/>
  <c r="BH157" i="30"/>
  <c r="BJ157" i="30" s="1"/>
  <c r="BQ205" i="30"/>
  <c r="BI234" i="30"/>
  <c r="BF211" i="34"/>
  <c r="BE211" i="34"/>
  <c r="BE164" i="34"/>
  <c r="BF164" i="34"/>
  <c r="BN212" i="34"/>
  <c r="BM212" i="34"/>
  <c r="BM149" i="34"/>
  <c r="BN149" i="34"/>
  <c r="BE247" i="34"/>
  <c r="BF247" i="34"/>
  <c r="BE184" i="34"/>
  <c r="BF184" i="34"/>
  <c r="BN216" i="34"/>
  <c r="BM216" i="34"/>
  <c r="BM153" i="34"/>
  <c r="BN153" i="34"/>
  <c r="BN106" i="34"/>
  <c r="BM106" i="34"/>
  <c r="BF204" i="34"/>
  <c r="BE204" i="34"/>
  <c r="BF173" i="34"/>
  <c r="BE173" i="34"/>
  <c r="BE142" i="34"/>
  <c r="BF142" i="34"/>
  <c r="BE111" i="34"/>
  <c r="BF111" i="34"/>
  <c r="BN222" i="34"/>
  <c r="BM222" i="34"/>
  <c r="BM191" i="34"/>
  <c r="BN191" i="34"/>
  <c r="BN160" i="34"/>
  <c r="BM160" i="34"/>
  <c r="L100" i="27"/>
  <c r="BM113" i="34"/>
  <c r="BN113" i="34"/>
  <c r="BE227" i="34"/>
  <c r="BF227" i="34"/>
  <c r="BF180" i="34"/>
  <c r="BE180" i="34"/>
  <c r="BN228" i="34"/>
  <c r="BM228" i="34"/>
  <c r="BN165" i="34"/>
  <c r="BM165" i="34"/>
  <c r="BM102" i="34"/>
  <c r="BN102" i="34"/>
  <c r="BE200" i="34"/>
  <c r="BF200" i="34"/>
  <c r="BF137" i="34"/>
  <c r="BE137" i="34"/>
  <c r="BM232" i="34"/>
  <c r="BN232" i="34"/>
  <c r="BM169" i="34"/>
  <c r="BN169" i="34"/>
  <c r="BM122" i="34"/>
  <c r="BN122" i="34"/>
  <c r="BF220" i="34"/>
  <c r="BE220" i="34"/>
  <c r="BF189" i="34"/>
  <c r="BE189" i="34"/>
  <c r="BE158" i="34"/>
  <c r="BF158" i="34"/>
  <c r="BM238" i="34"/>
  <c r="BN238" i="34"/>
  <c r="BN207" i="34"/>
  <c r="BM207" i="34"/>
  <c r="BM176" i="34"/>
  <c r="BN176" i="34"/>
  <c r="BF243" i="34"/>
  <c r="BE243" i="34"/>
  <c r="BF196" i="34"/>
  <c r="BE196" i="34"/>
  <c r="BF149" i="34"/>
  <c r="BE149" i="34"/>
  <c r="BM244" i="34"/>
  <c r="BN244" i="34"/>
  <c r="BM181" i="34"/>
  <c r="BN181" i="34"/>
  <c r="BM118" i="34"/>
  <c r="BN118" i="34"/>
  <c r="BE216" i="34"/>
  <c r="BF216" i="34"/>
  <c r="BE153" i="34"/>
  <c r="BF153" i="34"/>
  <c r="BN248" i="34"/>
  <c r="BM248" i="34"/>
  <c r="BM185" i="34"/>
  <c r="BN185" i="34"/>
  <c r="BE236" i="34"/>
  <c r="BF236" i="34"/>
  <c r="BF205" i="34"/>
  <c r="BE205" i="34"/>
  <c r="BE174" i="34"/>
  <c r="BF174" i="34"/>
  <c r="BF143" i="34"/>
  <c r="BE143" i="34"/>
  <c r="BE112" i="34"/>
  <c r="BF112" i="34"/>
  <c r="BN223" i="34"/>
  <c r="BM223" i="34"/>
  <c r="BN192" i="34"/>
  <c r="BM192" i="34"/>
  <c r="BN114" i="34"/>
  <c r="BM114" i="34"/>
  <c r="BE212" i="34"/>
  <c r="BF212" i="34"/>
  <c r="BE165" i="34"/>
  <c r="BF165" i="34"/>
  <c r="BF102" i="34"/>
  <c r="BE102" i="34"/>
  <c r="BM197" i="34"/>
  <c r="BN197" i="34"/>
  <c r="BF232" i="34"/>
  <c r="BE232" i="34"/>
  <c r="BE169" i="34"/>
  <c r="BF169" i="34"/>
  <c r="BF106" i="34"/>
  <c r="BE106" i="34"/>
  <c r="BN201" i="34"/>
  <c r="BM201" i="34"/>
  <c r="BM154" i="34"/>
  <c r="BN154" i="34"/>
  <c r="BN107" i="34"/>
  <c r="BM107" i="34"/>
  <c r="BE221" i="34"/>
  <c r="BF221" i="34"/>
  <c r="BF190" i="34"/>
  <c r="BE190" i="34"/>
  <c r="BF159" i="34"/>
  <c r="BE159" i="34"/>
  <c r="BN239" i="34"/>
  <c r="BM239" i="34"/>
  <c r="BM208" i="34"/>
  <c r="BN208" i="34"/>
  <c r="AO104" i="34"/>
  <c r="AP104" i="34" s="1"/>
  <c r="BM161" i="34"/>
  <c r="BN161" i="34"/>
  <c r="BF228" i="34"/>
  <c r="BE228" i="34"/>
  <c r="BF181" i="34"/>
  <c r="BE181" i="34"/>
  <c r="BN213" i="34"/>
  <c r="BM213" i="34"/>
  <c r="BM150" i="34"/>
  <c r="BN150" i="34"/>
  <c r="BF248" i="34"/>
  <c r="BE248" i="34"/>
  <c r="BF185" i="34"/>
  <c r="BE185" i="34"/>
  <c r="BM217" i="34"/>
  <c r="BN217" i="34"/>
  <c r="BM170" i="34"/>
  <c r="BN170" i="34"/>
  <c r="BM123" i="34"/>
  <c r="BN123" i="34"/>
  <c r="BE237" i="34"/>
  <c r="BF237" i="34"/>
  <c r="BF206" i="34"/>
  <c r="BE206" i="34"/>
  <c r="BE175" i="34"/>
  <c r="BF175" i="34"/>
  <c r="BE144" i="34"/>
  <c r="BF144" i="34"/>
  <c r="BE113" i="34"/>
  <c r="BF113" i="34"/>
  <c r="BN224" i="34"/>
  <c r="BM224" i="34"/>
  <c r="BM177" i="34"/>
  <c r="BN177" i="34"/>
  <c r="BF244" i="34"/>
  <c r="BE244" i="34"/>
  <c r="BE197" i="34"/>
  <c r="BF197" i="34"/>
  <c r="BN229" i="34"/>
  <c r="BM229" i="34"/>
  <c r="BM166" i="34"/>
  <c r="BN166" i="34"/>
  <c r="BN103" i="34"/>
  <c r="BM103" i="34"/>
  <c r="BE201" i="34"/>
  <c r="BF201" i="34"/>
  <c r="BE138" i="34"/>
  <c r="BF138" i="34"/>
  <c r="BN233" i="34"/>
  <c r="BM233" i="34"/>
  <c r="BN186" i="34"/>
  <c r="BM186" i="34"/>
  <c r="BN108" i="34"/>
  <c r="BM108" i="34"/>
  <c r="BF222" i="34"/>
  <c r="BE222" i="34"/>
  <c r="BF191" i="34"/>
  <c r="BE191" i="34"/>
  <c r="BF160" i="34"/>
  <c r="BE160" i="34"/>
  <c r="BM240" i="34"/>
  <c r="BN240" i="34"/>
  <c r="BM193" i="34"/>
  <c r="BN193" i="34"/>
  <c r="BN162" i="34"/>
  <c r="BM162" i="34"/>
  <c r="BM115" i="34"/>
  <c r="BN115" i="34"/>
  <c r="BE213" i="34"/>
  <c r="BF213" i="34"/>
  <c r="BE150" i="34"/>
  <c r="BF150" i="34"/>
  <c r="BM245" i="34"/>
  <c r="BN245" i="34"/>
  <c r="BM182" i="34"/>
  <c r="BN182" i="34"/>
  <c r="BM119" i="34"/>
  <c r="BN119" i="34"/>
  <c r="BE217" i="34"/>
  <c r="BF217" i="34"/>
  <c r="BF154" i="34"/>
  <c r="BE154" i="34"/>
  <c r="BM249" i="34"/>
  <c r="BN249" i="34"/>
  <c r="BM202" i="34"/>
  <c r="BN202" i="34"/>
  <c r="BN155" i="34"/>
  <c r="BM155" i="34"/>
  <c r="BM124" i="34"/>
  <c r="BN124" i="34"/>
  <c r="BF238" i="34"/>
  <c r="BE238" i="34"/>
  <c r="BF207" i="34"/>
  <c r="BE207" i="34"/>
  <c r="BE176" i="34"/>
  <c r="BF176" i="34"/>
  <c r="BF145" i="34"/>
  <c r="BE145" i="34"/>
  <c r="BM209" i="34"/>
  <c r="BN209" i="34"/>
  <c r="BN178" i="34"/>
  <c r="BM178" i="34"/>
  <c r="BF229" i="34"/>
  <c r="BE229" i="34"/>
  <c r="BE166" i="34"/>
  <c r="BF166" i="34"/>
  <c r="BF103" i="34"/>
  <c r="BE103" i="34"/>
  <c r="BM198" i="34"/>
  <c r="BN198" i="34"/>
  <c r="BF233" i="34"/>
  <c r="BE233" i="34"/>
  <c r="BF170" i="34"/>
  <c r="BE170" i="34"/>
  <c r="BF107" i="34"/>
  <c r="BE107" i="34"/>
  <c r="BN218" i="34"/>
  <c r="BM218" i="34"/>
  <c r="BN171" i="34"/>
  <c r="BM171" i="34"/>
  <c r="BN109" i="34"/>
  <c r="BM109" i="34"/>
  <c r="BE223" i="34"/>
  <c r="BF223" i="34"/>
  <c r="BF192" i="34"/>
  <c r="BE192" i="34"/>
  <c r="BF161" i="34"/>
  <c r="BE161" i="34"/>
  <c r="BM225" i="34"/>
  <c r="BN225" i="34"/>
  <c r="BN194" i="34"/>
  <c r="BM194" i="34"/>
  <c r="BF245" i="34"/>
  <c r="BE245" i="34"/>
  <c r="BF182" i="34"/>
  <c r="BE182" i="34"/>
  <c r="BN214" i="34"/>
  <c r="BM214" i="34"/>
  <c r="BM151" i="34"/>
  <c r="BN151" i="34"/>
  <c r="BF249" i="34"/>
  <c r="BE249" i="34"/>
  <c r="BE186" i="34"/>
  <c r="BF186" i="34"/>
  <c r="BM234" i="34"/>
  <c r="BN234" i="34"/>
  <c r="BN187" i="34"/>
  <c r="BM187" i="34"/>
  <c r="BM156" i="34"/>
  <c r="BN156" i="34"/>
  <c r="BM125" i="34"/>
  <c r="BN125" i="34"/>
  <c r="BF239" i="34"/>
  <c r="BE239" i="34"/>
  <c r="BF208" i="34"/>
  <c r="BE208" i="34"/>
  <c r="BE177" i="34"/>
  <c r="BF177" i="34"/>
  <c r="BF146" i="34"/>
  <c r="BE146" i="34"/>
  <c r="BM241" i="34"/>
  <c r="BN241" i="34"/>
  <c r="BM210" i="34"/>
  <c r="BN210" i="34"/>
  <c r="BN163" i="34"/>
  <c r="BM163" i="34"/>
  <c r="BM100" i="34"/>
  <c r="BN100" i="34"/>
  <c r="BE198" i="34"/>
  <c r="BF198" i="34"/>
  <c r="BE135" i="34"/>
  <c r="BF135" i="34"/>
  <c r="BN230" i="34"/>
  <c r="BM230" i="34"/>
  <c r="BN167" i="34"/>
  <c r="BM167" i="34"/>
  <c r="BN104" i="34"/>
  <c r="BM104" i="34"/>
  <c r="BE202" i="34"/>
  <c r="BF202" i="34"/>
  <c r="BE139" i="34"/>
  <c r="BF139" i="34"/>
  <c r="BM250" i="34"/>
  <c r="BN250" i="34"/>
  <c r="BN203" i="34"/>
  <c r="BM203" i="34"/>
  <c r="BN172" i="34"/>
  <c r="BM172" i="34"/>
  <c r="BM110" i="34"/>
  <c r="BN110" i="34"/>
  <c r="BF224" i="34"/>
  <c r="BE224" i="34"/>
  <c r="BE193" i="34"/>
  <c r="BF193" i="34"/>
  <c r="BE162" i="34"/>
  <c r="BF162" i="34"/>
  <c r="BM226" i="34"/>
  <c r="BN226" i="34"/>
  <c r="BM179" i="34"/>
  <c r="BN179" i="34"/>
  <c r="BN116" i="34"/>
  <c r="BM116" i="34"/>
  <c r="BE214" i="34"/>
  <c r="BF214" i="34"/>
  <c r="BF151" i="34"/>
  <c r="BE151" i="34"/>
  <c r="BM246" i="34"/>
  <c r="BN246" i="34"/>
  <c r="BN183" i="34"/>
  <c r="BM183" i="34"/>
  <c r="BN120" i="34"/>
  <c r="BM120" i="34"/>
  <c r="BF218" i="34"/>
  <c r="BE218" i="34"/>
  <c r="BE155" i="34"/>
  <c r="BF155" i="34"/>
  <c r="BE108" i="34"/>
  <c r="BF108" i="34"/>
  <c r="BM219" i="34"/>
  <c r="BN219" i="34"/>
  <c r="BN188" i="34"/>
  <c r="BM188" i="34"/>
  <c r="BN157" i="34"/>
  <c r="BM157" i="34"/>
  <c r="BN126" i="34"/>
  <c r="BM126" i="34"/>
  <c r="BE240" i="34"/>
  <c r="BF240" i="34"/>
  <c r="BF209" i="34"/>
  <c r="BE209" i="34"/>
  <c r="BF178" i="34"/>
  <c r="BE178" i="34"/>
  <c r="BN242" i="34"/>
  <c r="BM242" i="34"/>
  <c r="BM195" i="34"/>
  <c r="BN195" i="34"/>
  <c r="BE230" i="34"/>
  <c r="BF230" i="34"/>
  <c r="BF167" i="34"/>
  <c r="BE167" i="34"/>
  <c r="BF104" i="34"/>
  <c r="BE104" i="34"/>
  <c r="BM199" i="34"/>
  <c r="BN199" i="34"/>
  <c r="BF234" i="34"/>
  <c r="BE234" i="34"/>
  <c r="BE171" i="34"/>
  <c r="BF171" i="34"/>
  <c r="BM235" i="34"/>
  <c r="BN235" i="34"/>
  <c r="BN204" i="34"/>
  <c r="BM204" i="34"/>
  <c r="BN173" i="34"/>
  <c r="BM173" i="34"/>
  <c r="BN111" i="34"/>
  <c r="BM111" i="34"/>
  <c r="BE225" i="34"/>
  <c r="BF225" i="34"/>
  <c r="BF194" i="34"/>
  <c r="BE194" i="34"/>
  <c r="AR101" i="40"/>
  <c r="BF147" i="34"/>
  <c r="BE147" i="34"/>
  <c r="BF100" i="34"/>
  <c r="BE100" i="34"/>
  <c r="BN211" i="34"/>
  <c r="BM211" i="34"/>
  <c r="BF246" i="34"/>
  <c r="BE246" i="34"/>
  <c r="BF183" i="34"/>
  <c r="BE183" i="34"/>
  <c r="BN215" i="34"/>
  <c r="BM215" i="34"/>
  <c r="BM152" i="34"/>
  <c r="BN152" i="34"/>
  <c r="BF250" i="34"/>
  <c r="BE250" i="34"/>
  <c r="BF187" i="34"/>
  <c r="BE187" i="34"/>
  <c r="BE140" i="34"/>
  <c r="BF140" i="34"/>
  <c r="BE109" i="34"/>
  <c r="BF109" i="34"/>
  <c r="BN220" i="34"/>
  <c r="BM220" i="34"/>
  <c r="BM189" i="34"/>
  <c r="BN189" i="34"/>
  <c r="BM158" i="34"/>
  <c r="BN158" i="34"/>
  <c r="BM127" i="34"/>
  <c r="BN127" i="34"/>
  <c r="BE241" i="34"/>
  <c r="BF241" i="34"/>
  <c r="BE210" i="34"/>
  <c r="BF210" i="34"/>
  <c r="BE163" i="34"/>
  <c r="BF163" i="34"/>
  <c r="BN227" i="34"/>
  <c r="BM227" i="34"/>
  <c r="BM164" i="34"/>
  <c r="BN164" i="34"/>
  <c r="BN101" i="34"/>
  <c r="BM101" i="34"/>
  <c r="BF199" i="34"/>
  <c r="BE199" i="34"/>
  <c r="BE136" i="34"/>
  <c r="BF136" i="34"/>
  <c r="BN231" i="34"/>
  <c r="BM231" i="34"/>
  <c r="BM168" i="34"/>
  <c r="BN168" i="34"/>
  <c r="BM105" i="34"/>
  <c r="BN105" i="34"/>
  <c r="BF203" i="34"/>
  <c r="BE203" i="34"/>
  <c r="BF156" i="34"/>
  <c r="BE156" i="34"/>
  <c r="BM236" i="34"/>
  <c r="BN236" i="34"/>
  <c r="BN205" i="34"/>
  <c r="BM205" i="34"/>
  <c r="BM174" i="34"/>
  <c r="BN174" i="34"/>
  <c r="BN112" i="34"/>
  <c r="BM112" i="34"/>
  <c r="BF226" i="34"/>
  <c r="BE226" i="34"/>
  <c r="AF100" i="34"/>
  <c r="AG100" i="34" s="1"/>
  <c r="AH100" i="34" s="1"/>
  <c r="BE179" i="34"/>
  <c r="BF179" i="34"/>
  <c r="BN243" i="34"/>
  <c r="BM243" i="34"/>
  <c r="BN180" i="34"/>
  <c r="BM180" i="34"/>
  <c r="BM117" i="34"/>
  <c r="BN117" i="34"/>
  <c r="BF215" i="34"/>
  <c r="BE215" i="34"/>
  <c r="BE152" i="34"/>
  <c r="BF152" i="34"/>
  <c r="BM247" i="34"/>
  <c r="BN247" i="34"/>
  <c r="BN184" i="34"/>
  <c r="BM184" i="34"/>
  <c r="BM121" i="34"/>
  <c r="BN121" i="34"/>
  <c r="BF219" i="34"/>
  <c r="BE219" i="34"/>
  <c r="BF172" i="34"/>
  <c r="BE172" i="34"/>
  <c r="BF141" i="34"/>
  <c r="BE141" i="34"/>
  <c r="BF110" i="34"/>
  <c r="BE110" i="34"/>
  <c r="BN221" i="34"/>
  <c r="BM221" i="34"/>
  <c r="BM190" i="34"/>
  <c r="BN190" i="34"/>
  <c r="BN159" i="34"/>
  <c r="BM159" i="34"/>
  <c r="BF242" i="34"/>
  <c r="BE242" i="34"/>
  <c r="BF195" i="34"/>
  <c r="BE195" i="34"/>
  <c r="BF148" i="34"/>
  <c r="BE148" i="34"/>
  <c r="BE101" i="34"/>
  <c r="BF101" i="34"/>
  <c r="BN196" i="34"/>
  <c r="BM196" i="34"/>
  <c r="BF231" i="34"/>
  <c r="BE231" i="34"/>
  <c r="BE168" i="34"/>
  <c r="BF168" i="34"/>
  <c r="BE105" i="34"/>
  <c r="BF105" i="34"/>
  <c r="BM200" i="34"/>
  <c r="BN200" i="34"/>
  <c r="BF235" i="34"/>
  <c r="BE235" i="34"/>
  <c r="BF188" i="34"/>
  <c r="BE188" i="34"/>
  <c r="BE157" i="34"/>
  <c r="BF157" i="34"/>
  <c r="BN237" i="34"/>
  <c r="BM237" i="34"/>
  <c r="BM206" i="34"/>
  <c r="BN206" i="34"/>
  <c r="BM175" i="34"/>
  <c r="BN175" i="34"/>
  <c r="BQ156" i="30"/>
  <c r="BI169" i="30"/>
  <c r="BQ198" i="30"/>
  <c r="BH200" i="30"/>
  <c r="BJ200" i="30" s="1"/>
  <c r="BP200" i="30"/>
  <c r="BR200" i="30" s="1"/>
  <c r="BP212" i="30"/>
  <c r="BR212" i="30" s="1"/>
  <c r="BI154" i="30"/>
  <c r="BH245" i="30"/>
  <c r="BJ245" i="30" s="1"/>
  <c r="BE225" i="30"/>
  <c r="BF225" i="30"/>
  <c r="BE146" i="30"/>
  <c r="BF146" i="30"/>
  <c r="BM172" i="30"/>
  <c r="BN172" i="30"/>
  <c r="BE196" i="30"/>
  <c r="BF196" i="30"/>
  <c r="BN239" i="30"/>
  <c r="BM239" i="30"/>
  <c r="BQ199" i="30"/>
  <c r="BM153" i="30"/>
  <c r="BN153" i="30"/>
  <c r="BE241" i="30"/>
  <c r="BF241" i="30"/>
  <c r="BF162" i="30"/>
  <c r="BE162" i="30"/>
  <c r="BF197" i="30"/>
  <c r="BE197" i="30"/>
  <c r="BN188" i="30"/>
  <c r="BM188" i="30"/>
  <c r="BF212" i="30"/>
  <c r="BE212" i="30"/>
  <c r="BE150" i="30"/>
  <c r="BF150" i="30"/>
  <c r="BF103" i="30"/>
  <c r="BE103" i="30"/>
  <c r="BN208" i="30"/>
  <c r="BM208" i="30"/>
  <c r="BN161" i="30"/>
  <c r="BM161" i="30"/>
  <c r="BF233" i="30"/>
  <c r="BE233" i="30"/>
  <c r="BE186" i="30"/>
  <c r="BF186" i="30"/>
  <c r="BN228" i="30"/>
  <c r="BM228" i="30"/>
  <c r="BN181" i="30"/>
  <c r="BM181" i="30"/>
  <c r="BM118" i="30"/>
  <c r="BN118" i="30"/>
  <c r="BF222" i="30"/>
  <c r="BE222" i="30"/>
  <c r="BE175" i="30"/>
  <c r="BF175" i="30"/>
  <c r="BE217" i="30"/>
  <c r="BF217" i="30"/>
  <c r="BI153" i="30"/>
  <c r="BH153" i="30"/>
  <c r="BJ153" i="30" s="1"/>
  <c r="BI224" i="30"/>
  <c r="BF101" i="30"/>
  <c r="BE101" i="30"/>
  <c r="BM169" i="30"/>
  <c r="BN169" i="30"/>
  <c r="BN106" i="30"/>
  <c r="BM106" i="30"/>
  <c r="BF178" i="30"/>
  <c r="BE178" i="30"/>
  <c r="BN222" i="30"/>
  <c r="BM222" i="30"/>
  <c r="BM204" i="30"/>
  <c r="BN204" i="30"/>
  <c r="BE228" i="30"/>
  <c r="BF228" i="30"/>
  <c r="BE166" i="30"/>
  <c r="BF166" i="30"/>
  <c r="BM224" i="30"/>
  <c r="BN224" i="30"/>
  <c r="BN177" i="30"/>
  <c r="BM177" i="30"/>
  <c r="BF249" i="30"/>
  <c r="BE249" i="30"/>
  <c r="BE202" i="30"/>
  <c r="BF202" i="30"/>
  <c r="BF139" i="30"/>
  <c r="BE139" i="30"/>
  <c r="BM244" i="30"/>
  <c r="BN244" i="30"/>
  <c r="BN197" i="30"/>
  <c r="BM197" i="30"/>
  <c r="BE238" i="30"/>
  <c r="BF238" i="30"/>
  <c r="BF191" i="30"/>
  <c r="BE191" i="30"/>
  <c r="BF159" i="30"/>
  <c r="BE159" i="30"/>
  <c r="BH166" i="30"/>
  <c r="BJ166" i="30" s="1"/>
  <c r="BE181" i="30"/>
  <c r="BF181" i="30"/>
  <c r="BM185" i="30"/>
  <c r="BN185" i="30"/>
  <c r="BM122" i="30"/>
  <c r="BN122" i="30"/>
  <c r="BE194" i="30"/>
  <c r="BF194" i="30"/>
  <c r="BN220" i="30"/>
  <c r="BM220" i="30"/>
  <c r="BF244" i="30"/>
  <c r="BE244" i="30"/>
  <c r="BF182" i="30"/>
  <c r="BE182" i="30"/>
  <c r="BF135" i="30"/>
  <c r="BE135" i="30"/>
  <c r="BM240" i="30"/>
  <c r="BN240" i="30"/>
  <c r="BM193" i="30"/>
  <c r="BN193" i="30"/>
  <c r="BN114" i="30"/>
  <c r="BM114" i="30"/>
  <c r="BF218" i="30"/>
  <c r="BE218" i="30"/>
  <c r="BF108" i="30"/>
  <c r="BE108" i="30"/>
  <c r="BM213" i="30"/>
  <c r="BN213" i="30"/>
  <c r="BN150" i="30"/>
  <c r="BM150" i="30"/>
  <c r="BM103" i="30"/>
  <c r="BN103" i="30"/>
  <c r="BE207" i="30"/>
  <c r="BF207" i="30"/>
  <c r="BE170" i="30"/>
  <c r="BF170" i="30"/>
  <c r="BN206" i="30"/>
  <c r="BM206" i="30"/>
  <c r="BN201" i="30"/>
  <c r="BM201" i="30"/>
  <c r="BE210" i="30"/>
  <c r="BF210" i="30"/>
  <c r="BN236" i="30"/>
  <c r="BM236" i="30"/>
  <c r="BN109" i="30"/>
  <c r="BM109" i="30"/>
  <c r="BF198" i="30"/>
  <c r="BE198" i="30"/>
  <c r="BF151" i="30"/>
  <c r="BE151" i="30"/>
  <c r="BE104" i="30"/>
  <c r="BF104" i="30"/>
  <c r="BN209" i="30"/>
  <c r="BM209" i="30"/>
  <c r="BE234" i="30"/>
  <c r="BF234" i="30"/>
  <c r="BE171" i="30"/>
  <c r="BF171" i="30"/>
  <c r="BN229" i="30"/>
  <c r="BM229" i="30"/>
  <c r="BM166" i="30"/>
  <c r="BN166" i="30"/>
  <c r="BN119" i="30"/>
  <c r="BM119" i="30"/>
  <c r="BF223" i="30"/>
  <c r="BE223" i="30"/>
  <c r="BQ109" i="30"/>
  <c r="BE112" i="30"/>
  <c r="BF112" i="30"/>
  <c r="BN217" i="30"/>
  <c r="BM217" i="30"/>
  <c r="BN154" i="30"/>
  <c r="BM154" i="30"/>
  <c r="BF226" i="30"/>
  <c r="BE226" i="30"/>
  <c r="BF147" i="30"/>
  <c r="BE147" i="30"/>
  <c r="BF245" i="30"/>
  <c r="BE245" i="30"/>
  <c r="BN125" i="30"/>
  <c r="BM125" i="30"/>
  <c r="BF214" i="30"/>
  <c r="BE214" i="30"/>
  <c r="BF167" i="30"/>
  <c r="BE167" i="30"/>
  <c r="BM225" i="30"/>
  <c r="BN225" i="30"/>
  <c r="BF250" i="30"/>
  <c r="BE250" i="30"/>
  <c r="BF187" i="30"/>
  <c r="BE187" i="30"/>
  <c r="BF140" i="30"/>
  <c r="BE140" i="30"/>
  <c r="BN245" i="30"/>
  <c r="BM245" i="30"/>
  <c r="BM182" i="30"/>
  <c r="BN182" i="30"/>
  <c r="BF239" i="30"/>
  <c r="BE239" i="30"/>
  <c r="AN101" i="37"/>
  <c r="AO101" i="37" s="1"/>
  <c r="AP101" i="37" s="1"/>
  <c r="Q100" i="30"/>
  <c r="AU100" i="30" s="1"/>
  <c r="BN233" i="30"/>
  <c r="BM233" i="30"/>
  <c r="BN170" i="30"/>
  <c r="BM170" i="30"/>
  <c r="BF242" i="30"/>
  <c r="BE242" i="30"/>
  <c r="BE163" i="30"/>
  <c r="BF163" i="30"/>
  <c r="BN110" i="30"/>
  <c r="BM110" i="30"/>
  <c r="BE230" i="30"/>
  <c r="BF230" i="30"/>
  <c r="BF183" i="30"/>
  <c r="BE183" i="30"/>
  <c r="BF136" i="30"/>
  <c r="BE136" i="30"/>
  <c r="BM241" i="30"/>
  <c r="BN241" i="30"/>
  <c r="BN162" i="30"/>
  <c r="BM162" i="30"/>
  <c r="BN115" i="30"/>
  <c r="BM115" i="30"/>
  <c r="BF203" i="30"/>
  <c r="BE203" i="30"/>
  <c r="BE165" i="30"/>
  <c r="BF165" i="30"/>
  <c r="BM198" i="30"/>
  <c r="BN198" i="30"/>
  <c r="BN151" i="30"/>
  <c r="BM151" i="30"/>
  <c r="BM104" i="30"/>
  <c r="BN104" i="30"/>
  <c r="BF206" i="30"/>
  <c r="BE206" i="30"/>
  <c r="BF144" i="30"/>
  <c r="BE144" i="30"/>
  <c r="BN249" i="30"/>
  <c r="BM249" i="30"/>
  <c r="BM186" i="30"/>
  <c r="BN186" i="30"/>
  <c r="BN107" i="30"/>
  <c r="BM107" i="30"/>
  <c r="BE179" i="30"/>
  <c r="BF179" i="30"/>
  <c r="BM126" i="30"/>
  <c r="BN126" i="30"/>
  <c r="BN157" i="30"/>
  <c r="BM157" i="30"/>
  <c r="BF246" i="30"/>
  <c r="BE246" i="30"/>
  <c r="BF199" i="30"/>
  <c r="BE199" i="30"/>
  <c r="BF152" i="30"/>
  <c r="BE152" i="30"/>
  <c r="BN178" i="30"/>
  <c r="BM178" i="30"/>
  <c r="BE219" i="30"/>
  <c r="BF219" i="30"/>
  <c r="BF172" i="30"/>
  <c r="BE172" i="30"/>
  <c r="BE109" i="30"/>
  <c r="BF109" i="30"/>
  <c r="BM214" i="30"/>
  <c r="BN214" i="30"/>
  <c r="BM167" i="30"/>
  <c r="BN167" i="30"/>
  <c r="BN120" i="30"/>
  <c r="BM120" i="30"/>
  <c r="BM165" i="30"/>
  <c r="BN165" i="30"/>
  <c r="BH224" i="30"/>
  <c r="BJ224" i="30" s="1"/>
  <c r="BQ179" i="30"/>
  <c r="BF160" i="30"/>
  <c r="BE160" i="30"/>
  <c r="BF229" i="30"/>
  <c r="BE229" i="30"/>
  <c r="BN202" i="30"/>
  <c r="BM202" i="30"/>
  <c r="BM123" i="30"/>
  <c r="BN123" i="30"/>
  <c r="BE195" i="30"/>
  <c r="BF195" i="30"/>
  <c r="BM173" i="30"/>
  <c r="BN173" i="30"/>
  <c r="BN111" i="30"/>
  <c r="BM111" i="30"/>
  <c r="BE215" i="30"/>
  <c r="BF215" i="30"/>
  <c r="BF168" i="30"/>
  <c r="BE168" i="30"/>
  <c r="BM158" i="30"/>
  <c r="BN158" i="30"/>
  <c r="BM194" i="30"/>
  <c r="BN194" i="30"/>
  <c r="BE235" i="30"/>
  <c r="BF235" i="30"/>
  <c r="BF188" i="30"/>
  <c r="BE188" i="30"/>
  <c r="BM230" i="30"/>
  <c r="BN230" i="30"/>
  <c r="BN183" i="30"/>
  <c r="BM183" i="30"/>
  <c r="BN212" i="30"/>
  <c r="BM212" i="30"/>
  <c r="AO107" i="30"/>
  <c r="AP107" i="30" s="1"/>
  <c r="BE176" i="30"/>
  <c r="BF176" i="30"/>
  <c r="BE113" i="30"/>
  <c r="BF113" i="30"/>
  <c r="BN218" i="30"/>
  <c r="BM218" i="30"/>
  <c r="BE211" i="30"/>
  <c r="BF211" i="30"/>
  <c r="BM238" i="30"/>
  <c r="BN238" i="30"/>
  <c r="BN189" i="30"/>
  <c r="BM189" i="30"/>
  <c r="BN127" i="30"/>
  <c r="BM127" i="30"/>
  <c r="BF231" i="30"/>
  <c r="BE231" i="30"/>
  <c r="BF184" i="30"/>
  <c r="BE184" i="30"/>
  <c r="BF105" i="30"/>
  <c r="BE105" i="30"/>
  <c r="BN210" i="30"/>
  <c r="BM210" i="30"/>
  <c r="BN163" i="30"/>
  <c r="BM163" i="30"/>
  <c r="BN100" i="30"/>
  <c r="BM100" i="30"/>
  <c r="BE204" i="30"/>
  <c r="BF204" i="30"/>
  <c r="BF141" i="30"/>
  <c r="BE141" i="30"/>
  <c r="BM246" i="30"/>
  <c r="BN246" i="30"/>
  <c r="BN199" i="30"/>
  <c r="BM199" i="30"/>
  <c r="BM152" i="30"/>
  <c r="BN152" i="30"/>
  <c r="BN102" i="30"/>
  <c r="BM102" i="30"/>
  <c r="BP246" i="30"/>
  <c r="BR246" i="30" s="1"/>
  <c r="BP179" i="30"/>
  <c r="BR179" i="30" s="1"/>
  <c r="BF192" i="30"/>
  <c r="BE192" i="30"/>
  <c r="BN234" i="30"/>
  <c r="BM234" i="30"/>
  <c r="BM155" i="30"/>
  <c r="BN155" i="30"/>
  <c r="BE227" i="30"/>
  <c r="BF227" i="30"/>
  <c r="BE100" i="30"/>
  <c r="BF100" i="30"/>
  <c r="BN205" i="30"/>
  <c r="BM205" i="30"/>
  <c r="BF247" i="30"/>
  <c r="BE247" i="30"/>
  <c r="BE200" i="30"/>
  <c r="BF200" i="30"/>
  <c r="BN226" i="30"/>
  <c r="BM226" i="30"/>
  <c r="BN179" i="30"/>
  <c r="BM179" i="30"/>
  <c r="BM116" i="30"/>
  <c r="BN116" i="30"/>
  <c r="BF220" i="30"/>
  <c r="BE220" i="30"/>
  <c r="BF110" i="30"/>
  <c r="BE110" i="30"/>
  <c r="BN215" i="30"/>
  <c r="BM215" i="30"/>
  <c r="BM168" i="30"/>
  <c r="BN168" i="30"/>
  <c r="BF107" i="30"/>
  <c r="BE107" i="30"/>
  <c r="BI213" i="30"/>
  <c r="BF208" i="30"/>
  <c r="BE208" i="30"/>
  <c r="BF145" i="30"/>
  <c r="BE145" i="30"/>
  <c r="BN250" i="30"/>
  <c r="BM250" i="30"/>
  <c r="BM171" i="30"/>
  <c r="BN171" i="30"/>
  <c r="BF243" i="30"/>
  <c r="BE243" i="30"/>
  <c r="BN221" i="30"/>
  <c r="BM221" i="30"/>
  <c r="BM159" i="30"/>
  <c r="BN159" i="30"/>
  <c r="BM112" i="30"/>
  <c r="BN112" i="30"/>
  <c r="BE216" i="30"/>
  <c r="BF216" i="30"/>
  <c r="BE137" i="30"/>
  <c r="BF137" i="30"/>
  <c r="BM242" i="30"/>
  <c r="BN242" i="30"/>
  <c r="BM195" i="30"/>
  <c r="BN195" i="30"/>
  <c r="BE236" i="30"/>
  <c r="BF236" i="30"/>
  <c r="BF173" i="30"/>
  <c r="BE173" i="30"/>
  <c r="BM231" i="30"/>
  <c r="BN231" i="30"/>
  <c r="BN184" i="30"/>
  <c r="BM184" i="30"/>
  <c r="BH177" i="30"/>
  <c r="BJ177" i="30" s="1"/>
  <c r="BI166" i="30"/>
  <c r="O114" i="22"/>
  <c r="AU114" i="22" s="1"/>
  <c r="BF224" i="30"/>
  <c r="BE224" i="30"/>
  <c r="BE161" i="30"/>
  <c r="BF161" i="30"/>
  <c r="BF149" i="30"/>
  <c r="BE149" i="30"/>
  <c r="BM187" i="30"/>
  <c r="BN187" i="30"/>
  <c r="BN108" i="30"/>
  <c r="BM108" i="30"/>
  <c r="BM237" i="30"/>
  <c r="BN237" i="30"/>
  <c r="BN175" i="30"/>
  <c r="BM175" i="30"/>
  <c r="BF232" i="30"/>
  <c r="BE232" i="30"/>
  <c r="BF153" i="30"/>
  <c r="BE153" i="30"/>
  <c r="BE106" i="30"/>
  <c r="BF106" i="30"/>
  <c r="BM211" i="30"/>
  <c r="BN211" i="30"/>
  <c r="BN101" i="30"/>
  <c r="BM101" i="30"/>
  <c r="BE189" i="30"/>
  <c r="BF189" i="30"/>
  <c r="BE142" i="30"/>
  <c r="BF142" i="30"/>
  <c r="BN247" i="30"/>
  <c r="BM247" i="30"/>
  <c r="BM200" i="30"/>
  <c r="BN200" i="30"/>
  <c r="BM192" i="30"/>
  <c r="BN192" i="30"/>
  <c r="L110" i="30"/>
  <c r="BH232" i="30"/>
  <c r="BJ232" i="30" s="1"/>
  <c r="BF240" i="30"/>
  <c r="BE240" i="30"/>
  <c r="BE177" i="30"/>
  <c r="BF177" i="30"/>
  <c r="BM174" i="30"/>
  <c r="BN174" i="30"/>
  <c r="BN203" i="30"/>
  <c r="BM203" i="30"/>
  <c r="BM124" i="30"/>
  <c r="BN124" i="30"/>
  <c r="BE148" i="30"/>
  <c r="BF148" i="30"/>
  <c r="BF213" i="30"/>
  <c r="BE213" i="30"/>
  <c r="BM191" i="30"/>
  <c r="BN191" i="30"/>
  <c r="BF248" i="30"/>
  <c r="BE248" i="30"/>
  <c r="BE169" i="30"/>
  <c r="BF169" i="30"/>
  <c r="BM227" i="30"/>
  <c r="BN227" i="30"/>
  <c r="BN164" i="30"/>
  <c r="BM164" i="30"/>
  <c r="BM117" i="30"/>
  <c r="BN117" i="30"/>
  <c r="BE205" i="30"/>
  <c r="BF205" i="30"/>
  <c r="BF158" i="30"/>
  <c r="BE158" i="30"/>
  <c r="BF111" i="30"/>
  <c r="BE111" i="30"/>
  <c r="BM216" i="30"/>
  <c r="BN216" i="30"/>
  <c r="BI232" i="30"/>
  <c r="BM105" i="30"/>
  <c r="BN105" i="30"/>
  <c r="BF193" i="30"/>
  <c r="BE193" i="30"/>
  <c r="BN219" i="30"/>
  <c r="BM219" i="30"/>
  <c r="BE164" i="30"/>
  <c r="BF164" i="30"/>
  <c r="BE102" i="30"/>
  <c r="BF102" i="30"/>
  <c r="BN207" i="30"/>
  <c r="BM207" i="30"/>
  <c r="BN160" i="30"/>
  <c r="BM160" i="30"/>
  <c r="BM113" i="30"/>
  <c r="BN113" i="30"/>
  <c r="BF185" i="30"/>
  <c r="BE185" i="30"/>
  <c r="BF138" i="30"/>
  <c r="BE138" i="30"/>
  <c r="BM243" i="30"/>
  <c r="BN243" i="30"/>
  <c r="BM180" i="30"/>
  <c r="BN180" i="30"/>
  <c r="BF221" i="30"/>
  <c r="BE221" i="30"/>
  <c r="BF174" i="30"/>
  <c r="BE174" i="30"/>
  <c r="BM232" i="30"/>
  <c r="BN232" i="30"/>
  <c r="BI203" i="30"/>
  <c r="BQ219" i="30"/>
  <c r="BQ246" i="30"/>
  <c r="BM121" i="30"/>
  <c r="BN121" i="30"/>
  <c r="BE209" i="30"/>
  <c r="BF209" i="30"/>
  <c r="BN235" i="30"/>
  <c r="BM235" i="30"/>
  <c r="BM156" i="30"/>
  <c r="BN156" i="30"/>
  <c r="BF180" i="30"/>
  <c r="BE180" i="30"/>
  <c r="BN223" i="30"/>
  <c r="BM223" i="30"/>
  <c r="BN176" i="30"/>
  <c r="BM176" i="30"/>
  <c r="BE201" i="30"/>
  <c r="BF201" i="30"/>
  <c r="BF154" i="30"/>
  <c r="BE154" i="30"/>
  <c r="BN190" i="30"/>
  <c r="BM190" i="30"/>
  <c r="BN196" i="30"/>
  <c r="BM196" i="30"/>
  <c r="BN149" i="30"/>
  <c r="BM149" i="30"/>
  <c r="BE237" i="30"/>
  <c r="BF237" i="30"/>
  <c r="BF190" i="30"/>
  <c r="BE190" i="30"/>
  <c r="BF143" i="30"/>
  <c r="BE143" i="30"/>
  <c r="BN248" i="30"/>
  <c r="BM248" i="30"/>
  <c r="D101" i="34"/>
  <c r="D102" i="34" s="1"/>
  <c r="D103" i="34" s="1"/>
  <c r="D104" i="34" s="1"/>
  <c r="D105" i="34" s="1"/>
  <c r="D106" i="34" s="1"/>
  <c r="D107" i="34" s="1"/>
  <c r="D108" i="34" s="1"/>
  <c r="D109" i="34" s="1"/>
  <c r="D110" i="34" s="1"/>
  <c r="D111" i="34" s="1"/>
  <c r="D112" i="34" s="1"/>
  <c r="D113" i="34" s="1"/>
  <c r="D114" i="34" s="1"/>
  <c r="D115" i="34" s="1"/>
  <c r="D116" i="34" s="1"/>
  <c r="D117" i="34" s="1"/>
  <c r="D118" i="34" s="1"/>
  <c r="D119" i="34" s="1"/>
  <c r="D120" i="34" s="1"/>
  <c r="L113" i="27"/>
  <c r="D101" i="27"/>
  <c r="D102" i="27" s="1"/>
  <c r="D103" i="27" s="1"/>
  <c r="D104" i="27" s="1"/>
  <c r="D105" i="27" s="1"/>
  <c r="D106" i="27" s="1"/>
  <c r="D107" i="27" s="1"/>
  <c r="D108" i="27" s="1"/>
  <c r="D109" i="27" s="1"/>
  <c r="D110" i="27" s="1"/>
  <c r="D111" i="27" s="1"/>
  <c r="D112" i="27" s="1"/>
  <c r="D113" i="27" s="1"/>
  <c r="D114" i="27" s="1"/>
  <c r="D115" i="27" s="1"/>
  <c r="D116" i="27" s="1"/>
  <c r="D117" i="27" s="1"/>
  <c r="D118" i="27" s="1"/>
  <c r="D119" i="27" s="1"/>
  <c r="D120" i="27" s="1"/>
  <c r="D121" i="27" s="1"/>
  <c r="D122" i="27" s="1"/>
  <c r="D123" i="27" s="1"/>
  <c r="D124" i="27" s="1"/>
  <c r="D125" i="27" s="1"/>
  <c r="D126" i="27" s="1"/>
  <c r="D127" i="27" s="1"/>
  <c r="D128" i="27" s="1"/>
  <c r="D129" i="27" s="1"/>
  <c r="D130" i="27" s="1"/>
  <c r="D131" i="27" s="1"/>
  <c r="D132" i="27" s="1"/>
  <c r="D133" i="27" s="1"/>
  <c r="D134" i="27" s="1"/>
  <c r="D135" i="27" s="1"/>
  <c r="D136" i="27" s="1"/>
  <c r="D137" i="27" s="1"/>
  <c r="D138" i="27" s="1"/>
  <c r="D139" i="27" s="1"/>
  <c r="D140" i="27" s="1"/>
  <c r="D141" i="27" s="1"/>
  <c r="D142" i="27" s="1"/>
  <c r="D143" i="27" s="1"/>
  <c r="D144" i="27" s="1"/>
  <c r="D145" i="27" s="1"/>
  <c r="D146" i="27" s="1"/>
  <c r="D147" i="27" s="1"/>
  <c r="D148" i="27" s="1"/>
  <c r="D149" i="27" s="1"/>
  <c r="D150" i="27" s="1"/>
  <c r="D151" i="27" s="1"/>
  <c r="D152" i="27" s="1"/>
  <c r="D153" i="27" s="1"/>
  <c r="D154" i="27" s="1"/>
  <c r="D155" i="27" s="1"/>
  <c r="D156" i="27" s="1"/>
  <c r="D157" i="27" s="1"/>
  <c r="D158" i="27" s="1"/>
  <c r="D159" i="27" s="1"/>
  <c r="D160" i="27" s="1"/>
  <c r="D161" i="27" s="1"/>
  <c r="D162" i="27" s="1"/>
  <c r="D163" i="27" s="1"/>
  <c r="D164" i="27" s="1"/>
  <c r="D165" i="27" s="1"/>
  <c r="D166" i="27" s="1"/>
  <c r="D167" i="27" s="1"/>
  <c r="D168" i="27" s="1"/>
  <c r="D169" i="27" s="1"/>
  <c r="D170" i="27" s="1"/>
  <c r="D171" i="27" s="1"/>
  <c r="D172" i="27" s="1"/>
  <c r="D173" i="27" s="1"/>
  <c r="D174" i="27" s="1"/>
  <c r="D175" i="27" s="1"/>
  <c r="D176" i="27" s="1"/>
  <c r="D177" i="27" s="1"/>
  <c r="D178" i="27" s="1"/>
  <c r="D179" i="27" s="1"/>
  <c r="D180" i="27" s="1"/>
  <c r="D181" i="27" s="1"/>
  <c r="D182" i="27" s="1"/>
  <c r="D183" i="27" s="1"/>
  <c r="D184" i="27" s="1"/>
  <c r="D185" i="27" s="1"/>
  <c r="D186" i="27" s="1"/>
  <c r="D187" i="27" s="1"/>
  <c r="D188" i="27" s="1"/>
  <c r="D189" i="27" s="1"/>
  <c r="D190" i="27" s="1"/>
  <c r="D191" i="27" s="1"/>
  <c r="D192" i="27" s="1"/>
  <c r="D193" i="27" s="1"/>
  <c r="D194" i="27" s="1"/>
  <c r="D195" i="27" s="1"/>
  <c r="D196" i="27" s="1"/>
  <c r="D197" i="27" s="1"/>
  <c r="D198" i="27" s="1"/>
  <c r="D199" i="27" s="1"/>
  <c r="D200" i="27" s="1"/>
  <c r="D201" i="27" s="1"/>
  <c r="D202" i="27" s="1"/>
  <c r="D203" i="27" s="1"/>
  <c r="D204" i="27" s="1"/>
  <c r="D205" i="27" s="1"/>
  <c r="D206" i="27" s="1"/>
  <c r="D207" i="27" s="1"/>
  <c r="D208" i="27" s="1"/>
  <c r="D209" i="27" s="1"/>
  <c r="D210" i="27" s="1"/>
  <c r="D211" i="27" s="1"/>
  <c r="D212" i="27" s="1"/>
  <c r="D213" i="27" s="1"/>
  <c r="D214" i="27" s="1"/>
  <c r="D215" i="27" s="1"/>
  <c r="D216" i="27" s="1"/>
  <c r="D217" i="27" s="1"/>
  <c r="D218" i="27" s="1"/>
  <c r="D219" i="27" s="1"/>
  <c r="D220" i="27" s="1"/>
  <c r="D221" i="27" s="1"/>
  <c r="D222" i="27" s="1"/>
  <c r="D223" i="27" s="1"/>
  <c r="D224" i="27" s="1"/>
  <c r="D225" i="27" s="1"/>
  <c r="D226" i="27" s="1"/>
  <c r="D227" i="27" s="1"/>
  <c r="D228" i="27" s="1"/>
  <c r="D229" i="27" s="1"/>
  <c r="D230" i="27" s="1"/>
  <c r="D231" i="27" s="1"/>
  <c r="D232" i="27" s="1"/>
  <c r="D233" i="27" s="1"/>
  <c r="D234" i="27" s="1"/>
  <c r="D235" i="27" s="1"/>
  <c r="D236" i="27" s="1"/>
  <c r="D237" i="27" s="1"/>
  <c r="D238" i="27" s="1"/>
  <c r="D239" i="27" s="1"/>
  <c r="D240" i="27" s="1"/>
  <c r="D241" i="27" s="1"/>
  <c r="D242" i="27" s="1"/>
  <c r="D243" i="27" s="1"/>
  <c r="D244" i="27" s="1"/>
  <c r="D245" i="27" s="1"/>
  <c r="D246" i="27" s="1"/>
  <c r="D247" i="27" s="1"/>
  <c r="D248" i="27" s="1"/>
  <c r="D249" i="27" s="1"/>
  <c r="D250" i="27" s="1"/>
  <c r="BF170" i="27"/>
  <c r="BE170" i="27"/>
  <c r="BN177" i="27"/>
  <c r="BM177" i="27"/>
  <c r="BI120" i="27"/>
  <c r="BE113" i="27"/>
  <c r="BF113" i="27"/>
  <c r="BN248" i="27"/>
  <c r="BM248" i="27"/>
  <c r="BH111" i="27"/>
  <c r="BJ111" i="27" s="1"/>
  <c r="BE104" i="27"/>
  <c r="BF104" i="27"/>
  <c r="BH115" i="27"/>
  <c r="BJ115" i="27" s="1"/>
  <c r="BF108" i="27"/>
  <c r="BE108" i="27"/>
  <c r="BE112" i="27"/>
  <c r="BF112" i="27"/>
  <c r="BF245" i="27"/>
  <c r="BE245" i="27"/>
  <c r="BI243" i="27"/>
  <c r="BE236" i="27"/>
  <c r="BF236" i="27"/>
  <c r="BF227" i="27"/>
  <c r="BE227" i="27"/>
  <c r="BE218" i="27"/>
  <c r="BF218" i="27"/>
  <c r="BE209" i="27"/>
  <c r="BF209" i="27"/>
  <c r="BH207" i="27"/>
  <c r="BJ207" i="27" s="1"/>
  <c r="BE200" i="27"/>
  <c r="BF200" i="27"/>
  <c r="BP110" i="27"/>
  <c r="BR110" i="27" s="1"/>
  <c r="BM103" i="27"/>
  <c r="BN103" i="27"/>
  <c r="BM186" i="27"/>
  <c r="BN186" i="27"/>
  <c r="BI191" i="27"/>
  <c r="BF184" i="27"/>
  <c r="BE184" i="27"/>
  <c r="BP122" i="27"/>
  <c r="BR122" i="27" s="1"/>
  <c r="BN115" i="27"/>
  <c r="BM115" i="27"/>
  <c r="BP107" i="27"/>
  <c r="BR107" i="27" s="1"/>
  <c r="BN100" i="27"/>
  <c r="BM100" i="27"/>
  <c r="BI165" i="27"/>
  <c r="BE158" i="27"/>
  <c r="BF158" i="27"/>
  <c r="BM180" i="27"/>
  <c r="BN180" i="27"/>
  <c r="CF234" i="27"/>
  <c r="CF247" i="27"/>
  <c r="CG246" i="27"/>
  <c r="CF227" i="27"/>
  <c r="CF203" i="27"/>
  <c r="CF217" i="27"/>
  <c r="CF188" i="27"/>
  <c r="CG213" i="27"/>
  <c r="CF173" i="27"/>
  <c r="CG179" i="27"/>
  <c r="CG155" i="27"/>
  <c r="CG161" i="27"/>
  <c r="CF146" i="27"/>
  <c r="CF241" i="27"/>
  <c r="CG238" i="27"/>
  <c r="CF219" i="27"/>
  <c r="CG203" i="27"/>
  <c r="CG242" i="27"/>
  <c r="CF233" i="27"/>
  <c r="CF229" i="27"/>
  <c r="CG208" i="27"/>
  <c r="CG197" i="27"/>
  <c r="CF178" i="27"/>
  <c r="CF250" i="27"/>
  <c r="CG245" i="27"/>
  <c r="CG226" i="27"/>
  <c r="CF225" i="27"/>
  <c r="CG214" i="27"/>
  <c r="CF216" i="27"/>
  <c r="CG216" i="27"/>
  <c r="CG200" i="27"/>
  <c r="CG234" i="27"/>
  <c r="CG204" i="27"/>
  <c r="CF212" i="27"/>
  <c r="CG181" i="27"/>
  <c r="CG191" i="27"/>
  <c r="CF145" i="27"/>
  <c r="CF185" i="27"/>
  <c r="CF244" i="27"/>
  <c r="CG239" i="27"/>
  <c r="CG244" i="27"/>
  <c r="CG240" i="27"/>
  <c r="CG221" i="27"/>
  <c r="CF211" i="27"/>
  <c r="CF207" i="27"/>
  <c r="CG206" i="27"/>
  <c r="CF240" i="27"/>
  <c r="CG235" i="27"/>
  <c r="CG225" i="27"/>
  <c r="CF231" i="27"/>
  <c r="CF200" i="27"/>
  <c r="CF194" i="27"/>
  <c r="CG233" i="27"/>
  <c r="CG228" i="27"/>
  <c r="CG250" i="27"/>
  <c r="CF249" i="27"/>
  <c r="CG224" i="27"/>
  <c r="CG215" i="27"/>
  <c r="CF180" i="27"/>
  <c r="CF172" i="27"/>
  <c r="CF181" i="27"/>
  <c r="CG146" i="27"/>
  <c r="CF176" i="27"/>
  <c r="CG141" i="27"/>
  <c r="CG126" i="27"/>
  <c r="CG112" i="27"/>
  <c r="CG118" i="27"/>
  <c r="CG184" i="27"/>
  <c r="CF246" i="27"/>
  <c r="CF239" i="27"/>
  <c r="CF224" i="27"/>
  <c r="CF202" i="27"/>
  <c r="CF158" i="27"/>
  <c r="CG134" i="27"/>
  <c r="CF165" i="27"/>
  <c r="CF170" i="27"/>
  <c r="CG145" i="27"/>
  <c r="CG133" i="27"/>
  <c r="CG100" i="27"/>
  <c r="CG104" i="27"/>
  <c r="CF238" i="27"/>
  <c r="CG210" i="27"/>
  <c r="CG151" i="27"/>
  <c r="CF153" i="27"/>
  <c r="CF198" i="27"/>
  <c r="CG150" i="27"/>
  <c r="CF163" i="27"/>
  <c r="CG114" i="27"/>
  <c r="CG135" i="27"/>
  <c r="CG107" i="27"/>
  <c r="CG123" i="27"/>
  <c r="CF236" i="27"/>
  <c r="CG236" i="27"/>
  <c r="CF221" i="27"/>
  <c r="CF214" i="27"/>
  <c r="CG207" i="27"/>
  <c r="CG175" i="27"/>
  <c r="CG172" i="27"/>
  <c r="CG149" i="27"/>
  <c r="CF151" i="27"/>
  <c r="CG188" i="27"/>
  <c r="CF144" i="27"/>
  <c r="CG170" i="27"/>
  <c r="CG130" i="27"/>
  <c r="CF174" i="27"/>
  <c r="CG117" i="27"/>
  <c r="CF232" i="27"/>
  <c r="CF230" i="27"/>
  <c r="CG227" i="27"/>
  <c r="CG231" i="27"/>
  <c r="CF210" i="27"/>
  <c r="CF218" i="27"/>
  <c r="CF177" i="27"/>
  <c r="CF147" i="27"/>
  <c r="CG176" i="27"/>
  <c r="CG192" i="27"/>
  <c r="CF161" i="27"/>
  <c r="CG196" i="27"/>
  <c r="CG167" i="27"/>
  <c r="CG247" i="27"/>
  <c r="CG218" i="27"/>
  <c r="CF237" i="27"/>
  <c r="CF192" i="27"/>
  <c r="CG198" i="27"/>
  <c r="CF168" i="27"/>
  <c r="CG158" i="27"/>
  <c r="CG189" i="27"/>
  <c r="CG194" i="27"/>
  <c r="CG162" i="27"/>
  <c r="CG143" i="27"/>
  <c r="CG113" i="27"/>
  <c r="CG140" i="27"/>
  <c r="CG241" i="27"/>
  <c r="CG230" i="27"/>
  <c r="CG217" i="27"/>
  <c r="CF201" i="27"/>
  <c r="CF222" i="27"/>
  <c r="CF186" i="27"/>
  <c r="CF157" i="27"/>
  <c r="CG180" i="27"/>
  <c r="CG237" i="27"/>
  <c r="CG229" i="27"/>
  <c r="CF215" i="27"/>
  <c r="CG202" i="27"/>
  <c r="CF184" i="27"/>
  <c r="CF156" i="27"/>
  <c r="CF179" i="27"/>
  <c r="CG183" i="27"/>
  <c r="CF160" i="27"/>
  <c r="CG144" i="27"/>
  <c r="CG137" i="27"/>
  <c r="CG122" i="27"/>
  <c r="CG131" i="27"/>
  <c r="CG105" i="27"/>
  <c r="CG193" i="27"/>
  <c r="CF242" i="27"/>
  <c r="CG232" i="27"/>
  <c r="CF205" i="27"/>
  <c r="CF190" i="27"/>
  <c r="CF166" i="27"/>
  <c r="CG187" i="27"/>
  <c r="CG171" i="27"/>
  <c r="CF167" i="27"/>
  <c r="CG125" i="27"/>
  <c r="CG185" i="27"/>
  <c r="CG186" i="27"/>
  <c r="CF220" i="27"/>
  <c r="CF223" i="27"/>
  <c r="CF182" i="27"/>
  <c r="CG165" i="27"/>
  <c r="CF148" i="27"/>
  <c r="CG249" i="27"/>
  <c r="CG182" i="27"/>
  <c r="CG127" i="27"/>
  <c r="CG110" i="27"/>
  <c r="CG243" i="27"/>
  <c r="CG199" i="27"/>
  <c r="CF169" i="27"/>
  <c r="CG157" i="27"/>
  <c r="CF193" i="27"/>
  <c r="CG102" i="27"/>
  <c r="CG109" i="27"/>
  <c r="CF245" i="27"/>
  <c r="CG212" i="27"/>
  <c r="CG160" i="27"/>
  <c r="CF195" i="27"/>
  <c r="CF141" i="27"/>
  <c r="CF154" i="27"/>
  <c r="CG148" i="27"/>
  <c r="CG223" i="27"/>
  <c r="CF243" i="27"/>
  <c r="CF155" i="27"/>
  <c r="CF171" i="27"/>
  <c r="CF140" i="27"/>
  <c r="CG119" i="27"/>
  <c r="CG103" i="27"/>
  <c r="CG164" i="27"/>
  <c r="CF149" i="27"/>
  <c r="CG169" i="27"/>
  <c r="CG128" i="27"/>
  <c r="CG111" i="27"/>
  <c r="CG201" i="27"/>
  <c r="CG159" i="27"/>
  <c r="CF143" i="27"/>
  <c r="CF162" i="27"/>
  <c r="CG115" i="27"/>
  <c r="CG101" i="27"/>
  <c r="CG219" i="27"/>
  <c r="CF226" i="27"/>
  <c r="CF197" i="27"/>
  <c r="CG142" i="27"/>
  <c r="CG152" i="27"/>
  <c r="CG121" i="27"/>
  <c r="CG178" i="27"/>
  <c r="CF213" i="27"/>
  <c r="CF199" i="27"/>
  <c r="CF191" i="27"/>
  <c r="CF189" i="27"/>
  <c r="CG116" i="27"/>
  <c r="CG222" i="27"/>
  <c r="CF209" i="27"/>
  <c r="CG211" i="27"/>
  <c r="CF164" i="27"/>
  <c r="CG166" i="27"/>
  <c r="CF183" i="27"/>
  <c r="CG168" i="27"/>
  <c r="CG108" i="27"/>
  <c r="CF235" i="27"/>
  <c r="CF206" i="27"/>
  <c r="CG209" i="27"/>
  <c r="CF159" i="27"/>
  <c r="CF152" i="27"/>
  <c r="CG154" i="27"/>
  <c r="CG156" i="27"/>
  <c r="CG153" i="27"/>
  <c r="CG138" i="27"/>
  <c r="CF150" i="27"/>
  <c r="CG173" i="27"/>
  <c r="CF248" i="27"/>
  <c r="CG220" i="27"/>
  <c r="CG205" i="27"/>
  <c r="CF196" i="27"/>
  <c r="CG177" i="27"/>
  <c r="CG120" i="27"/>
  <c r="CG129" i="27"/>
  <c r="CG163" i="27"/>
  <c r="CF228" i="27"/>
  <c r="CG174" i="27"/>
  <c r="CG147" i="27"/>
  <c r="CG136" i="27"/>
  <c r="CF142" i="27"/>
  <c r="CG139" i="27"/>
  <c r="CG106" i="27"/>
  <c r="CG248" i="27"/>
  <c r="CF208" i="27"/>
  <c r="CF204" i="27"/>
  <c r="CG195" i="27"/>
  <c r="CG132" i="27"/>
  <c r="CG190" i="27"/>
  <c r="CG124" i="27"/>
  <c r="CF175" i="27"/>
  <c r="CF187" i="27"/>
  <c r="BQ113" i="27"/>
  <c r="BM106" i="27"/>
  <c r="BN106" i="27"/>
  <c r="BQ123" i="27"/>
  <c r="BM116" i="27"/>
  <c r="BN116" i="27"/>
  <c r="BM114" i="27"/>
  <c r="BN114" i="27"/>
  <c r="BQ210" i="27"/>
  <c r="BN203" i="27"/>
  <c r="BM203" i="27"/>
  <c r="BI208" i="27"/>
  <c r="BE201" i="27"/>
  <c r="BF201" i="27"/>
  <c r="BM172" i="27"/>
  <c r="BN172" i="27"/>
  <c r="BM179" i="27"/>
  <c r="BN179" i="27"/>
  <c r="BF193" i="27"/>
  <c r="BE193" i="27"/>
  <c r="BQ175" i="27"/>
  <c r="BN168" i="27"/>
  <c r="BM168" i="27"/>
  <c r="BM111" i="27"/>
  <c r="BN111" i="27"/>
  <c r="BF166" i="27"/>
  <c r="BE166" i="27"/>
  <c r="BF187" i="27"/>
  <c r="BE187" i="27"/>
  <c r="BH112" i="27"/>
  <c r="BJ112" i="27" s="1"/>
  <c r="BF105" i="27"/>
  <c r="BE105" i="27"/>
  <c r="BN118" i="27"/>
  <c r="BM118" i="27"/>
  <c r="BN123" i="27"/>
  <c r="BM123" i="27"/>
  <c r="BF210" i="27"/>
  <c r="BE210" i="27"/>
  <c r="BN245" i="27"/>
  <c r="BM245" i="27"/>
  <c r="BQ243" i="27"/>
  <c r="BM236" i="27"/>
  <c r="BN236" i="27"/>
  <c r="BP234" i="27"/>
  <c r="BR234" i="27" s="1"/>
  <c r="BN227" i="27"/>
  <c r="BM227" i="27"/>
  <c r="BP225" i="27"/>
  <c r="BR225" i="27" s="1"/>
  <c r="BN218" i="27"/>
  <c r="BM218" i="27"/>
  <c r="BQ216" i="27"/>
  <c r="BM209" i="27"/>
  <c r="BN209" i="27"/>
  <c r="BF154" i="27"/>
  <c r="BE154" i="27"/>
  <c r="BF179" i="27"/>
  <c r="BE179" i="27"/>
  <c r="BI193" i="27"/>
  <c r="BF186" i="27"/>
  <c r="BE186" i="27"/>
  <c r="BI212" i="27"/>
  <c r="BF205" i="27"/>
  <c r="BE205" i="27"/>
  <c r="BN193" i="27"/>
  <c r="BM193" i="27"/>
  <c r="BF175" i="27"/>
  <c r="BE175" i="27"/>
  <c r="BH162" i="27"/>
  <c r="BJ162" i="27" s="1"/>
  <c r="BE155" i="27"/>
  <c r="BF155" i="27"/>
  <c r="BQ120" i="27"/>
  <c r="BN113" i="27"/>
  <c r="BM113" i="27"/>
  <c r="BN120" i="27"/>
  <c r="BM120" i="27"/>
  <c r="BH166" i="27"/>
  <c r="BJ166" i="27" s="1"/>
  <c r="BF159" i="27"/>
  <c r="BE159" i="27"/>
  <c r="BN174" i="27"/>
  <c r="BM174" i="27"/>
  <c r="BN210" i="27"/>
  <c r="BM210" i="27"/>
  <c r="BM201" i="27"/>
  <c r="BN201" i="27"/>
  <c r="BI250" i="27"/>
  <c r="BF243" i="27"/>
  <c r="BE243" i="27"/>
  <c r="BI241" i="27"/>
  <c r="BE234" i="27"/>
  <c r="BF234" i="27"/>
  <c r="BI232" i="27"/>
  <c r="BF225" i="27"/>
  <c r="BE225" i="27"/>
  <c r="BE216" i="27"/>
  <c r="BF216" i="27"/>
  <c r="BI169" i="27"/>
  <c r="BE162" i="27"/>
  <c r="BF162" i="27"/>
  <c r="BM214" i="27"/>
  <c r="BN214" i="27"/>
  <c r="BF163" i="27"/>
  <c r="BE163" i="27"/>
  <c r="BP132" i="27"/>
  <c r="BR132" i="27" s="1"/>
  <c r="BM125" i="27"/>
  <c r="BN125" i="27"/>
  <c r="BN173" i="27"/>
  <c r="BM173" i="27"/>
  <c r="BF203" i="27"/>
  <c r="BE203" i="27"/>
  <c r="BM126" i="27"/>
  <c r="BN126" i="27"/>
  <c r="BE167" i="27"/>
  <c r="BF167" i="27"/>
  <c r="BF181" i="27"/>
  <c r="BE181" i="27"/>
  <c r="BN219" i="27"/>
  <c r="BM219" i="27"/>
  <c r="BF217" i="27"/>
  <c r="BE217" i="27"/>
  <c r="BF208" i="27"/>
  <c r="BE208" i="27"/>
  <c r="BE172" i="27"/>
  <c r="BF172" i="27"/>
  <c r="BM188" i="27"/>
  <c r="BN188" i="27"/>
  <c r="BM205" i="27"/>
  <c r="BN205" i="27"/>
  <c r="BN184" i="27"/>
  <c r="BM184" i="27"/>
  <c r="BI187" i="27"/>
  <c r="BF180" i="27"/>
  <c r="BE180" i="27"/>
  <c r="BE174" i="27"/>
  <c r="BF174" i="27"/>
  <c r="BF226" i="27"/>
  <c r="BE226" i="27"/>
  <c r="BI222" i="27"/>
  <c r="BE215" i="27"/>
  <c r="BF215" i="27"/>
  <c r="BP206" i="27"/>
  <c r="BR206" i="27" s="1"/>
  <c r="BN199" i="27"/>
  <c r="BM199" i="27"/>
  <c r="BN243" i="27"/>
  <c r="BM243" i="27"/>
  <c r="BM234" i="27"/>
  <c r="BN234" i="27"/>
  <c r="BQ232" i="27"/>
  <c r="BM225" i="27"/>
  <c r="BN225" i="27"/>
  <c r="AN112" i="34"/>
  <c r="AO112" i="34" s="1"/>
  <c r="AP112" i="34" s="1"/>
  <c r="BN198" i="27"/>
  <c r="BM198" i="27"/>
  <c r="BF214" i="27"/>
  <c r="BE214" i="27"/>
  <c r="BH244" i="27"/>
  <c r="BJ244" i="27" s="1"/>
  <c r="BF237" i="27"/>
  <c r="BE237" i="27"/>
  <c r="BN208" i="27"/>
  <c r="BM208" i="27"/>
  <c r="BF191" i="27"/>
  <c r="BE191" i="27"/>
  <c r="BQ182" i="27"/>
  <c r="BN175" i="27"/>
  <c r="BM175" i="27"/>
  <c r="BH176" i="27"/>
  <c r="BJ176" i="27" s="1"/>
  <c r="BE169" i="27"/>
  <c r="BF169" i="27"/>
  <c r="BE156" i="27"/>
  <c r="BF156" i="27"/>
  <c r="BM190" i="27"/>
  <c r="BN190" i="27"/>
  <c r="BP233" i="27"/>
  <c r="BR233" i="27" s="1"/>
  <c r="BM226" i="27"/>
  <c r="BN226" i="27"/>
  <c r="BN217" i="27"/>
  <c r="BM217" i="27"/>
  <c r="BE206" i="27"/>
  <c r="BF206" i="27"/>
  <c r="BF250" i="27"/>
  <c r="BE250" i="27"/>
  <c r="BE241" i="27"/>
  <c r="BF241" i="27"/>
  <c r="BI239" i="27"/>
  <c r="BF232" i="27"/>
  <c r="BE232" i="27"/>
  <c r="BQ188" i="27"/>
  <c r="BM181" i="27"/>
  <c r="BN181" i="27"/>
  <c r="BN230" i="27"/>
  <c r="BM230" i="27"/>
  <c r="BF221" i="27"/>
  <c r="BE221" i="27"/>
  <c r="BF196" i="27"/>
  <c r="BE196" i="27"/>
  <c r="BI189" i="27"/>
  <c r="BE182" i="27"/>
  <c r="BF182" i="27"/>
  <c r="BQ196" i="27"/>
  <c r="BM189" i="27"/>
  <c r="BN189" i="27"/>
  <c r="BF235" i="27"/>
  <c r="BE235" i="27"/>
  <c r="BH171" i="27"/>
  <c r="BJ171" i="27" s="1"/>
  <c r="BE164" i="27"/>
  <c r="BF164" i="27"/>
  <c r="BN176" i="27"/>
  <c r="BM176" i="27"/>
  <c r="BQ190" i="27"/>
  <c r="BM183" i="27"/>
  <c r="BN183" i="27"/>
  <c r="BN235" i="27"/>
  <c r="BM235" i="27"/>
  <c r="BE233" i="27"/>
  <c r="BF233" i="27"/>
  <c r="BF224" i="27"/>
  <c r="BE224" i="27"/>
  <c r="BQ231" i="27"/>
  <c r="BN224" i="27"/>
  <c r="BM224" i="27"/>
  <c r="BF197" i="27"/>
  <c r="BE197" i="27"/>
  <c r="BI195" i="27"/>
  <c r="BE188" i="27"/>
  <c r="BF188" i="27"/>
  <c r="BF230" i="27"/>
  <c r="BE230" i="27"/>
  <c r="BM237" i="27"/>
  <c r="BN237" i="27"/>
  <c r="BM221" i="27"/>
  <c r="BN221" i="27"/>
  <c r="BF173" i="27"/>
  <c r="BE173" i="27"/>
  <c r="BM178" i="27"/>
  <c r="BN178" i="27"/>
  <c r="BN169" i="27"/>
  <c r="BM169" i="27"/>
  <c r="BF183" i="27"/>
  <c r="BE183" i="27"/>
  <c r="BI197" i="27"/>
  <c r="BE190" i="27"/>
  <c r="BF190" i="27"/>
  <c r="BN207" i="27"/>
  <c r="BM207" i="27"/>
  <c r="BI249" i="27"/>
  <c r="BE242" i="27"/>
  <c r="BF242" i="27"/>
  <c r="BE231" i="27"/>
  <c r="BF231" i="27"/>
  <c r="BM215" i="27"/>
  <c r="BN215" i="27"/>
  <c r="BN250" i="27"/>
  <c r="BM250" i="27"/>
  <c r="BM241" i="27"/>
  <c r="BN241" i="27"/>
  <c r="BE198" i="27"/>
  <c r="BF198" i="27"/>
  <c r="BN246" i="27"/>
  <c r="BM246" i="27"/>
  <c r="BE100" i="27"/>
  <c r="BF100" i="27"/>
  <c r="BQ198" i="27"/>
  <c r="BN191" i="27"/>
  <c r="BM191" i="27"/>
  <c r="BN212" i="27"/>
  <c r="BM212" i="27"/>
  <c r="BF161" i="27"/>
  <c r="BE161" i="27"/>
  <c r="BF185" i="27"/>
  <c r="BE185" i="27"/>
  <c r="BE176" i="27"/>
  <c r="BF176" i="27"/>
  <c r="BI214" i="27"/>
  <c r="BE207" i="27"/>
  <c r="BF207" i="27"/>
  <c r="BN223" i="27"/>
  <c r="BM223" i="27"/>
  <c r="BM242" i="27"/>
  <c r="BN242" i="27"/>
  <c r="BN233" i="27"/>
  <c r="BM233" i="27"/>
  <c r="BF222" i="27"/>
  <c r="BE222" i="27"/>
  <c r="BN206" i="27"/>
  <c r="BM206" i="27"/>
  <c r="BQ204" i="27"/>
  <c r="BM197" i="27"/>
  <c r="BN197" i="27"/>
  <c r="BE248" i="27"/>
  <c r="BF248" i="27"/>
  <c r="AN103" i="34"/>
  <c r="AO103" i="34" s="1"/>
  <c r="AP103" i="34" s="1"/>
  <c r="BN121" i="27"/>
  <c r="BM121" i="27"/>
  <c r="BQ108" i="27"/>
  <c r="BM101" i="27"/>
  <c r="BN101" i="27"/>
  <c r="BF244" i="27"/>
  <c r="BE244" i="27"/>
  <c r="BP203" i="27"/>
  <c r="BR203" i="27" s="1"/>
  <c r="BN196" i="27"/>
  <c r="BM196" i="27"/>
  <c r="BN182" i="27"/>
  <c r="BM182" i="27"/>
  <c r="BQ178" i="27"/>
  <c r="BM171" i="27"/>
  <c r="BN171" i="27"/>
  <c r="BM192" i="27"/>
  <c r="BN192" i="27"/>
  <c r="BE223" i="27"/>
  <c r="BF223" i="27"/>
  <c r="BF249" i="27"/>
  <c r="BE249" i="27"/>
  <c r="BI247" i="27"/>
  <c r="BF240" i="27"/>
  <c r="BE240" i="27"/>
  <c r="BQ247" i="27"/>
  <c r="BN240" i="27"/>
  <c r="BM240" i="27"/>
  <c r="BI220" i="27"/>
  <c r="BE213" i="27"/>
  <c r="BF213" i="27"/>
  <c r="BF204" i="27"/>
  <c r="BE204" i="27"/>
  <c r="BH202" i="27"/>
  <c r="BJ202" i="27" s="1"/>
  <c r="BF195" i="27"/>
  <c r="BE195" i="27"/>
  <c r="BE246" i="27"/>
  <c r="BF246" i="27"/>
  <c r="BQ109" i="27"/>
  <c r="BM102" i="27"/>
  <c r="BN102" i="27"/>
  <c r="BN117" i="27"/>
  <c r="BM117" i="27"/>
  <c r="BF199" i="27"/>
  <c r="BE199" i="27"/>
  <c r="BF189" i="27"/>
  <c r="BE189" i="27"/>
  <c r="BE178" i="27"/>
  <c r="BF178" i="27"/>
  <c r="BM194" i="27"/>
  <c r="BN194" i="27"/>
  <c r="BQ192" i="27"/>
  <c r="BM185" i="27"/>
  <c r="BN185" i="27"/>
  <c r="BN239" i="27"/>
  <c r="BM239" i="27"/>
  <c r="BF247" i="27"/>
  <c r="BE247" i="27"/>
  <c r="BP238" i="27"/>
  <c r="BR238" i="27" s="1"/>
  <c r="BN231" i="27"/>
  <c r="BM231" i="27"/>
  <c r="BM124" i="27"/>
  <c r="BN124" i="27"/>
  <c r="BP134" i="27"/>
  <c r="BR134" i="27" s="1"/>
  <c r="BM127" i="27"/>
  <c r="BN127" i="27"/>
  <c r="BI114" i="27"/>
  <c r="BE107" i="27"/>
  <c r="BF107" i="27"/>
  <c r="BE212" i="27"/>
  <c r="BF212" i="27"/>
  <c r="BI113" i="27"/>
  <c r="BF106" i="27"/>
  <c r="BE106" i="27"/>
  <c r="BM200" i="27"/>
  <c r="BN200" i="27"/>
  <c r="BI199" i="27"/>
  <c r="BE192" i="27"/>
  <c r="BF192" i="27"/>
  <c r="BE239" i="27"/>
  <c r="BF239" i="27"/>
  <c r="BI109" i="27"/>
  <c r="BE102" i="27"/>
  <c r="BF102" i="27"/>
  <c r="BN249" i="27"/>
  <c r="BM249" i="27"/>
  <c r="BE238" i="27"/>
  <c r="BF238" i="27"/>
  <c r="BQ229" i="27"/>
  <c r="BN222" i="27"/>
  <c r="BM222" i="27"/>
  <c r="BM213" i="27"/>
  <c r="BN213" i="27"/>
  <c r="BM204" i="27"/>
  <c r="BN204" i="27"/>
  <c r="BM195" i="27"/>
  <c r="BN195" i="27"/>
  <c r="BF101" i="27"/>
  <c r="BE101" i="27"/>
  <c r="BF160" i="27"/>
  <c r="BE160" i="27"/>
  <c r="BF109" i="27"/>
  <c r="BE109" i="27"/>
  <c r="BP114" i="27"/>
  <c r="BR114" i="27" s="1"/>
  <c r="BN107" i="27"/>
  <c r="BM107" i="27"/>
  <c r="BF228" i="27"/>
  <c r="BE228" i="27"/>
  <c r="BN228" i="27"/>
  <c r="BM228" i="27"/>
  <c r="BQ194" i="27"/>
  <c r="BM187" i="27"/>
  <c r="BN187" i="27"/>
  <c r="BN232" i="27"/>
  <c r="BM232" i="27"/>
  <c r="BP223" i="27"/>
  <c r="BR223" i="27" s="1"/>
  <c r="BM216" i="27"/>
  <c r="BN216" i="27"/>
  <c r="BP112" i="27"/>
  <c r="BR112" i="27" s="1"/>
  <c r="BM105" i="27"/>
  <c r="BN105" i="27"/>
  <c r="BM104" i="27"/>
  <c r="BN104" i="27"/>
  <c r="BH236" i="27"/>
  <c r="BJ236" i="27" s="1"/>
  <c r="BE229" i="27"/>
  <c r="BF229" i="27"/>
  <c r="BH227" i="27"/>
  <c r="BJ227" i="27" s="1"/>
  <c r="BE220" i="27"/>
  <c r="BF220" i="27"/>
  <c r="BI218" i="27"/>
  <c r="BF211" i="27"/>
  <c r="BE211" i="27"/>
  <c r="BF202" i="27"/>
  <c r="BE202" i="27"/>
  <c r="BF157" i="27"/>
  <c r="BE157" i="27"/>
  <c r="BQ177" i="27"/>
  <c r="BM170" i="27"/>
  <c r="BN170" i="27"/>
  <c r="BF168" i="27"/>
  <c r="BE168" i="27"/>
  <c r="BN119" i="27"/>
  <c r="BM119" i="27"/>
  <c r="BQ116" i="27"/>
  <c r="BM109" i="27"/>
  <c r="BN109" i="27"/>
  <c r="BN244" i="27"/>
  <c r="BM244" i="27"/>
  <c r="BF194" i="27"/>
  <c r="BE194" i="27"/>
  <c r="BQ115" i="27"/>
  <c r="BN108" i="27"/>
  <c r="BM108" i="27"/>
  <c r="BM110" i="27"/>
  <c r="BN110" i="27"/>
  <c r="BN247" i="27"/>
  <c r="BM247" i="27"/>
  <c r="BE165" i="27"/>
  <c r="BF165" i="27"/>
  <c r="BI184" i="27"/>
  <c r="BF177" i="27"/>
  <c r="BE177" i="27"/>
  <c r="BI118" i="27"/>
  <c r="BF111" i="27"/>
  <c r="BE111" i="27"/>
  <c r="BN122" i="27"/>
  <c r="BM122" i="27"/>
  <c r="BF171" i="27"/>
  <c r="BE171" i="27"/>
  <c r="BF219" i="27"/>
  <c r="BE219" i="27"/>
  <c r="BH110" i="27"/>
  <c r="BJ110" i="27" s="1"/>
  <c r="BE103" i="27"/>
  <c r="BF103" i="27"/>
  <c r="BF110" i="27"/>
  <c r="BE110" i="27"/>
  <c r="BQ119" i="27"/>
  <c r="BM112" i="27"/>
  <c r="BN112" i="27"/>
  <c r="BQ245" i="27"/>
  <c r="BM238" i="27"/>
  <c r="BN238" i="27"/>
  <c r="BN229" i="27"/>
  <c r="BM229" i="27"/>
  <c r="BN220" i="27"/>
  <c r="BM220" i="27"/>
  <c r="BP218" i="27"/>
  <c r="BR218" i="27" s="1"/>
  <c r="BM211" i="27"/>
  <c r="BN211" i="27"/>
  <c r="BM202" i="27"/>
  <c r="BN202" i="27"/>
  <c r="D101" i="30"/>
  <c r="D102" i="30" s="1"/>
  <c r="D103" i="30" s="1"/>
  <c r="D104" i="30" s="1"/>
  <c r="D105" i="30" s="1"/>
  <c r="D106" i="30" s="1"/>
  <c r="D107" i="30" s="1"/>
  <c r="D108" i="30" s="1"/>
  <c r="D109" i="30" s="1"/>
  <c r="D110" i="30" s="1"/>
  <c r="D111" i="30" s="1"/>
  <c r="D112" i="30" s="1"/>
  <c r="D113" i="30" s="1"/>
  <c r="D114" i="30" s="1"/>
  <c r="D115" i="30" s="1"/>
  <c r="D116" i="30" s="1"/>
  <c r="D117" i="30" s="1"/>
  <c r="D118" i="30" s="1"/>
  <c r="D119" i="30" s="1"/>
  <c r="D120" i="30" s="1"/>
  <c r="L113" i="30"/>
  <c r="AJ101" i="40"/>
  <c r="X101" i="40"/>
  <c r="Y101" i="40" s="1"/>
  <c r="Z101" i="40" s="1"/>
  <c r="AF102" i="40"/>
  <c r="AN110" i="34"/>
  <c r="AO110" i="34" s="1"/>
  <c r="AP110" i="34" s="1"/>
  <c r="L112" i="34"/>
  <c r="AN101" i="38"/>
  <c r="L112" i="27"/>
  <c r="K100" i="27"/>
  <c r="H100" i="27"/>
  <c r="AF101" i="39"/>
  <c r="AN109" i="30"/>
  <c r="AO109" i="30" s="1"/>
  <c r="AP109" i="30" s="1"/>
  <c r="AO113" i="39"/>
  <c r="AP113" i="39" s="1"/>
  <c r="X101" i="39"/>
  <c r="AB100" i="39"/>
  <c r="AN112" i="30"/>
  <c r="AO112" i="30" s="1"/>
  <c r="AP112" i="30" s="1"/>
  <c r="L102" i="30"/>
  <c r="AN101" i="30"/>
  <c r="AO101" i="30" s="1"/>
  <c r="AP101" i="30" s="1"/>
  <c r="AN102" i="37"/>
  <c r="L108" i="27"/>
  <c r="L101" i="27"/>
  <c r="L104" i="34"/>
  <c r="AU108" i="34"/>
  <c r="AU178" i="34"/>
  <c r="AU249" i="34"/>
  <c r="AU189" i="34"/>
  <c r="AU198" i="34"/>
  <c r="AU226" i="34"/>
  <c r="AU120" i="34"/>
  <c r="AN108" i="34"/>
  <c r="AO108" i="34" s="1"/>
  <c r="AP108" i="34" s="1"/>
  <c r="V115" i="34"/>
  <c r="V117" i="34" s="1"/>
  <c r="V119" i="34" s="1"/>
  <c r="V121" i="34" s="1"/>
  <c r="V123" i="34" s="1"/>
  <c r="V125" i="34" s="1"/>
  <c r="V127" i="34" s="1"/>
  <c r="V129" i="34" s="1"/>
  <c r="V131" i="34" s="1"/>
  <c r="V133" i="34" s="1"/>
  <c r="V135" i="34" s="1"/>
  <c r="V137" i="34" s="1"/>
  <c r="V139" i="34" s="1"/>
  <c r="V141" i="34" s="1"/>
  <c r="V143" i="34" s="1"/>
  <c r="AF103" i="38"/>
  <c r="AG103" i="38" s="1"/>
  <c r="AH103" i="38" s="1"/>
  <c r="AR100" i="38"/>
  <c r="AH100" i="39"/>
  <c r="AJ100" i="39"/>
  <c r="AI101" i="39"/>
  <c r="F115" i="39" s="1"/>
  <c r="I115" i="39" s="1"/>
  <c r="V119" i="30"/>
  <c r="AR127" i="30"/>
  <c r="AQ128" i="30"/>
  <c r="AN127" i="30"/>
  <c r="AO127" i="30" s="1"/>
  <c r="AP127" i="30" s="1"/>
  <c r="AQ125" i="30"/>
  <c r="AN124" i="30"/>
  <c r="AO124" i="30" s="1"/>
  <c r="AP124" i="30" s="1"/>
  <c r="AR124" i="30"/>
  <c r="AN157" i="30"/>
  <c r="AO157" i="30" s="1"/>
  <c r="AP157" i="30" s="1"/>
  <c r="AQ158" i="30"/>
  <c r="AR157" i="30"/>
  <c r="AN137" i="30"/>
  <c r="AO137" i="30" s="1"/>
  <c r="AP137" i="30" s="1"/>
  <c r="AR137" i="30"/>
  <c r="AQ138" i="30"/>
  <c r="AQ122" i="30"/>
  <c r="AR121" i="30"/>
  <c r="AN121" i="30"/>
  <c r="AO121" i="30" s="1"/>
  <c r="AP121" i="30" s="1"/>
  <c r="AN160" i="30"/>
  <c r="AO160" i="30" s="1"/>
  <c r="AP160" i="30" s="1"/>
  <c r="AQ161" i="30"/>
  <c r="AR160" i="30"/>
  <c r="AN106" i="30"/>
  <c r="AO106" i="30" s="1"/>
  <c r="AP106" i="30" s="1"/>
  <c r="AR191" i="30"/>
  <c r="AN191" i="30"/>
  <c r="AO191" i="30" s="1"/>
  <c r="AP191" i="30" s="1"/>
  <c r="AQ192" i="30"/>
  <c r="AN194" i="30"/>
  <c r="AO194" i="30" s="1"/>
  <c r="AP194" i="30" s="1"/>
  <c r="AR193" i="30"/>
  <c r="AQ194" i="30"/>
  <c r="AN193" i="30"/>
  <c r="AO193" i="30" s="1"/>
  <c r="AP193" i="30" s="1"/>
  <c r="AQ152" i="30"/>
  <c r="AR151" i="30"/>
  <c r="AR180" i="30"/>
  <c r="AN180" i="30"/>
  <c r="AO180" i="30" s="1"/>
  <c r="AP180" i="30" s="1"/>
  <c r="AQ181" i="30"/>
  <c r="AQ171" i="30"/>
  <c r="AN170" i="30"/>
  <c r="AO170" i="30" s="1"/>
  <c r="AP170" i="30" s="1"/>
  <c r="AR170" i="30"/>
  <c r="AN233" i="30"/>
  <c r="AO233" i="30" s="1"/>
  <c r="AP233" i="30" s="1"/>
  <c r="AR233" i="30"/>
  <c r="AQ234" i="30"/>
  <c r="AN229" i="30"/>
  <c r="AO229" i="30" s="1"/>
  <c r="AP229" i="30" s="1"/>
  <c r="AQ230" i="30"/>
  <c r="AR229" i="30"/>
  <c r="AQ217" i="30"/>
  <c r="AN216" i="30"/>
  <c r="AO216" i="30" s="1"/>
  <c r="AP216" i="30" s="1"/>
  <c r="AR216" i="30"/>
  <c r="AQ209" i="30"/>
  <c r="AN208" i="30"/>
  <c r="AO208" i="30" s="1"/>
  <c r="AP208" i="30" s="1"/>
  <c r="AR208" i="30"/>
  <c r="AQ239" i="30"/>
  <c r="AR238" i="30"/>
  <c r="AN238" i="30"/>
  <c r="AO238" i="30" s="1"/>
  <c r="AP238" i="30" s="1"/>
  <c r="AN250" i="30"/>
  <c r="AO250" i="30" s="1"/>
  <c r="AP250" i="30" s="1"/>
  <c r="AR250" i="30"/>
  <c r="AU144" i="30"/>
  <c r="AU210" i="30"/>
  <c r="AU128" i="30"/>
  <c r="AU204" i="30"/>
  <c r="AU143" i="30"/>
  <c r="AU212" i="30"/>
  <c r="AU151" i="30"/>
  <c r="AU184" i="30"/>
  <c r="AU122" i="30"/>
  <c r="AU250" i="30"/>
  <c r="AU153" i="30"/>
  <c r="AU217" i="30"/>
  <c r="AU115" i="30"/>
  <c r="AU243" i="30"/>
  <c r="AU157" i="30"/>
  <c r="AU221" i="30"/>
  <c r="AU150" i="30"/>
  <c r="AU214" i="30"/>
  <c r="AQ101" i="39"/>
  <c r="AQ121" i="30"/>
  <c r="AR120" i="30"/>
  <c r="AN120" i="30"/>
  <c r="AO120" i="30" s="1"/>
  <c r="AP120" i="30" s="1"/>
  <c r="AQ120" i="30"/>
  <c r="AR119" i="30"/>
  <c r="AN117" i="30"/>
  <c r="AO117" i="30" s="1"/>
  <c r="AP117" i="30" s="1"/>
  <c r="AQ118" i="30"/>
  <c r="AR117" i="30"/>
  <c r="AQ160" i="30"/>
  <c r="AR159" i="30"/>
  <c r="AN159" i="30"/>
  <c r="AO159" i="30" s="1"/>
  <c r="AP159" i="30" s="1"/>
  <c r="AN108" i="30"/>
  <c r="AO108" i="30" s="1"/>
  <c r="AP108" i="30" s="1"/>
  <c r="AR135" i="30"/>
  <c r="AN135" i="30"/>
  <c r="AO135" i="30" s="1"/>
  <c r="AP135" i="30" s="1"/>
  <c r="AQ136" i="30"/>
  <c r="AN102" i="30"/>
  <c r="AO102" i="30" s="1"/>
  <c r="AP102" i="30" s="1"/>
  <c r="AQ139" i="30"/>
  <c r="AR138" i="30"/>
  <c r="AN138" i="30"/>
  <c r="AO138" i="30" s="1"/>
  <c r="AP138" i="30" s="1"/>
  <c r="AR164" i="30"/>
  <c r="AN164" i="30"/>
  <c r="AO164" i="30" s="1"/>
  <c r="AP164" i="30" s="1"/>
  <c r="AQ165" i="30"/>
  <c r="AN145" i="30"/>
  <c r="AO145" i="30" s="1"/>
  <c r="AP145" i="30" s="1"/>
  <c r="AR145" i="30"/>
  <c r="AQ146" i="30"/>
  <c r="AN153" i="30"/>
  <c r="AO153" i="30" s="1"/>
  <c r="AP153" i="30" s="1"/>
  <c r="AQ154" i="30"/>
  <c r="AR153" i="30"/>
  <c r="AR161" i="30"/>
  <c r="AQ162" i="30"/>
  <c r="AN161" i="30"/>
  <c r="AO161" i="30" s="1"/>
  <c r="AP161" i="30" s="1"/>
  <c r="AQ176" i="30"/>
  <c r="AR175" i="30"/>
  <c r="AN175" i="30"/>
  <c r="AO175" i="30" s="1"/>
  <c r="AP175" i="30" s="1"/>
  <c r="AR195" i="30"/>
  <c r="AN195" i="30"/>
  <c r="AO195" i="30" s="1"/>
  <c r="AP195" i="30" s="1"/>
  <c r="AQ196" i="30"/>
  <c r="AR171" i="30"/>
  <c r="AQ172" i="30"/>
  <c r="AN171" i="30"/>
  <c r="AO171" i="30" s="1"/>
  <c r="AP171" i="30" s="1"/>
  <c r="AR166" i="30"/>
  <c r="AQ167" i="30"/>
  <c r="AN166" i="30"/>
  <c r="AO166" i="30" s="1"/>
  <c r="AP166" i="30" s="1"/>
  <c r="AR196" i="30"/>
  <c r="AQ197" i="30"/>
  <c r="AN196" i="30"/>
  <c r="AO196" i="30" s="1"/>
  <c r="AP196" i="30" s="1"/>
  <c r="AR236" i="30"/>
  <c r="AN236" i="30"/>
  <c r="AO236" i="30" s="1"/>
  <c r="AP236" i="30" s="1"/>
  <c r="AQ237" i="30"/>
  <c r="AQ216" i="30"/>
  <c r="AR215" i="30"/>
  <c r="AN215" i="30"/>
  <c r="AO215" i="30" s="1"/>
  <c r="AP215" i="30" s="1"/>
  <c r="AQ224" i="30"/>
  <c r="AR223" i="30"/>
  <c r="AN223" i="30"/>
  <c r="AO223" i="30" s="1"/>
  <c r="AP223" i="30" s="1"/>
  <c r="AU114" i="30"/>
  <c r="AU192" i="30"/>
  <c r="AU220" i="30"/>
  <c r="AU159" i="30"/>
  <c r="AU228" i="30"/>
  <c r="AU167" i="30"/>
  <c r="AU200" i="30"/>
  <c r="AU138" i="30"/>
  <c r="AU161" i="30"/>
  <c r="AU225" i="30"/>
  <c r="AU123" i="30"/>
  <c r="AU187" i="30"/>
  <c r="AU101" i="30"/>
  <c r="AU229" i="30"/>
  <c r="AU141" i="30"/>
  <c r="AU158" i="30"/>
  <c r="AU222" i="30"/>
  <c r="AF100" i="30"/>
  <c r="AG100" i="30" s="1"/>
  <c r="AH100" i="30" s="1"/>
  <c r="AR165" i="30"/>
  <c r="AN165" i="30"/>
  <c r="AO165" i="30" s="1"/>
  <c r="AP165" i="30" s="1"/>
  <c r="AQ166" i="30"/>
  <c r="AR131" i="30"/>
  <c r="AN131" i="30"/>
  <c r="AO131" i="30" s="1"/>
  <c r="AP131" i="30" s="1"/>
  <c r="AQ132" i="30"/>
  <c r="AO104" i="30"/>
  <c r="AP104" i="30" s="1"/>
  <c r="AR134" i="30"/>
  <c r="AQ135" i="30"/>
  <c r="AN134" i="30"/>
  <c r="AO134" i="30" s="1"/>
  <c r="AP134" i="30" s="1"/>
  <c r="AN114" i="30"/>
  <c r="AO114" i="30" s="1"/>
  <c r="AP114" i="30" s="1"/>
  <c r="AR122" i="30"/>
  <c r="AQ123" i="30"/>
  <c r="AN122" i="30"/>
  <c r="AO122" i="30" s="1"/>
  <c r="AP122" i="30" s="1"/>
  <c r="AN167" i="30"/>
  <c r="AO167" i="30" s="1"/>
  <c r="AP167" i="30" s="1"/>
  <c r="AR167" i="30"/>
  <c r="AQ168" i="30"/>
  <c r="AR206" i="30"/>
  <c r="AQ207" i="30"/>
  <c r="AN206" i="30"/>
  <c r="AO206" i="30" s="1"/>
  <c r="AP206" i="30" s="1"/>
  <c r="AQ221" i="30"/>
  <c r="AN220" i="30"/>
  <c r="AO220" i="30" s="1"/>
  <c r="AP220" i="30" s="1"/>
  <c r="AR220" i="30"/>
  <c r="AN199" i="30"/>
  <c r="AO199" i="30" s="1"/>
  <c r="AP199" i="30" s="1"/>
  <c r="AR199" i="30"/>
  <c r="AQ200" i="30"/>
  <c r="AQ225" i="30"/>
  <c r="AR224" i="30"/>
  <c r="AN224" i="30"/>
  <c r="AO224" i="30" s="1"/>
  <c r="AP224" i="30" s="1"/>
  <c r="AR200" i="30"/>
  <c r="AN200" i="30"/>
  <c r="AO200" i="30" s="1"/>
  <c r="AP200" i="30" s="1"/>
  <c r="AQ201" i="30"/>
  <c r="AQ223" i="30"/>
  <c r="AR222" i="30"/>
  <c r="AN222" i="30"/>
  <c r="AO222" i="30" s="1"/>
  <c r="AP222" i="30" s="1"/>
  <c r="AR247" i="30"/>
  <c r="AQ248" i="30"/>
  <c r="AN247" i="30"/>
  <c r="AO247" i="30" s="1"/>
  <c r="AP247" i="30" s="1"/>
  <c r="AU178" i="30"/>
  <c r="AU108" i="30"/>
  <c r="AU236" i="30"/>
  <c r="AU175" i="30"/>
  <c r="AU116" i="30"/>
  <c r="AU244" i="30"/>
  <c r="AU183" i="30"/>
  <c r="AU216" i="30"/>
  <c r="AU154" i="30"/>
  <c r="AU105" i="30"/>
  <c r="AU169" i="30"/>
  <c r="AU233" i="30"/>
  <c r="AU147" i="30"/>
  <c r="AU131" i="30"/>
  <c r="AU195" i="30"/>
  <c r="AU109" i="30"/>
  <c r="AU173" i="30"/>
  <c r="AU237" i="30"/>
  <c r="AU213" i="30"/>
  <c r="AU102" i="30"/>
  <c r="AU166" i="30"/>
  <c r="AU230" i="30"/>
  <c r="W118" i="39"/>
  <c r="W119" i="39" s="1"/>
  <c r="W120" i="39" s="1"/>
  <c r="AQ131" i="30"/>
  <c r="AR130" i="30"/>
  <c r="AN130" i="30"/>
  <c r="AO130" i="30" s="1"/>
  <c r="AP130" i="30" s="1"/>
  <c r="AQ124" i="30"/>
  <c r="AN123" i="30"/>
  <c r="AO123" i="30" s="1"/>
  <c r="AP123" i="30" s="1"/>
  <c r="AR123" i="30"/>
  <c r="AQ137" i="30"/>
  <c r="AR136" i="30"/>
  <c r="AN136" i="30"/>
  <c r="AO136" i="30" s="1"/>
  <c r="AP136" i="30" s="1"/>
  <c r="AN139" i="30"/>
  <c r="AO139" i="30" s="1"/>
  <c r="AP139" i="30" s="1"/>
  <c r="AR139" i="30"/>
  <c r="AQ140" i="30"/>
  <c r="AR176" i="30"/>
  <c r="AQ177" i="30"/>
  <c r="AN176" i="30"/>
  <c r="AO176" i="30" s="1"/>
  <c r="AP176" i="30" s="1"/>
  <c r="AQ183" i="30"/>
  <c r="AR182" i="30"/>
  <c r="AN182" i="30"/>
  <c r="AO182" i="30" s="1"/>
  <c r="AP182" i="30" s="1"/>
  <c r="AN201" i="30"/>
  <c r="AO201" i="30" s="1"/>
  <c r="AP201" i="30" s="1"/>
  <c r="AR201" i="30"/>
  <c r="AQ202" i="30"/>
  <c r="AQ147" i="30"/>
  <c r="AR146" i="30"/>
  <c r="AN146" i="30"/>
  <c r="AO146" i="30" s="1"/>
  <c r="AP146" i="30" s="1"/>
  <c r="AQ157" i="30"/>
  <c r="AR156" i="30"/>
  <c r="AN156" i="30"/>
  <c r="AO156" i="30" s="1"/>
  <c r="AP156" i="30" s="1"/>
  <c r="AQ184" i="30"/>
  <c r="AR183" i="30"/>
  <c r="AN183" i="30"/>
  <c r="AO183" i="30" s="1"/>
  <c r="AP183" i="30" s="1"/>
  <c r="AN152" i="30"/>
  <c r="AO152" i="30" s="1"/>
  <c r="AP152" i="30" s="1"/>
  <c r="AQ153" i="30"/>
  <c r="AR152" i="30"/>
  <c r="AQ186" i="30"/>
  <c r="AN185" i="30"/>
  <c r="AO185" i="30" s="1"/>
  <c r="AP185" i="30" s="1"/>
  <c r="AR185" i="30"/>
  <c r="AN205" i="30"/>
  <c r="AO205" i="30" s="1"/>
  <c r="AP205" i="30" s="1"/>
  <c r="AR205" i="30"/>
  <c r="AQ206" i="30"/>
  <c r="AR168" i="30"/>
  <c r="AQ169" i="30"/>
  <c r="AN168" i="30"/>
  <c r="AO168" i="30" s="1"/>
  <c r="AP168" i="30" s="1"/>
  <c r="AR202" i="30"/>
  <c r="AQ203" i="30"/>
  <c r="AN202" i="30"/>
  <c r="AO202" i="30" s="1"/>
  <c r="AP202" i="30" s="1"/>
  <c r="AN211" i="30"/>
  <c r="AO211" i="30" s="1"/>
  <c r="AP211" i="30" s="1"/>
  <c r="AR210" i="30"/>
  <c r="AQ211" i="30"/>
  <c r="AN210" i="30"/>
  <c r="AO210" i="30" s="1"/>
  <c r="AP210" i="30" s="1"/>
  <c r="AN203" i="30"/>
  <c r="AO203" i="30" s="1"/>
  <c r="AP203" i="30" s="1"/>
  <c r="AR203" i="30"/>
  <c r="AQ204" i="30"/>
  <c r="AR232" i="30"/>
  <c r="AN232" i="30"/>
  <c r="AO232" i="30" s="1"/>
  <c r="AP232" i="30" s="1"/>
  <c r="AQ233" i="30"/>
  <c r="AN241" i="30"/>
  <c r="AO241" i="30" s="1"/>
  <c r="AP241" i="30" s="1"/>
  <c r="AQ242" i="30"/>
  <c r="AR241" i="30"/>
  <c r="AQ240" i="30"/>
  <c r="AR239" i="30"/>
  <c r="AN239" i="30"/>
  <c r="AO239" i="30" s="1"/>
  <c r="AP239" i="30" s="1"/>
  <c r="AU112" i="30"/>
  <c r="AU242" i="30"/>
  <c r="AU124" i="30"/>
  <c r="AU191" i="30"/>
  <c r="AU132" i="30"/>
  <c r="AU199" i="30"/>
  <c r="AU104" i="30"/>
  <c r="AU232" i="30"/>
  <c r="AU170" i="30"/>
  <c r="AU113" i="30"/>
  <c r="AU177" i="30"/>
  <c r="AU241" i="30"/>
  <c r="AU139" i="30"/>
  <c r="AU203" i="30"/>
  <c r="AU117" i="30"/>
  <c r="AU245" i="30"/>
  <c r="AU110" i="30"/>
  <c r="AU174" i="30"/>
  <c r="AU238" i="30"/>
  <c r="AN143" i="30"/>
  <c r="AO143" i="30" s="1"/>
  <c r="AP143" i="30" s="1"/>
  <c r="AR143" i="30"/>
  <c r="AQ144" i="30"/>
  <c r="AN113" i="30"/>
  <c r="AO113" i="30" s="1"/>
  <c r="AP113" i="30" s="1"/>
  <c r="AQ175" i="30"/>
  <c r="AR174" i="30"/>
  <c r="AN174" i="30"/>
  <c r="AO174" i="30" s="1"/>
  <c r="AP174" i="30" s="1"/>
  <c r="AN244" i="30"/>
  <c r="AO244" i="30" s="1"/>
  <c r="AP244" i="30" s="1"/>
  <c r="AR244" i="30"/>
  <c r="AQ245" i="30"/>
  <c r="AQ164" i="30"/>
  <c r="AR163" i="30"/>
  <c r="AN163" i="30"/>
  <c r="AO163" i="30" s="1"/>
  <c r="AP163" i="30" s="1"/>
  <c r="AQ187" i="30"/>
  <c r="AN186" i="30"/>
  <c r="AO186" i="30" s="1"/>
  <c r="AP186" i="30" s="1"/>
  <c r="AR186" i="30"/>
  <c r="AN189" i="30"/>
  <c r="AO189" i="30" s="1"/>
  <c r="AP189" i="30" s="1"/>
  <c r="AQ190" i="30"/>
  <c r="AR189" i="30"/>
  <c r="AQ170" i="30"/>
  <c r="AN169" i="30"/>
  <c r="AO169" i="30" s="1"/>
  <c r="AP169" i="30" s="1"/>
  <c r="AR169" i="30"/>
  <c r="AQ227" i="30"/>
  <c r="AR226" i="30"/>
  <c r="AN226" i="30"/>
  <c r="AO226" i="30" s="1"/>
  <c r="AP226" i="30" s="1"/>
  <c r="AR230" i="30"/>
  <c r="AN230" i="30"/>
  <c r="AO230" i="30" s="1"/>
  <c r="AP230" i="30" s="1"/>
  <c r="AQ231" i="30"/>
  <c r="AQ212" i="30"/>
  <c r="AR211" i="30"/>
  <c r="AQ218" i="30"/>
  <c r="AR217" i="30"/>
  <c r="AN217" i="30"/>
  <c r="AO217" i="30" s="1"/>
  <c r="AP217" i="30" s="1"/>
  <c r="AQ226" i="30"/>
  <c r="AR225" i="30"/>
  <c r="AN225" i="30"/>
  <c r="AO225" i="30" s="1"/>
  <c r="AP225" i="30" s="1"/>
  <c r="AN240" i="30"/>
  <c r="AO240" i="30" s="1"/>
  <c r="AP240" i="30" s="1"/>
  <c r="AR240" i="30"/>
  <c r="AQ241" i="30"/>
  <c r="AQ236" i="30"/>
  <c r="AR235" i="30"/>
  <c r="AN235" i="30"/>
  <c r="AO235" i="30" s="1"/>
  <c r="AP235" i="30" s="1"/>
  <c r="AU176" i="30"/>
  <c r="AU140" i="30"/>
  <c r="AU207" i="30"/>
  <c r="AU148" i="30"/>
  <c r="AU215" i="30"/>
  <c r="AU120" i="30"/>
  <c r="AU248" i="30"/>
  <c r="AU186" i="30"/>
  <c r="AU121" i="30"/>
  <c r="AU185" i="30"/>
  <c r="AU249" i="30"/>
  <c r="AU211" i="30"/>
  <c r="AU189" i="30"/>
  <c r="AU165" i="30"/>
  <c r="AU118" i="30"/>
  <c r="AU182" i="30"/>
  <c r="AU246" i="30"/>
  <c r="V122" i="39"/>
  <c r="AS100" i="39"/>
  <c r="AR133" i="30"/>
  <c r="AQ134" i="30"/>
  <c r="AN133" i="30"/>
  <c r="AO133" i="30" s="1"/>
  <c r="AP133" i="30" s="1"/>
  <c r="AQ156" i="30"/>
  <c r="AN155" i="30"/>
  <c r="AO155" i="30" s="1"/>
  <c r="AP155" i="30" s="1"/>
  <c r="AR155" i="30"/>
  <c r="AN105" i="30"/>
  <c r="AO105" i="30" s="1"/>
  <c r="AP105" i="30" s="1"/>
  <c r="AQ126" i="30"/>
  <c r="AN125" i="30"/>
  <c r="AO125" i="30" s="1"/>
  <c r="AP125" i="30" s="1"/>
  <c r="AR125" i="30"/>
  <c r="AR128" i="30"/>
  <c r="AN128" i="30"/>
  <c r="AO128" i="30" s="1"/>
  <c r="AP128" i="30" s="1"/>
  <c r="AQ129" i="30"/>
  <c r="AN111" i="30"/>
  <c r="AO111" i="30" s="1"/>
  <c r="AP111" i="30" s="1"/>
  <c r="AQ148" i="30"/>
  <c r="AR147" i="30"/>
  <c r="AN147" i="30"/>
  <c r="AO147" i="30" s="1"/>
  <c r="AP147" i="30" s="1"/>
  <c r="AR142" i="30"/>
  <c r="AQ143" i="30"/>
  <c r="AN142" i="30"/>
  <c r="AO142" i="30" s="1"/>
  <c r="AP142" i="30" s="1"/>
  <c r="AQ141" i="30"/>
  <c r="AR140" i="30"/>
  <c r="AN140" i="30"/>
  <c r="AO140" i="30" s="1"/>
  <c r="AP140" i="30" s="1"/>
  <c r="AR187" i="30"/>
  <c r="AQ188" i="30"/>
  <c r="AN187" i="30"/>
  <c r="AO187" i="30" s="1"/>
  <c r="AP187" i="30" s="1"/>
  <c r="AR234" i="30"/>
  <c r="AQ235" i="30"/>
  <c r="AN234" i="30"/>
  <c r="AO234" i="30" s="1"/>
  <c r="AP234" i="30" s="1"/>
  <c r="AR154" i="30"/>
  <c r="AQ155" i="30"/>
  <c r="AN154" i="30"/>
  <c r="AO154" i="30" s="1"/>
  <c r="AP154" i="30" s="1"/>
  <c r="AN177" i="30"/>
  <c r="AO177" i="30" s="1"/>
  <c r="AP177" i="30" s="1"/>
  <c r="AR177" i="30"/>
  <c r="AQ178" i="30"/>
  <c r="AQ173" i="30"/>
  <c r="AN172" i="30"/>
  <c r="AO172" i="30" s="1"/>
  <c r="AP172" i="30" s="1"/>
  <c r="AR172" i="30"/>
  <c r="AR184" i="30"/>
  <c r="AN184" i="30"/>
  <c r="AO184" i="30" s="1"/>
  <c r="AP184" i="30" s="1"/>
  <c r="AQ185" i="30"/>
  <c r="AR198" i="30"/>
  <c r="AQ199" i="30"/>
  <c r="AN198" i="30"/>
  <c r="AO198" i="30" s="1"/>
  <c r="AP198" i="30" s="1"/>
  <c r="AN228" i="30"/>
  <c r="AO228" i="30" s="1"/>
  <c r="AP228" i="30" s="1"/>
  <c r="AR228" i="30"/>
  <c r="AQ229" i="30"/>
  <c r="AQ243" i="30"/>
  <c r="AN242" i="30"/>
  <c r="AO242" i="30" s="1"/>
  <c r="AP242" i="30" s="1"/>
  <c r="AR242" i="30"/>
  <c r="AR243" i="30"/>
  <c r="AN243" i="30"/>
  <c r="AO243" i="30" s="1"/>
  <c r="AP243" i="30" s="1"/>
  <c r="AQ244" i="30"/>
  <c r="AQ213" i="30"/>
  <c r="AR212" i="30"/>
  <c r="AN212" i="30"/>
  <c r="AO212" i="30" s="1"/>
  <c r="AP212" i="30" s="1"/>
  <c r="AQ249" i="30"/>
  <c r="AN248" i="30"/>
  <c r="AO248" i="30" s="1"/>
  <c r="AP248" i="30" s="1"/>
  <c r="AR248" i="30"/>
  <c r="AU162" i="30"/>
  <c r="AU240" i="30"/>
  <c r="AU130" i="30"/>
  <c r="AU156" i="30"/>
  <c r="AU223" i="30"/>
  <c r="AU164" i="30"/>
  <c r="AU103" i="30"/>
  <c r="AU231" i="30"/>
  <c r="AU136" i="30"/>
  <c r="AU202" i="30"/>
  <c r="AU129" i="30"/>
  <c r="AU193" i="30"/>
  <c r="AU171" i="30"/>
  <c r="AU155" i="30"/>
  <c r="AU219" i="30"/>
  <c r="AU133" i="30"/>
  <c r="AU197" i="30"/>
  <c r="AU126" i="30"/>
  <c r="AU190" i="30"/>
  <c r="AN132" i="30"/>
  <c r="AO132" i="30" s="1"/>
  <c r="AP132" i="30" s="1"/>
  <c r="AR132" i="30"/>
  <c r="AQ133" i="30"/>
  <c r="AR115" i="30"/>
  <c r="AN115" i="30"/>
  <c r="AO115" i="30" s="1"/>
  <c r="AP115" i="30" s="1"/>
  <c r="AQ116" i="30"/>
  <c r="X100" i="30"/>
  <c r="Y100" i="30" s="1"/>
  <c r="Z100" i="30" s="1"/>
  <c r="AQ127" i="30"/>
  <c r="AR126" i="30"/>
  <c r="AN126" i="30"/>
  <c r="AO126" i="30" s="1"/>
  <c r="AP126" i="30" s="1"/>
  <c r="AR141" i="30"/>
  <c r="AQ142" i="30"/>
  <c r="AN141" i="30"/>
  <c r="AO141" i="30" s="1"/>
  <c r="AP141" i="30" s="1"/>
  <c r="AR192" i="30"/>
  <c r="AQ193" i="30"/>
  <c r="AN192" i="30"/>
  <c r="AO192" i="30" s="1"/>
  <c r="AP192" i="30" s="1"/>
  <c r="AR178" i="30"/>
  <c r="AQ179" i="30"/>
  <c r="AN178" i="30"/>
  <c r="AO178" i="30" s="1"/>
  <c r="AP178" i="30" s="1"/>
  <c r="AR218" i="30"/>
  <c r="AQ219" i="30"/>
  <c r="AN218" i="30"/>
  <c r="AO218" i="30" s="1"/>
  <c r="AP218" i="30" s="1"/>
  <c r="AN179" i="30"/>
  <c r="AO179" i="30" s="1"/>
  <c r="AP179" i="30" s="1"/>
  <c r="AR179" i="30"/>
  <c r="AQ180" i="30"/>
  <c r="AQ163" i="30"/>
  <c r="AR162" i="30"/>
  <c r="AN162" i="30"/>
  <c r="AO162" i="30" s="1"/>
  <c r="AP162" i="30" s="1"/>
  <c r="AQ210" i="30"/>
  <c r="AR209" i="30"/>
  <c r="AN209" i="30"/>
  <c r="AO209" i="30" s="1"/>
  <c r="AP209" i="30" s="1"/>
  <c r="AN181" i="30"/>
  <c r="AO181" i="30" s="1"/>
  <c r="AP181" i="30" s="1"/>
  <c r="AQ182" i="30"/>
  <c r="AR181" i="30"/>
  <c r="AR190" i="30"/>
  <c r="AN190" i="30"/>
  <c r="AO190" i="30" s="1"/>
  <c r="AP190" i="30" s="1"/>
  <c r="AQ191" i="30"/>
  <c r="AQ232" i="30"/>
  <c r="AR231" i="30"/>
  <c r="AN231" i="30"/>
  <c r="AO231" i="30" s="1"/>
  <c r="AP231" i="30" s="1"/>
  <c r="AN221" i="30"/>
  <c r="AO221" i="30" s="1"/>
  <c r="AP221" i="30" s="1"/>
  <c r="AR221" i="30"/>
  <c r="AQ222" i="30"/>
  <c r="AN207" i="30"/>
  <c r="AO207" i="30" s="1"/>
  <c r="AP207" i="30" s="1"/>
  <c r="AR207" i="30"/>
  <c r="AQ208" i="30"/>
  <c r="AN246" i="30"/>
  <c r="AO246" i="30" s="1"/>
  <c r="AP246" i="30" s="1"/>
  <c r="AR246" i="30"/>
  <c r="AQ247" i="30"/>
  <c r="AQ214" i="30"/>
  <c r="AR213" i="30"/>
  <c r="AN213" i="30"/>
  <c r="AO213" i="30" s="1"/>
  <c r="AP213" i="30" s="1"/>
  <c r="AR245" i="30"/>
  <c r="AN245" i="30"/>
  <c r="AO245" i="30" s="1"/>
  <c r="AP245" i="30" s="1"/>
  <c r="AQ246" i="30"/>
  <c r="AU160" i="30"/>
  <c r="AU226" i="30"/>
  <c r="AU194" i="30"/>
  <c r="AU172" i="30"/>
  <c r="AU111" i="30"/>
  <c r="AU239" i="30"/>
  <c r="AU180" i="30"/>
  <c r="AU119" i="30"/>
  <c r="AU247" i="30"/>
  <c r="AU152" i="30"/>
  <c r="AU218" i="30"/>
  <c r="AU137" i="30"/>
  <c r="AU201" i="30"/>
  <c r="AU179" i="30"/>
  <c r="AU163" i="30"/>
  <c r="AU227" i="30"/>
  <c r="AU205" i="30"/>
  <c r="AU181" i="30"/>
  <c r="AU134" i="30"/>
  <c r="AU198" i="30"/>
  <c r="V121" i="39"/>
  <c r="AR100" i="39"/>
  <c r="V114" i="30"/>
  <c r="AN119" i="30"/>
  <c r="AO119" i="30" s="1"/>
  <c r="AP119" i="30" s="1"/>
  <c r="AR118" i="30"/>
  <c r="AN118" i="30"/>
  <c r="AO118" i="30" s="1"/>
  <c r="AP118" i="30" s="1"/>
  <c r="AQ119" i="30"/>
  <c r="AR129" i="30"/>
  <c r="AQ130" i="30"/>
  <c r="AN129" i="30"/>
  <c r="AO129" i="30" s="1"/>
  <c r="AP129" i="30" s="1"/>
  <c r="W116" i="30"/>
  <c r="AR148" i="30"/>
  <c r="AN148" i="30"/>
  <c r="AO148" i="30" s="1"/>
  <c r="AP148" i="30" s="1"/>
  <c r="AQ149" i="30"/>
  <c r="AN100" i="30"/>
  <c r="AO100" i="30" s="1"/>
  <c r="AP100" i="30" s="1"/>
  <c r="AQ117" i="30"/>
  <c r="AR116" i="30"/>
  <c r="AN116" i="30"/>
  <c r="AO116" i="30" s="1"/>
  <c r="AP116" i="30" s="1"/>
  <c r="AR144" i="30"/>
  <c r="AQ145" i="30"/>
  <c r="AN144" i="30"/>
  <c r="AO144" i="30" s="1"/>
  <c r="AP144" i="30" s="1"/>
  <c r="AN151" i="30"/>
  <c r="AO151" i="30" s="1"/>
  <c r="AP151" i="30" s="1"/>
  <c r="AR150" i="30"/>
  <c r="AQ151" i="30"/>
  <c r="AN150" i="30"/>
  <c r="AO150" i="30" s="1"/>
  <c r="AP150" i="30" s="1"/>
  <c r="AR188" i="30"/>
  <c r="AQ189" i="30"/>
  <c r="AN188" i="30"/>
  <c r="AO188" i="30" s="1"/>
  <c r="AP188" i="30" s="1"/>
  <c r="AQ150" i="30"/>
  <c r="AR149" i="30"/>
  <c r="AN149" i="30"/>
  <c r="AO149" i="30" s="1"/>
  <c r="AP149" i="30" s="1"/>
  <c r="AQ174" i="30"/>
  <c r="AN173" i="30"/>
  <c r="AO173" i="30" s="1"/>
  <c r="AP173" i="30" s="1"/>
  <c r="AR173" i="30"/>
  <c r="AR158" i="30"/>
  <c r="AQ159" i="30"/>
  <c r="AN158" i="30"/>
  <c r="AO158" i="30" s="1"/>
  <c r="AP158" i="30" s="1"/>
  <c r="AR194" i="30"/>
  <c r="AQ195" i="30"/>
  <c r="AQ228" i="30"/>
  <c r="AR227" i="30"/>
  <c r="AN227" i="30"/>
  <c r="AO227" i="30" s="1"/>
  <c r="AP227" i="30" s="1"/>
  <c r="AR219" i="30"/>
  <c r="AQ220" i="30"/>
  <c r="AN219" i="30"/>
  <c r="AO219" i="30" s="1"/>
  <c r="AP219" i="30" s="1"/>
  <c r="AR249" i="30"/>
  <c r="AQ250" i="30"/>
  <c r="AN249" i="30"/>
  <c r="AO249" i="30" s="1"/>
  <c r="AP249" i="30" s="1"/>
  <c r="AR204" i="30"/>
  <c r="AQ205" i="30"/>
  <c r="AN204" i="30"/>
  <c r="AO204" i="30" s="1"/>
  <c r="AP204" i="30" s="1"/>
  <c r="AQ215" i="30"/>
  <c r="AN214" i="30"/>
  <c r="AO214" i="30" s="1"/>
  <c r="AP214" i="30" s="1"/>
  <c r="AR214" i="30"/>
  <c r="AN197" i="30"/>
  <c r="AO197" i="30" s="1"/>
  <c r="AP197" i="30" s="1"/>
  <c r="AR197" i="30"/>
  <c r="AQ198" i="30"/>
  <c r="AN237" i="30"/>
  <c r="AO237" i="30" s="1"/>
  <c r="AP237" i="30" s="1"/>
  <c r="AQ238" i="30"/>
  <c r="AR237" i="30"/>
  <c r="AU146" i="30"/>
  <c r="AU208" i="30"/>
  <c r="AU224" i="30"/>
  <c r="AU188" i="30"/>
  <c r="AU127" i="30"/>
  <c r="AU196" i="30"/>
  <c r="AU135" i="30"/>
  <c r="AU168" i="30"/>
  <c r="AU106" i="30"/>
  <c r="AU234" i="30"/>
  <c r="AU145" i="30"/>
  <c r="AU209" i="30"/>
  <c r="AU107" i="30"/>
  <c r="AU235" i="30"/>
  <c r="AU149" i="30"/>
  <c r="AU125" i="30"/>
  <c r="AU142" i="30"/>
  <c r="AU206" i="30"/>
  <c r="AH100" i="40"/>
  <c r="AI101" i="40"/>
  <c r="F115" i="40" s="1"/>
  <c r="I115" i="40" s="1"/>
  <c r="AJ100" i="40"/>
  <c r="AP114" i="40"/>
  <c r="AQ115" i="40"/>
  <c r="Z100" i="40"/>
  <c r="AB100" i="40"/>
  <c r="AA101" i="40"/>
  <c r="E101" i="40" s="1"/>
  <c r="H101" i="40" s="1"/>
  <c r="AP100" i="40"/>
  <c r="AQ101" i="40"/>
  <c r="AR100" i="40"/>
  <c r="AQ195" i="34"/>
  <c r="AN194" i="34"/>
  <c r="AO194" i="34" s="1"/>
  <c r="AP194" i="34" s="1"/>
  <c r="AR194" i="34"/>
  <c r="AR200" i="34"/>
  <c r="AQ201" i="34"/>
  <c r="AN200" i="34"/>
  <c r="AO200" i="34" s="1"/>
  <c r="AP200" i="34" s="1"/>
  <c r="AQ198" i="34"/>
  <c r="AN197" i="34"/>
  <c r="AO197" i="34" s="1"/>
  <c r="AP197" i="34" s="1"/>
  <c r="AR197" i="34"/>
  <c r="AQ224" i="34"/>
  <c r="AN223" i="34"/>
  <c r="AO223" i="34" s="1"/>
  <c r="AP223" i="34" s="1"/>
  <c r="AR223" i="34"/>
  <c r="AU180" i="34"/>
  <c r="AN100" i="34"/>
  <c r="AO100" i="34" s="1"/>
  <c r="AP100" i="34" s="1"/>
  <c r="AQ139" i="34"/>
  <c r="AR138" i="34"/>
  <c r="AN138" i="34"/>
  <c r="AO138" i="34" s="1"/>
  <c r="AP138" i="34" s="1"/>
  <c r="AR143" i="34"/>
  <c r="AN143" i="34"/>
  <c r="AO143" i="34" s="1"/>
  <c r="AP143" i="34" s="1"/>
  <c r="AQ144" i="34"/>
  <c r="AN171" i="34"/>
  <c r="AO171" i="34" s="1"/>
  <c r="AP171" i="34" s="1"/>
  <c r="AR171" i="34"/>
  <c r="AQ172" i="34"/>
  <c r="AR124" i="34"/>
  <c r="AQ125" i="34"/>
  <c r="AN124" i="34"/>
  <c r="AO124" i="34" s="1"/>
  <c r="AP124" i="34" s="1"/>
  <c r="AR191" i="34"/>
  <c r="AQ192" i="34"/>
  <c r="AR126" i="34"/>
  <c r="AQ127" i="34"/>
  <c r="AN126" i="34"/>
  <c r="AO126" i="34" s="1"/>
  <c r="AP126" i="34" s="1"/>
  <c r="AN145" i="34"/>
  <c r="AO145" i="34" s="1"/>
  <c r="AP145" i="34" s="1"/>
  <c r="AR145" i="34"/>
  <c r="AQ146" i="34"/>
  <c r="AR162" i="34"/>
  <c r="AN162" i="34"/>
  <c r="AO162" i="34" s="1"/>
  <c r="AP162" i="34" s="1"/>
  <c r="AQ163" i="34"/>
  <c r="AR205" i="34"/>
  <c r="AQ206" i="34"/>
  <c r="AN205" i="34"/>
  <c r="AO205" i="34" s="1"/>
  <c r="AP205" i="34" s="1"/>
  <c r="AN183" i="34"/>
  <c r="AO183" i="34" s="1"/>
  <c r="AP183" i="34" s="1"/>
  <c r="AQ184" i="34"/>
  <c r="AR183" i="34"/>
  <c r="AN203" i="34"/>
  <c r="AO203" i="34" s="1"/>
  <c r="AP203" i="34" s="1"/>
  <c r="AR203" i="34"/>
  <c r="AQ204" i="34"/>
  <c r="AQ137" i="34"/>
  <c r="AR136" i="34"/>
  <c r="AN136" i="34"/>
  <c r="AO136" i="34" s="1"/>
  <c r="AP136" i="34" s="1"/>
  <c r="AQ128" i="34"/>
  <c r="AN127" i="34"/>
  <c r="AO127" i="34" s="1"/>
  <c r="AP127" i="34" s="1"/>
  <c r="AR127" i="34"/>
  <c r="AN142" i="34"/>
  <c r="AO142" i="34" s="1"/>
  <c r="AP142" i="34" s="1"/>
  <c r="AR141" i="34"/>
  <c r="AN141" i="34"/>
  <c r="AO141" i="34" s="1"/>
  <c r="AP141" i="34" s="1"/>
  <c r="AQ142" i="34"/>
  <c r="AQ158" i="34"/>
  <c r="AR157" i="34"/>
  <c r="AN157" i="34"/>
  <c r="AO157" i="34" s="1"/>
  <c r="AP157" i="34" s="1"/>
  <c r="AN168" i="34"/>
  <c r="AO168" i="34" s="1"/>
  <c r="AP168" i="34" s="1"/>
  <c r="AQ169" i="34"/>
  <c r="AR168" i="34"/>
  <c r="AQ126" i="34"/>
  <c r="AR125" i="34"/>
  <c r="AN125" i="34"/>
  <c r="AO125" i="34" s="1"/>
  <c r="AP125" i="34" s="1"/>
  <c r="AQ161" i="34"/>
  <c r="AR160" i="34"/>
  <c r="AN160" i="34"/>
  <c r="AO160" i="34" s="1"/>
  <c r="AP160" i="34" s="1"/>
  <c r="AN173" i="34"/>
  <c r="AO173" i="34" s="1"/>
  <c r="AP173" i="34" s="1"/>
  <c r="AQ174" i="34"/>
  <c r="AR173" i="34"/>
  <c r="AR224" i="34"/>
  <c r="AQ225" i="34"/>
  <c r="AN224" i="34"/>
  <c r="AO224" i="34" s="1"/>
  <c r="AP224" i="34" s="1"/>
  <c r="AU140" i="34"/>
  <c r="AU210" i="34"/>
  <c r="AU121" i="34"/>
  <c r="AU222" i="34"/>
  <c r="AU126" i="34"/>
  <c r="AU229" i="34"/>
  <c r="AU204" i="34"/>
  <c r="AU234" i="34"/>
  <c r="AU214" i="34"/>
  <c r="AU137" i="34"/>
  <c r="AU238" i="34"/>
  <c r="AU193" i="34"/>
  <c r="AU105" i="34"/>
  <c r="AU206" i="34"/>
  <c r="AU103" i="34"/>
  <c r="AU167" i="34"/>
  <c r="AU231" i="34"/>
  <c r="AU147" i="34"/>
  <c r="AU128" i="34"/>
  <c r="AU192" i="34"/>
  <c r="AU211" i="34"/>
  <c r="AQ141" i="34"/>
  <c r="AR140" i="34"/>
  <c r="AN140" i="34"/>
  <c r="AO140" i="34" s="1"/>
  <c r="AP140" i="34" s="1"/>
  <c r="AR184" i="34"/>
  <c r="AQ185" i="34"/>
  <c r="AN184" i="34"/>
  <c r="AO184" i="34" s="1"/>
  <c r="AP184" i="34" s="1"/>
  <c r="AU203" i="34"/>
  <c r="AR117" i="34"/>
  <c r="AQ118" i="34"/>
  <c r="AN117" i="34"/>
  <c r="AO117" i="34" s="1"/>
  <c r="AP117" i="34" s="1"/>
  <c r="AN111" i="34"/>
  <c r="AO111" i="34" s="1"/>
  <c r="AP111" i="34" s="1"/>
  <c r="AQ130" i="34"/>
  <c r="AR129" i="34"/>
  <c r="AN129" i="34"/>
  <c r="AO129" i="34" s="1"/>
  <c r="AP129" i="34" s="1"/>
  <c r="AR148" i="34"/>
  <c r="AQ149" i="34"/>
  <c r="AN148" i="34"/>
  <c r="AO148" i="34" s="1"/>
  <c r="AP148" i="34" s="1"/>
  <c r="AN185" i="34"/>
  <c r="AO185" i="34" s="1"/>
  <c r="AP185" i="34" s="1"/>
  <c r="AQ186" i="34"/>
  <c r="AR185" i="34"/>
  <c r="AR139" i="34"/>
  <c r="AN139" i="34"/>
  <c r="AO139" i="34" s="1"/>
  <c r="AP139" i="34" s="1"/>
  <c r="AQ140" i="34"/>
  <c r="AN158" i="34"/>
  <c r="AO158" i="34" s="1"/>
  <c r="AP158" i="34" s="1"/>
  <c r="AR158" i="34"/>
  <c r="AQ159" i="34"/>
  <c r="AN208" i="34"/>
  <c r="AO208" i="34" s="1"/>
  <c r="AP208" i="34" s="1"/>
  <c r="AR208" i="34"/>
  <c r="AQ209" i="34"/>
  <c r="AQ148" i="34"/>
  <c r="AR147" i="34"/>
  <c r="AN147" i="34"/>
  <c r="AO147" i="34" s="1"/>
  <c r="AP147" i="34" s="1"/>
  <c r="AN245" i="34"/>
  <c r="AO245" i="34" s="1"/>
  <c r="AP245" i="34" s="1"/>
  <c r="AN244" i="34"/>
  <c r="AO244" i="34" s="1"/>
  <c r="AP244" i="34" s="1"/>
  <c r="AQ245" i="34"/>
  <c r="AR244" i="34"/>
  <c r="AR187" i="34"/>
  <c r="AN187" i="34"/>
  <c r="AO187" i="34" s="1"/>
  <c r="AP187" i="34" s="1"/>
  <c r="AQ188" i="34"/>
  <c r="AN210" i="34"/>
  <c r="AO210" i="34" s="1"/>
  <c r="AP210" i="34" s="1"/>
  <c r="AQ211" i="34"/>
  <c r="AR210" i="34"/>
  <c r="AQ219" i="34"/>
  <c r="AR218" i="34"/>
  <c r="AR239" i="34"/>
  <c r="AQ240" i="34"/>
  <c r="AN239" i="34"/>
  <c r="AO239" i="34" s="1"/>
  <c r="AP239" i="34" s="1"/>
  <c r="AU177" i="34"/>
  <c r="AU242" i="34"/>
  <c r="AU157" i="34"/>
  <c r="AU161" i="34"/>
  <c r="AU225" i="34"/>
  <c r="AU236" i="34"/>
  <c r="AU149" i="34"/>
  <c r="AU102" i="34"/>
  <c r="AU205" i="34"/>
  <c r="AU117" i="34"/>
  <c r="AU220" i="34"/>
  <c r="AU111" i="34"/>
  <c r="AU175" i="34"/>
  <c r="AU239" i="34"/>
  <c r="AU136" i="34"/>
  <c r="AU200" i="34"/>
  <c r="AU155" i="34"/>
  <c r="AU219" i="34"/>
  <c r="AN114" i="34"/>
  <c r="AO114" i="34" s="1"/>
  <c r="AP114" i="34" s="1"/>
  <c r="AQ136" i="34"/>
  <c r="AR135" i="34"/>
  <c r="AN135" i="34"/>
  <c r="AO135" i="34" s="1"/>
  <c r="AP135" i="34" s="1"/>
  <c r="AU196" i="34"/>
  <c r="AU194" i="34"/>
  <c r="AU184" i="34"/>
  <c r="AN101" i="34"/>
  <c r="AO101" i="34" s="1"/>
  <c r="AP101" i="34" s="1"/>
  <c r="X100" i="34"/>
  <c r="X101" i="34" s="1"/>
  <c r="X102" i="34" s="1"/>
  <c r="AN146" i="34"/>
  <c r="AO146" i="34" s="1"/>
  <c r="AP146" i="34" s="1"/>
  <c r="AR146" i="34"/>
  <c r="AQ147" i="34"/>
  <c r="AQ177" i="34"/>
  <c r="AR176" i="34"/>
  <c r="AN176" i="34"/>
  <c r="AO176" i="34" s="1"/>
  <c r="AP176" i="34" s="1"/>
  <c r="AR166" i="34"/>
  <c r="AN166" i="34"/>
  <c r="AO166" i="34" s="1"/>
  <c r="AP166" i="34" s="1"/>
  <c r="AQ167" i="34"/>
  <c r="AN207" i="34"/>
  <c r="AO207" i="34" s="1"/>
  <c r="AP207" i="34" s="1"/>
  <c r="AR207" i="34"/>
  <c r="AQ208" i="34"/>
  <c r="AQ134" i="34"/>
  <c r="AR133" i="34"/>
  <c r="AN133" i="34"/>
  <c r="AO133" i="34" s="1"/>
  <c r="AP133" i="34" s="1"/>
  <c r="AN159" i="34"/>
  <c r="AO159" i="34" s="1"/>
  <c r="AP159" i="34" s="1"/>
  <c r="AQ160" i="34"/>
  <c r="AR159" i="34"/>
  <c r="AQ199" i="34"/>
  <c r="AN198" i="34"/>
  <c r="AO198" i="34" s="1"/>
  <c r="AP198" i="34" s="1"/>
  <c r="AR198" i="34"/>
  <c r="AN202" i="34"/>
  <c r="AO202" i="34" s="1"/>
  <c r="AP202" i="34" s="1"/>
  <c r="AR202" i="34"/>
  <c r="AQ203" i="34"/>
  <c r="AQ175" i="34"/>
  <c r="AR174" i="34"/>
  <c r="AN174" i="34"/>
  <c r="AO174" i="34" s="1"/>
  <c r="AP174" i="34" s="1"/>
  <c r="AN204" i="34"/>
  <c r="AO204" i="34" s="1"/>
  <c r="AP204" i="34" s="1"/>
  <c r="AR204" i="34"/>
  <c r="AQ205" i="34"/>
  <c r="AQ239" i="34"/>
  <c r="AR238" i="34"/>
  <c r="AN238" i="34"/>
  <c r="AO238" i="34" s="1"/>
  <c r="AP238" i="34" s="1"/>
  <c r="AQ232" i="34"/>
  <c r="AN231" i="34"/>
  <c r="AO231" i="34" s="1"/>
  <c r="AP231" i="34" s="1"/>
  <c r="AR231" i="34"/>
  <c r="AQ221" i="34"/>
  <c r="AR220" i="34"/>
  <c r="AQ215" i="34"/>
  <c r="AR214" i="34"/>
  <c r="AN214" i="34"/>
  <c r="AO214" i="34" s="1"/>
  <c r="AP214" i="34" s="1"/>
  <c r="AQ237" i="34"/>
  <c r="AN236" i="34"/>
  <c r="AO236" i="34" s="1"/>
  <c r="AP236" i="34" s="1"/>
  <c r="AR236" i="34"/>
  <c r="AU209" i="34"/>
  <c r="AU186" i="34"/>
  <c r="AU197" i="34"/>
  <c r="AU106" i="34"/>
  <c r="AU246" i="34"/>
  <c r="AU109" i="34"/>
  <c r="AU162" i="34"/>
  <c r="AU116" i="34"/>
  <c r="AU218" i="34"/>
  <c r="AU130" i="34"/>
  <c r="AU233" i="34"/>
  <c r="AU119" i="34"/>
  <c r="AU183" i="34"/>
  <c r="AU247" i="34"/>
  <c r="AU144" i="34"/>
  <c r="AU208" i="34"/>
  <c r="AU163" i="34"/>
  <c r="AU227" i="34"/>
  <c r="AQ231" i="34"/>
  <c r="AN230" i="34"/>
  <c r="AO230" i="34" s="1"/>
  <c r="AP230" i="34" s="1"/>
  <c r="AR230" i="34"/>
  <c r="AU185" i="34"/>
  <c r="AU212" i="34"/>
  <c r="AU159" i="34"/>
  <c r="AF101" i="34"/>
  <c r="AG101" i="34" s="1"/>
  <c r="AN113" i="34"/>
  <c r="AO113" i="34" s="1"/>
  <c r="AP113" i="34" s="1"/>
  <c r="AN102" i="34"/>
  <c r="AO102" i="34" s="1"/>
  <c r="AP102" i="34" s="1"/>
  <c r="AR186" i="34"/>
  <c r="AQ187" i="34"/>
  <c r="AN186" i="34"/>
  <c r="AO186" i="34" s="1"/>
  <c r="AP186" i="34" s="1"/>
  <c r="AQ162" i="34"/>
  <c r="AR161" i="34"/>
  <c r="AN161" i="34"/>
  <c r="AO161" i="34" s="1"/>
  <c r="AP161" i="34" s="1"/>
  <c r="AR180" i="34"/>
  <c r="AQ181" i="34"/>
  <c r="AN180" i="34"/>
  <c r="AO180" i="34" s="1"/>
  <c r="AP180" i="34" s="1"/>
  <c r="AQ200" i="34"/>
  <c r="AR199" i="34"/>
  <c r="AN199" i="34"/>
  <c r="AO199" i="34" s="1"/>
  <c r="AP199" i="34" s="1"/>
  <c r="AQ210" i="34"/>
  <c r="AR209" i="34"/>
  <c r="AN209" i="34"/>
  <c r="AO209" i="34" s="1"/>
  <c r="AP209" i="34" s="1"/>
  <c r="AR150" i="34"/>
  <c r="AN150" i="34"/>
  <c r="AO150" i="34" s="1"/>
  <c r="AP150" i="34" s="1"/>
  <c r="AQ151" i="34"/>
  <c r="AN206" i="34"/>
  <c r="AO206" i="34" s="1"/>
  <c r="AP206" i="34" s="1"/>
  <c r="AR206" i="34"/>
  <c r="AQ207" i="34"/>
  <c r="AN134" i="34"/>
  <c r="AO134" i="34" s="1"/>
  <c r="AP134" i="34" s="1"/>
  <c r="AQ135" i="34"/>
  <c r="AR134" i="34"/>
  <c r="AQ145" i="34"/>
  <c r="AR144" i="34"/>
  <c r="AN144" i="34"/>
  <c r="AO144" i="34" s="1"/>
  <c r="AP144" i="34" s="1"/>
  <c r="AN191" i="34"/>
  <c r="AO191" i="34" s="1"/>
  <c r="AP191" i="34" s="1"/>
  <c r="AQ191" i="34"/>
  <c r="AR190" i="34"/>
  <c r="AN190" i="34"/>
  <c r="AO190" i="34" s="1"/>
  <c r="AP190" i="34" s="1"/>
  <c r="AQ176" i="34"/>
  <c r="AR175" i="34"/>
  <c r="AN175" i="34"/>
  <c r="AO175" i="34" s="1"/>
  <c r="AP175" i="34" s="1"/>
  <c r="AR188" i="34"/>
  <c r="AQ189" i="34"/>
  <c r="AN188" i="34"/>
  <c r="AO188" i="34" s="1"/>
  <c r="AP188" i="34" s="1"/>
  <c r="AR249" i="34"/>
  <c r="AQ250" i="34"/>
  <c r="AN249" i="34"/>
  <c r="AO249" i="34" s="1"/>
  <c r="AP249" i="34" s="1"/>
  <c r="AN177" i="34"/>
  <c r="AO177" i="34" s="1"/>
  <c r="AP177" i="34" s="1"/>
  <c r="AQ178" i="34"/>
  <c r="AR177" i="34"/>
  <c r="AR247" i="34"/>
  <c r="AQ248" i="34"/>
  <c r="AN247" i="34"/>
  <c r="AO247" i="34" s="1"/>
  <c r="AP247" i="34" s="1"/>
  <c r="AQ223" i="34"/>
  <c r="AR222" i="34"/>
  <c r="AN222" i="34"/>
  <c r="AO222" i="34" s="1"/>
  <c r="AP222" i="34" s="1"/>
  <c r="AN227" i="34"/>
  <c r="AO227" i="34" s="1"/>
  <c r="AP227" i="34" s="1"/>
  <c r="AR227" i="34"/>
  <c r="AQ228" i="34"/>
  <c r="AR242" i="34"/>
  <c r="AN242" i="34"/>
  <c r="AO242" i="34" s="1"/>
  <c r="AP242" i="34" s="1"/>
  <c r="AQ243" i="34"/>
  <c r="AU241" i="34"/>
  <c r="AU118" i="34"/>
  <c r="AU221" i="34"/>
  <c r="AU228" i="34"/>
  <c r="AU138" i="34"/>
  <c r="AU101" i="34"/>
  <c r="AU132" i="34"/>
  <c r="AU113" i="34"/>
  <c r="AU174" i="34"/>
  <c r="AU129" i="34"/>
  <c r="AU230" i="34"/>
  <c r="AU142" i="34"/>
  <c r="AU245" i="34"/>
  <c r="AU127" i="34"/>
  <c r="AU191" i="34"/>
  <c r="AU171" i="34"/>
  <c r="AU152" i="34"/>
  <c r="AU216" i="34"/>
  <c r="AU107" i="34"/>
  <c r="AU235" i="34"/>
  <c r="AR115" i="34"/>
  <c r="AQ116" i="34"/>
  <c r="AN115" i="34"/>
  <c r="AO115" i="34" s="1"/>
  <c r="AP115" i="34" s="1"/>
  <c r="AR128" i="34"/>
  <c r="AQ129" i="34"/>
  <c r="AN128" i="34"/>
  <c r="AO128" i="34" s="1"/>
  <c r="AP128" i="34" s="1"/>
  <c r="AU139" i="34"/>
  <c r="AN109" i="34"/>
  <c r="AO109" i="34" s="1"/>
  <c r="AP109" i="34" s="1"/>
  <c r="AN107" i="34"/>
  <c r="AO107" i="34" s="1"/>
  <c r="AP107" i="34" s="1"/>
  <c r="AQ117" i="34"/>
  <c r="AR116" i="34"/>
  <c r="AN116" i="34"/>
  <c r="AO116" i="34" s="1"/>
  <c r="AP116" i="34" s="1"/>
  <c r="AR130" i="34"/>
  <c r="AN130" i="34"/>
  <c r="AO130" i="34" s="1"/>
  <c r="AP130" i="34" s="1"/>
  <c r="AQ131" i="34"/>
  <c r="AR182" i="34"/>
  <c r="AQ183" i="34"/>
  <c r="AN182" i="34"/>
  <c r="AO182" i="34" s="1"/>
  <c r="AP182" i="34" s="1"/>
  <c r="AN137" i="34"/>
  <c r="AO137" i="34" s="1"/>
  <c r="AP137" i="34" s="1"/>
  <c r="AQ138" i="34"/>
  <c r="AR137" i="34"/>
  <c r="AQ202" i="34"/>
  <c r="AR201" i="34"/>
  <c r="AN201" i="34"/>
  <c r="AO201" i="34" s="1"/>
  <c r="AP201" i="34" s="1"/>
  <c r="AQ173" i="34"/>
  <c r="AR172" i="34"/>
  <c r="AN172" i="34"/>
  <c r="AO172" i="34" s="1"/>
  <c r="AP172" i="34" s="1"/>
  <c r="AN123" i="34"/>
  <c r="AO123" i="34" s="1"/>
  <c r="AP123" i="34" s="1"/>
  <c r="AQ124" i="34"/>
  <c r="AR123" i="34"/>
  <c r="AN131" i="34"/>
  <c r="AO131" i="34" s="1"/>
  <c r="AP131" i="34" s="1"/>
  <c r="AR131" i="34"/>
  <c r="AQ132" i="34"/>
  <c r="AN163" i="34"/>
  <c r="AO163" i="34" s="1"/>
  <c r="AP163" i="34" s="1"/>
  <c r="AQ164" i="34"/>
  <c r="AR163" i="34"/>
  <c r="AN120" i="34"/>
  <c r="AO120" i="34" s="1"/>
  <c r="AP120" i="34" s="1"/>
  <c r="AQ121" i="34"/>
  <c r="AR120" i="34"/>
  <c r="AQ180" i="34"/>
  <c r="AN179" i="34"/>
  <c r="AO179" i="34" s="1"/>
  <c r="AP179" i="34" s="1"/>
  <c r="AR179" i="34"/>
  <c r="AN154" i="34"/>
  <c r="AO154" i="34" s="1"/>
  <c r="AP154" i="34" s="1"/>
  <c r="AR154" i="34"/>
  <c r="AQ155" i="34"/>
  <c r="AN193" i="34"/>
  <c r="AO193" i="34" s="1"/>
  <c r="AP193" i="34" s="1"/>
  <c r="AR193" i="34"/>
  <c r="AQ194" i="34"/>
  <c r="AR241" i="34"/>
  <c r="AN241" i="34"/>
  <c r="AO241" i="34" s="1"/>
  <c r="AP241" i="34" s="1"/>
  <c r="AQ242" i="34"/>
  <c r="AQ227" i="34"/>
  <c r="AN226" i="34"/>
  <c r="AO226" i="34" s="1"/>
  <c r="AP226" i="34" s="1"/>
  <c r="AR226" i="34"/>
  <c r="AR245" i="34"/>
  <c r="AQ246" i="34"/>
  <c r="AQ179" i="34"/>
  <c r="AR178" i="34"/>
  <c r="AN178" i="34"/>
  <c r="AO178" i="34" s="1"/>
  <c r="AP178" i="34" s="1"/>
  <c r="AQ216" i="34"/>
  <c r="AN215" i="34"/>
  <c r="AO215" i="34" s="1"/>
  <c r="AP215" i="34" s="1"/>
  <c r="AR215" i="34"/>
  <c r="AN233" i="34"/>
  <c r="AO233" i="34" s="1"/>
  <c r="AP233" i="34" s="1"/>
  <c r="AR233" i="34"/>
  <c r="AQ234" i="34"/>
  <c r="AN248" i="34"/>
  <c r="AO248" i="34" s="1"/>
  <c r="AP248" i="34" s="1"/>
  <c r="AR248" i="34"/>
  <c r="AQ249" i="34"/>
  <c r="AN220" i="34"/>
  <c r="AO220" i="34" s="1"/>
  <c r="AP220" i="34" s="1"/>
  <c r="AQ220" i="34"/>
  <c r="AN219" i="34"/>
  <c r="AO219" i="34" s="1"/>
  <c r="AP219" i="34" s="1"/>
  <c r="AR219" i="34"/>
  <c r="AQ214" i="34"/>
  <c r="AN213" i="34"/>
  <c r="AO213" i="34" s="1"/>
  <c r="AP213" i="34" s="1"/>
  <c r="AR213" i="34"/>
  <c r="AU148" i="34"/>
  <c r="AU250" i="34"/>
  <c r="AU100" i="34"/>
  <c r="AU170" i="34"/>
  <c r="AU122" i="34"/>
  <c r="AU150" i="34"/>
  <c r="AU133" i="34"/>
  <c r="AU188" i="34"/>
  <c r="AU141" i="34"/>
  <c r="AU244" i="34"/>
  <c r="AU156" i="34"/>
  <c r="AU135" i="34"/>
  <c r="AU199" i="34"/>
  <c r="AU160" i="34"/>
  <c r="AU224" i="34"/>
  <c r="AU115" i="34"/>
  <c r="AU179" i="34"/>
  <c r="AU243" i="34"/>
  <c r="AQ157" i="34"/>
  <c r="AR156" i="34"/>
  <c r="AN156" i="34"/>
  <c r="AO156" i="34" s="1"/>
  <c r="AP156" i="34" s="1"/>
  <c r="AR237" i="34"/>
  <c r="AN237" i="34"/>
  <c r="AO237" i="34" s="1"/>
  <c r="AP237" i="34" s="1"/>
  <c r="AQ238" i="34"/>
  <c r="AU223" i="34"/>
  <c r="AN105" i="34"/>
  <c r="AO105" i="34" s="1"/>
  <c r="AP105" i="34" s="1"/>
  <c r="AN132" i="34"/>
  <c r="AO132" i="34" s="1"/>
  <c r="AP132" i="34" s="1"/>
  <c r="AQ133" i="34"/>
  <c r="AR132" i="34"/>
  <c r="AN149" i="34"/>
  <c r="AO149" i="34" s="1"/>
  <c r="AP149" i="34" s="1"/>
  <c r="AR149" i="34"/>
  <c r="AQ150" i="34"/>
  <c r="AQ212" i="34"/>
  <c r="AR211" i="34"/>
  <c r="AN211" i="34"/>
  <c r="AO211" i="34" s="1"/>
  <c r="AP211" i="34" s="1"/>
  <c r="AQ166" i="34"/>
  <c r="AR165" i="34"/>
  <c r="AN165" i="34"/>
  <c r="AO165" i="34" s="1"/>
  <c r="AP165" i="34" s="1"/>
  <c r="AN121" i="34"/>
  <c r="AO121" i="34" s="1"/>
  <c r="AP121" i="34" s="1"/>
  <c r="AR121" i="34"/>
  <c r="AQ122" i="34"/>
  <c r="AQ153" i="34"/>
  <c r="AR152" i="34"/>
  <c r="AN152" i="34"/>
  <c r="AO152" i="34" s="1"/>
  <c r="AP152" i="34" s="1"/>
  <c r="AQ165" i="34"/>
  <c r="AR164" i="34"/>
  <c r="AN164" i="34"/>
  <c r="AO164" i="34" s="1"/>
  <c r="AP164" i="34" s="1"/>
  <c r="AN155" i="34"/>
  <c r="AO155" i="34" s="1"/>
  <c r="AP155" i="34" s="1"/>
  <c r="AR155" i="34"/>
  <c r="AQ156" i="34"/>
  <c r="AQ170" i="34"/>
  <c r="AR169" i="34"/>
  <c r="AN169" i="34"/>
  <c r="AO169" i="34" s="1"/>
  <c r="AP169" i="34" s="1"/>
  <c r="AQ213" i="34"/>
  <c r="AR212" i="34"/>
  <c r="AN212" i="34"/>
  <c r="AO212" i="34" s="1"/>
  <c r="AP212" i="34" s="1"/>
  <c r="AR229" i="34"/>
  <c r="AQ230" i="34"/>
  <c r="AN229" i="34"/>
  <c r="AO229" i="34" s="1"/>
  <c r="AP229" i="34" s="1"/>
  <c r="AR228" i="34"/>
  <c r="AQ229" i="34"/>
  <c r="AN228" i="34"/>
  <c r="AO228" i="34" s="1"/>
  <c r="AP228" i="34" s="1"/>
  <c r="AN250" i="34"/>
  <c r="AO250" i="34" s="1"/>
  <c r="AP250" i="34" s="1"/>
  <c r="AR250" i="34"/>
  <c r="AN170" i="34"/>
  <c r="AO170" i="34" s="1"/>
  <c r="AP170" i="34" s="1"/>
  <c r="AR170" i="34"/>
  <c r="AQ171" i="34"/>
  <c r="AQ217" i="34"/>
  <c r="AR216" i="34"/>
  <c r="AN216" i="34"/>
  <c r="AO216" i="34" s="1"/>
  <c r="AP216" i="34" s="1"/>
  <c r="AR234" i="34"/>
  <c r="AQ235" i="34"/>
  <c r="AN234" i="34"/>
  <c r="AO234" i="34" s="1"/>
  <c r="AP234" i="34" s="1"/>
  <c r="AU114" i="34"/>
  <c r="AU182" i="34"/>
  <c r="AU125" i="34"/>
  <c r="AU134" i="34"/>
  <c r="AU202" i="34"/>
  <c r="AU145" i="34"/>
  <c r="AU172" i="34"/>
  <c r="AU153" i="34"/>
  <c r="AU201" i="34"/>
  <c r="AU154" i="34"/>
  <c r="AU169" i="34"/>
  <c r="AU143" i="34"/>
  <c r="AU207" i="34"/>
  <c r="AU104" i="34"/>
  <c r="AU168" i="34"/>
  <c r="AU232" i="34"/>
  <c r="AU123" i="34"/>
  <c r="AU187" i="34"/>
  <c r="AN189" i="34"/>
  <c r="AO189" i="34" s="1"/>
  <c r="AP189" i="34" s="1"/>
  <c r="AQ190" i="34"/>
  <c r="AR189" i="34"/>
  <c r="AQ233" i="34"/>
  <c r="AN232" i="34"/>
  <c r="AO232" i="34" s="1"/>
  <c r="AP232" i="34" s="1"/>
  <c r="AR232" i="34"/>
  <c r="AU124" i="34"/>
  <c r="AU248" i="34"/>
  <c r="AN118" i="34"/>
  <c r="AO118" i="34" s="1"/>
  <c r="AP118" i="34" s="1"/>
  <c r="AQ119" i="34"/>
  <c r="AR118" i="34"/>
  <c r="AN106" i="34"/>
  <c r="AO106" i="34" s="1"/>
  <c r="AP106" i="34" s="1"/>
  <c r="AQ120" i="34"/>
  <c r="AN119" i="34"/>
  <c r="AO119" i="34" s="1"/>
  <c r="AP119" i="34" s="1"/>
  <c r="AR119" i="34"/>
  <c r="AR192" i="34"/>
  <c r="AQ193" i="34"/>
  <c r="AN192" i="34"/>
  <c r="AO192" i="34" s="1"/>
  <c r="AP192" i="34" s="1"/>
  <c r="AQ152" i="34"/>
  <c r="AN151" i="34"/>
  <c r="AO151" i="34" s="1"/>
  <c r="AP151" i="34" s="1"/>
  <c r="AR151" i="34"/>
  <c r="AQ143" i="34"/>
  <c r="AR142" i="34"/>
  <c r="AR196" i="34"/>
  <c r="AN196" i="34"/>
  <c r="AO196" i="34" s="1"/>
  <c r="AP196" i="34" s="1"/>
  <c r="AQ197" i="34"/>
  <c r="AN167" i="34"/>
  <c r="AO167" i="34" s="1"/>
  <c r="AP167" i="34" s="1"/>
  <c r="AR167" i="34"/>
  <c r="AQ168" i="34"/>
  <c r="AQ123" i="34"/>
  <c r="AR122" i="34"/>
  <c r="AN122" i="34"/>
  <c r="AO122" i="34" s="1"/>
  <c r="AP122" i="34" s="1"/>
  <c r="AR153" i="34"/>
  <c r="AQ154" i="34"/>
  <c r="AN153" i="34"/>
  <c r="AO153" i="34" s="1"/>
  <c r="AP153" i="34" s="1"/>
  <c r="AR181" i="34"/>
  <c r="AQ182" i="34"/>
  <c r="AN181" i="34"/>
  <c r="AO181" i="34" s="1"/>
  <c r="AP181" i="34" s="1"/>
  <c r="AQ196" i="34"/>
  <c r="AR195" i="34"/>
  <c r="AN195" i="34"/>
  <c r="AO195" i="34" s="1"/>
  <c r="AP195" i="34" s="1"/>
  <c r="AR235" i="34"/>
  <c r="AQ236" i="34"/>
  <c r="AN235" i="34"/>
  <c r="AO235" i="34" s="1"/>
  <c r="AP235" i="34" s="1"/>
  <c r="AR225" i="34"/>
  <c r="AQ226" i="34"/>
  <c r="AN225" i="34"/>
  <c r="AO225" i="34" s="1"/>
  <c r="AP225" i="34" s="1"/>
  <c r="AN240" i="34"/>
  <c r="AO240" i="34" s="1"/>
  <c r="AP240" i="34" s="1"/>
  <c r="AR240" i="34"/>
  <c r="AQ241" i="34"/>
  <c r="AN218" i="34"/>
  <c r="AO218" i="34" s="1"/>
  <c r="AP218" i="34" s="1"/>
  <c r="AN217" i="34"/>
  <c r="AO217" i="34" s="1"/>
  <c r="AP217" i="34" s="1"/>
  <c r="AQ218" i="34"/>
  <c r="AR217" i="34"/>
  <c r="AR243" i="34"/>
  <c r="AQ244" i="34"/>
  <c r="AN243" i="34"/>
  <c r="AO243" i="34" s="1"/>
  <c r="AP243" i="34" s="1"/>
  <c r="AQ222" i="34"/>
  <c r="AN221" i="34"/>
  <c r="AO221" i="34" s="1"/>
  <c r="AP221" i="34" s="1"/>
  <c r="AR221" i="34"/>
  <c r="AR246" i="34"/>
  <c r="AN246" i="34"/>
  <c r="AO246" i="34" s="1"/>
  <c r="AP246" i="34" s="1"/>
  <c r="AQ247" i="34"/>
  <c r="AU146" i="34"/>
  <c r="AU217" i="34"/>
  <c r="AU158" i="34"/>
  <c r="AU165" i="34"/>
  <c r="AU237" i="34"/>
  <c r="AU164" i="34"/>
  <c r="AU190" i="34"/>
  <c r="AU173" i="34"/>
  <c r="AU110" i="34"/>
  <c r="AU213" i="34"/>
  <c r="AU166" i="34"/>
  <c r="AU181" i="34"/>
  <c r="AU151" i="34"/>
  <c r="AU215" i="34"/>
  <c r="AU131" i="34"/>
  <c r="AU112" i="34"/>
  <c r="AU176" i="34"/>
  <c r="AU240" i="34"/>
  <c r="AU195" i="34"/>
  <c r="V143" i="40"/>
  <c r="W128" i="40"/>
  <c r="AR102" i="40"/>
  <c r="AQ102" i="40"/>
  <c r="AI102" i="40"/>
  <c r="F116" i="40" s="1"/>
  <c r="I116" i="40" s="1"/>
  <c r="V140" i="40"/>
  <c r="V142" i="34"/>
  <c r="W130" i="34"/>
  <c r="AT100" i="39"/>
  <c r="AQ102" i="39"/>
  <c r="AR102" i="39"/>
  <c r="X115" i="37"/>
  <c r="AU203" i="27"/>
  <c r="AU107" i="27"/>
  <c r="AU157" i="27"/>
  <c r="AU145" i="27"/>
  <c r="AJ100" i="38"/>
  <c r="AU243" i="27"/>
  <c r="AU110" i="27"/>
  <c r="AU174" i="27"/>
  <c r="AU238" i="27"/>
  <c r="AU127" i="27"/>
  <c r="AU144" i="27"/>
  <c r="AU208" i="27"/>
  <c r="AU209" i="27"/>
  <c r="AJ100" i="37"/>
  <c r="AB100" i="37"/>
  <c r="AT100" i="37"/>
  <c r="AA101" i="37"/>
  <c r="E101" i="37" s="1"/>
  <c r="H101" i="37" s="1"/>
  <c r="V134" i="38"/>
  <c r="AE116" i="27"/>
  <c r="AE117" i="27" s="1"/>
  <c r="AD118" i="38"/>
  <c r="V133" i="27"/>
  <c r="AD115" i="27"/>
  <c r="AU125" i="27"/>
  <c r="W134" i="27"/>
  <c r="AF100" i="27"/>
  <c r="AH101" i="38"/>
  <c r="AJ101" i="38"/>
  <c r="X115" i="38"/>
  <c r="AU221" i="27"/>
  <c r="AU108" i="27"/>
  <c r="AU139" i="27"/>
  <c r="AU195" i="27"/>
  <c r="AU114" i="27"/>
  <c r="AU235" i="27"/>
  <c r="AU100" i="27"/>
  <c r="AU118" i="27"/>
  <c r="AU182" i="27"/>
  <c r="AU246" i="27"/>
  <c r="AU135" i="27"/>
  <c r="AU199" i="27"/>
  <c r="AU152" i="27"/>
  <c r="AU216" i="27"/>
  <c r="AU153" i="27"/>
  <c r="AU217" i="27"/>
  <c r="AU226" i="27"/>
  <c r="AU191" i="27"/>
  <c r="V131" i="38"/>
  <c r="X101" i="38"/>
  <c r="AU180" i="27"/>
  <c r="AU162" i="27"/>
  <c r="AU187" i="27"/>
  <c r="AU148" i="27"/>
  <c r="AU236" i="27"/>
  <c r="AU130" i="27"/>
  <c r="AU124" i="27"/>
  <c r="AU105" i="27"/>
  <c r="AU132" i="27"/>
  <c r="AU181" i="27"/>
  <c r="AU172" i="27"/>
  <c r="AU126" i="27"/>
  <c r="AU190" i="27"/>
  <c r="AU143" i="27"/>
  <c r="AU207" i="27"/>
  <c r="AU160" i="27"/>
  <c r="AU224" i="27"/>
  <c r="AU161" i="27"/>
  <c r="AU225" i="27"/>
  <c r="AU170" i="27"/>
  <c r="AU234" i="27"/>
  <c r="AU211" i="27"/>
  <c r="AB100" i="38"/>
  <c r="W130" i="38"/>
  <c r="W131" i="38" s="1"/>
  <c r="X114" i="27"/>
  <c r="X115" i="27" s="1"/>
  <c r="AU163" i="27"/>
  <c r="AU129" i="27"/>
  <c r="AU101" i="27"/>
  <c r="AU212" i="27"/>
  <c r="AU146" i="27"/>
  <c r="AU156" i="27"/>
  <c r="AU121" i="27"/>
  <c r="AU164" i="27"/>
  <c r="AU213" i="27"/>
  <c r="AU116" i="27"/>
  <c r="AU134" i="27"/>
  <c r="AU198" i="27"/>
  <c r="AU151" i="27"/>
  <c r="AU215" i="27"/>
  <c r="AU104" i="27"/>
  <c r="AU168" i="27"/>
  <c r="AU232" i="27"/>
  <c r="AU169" i="27"/>
  <c r="AU233" i="27"/>
  <c r="AU178" i="27"/>
  <c r="AU242" i="27"/>
  <c r="AU155" i="27"/>
  <c r="AU219" i="27"/>
  <c r="AU220" i="27"/>
  <c r="AD114" i="27"/>
  <c r="X100" i="27"/>
  <c r="Y100" i="27" s="1"/>
  <c r="AU227" i="27"/>
  <c r="AU133" i="27"/>
  <c r="AU140" i="27"/>
  <c r="AU117" i="27"/>
  <c r="AU165" i="27"/>
  <c r="AU115" i="27"/>
  <c r="AU188" i="27"/>
  <c r="AU137" i="27"/>
  <c r="AU245" i="27"/>
  <c r="AU142" i="27"/>
  <c r="AU206" i="27"/>
  <c r="AU159" i="27"/>
  <c r="AU223" i="27"/>
  <c r="AU112" i="27"/>
  <c r="AU176" i="27"/>
  <c r="AU240" i="27"/>
  <c r="AU177" i="27"/>
  <c r="AU241" i="27"/>
  <c r="AU186" i="27"/>
  <c r="AU250" i="27"/>
  <c r="V128" i="27"/>
  <c r="AU123" i="27"/>
  <c r="AU109" i="27"/>
  <c r="AU173" i="27"/>
  <c r="AU204" i="27"/>
  <c r="AU149" i="27"/>
  <c r="AU197" i="27"/>
  <c r="AU131" i="27"/>
  <c r="AU154" i="27"/>
  <c r="AU228" i="27"/>
  <c r="AU196" i="27"/>
  <c r="AU150" i="27"/>
  <c r="AU214" i="27"/>
  <c r="AU103" i="27"/>
  <c r="AU167" i="27"/>
  <c r="AU231" i="27"/>
  <c r="AU120" i="27"/>
  <c r="AU184" i="27"/>
  <c r="AU248" i="27"/>
  <c r="AU185" i="27"/>
  <c r="AU249" i="27"/>
  <c r="AU194" i="27"/>
  <c r="AU171" i="27"/>
  <c r="AU138" i="27"/>
  <c r="AU218" i="27"/>
  <c r="AD119" i="38"/>
  <c r="AN100" i="27"/>
  <c r="AO100" i="27" s="1"/>
  <c r="AU189" i="27"/>
  <c r="AU141" i="27"/>
  <c r="AU237" i="27"/>
  <c r="AU205" i="27"/>
  <c r="AU229" i="27"/>
  <c r="AU147" i="27"/>
  <c r="AU179" i="27"/>
  <c r="AU106" i="27"/>
  <c r="AU158" i="27"/>
  <c r="AU222" i="27"/>
  <c r="AU111" i="27"/>
  <c r="AU175" i="27"/>
  <c r="AU239" i="27"/>
  <c r="AU128" i="27"/>
  <c r="AU192" i="27"/>
  <c r="AU193" i="27"/>
  <c r="AU202" i="27"/>
  <c r="AE120" i="38"/>
  <c r="AE121" i="38" s="1"/>
  <c r="AE122" i="38" s="1"/>
  <c r="AE123" i="38" s="1"/>
  <c r="AE124" i="38" s="1"/>
  <c r="AE125" i="38" s="1"/>
  <c r="AE126" i="38" s="1"/>
  <c r="AE127" i="38" s="1"/>
  <c r="AE128" i="38" s="1"/>
  <c r="AE129" i="38" s="1"/>
  <c r="AF101" i="27"/>
  <c r="AG101" i="27" s="1"/>
  <c r="AH101" i="27" s="1"/>
  <c r="AU244" i="27"/>
  <c r="AU113" i="27"/>
  <c r="AU122" i="27"/>
  <c r="AU102" i="27"/>
  <c r="AU166" i="27"/>
  <c r="AU230" i="27"/>
  <c r="AU119" i="27"/>
  <c r="AU183" i="27"/>
  <c r="AU247" i="27"/>
  <c r="AU136" i="27"/>
  <c r="AU200" i="27"/>
  <c r="AU201" i="27"/>
  <c r="AU210" i="27"/>
  <c r="AP100" i="37"/>
  <c r="AQ101" i="37"/>
  <c r="G129" i="37" s="1"/>
  <c r="J129" i="37" s="1"/>
  <c r="AD117" i="37"/>
  <c r="V132" i="37"/>
  <c r="X101" i="37"/>
  <c r="AE120" i="37"/>
  <c r="AE121" i="37" s="1"/>
  <c r="AE122" i="37" s="1"/>
  <c r="AE123" i="37" s="1"/>
  <c r="AE124" i="37" s="1"/>
  <c r="AE125" i="37" s="1"/>
  <c r="AE126" i="37" s="1"/>
  <c r="AE127" i="37" s="1"/>
  <c r="AE128" i="37" s="1"/>
  <c r="V137" i="37"/>
  <c r="AR100" i="37"/>
  <c r="AD116" i="37"/>
  <c r="W131" i="37"/>
  <c r="W132" i="37" s="1"/>
  <c r="W133" i="37" s="1"/>
  <c r="W134" i="37" s="1"/>
  <c r="W135" i="37" s="1"/>
  <c r="W136" i="37" s="1"/>
  <c r="W137" i="37" s="1"/>
  <c r="W138" i="37" s="1"/>
  <c r="AF101" i="37"/>
  <c r="AJ102" i="38"/>
  <c r="AI102" i="38"/>
  <c r="F116" i="38" s="1"/>
  <c r="I116" i="38" s="1"/>
  <c r="AS100" i="37"/>
  <c r="D70" i="21"/>
  <c r="AN111" i="22"/>
  <c r="AU101" i="22"/>
  <c r="W117" i="22"/>
  <c r="W118" i="22" s="1"/>
  <c r="W119" i="22" s="1"/>
  <c r="W120" i="22" s="1"/>
  <c r="W121" i="22" s="1"/>
  <c r="W122" i="22" s="1"/>
  <c r="W123" i="22" s="1"/>
  <c r="W124" i="22" s="1"/>
  <c r="W125" i="22" s="1"/>
  <c r="W126" i="22" s="1"/>
  <c r="W127" i="22" s="1"/>
  <c r="W128" i="22" s="1"/>
  <c r="V104" i="22"/>
  <c r="V106" i="22" s="1"/>
  <c r="V108" i="22" s="1"/>
  <c r="V110" i="22" s="1"/>
  <c r="V112" i="22" s="1"/>
  <c r="V114" i="22" s="1"/>
  <c r="V103" i="22"/>
  <c r="V105" i="22" s="1"/>
  <c r="V107" i="22" s="1"/>
  <c r="V109" i="22" s="1"/>
  <c r="V111" i="22" s="1"/>
  <c r="V113" i="22" s="1"/>
  <c r="D32" i="30"/>
  <c r="D32" i="40"/>
  <c r="M102" i="22"/>
  <c r="M122" i="22"/>
  <c r="E33" i="7"/>
  <c r="E36" i="7" s="1"/>
  <c r="O9" i="29" s="1"/>
  <c r="E76" i="29" s="1"/>
  <c r="D33" i="7"/>
  <c r="D36" i="7" s="1"/>
  <c r="O7" i="29" s="1"/>
  <c r="E74" i="29" s="1"/>
  <c r="D34" i="2"/>
  <c r="O6" i="29" s="1"/>
  <c r="D23" i="29" s="1"/>
  <c r="C34" i="2"/>
  <c r="O5" i="29" s="1"/>
  <c r="D22" i="29" s="1"/>
  <c r="P128" i="22"/>
  <c r="AU128" i="22" s="1"/>
  <c r="V36" i="36"/>
  <c r="V40" i="36" s="1"/>
  <c r="P36" i="36"/>
  <c r="F36" i="36"/>
  <c r="F37" i="36" s="1"/>
  <c r="F38" i="36" s="1"/>
  <c r="I36" i="36"/>
  <c r="I36" i="21"/>
  <c r="M100" i="22"/>
  <c r="M105" i="22"/>
  <c r="CG100" i="22"/>
  <c r="M121" i="22"/>
  <c r="BH206" i="22"/>
  <c r="BJ206" i="22" s="1"/>
  <c r="BH245" i="22"/>
  <c r="BJ245" i="22" s="1"/>
  <c r="D29" i="38"/>
  <c r="D32" i="27"/>
  <c r="D34" i="27" s="1"/>
  <c r="BB88" i="27" s="1"/>
  <c r="M126" i="22"/>
  <c r="M119" i="22"/>
  <c r="M113" i="22"/>
  <c r="BH214" i="22"/>
  <c r="BJ214" i="22" s="1"/>
  <c r="BH205" i="22"/>
  <c r="BJ205" i="22" s="1"/>
  <c r="BH171" i="22"/>
  <c r="BJ171" i="22" s="1"/>
  <c r="D32" i="22"/>
  <c r="D29" i="37"/>
  <c r="BH179" i="22"/>
  <c r="BJ179" i="22" s="1"/>
  <c r="BH190" i="22"/>
  <c r="BJ190" i="22" s="1"/>
  <c r="BH163" i="22"/>
  <c r="BJ163" i="22" s="1"/>
  <c r="BH244" i="22"/>
  <c r="BJ244" i="22" s="1"/>
  <c r="BH182" i="22"/>
  <c r="BJ182" i="22" s="1"/>
  <c r="BH180" i="22"/>
  <c r="BJ180" i="22" s="1"/>
  <c r="BH187" i="22"/>
  <c r="BJ187" i="22" s="1"/>
  <c r="BH202" i="22"/>
  <c r="BJ202" i="22" s="1"/>
  <c r="BH211" i="22"/>
  <c r="BJ211" i="22" s="1"/>
  <c r="BH177" i="22"/>
  <c r="BJ177" i="22" s="1"/>
  <c r="BH198" i="22"/>
  <c r="BJ198" i="22" s="1"/>
  <c r="BH208" i="22"/>
  <c r="BJ208" i="22" s="1"/>
  <c r="BH250" i="22"/>
  <c r="BJ250" i="22" s="1"/>
  <c r="BH230" i="22"/>
  <c r="BJ230" i="22" s="1"/>
  <c r="BH227" i="22"/>
  <c r="BJ227" i="22" s="1"/>
  <c r="BH222" i="22"/>
  <c r="BJ222" i="22" s="1"/>
  <c r="BH186" i="22"/>
  <c r="BJ186" i="22" s="1"/>
  <c r="BH165" i="22"/>
  <c r="BJ165" i="22" s="1"/>
  <c r="BH161" i="22"/>
  <c r="BJ161" i="22" s="1"/>
  <c r="BH203" i="22"/>
  <c r="BJ203" i="22" s="1"/>
  <c r="BH200" i="22"/>
  <c r="BJ200" i="22" s="1"/>
  <c r="BH243" i="22"/>
  <c r="BJ243" i="22" s="1"/>
  <c r="BH181" i="22"/>
  <c r="BJ181" i="22" s="1"/>
  <c r="BH240" i="22"/>
  <c r="BJ240" i="22" s="1"/>
  <c r="BH189" i="22"/>
  <c r="BJ189" i="22" s="1"/>
  <c r="BH248" i="22"/>
  <c r="BJ248" i="22" s="1"/>
  <c r="BH197" i="22"/>
  <c r="BJ197" i="22" s="1"/>
  <c r="BH175" i="22"/>
  <c r="BJ175" i="22" s="1"/>
  <c r="BH173" i="22"/>
  <c r="BJ173" i="22" s="1"/>
  <c r="BH167" i="22"/>
  <c r="BJ167" i="22" s="1"/>
  <c r="BH239" i="22"/>
  <c r="BJ239" i="22" s="1"/>
  <c r="BH195" i="22"/>
  <c r="BJ195" i="22" s="1"/>
  <c r="BH192" i="22"/>
  <c r="BJ192" i="22" s="1"/>
  <c r="BH210" i="22"/>
  <c r="BJ210" i="22" s="1"/>
  <c r="BH183" i="22"/>
  <c r="BJ183" i="22" s="1"/>
  <c r="BH219" i="22"/>
  <c r="BJ219" i="22" s="1"/>
  <c r="BH249" i="22"/>
  <c r="BJ249" i="22" s="1"/>
  <c r="BH216" i="22"/>
  <c r="BJ216" i="22" s="1"/>
  <c r="BH217" i="22"/>
  <c r="BJ217" i="22" s="1"/>
  <c r="BH207" i="22"/>
  <c r="BJ207" i="22" s="1"/>
  <c r="BH199" i="22"/>
  <c r="BJ199" i="22" s="1"/>
  <c r="BH169" i="22"/>
  <c r="BJ169" i="22" s="1"/>
  <c r="BH178" i="22"/>
  <c r="BJ178" i="22" s="1"/>
  <c r="BH232" i="22"/>
  <c r="BJ232" i="22" s="1"/>
  <c r="BH238" i="22"/>
  <c r="BJ238" i="22" s="1"/>
  <c r="BH233" i="22"/>
  <c r="BJ233" i="22" s="1"/>
  <c r="BH172" i="22"/>
  <c r="BJ172" i="22" s="1"/>
  <c r="BH235" i="22"/>
  <c r="BJ235" i="22" s="1"/>
  <c r="BH234" i="22"/>
  <c r="BJ234" i="22" s="1"/>
  <c r="BH229" i="22"/>
  <c r="BJ229" i="22" s="1"/>
  <c r="BH247" i="22"/>
  <c r="BJ247" i="22" s="1"/>
  <c r="BH242" i="22"/>
  <c r="BJ242" i="22" s="1"/>
  <c r="BH213" i="22"/>
  <c r="BJ213" i="22" s="1"/>
  <c r="BH209" i="22"/>
  <c r="BJ209" i="22" s="1"/>
  <c r="BH212" i="22"/>
  <c r="BJ212" i="22" s="1"/>
  <c r="BH176" i="22"/>
  <c r="BJ176" i="22" s="1"/>
  <c r="BH201" i="22"/>
  <c r="BJ201" i="22" s="1"/>
  <c r="BH204" i="22"/>
  <c r="BJ204" i="22" s="1"/>
  <c r="BH168" i="22"/>
  <c r="BJ168" i="22" s="1"/>
  <c r="BH191" i="22"/>
  <c r="BJ191" i="22" s="1"/>
  <c r="BH170" i="22"/>
  <c r="BJ170" i="22" s="1"/>
  <c r="BH166" i="22"/>
  <c r="BJ166" i="22" s="1"/>
  <c r="BH193" i="22"/>
  <c r="BJ193" i="22" s="1"/>
  <c r="BH196" i="22"/>
  <c r="BJ196" i="22" s="1"/>
  <c r="BH164" i="22"/>
  <c r="BJ164" i="22" s="1"/>
  <c r="BH221" i="22"/>
  <c r="BJ221" i="22" s="1"/>
  <c r="BH162" i="22"/>
  <c r="BJ162" i="22" s="1"/>
  <c r="BH184" i="22"/>
  <c r="BJ184" i="22" s="1"/>
  <c r="BH185" i="22"/>
  <c r="BJ185" i="22" s="1"/>
  <c r="BH188" i="22"/>
  <c r="BJ188" i="22" s="1"/>
  <c r="BH174" i="22"/>
  <c r="BJ174" i="22" s="1"/>
  <c r="BH237" i="22"/>
  <c r="BJ237" i="22" s="1"/>
  <c r="BH236" i="22"/>
  <c r="BJ236" i="22" s="1"/>
  <c r="BH246" i="22"/>
  <c r="BJ246" i="22" s="1"/>
  <c r="BH228" i="22"/>
  <c r="BJ228" i="22" s="1"/>
  <c r="BH231" i="22"/>
  <c r="BJ231" i="22" s="1"/>
  <c r="BH226" i="22"/>
  <c r="BJ226" i="22" s="1"/>
  <c r="BH225" i="22"/>
  <c r="BJ225" i="22" s="1"/>
  <c r="BH241" i="22"/>
  <c r="BJ241" i="22" s="1"/>
  <c r="BH224" i="22"/>
  <c r="BJ224" i="22" s="1"/>
  <c r="BH220" i="22"/>
  <c r="BJ220" i="22" s="1"/>
  <c r="BH223" i="22"/>
  <c r="BJ223" i="22" s="1"/>
  <c r="BH215" i="22"/>
  <c r="BJ215" i="22" s="1"/>
  <c r="M115" i="22"/>
  <c r="BP177" i="22"/>
  <c r="BR177" i="22" s="1"/>
  <c r="BN177" i="22"/>
  <c r="BP243" i="22"/>
  <c r="BR243" i="22" s="1"/>
  <c r="BN243" i="22"/>
  <c r="BP208" i="22"/>
  <c r="BR208" i="22" s="1"/>
  <c r="BN208" i="22"/>
  <c r="BP203" i="22"/>
  <c r="BR203" i="22" s="1"/>
  <c r="BN203" i="22"/>
  <c r="BP198" i="22"/>
  <c r="BR198" i="22" s="1"/>
  <c r="BN198" i="22"/>
  <c r="BP204" i="22"/>
  <c r="BR204" i="22" s="1"/>
  <c r="BN204" i="22"/>
  <c r="BP207" i="22"/>
  <c r="BR207" i="22" s="1"/>
  <c r="BN207" i="22"/>
  <c r="BP123" i="22"/>
  <c r="BR123" i="22" s="1"/>
  <c r="BN123" i="22"/>
  <c r="BN171" i="22"/>
  <c r="BP224" i="22"/>
  <c r="BR224" i="22" s="1"/>
  <c r="BN224" i="22"/>
  <c r="BP246" i="22"/>
  <c r="BR246" i="22" s="1"/>
  <c r="BN246" i="22"/>
  <c r="BP201" i="22"/>
  <c r="BR201" i="22" s="1"/>
  <c r="BN201" i="22"/>
  <c r="BP194" i="22"/>
  <c r="BR194" i="22" s="1"/>
  <c r="BN194" i="22"/>
  <c r="BP126" i="22"/>
  <c r="BR126" i="22" s="1"/>
  <c r="BN126" i="22"/>
  <c r="BP118" i="22"/>
  <c r="BR118" i="22" s="1"/>
  <c r="BN118" i="22"/>
  <c r="BN173" i="22"/>
  <c r="BP220" i="22"/>
  <c r="BR220" i="22" s="1"/>
  <c r="BN220" i="22"/>
  <c r="BP213" i="22"/>
  <c r="BR213" i="22" s="1"/>
  <c r="BN213" i="22"/>
  <c r="BP200" i="22"/>
  <c r="BR200" i="22" s="1"/>
  <c r="BN200" i="22"/>
  <c r="BP195" i="22"/>
  <c r="BR195" i="22" s="1"/>
  <c r="BN195" i="22"/>
  <c r="BP190" i="22"/>
  <c r="BR190" i="22" s="1"/>
  <c r="BN190" i="22"/>
  <c r="BP196" i="22"/>
  <c r="BR196" i="22" s="1"/>
  <c r="BN196" i="22"/>
  <c r="BP199" i="22"/>
  <c r="BR199" i="22" s="1"/>
  <c r="BN199" i="22"/>
  <c r="BP111" i="22"/>
  <c r="BR111" i="22" s="1"/>
  <c r="BN111" i="22"/>
  <c r="BP113" i="22"/>
  <c r="BR113" i="22" s="1"/>
  <c r="BN113" i="22"/>
  <c r="BP214" i="22"/>
  <c r="BR214" i="22" s="1"/>
  <c r="BN214" i="22"/>
  <c r="BP197" i="22"/>
  <c r="BR197" i="22" s="1"/>
  <c r="BN197" i="22"/>
  <c r="BP239" i="22"/>
  <c r="BR239" i="22" s="1"/>
  <c r="BN239" i="22"/>
  <c r="BP193" i="22"/>
  <c r="BR193" i="22" s="1"/>
  <c r="BN193" i="22"/>
  <c r="BP186" i="22"/>
  <c r="BR186" i="22" s="1"/>
  <c r="BN186" i="22"/>
  <c r="BP112" i="22"/>
  <c r="BR112" i="22" s="1"/>
  <c r="BN112" i="22"/>
  <c r="BP125" i="22"/>
  <c r="BR125" i="22" s="1"/>
  <c r="BN125" i="22"/>
  <c r="BP115" i="22"/>
  <c r="BR115" i="22" s="1"/>
  <c r="BN115" i="22"/>
  <c r="BP247" i="22"/>
  <c r="BR247" i="22" s="1"/>
  <c r="BN247" i="22"/>
  <c r="BP192" i="22"/>
  <c r="BR192" i="22" s="1"/>
  <c r="BN192" i="22"/>
  <c r="BP187" i="22"/>
  <c r="BR187" i="22" s="1"/>
  <c r="BN187" i="22"/>
  <c r="BP182" i="22"/>
  <c r="BR182" i="22" s="1"/>
  <c r="BN182" i="22"/>
  <c r="BP188" i="22"/>
  <c r="BR188" i="22" s="1"/>
  <c r="BN188" i="22"/>
  <c r="BP191" i="22"/>
  <c r="BR191" i="22" s="1"/>
  <c r="BN191" i="22"/>
  <c r="BP114" i="22"/>
  <c r="BR114" i="22" s="1"/>
  <c r="BN114" i="22"/>
  <c r="BP180" i="22"/>
  <c r="BR180" i="22" s="1"/>
  <c r="BN180" i="22"/>
  <c r="BP124" i="22"/>
  <c r="BR124" i="22" s="1"/>
  <c r="BN124" i="22"/>
  <c r="BP244" i="22"/>
  <c r="BR244" i="22" s="1"/>
  <c r="BN244" i="22"/>
  <c r="BP189" i="22"/>
  <c r="BR189" i="22" s="1"/>
  <c r="BN189" i="22"/>
  <c r="BP236" i="22"/>
  <c r="BR236" i="22" s="1"/>
  <c r="BN236" i="22"/>
  <c r="BP109" i="22"/>
  <c r="BR109" i="22" s="1"/>
  <c r="BN109" i="22"/>
  <c r="BP116" i="22"/>
  <c r="BR116" i="22" s="1"/>
  <c r="BN116" i="22"/>
  <c r="BN174" i="22"/>
  <c r="BN169" i="22"/>
  <c r="BP175" i="22"/>
  <c r="BR175" i="22" s="1"/>
  <c r="BN175" i="22"/>
  <c r="BP176" i="22"/>
  <c r="BR176" i="22" s="1"/>
  <c r="BN176" i="22"/>
  <c r="BP248" i="22"/>
  <c r="BR248" i="22" s="1"/>
  <c r="BN248" i="22"/>
  <c r="BP184" i="22"/>
  <c r="BR184" i="22" s="1"/>
  <c r="BN184" i="22"/>
  <c r="BP241" i="22"/>
  <c r="BR241" i="22" s="1"/>
  <c r="BN241" i="22"/>
  <c r="BP238" i="22"/>
  <c r="BR238" i="22" s="1"/>
  <c r="BN238" i="22"/>
  <c r="BP233" i="22"/>
  <c r="BR233" i="22" s="1"/>
  <c r="BN233" i="22"/>
  <c r="BP101" i="22"/>
  <c r="BR101" i="22" s="1"/>
  <c r="BN101" i="22"/>
  <c r="BP237" i="22"/>
  <c r="BR237" i="22" s="1"/>
  <c r="BN237" i="22"/>
  <c r="BP232" i="22"/>
  <c r="BR232" i="22" s="1"/>
  <c r="BN232" i="22"/>
  <c r="BP121" i="22"/>
  <c r="BR121" i="22" s="1"/>
  <c r="BN121" i="22"/>
  <c r="BN170" i="22"/>
  <c r="BP240" i="22"/>
  <c r="BR240" i="22" s="1"/>
  <c r="BN240" i="22"/>
  <c r="BP185" i="22"/>
  <c r="BR185" i="22" s="1"/>
  <c r="BN185" i="22"/>
  <c r="BP249" i="22"/>
  <c r="BR249" i="22" s="1"/>
  <c r="BN249" i="22"/>
  <c r="BP228" i="22"/>
  <c r="BR228" i="22" s="1"/>
  <c r="BN228" i="22"/>
  <c r="BP231" i="22"/>
  <c r="BR231" i="22" s="1"/>
  <c r="BN231" i="22"/>
  <c r="BP234" i="22"/>
  <c r="BR234" i="22" s="1"/>
  <c r="BN234" i="22"/>
  <c r="BP117" i="22"/>
  <c r="BR117" i="22" s="1"/>
  <c r="BN117" i="22"/>
  <c r="BP127" i="22"/>
  <c r="BR127" i="22" s="1"/>
  <c r="BN127" i="22"/>
  <c r="BN168" i="22"/>
  <c r="BP108" i="22"/>
  <c r="BR108" i="22" s="1"/>
  <c r="BN108" i="22"/>
  <c r="BP178" i="22"/>
  <c r="BR178" i="22" s="1"/>
  <c r="BN178" i="22"/>
  <c r="BP230" i="22"/>
  <c r="BR230" i="22" s="1"/>
  <c r="BN230" i="22"/>
  <c r="BP225" i="22"/>
  <c r="BR225" i="22" s="1"/>
  <c r="BN225" i="22"/>
  <c r="BP229" i="22"/>
  <c r="BR229" i="22" s="1"/>
  <c r="BN229" i="22"/>
  <c r="BP110" i="22"/>
  <c r="BR110" i="22" s="1"/>
  <c r="BN110" i="22"/>
  <c r="BP119" i="22"/>
  <c r="BR119" i="22" s="1"/>
  <c r="BN119" i="22"/>
  <c r="BP122" i="22"/>
  <c r="BR122" i="22" s="1"/>
  <c r="BN122" i="22"/>
  <c r="BP205" i="22"/>
  <c r="BR205" i="22" s="1"/>
  <c r="BN205" i="22"/>
  <c r="BP183" i="22"/>
  <c r="BR183" i="22" s="1"/>
  <c r="BN183" i="22"/>
  <c r="BP242" i="22"/>
  <c r="BR242" i="22" s="1"/>
  <c r="BN242" i="22"/>
  <c r="BP227" i="22"/>
  <c r="BR227" i="22" s="1"/>
  <c r="BN227" i="22"/>
  <c r="BP222" i="22"/>
  <c r="BR222" i="22" s="1"/>
  <c r="BN222" i="22"/>
  <c r="BP223" i="22"/>
  <c r="BR223" i="22" s="1"/>
  <c r="BN223" i="22"/>
  <c r="BP226" i="22"/>
  <c r="BR226" i="22" s="1"/>
  <c r="BN226" i="22"/>
  <c r="BP221" i="22"/>
  <c r="BR221" i="22" s="1"/>
  <c r="BN221" i="22"/>
  <c r="BP120" i="22"/>
  <c r="BR120" i="22" s="1"/>
  <c r="BN120" i="22"/>
  <c r="BP235" i="22"/>
  <c r="BR235" i="22" s="1"/>
  <c r="BN235" i="22"/>
  <c r="BP219" i="22"/>
  <c r="BR219" i="22" s="1"/>
  <c r="BN219" i="22"/>
  <c r="BP217" i="22"/>
  <c r="BR217" i="22" s="1"/>
  <c r="BN217" i="22"/>
  <c r="BP218" i="22"/>
  <c r="BR218" i="22" s="1"/>
  <c r="BN218" i="22"/>
  <c r="BP210" i="22"/>
  <c r="BR210" i="22" s="1"/>
  <c r="BN210" i="22"/>
  <c r="BP245" i="22"/>
  <c r="BR245" i="22" s="1"/>
  <c r="BN245" i="22"/>
  <c r="BP216" i="22"/>
  <c r="BR216" i="22" s="1"/>
  <c r="BN216" i="22"/>
  <c r="BP211" i="22"/>
  <c r="BR211" i="22" s="1"/>
  <c r="BN211" i="22"/>
  <c r="BP206" i="22"/>
  <c r="BR206" i="22" s="1"/>
  <c r="BN206" i="22"/>
  <c r="BP212" i="22"/>
  <c r="BR212" i="22" s="1"/>
  <c r="BN212" i="22"/>
  <c r="BP215" i="22"/>
  <c r="BR215" i="22" s="1"/>
  <c r="BN215" i="22"/>
  <c r="BP179" i="22"/>
  <c r="BR179" i="22" s="1"/>
  <c r="BN179" i="22"/>
  <c r="BP103" i="22"/>
  <c r="BR103" i="22" s="1"/>
  <c r="BN103" i="22"/>
  <c r="BP250" i="22"/>
  <c r="BR250" i="22" s="1"/>
  <c r="BN250" i="22"/>
  <c r="BP209" i="22"/>
  <c r="BR209" i="22" s="1"/>
  <c r="BN209" i="22"/>
  <c r="BP202" i="22"/>
  <c r="BR202" i="22" s="1"/>
  <c r="BN202" i="22"/>
  <c r="BN172" i="22"/>
  <c r="BP181" i="22"/>
  <c r="BR181" i="22" s="1"/>
  <c r="BN181" i="22"/>
  <c r="BN100" i="22"/>
  <c r="BP106" i="22"/>
  <c r="BR106" i="22" s="1"/>
  <c r="BQ104" i="22"/>
  <c r="BP104" i="22"/>
  <c r="BR104" i="22" s="1"/>
  <c r="BQ105" i="22"/>
  <c r="BP105" i="22"/>
  <c r="BR105" i="22" s="1"/>
  <c r="BP107" i="22"/>
  <c r="BR107" i="22" s="1"/>
  <c r="BP102" i="22"/>
  <c r="BR102" i="22" s="1"/>
  <c r="BH100" i="22"/>
  <c r="BJ100" i="22" s="1"/>
  <c r="BQ108" i="22"/>
  <c r="BH106" i="22"/>
  <c r="BJ106" i="22" s="1"/>
  <c r="BH101" i="22"/>
  <c r="BJ101" i="22" s="1"/>
  <c r="BH102" i="22"/>
  <c r="BJ102" i="22" s="1"/>
  <c r="BI225" i="22"/>
  <c r="BH218" i="22"/>
  <c r="BJ218" i="22" s="1"/>
  <c r="BH105" i="22"/>
  <c r="BJ105" i="22" s="1"/>
  <c r="BI104" i="22"/>
  <c r="BH104" i="22"/>
  <c r="BJ104" i="22" s="1"/>
  <c r="BH103" i="22"/>
  <c r="BJ103" i="22" s="1"/>
  <c r="BI201" i="22"/>
  <c r="BH194" i="22"/>
  <c r="BJ194" i="22" s="1"/>
  <c r="BQ226" i="22"/>
  <c r="BQ223" i="22"/>
  <c r="BQ191" i="22"/>
  <c r="BI106" i="22"/>
  <c r="BI199" i="22"/>
  <c r="BQ101" i="22"/>
  <c r="BQ215" i="22"/>
  <c r="BI207" i="22"/>
  <c r="BI228" i="22"/>
  <c r="BQ181" i="22"/>
  <c r="BQ229" i="22"/>
  <c r="BI226" i="22"/>
  <c r="BI215" i="22"/>
  <c r="BI217" i="22"/>
  <c r="BQ210" i="22"/>
  <c r="BI223" i="22"/>
  <c r="BQ106" i="22"/>
  <c r="BI105" i="22"/>
  <c r="BQ102" i="22"/>
  <c r="BQ234" i="22"/>
  <c r="BI101" i="22"/>
  <c r="BQ231" i="22"/>
  <c r="BQ119" i="22"/>
  <c r="BI188" i="22"/>
  <c r="BI175" i="22"/>
  <c r="BI203" i="22"/>
  <c r="BI209" i="22"/>
  <c r="BQ199" i="22"/>
  <c r="BQ194" i="22"/>
  <c r="BI191" i="22"/>
  <c r="BI169" i="22"/>
  <c r="BI103" i="22"/>
  <c r="BI178" i="22"/>
  <c r="BI187" i="22"/>
  <c r="BI167" i="22"/>
  <c r="BQ196" i="22"/>
  <c r="BQ182" i="22"/>
  <c r="BI200" i="22"/>
  <c r="BQ118" i="22"/>
  <c r="BQ183" i="22"/>
  <c r="BI237" i="22"/>
  <c r="BQ235" i="22"/>
  <c r="BQ238" i="22"/>
  <c r="BI236" i="22"/>
  <c r="BQ124" i="22"/>
  <c r="BI174" i="22"/>
  <c r="BQ177" i="22"/>
  <c r="BI180" i="22"/>
  <c r="BI163" i="22"/>
  <c r="BQ228" i="22"/>
  <c r="BI170" i="22"/>
  <c r="BQ126" i="22"/>
  <c r="BQ115" i="22"/>
  <c r="BQ227" i="22"/>
  <c r="BI230" i="22"/>
  <c r="M112" i="22"/>
  <c r="BI218" i="22"/>
  <c r="BQ224" i="22"/>
  <c r="BQ225" i="22"/>
  <c r="BI214" i="22"/>
  <c r="BI184" i="22"/>
  <c r="BQ216" i="22"/>
  <c r="BI216" i="22"/>
  <c r="BI219" i="22"/>
  <c r="BQ209" i="22"/>
  <c r="BI213" i="22"/>
  <c r="BI206" i="22"/>
  <c r="BQ188" i="22"/>
  <c r="BQ186" i="22"/>
  <c r="BI208" i="22"/>
  <c r="BI211" i="22"/>
  <c r="BI185" i="22"/>
  <c r="BI183" i="22"/>
  <c r="BQ116" i="22"/>
  <c r="BQ103" i="22"/>
  <c r="BQ197" i="22"/>
  <c r="BQ203" i="22"/>
  <c r="BQ120" i="22"/>
  <c r="BQ178" i="22"/>
  <c r="BQ193" i="22"/>
  <c r="M108" i="22"/>
  <c r="BI197" i="22"/>
  <c r="BQ195" i="22"/>
  <c r="BI190" i="22"/>
  <c r="BI102" i="22"/>
  <c r="BI196" i="22"/>
  <c r="BI192" i="22"/>
  <c r="BI195" i="22"/>
  <c r="BQ184" i="22"/>
  <c r="BQ109" i="22"/>
  <c r="M109" i="22"/>
  <c r="M124" i="22"/>
  <c r="M103" i="22"/>
  <c r="M116" i="22"/>
  <c r="M117" i="22"/>
  <c r="M118" i="22"/>
  <c r="M111" i="22"/>
  <c r="E37" i="7"/>
  <c r="O10" i="29" s="1"/>
  <c r="E77" i="29" s="1"/>
  <c r="M123" i="22"/>
  <c r="M106" i="22"/>
  <c r="M110" i="22"/>
  <c r="M125" i="22"/>
  <c r="M104" i="22"/>
  <c r="L100" i="22"/>
  <c r="M120" i="22"/>
  <c r="M127" i="22"/>
  <c r="V40" i="21"/>
  <c r="M107" i="22"/>
  <c r="AU161" i="22"/>
  <c r="AU158" i="22"/>
  <c r="AU190" i="22"/>
  <c r="AU208" i="22"/>
  <c r="P40" i="21"/>
  <c r="BQ114" i="22"/>
  <c r="BQ219" i="22"/>
  <c r="BQ185" i="22"/>
  <c r="BQ222" i="22"/>
  <c r="BI221" i="22"/>
  <c r="BQ190" i="22"/>
  <c r="BQ212" i="22"/>
  <c r="BI173" i="22"/>
  <c r="BQ117" i="22"/>
  <c r="BI186" i="22"/>
  <c r="BQ110" i="22"/>
  <c r="BQ113" i="22"/>
  <c r="BQ218" i="22"/>
  <c r="BQ107" i="22"/>
  <c r="BI164" i="22"/>
  <c r="BQ112" i="22"/>
  <c r="BQ211" i="22"/>
  <c r="BQ198" i="22"/>
  <c r="BI227" i="22"/>
  <c r="BI168" i="22"/>
  <c r="BQ111" i="22"/>
  <c r="BI231" i="22"/>
  <c r="BI222" i="22"/>
  <c r="BI233" i="22"/>
  <c r="BI161" i="22"/>
  <c r="BQ127" i="22"/>
  <c r="BQ189" i="22"/>
  <c r="BQ200" i="22"/>
  <c r="BI202" i="22"/>
  <c r="BQ201" i="22"/>
  <c r="BQ208" i="22"/>
  <c r="BI212" i="22"/>
  <c r="BI182" i="22"/>
  <c r="BI176" i="22"/>
  <c r="BI165" i="22"/>
  <c r="BQ214" i="22"/>
  <c r="BI179" i="22"/>
  <c r="BQ204" i="22"/>
  <c r="BI232" i="22"/>
  <c r="BQ230" i="22"/>
  <c r="BI177" i="22"/>
  <c r="BQ233" i="22"/>
  <c r="BI204" i="22"/>
  <c r="BI194" i="22"/>
  <c r="BQ192" i="22"/>
  <c r="BI229" i="22"/>
  <c r="BI210" i="22"/>
  <c r="BQ176" i="22"/>
  <c r="BI220" i="22"/>
  <c r="BQ217" i="22"/>
  <c r="BI224" i="22"/>
  <c r="BQ121" i="22"/>
  <c r="BI171" i="22"/>
  <c r="BI166" i="22"/>
  <c r="M112" i="27"/>
  <c r="M101" i="27"/>
  <c r="M110" i="27"/>
  <c r="M125" i="27"/>
  <c r="M123" i="27"/>
  <c r="M106" i="27"/>
  <c r="M110" i="34"/>
  <c r="M116" i="34"/>
  <c r="M127" i="34"/>
  <c r="L102" i="34"/>
  <c r="M112" i="34"/>
  <c r="L108" i="34"/>
  <c r="M108" i="34"/>
  <c r="M103" i="27"/>
  <c r="M119" i="27"/>
  <c r="M113" i="27"/>
  <c r="M117" i="34"/>
  <c r="L113" i="34"/>
  <c r="L109" i="34"/>
  <c r="M116" i="27"/>
  <c r="M100" i="27"/>
  <c r="M114" i="27"/>
  <c r="M121" i="27"/>
  <c r="M118" i="34"/>
  <c r="L103" i="34"/>
  <c r="L110" i="34"/>
  <c r="M126" i="27"/>
  <c r="M102" i="27"/>
  <c r="M122" i="27"/>
  <c r="M118" i="27"/>
  <c r="M117" i="27"/>
  <c r="L102" i="27"/>
  <c r="M115" i="27"/>
  <c r="M124" i="34"/>
  <c r="M115" i="34"/>
  <c r="M103" i="34"/>
  <c r="M107" i="27"/>
  <c r="L103" i="27"/>
  <c r="L104" i="27"/>
  <c r="L110" i="27"/>
  <c r="M120" i="27"/>
  <c r="M125" i="34"/>
  <c r="M119" i="34"/>
  <c r="L105" i="34"/>
  <c r="M104" i="34"/>
  <c r="M109" i="27"/>
  <c r="M124" i="27"/>
  <c r="M109" i="34"/>
  <c r="M126" i="34"/>
  <c r="M100" i="34"/>
  <c r="M120" i="34"/>
  <c r="L106" i="34"/>
  <c r="M105" i="34"/>
  <c r="L111" i="27"/>
  <c r="M111" i="27"/>
  <c r="L106" i="27"/>
  <c r="M104" i="27"/>
  <c r="L100" i="34"/>
  <c r="L101" i="34"/>
  <c r="M121" i="34"/>
  <c r="M102" i="34"/>
  <c r="M113" i="34"/>
  <c r="M106" i="34"/>
  <c r="M127" i="27"/>
  <c r="M108" i="27"/>
  <c r="M105" i="27"/>
  <c r="L111" i="34"/>
  <c r="M111" i="34"/>
  <c r="M123" i="34"/>
  <c r="M101" i="34"/>
  <c r="M122" i="34"/>
  <c r="M114" i="34"/>
  <c r="L107" i="34"/>
  <c r="M107" i="34"/>
  <c r="M113" i="30"/>
  <c r="M106" i="30"/>
  <c r="L109" i="30"/>
  <c r="M102" i="30"/>
  <c r="BQ220" i="22"/>
  <c r="BQ237" i="22"/>
  <c r="BQ207" i="22"/>
  <c r="BI234" i="22"/>
  <c r="BQ202" i="22"/>
  <c r="BQ232" i="22"/>
  <c r="BI235" i="22"/>
  <c r="BI205" i="22"/>
  <c r="BI238" i="22"/>
  <c r="BQ236" i="22"/>
  <c r="BQ206" i="22"/>
  <c r="BI198" i="22"/>
  <c r="BI172" i="22"/>
  <c r="BQ180" i="22"/>
  <c r="BQ175" i="22"/>
  <c r="M126" i="30"/>
  <c r="M114" i="30"/>
  <c r="L103" i="30"/>
  <c r="M103" i="30"/>
  <c r="M117" i="30"/>
  <c r="M115" i="30"/>
  <c r="M107" i="30"/>
  <c r="M119" i="30"/>
  <c r="M118" i="30"/>
  <c r="M104" i="30"/>
  <c r="AU204" i="22"/>
  <c r="L101" i="30"/>
  <c r="M125" i="30"/>
  <c r="M124" i="30"/>
  <c r="M120" i="30"/>
  <c r="L104" i="30"/>
  <c r="M127" i="30"/>
  <c r="L107" i="30"/>
  <c r="M108" i="30"/>
  <c r="M112" i="30"/>
  <c r="M121" i="30"/>
  <c r="M116" i="30"/>
  <c r="AU219" i="22"/>
  <c r="AU160" i="22"/>
  <c r="AU177" i="22"/>
  <c r="AU178" i="22"/>
  <c r="M105" i="30"/>
  <c r="L111" i="30"/>
  <c r="M109" i="30"/>
  <c r="M122" i="30"/>
  <c r="AU235" i="22"/>
  <c r="AU124" i="22"/>
  <c r="AU239" i="22"/>
  <c r="M100" i="30"/>
  <c r="M110" i="30"/>
  <c r="L112" i="30"/>
  <c r="M123" i="30"/>
  <c r="AU174" i="22"/>
  <c r="AU210" i="22"/>
  <c r="M101" i="30"/>
  <c r="M111" i="30"/>
  <c r="T100" i="39"/>
  <c r="K100" i="40"/>
  <c r="AT100" i="40" s="1"/>
  <c r="AS100" i="40"/>
  <c r="L114" i="39"/>
  <c r="M128" i="39"/>
  <c r="AS100" i="38"/>
  <c r="K100" i="38"/>
  <c r="AT100" i="38" s="1"/>
  <c r="BE194" i="22"/>
  <c r="BF194" i="22"/>
  <c r="BM224" i="22"/>
  <c r="BE202" i="22"/>
  <c r="BF202" i="22"/>
  <c r="BF235" i="22"/>
  <c r="BE235" i="22"/>
  <c r="BE205" i="22"/>
  <c r="BF205" i="22"/>
  <c r="BE230" i="22"/>
  <c r="BF230" i="22"/>
  <c r="BE200" i="22"/>
  <c r="BF200" i="22"/>
  <c r="BM228" i="22"/>
  <c r="BE195" i="22"/>
  <c r="BF195" i="22"/>
  <c r="BM231" i="22"/>
  <c r="BM201" i="22"/>
  <c r="BM234" i="22"/>
  <c r="BE201" i="22"/>
  <c r="BF201" i="22"/>
  <c r="BE234" i="22"/>
  <c r="BF234" i="22"/>
  <c r="BE204" i="22"/>
  <c r="BF204" i="22"/>
  <c r="BE229" i="22"/>
  <c r="BF229" i="22"/>
  <c r="BM194" i="22"/>
  <c r="BM117" i="22"/>
  <c r="BM126" i="22"/>
  <c r="BE167" i="22"/>
  <c r="BF167" i="22"/>
  <c r="BQ125" i="22"/>
  <c r="BM118" i="22"/>
  <c r="BM170" i="22"/>
  <c r="BE178" i="22"/>
  <c r="BF178" i="22"/>
  <c r="BE173" i="22"/>
  <c r="BF173" i="22"/>
  <c r="BF176" i="22"/>
  <c r="BE176" i="22"/>
  <c r="BE156" i="22"/>
  <c r="BF156" i="22"/>
  <c r="AU141" i="22"/>
  <c r="AU209" i="22"/>
  <c r="BM213" i="22"/>
  <c r="BI193" i="22"/>
  <c r="BF186" i="22"/>
  <c r="BE186" i="22"/>
  <c r="BM230" i="22"/>
  <c r="BM200" i="22"/>
  <c r="BF227" i="22"/>
  <c r="BE227" i="22"/>
  <c r="BM195" i="22"/>
  <c r="BM225" i="22"/>
  <c r="BM190" i="22"/>
  <c r="BF228" i="22"/>
  <c r="BE228" i="22"/>
  <c r="BE198" i="22"/>
  <c r="BF198" i="22"/>
  <c r="BE231" i="22"/>
  <c r="BF231" i="22"/>
  <c r="BM196" i="22"/>
  <c r="BM229" i="22"/>
  <c r="BM199" i="22"/>
  <c r="BE226" i="22"/>
  <c r="BF226" i="22"/>
  <c r="BF191" i="22"/>
  <c r="BE191" i="22"/>
  <c r="BM110" i="22"/>
  <c r="BM111" i="22"/>
  <c r="BF165" i="22"/>
  <c r="BE165" i="22"/>
  <c r="BM113" i="22"/>
  <c r="BM127" i="22"/>
  <c r="BM173" i="22"/>
  <c r="BM168" i="22"/>
  <c r="BM171" i="22"/>
  <c r="BF154" i="22"/>
  <c r="BE154" i="22"/>
  <c r="AU225" i="22"/>
  <c r="BM197" i="22"/>
  <c r="BM227" i="22"/>
  <c r="BE197" i="22"/>
  <c r="BF197" i="22"/>
  <c r="BM222" i="22"/>
  <c r="BE192" i="22"/>
  <c r="BF192" i="22"/>
  <c r="BF222" i="22"/>
  <c r="BE222" i="22"/>
  <c r="BF187" i="22"/>
  <c r="BE187" i="22"/>
  <c r="BF225" i="22"/>
  <c r="BE225" i="22"/>
  <c r="BM193" i="22"/>
  <c r="BM223" i="22"/>
  <c r="BE193" i="22"/>
  <c r="BF193" i="22"/>
  <c r="BM226" i="22"/>
  <c r="BE196" i="22"/>
  <c r="BF196" i="22"/>
  <c r="BM221" i="22"/>
  <c r="BM186" i="22"/>
  <c r="BE163" i="22"/>
  <c r="BF163" i="22"/>
  <c r="BM112" i="22"/>
  <c r="BM119" i="22"/>
  <c r="BE170" i="22"/>
  <c r="BF170" i="22"/>
  <c r="BM122" i="22"/>
  <c r="BE168" i="22"/>
  <c r="BF168" i="22"/>
  <c r="BM108" i="22"/>
  <c r="AU155" i="22"/>
  <c r="AU106" i="22"/>
  <c r="AU172" i="22"/>
  <c r="AU224" i="22"/>
  <c r="AU241" i="22"/>
  <c r="AU227" i="22"/>
  <c r="BE221" i="22"/>
  <c r="BF221" i="22"/>
  <c r="BE181" i="22"/>
  <c r="BF181" i="22"/>
  <c r="BE224" i="22"/>
  <c r="BF224" i="22"/>
  <c r="BM192" i="22"/>
  <c r="BF219" i="22"/>
  <c r="BE219" i="22"/>
  <c r="BM187" i="22"/>
  <c r="BQ221" i="22"/>
  <c r="BM214" i="22"/>
  <c r="BM182" i="22"/>
  <c r="BM220" i="22"/>
  <c r="BE190" i="22"/>
  <c r="BF190" i="22"/>
  <c r="BF220" i="22"/>
  <c r="BE220" i="22"/>
  <c r="BM188" i="22"/>
  <c r="BF223" i="22"/>
  <c r="BE223" i="22"/>
  <c r="BM191" i="22"/>
  <c r="BE215" i="22"/>
  <c r="BF215" i="22"/>
  <c r="BF183" i="22"/>
  <c r="BE183" i="22"/>
  <c r="BM104" i="22"/>
  <c r="BE161" i="22"/>
  <c r="BF161" i="22"/>
  <c r="BM125" i="22"/>
  <c r="BM120" i="22"/>
  <c r="BE166" i="22"/>
  <c r="BF166" i="22"/>
  <c r="AU202" i="22"/>
  <c r="AU188" i="22"/>
  <c r="AU175" i="22"/>
  <c r="AU129" i="22"/>
  <c r="AU130" i="22"/>
  <c r="BM235" i="22"/>
  <c r="BE232" i="22"/>
  <c r="BF232" i="22"/>
  <c r="BM219" i="22"/>
  <c r="BE189" i="22"/>
  <c r="BF189" i="22"/>
  <c r="BE216" i="22"/>
  <c r="BF216" i="22"/>
  <c r="BE184" i="22"/>
  <c r="BF184" i="22"/>
  <c r="BF211" i="22"/>
  <c r="BE211" i="22"/>
  <c r="BQ187" i="22"/>
  <c r="BM180" i="22"/>
  <c r="BM217" i="22"/>
  <c r="BM185" i="22"/>
  <c r="BF217" i="22"/>
  <c r="BE217" i="22"/>
  <c r="BF185" i="22"/>
  <c r="BE185" i="22"/>
  <c r="BM218" i="22"/>
  <c r="BF188" i="22"/>
  <c r="BE188" i="22"/>
  <c r="BM210" i="22"/>
  <c r="BM177" i="22"/>
  <c r="CG103" i="22"/>
  <c r="CG114" i="22"/>
  <c r="CG119" i="22"/>
  <c r="CG121" i="22"/>
  <c r="CG140" i="22"/>
  <c r="CG148" i="22"/>
  <c r="CG172" i="22"/>
  <c r="CG180" i="22"/>
  <c r="CG113" i="22"/>
  <c r="CG124" i="22"/>
  <c r="CG129" i="22"/>
  <c r="CG133" i="22"/>
  <c r="CG137" i="22"/>
  <c r="CG143" i="22"/>
  <c r="CG151" i="22"/>
  <c r="CG169" i="22"/>
  <c r="CG177" i="22"/>
  <c r="CG105" i="22"/>
  <c r="CG111" i="22"/>
  <c r="CG112" i="22"/>
  <c r="CG118" i="22"/>
  <c r="CG126" i="22"/>
  <c r="CG146" i="22"/>
  <c r="CG174" i="22"/>
  <c r="CG110" i="22"/>
  <c r="CG117" i="22"/>
  <c r="CG122" i="22"/>
  <c r="CG130" i="22"/>
  <c r="CG134" i="22"/>
  <c r="CG138" i="22"/>
  <c r="CG141" i="22"/>
  <c r="CG149" i="22"/>
  <c r="CG154" i="22"/>
  <c r="CG156" i="22"/>
  <c r="CG158" i="22"/>
  <c r="CG160" i="22"/>
  <c r="CG162" i="22"/>
  <c r="CG164" i="22"/>
  <c r="CG166" i="22"/>
  <c r="CG171" i="22"/>
  <c r="CG179" i="22"/>
  <c r="CG102" i="22"/>
  <c r="CG109" i="22"/>
  <c r="CG125" i="22"/>
  <c r="CG144" i="22"/>
  <c r="CG152" i="22"/>
  <c r="CG168" i="22"/>
  <c r="CG176" i="22"/>
  <c r="CG104" i="22"/>
  <c r="CG108" i="22"/>
  <c r="CG116" i="22"/>
  <c r="CG120" i="22"/>
  <c r="CG127" i="22"/>
  <c r="CG131" i="22"/>
  <c r="CG135" i="22"/>
  <c r="CG139" i="22"/>
  <c r="CG147" i="22"/>
  <c r="CG173" i="22"/>
  <c r="CG107" i="22"/>
  <c r="CG115" i="22"/>
  <c r="CG123" i="22"/>
  <c r="CG142" i="22"/>
  <c r="CG150" i="22"/>
  <c r="CG170" i="22"/>
  <c r="CG178" i="22"/>
  <c r="CG161" i="22"/>
  <c r="CG187" i="22"/>
  <c r="CG195" i="22"/>
  <c r="CG203" i="22"/>
  <c r="CG211" i="22"/>
  <c r="CG222" i="22"/>
  <c r="CG233" i="22"/>
  <c r="CG101" i="22"/>
  <c r="CG167" i="22"/>
  <c r="CG184" i="22"/>
  <c r="CG192" i="22"/>
  <c r="CG200" i="22"/>
  <c r="CG208" i="22"/>
  <c r="CG216" i="22"/>
  <c r="CG219" i="22"/>
  <c r="CG230" i="22"/>
  <c r="CG238" i="22"/>
  <c r="CG106" i="22"/>
  <c r="CG132" i="22"/>
  <c r="CG145" i="22"/>
  <c r="CG157" i="22"/>
  <c r="CG181" i="22"/>
  <c r="CG189" i="22"/>
  <c r="CG197" i="22"/>
  <c r="CG205" i="22"/>
  <c r="CG213" i="22"/>
  <c r="CG224" i="22"/>
  <c r="CG227" i="22"/>
  <c r="CG235" i="22"/>
  <c r="CG163" i="22"/>
  <c r="CG186" i="22"/>
  <c r="CG194" i="22"/>
  <c r="CG202" i="22"/>
  <c r="CG210" i="22"/>
  <c r="CG221" i="22"/>
  <c r="CG232" i="22"/>
  <c r="CG153" i="22"/>
  <c r="CG183" i="22"/>
  <c r="CG191" i="22"/>
  <c r="CG199" i="22"/>
  <c r="CG207" i="22"/>
  <c r="CG215" i="22"/>
  <c r="CG218" i="22"/>
  <c r="CG226" i="22"/>
  <c r="CG229" i="22"/>
  <c r="CG237" i="22"/>
  <c r="CG128" i="22"/>
  <c r="CG159" i="22"/>
  <c r="CG175" i="22"/>
  <c r="CG188" i="22"/>
  <c r="CG196" i="22"/>
  <c r="CG204" i="22"/>
  <c r="CG212" i="22"/>
  <c r="CG223" i="22"/>
  <c r="CG234" i="22"/>
  <c r="CG165" i="22"/>
  <c r="CG185" i="22"/>
  <c r="CG193" i="22"/>
  <c r="CG201" i="22"/>
  <c r="CG209" i="22"/>
  <c r="CG217" i="22"/>
  <c r="CG220" i="22"/>
  <c r="CG231" i="22"/>
  <c r="CG236" i="22"/>
  <c r="CG155" i="22"/>
  <c r="CG190" i="22"/>
  <c r="CG206" i="22"/>
  <c r="CG228" i="22"/>
  <c r="CG136" i="22"/>
  <c r="CG225" i="22"/>
  <c r="CG182" i="22"/>
  <c r="CG198" i="22"/>
  <c r="CG214" i="22"/>
  <c r="BM102" i="22"/>
  <c r="BF159" i="22"/>
  <c r="BE159" i="22"/>
  <c r="BM114" i="22"/>
  <c r="BQ122" i="22"/>
  <c r="BM115" i="22"/>
  <c r="BF164" i="22"/>
  <c r="BE164" i="22"/>
  <c r="BM106" i="22"/>
  <c r="AU110" i="22"/>
  <c r="AU238" i="22"/>
  <c r="BM205" i="22"/>
  <c r="BM216" i="22"/>
  <c r="BM184" i="22"/>
  <c r="BM211" i="22"/>
  <c r="BE171" i="22"/>
  <c r="BF171" i="22"/>
  <c r="BQ213" i="22"/>
  <c r="BM206" i="22"/>
  <c r="BM124" i="22"/>
  <c r="BF214" i="22"/>
  <c r="BE214" i="22"/>
  <c r="BI189" i="22"/>
  <c r="BF182" i="22"/>
  <c r="BE182" i="22"/>
  <c r="BM212" i="22"/>
  <c r="BE179" i="22"/>
  <c r="BF179" i="22"/>
  <c r="BM215" i="22"/>
  <c r="BM183" i="22"/>
  <c r="BE207" i="22"/>
  <c r="BF207" i="22"/>
  <c r="BI181" i="22"/>
  <c r="BE174" i="22"/>
  <c r="BF174" i="22"/>
  <c r="BF177" i="22"/>
  <c r="BE177" i="22"/>
  <c r="BF180" i="22"/>
  <c r="BE180" i="22"/>
  <c r="BE157" i="22"/>
  <c r="BF157" i="22"/>
  <c r="BM100" i="22"/>
  <c r="BM105" i="22"/>
  <c r="BM103" i="22"/>
  <c r="BM107" i="22"/>
  <c r="BF162" i="22"/>
  <c r="BE162" i="22"/>
  <c r="AU162" i="22"/>
  <c r="X101" i="22"/>
  <c r="BM189" i="22"/>
  <c r="BE213" i="22"/>
  <c r="BF213" i="22"/>
  <c r="BE238" i="22"/>
  <c r="BF238" i="22"/>
  <c r="BE208" i="22"/>
  <c r="BF208" i="22"/>
  <c r="BM236" i="22"/>
  <c r="BE203" i="22"/>
  <c r="BF203" i="22"/>
  <c r="BM109" i="22"/>
  <c r="BM209" i="22"/>
  <c r="BQ123" i="22"/>
  <c r="BM116" i="22"/>
  <c r="BE209" i="22"/>
  <c r="BF209" i="22"/>
  <c r="BM174" i="22"/>
  <c r="BF212" i="22"/>
  <c r="BE212" i="22"/>
  <c r="BF237" i="22"/>
  <c r="BE237" i="22"/>
  <c r="BM202" i="22"/>
  <c r="BM169" i="22"/>
  <c r="BQ179" i="22"/>
  <c r="BM172" i="22"/>
  <c r="BM175" i="22"/>
  <c r="BI162" i="22"/>
  <c r="BF155" i="22"/>
  <c r="BE155" i="22"/>
  <c r="BM178" i="22"/>
  <c r="BE160" i="22"/>
  <c r="BF160" i="22"/>
  <c r="AU108" i="22"/>
  <c r="AU223" i="22"/>
  <c r="AU163" i="22"/>
  <c r="BE210" i="22"/>
  <c r="BF210" i="22"/>
  <c r="BE218" i="22"/>
  <c r="BF218" i="22"/>
  <c r="BM238" i="22"/>
  <c r="BM208" i="22"/>
  <c r="BM233" i="22"/>
  <c r="BM203" i="22"/>
  <c r="BF233" i="22"/>
  <c r="BE233" i="22"/>
  <c r="BQ205" i="22"/>
  <c r="BM198" i="22"/>
  <c r="BE236" i="22"/>
  <c r="BF236" i="22"/>
  <c r="BE206" i="22"/>
  <c r="BF206" i="22"/>
  <c r="BM101" i="22"/>
  <c r="BM204" i="22"/>
  <c r="BM237" i="22"/>
  <c r="BM207" i="22"/>
  <c r="BM232" i="22"/>
  <c r="BE199" i="22"/>
  <c r="BF199" i="22"/>
  <c r="BM121" i="22"/>
  <c r="BE169" i="22"/>
  <c r="BF169" i="22"/>
  <c r="BF172" i="22"/>
  <c r="BE172" i="22"/>
  <c r="BM123" i="22"/>
  <c r="BE175" i="22"/>
  <c r="BF175" i="22"/>
  <c r="BM181" i="22"/>
  <c r="BM176" i="22"/>
  <c r="BM179" i="22"/>
  <c r="BE158" i="22"/>
  <c r="BF158" i="22"/>
  <c r="T100" i="37"/>
  <c r="L114" i="37"/>
  <c r="M128" i="37"/>
  <c r="AU139" i="22"/>
  <c r="AU201" i="22"/>
  <c r="AU159" i="22"/>
  <c r="AU100" i="22"/>
  <c r="AU113" i="22"/>
  <c r="AU169" i="22"/>
  <c r="AU197" i="22"/>
  <c r="AU207" i="22"/>
  <c r="AU171" i="22"/>
  <c r="AU243" i="22"/>
  <c r="AU146" i="22"/>
  <c r="AU203" i="22"/>
  <c r="AU153" i="22"/>
  <c r="AU170" i="22"/>
  <c r="AU205" i="22"/>
  <c r="AU245" i="22"/>
  <c r="AU182" i="22"/>
  <c r="AU183" i="22"/>
  <c r="AU250" i="22"/>
  <c r="AU198" i="22"/>
  <c r="AU104" i="22"/>
  <c r="AU116" i="22"/>
  <c r="AU221" i="22"/>
  <c r="AU234" i="22"/>
  <c r="AU168" i="22"/>
  <c r="AU125" i="22"/>
  <c r="AU240" i="22"/>
  <c r="AU115" i="22"/>
  <c r="AU180" i="22"/>
  <c r="AU189" i="22"/>
  <c r="AU147" i="22"/>
  <c r="AU173" i="22"/>
  <c r="AU111" i="22"/>
  <c r="AU193" i="22"/>
  <c r="AU179" i="22"/>
  <c r="AU143" i="22"/>
  <c r="AU118" i="22"/>
  <c r="AU144" i="22"/>
  <c r="AU215" i="22"/>
  <c r="AU176" i="22"/>
  <c r="AU186" i="22"/>
  <c r="AU194" i="22"/>
  <c r="AU214" i="22"/>
  <c r="AU247" i="22"/>
  <c r="AU120" i="22"/>
  <c r="AU140" i="22"/>
  <c r="AU192" i="22"/>
  <c r="AU132" i="22"/>
  <c r="AU230" i="22"/>
  <c r="AU136" i="22"/>
  <c r="AU156" i="22"/>
  <c r="AU137" i="22"/>
  <c r="AU237" i="22"/>
  <c r="AU226" i="22"/>
  <c r="AU109" i="22"/>
  <c r="AU148" i="22"/>
  <c r="AU246" i="22"/>
  <c r="AU152" i="22"/>
  <c r="AU242" i="22"/>
  <c r="AU164" i="22"/>
  <c r="AU105" i="22"/>
  <c r="AU184" i="22"/>
  <c r="AU145" i="22"/>
  <c r="AU217" i="22"/>
  <c r="AU131" i="22"/>
  <c r="AU196" i="22"/>
  <c r="AU103" i="22"/>
  <c r="AU200" i="22"/>
  <c r="AU154" i="22"/>
  <c r="AU220" i="22"/>
  <c r="AU138" i="22"/>
  <c r="AU126" i="22"/>
  <c r="AU121" i="22"/>
  <c r="AU212" i="22"/>
  <c r="AU117" i="22"/>
  <c r="AU135" i="22"/>
  <c r="AU216" i="22"/>
  <c r="AU236" i="22"/>
  <c r="AU142" i="22"/>
  <c r="AU185" i="22"/>
  <c r="AU228" i="22"/>
  <c r="AU133" i="22"/>
  <c r="AU167" i="22"/>
  <c r="AU232" i="22"/>
  <c r="AU107" i="22"/>
  <c r="AU218" i="22"/>
  <c r="AU233" i="22"/>
  <c r="AU244" i="22"/>
  <c r="AU149" i="22"/>
  <c r="AU157" i="22"/>
  <c r="AU199" i="22"/>
  <c r="AU248" i="22"/>
  <c r="AU123" i="22"/>
  <c r="AU127" i="22"/>
  <c r="AU195" i="22"/>
  <c r="AU165" i="22"/>
  <c r="AU102" i="22"/>
  <c r="AU231" i="22"/>
  <c r="AU211" i="22"/>
  <c r="AU181" i="22"/>
  <c r="AU206" i="22"/>
  <c r="AU134" i="22"/>
  <c r="AU222" i="22"/>
  <c r="AU112" i="22"/>
  <c r="AU122" i="22"/>
  <c r="AU213" i="22"/>
  <c r="AU150" i="22"/>
  <c r="AU119" i="22"/>
  <c r="AU187" i="22"/>
  <c r="AU191" i="22"/>
  <c r="AU249" i="22"/>
  <c r="AU229" i="22"/>
  <c r="AU166" i="22"/>
  <c r="AU151" i="22"/>
  <c r="S40" i="36"/>
  <c r="J39" i="36"/>
  <c r="L39" i="36" s="1"/>
  <c r="CG239" i="22"/>
  <c r="CG246" i="22"/>
  <c r="CG244" i="22"/>
  <c r="CG248" i="22"/>
  <c r="CG241" i="22"/>
  <c r="CG250" i="22"/>
  <c r="CG247" i="22"/>
  <c r="CG243" i="22"/>
  <c r="CG242" i="22"/>
  <c r="CG245" i="22"/>
  <c r="CG240" i="22"/>
  <c r="CG249" i="22"/>
  <c r="F40" i="21" l="1"/>
  <c r="AA102" i="40"/>
  <c r="E102" i="40" s="1"/>
  <c r="H102" i="40" s="1"/>
  <c r="D73" i="21"/>
  <c r="D75" i="21" s="1"/>
  <c r="D77" i="21" s="1"/>
  <c r="F39" i="36"/>
  <c r="F40" i="36" s="1"/>
  <c r="AR101" i="37"/>
  <c r="AQ102" i="37"/>
  <c r="G130" i="37" s="1"/>
  <c r="J130" i="37" s="1"/>
  <c r="D32" i="38"/>
  <c r="AR100" i="30"/>
  <c r="AJ100" i="34"/>
  <c r="AR101" i="30"/>
  <c r="AI101" i="34"/>
  <c r="F115" i="34" s="1"/>
  <c r="I115" i="34" s="1"/>
  <c r="AR101" i="34"/>
  <c r="AF104" i="38"/>
  <c r="AF105" i="38" s="1"/>
  <c r="AI101" i="30"/>
  <c r="F115" i="30" s="1"/>
  <c r="I115" i="30" s="1"/>
  <c r="AT100" i="27"/>
  <c r="AQ101" i="30"/>
  <c r="AB101" i="40"/>
  <c r="X102" i="40"/>
  <c r="Y102" i="40" s="1"/>
  <c r="AA103" i="40" s="1"/>
  <c r="E103" i="40" s="1"/>
  <c r="H103" i="40" s="1"/>
  <c r="AF102" i="34"/>
  <c r="AR100" i="34"/>
  <c r="AG102" i="40"/>
  <c r="AI103" i="40" s="1"/>
  <c r="F117" i="40" s="1"/>
  <c r="I117" i="40" s="1"/>
  <c r="AF103" i="40"/>
  <c r="AN101" i="27"/>
  <c r="AO101" i="38"/>
  <c r="AR101" i="38" s="1"/>
  <c r="AN102" i="38"/>
  <c r="AF101" i="30"/>
  <c r="Y101" i="39"/>
  <c r="AB101" i="39" s="1"/>
  <c r="X102" i="39"/>
  <c r="AQ115" i="30"/>
  <c r="AG101" i="39"/>
  <c r="AJ101" i="39" s="1"/>
  <c r="AF102" i="39"/>
  <c r="AQ115" i="39"/>
  <c r="AO102" i="37"/>
  <c r="AQ103" i="37" s="1"/>
  <c r="G131" i="37" s="1"/>
  <c r="J131" i="37" s="1"/>
  <c r="AN103" i="37"/>
  <c r="Y102" i="34"/>
  <c r="Z102" i="34" s="1"/>
  <c r="X103" i="34"/>
  <c r="AQ115" i="34"/>
  <c r="AQ101" i="34"/>
  <c r="AJ100" i="30"/>
  <c r="V121" i="30"/>
  <c r="V123" i="39"/>
  <c r="X101" i="30"/>
  <c r="W117" i="30"/>
  <c r="V124" i="39"/>
  <c r="AA101" i="30"/>
  <c r="E101" i="30" s="1"/>
  <c r="H101" i="30" s="1"/>
  <c r="V116" i="30"/>
  <c r="AB100" i="30"/>
  <c r="W121" i="39"/>
  <c r="AH101" i="34"/>
  <c r="AJ101" i="34"/>
  <c r="Y100" i="34"/>
  <c r="Z100" i="34" s="1"/>
  <c r="Y101" i="34"/>
  <c r="Z101" i="34" s="1"/>
  <c r="V142" i="40"/>
  <c r="AQ103" i="40"/>
  <c r="AR103" i="40"/>
  <c r="W129" i="40"/>
  <c r="V145" i="40"/>
  <c r="V145" i="34"/>
  <c r="V144" i="34"/>
  <c r="W131" i="34"/>
  <c r="AR102" i="34"/>
  <c r="AQ102" i="34"/>
  <c r="AI102" i="34"/>
  <c r="F116" i="34" s="1"/>
  <c r="I116" i="34" s="1"/>
  <c r="CA100" i="39"/>
  <c r="CB100" i="39" s="1"/>
  <c r="AV100" i="39"/>
  <c r="CE100" i="39"/>
  <c r="AQ103" i="39"/>
  <c r="AR103" i="39"/>
  <c r="AR102" i="30"/>
  <c r="AQ102" i="30"/>
  <c r="Y115" i="37"/>
  <c r="Z115" i="37" s="1"/>
  <c r="X116" i="37"/>
  <c r="AA101" i="27"/>
  <c r="E101" i="27" s="1"/>
  <c r="H101" i="27" s="1"/>
  <c r="X116" i="27"/>
  <c r="Y115" i="27"/>
  <c r="Z115" i="27" s="1"/>
  <c r="AP100" i="27"/>
  <c r="AQ101" i="27"/>
  <c r="G129" i="27" s="1"/>
  <c r="J129" i="27" s="1"/>
  <c r="AR100" i="27"/>
  <c r="Z100" i="27"/>
  <c r="AB100" i="27"/>
  <c r="V133" i="38"/>
  <c r="AE118" i="27"/>
  <c r="AE130" i="38"/>
  <c r="AE131" i="38" s="1"/>
  <c r="AF102" i="27"/>
  <c r="W135" i="27"/>
  <c r="AD121" i="38"/>
  <c r="X101" i="27"/>
  <c r="AD116" i="27"/>
  <c r="Y115" i="38"/>
  <c r="Z115" i="38" s="1"/>
  <c r="X116" i="38"/>
  <c r="AD117" i="27"/>
  <c r="V136" i="38"/>
  <c r="AJ101" i="27"/>
  <c r="AG100" i="27"/>
  <c r="AJ100" i="27" s="1"/>
  <c r="W132" i="38"/>
  <c r="W133" i="38" s="1"/>
  <c r="W134" i="38" s="1"/>
  <c r="W135" i="38" s="1"/>
  <c r="Y114" i="27"/>
  <c r="Z114" i="27" s="1"/>
  <c r="AD120" i="38"/>
  <c r="V130" i="27"/>
  <c r="Y101" i="38"/>
  <c r="AB101" i="38" s="1"/>
  <c r="X102" i="38"/>
  <c r="V135" i="27"/>
  <c r="AD118" i="37"/>
  <c r="AG101" i="37"/>
  <c r="AF102" i="37"/>
  <c r="V134" i="37"/>
  <c r="AE129" i="37"/>
  <c r="W139" i="37"/>
  <c r="W140" i="37" s="1"/>
  <c r="X102" i="37"/>
  <c r="Y101" i="37"/>
  <c r="AB101" i="37" s="1"/>
  <c r="AD119" i="37"/>
  <c r="V139" i="37"/>
  <c r="AS100" i="27"/>
  <c r="AJ103" i="38"/>
  <c r="AI103" i="38"/>
  <c r="F117" i="38" s="1"/>
  <c r="I117" i="38" s="1"/>
  <c r="AI102" i="27"/>
  <c r="F116" i="27" s="1"/>
  <c r="I116" i="27" s="1"/>
  <c r="AV100" i="37"/>
  <c r="CE100" i="37"/>
  <c r="CA100" i="37"/>
  <c r="CB100" i="37" s="1"/>
  <c r="AS101" i="37"/>
  <c r="I40" i="36"/>
  <c r="AN112" i="22"/>
  <c r="AO100" i="22"/>
  <c r="W129" i="22"/>
  <c r="W130" i="22" s="1"/>
  <c r="W131" i="22" s="1"/>
  <c r="W132" i="22" s="1"/>
  <c r="W133" i="22" s="1"/>
  <c r="W134" i="22" s="1"/>
  <c r="W135" i="22" s="1"/>
  <c r="W136" i="22" s="1"/>
  <c r="W137" i="22" s="1"/>
  <c r="W138" i="22" s="1"/>
  <c r="W139" i="22" s="1"/>
  <c r="W140" i="22" s="1"/>
  <c r="W141" i="22" s="1"/>
  <c r="W142" i="22" s="1"/>
  <c r="W143" i="22" s="1"/>
  <c r="V115" i="22"/>
  <c r="V116" i="22"/>
  <c r="D34" i="30"/>
  <c r="BB88" i="30" s="1"/>
  <c r="D32" i="39"/>
  <c r="D34" i="40"/>
  <c r="BB88" i="40" s="1"/>
  <c r="K101" i="38"/>
  <c r="AT101" i="38" s="1"/>
  <c r="D70" i="36"/>
  <c r="D73" i="36" s="1"/>
  <c r="AT100" i="22"/>
  <c r="H100" i="22"/>
  <c r="D34" i="38"/>
  <c r="BB88" i="38" s="1"/>
  <c r="D34" i="22"/>
  <c r="D34" i="37" s="1"/>
  <c r="BB88" i="37" s="1"/>
  <c r="D32" i="37"/>
  <c r="S40" i="21"/>
  <c r="L40" i="21"/>
  <c r="I40" i="21"/>
  <c r="AS101" i="40"/>
  <c r="E70" i="21"/>
  <c r="X102" i="22"/>
  <c r="Y101" i="22"/>
  <c r="T100" i="40"/>
  <c r="T100" i="27"/>
  <c r="L114" i="40"/>
  <c r="M128" i="40"/>
  <c r="AS100" i="34"/>
  <c r="K100" i="34"/>
  <c r="AT100" i="34" s="1"/>
  <c r="K100" i="30"/>
  <c r="AT100" i="30" s="1"/>
  <c r="AS100" i="30"/>
  <c r="M128" i="38"/>
  <c r="T100" i="38"/>
  <c r="L114" i="38"/>
  <c r="M128" i="27"/>
  <c r="L114" i="27"/>
  <c r="Y100" i="22"/>
  <c r="AA101" i="22" s="1"/>
  <c r="L40" i="36"/>
  <c r="AZ100" i="39" l="1"/>
  <c r="BA100" i="39" s="1"/>
  <c r="AZ100" i="37"/>
  <c r="BA100" i="37" s="1"/>
  <c r="D69" i="21"/>
  <c r="D72" i="21" s="1"/>
  <c r="D74" i="21" s="1"/>
  <c r="O19" i="29" s="1"/>
  <c r="F98" i="29" s="1"/>
  <c r="AG104" i="38"/>
  <c r="AH104" i="38" s="1"/>
  <c r="O20" i="29"/>
  <c r="F99" i="29" s="1"/>
  <c r="X103" i="40"/>
  <c r="Y103" i="40" s="1"/>
  <c r="Z103" i="40" s="1"/>
  <c r="AG103" i="40"/>
  <c r="AH103" i="40" s="1"/>
  <c r="AF104" i="40"/>
  <c r="AH102" i="40"/>
  <c r="AJ102" i="40"/>
  <c r="AG102" i="34"/>
  <c r="AI103" i="34" s="1"/>
  <c r="F117" i="34" s="1"/>
  <c r="I117" i="34" s="1"/>
  <c r="AF103" i="34"/>
  <c r="AB102" i="34"/>
  <c r="AA101" i="34"/>
  <c r="E101" i="34" s="1"/>
  <c r="H101" i="34" s="1"/>
  <c r="AO102" i="38"/>
  <c r="AP102" i="38" s="1"/>
  <c r="AN103" i="38"/>
  <c r="AP101" i="38"/>
  <c r="AQ102" i="38"/>
  <c r="G130" i="38" s="1"/>
  <c r="J130" i="38" s="1"/>
  <c r="AO101" i="27"/>
  <c r="AN102" i="27"/>
  <c r="AG102" i="39"/>
  <c r="AJ102" i="39" s="1"/>
  <c r="AF103" i="39"/>
  <c r="Y102" i="39"/>
  <c r="Z102" i="39" s="1"/>
  <c r="X103" i="39"/>
  <c r="Z101" i="39"/>
  <c r="AA102" i="39"/>
  <c r="E102" i="39" s="1"/>
  <c r="H102" i="39" s="1"/>
  <c r="AS102" i="39" s="1"/>
  <c r="AH101" i="39"/>
  <c r="AI102" i="39"/>
  <c r="F116" i="39" s="1"/>
  <c r="I116" i="39" s="1"/>
  <c r="AG101" i="30"/>
  <c r="AJ101" i="30" s="1"/>
  <c r="AF102" i="30"/>
  <c r="AO103" i="37"/>
  <c r="AQ104" i="37" s="1"/>
  <c r="G132" i="37" s="1"/>
  <c r="J132" i="37" s="1"/>
  <c r="AN104" i="37"/>
  <c r="AP102" i="37"/>
  <c r="AR102" i="37"/>
  <c r="X104" i="40"/>
  <c r="Z102" i="40"/>
  <c r="AB102" i="40"/>
  <c r="AB100" i="34"/>
  <c r="Y103" i="34"/>
  <c r="Z103" i="34" s="1"/>
  <c r="X104" i="34"/>
  <c r="V123" i="30"/>
  <c r="Y101" i="30"/>
  <c r="X102" i="30"/>
  <c r="W118" i="30"/>
  <c r="W119" i="30" s="1"/>
  <c r="W120" i="30" s="1"/>
  <c r="V125" i="39"/>
  <c r="V118" i="30"/>
  <c r="W122" i="39"/>
  <c r="W123" i="39" s="1"/>
  <c r="V126" i="39"/>
  <c r="AA102" i="34"/>
  <c r="E102" i="34" s="1"/>
  <c r="H102" i="34" s="1"/>
  <c r="AB101" i="34"/>
  <c r="AV100" i="40"/>
  <c r="AQ104" i="40"/>
  <c r="AR104" i="40"/>
  <c r="CE100" i="40"/>
  <c r="CA100" i="40"/>
  <c r="CB100" i="40" s="1"/>
  <c r="V147" i="40"/>
  <c r="V144" i="40"/>
  <c r="W130" i="40"/>
  <c r="V146" i="34"/>
  <c r="AR103" i="34"/>
  <c r="AA103" i="34"/>
  <c r="E103" i="34" s="1"/>
  <c r="H103" i="34" s="1"/>
  <c r="AQ103" i="34"/>
  <c r="V147" i="34"/>
  <c r="W132" i="34"/>
  <c r="AW100" i="39"/>
  <c r="AX100" i="39" s="1"/>
  <c r="AR104" i="39"/>
  <c r="AQ104" i="39"/>
  <c r="AR103" i="30"/>
  <c r="AQ103" i="30"/>
  <c r="Y116" i="37"/>
  <c r="Z116" i="37" s="1"/>
  <c r="X117" i="37"/>
  <c r="AE132" i="38"/>
  <c r="AE133" i="38" s="1"/>
  <c r="V137" i="27"/>
  <c r="AD118" i="27"/>
  <c r="W136" i="38"/>
  <c r="AE119" i="27"/>
  <c r="AD123" i="38"/>
  <c r="V132" i="27"/>
  <c r="W136" i="27"/>
  <c r="Y102" i="38"/>
  <c r="AB102" i="38" s="1"/>
  <c r="X103" i="38"/>
  <c r="AD122" i="38"/>
  <c r="AH100" i="27"/>
  <c r="AI101" i="27"/>
  <c r="F115" i="27" s="1"/>
  <c r="I115" i="27" s="1"/>
  <c r="Y101" i="27"/>
  <c r="AB101" i="27" s="1"/>
  <c r="X102" i="27"/>
  <c r="V138" i="38"/>
  <c r="AD119" i="27"/>
  <c r="V135" i="38"/>
  <c r="Z101" i="38"/>
  <c r="AA102" i="38"/>
  <c r="E102" i="38" s="1"/>
  <c r="AG105" i="38"/>
  <c r="AH105" i="38" s="1"/>
  <c r="AF106" i="38"/>
  <c r="AF103" i="27"/>
  <c r="AG102" i="27"/>
  <c r="AI103" i="27" s="1"/>
  <c r="F117" i="27" s="1"/>
  <c r="I117" i="27" s="1"/>
  <c r="X117" i="38"/>
  <c r="Y116" i="38"/>
  <c r="Z116" i="38" s="1"/>
  <c r="Y116" i="27"/>
  <c r="Z116" i="27" s="1"/>
  <c r="X117" i="27"/>
  <c r="AG102" i="37"/>
  <c r="AJ102" i="37" s="1"/>
  <c r="AF103" i="37"/>
  <c r="AE130" i="37"/>
  <c r="AE131" i="37" s="1"/>
  <c r="AH101" i="37"/>
  <c r="AI102" i="37"/>
  <c r="F116" i="37" s="1"/>
  <c r="I116" i="37" s="1"/>
  <c r="V141" i="37"/>
  <c r="Z101" i="37"/>
  <c r="AA102" i="37"/>
  <c r="E102" i="37" s="1"/>
  <c r="H102" i="37" s="1"/>
  <c r="AJ101" i="37"/>
  <c r="Y102" i="37"/>
  <c r="AB102" i="37" s="1"/>
  <c r="X103" i="37"/>
  <c r="AD120" i="37"/>
  <c r="V136" i="37"/>
  <c r="W141" i="37"/>
  <c r="W142" i="37" s="1"/>
  <c r="AD121" i="37"/>
  <c r="CA100" i="38"/>
  <c r="CB100" i="38" s="1"/>
  <c r="AV100" i="38"/>
  <c r="CE100" i="38"/>
  <c r="AI104" i="38"/>
  <c r="F118" i="38" s="1"/>
  <c r="I118" i="38" s="1"/>
  <c r="CA100" i="27"/>
  <c r="CB100" i="27" s="1"/>
  <c r="AV100" i="27"/>
  <c r="CE100" i="27"/>
  <c r="AW100" i="37"/>
  <c r="AX100" i="37" s="1"/>
  <c r="M129" i="37"/>
  <c r="K101" i="37"/>
  <c r="AT101" i="37" s="1"/>
  <c r="D69" i="36"/>
  <c r="D72" i="36" s="1"/>
  <c r="E69" i="21"/>
  <c r="E72" i="21" s="1"/>
  <c r="E74" i="21" s="1"/>
  <c r="O21" i="29" s="1"/>
  <c r="F100" i="29" s="1"/>
  <c r="AP100" i="22"/>
  <c r="AR100" i="22"/>
  <c r="AN113" i="22"/>
  <c r="AO101" i="22"/>
  <c r="Z100" i="22"/>
  <c r="AB100" i="22"/>
  <c r="V118" i="22"/>
  <c r="AG100" i="22"/>
  <c r="V117" i="22"/>
  <c r="D34" i="39"/>
  <c r="BB88" i="39" s="1"/>
  <c r="T100" i="22"/>
  <c r="E70" i="36"/>
  <c r="D75" i="36"/>
  <c r="O14" i="29" s="1"/>
  <c r="F95" i="29" s="1"/>
  <c r="M133" i="39"/>
  <c r="M129" i="40"/>
  <c r="M130" i="40"/>
  <c r="K101" i="40"/>
  <c r="AT101" i="40" s="1"/>
  <c r="E73" i="21"/>
  <c r="AS102" i="40"/>
  <c r="K102" i="40"/>
  <c r="AT102" i="40" s="1"/>
  <c r="X103" i="22"/>
  <c r="Y102" i="22"/>
  <c r="T100" i="30"/>
  <c r="T100" i="34"/>
  <c r="M128" i="34"/>
  <c r="L114" i="34"/>
  <c r="K101" i="39"/>
  <c r="AT101" i="39" s="1"/>
  <c r="AS101" i="39"/>
  <c r="M128" i="30"/>
  <c r="K101" i="30"/>
  <c r="AT101" i="30" s="1"/>
  <c r="AS101" i="30"/>
  <c r="L114" i="30"/>
  <c r="AS100" i="22"/>
  <c r="M128" i="22"/>
  <c r="W144" i="22"/>
  <c r="Z101" i="22"/>
  <c r="BB100" i="37" l="1"/>
  <c r="BB100" i="39"/>
  <c r="AJ104" i="38"/>
  <c r="AB102" i="39"/>
  <c r="E75" i="21"/>
  <c r="E77" i="21" s="1"/>
  <c r="AQ103" i="38"/>
  <c r="G131" i="38" s="1"/>
  <c r="J131" i="38" s="1"/>
  <c r="AI104" i="40"/>
  <c r="F118" i="40" s="1"/>
  <c r="I118" i="40" s="1"/>
  <c r="AA104" i="40"/>
  <c r="E104" i="40" s="1"/>
  <c r="H104" i="40" s="1"/>
  <c r="AB103" i="40"/>
  <c r="AJ103" i="40"/>
  <c r="AR102" i="38"/>
  <c r="AF104" i="34"/>
  <c r="AG103" i="34"/>
  <c r="AH103" i="34" s="1"/>
  <c r="AH102" i="34"/>
  <c r="AJ102" i="34"/>
  <c r="AF105" i="40"/>
  <c r="AG104" i="40"/>
  <c r="AI105" i="40" s="1"/>
  <c r="F119" i="40" s="1"/>
  <c r="I119" i="40" s="1"/>
  <c r="AB103" i="34"/>
  <c r="AP101" i="27"/>
  <c r="AQ102" i="27"/>
  <c r="G130" i="27" s="1"/>
  <c r="J130" i="27" s="1"/>
  <c r="AO103" i="38"/>
  <c r="AR103" i="38" s="1"/>
  <c r="AN104" i="38"/>
  <c r="AO102" i="27"/>
  <c r="AR102" i="27" s="1"/>
  <c r="AN103" i="27"/>
  <c r="AR101" i="27"/>
  <c r="Y103" i="39"/>
  <c r="Z103" i="39" s="1"/>
  <c r="X104" i="39"/>
  <c r="K102" i="39"/>
  <c r="AT102" i="39" s="1"/>
  <c r="AH101" i="30"/>
  <c r="AI102" i="30"/>
  <c r="F116" i="30" s="1"/>
  <c r="I116" i="30" s="1"/>
  <c r="AA103" i="39"/>
  <c r="E103" i="39" s="1"/>
  <c r="AG103" i="39"/>
  <c r="AJ103" i="39" s="1"/>
  <c r="AF104" i="39"/>
  <c r="AG102" i="30"/>
  <c r="AH102" i="30" s="1"/>
  <c r="AF103" i="30"/>
  <c r="AH102" i="39"/>
  <c r="AI103" i="39"/>
  <c r="F117" i="39" s="1"/>
  <c r="I117" i="39" s="1"/>
  <c r="AO104" i="37"/>
  <c r="AQ105" i="37" s="1"/>
  <c r="G133" i="37" s="1"/>
  <c r="J133" i="37" s="1"/>
  <c r="AN105" i="37"/>
  <c r="AP103" i="37"/>
  <c r="AR103" i="37"/>
  <c r="H102" i="38"/>
  <c r="AS102" i="38" s="1"/>
  <c r="K102" i="38"/>
  <c r="AT102" i="38" s="1"/>
  <c r="X105" i="34"/>
  <c r="Y104" i="34"/>
  <c r="Z104" i="34" s="1"/>
  <c r="X105" i="40"/>
  <c r="Y104" i="40"/>
  <c r="AA105" i="40" s="1"/>
  <c r="E105" i="40" s="1"/>
  <c r="H105" i="40" s="1"/>
  <c r="V127" i="39"/>
  <c r="Y102" i="30"/>
  <c r="Z102" i="30" s="1"/>
  <c r="X103" i="30"/>
  <c r="Z101" i="30"/>
  <c r="AA102" i="30"/>
  <c r="E102" i="30" s="1"/>
  <c r="H102" i="30" s="1"/>
  <c r="AS102" i="30" s="1"/>
  <c r="V125" i="30"/>
  <c r="V128" i="39"/>
  <c r="W121" i="30"/>
  <c r="W122" i="30" s="1"/>
  <c r="V120" i="30"/>
  <c r="W124" i="39"/>
  <c r="W125" i="39" s="1"/>
  <c r="AB101" i="30"/>
  <c r="V149" i="40"/>
  <c r="AW100" i="40"/>
  <c r="AX100" i="40" s="1"/>
  <c r="W131" i="40"/>
  <c r="V146" i="40"/>
  <c r="AQ105" i="40"/>
  <c r="AR105" i="40"/>
  <c r="V149" i="34"/>
  <c r="W133" i="34"/>
  <c r="CA100" i="34"/>
  <c r="CB100" i="34" s="1"/>
  <c r="AV100" i="34"/>
  <c r="CE100" i="34"/>
  <c r="AQ104" i="34"/>
  <c r="AR104" i="34"/>
  <c r="AA104" i="34"/>
  <c r="E104" i="34" s="1"/>
  <c r="H104" i="34" s="1"/>
  <c r="V148" i="34"/>
  <c r="AR105" i="39"/>
  <c r="AQ105" i="39"/>
  <c r="AV100" i="30"/>
  <c r="CA100" i="30"/>
  <c r="CB100" i="30" s="1"/>
  <c r="CE100" i="30"/>
  <c r="AR104" i="30"/>
  <c r="AQ104" i="30"/>
  <c r="Y117" i="37"/>
  <c r="Z117" i="37" s="1"/>
  <c r="X118" i="37"/>
  <c r="E76" i="21"/>
  <c r="V137" i="38"/>
  <c r="AH102" i="27"/>
  <c r="AJ102" i="27"/>
  <c r="AE120" i="27"/>
  <c r="AE121" i="27" s="1"/>
  <c r="V139" i="27"/>
  <c r="V140" i="38"/>
  <c r="W137" i="27"/>
  <c r="Y117" i="38"/>
  <c r="Z117" i="38" s="1"/>
  <c r="X118" i="38"/>
  <c r="AD124" i="38"/>
  <c r="AF104" i="27"/>
  <c r="AG103" i="27"/>
  <c r="AI104" i="27" s="1"/>
  <c r="F118" i="27" s="1"/>
  <c r="I118" i="27" s="1"/>
  <c r="V134" i="27"/>
  <c r="AG106" i="38"/>
  <c r="AH106" i="38" s="1"/>
  <c r="AF107" i="38"/>
  <c r="AD121" i="27"/>
  <c r="Y102" i="27"/>
  <c r="AB102" i="27" s="1"/>
  <c r="X103" i="27"/>
  <c r="W137" i="38"/>
  <c r="Y117" i="27"/>
  <c r="Z117" i="27" s="1"/>
  <c r="X118" i="27"/>
  <c r="Z101" i="27"/>
  <c r="AA102" i="27"/>
  <c r="E102" i="27" s="1"/>
  <c r="H102" i="27" s="1"/>
  <c r="Y103" i="38"/>
  <c r="AB103" i="38" s="1"/>
  <c r="X104" i="38"/>
  <c r="AD120" i="27"/>
  <c r="AE134" i="38"/>
  <c r="AE135" i="38" s="1"/>
  <c r="AE136" i="38" s="1"/>
  <c r="AE137" i="38" s="1"/>
  <c r="Z102" i="38"/>
  <c r="AA103" i="38"/>
  <c r="E103" i="38" s="1"/>
  <c r="AD125" i="38"/>
  <c r="AD122" i="37"/>
  <c r="AE132" i="37"/>
  <c r="AE133" i="37" s="1"/>
  <c r="AE134" i="37" s="1"/>
  <c r="AE135" i="37" s="1"/>
  <c r="AE136" i="37" s="1"/>
  <c r="AE137" i="37" s="1"/>
  <c r="AE138" i="37" s="1"/>
  <c r="W143" i="37"/>
  <c r="W144" i="37" s="1"/>
  <c r="V143" i="37"/>
  <c r="AG103" i="37"/>
  <c r="AJ103" i="37" s="1"/>
  <c r="AF104" i="37"/>
  <c r="V138" i="37"/>
  <c r="AH102" i="37"/>
  <c r="AI103" i="37"/>
  <c r="F117" i="37" s="1"/>
  <c r="I117" i="37" s="1"/>
  <c r="AD123" i="37"/>
  <c r="Y103" i="37"/>
  <c r="AB103" i="37" s="1"/>
  <c r="X104" i="37"/>
  <c r="Z102" i="37"/>
  <c r="AA103" i="37"/>
  <c r="E103" i="37" s="1"/>
  <c r="AW100" i="38"/>
  <c r="AX100" i="38" s="1"/>
  <c r="T101" i="38"/>
  <c r="AS101" i="38"/>
  <c r="AI105" i="38"/>
  <c r="F119" i="38" s="1"/>
  <c r="I119" i="38" s="1"/>
  <c r="AJ105" i="38"/>
  <c r="AW100" i="27"/>
  <c r="AX100" i="27" s="1"/>
  <c r="M132" i="39"/>
  <c r="L115" i="37"/>
  <c r="T101" i="37"/>
  <c r="M131" i="39"/>
  <c r="D74" i="36"/>
  <c r="O13" i="29" s="1"/>
  <c r="F94" i="29" s="1"/>
  <c r="AP101" i="22"/>
  <c r="AN114" i="22"/>
  <c r="AO102" i="22"/>
  <c r="AH100" i="22"/>
  <c r="AJ100" i="22"/>
  <c r="V119" i="22"/>
  <c r="V120" i="22"/>
  <c r="AG101" i="22"/>
  <c r="AH101" i="22" s="1"/>
  <c r="AV100" i="22"/>
  <c r="AW100" i="22" s="1"/>
  <c r="AX100" i="22" s="1"/>
  <c r="L115" i="38"/>
  <c r="M129" i="38"/>
  <c r="D77" i="36"/>
  <c r="E73" i="36"/>
  <c r="E75" i="36" s="1"/>
  <c r="O16" i="29" s="1"/>
  <c r="F97" i="29" s="1"/>
  <c r="D76" i="21"/>
  <c r="P40" i="36"/>
  <c r="E69" i="36" s="1"/>
  <c r="L115" i="40"/>
  <c r="T101" i="40"/>
  <c r="M134" i="39"/>
  <c r="L116" i="34"/>
  <c r="L117" i="40"/>
  <c r="AS103" i="40"/>
  <c r="K103" i="40"/>
  <c r="AT103" i="40" s="1"/>
  <c r="AS102" i="34"/>
  <c r="K102" i="34"/>
  <c r="AT102" i="34" s="1"/>
  <c r="AS101" i="34"/>
  <c r="K101" i="34"/>
  <c r="AT101" i="34" s="1"/>
  <c r="M131" i="40"/>
  <c r="L116" i="40"/>
  <c r="K101" i="27"/>
  <c r="AT101" i="27" s="1"/>
  <c r="AS101" i="27"/>
  <c r="T102" i="40"/>
  <c r="X104" i="22"/>
  <c r="Y103" i="22"/>
  <c r="Z103" i="22" s="1"/>
  <c r="M132" i="30"/>
  <c r="T101" i="39"/>
  <c r="T101" i="30"/>
  <c r="M130" i="34"/>
  <c r="L115" i="39"/>
  <c r="M129" i="39"/>
  <c r="L116" i="39"/>
  <c r="M130" i="39"/>
  <c r="M129" i="30"/>
  <c r="L115" i="30"/>
  <c r="M130" i="38"/>
  <c r="L116" i="38"/>
  <c r="CA100" i="22"/>
  <c r="CB100" i="22" s="1"/>
  <c r="CE100" i="22"/>
  <c r="AS102" i="37"/>
  <c r="K102" i="37"/>
  <c r="AT102" i="37" s="1"/>
  <c r="AZ100" i="22"/>
  <c r="D76" i="36"/>
  <c r="W145" i="22"/>
  <c r="Z102" i="22"/>
  <c r="AZ100" i="30" l="1"/>
  <c r="BA100" i="30"/>
  <c r="O22" i="29"/>
  <c r="F101" i="29" s="1"/>
  <c r="AA104" i="39"/>
  <c r="E104" i="39" s="1"/>
  <c r="H104" i="39" s="1"/>
  <c r="AS104" i="39" s="1"/>
  <c r="AB103" i="39"/>
  <c r="AJ103" i="34"/>
  <c r="AI104" i="34"/>
  <c r="F118" i="34" s="1"/>
  <c r="I118" i="34" s="1"/>
  <c r="T102" i="39"/>
  <c r="CA102" i="39" s="1"/>
  <c r="CB102" i="39" s="1"/>
  <c r="L116" i="30"/>
  <c r="L117" i="39"/>
  <c r="AG104" i="34"/>
  <c r="AH104" i="34" s="1"/>
  <c r="AF105" i="34"/>
  <c r="AH104" i="40"/>
  <c r="AJ104" i="40"/>
  <c r="AG105" i="40"/>
  <c r="AI106" i="40" s="1"/>
  <c r="F120" i="40" s="1"/>
  <c r="I120" i="40" s="1"/>
  <c r="AF106" i="40"/>
  <c r="AO103" i="27"/>
  <c r="AP103" i="27" s="1"/>
  <c r="AN104" i="27"/>
  <c r="AP102" i="27"/>
  <c r="AQ103" i="27"/>
  <c r="G131" i="27" s="1"/>
  <c r="J131" i="27" s="1"/>
  <c r="AN105" i="38"/>
  <c r="AO104" i="38"/>
  <c r="AR104" i="38" s="1"/>
  <c r="T102" i="38"/>
  <c r="CA102" i="38" s="1"/>
  <c r="CB102" i="38" s="1"/>
  <c r="AP103" i="38"/>
  <c r="AQ104" i="38"/>
  <c r="G132" i="38" s="1"/>
  <c r="J132" i="38" s="1"/>
  <c r="AJ102" i="30"/>
  <c r="AG103" i="30"/>
  <c r="AJ103" i="30" s="1"/>
  <c r="AF104" i="30"/>
  <c r="AG104" i="39"/>
  <c r="AH104" i="39" s="1"/>
  <c r="AF105" i="39"/>
  <c r="AH103" i="39"/>
  <c r="AI104" i="39"/>
  <c r="F118" i="39" s="1"/>
  <c r="H103" i="39"/>
  <c r="AS103" i="39" s="1"/>
  <c r="K103" i="39"/>
  <c r="AT103" i="39" s="1"/>
  <c r="Y104" i="39"/>
  <c r="AB104" i="39" s="1"/>
  <c r="X105" i="39"/>
  <c r="AI103" i="30"/>
  <c r="F117" i="30" s="1"/>
  <c r="I117" i="30" s="1"/>
  <c r="AO105" i="37"/>
  <c r="AQ106" i="37" s="1"/>
  <c r="G134" i="37" s="1"/>
  <c r="J134" i="37" s="1"/>
  <c r="AN106" i="37"/>
  <c r="AP104" i="37"/>
  <c r="AR104" i="37"/>
  <c r="K103" i="38"/>
  <c r="AT103" i="38" s="1"/>
  <c r="H103" i="38"/>
  <c r="AS103" i="38" s="1"/>
  <c r="K103" i="37"/>
  <c r="AT103" i="37" s="1"/>
  <c r="H103" i="37"/>
  <c r="AS103" i="37" s="1"/>
  <c r="Y105" i="34"/>
  <c r="Z105" i="34" s="1"/>
  <c r="X106" i="34"/>
  <c r="AB104" i="34"/>
  <c r="Z104" i="40"/>
  <c r="AB104" i="40"/>
  <c r="X106" i="40"/>
  <c r="Y105" i="40"/>
  <c r="V122" i="30"/>
  <c r="AB102" i="30"/>
  <c r="W126" i="39"/>
  <c r="V127" i="30"/>
  <c r="Y103" i="30"/>
  <c r="AB103" i="30" s="1"/>
  <c r="X104" i="30"/>
  <c r="V129" i="39"/>
  <c r="W123" i="30"/>
  <c r="AA103" i="30"/>
  <c r="E103" i="30" s="1"/>
  <c r="V130" i="39"/>
  <c r="V148" i="40"/>
  <c r="CA101" i="40"/>
  <c r="CB101" i="40" s="1"/>
  <c r="CE101" i="40"/>
  <c r="AV102" i="40"/>
  <c r="AV101" i="40"/>
  <c r="V151" i="40"/>
  <c r="CA102" i="40"/>
  <c r="CB102" i="40" s="1"/>
  <c r="CE102" i="40"/>
  <c r="AR106" i="40"/>
  <c r="AQ106" i="40"/>
  <c r="W132" i="40"/>
  <c r="AW100" i="34"/>
  <c r="AX100" i="34" s="1"/>
  <c r="W134" i="34"/>
  <c r="AR105" i="34"/>
  <c r="AA105" i="34"/>
  <c r="E105" i="34" s="1"/>
  <c r="H105" i="34" s="1"/>
  <c r="AQ105" i="34"/>
  <c r="V151" i="34"/>
  <c r="V150" i="34"/>
  <c r="CA101" i="39"/>
  <c r="CB101" i="39" s="1"/>
  <c r="CE101" i="39"/>
  <c r="AV101" i="39"/>
  <c r="AQ106" i="39"/>
  <c r="AR106" i="39"/>
  <c r="AW100" i="30"/>
  <c r="AX100" i="30" s="1"/>
  <c r="M131" i="30"/>
  <c r="AV101" i="30"/>
  <c r="K102" i="30"/>
  <c r="AT102" i="30" s="1"/>
  <c r="CA101" i="30"/>
  <c r="CB101" i="30" s="1"/>
  <c r="CE101" i="30"/>
  <c r="AQ105" i="30"/>
  <c r="AR105" i="30"/>
  <c r="X119" i="37"/>
  <c r="Y118" i="37"/>
  <c r="Z118" i="37" s="1"/>
  <c r="X105" i="38"/>
  <c r="Y104" i="38"/>
  <c r="Z104" i="38" s="1"/>
  <c r="AD126" i="38"/>
  <c r="AE122" i="27"/>
  <c r="AE123" i="27" s="1"/>
  <c r="AE138" i="38"/>
  <c r="AE139" i="38" s="1"/>
  <c r="Z103" i="38"/>
  <c r="AA104" i="38"/>
  <c r="E104" i="38" s="1"/>
  <c r="Y103" i="27"/>
  <c r="Z103" i="27" s="1"/>
  <c r="X104" i="27"/>
  <c r="Z102" i="27"/>
  <c r="AA103" i="27"/>
  <c r="E103" i="27" s="1"/>
  <c r="V136" i="27"/>
  <c r="AD127" i="38"/>
  <c r="X119" i="27"/>
  <c r="Y118" i="27"/>
  <c r="Z118" i="27" s="1"/>
  <c r="Y118" i="38"/>
  <c r="Z118" i="38" s="1"/>
  <c r="X119" i="38"/>
  <c r="V141" i="27"/>
  <c r="AD122" i="27"/>
  <c r="AD123" i="27"/>
  <c r="V139" i="38"/>
  <c r="W138" i="38"/>
  <c r="W139" i="38" s="1"/>
  <c r="AH103" i="27"/>
  <c r="AJ103" i="27"/>
  <c r="W138" i="27"/>
  <c r="W139" i="27" s="1"/>
  <c r="AG107" i="38"/>
  <c r="AH107" i="38" s="1"/>
  <c r="AF108" i="38"/>
  <c r="AG104" i="27"/>
  <c r="AH104" i="27" s="1"/>
  <c r="AF105" i="27"/>
  <c r="V142" i="38"/>
  <c r="AE139" i="37"/>
  <c r="AE140" i="37" s="1"/>
  <c r="AG104" i="37"/>
  <c r="AJ104" i="37" s="1"/>
  <c r="AF105" i="37"/>
  <c r="AH103" i="37"/>
  <c r="AI104" i="37"/>
  <c r="F118" i="37" s="1"/>
  <c r="I118" i="37" s="1"/>
  <c r="AD124" i="37"/>
  <c r="X105" i="37"/>
  <c r="Y104" i="37"/>
  <c r="V145" i="37"/>
  <c r="W145" i="37"/>
  <c r="W146" i="37" s="1"/>
  <c r="Z103" i="37"/>
  <c r="AA104" i="37"/>
  <c r="E104" i="37" s="1"/>
  <c r="H104" i="37" s="1"/>
  <c r="V140" i="37"/>
  <c r="AD125" i="37"/>
  <c r="AI106" i="38"/>
  <c r="F120" i="38" s="1"/>
  <c r="I120" i="38" s="1"/>
  <c r="AJ106" i="38"/>
  <c r="CA101" i="38"/>
  <c r="CB101" i="38" s="1"/>
  <c r="CE101" i="38"/>
  <c r="AV101" i="38"/>
  <c r="CE101" i="37"/>
  <c r="CA101" i="37"/>
  <c r="CB101" i="37" s="1"/>
  <c r="AV101" i="37"/>
  <c r="AP102" i="22"/>
  <c r="AN115" i="22"/>
  <c r="AO103" i="22"/>
  <c r="V122" i="22"/>
  <c r="V121" i="22"/>
  <c r="AG102" i="22"/>
  <c r="BF100" i="22"/>
  <c r="BE100" i="22"/>
  <c r="E77" i="36"/>
  <c r="E72" i="36"/>
  <c r="E74" i="36" s="1"/>
  <c r="O15" i="29" s="1"/>
  <c r="F96" i="29" s="1"/>
  <c r="M130" i="30"/>
  <c r="M133" i="30"/>
  <c r="T102" i="34"/>
  <c r="T103" i="40"/>
  <c r="L115" i="34"/>
  <c r="T101" i="34"/>
  <c r="M129" i="34"/>
  <c r="M131" i="34"/>
  <c r="K102" i="27"/>
  <c r="AT102" i="27" s="1"/>
  <c r="AS102" i="27"/>
  <c r="M132" i="40"/>
  <c r="M135" i="39"/>
  <c r="K103" i="34"/>
  <c r="AT103" i="34" s="1"/>
  <c r="AS103" i="34"/>
  <c r="L115" i="27"/>
  <c r="M129" i="27"/>
  <c r="K104" i="40"/>
  <c r="AT104" i="40" s="1"/>
  <c r="AS104" i="40"/>
  <c r="T101" i="27"/>
  <c r="X105" i="22"/>
  <c r="Y104" i="22"/>
  <c r="Z104" i="22" s="1"/>
  <c r="L117" i="38"/>
  <c r="M131" i="38"/>
  <c r="T102" i="37"/>
  <c r="M130" i="37"/>
  <c r="L116" i="37"/>
  <c r="L117" i="37"/>
  <c r="M131" i="37"/>
  <c r="W146" i="22"/>
  <c r="AZ101" i="39" l="1"/>
  <c r="BA101" i="39" s="1"/>
  <c r="AZ101" i="30"/>
  <c r="AZ101" i="37"/>
  <c r="BA101" i="37" s="1"/>
  <c r="BB100" i="30"/>
  <c r="AJ104" i="39"/>
  <c r="K104" i="39"/>
  <c r="AT104" i="39" s="1"/>
  <c r="AV102" i="39"/>
  <c r="AW102" i="39" s="1"/>
  <c r="AX102" i="39" s="1"/>
  <c r="AB105" i="34"/>
  <c r="CE102" i="39"/>
  <c r="AR103" i="27"/>
  <c r="CE102" i="38"/>
  <c r="AA105" i="38"/>
  <c r="E105" i="38" s="1"/>
  <c r="H105" i="38" s="1"/>
  <c r="AS105" i="38" s="1"/>
  <c r="AV102" i="38"/>
  <c r="AB104" i="38"/>
  <c r="AQ104" i="27"/>
  <c r="G132" i="27" s="1"/>
  <c r="J132" i="27" s="1"/>
  <c r="T103" i="39"/>
  <c r="AV103" i="39" s="1"/>
  <c r="AI105" i="39"/>
  <c r="F119" i="39" s="1"/>
  <c r="I119" i="39" s="1"/>
  <c r="T103" i="38"/>
  <c r="CA103" i="38" s="1"/>
  <c r="CB103" i="38" s="1"/>
  <c r="AI105" i="34"/>
  <c r="F119" i="34" s="1"/>
  <c r="I119" i="34" s="1"/>
  <c r="AG105" i="34"/>
  <c r="AH105" i="34" s="1"/>
  <c r="AF106" i="34"/>
  <c r="AG106" i="40"/>
  <c r="AI107" i="40" s="1"/>
  <c r="F121" i="40" s="1"/>
  <c r="I121" i="40" s="1"/>
  <c r="AF107" i="40"/>
  <c r="AJ104" i="34"/>
  <c r="AH105" i="40"/>
  <c r="AJ105" i="40"/>
  <c r="AO105" i="38"/>
  <c r="AP105" i="38" s="1"/>
  <c r="AN106" i="38"/>
  <c r="AO104" i="27"/>
  <c r="AR104" i="27" s="1"/>
  <c r="AN105" i="27"/>
  <c r="AP104" i="38"/>
  <c r="AQ105" i="38"/>
  <c r="G133" i="38" s="1"/>
  <c r="J133" i="38" s="1"/>
  <c r="Z104" i="39"/>
  <c r="AA105" i="39"/>
  <c r="E105" i="39" s="1"/>
  <c r="I118" i="39"/>
  <c r="L118" i="39"/>
  <c r="Y105" i="39"/>
  <c r="AB105" i="39" s="1"/>
  <c r="X106" i="39"/>
  <c r="AG105" i="39"/>
  <c r="AJ105" i="39" s="1"/>
  <c r="AF106" i="39"/>
  <c r="AG104" i="30"/>
  <c r="AF105" i="30"/>
  <c r="AH103" i="30"/>
  <c r="AI104" i="30"/>
  <c r="F118" i="30" s="1"/>
  <c r="I118" i="30" s="1"/>
  <c r="AO106" i="37"/>
  <c r="AQ107" i="37" s="1"/>
  <c r="G135" i="37" s="1"/>
  <c r="J135" i="37" s="1"/>
  <c r="AN107" i="37"/>
  <c r="AP105" i="37"/>
  <c r="AR105" i="37"/>
  <c r="K103" i="30"/>
  <c r="AT103" i="30" s="1"/>
  <c r="H103" i="30"/>
  <c r="AS103" i="30" s="1"/>
  <c r="K103" i="27"/>
  <c r="AT103" i="27" s="1"/>
  <c r="H103" i="27"/>
  <c r="AS103" i="27" s="1"/>
  <c r="K104" i="38"/>
  <c r="AT104" i="38" s="1"/>
  <c r="H104" i="38"/>
  <c r="AS104" i="38" s="1"/>
  <c r="Z105" i="40"/>
  <c r="AB105" i="40"/>
  <c r="X107" i="40"/>
  <c r="Y106" i="40"/>
  <c r="AA107" i="40" s="1"/>
  <c r="E107" i="40" s="1"/>
  <c r="H107" i="40" s="1"/>
  <c r="AA106" i="40"/>
  <c r="E106" i="40" s="1"/>
  <c r="H106" i="40" s="1"/>
  <c r="Y106" i="34"/>
  <c r="Z106" i="34" s="1"/>
  <c r="X107" i="34"/>
  <c r="V132" i="39"/>
  <c r="Y104" i="30"/>
  <c r="AB104" i="30" s="1"/>
  <c r="X105" i="30"/>
  <c r="W127" i="39"/>
  <c r="W128" i="39" s="1"/>
  <c r="W124" i="30"/>
  <c r="W125" i="30" s="1"/>
  <c r="W126" i="30" s="1"/>
  <c r="W127" i="30" s="1"/>
  <c r="Z103" i="30"/>
  <c r="AA104" i="30"/>
  <c r="E104" i="30" s="1"/>
  <c r="H104" i="30" s="1"/>
  <c r="V129" i="30"/>
  <c r="V124" i="30"/>
  <c r="V131" i="39"/>
  <c r="AW101" i="40"/>
  <c r="AX101" i="40" s="1"/>
  <c r="AV103" i="40"/>
  <c r="CA103" i="40"/>
  <c r="CB103" i="40" s="1"/>
  <c r="CE103" i="40"/>
  <c r="AQ107" i="40"/>
  <c r="AR107" i="40"/>
  <c r="AW102" i="40"/>
  <c r="AX102" i="40" s="1"/>
  <c r="W133" i="40"/>
  <c r="V150" i="40"/>
  <c r="V153" i="40"/>
  <c r="V152" i="34"/>
  <c r="CA102" i="34"/>
  <c r="CB102" i="34" s="1"/>
  <c r="CE102" i="34"/>
  <c r="CA101" i="34"/>
  <c r="CB101" i="34" s="1"/>
  <c r="CE101" i="34"/>
  <c r="AV102" i="34"/>
  <c r="AV101" i="34"/>
  <c r="V153" i="34"/>
  <c r="AR106" i="34"/>
  <c r="AA106" i="34"/>
  <c r="E106" i="34" s="1"/>
  <c r="H106" i="34" s="1"/>
  <c r="AQ106" i="34"/>
  <c r="W135" i="34"/>
  <c r="AQ107" i="39"/>
  <c r="AR107" i="39"/>
  <c r="AW101" i="39"/>
  <c r="AX101" i="39" s="1"/>
  <c r="AR106" i="30"/>
  <c r="AQ106" i="30"/>
  <c r="T102" i="30"/>
  <c r="AW101" i="30"/>
  <c r="AX101" i="30" s="1"/>
  <c r="L117" i="30"/>
  <c r="Y119" i="37"/>
  <c r="Z119" i="37" s="1"/>
  <c r="X120" i="37"/>
  <c r="T103" i="37"/>
  <c r="AV103" i="37" s="1"/>
  <c r="X120" i="27"/>
  <c r="Y119" i="27"/>
  <c r="Z119" i="27" s="1"/>
  <c r="AI105" i="27"/>
  <c r="F119" i="27" s="1"/>
  <c r="I119" i="27" s="1"/>
  <c r="V143" i="27"/>
  <c r="AD129" i="38"/>
  <c r="AD125" i="27"/>
  <c r="AG105" i="27"/>
  <c r="AH105" i="27" s="1"/>
  <c r="AF106" i="27"/>
  <c r="W140" i="38"/>
  <c r="AG108" i="38"/>
  <c r="AH108" i="38" s="1"/>
  <c r="AF109" i="38"/>
  <c r="V141" i="38"/>
  <c r="AD124" i="27"/>
  <c r="AE140" i="38"/>
  <c r="AE141" i="38" s="1"/>
  <c r="X120" i="38"/>
  <c r="Y119" i="38"/>
  <c r="Z119" i="38" s="1"/>
  <c r="AA104" i="27"/>
  <c r="E104" i="27" s="1"/>
  <c r="AE124" i="27"/>
  <c r="Y105" i="38"/>
  <c r="AB105" i="38" s="1"/>
  <c r="X106" i="38"/>
  <c r="V144" i="38"/>
  <c r="W140" i="27"/>
  <c r="W141" i="27" s="1"/>
  <c r="W142" i="27" s="1"/>
  <c r="W143" i="27" s="1"/>
  <c r="W144" i="27" s="1"/>
  <c r="W145" i="27" s="1"/>
  <c r="AB103" i="27"/>
  <c r="V138" i="27"/>
  <c r="Y104" i="27"/>
  <c r="AB104" i="27" s="1"/>
  <c r="X105" i="27"/>
  <c r="AD128" i="38"/>
  <c r="AJ104" i="27"/>
  <c r="W147" i="37"/>
  <c r="W148" i="37" s="1"/>
  <c r="Y105" i="37"/>
  <c r="AB105" i="37" s="1"/>
  <c r="X106" i="37"/>
  <c r="AG105" i="37"/>
  <c r="AJ105" i="37" s="1"/>
  <c r="AF106" i="37"/>
  <c r="Z104" i="37"/>
  <c r="AA105" i="37"/>
  <c r="E105" i="37" s="1"/>
  <c r="AD126" i="37"/>
  <c r="AH104" i="37"/>
  <c r="AI105" i="37"/>
  <c r="F119" i="37" s="1"/>
  <c r="I119" i="37" s="1"/>
  <c r="V142" i="37"/>
  <c r="V147" i="37"/>
  <c r="AE141" i="37"/>
  <c r="AD127" i="37"/>
  <c r="AB104" i="37"/>
  <c r="AW102" i="38"/>
  <c r="AX102" i="38" s="1"/>
  <c r="AW101" i="38"/>
  <c r="AX101" i="38" s="1"/>
  <c r="AJ107" i="38"/>
  <c r="AI107" i="38"/>
  <c r="F121" i="38" s="1"/>
  <c r="I121" i="38" s="1"/>
  <c r="CA101" i="27"/>
  <c r="CB101" i="27" s="1"/>
  <c r="CE101" i="27"/>
  <c r="AV101" i="27"/>
  <c r="AW101" i="37"/>
  <c r="AX101" i="37" s="1"/>
  <c r="AV102" i="37"/>
  <c r="CA102" i="37"/>
  <c r="CB102" i="37" s="1"/>
  <c r="CE102" i="37"/>
  <c r="AN116" i="22"/>
  <c r="AN117" i="22" s="1"/>
  <c r="AN118" i="22" s="1"/>
  <c r="AN119" i="22" s="1"/>
  <c r="AN120" i="22" s="1"/>
  <c r="AN121" i="22" s="1"/>
  <c r="AN122" i="22" s="1"/>
  <c r="AN123" i="22" s="1"/>
  <c r="AN124" i="22" s="1"/>
  <c r="AN125" i="22" s="1"/>
  <c r="AN126" i="22" s="1"/>
  <c r="AN127" i="22" s="1"/>
  <c r="AN128" i="22" s="1"/>
  <c r="AN129" i="22" s="1"/>
  <c r="AN130" i="22" s="1"/>
  <c r="AN131" i="22" s="1"/>
  <c r="AN132" i="22" s="1"/>
  <c r="AN133" i="22" s="1"/>
  <c r="AN134" i="22" s="1"/>
  <c r="AN135" i="22" s="1"/>
  <c r="AN136" i="22" s="1"/>
  <c r="AN137" i="22" s="1"/>
  <c r="AN138" i="22" s="1"/>
  <c r="AN139" i="22" s="1"/>
  <c r="AN140" i="22" s="1"/>
  <c r="AN141" i="22" s="1"/>
  <c r="AN142" i="22" s="1"/>
  <c r="AN143" i="22" s="1"/>
  <c r="AN144" i="22" s="1"/>
  <c r="AN145" i="22" s="1"/>
  <c r="AN146" i="22" s="1"/>
  <c r="AN147" i="22" s="1"/>
  <c r="AN148" i="22" s="1"/>
  <c r="AN149" i="22" s="1"/>
  <c r="AN150" i="22" s="1"/>
  <c r="AN151" i="22" s="1"/>
  <c r="AN152" i="22" s="1"/>
  <c r="AN153" i="22" s="1"/>
  <c r="AN154" i="22" s="1"/>
  <c r="AN155" i="22" s="1"/>
  <c r="AN156" i="22" s="1"/>
  <c r="AN157" i="22" s="1"/>
  <c r="AN158" i="22" s="1"/>
  <c r="AN159" i="22" s="1"/>
  <c r="AN160" i="22" s="1"/>
  <c r="AN161" i="22" s="1"/>
  <c r="AN162" i="22" s="1"/>
  <c r="AN163" i="22" s="1"/>
  <c r="AN164" i="22" s="1"/>
  <c r="AN165" i="22" s="1"/>
  <c r="AN166" i="22" s="1"/>
  <c r="AN167" i="22" s="1"/>
  <c r="AN168" i="22" s="1"/>
  <c r="AN169" i="22" s="1"/>
  <c r="AN170" i="22" s="1"/>
  <c r="AN171" i="22" s="1"/>
  <c r="AN172" i="22" s="1"/>
  <c r="AN173" i="22" s="1"/>
  <c r="AN174" i="22" s="1"/>
  <c r="AN175" i="22" s="1"/>
  <c r="AN176" i="22" s="1"/>
  <c r="AN177" i="22" s="1"/>
  <c r="AN178" i="22" s="1"/>
  <c r="AN179" i="22" s="1"/>
  <c r="AN180" i="22" s="1"/>
  <c r="AN181" i="22" s="1"/>
  <c r="AN182" i="22" s="1"/>
  <c r="AN183" i="22" s="1"/>
  <c r="AN184" i="22" s="1"/>
  <c r="AN185" i="22" s="1"/>
  <c r="AN186" i="22" s="1"/>
  <c r="AN187" i="22" s="1"/>
  <c r="AN188" i="22" s="1"/>
  <c r="AN189" i="22" s="1"/>
  <c r="AN190" i="22" s="1"/>
  <c r="AN191" i="22" s="1"/>
  <c r="AN192" i="22" s="1"/>
  <c r="AN193" i="22" s="1"/>
  <c r="AN194" i="22" s="1"/>
  <c r="AN195" i="22" s="1"/>
  <c r="AN196" i="22" s="1"/>
  <c r="AN197" i="22" s="1"/>
  <c r="AN198" i="22" s="1"/>
  <c r="AN199" i="22" s="1"/>
  <c r="AN200" i="22" s="1"/>
  <c r="AN201" i="22" s="1"/>
  <c r="AN202" i="22" s="1"/>
  <c r="AN203" i="22" s="1"/>
  <c r="AN204" i="22" s="1"/>
  <c r="AN205" i="22" s="1"/>
  <c r="AN206" i="22" s="1"/>
  <c r="AN207" i="22" s="1"/>
  <c r="AN208" i="22" s="1"/>
  <c r="AN209" i="22" s="1"/>
  <c r="AN210" i="22" s="1"/>
  <c r="AN211" i="22" s="1"/>
  <c r="AN212" i="22" s="1"/>
  <c r="AN213" i="22" s="1"/>
  <c r="AN214" i="22" s="1"/>
  <c r="AN215" i="22" s="1"/>
  <c r="AN216" i="22" s="1"/>
  <c r="AN217" i="22" s="1"/>
  <c r="AN218" i="22" s="1"/>
  <c r="AN219" i="22" s="1"/>
  <c r="AN220" i="22" s="1"/>
  <c r="AN221" i="22" s="1"/>
  <c r="AN222" i="22" s="1"/>
  <c r="AN223" i="22" s="1"/>
  <c r="AN224" i="22" s="1"/>
  <c r="AN225" i="22" s="1"/>
  <c r="AN226" i="22" s="1"/>
  <c r="AN227" i="22" s="1"/>
  <c r="AN228" i="22" s="1"/>
  <c r="AN229" i="22" s="1"/>
  <c r="AN230" i="22" s="1"/>
  <c r="AN231" i="22" s="1"/>
  <c r="AN232" i="22" s="1"/>
  <c r="AN233" i="22" s="1"/>
  <c r="AN234" i="22" s="1"/>
  <c r="AN235" i="22" s="1"/>
  <c r="AN236" i="22" s="1"/>
  <c r="AN237" i="22" s="1"/>
  <c r="AN238" i="22" s="1"/>
  <c r="AN239" i="22" s="1"/>
  <c r="AN240" i="22" s="1"/>
  <c r="AN241" i="22" s="1"/>
  <c r="AN242" i="22" s="1"/>
  <c r="AN243" i="22" s="1"/>
  <c r="AN244" i="22" s="1"/>
  <c r="AN245" i="22" s="1"/>
  <c r="AN246" i="22" s="1"/>
  <c r="AN247" i="22" s="1"/>
  <c r="AN248" i="22" s="1"/>
  <c r="AN249" i="22" s="1"/>
  <c r="AN250" i="22" s="1"/>
  <c r="AP103" i="22"/>
  <c r="AO104" i="22"/>
  <c r="V123" i="22"/>
  <c r="V124" i="22"/>
  <c r="AG103" i="22"/>
  <c r="AH102" i="22"/>
  <c r="E76" i="36"/>
  <c r="BA100" i="22"/>
  <c r="BB100" i="22" s="1"/>
  <c r="L119" i="40"/>
  <c r="K105" i="40"/>
  <c r="AT105" i="40" s="1"/>
  <c r="AS105" i="40"/>
  <c r="AS104" i="34"/>
  <c r="K104" i="34"/>
  <c r="AT104" i="34" s="1"/>
  <c r="L117" i="27"/>
  <c r="T102" i="27"/>
  <c r="M130" i="27"/>
  <c r="L116" i="27"/>
  <c r="M133" i="40"/>
  <c r="M132" i="34"/>
  <c r="M136" i="39"/>
  <c r="T103" i="34"/>
  <c r="T104" i="40"/>
  <c r="AV104" i="40" s="1"/>
  <c r="L117" i="34"/>
  <c r="L118" i="40"/>
  <c r="X106" i="22"/>
  <c r="Y105" i="22"/>
  <c r="Z105" i="22" s="1"/>
  <c r="L118" i="38"/>
  <c r="M132" i="38"/>
  <c r="AS104" i="37"/>
  <c r="K104" i="37"/>
  <c r="AT104" i="37" s="1"/>
  <c r="W147" i="22"/>
  <c r="AZ103" i="37" l="1"/>
  <c r="BA103" i="37"/>
  <c r="AZ102" i="39"/>
  <c r="BA102" i="39" s="1"/>
  <c r="AZ103" i="39"/>
  <c r="BA103" i="39" s="1"/>
  <c r="BB101" i="37"/>
  <c r="AZ102" i="37"/>
  <c r="BA102" i="37" s="1"/>
  <c r="BA101" i="30"/>
  <c r="BB101" i="30" s="1"/>
  <c r="BB101" i="39"/>
  <c r="T104" i="39"/>
  <c r="CA104" i="39" s="1"/>
  <c r="CB104" i="39" s="1"/>
  <c r="AQ106" i="38"/>
  <c r="G134" i="38" s="1"/>
  <c r="J134" i="38" s="1"/>
  <c r="K105" i="38"/>
  <c r="AT105" i="38" s="1"/>
  <c r="AI106" i="34"/>
  <c r="F120" i="34" s="1"/>
  <c r="I120" i="34" s="1"/>
  <c r="AB106" i="34"/>
  <c r="AV103" i="38"/>
  <c r="AW103" i="38" s="1"/>
  <c r="AX103" i="38" s="1"/>
  <c r="AR105" i="38"/>
  <c r="CE103" i="38"/>
  <c r="CE103" i="39"/>
  <c r="CA103" i="39"/>
  <c r="CB103" i="39" s="1"/>
  <c r="L118" i="30"/>
  <c r="AJ105" i="34"/>
  <c r="AI106" i="27"/>
  <c r="F120" i="27" s="1"/>
  <c r="I120" i="27" s="1"/>
  <c r="L119" i="39"/>
  <c r="AG107" i="40"/>
  <c r="AI108" i="40" s="1"/>
  <c r="F122" i="40" s="1"/>
  <c r="I122" i="40" s="1"/>
  <c r="AF108" i="40"/>
  <c r="AH106" i="40"/>
  <c r="AJ106" i="40"/>
  <c r="AG106" i="34"/>
  <c r="AI107" i="34" s="1"/>
  <c r="F121" i="34" s="1"/>
  <c r="I121" i="34" s="1"/>
  <c r="AF107" i="34"/>
  <c r="AO105" i="27"/>
  <c r="AR105" i="27" s="1"/>
  <c r="AN106" i="27"/>
  <c r="AP104" i="27"/>
  <c r="AQ105" i="27"/>
  <c r="G133" i="27" s="1"/>
  <c r="J133" i="27" s="1"/>
  <c r="AO106" i="38"/>
  <c r="AR106" i="38" s="1"/>
  <c r="AN107" i="38"/>
  <c r="AG105" i="30"/>
  <c r="AJ105" i="30" s="1"/>
  <c r="AF106" i="30"/>
  <c r="AH104" i="30"/>
  <c r="AI105" i="30"/>
  <c r="F119" i="30" s="1"/>
  <c r="I119" i="30" s="1"/>
  <c r="AG106" i="39"/>
  <c r="AJ106" i="39" s="1"/>
  <c r="AF107" i="39"/>
  <c r="AH105" i="39"/>
  <c r="AI106" i="39"/>
  <c r="F120" i="39" s="1"/>
  <c r="AJ104" i="30"/>
  <c r="Z105" i="39"/>
  <c r="AA106" i="39"/>
  <c r="E106" i="39" s="1"/>
  <c r="X107" i="39"/>
  <c r="Y106" i="39"/>
  <c r="Z106" i="39" s="1"/>
  <c r="H105" i="39"/>
  <c r="K105" i="39"/>
  <c r="AT105" i="39" s="1"/>
  <c r="T103" i="30"/>
  <c r="AV103" i="30" s="1"/>
  <c r="AO107" i="37"/>
  <c r="AQ108" i="37" s="1"/>
  <c r="G136" i="37" s="1"/>
  <c r="J136" i="37" s="1"/>
  <c r="AN108" i="37"/>
  <c r="AP106" i="37"/>
  <c r="AR106" i="37"/>
  <c r="H105" i="37"/>
  <c r="AS105" i="37" s="1"/>
  <c r="H104" i="27"/>
  <c r="AS104" i="27" s="1"/>
  <c r="Y107" i="34"/>
  <c r="Z107" i="34" s="1"/>
  <c r="X108" i="34"/>
  <c r="Z106" i="40"/>
  <c r="AB106" i="40"/>
  <c r="Y107" i="40"/>
  <c r="AA108" i="40" s="1"/>
  <c r="E108" i="40" s="1"/>
  <c r="H108" i="40" s="1"/>
  <c r="X108" i="40"/>
  <c r="V133" i="39"/>
  <c r="Y105" i="30"/>
  <c r="AB105" i="30" s="1"/>
  <c r="X106" i="30"/>
  <c r="V126" i="30"/>
  <c r="K104" i="30"/>
  <c r="AT104" i="30" s="1"/>
  <c r="Z104" i="30"/>
  <c r="AA105" i="30"/>
  <c r="E105" i="30" s="1"/>
  <c r="H105" i="30" s="1"/>
  <c r="V134" i="39"/>
  <c r="W128" i="30"/>
  <c r="V131" i="30"/>
  <c r="W129" i="39"/>
  <c r="W130" i="39" s="1"/>
  <c r="CE103" i="37"/>
  <c r="CA103" i="37"/>
  <c r="CB103" i="37" s="1"/>
  <c r="AW103" i="40"/>
  <c r="AX103" i="40" s="1"/>
  <c r="CA104" i="40"/>
  <c r="CB104" i="40" s="1"/>
  <c r="CE104" i="40"/>
  <c r="V152" i="40"/>
  <c r="W134" i="40"/>
  <c r="AW104" i="40"/>
  <c r="AX104" i="40" s="1"/>
  <c r="AQ108" i="40"/>
  <c r="AR108" i="40"/>
  <c r="V155" i="40"/>
  <c r="AA107" i="34"/>
  <c r="E107" i="34" s="1"/>
  <c r="H107" i="34" s="1"/>
  <c r="AR107" i="34"/>
  <c r="AQ107" i="34"/>
  <c r="AV103" i="34"/>
  <c r="CA103" i="34"/>
  <c r="CB103" i="34" s="1"/>
  <c r="CE103" i="34"/>
  <c r="AW101" i="34"/>
  <c r="AX101" i="34" s="1"/>
  <c r="V154" i="34"/>
  <c r="W136" i="34"/>
  <c r="V155" i="34"/>
  <c r="AW102" i="34"/>
  <c r="AX102" i="34" s="1"/>
  <c r="AW103" i="39"/>
  <c r="AX103" i="39" s="1"/>
  <c r="AQ108" i="39"/>
  <c r="AR108" i="39"/>
  <c r="AR107" i="30"/>
  <c r="AQ107" i="30"/>
  <c r="CA102" i="30"/>
  <c r="CB102" i="30" s="1"/>
  <c r="CE102" i="30"/>
  <c r="AV102" i="30"/>
  <c r="K105" i="37"/>
  <c r="AT105" i="37" s="1"/>
  <c r="Y120" i="37"/>
  <c r="Z120" i="37" s="1"/>
  <c r="X121" i="37"/>
  <c r="T104" i="38"/>
  <c r="AE142" i="38"/>
  <c r="Y105" i="27"/>
  <c r="AB105" i="27" s="1"/>
  <c r="X106" i="27"/>
  <c r="W146" i="27"/>
  <c r="W147" i="27" s="1"/>
  <c r="Y106" i="38"/>
  <c r="AB106" i="38" s="1"/>
  <c r="X107" i="38"/>
  <c r="AD127" i="27"/>
  <c r="V145" i="27"/>
  <c r="Z104" i="27"/>
  <c r="AA105" i="27"/>
  <c r="E105" i="27" s="1"/>
  <c r="Z105" i="38"/>
  <c r="AA106" i="38"/>
  <c r="E106" i="38" s="1"/>
  <c r="H106" i="38" s="1"/>
  <c r="AS106" i="38" s="1"/>
  <c r="AD126" i="27"/>
  <c r="AG109" i="38"/>
  <c r="AH109" i="38" s="1"/>
  <c r="AF110" i="38"/>
  <c r="V146" i="38"/>
  <c r="AE125" i="27"/>
  <c r="AD130" i="38"/>
  <c r="V140" i="27"/>
  <c r="AJ105" i="27"/>
  <c r="W141" i="38"/>
  <c r="AD131" i="38"/>
  <c r="V143" i="38"/>
  <c r="Y120" i="38"/>
  <c r="Z120" i="38" s="1"/>
  <c r="X121" i="38"/>
  <c r="AF107" i="27"/>
  <c r="AG106" i="27"/>
  <c r="AH106" i="27" s="1"/>
  <c r="Y120" i="27"/>
  <c r="Z120" i="27" s="1"/>
  <c r="X121" i="27"/>
  <c r="AG106" i="37"/>
  <c r="AH106" i="37" s="1"/>
  <c r="AF107" i="37"/>
  <c r="AD128" i="37"/>
  <c r="AH105" i="37"/>
  <c r="AI106" i="37"/>
  <c r="F120" i="37" s="1"/>
  <c r="I120" i="37" s="1"/>
  <c r="AE142" i="37"/>
  <c r="V144" i="37"/>
  <c r="Y106" i="37"/>
  <c r="X107" i="37"/>
  <c r="Z105" i="37"/>
  <c r="AA106" i="37"/>
  <c r="E106" i="37" s="1"/>
  <c r="AD129" i="37"/>
  <c r="W149" i="37"/>
  <c r="W150" i="37" s="1"/>
  <c r="V149" i="37"/>
  <c r="AI108" i="38"/>
  <c r="F122" i="38" s="1"/>
  <c r="I122" i="38" s="1"/>
  <c r="AJ108" i="38"/>
  <c r="CA102" i="27"/>
  <c r="CB102" i="27" s="1"/>
  <c r="CE102" i="27"/>
  <c r="AW101" i="27"/>
  <c r="AX101" i="27" s="1"/>
  <c r="AV102" i="27"/>
  <c r="AW102" i="37"/>
  <c r="AX102" i="37" s="1"/>
  <c r="AW103" i="37"/>
  <c r="AX103" i="37" s="1"/>
  <c r="AP104" i="22"/>
  <c r="AO105" i="22"/>
  <c r="V126" i="22"/>
  <c r="V125" i="22"/>
  <c r="AG104" i="22"/>
  <c r="AH103" i="22"/>
  <c r="L118" i="34"/>
  <c r="M135" i="40"/>
  <c r="T105" i="40"/>
  <c r="T104" i="34"/>
  <c r="AV104" i="34" s="1"/>
  <c r="K104" i="27"/>
  <c r="AT104" i="27" s="1"/>
  <c r="T103" i="27"/>
  <c r="K106" i="40"/>
  <c r="AT106" i="40" s="1"/>
  <c r="AS106" i="40"/>
  <c r="M134" i="30"/>
  <c r="M131" i="27"/>
  <c r="M133" i="34"/>
  <c r="M134" i="40"/>
  <c r="M137" i="39"/>
  <c r="K105" i="34"/>
  <c r="AT105" i="34" s="1"/>
  <c r="AS105" i="34"/>
  <c r="X107" i="22"/>
  <c r="Y106" i="22"/>
  <c r="Z106" i="22" s="1"/>
  <c r="M135" i="30"/>
  <c r="L119" i="38"/>
  <c r="M133" i="38"/>
  <c r="M133" i="37"/>
  <c r="L119" i="37"/>
  <c r="T104" i="37"/>
  <c r="M132" i="37"/>
  <c r="L118" i="37"/>
  <c r="W148" i="22"/>
  <c r="AZ102" i="30" l="1"/>
  <c r="BA102" i="30" s="1"/>
  <c r="BB102" i="37"/>
  <c r="AZ103" i="30"/>
  <c r="BA103" i="30" s="1"/>
  <c r="BB103" i="39"/>
  <c r="BB102" i="39"/>
  <c r="BB103" i="37"/>
  <c r="CE104" i="39"/>
  <c r="T105" i="38"/>
  <c r="CE105" i="38" s="1"/>
  <c r="AV104" i="39"/>
  <c r="L119" i="30"/>
  <c r="AB106" i="39"/>
  <c r="CE104" i="38"/>
  <c r="AG107" i="34"/>
  <c r="AI108" i="34" s="1"/>
  <c r="F122" i="34" s="1"/>
  <c r="I122" i="34" s="1"/>
  <c r="AF108" i="34"/>
  <c r="AH106" i="34"/>
  <c r="AJ106" i="34"/>
  <c r="AG108" i="40"/>
  <c r="AF109" i="40"/>
  <c r="AH107" i="40"/>
  <c r="AJ107" i="40"/>
  <c r="AO107" i="38"/>
  <c r="AR107" i="38" s="1"/>
  <c r="AN108" i="38"/>
  <c r="AP106" i="38"/>
  <c r="AQ107" i="38"/>
  <c r="G135" i="38" s="1"/>
  <c r="J135" i="38" s="1"/>
  <c r="AO106" i="27"/>
  <c r="AR106" i="27" s="1"/>
  <c r="AN107" i="27"/>
  <c r="AP105" i="27"/>
  <c r="AQ106" i="27"/>
  <c r="G134" i="27" s="1"/>
  <c r="J134" i="27" s="1"/>
  <c r="Y107" i="39"/>
  <c r="Z107" i="39" s="1"/>
  <c r="X108" i="39"/>
  <c r="H106" i="39"/>
  <c r="K106" i="39"/>
  <c r="AT106" i="39" s="1"/>
  <c r="I120" i="39"/>
  <c r="L120" i="39"/>
  <c r="AG107" i="39"/>
  <c r="AH107" i="39" s="1"/>
  <c r="AF108" i="39"/>
  <c r="AH106" i="39"/>
  <c r="AI107" i="39"/>
  <c r="F121" i="39" s="1"/>
  <c r="AA107" i="39"/>
  <c r="E107" i="39" s="1"/>
  <c r="AG106" i="30"/>
  <c r="AF107" i="30"/>
  <c r="AS105" i="39"/>
  <c r="T105" i="39"/>
  <c r="AH105" i="30"/>
  <c r="AI106" i="30"/>
  <c r="F120" i="30" s="1"/>
  <c r="I120" i="30" s="1"/>
  <c r="CA103" i="30"/>
  <c r="CB103" i="30" s="1"/>
  <c r="CE103" i="30"/>
  <c r="CA104" i="38"/>
  <c r="CB104" i="38" s="1"/>
  <c r="T105" i="37"/>
  <c r="CA105" i="37" s="1"/>
  <c r="CB105" i="37" s="1"/>
  <c r="AI107" i="37"/>
  <c r="F121" i="37" s="1"/>
  <c r="I121" i="37" s="1"/>
  <c r="AO108" i="37"/>
  <c r="AQ109" i="37" s="1"/>
  <c r="G137" i="37" s="1"/>
  <c r="J137" i="37" s="1"/>
  <c r="AN109" i="37"/>
  <c r="AP107" i="37"/>
  <c r="AR107" i="37"/>
  <c r="H106" i="37"/>
  <c r="AS106" i="37" s="1"/>
  <c r="K106" i="38"/>
  <c r="AT106" i="38" s="1"/>
  <c r="H105" i="27"/>
  <c r="AS105" i="27" s="1"/>
  <c r="X109" i="34"/>
  <c r="Y108" i="34"/>
  <c r="Z108" i="34" s="1"/>
  <c r="X109" i="40"/>
  <c r="Y108" i="40"/>
  <c r="AB107" i="34"/>
  <c r="Z107" i="40"/>
  <c r="AB107" i="40"/>
  <c r="AS104" i="30"/>
  <c r="T104" i="30"/>
  <c r="V136" i="39"/>
  <c r="V128" i="30"/>
  <c r="Z105" i="30"/>
  <c r="AA106" i="30"/>
  <c r="E106" i="30" s="1"/>
  <c r="H106" i="30" s="1"/>
  <c r="V133" i="30"/>
  <c r="V135" i="39"/>
  <c r="W131" i="39"/>
  <c r="W132" i="39" s="1"/>
  <c r="Y106" i="30"/>
  <c r="Z106" i="30" s="1"/>
  <c r="X107" i="30"/>
  <c r="W129" i="30"/>
  <c r="K105" i="30"/>
  <c r="AT105" i="30" s="1"/>
  <c r="AV105" i="40"/>
  <c r="V154" i="40"/>
  <c r="CA105" i="40"/>
  <c r="CB105" i="40" s="1"/>
  <c r="CE105" i="40"/>
  <c r="W135" i="40"/>
  <c r="V157" i="40"/>
  <c r="AR109" i="40"/>
  <c r="AQ109" i="40"/>
  <c r="AW104" i="34"/>
  <c r="AX104" i="34" s="1"/>
  <c r="W137" i="34"/>
  <c r="V157" i="34"/>
  <c r="V156" i="34"/>
  <c r="AQ108" i="34"/>
  <c r="AA108" i="34"/>
  <c r="E108" i="34" s="1"/>
  <c r="H108" i="34" s="1"/>
  <c r="AR108" i="34"/>
  <c r="CA104" i="34"/>
  <c r="CB104" i="34" s="1"/>
  <c r="CE104" i="34"/>
  <c r="AW103" i="34"/>
  <c r="AX103" i="34" s="1"/>
  <c r="AR109" i="39"/>
  <c r="AQ109" i="39"/>
  <c r="AW103" i="30"/>
  <c r="AX103" i="30" s="1"/>
  <c r="AW102" i="30"/>
  <c r="AX102" i="30" s="1"/>
  <c r="AQ108" i="30"/>
  <c r="AR108" i="30"/>
  <c r="Y121" i="37"/>
  <c r="Z121" i="37" s="1"/>
  <c r="X122" i="37"/>
  <c r="AV104" i="38"/>
  <c r="AW104" i="38" s="1"/>
  <c r="AX104" i="38" s="1"/>
  <c r="AI107" i="27"/>
  <c r="F121" i="27" s="1"/>
  <c r="I121" i="27" s="1"/>
  <c r="K106" i="37"/>
  <c r="AT106" i="37" s="1"/>
  <c r="V145" i="38"/>
  <c r="W142" i="38"/>
  <c r="AD132" i="38"/>
  <c r="AD129" i="27"/>
  <c r="Y121" i="27"/>
  <c r="Z121" i="27" s="1"/>
  <c r="X122" i="27"/>
  <c r="AG110" i="38"/>
  <c r="AH110" i="38" s="1"/>
  <c r="AF111" i="38"/>
  <c r="Y106" i="27"/>
  <c r="AB106" i="27" s="1"/>
  <c r="X107" i="27"/>
  <c r="Y121" i="38"/>
  <c r="Z121" i="38" s="1"/>
  <c r="X122" i="38"/>
  <c r="AD133" i="38"/>
  <c r="V142" i="27"/>
  <c r="AE126" i="27"/>
  <c r="AE127" i="27" s="1"/>
  <c r="AD128" i="27"/>
  <c r="V147" i="27"/>
  <c r="AE143" i="38"/>
  <c r="Z105" i="27"/>
  <c r="AA106" i="27"/>
  <c r="E106" i="27" s="1"/>
  <c r="H106" i="27" s="1"/>
  <c r="AG107" i="27"/>
  <c r="AF108" i="27"/>
  <c r="X108" i="38"/>
  <c r="Y107" i="38"/>
  <c r="AB107" i="38" s="1"/>
  <c r="V148" i="38"/>
  <c r="Z106" i="38"/>
  <c r="AA107" i="38"/>
  <c r="E107" i="38" s="1"/>
  <c r="K107" i="38" s="1"/>
  <c r="AT107" i="38" s="1"/>
  <c r="W148" i="27"/>
  <c r="W149" i="27" s="1"/>
  <c r="AJ106" i="27"/>
  <c r="AD130" i="37"/>
  <c r="W151" i="37"/>
  <c r="W152" i="37" s="1"/>
  <c r="Z106" i="37"/>
  <c r="AA107" i="37"/>
  <c r="E107" i="37" s="1"/>
  <c r="V146" i="37"/>
  <c r="V151" i="37"/>
  <c r="AD131" i="37"/>
  <c r="AB106" i="37"/>
  <c r="AE143" i="37"/>
  <c r="AE144" i="37" s="1"/>
  <c r="AJ106" i="37"/>
  <c r="X108" i="37"/>
  <c r="Y107" i="37"/>
  <c r="Z107" i="37" s="1"/>
  <c r="AF108" i="37"/>
  <c r="AG107" i="37"/>
  <c r="AH107" i="37" s="1"/>
  <c r="AI109" i="38"/>
  <c r="F123" i="38" s="1"/>
  <c r="I123" i="38" s="1"/>
  <c r="AJ109" i="38"/>
  <c r="CA103" i="27"/>
  <c r="CB103" i="27" s="1"/>
  <c r="CE103" i="27"/>
  <c r="AV103" i="27"/>
  <c r="AW102" i="27"/>
  <c r="AX102" i="27" s="1"/>
  <c r="CA104" i="37"/>
  <c r="CB104" i="37" s="1"/>
  <c r="CE104" i="37"/>
  <c r="AV104" i="37"/>
  <c r="AP105" i="22"/>
  <c r="AO106" i="22"/>
  <c r="V127" i="22"/>
  <c r="V128" i="22"/>
  <c r="AG105" i="22"/>
  <c r="AH104" i="22"/>
  <c r="K107" i="40"/>
  <c r="AT107" i="40" s="1"/>
  <c r="L121" i="40"/>
  <c r="AS107" i="40"/>
  <c r="K105" i="27"/>
  <c r="AT105" i="27" s="1"/>
  <c r="M132" i="27"/>
  <c r="T106" i="40"/>
  <c r="L120" i="40"/>
  <c r="L118" i="27"/>
  <c r="M136" i="40"/>
  <c r="T104" i="27"/>
  <c r="M134" i="34"/>
  <c r="M138" i="39"/>
  <c r="L119" i="34"/>
  <c r="T105" i="34"/>
  <c r="K106" i="34"/>
  <c r="AT106" i="34" s="1"/>
  <c r="AS106" i="34"/>
  <c r="X108" i="22"/>
  <c r="Y107" i="22"/>
  <c r="Z107" i="22" s="1"/>
  <c r="M134" i="38"/>
  <c r="L120" i="38"/>
  <c r="L120" i="37"/>
  <c r="M134" i="37"/>
  <c r="W149" i="22"/>
  <c r="AW104" i="39" l="1"/>
  <c r="AX104" i="39" s="1"/>
  <c r="AZ104" i="39"/>
  <c r="BA104" i="39" s="1"/>
  <c r="BB103" i="30"/>
  <c r="AZ104" i="37"/>
  <c r="BA104" i="37" s="1"/>
  <c r="BB102" i="30"/>
  <c r="CA105" i="38"/>
  <c r="CB105" i="38" s="1"/>
  <c r="AV105" i="38"/>
  <c r="AB107" i="39"/>
  <c r="AA107" i="30"/>
  <c r="E107" i="30" s="1"/>
  <c r="K107" i="30" s="1"/>
  <c r="AT107" i="30" s="1"/>
  <c r="AB106" i="30"/>
  <c r="AB108" i="34"/>
  <c r="AJ107" i="39"/>
  <c r="AI108" i="39"/>
  <c r="F122" i="39" s="1"/>
  <c r="I122" i="39" s="1"/>
  <c r="L120" i="30"/>
  <c r="AA108" i="39"/>
  <c r="E108" i="39" s="1"/>
  <c r="H108" i="39" s="1"/>
  <c r="AS108" i="39" s="1"/>
  <c r="T106" i="38"/>
  <c r="CE106" i="38" s="1"/>
  <c r="AG109" i="40"/>
  <c r="AF110" i="40"/>
  <c r="AH108" i="40"/>
  <c r="AJ108" i="40"/>
  <c r="AI109" i="40"/>
  <c r="F123" i="40" s="1"/>
  <c r="I123" i="40" s="1"/>
  <c r="AF109" i="34"/>
  <c r="AG108" i="34"/>
  <c r="AI109" i="34" s="1"/>
  <c r="F123" i="34" s="1"/>
  <c r="I123" i="34" s="1"/>
  <c r="AH107" i="34"/>
  <c r="AJ107" i="34"/>
  <c r="AO107" i="27"/>
  <c r="AR107" i="27" s="1"/>
  <c r="AN108" i="27"/>
  <c r="AP106" i="27"/>
  <c r="AQ107" i="27"/>
  <c r="G135" i="27" s="1"/>
  <c r="J135" i="27" s="1"/>
  <c r="AO108" i="38"/>
  <c r="AR108" i="38" s="1"/>
  <c r="AN109" i="38"/>
  <c r="AP107" i="38"/>
  <c r="AQ108" i="38"/>
  <c r="G136" i="38" s="1"/>
  <c r="J136" i="38" s="1"/>
  <c r="AH106" i="30"/>
  <c r="AI107" i="30"/>
  <c r="F121" i="30" s="1"/>
  <c r="I121" i="30" s="1"/>
  <c r="I121" i="39"/>
  <c r="L121" i="39"/>
  <c r="AG108" i="39"/>
  <c r="AJ108" i="39" s="1"/>
  <c r="AF109" i="39"/>
  <c r="H107" i="39"/>
  <c r="K107" i="39"/>
  <c r="AT107" i="39" s="1"/>
  <c r="AV105" i="39"/>
  <c r="CE105" i="39"/>
  <c r="CA105" i="39"/>
  <c r="CB105" i="39" s="1"/>
  <c r="AS106" i="39"/>
  <c r="T106" i="39"/>
  <c r="T105" i="30"/>
  <c r="AV105" i="30" s="1"/>
  <c r="AJ106" i="30"/>
  <c r="Y108" i="39"/>
  <c r="AB108" i="39" s="1"/>
  <c r="X109" i="39"/>
  <c r="AG107" i="30"/>
  <c r="AJ107" i="30" s="1"/>
  <c r="AF108" i="30"/>
  <c r="CE105" i="37"/>
  <c r="AV105" i="37"/>
  <c r="AN110" i="37"/>
  <c r="AO109" i="37"/>
  <c r="AQ110" i="37" s="1"/>
  <c r="G138" i="37" s="1"/>
  <c r="J138" i="37" s="1"/>
  <c r="AP108" i="37"/>
  <c r="AR108" i="37"/>
  <c r="K107" i="37"/>
  <c r="AT107" i="37" s="1"/>
  <c r="H107" i="37"/>
  <c r="AS107" i="37" s="1"/>
  <c r="H107" i="38"/>
  <c r="AS107" i="38" s="1"/>
  <c r="T106" i="37"/>
  <c r="AV106" i="37" s="1"/>
  <c r="Z108" i="40"/>
  <c r="AB108" i="40"/>
  <c r="Y109" i="40"/>
  <c r="AA110" i="40" s="1"/>
  <c r="E110" i="40" s="1"/>
  <c r="H110" i="40" s="1"/>
  <c r="X110" i="40"/>
  <c r="AA109" i="40"/>
  <c r="E109" i="40" s="1"/>
  <c r="H109" i="40" s="1"/>
  <c r="X110" i="34"/>
  <c r="Y109" i="34"/>
  <c r="Z109" i="34" s="1"/>
  <c r="CA104" i="30"/>
  <c r="CB104" i="30" s="1"/>
  <c r="AV104" i="30"/>
  <c r="CE104" i="30"/>
  <c r="Y107" i="30"/>
  <c r="AB107" i="30" s="1"/>
  <c r="X108" i="30"/>
  <c r="V130" i="30"/>
  <c r="W133" i="39"/>
  <c r="W134" i="39" s="1"/>
  <c r="K106" i="30"/>
  <c r="AT106" i="30" s="1"/>
  <c r="AS105" i="30"/>
  <c r="V138" i="39"/>
  <c r="W130" i="30"/>
  <c r="V137" i="39"/>
  <c r="V135" i="30"/>
  <c r="V159" i="40"/>
  <c r="W136" i="40"/>
  <c r="AW105" i="40"/>
  <c r="AX105" i="40" s="1"/>
  <c r="V156" i="40"/>
  <c r="AR110" i="40"/>
  <c r="AQ110" i="40"/>
  <c r="CA106" i="40"/>
  <c r="CB106" i="40" s="1"/>
  <c r="CE106" i="40"/>
  <c r="AV106" i="40"/>
  <c r="AA109" i="34"/>
  <c r="E109" i="34" s="1"/>
  <c r="H109" i="34" s="1"/>
  <c r="AQ109" i="34"/>
  <c r="AR109" i="34"/>
  <c r="CA105" i="34"/>
  <c r="CB105" i="34" s="1"/>
  <c r="CE105" i="34"/>
  <c r="V158" i="34"/>
  <c r="W138" i="34"/>
  <c r="AV105" i="34"/>
  <c r="V159" i="34"/>
  <c r="AQ110" i="39"/>
  <c r="AR110" i="39"/>
  <c r="AQ109" i="30"/>
  <c r="AR109" i="30"/>
  <c r="Y122" i="37"/>
  <c r="Z122" i="37" s="1"/>
  <c r="X123" i="37"/>
  <c r="AB107" i="37"/>
  <c r="Y122" i="38"/>
  <c r="Z122" i="38" s="1"/>
  <c r="X123" i="38"/>
  <c r="AD130" i="27"/>
  <c r="AD131" i="27"/>
  <c r="AH107" i="27"/>
  <c r="AJ107" i="27"/>
  <c r="W143" i="38"/>
  <c r="AE144" i="38"/>
  <c r="AE145" i="38" s="1"/>
  <c r="AE146" i="38" s="1"/>
  <c r="Y107" i="27"/>
  <c r="X108" i="27"/>
  <c r="V144" i="27"/>
  <c r="W150" i="27"/>
  <c r="W151" i="27" s="1"/>
  <c r="AD135" i="38"/>
  <c r="Z106" i="27"/>
  <c r="AA107" i="27"/>
  <c r="E107" i="27" s="1"/>
  <c r="H107" i="27" s="1"/>
  <c r="AF109" i="27"/>
  <c r="AG108" i="27"/>
  <c r="AH108" i="27" s="1"/>
  <c r="Y122" i="27"/>
  <c r="Z122" i="27" s="1"/>
  <c r="X123" i="27"/>
  <c r="V150" i="38"/>
  <c r="Z107" i="38"/>
  <c r="AA108" i="38"/>
  <c r="E108" i="38" s="1"/>
  <c r="V149" i="27"/>
  <c r="AE128" i="27"/>
  <c r="AG111" i="38"/>
  <c r="AH111" i="38" s="1"/>
  <c r="AF112" i="38"/>
  <c r="V147" i="38"/>
  <c r="AI108" i="27"/>
  <c r="F122" i="27" s="1"/>
  <c r="I122" i="27" s="1"/>
  <c r="X109" i="38"/>
  <c r="Y108" i="38"/>
  <c r="AB108" i="38" s="1"/>
  <c r="AD134" i="38"/>
  <c r="X109" i="37"/>
  <c r="Y108" i="37"/>
  <c r="AB108" i="37" s="1"/>
  <c r="AD132" i="37"/>
  <c r="V153" i="37"/>
  <c r="AE145" i="37"/>
  <c r="AE146" i="37" s="1"/>
  <c r="AJ107" i="37"/>
  <c r="V148" i="37"/>
  <c r="AI108" i="37"/>
  <c r="F122" i="37" s="1"/>
  <c r="I122" i="37" s="1"/>
  <c r="W153" i="37"/>
  <c r="W154" i="37" s="1"/>
  <c r="AG108" i="37"/>
  <c r="AJ108" i="37" s="1"/>
  <c r="AF109" i="37"/>
  <c r="AD133" i="37"/>
  <c r="AA108" i="37"/>
  <c r="E108" i="37" s="1"/>
  <c r="AJ110" i="38"/>
  <c r="AI110" i="38"/>
  <c r="F124" i="38" s="1"/>
  <c r="I124" i="38" s="1"/>
  <c r="AW105" i="38"/>
  <c r="AX105" i="38" s="1"/>
  <c r="CA104" i="27"/>
  <c r="CB104" i="27" s="1"/>
  <c r="CE104" i="27"/>
  <c r="AV104" i="27"/>
  <c r="AW103" i="27"/>
  <c r="AX103" i="27" s="1"/>
  <c r="AW104" i="37"/>
  <c r="AX104" i="37" s="1"/>
  <c r="AP106" i="22"/>
  <c r="AO107" i="22"/>
  <c r="V129" i="22"/>
  <c r="V130" i="22"/>
  <c r="AG106" i="22"/>
  <c r="AH105" i="22"/>
  <c r="T107" i="40"/>
  <c r="AS108" i="40"/>
  <c r="K108" i="40"/>
  <c r="AT108" i="40" s="1"/>
  <c r="AS107" i="34"/>
  <c r="K107" i="34"/>
  <c r="AT107" i="34" s="1"/>
  <c r="L119" i="27"/>
  <c r="M135" i="34"/>
  <c r="T105" i="27"/>
  <c r="AV105" i="27" s="1"/>
  <c r="M133" i="27"/>
  <c r="AS106" i="27"/>
  <c r="K106" i="27"/>
  <c r="AT106" i="27" s="1"/>
  <c r="M139" i="39"/>
  <c r="T106" i="34"/>
  <c r="L120" i="34"/>
  <c r="X109" i="22"/>
  <c r="Y108" i="22"/>
  <c r="Z108" i="22" s="1"/>
  <c r="L121" i="38"/>
  <c r="M135" i="38"/>
  <c r="M135" i="37"/>
  <c r="L121" i="37"/>
  <c r="W150" i="22"/>
  <c r="AW105" i="37" l="1"/>
  <c r="AX105" i="37" s="1"/>
  <c r="AZ105" i="37"/>
  <c r="AW105" i="39"/>
  <c r="AX105" i="39" s="1"/>
  <c r="AZ105" i="39"/>
  <c r="BA105" i="39" s="1"/>
  <c r="BB104" i="37"/>
  <c r="AW106" i="37"/>
  <c r="AX106" i="37" s="1"/>
  <c r="AZ106" i="37"/>
  <c r="BB104" i="39"/>
  <c r="AW104" i="30"/>
  <c r="AX104" i="30" s="1"/>
  <c r="AZ104" i="30"/>
  <c r="BA104" i="30" s="1"/>
  <c r="AW105" i="30"/>
  <c r="AX105" i="30" s="1"/>
  <c r="AZ105" i="30"/>
  <c r="BA105" i="30" s="1"/>
  <c r="AV106" i="38"/>
  <c r="K108" i="39"/>
  <c r="AT108" i="39" s="1"/>
  <c r="H107" i="30"/>
  <c r="AS107" i="30" s="1"/>
  <c r="CA106" i="38"/>
  <c r="CB106" i="38" s="1"/>
  <c r="L122" i="39"/>
  <c r="AB109" i="34"/>
  <c r="L121" i="30"/>
  <c r="T107" i="38"/>
  <c r="CA107" i="38" s="1"/>
  <c r="AF111" i="40"/>
  <c r="AG110" i="40"/>
  <c r="AH110" i="40" s="1"/>
  <c r="AH109" i="40"/>
  <c r="AJ109" i="40"/>
  <c r="AI110" i="40"/>
  <c r="F124" i="40" s="1"/>
  <c r="I124" i="40" s="1"/>
  <c r="AH108" i="34"/>
  <c r="AJ108" i="34"/>
  <c r="AF110" i="34"/>
  <c r="AG109" i="34"/>
  <c r="AI110" i="34" s="1"/>
  <c r="F124" i="34" s="1"/>
  <c r="I124" i="34" s="1"/>
  <c r="AO109" i="38"/>
  <c r="AR109" i="38" s="1"/>
  <c r="AN110" i="38"/>
  <c r="AP108" i="38"/>
  <c r="AQ109" i="38"/>
  <c r="G137" i="38" s="1"/>
  <c r="J137" i="38" s="1"/>
  <c r="AJ108" i="27"/>
  <c r="AO108" i="27"/>
  <c r="AR108" i="27" s="1"/>
  <c r="AN109" i="27"/>
  <c r="AP107" i="27"/>
  <c r="AQ108" i="27"/>
  <c r="G136" i="27" s="1"/>
  <c r="J136" i="27" s="1"/>
  <c r="AG108" i="30"/>
  <c r="AH108" i="30" s="1"/>
  <c r="AF109" i="30"/>
  <c r="AH107" i="30"/>
  <c r="AI108" i="30"/>
  <c r="F122" i="30" s="1"/>
  <c r="AS107" i="39"/>
  <c r="T107" i="39"/>
  <c r="Y109" i="39"/>
  <c r="AB109" i="39" s="1"/>
  <c r="X110" i="39"/>
  <c r="AH108" i="39"/>
  <c r="AI109" i="39"/>
  <c r="F123" i="39" s="1"/>
  <c r="AF110" i="39"/>
  <c r="AG109" i="39"/>
  <c r="AJ109" i="39" s="1"/>
  <c r="Z108" i="39"/>
  <c r="AA109" i="39"/>
  <c r="E109" i="39" s="1"/>
  <c r="AV106" i="39"/>
  <c r="CE106" i="39"/>
  <c r="CA106" i="39"/>
  <c r="CB106" i="39" s="1"/>
  <c r="CE106" i="37"/>
  <c r="AP109" i="37"/>
  <c r="AR109" i="37"/>
  <c r="CA106" i="37"/>
  <c r="CB106" i="37" s="1"/>
  <c r="AO110" i="37"/>
  <c r="AQ111" i="37" s="1"/>
  <c r="G139" i="37" s="1"/>
  <c r="J139" i="37" s="1"/>
  <c r="AN111" i="37"/>
  <c r="H108" i="37"/>
  <c r="AS108" i="37" s="1"/>
  <c r="H108" i="38"/>
  <c r="AS108" i="38" s="1"/>
  <c r="X111" i="40"/>
  <c r="Y110" i="40"/>
  <c r="AA111" i="40" s="1"/>
  <c r="E111" i="40" s="1"/>
  <c r="H111" i="40" s="1"/>
  <c r="Y110" i="34"/>
  <c r="Z110" i="34" s="1"/>
  <c r="X111" i="34"/>
  <c r="Z109" i="40"/>
  <c r="AB109" i="40"/>
  <c r="V139" i="39"/>
  <c r="W135" i="39"/>
  <c r="W136" i="39" s="1"/>
  <c r="V137" i="30"/>
  <c r="W131" i="30"/>
  <c r="CA105" i="30"/>
  <c r="CB105" i="30" s="1"/>
  <c r="CE105" i="30"/>
  <c r="Y108" i="30"/>
  <c r="Z108" i="30" s="1"/>
  <c r="X109" i="30"/>
  <c r="V140" i="39"/>
  <c r="AS106" i="30"/>
  <c r="T106" i="30"/>
  <c r="V132" i="30"/>
  <c r="Z107" i="30"/>
  <c r="AA108" i="30"/>
  <c r="E108" i="30" s="1"/>
  <c r="H108" i="30" s="1"/>
  <c r="T107" i="37"/>
  <c r="CA107" i="37" s="1"/>
  <c r="W137" i="40"/>
  <c r="AQ111" i="40"/>
  <c r="AR111" i="40"/>
  <c r="V161" i="40"/>
  <c r="CA107" i="40"/>
  <c r="CB107" i="40" s="1"/>
  <c r="CE107" i="40"/>
  <c r="AZ107" i="40"/>
  <c r="AV107" i="40"/>
  <c r="AW106" i="40"/>
  <c r="AX106" i="40" s="1"/>
  <c r="V158" i="40"/>
  <c r="W139" i="34"/>
  <c r="V161" i="34"/>
  <c r="V160" i="34"/>
  <c r="CA106" i="34"/>
  <c r="CB106" i="34" s="1"/>
  <c r="CE106" i="34"/>
  <c r="AW105" i="34"/>
  <c r="AX105" i="34" s="1"/>
  <c r="AA110" i="34"/>
  <c r="E110" i="34" s="1"/>
  <c r="H110" i="34" s="1"/>
  <c r="AQ110" i="34"/>
  <c r="AR110" i="34"/>
  <c r="AV106" i="34"/>
  <c r="AQ111" i="39"/>
  <c r="AR111" i="39"/>
  <c r="AQ110" i="30"/>
  <c r="AR110" i="30"/>
  <c r="X124" i="37"/>
  <c r="Y123" i="37"/>
  <c r="Z123" i="37" s="1"/>
  <c r="AI109" i="27"/>
  <c r="F123" i="27" s="1"/>
  <c r="I123" i="27" s="1"/>
  <c r="K108" i="38"/>
  <c r="AT108" i="38" s="1"/>
  <c r="AD132" i="27"/>
  <c r="Y109" i="38"/>
  <c r="Z109" i="38" s="1"/>
  <c r="X110" i="38"/>
  <c r="Z107" i="27"/>
  <c r="AA108" i="27"/>
  <c r="E108" i="27" s="1"/>
  <c r="H108" i="27" s="1"/>
  <c r="AE129" i="27"/>
  <c r="V152" i="38"/>
  <c r="AE147" i="38"/>
  <c r="AF110" i="27"/>
  <c r="AG109" i="27"/>
  <c r="AI110" i="27" s="1"/>
  <c r="F124" i="27" s="1"/>
  <c r="I124" i="27" s="1"/>
  <c r="AD136" i="38"/>
  <c r="V146" i="27"/>
  <c r="AD137" i="38"/>
  <c r="Y123" i="27"/>
  <c r="Z123" i="27" s="1"/>
  <c r="X124" i="27"/>
  <c r="V151" i="27"/>
  <c r="W144" i="38"/>
  <c r="AB107" i="27"/>
  <c r="V149" i="38"/>
  <c r="Z108" i="38"/>
  <c r="AA109" i="38"/>
  <c r="E109" i="38" s="1"/>
  <c r="H109" i="38" s="1"/>
  <c r="AS109" i="38" s="1"/>
  <c r="AG112" i="38"/>
  <c r="AH112" i="38" s="1"/>
  <c r="AF113" i="38"/>
  <c r="W152" i="27"/>
  <c r="X109" i="27"/>
  <c r="Y108" i="27"/>
  <c r="AB108" i="27" s="1"/>
  <c r="AD133" i="27"/>
  <c r="Y123" i="38"/>
  <c r="Z123" i="38" s="1"/>
  <c r="X124" i="38"/>
  <c r="W155" i="37"/>
  <c r="W156" i="37" s="1"/>
  <c r="AE147" i="37"/>
  <c r="AE148" i="37" s="1"/>
  <c r="AD134" i="37"/>
  <c r="K108" i="37"/>
  <c r="AT108" i="37" s="1"/>
  <c r="AD135" i="37"/>
  <c r="V155" i="37"/>
  <c r="AG109" i="37"/>
  <c r="AJ109" i="37" s="1"/>
  <c r="AF110" i="37"/>
  <c r="V150" i="37"/>
  <c r="Z108" i="37"/>
  <c r="AA109" i="37"/>
  <c r="E109" i="37" s="1"/>
  <c r="H109" i="37" s="1"/>
  <c r="AS109" i="37" s="1"/>
  <c r="AH108" i="37"/>
  <c r="AI109" i="37"/>
  <c r="F123" i="37" s="1"/>
  <c r="I123" i="37" s="1"/>
  <c r="X110" i="37"/>
  <c r="Y109" i="37"/>
  <c r="AB109" i="37" s="1"/>
  <c r="AW106" i="38"/>
  <c r="AX106" i="38" s="1"/>
  <c r="AI111" i="38"/>
  <c r="F125" i="38" s="1"/>
  <c r="I125" i="38" s="1"/>
  <c r="AJ111" i="38"/>
  <c r="CA105" i="27"/>
  <c r="CB105" i="27" s="1"/>
  <c r="CE105" i="27"/>
  <c r="AW105" i="27"/>
  <c r="AX105" i="27" s="1"/>
  <c r="AW104" i="27"/>
  <c r="AX104" i="27" s="1"/>
  <c r="AP107" i="22"/>
  <c r="AO108" i="22"/>
  <c r="V132" i="22"/>
  <c r="V131" i="22"/>
  <c r="AG107" i="22"/>
  <c r="AH106" i="22"/>
  <c r="L121" i="27"/>
  <c r="L122" i="40"/>
  <c r="L121" i="34"/>
  <c r="T108" i="40"/>
  <c r="AZ108" i="40" s="1"/>
  <c r="T107" i="34"/>
  <c r="AS107" i="27"/>
  <c r="M140" i="39"/>
  <c r="K107" i="27"/>
  <c r="AT107" i="27" s="1"/>
  <c r="L122" i="34"/>
  <c r="AS108" i="34"/>
  <c r="K108" i="34"/>
  <c r="AT108" i="34" s="1"/>
  <c r="M136" i="34"/>
  <c r="M136" i="30"/>
  <c r="M134" i="27"/>
  <c r="L120" i="27"/>
  <c r="M137" i="40"/>
  <c r="T106" i="27"/>
  <c r="K109" i="40"/>
  <c r="AT109" i="40" s="1"/>
  <c r="AS109" i="40"/>
  <c r="X110" i="22"/>
  <c r="Y109" i="22"/>
  <c r="Z109" i="22" s="1"/>
  <c r="M138" i="30"/>
  <c r="M136" i="38"/>
  <c r="L122" i="38"/>
  <c r="M136" i="37"/>
  <c r="L122" i="37"/>
  <c r="W151" i="22"/>
  <c r="AW106" i="39" l="1"/>
  <c r="AX106" i="39" s="1"/>
  <c r="AZ106" i="39"/>
  <c r="BA106" i="37"/>
  <c r="BB106" i="37" s="1"/>
  <c r="BB105" i="39"/>
  <c r="BB105" i="30"/>
  <c r="BA105" i="37"/>
  <c r="BB105" i="37" s="1"/>
  <c r="BB104" i="30"/>
  <c r="T107" i="30"/>
  <c r="CA107" i="30" s="1"/>
  <c r="CB107" i="30" s="1"/>
  <c r="T108" i="39"/>
  <c r="AV108" i="39" s="1"/>
  <c r="AW108" i="39" s="1"/>
  <c r="AX108" i="39" s="1"/>
  <c r="AJ108" i="30"/>
  <c r="M136" i="27"/>
  <c r="AJ110" i="40"/>
  <c r="AI111" i="40"/>
  <c r="F125" i="40" s="1"/>
  <c r="I125" i="40" s="1"/>
  <c r="AV107" i="38"/>
  <c r="AZ107" i="38"/>
  <c r="BA107" i="38" s="1"/>
  <c r="CE107" i="38"/>
  <c r="CB107" i="38"/>
  <c r="AF112" i="40"/>
  <c r="AG111" i="40"/>
  <c r="AH111" i="40" s="1"/>
  <c r="AH109" i="34"/>
  <c r="AJ109" i="34"/>
  <c r="AG110" i="34"/>
  <c r="AI111" i="34" s="1"/>
  <c r="F125" i="34" s="1"/>
  <c r="I125" i="34" s="1"/>
  <c r="AF111" i="34"/>
  <c r="AB110" i="34"/>
  <c r="AO109" i="27"/>
  <c r="AR109" i="27" s="1"/>
  <c r="AN110" i="27"/>
  <c r="AP108" i="27"/>
  <c r="AQ109" i="27"/>
  <c r="G137" i="27" s="1"/>
  <c r="J137" i="27" s="1"/>
  <c r="K109" i="38"/>
  <c r="AT109" i="38" s="1"/>
  <c r="AO110" i="38"/>
  <c r="AR110" i="38" s="1"/>
  <c r="AN111" i="38"/>
  <c r="AP109" i="38"/>
  <c r="AQ110" i="38"/>
  <c r="G138" i="38" s="1"/>
  <c r="J138" i="38" s="1"/>
  <c r="AH109" i="39"/>
  <c r="AI110" i="39"/>
  <c r="F124" i="39" s="1"/>
  <c r="AG110" i="39"/>
  <c r="AJ110" i="39" s="1"/>
  <c r="AF111" i="39"/>
  <c r="I123" i="39"/>
  <c r="L123" i="39"/>
  <c r="X111" i="39"/>
  <c r="Y110" i="39"/>
  <c r="AB110" i="39" s="1"/>
  <c r="Z109" i="39"/>
  <c r="AA110" i="39"/>
  <c r="E110" i="39" s="1"/>
  <c r="CE107" i="39"/>
  <c r="CA107" i="39"/>
  <c r="CB107" i="39" s="1"/>
  <c r="AV107" i="39"/>
  <c r="AW107" i="39" s="1"/>
  <c r="AX107" i="39" s="1"/>
  <c r="I122" i="30"/>
  <c r="L122" i="30"/>
  <c r="H109" i="39"/>
  <c r="K109" i="39"/>
  <c r="AT109" i="39" s="1"/>
  <c r="AG109" i="30"/>
  <c r="AJ109" i="30" s="1"/>
  <c r="AF110" i="30"/>
  <c r="AI109" i="30"/>
  <c r="F123" i="30" s="1"/>
  <c r="I123" i="30" s="1"/>
  <c r="AO111" i="37"/>
  <c r="AQ112" i="37" s="1"/>
  <c r="G140" i="37" s="1"/>
  <c r="J140" i="37" s="1"/>
  <c r="AN112" i="37"/>
  <c r="AP110" i="37"/>
  <c r="AR110" i="37"/>
  <c r="K109" i="37"/>
  <c r="AT109" i="37" s="1"/>
  <c r="CE107" i="37"/>
  <c r="CB107" i="37"/>
  <c r="AV107" i="37"/>
  <c r="AW107" i="37" s="1"/>
  <c r="AX107" i="37" s="1"/>
  <c r="Y111" i="34"/>
  <c r="Z111" i="34" s="1"/>
  <c r="X112" i="34"/>
  <c r="Z110" i="40"/>
  <c r="AB110" i="40"/>
  <c r="Y111" i="40"/>
  <c r="AA112" i="40" s="1"/>
  <c r="E112" i="40" s="1"/>
  <c r="H112" i="40" s="1"/>
  <c r="X112" i="40"/>
  <c r="V142" i="39"/>
  <c r="X114" i="39"/>
  <c r="W132" i="30"/>
  <c r="W133" i="30" s="1"/>
  <c r="V141" i="39"/>
  <c r="AV106" i="30"/>
  <c r="CE106" i="30"/>
  <c r="CA106" i="30"/>
  <c r="CB106" i="30" s="1"/>
  <c r="K108" i="30"/>
  <c r="AT108" i="30" s="1"/>
  <c r="W137" i="39"/>
  <c r="W138" i="39" s="1"/>
  <c r="V134" i="30"/>
  <c r="V139" i="30"/>
  <c r="AB108" i="30"/>
  <c r="Y109" i="30"/>
  <c r="Z109" i="30" s="1"/>
  <c r="X110" i="30"/>
  <c r="AA109" i="30"/>
  <c r="E109" i="30" s="1"/>
  <c r="H109" i="30" s="1"/>
  <c r="V163" i="40"/>
  <c r="BA107" i="40"/>
  <c r="BB107" i="40" s="1"/>
  <c r="BA108" i="40"/>
  <c r="BB108" i="40" s="1"/>
  <c r="AR112" i="40"/>
  <c r="AQ112" i="40"/>
  <c r="CE108" i="40"/>
  <c r="CA108" i="40"/>
  <c r="CB108" i="40" s="1"/>
  <c r="AV108" i="40"/>
  <c r="V160" i="40"/>
  <c r="AW107" i="40"/>
  <c r="AX107" i="40" s="1"/>
  <c r="W138" i="40"/>
  <c r="AW106" i="34"/>
  <c r="AX106" i="34" s="1"/>
  <c r="AR111" i="34"/>
  <c r="AQ111" i="34"/>
  <c r="AA111" i="34"/>
  <c r="E111" i="34" s="1"/>
  <c r="H111" i="34" s="1"/>
  <c r="V162" i="34"/>
  <c r="V163" i="34"/>
  <c r="CA107" i="34"/>
  <c r="CB107" i="34" s="1"/>
  <c r="CE107" i="34"/>
  <c r="AZ107" i="34"/>
  <c r="W140" i="34"/>
  <c r="AV107" i="34"/>
  <c r="AR112" i="39"/>
  <c r="AQ112" i="39"/>
  <c r="AR111" i="30"/>
  <c r="AQ111" i="30"/>
  <c r="Y124" i="37"/>
  <c r="Z124" i="37" s="1"/>
  <c r="X125" i="37"/>
  <c r="AB109" i="38"/>
  <c r="T108" i="37"/>
  <c r="T108" i="38"/>
  <c r="CA108" i="38" s="1"/>
  <c r="Z108" i="27"/>
  <c r="AA109" i="27"/>
  <c r="E109" i="27" s="1"/>
  <c r="H109" i="27" s="1"/>
  <c r="V151" i="38"/>
  <c r="Y110" i="38"/>
  <c r="AB110" i="38" s="1"/>
  <c r="X111" i="38"/>
  <c r="Y124" i="38"/>
  <c r="Z124" i="38" s="1"/>
  <c r="X125" i="38"/>
  <c r="X110" i="27"/>
  <c r="Y109" i="27"/>
  <c r="Z109" i="27" s="1"/>
  <c r="W153" i="27"/>
  <c r="V148" i="27"/>
  <c r="AH109" i="27"/>
  <c r="AJ109" i="27"/>
  <c r="AE130" i="27"/>
  <c r="AE131" i="27" s="1"/>
  <c r="AD134" i="27"/>
  <c r="V153" i="27"/>
  <c r="AD135" i="27"/>
  <c r="Y124" i="27"/>
  <c r="Z124" i="27" s="1"/>
  <c r="X125" i="27"/>
  <c r="AG110" i="27"/>
  <c r="AI111" i="27" s="1"/>
  <c r="F125" i="27" s="1"/>
  <c r="I125" i="27" s="1"/>
  <c r="AF111" i="27"/>
  <c r="AG113" i="38"/>
  <c r="AH113" i="38" s="1"/>
  <c r="AF114" i="38"/>
  <c r="AE148" i="38"/>
  <c r="AE149" i="38" s="1"/>
  <c r="AE150" i="38" s="1"/>
  <c r="AE151" i="38" s="1"/>
  <c r="AE152" i="38" s="1"/>
  <c r="AE153" i="38" s="1"/>
  <c r="AE154" i="38" s="1"/>
  <c r="AA110" i="38"/>
  <c r="E110" i="38" s="1"/>
  <c r="H110" i="38" s="1"/>
  <c r="AS110" i="38" s="1"/>
  <c r="W145" i="38"/>
  <c r="AD139" i="38"/>
  <c r="AD138" i="38"/>
  <c r="V154" i="38"/>
  <c r="Y110" i="37"/>
  <c r="AB110" i="37" s="1"/>
  <c r="X111" i="37"/>
  <c r="AD137" i="37"/>
  <c r="AE149" i="37"/>
  <c r="AE150" i="37" s="1"/>
  <c r="AG110" i="37"/>
  <c r="AJ110" i="37" s="1"/>
  <c r="AF111" i="37"/>
  <c r="AH109" i="37"/>
  <c r="AI110" i="37"/>
  <c r="F124" i="37" s="1"/>
  <c r="I124" i="37" s="1"/>
  <c r="V157" i="37"/>
  <c r="V152" i="37"/>
  <c r="AD136" i="37"/>
  <c r="W157" i="37"/>
  <c r="W158" i="37" s="1"/>
  <c r="Z109" i="37"/>
  <c r="AA110" i="37"/>
  <c r="E110" i="37" s="1"/>
  <c r="AW107" i="38"/>
  <c r="AX107" i="38" s="1"/>
  <c r="AI112" i="38"/>
  <c r="F126" i="38" s="1"/>
  <c r="I126" i="38" s="1"/>
  <c r="AJ112" i="38"/>
  <c r="CA106" i="27"/>
  <c r="CB106" i="27" s="1"/>
  <c r="CE106" i="27"/>
  <c r="AV106" i="27"/>
  <c r="AP108" i="22"/>
  <c r="AO109" i="22"/>
  <c r="V133" i="22"/>
  <c r="V134" i="22"/>
  <c r="AG108" i="22"/>
  <c r="AH107" i="22"/>
  <c r="T108" i="34"/>
  <c r="T107" i="27"/>
  <c r="AV107" i="27" s="1"/>
  <c r="M135" i="27"/>
  <c r="L124" i="40"/>
  <c r="K110" i="40"/>
  <c r="AT110" i="40" s="1"/>
  <c r="AS110" i="40"/>
  <c r="M141" i="39"/>
  <c r="AS108" i="27"/>
  <c r="M143" i="39"/>
  <c r="L122" i="27"/>
  <c r="K108" i="27"/>
  <c r="AT108" i="27" s="1"/>
  <c r="M138" i="40"/>
  <c r="M137" i="34"/>
  <c r="M137" i="30"/>
  <c r="M142" i="39"/>
  <c r="AS109" i="34"/>
  <c r="K109" i="34"/>
  <c r="AT109" i="34" s="1"/>
  <c r="T109" i="40"/>
  <c r="L123" i="40"/>
  <c r="X111" i="22"/>
  <c r="Y110" i="22"/>
  <c r="Z110" i="22" s="1"/>
  <c r="M137" i="38"/>
  <c r="L123" i="38"/>
  <c r="L123" i="37"/>
  <c r="M137" i="37"/>
  <c r="W152" i="22"/>
  <c r="AZ107" i="37" l="1"/>
  <c r="BA107" i="37" s="1"/>
  <c r="BB107" i="37" s="1"/>
  <c r="AW106" i="30"/>
  <c r="AX106" i="30" s="1"/>
  <c r="AZ106" i="30"/>
  <c r="BA106" i="30" s="1"/>
  <c r="AZ107" i="39"/>
  <c r="BA107" i="39" s="1"/>
  <c r="BB107" i="39" s="1"/>
  <c r="BA106" i="39"/>
  <c r="BB106" i="39" s="1"/>
  <c r="AZ108" i="39"/>
  <c r="BA108" i="39" s="1"/>
  <c r="BB108" i="39" s="1"/>
  <c r="AV107" i="30"/>
  <c r="CE107" i="30"/>
  <c r="CA108" i="39"/>
  <c r="CB108" i="39" s="1"/>
  <c r="CE108" i="39"/>
  <c r="AI112" i="40"/>
  <c r="F126" i="40" s="1"/>
  <c r="I126" i="40" s="1"/>
  <c r="T109" i="38"/>
  <c r="CA109" i="38" s="1"/>
  <c r="CB109" i="38" s="1"/>
  <c r="AB111" i="34"/>
  <c r="AJ111" i="40"/>
  <c r="BB107" i="38"/>
  <c r="T109" i="37"/>
  <c r="CE109" i="37" s="1"/>
  <c r="AF112" i="34"/>
  <c r="AG111" i="34"/>
  <c r="AI112" i="34" s="1"/>
  <c r="F126" i="34" s="1"/>
  <c r="I126" i="34" s="1"/>
  <c r="AH110" i="34"/>
  <c r="AJ110" i="34"/>
  <c r="AG112" i="40"/>
  <c r="AI113" i="40" s="1"/>
  <c r="F127" i="40" s="1"/>
  <c r="I127" i="40" s="1"/>
  <c r="AF113" i="40"/>
  <c r="AO111" i="38"/>
  <c r="AR111" i="38" s="1"/>
  <c r="AN112" i="38"/>
  <c r="AP110" i="38"/>
  <c r="AQ111" i="38"/>
  <c r="G139" i="38" s="1"/>
  <c r="J139" i="38" s="1"/>
  <c r="AB109" i="27"/>
  <c r="AO110" i="27"/>
  <c r="AR110" i="27" s="1"/>
  <c r="AN111" i="27"/>
  <c r="AP109" i="27"/>
  <c r="AQ110" i="27"/>
  <c r="G138" i="27" s="1"/>
  <c r="J138" i="27" s="1"/>
  <c r="H110" i="39"/>
  <c r="K110" i="39"/>
  <c r="AT110" i="39" s="1"/>
  <c r="Z110" i="39"/>
  <c r="AA111" i="39"/>
  <c r="E111" i="39" s="1"/>
  <c r="X112" i="39"/>
  <c r="Y111" i="39"/>
  <c r="AB111" i="39" s="1"/>
  <c r="AG110" i="30"/>
  <c r="AJ110" i="30" s="1"/>
  <c r="AF111" i="30"/>
  <c r="AH109" i="30"/>
  <c r="AI110" i="30"/>
  <c r="F124" i="30" s="1"/>
  <c r="I124" i="30" s="1"/>
  <c r="L123" i="30"/>
  <c r="AS109" i="39"/>
  <c r="T109" i="39"/>
  <c r="AG111" i="39"/>
  <c r="AF112" i="39"/>
  <c r="AH110" i="39"/>
  <c r="AI111" i="39"/>
  <c r="F125" i="39" s="1"/>
  <c r="I124" i="39"/>
  <c r="L124" i="39"/>
  <c r="AN113" i="37"/>
  <c r="AO112" i="37"/>
  <c r="AQ113" i="37" s="1"/>
  <c r="G141" i="37" s="1"/>
  <c r="J141" i="37" s="1"/>
  <c r="AP111" i="37"/>
  <c r="AR111" i="37"/>
  <c r="K110" i="38"/>
  <c r="AT110" i="38" s="1"/>
  <c r="K110" i="37"/>
  <c r="AT110" i="37" s="1"/>
  <c r="H110" i="37"/>
  <c r="AS110" i="37" s="1"/>
  <c r="AV108" i="38"/>
  <c r="AW108" i="38" s="1"/>
  <c r="AX108" i="38" s="1"/>
  <c r="Y112" i="40"/>
  <c r="Z112" i="40" s="1"/>
  <c r="X113" i="40"/>
  <c r="Z111" i="40"/>
  <c r="AB111" i="40"/>
  <c r="Y112" i="34"/>
  <c r="Z112" i="34" s="1"/>
  <c r="X113" i="34"/>
  <c r="AZ108" i="38"/>
  <c r="BA108" i="38" s="1"/>
  <c r="BB108" i="38" s="1"/>
  <c r="CE108" i="38"/>
  <c r="CB108" i="38"/>
  <c r="V141" i="30"/>
  <c r="W139" i="39"/>
  <c r="W140" i="39" s="1"/>
  <c r="W141" i="39" s="1"/>
  <c r="W142" i="39" s="1"/>
  <c r="V144" i="39"/>
  <c r="K109" i="30"/>
  <c r="AT109" i="30" s="1"/>
  <c r="V143" i="39"/>
  <c r="W134" i="30"/>
  <c r="AB109" i="30"/>
  <c r="AS108" i="30"/>
  <c r="T108" i="30"/>
  <c r="Y110" i="30"/>
  <c r="Z110" i="30" s="1"/>
  <c r="X111" i="30"/>
  <c r="V136" i="30"/>
  <c r="X115" i="39"/>
  <c r="Y114" i="39"/>
  <c r="Z114" i="39" s="1"/>
  <c r="AA110" i="30"/>
  <c r="E110" i="30" s="1"/>
  <c r="H110" i="30" s="1"/>
  <c r="AV108" i="37"/>
  <c r="AW108" i="37" s="1"/>
  <c r="AX108" i="37" s="1"/>
  <c r="AW108" i="40"/>
  <c r="AX108" i="40" s="1"/>
  <c r="V165" i="40"/>
  <c r="AQ113" i="40"/>
  <c r="AR113" i="40"/>
  <c r="CA109" i="40"/>
  <c r="CB109" i="40" s="1"/>
  <c r="CE109" i="40"/>
  <c r="AV109" i="40"/>
  <c r="AZ109" i="40"/>
  <c r="V162" i="40"/>
  <c r="W139" i="40"/>
  <c r="W141" i="34"/>
  <c r="CA108" i="34"/>
  <c r="CB108" i="34" s="1"/>
  <c r="CE108" i="34"/>
  <c r="AV108" i="34"/>
  <c r="V165" i="34"/>
  <c r="AZ108" i="34"/>
  <c r="AR112" i="34"/>
  <c r="AQ112" i="34"/>
  <c r="AA112" i="34"/>
  <c r="E112" i="34" s="1"/>
  <c r="H112" i="34" s="1"/>
  <c r="V164" i="34"/>
  <c r="AW107" i="34"/>
  <c r="AX107" i="34" s="1"/>
  <c r="BA107" i="34"/>
  <c r="BB107" i="34" s="1"/>
  <c r="AR113" i="39"/>
  <c r="AQ113" i="39"/>
  <c r="AR112" i="30"/>
  <c r="AQ112" i="30"/>
  <c r="CE108" i="37"/>
  <c r="CA108" i="37"/>
  <c r="CB108" i="37" s="1"/>
  <c r="Y125" i="37"/>
  <c r="Z125" i="37" s="1"/>
  <c r="X126" i="37"/>
  <c r="AE155" i="38"/>
  <c r="AD137" i="27"/>
  <c r="AD136" i="27"/>
  <c r="V153" i="38"/>
  <c r="V156" i="38"/>
  <c r="AD141" i="38"/>
  <c r="V150" i="27"/>
  <c r="X111" i="27"/>
  <c r="Y110" i="27"/>
  <c r="AB110" i="27" s="1"/>
  <c r="AG114" i="38"/>
  <c r="AH114" i="38" s="1"/>
  <c r="AF115" i="38"/>
  <c r="X126" i="38"/>
  <c r="Y125" i="38"/>
  <c r="Z125" i="38" s="1"/>
  <c r="AG111" i="27"/>
  <c r="AI112" i="27" s="1"/>
  <c r="F126" i="27" s="1"/>
  <c r="I126" i="27" s="1"/>
  <c r="AF112" i="27"/>
  <c r="V155" i="27"/>
  <c r="AE132" i="27"/>
  <c r="AE133" i="27" s="1"/>
  <c r="AD140" i="38"/>
  <c r="W146" i="38"/>
  <c r="W147" i="38" s="1"/>
  <c r="W148" i="38" s="1"/>
  <c r="W149" i="38" s="1"/>
  <c r="AH110" i="27"/>
  <c r="AJ110" i="27"/>
  <c r="W154" i="27"/>
  <c r="W155" i="27" s="1"/>
  <c r="W156" i="27" s="1"/>
  <c r="W157" i="27" s="1"/>
  <c r="Y111" i="38"/>
  <c r="AB111" i="38" s="1"/>
  <c r="X112" i="38"/>
  <c r="Y125" i="27"/>
  <c r="Z125" i="27" s="1"/>
  <c r="X126" i="27"/>
  <c r="Z110" i="38"/>
  <c r="AA111" i="38"/>
  <c r="E111" i="38" s="1"/>
  <c r="AA110" i="27"/>
  <c r="E110" i="27" s="1"/>
  <c r="W159" i="37"/>
  <c r="W160" i="37" s="1"/>
  <c r="AD139" i="37"/>
  <c r="V154" i="37"/>
  <c r="AD138" i="37"/>
  <c r="V159" i="37"/>
  <c r="AG111" i="37"/>
  <c r="AJ111" i="37" s="1"/>
  <c r="AF112" i="37"/>
  <c r="AH110" i="37"/>
  <c r="AI111" i="37"/>
  <c r="F125" i="37" s="1"/>
  <c r="I125" i="37" s="1"/>
  <c r="Y111" i="37"/>
  <c r="Z111" i="37" s="1"/>
  <c r="X112" i="37"/>
  <c r="AE151" i="37"/>
  <c r="AE152" i="37" s="1"/>
  <c r="Z110" i="37"/>
  <c r="AA111" i="37"/>
  <c r="E111" i="37" s="1"/>
  <c r="H111" i="37" s="1"/>
  <c r="AI113" i="38"/>
  <c r="F127" i="38" s="1"/>
  <c r="I127" i="38" s="1"/>
  <c r="AJ113" i="38"/>
  <c r="AW107" i="27"/>
  <c r="AX107" i="27" s="1"/>
  <c r="AW106" i="27"/>
  <c r="AX106" i="27" s="1"/>
  <c r="CA107" i="27"/>
  <c r="CB107" i="27" s="1"/>
  <c r="CE107" i="27"/>
  <c r="AZ107" i="27"/>
  <c r="AP109" i="22"/>
  <c r="AO110" i="22"/>
  <c r="V136" i="22"/>
  <c r="V135" i="22"/>
  <c r="AG109" i="22"/>
  <c r="AH108" i="22"/>
  <c r="T110" i="40"/>
  <c r="M139" i="34"/>
  <c r="T108" i="27"/>
  <c r="AZ108" i="27" s="1"/>
  <c r="M139" i="40"/>
  <c r="M138" i="34"/>
  <c r="M139" i="30"/>
  <c r="K109" i="27"/>
  <c r="AT109" i="27" s="1"/>
  <c r="AS109" i="27"/>
  <c r="L123" i="34"/>
  <c r="T109" i="34"/>
  <c r="AZ109" i="34" s="1"/>
  <c r="K111" i="40"/>
  <c r="AT111" i="40" s="1"/>
  <c r="AS111" i="40"/>
  <c r="AS110" i="34"/>
  <c r="K110" i="34"/>
  <c r="AT110" i="34" s="1"/>
  <c r="X112" i="22"/>
  <c r="Y111" i="22"/>
  <c r="Z111" i="22" s="1"/>
  <c r="M138" i="38"/>
  <c r="L124" i="38"/>
  <c r="M138" i="37"/>
  <c r="L124" i="37"/>
  <c r="W153" i="22"/>
  <c r="AW107" i="30" l="1"/>
  <c r="AX107" i="30" s="1"/>
  <c r="AZ107" i="30"/>
  <c r="BA107" i="30" s="1"/>
  <c r="BB106" i="30"/>
  <c r="AZ108" i="37"/>
  <c r="BA108" i="37" s="1"/>
  <c r="BB108" i="37" s="1"/>
  <c r="AB110" i="30"/>
  <c r="CA109" i="37"/>
  <c r="CB109" i="37" s="1"/>
  <c r="AV109" i="37"/>
  <c r="AZ109" i="37" s="1"/>
  <c r="BA109" i="37" s="1"/>
  <c r="BB109" i="37" s="1"/>
  <c r="AB112" i="34"/>
  <c r="AV109" i="38"/>
  <c r="CE109" i="38"/>
  <c r="AZ109" i="38"/>
  <c r="BA109" i="38" s="1"/>
  <c r="BB109" i="38" s="1"/>
  <c r="AA113" i="40"/>
  <c r="E113" i="40" s="1"/>
  <c r="H113" i="40" s="1"/>
  <c r="AG113" i="40"/>
  <c r="AH113" i="40" s="1"/>
  <c r="AF114" i="40"/>
  <c r="AH112" i="40"/>
  <c r="AJ112" i="40"/>
  <c r="AB112" i="40"/>
  <c r="AH111" i="34"/>
  <c r="AJ111" i="34"/>
  <c r="AG112" i="34"/>
  <c r="AI113" i="34" s="1"/>
  <c r="F127" i="34" s="1"/>
  <c r="I127" i="34" s="1"/>
  <c r="AF113" i="34"/>
  <c r="AO111" i="27"/>
  <c r="AR111" i="27" s="1"/>
  <c r="AN112" i="27"/>
  <c r="AP110" i="27"/>
  <c r="AQ111" i="27"/>
  <c r="G139" i="27" s="1"/>
  <c r="J139" i="27" s="1"/>
  <c r="T110" i="38"/>
  <c r="AZ110" i="38" s="1"/>
  <c r="BA110" i="38" s="1"/>
  <c r="BB110" i="38" s="1"/>
  <c r="AN113" i="38"/>
  <c r="AO112" i="38"/>
  <c r="AR112" i="38" s="1"/>
  <c r="AP111" i="38"/>
  <c r="AQ112" i="38"/>
  <c r="G140" i="38" s="1"/>
  <c r="J140" i="38" s="1"/>
  <c r="AH111" i="39"/>
  <c r="AI112" i="39"/>
  <c r="F126" i="39" s="1"/>
  <c r="CA109" i="39"/>
  <c r="CB109" i="39" s="1"/>
  <c r="AZ109" i="39"/>
  <c r="BA109" i="39" s="1"/>
  <c r="BB109" i="39" s="1"/>
  <c r="CE109" i="39"/>
  <c r="AV109" i="39"/>
  <c r="AW109" i="39" s="1"/>
  <c r="AX109" i="39" s="1"/>
  <c r="AA111" i="30"/>
  <c r="E111" i="30" s="1"/>
  <c r="AG111" i="30"/>
  <c r="AJ111" i="30" s="1"/>
  <c r="AF112" i="30"/>
  <c r="AH110" i="30"/>
  <c r="AI111" i="30"/>
  <c r="F125" i="30" s="1"/>
  <c r="I125" i="30" s="1"/>
  <c r="Z111" i="39"/>
  <c r="AA112" i="39"/>
  <c r="E112" i="39" s="1"/>
  <c r="I125" i="39"/>
  <c r="L125" i="39"/>
  <c r="H111" i="39"/>
  <c r="K111" i="39"/>
  <c r="AT111" i="39" s="1"/>
  <c r="L124" i="30"/>
  <c r="Y112" i="39"/>
  <c r="Z112" i="39" s="1"/>
  <c r="X113" i="39"/>
  <c r="AJ111" i="39"/>
  <c r="AG112" i="39"/>
  <c r="AJ112" i="39" s="1"/>
  <c r="AF113" i="39"/>
  <c r="AS110" i="39"/>
  <c r="T110" i="39"/>
  <c r="AP112" i="37"/>
  <c r="AR112" i="37"/>
  <c r="AO113" i="37"/>
  <c r="AQ114" i="37" s="1"/>
  <c r="G142" i="37" s="1"/>
  <c r="J142" i="37" s="1"/>
  <c r="AN114" i="37"/>
  <c r="H110" i="27"/>
  <c r="AS110" i="27" s="1"/>
  <c r="K111" i="38"/>
  <c r="AT111" i="38" s="1"/>
  <c r="H111" i="38"/>
  <c r="AS111" i="38" s="1"/>
  <c r="Y113" i="34"/>
  <c r="Z113" i="34" s="1"/>
  <c r="X114" i="34"/>
  <c r="Y113" i="40"/>
  <c r="AA114" i="40" s="1"/>
  <c r="E114" i="40" s="1"/>
  <c r="H114" i="40" s="1"/>
  <c r="X114" i="40"/>
  <c r="W135" i="30"/>
  <c r="V145" i="39"/>
  <c r="V138" i="30"/>
  <c r="W143" i="39"/>
  <c r="V143" i="30"/>
  <c r="Y115" i="39"/>
  <c r="Z115" i="39" s="1"/>
  <c r="X116" i="39"/>
  <c r="Y111" i="30"/>
  <c r="Z111" i="30" s="1"/>
  <c r="X112" i="30"/>
  <c r="CA108" i="30"/>
  <c r="CB108" i="30" s="1"/>
  <c r="CE108" i="30"/>
  <c r="AV108" i="30"/>
  <c r="AW108" i="30" s="1"/>
  <c r="AX108" i="30" s="1"/>
  <c r="AZ108" i="30"/>
  <c r="BA108" i="30" s="1"/>
  <c r="BB108" i="30" s="1"/>
  <c r="K110" i="30"/>
  <c r="AT110" i="30" s="1"/>
  <c r="AS109" i="30"/>
  <c r="T109" i="30"/>
  <c r="V146" i="39"/>
  <c r="BA109" i="40"/>
  <c r="BB109" i="40" s="1"/>
  <c r="V167" i="40"/>
  <c r="AR114" i="40"/>
  <c r="AQ114" i="40"/>
  <c r="CA110" i="40"/>
  <c r="CB110" i="40" s="1"/>
  <c r="CE110" i="40"/>
  <c r="AV110" i="40"/>
  <c r="AZ110" i="40"/>
  <c r="W140" i="40"/>
  <c r="V164" i="40"/>
  <c r="AW109" i="40"/>
  <c r="AX109" i="40" s="1"/>
  <c r="V167" i="34"/>
  <c r="BA109" i="34"/>
  <c r="BB109" i="34" s="1"/>
  <c r="AQ113" i="34"/>
  <c r="AA113" i="34"/>
  <c r="E113" i="34" s="1"/>
  <c r="H113" i="34" s="1"/>
  <c r="AR113" i="34"/>
  <c r="BA108" i="34"/>
  <c r="BB108" i="34" s="1"/>
  <c r="AW108" i="34"/>
  <c r="AX108" i="34" s="1"/>
  <c r="V166" i="34"/>
  <c r="CA109" i="34"/>
  <c r="CB109" i="34" s="1"/>
  <c r="CE109" i="34"/>
  <c r="AV109" i="34"/>
  <c r="W142" i="34"/>
  <c r="AQ114" i="39"/>
  <c r="AR114" i="39"/>
  <c r="AB114" i="39"/>
  <c r="AQ113" i="30"/>
  <c r="AR113" i="30"/>
  <c r="Y126" i="37"/>
  <c r="Z126" i="37" s="1"/>
  <c r="X127" i="37"/>
  <c r="T110" i="37"/>
  <c r="AB111" i="37"/>
  <c r="X113" i="38"/>
  <c r="Y112" i="38"/>
  <c r="Z112" i="38" s="1"/>
  <c r="AD142" i="38"/>
  <c r="AG115" i="38"/>
  <c r="AH115" i="38" s="1"/>
  <c r="AJ115" i="38"/>
  <c r="AF116" i="38"/>
  <c r="Z111" i="38"/>
  <c r="AA112" i="38"/>
  <c r="E112" i="38" s="1"/>
  <c r="H112" i="38" s="1"/>
  <c r="AS112" i="38" s="1"/>
  <c r="AD143" i="38"/>
  <c r="V155" i="38"/>
  <c r="AD139" i="27"/>
  <c r="W158" i="27"/>
  <c r="AF113" i="27"/>
  <c r="AG112" i="27"/>
  <c r="AH112" i="27" s="1"/>
  <c r="Z110" i="27"/>
  <c r="AA111" i="27"/>
  <c r="E111" i="27" s="1"/>
  <c r="H111" i="27" s="1"/>
  <c r="AS111" i="27" s="1"/>
  <c r="AH111" i="27"/>
  <c r="AJ111" i="27"/>
  <c r="Y111" i="27"/>
  <c r="AB111" i="27" s="1"/>
  <c r="X112" i="27"/>
  <c r="AE134" i="27"/>
  <c r="Y126" i="27"/>
  <c r="Z126" i="27" s="1"/>
  <c r="X127" i="27"/>
  <c r="Y126" i="38"/>
  <c r="Z126" i="38" s="1"/>
  <c r="X127" i="38"/>
  <c r="V152" i="27"/>
  <c r="V158" i="38"/>
  <c r="AD138" i="27"/>
  <c r="AE156" i="38"/>
  <c r="AE157" i="38" s="1"/>
  <c r="AE158" i="38" s="1"/>
  <c r="W150" i="38"/>
  <c r="W151" i="38" s="1"/>
  <c r="V157" i="27"/>
  <c r="AI115" i="38"/>
  <c r="F129" i="38" s="1"/>
  <c r="I129" i="38" s="1"/>
  <c r="AE153" i="37"/>
  <c r="AE154" i="37" s="1"/>
  <c r="AG112" i="37"/>
  <c r="AH112" i="37" s="1"/>
  <c r="AF113" i="37"/>
  <c r="AH111" i="37"/>
  <c r="AI112" i="37"/>
  <c r="F126" i="37" s="1"/>
  <c r="I126" i="37" s="1"/>
  <c r="AD141" i="37"/>
  <c r="X113" i="37"/>
  <c r="Y112" i="37"/>
  <c r="Z112" i="37" s="1"/>
  <c r="V161" i="37"/>
  <c r="V156" i="37"/>
  <c r="W161" i="37"/>
  <c r="W162" i="37" s="1"/>
  <c r="AD140" i="37"/>
  <c r="AA112" i="37"/>
  <c r="E112" i="37" s="1"/>
  <c r="AB114" i="38"/>
  <c r="AJ114" i="38"/>
  <c r="AI114" i="38"/>
  <c r="F128" i="38" s="1"/>
  <c r="I128" i="38" s="1"/>
  <c r="AW109" i="38"/>
  <c r="AX109" i="38" s="1"/>
  <c r="BA108" i="27"/>
  <c r="BB108" i="27" s="1"/>
  <c r="CA108" i="27"/>
  <c r="CB108" i="27" s="1"/>
  <c r="CE108" i="27"/>
  <c r="AV108" i="27"/>
  <c r="BA107" i="27"/>
  <c r="BB107" i="27" s="1"/>
  <c r="AB114" i="37"/>
  <c r="M144" i="39"/>
  <c r="AP110" i="22"/>
  <c r="AO111" i="22"/>
  <c r="V137" i="22"/>
  <c r="V138" i="22"/>
  <c r="AG110" i="22"/>
  <c r="AH109" i="22"/>
  <c r="AS111" i="34"/>
  <c r="L125" i="34"/>
  <c r="K111" i="34"/>
  <c r="AT111" i="34" s="1"/>
  <c r="K110" i="27"/>
  <c r="AT110" i="27" s="1"/>
  <c r="M140" i="40"/>
  <c r="K112" i="40"/>
  <c r="AT112" i="40" s="1"/>
  <c r="AS112" i="40"/>
  <c r="T111" i="40"/>
  <c r="AZ111" i="40" s="1"/>
  <c r="M137" i="27"/>
  <c r="L124" i="34"/>
  <c r="L125" i="40"/>
  <c r="L123" i="27"/>
  <c r="T110" i="34"/>
  <c r="T109" i="27"/>
  <c r="X113" i="22"/>
  <c r="Y112" i="22"/>
  <c r="Z112" i="22" s="1"/>
  <c r="L125" i="38"/>
  <c r="M139" i="38"/>
  <c r="K111" i="37"/>
  <c r="AT111" i="37" s="1"/>
  <c r="AS111" i="37"/>
  <c r="W154" i="22"/>
  <c r="AW109" i="37" l="1"/>
  <c r="AX109" i="37" s="1"/>
  <c r="BB107" i="30"/>
  <c r="AI113" i="37"/>
  <c r="F127" i="37" s="1"/>
  <c r="I127" i="37" s="1"/>
  <c r="AI116" i="38"/>
  <c r="F130" i="38" s="1"/>
  <c r="I130" i="38" s="1"/>
  <c r="AB113" i="34"/>
  <c r="AB112" i="39"/>
  <c r="T111" i="38"/>
  <c r="CB111" i="38" s="1"/>
  <c r="AB112" i="38"/>
  <c r="AV110" i="38"/>
  <c r="CE110" i="38"/>
  <c r="CA110" i="38"/>
  <c r="CB110" i="38" s="1"/>
  <c r="AG113" i="34"/>
  <c r="AH113" i="34" s="1"/>
  <c r="AF114" i="34"/>
  <c r="AH112" i="34"/>
  <c r="AJ112" i="34"/>
  <c r="AJ113" i="40"/>
  <c r="AI114" i="40"/>
  <c r="F128" i="40" s="1"/>
  <c r="I128" i="40" s="1"/>
  <c r="AG114" i="40"/>
  <c r="AI115" i="40" s="1"/>
  <c r="F129" i="40" s="1"/>
  <c r="I129" i="40" s="1"/>
  <c r="AF115" i="40"/>
  <c r="AP112" i="38"/>
  <c r="AQ113" i="38"/>
  <c r="G141" i="38" s="1"/>
  <c r="J141" i="38" s="1"/>
  <c r="AN114" i="38"/>
  <c r="AO113" i="38"/>
  <c r="AR113" i="38" s="1"/>
  <c r="AI113" i="27"/>
  <c r="F127" i="27" s="1"/>
  <c r="I127" i="27" s="1"/>
  <c r="AO112" i="27"/>
  <c r="AR112" i="27" s="1"/>
  <c r="AN113" i="27"/>
  <c r="AA113" i="38"/>
  <c r="E113" i="38" s="1"/>
  <c r="H113" i="38" s="1"/>
  <c r="AS113" i="38" s="1"/>
  <c r="AP111" i="27"/>
  <c r="AQ112" i="27"/>
  <c r="G140" i="27" s="1"/>
  <c r="J140" i="27" s="1"/>
  <c r="AG113" i="39"/>
  <c r="AH113" i="39" s="1"/>
  <c r="AF114" i="39"/>
  <c r="AG112" i="30"/>
  <c r="AJ112" i="30" s="1"/>
  <c r="AF113" i="30"/>
  <c r="AB111" i="30"/>
  <c r="AA112" i="30"/>
  <c r="E112" i="30" s="1"/>
  <c r="H112" i="30" s="1"/>
  <c r="AH112" i="39"/>
  <c r="AI113" i="39"/>
  <c r="F127" i="39" s="1"/>
  <c r="AH111" i="30"/>
  <c r="AI112" i="30"/>
  <c r="F126" i="30" s="1"/>
  <c r="I126" i="30" s="1"/>
  <c r="H111" i="30"/>
  <c r="K111" i="30"/>
  <c r="AT111" i="30" s="1"/>
  <c r="H112" i="39"/>
  <c r="K112" i="39"/>
  <c r="AT112" i="39" s="1"/>
  <c r="I126" i="39"/>
  <c r="L126" i="39"/>
  <c r="AV110" i="39"/>
  <c r="AW110" i="39" s="1"/>
  <c r="AX110" i="39" s="1"/>
  <c r="CA110" i="39"/>
  <c r="CB110" i="39" s="1"/>
  <c r="CE110" i="39"/>
  <c r="L125" i="30"/>
  <c r="AS111" i="39"/>
  <c r="T111" i="39"/>
  <c r="Y113" i="39"/>
  <c r="AB113" i="39" s="1"/>
  <c r="AA113" i="39"/>
  <c r="E113" i="39" s="1"/>
  <c r="AO114" i="37"/>
  <c r="AQ115" i="37" s="1"/>
  <c r="G143" i="37" s="1"/>
  <c r="AN115" i="37"/>
  <c r="AP113" i="37"/>
  <c r="AR113" i="37"/>
  <c r="K112" i="37"/>
  <c r="AT112" i="37" s="1"/>
  <c r="H112" i="37"/>
  <c r="AS112" i="37" s="1"/>
  <c r="K112" i="38"/>
  <c r="AT112" i="38" s="1"/>
  <c r="AV110" i="37"/>
  <c r="AW110" i="37" s="1"/>
  <c r="AX110" i="37" s="1"/>
  <c r="Y114" i="40"/>
  <c r="AA115" i="40" s="1"/>
  <c r="E115" i="40" s="1"/>
  <c r="H115" i="40" s="1"/>
  <c r="X115" i="40"/>
  <c r="Z113" i="40"/>
  <c r="AB113" i="40"/>
  <c r="Y114" i="34"/>
  <c r="Z114" i="34" s="1"/>
  <c r="X115" i="34"/>
  <c r="CE109" i="30"/>
  <c r="AZ109" i="30"/>
  <c r="BA109" i="30" s="1"/>
  <c r="BB109" i="30" s="1"/>
  <c r="CA109" i="30"/>
  <c r="CB109" i="30" s="1"/>
  <c r="V148" i="39"/>
  <c r="Y112" i="30"/>
  <c r="AB112" i="30" s="1"/>
  <c r="X113" i="30"/>
  <c r="AV109" i="30"/>
  <c r="AW109" i="30" s="1"/>
  <c r="AX109" i="30" s="1"/>
  <c r="V147" i="39"/>
  <c r="V145" i="30"/>
  <c r="AS110" i="30"/>
  <c r="T110" i="30"/>
  <c r="AV110" i="30" s="1"/>
  <c r="AW110" i="30" s="1"/>
  <c r="AX110" i="30" s="1"/>
  <c r="Y116" i="39"/>
  <c r="Z116" i="39" s="1"/>
  <c r="X117" i="39"/>
  <c r="W144" i="39"/>
  <c r="W145" i="39" s="1"/>
  <c r="V140" i="30"/>
  <c r="AA116" i="39"/>
  <c r="E116" i="39" s="1"/>
  <c r="H116" i="39" s="1"/>
  <c r="W136" i="30"/>
  <c r="W137" i="30" s="1"/>
  <c r="AB115" i="39"/>
  <c r="CE110" i="37"/>
  <c r="CA110" i="37"/>
  <c r="CB110" i="37" s="1"/>
  <c r="BA111" i="40"/>
  <c r="BB111" i="40" s="1"/>
  <c r="BA110" i="40"/>
  <c r="BB110" i="40" s="1"/>
  <c r="V169" i="40"/>
  <c r="CA111" i="40"/>
  <c r="CB111" i="40" s="1"/>
  <c r="CE111" i="40"/>
  <c r="AV111" i="40"/>
  <c r="V166" i="40"/>
  <c r="AW110" i="40"/>
  <c r="AX110" i="40" s="1"/>
  <c r="W141" i="40"/>
  <c r="V168" i="34"/>
  <c r="W143" i="34"/>
  <c r="AA114" i="34"/>
  <c r="E114" i="34" s="1"/>
  <c r="H114" i="34" s="1"/>
  <c r="AR114" i="34"/>
  <c r="AQ114" i="34"/>
  <c r="CA110" i="34"/>
  <c r="CB110" i="34" s="1"/>
  <c r="CE110" i="34"/>
  <c r="AV110" i="34"/>
  <c r="AW109" i="34"/>
  <c r="AX109" i="34" s="1"/>
  <c r="V169" i="34"/>
  <c r="AZ110" i="34"/>
  <c r="AQ114" i="30"/>
  <c r="AR114" i="30"/>
  <c r="Y127" i="37"/>
  <c r="Z127" i="37" s="1"/>
  <c r="X128" i="37"/>
  <c r="AB112" i="37"/>
  <c r="AA113" i="37"/>
  <c r="E113" i="37" s="1"/>
  <c r="H113" i="37" s="1"/>
  <c r="AE135" i="27"/>
  <c r="V157" i="38"/>
  <c r="W152" i="38"/>
  <c r="W153" i="38" s="1"/>
  <c r="V160" i="38"/>
  <c r="AG113" i="27"/>
  <c r="AI114" i="27" s="1"/>
  <c r="F128" i="27" s="1"/>
  <c r="I128" i="27" s="1"/>
  <c r="AF114" i="27"/>
  <c r="AG116" i="38"/>
  <c r="AH116" i="38" s="1"/>
  <c r="AF117" i="38"/>
  <c r="AI117" i="38"/>
  <c r="F131" i="38" s="1"/>
  <c r="I131" i="38" s="1"/>
  <c r="AJ116" i="38"/>
  <c r="X128" i="38"/>
  <c r="Y127" i="38"/>
  <c r="Z127" i="38" s="1"/>
  <c r="Y112" i="27"/>
  <c r="AB112" i="27" s="1"/>
  <c r="X113" i="27"/>
  <c r="W159" i="27"/>
  <c r="V154" i="27"/>
  <c r="AE159" i="38"/>
  <c r="Z111" i="27"/>
  <c r="AA112" i="27"/>
  <c r="E112" i="27" s="1"/>
  <c r="H112" i="27" s="1"/>
  <c r="L129" i="38"/>
  <c r="Y127" i="27"/>
  <c r="Z127" i="27" s="1"/>
  <c r="X128" i="27"/>
  <c r="AD141" i="27"/>
  <c r="AD145" i="38"/>
  <c r="Y113" i="38"/>
  <c r="AA115" i="38" s="1"/>
  <c r="E115" i="38" s="1"/>
  <c r="H115" i="38" s="1"/>
  <c r="V159" i="27"/>
  <c r="AD140" i="27"/>
  <c r="AD144" i="38"/>
  <c r="AJ112" i="27"/>
  <c r="AD142" i="37"/>
  <c r="V158" i="37"/>
  <c r="AJ112" i="37"/>
  <c r="W163" i="37"/>
  <c r="W164" i="37" s="1"/>
  <c r="Y113" i="37"/>
  <c r="AA118" i="37" s="1"/>
  <c r="E118" i="37" s="1"/>
  <c r="H118" i="37" s="1"/>
  <c r="AA117" i="37"/>
  <c r="E117" i="37" s="1"/>
  <c r="AA119" i="37"/>
  <c r="E119" i="37" s="1"/>
  <c r="H119" i="37" s="1"/>
  <c r="AA124" i="37"/>
  <c r="E124" i="37" s="1"/>
  <c r="H124" i="37" s="1"/>
  <c r="AB118" i="37"/>
  <c r="AB124" i="37"/>
  <c r="AG113" i="37"/>
  <c r="AJ113" i="37" s="1"/>
  <c r="AF114" i="37"/>
  <c r="AD143" i="37"/>
  <c r="V163" i="37"/>
  <c r="AE155" i="37"/>
  <c r="AE156" i="37" s="1"/>
  <c r="AZ111" i="38"/>
  <c r="AW110" i="38"/>
  <c r="AX110" i="38" s="1"/>
  <c r="CA109" i="27"/>
  <c r="CB109" i="27" s="1"/>
  <c r="CE109" i="27"/>
  <c r="AV109" i="27"/>
  <c r="AB114" i="27"/>
  <c r="AZ109" i="27"/>
  <c r="AW108" i="27"/>
  <c r="AX108" i="27" s="1"/>
  <c r="AP111" i="22"/>
  <c r="AO112" i="22"/>
  <c r="X114" i="22"/>
  <c r="Y114" i="22" s="1"/>
  <c r="Z114" i="22" s="1"/>
  <c r="V140" i="22"/>
  <c r="V139" i="22"/>
  <c r="AG111" i="22"/>
  <c r="AH110" i="22"/>
  <c r="T111" i="34"/>
  <c r="AZ111" i="34" s="1"/>
  <c r="M143" i="40"/>
  <c r="M140" i="30"/>
  <c r="M138" i="27"/>
  <c r="L124" i="27"/>
  <c r="T110" i="27"/>
  <c r="AZ110" i="27" s="1"/>
  <c r="K111" i="27"/>
  <c r="AT111" i="27" s="1"/>
  <c r="M141" i="40"/>
  <c r="M140" i="34"/>
  <c r="M141" i="30"/>
  <c r="K113" i="40"/>
  <c r="AT113" i="40" s="1"/>
  <c r="AS113" i="40"/>
  <c r="L126" i="40"/>
  <c r="T112" i="40"/>
  <c r="K112" i="34"/>
  <c r="AT112" i="34" s="1"/>
  <c r="AS112" i="34"/>
  <c r="Y113" i="22"/>
  <c r="L126" i="38"/>
  <c r="M140" i="38"/>
  <c r="M139" i="37"/>
  <c r="L125" i="37"/>
  <c r="T111" i="37"/>
  <c r="M140" i="37"/>
  <c r="L126" i="37"/>
  <c r="W155" i="22"/>
  <c r="CA111" i="38" l="1"/>
  <c r="AB116" i="37"/>
  <c r="AA127" i="37"/>
  <c r="E127" i="37" s="1"/>
  <c r="H127" i="37" s="1"/>
  <c r="AA123" i="37"/>
  <c r="E123" i="37" s="1"/>
  <c r="H123" i="37" s="1"/>
  <c r="AB123" i="37"/>
  <c r="AB115" i="37"/>
  <c r="AZ110" i="39"/>
  <c r="BA110" i="39" s="1"/>
  <c r="BB110" i="39" s="1"/>
  <c r="AZ110" i="37"/>
  <c r="BA110" i="37" s="1"/>
  <c r="BB110" i="37" s="1"/>
  <c r="AV111" i="38"/>
  <c r="CE111" i="38"/>
  <c r="AB114" i="34"/>
  <c r="AA115" i="34"/>
  <c r="E115" i="34" s="1"/>
  <c r="H115" i="34" s="1"/>
  <c r="AJ113" i="39"/>
  <c r="L130" i="38"/>
  <c r="AI114" i="34"/>
  <c r="F128" i="34" s="1"/>
  <c r="I128" i="34" s="1"/>
  <c r="AB125" i="37"/>
  <c r="AB120" i="37"/>
  <c r="AA115" i="37"/>
  <c r="E115" i="37" s="1"/>
  <c r="H115" i="37" s="1"/>
  <c r="K113" i="38"/>
  <c r="AT113" i="38" s="1"/>
  <c r="AB126" i="38"/>
  <c r="AB119" i="38"/>
  <c r="AB121" i="38"/>
  <c r="AB125" i="38"/>
  <c r="AB120" i="38"/>
  <c r="AB117" i="38"/>
  <c r="AB127" i="38"/>
  <c r="AB122" i="38"/>
  <c r="AB124" i="38"/>
  <c r="AA127" i="38"/>
  <c r="E127" i="38" s="1"/>
  <c r="H127" i="38" s="1"/>
  <c r="AA117" i="38"/>
  <c r="E117" i="38" s="1"/>
  <c r="H117" i="38" s="1"/>
  <c r="AA128" i="37"/>
  <c r="E128" i="37" s="1"/>
  <c r="AI114" i="39"/>
  <c r="F128" i="39" s="1"/>
  <c r="L128" i="39" s="1"/>
  <c r="AJ113" i="34"/>
  <c r="K112" i="30"/>
  <c r="AT112" i="30" s="1"/>
  <c r="AB113" i="37"/>
  <c r="AS112" i="30"/>
  <c r="T112" i="38"/>
  <c r="AV112" i="38" s="1"/>
  <c r="J143" i="37"/>
  <c r="M143" i="37"/>
  <c r="AG115" i="40"/>
  <c r="AH115" i="40" s="1"/>
  <c r="AF116" i="40"/>
  <c r="AH114" i="40"/>
  <c r="AJ114" i="40"/>
  <c r="AG114" i="34"/>
  <c r="AI115" i="34" s="1"/>
  <c r="F129" i="34" s="1"/>
  <c r="I129" i="34" s="1"/>
  <c r="AF115" i="34"/>
  <c r="AA122" i="38"/>
  <c r="E122" i="38" s="1"/>
  <c r="H122" i="38" s="1"/>
  <c r="AA126" i="38"/>
  <c r="E126" i="38" s="1"/>
  <c r="H126" i="38" s="1"/>
  <c r="AB115" i="38"/>
  <c r="AB118" i="38"/>
  <c r="AO113" i="27"/>
  <c r="AR113" i="27" s="1"/>
  <c r="AN114" i="27"/>
  <c r="AA116" i="38"/>
  <c r="E116" i="38" s="1"/>
  <c r="H116" i="38" s="1"/>
  <c r="AP112" i="27"/>
  <c r="AQ113" i="27"/>
  <c r="G141" i="27" s="1"/>
  <c r="J141" i="27" s="1"/>
  <c r="AA118" i="38"/>
  <c r="E118" i="38" s="1"/>
  <c r="H118" i="38" s="1"/>
  <c r="AB113" i="38"/>
  <c r="AA120" i="38"/>
  <c r="E120" i="38" s="1"/>
  <c r="AA128" i="38"/>
  <c r="E128" i="38" s="1"/>
  <c r="H128" i="38" s="1"/>
  <c r="AP113" i="38"/>
  <c r="AQ114" i="38"/>
  <c r="G142" i="38" s="1"/>
  <c r="J142" i="38" s="1"/>
  <c r="AB123" i="38"/>
  <c r="AA119" i="38"/>
  <c r="E119" i="38" s="1"/>
  <c r="H119" i="38" s="1"/>
  <c r="AO114" i="38"/>
  <c r="AP114" i="38" s="1"/>
  <c r="AN115" i="38"/>
  <c r="AA123" i="38"/>
  <c r="E123" i="38" s="1"/>
  <c r="H123" i="38" s="1"/>
  <c r="AB116" i="38"/>
  <c r="Z113" i="39"/>
  <c r="AA115" i="39"/>
  <c r="E115" i="39" s="1"/>
  <c r="CE111" i="39"/>
  <c r="CA111" i="39"/>
  <c r="CB111" i="39" s="1"/>
  <c r="I127" i="39"/>
  <c r="L127" i="39"/>
  <c r="H113" i="39"/>
  <c r="K113" i="39"/>
  <c r="AT113" i="39" s="1"/>
  <c r="AF114" i="30"/>
  <c r="AG113" i="30"/>
  <c r="AJ113" i="30" s="1"/>
  <c r="AS111" i="30"/>
  <c r="T111" i="30"/>
  <c r="AV111" i="30" s="1"/>
  <c r="AW111" i="30" s="1"/>
  <c r="AX111" i="30" s="1"/>
  <c r="AH112" i="30"/>
  <c r="AI113" i="30"/>
  <c r="F127" i="30" s="1"/>
  <c r="AF115" i="39"/>
  <c r="AG114" i="39"/>
  <c r="AH114" i="39" s="1"/>
  <c r="AA117" i="39"/>
  <c r="E117" i="39" s="1"/>
  <c r="K117" i="39" s="1"/>
  <c r="AT117" i="39" s="1"/>
  <c r="L126" i="30"/>
  <c r="AA114" i="39"/>
  <c r="E114" i="39" s="1"/>
  <c r="AZ111" i="30"/>
  <c r="BA111" i="30" s="1"/>
  <c r="BB111" i="30" s="1"/>
  <c r="AS112" i="39"/>
  <c r="T112" i="39"/>
  <c r="AV111" i="39"/>
  <c r="AW111" i="39" s="1"/>
  <c r="AX111" i="39" s="1"/>
  <c r="AB119" i="37"/>
  <c r="AN116" i="37"/>
  <c r="AO115" i="37"/>
  <c r="AP115" i="37" s="1"/>
  <c r="AB117" i="37"/>
  <c r="AP114" i="37"/>
  <c r="AR114" i="37"/>
  <c r="K117" i="37"/>
  <c r="AT117" i="37" s="1"/>
  <c r="H117" i="37"/>
  <c r="AS117" i="37" s="1"/>
  <c r="T112" i="37"/>
  <c r="CE112" i="37" s="1"/>
  <c r="X116" i="34"/>
  <c r="Y115" i="34"/>
  <c r="Z115" i="34" s="1"/>
  <c r="Y115" i="40"/>
  <c r="Z115" i="40" s="1"/>
  <c r="X116" i="40"/>
  <c r="AA116" i="40"/>
  <c r="E116" i="40" s="1"/>
  <c r="Z114" i="40"/>
  <c r="AB114" i="40"/>
  <c r="V142" i="30"/>
  <c r="X118" i="39"/>
  <c r="Y117" i="39"/>
  <c r="Z117" i="39" s="1"/>
  <c r="V150" i="39"/>
  <c r="K116" i="39"/>
  <c r="AT116" i="39" s="1"/>
  <c r="CA110" i="30"/>
  <c r="CB110" i="30" s="1"/>
  <c r="AZ110" i="30"/>
  <c r="BA110" i="30" s="1"/>
  <c r="BB110" i="30" s="1"/>
  <c r="CE110" i="30"/>
  <c r="V149" i="39"/>
  <c r="W146" i="39"/>
  <c r="V147" i="30"/>
  <c r="W138" i="30"/>
  <c r="AB116" i="39"/>
  <c r="Y113" i="30"/>
  <c r="AB113" i="30" s="1"/>
  <c r="X114" i="30"/>
  <c r="Z112" i="30"/>
  <c r="AA113" i="30"/>
  <c r="E113" i="30" s="1"/>
  <c r="H113" i="30" s="1"/>
  <c r="CA112" i="40"/>
  <c r="CB112" i="40" s="1"/>
  <c r="CE112" i="40"/>
  <c r="AV112" i="40"/>
  <c r="AZ112" i="40"/>
  <c r="V171" i="40"/>
  <c r="AW111" i="40"/>
  <c r="AX111" i="40" s="1"/>
  <c r="W142" i="40"/>
  <c r="V168" i="40"/>
  <c r="BA111" i="34"/>
  <c r="BB111" i="34" s="1"/>
  <c r="CA111" i="34"/>
  <c r="CB111" i="34" s="1"/>
  <c r="CE111" i="34"/>
  <c r="AV111" i="34"/>
  <c r="W144" i="34"/>
  <c r="V170" i="34"/>
  <c r="V171" i="34"/>
  <c r="BA110" i="34"/>
  <c r="BB110" i="34" s="1"/>
  <c r="AW110" i="34"/>
  <c r="AX110" i="34" s="1"/>
  <c r="AA122" i="37"/>
  <c r="E122" i="37" s="1"/>
  <c r="H122" i="37" s="1"/>
  <c r="AA120" i="37"/>
  <c r="E120" i="37" s="1"/>
  <c r="H120" i="37" s="1"/>
  <c r="AA126" i="37"/>
  <c r="E126" i="37" s="1"/>
  <c r="H126" i="37" s="1"/>
  <c r="AB126" i="37"/>
  <c r="AA125" i="37"/>
  <c r="E125" i="37" s="1"/>
  <c r="H125" i="37" s="1"/>
  <c r="AB121" i="37"/>
  <c r="AB122" i="37"/>
  <c r="AA116" i="37"/>
  <c r="E116" i="37" s="1"/>
  <c r="H116" i="37" s="1"/>
  <c r="Y128" i="37"/>
  <c r="X129" i="37"/>
  <c r="AB127" i="37"/>
  <c r="AA121" i="37"/>
  <c r="E121" i="37" s="1"/>
  <c r="H121" i="37" s="1"/>
  <c r="AA124" i="38"/>
  <c r="E124" i="38" s="1"/>
  <c r="H124" i="38" s="1"/>
  <c r="AE160" i="38"/>
  <c r="AG117" i="38"/>
  <c r="AH117" i="38" s="1"/>
  <c r="AF118" i="38"/>
  <c r="W154" i="38"/>
  <c r="W155" i="38" s="1"/>
  <c r="AD146" i="38"/>
  <c r="V161" i="27"/>
  <c r="Y113" i="27"/>
  <c r="AA125" i="27" s="1"/>
  <c r="E125" i="27" s="1"/>
  <c r="H125" i="27" s="1"/>
  <c r="AB123" i="27"/>
  <c r="AG114" i="27"/>
  <c r="AI115" i="27" s="1"/>
  <c r="F129" i="27" s="1"/>
  <c r="I129" i="27" s="1"/>
  <c r="AF115" i="27"/>
  <c r="V159" i="38"/>
  <c r="AD143" i="27"/>
  <c r="V156" i="27"/>
  <c r="Z112" i="27"/>
  <c r="AA113" i="27"/>
  <c r="E113" i="27" s="1"/>
  <c r="AH113" i="27"/>
  <c r="AJ113" i="27"/>
  <c r="V162" i="38"/>
  <c r="AA121" i="38"/>
  <c r="E121" i="38" s="1"/>
  <c r="AA125" i="38"/>
  <c r="E125" i="38" s="1"/>
  <c r="H125" i="38" s="1"/>
  <c r="Y128" i="38"/>
  <c r="X129" i="38"/>
  <c r="AD142" i="27"/>
  <c r="Z113" i="38"/>
  <c r="AA114" i="38"/>
  <c r="E114" i="38" s="1"/>
  <c r="H114" i="38" s="1"/>
  <c r="AS114" i="38" s="1"/>
  <c r="AE136" i="27"/>
  <c r="AE137" i="27" s="1"/>
  <c r="AE138" i="27" s="1"/>
  <c r="AE139" i="27" s="1"/>
  <c r="K115" i="38"/>
  <c r="AT115" i="38" s="1"/>
  <c r="AD147" i="38"/>
  <c r="Y128" i="27"/>
  <c r="Z128" i="27" s="1"/>
  <c r="X129" i="27"/>
  <c r="W160" i="27"/>
  <c r="L131" i="38"/>
  <c r="AE157" i="37"/>
  <c r="AE158" i="37" s="1"/>
  <c r="Z113" i="37"/>
  <c r="AA114" i="37"/>
  <c r="E114" i="37" s="1"/>
  <c r="H114" i="37" s="1"/>
  <c r="AH113" i="37"/>
  <c r="AI114" i="37"/>
  <c r="F128" i="37" s="1"/>
  <c r="I128" i="37" s="1"/>
  <c r="W165" i="37"/>
  <c r="W166" i="37" s="1"/>
  <c r="AD144" i="37"/>
  <c r="V165" i="37"/>
  <c r="AD145" i="37"/>
  <c r="AG114" i="37"/>
  <c r="AH114" i="37" s="1"/>
  <c r="AF115" i="37"/>
  <c r="V160" i="37"/>
  <c r="BA111" i="38"/>
  <c r="BB111" i="38" s="1"/>
  <c r="AZ112" i="38"/>
  <c r="AW111" i="38"/>
  <c r="AX111" i="38" s="1"/>
  <c r="BA110" i="27"/>
  <c r="BB110" i="27" s="1"/>
  <c r="BA109" i="27"/>
  <c r="BB109" i="27" s="1"/>
  <c r="CA110" i="27"/>
  <c r="CB110" i="27" s="1"/>
  <c r="CE110" i="27"/>
  <c r="AV110" i="27"/>
  <c r="AW109" i="27"/>
  <c r="AX109" i="27" s="1"/>
  <c r="CA111" i="37"/>
  <c r="CB111" i="37" s="1"/>
  <c r="CE111" i="37"/>
  <c r="AV111" i="37"/>
  <c r="AZ111" i="37" s="1"/>
  <c r="M146" i="39"/>
  <c r="AS118" i="37"/>
  <c r="K118" i="37"/>
  <c r="AT118" i="37" s="1"/>
  <c r="X115" i="22"/>
  <c r="X116" i="22" s="1"/>
  <c r="M145" i="39"/>
  <c r="AP112" i="22"/>
  <c r="AO113" i="22"/>
  <c r="V142" i="22"/>
  <c r="V141" i="22"/>
  <c r="AA115" i="22"/>
  <c r="Z113" i="22"/>
  <c r="AG112" i="22"/>
  <c r="AH111" i="22"/>
  <c r="M144" i="40"/>
  <c r="L129" i="40"/>
  <c r="AS114" i="40"/>
  <c r="K114" i="40"/>
  <c r="AT114" i="40" s="1"/>
  <c r="L128" i="40"/>
  <c r="M142" i="40"/>
  <c r="AS115" i="40"/>
  <c r="K115" i="40"/>
  <c r="AT115" i="40" s="1"/>
  <c r="L125" i="27"/>
  <c r="K113" i="34"/>
  <c r="AT113" i="34" s="1"/>
  <c r="AS113" i="34"/>
  <c r="M143" i="30"/>
  <c r="M139" i="27"/>
  <c r="M141" i="34"/>
  <c r="T111" i="27"/>
  <c r="M144" i="30"/>
  <c r="M142" i="30"/>
  <c r="AS112" i="27"/>
  <c r="K112" i="27"/>
  <c r="AT112" i="27" s="1"/>
  <c r="L127" i="40"/>
  <c r="T113" i="40"/>
  <c r="T112" i="34"/>
  <c r="AZ112" i="34" s="1"/>
  <c r="L126" i="34"/>
  <c r="L127" i="38"/>
  <c r="M141" i="38"/>
  <c r="K113" i="37"/>
  <c r="AT113" i="37" s="1"/>
  <c r="AS113" i="37"/>
  <c r="W156" i="22"/>
  <c r="AZ111" i="39" l="1"/>
  <c r="BA111" i="39" s="1"/>
  <c r="BB111" i="39" s="1"/>
  <c r="AA118" i="39"/>
  <c r="E118" i="39" s="1"/>
  <c r="AB117" i="39"/>
  <c r="CE112" i="38"/>
  <c r="K116" i="38"/>
  <c r="AT116" i="38" s="1"/>
  <c r="K115" i="37"/>
  <c r="AT115" i="37" s="1"/>
  <c r="CA112" i="38"/>
  <c r="CB112" i="38" s="1"/>
  <c r="T113" i="38"/>
  <c r="AZ113" i="38" s="1"/>
  <c r="AB115" i="40"/>
  <c r="AQ116" i="37"/>
  <c r="G144" i="37" s="1"/>
  <c r="M144" i="37" s="1"/>
  <c r="AR115" i="37"/>
  <c r="AQ115" i="38"/>
  <c r="G143" i="38" s="1"/>
  <c r="J143" i="38" s="1"/>
  <c r="AR114" i="38"/>
  <c r="I128" i="39"/>
  <c r="K117" i="38"/>
  <c r="AT117" i="38" s="1"/>
  <c r="AI115" i="39"/>
  <c r="F129" i="39" s="1"/>
  <c r="L129" i="39" s="1"/>
  <c r="T112" i="30"/>
  <c r="AJ114" i="39"/>
  <c r="K119" i="38"/>
  <c r="AT119" i="38" s="1"/>
  <c r="H128" i="37"/>
  <c r="H116" i="40"/>
  <c r="AS116" i="40" s="1"/>
  <c r="AG115" i="34"/>
  <c r="AH115" i="34" s="1"/>
  <c r="AF116" i="34"/>
  <c r="AH114" i="34"/>
  <c r="AJ114" i="34"/>
  <c r="AJ115" i="40"/>
  <c r="AI116" i="40"/>
  <c r="F130" i="40" s="1"/>
  <c r="I130" i="40" s="1"/>
  <c r="AG116" i="40"/>
  <c r="AH116" i="40" s="1"/>
  <c r="AI117" i="40"/>
  <c r="F131" i="40" s="1"/>
  <c r="I131" i="40" s="1"/>
  <c r="AF117" i="40"/>
  <c r="AJ116" i="40"/>
  <c r="K118" i="38"/>
  <c r="AT118" i="38" s="1"/>
  <c r="H120" i="38"/>
  <c r="K120" i="38"/>
  <c r="AT120" i="38" s="1"/>
  <c r="AO114" i="27"/>
  <c r="AP114" i="27" s="1"/>
  <c r="AN115" i="27"/>
  <c r="AP113" i="27"/>
  <c r="AQ114" i="27"/>
  <c r="G142" i="27" s="1"/>
  <c r="J142" i="27" s="1"/>
  <c r="AJ117" i="38"/>
  <c r="AO115" i="38"/>
  <c r="AP115" i="38" s="1"/>
  <c r="AN116" i="38"/>
  <c r="AQ116" i="38"/>
  <c r="G144" i="38" s="1"/>
  <c r="AI118" i="38"/>
  <c r="F132" i="38" s="1"/>
  <c r="I132" i="38" s="1"/>
  <c r="AH113" i="30"/>
  <c r="AI114" i="30"/>
  <c r="F128" i="30" s="1"/>
  <c r="I128" i="30" s="1"/>
  <c r="AG114" i="30"/>
  <c r="AH114" i="30" s="1"/>
  <c r="AF115" i="30"/>
  <c r="H114" i="39"/>
  <c r="K114" i="39"/>
  <c r="AT114" i="39" s="1"/>
  <c r="H117" i="39"/>
  <c r="AS117" i="39" s="1"/>
  <c r="T113" i="39"/>
  <c r="AV113" i="39" s="1"/>
  <c r="AW113" i="39" s="1"/>
  <c r="AX113" i="39" s="1"/>
  <c r="AS113" i="39"/>
  <c r="CA112" i="39"/>
  <c r="CB112" i="39" s="1"/>
  <c r="CE112" i="39"/>
  <c r="AG115" i="39"/>
  <c r="AH115" i="39" s="1"/>
  <c r="AF116" i="39"/>
  <c r="AZ112" i="39"/>
  <c r="BA112" i="39" s="1"/>
  <c r="BB112" i="39" s="1"/>
  <c r="AV112" i="39"/>
  <c r="AW112" i="39" s="1"/>
  <c r="AX112" i="39" s="1"/>
  <c r="I127" i="30"/>
  <c r="L127" i="30"/>
  <c r="H115" i="39"/>
  <c r="K115" i="39"/>
  <c r="AT115" i="39" s="1"/>
  <c r="CE111" i="30"/>
  <c r="CA111" i="30"/>
  <c r="CB111" i="30" s="1"/>
  <c r="AO116" i="37"/>
  <c r="AP116" i="37" s="1"/>
  <c r="AN117" i="37"/>
  <c r="K121" i="38"/>
  <c r="AT121" i="38" s="1"/>
  <c r="H121" i="38"/>
  <c r="AS121" i="38" s="1"/>
  <c r="K114" i="38"/>
  <c r="AT114" i="38" s="1"/>
  <c r="H113" i="27"/>
  <c r="AS113" i="27" s="1"/>
  <c r="K118" i="39"/>
  <c r="AT118" i="39" s="1"/>
  <c r="H118" i="39"/>
  <c r="AS118" i="39" s="1"/>
  <c r="AV112" i="37"/>
  <c r="AW112" i="37" s="1"/>
  <c r="AX112" i="37" s="1"/>
  <c r="CA112" i="37"/>
  <c r="CB112" i="37" s="1"/>
  <c r="X117" i="40"/>
  <c r="Y116" i="40"/>
  <c r="Z116" i="40" s="1"/>
  <c r="K116" i="40"/>
  <c r="AT116" i="40" s="1"/>
  <c r="AB115" i="34"/>
  <c r="Y116" i="34"/>
  <c r="Z116" i="34" s="1"/>
  <c r="X117" i="34"/>
  <c r="AA116" i="34"/>
  <c r="E116" i="34" s="1"/>
  <c r="H116" i="34" s="1"/>
  <c r="AS116" i="34" s="1"/>
  <c r="AB115" i="27"/>
  <c r="AA121" i="27"/>
  <c r="E121" i="27" s="1"/>
  <c r="H121" i="27" s="1"/>
  <c r="AB121" i="27"/>
  <c r="AA123" i="27"/>
  <c r="E123" i="27" s="1"/>
  <c r="H123" i="27" s="1"/>
  <c r="AB126" i="27"/>
  <c r="AA126" i="27"/>
  <c r="E126" i="27" s="1"/>
  <c r="H126" i="27" s="1"/>
  <c r="AB116" i="27"/>
  <c r="AA119" i="27"/>
  <c r="E119" i="27" s="1"/>
  <c r="H119" i="27" s="1"/>
  <c r="AB113" i="27"/>
  <c r="AB125" i="27"/>
  <c r="AA118" i="27"/>
  <c r="E118" i="27" s="1"/>
  <c r="H118" i="27" s="1"/>
  <c r="AB120" i="27"/>
  <c r="AB119" i="27"/>
  <c r="AA117" i="27"/>
  <c r="E117" i="27" s="1"/>
  <c r="H117" i="27" s="1"/>
  <c r="AB127" i="27"/>
  <c r="AB128" i="27"/>
  <c r="AA120" i="27"/>
  <c r="E120" i="27" s="1"/>
  <c r="H120" i="27" s="1"/>
  <c r="V151" i="39"/>
  <c r="Y118" i="39"/>
  <c r="Z118" i="39" s="1"/>
  <c r="X119" i="39"/>
  <c r="AB118" i="39"/>
  <c r="Y114" i="30"/>
  <c r="Z114" i="30" s="1"/>
  <c r="X115" i="30"/>
  <c r="V149" i="30"/>
  <c r="V152" i="39"/>
  <c r="Z113" i="30"/>
  <c r="AA114" i="30"/>
  <c r="E114" i="30" s="1"/>
  <c r="H114" i="30" s="1"/>
  <c r="V144" i="30"/>
  <c r="W139" i="30"/>
  <c r="W147" i="39"/>
  <c r="W148" i="39" s="1"/>
  <c r="W149" i="39" s="1"/>
  <c r="W150" i="39" s="1"/>
  <c r="W151" i="39" s="1"/>
  <c r="W152" i="39" s="1"/>
  <c r="W153" i="39" s="1"/>
  <c r="W154" i="39" s="1"/>
  <c r="W155" i="39" s="1"/>
  <c r="W156" i="39" s="1"/>
  <c r="W157" i="39" s="1"/>
  <c r="W158" i="39" s="1"/>
  <c r="W159" i="39" s="1"/>
  <c r="AS116" i="39"/>
  <c r="T116" i="39"/>
  <c r="K113" i="30"/>
  <c r="AT113" i="30" s="1"/>
  <c r="BA112" i="40"/>
  <c r="BB112" i="40" s="1"/>
  <c r="CA113" i="40"/>
  <c r="CB113" i="40" s="1"/>
  <c r="CE113" i="40"/>
  <c r="AV113" i="40"/>
  <c r="AZ113" i="40"/>
  <c r="W143" i="40"/>
  <c r="AW112" i="40"/>
  <c r="AX112" i="40" s="1"/>
  <c r="V170" i="40"/>
  <c r="V173" i="40"/>
  <c r="BA112" i="34"/>
  <c r="BB112" i="34" s="1"/>
  <c r="AW111" i="34"/>
  <c r="AX111" i="34" s="1"/>
  <c r="V172" i="34"/>
  <c r="W145" i="34"/>
  <c r="V173" i="34"/>
  <c r="CA112" i="34"/>
  <c r="CB112" i="34" s="1"/>
  <c r="CE112" i="34"/>
  <c r="AV112" i="34"/>
  <c r="K116" i="37"/>
  <c r="AT116" i="37" s="1"/>
  <c r="Y129" i="37"/>
  <c r="Z129" i="37" s="1"/>
  <c r="X130" i="37"/>
  <c r="Z128" i="37"/>
  <c r="AB128" i="37"/>
  <c r="AA129" i="37"/>
  <c r="E129" i="37" s="1"/>
  <c r="T117" i="37"/>
  <c r="CA117" i="37" s="1"/>
  <c r="AI115" i="37"/>
  <c r="F129" i="37" s="1"/>
  <c r="I129" i="37" s="1"/>
  <c r="AS115" i="38"/>
  <c r="T115" i="38"/>
  <c r="AG115" i="27"/>
  <c r="AH115" i="27" s="1"/>
  <c r="AF116" i="27"/>
  <c r="AD148" i="38"/>
  <c r="Y129" i="27"/>
  <c r="Z129" i="27" s="1"/>
  <c r="X130" i="27"/>
  <c r="Y129" i="38"/>
  <c r="Z129" i="38" s="1"/>
  <c r="X130" i="38"/>
  <c r="AB129" i="38"/>
  <c r="AA130" i="38"/>
  <c r="E130" i="38" s="1"/>
  <c r="H130" i="38" s="1"/>
  <c r="AH114" i="27"/>
  <c r="AJ114" i="27"/>
  <c r="AA129" i="27"/>
  <c r="E129" i="27" s="1"/>
  <c r="H129" i="27" s="1"/>
  <c r="AA130" i="27"/>
  <c r="E130" i="27" s="1"/>
  <c r="AE161" i="38"/>
  <c r="AS116" i="38"/>
  <c r="Z128" i="38"/>
  <c r="AA129" i="38"/>
  <c r="E129" i="38" s="1"/>
  <c r="H129" i="38" s="1"/>
  <c r="AB128" i="38"/>
  <c r="Z113" i="27"/>
  <c r="AA114" i="27"/>
  <c r="E114" i="27" s="1"/>
  <c r="H114" i="27" s="1"/>
  <c r="AS114" i="27" s="1"/>
  <c r="AA124" i="27"/>
  <c r="E124" i="27" s="1"/>
  <c r="H124" i="27" s="1"/>
  <c r="AA115" i="27"/>
  <c r="E115" i="27" s="1"/>
  <c r="AD149" i="38"/>
  <c r="AE140" i="27"/>
  <c r="AE141" i="27" s="1"/>
  <c r="AS117" i="38"/>
  <c r="V158" i="27"/>
  <c r="V161" i="38"/>
  <c r="V163" i="27"/>
  <c r="W156" i="38"/>
  <c r="W157" i="38" s="1"/>
  <c r="W158" i="38" s="1"/>
  <c r="AD145" i="27"/>
  <c r="AD144" i="27"/>
  <c r="AS119" i="38"/>
  <c r="AB118" i="27"/>
  <c r="AB117" i="27"/>
  <c r="AA116" i="27"/>
  <c r="E116" i="27" s="1"/>
  <c r="H116" i="27" s="1"/>
  <c r="AA128" i="27"/>
  <c r="E128" i="27" s="1"/>
  <c r="H128" i="27" s="1"/>
  <c r="AS118" i="38"/>
  <c r="W161" i="27"/>
  <c r="AB129" i="27"/>
  <c r="AB122" i="27"/>
  <c r="AB124" i="27"/>
  <c r="AA127" i="27"/>
  <c r="E127" i="27" s="1"/>
  <c r="H127" i="27" s="1"/>
  <c r="AA122" i="27"/>
  <c r="E122" i="27" s="1"/>
  <c r="H122" i="27" s="1"/>
  <c r="AG118" i="38"/>
  <c r="AH118" i="38" s="1"/>
  <c r="AF119" i="38"/>
  <c r="V164" i="38"/>
  <c r="V162" i="37"/>
  <c r="AD147" i="37"/>
  <c r="AD146" i="37"/>
  <c r="E115" i="22"/>
  <c r="K115" i="22" s="1"/>
  <c r="AJ114" i="37"/>
  <c r="V167" i="37"/>
  <c r="AS115" i="37"/>
  <c r="AG115" i="37"/>
  <c r="AH115" i="37" s="1"/>
  <c r="AI116" i="37"/>
  <c r="F130" i="37" s="1"/>
  <c r="I130" i="37" s="1"/>
  <c r="AF116" i="37"/>
  <c r="W167" i="37"/>
  <c r="AS116" i="37"/>
  <c r="AE159" i="37"/>
  <c r="AE160" i="37" s="1"/>
  <c r="BA113" i="38"/>
  <c r="BA112" i="38"/>
  <c r="BB112" i="38" s="1"/>
  <c r="AW112" i="38"/>
  <c r="AX112" i="38" s="1"/>
  <c r="AW110" i="27"/>
  <c r="AX110" i="27" s="1"/>
  <c r="CA111" i="27"/>
  <c r="CB111" i="27" s="1"/>
  <c r="CE111" i="27"/>
  <c r="AV111" i="27"/>
  <c r="AZ111" i="27"/>
  <c r="BA111" i="37"/>
  <c r="BB111" i="37" s="1"/>
  <c r="AW111" i="37"/>
  <c r="AX111" i="37" s="1"/>
  <c r="K122" i="38"/>
  <c r="AT122" i="38" s="1"/>
  <c r="AS122" i="38"/>
  <c r="Y115" i="22"/>
  <c r="Z115" i="22" s="1"/>
  <c r="AS119" i="37"/>
  <c r="K119" i="37"/>
  <c r="AT119" i="37" s="1"/>
  <c r="T118" i="37"/>
  <c r="AP113" i="22"/>
  <c r="AO114" i="22"/>
  <c r="V143" i="22"/>
  <c r="V144" i="22"/>
  <c r="Y116" i="22"/>
  <c r="AA117" i="22" s="1"/>
  <c r="E117" i="22" s="1"/>
  <c r="X117" i="22"/>
  <c r="AG113" i="22"/>
  <c r="AH112" i="22"/>
  <c r="M144" i="34"/>
  <c r="T114" i="40"/>
  <c r="T115" i="40"/>
  <c r="L127" i="34"/>
  <c r="T113" i="34"/>
  <c r="L129" i="34"/>
  <c r="AS115" i="34"/>
  <c r="K115" i="34"/>
  <c r="AT115" i="34" s="1"/>
  <c r="K113" i="27"/>
  <c r="AT113" i="27" s="1"/>
  <c r="M143" i="34"/>
  <c r="M142" i="34"/>
  <c r="K114" i="34"/>
  <c r="AT114" i="34" s="1"/>
  <c r="AS114" i="34"/>
  <c r="T112" i="27"/>
  <c r="M140" i="27"/>
  <c r="L126" i="27"/>
  <c r="M142" i="38"/>
  <c r="L128" i="38"/>
  <c r="M141" i="37"/>
  <c r="L127" i="37"/>
  <c r="T113" i="37"/>
  <c r="AS114" i="37"/>
  <c r="K114" i="37"/>
  <c r="AT114" i="37" s="1"/>
  <c r="W157" i="22"/>
  <c r="AJ115" i="37" l="1"/>
  <c r="AA119" i="39"/>
  <c r="E119" i="39" s="1"/>
  <c r="H119" i="39" s="1"/>
  <c r="AS119" i="39" s="1"/>
  <c r="AZ112" i="37"/>
  <c r="BA112" i="37" s="1"/>
  <c r="BB112" i="37" s="1"/>
  <c r="AV113" i="38"/>
  <c r="CE113" i="38"/>
  <c r="T115" i="37"/>
  <c r="CE115" i="37" s="1"/>
  <c r="CA113" i="38"/>
  <c r="CB113" i="38" s="1"/>
  <c r="T117" i="38"/>
  <c r="CA117" i="38" s="1"/>
  <c r="CB117" i="38" s="1"/>
  <c r="T118" i="38"/>
  <c r="CE118" i="38" s="1"/>
  <c r="T116" i="38"/>
  <c r="CA116" i="38" s="1"/>
  <c r="CB116" i="38" s="1"/>
  <c r="J144" i="37"/>
  <c r="AI115" i="30"/>
  <c r="F129" i="30" s="1"/>
  <c r="I129" i="30" s="1"/>
  <c r="BB113" i="38"/>
  <c r="T119" i="38"/>
  <c r="CE119" i="38" s="1"/>
  <c r="T114" i="38"/>
  <c r="CE114" i="38" s="1"/>
  <c r="AR115" i="38"/>
  <c r="M143" i="38"/>
  <c r="AJ115" i="34"/>
  <c r="AI116" i="34"/>
  <c r="F130" i="34" s="1"/>
  <c r="I130" i="34" s="1"/>
  <c r="AQ115" i="27"/>
  <c r="G143" i="27" s="1"/>
  <c r="J143" i="27" s="1"/>
  <c r="AA115" i="30"/>
  <c r="E115" i="30" s="1"/>
  <c r="H115" i="30" s="1"/>
  <c r="AJ114" i="30"/>
  <c r="AR114" i="27"/>
  <c r="I129" i="39"/>
  <c r="AB116" i="34"/>
  <c r="AB116" i="40"/>
  <c r="AI119" i="38"/>
  <c r="F133" i="38" s="1"/>
  <c r="I133" i="38" s="1"/>
  <c r="BD117" i="38"/>
  <c r="BD116" i="38"/>
  <c r="BD115" i="38"/>
  <c r="BD114" i="38"/>
  <c r="BD119" i="38"/>
  <c r="BD118" i="38"/>
  <c r="AJ118" i="38"/>
  <c r="BD115" i="40"/>
  <c r="BD114" i="40"/>
  <c r="H129" i="37"/>
  <c r="AR116" i="37"/>
  <c r="AQ117" i="37"/>
  <c r="G145" i="37" s="1"/>
  <c r="J145" i="37" s="1"/>
  <c r="L128" i="30"/>
  <c r="CE112" i="30"/>
  <c r="AV112" i="30"/>
  <c r="AW112" i="30" s="1"/>
  <c r="AX112" i="30" s="1"/>
  <c r="CA112" i="30"/>
  <c r="CB112" i="30" s="1"/>
  <c r="T118" i="39"/>
  <c r="CA118" i="39" s="1"/>
  <c r="CB118" i="39" s="1"/>
  <c r="L132" i="38"/>
  <c r="T117" i="39"/>
  <c r="CE117" i="39" s="1"/>
  <c r="AG117" i="40"/>
  <c r="AH117" i="40" s="1"/>
  <c r="AF118" i="40"/>
  <c r="AI118" i="40"/>
  <c r="F132" i="40" s="1"/>
  <c r="K116" i="34"/>
  <c r="AT116" i="34" s="1"/>
  <c r="L130" i="40"/>
  <c r="AG116" i="34"/>
  <c r="AH116" i="34" s="1"/>
  <c r="AI117" i="34"/>
  <c r="F131" i="34" s="1"/>
  <c r="I131" i="34" s="1"/>
  <c r="AF117" i="34"/>
  <c r="T116" i="40"/>
  <c r="BD116" i="40" s="1"/>
  <c r="J144" i="38"/>
  <c r="M144" i="38"/>
  <c r="AO116" i="38"/>
  <c r="AP116" i="38" s="1"/>
  <c r="AN117" i="38"/>
  <c r="T121" i="38"/>
  <c r="CB121" i="38" s="1"/>
  <c r="AO115" i="27"/>
  <c r="AP115" i="27" s="1"/>
  <c r="AN116" i="27"/>
  <c r="AS120" i="38"/>
  <c r="T120" i="38"/>
  <c r="AB114" i="30"/>
  <c r="CA113" i="39"/>
  <c r="CB113" i="39" s="1"/>
  <c r="CE113" i="39"/>
  <c r="AS115" i="39"/>
  <c r="T115" i="39"/>
  <c r="AS114" i="39"/>
  <c r="T114" i="39"/>
  <c r="AZ113" i="39"/>
  <c r="BA113" i="39" s="1"/>
  <c r="BB113" i="39" s="1"/>
  <c r="AG115" i="30"/>
  <c r="AH115" i="30" s="1"/>
  <c r="AF116" i="30"/>
  <c r="AJ115" i="39"/>
  <c r="AG116" i="39"/>
  <c r="AH116" i="39" s="1"/>
  <c r="AF117" i="39"/>
  <c r="AI116" i="39"/>
  <c r="F130" i="39" s="1"/>
  <c r="T116" i="37"/>
  <c r="CE116" i="37" s="1"/>
  <c r="AB115" i="22"/>
  <c r="AO117" i="37"/>
  <c r="AP117" i="37" s="1"/>
  <c r="AN118" i="37"/>
  <c r="AQ118" i="37"/>
  <c r="G146" i="37" s="1"/>
  <c r="AR117" i="37"/>
  <c r="K115" i="27"/>
  <c r="AT115" i="27" s="1"/>
  <c r="H115" i="27"/>
  <c r="AS115" i="27" s="1"/>
  <c r="AA117" i="34"/>
  <c r="E117" i="34" s="1"/>
  <c r="H117" i="34" s="1"/>
  <c r="AA117" i="40"/>
  <c r="E117" i="40" s="1"/>
  <c r="H117" i="40" s="1"/>
  <c r="AS117" i="40" s="1"/>
  <c r="Y117" i="34"/>
  <c r="Z117" i="34" s="1"/>
  <c r="X118" i="34"/>
  <c r="X118" i="40"/>
  <c r="Y117" i="40"/>
  <c r="Z117" i="40" s="1"/>
  <c r="V154" i="39"/>
  <c r="Y119" i="39"/>
  <c r="Z119" i="39" s="1"/>
  <c r="X120" i="39"/>
  <c r="AS113" i="30"/>
  <c r="T113" i="30"/>
  <c r="W140" i="30"/>
  <c r="V146" i="30"/>
  <c r="Y115" i="30"/>
  <c r="Z115" i="30" s="1"/>
  <c r="AB115" i="30"/>
  <c r="X116" i="30"/>
  <c r="CA116" i="39"/>
  <c r="CB116" i="39" s="1"/>
  <c r="CE116" i="39"/>
  <c r="V153" i="39"/>
  <c r="V151" i="30"/>
  <c r="W160" i="39"/>
  <c r="W161" i="39" s="1"/>
  <c r="W162" i="39" s="1"/>
  <c r="K114" i="30"/>
  <c r="AT114" i="30" s="1"/>
  <c r="L129" i="37"/>
  <c r="AZ115" i="40"/>
  <c r="BA115" i="40" s="1"/>
  <c r="BB115" i="40" s="1"/>
  <c r="V172" i="40"/>
  <c r="AW113" i="40"/>
  <c r="AX113" i="40" s="1"/>
  <c r="V175" i="40"/>
  <c r="AZ116" i="40"/>
  <c r="BA113" i="40"/>
  <c r="BB113" i="40" s="1"/>
  <c r="CA115" i="40"/>
  <c r="CB115" i="40" s="1"/>
  <c r="CE115" i="40"/>
  <c r="AV115" i="40"/>
  <c r="CA114" i="40"/>
  <c r="CB114" i="40" s="1"/>
  <c r="CE114" i="40"/>
  <c r="AV114" i="40"/>
  <c r="AZ114" i="40"/>
  <c r="W144" i="40"/>
  <c r="AW112" i="34"/>
  <c r="AX112" i="34" s="1"/>
  <c r="CA113" i="34"/>
  <c r="CB113" i="34" s="1"/>
  <c r="CE113" i="34"/>
  <c r="AV113" i="34"/>
  <c r="AZ113" i="34"/>
  <c r="V174" i="34"/>
  <c r="V175" i="34"/>
  <c r="W146" i="34"/>
  <c r="AA130" i="37"/>
  <c r="E130" i="37" s="1"/>
  <c r="H130" i="37" s="1"/>
  <c r="X131" i="37"/>
  <c r="Y130" i="37"/>
  <c r="Z130" i="37" s="1"/>
  <c r="AB129" i="37"/>
  <c r="CB117" i="37"/>
  <c r="CE117" i="37"/>
  <c r="V163" i="38"/>
  <c r="Y130" i="27"/>
  <c r="Z130" i="27" s="1"/>
  <c r="X131" i="27"/>
  <c r="AB130" i="27"/>
  <c r="AJ115" i="27"/>
  <c r="V166" i="38"/>
  <c r="CA118" i="38"/>
  <c r="CB118" i="38" s="1"/>
  <c r="AI116" i="27"/>
  <c r="F130" i="27" s="1"/>
  <c r="AD146" i="27"/>
  <c r="W159" i="38"/>
  <c r="AD150" i="38"/>
  <c r="AE142" i="27"/>
  <c r="AE143" i="27" s="1"/>
  <c r="CA115" i="38"/>
  <c r="CB115" i="38" s="1"/>
  <c r="CE115" i="38"/>
  <c r="V165" i="27"/>
  <c r="V160" i="27"/>
  <c r="AD151" i="38"/>
  <c r="AG119" i="38"/>
  <c r="AH119" i="38" s="1"/>
  <c r="AF120" i="38"/>
  <c r="AD147" i="27"/>
  <c r="AE162" i="38"/>
  <c r="Y130" i="38"/>
  <c r="Z130" i="38" s="1"/>
  <c r="X131" i="38"/>
  <c r="W162" i="27"/>
  <c r="AG116" i="27"/>
  <c r="AH116" i="27" s="1"/>
  <c r="AF117" i="27"/>
  <c r="L130" i="37"/>
  <c r="AE161" i="37"/>
  <c r="AE162" i="37" s="1"/>
  <c r="AA116" i="22"/>
  <c r="E116" i="22" s="1"/>
  <c r="K116" i="22" s="1"/>
  <c r="AD148" i="37"/>
  <c r="AG116" i="37"/>
  <c r="AH116" i="37" s="1"/>
  <c r="AF117" i="37"/>
  <c r="V164" i="37"/>
  <c r="AD149" i="37"/>
  <c r="W168" i="37"/>
  <c r="V169" i="37"/>
  <c r="AZ114" i="38"/>
  <c r="BA114" i="38" s="1"/>
  <c r="BB114" i="38" s="1"/>
  <c r="AZ115" i="38"/>
  <c r="BA115" i="38" s="1"/>
  <c r="BB115" i="38" s="1"/>
  <c r="AZ116" i="38"/>
  <c r="BA116" i="38" s="1"/>
  <c r="BB116" i="38" s="1"/>
  <c r="AZ117" i="38"/>
  <c r="AZ119" i="38"/>
  <c r="AW113" i="38"/>
  <c r="AX113" i="38" s="1"/>
  <c r="AZ118" i="38"/>
  <c r="CA112" i="27"/>
  <c r="CB112" i="27" s="1"/>
  <c r="CE112" i="27"/>
  <c r="AV112" i="27"/>
  <c r="BA111" i="27"/>
  <c r="BB111" i="27" s="1"/>
  <c r="AZ112" i="27"/>
  <c r="AW111" i="27"/>
  <c r="AX111" i="27" s="1"/>
  <c r="CA113" i="37"/>
  <c r="CB113" i="37" s="1"/>
  <c r="CE113" i="37"/>
  <c r="AV113" i="37"/>
  <c r="AZ113" i="37"/>
  <c r="CA118" i="37"/>
  <c r="CB118" i="37" s="1"/>
  <c r="CE118" i="37"/>
  <c r="L131" i="40"/>
  <c r="K123" i="38"/>
  <c r="AT123" i="38" s="1"/>
  <c r="AS123" i="38"/>
  <c r="T122" i="38"/>
  <c r="T119" i="37"/>
  <c r="AS120" i="37"/>
  <c r="K120" i="37"/>
  <c r="AT120" i="37" s="1"/>
  <c r="M148" i="39"/>
  <c r="M147" i="39"/>
  <c r="AQ115" i="22"/>
  <c r="G143" i="22" s="1"/>
  <c r="J143" i="22" s="1"/>
  <c r="AO115" i="22"/>
  <c r="AR115" i="22" s="1"/>
  <c r="AP114" i="22"/>
  <c r="V146" i="22"/>
  <c r="V145" i="22"/>
  <c r="AB116" i="22"/>
  <c r="X118" i="22"/>
  <c r="Y117" i="22"/>
  <c r="Z117" i="22" s="1"/>
  <c r="Z116" i="22"/>
  <c r="AG114" i="22"/>
  <c r="AI115" i="22" s="1"/>
  <c r="F129" i="22" s="1"/>
  <c r="AH113" i="22"/>
  <c r="K116" i="27"/>
  <c r="AT116" i="27" s="1"/>
  <c r="T115" i="34"/>
  <c r="T113" i="27"/>
  <c r="M141" i="27"/>
  <c r="K114" i="27"/>
  <c r="AT114" i="27" s="1"/>
  <c r="L127" i="27"/>
  <c r="T114" i="34"/>
  <c r="L129" i="27"/>
  <c r="L128" i="34"/>
  <c r="T114" i="37"/>
  <c r="M142" i="37"/>
  <c r="L128" i="37"/>
  <c r="W158" i="22"/>
  <c r="CE116" i="38" l="1"/>
  <c r="K119" i="39"/>
  <c r="AT119" i="39" s="1"/>
  <c r="AA116" i="30"/>
  <c r="E116" i="30" s="1"/>
  <c r="H116" i="30" s="1"/>
  <c r="AZ112" i="30"/>
  <c r="BA112" i="30" s="1"/>
  <c r="BB112" i="30" s="1"/>
  <c r="CA115" i="37"/>
  <c r="CB115" i="37" s="1"/>
  <c r="AB130" i="37"/>
  <c r="CE117" i="38"/>
  <c r="T116" i="34"/>
  <c r="CE116" i="34" s="1"/>
  <c r="AV118" i="38"/>
  <c r="AV117" i="38"/>
  <c r="AV115" i="38"/>
  <c r="CA119" i="38"/>
  <c r="CB119" i="38" s="1"/>
  <c r="AV116" i="38"/>
  <c r="CA114" i="38"/>
  <c r="CB114" i="38" s="1"/>
  <c r="AV114" i="38"/>
  <c r="M143" i="27"/>
  <c r="L129" i="30"/>
  <c r="L130" i="34"/>
  <c r="AV119" i="38"/>
  <c r="AW119" i="38" s="1"/>
  <c r="AX119" i="38" s="1"/>
  <c r="L133" i="38"/>
  <c r="AJ117" i="40"/>
  <c r="AQ117" i="38"/>
  <c r="G145" i="38" s="1"/>
  <c r="J145" i="38" s="1"/>
  <c r="AA131" i="37"/>
  <c r="E131" i="37" s="1"/>
  <c r="AA120" i="39"/>
  <c r="E120" i="39" s="1"/>
  <c r="H120" i="39" s="1"/>
  <c r="AS120" i="39" s="1"/>
  <c r="AB119" i="39"/>
  <c r="K115" i="30"/>
  <c r="AT115" i="30" s="1"/>
  <c r="BD121" i="38"/>
  <c r="BE121" i="38" s="1"/>
  <c r="BF121" i="38" s="1"/>
  <c r="M145" i="37"/>
  <c r="AV117" i="39"/>
  <c r="AW117" i="39" s="1"/>
  <c r="AX117" i="39" s="1"/>
  <c r="CE121" i="38"/>
  <c r="AR116" i="38"/>
  <c r="AJ116" i="34"/>
  <c r="AZ114" i="34"/>
  <c r="BA114" i="34" s="1"/>
  <c r="BB114" i="34" s="1"/>
  <c r="BD116" i="34"/>
  <c r="BD115" i="34"/>
  <c r="BD114" i="34"/>
  <c r="AJ119" i="38"/>
  <c r="BD120" i="38"/>
  <c r="BE120" i="38" s="1"/>
  <c r="BF120" i="38" s="1"/>
  <c r="BD122" i="38"/>
  <c r="AA118" i="34"/>
  <c r="E118" i="34" s="1"/>
  <c r="H118" i="34" s="1"/>
  <c r="AS118" i="34" s="1"/>
  <c r="AR115" i="27"/>
  <c r="AB117" i="34"/>
  <c r="AQ116" i="27"/>
  <c r="G144" i="27" s="1"/>
  <c r="AZ120" i="38"/>
  <c r="BA120" i="38" s="1"/>
  <c r="L131" i="34"/>
  <c r="AA131" i="27"/>
  <c r="E131" i="27" s="1"/>
  <c r="CE118" i="39"/>
  <c r="AI116" i="30"/>
  <c r="F130" i="30" s="1"/>
  <c r="I130" i="30" s="1"/>
  <c r="AV115" i="39"/>
  <c r="AW115" i="39" s="1"/>
  <c r="AX115" i="39" s="1"/>
  <c r="BD116" i="39"/>
  <c r="BD115" i="39"/>
  <c r="BD117" i="39"/>
  <c r="BD114" i="39"/>
  <c r="BD118" i="39"/>
  <c r="AV118" i="39"/>
  <c r="AW118" i="39" s="1"/>
  <c r="AX118" i="39" s="1"/>
  <c r="CA117" i="39"/>
  <c r="CB117" i="39" s="1"/>
  <c r="AJ115" i="30"/>
  <c r="BD114" i="37"/>
  <c r="BD118" i="37"/>
  <c r="BD117" i="37"/>
  <c r="BD116" i="37"/>
  <c r="BD119" i="37"/>
  <c r="BD115" i="37"/>
  <c r="T115" i="27"/>
  <c r="CE115" i="27" s="1"/>
  <c r="AV116" i="39"/>
  <c r="AW116" i="39" s="1"/>
  <c r="AX116" i="39" s="1"/>
  <c r="AV116" i="40"/>
  <c r="AW116" i="40" s="1"/>
  <c r="AX116" i="40" s="1"/>
  <c r="CE116" i="40"/>
  <c r="CA116" i="37"/>
  <c r="CB116" i="37" s="1"/>
  <c r="J146" i="37"/>
  <c r="M146" i="37"/>
  <c r="AG117" i="34"/>
  <c r="AH117" i="34" s="1"/>
  <c r="AF118" i="34"/>
  <c r="CA116" i="40"/>
  <c r="CB116" i="40" s="1"/>
  <c r="K117" i="40"/>
  <c r="AT117" i="40" s="1"/>
  <c r="I132" i="40"/>
  <c r="L132" i="40"/>
  <c r="AG118" i="40"/>
  <c r="AH118" i="40" s="1"/>
  <c r="AI119" i="40"/>
  <c r="F133" i="40" s="1"/>
  <c r="I133" i="40" s="1"/>
  <c r="AF119" i="40"/>
  <c r="CE120" i="38"/>
  <c r="CA120" i="38"/>
  <c r="CB120" i="38" s="1"/>
  <c r="AI117" i="27"/>
  <c r="F131" i="27" s="1"/>
  <c r="I131" i="27" s="1"/>
  <c r="AO116" i="27"/>
  <c r="AP116" i="27" s="1"/>
  <c r="AN117" i="27"/>
  <c r="AQ117" i="27"/>
  <c r="G145" i="27" s="1"/>
  <c r="J145" i="27" s="1"/>
  <c r="AR116" i="27"/>
  <c r="AV120" i="38"/>
  <c r="AW120" i="38" s="1"/>
  <c r="AX120" i="38" s="1"/>
  <c r="AO117" i="38"/>
  <c r="AP117" i="38" s="1"/>
  <c r="AN118" i="38"/>
  <c r="AV121" i="38"/>
  <c r="AW121" i="38" s="1"/>
  <c r="AX121" i="38" s="1"/>
  <c r="AG116" i="30"/>
  <c r="AH116" i="30" s="1"/>
  <c r="AF117" i="30"/>
  <c r="AV114" i="39"/>
  <c r="AW114" i="39" s="1"/>
  <c r="AX114" i="39" s="1"/>
  <c r="CA114" i="39"/>
  <c r="CB114" i="39" s="1"/>
  <c r="CE114" i="39"/>
  <c r="AZ117" i="39"/>
  <c r="BA117" i="39" s="1"/>
  <c r="BB117" i="39" s="1"/>
  <c r="CA115" i="39"/>
  <c r="CB115" i="39" s="1"/>
  <c r="CE115" i="39"/>
  <c r="I130" i="39"/>
  <c r="L130" i="39"/>
  <c r="AJ116" i="39"/>
  <c r="AG117" i="39"/>
  <c r="AH117" i="39" s="1"/>
  <c r="AF118" i="39"/>
  <c r="AI117" i="39"/>
  <c r="F131" i="39" s="1"/>
  <c r="AO118" i="37"/>
  <c r="AP118" i="37" s="1"/>
  <c r="AN119" i="37"/>
  <c r="L130" i="27"/>
  <c r="I130" i="27"/>
  <c r="H130" i="27" s="1"/>
  <c r="X119" i="34"/>
  <c r="Y118" i="34"/>
  <c r="Z118" i="34" s="1"/>
  <c r="X119" i="40"/>
  <c r="Y118" i="40"/>
  <c r="Z118" i="40" s="1"/>
  <c r="AB117" i="40"/>
  <c r="AA118" i="40"/>
  <c r="E118" i="40" s="1"/>
  <c r="H118" i="40" s="1"/>
  <c r="X121" i="39"/>
  <c r="Y120" i="39"/>
  <c r="Z120" i="39" s="1"/>
  <c r="AS114" i="30"/>
  <c r="T114" i="30"/>
  <c r="V155" i="39"/>
  <c r="Y116" i="30"/>
  <c r="Z116" i="30" s="1"/>
  <c r="X117" i="30"/>
  <c r="W163" i="39"/>
  <c r="W141" i="30"/>
  <c r="AS115" i="30"/>
  <c r="V156" i="39"/>
  <c r="V153" i="30"/>
  <c r="V148" i="30"/>
  <c r="AV113" i="30"/>
  <c r="AW113" i="30" s="1"/>
  <c r="AX113" i="30" s="1"/>
  <c r="CA113" i="30"/>
  <c r="CB113" i="30" s="1"/>
  <c r="CE113" i="30"/>
  <c r="AJ116" i="37"/>
  <c r="AZ115" i="34"/>
  <c r="BA115" i="34" s="1"/>
  <c r="BB115" i="34" s="1"/>
  <c r="BE116" i="40"/>
  <c r="BF116" i="40" s="1"/>
  <c r="BE114" i="40"/>
  <c r="BF114" i="40" s="1"/>
  <c r="BE115" i="40"/>
  <c r="BF115" i="40" s="1"/>
  <c r="V174" i="40"/>
  <c r="W145" i="40"/>
  <c r="BA114" i="40"/>
  <c r="BB114" i="40" s="1"/>
  <c r="AW114" i="40"/>
  <c r="AX114" i="40" s="1"/>
  <c r="BA116" i="40"/>
  <c r="BB116" i="40" s="1"/>
  <c r="AW115" i="40"/>
  <c r="AX115" i="40" s="1"/>
  <c r="V177" i="40"/>
  <c r="CA114" i="34"/>
  <c r="CB114" i="34" s="1"/>
  <c r="CE114" i="34"/>
  <c r="AV114" i="34"/>
  <c r="BA113" i="34"/>
  <c r="BB113" i="34" s="1"/>
  <c r="AZ116" i="34"/>
  <c r="V176" i="34"/>
  <c r="W147" i="34"/>
  <c r="V177" i="34"/>
  <c r="AW113" i="34"/>
  <c r="AX113" i="34" s="1"/>
  <c r="CA115" i="34"/>
  <c r="CB115" i="34" s="1"/>
  <c r="CE115" i="34"/>
  <c r="AV115" i="34"/>
  <c r="CA116" i="34"/>
  <c r="CB116" i="34" s="1"/>
  <c r="AV116" i="34"/>
  <c r="Y131" i="37"/>
  <c r="Z131" i="37" s="1"/>
  <c r="X132" i="37"/>
  <c r="V162" i="27"/>
  <c r="AE144" i="27"/>
  <c r="AD148" i="27"/>
  <c r="Y131" i="27"/>
  <c r="Z131" i="27" s="1"/>
  <c r="X132" i="27"/>
  <c r="AJ116" i="27"/>
  <c r="AE163" i="38"/>
  <c r="AI120" i="38"/>
  <c r="F134" i="38" s="1"/>
  <c r="I134" i="38" s="1"/>
  <c r="V167" i="27"/>
  <c r="V168" i="38"/>
  <c r="AD152" i="38"/>
  <c r="V165" i="38"/>
  <c r="W163" i="27"/>
  <c r="AD149" i="27"/>
  <c r="AD153" i="38"/>
  <c r="AB130" i="38"/>
  <c r="AA131" i="38"/>
  <c r="E131" i="38" s="1"/>
  <c r="H131" i="38" s="1"/>
  <c r="W160" i="38"/>
  <c r="AG117" i="27"/>
  <c r="AH117" i="27" s="1"/>
  <c r="AF118" i="27"/>
  <c r="Y131" i="38"/>
  <c r="Z131" i="38" s="1"/>
  <c r="X132" i="38"/>
  <c r="AG120" i="38"/>
  <c r="AH120" i="38" s="1"/>
  <c r="AF121" i="38"/>
  <c r="AE163" i="37"/>
  <c r="AE164" i="37" s="1"/>
  <c r="AE165" i="37" s="1"/>
  <c r="AE166" i="37" s="1"/>
  <c r="AD151" i="37"/>
  <c r="AG117" i="37"/>
  <c r="AH117" i="37" s="1"/>
  <c r="AF118" i="37"/>
  <c r="V171" i="37"/>
  <c r="AI117" i="37"/>
  <c r="F131" i="37" s="1"/>
  <c r="I131" i="37" s="1"/>
  <c r="V166" i="37"/>
  <c r="AD150" i="37"/>
  <c r="W169" i="37"/>
  <c r="AW118" i="38"/>
  <c r="AX118" i="38" s="1"/>
  <c r="BE115" i="38"/>
  <c r="BF115" i="38" s="1"/>
  <c r="BH122" i="38"/>
  <c r="AZ121" i="38"/>
  <c r="BA121" i="38" s="1"/>
  <c r="AW114" i="38"/>
  <c r="AX114" i="38" s="1"/>
  <c r="BE117" i="38"/>
  <c r="BF117" i="38" s="1"/>
  <c r="BA117" i="38"/>
  <c r="BB117" i="38" s="1"/>
  <c r="BE119" i="38"/>
  <c r="BF119" i="38" s="1"/>
  <c r="BE118" i="38"/>
  <c r="BF118" i="38" s="1"/>
  <c r="AW116" i="38"/>
  <c r="AX116" i="38" s="1"/>
  <c r="CB122" i="38"/>
  <c r="CE122" i="38"/>
  <c r="AV122" i="38"/>
  <c r="BA118" i="38"/>
  <c r="BB118" i="38" s="1"/>
  <c r="AW115" i="38"/>
  <c r="AX115" i="38" s="1"/>
  <c r="AZ122" i="38"/>
  <c r="AW117" i="38"/>
  <c r="AX117" i="38" s="1"/>
  <c r="BE116" i="38"/>
  <c r="BF116" i="38" s="1"/>
  <c r="BE114" i="38"/>
  <c r="BF114" i="38" s="1"/>
  <c r="BH121" i="38"/>
  <c r="BA119" i="38"/>
  <c r="BB119" i="38" s="1"/>
  <c r="CA113" i="27"/>
  <c r="CB113" i="27" s="1"/>
  <c r="CE113" i="27"/>
  <c r="AV113" i="27"/>
  <c r="AZ113" i="27"/>
  <c r="AW112" i="27"/>
  <c r="AX112" i="27" s="1"/>
  <c r="BA112" i="27"/>
  <c r="BB112" i="27" s="1"/>
  <c r="AW113" i="37"/>
  <c r="AX113" i="37" s="1"/>
  <c r="BA113" i="37"/>
  <c r="BB113" i="37" s="1"/>
  <c r="CA119" i="37"/>
  <c r="CB119" i="37" s="1"/>
  <c r="CE119" i="37"/>
  <c r="AV119" i="37"/>
  <c r="AZ119" i="37" s="1"/>
  <c r="AV115" i="37"/>
  <c r="AZ115" i="37"/>
  <c r="CA114" i="37"/>
  <c r="CB114" i="37" s="1"/>
  <c r="CE114" i="37"/>
  <c r="AV114" i="37"/>
  <c r="AZ114" i="37" s="1"/>
  <c r="AV118" i="37"/>
  <c r="AZ118" i="37" s="1"/>
  <c r="BA118" i="37" s="1"/>
  <c r="AV116" i="37"/>
  <c r="AZ116" i="37" s="1"/>
  <c r="BA116" i="37" s="1"/>
  <c r="BB116" i="37" s="1"/>
  <c r="AV117" i="37"/>
  <c r="AZ117" i="37" s="1"/>
  <c r="BA117" i="37" s="1"/>
  <c r="BB117" i="37" s="1"/>
  <c r="T123" i="38"/>
  <c r="BD123" i="38" s="1"/>
  <c r="T120" i="37"/>
  <c r="M145" i="40"/>
  <c r="M146" i="40"/>
  <c r="K117" i="34"/>
  <c r="AT117" i="34" s="1"/>
  <c r="AS117" i="34"/>
  <c r="M149" i="39"/>
  <c r="M145" i="30"/>
  <c r="M143" i="22"/>
  <c r="AO116" i="22"/>
  <c r="AP115" i="22"/>
  <c r="AQ116" i="22"/>
  <c r="G144" i="22" s="1"/>
  <c r="J144" i="22" s="1"/>
  <c r="V147" i="22"/>
  <c r="V148" i="22"/>
  <c r="AA118" i="22"/>
  <c r="E118" i="22" s="1"/>
  <c r="AB117" i="22"/>
  <c r="K117" i="22"/>
  <c r="X119" i="22"/>
  <c r="Y118" i="22"/>
  <c r="Z118" i="22" s="1"/>
  <c r="AG115" i="22"/>
  <c r="AH114" i="22"/>
  <c r="T114" i="27"/>
  <c r="L128" i="27"/>
  <c r="M142" i="27"/>
  <c r="W159" i="22"/>
  <c r="T119" i="39" l="1"/>
  <c r="CA119" i="39" s="1"/>
  <c r="CB119" i="39" s="1"/>
  <c r="K116" i="30"/>
  <c r="AT116" i="30" s="1"/>
  <c r="AZ118" i="39"/>
  <c r="BA118" i="39" s="1"/>
  <c r="AZ115" i="39"/>
  <c r="BA115" i="39" s="1"/>
  <c r="BB115" i="39" s="1"/>
  <c r="AZ116" i="39"/>
  <c r="BA116" i="39" s="1"/>
  <c r="BB116" i="39" s="1"/>
  <c r="BH114" i="37"/>
  <c r="BI114" i="37" s="1"/>
  <c r="AA132" i="37"/>
  <c r="E132" i="37" s="1"/>
  <c r="BE118" i="39"/>
  <c r="BF118" i="39" s="1"/>
  <c r="BH118" i="39"/>
  <c r="BE114" i="39"/>
  <c r="BF114" i="39" s="1"/>
  <c r="BH114" i="39"/>
  <c r="BI114" i="39"/>
  <c r="BH115" i="37"/>
  <c r="BI115" i="37" s="1"/>
  <c r="BH119" i="37"/>
  <c r="BE115" i="39"/>
  <c r="BF115" i="39" s="1"/>
  <c r="BH115" i="39"/>
  <c r="BE117" i="39"/>
  <c r="BF117" i="39" s="1"/>
  <c r="BH117" i="39"/>
  <c r="BI117" i="39" s="1"/>
  <c r="BH116" i="37"/>
  <c r="BI116" i="37"/>
  <c r="BE116" i="39"/>
  <c r="BF116" i="39" s="1"/>
  <c r="BH116" i="39"/>
  <c r="BH117" i="37"/>
  <c r="BI117" i="37" s="1"/>
  <c r="AZ113" i="30"/>
  <c r="BA113" i="30" s="1"/>
  <c r="BB113" i="30" s="1"/>
  <c r="AZ114" i="39"/>
  <c r="BA114" i="39" s="1"/>
  <c r="BB114" i="39" s="1"/>
  <c r="BH118" i="37"/>
  <c r="BI118" i="37" s="1"/>
  <c r="BD119" i="39"/>
  <c r="K118" i="34"/>
  <c r="AT118" i="34" s="1"/>
  <c r="M145" i="38"/>
  <c r="K120" i="39"/>
  <c r="CA115" i="27"/>
  <c r="CB115" i="27" s="1"/>
  <c r="AJ117" i="34"/>
  <c r="AJ118" i="40"/>
  <c r="AI117" i="30"/>
  <c r="F131" i="30" s="1"/>
  <c r="L131" i="30" s="1"/>
  <c r="AQ119" i="37"/>
  <c r="G147" i="37" s="1"/>
  <c r="M147" i="37" s="1"/>
  <c r="L130" i="30"/>
  <c r="AJ116" i="30"/>
  <c r="T115" i="30"/>
  <c r="CA115" i="30" s="1"/>
  <c r="CB115" i="30" s="1"/>
  <c r="T117" i="40"/>
  <c r="BD117" i="40" s="1"/>
  <c r="BB120" i="38"/>
  <c r="H131" i="27"/>
  <c r="AB131" i="27"/>
  <c r="AA119" i="40"/>
  <c r="E119" i="40" s="1"/>
  <c r="H119" i="40" s="1"/>
  <c r="AS119" i="40" s="1"/>
  <c r="J144" i="27"/>
  <c r="M144" i="27"/>
  <c r="AV115" i="27"/>
  <c r="BD115" i="27"/>
  <c r="BD114" i="27"/>
  <c r="AI118" i="34"/>
  <c r="F132" i="34" s="1"/>
  <c r="L132" i="34" s="1"/>
  <c r="AA132" i="38"/>
  <c r="E132" i="38" s="1"/>
  <c r="H132" i="38" s="1"/>
  <c r="AA132" i="27"/>
  <c r="E132" i="27" s="1"/>
  <c r="AB120" i="39"/>
  <c r="AA121" i="39"/>
  <c r="E121" i="39" s="1"/>
  <c r="H121" i="39" s="1"/>
  <c r="AS121" i="39" s="1"/>
  <c r="AJ117" i="39"/>
  <c r="AI118" i="39"/>
  <c r="F132" i="39" s="1"/>
  <c r="L132" i="39" s="1"/>
  <c r="BD114" i="30"/>
  <c r="AR118" i="37"/>
  <c r="BD120" i="37"/>
  <c r="BB118" i="37"/>
  <c r="H131" i="37"/>
  <c r="AB118" i="40"/>
  <c r="AF120" i="40"/>
  <c r="AG119" i="40"/>
  <c r="AH119" i="40" s="1"/>
  <c r="AG118" i="34"/>
  <c r="AH118" i="34" s="1"/>
  <c r="AF119" i="34"/>
  <c r="AI119" i="34"/>
  <c r="F133" i="34" s="1"/>
  <c r="I133" i="34" s="1"/>
  <c r="L133" i="40"/>
  <c r="AR117" i="38"/>
  <c r="AQ118" i="38"/>
  <c r="G146" i="38" s="1"/>
  <c r="AO117" i="27"/>
  <c r="AP117" i="27" s="1"/>
  <c r="AN118" i="27"/>
  <c r="AO118" i="38"/>
  <c r="AP118" i="38" s="1"/>
  <c r="AN119" i="38"/>
  <c r="AQ119" i="38"/>
  <c r="G147" i="38" s="1"/>
  <c r="AR118" i="38"/>
  <c r="AB131" i="38"/>
  <c r="I131" i="39"/>
  <c r="L131" i="39"/>
  <c r="AF119" i="39"/>
  <c r="AG118" i="39"/>
  <c r="AH118" i="39" s="1"/>
  <c r="AJ118" i="39"/>
  <c r="AG117" i="30"/>
  <c r="AH117" i="30" s="1"/>
  <c r="AF118" i="30"/>
  <c r="AA117" i="30"/>
  <c r="E117" i="30" s="1"/>
  <c r="H117" i="30" s="1"/>
  <c r="AB116" i="30"/>
  <c r="AO119" i="37"/>
  <c r="AP119" i="37" s="1"/>
  <c r="AN120" i="37"/>
  <c r="K118" i="40"/>
  <c r="AT118" i="40" s="1"/>
  <c r="AA119" i="34"/>
  <c r="E119" i="34" s="1"/>
  <c r="H119" i="34" s="1"/>
  <c r="Y119" i="40"/>
  <c r="Z119" i="40" s="1"/>
  <c r="AA120" i="40"/>
  <c r="E120" i="40" s="1"/>
  <c r="H120" i="40" s="1"/>
  <c r="X120" i="40"/>
  <c r="AB118" i="34"/>
  <c r="Y119" i="34"/>
  <c r="Z119" i="34" s="1"/>
  <c r="X120" i="34"/>
  <c r="CE114" i="30"/>
  <c r="CA114" i="30"/>
  <c r="CB114" i="30" s="1"/>
  <c r="AV114" i="30"/>
  <c r="AW114" i="30" s="1"/>
  <c r="AX114" i="30" s="1"/>
  <c r="W164" i="39"/>
  <c r="Y117" i="30"/>
  <c r="Z117" i="30" s="1"/>
  <c r="X118" i="30"/>
  <c r="V155" i="30"/>
  <c r="AS116" i="30"/>
  <c r="T116" i="30"/>
  <c r="V150" i="30"/>
  <c r="X122" i="39"/>
  <c r="Y121" i="39"/>
  <c r="Z121" i="39" s="1"/>
  <c r="V158" i="39"/>
  <c r="W142" i="30"/>
  <c r="W143" i="30" s="1"/>
  <c r="W144" i="30" s="1"/>
  <c r="V157" i="39"/>
  <c r="AZ117" i="40"/>
  <c r="V179" i="40"/>
  <c r="V176" i="40"/>
  <c r="W146" i="40"/>
  <c r="W148" i="34"/>
  <c r="V179" i="34"/>
  <c r="AW116" i="34"/>
  <c r="AX116" i="34" s="1"/>
  <c r="AW115" i="34"/>
  <c r="AX115" i="34" s="1"/>
  <c r="BE115" i="34"/>
  <c r="BF115" i="34" s="1"/>
  <c r="BE114" i="34"/>
  <c r="BF114" i="34" s="1"/>
  <c r="V178" i="34"/>
  <c r="AW114" i="34"/>
  <c r="AX114" i="34" s="1"/>
  <c r="BA116" i="34"/>
  <c r="BB116" i="34" s="1"/>
  <c r="BE116" i="34"/>
  <c r="BF116" i="34" s="1"/>
  <c r="M150" i="39"/>
  <c r="AW119" i="39"/>
  <c r="AX119" i="39" s="1"/>
  <c r="AJ117" i="37"/>
  <c r="AB131" i="37"/>
  <c r="Y132" i="37"/>
  <c r="Z132" i="37" s="1"/>
  <c r="X133" i="37"/>
  <c r="Y132" i="38"/>
  <c r="Z132" i="38" s="1"/>
  <c r="X133" i="38"/>
  <c r="AB132" i="38"/>
  <c r="AD154" i="38"/>
  <c r="V169" i="27"/>
  <c r="AE145" i="27"/>
  <c r="AE146" i="27" s="1"/>
  <c r="AE147" i="27" s="1"/>
  <c r="AG121" i="38"/>
  <c r="AH121" i="38" s="1"/>
  <c r="AF122" i="38"/>
  <c r="AG118" i="27"/>
  <c r="AH118" i="27" s="1"/>
  <c r="AF119" i="27"/>
  <c r="AD155" i="38"/>
  <c r="W164" i="27"/>
  <c r="Y132" i="27"/>
  <c r="Z132" i="27" s="1"/>
  <c r="X133" i="27"/>
  <c r="AA133" i="27"/>
  <c r="E133" i="27" s="1"/>
  <c r="AJ120" i="38"/>
  <c r="AI118" i="27"/>
  <c r="F132" i="27" s="1"/>
  <c r="I132" i="27" s="1"/>
  <c r="V164" i="27"/>
  <c r="AI121" i="38"/>
  <c r="F135" i="38" s="1"/>
  <c r="I135" i="38" s="1"/>
  <c r="AJ117" i="27"/>
  <c r="V167" i="38"/>
  <c r="V170" i="38"/>
  <c r="L134" i="38"/>
  <c r="AD150" i="27"/>
  <c r="AE164" i="38"/>
  <c r="W161" i="38"/>
  <c r="AD151" i="27"/>
  <c r="V168" i="37"/>
  <c r="L131" i="37"/>
  <c r="V173" i="37"/>
  <c r="AD153" i="37"/>
  <c r="AD152" i="37"/>
  <c r="AG118" i="37"/>
  <c r="AH118" i="37" s="1"/>
  <c r="AF119" i="37"/>
  <c r="AE167" i="37"/>
  <c r="W170" i="37"/>
  <c r="AI118" i="37"/>
  <c r="F132" i="37" s="1"/>
  <c r="I132" i="37" s="1"/>
  <c r="BH123" i="38"/>
  <c r="BE122" i="38"/>
  <c r="BF122" i="38" s="1"/>
  <c r="AZ123" i="38"/>
  <c r="BI122" i="38"/>
  <c r="BJ122" i="38" s="1"/>
  <c r="BA122" i="38"/>
  <c r="BB122" i="38" s="1"/>
  <c r="CB123" i="38"/>
  <c r="CE123" i="38"/>
  <c r="AV123" i="38"/>
  <c r="BI121" i="38"/>
  <c r="BJ121" i="38" s="1"/>
  <c r="AW122" i="38"/>
  <c r="AX122" i="38" s="1"/>
  <c r="BB121" i="38"/>
  <c r="AW115" i="27"/>
  <c r="AX115" i="27" s="1"/>
  <c r="AZ115" i="27"/>
  <c r="BA113" i="27"/>
  <c r="BB113" i="27" s="1"/>
  <c r="CA114" i="27"/>
  <c r="CB114" i="27" s="1"/>
  <c r="CE114" i="27"/>
  <c r="AV114" i="27"/>
  <c r="AZ114" i="27"/>
  <c r="T116" i="27"/>
  <c r="BD116" i="27" s="1"/>
  <c r="AS116" i="27"/>
  <c r="AW113" i="27"/>
  <c r="AX113" i="27" s="1"/>
  <c r="AW114" i="37"/>
  <c r="AX114" i="37" s="1"/>
  <c r="BE119" i="37"/>
  <c r="BF119" i="37" s="1"/>
  <c r="BE115" i="37"/>
  <c r="BF115" i="37" s="1"/>
  <c r="AW119" i="37"/>
  <c r="AX119" i="37" s="1"/>
  <c r="BE114" i="37"/>
  <c r="BF114" i="37" s="1"/>
  <c r="CA120" i="37"/>
  <c r="CB120" i="37" s="1"/>
  <c r="CE120" i="37"/>
  <c r="AV120" i="37"/>
  <c r="AZ120" i="37" s="1"/>
  <c r="BE116" i="37"/>
  <c r="BF116" i="37" s="1"/>
  <c r="BA115" i="37"/>
  <c r="BB115" i="37" s="1"/>
  <c r="AW118" i="37"/>
  <c r="AX118" i="37" s="1"/>
  <c r="AW117" i="37"/>
  <c r="AX117" i="37" s="1"/>
  <c r="BE118" i="37"/>
  <c r="BF118" i="37" s="1"/>
  <c r="BA119" i="37"/>
  <c r="BB119" i="37" s="1"/>
  <c r="BA114" i="37"/>
  <c r="BB114" i="37" s="1"/>
  <c r="AW116" i="37"/>
  <c r="AX116" i="37" s="1"/>
  <c r="BE117" i="37"/>
  <c r="BF117" i="37" s="1"/>
  <c r="AW115" i="37"/>
  <c r="AX115" i="37" s="1"/>
  <c r="AS118" i="27"/>
  <c r="K118" i="27"/>
  <c r="AT118" i="27" s="1"/>
  <c r="K125" i="38"/>
  <c r="AT125" i="38" s="1"/>
  <c r="AS125" i="38"/>
  <c r="K117" i="27"/>
  <c r="AT117" i="27" s="1"/>
  <c r="AS117" i="27"/>
  <c r="K124" i="38"/>
  <c r="AT124" i="38" s="1"/>
  <c r="AS124" i="38"/>
  <c r="AS121" i="37"/>
  <c r="K121" i="37"/>
  <c r="AT121" i="37" s="1"/>
  <c r="AS122" i="37"/>
  <c r="K122" i="37"/>
  <c r="AT122" i="37" s="1"/>
  <c r="T117" i="34"/>
  <c r="M146" i="34"/>
  <c r="M145" i="34"/>
  <c r="M147" i="40"/>
  <c r="M146" i="30"/>
  <c r="M144" i="22"/>
  <c r="AP116" i="22"/>
  <c r="AR116" i="22"/>
  <c r="AQ117" i="22"/>
  <c r="AO117" i="22"/>
  <c r="K118" i="22"/>
  <c r="AJ115" i="22"/>
  <c r="AI116" i="22"/>
  <c r="F130" i="22" s="1"/>
  <c r="AB118" i="22"/>
  <c r="V150" i="22"/>
  <c r="V149" i="22"/>
  <c r="AA119" i="22"/>
  <c r="X120" i="22"/>
  <c r="Y119" i="22"/>
  <c r="Z119" i="22" s="1"/>
  <c r="AG116" i="22"/>
  <c r="AH115" i="22"/>
  <c r="W160" i="22"/>
  <c r="AV119" i="39" l="1"/>
  <c r="AZ119" i="39" s="1"/>
  <c r="CE119" i="39"/>
  <c r="BB118" i="39"/>
  <c r="BJ117" i="37"/>
  <c r="BI119" i="37"/>
  <c r="BJ119" i="37" s="1"/>
  <c r="BJ116" i="37"/>
  <c r="BJ118" i="37"/>
  <c r="BJ114" i="37"/>
  <c r="BJ115" i="37"/>
  <c r="AA133" i="37"/>
  <c r="E133" i="37" s="1"/>
  <c r="H133" i="37" s="1"/>
  <c r="AZ114" i="30"/>
  <c r="BA114" i="30" s="1"/>
  <c r="BB114" i="30" s="1"/>
  <c r="BI116" i="39"/>
  <c r="BJ116" i="39" s="1"/>
  <c r="AI119" i="37"/>
  <c r="F133" i="37" s="1"/>
  <c r="I133" i="37" s="1"/>
  <c r="BH119" i="39"/>
  <c r="BI119" i="39" s="1"/>
  <c r="BJ117" i="39"/>
  <c r="BH120" i="37"/>
  <c r="BI120" i="37" s="1"/>
  <c r="BI118" i="39"/>
  <c r="BJ118" i="39" s="1"/>
  <c r="BE114" i="30"/>
  <c r="BF114" i="30" s="1"/>
  <c r="BH114" i="30"/>
  <c r="BI114" i="30" s="1"/>
  <c r="BI115" i="39"/>
  <c r="BJ115" i="39" s="1"/>
  <c r="BJ114" i="39"/>
  <c r="BA119" i="39"/>
  <c r="BE119" i="39"/>
  <c r="BF119" i="39" s="1"/>
  <c r="BD115" i="30"/>
  <c r="AJ117" i="30"/>
  <c r="AI118" i="30"/>
  <c r="F132" i="30" s="1"/>
  <c r="I132" i="30" s="1"/>
  <c r="T118" i="34"/>
  <c r="CA117" i="40"/>
  <c r="CB117" i="40" s="1"/>
  <c r="AV117" i="40"/>
  <c r="J147" i="37"/>
  <c r="AV115" i="30"/>
  <c r="CE115" i="30"/>
  <c r="AT120" i="39"/>
  <c r="T120" i="39"/>
  <c r="BD120" i="39" s="1"/>
  <c r="I131" i="30"/>
  <c r="CE117" i="40"/>
  <c r="K117" i="30"/>
  <c r="AT117" i="30" s="1"/>
  <c r="AR117" i="27"/>
  <c r="AQ118" i="27"/>
  <c r="G146" i="27" s="1"/>
  <c r="J146" i="27" s="1"/>
  <c r="AR119" i="37"/>
  <c r="I132" i="39"/>
  <c r="K119" i="40"/>
  <c r="I132" i="34"/>
  <c r="AJ118" i="34"/>
  <c r="AJ119" i="40"/>
  <c r="BD118" i="34"/>
  <c r="BD117" i="34"/>
  <c r="AA120" i="34"/>
  <c r="E120" i="34" s="1"/>
  <c r="H120" i="34" s="1"/>
  <c r="AS120" i="34" s="1"/>
  <c r="AI120" i="40"/>
  <c r="F134" i="40" s="1"/>
  <c r="I134" i="40" s="1"/>
  <c r="AJ121" i="38"/>
  <c r="H132" i="27"/>
  <c r="AA133" i="38"/>
  <c r="E133" i="38" s="1"/>
  <c r="H133" i="38" s="1"/>
  <c r="K121" i="39"/>
  <c r="AT121" i="39" s="1"/>
  <c r="AI119" i="39"/>
  <c r="F133" i="39" s="1"/>
  <c r="I133" i="39" s="1"/>
  <c r="AQ120" i="37"/>
  <c r="G148" i="37" s="1"/>
  <c r="J148" i="37" s="1"/>
  <c r="BD116" i="30"/>
  <c r="H132" i="37"/>
  <c r="AG119" i="34"/>
  <c r="AH119" i="34" s="1"/>
  <c r="AF120" i="34"/>
  <c r="AG120" i="40"/>
  <c r="AH120" i="40" s="1"/>
  <c r="AF121" i="40"/>
  <c r="AI121" i="40"/>
  <c r="F135" i="40" s="1"/>
  <c r="I135" i="40" s="1"/>
  <c r="AJ120" i="40"/>
  <c r="J147" i="38"/>
  <c r="M147" i="38"/>
  <c r="AO119" i="38"/>
  <c r="AP119" i="38" s="1"/>
  <c r="AQ120" i="38"/>
  <c r="G148" i="38" s="1"/>
  <c r="AN120" i="38"/>
  <c r="AO118" i="27"/>
  <c r="AP118" i="27" s="1"/>
  <c r="AQ119" i="27"/>
  <c r="G147" i="27" s="1"/>
  <c r="J147" i="27" s="1"/>
  <c r="AN119" i="27"/>
  <c r="AB132" i="27"/>
  <c r="J146" i="38"/>
  <c r="M146" i="38"/>
  <c r="AG118" i="30"/>
  <c r="AH118" i="30" s="1"/>
  <c r="AF119" i="30"/>
  <c r="AF120" i="39"/>
  <c r="AG119" i="39"/>
  <c r="AH119" i="39" s="1"/>
  <c r="AJ119" i="39"/>
  <c r="G145" i="22"/>
  <c r="J145" i="22" s="1"/>
  <c r="AO120" i="37"/>
  <c r="AP120" i="37" s="1"/>
  <c r="AN121" i="37"/>
  <c r="Y120" i="40"/>
  <c r="Z120" i="40" s="1"/>
  <c r="X121" i="40"/>
  <c r="AB120" i="40"/>
  <c r="AA121" i="40"/>
  <c r="E121" i="40" s="1"/>
  <c r="H121" i="40" s="1"/>
  <c r="AS121" i="40" s="1"/>
  <c r="AB119" i="34"/>
  <c r="AB119" i="40"/>
  <c r="AA121" i="34"/>
  <c r="E121" i="34" s="1"/>
  <c r="H121" i="34" s="1"/>
  <c r="X121" i="34"/>
  <c r="Y120" i="34"/>
  <c r="Z120" i="34" s="1"/>
  <c r="AS118" i="40"/>
  <c r="T118" i="40"/>
  <c r="AI119" i="27"/>
  <c r="F133" i="27" s="1"/>
  <c r="I133" i="27" s="1"/>
  <c r="H133" i="27" s="1"/>
  <c r="AA122" i="39"/>
  <c r="E122" i="39" s="1"/>
  <c r="H122" i="39" s="1"/>
  <c r="CE116" i="30"/>
  <c r="CA116" i="30"/>
  <c r="CB116" i="30" s="1"/>
  <c r="AB117" i="30"/>
  <c r="Y122" i="39"/>
  <c r="Z122" i="39" s="1"/>
  <c r="AB122" i="39"/>
  <c r="X123" i="39"/>
  <c r="AA118" i="30"/>
  <c r="E118" i="30" s="1"/>
  <c r="H118" i="30" s="1"/>
  <c r="W145" i="30"/>
  <c r="AB121" i="39"/>
  <c r="V157" i="30"/>
  <c r="W165" i="39"/>
  <c r="AS117" i="30"/>
  <c r="V160" i="39"/>
  <c r="V152" i="30"/>
  <c r="AV116" i="30"/>
  <c r="AW116" i="30" s="1"/>
  <c r="AX116" i="30" s="1"/>
  <c r="V159" i="39"/>
  <c r="Y118" i="30"/>
  <c r="Z118" i="30" s="1"/>
  <c r="X119" i="30"/>
  <c r="BE117" i="40"/>
  <c r="BF117" i="40" s="1"/>
  <c r="W147" i="40"/>
  <c r="BA117" i="40"/>
  <c r="BB117" i="40" s="1"/>
  <c r="AW117" i="40"/>
  <c r="AX117" i="40" s="1"/>
  <c r="V181" i="40"/>
  <c r="V178" i="40"/>
  <c r="V180" i="34"/>
  <c r="V181" i="34"/>
  <c r="CA117" i="34"/>
  <c r="CB117" i="34" s="1"/>
  <c r="CE117" i="34"/>
  <c r="AV117" i="34"/>
  <c r="AZ118" i="34"/>
  <c r="AZ117" i="34"/>
  <c r="CA118" i="34"/>
  <c r="CB118" i="34" s="1"/>
  <c r="CE118" i="34"/>
  <c r="AV118" i="34"/>
  <c r="W149" i="34"/>
  <c r="AB132" i="37"/>
  <c r="Y133" i="37"/>
  <c r="X134" i="37"/>
  <c r="AD156" i="38"/>
  <c r="AD153" i="27"/>
  <c r="AD152" i="27"/>
  <c r="V166" i="27"/>
  <c r="Y133" i="27"/>
  <c r="Z133" i="27" s="1"/>
  <c r="X134" i="27"/>
  <c r="AA134" i="27"/>
  <c r="E134" i="27" s="1"/>
  <c r="AB133" i="27"/>
  <c r="AE148" i="27"/>
  <c r="V169" i="38"/>
  <c r="AJ118" i="27"/>
  <c r="L135" i="38"/>
  <c r="W165" i="27"/>
  <c r="W166" i="27" s="1"/>
  <c r="AG119" i="27"/>
  <c r="AH119" i="27" s="1"/>
  <c r="AF120" i="27"/>
  <c r="V171" i="27"/>
  <c r="W162" i="38"/>
  <c r="L132" i="27"/>
  <c r="AD157" i="38"/>
  <c r="AG122" i="38"/>
  <c r="AH122" i="38" s="1"/>
  <c r="AF123" i="38"/>
  <c r="Y133" i="38"/>
  <c r="Z133" i="38" s="1"/>
  <c r="X134" i="38"/>
  <c r="AB133" i="38"/>
  <c r="AA134" i="38"/>
  <c r="E134" i="38" s="1"/>
  <c r="H134" i="38" s="1"/>
  <c r="AE165" i="38"/>
  <c r="V172" i="38"/>
  <c r="AI122" i="38"/>
  <c r="F136" i="38" s="1"/>
  <c r="I136" i="38" s="1"/>
  <c r="AG119" i="37"/>
  <c r="AH119" i="37" s="1"/>
  <c r="AF120" i="37"/>
  <c r="AD155" i="37"/>
  <c r="E119" i="22"/>
  <c r="K119" i="22" s="1"/>
  <c r="W171" i="37"/>
  <c r="V170" i="37"/>
  <c r="AE168" i="37"/>
  <c r="AD154" i="37"/>
  <c r="V175" i="37"/>
  <c r="L132" i="37"/>
  <c r="AJ118" i="37"/>
  <c r="AW123" i="38"/>
  <c r="AX123" i="38" s="1"/>
  <c r="BE123" i="38"/>
  <c r="BF123" i="38" s="1"/>
  <c r="BI123" i="38"/>
  <c r="BJ123" i="38" s="1"/>
  <c r="BA123" i="38"/>
  <c r="BB123" i="38" s="1"/>
  <c r="CA116" i="27"/>
  <c r="CB116" i="27" s="1"/>
  <c r="CE116" i="27"/>
  <c r="AV116" i="27"/>
  <c r="AZ116" i="27"/>
  <c r="BE116" i="27"/>
  <c r="BF116" i="27" s="1"/>
  <c r="BA114" i="27"/>
  <c r="BB114" i="27" s="1"/>
  <c r="BA115" i="27"/>
  <c r="BB115" i="27" s="1"/>
  <c r="BE114" i="27"/>
  <c r="BF114" i="27" s="1"/>
  <c r="AW114" i="27"/>
  <c r="AX114" i="27" s="1"/>
  <c r="BE115" i="27"/>
  <c r="BF115" i="27" s="1"/>
  <c r="AW120" i="37"/>
  <c r="AX120" i="37" s="1"/>
  <c r="BE120" i="37"/>
  <c r="BF120" i="37" s="1"/>
  <c r="BA120" i="37"/>
  <c r="BB120" i="37" s="1"/>
  <c r="L133" i="34"/>
  <c r="L131" i="27"/>
  <c r="M145" i="27"/>
  <c r="T125" i="38"/>
  <c r="T124" i="38"/>
  <c r="T117" i="27"/>
  <c r="T118" i="27"/>
  <c r="M146" i="27"/>
  <c r="T122" i="37"/>
  <c r="T121" i="37"/>
  <c r="AS120" i="40"/>
  <c r="K120" i="40"/>
  <c r="AT120" i="40" s="1"/>
  <c r="AS119" i="34"/>
  <c r="K119" i="34"/>
  <c r="AT119" i="34" s="1"/>
  <c r="M148" i="30"/>
  <c r="M147" i="30"/>
  <c r="AO118" i="22"/>
  <c r="AP117" i="22"/>
  <c r="AQ118" i="22"/>
  <c r="G146" i="22" s="1"/>
  <c r="J146" i="22" s="1"/>
  <c r="AR117" i="22"/>
  <c r="AI117" i="22"/>
  <c r="F131" i="22" s="1"/>
  <c r="AJ116" i="22"/>
  <c r="AB119" i="22"/>
  <c r="AA120" i="22"/>
  <c r="V151" i="22"/>
  <c r="V152" i="22"/>
  <c r="X121" i="22"/>
  <c r="Y120" i="22"/>
  <c r="Z120" i="22" s="1"/>
  <c r="AH116" i="22"/>
  <c r="AG117" i="22"/>
  <c r="W161" i="22"/>
  <c r="BB119" i="39" l="1"/>
  <c r="L133" i="37"/>
  <c r="AZ116" i="30"/>
  <c r="BA116" i="30" s="1"/>
  <c r="BB116" i="30" s="1"/>
  <c r="BJ120" i="37"/>
  <c r="BJ119" i="39"/>
  <c r="AI119" i="30"/>
  <c r="F133" i="30" s="1"/>
  <c r="I133" i="30" s="1"/>
  <c r="BE116" i="30"/>
  <c r="BF116" i="30" s="1"/>
  <c r="BH116" i="30"/>
  <c r="BI116" i="30" s="1"/>
  <c r="BE115" i="30"/>
  <c r="BF115" i="30" s="1"/>
  <c r="BH115" i="30"/>
  <c r="BI115" i="30"/>
  <c r="BE120" i="39"/>
  <c r="BF120" i="39" s="1"/>
  <c r="BH120" i="39"/>
  <c r="BI120" i="39" s="1"/>
  <c r="AW115" i="30"/>
  <c r="AX115" i="30" s="1"/>
  <c r="AZ115" i="30"/>
  <c r="BA115" i="30" s="1"/>
  <c r="BB115" i="30" s="1"/>
  <c r="BJ114" i="30"/>
  <c r="L132" i="30"/>
  <c r="AB118" i="30"/>
  <c r="AI120" i="39"/>
  <c r="F134" i="39" s="1"/>
  <c r="I134" i="39" s="1"/>
  <c r="T117" i="30"/>
  <c r="BD117" i="30" s="1"/>
  <c r="CE120" i="39"/>
  <c r="AV120" i="39"/>
  <c r="CA120" i="39"/>
  <c r="CB120" i="39" s="1"/>
  <c r="L134" i="40"/>
  <c r="K120" i="34"/>
  <c r="AT120" i="34" s="1"/>
  <c r="AR119" i="38"/>
  <c r="AJ119" i="37"/>
  <c r="AR120" i="37"/>
  <c r="AQ121" i="37"/>
  <c r="G149" i="37" s="1"/>
  <c r="J149" i="37" s="1"/>
  <c r="T121" i="39"/>
  <c r="CB121" i="39" s="1"/>
  <c r="AT119" i="40"/>
  <c r="T119" i="40"/>
  <c r="AV119" i="40" s="1"/>
  <c r="AZ119" i="40"/>
  <c r="BD119" i="40"/>
  <c r="BE119" i="40" s="1"/>
  <c r="BF119" i="40" s="1"/>
  <c r="BD118" i="40"/>
  <c r="BE118" i="40" s="1"/>
  <c r="BF118" i="40" s="1"/>
  <c r="BD117" i="27"/>
  <c r="BD118" i="27"/>
  <c r="AJ119" i="34"/>
  <c r="AI120" i="34"/>
  <c r="F134" i="34" s="1"/>
  <c r="BD125" i="38"/>
  <c r="BD124" i="38"/>
  <c r="AR118" i="27"/>
  <c r="M148" i="37"/>
  <c r="L133" i="39"/>
  <c r="AJ118" i="30"/>
  <c r="BD121" i="37"/>
  <c r="BH121" i="37" s="1"/>
  <c r="BD122" i="37"/>
  <c r="BH122" i="37" s="1"/>
  <c r="L135" i="40"/>
  <c r="AZ121" i="39"/>
  <c r="BA121" i="39" s="1"/>
  <c r="AG121" i="40"/>
  <c r="AH121" i="40" s="1"/>
  <c r="AF122" i="40"/>
  <c r="K121" i="40"/>
  <c r="AT121" i="40" s="1"/>
  <c r="AG120" i="34"/>
  <c r="AH120" i="34" s="1"/>
  <c r="AF121" i="34"/>
  <c r="AO119" i="27"/>
  <c r="AP119" i="27" s="1"/>
  <c r="AN120" i="27"/>
  <c r="AR119" i="27"/>
  <c r="AO120" i="38"/>
  <c r="AP120" i="38" s="1"/>
  <c r="AN121" i="38"/>
  <c r="AQ121" i="38"/>
  <c r="G149" i="38" s="1"/>
  <c r="J148" i="38"/>
  <c r="M148" i="38"/>
  <c r="AG120" i="39"/>
  <c r="AH120" i="39" s="1"/>
  <c r="AF121" i="39"/>
  <c r="AG119" i="30"/>
  <c r="AH119" i="30" s="1"/>
  <c r="AF120" i="30"/>
  <c r="AA119" i="30"/>
  <c r="E119" i="30" s="1"/>
  <c r="H119" i="30" s="1"/>
  <c r="AO121" i="37"/>
  <c r="AP121" i="37" s="1"/>
  <c r="AN122" i="37"/>
  <c r="AQ122" i="37"/>
  <c r="G150" i="37" s="1"/>
  <c r="AR121" i="37"/>
  <c r="M145" i="22"/>
  <c r="CE118" i="40"/>
  <c r="AZ118" i="40"/>
  <c r="BA118" i="40" s="1"/>
  <c r="BB118" i="40" s="1"/>
  <c r="CA118" i="40"/>
  <c r="CB118" i="40" s="1"/>
  <c r="AV118" i="40"/>
  <c r="AW118" i="40" s="1"/>
  <c r="AX118" i="40" s="1"/>
  <c r="X122" i="34"/>
  <c r="Y121" i="34"/>
  <c r="Z121" i="34" s="1"/>
  <c r="X122" i="40"/>
  <c r="Y121" i="40"/>
  <c r="Z121" i="40" s="1"/>
  <c r="AB120" i="34"/>
  <c r="AJ119" i="27"/>
  <c r="AI123" i="38"/>
  <c r="F137" i="38" s="1"/>
  <c r="V162" i="39"/>
  <c r="Y119" i="30"/>
  <c r="Z119" i="30" s="1"/>
  <c r="AB119" i="30"/>
  <c r="X120" i="30"/>
  <c r="AA123" i="39"/>
  <c r="E123" i="39" s="1"/>
  <c r="H123" i="39" s="1"/>
  <c r="V161" i="39"/>
  <c r="V154" i="30"/>
  <c r="W146" i="30"/>
  <c r="W166" i="39"/>
  <c r="W167" i="39" s="1"/>
  <c r="K118" i="30"/>
  <c r="AT118" i="30" s="1"/>
  <c r="V159" i="30"/>
  <c r="X124" i="39"/>
  <c r="Y123" i="39"/>
  <c r="Z123" i="39" s="1"/>
  <c r="K122" i="39"/>
  <c r="AT122" i="39" s="1"/>
  <c r="M151" i="39"/>
  <c r="W148" i="40"/>
  <c r="BA119" i="40"/>
  <c r="AW119" i="40"/>
  <c r="AX119" i="40" s="1"/>
  <c r="V180" i="40"/>
  <c r="V183" i="40"/>
  <c r="AW118" i="34"/>
  <c r="AX118" i="34" s="1"/>
  <c r="BE118" i="34"/>
  <c r="BF118" i="34" s="1"/>
  <c r="AW117" i="34"/>
  <c r="AX117" i="34" s="1"/>
  <c r="BA118" i="34"/>
  <c r="BB118" i="34" s="1"/>
  <c r="V183" i="34"/>
  <c r="BE117" i="34"/>
  <c r="BF117" i="34" s="1"/>
  <c r="W150" i="34"/>
  <c r="BA117" i="34"/>
  <c r="BB117" i="34" s="1"/>
  <c r="V182" i="34"/>
  <c r="AI120" i="37"/>
  <c r="F134" i="37" s="1"/>
  <c r="Y134" i="37"/>
  <c r="Z134" i="37" s="1"/>
  <c r="X135" i="37"/>
  <c r="Z133" i="37"/>
  <c r="AA134" i="37"/>
  <c r="E134" i="37" s="1"/>
  <c r="AB133" i="37"/>
  <c r="L136" i="38"/>
  <c r="AE149" i="27"/>
  <c r="V174" i="38"/>
  <c r="Y134" i="38"/>
  <c r="Z134" i="38" s="1"/>
  <c r="X135" i="38"/>
  <c r="AA135" i="38"/>
  <c r="E135" i="38" s="1"/>
  <c r="H135" i="38" s="1"/>
  <c r="AB134" i="38"/>
  <c r="V168" i="27"/>
  <c r="AD159" i="38"/>
  <c r="AG120" i="27"/>
  <c r="AH120" i="27" s="1"/>
  <c r="AF121" i="27"/>
  <c r="AD154" i="27"/>
  <c r="AD158" i="38"/>
  <c r="W167" i="27"/>
  <c r="W168" i="27" s="1"/>
  <c r="W169" i="27" s="1"/>
  <c r="W170" i="27" s="1"/>
  <c r="W171" i="27" s="1"/>
  <c r="W172" i="27" s="1"/>
  <c r="AJ122" i="38"/>
  <c r="V171" i="38"/>
  <c r="Y134" i="27"/>
  <c r="Z134" i="27" s="1"/>
  <c r="X135" i="27"/>
  <c r="V173" i="27"/>
  <c r="AE166" i="38"/>
  <c r="AG123" i="38"/>
  <c r="AH123" i="38" s="1"/>
  <c r="AF124" i="38"/>
  <c r="W163" i="38"/>
  <c r="AI120" i="27"/>
  <c r="F134" i="27" s="1"/>
  <c r="I134" i="27" s="1"/>
  <c r="AD155" i="27"/>
  <c r="V177" i="37"/>
  <c r="V172" i="37"/>
  <c r="AD157" i="37"/>
  <c r="AD156" i="37"/>
  <c r="AE169" i="37"/>
  <c r="AE170" i="37" s="1"/>
  <c r="E120" i="22"/>
  <c r="K120" i="22" s="1"/>
  <c r="W172" i="37"/>
  <c r="W173" i="37" s="1"/>
  <c r="AG120" i="37"/>
  <c r="AH120" i="37" s="1"/>
  <c r="AF121" i="37"/>
  <c r="CB124" i="38"/>
  <c r="CE124" i="38"/>
  <c r="AV124" i="38"/>
  <c r="BH124" i="38"/>
  <c r="BH125" i="38"/>
  <c r="AZ125" i="38"/>
  <c r="AZ124" i="38"/>
  <c r="CB125" i="38"/>
  <c r="CE125" i="38"/>
  <c r="AV125" i="38"/>
  <c r="AZ117" i="27"/>
  <c r="AZ118" i="27"/>
  <c r="BA116" i="27"/>
  <c r="BB116" i="27" s="1"/>
  <c r="AW116" i="27"/>
  <c r="AX116" i="27" s="1"/>
  <c r="CA118" i="27"/>
  <c r="CB118" i="27" s="1"/>
  <c r="CE118" i="27"/>
  <c r="AV118" i="27"/>
  <c r="CA117" i="27"/>
  <c r="CB117" i="27" s="1"/>
  <c r="CE117" i="27"/>
  <c r="AV117" i="27"/>
  <c r="CB122" i="37"/>
  <c r="CE122" i="37"/>
  <c r="AV122" i="37"/>
  <c r="AZ122" i="37" s="1"/>
  <c r="CB121" i="37"/>
  <c r="CE121" i="37"/>
  <c r="AV121" i="37"/>
  <c r="AZ121" i="37" s="1"/>
  <c r="K127" i="38"/>
  <c r="AT127" i="38" s="1"/>
  <c r="AS127" i="38"/>
  <c r="K120" i="27"/>
  <c r="AT120" i="27" s="1"/>
  <c r="AS120" i="27"/>
  <c r="K126" i="38"/>
  <c r="AT126" i="38" s="1"/>
  <c r="AS126" i="38"/>
  <c r="K119" i="27"/>
  <c r="AT119" i="27" s="1"/>
  <c r="AS119" i="27"/>
  <c r="K124" i="37"/>
  <c r="AT124" i="37" s="1"/>
  <c r="AS124" i="37"/>
  <c r="K123" i="37"/>
  <c r="AT123" i="37" s="1"/>
  <c r="AS123" i="37"/>
  <c r="T119" i="34"/>
  <c r="M148" i="34"/>
  <c r="M147" i="34"/>
  <c r="AS121" i="34"/>
  <c r="K121" i="34"/>
  <c r="AT121" i="34" s="1"/>
  <c r="M149" i="40"/>
  <c r="T120" i="40"/>
  <c r="M148" i="40"/>
  <c r="M152" i="39"/>
  <c r="M146" i="22"/>
  <c r="AP118" i="22"/>
  <c r="AR118" i="22"/>
  <c r="AQ119" i="22"/>
  <c r="G147" i="22" s="1"/>
  <c r="J147" i="22" s="1"/>
  <c r="AO119" i="22"/>
  <c r="AJ117" i="22"/>
  <c r="AI118" i="22"/>
  <c r="F132" i="22" s="1"/>
  <c r="V154" i="22"/>
  <c r="V153" i="22"/>
  <c r="AA121" i="22"/>
  <c r="AB120" i="22"/>
  <c r="X122" i="22"/>
  <c r="Y121" i="22"/>
  <c r="Z121" i="22" s="1"/>
  <c r="AG118" i="22"/>
  <c r="AH117" i="22"/>
  <c r="W162" i="22"/>
  <c r="L133" i="30" l="1"/>
  <c r="L134" i="39"/>
  <c r="AZ120" i="39"/>
  <c r="BA120" i="39" s="1"/>
  <c r="BB120" i="39" s="1"/>
  <c r="AW120" i="39"/>
  <c r="BJ120" i="39"/>
  <c r="BJ115" i="30"/>
  <c r="AA120" i="30"/>
  <c r="E120" i="30" s="1"/>
  <c r="H120" i="30" s="1"/>
  <c r="BE117" i="30"/>
  <c r="BF117" i="30" s="1"/>
  <c r="BH117" i="30"/>
  <c r="BI117" i="30" s="1"/>
  <c r="BJ116" i="30"/>
  <c r="AX85" i="39"/>
  <c r="AA135" i="37"/>
  <c r="E135" i="37" s="1"/>
  <c r="AB123" i="39"/>
  <c r="AA124" i="39"/>
  <c r="E124" i="39" s="1"/>
  <c r="H124" i="39" s="1"/>
  <c r="BD121" i="39"/>
  <c r="AV117" i="30"/>
  <c r="AV120" i="40"/>
  <c r="CE117" i="30"/>
  <c r="CA117" i="30"/>
  <c r="CB117" i="30" s="1"/>
  <c r="T120" i="34"/>
  <c r="CE120" i="34" s="1"/>
  <c r="M149" i="37"/>
  <c r="BB119" i="40"/>
  <c r="AA122" i="34"/>
  <c r="E122" i="34" s="1"/>
  <c r="H122" i="34" s="1"/>
  <c r="AS122" i="34" s="1"/>
  <c r="AB121" i="34"/>
  <c r="AI122" i="40"/>
  <c r="F136" i="40" s="1"/>
  <c r="I136" i="40" s="1"/>
  <c r="CA119" i="40"/>
  <c r="CB119" i="40" s="1"/>
  <c r="CE119" i="40"/>
  <c r="AJ121" i="40"/>
  <c r="T121" i="40"/>
  <c r="BD121" i="40" s="1"/>
  <c r="AR120" i="38"/>
  <c r="I134" i="34"/>
  <c r="L134" i="34"/>
  <c r="BD120" i="40"/>
  <c r="BD119" i="34"/>
  <c r="BD120" i="34"/>
  <c r="AB121" i="40"/>
  <c r="AA122" i="40"/>
  <c r="E122" i="40" s="1"/>
  <c r="H122" i="40" s="1"/>
  <c r="AS122" i="40" s="1"/>
  <c r="AJ120" i="34"/>
  <c r="AI121" i="34"/>
  <c r="F135" i="34" s="1"/>
  <c r="AI120" i="30"/>
  <c r="F134" i="30" s="1"/>
  <c r="I134" i="30" s="1"/>
  <c r="AJ120" i="39"/>
  <c r="AI121" i="39"/>
  <c r="F135" i="39" s="1"/>
  <c r="I135" i="39" s="1"/>
  <c r="AJ119" i="30"/>
  <c r="BB121" i="39"/>
  <c r="J150" i="37"/>
  <c r="M150" i="37"/>
  <c r="AF122" i="34"/>
  <c r="AG121" i="34"/>
  <c r="AH121" i="34" s="1"/>
  <c r="AJ121" i="34"/>
  <c r="AG122" i="40"/>
  <c r="AH122" i="40" s="1"/>
  <c r="AF123" i="40"/>
  <c r="AI123" i="40"/>
  <c r="F137" i="40" s="1"/>
  <c r="I137" i="40" s="1"/>
  <c r="AJ122" i="40"/>
  <c r="J149" i="38"/>
  <c r="M149" i="38"/>
  <c r="AO121" i="38"/>
  <c r="AP121" i="38" s="1"/>
  <c r="AN122" i="38"/>
  <c r="AO120" i="27"/>
  <c r="AP120" i="27" s="1"/>
  <c r="AN121" i="27"/>
  <c r="AR120" i="27"/>
  <c r="AB134" i="27"/>
  <c r="AQ120" i="27"/>
  <c r="G148" i="27" s="1"/>
  <c r="J148" i="27" s="1"/>
  <c r="AG120" i="30"/>
  <c r="AH120" i="30" s="1"/>
  <c r="AF121" i="30"/>
  <c r="AI121" i="30"/>
  <c r="F135" i="30" s="1"/>
  <c r="AJ120" i="30"/>
  <c r="K119" i="30"/>
  <c r="AT119" i="30" s="1"/>
  <c r="AG121" i="39"/>
  <c r="AH121" i="39" s="1"/>
  <c r="AF122" i="39"/>
  <c r="AO122" i="37"/>
  <c r="AP122" i="37" s="1"/>
  <c r="AN123" i="37"/>
  <c r="L134" i="37"/>
  <c r="I134" i="37"/>
  <c r="H134" i="37" s="1"/>
  <c r="L137" i="38"/>
  <c r="I137" i="38"/>
  <c r="H134" i="27"/>
  <c r="X123" i="34"/>
  <c r="Y122" i="34"/>
  <c r="Z122" i="34" s="1"/>
  <c r="Y122" i="40"/>
  <c r="Z122" i="40" s="1"/>
  <c r="X123" i="40"/>
  <c r="AI124" i="38"/>
  <c r="F138" i="38" s="1"/>
  <c r="I138" i="38" s="1"/>
  <c r="AJ123" i="38"/>
  <c r="Y120" i="30"/>
  <c r="Z120" i="30" s="1"/>
  <c r="AA121" i="30"/>
  <c r="E121" i="30" s="1"/>
  <c r="H121" i="30" s="1"/>
  <c r="X121" i="30"/>
  <c r="V156" i="30"/>
  <c r="W168" i="39"/>
  <c r="W169" i="39" s="1"/>
  <c r="W170" i="39" s="1"/>
  <c r="W171" i="39" s="1"/>
  <c r="W172" i="39" s="1"/>
  <c r="W173" i="39" s="1"/>
  <c r="AS118" i="30"/>
  <c r="T118" i="30"/>
  <c r="Y124" i="39"/>
  <c r="Z124" i="39" s="1"/>
  <c r="X125" i="39"/>
  <c r="V163" i="39"/>
  <c r="V164" i="39"/>
  <c r="V161" i="30"/>
  <c r="W147" i="30"/>
  <c r="AS119" i="30"/>
  <c r="AS122" i="39"/>
  <c r="T122" i="39"/>
  <c r="K123" i="39"/>
  <c r="AT123" i="39" s="1"/>
  <c r="AJ120" i="37"/>
  <c r="W149" i="40"/>
  <c r="CA120" i="40"/>
  <c r="CB120" i="40" s="1"/>
  <c r="CE120" i="40"/>
  <c r="AZ120" i="40"/>
  <c r="AZ121" i="40"/>
  <c r="BH121" i="40"/>
  <c r="V182" i="40"/>
  <c r="V185" i="40"/>
  <c r="W151" i="34"/>
  <c r="V184" i="34"/>
  <c r="V185" i="34"/>
  <c r="CA119" i="34"/>
  <c r="CB119" i="34" s="1"/>
  <c r="CE119" i="34"/>
  <c r="AV119" i="34"/>
  <c r="AZ119" i="34"/>
  <c r="AZ120" i="34"/>
  <c r="AB134" i="37"/>
  <c r="AB135" i="37"/>
  <c r="Y135" i="37"/>
  <c r="Z135" i="37" s="1"/>
  <c r="X136" i="37"/>
  <c r="AD157" i="27"/>
  <c r="AD156" i="27"/>
  <c r="AG124" i="38"/>
  <c r="AH124" i="38" s="1"/>
  <c r="AF125" i="38"/>
  <c r="AA135" i="27"/>
  <c r="E135" i="27" s="1"/>
  <c r="W173" i="27"/>
  <c r="AD161" i="38"/>
  <c r="AE167" i="38"/>
  <c r="AE168" i="38" s="1"/>
  <c r="AE169" i="38" s="1"/>
  <c r="AE170" i="38" s="1"/>
  <c r="AE171" i="38" s="1"/>
  <c r="Y135" i="27"/>
  <c r="Z135" i="27" s="1"/>
  <c r="X136" i="27"/>
  <c r="AA136" i="27"/>
  <c r="E136" i="27" s="1"/>
  <c r="AE150" i="27"/>
  <c r="V176" i="38"/>
  <c r="AD160" i="38"/>
  <c r="AG121" i="27"/>
  <c r="AH121" i="27" s="1"/>
  <c r="AF122" i="27"/>
  <c r="V170" i="27"/>
  <c r="W164" i="38"/>
  <c r="V175" i="27"/>
  <c r="V173" i="38"/>
  <c r="AJ120" i="27"/>
  <c r="Y135" i="38"/>
  <c r="Z135" i="38" s="1"/>
  <c r="X136" i="38"/>
  <c r="AI121" i="27"/>
  <c r="F135" i="27" s="1"/>
  <c r="I135" i="27" s="1"/>
  <c r="AI121" i="37"/>
  <c r="F135" i="37" s="1"/>
  <c r="I135" i="37" s="1"/>
  <c r="AD159" i="37"/>
  <c r="W174" i="37"/>
  <c r="W175" i="37" s="1"/>
  <c r="AD158" i="37"/>
  <c r="V174" i="37"/>
  <c r="V179" i="37"/>
  <c r="E121" i="22"/>
  <c r="K121" i="22" s="1"/>
  <c r="AG121" i="37"/>
  <c r="AH121" i="37" s="1"/>
  <c r="AF122" i="37"/>
  <c r="AE171" i="37"/>
  <c r="BE124" i="38"/>
  <c r="BF124" i="38" s="1"/>
  <c r="AW124" i="38"/>
  <c r="AX124" i="38" s="1"/>
  <c r="BA125" i="38"/>
  <c r="BB125" i="38" s="1"/>
  <c r="AW125" i="38"/>
  <c r="AX125" i="38" s="1"/>
  <c r="BA124" i="38"/>
  <c r="BB124" i="38" s="1"/>
  <c r="BE125" i="38"/>
  <c r="BF125" i="38" s="1"/>
  <c r="BI125" i="38"/>
  <c r="BJ125" i="38" s="1"/>
  <c r="BI124" i="38"/>
  <c r="BJ124" i="38" s="1"/>
  <c r="AW118" i="27"/>
  <c r="AX118" i="27" s="1"/>
  <c r="BA117" i="27"/>
  <c r="BB117" i="27" s="1"/>
  <c r="BE118" i="27"/>
  <c r="BF118" i="27" s="1"/>
  <c r="BE117" i="27"/>
  <c r="BF117" i="27" s="1"/>
  <c r="AW117" i="27"/>
  <c r="AX117" i="27" s="1"/>
  <c r="BA118" i="27"/>
  <c r="BB118" i="27" s="1"/>
  <c r="BI121" i="37"/>
  <c r="BJ121" i="37" s="1"/>
  <c r="AW122" i="37"/>
  <c r="AX122" i="37" s="1"/>
  <c r="BA121" i="37"/>
  <c r="BB121" i="37" s="1"/>
  <c r="BE121" i="37"/>
  <c r="BF121" i="37" s="1"/>
  <c r="BE122" i="37"/>
  <c r="BF122" i="37" s="1"/>
  <c r="BI122" i="37"/>
  <c r="BJ122" i="37" s="1"/>
  <c r="BA122" i="37"/>
  <c r="BB122" i="37" s="1"/>
  <c r="AW121" i="37"/>
  <c r="AX121" i="37" s="1"/>
  <c r="M147" i="27"/>
  <c r="L133" i="27"/>
  <c r="L134" i="27"/>
  <c r="AS121" i="27"/>
  <c r="T120" i="27"/>
  <c r="T119" i="27"/>
  <c r="K128" i="38"/>
  <c r="AT128" i="38" s="1"/>
  <c r="AS128" i="38"/>
  <c r="K121" i="27"/>
  <c r="AT121" i="27" s="1"/>
  <c r="T127" i="38"/>
  <c r="T126" i="38"/>
  <c r="T123" i="37"/>
  <c r="T124" i="37"/>
  <c r="T121" i="34"/>
  <c r="BD121" i="34" s="1"/>
  <c r="M149" i="34"/>
  <c r="M149" i="30"/>
  <c r="M153" i="39"/>
  <c r="M150" i="30"/>
  <c r="M147" i="22"/>
  <c r="AO120" i="22"/>
  <c r="AP119" i="22"/>
  <c r="AQ120" i="22"/>
  <c r="G148" i="22" s="1"/>
  <c r="J148" i="22" s="1"/>
  <c r="AR119" i="22"/>
  <c r="AJ118" i="22"/>
  <c r="AI119" i="22"/>
  <c r="F133" i="22" s="1"/>
  <c r="V155" i="22"/>
  <c r="V156" i="22"/>
  <c r="AA122" i="22"/>
  <c r="AB121" i="22"/>
  <c r="X123" i="22"/>
  <c r="Y122" i="22"/>
  <c r="Z122" i="22" s="1"/>
  <c r="AH118" i="22"/>
  <c r="AG119" i="22"/>
  <c r="W163" i="22"/>
  <c r="K124" i="39" l="1"/>
  <c r="AT124" i="39" s="1"/>
  <c r="K120" i="30"/>
  <c r="AT120" i="30" s="1"/>
  <c r="AX120" i="39"/>
  <c r="AX87" i="39" s="1"/>
  <c r="AX88" i="39" s="1"/>
  <c r="AX86" i="39"/>
  <c r="BJ117" i="30"/>
  <c r="AW117" i="30"/>
  <c r="AX117" i="30" s="1"/>
  <c r="AZ117" i="30"/>
  <c r="BA117" i="30" s="1"/>
  <c r="BB117" i="30" s="1"/>
  <c r="BE121" i="39"/>
  <c r="BF121" i="39" s="1"/>
  <c r="BH121" i="39"/>
  <c r="BI121" i="39" s="1"/>
  <c r="BJ121" i="39" s="1"/>
  <c r="CA120" i="34"/>
  <c r="CB120" i="34" s="1"/>
  <c r="AV120" i="34"/>
  <c r="AX85" i="34" s="1"/>
  <c r="K122" i="34"/>
  <c r="AT122" i="34" s="1"/>
  <c r="L136" i="40"/>
  <c r="CB121" i="40"/>
  <c r="AR121" i="38"/>
  <c r="AQ122" i="38"/>
  <c r="G150" i="38" s="1"/>
  <c r="J150" i="38" s="1"/>
  <c r="AR122" i="37"/>
  <c r="AQ123" i="37"/>
  <c r="G151" i="37" s="1"/>
  <c r="J151" i="37" s="1"/>
  <c r="L134" i="30"/>
  <c r="K122" i="40"/>
  <c r="AT122" i="40" s="1"/>
  <c r="AB135" i="27"/>
  <c r="BD126" i="38"/>
  <c r="AJ124" i="38"/>
  <c r="AI125" i="38"/>
  <c r="F139" i="38" s="1"/>
  <c r="I139" i="38" s="1"/>
  <c r="BD119" i="27"/>
  <c r="BD120" i="27"/>
  <c r="BD127" i="38"/>
  <c r="AB122" i="40"/>
  <c r="M148" i="27"/>
  <c r="AA123" i="40"/>
  <c r="E123" i="40" s="1"/>
  <c r="H123" i="40" s="1"/>
  <c r="AS123" i="40" s="1"/>
  <c r="I135" i="34"/>
  <c r="L135" i="34"/>
  <c r="BD122" i="39"/>
  <c r="BE122" i="39" s="1"/>
  <c r="BF122" i="39" s="1"/>
  <c r="BD118" i="30"/>
  <c r="AJ121" i="39"/>
  <c r="AI122" i="39"/>
  <c r="F136" i="39" s="1"/>
  <c r="L136" i="39" s="1"/>
  <c r="L135" i="39"/>
  <c r="BD123" i="37"/>
  <c r="BH123" i="37" s="1"/>
  <c r="BD124" i="37"/>
  <c r="BH124" i="37" s="1"/>
  <c r="T119" i="30"/>
  <c r="CE119" i="30" s="1"/>
  <c r="H135" i="37"/>
  <c r="AG123" i="40"/>
  <c r="AH123" i="40" s="1"/>
  <c r="AI124" i="40"/>
  <c r="F138" i="40" s="1"/>
  <c r="I138" i="40" s="1"/>
  <c r="AF124" i="40"/>
  <c r="AG122" i="34"/>
  <c r="AH122" i="34" s="1"/>
  <c r="AF123" i="34"/>
  <c r="AI123" i="34"/>
  <c r="F137" i="34" s="1"/>
  <c r="I137" i="34" s="1"/>
  <c r="AJ122" i="34"/>
  <c r="AI122" i="34"/>
  <c r="F136" i="34" s="1"/>
  <c r="AO121" i="27"/>
  <c r="AP121" i="27" s="1"/>
  <c r="AN122" i="27"/>
  <c r="AQ121" i="27"/>
  <c r="G149" i="27" s="1"/>
  <c r="J149" i="27" s="1"/>
  <c r="AO122" i="38"/>
  <c r="AP122" i="38" s="1"/>
  <c r="AN123" i="38"/>
  <c r="AQ123" i="38"/>
  <c r="G151" i="38" s="1"/>
  <c r="AR122" i="38"/>
  <c r="AG122" i="39"/>
  <c r="AH122" i="39" s="1"/>
  <c r="AF123" i="39"/>
  <c r="I135" i="30"/>
  <c r="L135" i="30"/>
  <c r="AF122" i="30"/>
  <c r="AG121" i="30"/>
  <c r="AH121" i="30" s="1"/>
  <c r="AJ121" i="30"/>
  <c r="AB120" i="30"/>
  <c r="AO123" i="37"/>
  <c r="AP123" i="37" s="1"/>
  <c r="AN124" i="37"/>
  <c r="AQ124" i="37"/>
  <c r="G152" i="37" s="1"/>
  <c r="AR123" i="37"/>
  <c r="H135" i="27"/>
  <c r="L138" i="38"/>
  <c r="X124" i="40"/>
  <c r="Y123" i="40"/>
  <c r="Z123" i="40" s="1"/>
  <c r="AB122" i="34"/>
  <c r="AA123" i="34"/>
  <c r="E123" i="34" s="1"/>
  <c r="X124" i="34"/>
  <c r="Y123" i="34"/>
  <c r="Z123" i="34" s="1"/>
  <c r="AA136" i="38"/>
  <c r="E136" i="38" s="1"/>
  <c r="H136" i="38" s="1"/>
  <c r="AB135" i="38"/>
  <c r="AI122" i="27"/>
  <c r="F136" i="27" s="1"/>
  <c r="I136" i="27" s="1"/>
  <c r="H136" i="27" s="1"/>
  <c r="V165" i="39"/>
  <c r="AV118" i="30"/>
  <c r="AW118" i="30" s="1"/>
  <c r="AX118" i="30" s="1"/>
  <c r="CA118" i="30"/>
  <c r="CB118" i="30" s="1"/>
  <c r="CE118" i="30"/>
  <c r="V163" i="30"/>
  <c r="AZ122" i="39"/>
  <c r="BA122" i="39" s="1"/>
  <c r="BB122" i="39" s="1"/>
  <c r="BH122" i="39"/>
  <c r="BI122" i="39" s="1"/>
  <c r="BJ122" i="39" s="1"/>
  <c r="CB122" i="39"/>
  <c r="V158" i="30"/>
  <c r="W174" i="39"/>
  <c r="Y121" i="30"/>
  <c r="Z121" i="30" s="1"/>
  <c r="AB121" i="30"/>
  <c r="AA122" i="30"/>
  <c r="E122" i="30" s="1"/>
  <c r="H122" i="30" s="1"/>
  <c r="X122" i="30"/>
  <c r="AS120" i="30"/>
  <c r="T120" i="30"/>
  <c r="V166" i="39"/>
  <c r="X126" i="39"/>
  <c r="Y125" i="39"/>
  <c r="Z125" i="39" s="1"/>
  <c r="AS124" i="39"/>
  <c r="T124" i="39"/>
  <c r="CB124" i="39" s="1"/>
  <c r="W148" i="30"/>
  <c r="W149" i="30" s="1"/>
  <c r="AA125" i="39"/>
  <c r="E125" i="39" s="1"/>
  <c r="H125" i="39" s="1"/>
  <c r="K121" i="30"/>
  <c r="AT121" i="30" s="1"/>
  <c r="AS123" i="39"/>
  <c r="T123" i="39"/>
  <c r="CB123" i="39" s="1"/>
  <c r="AB124" i="39"/>
  <c r="AJ121" i="37"/>
  <c r="AA136" i="37"/>
  <c r="E136" i="37" s="1"/>
  <c r="BI121" i="40"/>
  <c r="BJ121" i="40" s="1"/>
  <c r="AW120" i="40"/>
  <c r="AX85" i="40"/>
  <c r="V184" i="40"/>
  <c r="V187" i="40"/>
  <c r="BE120" i="40"/>
  <c r="BF120" i="40" s="1"/>
  <c r="BA120" i="40"/>
  <c r="BB120" i="40" s="1"/>
  <c r="L137" i="40"/>
  <c r="BA121" i="40"/>
  <c r="BB121" i="40" s="1"/>
  <c r="W150" i="40"/>
  <c r="BE121" i="40"/>
  <c r="BF121" i="40" s="1"/>
  <c r="BA120" i="34"/>
  <c r="BB120" i="34" s="1"/>
  <c r="AZ121" i="34"/>
  <c r="BA119" i="34"/>
  <c r="BB119" i="34" s="1"/>
  <c r="W152" i="34"/>
  <c r="BE119" i="34"/>
  <c r="BF119" i="34" s="1"/>
  <c r="CB121" i="34"/>
  <c r="BH121" i="34"/>
  <c r="BE120" i="34"/>
  <c r="BF120" i="34" s="1"/>
  <c r="AW119" i="34"/>
  <c r="AX119" i="34" s="1"/>
  <c r="AW120" i="34"/>
  <c r="V187" i="34"/>
  <c r="V186" i="34"/>
  <c r="Y136" i="37"/>
  <c r="Z136" i="37" s="1"/>
  <c r="X137" i="37"/>
  <c r="AE172" i="38"/>
  <c r="V172" i="27"/>
  <c r="AD162" i="38"/>
  <c r="AE151" i="27"/>
  <c r="AD163" i="38"/>
  <c r="AG125" i="38"/>
  <c r="AH125" i="38" s="1"/>
  <c r="AI126" i="38"/>
  <c r="F140" i="38" s="1"/>
  <c r="I140" i="38" s="1"/>
  <c r="AF126" i="38"/>
  <c r="V177" i="27"/>
  <c r="AD159" i="27"/>
  <c r="Y136" i="38"/>
  <c r="Z136" i="38" s="1"/>
  <c r="X137" i="38"/>
  <c r="AD158" i="27"/>
  <c r="AG122" i="27"/>
  <c r="AH122" i="27" s="1"/>
  <c r="AF123" i="27"/>
  <c r="V178" i="38"/>
  <c r="Y136" i="27"/>
  <c r="Z136" i="27" s="1"/>
  <c r="X137" i="27"/>
  <c r="W174" i="27"/>
  <c r="W175" i="27" s="1"/>
  <c r="V175" i="38"/>
  <c r="W165" i="38"/>
  <c r="AJ121" i="27"/>
  <c r="AD160" i="37"/>
  <c r="AG122" i="37"/>
  <c r="AH122" i="37" s="1"/>
  <c r="AF123" i="37"/>
  <c r="W176" i="37"/>
  <c r="AI122" i="37"/>
  <c r="F136" i="37" s="1"/>
  <c r="I136" i="37" s="1"/>
  <c r="AD161" i="37"/>
  <c r="AE172" i="37"/>
  <c r="AE173" i="37" s="1"/>
  <c r="V176" i="37"/>
  <c r="V181" i="37"/>
  <c r="E122" i="22"/>
  <c r="K122" i="22" s="1"/>
  <c r="L135" i="37"/>
  <c r="CB126" i="38"/>
  <c r="CE126" i="38"/>
  <c r="AV126" i="38"/>
  <c r="BH126" i="38"/>
  <c r="AZ127" i="38"/>
  <c r="AZ126" i="38"/>
  <c r="BH127" i="38"/>
  <c r="CB127" i="38"/>
  <c r="CE127" i="38"/>
  <c r="AV127" i="38"/>
  <c r="CA119" i="27"/>
  <c r="CB119" i="27" s="1"/>
  <c r="CE119" i="27"/>
  <c r="AV119" i="27"/>
  <c r="AZ119" i="27"/>
  <c r="AZ120" i="27"/>
  <c r="CA120" i="27"/>
  <c r="CB120" i="27" s="1"/>
  <c r="CE120" i="27"/>
  <c r="AV120" i="27"/>
  <c r="CB123" i="37"/>
  <c r="CE123" i="37"/>
  <c r="AV123" i="37"/>
  <c r="AZ123" i="37"/>
  <c r="CB124" i="37"/>
  <c r="CE124" i="37"/>
  <c r="AV124" i="37"/>
  <c r="AZ124" i="37" s="1"/>
  <c r="T121" i="27"/>
  <c r="AZ121" i="27" s="1"/>
  <c r="K122" i="27"/>
  <c r="AT122" i="27" s="1"/>
  <c r="AS122" i="27"/>
  <c r="T128" i="38"/>
  <c r="BD128" i="38" s="1"/>
  <c r="K125" i="37"/>
  <c r="AT125" i="37" s="1"/>
  <c r="AS125" i="37"/>
  <c r="K126" i="37"/>
  <c r="AT126" i="37" s="1"/>
  <c r="AS126" i="37"/>
  <c r="M151" i="40"/>
  <c r="M150" i="40"/>
  <c r="M150" i="34"/>
  <c r="M151" i="30"/>
  <c r="M148" i="22"/>
  <c r="AP120" i="22"/>
  <c r="AR120" i="22"/>
  <c r="AQ121" i="22"/>
  <c r="G149" i="22" s="1"/>
  <c r="J149" i="22" s="1"/>
  <c r="AO121" i="22"/>
  <c r="AI120" i="22"/>
  <c r="F134" i="22" s="1"/>
  <c r="AJ119" i="22"/>
  <c r="V158" i="22"/>
  <c r="V157" i="22"/>
  <c r="AA123" i="22"/>
  <c r="AB122" i="22"/>
  <c r="X124" i="22"/>
  <c r="Y123" i="22"/>
  <c r="Z123" i="22" s="1"/>
  <c r="AG120" i="22"/>
  <c r="AH119" i="22"/>
  <c r="W164" i="22"/>
  <c r="AZ118" i="30" l="1"/>
  <c r="BA118" i="30" s="1"/>
  <c r="BB118" i="30" s="1"/>
  <c r="BE118" i="30"/>
  <c r="BF118" i="30" s="1"/>
  <c r="BH118" i="30"/>
  <c r="AA126" i="39"/>
  <c r="E126" i="39" s="1"/>
  <c r="H126" i="39" s="1"/>
  <c r="AS126" i="39" s="1"/>
  <c r="AB136" i="37"/>
  <c r="T122" i="40"/>
  <c r="BD122" i="40" s="1"/>
  <c r="M150" i="38"/>
  <c r="T122" i="34"/>
  <c r="CB122" i="34" s="1"/>
  <c r="M151" i="37"/>
  <c r="L139" i="38"/>
  <c r="I136" i="39"/>
  <c r="AB123" i="40"/>
  <c r="AA124" i="40"/>
  <c r="E124" i="40" s="1"/>
  <c r="H124" i="40" s="1"/>
  <c r="AS124" i="40" s="1"/>
  <c r="AJ123" i="40"/>
  <c r="AI122" i="30"/>
  <c r="F136" i="30" s="1"/>
  <c r="I136" i="30" s="1"/>
  <c r="K123" i="40"/>
  <c r="AT123" i="40" s="1"/>
  <c r="H136" i="37"/>
  <c r="BD120" i="30"/>
  <c r="BD121" i="27"/>
  <c r="BL128" i="38"/>
  <c r="BD122" i="34"/>
  <c r="AR121" i="27"/>
  <c r="AQ122" i="27"/>
  <c r="G150" i="27" s="1"/>
  <c r="CA119" i="30"/>
  <c r="CB119" i="30" s="1"/>
  <c r="AV119" i="30"/>
  <c r="AW119" i="30" s="1"/>
  <c r="AX119" i="30" s="1"/>
  <c r="BD124" i="39"/>
  <c r="BE124" i="39" s="1"/>
  <c r="BF124" i="39" s="1"/>
  <c r="BD123" i="39"/>
  <c r="BE123" i="39" s="1"/>
  <c r="BF123" i="39" s="1"/>
  <c r="BD119" i="30"/>
  <c r="AJ122" i="39"/>
  <c r="AA137" i="37"/>
  <c r="E137" i="37" s="1"/>
  <c r="AI123" i="39"/>
  <c r="F137" i="39" s="1"/>
  <c r="L137" i="39" s="1"/>
  <c r="L137" i="34"/>
  <c r="J152" i="37"/>
  <c r="M152" i="37"/>
  <c r="AB123" i="34"/>
  <c r="I136" i="34"/>
  <c r="L136" i="34"/>
  <c r="AG123" i="34"/>
  <c r="AH123" i="34" s="1"/>
  <c r="AF124" i="34"/>
  <c r="AI124" i="34"/>
  <c r="F138" i="34" s="1"/>
  <c r="I138" i="34" s="1"/>
  <c r="AG124" i="40"/>
  <c r="AH124" i="40" s="1"/>
  <c r="AF125" i="40"/>
  <c r="J151" i="38"/>
  <c r="M151" i="38"/>
  <c r="AO123" i="38"/>
  <c r="AP123" i="38" s="1"/>
  <c r="AN124" i="38"/>
  <c r="AQ124" i="38"/>
  <c r="G152" i="38" s="1"/>
  <c r="AR123" i="38"/>
  <c r="AO122" i="27"/>
  <c r="AP122" i="27" s="1"/>
  <c r="AN123" i="27"/>
  <c r="AR122" i="27"/>
  <c r="AB125" i="39"/>
  <c r="AG122" i="30"/>
  <c r="AH122" i="30" s="1"/>
  <c r="AF123" i="30"/>
  <c r="AJ122" i="30"/>
  <c r="AF124" i="39"/>
  <c r="AG123" i="39"/>
  <c r="AH123" i="39" s="1"/>
  <c r="AO124" i="37"/>
  <c r="AP124" i="37" s="1"/>
  <c r="AN125" i="37"/>
  <c r="AQ125" i="37"/>
  <c r="G153" i="37" s="1"/>
  <c r="J153" i="37" s="1"/>
  <c r="AR124" i="37"/>
  <c r="BH124" i="39"/>
  <c r="BI124" i="39" s="1"/>
  <c r="BJ124" i="39" s="1"/>
  <c r="H123" i="34"/>
  <c r="AS123" i="34" s="1"/>
  <c r="K123" i="34"/>
  <c r="AT123" i="34" s="1"/>
  <c r="Y124" i="34"/>
  <c r="Z124" i="34" s="1"/>
  <c r="X125" i="34"/>
  <c r="AA124" i="34"/>
  <c r="E124" i="34" s="1"/>
  <c r="H124" i="34" s="1"/>
  <c r="X125" i="40"/>
  <c r="AA125" i="40"/>
  <c r="E125" i="40" s="1"/>
  <c r="H125" i="40" s="1"/>
  <c r="AB124" i="40"/>
  <c r="Y124" i="40"/>
  <c r="Z124" i="40" s="1"/>
  <c r="AJ125" i="38"/>
  <c r="K125" i="39"/>
  <c r="AT125" i="39" s="1"/>
  <c r="W150" i="30"/>
  <c r="AS121" i="30"/>
  <c r="T121" i="30"/>
  <c r="X127" i="39"/>
  <c r="Y126" i="39"/>
  <c r="Z126" i="39" s="1"/>
  <c r="W175" i="39"/>
  <c r="Y122" i="30"/>
  <c r="Z122" i="30" s="1"/>
  <c r="AB122" i="30"/>
  <c r="AA123" i="30"/>
  <c r="E123" i="30" s="1"/>
  <c r="H123" i="30" s="1"/>
  <c r="X123" i="30"/>
  <c r="V160" i="30"/>
  <c r="V167" i="39"/>
  <c r="K122" i="30"/>
  <c r="AT122" i="30" s="1"/>
  <c r="AZ123" i="39"/>
  <c r="BA123" i="39" s="1"/>
  <c r="BB123" i="39" s="1"/>
  <c r="V165" i="30"/>
  <c r="V168" i="39"/>
  <c r="AV120" i="30"/>
  <c r="AZ120" i="30" s="1"/>
  <c r="BA120" i="30" s="1"/>
  <c r="BB120" i="30" s="1"/>
  <c r="CE120" i="30"/>
  <c r="CA120" i="30"/>
  <c r="CB120" i="30" s="1"/>
  <c r="AZ124" i="39"/>
  <c r="BA124" i="39" s="1"/>
  <c r="BB124" i="39" s="1"/>
  <c r="W151" i="40"/>
  <c r="V189" i="40"/>
  <c r="AX86" i="40"/>
  <c r="AX120" i="40"/>
  <c r="AX87" i="40" s="1"/>
  <c r="V186" i="40"/>
  <c r="AZ122" i="40"/>
  <c r="BH122" i="40"/>
  <c r="BE121" i="34"/>
  <c r="BF121" i="34" s="1"/>
  <c r="W153" i="34"/>
  <c r="BI121" i="34"/>
  <c r="BJ121" i="34" s="1"/>
  <c r="V189" i="34"/>
  <c r="AX120" i="34"/>
  <c r="AX86" i="34"/>
  <c r="BH122" i="34"/>
  <c r="BA121" i="34"/>
  <c r="BB121" i="34" s="1"/>
  <c r="V188" i="34"/>
  <c r="AZ122" i="34"/>
  <c r="Y137" i="37"/>
  <c r="X138" i="37"/>
  <c r="V180" i="38"/>
  <c r="AD160" i="27"/>
  <c r="AD161" i="27"/>
  <c r="V174" i="27"/>
  <c r="W176" i="27"/>
  <c r="AG126" i="38"/>
  <c r="AH126" i="38" s="1"/>
  <c r="AF127" i="38"/>
  <c r="AJ126" i="38"/>
  <c r="AE152" i="27"/>
  <c r="W166" i="38"/>
  <c r="AA137" i="27"/>
  <c r="E137" i="27" s="1"/>
  <c r="AG123" i="27"/>
  <c r="AH123" i="27" s="1"/>
  <c r="AF124" i="27"/>
  <c r="AB136" i="38"/>
  <c r="L140" i="38"/>
  <c r="AD164" i="38"/>
  <c r="AB136" i="27"/>
  <c r="AI123" i="27"/>
  <c r="F137" i="27" s="1"/>
  <c r="I137" i="27" s="1"/>
  <c r="AA137" i="38"/>
  <c r="E137" i="38" s="1"/>
  <c r="H137" i="38" s="1"/>
  <c r="AE173" i="38"/>
  <c r="AE174" i="38" s="1"/>
  <c r="V177" i="38"/>
  <c r="Y137" i="27"/>
  <c r="Z137" i="27" s="1"/>
  <c r="X138" i="27"/>
  <c r="AJ122" i="27"/>
  <c r="X138" i="38"/>
  <c r="Y137" i="38"/>
  <c r="Z137" i="38" s="1"/>
  <c r="AA138" i="38"/>
  <c r="E138" i="38" s="1"/>
  <c r="H138" i="38" s="1"/>
  <c r="AB137" i="38"/>
  <c r="V179" i="27"/>
  <c r="AD165" i="38"/>
  <c r="AD163" i="37"/>
  <c r="AJ122" i="37"/>
  <c r="AG123" i="37"/>
  <c r="AH123" i="37" s="1"/>
  <c r="AF124" i="37"/>
  <c r="AI123" i="37"/>
  <c r="F137" i="37" s="1"/>
  <c r="I137" i="37" s="1"/>
  <c r="V178" i="37"/>
  <c r="AD162" i="37"/>
  <c r="V183" i="37"/>
  <c r="L136" i="37"/>
  <c r="E123" i="22"/>
  <c r="K123" i="22" s="1"/>
  <c r="W177" i="37"/>
  <c r="AE174" i="37"/>
  <c r="BI127" i="38"/>
  <c r="BJ127" i="38" s="1"/>
  <c r="BE127" i="38"/>
  <c r="BF127" i="38" s="1"/>
  <c r="AZ128" i="38"/>
  <c r="BA127" i="38"/>
  <c r="BB127" i="38" s="1"/>
  <c r="BH128" i="38"/>
  <c r="AW127" i="38"/>
  <c r="AX127" i="38" s="1"/>
  <c r="BI126" i="38"/>
  <c r="BJ126" i="38" s="1"/>
  <c r="AW126" i="38"/>
  <c r="AX126" i="38" s="1"/>
  <c r="BE126" i="38"/>
  <c r="BF126" i="38" s="1"/>
  <c r="CB128" i="38"/>
  <c r="CE128" i="38"/>
  <c r="AV128" i="38"/>
  <c r="BA126" i="38"/>
  <c r="BB126" i="38" s="1"/>
  <c r="AW120" i="27"/>
  <c r="AX120" i="27" s="1"/>
  <c r="CB121" i="27"/>
  <c r="CE121" i="27"/>
  <c r="AV121" i="27"/>
  <c r="BH121" i="27"/>
  <c r="BA120" i="27"/>
  <c r="BB120" i="27" s="1"/>
  <c r="BE119" i="27"/>
  <c r="BF119" i="27" s="1"/>
  <c r="AW119" i="27"/>
  <c r="AX119" i="27" s="1"/>
  <c r="BA119" i="27"/>
  <c r="BB119" i="27" s="1"/>
  <c r="BA121" i="27"/>
  <c r="BB121" i="27" s="1"/>
  <c r="BE120" i="27"/>
  <c r="BF120" i="27" s="1"/>
  <c r="BE124" i="37"/>
  <c r="BF124" i="37" s="1"/>
  <c r="BE123" i="37"/>
  <c r="BF123" i="37" s="1"/>
  <c r="BI124" i="37"/>
  <c r="BJ124" i="37" s="1"/>
  <c r="AW123" i="37"/>
  <c r="AX123" i="37" s="1"/>
  <c r="BA124" i="37"/>
  <c r="BB124" i="37" s="1"/>
  <c r="AW124" i="37"/>
  <c r="AX124" i="37" s="1"/>
  <c r="BI123" i="37"/>
  <c r="BJ123" i="37" s="1"/>
  <c r="BA123" i="37"/>
  <c r="BB123" i="37" s="1"/>
  <c r="L138" i="40"/>
  <c r="M152" i="30"/>
  <c r="L135" i="27"/>
  <c r="M149" i="27"/>
  <c r="T122" i="27"/>
  <c r="L136" i="27"/>
  <c r="AS130" i="38"/>
  <c r="K130" i="38"/>
  <c r="AT130" i="38" s="1"/>
  <c r="K123" i="27"/>
  <c r="AT123" i="27" s="1"/>
  <c r="AS123" i="27"/>
  <c r="K129" i="38"/>
  <c r="AT129" i="38" s="1"/>
  <c r="AS129" i="38"/>
  <c r="T126" i="37"/>
  <c r="T125" i="37"/>
  <c r="M154" i="39"/>
  <c r="M151" i="34"/>
  <c r="M155" i="39"/>
  <c r="M149" i="22"/>
  <c r="AO122" i="22"/>
  <c r="AP121" i="22"/>
  <c r="AQ122" i="22"/>
  <c r="G150" i="22" s="1"/>
  <c r="J150" i="22" s="1"/>
  <c r="AR121" i="22"/>
  <c r="AI121" i="22"/>
  <c r="F135" i="22" s="1"/>
  <c r="AJ120" i="22"/>
  <c r="AB123" i="22"/>
  <c r="V159" i="22"/>
  <c r="V160" i="22"/>
  <c r="AA124" i="22"/>
  <c r="X125" i="22"/>
  <c r="Y124" i="22"/>
  <c r="Z124" i="22" s="1"/>
  <c r="AH120" i="22"/>
  <c r="AG121" i="22"/>
  <c r="W165" i="22"/>
  <c r="AZ119" i="30" l="1"/>
  <c r="BA119" i="30" s="1"/>
  <c r="BB119" i="30" s="1"/>
  <c r="BH123" i="39"/>
  <c r="BI123" i="39" s="1"/>
  <c r="BJ123" i="39" s="1"/>
  <c r="BE120" i="30"/>
  <c r="BF120" i="30" s="1"/>
  <c r="BH120" i="30"/>
  <c r="BE119" i="30"/>
  <c r="BF119" i="30" s="1"/>
  <c r="BH119" i="30"/>
  <c r="BI119" i="30" s="1"/>
  <c r="BI118" i="30"/>
  <c r="BJ118" i="30" s="1"/>
  <c r="AI123" i="30"/>
  <c r="F137" i="30" s="1"/>
  <c r="I137" i="30" s="1"/>
  <c r="K126" i="39"/>
  <c r="AT126" i="39" s="1"/>
  <c r="CB122" i="40"/>
  <c r="K124" i="40"/>
  <c r="AT124" i="40" s="1"/>
  <c r="T123" i="40"/>
  <c r="CB123" i="40" s="1"/>
  <c r="L136" i="30"/>
  <c r="I137" i="39"/>
  <c r="AJ123" i="34"/>
  <c r="AB126" i="39"/>
  <c r="AA127" i="39"/>
  <c r="E127" i="39" s="1"/>
  <c r="H127" i="39" s="1"/>
  <c r="AA138" i="27"/>
  <c r="E138" i="27" s="1"/>
  <c r="AI127" i="38"/>
  <c r="F141" i="38" s="1"/>
  <c r="I141" i="38" s="1"/>
  <c r="J150" i="27"/>
  <c r="M150" i="27"/>
  <c r="BH122" i="27"/>
  <c r="BI122" i="27" s="1"/>
  <c r="BJ122" i="27" s="1"/>
  <c r="BD122" i="27"/>
  <c r="BD123" i="40"/>
  <c r="BE123" i="40" s="1"/>
  <c r="BF123" i="40" s="1"/>
  <c r="AJ124" i="40"/>
  <c r="AI125" i="40"/>
  <c r="F139" i="40" s="1"/>
  <c r="I139" i="40" s="1"/>
  <c r="M153" i="37"/>
  <c r="AI124" i="39"/>
  <c r="F138" i="39" s="1"/>
  <c r="I138" i="39" s="1"/>
  <c r="BD126" i="37"/>
  <c r="BD121" i="30"/>
  <c r="BE121" i="30" s="1"/>
  <c r="BF121" i="30" s="1"/>
  <c r="AJ123" i="39"/>
  <c r="BD125" i="37"/>
  <c r="BH125" i="37" s="1"/>
  <c r="H137" i="37"/>
  <c r="AA125" i="34"/>
  <c r="E125" i="34" s="1"/>
  <c r="H125" i="34" s="1"/>
  <c r="AS125" i="34" s="1"/>
  <c r="AB124" i="34"/>
  <c r="AG125" i="40"/>
  <c r="AH125" i="40" s="1"/>
  <c r="AI126" i="40"/>
  <c r="F140" i="40" s="1"/>
  <c r="I140" i="40" s="1"/>
  <c r="AF126" i="40"/>
  <c r="AJ125" i="40"/>
  <c r="T123" i="34"/>
  <c r="BD123" i="34" s="1"/>
  <c r="AG124" i="34"/>
  <c r="AH124" i="34" s="1"/>
  <c r="AF125" i="34"/>
  <c r="AO123" i="27"/>
  <c r="AP123" i="27" s="1"/>
  <c r="AQ124" i="27"/>
  <c r="G152" i="27" s="1"/>
  <c r="J152" i="27" s="1"/>
  <c r="AN124" i="27"/>
  <c r="AQ123" i="27"/>
  <c r="G151" i="27" s="1"/>
  <c r="J152" i="38"/>
  <c r="M152" i="38"/>
  <c r="AO124" i="38"/>
  <c r="AP124" i="38" s="1"/>
  <c r="AN125" i="38"/>
  <c r="AR124" i="38"/>
  <c r="AG124" i="39"/>
  <c r="AH124" i="39" s="1"/>
  <c r="AF125" i="39"/>
  <c r="AG123" i="30"/>
  <c r="AH123" i="30" s="1"/>
  <c r="AF124" i="30"/>
  <c r="AI124" i="30"/>
  <c r="F138" i="30" s="1"/>
  <c r="AJ123" i="30"/>
  <c r="AO125" i="37"/>
  <c r="AP125" i="37" s="1"/>
  <c r="AN126" i="37"/>
  <c r="H137" i="27"/>
  <c r="Y125" i="40"/>
  <c r="Z125" i="40" s="1"/>
  <c r="X126" i="40"/>
  <c r="AB125" i="40"/>
  <c r="AA126" i="40"/>
  <c r="E126" i="40" s="1"/>
  <c r="H126" i="40" s="1"/>
  <c r="X126" i="34"/>
  <c r="Y125" i="34"/>
  <c r="Z125" i="34" s="1"/>
  <c r="AI124" i="27"/>
  <c r="F138" i="27" s="1"/>
  <c r="I138" i="27" s="1"/>
  <c r="AB137" i="27"/>
  <c r="K123" i="30"/>
  <c r="AT123" i="30" s="1"/>
  <c r="CB121" i="30"/>
  <c r="AZ121" i="30"/>
  <c r="BA121" i="30" s="1"/>
  <c r="BB121" i="30" s="1"/>
  <c r="V170" i="39"/>
  <c r="V162" i="30"/>
  <c r="AB123" i="30"/>
  <c r="AA124" i="30"/>
  <c r="E124" i="30" s="1"/>
  <c r="H124" i="30" s="1"/>
  <c r="Y123" i="30"/>
  <c r="Z123" i="30" s="1"/>
  <c r="X124" i="30"/>
  <c r="W176" i="39"/>
  <c r="W177" i="39" s="1"/>
  <c r="W178" i="39" s="1"/>
  <c r="W151" i="30"/>
  <c r="W152" i="30" s="1"/>
  <c r="W153" i="30" s="1"/>
  <c r="AS122" i="30"/>
  <c r="T122" i="30"/>
  <c r="V169" i="39"/>
  <c r="AS125" i="39"/>
  <c r="T125" i="39"/>
  <c r="AW120" i="30"/>
  <c r="AX85" i="30"/>
  <c r="V167" i="30"/>
  <c r="Y127" i="39"/>
  <c r="Z127" i="39" s="1"/>
  <c r="X128" i="39"/>
  <c r="AJ123" i="37"/>
  <c r="AI124" i="37"/>
  <c r="F138" i="37" s="1"/>
  <c r="I138" i="37" s="1"/>
  <c r="BH123" i="40"/>
  <c r="BI123" i="40" s="1"/>
  <c r="BJ123" i="40" s="1"/>
  <c r="AZ123" i="40"/>
  <c r="BA123" i="40" s="1"/>
  <c r="BB123" i="40" s="1"/>
  <c r="BE122" i="40"/>
  <c r="BF122" i="40" s="1"/>
  <c r="V191" i="40"/>
  <c r="W152" i="40"/>
  <c r="V188" i="40"/>
  <c r="K125" i="40"/>
  <c r="AT125" i="40" s="1"/>
  <c r="AX88" i="40"/>
  <c r="BI122" i="40"/>
  <c r="BJ122" i="40" s="1"/>
  <c r="BA122" i="40"/>
  <c r="BB122" i="40" s="1"/>
  <c r="W154" i="34"/>
  <c r="BE122" i="34"/>
  <c r="BF122" i="34" s="1"/>
  <c r="AX87" i="34"/>
  <c r="AX88" i="34" s="1"/>
  <c r="V190" i="34"/>
  <c r="V191" i="34"/>
  <c r="BI122" i="34"/>
  <c r="BJ122" i="34" s="1"/>
  <c r="BA122" i="34"/>
  <c r="BB122" i="34" s="1"/>
  <c r="Z137" i="37"/>
  <c r="AB137" i="37"/>
  <c r="X139" i="37"/>
  <c r="Y138" i="37"/>
  <c r="AB138" i="37" s="1"/>
  <c r="AA138" i="37"/>
  <c r="E138" i="37" s="1"/>
  <c r="AD166" i="38"/>
  <c r="V179" i="38"/>
  <c r="Y138" i="38"/>
  <c r="Z138" i="38" s="1"/>
  <c r="X139" i="38"/>
  <c r="AA139" i="38"/>
  <c r="E139" i="38" s="1"/>
  <c r="H139" i="38" s="1"/>
  <c r="AB138" i="38"/>
  <c r="AG124" i="27"/>
  <c r="AH124" i="27" s="1"/>
  <c r="AF125" i="27"/>
  <c r="V181" i="27"/>
  <c r="AJ123" i="27"/>
  <c r="AG127" i="38"/>
  <c r="AH127" i="38" s="1"/>
  <c r="AF128" i="38"/>
  <c r="AE175" i="38"/>
  <c r="AE176" i="38" s="1"/>
  <c r="AD163" i="27"/>
  <c r="V182" i="38"/>
  <c r="AD162" i="27"/>
  <c r="W167" i="38"/>
  <c r="W177" i="27"/>
  <c r="Y138" i="27"/>
  <c r="Z138" i="27" s="1"/>
  <c r="X139" i="27"/>
  <c r="V176" i="27"/>
  <c r="AD167" i="38"/>
  <c r="AE153" i="27"/>
  <c r="AD165" i="37"/>
  <c r="AD164" i="37"/>
  <c r="L137" i="37"/>
  <c r="AG124" i="37"/>
  <c r="AH124" i="37" s="1"/>
  <c r="AF125" i="37"/>
  <c r="E124" i="22"/>
  <c r="K124" i="22" s="1"/>
  <c r="AE175" i="37"/>
  <c r="AE176" i="37" s="1"/>
  <c r="AE177" i="37" s="1"/>
  <c r="V185" i="37"/>
  <c r="W178" i="37"/>
  <c r="V180" i="37"/>
  <c r="BE128" i="38"/>
  <c r="BF128" i="38" s="1"/>
  <c r="BA128" i="38"/>
  <c r="BB128" i="38" s="1"/>
  <c r="BM128" i="38"/>
  <c r="BN128" i="38" s="1"/>
  <c r="BI128" i="38"/>
  <c r="BJ128" i="38" s="1"/>
  <c r="AW128" i="38"/>
  <c r="AX128" i="38" s="1"/>
  <c r="AZ122" i="27"/>
  <c r="BI121" i="27"/>
  <c r="BJ121" i="27" s="1"/>
  <c r="BE121" i="27"/>
  <c r="BF121" i="27" s="1"/>
  <c r="AW121" i="27"/>
  <c r="AX121" i="27" s="1"/>
  <c r="CB122" i="27"/>
  <c r="CE122" i="27"/>
  <c r="AV122" i="27"/>
  <c r="CB125" i="37"/>
  <c r="CE125" i="37"/>
  <c r="AV125" i="37"/>
  <c r="AZ125" i="37" s="1"/>
  <c r="BH126" i="37"/>
  <c r="CB126" i="37"/>
  <c r="CE126" i="37"/>
  <c r="AV126" i="37"/>
  <c r="AZ126" i="37" s="1"/>
  <c r="AS125" i="40"/>
  <c r="L138" i="34"/>
  <c r="L137" i="27"/>
  <c r="T130" i="38"/>
  <c r="T129" i="38"/>
  <c r="T123" i="27"/>
  <c r="BD123" i="27" s="1"/>
  <c r="K131" i="38"/>
  <c r="AT131" i="38" s="1"/>
  <c r="AS131" i="38"/>
  <c r="K127" i="37"/>
  <c r="AT127" i="37" s="1"/>
  <c r="K128" i="37"/>
  <c r="AT128" i="37" s="1"/>
  <c r="AS128" i="37"/>
  <c r="AS127" i="37"/>
  <c r="K124" i="34"/>
  <c r="AT124" i="34" s="1"/>
  <c r="AS124" i="34"/>
  <c r="M152" i="40"/>
  <c r="M153" i="40"/>
  <c r="M153" i="30"/>
  <c r="M150" i="22"/>
  <c r="AP122" i="22"/>
  <c r="AR122" i="22"/>
  <c r="AQ123" i="22"/>
  <c r="G151" i="22" s="1"/>
  <c r="J151" i="22" s="1"/>
  <c r="AO123" i="22"/>
  <c r="AI122" i="22"/>
  <c r="F136" i="22" s="1"/>
  <c r="AJ121" i="22"/>
  <c r="V162" i="22"/>
  <c r="V161" i="22"/>
  <c r="AA125" i="22"/>
  <c r="E125" i="22" s="1"/>
  <c r="AB124" i="22"/>
  <c r="X126" i="22"/>
  <c r="Y125" i="22"/>
  <c r="Z125" i="22" s="1"/>
  <c r="AG122" i="22"/>
  <c r="AH121" i="22"/>
  <c r="W166" i="22"/>
  <c r="BJ119" i="30" l="1"/>
  <c r="BI120" i="30"/>
  <c r="BJ120" i="30" s="1"/>
  <c r="AJ124" i="37"/>
  <c r="BH121" i="30"/>
  <c r="BI121" i="30" s="1"/>
  <c r="BJ121" i="30" s="1"/>
  <c r="T126" i="39"/>
  <c r="CB126" i="39" s="1"/>
  <c r="L137" i="30"/>
  <c r="AJ124" i="39"/>
  <c r="AI125" i="39"/>
  <c r="F139" i="39" s="1"/>
  <c r="I139" i="39" s="1"/>
  <c r="T124" i="40"/>
  <c r="BD124" i="40" s="1"/>
  <c r="H138" i="27"/>
  <c r="K127" i="39"/>
  <c r="AT127" i="39" s="1"/>
  <c r="K125" i="34"/>
  <c r="AT125" i="34" s="1"/>
  <c r="L141" i="38"/>
  <c r="L139" i="40"/>
  <c r="AQ125" i="38"/>
  <c r="G153" i="38" s="1"/>
  <c r="J153" i="38" s="1"/>
  <c r="AR123" i="27"/>
  <c r="L138" i="39"/>
  <c r="AZ123" i="34"/>
  <c r="BA123" i="34" s="1"/>
  <c r="BB123" i="34" s="1"/>
  <c r="CB123" i="34"/>
  <c r="BD130" i="38"/>
  <c r="BH123" i="34"/>
  <c r="BI123" i="34" s="1"/>
  <c r="BJ123" i="34" s="1"/>
  <c r="AJ124" i="34"/>
  <c r="AI125" i="34"/>
  <c r="F139" i="34" s="1"/>
  <c r="I139" i="34" s="1"/>
  <c r="BD129" i="38"/>
  <c r="BL129" i="38"/>
  <c r="BL130" i="38"/>
  <c r="H138" i="37"/>
  <c r="AZ126" i="39"/>
  <c r="BA126" i="39" s="1"/>
  <c r="BB126" i="39" s="1"/>
  <c r="BD125" i="39"/>
  <c r="BE125" i="39" s="1"/>
  <c r="BF125" i="39" s="1"/>
  <c r="CB122" i="30"/>
  <c r="BD122" i="30"/>
  <c r="BE122" i="30" s="1"/>
  <c r="BF122" i="30" s="1"/>
  <c r="AA128" i="39"/>
  <c r="E128" i="39" s="1"/>
  <c r="H128" i="39" s="1"/>
  <c r="AS128" i="39" s="1"/>
  <c r="AB127" i="39"/>
  <c r="BD126" i="39"/>
  <c r="BE126" i="39" s="1"/>
  <c r="BF126" i="39" s="1"/>
  <c r="AF126" i="34"/>
  <c r="AG125" i="34"/>
  <c r="AH125" i="34" s="1"/>
  <c r="AF127" i="40"/>
  <c r="AG126" i="40"/>
  <c r="AH126" i="40" s="1"/>
  <c r="T125" i="40"/>
  <c r="AO125" i="38"/>
  <c r="AP125" i="38" s="1"/>
  <c r="AN126" i="38"/>
  <c r="J151" i="27"/>
  <c r="M151" i="27"/>
  <c r="AO124" i="27"/>
  <c r="AP124" i="27" s="1"/>
  <c r="AN125" i="27"/>
  <c r="AQ125" i="27"/>
  <c r="G153" i="27" s="1"/>
  <c r="J153" i="27" s="1"/>
  <c r="AR124" i="27"/>
  <c r="I138" i="30"/>
  <c r="L138" i="30"/>
  <c r="AF125" i="30"/>
  <c r="AG124" i="30"/>
  <c r="AH124" i="30" s="1"/>
  <c r="AJ124" i="30"/>
  <c r="AG125" i="39"/>
  <c r="AH125" i="39" s="1"/>
  <c r="AI126" i="39"/>
  <c r="F140" i="39" s="1"/>
  <c r="AF126" i="39"/>
  <c r="AR125" i="37"/>
  <c r="L138" i="37"/>
  <c r="AQ126" i="37"/>
  <c r="G154" i="37" s="1"/>
  <c r="AO126" i="37"/>
  <c r="AP126" i="37" s="1"/>
  <c r="AN127" i="37"/>
  <c r="AQ127" i="37"/>
  <c r="G155" i="37" s="1"/>
  <c r="J155" i="37" s="1"/>
  <c r="AR126" i="37"/>
  <c r="AB125" i="34"/>
  <c r="AA126" i="34"/>
  <c r="E126" i="34" s="1"/>
  <c r="H126" i="34" s="1"/>
  <c r="X127" i="34"/>
  <c r="Y126" i="34"/>
  <c r="Z126" i="34" s="1"/>
  <c r="Y126" i="40"/>
  <c r="Z126" i="40" s="1"/>
  <c r="X127" i="40"/>
  <c r="AI125" i="27"/>
  <c r="F139" i="27" s="1"/>
  <c r="I139" i="27" s="1"/>
  <c r="AB138" i="27"/>
  <c r="AJ124" i="27"/>
  <c r="Y124" i="30"/>
  <c r="Z124" i="30" s="1"/>
  <c r="X125" i="30"/>
  <c r="V172" i="39"/>
  <c r="AX120" i="30"/>
  <c r="AX86" i="30"/>
  <c r="AZ122" i="30"/>
  <c r="BA122" i="30" s="1"/>
  <c r="BB122" i="30" s="1"/>
  <c r="AZ125" i="39"/>
  <c r="BA125" i="39" s="1"/>
  <c r="BB125" i="39" s="1"/>
  <c r="CB125" i="39"/>
  <c r="BH125" i="39"/>
  <c r="BI125" i="39" s="1"/>
  <c r="BJ125" i="39" s="1"/>
  <c r="W154" i="30"/>
  <c r="X129" i="39"/>
  <c r="Y128" i="39"/>
  <c r="Z128" i="39" s="1"/>
  <c r="AS127" i="39"/>
  <c r="V169" i="30"/>
  <c r="V171" i="39"/>
  <c r="W179" i="39"/>
  <c r="W180" i="39" s="1"/>
  <c r="W181" i="39" s="1"/>
  <c r="W182" i="39" s="1"/>
  <c r="V164" i="30"/>
  <c r="AS123" i="30"/>
  <c r="T123" i="30"/>
  <c r="K124" i="30"/>
  <c r="AT124" i="30" s="1"/>
  <c r="V193" i="40"/>
  <c r="W153" i="40"/>
  <c r="V190" i="40"/>
  <c r="AZ125" i="40"/>
  <c r="BH125" i="40"/>
  <c r="AZ124" i="40"/>
  <c r="BH124" i="40"/>
  <c r="BE123" i="34"/>
  <c r="BF123" i="34" s="1"/>
  <c r="V192" i="34"/>
  <c r="V193" i="34"/>
  <c r="W155" i="34"/>
  <c r="Z138" i="37"/>
  <c r="AA139" i="37"/>
  <c r="E139" i="37" s="1"/>
  <c r="X140" i="37"/>
  <c r="Y139" i="37"/>
  <c r="Y139" i="27"/>
  <c r="Z139" i="27" s="1"/>
  <c r="X140" i="27"/>
  <c r="V183" i="27"/>
  <c r="V178" i="27"/>
  <c r="W178" i="27"/>
  <c r="W179" i="27" s="1"/>
  <c r="W180" i="27" s="1"/>
  <c r="W181" i="27" s="1"/>
  <c r="W182" i="27" s="1"/>
  <c r="W183" i="27" s="1"/>
  <c r="W184" i="27" s="1"/>
  <c r="W185" i="27" s="1"/>
  <c r="V184" i="38"/>
  <c r="AE177" i="38"/>
  <c r="AE178" i="38" s="1"/>
  <c r="AE154" i="27"/>
  <c r="AE155" i="27" s="1"/>
  <c r="X140" i="38"/>
  <c r="Y139" i="38"/>
  <c r="Z139" i="38" s="1"/>
  <c r="AD168" i="38"/>
  <c r="W168" i="38"/>
  <c r="AG128" i="38"/>
  <c r="AH128" i="38" s="1"/>
  <c r="AF129" i="38"/>
  <c r="AD169" i="38"/>
  <c r="AJ127" i="38"/>
  <c r="AG125" i="27"/>
  <c r="AH125" i="27" s="1"/>
  <c r="AF126" i="27"/>
  <c r="V181" i="38"/>
  <c r="AA139" i="27"/>
  <c r="E139" i="27" s="1"/>
  <c r="AD164" i="27"/>
  <c r="AD165" i="27"/>
  <c r="AI128" i="38"/>
  <c r="F142" i="38" s="1"/>
  <c r="I142" i="38" s="1"/>
  <c r="V182" i="37"/>
  <c r="AD166" i="37"/>
  <c r="V187" i="37"/>
  <c r="AG125" i="37"/>
  <c r="AH125" i="37" s="1"/>
  <c r="AI126" i="37"/>
  <c r="F140" i="37" s="1"/>
  <c r="I140" i="37" s="1"/>
  <c r="AJ125" i="37"/>
  <c r="AF126" i="37"/>
  <c r="W179" i="37"/>
  <c r="AI125" i="37"/>
  <c r="F139" i="37" s="1"/>
  <c r="I139" i="37" s="1"/>
  <c r="AD167" i="37"/>
  <c r="AE178" i="37"/>
  <c r="AE179" i="37" s="1"/>
  <c r="CB129" i="38"/>
  <c r="CE129" i="38"/>
  <c r="AV129" i="38"/>
  <c r="BH130" i="38"/>
  <c r="AZ130" i="38"/>
  <c r="BH129" i="38"/>
  <c r="AZ129" i="38"/>
  <c r="CB130" i="38"/>
  <c r="CE130" i="38"/>
  <c r="AV130" i="38"/>
  <c r="CB123" i="27"/>
  <c r="CE123" i="27"/>
  <c r="AV123" i="27"/>
  <c r="BA122" i="27"/>
  <c r="BB122" i="27" s="1"/>
  <c r="AZ123" i="27"/>
  <c r="BH123" i="27"/>
  <c r="BE122" i="27"/>
  <c r="BF122" i="27" s="1"/>
  <c r="AW122" i="27"/>
  <c r="AX122" i="27" s="1"/>
  <c r="BE125" i="37"/>
  <c r="BF125" i="37" s="1"/>
  <c r="BA125" i="37"/>
  <c r="BB125" i="37" s="1"/>
  <c r="AW125" i="37"/>
  <c r="AX125" i="37" s="1"/>
  <c r="BI125" i="37"/>
  <c r="BJ125" i="37" s="1"/>
  <c r="BE126" i="37"/>
  <c r="BF126" i="37" s="1"/>
  <c r="BA126" i="37"/>
  <c r="BB126" i="37" s="1"/>
  <c r="AW126" i="37"/>
  <c r="AX126" i="37" s="1"/>
  <c r="BI126" i="37"/>
  <c r="BJ126" i="37" s="1"/>
  <c r="M154" i="30"/>
  <c r="AS126" i="40"/>
  <c r="L138" i="27"/>
  <c r="K125" i="27"/>
  <c r="AT125" i="27" s="1"/>
  <c r="AS125" i="27"/>
  <c r="K124" i="27"/>
  <c r="AT124" i="27" s="1"/>
  <c r="AS124" i="27"/>
  <c r="T131" i="38"/>
  <c r="K129" i="37"/>
  <c r="AT129" i="37" s="1"/>
  <c r="AS129" i="37"/>
  <c r="T127" i="37"/>
  <c r="BD127" i="37" s="1"/>
  <c r="T128" i="37"/>
  <c r="M156" i="39"/>
  <c r="K126" i="40"/>
  <c r="AT126" i="40" s="1"/>
  <c r="M154" i="40"/>
  <c r="T124" i="34"/>
  <c r="BD124" i="34" s="1"/>
  <c r="M153" i="34"/>
  <c r="M152" i="34"/>
  <c r="M157" i="39"/>
  <c r="M151" i="22"/>
  <c r="AO124" i="22"/>
  <c r="AP123" i="22"/>
  <c r="AQ124" i="22"/>
  <c r="G152" i="22" s="1"/>
  <c r="J152" i="22" s="1"/>
  <c r="AR123" i="22"/>
  <c r="AJ122" i="22"/>
  <c r="AI123" i="22"/>
  <c r="F137" i="22" s="1"/>
  <c r="V163" i="22"/>
  <c r="V164" i="22"/>
  <c r="AA126" i="22"/>
  <c r="E126" i="22" s="1"/>
  <c r="AB125" i="22"/>
  <c r="K125" i="22"/>
  <c r="X127" i="22"/>
  <c r="Y126" i="22"/>
  <c r="Z126" i="22" s="1"/>
  <c r="AH122" i="22"/>
  <c r="AG123" i="22"/>
  <c r="W167" i="22"/>
  <c r="BH122" i="30" l="1"/>
  <c r="BI122" i="30" s="1"/>
  <c r="BJ122" i="30" s="1"/>
  <c r="BH126" i="39"/>
  <c r="BI126" i="39" s="1"/>
  <c r="BJ126" i="39" s="1"/>
  <c r="AJ125" i="39"/>
  <c r="L139" i="39"/>
  <c r="CB124" i="40"/>
  <c r="T125" i="34"/>
  <c r="CB125" i="34" s="1"/>
  <c r="T127" i="39"/>
  <c r="BD127" i="39" s="1"/>
  <c r="BE127" i="39" s="1"/>
  <c r="BF127" i="39" s="1"/>
  <c r="M153" i="38"/>
  <c r="AA127" i="40"/>
  <c r="E127" i="40" s="1"/>
  <c r="H127" i="40" s="1"/>
  <c r="AS127" i="40" s="1"/>
  <c r="L139" i="34"/>
  <c r="AJ126" i="40"/>
  <c r="AI127" i="40"/>
  <c r="F141" i="40" s="1"/>
  <c r="I141" i="40" s="1"/>
  <c r="AB124" i="30"/>
  <c r="H139" i="27"/>
  <c r="AR125" i="38"/>
  <c r="AQ126" i="38"/>
  <c r="G154" i="38" s="1"/>
  <c r="M154" i="38" s="1"/>
  <c r="BL131" i="38"/>
  <c r="CB125" i="40"/>
  <c r="BD125" i="40"/>
  <c r="BE125" i="40" s="1"/>
  <c r="BF125" i="40" s="1"/>
  <c r="BH131" i="38"/>
  <c r="BI131" i="38" s="1"/>
  <c r="BJ131" i="38" s="1"/>
  <c r="BD131" i="38"/>
  <c r="AI129" i="38"/>
  <c r="F143" i="38" s="1"/>
  <c r="I143" i="38" s="1"/>
  <c r="AJ128" i="38"/>
  <c r="BD125" i="34"/>
  <c r="AB126" i="40"/>
  <c r="K128" i="39"/>
  <c r="AT128" i="39" s="1"/>
  <c r="AB128" i="39"/>
  <c r="CB123" i="30"/>
  <c r="BD123" i="30"/>
  <c r="BE123" i="30" s="1"/>
  <c r="BF123" i="30" s="1"/>
  <c r="AA129" i="39"/>
  <c r="E129" i="39" s="1"/>
  <c r="H129" i="39" s="1"/>
  <c r="AS129" i="39" s="1"/>
  <c r="M155" i="37"/>
  <c r="BL128" i="37"/>
  <c r="BD128" i="37"/>
  <c r="BH128" i="37" s="1"/>
  <c r="H139" i="37"/>
  <c r="J154" i="37"/>
  <c r="M154" i="37"/>
  <c r="AA127" i="34"/>
  <c r="E127" i="34" s="1"/>
  <c r="H127" i="34" s="1"/>
  <c r="AS127" i="34" s="1"/>
  <c r="AG127" i="40"/>
  <c r="AH127" i="40" s="1"/>
  <c r="AF128" i="40"/>
  <c r="AJ125" i="34"/>
  <c r="AI126" i="34"/>
  <c r="F140" i="34" s="1"/>
  <c r="I140" i="34" s="1"/>
  <c r="AG126" i="34"/>
  <c r="AH126" i="34" s="1"/>
  <c r="AF127" i="34"/>
  <c r="AJ126" i="34"/>
  <c r="AO125" i="27"/>
  <c r="AP125" i="27" s="1"/>
  <c r="AN126" i="27"/>
  <c r="AR125" i="27"/>
  <c r="AO126" i="38"/>
  <c r="AP126" i="38" s="1"/>
  <c r="AQ127" i="38"/>
  <c r="G155" i="38" s="1"/>
  <c r="AN127" i="38"/>
  <c r="AR126" i="38"/>
  <c r="AG126" i="39"/>
  <c r="AH126" i="39" s="1"/>
  <c r="AF127" i="39"/>
  <c r="I140" i="39"/>
  <c r="L140" i="39"/>
  <c r="AG125" i="30"/>
  <c r="AH125" i="30" s="1"/>
  <c r="AF126" i="30"/>
  <c r="AI125" i="30"/>
  <c r="F139" i="30" s="1"/>
  <c r="AO127" i="37"/>
  <c r="AP127" i="37" s="1"/>
  <c r="AN128" i="37"/>
  <c r="AR127" i="37"/>
  <c r="AZ123" i="30"/>
  <c r="BA123" i="30" s="1"/>
  <c r="BB123" i="30" s="1"/>
  <c r="AB127" i="40"/>
  <c r="X128" i="40"/>
  <c r="Y127" i="40"/>
  <c r="Z127" i="40" s="1"/>
  <c r="AB126" i="34"/>
  <c r="X128" i="34"/>
  <c r="Y127" i="34"/>
  <c r="Z127" i="34" s="1"/>
  <c r="AB127" i="34"/>
  <c r="AB139" i="27"/>
  <c r="AA140" i="27"/>
  <c r="E140" i="27" s="1"/>
  <c r="AS124" i="30"/>
  <c r="T124" i="30"/>
  <c r="V171" i="30"/>
  <c r="Y129" i="39"/>
  <c r="Z129" i="39" s="1"/>
  <c r="X130" i="39"/>
  <c r="W183" i="39"/>
  <c r="Y125" i="30"/>
  <c r="Z125" i="30" s="1"/>
  <c r="X126" i="30"/>
  <c r="V173" i="39"/>
  <c r="BH127" i="39"/>
  <c r="BI127" i="39" s="1"/>
  <c r="BJ127" i="39" s="1"/>
  <c r="AZ127" i="39"/>
  <c r="W155" i="30"/>
  <c r="W156" i="30" s="1"/>
  <c r="V174" i="39"/>
  <c r="AX87" i="30"/>
  <c r="AA125" i="30"/>
  <c r="E125" i="30" s="1"/>
  <c r="H125" i="30" s="1"/>
  <c r="V166" i="30"/>
  <c r="T126" i="40"/>
  <c r="BD126" i="40" s="1"/>
  <c r="BA125" i="40"/>
  <c r="BB125" i="40" s="1"/>
  <c r="V192" i="40"/>
  <c r="V195" i="40"/>
  <c r="BE124" i="40"/>
  <c r="BF124" i="40" s="1"/>
  <c r="W154" i="40"/>
  <c r="BI125" i="40"/>
  <c r="BJ125" i="40" s="1"/>
  <c r="BI124" i="40"/>
  <c r="BJ124" i="40" s="1"/>
  <c r="BA124" i="40"/>
  <c r="BB124" i="40" s="1"/>
  <c r="V195" i="34"/>
  <c r="V194" i="34"/>
  <c r="CB124" i="34"/>
  <c r="BH125" i="34"/>
  <c r="AZ124" i="34"/>
  <c r="BH124" i="34"/>
  <c r="AZ125" i="34"/>
  <c r="W156" i="34"/>
  <c r="Z139" i="37"/>
  <c r="AA140" i="37"/>
  <c r="E140" i="37" s="1"/>
  <c r="H140" i="37" s="1"/>
  <c r="AB139" i="37"/>
  <c r="Y140" i="37"/>
  <c r="X141" i="37"/>
  <c r="Y140" i="38"/>
  <c r="Z140" i="38" s="1"/>
  <c r="X141" i="38"/>
  <c r="AB140" i="38"/>
  <c r="V185" i="27"/>
  <c r="AD166" i="27"/>
  <c r="AD170" i="38"/>
  <c r="AE156" i="27"/>
  <c r="W186" i="27"/>
  <c r="W187" i="27" s="1"/>
  <c r="AG126" i="27"/>
  <c r="AH126" i="27" s="1"/>
  <c r="AF127" i="27"/>
  <c r="AJ126" i="27"/>
  <c r="AE179" i="38"/>
  <c r="AD171" i="38"/>
  <c r="L142" i="38"/>
  <c r="AI126" i="27"/>
  <c r="F140" i="27" s="1"/>
  <c r="I140" i="27" s="1"/>
  <c r="V180" i="27"/>
  <c r="W169" i="38"/>
  <c r="W170" i="38" s="1"/>
  <c r="AD167" i="27"/>
  <c r="AJ125" i="27"/>
  <c r="AG129" i="38"/>
  <c r="AH129" i="38" s="1"/>
  <c r="AF130" i="38"/>
  <c r="AB139" i="38"/>
  <c r="V186" i="38"/>
  <c r="V183" i="38"/>
  <c r="AA140" i="38"/>
  <c r="E140" i="38" s="1"/>
  <c r="H140" i="38" s="1"/>
  <c r="Y140" i="27"/>
  <c r="Z140" i="27" s="1"/>
  <c r="X141" i="27"/>
  <c r="L140" i="37"/>
  <c r="L139" i="37"/>
  <c r="W180" i="37"/>
  <c r="W181" i="37" s="1"/>
  <c r="V189" i="37"/>
  <c r="AE180" i="37"/>
  <c r="AE181" i="37" s="1"/>
  <c r="AE182" i="37" s="1"/>
  <c r="AE183" i="37" s="1"/>
  <c r="V184" i="37"/>
  <c r="AD169" i="37"/>
  <c r="AG126" i="37"/>
  <c r="AH126" i="37" s="1"/>
  <c r="AF127" i="37"/>
  <c r="AD168" i="37"/>
  <c r="BI129" i="38"/>
  <c r="BJ129" i="38" s="1"/>
  <c r="AZ131" i="38"/>
  <c r="BA130" i="38"/>
  <c r="BB130" i="38" s="1"/>
  <c r="BE130" i="38"/>
  <c r="BF130" i="38" s="1"/>
  <c r="BI130" i="38"/>
  <c r="BJ130" i="38" s="1"/>
  <c r="BM130" i="38"/>
  <c r="BN130" i="38" s="1"/>
  <c r="AW129" i="38"/>
  <c r="AX129" i="38" s="1"/>
  <c r="CB131" i="38"/>
  <c r="CE131" i="38"/>
  <c r="AV131" i="38"/>
  <c r="AW130" i="38"/>
  <c r="AX130" i="38" s="1"/>
  <c r="BA129" i="38"/>
  <c r="BB129" i="38" s="1"/>
  <c r="BE129" i="38"/>
  <c r="BF129" i="38" s="1"/>
  <c r="BM129" i="38"/>
  <c r="BN129" i="38" s="1"/>
  <c r="BE123" i="27"/>
  <c r="BF123" i="27" s="1"/>
  <c r="AW123" i="27"/>
  <c r="AX123" i="27" s="1"/>
  <c r="BA123" i="27"/>
  <c r="BB123" i="27" s="1"/>
  <c r="BI123" i="27"/>
  <c r="BJ123" i="27" s="1"/>
  <c r="CB128" i="37"/>
  <c r="CE128" i="37"/>
  <c r="AV128" i="37"/>
  <c r="AZ128" i="37" s="1"/>
  <c r="CB127" i="37"/>
  <c r="CE127" i="37"/>
  <c r="AV127" i="37"/>
  <c r="BH127" i="37"/>
  <c r="AZ127" i="37"/>
  <c r="K126" i="34"/>
  <c r="AT126" i="34" s="1"/>
  <c r="L140" i="40"/>
  <c r="AS126" i="34"/>
  <c r="AS132" i="38"/>
  <c r="L139" i="27"/>
  <c r="K132" i="38"/>
  <c r="AT132" i="38" s="1"/>
  <c r="M153" i="27"/>
  <c r="T124" i="27"/>
  <c r="BD124" i="27" s="1"/>
  <c r="M152" i="27"/>
  <c r="T125" i="27"/>
  <c r="BD125" i="27" s="1"/>
  <c r="AS126" i="27"/>
  <c r="K126" i="27"/>
  <c r="AT126" i="27" s="1"/>
  <c r="T129" i="37"/>
  <c r="BD129" i="37" s="1"/>
  <c r="M154" i="34"/>
  <c r="M155" i="40"/>
  <c r="M152" i="22"/>
  <c r="AP124" i="22"/>
  <c r="AR124" i="22"/>
  <c r="AQ125" i="22"/>
  <c r="G153" i="22" s="1"/>
  <c r="J153" i="22" s="1"/>
  <c r="AO125" i="22"/>
  <c r="AI124" i="22"/>
  <c r="F138" i="22" s="1"/>
  <c r="AJ123" i="22"/>
  <c r="V166" i="22"/>
  <c r="V165" i="22"/>
  <c r="AA127" i="22"/>
  <c r="E127" i="22" s="1"/>
  <c r="AB126" i="22"/>
  <c r="K126" i="22"/>
  <c r="Y127" i="22"/>
  <c r="X128" i="22"/>
  <c r="AG124" i="22"/>
  <c r="AH123" i="22"/>
  <c r="W168" i="22"/>
  <c r="BH123" i="30" l="1"/>
  <c r="BI123" i="30" s="1"/>
  <c r="BJ123" i="30" s="1"/>
  <c r="AA126" i="30"/>
  <c r="E126" i="30" s="1"/>
  <c r="H126" i="30" s="1"/>
  <c r="BQ128" i="37"/>
  <c r="BP128" i="37"/>
  <c r="CB127" i="39"/>
  <c r="J154" i="38"/>
  <c r="L141" i="40"/>
  <c r="K127" i="40"/>
  <c r="AT127" i="40" s="1"/>
  <c r="AA128" i="40"/>
  <c r="E128" i="40" s="1"/>
  <c r="H128" i="40" s="1"/>
  <c r="AS128" i="40" s="1"/>
  <c r="AQ126" i="27"/>
  <c r="G154" i="27" s="1"/>
  <c r="J154" i="27" s="1"/>
  <c r="AI127" i="34"/>
  <c r="F141" i="34" s="1"/>
  <c r="I141" i="34" s="1"/>
  <c r="K127" i="34"/>
  <c r="AT127" i="34" s="1"/>
  <c r="AI128" i="40"/>
  <c r="F142" i="40" s="1"/>
  <c r="I142" i="40" s="1"/>
  <c r="AI127" i="39"/>
  <c r="F141" i="39" s="1"/>
  <c r="I141" i="39" s="1"/>
  <c r="AJ126" i="39"/>
  <c r="T128" i="39"/>
  <c r="CB128" i="39" s="1"/>
  <c r="H140" i="27"/>
  <c r="AA141" i="38"/>
  <c r="E141" i="38" s="1"/>
  <c r="H141" i="38" s="1"/>
  <c r="L143" i="38"/>
  <c r="AI127" i="27"/>
  <c r="F141" i="27" s="1"/>
  <c r="I141" i="27" s="1"/>
  <c r="AJ127" i="40"/>
  <c r="AI126" i="30"/>
  <c r="F140" i="30" s="1"/>
  <c r="I140" i="30" s="1"/>
  <c r="AJ125" i="30"/>
  <c r="K129" i="39"/>
  <c r="AT129" i="39" s="1"/>
  <c r="AQ128" i="37"/>
  <c r="G156" i="37" s="1"/>
  <c r="J156" i="37" s="1"/>
  <c r="AZ124" i="30"/>
  <c r="BA124" i="30" s="1"/>
  <c r="BB124" i="30" s="1"/>
  <c r="BD124" i="30"/>
  <c r="BE124" i="30" s="1"/>
  <c r="BF124" i="30" s="1"/>
  <c r="BL129" i="37"/>
  <c r="L140" i="34"/>
  <c r="AA128" i="34"/>
  <c r="E128" i="34" s="1"/>
  <c r="H128" i="34" s="1"/>
  <c r="AG127" i="34"/>
  <c r="AH127" i="34" s="1"/>
  <c r="AF128" i="34"/>
  <c r="AF129" i="40"/>
  <c r="AI129" i="40"/>
  <c r="F143" i="40" s="1"/>
  <c r="I143" i="40" s="1"/>
  <c r="AG128" i="40"/>
  <c r="AH128" i="40" s="1"/>
  <c r="AO127" i="38"/>
  <c r="AP127" i="38" s="1"/>
  <c r="AN128" i="38"/>
  <c r="AR127" i="38"/>
  <c r="J155" i="38"/>
  <c r="M155" i="38"/>
  <c r="AO126" i="27"/>
  <c r="AP126" i="27" s="1"/>
  <c r="AQ127" i="27"/>
  <c r="G155" i="27" s="1"/>
  <c r="J155" i="27" s="1"/>
  <c r="AN127" i="27"/>
  <c r="I139" i="30"/>
  <c r="L139" i="30"/>
  <c r="AG126" i="30"/>
  <c r="AH126" i="30" s="1"/>
  <c r="AF127" i="30"/>
  <c r="AJ126" i="30"/>
  <c r="AG127" i="39"/>
  <c r="AH127" i="39" s="1"/>
  <c r="AF128" i="39"/>
  <c r="AO128" i="37"/>
  <c r="AP128" i="37" s="1"/>
  <c r="AN129" i="37"/>
  <c r="AQ129" i="37"/>
  <c r="G157" i="37" s="1"/>
  <c r="AR128" i="37"/>
  <c r="Y128" i="40"/>
  <c r="Z128" i="40" s="1"/>
  <c r="X129" i="40"/>
  <c r="AA129" i="40"/>
  <c r="E129" i="40" s="1"/>
  <c r="Y128" i="34"/>
  <c r="Z128" i="34" s="1"/>
  <c r="X129" i="34"/>
  <c r="AA141" i="27"/>
  <c r="E141" i="27" s="1"/>
  <c r="H141" i="27" s="1"/>
  <c r="V175" i="39"/>
  <c r="V173" i="30"/>
  <c r="W157" i="30"/>
  <c r="W158" i="30" s="1"/>
  <c r="W184" i="39"/>
  <c r="W185" i="39" s="1"/>
  <c r="K125" i="30"/>
  <c r="AT125" i="30" s="1"/>
  <c r="BB85" i="39"/>
  <c r="BA127" i="39"/>
  <c r="AB129" i="39"/>
  <c r="V168" i="30"/>
  <c r="AX88" i="30"/>
  <c r="Y126" i="30"/>
  <c r="Z126" i="30" s="1"/>
  <c r="X127" i="30"/>
  <c r="AA130" i="39"/>
  <c r="E130" i="39" s="1"/>
  <c r="H130" i="39" s="1"/>
  <c r="BH124" i="30"/>
  <c r="BI124" i="30" s="1"/>
  <c r="BJ124" i="30" s="1"/>
  <c r="CB124" i="30"/>
  <c r="V176" i="39"/>
  <c r="AB125" i="30"/>
  <c r="X131" i="39"/>
  <c r="Y130" i="39"/>
  <c r="Z130" i="39" s="1"/>
  <c r="V194" i="40"/>
  <c r="V197" i="40"/>
  <c r="W155" i="40"/>
  <c r="CB126" i="40"/>
  <c r="BH126" i="40"/>
  <c r="AZ126" i="40"/>
  <c r="BI125" i="34"/>
  <c r="BJ125" i="34" s="1"/>
  <c r="W157" i="34"/>
  <c r="BI124" i="34"/>
  <c r="BJ124" i="34" s="1"/>
  <c r="BE124" i="34"/>
  <c r="BF124" i="34" s="1"/>
  <c r="V196" i="34"/>
  <c r="BE125" i="34"/>
  <c r="BF125" i="34" s="1"/>
  <c r="V197" i="34"/>
  <c r="BA125" i="34"/>
  <c r="BB125" i="34" s="1"/>
  <c r="BA124" i="34"/>
  <c r="BB124" i="34" s="1"/>
  <c r="Y141" i="37"/>
  <c r="AA142" i="37" s="1"/>
  <c r="E142" i="37" s="1"/>
  <c r="X142" i="37"/>
  <c r="Z140" i="37"/>
  <c r="AA141" i="37"/>
  <c r="E141" i="37" s="1"/>
  <c r="AB140" i="37"/>
  <c r="Y141" i="27"/>
  <c r="Z141" i="27" s="1"/>
  <c r="X142" i="27"/>
  <c r="V188" i="38"/>
  <c r="AD173" i="38"/>
  <c r="AD172" i="38"/>
  <c r="V187" i="27"/>
  <c r="V182" i="27"/>
  <c r="AD169" i="27"/>
  <c r="AJ127" i="27"/>
  <c r="AF128" i="27"/>
  <c r="AG127" i="27"/>
  <c r="AH127" i="27" s="1"/>
  <c r="V185" i="38"/>
  <c r="AE180" i="38"/>
  <c r="AE181" i="38" s="1"/>
  <c r="W188" i="27"/>
  <c r="W189" i="27" s="1"/>
  <c r="W190" i="27" s="1"/>
  <c r="W191" i="27" s="1"/>
  <c r="AD168" i="27"/>
  <c r="AG130" i="38"/>
  <c r="AH130" i="38" s="1"/>
  <c r="AF131" i="38"/>
  <c r="AJ129" i="38"/>
  <c r="W171" i="38"/>
  <c r="W172" i="38" s="1"/>
  <c r="AE157" i="27"/>
  <c r="AE158" i="27" s="1"/>
  <c r="AE159" i="27" s="1"/>
  <c r="AE160" i="27" s="1"/>
  <c r="X142" i="38"/>
  <c r="Y141" i="38"/>
  <c r="Z141" i="38" s="1"/>
  <c r="AB140" i="27"/>
  <c r="AI130" i="38"/>
  <c r="F144" i="38" s="1"/>
  <c r="I144" i="38" s="1"/>
  <c r="W182" i="37"/>
  <c r="W183" i="37" s="1"/>
  <c r="AI127" i="37"/>
  <c r="F141" i="37" s="1"/>
  <c r="I141" i="37" s="1"/>
  <c r="V186" i="37"/>
  <c r="AE184" i="37"/>
  <c r="AE185" i="37" s="1"/>
  <c r="AG127" i="37"/>
  <c r="AH127" i="37" s="1"/>
  <c r="AF128" i="37"/>
  <c r="AJ126" i="37"/>
  <c r="V191" i="37"/>
  <c r="AD170" i="37"/>
  <c r="AD171" i="37"/>
  <c r="T132" i="38"/>
  <c r="BE131" i="38"/>
  <c r="BF131" i="38" s="1"/>
  <c r="BA131" i="38"/>
  <c r="BB131" i="38" s="1"/>
  <c r="AW131" i="38"/>
  <c r="AX131" i="38" s="1"/>
  <c r="BM131" i="38"/>
  <c r="BN131" i="38" s="1"/>
  <c r="CB124" i="27"/>
  <c r="CE124" i="27"/>
  <c r="AV124" i="27"/>
  <c r="AZ125" i="27"/>
  <c r="BH125" i="27"/>
  <c r="BH124" i="27"/>
  <c r="AZ124" i="27"/>
  <c r="CB125" i="27"/>
  <c r="CE125" i="27"/>
  <c r="AV125" i="27"/>
  <c r="AW127" i="37"/>
  <c r="AX127" i="37" s="1"/>
  <c r="BI128" i="37"/>
  <c r="BJ128" i="37" s="1"/>
  <c r="BA127" i="37"/>
  <c r="BB127" i="37" s="1"/>
  <c r="BE127" i="37"/>
  <c r="BF127" i="37" s="1"/>
  <c r="BI127" i="37"/>
  <c r="BJ127" i="37" s="1"/>
  <c r="BE128" i="37"/>
  <c r="BF128" i="37" s="1"/>
  <c r="BM128" i="37"/>
  <c r="BN128" i="37" s="1"/>
  <c r="BA128" i="37"/>
  <c r="BB128" i="37" s="1"/>
  <c r="AW128" i="37"/>
  <c r="AX128" i="37" s="1"/>
  <c r="BH129" i="37"/>
  <c r="CB129" i="37"/>
  <c r="CE129" i="37"/>
  <c r="AV129" i="37"/>
  <c r="AZ129" i="37"/>
  <c r="T126" i="34"/>
  <c r="BD126" i="34" s="1"/>
  <c r="T126" i="27"/>
  <c r="L140" i="27"/>
  <c r="AS134" i="38"/>
  <c r="K134" i="38"/>
  <c r="AT134" i="38" s="1"/>
  <c r="AS133" i="38"/>
  <c r="K133" i="38"/>
  <c r="AT133" i="38" s="1"/>
  <c r="AS130" i="37"/>
  <c r="K130" i="37"/>
  <c r="AT130" i="37" s="1"/>
  <c r="M158" i="39"/>
  <c r="M159" i="39"/>
  <c r="M155" i="34"/>
  <c r="M156" i="40"/>
  <c r="M155" i="30"/>
  <c r="M153" i="22"/>
  <c r="AO126" i="22"/>
  <c r="AP125" i="22"/>
  <c r="AR125" i="22"/>
  <c r="AQ126" i="22"/>
  <c r="G154" i="22" s="1"/>
  <c r="J154" i="22" s="1"/>
  <c r="AI125" i="22"/>
  <c r="F139" i="22" s="1"/>
  <c r="AJ124" i="22"/>
  <c r="AB127" i="22"/>
  <c r="V167" i="22"/>
  <c r="V168" i="22"/>
  <c r="AA128" i="22"/>
  <c r="Z127" i="22"/>
  <c r="K127" i="22"/>
  <c r="X129" i="22"/>
  <c r="Y128" i="22"/>
  <c r="Z128" i="22" s="1"/>
  <c r="AH124" i="22"/>
  <c r="AG125" i="22"/>
  <c r="W169" i="22"/>
  <c r="K126" i="30" l="1"/>
  <c r="AT126" i="30" s="1"/>
  <c r="BR128" i="37"/>
  <c r="BP129" i="37"/>
  <c r="BQ129" i="37" s="1"/>
  <c r="BL128" i="39"/>
  <c r="BD128" i="39"/>
  <c r="M154" i="27"/>
  <c r="T127" i="34"/>
  <c r="CB127" i="34" s="1"/>
  <c r="T127" i="40"/>
  <c r="BD127" i="40" s="1"/>
  <c r="BE127" i="40" s="1"/>
  <c r="BF127" i="40" s="1"/>
  <c r="L140" i="30"/>
  <c r="K128" i="40"/>
  <c r="AT128" i="40" s="1"/>
  <c r="L141" i="39"/>
  <c r="L142" i="40"/>
  <c r="L141" i="34"/>
  <c r="AQ128" i="38"/>
  <c r="G156" i="38" s="1"/>
  <c r="M156" i="38" s="1"/>
  <c r="AJ128" i="40"/>
  <c r="AJ127" i="39"/>
  <c r="AI128" i="39"/>
  <c r="F142" i="39" s="1"/>
  <c r="L142" i="39" s="1"/>
  <c r="AZ126" i="27"/>
  <c r="BA126" i="27" s="1"/>
  <c r="BB126" i="27" s="1"/>
  <c r="BD126" i="27"/>
  <c r="AZ127" i="40"/>
  <c r="BA127" i="40" s="1"/>
  <c r="BB86" i="40" s="1"/>
  <c r="CB132" i="38"/>
  <c r="BD132" i="38"/>
  <c r="BE132" i="38" s="1"/>
  <c r="BF132" i="38" s="1"/>
  <c r="BL132" i="38"/>
  <c r="BM132" i="38" s="1"/>
  <c r="BN132" i="38" s="1"/>
  <c r="BL128" i="40"/>
  <c r="BD128" i="40"/>
  <c r="BD127" i="34"/>
  <c r="BH127" i="40"/>
  <c r="BI127" i="40" s="1"/>
  <c r="BJ127" i="40" s="1"/>
  <c r="AJ127" i="34"/>
  <c r="AR126" i="27"/>
  <c r="AI128" i="34"/>
  <c r="F142" i="34" s="1"/>
  <c r="I142" i="34" s="1"/>
  <c r="T129" i="39"/>
  <c r="BD129" i="39" s="1"/>
  <c r="BE129" i="39" s="1"/>
  <c r="BF129" i="39" s="1"/>
  <c r="M156" i="37"/>
  <c r="J157" i="37"/>
  <c r="M157" i="37"/>
  <c r="H141" i="37"/>
  <c r="AG129" i="40"/>
  <c r="AH129" i="40" s="1"/>
  <c r="AI130" i="40"/>
  <c r="F144" i="40" s="1"/>
  <c r="I144" i="40" s="1"/>
  <c r="AF130" i="40"/>
  <c r="AG128" i="34"/>
  <c r="AH128" i="34" s="1"/>
  <c r="AF129" i="34"/>
  <c r="L143" i="40"/>
  <c r="AO127" i="27"/>
  <c r="AP127" i="27" s="1"/>
  <c r="AN128" i="27"/>
  <c r="AO128" i="38"/>
  <c r="AP128" i="38" s="1"/>
  <c r="AN129" i="38"/>
  <c r="AQ129" i="38"/>
  <c r="G157" i="38" s="1"/>
  <c r="AR128" i="38"/>
  <c r="AZ132" i="38"/>
  <c r="BA132" i="38" s="1"/>
  <c r="BB132" i="38" s="1"/>
  <c r="AG128" i="39"/>
  <c r="AH128" i="39" s="1"/>
  <c r="AF129" i="39"/>
  <c r="AG127" i="30"/>
  <c r="AH127" i="30" s="1"/>
  <c r="AF128" i="30"/>
  <c r="AI127" i="30"/>
  <c r="F141" i="30" s="1"/>
  <c r="AI128" i="37"/>
  <c r="F142" i="37" s="1"/>
  <c r="I142" i="37" s="1"/>
  <c r="AO129" i="37"/>
  <c r="AP129" i="37" s="1"/>
  <c r="AN130" i="37"/>
  <c r="AJ127" i="37"/>
  <c r="K129" i="40"/>
  <c r="AT129" i="40" s="1"/>
  <c r="H129" i="40"/>
  <c r="AV132" i="38"/>
  <c r="AW132" i="38" s="1"/>
  <c r="AX132" i="38" s="1"/>
  <c r="X130" i="34"/>
  <c r="Y129" i="34"/>
  <c r="Z129" i="34" s="1"/>
  <c r="AA129" i="34"/>
  <c r="E129" i="34" s="1"/>
  <c r="H129" i="34" s="1"/>
  <c r="AB128" i="34"/>
  <c r="AB128" i="40"/>
  <c r="X130" i="40"/>
  <c r="Y129" i="40"/>
  <c r="Z129" i="40" s="1"/>
  <c r="AB129" i="40"/>
  <c r="AI128" i="27"/>
  <c r="F142" i="27" s="1"/>
  <c r="I142" i="27" s="1"/>
  <c r="AA142" i="27"/>
  <c r="E142" i="27" s="1"/>
  <c r="AA142" i="38"/>
  <c r="E142" i="38" s="1"/>
  <c r="H142" i="38" s="1"/>
  <c r="AB141" i="27"/>
  <c r="AB141" i="38"/>
  <c r="V178" i="39"/>
  <c r="AA127" i="30"/>
  <c r="E127" i="30" s="1"/>
  <c r="H127" i="30" s="1"/>
  <c r="V177" i="39"/>
  <c r="AB126" i="30"/>
  <c r="AS125" i="30"/>
  <c r="T125" i="30"/>
  <c r="BD125" i="30" s="1"/>
  <c r="Y131" i="39"/>
  <c r="Z131" i="39" s="1"/>
  <c r="AA132" i="39"/>
  <c r="E132" i="39" s="1"/>
  <c r="AB131" i="39"/>
  <c r="X132" i="39"/>
  <c r="BB86" i="39"/>
  <c r="BB127" i="39"/>
  <c r="W159" i="30"/>
  <c r="AA131" i="39"/>
  <c r="E131" i="39" s="1"/>
  <c r="H131" i="39" s="1"/>
  <c r="Y127" i="30"/>
  <c r="Z127" i="30" s="1"/>
  <c r="X128" i="30"/>
  <c r="AB130" i="39"/>
  <c r="V175" i="30"/>
  <c r="W186" i="39"/>
  <c r="W187" i="39" s="1"/>
  <c r="K130" i="39"/>
  <c r="AT130" i="39" s="1"/>
  <c r="V170" i="30"/>
  <c r="AS126" i="30"/>
  <c r="T126" i="30"/>
  <c r="BA126" i="40"/>
  <c r="BB126" i="40" s="1"/>
  <c r="BH128" i="40"/>
  <c r="BE126" i="40"/>
  <c r="BF126" i="40" s="1"/>
  <c r="V196" i="40"/>
  <c r="W156" i="40"/>
  <c r="BI126" i="40"/>
  <c r="BJ126" i="40" s="1"/>
  <c r="V199" i="40"/>
  <c r="CB126" i="34"/>
  <c r="BH126" i="34"/>
  <c r="AZ127" i="34"/>
  <c r="BH127" i="34"/>
  <c r="AZ126" i="34"/>
  <c r="W158" i="34"/>
  <c r="V199" i="34"/>
  <c r="V198" i="34"/>
  <c r="AA143" i="37"/>
  <c r="E143" i="37" s="1"/>
  <c r="Y142" i="37"/>
  <c r="Z142" i="37" s="1"/>
  <c r="X143" i="37"/>
  <c r="Z141" i="37"/>
  <c r="AB141" i="37"/>
  <c r="BH132" i="38"/>
  <c r="BI132" i="38" s="1"/>
  <c r="BJ132" i="38" s="1"/>
  <c r="X143" i="38"/>
  <c r="Y142" i="38"/>
  <c r="Z142" i="38" s="1"/>
  <c r="AB142" i="38"/>
  <c r="AA143" i="38"/>
  <c r="E143" i="38" s="1"/>
  <c r="H143" i="38" s="1"/>
  <c r="AG131" i="38"/>
  <c r="AH131" i="38" s="1"/>
  <c r="AI132" i="38"/>
  <c r="F146" i="38" s="1"/>
  <c r="I146" i="38" s="1"/>
  <c r="AF132" i="38"/>
  <c r="AE182" i="38"/>
  <c r="AE183" i="38" s="1"/>
  <c r="AE184" i="38" s="1"/>
  <c r="AE185" i="38" s="1"/>
  <c r="AE186" i="38" s="1"/>
  <c r="AE161" i="27"/>
  <c r="AE162" i="27" s="1"/>
  <c r="AD170" i="27"/>
  <c r="V187" i="38"/>
  <c r="AD171" i="27"/>
  <c r="L144" i="38"/>
  <c r="W173" i="38"/>
  <c r="V189" i="27"/>
  <c r="AD175" i="38"/>
  <c r="Y142" i="27"/>
  <c r="Z142" i="27" s="1"/>
  <c r="X143" i="27"/>
  <c r="AB142" i="27"/>
  <c r="AA143" i="27"/>
  <c r="E143" i="27" s="1"/>
  <c r="AI131" i="38"/>
  <c r="F145" i="38" s="1"/>
  <c r="I145" i="38" s="1"/>
  <c r="W192" i="27"/>
  <c r="AJ130" i="38"/>
  <c r="AF129" i="27"/>
  <c r="AG128" i="27"/>
  <c r="AH128" i="27" s="1"/>
  <c r="V184" i="27"/>
  <c r="AD174" i="38"/>
  <c r="V190" i="38"/>
  <c r="AD173" i="37"/>
  <c r="V193" i="37"/>
  <c r="L141" i="37"/>
  <c r="AE186" i="37"/>
  <c r="AE187" i="37" s="1"/>
  <c r="W184" i="37"/>
  <c r="W185" i="37" s="1"/>
  <c r="AD172" i="37"/>
  <c r="V188" i="37"/>
  <c r="AG128" i="37"/>
  <c r="AH128" i="37" s="1"/>
  <c r="AF129" i="37"/>
  <c r="E128" i="22"/>
  <c r="K128" i="22" s="1"/>
  <c r="CE132" i="38"/>
  <c r="BE125" i="27"/>
  <c r="BF125" i="27" s="1"/>
  <c r="AW125" i="27"/>
  <c r="AX125" i="27" s="1"/>
  <c r="BH126" i="27"/>
  <c r="BE124" i="27"/>
  <c r="BF124" i="27" s="1"/>
  <c r="AW124" i="27"/>
  <c r="AX124" i="27" s="1"/>
  <c r="CB126" i="27"/>
  <c r="CE126" i="27"/>
  <c r="AV126" i="27"/>
  <c r="BI124" i="27"/>
  <c r="BJ124" i="27" s="1"/>
  <c r="BA124" i="27"/>
  <c r="BB124" i="27" s="1"/>
  <c r="BI125" i="27"/>
  <c r="BJ125" i="27" s="1"/>
  <c r="BA125" i="27"/>
  <c r="BB125" i="27" s="1"/>
  <c r="BM129" i="37"/>
  <c r="BN129" i="37" s="1"/>
  <c r="BA129" i="37"/>
  <c r="BB129" i="37" s="1"/>
  <c r="BE129" i="37"/>
  <c r="BF129" i="37" s="1"/>
  <c r="BI129" i="37"/>
  <c r="BJ129" i="37" s="1"/>
  <c r="AW129" i="37"/>
  <c r="AX129" i="37" s="1"/>
  <c r="M160" i="39"/>
  <c r="T133" i="38"/>
  <c r="BD133" i="38" s="1"/>
  <c r="K127" i="27"/>
  <c r="AT127" i="27" s="1"/>
  <c r="AS127" i="27"/>
  <c r="AS135" i="38"/>
  <c r="K135" i="38"/>
  <c r="AT135" i="38" s="1"/>
  <c r="T134" i="38"/>
  <c r="T130" i="37"/>
  <c r="AS131" i="37"/>
  <c r="K131" i="37"/>
  <c r="AT131" i="37" s="1"/>
  <c r="AS132" i="37"/>
  <c r="K132" i="37"/>
  <c r="AT132" i="37" s="1"/>
  <c r="M156" i="30"/>
  <c r="K128" i="34"/>
  <c r="AT128" i="34" s="1"/>
  <c r="AS128" i="34"/>
  <c r="M157" i="40"/>
  <c r="M157" i="30"/>
  <c r="M154" i="22"/>
  <c r="AP126" i="22"/>
  <c r="AR126" i="22"/>
  <c r="AQ127" i="22"/>
  <c r="AO127" i="22"/>
  <c r="AO128" i="22"/>
  <c r="AI126" i="22"/>
  <c r="F140" i="22" s="1"/>
  <c r="AJ125" i="22"/>
  <c r="AB128" i="22"/>
  <c r="V169" i="22"/>
  <c r="AA129" i="22"/>
  <c r="E129" i="22" s="1"/>
  <c r="V170" i="22"/>
  <c r="L129" i="22"/>
  <c r="X130" i="22"/>
  <c r="Y129" i="22"/>
  <c r="Z129" i="22" s="1"/>
  <c r="AG126" i="22"/>
  <c r="AH125" i="22"/>
  <c r="W170" i="22"/>
  <c r="BR129" i="37" l="1"/>
  <c r="BE128" i="39"/>
  <c r="BF128" i="39" s="1"/>
  <c r="BH128" i="39"/>
  <c r="BI128" i="39" s="1"/>
  <c r="BJ128" i="39" s="1"/>
  <c r="BM128" i="39"/>
  <c r="BN128" i="39" s="1"/>
  <c r="BP128" i="39"/>
  <c r="BQ128" i="39" s="1"/>
  <c r="AB142" i="37"/>
  <c r="AJ127" i="30"/>
  <c r="L144" i="40"/>
  <c r="CB127" i="40"/>
  <c r="J156" i="38"/>
  <c r="T128" i="40"/>
  <c r="CB128" i="40" s="1"/>
  <c r="I142" i="39"/>
  <c r="BB85" i="40"/>
  <c r="AA130" i="40"/>
  <c r="E130" i="40" s="1"/>
  <c r="H130" i="40" s="1"/>
  <c r="AS130" i="40" s="1"/>
  <c r="AR129" i="37"/>
  <c r="AQ130" i="37"/>
  <c r="G158" i="37" s="1"/>
  <c r="J158" i="37" s="1"/>
  <c r="BL134" i="38"/>
  <c r="T129" i="40"/>
  <c r="BD129" i="40" s="1"/>
  <c r="L142" i="34"/>
  <c r="H142" i="27"/>
  <c r="AJ129" i="40"/>
  <c r="BL129" i="40"/>
  <c r="BM129" i="40" s="1"/>
  <c r="BN129" i="40" s="1"/>
  <c r="BL133" i="38"/>
  <c r="AQ128" i="27"/>
  <c r="G156" i="27" s="1"/>
  <c r="J156" i="27" s="1"/>
  <c r="BD134" i="38"/>
  <c r="AJ128" i="34"/>
  <c r="AI129" i="34"/>
  <c r="F143" i="34" s="1"/>
  <c r="I143" i="34" s="1"/>
  <c r="BL129" i="39"/>
  <c r="BH129" i="39"/>
  <c r="BI129" i="39" s="1"/>
  <c r="BJ129" i="39" s="1"/>
  <c r="CB129" i="39"/>
  <c r="CB126" i="30"/>
  <c r="BD126" i="30"/>
  <c r="BE126" i="30" s="1"/>
  <c r="BF126" i="30" s="1"/>
  <c r="AJ128" i="39"/>
  <c r="AI129" i="39"/>
  <c r="F143" i="39" s="1"/>
  <c r="L143" i="39" s="1"/>
  <c r="BD130" i="37"/>
  <c r="BH130" i="37" s="1"/>
  <c r="BL130" i="37"/>
  <c r="AS129" i="40"/>
  <c r="H142" i="37"/>
  <c r="L142" i="37"/>
  <c r="AG129" i="34"/>
  <c r="AH129" i="34" s="1"/>
  <c r="AF130" i="34"/>
  <c r="AG130" i="40"/>
  <c r="AH130" i="40" s="1"/>
  <c r="AF131" i="40"/>
  <c r="J157" i="38"/>
  <c r="M157" i="38"/>
  <c r="AO129" i="38"/>
  <c r="AP129" i="38" s="1"/>
  <c r="AN130" i="38"/>
  <c r="AR127" i="27"/>
  <c r="AO128" i="27"/>
  <c r="AP128" i="27" s="1"/>
  <c r="AN129" i="27"/>
  <c r="AR128" i="27"/>
  <c r="H132" i="39"/>
  <c r="AS132" i="39" s="1"/>
  <c r="I141" i="30"/>
  <c r="L141" i="30"/>
  <c r="AI128" i="30"/>
  <c r="F142" i="30" s="1"/>
  <c r="AF129" i="30"/>
  <c r="AG128" i="30"/>
  <c r="AH128" i="30" s="1"/>
  <c r="AJ128" i="30"/>
  <c r="K132" i="39"/>
  <c r="AT132" i="39" s="1"/>
  <c r="AG129" i="39"/>
  <c r="AH129" i="39" s="1"/>
  <c r="AF130" i="39"/>
  <c r="G155" i="22"/>
  <c r="J155" i="22" s="1"/>
  <c r="AO130" i="37"/>
  <c r="AP130" i="37" s="1"/>
  <c r="AN131" i="37"/>
  <c r="AQ131" i="37"/>
  <c r="G159" i="37" s="1"/>
  <c r="J159" i="37" s="1"/>
  <c r="X131" i="34"/>
  <c r="Y130" i="34"/>
  <c r="Z130" i="34" s="1"/>
  <c r="AA130" i="34"/>
  <c r="E130" i="34" s="1"/>
  <c r="H130" i="34" s="1"/>
  <c r="AB130" i="40"/>
  <c r="Y130" i="40"/>
  <c r="Z130" i="40" s="1"/>
  <c r="AA131" i="40"/>
  <c r="E131" i="40" s="1"/>
  <c r="X131" i="40"/>
  <c r="AB129" i="34"/>
  <c r="AJ131" i="38"/>
  <c r="W188" i="39"/>
  <c r="W189" i="39" s="1"/>
  <c r="W190" i="39" s="1"/>
  <c r="W191" i="39" s="1"/>
  <c r="W192" i="39" s="1"/>
  <c r="W193" i="39" s="1"/>
  <c r="W194" i="39" s="1"/>
  <c r="X133" i="39"/>
  <c r="Y132" i="39"/>
  <c r="Z132" i="39" s="1"/>
  <c r="AB127" i="30"/>
  <c r="K131" i="39"/>
  <c r="AT131" i="39" s="1"/>
  <c r="K127" i="30"/>
  <c r="AT127" i="30" s="1"/>
  <c r="V172" i="30"/>
  <c r="W160" i="30"/>
  <c r="CB125" i="30"/>
  <c r="AZ126" i="30"/>
  <c r="BA126" i="30" s="1"/>
  <c r="BB126" i="30" s="1"/>
  <c r="AZ125" i="30"/>
  <c r="BA125" i="30" s="1"/>
  <c r="BB125" i="30" s="1"/>
  <c r="BE125" i="30"/>
  <c r="BF125" i="30" s="1"/>
  <c r="BH125" i="30"/>
  <c r="BI125" i="30" s="1"/>
  <c r="BJ125" i="30" s="1"/>
  <c r="V180" i="39"/>
  <c r="V177" i="30"/>
  <c r="T130" i="39"/>
  <c r="AS130" i="39"/>
  <c r="BB87" i="39"/>
  <c r="AA128" i="30"/>
  <c r="E128" i="30" s="1"/>
  <c r="H128" i="30" s="1"/>
  <c r="Y128" i="30"/>
  <c r="Z128" i="30" s="1"/>
  <c r="X129" i="30"/>
  <c r="V179" i="39"/>
  <c r="BB127" i="40"/>
  <c r="BB87" i="40" s="1"/>
  <c r="BM128" i="40"/>
  <c r="BN128" i="40" s="1"/>
  <c r="W157" i="40"/>
  <c r="BE128" i="40"/>
  <c r="BF128" i="40" s="1"/>
  <c r="V198" i="40"/>
  <c r="V201" i="40"/>
  <c r="BH129" i="40"/>
  <c r="BI128" i="40"/>
  <c r="BJ128" i="40" s="1"/>
  <c r="BI127" i="34"/>
  <c r="BJ127" i="34" s="1"/>
  <c r="W159" i="34"/>
  <c r="BB85" i="34"/>
  <c r="BA127" i="34"/>
  <c r="BB86" i="34" s="1"/>
  <c r="BE127" i="34"/>
  <c r="BF127" i="34" s="1"/>
  <c r="BI126" i="34"/>
  <c r="BJ126" i="34" s="1"/>
  <c r="V201" i="34"/>
  <c r="V200" i="34"/>
  <c r="BE126" i="34"/>
  <c r="BF126" i="34" s="1"/>
  <c r="BA126" i="34"/>
  <c r="BB126" i="34" s="1"/>
  <c r="Y143" i="37"/>
  <c r="Z143" i="37" s="1"/>
  <c r="X144" i="37"/>
  <c r="V191" i="27"/>
  <c r="AD173" i="27"/>
  <c r="AD172" i="27"/>
  <c r="AG132" i="38"/>
  <c r="AH132" i="38" s="1"/>
  <c r="AI133" i="38"/>
  <c r="F147" i="38" s="1"/>
  <c r="I147" i="38" s="1"/>
  <c r="AJ132" i="38"/>
  <c r="AF133" i="38"/>
  <c r="L146" i="38"/>
  <c r="AJ128" i="27"/>
  <c r="Y143" i="27"/>
  <c r="Z143" i="27" s="1"/>
  <c r="X144" i="27"/>
  <c r="AA144" i="27"/>
  <c r="E144" i="27" s="1"/>
  <c r="AB143" i="27"/>
  <c r="V192" i="38"/>
  <c r="AI129" i="27"/>
  <c r="F143" i="27" s="1"/>
  <c r="I143" i="27" s="1"/>
  <c r="V186" i="27"/>
  <c r="AD177" i="38"/>
  <c r="W174" i="38"/>
  <c r="W175" i="38" s="1"/>
  <c r="W176" i="38" s="1"/>
  <c r="V189" i="38"/>
  <c r="AE163" i="27"/>
  <c r="W193" i="27"/>
  <c r="W194" i="27" s="1"/>
  <c r="W195" i="27" s="1"/>
  <c r="AE187" i="38"/>
  <c r="AE188" i="38" s="1"/>
  <c r="AE189" i="38" s="1"/>
  <c r="AE190" i="38" s="1"/>
  <c r="AF130" i="27"/>
  <c r="AG129" i="27"/>
  <c r="AH129" i="27" s="1"/>
  <c r="AD176" i="38"/>
  <c r="L145" i="38"/>
  <c r="X144" i="38"/>
  <c r="Y143" i="38"/>
  <c r="Z143" i="38" s="1"/>
  <c r="AA144" i="38"/>
  <c r="E144" i="38" s="1"/>
  <c r="H144" i="38" s="1"/>
  <c r="V190" i="37"/>
  <c r="AE188" i="37"/>
  <c r="AE189" i="37" s="1"/>
  <c r="AD175" i="37"/>
  <c r="W186" i="37"/>
  <c r="W187" i="37" s="1"/>
  <c r="AG129" i="37"/>
  <c r="AH129" i="37" s="1"/>
  <c r="AF130" i="37"/>
  <c r="AI129" i="37"/>
  <c r="F143" i="37" s="1"/>
  <c r="I143" i="37" s="1"/>
  <c r="AD174" i="37"/>
  <c r="AJ128" i="37"/>
  <c r="V195" i="37"/>
  <c r="CB133" i="38"/>
  <c r="CE133" i="38"/>
  <c r="AV133" i="38"/>
  <c r="BH134" i="38"/>
  <c r="AZ134" i="38"/>
  <c r="AZ133" i="38"/>
  <c r="BH133" i="38"/>
  <c r="CB134" i="38"/>
  <c r="CE134" i="38"/>
  <c r="AV134" i="38"/>
  <c r="BE126" i="27"/>
  <c r="BF126" i="27" s="1"/>
  <c r="AW126" i="27"/>
  <c r="AX126" i="27" s="1"/>
  <c r="BI126" i="27"/>
  <c r="BJ126" i="27" s="1"/>
  <c r="CB130" i="37"/>
  <c r="CE130" i="37"/>
  <c r="AV130" i="37"/>
  <c r="AZ130" i="37" s="1"/>
  <c r="M155" i="27"/>
  <c r="L141" i="27"/>
  <c r="K129" i="27"/>
  <c r="AT129" i="27" s="1"/>
  <c r="AS129" i="27"/>
  <c r="T135" i="38"/>
  <c r="K128" i="27"/>
  <c r="AT128" i="27" s="1"/>
  <c r="AS128" i="27"/>
  <c r="T127" i="27"/>
  <c r="BD127" i="27" s="1"/>
  <c r="T132" i="37"/>
  <c r="T131" i="37"/>
  <c r="BD131" i="37" s="1"/>
  <c r="M161" i="39"/>
  <c r="M156" i="34"/>
  <c r="M158" i="40"/>
  <c r="K129" i="34"/>
  <c r="AT129" i="34" s="1"/>
  <c r="AS129" i="34"/>
  <c r="T128" i="34"/>
  <c r="AP128" i="22"/>
  <c r="AR128" i="22"/>
  <c r="AQ129" i="22"/>
  <c r="G157" i="22" s="1"/>
  <c r="J157" i="22" s="1"/>
  <c r="AP127" i="22"/>
  <c r="AQ128" i="22"/>
  <c r="AR127" i="22"/>
  <c r="AI127" i="22"/>
  <c r="F141" i="22" s="1"/>
  <c r="AJ126" i="22"/>
  <c r="V172" i="22"/>
  <c r="V171" i="22"/>
  <c r="K129" i="22"/>
  <c r="AA130" i="22"/>
  <c r="E130" i="22" s="1"/>
  <c r="AB129" i="22"/>
  <c r="L130" i="22"/>
  <c r="X131" i="22"/>
  <c r="Y130" i="22"/>
  <c r="Z130" i="22" s="1"/>
  <c r="AH126" i="22"/>
  <c r="AG127" i="22"/>
  <c r="W171" i="22"/>
  <c r="BP130" i="37" l="1"/>
  <c r="BM129" i="39"/>
  <c r="BN129" i="39" s="1"/>
  <c r="BP129" i="39"/>
  <c r="BR128" i="39"/>
  <c r="BH126" i="30"/>
  <c r="BI126" i="30" s="1"/>
  <c r="BJ126" i="30" s="1"/>
  <c r="AI130" i="39"/>
  <c r="F144" i="39" s="1"/>
  <c r="I144" i="39" s="1"/>
  <c r="CB129" i="40"/>
  <c r="K130" i="40"/>
  <c r="L143" i="34"/>
  <c r="AI131" i="40"/>
  <c r="F145" i="40" s="1"/>
  <c r="I145" i="40" s="1"/>
  <c r="AI130" i="34"/>
  <c r="F144" i="34" s="1"/>
  <c r="I144" i="34" s="1"/>
  <c r="AJ129" i="27"/>
  <c r="AJ130" i="40"/>
  <c r="AB128" i="30"/>
  <c r="M158" i="37"/>
  <c r="I143" i="39"/>
  <c r="BL130" i="40"/>
  <c r="BL128" i="34"/>
  <c r="BD128" i="34"/>
  <c r="M156" i="27"/>
  <c r="AJ129" i="34"/>
  <c r="AR129" i="38"/>
  <c r="AQ130" i="38"/>
  <c r="G158" i="38" s="1"/>
  <c r="J158" i="38" s="1"/>
  <c r="BD130" i="40"/>
  <c r="BD135" i="38"/>
  <c r="BL135" i="38"/>
  <c r="BM135" i="38" s="1"/>
  <c r="BN135" i="38" s="1"/>
  <c r="AR130" i="37"/>
  <c r="M159" i="37"/>
  <c r="BD130" i="39"/>
  <c r="BE130" i="39" s="1"/>
  <c r="BF130" i="39" s="1"/>
  <c r="BL130" i="39"/>
  <c r="BL131" i="37"/>
  <c r="BL132" i="37"/>
  <c r="BD132" i="37"/>
  <c r="BH132" i="37" s="1"/>
  <c r="BI132" i="37" s="1"/>
  <c r="BJ132" i="37" s="1"/>
  <c r="H143" i="37"/>
  <c r="AA131" i="34"/>
  <c r="E131" i="34" s="1"/>
  <c r="H131" i="34" s="1"/>
  <c r="AS131" i="34" s="1"/>
  <c r="AG131" i="40"/>
  <c r="AH131" i="40" s="1"/>
  <c r="AF132" i="40"/>
  <c r="AI132" i="40"/>
  <c r="F146" i="40" s="1"/>
  <c r="I146" i="40" s="1"/>
  <c r="AJ131" i="40"/>
  <c r="AG130" i="34"/>
  <c r="AH130" i="34" s="1"/>
  <c r="AF131" i="34"/>
  <c r="AO129" i="27"/>
  <c r="AP129" i="27" s="1"/>
  <c r="AN130" i="27"/>
  <c r="AQ130" i="27"/>
  <c r="G158" i="27" s="1"/>
  <c r="J158" i="27" s="1"/>
  <c r="AQ129" i="27"/>
  <c r="G157" i="27" s="1"/>
  <c r="J157" i="27" s="1"/>
  <c r="AO130" i="38"/>
  <c r="AP130" i="38" s="1"/>
  <c r="AN131" i="38"/>
  <c r="AJ129" i="39"/>
  <c r="AF131" i="39"/>
  <c r="AG130" i="39"/>
  <c r="AH130" i="39" s="1"/>
  <c r="AI129" i="30"/>
  <c r="F143" i="30" s="1"/>
  <c r="AG129" i="30"/>
  <c r="AH129" i="30" s="1"/>
  <c r="AF130" i="30"/>
  <c r="I142" i="30"/>
  <c r="L142" i="30"/>
  <c r="T132" i="39"/>
  <c r="CB132" i="39" s="1"/>
  <c r="AO131" i="37"/>
  <c r="AP131" i="37" s="1"/>
  <c r="AN132" i="37"/>
  <c r="G156" i="22"/>
  <c r="J156" i="22" s="1"/>
  <c r="M155" i="22"/>
  <c r="H131" i="40"/>
  <c r="AS131" i="40" s="1"/>
  <c r="H143" i="27"/>
  <c r="X132" i="34"/>
  <c r="Y131" i="34"/>
  <c r="Z131" i="34" s="1"/>
  <c r="AB130" i="34"/>
  <c r="Y131" i="40"/>
  <c r="Z131" i="40" s="1"/>
  <c r="X132" i="40"/>
  <c r="AB143" i="38"/>
  <c r="Y133" i="39"/>
  <c r="Z133" i="39" s="1"/>
  <c r="X134" i="39"/>
  <c r="Y129" i="30"/>
  <c r="Z129" i="30" s="1"/>
  <c r="X130" i="30"/>
  <c r="V174" i="30"/>
  <c r="AB132" i="39"/>
  <c r="K128" i="30"/>
  <c r="AT128" i="30" s="1"/>
  <c r="AS127" i="30"/>
  <c r="T127" i="30"/>
  <c r="BD127" i="30" s="1"/>
  <c r="AA133" i="39"/>
  <c r="E133" i="39" s="1"/>
  <c r="H133" i="39" s="1"/>
  <c r="V182" i="39"/>
  <c r="CB130" i="39"/>
  <c r="W161" i="30"/>
  <c r="W195" i="39"/>
  <c r="V181" i="39"/>
  <c r="AA129" i="30"/>
  <c r="E129" i="30" s="1"/>
  <c r="H129" i="30" s="1"/>
  <c r="V179" i="30"/>
  <c r="AS131" i="39"/>
  <c r="T131" i="39"/>
  <c r="AJ129" i="37"/>
  <c r="V203" i="40"/>
  <c r="BE129" i="40"/>
  <c r="BF129" i="40" s="1"/>
  <c r="BH130" i="40"/>
  <c r="BI129" i="40"/>
  <c r="BJ129" i="40" s="1"/>
  <c r="V200" i="40"/>
  <c r="W158" i="40"/>
  <c r="BB127" i="34"/>
  <c r="BB87" i="34" s="1"/>
  <c r="V203" i="34"/>
  <c r="W160" i="34"/>
  <c r="CB128" i="34"/>
  <c r="BH128" i="34"/>
  <c r="V202" i="34"/>
  <c r="AB143" i="37"/>
  <c r="AA144" i="37"/>
  <c r="E144" i="37" s="1"/>
  <c r="Y144" i="37"/>
  <c r="Z144" i="37" s="1"/>
  <c r="X145" i="37"/>
  <c r="W196" i="27"/>
  <c r="W197" i="27" s="1"/>
  <c r="W198" i="27" s="1"/>
  <c r="W177" i="38"/>
  <c r="W178" i="38" s="1"/>
  <c r="W179" i="38" s="1"/>
  <c r="W180" i="38" s="1"/>
  <c r="V188" i="27"/>
  <c r="L147" i="38"/>
  <c r="AE164" i="27"/>
  <c r="AD179" i="38"/>
  <c r="Y144" i="27"/>
  <c r="Z144" i="27" s="1"/>
  <c r="X145" i="27"/>
  <c r="AG133" i="38"/>
  <c r="AH133" i="38" s="1"/>
  <c r="AJ133" i="38"/>
  <c r="AF134" i="38"/>
  <c r="X145" i="38"/>
  <c r="Y144" i="38"/>
  <c r="Z144" i="38" s="1"/>
  <c r="AB144" i="38"/>
  <c r="AG130" i="27"/>
  <c r="AH130" i="27" s="1"/>
  <c r="AF131" i="27"/>
  <c r="AJ130" i="27"/>
  <c r="AD174" i="27"/>
  <c r="V193" i="27"/>
  <c r="AI130" i="27"/>
  <c r="F144" i="27" s="1"/>
  <c r="I144" i="27" s="1"/>
  <c r="H144" i="27" s="1"/>
  <c r="V191" i="38"/>
  <c r="V194" i="38"/>
  <c r="AD175" i="27"/>
  <c r="AD178" i="38"/>
  <c r="AE191" i="38"/>
  <c r="AE192" i="38" s="1"/>
  <c r="AE193" i="38" s="1"/>
  <c r="V197" i="37"/>
  <c r="AD177" i="37"/>
  <c r="L143" i="37"/>
  <c r="AG130" i="37"/>
  <c r="AH130" i="37" s="1"/>
  <c r="AF131" i="37"/>
  <c r="AI130" i="37"/>
  <c r="F144" i="37" s="1"/>
  <c r="I144" i="37" s="1"/>
  <c r="V192" i="37"/>
  <c r="AE190" i="37"/>
  <c r="AE191" i="37" s="1"/>
  <c r="AD176" i="37"/>
  <c r="W188" i="37"/>
  <c r="W189" i="37" s="1"/>
  <c r="BE134" i="38"/>
  <c r="BF134" i="38" s="1"/>
  <c r="BI133" i="38"/>
  <c r="BJ133" i="38" s="1"/>
  <c r="CB135" i="38"/>
  <c r="CE135" i="38"/>
  <c r="AV135" i="38"/>
  <c r="BP135" i="38"/>
  <c r="AZ135" i="38"/>
  <c r="AW134" i="38"/>
  <c r="AX134" i="38" s="1"/>
  <c r="BH135" i="38"/>
  <c r="BE133" i="38"/>
  <c r="BF133" i="38" s="1"/>
  <c r="BA133" i="38"/>
  <c r="BB133" i="38" s="1"/>
  <c r="AW133" i="38"/>
  <c r="AX133" i="38" s="1"/>
  <c r="BM133" i="38"/>
  <c r="BN133" i="38" s="1"/>
  <c r="BI134" i="38"/>
  <c r="BJ134" i="38" s="1"/>
  <c r="BM134" i="38"/>
  <c r="BN134" i="38" s="1"/>
  <c r="BA134" i="38"/>
  <c r="BB134" i="38" s="1"/>
  <c r="CB127" i="27"/>
  <c r="CE127" i="27"/>
  <c r="AV127" i="27"/>
  <c r="AZ127" i="27"/>
  <c r="BH127" i="27"/>
  <c r="BA130" i="37"/>
  <c r="BB130" i="37" s="1"/>
  <c r="BH131" i="37"/>
  <c r="K133" i="37"/>
  <c r="AT133" i="37" s="1"/>
  <c r="CB132" i="37"/>
  <c r="CE132" i="37"/>
  <c r="AV132" i="37"/>
  <c r="AZ132" i="37" s="1"/>
  <c r="BE130" i="37"/>
  <c r="BF130" i="37" s="1"/>
  <c r="AS133" i="37"/>
  <c r="BM130" i="37"/>
  <c r="BN130" i="37" s="1"/>
  <c r="AW130" i="37"/>
  <c r="AX130" i="37" s="1"/>
  <c r="CB131" i="37"/>
  <c r="CE131" i="37"/>
  <c r="AV131" i="37"/>
  <c r="AZ131" i="37" s="1"/>
  <c r="BI130" i="37"/>
  <c r="BJ130" i="37" s="1"/>
  <c r="K130" i="34"/>
  <c r="AT130" i="34" s="1"/>
  <c r="K131" i="40"/>
  <c r="AT131" i="40" s="1"/>
  <c r="L143" i="27"/>
  <c r="AS136" i="38"/>
  <c r="K136" i="38"/>
  <c r="AT136" i="38" s="1"/>
  <c r="T128" i="27"/>
  <c r="L142" i="27"/>
  <c r="T129" i="27"/>
  <c r="BD129" i="27" s="1"/>
  <c r="AS137" i="38"/>
  <c r="K137" i="38"/>
  <c r="AT137" i="38" s="1"/>
  <c r="K134" i="37"/>
  <c r="AT134" i="37" s="1"/>
  <c r="AS134" i="37"/>
  <c r="M159" i="30"/>
  <c r="M158" i="30"/>
  <c r="AS130" i="34"/>
  <c r="M159" i="40"/>
  <c r="M158" i="34"/>
  <c r="T129" i="34"/>
  <c r="M157" i="34"/>
  <c r="M157" i="22"/>
  <c r="AJ127" i="22"/>
  <c r="AI128" i="22"/>
  <c r="F142" i="22" s="1"/>
  <c r="AA131" i="22"/>
  <c r="AB130" i="22"/>
  <c r="V173" i="22"/>
  <c r="V174" i="22"/>
  <c r="K130" i="22"/>
  <c r="L131" i="22"/>
  <c r="Y131" i="22"/>
  <c r="Z131" i="22" s="1"/>
  <c r="X132" i="22"/>
  <c r="AG128" i="22"/>
  <c r="AH127" i="22"/>
  <c r="W172" i="22"/>
  <c r="L144" i="39" l="1"/>
  <c r="BQ130" i="37"/>
  <c r="BR130" i="37" s="1"/>
  <c r="BP132" i="37"/>
  <c r="BP131" i="37"/>
  <c r="BQ131" i="37" s="1"/>
  <c r="BQ129" i="39"/>
  <c r="BR129" i="39" s="1"/>
  <c r="BM130" i="39"/>
  <c r="BN130" i="39" s="1"/>
  <c r="BP130" i="39"/>
  <c r="BQ130" i="39"/>
  <c r="BH130" i="39"/>
  <c r="BI130" i="39" s="1"/>
  <c r="BJ130" i="39" s="1"/>
  <c r="AB129" i="30"/>
  <c r="AJ130" i="39"/>
  <c r="AI131" i="39"/>
  <c r="F145" i="39" s="1"/>
  <c r="L145" i="39" s="1"/>
  <c r="AT130" i="40"/>
  <c r="T130" i="40"/>
  <c r="CB130" i="40" s="1"/>
  <c r="K131" i="34"/>
  <c r="AT131" i="34" s="1"/>
  <c r="AI131" i="34"/>
  <c r="F145" i="34" s="1"/>
  <c r="I145" i="34" s="1"/>
  <c r="AR129" i="27"/>
  <c r="AA145" i="37"/>
  <c r="E145" i="37" s="1"/>
  <c r="BL129" i="34"/>
  <c r="BM129" i="34" s="1"/>
  <c r="BN129" i="34" s="1"/>
  <c r="M158" i="38"/>
  <c r="BL129" i="27"/>
  <c r="BL128" i="27"/>
  <c r="BD128" i="27"/>
  <c r="AB131" i="40"/>
  <c r="BH129" i="34"/>
  <c r="BI129" i="34" s="1"/>
  <c r="BJ129" i="34" s="1"/>
  <c r="BD129" i="34"/>
  <c r="AA132" i="34"/>
  <c r="E132" i="34" s="1"/>
  <c r="H132" i="34" s="1"/>
  <c r="AS132" i="34" s="1"/>
  <c r="AJ130" i="34"/>
  <c r="BD132" i="39"/>
  <c r="BE132" i="39" s="1"/>
  <c r="BF132" i="39" s="1"/>
  <c r="AJ130" i="37"/>
  <c r="AJ129" i="30"/>
  <c r="CB131" i="39"/>
  <c r="BD131" i="39"/>
  <c r="BE131" i="39" s="1"/>
  <c r="BF131" i="39" s="1"/>
  <c r="AI130" i="30"/>
  <c r="F144" i="30" s="1"/>
  <c r="L144" i="30" s="1"/>
  <c r="BL131" i="39"/>
  <c r="AR131" i="37"/>
  <c r="AQ132" i="37"/>
  <c r="G160" i="37" s="1"/>
  <c r="J160" i="37" s="1"/>
  <c r="BL132" i="39"/>
  <c r="M157" i="27"/>
  <c r="H144" i="37"/>
  <c r="AF132" i="34"/>
  <c r="AG131" i="34"/>
  <c r="AH131" i="34" s="1"/>
  <c r="AG132" i="40"/>
  <c r="AH132" i="40" s="1"/>
  <c r="AF133" i="40"/>
  <c r="AA132" i="40"/>
  <c r="E132" i="40" s="1"/>
  <c r="H132" i="40" s="1"/>
  <c r="AS132" i="40" s="1"/>
  <c r="AR130" i="38"/>
  <c r="AQ131" i="38"/>
  <c r="G159" i="38" s="1"/>
  <c r="AO131" i="38"/>
  <c r="AP131" i="38" s="1"/>
  <c r="AN132" i="38"/>
  <c r="AQ132" i="38"/>
  <c r="G160" i="38" s="1"/>
  <c r="AR131" i="38"/>
  <c r="AO130" i="27"/>
  <c r="AP130" i="27" s="1"/>
  <c r="AN131" i="27"/>
  <c r="AQ131" i="27"/>
  <c r="G159" i="27" s="1"/>
  <c r="J159" i="27" s="1"/>
  <c r="AG130" i="30"/>
  <c r="AH130" i="30" s="1"/>
  <c r="AF131" i="30"/>
  <c r="I143" i="30"/>
  <c r="L143" i="30"/>
  <c r="AA130" i="30"/>
  <c r="E130" i="30" s="1"/>
  <c r="H130" i="30" s="1"/>
  <c r="AG131" i="39"/>
  <c r="AH131" i="39" s="1"/>
  <c r="AF132" i="39"/>
  <c r="M156" i="22"/>
  <c r="AO132" i="37"/>
  <c r="AP132" i="37" s="1"/>
  <c r="AN133" i="37"/>
  <c r="AR132" i="37"/>
  <c r="Y132" i="34"/>
  <c r="Z132" i="34" s="1"/>
  <c r="X133" i="34"/>
  <c r="AB132" i="34"/>
  <c r="Y132" i="40"/>
  <c r="Z132" i="40" s="1"/>
  <c r="X133" i="40"/>
  <c r="AB131" i="34"/>
  <c r="AA145" i="27"/>
  <c r="E145" i="27" s="1"/>
  <c r="AA145" i="38"/>
  <c r="E145" i="38" s="1"/>
  <c r="H145" i="38" s="1"/>
  <c r="AB144" i="27"/>
  <c r="K133" i="39"/>
  <c r="AT133" i="39" s="1"/>
  <c r="K129" i="30"/>
  <c r="AT129" i="30" s="1"/>
  <c r="V183" i="39"/>
  <c r="Y130" i="30"/>
  <c r="Z130" i="30" s="1"/>
  <c r="X131" i="30"/>
  <c r="AS128" i="30"/>
  <c r="T128" i="30"/>
  <c r="V181" i="30"/>
  <c r="W196" i="39"/>
  <c r="W197" i="39" s="1"/>
  <c r="W198" i="39" s="1"/>
  <c r="CB127" i="30"/>
  <c r="BE127" i="30"/>
  <c r="BF127" i="30" s="1"/>
  <c r="BH127" i="30"/>
  <c r="BI127" i="30" s="1"/>
  <c r="BJ127" i="30" s="1"/>
  <c r="AZ127" i="30"/>
  <c r="V176" i="30"/>
  <c r="AA134" i="39"/>
  <c r="E134" i="39" s="1"/>
  <c r="H134" i="39" s="1"/>
  <c r="W162" i="30"/>
  <c r="AB133" i="39"/>
  <c r="V184" i="39"/>
  <c r="X135" i="39"/>
  <c r="Y134" i="39"/>
  <c r="Z134" i="39" s="1"/>
  <c r="AB144" i="37"/>
  <c r="T130" i="34"/>
  <c r="BM130" i="40"/>
  <c r="BN130" i="40" s="1"/>
  <c r="W159" i="40"/>
  <c r="V202" i="40"/>
  <c r="V205" i="40"/>
  <c r="BI130" i="40"/>
  <c r="BJ130" i="40" s="1"/>
  <c r="BE130" i="40"/>
  <c r="BF130" i="40" s="1"/>
  <c r="BI128" i="34"/>
  <c r="BJ128" i="34" s="1"/>
  <c r="W161" i="34"/>
  <c r="V205" i="34"/>
  <c r="CB129" i="34"/>
  <c r="BE128" i="34"/>
  <c r="BF128" i="34" s="1"/>
  <c r="BM128" i="34"/>
  <c r="BN128" i="34" s="1"/>
  <c r="V204" i="34"/>
  <c r="Y145" i="37"/>
  <c r="Z145" i="37" s="1"/>
  <c r="X146" i="37"/>
  <c r="T133" i="37"/>
  <c r="AD177" i="27"/>
  <c r="AF132" i="27"/>
  <c r="AG131" i="27"/>
  <c r="AH131" i="27" s="1"/>
  <c r="AI134" i="38"/>
  <c r="F148" i="38" s="1"/>
  <c r="I148" i="38" s="1"/>
  <c r="V190" i="27"/>
  <c r="V193" i="38"/>
  <c r="AE194" i="38"/>
  <c r="AD176" i="27"/>
  <c r="AE165" i="27"/>
  <c r="W181" i="38"/>
  <c r="W182" i="38" s="1"/>
  <c r="AD180" i="38"/>
  <c r="Y145" i="27"/>
  <c r="Z145" i="27" s="1"/>
  <c r="X146" i="27"/>
  <c r="V196" i="38"/>
  <c r="X146" i="38"/>
  <c r="Y145" i="38"/>
  <c r="Z145" i="38" s="1"/>
  <c r="W199" i="27"/>
  <c r="V195" i="27"/>
  <c r="AI131" i="27"/>
  <c r="F145" i="27" s="1"/>
  <c r="AG134" i="38"/>
  <c r="AH134" i="38" s="1"/>
  <c r="AF135" i="38"/>
  <c r="AI135" i="38"/>
  <c r="F149" i="38" s="1"/>
  <c r="I149" i="38" s="1"/>
  <c r="AD181" i="38"/>
  <c r="V194" i="37"/>
  <c r="W190" i="37"/>
  <c r="W191" i="37" s="1"/>
  <c r="AD178" i="37"/>
  <c r="E131" i="22"/>
  <c r="K131" i="22" s="1"/>
  <c r="AD179" i="37"/>
  <c r="V199" i="37"/>
  <c r="L144" i="37"/>
  <c r="AE192" i="37"/>
  <c r="AE193" i="37" s="1"/>
  <c r="AI131" i="37"/>
  <c r="F145" i="37" s="1"/>
  <c r="I145" i="37" s="1"/>
  <c r="AG131" i="37"/>
  <c r="AH131" i="37" s="1"/>
  <c r="AI132" i="37"/>
  <c r="F146" i="37" s="1"/>
  <c r="I146" i="37" s="1"/>
  <c r="AF132" i="37"/>
  <c r="BI135" i="38"/>
  <c r="BJ135" i="38" s="1"/>
  <c r="BA135" i="38"/>
  <c r="BB135" i="38" s="1"/>
  <c r="BQ135" i="38"/>
  <c r="BR135" i="38" s="1"/>
  <c r="BE135" i="38"/>
  <c r="BF135" i="38" s="1"/>
  <c r="AW135" i="38"/>
  <c r="AX135" i="38" s="1"/>
  <c r="CB128" i="27"/>
  <c r="CE128" i="27"/>
  <c r="AV128" i="27"/>
  <c r="BH129" i="27"/>
  <c r="CB129" i="27"/>
  <c r="CE129" i="27"/>
  <c r="AV129" i="27"/>
  <c r="AZ128" i="27"/>
  <c r="BA127" i="27"/>
  <c r="BB127" i="27" s="1"/>
  <c r="BH128" i="27"/>
  <c r="BE127" i="27"/>
  <c r="BF127" i="27" s="1"/>
  <c r="AW127" i="27"/>
  <c r="AX127" i="27" s="1"/>
  <c r="BI127" i="27"/>
  <c r="BJ127" i="27" s="1"/>
  <c r="AZ129" i="27"/>
  <c r="AW132" i="37"/>
  <c r="AX132" i="37" s="1"/>
  <c r="BE132" i="37"/>
  <c r="BF132" i="37" s="1"/>
  <c r="BM132" i="37"/>
  <c r="BN132" i="37" s="1"/>
  <c r="BM131" i="37"/>
  <c r="BN131" i="37" s="1"/>
  <c r="BE131" i="37"/>
  <c r="BF131" i="37" s="1"/>
  <c r="BA132" i="37"/>
  <c r="BB132" i="37" s="1"/>
  <c r="BA131" i="37"/>
  <c r="BB131" i="37" s="1"/>
  <c r="AW131" i="37"/>
  <c r="AX131" i="37" s="1"/>
  <c r="BI131" i="37"/>
  <c r="BJ131" i="37" s="1"/>
  <c r="T131" i="40"/>
  <c r="L145" i="40"/>
  <c r="L144" i="34"/>
  <c r="L146" i="40"/>
  <c r="AS131" i="27"/>
  <c r="K131" i="27"/>
  <c r="AT131" i="27" s="1"/>
  <c r="T137" i="38"/>
  <c r="AS138" i="38"/>
  <c r="K138" i="38"/>
  <c r="AT138" i="38" s="1"/>
  <c r="T136" i="38"/>
  <c r="K130" i="27"/>
  <c r="AT130" i="27" s="1"/>
  <c r="AS130" i="27"/>
  <c r="T134" i="37"/>
  <c r="K135" i="37"/>
  <c r="AT135" i="37" s="1"/>
  <c r="AS135" i="37"/>
  <c r="M163" i="39"/>
  <c r="M162" i="39"/>
  <c r="M159" i="34"/>
  <c r="AJ128" i="22"/>
  <c r="AI129" i="22"/>
  <c r="F143" i="22" s="1"/>
  <c r="I143" i="22" s="1"/>
  <c r="V176" i="22"/>
  <c r="V175" i="22"/>
  <c r="AA132" i="22"/>
  <c r="E132" i="22" s="1"/>
  <c r="AB131" i="22"/>
  <c r="L132" i="22"/>
  <c r="Y132" i="22"/>
  <c r="Z132" i="22" s="1"/>
  <c r="X133" i="22"/>
  <c r="AH128" i="22"/>
  <c r="W173" i="22"/>
  <c r="I145" i="39" l="1"/>
  <c r="BH131" i="39"/>
  <c r="BI131" i="39" s="1"/>
  <c r="BJ131" i="39" s="1"/>
  <c r="BR131" i="37"/>
  <c r="BH132" i="39"/>
  <c r="BI132" i="39" s="1"/>
  <c r="BJ132" i="39" s="1"/>
  <c r="BQ132" i="37"/>
  <c r="BR132" i="37" s="1"/>
  <c r="AA146" i="37"/>
  <c r="E146" i="37" s="1"/>
  <c r="H146" i="37" s="1"/>
  <c r="BM131" i="39"/>
  <c r="BN131" i="39" s="1"/>
  <c r="BP131" i="39"/>
  <c r="BM132" i="39"/>
  <c r="BN132" i="39" s="1"/>
  <c r="BP132" i="39"/>
  <c r="BQ132" i="39" s="1"/>
  <c r="BR130" i="39"/>
  <c r="T131" i="34"/>
  <c r="CB131" i="34" s="1"/>
  <c r="L145" i="34"/>
  <c r="K132" i="34"/>
  <c r="AT132" i="34" s="1"/>
  <c r="AJ132" i="40"/>
  <c r="AI133" i="40"/>
  <c r="F147" i="40" s="1"/>
  <c r="I147" i="40" s="1"/>
  <c r="AQ133" i="37"/>
  <c r="G161" i="37" s="1"/>
  <c r="M161" i="37" s="1"/>
  <c r="AJ131" i="39"/>
  <c r="I144" i="30"/>
  <c r="BD131" i="34"/>
  <c r="BD137" i="38"/>
  <c r="BL137" i="38"/>
  <c r="BL130" i="34"/>
  <c r="BM130" i="34" s="1"/>
  <c r="BN130" i="34" s="1"/>
  <c r="AJ134" i="38"/>
  <c r="BD131" i="40"/>
  <c r="BL131" i="40"/>
  <c r="BH130" i="34"/>
  <c r="BI130" i="34" s="1"/>
  <c r="BJ130" i="34" s="1"/>
  <c r="BD130" i="34"/>
  <c r="BE130" i="34" s="1"/>
  <c r="BF130" i="34" s="1"/>
  <c r="BD136" i="38"/>
  <c r="BL136" i="38"/>
  <c r="BL131" i="34"/>
  <c r="AJ131" i="37"/>
  <c r="M160" i="37"/>
  <c r="AI132" i="39"/>
  <c r="F146" i="39" s="1"/>
  <c r="I146" i="39" s="1"/>
  <c r="BL128" i="30"/>
  <c r="BD128" i="30"/>
  <c r="BE128" i="30" s="1"/>
  <c r="BF128" i="30" s="1"/>
  <c r="AA135" i="39"/>
  <c r="E135" i="39" s="1"/>
  <c r="H135" i="39" s="1"/>
  <c r="AS135" i="39" s="1"/>
  <c r="AB134" i="39"/>
  <c r="AJ130" i="30"/>
  <c r="AI131" i="30"/>
  <c r="F145" i="30" s="1"/>
  <c r="I145" i="30" s="1"/>
  <c r="BD134" i="37"/>
  <c r="BL134" i="37"/>
  <c r="BD133" i="37"/>
  <c r="BE133" i="37" s="1"/>
  <c r="BF133" i="37" s="1"/>
  <c r="BL133" i="37"/>
  <c r="H145" i="37"/>
  <c r="AG133" i="40"/>
  <c r="AH133" i="40" s="1"/>
  <c r="AF134" i="40"/>
  <c r="K132" i="40"/>
  <c r="AT132" i="40" s="1"/>
  <c r="AG132" i="34"/>
  <c r="AH132" i="34" s="1"/>
  <c r="AJ132" i="34"/>
  <c r="AF133" i="34"/>
  <c r="AI132" i="34"/>
  <c r="F146" i="34" s="1"/>
  <c r="AA133" i="40"/>
  <c r="E133" i="40" s="1"/>
  <c r="AJ131" i="34"/>
  <c r="AR130" i="27"/>
  <c r="AO131" i="27"/>
  <c r="AP131" i="27" s="1"/>
  <c r="AN132" i="27"/>
  <c r="J160" i="38"/>
  <c r="M160" i="38"/>
  <c r="AO132" i="38"/>
  <c r="AP132" i="38" s="1"/>
  <c r="AN133" i="38"/>
  <c r="J159" i="38"/>
  <c r="M159" i="38"/>
  <c r="AA146" i="38"/>
  <c r="E146" i="38" s="1"/>
  <c r="H146" i="38" s="1"/>
  <c r="AG132" i="39"/>
  <c r="AH132" i="39" s="1"/>
  <c r="AF133" i="39"/>
  <c r="AG131" i="30"/>
  <c r="AH131" i="30" s="1"/>
  <c r="AF132" i="30"/>
  <c r="K130" i="30"/>
  <c r="AT130" i="30" s="1"/>
  <c r="AO133" i="37"/>
  <c r="AP133" i="37" s="1"/>
  <c r="AN134" i="37"/>
  <c r="BH133" i="37"/>
  <c r="BI133" i="37" s="1"/>
  <c r="BJ133" i="37" s="1"/>
  <c r="L145" i="27"/>
  <c r="I145" i="27"/>
  <c r="H145" i="27" s="1"/>
  <c r="AV133" i="37"/>
  <c r="AW133" i="37" s="1"/>
  <c r="AX133" i="37" s="1"/>
  <c r="AB132" i="40"/>
  <c r="X134" i="40"/>
  <c r="Y133" i="40"/>
  <c r="Z133" i="40" s="1"/>
  <c r="AB133" i="40"/>
  <c r="AA134" i="40"/>
  <c r="E134" i="40" s="1"/>
  <c r="H134" i="40" s="1"/>
  <c r="AS134" i="40" s="1"/>
  <c r="AA133" i="34"/>
  <c r="E133" i="34" s="1"/>
  <c r="H133" i="34" s="1"/>
  <c r="AS133" i="34" s="1"/>
  <c r="X134" i="34"/>
  <c r="Y133" i="34"/>
  <c r="Z133" i="34" s="1"/>
  <c r="AB133" i="34"/>
  <c r="AB145" i="38"/>
  <c r="AI132" i="27"/>
  <c r="F146" i="27" s="1"/>
  <c r="I146" i="27" s="1"/>
  <c r="AA146" i="27"/>
  <c r="E146" i="27" s="1"/>
  <c r="V185" i="39"/>
  <c r="CB128" i="30"/>
  <c r="V186" i="39"/>
  <c r="AS130" i="30"/>
  <c r="W199" i="39"/>
  <c r="Y131" i="30"/>
  <c r="Z131" i="30" s="1"/>
  <c r="X132" i="30"/>
  <c r="Y135" i="39"/>
  <c r="Z135" i="39" s="1"/>
  <c r="AB135" i="39"/>
  <c r="X136" i="39"/>
  <c r="K134" i="39"/>
  <c r="AT134" i="39" s="1"/>
  <c r="V183" i="30"/>
  <c r="AB130" i="30"/>
  <c r="AS129" i="30"/>
  <c r="T129" i="30"/>
  <c r="W163" i="30"/>
  <c r="W164" i="30" s="1"/>
  <c r="W165" i="30" s="1"/>
  <c r="V178" i="30"/>
  <c r="AA131" i="30"/>
  <c r="E131" i="30" s="1"/>
  <c r="H131" i="30" s="1"/>
  <c r="AS133" i="39"/>
  <c r="T133" i="39"/>
  <c r="BA127" i="30"/>
  <c r="BB86" i="30" s="1"/>
  <c r="BB85" i="30"/>
  <c r="AB145" i="37"/>
  <c r="BH131" i="34"/>
  <c r="BI131" i="34" s="1"/>
  <c r="BJ131" i="34" s="1"/>
  <c r="CB130" i="34"/>
  <c r="W160" i="40"/>
  <c r="CB131" i="40"/>
  <c r="BH131" i="40"/>
  <c r="V207" i="40"/>
  <c r="V204" i="40"/>
  <c r="V207" i="34"/>
  <c r="W162" i="34"/>
  <c r="BE129" i="34"/>
  <c r="BF129" i="34" s="1"/>
  <c r="V206" i="34"/>
  <c r="Y146" i="37"/>
  <c r="Z146" i="37" s="1"/>
  <c r="X147" i="37"/>
  <c r="CE133" i="37"/>
  <c r="CB133" i="37"/>
  <c r="L149" i="38"/>
  <c r="V198" i="38"/>
  <c r="AD182" i="38"/>
  <c r="AD178" i="27"/>
  <c r="AG132" i="27"/>
  <c r="AH132" i="27" s="1"/>
  <c r="AF133" i="27"/>
  <c r="AG135" i="38"/>
  <c r="AH135" i="38" s="1"/>
  <c r="AF136" i="38"/>
  <c r="W200" i="27"/>
  <c r="V192" i="27"/>
  <c r="AJ131" i="27"/>
  <c r="AD183" i="38"/>
  <c r="W183" i="38"/>
  <c r="W184" i="38" s="1"/>
  <c r="W185" i="38" s="1"/>
  <c r="W186" i="38" s="1"/>
  <c r="W187" i="38" s="1"/>
  <c r="W188" i="38" s="1"/>
  <c r="W189" i="38" s="1"/>
  <c r="W190" i="38" s="1"/>
  <c r="W191" i="38" s="1"/>
  <c r="AE195" i="38"/>
  <c r="AD179" i="27"/>
  <c r="V197" i="27"/>
  <c r="AB145" i="27"/>
  <c r="Y146" i="27"/>
  <c r="Z146" i="27" s="1"/>
  <c r="X147" i="27"/>
  <c r="AE166" i="27"/>
  <c r="AE167" i="27" s="1"/>
  <c r="V195" i="38"/>
  <c r="Y146" i="38"/>
  <c r="Z146" i="38" s="1"/>
  <c r="X147" i="38"/>
  <c r="AB146" i="38"/>
  <c r="AA147" i="38"/>
  <c r="E147" i="38" s="1"/>
  <c r="H147" i="38" s="1"/>
  <c r="L148" i="38"/>
  <c r="W192" i="37"/>
  <c r="W193" i="37" s="1"/>
  <c r="V201" i="37"/>
  <c r="V196" i="37"/>
  <c r="AD180" i="37"/>
  <c r="AG132" i="37"/>
  <c r="AH132" i="37" s="1"/>
  <c r="AF133" i="37"/>
  <c r="L145" i="37"/>
  <c r="L146" i="37"/>
  <c r="AE194" i="37"/>
  <c r="AD181" i="37"/>
  <c r="CB136" i="38"/>
  <c r="CE136" i="38"/>
  <c r="AV136" i="38"/>
  <c r="AZ136" i="38"/>
  <c r="BH137" i="38"/>
  <c r="BP137" i="38"/>
  <c r="BP136" i="38"/>
  <c r="BH136" i="38"/>
  <c r="CB137" i="38"/>
  <c r="CE137" i="38"/>
  <c r="AV137" i="38"/>
  <c r="AZ137" i="38"/>
  <c r="BM129" i="27"/>
  <c r="BN129" i="27" s="1"/>
  <c r="BI128" i="27"/>
  <c r="BJ128" i="27" s="1"/>
  <c r="BI129" i="27"/>
  <c r="BJ129" i="27" s="1"/>
  <c r="BM128" i="27"/>
  <c r="BN128" i="27" s="1"/>
  <c r="BE128" i="27"/>
  <c r="BF128" i="27" s="1"/>
  <c r="BA129" i="27"/>
  <c r="BB129" i="27" s="1"/>
  <c r="BA128" i="27"/>
  <c r="BB128" i="27" s="1"/>
  <c r="AW128" i="27"/>
  <c r="AX128" i="27" s="1"/>
  <c r="BE129" i="27"/>
  <c r="BF129" i="27" s="1"/>
  <c r="AW129" i="27"/>
  <c r="AX129" i="27" s="1"/>
  <c r="CB134" i="37"/>
  <c r="CE134" i="37"/>
  <c r="AV134" i="37"/>
  <c r="AZ134" i="37" s="1"/>
  <c r="BH134" i="37"/>
  <c r="L144" i="27"/>
  <c r="M158" i="27"/>
  <c r="T130" i="27"/>
  <c r="T131" i="27"/>
  <c r="M159" i="27"/>
  <c r="K139" i="38"/>
  <c r="AT139" i="38" s="1"/>
  <c r="AS139" i="38"/>
  <c r="T138" i="38"/>
  <c r="AS132" i="27"/>
  <c r="K132" i="27"/>
  <c r="AT132" i="27" s="1"/>
  <c r="T135" i="37"/>
  <c r="K136" i="37"/>
  <c r="AT136" i="37" s="1"/>
  <c r="AS136" i="37"/>
  <c r="M160" i="30"/>
  <c r="M161" i="40"/>
  <c r="M160" i="40"/>
  <c r="T132" i="34"/>
  <c r="M160" i="34"/>
  <c r="K132" i="22"/>
  <c r="AB132" i="22"/>
  <c r="AA133" i="22"/>
  <c r="E133" i="22" s="1"/>
  <c r="V177" i="22"/>
  <c r="V178" i="22"/>
  <c r="L133" i="22"/>
  <c r="Y133" i="22"/>
  <c r="Z133" i="22" s="1"/>
  <c r="X134" i="22"/>
  <c r="W174" i="22"/>
  <c r="BH128" i="30" l="1"/>
  <c r="BI128" i="30" s="1"/>
  <c r="BJ128" i="30" s="1"/>
  <c r="BM128" i="30"/>
  <c r="BN128" i="30" s="1"/>
  <c r="BP128" i="30"/>
  <c r="BM133" i="37"/>
  <c r="BN133" i="37" s="1"/>
  <c r="BP133" i="37"/>
  <c r="BQ133" i="37" s="1"/>
  <c r="BR132" i="39"/>
  <c r="AZ133" i="37"/>
  <c r="BA133" i="37" s="1"/>
  <c r="BB133" i="37" s="1"/>
  <c r="BP134" i="37"/>
  <c r="BQ134" i="37" s="1"/>
  <c r="BQ131" i="39"/>
  <c r="BR131" i="39" s="1"/>
  <c r="AJ132" i="39"/>
  <c r="AI133" i="39"/>
  <c r="F147" i="39" s="1"/>
  <c r="I147" i="39" s="1"/>
  <c r="AI132" i="30"/>
  <c r="F146" i="30" s="1"/>
  <c r="I146" i="30" s="1"/>
  <c r="AJ131" i="30"/>
  <c r="T132" i="40"/>
  <c r="BD132" i="40" s="1"/>
  <c r="K133" i="34"/>
  <c r="AT133" i="34" s="1"/>
  <c r="J161" i="37"/>
  <c r="AI133" i="34"/>
  <c r="F147" i="34" s="1"/>
  <c r="L147" i="40"/>
  <c r="AR131" i="27"/>
  <c r="K134" i="40"/>
  <c r="AT134" i="40" s="1"/>
  <c r="AA136" i="39"/>
  <c r="E136" i="39" s="1"/>
  <c r="K136" i="39" s="1"/>
  <c r="AT136" i="39" s="1"/>
  <c r="BL132" i="40"/>
  <c r="BD131" i="27"/>
  <c r="AI134" i="40"/>
  <c r="F148" i="40" s="1"/>
  <c r="BH138" i="38"/>
  <c r="BI138" i="38" s="1"/>
  <c r="BD138" i="38"/>
  <c r="BL138" i="38"/>
  <c r="AI136" i="38"/>
  <c r="F150" i="38" s="1"/>
  <c r="I150" i="38" s="1"/>
  <c r="AJ135" i="38"/>
  <c r="BD132" i="34"/>
  <c r="BD130" i="27"/>
  <c r="BL130" i="27"/>
  <c r="BL131" i="27"/>
  <c r="BL132" i="34"/>
  <c r="AR132" i="38"/>
  <c r="AQ133" i="38"/>
  <c r="G161" i="38" s="1"/>
  <c r="J161" i="38" s="1"/>
  <c r="AJ133" i="40"/>
  <c r="BL135" i="37"/>
  <c r="BP135" i="37" s="1"/>
  <c r="BD135" i="37"/>
  <c r="BD133" i="39"/>
  <c r="BE133" i="39" s="1"/>
  <c r="BF133" i="39" s="1"/>
  <c r="BL133" i="39"/>
  <c r="L146" i="39"/>
  <c r="BL129" i="30"/>
  <c r="L145" i="30"/>
  <c r="BD129" i="30"/>
  <c r="BE129" i="30" s="1"/>
  <c r="BF129" i="30" s="1"/>
  <c r="K135" i="39"/>
  <c r="AT135" i="39" s="1"/>
  <c r="AR133" i="37"/>
  <c r="AQ134" i="37"/>
  <c r="G162" i="37" s="1"/>
  <c r="J162" i="37" s="1"/>
  <c r="H133" i="40"/>
  <c r="K133" i="40"/>
  <c r="AT133" i="40" s="1"/>
  <c r="I146" i="34"/>
  <c r="L146" i="34"/>
  <c r="AG133" i="34"/>
  <c r="AH133" i="34" s="1"/>
  <c r="AF134" i="34"/>
  <c r="AG134" i="40"/>
  <c r="AH134" i="40" s="1"/>
  <c r="AF135" i="40"/>
  <c r="AO133" i="38"/>
  <c r="AP133" i="38" s="1"/>
  <c r="AN134" i="38"/>
  <c r="AR133" i="38"/>
  <c r="AN133" i="27"/>
  <c r="AO132" i="27"/>
  <c r="AP132" i="27" s="1"/>
  <c r="AQ132" i="27"/>
  <c r="G160" i="27" s="1"/>
  <c r="J160" i="27" s="1"/>
  <c r="L146" i="27"/>
  <c r="AB131" i="30"/>
  <c r="T130" i="30"/>
  <c r="AG132" i="30"/>
  <c r="AH132" i="30" s="1"/>
  <c r="AF133" i="30"/>
  <c r="AG133" i="39"/>
  <c r="AH133" i="39" s="1"/>
  <c r="AF134" i="39"/>
  <c r="AI134" i="39"/>
  <c r="F148" i="39" s="1"/>
  <c r="AJ133" i="39"/>
  <c r="AO134" i="37"/>
  <c r="AP134" i="37" s="1"/>
  <c r="AN135" i="37"/>
  <c r="AQ135" i="37"/>
  <c r="G163" i="37" s="1"/>
  <c r="AR134" i="37"/>
  <c r="H146" i="27"/>
  <c r="X135" i="34"/>
  <c r="Y134" i="34"/>
  <c r="Z134" i="34" s="1"/>
  <c r="AB134" i="34"/>
  <c r="AA134" i="34"/>
  <c r="E134" i="34" s="1"/>
  <c r="H134" i="34" s="1"/>
  <c r="X135" i="40"/>
  <c r="Y134" i="40"/>
  <c r="Z134" i="40" s="1"/>
  <c r="AI133" i="27"/>
  <c r="F147" i="27" s="1"/>
  <c r="I147" i="27" s="1"/>
  <c r="BB127" i="30"/>
  <c r="V180" i="30"/>
  <c r="AS134" i="39"/>
  <c r="T134" i="39"/>
  <c r="V185" i="30"/>
  <c r="X137" i="39"/>
  <c r="Y136" i="39"/>
  <c r="Z136" i="39" s="1"/>
  <c r="W200" i="39"/>
  <c r="W201" i="39" s="1"/>
  <c r="CB133" i="39"/>
  <c r="W166" i="30"/>
  <c r="V187" i="39"/>
  <c r="K131" i="30"/>
  <c r="AT131" i="30" s="1"/>
  <c r="Y132" i="30"/>
  <c r="Z132" i="30" s="1"/>
  <c r="X133" i="30"/>
  <c r="V188" i="39"/>
  <c r="CB129" i="30"/>
  <c r="AA132" i="30"/>
  <c r="E132" i="30" s="1"/>
  <c r="H132" i="30" s="1"/>
  <c r="M161" i="30"/>
  <c r="V209" i="40"/>
  <c r="CB132" i="40"/>
  <c r="BH132" i="40"/>
  <c r="BE131" i="40"/>
  <c r="BF131" i="40" s="1"/>
  <c r="BI131" i="40"/>
  <c r="BJ131" i="40" s="1"/>
  <c r="BM131" i="40"/>
  <c r="BN131" i="40" s="1"/>
  <c r="V206" i="40"/>
  <c r="W161" i="40"/>
  <c r="CB132" i="34"/>
  <c r="BH132" i="34"/>
  <c r="V208" i="34"/>
  <c r="V209" i="34"/>
  <c r="BE131" i="34"/>
  <c r="BF131" i="34" s="1"/>
  <c r="W163" i="34"/>
  <c r="BM131" i="34"/>
  <c r="BN131" i="34" s="1"/>
  <c r="AA147" i="37"/>
  <c r="E147" i="37" s="1"/>
  <c r="AJ132" i="37"/>
  <c r="Y147" i="37"/>
  <c r="X148" i="37"/>
  <c r="AB146" i="37"/>
  <c r="W201" i="27"/>
  <c r="V199" i="27"/>
  <c r="AE196" i="38"/>
  <c r="AG136" i="38"/>
  <c r="AH136" i="38" s="1"/>
  <c r="AF137" i="38"/>
  <c r="AD180" i="27"/>
  <c r="V200" i="38"/>
  <c r="AE168" i="27"/>
  <c r="AE169" i="27" s="1"/>
  <c r="W192" i="38"/>
  <c r="W193" i="38" s="1"/>
  <c r="V194" i="27"/>
  <c r="Y147" i="38"/>
  <c r="Z147" i="38" s="1"/>
  <c r="X148" i="38"/>
  <c r="AA147" i="27"/>
  <c r="E147" i="27" s="1"/>
  <c r="AB146" i="27"/>
  <c r="AD181" i="27"/>
  <c r="AD185" i="38"/>
  <c r="AJ132" i="27"/>
  <c r="AD184" i="38"/>
  <c r="V197" i="38"/>
  <c r="Y147" i="27"/>
  <c r="Z147" i="27" s="1"/>
  <c r="X148" i="27"/>
  <c r="AF134" i="27"/>
  <c r="AG133" i="27"/>
  <c r="AH133" i="27" s="1"/>
  <c r="AG133" i="37"/>
  <c r="AH133" i="37" s="1"/>
  <c r="AF134" i="37"/>
  <c r="AE195" i="37"/>
  <c r="AE196" i="37" s="1"/>
  <c r="V203" i="37"/>
  <c r="AD182" i="37"/>
  <c r="V198" i="37"/>
  <c r="AD183" i="37"/>
  <c r="W194" i="37"/>
  <c r="W195" i="37" s="1"/>
  <c r="AI133" i="37"/>
  <c r="F147" i="37" s="1"/>
  <c r="I147" i="37" s="1"/>
  <c r="AW137" i="38"/>
  <c r="AX137" i="38" s="1"/>
  <c r="BQ137" i="38"/>
  <c r="BR137" i="38" s="1"/>
  <c r="CB138" i="38"/>
  <c r="CE138" i="38"/>
  <c r="AV138" i="38"/>
  <c r="AZ138" i="38"/>
  <c r="BE136" i="38"/>
  <c r="BF136" i="38" s="1"/>
  <c r="BI137" i="38"/>
  <c r="BJ137" i="38" s="1"/>
  <c r="AW136" i="38"/>
  <c r="AX136" i="38" s="1"/>
  <c r="BA136" i="38"/>
  <c r="BB136" i="38" s="1"/>
  <c r="BP138" i="38"/>
  <c r="BA137" i="38"/>
  <c r="BB137" i="38" s="1"/>
  <c r="BI136" i="38"/>
  <c r="BJ136" i="38" s="1"/>
  <c r="BM137" i="38"/>
  <c r="BN137" i="38" s="1"/>
  <c r="BQ136" i="38"/>
  <c r="BR136" i="38" s="1"/>
  <c r="BM136" i="38"/>
  <c r="BN136" i="38" s="1"/>
  <c r="BE137" i="38"/>
  <c r="BF137" i="38" s="1"/>
  <c r="CB130" i="27"/>
  <c r="CE130" i="27"/>
  <c r="AV130" i="27"/>
  <c r="AZ130" i="27"/>
  <c r="BH131" i="27"/>
  <c r="BH130" i="27"/>
  <c r="AZ131" i="27"/>
  <c r="CB131" i="27"/>
  <c r="CE131" i="27"/>
  <c r="AV131" i="27"/>
  <c r="BE134" i="37"/>
  <c r="BF134" i="37" s="1"/>
  <c r="CB135" i="37"/>
  <c r="CE135" i="37"/>
  <c r="AV135" i="37"/>
  <c r="BI134" i="37"/>
  <c r="BJ134" i="37" s="1"/>
  <c r="AW134" i="37"/>
  <c r="AX134" i="37" s="1"/>
  <c r="BM134" i="37"/>
  <c r="BN134" i="37" s="1"/>
  <c r="BA134" i="37"/>
  <c r="BB134" i="37" s="1"/>
  <c r="BH135" i="37"/>
  <c r="AZ135" i="37"/>
  <c r="T132" i="27"/>
  <c r="T139" i="38"/>
  <c r="K140" i="38"/>
  <c r="AT140" i="38" s="1"/>
  <c r="AS140" i="38"/>
  <c r="AS137" i="37"/>
  <c r="K137" i="37"/>
  <c r="AT137" i="37" s="1"/>
  <c r="T136" i="37"/>
  <c r="M165" i="39"/>
  <c r="M164" i="39"/>
  <c r="T133" i="34"/>
  <c r="M161" i="34"/>
  <c r="M162" i="40"/>
  <c r="K133" i="22"/>
  <c r="V180" i="22"/>
  <c r="V179" i="22"/>
  <c r="AA134" i="22"/>
  <c r="E134" i="22" s="1"/>
  <c r="AB133" i="22"/>
  <c r="L134" i="22"/>
  <c r="X135" i="22"/>
  <c r="Y134" i="22"/>
  <c r="Z134" i="22" s="1"/>
  <c r="W175" i="22"/>
  <c r="L147" i="39" l="1"/>
  <c r="BR134" i="37"/>
  <c r="BR133" i="37"/>
  <c r="BH129" i="30"/>
  <c r="BI129" i="30" s="1"/>
  <c r="BJ129" i="30" s="1"/>
  <c r="BM129" i="30"/>
  <c r="BN129" i="30" s="1"/>
  <c r="BP129" i="30"/>
  <c r="BM133" i="39"/>
  <c r="BN133" i="39" s="1"/>
  <c r="BP133" i="39"/>
  <c r="BQ133" i="39"/>
  <c r="BH133" i="39"/>
  <c r="BI133" i="39" s="1"/>
  <c r="BJ133" i="39" s="1"/>
  <c r="BQ128" i="30"/>
  <c r="BR128" i="30" s="1"/>
  <c r="AI133" i="30"/>
  <c r="F147" i="30" s="1"/>
  <c r="L147" i="30" s="1"/>
  <c r="AJ132" i="30"/>
  <c r="L146" i="30"/>
  <c r="H136" i="39"/>
  <c r="AS136" i="39" s="1"/>
  <c r="T134" i="40"/>
  <c r="CB134" i="40" s="1"/>
  <c r="T135" i="39"/>
  <c r="CB135" i="39" s="1"/>
  <c r="AJ134" i="40"/>
  <c r="AQ133" i="27"/>
  <c r="G161" i="27" s="1"/>
  <c r="J161" i="27" s="1"/>
  <c r="I147" i="34"/>
  <c r="L147" i="34"/>
  <c r="BJ138" i="38"/>
  <c r="L150" i="38"/>
  <c r="M160" i="27"/>
  <c r="BL132" i="27"/>
  <c r="AA135" i="40"/>
  <c r="E135" i="40" s="1"/>
  <c r="H135" i="40" s="1"/>
  <c r="AS135" i="40" s="1"/>
  <c r="AQ134" i="38"/>
  <c r="G162" i="38" s="1"/>
  <c r="J162" i="38" s="1"/>
  <c r="M161" i="38"/>
  <c r="BH133" i="34"/>
  <c r="BI133" i="34" s="1"/>
  <c r="BJ133" i="34" s="1"/>
  <c r="BD133" i="34"/>
  <c r="BL133" i="34"/>
  <c r="BH139" i="38"/>
  <c r="BI139" i="38" s="1"/>
  <c r="BJ139" i="38" s="1"/>
  <c r="BD139" i="38"/>
  <c r="BL139" i="38"/>
  <c r="AI135" i="40"/>
  <c r="F149" i="40" s="1"/>
  <c r="I149" i="40" s="1"/>
  <c r="AJ133" i="34"/>
  <c r="BH132" i="27"/>
  <c r="BI132" i="27" s="1"/>
  <c r="BJ132" i="27" s="1"/>
  <c r="BD132" i="27"/>
  <c r="AI134" i="34"/>
  <c r="F148" i="34" s="1"/>
  <c r="I148" i="40"/>
  <c r="L148" i="40"/>
  <c r="AA148" i="27"/>
  <c r="E148" i="27" s="1"/>
  <c r="BL130" i="30"/>
  <c r="M162" i="37"/>
  <c r="CB130" i="30"/>
  <c r="BD130" i="30"/>
  <c r="BE130" i="30" s="1"/>
  <c r="BF130" i="30" s="1"/>
  <c r="BD134" i="39"/>
  <c r="BH134" i="39" s="1"/>
  <c r="BI134" i="39" s="1"/>
  <c r="BJ134" i="39" s="1"/>
  <c r="BL134" i="39"/>
  <c r="BL136" i="37"/>
  <c r="BP136" i="37" s="1"/>
  <c r="BD136" i="37"/>
  <c r="AA133" i="30"/>
  <c r="E133" i="30" s="1"/>
  <c r="H133" i="30" s="1"/>
  <c r="J163" i="37"/>
  <c r="M163" i="37"/>
  <c r="H147" i="37"/>
  <c r="AA135" i="34"/>
  <c r="E135" i="34" s="1"/>
  <c r="H135" i="34" s="1"/>
  <c r="AG135" i="40"/>
  <c r="AH135" i="40" s="1"/>
  <c r="AF136" i="40"/>
  <c r="AG134" i="34"/>
  <c r="AH134" i="34" s="1"/>
  <c r="AI135" i="34"/>
  <c r="F149" i="34" s="1"/>
  <c r="I149" i="34" s="1"/>
  <c r="AF135" i="34"/>
  <c r="T133" i="40"/>
  <c r="BD134" i="40" s="1"/>
  <c r="AS133" i="40"/>
  <c r="AI134" i="27"/>
  <c r="F148" i="27" s="1"/>
  <c r="I148" i="27" s="1"/>
  <c r="AJ133" i="27"/>
  <c r="AR132" i="27"/>
  <c r="AJ136" i="38"/>
  <c r="AO133" i="27"/>
  <c r="AP133" i="27" s="1"/>
  <c r="AN134" i="27"/>
  <c r="AQ134" i="27"/>
  <c r="G162" i="27" s="1"/>
  <c r="J162" i="27" s="1"/>
  <c r="AR133" i="27"/>
  <c r="AO134" i="38"/>
  <c r="AP134" i="38" s="1"/>
  <c r="AN135" i="38"/>
  <c r="AQ135" i="38"/>
  <c r="G163" i="38" s="1"/>
  <c r="AA148" i="38"/>
  <c r="E148" i="38" s="1"/>
  <c r="H148" i="38" s="1"/>
  <c r="AB132" i="30"/>
  <c r="I148" i="39"/>
  <c r="L148" i="39"/>
  <c r="AG134" i="39"/>
  <c r="AH134" i="39" s="1"/>
  <c r="AF135" i="39"/>
  <c r="AG133" i="30"/>
  <c r="AH133" i="30" s="1"/>
  <c r="AF134" i="30"/>
  <c r="AO135" i="37"/>
  <c r="AP135" i="37" s="1"/>
  <c r="AN136" i="37"/>
  <c r="H147" i="27"/>
  <c r="Y135" i="40"/>
  <c r="Z135" i="40" s="1"/>
  <c r="X136" i="40"/>
  <c r="AB134" i="40"/>
  <c r="X136" i="34"/>
  <c r="Y135" i="34"/>
  <c r="Z135" i="34" s="1"/>
  <c r="AI137" i="38"/>
  <c r="F151" i="38" s="1"/>
  <c r="I151" i="38" s="1"/>
  <c r="CB134" i="39"/>
  <c r="Y137" i="39"/>
  <c r="Z137" i="39" s="1"/>
  <c r="X138" i="39"/>
  <c r="AB136" i="39"/>
  <c r="V189" i="39"/>
  <c r="AA137" i="39"/>
  <c r="E137" i="39" s="1"/>
  <c r="H137" i="39" s="1"/>
  <c r="V182" i="30"/>
  <c r="V190" i="39"/>
  <c r="BH135" i="39"/>
  <c r="BI135" i="39" s="1"/>
  <c r="BJ135" i="39" s="1"/>
  <c r="K132" i="30"/>
  <c r="AT132" i="30" s="1"/>
  <c r="V187" i="30"/>
  <c r="AS131" i="30"/>
  <c r="T131" i="30"/>
  <c r="X134" i="30"/>
  <c r="Y133" i="30"/>
  <c r="Z133" i="30" s="1"/>
  <c r="W202" i="39"/>
  <c r="W167" i="30"/>
  <c r="BB87" i="30"/>
  <c r="BI132" i="40"/>
  <c r="BJ132" i="40" s="1"/>
  <c r="W162" i="40"/>
  <c r="V211" i="40"/>
  <c r="BE132" i="40"/>
  <c r="BF132" i="40" s="1"/>
  <c r="V208" i="40"/>
  <c r="BM132" i="40"/>
  <c r="BN132" i="40" s="1"/>
  <c r="V211" i="34"/>
  <c r="CB133" i="34"/>
  <c r="BM132" i="34"/>
  <c r="BN132" i="34" s="1"/>
  <c r="BE132" i="34"/>
  <c r="BF132" i="34" s="1"/>
  <c r="AS134" i="34"/>
  <c r="W164" i="34"/>
  <c r="BI132" i="34"/>
  <c r="BJ132" i="34" s="1"/>
  <c r="K134" i="34"/>
  <c r="AT134" i="34" s="1"/>
  <c r="V210" i="34"/>
  <c r="Y148" i="37"/>
  <c r="Z148" i="37" s="1"/>
  <c r="X149" i="37"/>
  <c r="Z147" i="37"/>
  <c r="AB147" i="37"/>
  <c r="AA148" i="37"/>
  <c r="E148" i="37" s="1"/>
  <c r="W194" i="38"/>
  <c r="W195" i="38" s="1"/>
  <c r="Y148" i="27"/>
  <c r="Z148" i="27" s="1"/>
  <c r="X149" i="27"/>
  <c r="V199" i="38"/>
  <c r="V196" i="27"/>
  <c r="AE170" i="27"/>
  <c r="V201" i="27"/>
  <c r="AF135" i="27"/>
  <c r="AG134" i="27"/>
  <c r="AH134" i="27" s="1"/>
  <c r="AD187" i="38"/>
  <c r="AD186" i="38"/>
  <c r="V202" i="38"/>
  <c r="AB147" i="38"/>
  <c r="AG137" i="38"/>
  <c r="AH137" i="38" s="1"/>
  <c r="AF138" i="38"/>
  <c r="W202" i="27"/>
  <c r="AB147" i="27"/>
  <c r="AD183" i="27"/>
  <c r="Y148" i="38"/>
  <c r="Z148" i="38" s="1"/>
  <c r="X149" i="38"/>
  <c r="AD182" i="27"/>
  <c r="AE197" i="38"/>
  <c r="AD185" i="37"/>
  <c r="L147" i="37"/>
  <c r="AD184" i="37"/>
  <c r="AE197" i="37"/>
  <c r="W196" i="37"/>
  <c r="AG134" i="37"/>
  <c r="AH134" i="37" s="1"/>
  <c r="AI135" i="37"/>
  <c r="F149" i="37" s="1"/>
  <c r="I149" i="37" s="1"/>
  <c r="AF135" i="37"/>
  <c r="AJ133" i="37"/>
  <c r="V200" i="37"/>
  <c r="V205" i="37"/>
  <c r="AI134" i="37"/>
  <c r="F148" i="37" s="1"/>
  <c r="I148" i="37" s="1"/>
  <c r="AZ139" i="38"/>
  <c r="BA138" i="38"/>
  <c r="BB138" i="38" s="1"/>
  <c r="CB139" i="38"/>
  <c r="CE139" i="38"/>
  <c r="AV139" i="38"/>
  <c r="BQ138" i="38"/>
  <c r="BR138" i="38" s="1"/>
  <c r="BP139" i="38"/>
  <c r="BM138" i="38"/>
  <c r="BN138" i="38" s="1"/>
  <c r="BE138" i="38"/>
  <c r="BF138" i="38" s="1"/>
  <c r="AW138" i="38"/>
  <c r="AX138" i="38" s="1"/>
  <c r="BE130" i="27"/>
  <c r="BF130" i="27" s="1"/>
  <c r="BM131" i="27"/>
  <c r="BN131" i="27" s="1"/>
  <c r="AW130" i="27"/>
  <c r="AX130" i="27" s="1"/>
  <c r="BI130" i="27"/>
  <c r="BJ130" i="27" s="1"/>
  <c r="BE131" i="27"/>
  <c r="BF131" i="27" s="1"/>
  <c r="BI131" i="27"/>
  <c r="BJ131" i="27" s="1"/>
  <c r="AW131" i="27"/>
  <c r="AX131" i="27" s="1"/>
  <c r="AZ132" i="27"/>
  <c r="CB132" i="27"/>
  <c r="CE132" i="27"/>
  <c r="AV132" i="27"/>
  <c r="BA131" i="27"/>
  <c r="BB131" i="27" s="1"/>
  <c r="BM130" i="27"/>
  <c r="BN130" i="27" s="1"/>
  <c r="BA130" i="27"/>
  <c r="BB130" i="27" s="1"/>
  <c r="BA135" i="37"/>
  <c r="BB135" i="37" s="1"/>
  <c r="BI135" i="37"/>
  <c r="BJ135" i="37" s="1"/>
  <c r="CB136" i="37"/>
  <c r="CE136" i="37"/>
  <c r="AV136" i="37"/>
  <c r="AZ136" i="37" s="1"/>
  <c r="BH136" i="37"/>
  <c r="BQ135" i="37"/>
  <c r="BR135" i="37" s="1"/>
  <c r="BE135" i="37"/>
  <c r="BF135" i="37" s="1"/>
  <c r="BM135" i="37"/>
  <c r="BN135" i="37" s="1"/>
  <c r="AW135" i="37"/>
  <c r="AX135" i="37" s="1"/>
  <c r="L147" i="27"/>
  <c r="T140" i="38"/>
  <c r="K133" i="27"/>
  <c r="AT133" i="27" s="1"/>
  <c r="AS133" i="27"/>
  <c r="AS134" i="27"/>
  <c r="K134" i="27"/>
  <c r="AT134" i="27" s="1"/>
  <c r="T137" i="37"/>
  <c r="K138" i="37"/>
  <c r="AT138" i="37" s="1"/>
  <c r="AS138" i="37"/>
  <c r="M162" i="30"/>
  <c r="M163" i="40"/>
  <c r="M162" i="34"/>
  <c r="M166" i="39"/>
  <c r="AA135" i="22"/>
  <c r="E135" i="22" s="1"/>
  <c r="AB134" i="22"/>
  <c r="V181" i="22"/>
  <c r="V182" i="22"/>
  <c r="K134" i="22"/>
  <c r="L135" i="22"/>
  <c r="Y135" i="22"/>
  <c r="Z135" i="22" s="1"/>
  <c r="X136" i="22"/>
  <c r="W176" i="22"/>
  <c r="I147" i="30" l="1"/>
  <c r="BM134" i="39"/>
  <c r="BN134" i="39" s="1"/>
  <c r="BP134" i="39"/>
  <c r="BQ134" i="39" s="1"/>
  <c r="AJ133" i="30"/>
  <c r="AI134" i="30"/>
  <c r="F148" i="30" s="1"/>
  <c r="I148" i="30" s="1"/>
  <c r="BR133" i="39"/>
  <c r="BQ129" i="30"/>
  <c r="BR129" i="30" s="1"/>
  <c r="BM130" i="30"/>
  <c r="BN130" i="30" s="1"/>
  <c r="BP130" i="30"/>
  <c r="BQ130" i="30" s="1"/>
  <c r="AA138" i="39"/>
  <c r="E138" i="39" s="1"/>
  <c r="H138" i="39" s="1"/>
  <c r="AS138" i="39" s="1"/>
  <c r="BH130" i="30"/>
  <c r="BI130" i="30" s="1"/>
  <c r="BJ130" i="30" s="1"/>
  <c r="BL135" i="39"/>
  <c r="T136" i="39"/>
  <c r="BH136" i="39" s="1"/>
  <c r="BI136" i="39" s="1"/>
  <c r="BJ136" i="39" s="1"/>
  <c r="BH134" i="40"/>
  <c r="AJ135" i="40"/>
  <c r="AI136" i="40"/>
  <c r="F150" i="40" s="1"/>
  <c r="AI135" i="39"/>
  <c r="F149" i="39" s="1"/>
  <c r="I149" i="39" s="1"/>
  <c r="AJ134" i="39"/>
  <c r="K135" i="40"/>
  <c r="AT135" i="40" s="1"/>
  <c r="K133" i="30"/>
  <c r="AT133" i="30" s="1"/>
  <c r="L148" i="27"/>
  <c r="L149" i="40"/>
  <c r="H148" i="27"/>
  <c r="AA149" i="27"/>
  <c r="E149" i="27" s="1"/>
  <c r="M162" i="38"/>
  <c r="I148" i="34"/>
  <c r="L148" i="34"/>
  <c r="BD140" i="38"/>
  <c r="BL140" i="38"/>
  <c r="AB135" i="34"/>
  <c r="AA136" i="40"/>
  <c r="E136" i="40" s="1"/>
  <c r="H136" i="40" s="1"/>
  <c r="AS136" i="40" s="1"/>
  <c r="BL134" i="40"/>
  <c r="BM134" i="40" s="1"/>
  <c r="BN134" i="40" s="1"/>
  <c r="AB135" i="40"/>
  <c r="BD133" i="40"/>
  <c r="BE133" i="40" s="1"/>
  <c r="BF133" i="40" s="1"/>
  <c r="BL133" i="40"/>
  <c r="BM133" i="40" s="1"/>
  <c r="BN133" i="40" s="1"/>
  <c r="AB148" i="27"/>
  <c r="AJ134" i="34"/>
  <c r="H148" i="37"/>
  <c r="AJ134" i="37"/>
  <c r="BD131" i="30"/>
  <c r="BE131" i="30" s="1"/>
  <c r="BF131" i="30" s="1"/>
  <c r="BL137" i="37"/>
  <c r="BP137" i="37" s="1"/>
  <c r="BD137" i="37"/>
  <c r="BH137" i="37" s="1"/>
  <c r="BL136" i="39"/>
  <c r="BM136" i="39" s="1"/>
  <c r="BN136" i="39" s="1"/>
  <c r="BL131" i="30"/>
  <c r="AR135" i="37"/>
  <c r="AQ136" i="37"/>
  <c r="G164" i="37" s="1"/>
  <c r="M164" i="37" s="1"/>
  <c r="BP140" i="38"/>
  <c r="BQ140" i="38" s="1"/>
  <c r="CE140" i="38"/>
  <c r="AV140" i="38"/>
  <c r="CB133" i="40"/>
  <c r="BH133" i="40"/>
  <c r="BI133" i="40" s="1"/>
  <c r="BJ133" i="40" s="1"/>
  <c r="AG135" i="34"/>
  <c r="AH135" i="34" s="1"/>
  <c r="AF136" i="34"/>
  <c r="AJ135" i="34"/>
  <c r="AI136" i="34"/>
  <c r="F150" i="34" s="1"/>
  <c r="I150" i="34" s="1"/>
  <c r="AG136" i="40"/>
  <c r="AH136" i="40" s="1"/>
  <c r="AF137" i="40"/>
  <c r="AJ136" i="40"/>
  <c r="AA136" i="34"/>
  <c r="E136" i="34" s="1"/>
  <c r="H136" i="34" s="1"/>
  <c r="AS136" i="34" s="1"/>
  <c r="AR134" i="38"/>
  <c r="J163" i="38"/>
  <c r="M163" i="38"/>
  <c r="AJ137" i="38"/>
  <c r="AO135" i="38"/>
  <c r="AP135" i="38" s="1"/>
  <c r="AQ136" i="38"/>
  <c r="G164" i="38" s="1"/>
  <c r="AN136" i="38"/>
  <c r="AR135" i="38"/>
  <c r="L151" i="38"/>
  <c r="AO134" i="27"/>
  <c r="AP134" i="27" s="1"/>
  <c r="AN135" i="27"/>
  <c r="AQ135" i="27"/>
  <c r="G163" i="27" s="1"/>
  <c r="J163" i="27" s="1"/>
  <c r="AB148" i="38"/>
  <c r="AA149" i="38"/>
  <c r="E149" i="38" s="1"/>
  <c r="H149" i="38" s="1"/>
  <c r="AF135" i="30"/>
  <c r="AG134" i="30"/>
  <c r="AH134" i="30" s="1"/>
  <c r="AG135" i="39"/>
  <c r="AH135" i="39" s="1"/>
  <c r="AF136" i="39"/>
  <c r="AB137" i="39"/>
  <c r="AA149" i="37"/>
  <c r="E149" i="37" s="1"/>
  <c r="H149" i="37" s="1"/>
  <c r="AB148" i="37"/>
  <c r="AN137" i="37"/>
  <c r="AO136" i="37"/>
  <c r="AP136" i="37" s="1"/>
  <c r="AQ137" i="37"/>
  <c r="G165" i="37" s="1"/>
  <c r="AR136" i="37"/>
  <c r="X137" i="34"/>
  <c r="Y136" i="34"/>
  <c r="Z136" i="34" s="1"/>
  <c r="AA137" i="34"/>
  <c r="E137" i="34" s="1"/>
  <c r="H137" i="34" s="1"/>
  <c r="AB136" i="40"/>
  <c r="X137" i="40"/>
  <c r="Y136" i="40"/>
  <c r="Z136" i="40" s="1"/>
  <c r="AA137" i="40"/>
  <c r="E137" i="40" s="1"/>
  <c r="H137" i="40" s="1"/>
  <c r="AI135" i="27"/>
  <c r="F149" i="27" s="1"/>
  <c r="I149" i="27" s="1"/>
  <c r="AJ134" i="27"/>
  <c r="V189" i="30"/>
  <c r="K137" i="39"/>
  <c r="AT137" i="39" s="1"/>
  <c r="X135" i="30"/>
  <c r="Y134" i="30"/>
  <c r="Z134" i="30" s="1"/>
  <c r="V191" i="39"/>
  <c r="AB138" i="39"/>
  <c r="X139" i="39"/>
  <c r="Y138" i="39"/>
  <c r="Z138" i="39" s="1"/>
  <c r="AA134" i="30"/>
  <c r="E134" i="30" s="1"/>
  <c r="H134" i="30" s="1"/>
  <c r="V192" i="39"/>
  <c r="W168" i="30"/>
  <c r="W169" i="30" s="1"/>
  <c r="AB133" i="30"/>
  <c r="W203" i="39"/>
  <c r="CB131" i="30"/>
  <c r="T132" i="30"/>
  <c r="AS132" i="30"/>
  <c r="V184" i="30"/>
  <c r="AS133" i="30"/>
  <c r="BE134" i="39"/>
  <c r="BF86" i="39" s="1"/>
  <c r="BF85" i="39"/>
  <c r="T134" i="34"/>
  <c r="BI134" i="40"/>
  <c r="W163" i="40"/>
  <c r="V210" i="40"/>
  <c r="BE134" i="40"/>
  <c r="BF86" i="40" s="1"/>
  <c r="BF85" i="40"/>
  <c r="V213" i="40"/>
  <c r="BM133" i="34"/>
  <c r="BN133" i="34" s="1"/>
  <c r="W165" i="34"/>
  <c r="BE133" i="34"/>
  <c r="BF133" i="34" s="1"/>
  <c r="V213" i="34"/>
  <c r="V212" i="34"/>
  <c r="Y149" i="37"/>
  <c r="X150" i="37"/>
  <c r="W203" i="27"/>
  <c r="AF136" i="27"/>
  <c r="AG135" i="27"/>
  <c r="AH135" i="27" s="1"/>
  <c r="V198" i="27"/>
  <c r="AG138" i="38"/>
  <c r="AH138" i="38" s="1"/>
  <c r="AI139" i="38"/>
  <c r="F153" i="38" s="1"/>
  <c r="I153" i="38" s="1"/>
  <c r="AF139" i="38"/>
  <c r="AJ138" i="38"/>
  <c r="V204" i="38"/>
  <c r="AD189" i="38"/>
  <c r="V203" i="27"/>
  <c r="AD184" i="27"/>
  <c r="AD185" i="27"/>
  <c r="Y149" i="27"/>
  <c r="Z149" i="27" s="1"/>
  <c r="X150" i="27"/>
  <c r="AE198" i="38"/>
  <c r="AE199" i="38" s="1"/>
  <c r="AI138" i="38"/>
  <c r="F152" i="38" s="1"/>
  <c r="I152" i="38" s="1"/>
  <c r="X150" i="38"/>
  <c r="Y149" i="38"/>
  <c r="Z149" i="38" s="1"/>
  <c r="AB149" i="38"/>
  <c r="V201" i="38"/>
  <c r="W196" i="38"/>
  <c r="AD188" i="38"/>
  <c r="AE171" i="27"/>
  <c r="AE198" i="37"/>
  <c r="AG135" i="37"/>
  <c r="AH135" i="37" s="1"/>
  <c r="AF136" i="37"/>
  <c r="AD186" i="37"/>
  <c r="L149" i="37"/>
  <c r="V202" i="37"/>
  <c r="AD187" i="37"/>
  <c r="L148" i="37"/>
  <c r="W197" i="37"/>
  <c r="W198" i="37" s="1"/>
  <c r="V207" i="37"/>
  <c r="AZ140" i="38"/>
  <c r="BA140" i="38" s="1"/>
  <c r="BB140" i="38" s="1"/>
  <c r="CB140" i="38"/>
  <c r="BH140" i="38"/>
  <c r="BM139" i="38"/>
  <c r="BN139" i="38" s="1"/>
  <c r="BQ139" i="38"/>
  <c r="BR139" i="38" s="1"/>
  <c r="BE139" i="38"/>
  <c r="BF139" i="38" s="1"/>
  <c r="BA139" i="38"/>
  <c r="BB139" i="38" s="1"/>
  <c r="AW139" i="38"/>
  <c r="AX85" i="38"/>
  <c r="AW132" i="27"/>
  <c r="AX132" i="27" s="1"/>
  <c r="BM132" i="27"/>
  <c r="BN132" i="27" s="1"/>
  <c r="BA132" i="27"/>
  <c r="BB132" i="27" s="1"/>
  <c r="BE132" i="27"/>
  <c r="BF132" i="27" s="1"/>
  <c r="AW136" i="37"/>
  <c r="AX136" i="37" s="1"/>
  <c r="BE136" i="37"/>
  <c r="BF136" i="37" s="1"/>
  <c r="BM136" i="37"/>
  <c r="BN136" i="37" s="1"/>
  <c r="CB137" i="37"/>
  <c r="CE137" i="37"/>
  <c r="AV137" i="37"/>
  <c r="AZ137" i="37" s="1"/>
  <c r="BA136" i="37"/>
  <c r="BB136" i="37" s="1"/>
  <c r="BI136" i="37"/>
  <c r="BJ136" i="37" s="1"/>
  <c r="BQ136" i="37"/>
  <c r="BR136" i="37" s="1"/>
  <c r="AS135" i="34"/>
  <c r="M162" i="27"/>
  <c r="T133" i="27"/>
  <c r="M161" i="27"/>
  <c r="K141" i="38"/>
  <c r="AT141" i="38" s="1"/>
  <c r="AS141" i="38"/>
  <c r="K142" i="38"/>
  <c r="AT142" i="38" s="1"/>
  <c r="AS142" i="38"/>
  <c r="T134" i="27"/>
  <c r="K139" i="37"/>
  <c r="AT139" i="37" s="1"/>
  <c r="AS139" i="37"/>
  <c r="T138" i="37"/>
  <c r="BD138" i="37" s="1"/>
  <c r="M167" i="39"/>
  <c r="K135" i="34"/>
  <c r="AT135" i="34" s="1"/>
  <c r="M164" i="40"/>
  <c r="M163" i="34"/>
  <c r="M163" i="30"/>
  <c r="M164" i="30"/>
  <c r="V184" i="22"/>
  <c r="V183" i="22"/>
  <c r="AB135" i="22"/>
  <c r="AA136" i="22"/>
  <c r="K135" i="22"/>
  <c r="L136" i="22"/>
  <c r="X137" i="22"/>
  <c r="Y136" i="22"/>
  <c r="Z136" i="22" s="1"/>
  <c r="W177" i="22"/>
  <c r="L148" i="30" l="1"/>
  <c r="K138" i="39"/>
  <c r="AT138" i="39" s="1"/>
  <c r="BH131" i="30"/>
  <c r="BI131" i="30" s="1"/>
  <c r="BJ131" i="30" s="1"/>
  <c r="BM131" i="30"/>
  <c r="BN131" i="30" s="1"/>
  <c r="BP131" i="30"/>
  <c r="BQ131" i="30" s="1"/>
  <c r="BR130" i="30"/>
  <c r="AJ134" i="30"/>
  <c r="BP136" i="39"/>
  <c r="BQ136" i="39" s="1"/>
  <c r="BM135" i="39"/>
  <c r="BN135" i="39" s="1"/>
  <c r="BP135" i="39"/>
  <c r="BQ135" i="39"/>
  <c r="BR134" i="39"/>
  <c r="L149" i="39"/>
  <c r="CB136" i="39"/>
  <c r="T133" i="30"/>
  <c r="CB133" i="30" s="1"/>
  <c r="BJ134" i="40"/>
  <c r="T135" i="40"/>
  <c r="BL135" i="40" s="1"/>
  <c r="BM135" i="40" s="1"/>
  <c r="BN135" i="40" s="1"/>
  <c r="H149" i="27"/>
  <c r="AA150" i="38"/>
  <c r="E150" i="38" s="1"/>
  <c r="H150" i="38" s="1"/>
  <c r="I150" i="40"/>
  <c r="L150" i="40"/>
  <c r="AJ135" i="39"/>
  <c r="AI136" i="39"/>
  <c r="F150" i="39" s="1"/>
  <c r="L150" i="39" s="1"/>
  <c r="T138" i="39"/>
  <c r="CB138" i="39" s="1"/>
  <c r="L150" i="34"/>
  <c r="BD133" i="27"/>
  <c r="BL134" i="27"/>
  <c r="BL133" i="27"/>
  <c r="AB136" i="34"/>
  <c r="AZ147" i="38"/>
  <c r="BB147" i="38" s="1"/>
  <c r="BA147" i="38"/>
  <c r="AW140" i="38"/>
  <c r="AX140" i="38" s="1"/>
  <c r="AI137" i="40"/>
  <c r="F151" i="40" s="1"/>
  <c r="I151" i="40" s="1"/>
  <c r="K136" i="40"/>
  <c r="AT136" i="40" s="1"/>
  <c r="BD134" i="27"/>
  <c r="BD134" i="34"/>
  <c r="BE134" i="34" s="1"/>
  <c r="BF86" i="34" s="1"/>
  <c r="BL134" i="34"/>
  <c r="BM134" i="34" s="1"/>
  <c r="BN134" i="34" s="1"/>
  <c r="AI136" i="37"/>
  <c r="F150" i="37" s="1"/>
  <c r="I150" i="37" s="1"/>
  <c r="J164" i="37"/>
  <c r="BL133" i="30"/>
  <c r="BD132" i="30"/>
  <c r="BE132" i="30" s="1"/>
  <c r="BF132" i="30" s="1"/>
  <c r="BD133" i="30"/>
  <c r="BE133" i="30" s="1"/>
  <c r="BF133" i="30" s="1"/>
  <c r="AA139" i="39"/>
  <c r="E139" i="39" s="1"/>
  <c r="H139" i="39" s="1"/>
  <c r="AS139" i="39" s="1"/>
  <c r="AJ135" i="37"/>
  <c r="BL132" i="30"/>
  <c r="BL138" i="37"/>
  <c r="BR140" i="38"/>
  <c r="J165" i="37"/>
  <c r="M165" i="37"/>
  <c r="AG137" i="40"/>
  <c r="AH137" i="40" s="1"/>
  <c r="AF138" i="40"/>
  <c r="AI138" i="40"/>
  <c r="F152" i="40" s="1"/>
  <c r="I152" i="40" s="1"/>
  <c r="K136" i="34"/>
  <c r="AT136" i="34" s="1"/>
  <c r="AG136" i="34"/>
  <c r="AH136" i="34" s="1"/>
  <c r="AF137" i="34"/>
  <c r="AJ136" i="34"/>
  <c r="AR134" i="27"/>
  <c r="AO135" i="27"/>
  <c r="AP135" i="27" s="1"/>
  <c r="AN136" i="27"/>
  <c r="AQ136" i="27"/>
  <c r="G164" i="27" s="1"/>
  <c r="J164" i="27" s="1"/>
  <c r="AO136" i="38"/>
  <c r="AP136" i="38" s="1"/>
  <c r="AN137" i="38"/>
  <c r="J164" i="38"/>
  <c r="M164" i="38"/>
  <c r="AG136" i="39"/>
  <c r="AH136" i="39" s="1"/>
  <c r="AF137" i="39"/>
  <c r="AI137" i="39"/>
  <c r="F151" i="39" s="1"/>
  <c r="AJ136" i="39"/>
  <c r="AG135" i="30"/>
  <c r="AH135" i="30" s="1"/>
  <c r="AF136" i="30"/>
  <c r="AI135" i="30"/>
  <c r="F149" i="30" s="1"/>
  <c r="AO137" i="37"/>
  <c r="AP137" i="37" s="1"/>
  <c r="AN138" i="37"/>
  <c r="BH134" i="34"/>
  <c r="BI134" i="34" s="1"/>
  <c r="BJ134" i="34" s="1"/>
  <c r="AA138" i="40"/>
  <c r="E138" i="40" s="1"/>
  <c r="H138" i="40" s="1"/>
  <c r="AS138" i="40" s="1"/>
  <c r="X138" i="40"/>
  <c r="Y137" i="40"/>
  <c r="Z137" i="40" s="1"/>
  <c r="X138" i="34"/>
  <c r="Y137" i="34"/>
  <c r="Z137" i="34" s="1"/>
  <c r="AA138" i="34"/>
  <c r="E138" i="34" s="1"/>
  <c r="H138" i="34" s="1"/>
  <c r="AA150" i="27"/>
  <c r="E150" i="27" s="1"/>
  <c r="AB149" i="27"/>
  <c r="CB132" i="30"/>
  <c r="W204" i="39"/>
  <c r="W205" i="39" s="1"/>
  <c r="BH132" i="30"/>
  <c r="BI132" i="30" s="1"/>
  <c r="BJ132" i="30" s="1"/>
  <c r="K134" i="30"/>
  <c r="AT134" i="30" s="1"/>
  <c r="AS137" i="39"/>
  <c r="T137" i="39"/>
  <c r="BL137" i="39" s="1"/>
  <c r="V186" i="30"/>
  <c r="W170" i="30"/>
  <c r="W171" i="30" s="1"/>
  <c r="V191" i="30"/>
  <c r="Y139" i="39"/>
  <c r="Z139" i="39" s="1"/>
  <c r="X140" i="39"/>
  <c r="X136" i="30"/>
  <c r="Y135" i="30"/>
  <c r="Z135" i="30" s="1"/>
  <c r="V194" i="39"/>
  <c r="AA135" i="30"/>
  <c r="E135" i="30" s="1"/>
  <c r="H135" i="30" s="1"/>
  <c r="AB134" i="30"/>
  <c r="V193" i="39"/>
  <c r="BF134" i="39"/>
  <c r="CB134" i="34"/>
  <c r="BP135" i="40"/>
  <c r="BQ135" i="40" s="1"/>
  <c r="BR135" i="40" s="1"/>
  <c r="BH135" i="40"/>
  <c r="BI135" i="40" s="1"/>
  <c r="BJ135" i="40" s="1"/>
  <c r="T135" i="34"/>
  <c r="V212" i="40"/>
  <c r="V215" i="40"/>
  <c r="BF134" i="40"/>
  <c r="W164" i="40"/>
  <c r="W166" i="34"/>
  <c r="V215" i="34"/>
  <c r="V214" i="34"/>
  <c r="Z149" i="37"/>
  <c r="AB149" i="37"/>
  <c r="AA150" i="37"/>
  <c r="E150" i="37" s="1"/>
  <c r="H150" i="37" s="1"/>
  <c r="X151" i="37"/>
  <c r="AB150" i="37"/>
  <c r="Y150" i="37"/>
  <c r="Z150" i="37" s="1"/>
  <c r="AD190" i="38"/>
  <c r="AG139" i="38"/>
  <c r="AH139" i="38" s="1"/>
  <c r="AF140" i="38"/>
  <c r="AD186" i="27"/>
  <c r="Y150" i="27"/>
  <c r="Z150" i="27" s="1"/>
  <c r="X151" i="27"/>
  <c r="AA151" i="27"/>
  <c r="E151" i="27" s="1"/>
  <c r="L153" i="38"/>
  <c r="AG136" i="27"/>
  <c r="AH136" i="27" s="1"/>
  <c r="AF137" i="27"/>
  <c r="AI137" i="27"/>
  <c r="F151" i="27" s="1"/>
  <c r="I151" i="27" s="1"/>
  <c r="AD191" i="38"/>
  <c r="W197" i="38"/>
  <c r="W198" i="38" s="1"/>
  <c r="AI136" i="27"/>
  <c r="F150" i="27" s="1"/>
  <c r="I150" i="27" s="1"/>
  <c r="Y150" i="38"/>
  <c r="Z150" i="38" s="1"/>
  <c r="X151" i="38"/>
  <c r="AD187" i="27"/>
  <c r="V205" i="27"/>
  <c r="V206" i="38"/>
  <c r="AJ135" i="27"/>
  <c r="AE172" i="27"/>
  <c r="AE173" i="27" s="1"/>
  <c r="V203" i="38"/>
  <c r="L152" i="38"/>
  <c r="V200" i="27"/>
  <c r="W204" i="27"/>
  <c r="AE200" i="38"/>
  <c r="AE201" i="38" s="1"/>
  <c r="W199" i="37"/>
  <c r="W200" i="37" s="1"/>
  <c r="E136" i="22"/>
  <c r="K136" i="22" s="1"/>
  <c r="V204" i="37"/>
  <c r="AG136" i="37"/>
  <c r="AH136" i="37" s="1"/>
  <c r="AF137" i="37"/>
  <c r="AD188" i="37"/>
  <c r="AE199" i="37"/>
  <c r="V209" i="37"/>
  <c r="AD189" i="37"/>
  <c r="AX139" i="38"/>
  <c r="AX86" i="38"/>
  <c r="BM140" i="38"/>
  <c r="BN140" i="38" s="1"/>
  <c r="BE140" i="38"/>
  <c r="BF140" i="38" s="1"/>
  <c r="BI140" i="38"/>
  <c r="BJ140" i="38" s="1"/>
  <c r="CB134" i="27"/>
  <c r="CE134" i="27"/>
  <c r="AV134" i="27"/>
  <c r="CB133" i="27"/>
  <c r="CE133" i="27"/>
  <c r="AV133" i="27"/>
  <c r="AZ133" i="27"/>
  <c r="BH134" i="27"/>
  <c r="AZ134" i="27"/>
  <c r="BH133" i="27"/>
  <c r="BH138" i="37"/>
  <c r="BI138" i="37" s="1"/>
  <c r="BJ138" i="37" s="1"/>
  <c r="BP138" i="37"/>
  <c r="BQ138" i="37" s="1"/>
  <c r="BR138" i="37" s="1"/>
  <c r="AW137" i="37"/>
  <c r="AX137" i="37" s="1"/>
  <c r="BA137" i="37"/>
  <c r="BB137" i="37" s="1"/>
  <c r="BE137" i="37"/>
  <c r="BF137" i="37" s="1"/>
  <c r="BM137" i="37"/>
  <c r="BN137" i="37" s="1"/>
  <c r="BI137" i="37"/>
  <c r="BJ137" i="37" s="1"/>
  <c r="CB138" i="37"/>
  <c r="CE138" i="37"/>
  <c r="AV138" i="37"/>
  <c r="AZ138" i="37" s="1"/>
  <c r="BA138" i="37" s="1"/>
  <c r="BQ137" i="37"/>
  <c r="BR137" i="37" s="1"/>
  <c r="L149" i="34"/>
  <c r="L149" i="27"/>
  <c r="T142" i="38"/>
  <c r="T141" i="38"/>
  <c r="K135" i="27"/>
  <c r="AT135" i="27" s="1"/>
  <c r="AS135" i="27"/>
  <c r="T139" i="37"/>
  <c r="K140" i="37"/>
  <c r="AT140" i="37" s="1"/>
  <c r="AS140" i="37"/>
  <c r="M165" i="30"/>
  <c r="K137" i="34"/>
  <c r="AT137" i="34" s="1"/>
  <c r="AS137" i="34"/>
  <c r="AS137" i="40"/>
  <c r="K137" i="40"/>
  <c r="AT137" i="40" s="1"/>
  <c r="M164" i="34"/>
  <c r="V185" i="22"/>
  <c r="V186" i="22"/>
  <c r="AA137" i="22"/>
  <c r="AB136" i="22"/>
  <c r="L137" i="22"/>
  <c r="Y137" i="22"/>
  <c r="Z137" i="22" s="1"/>
  <c r="X138" i="22"/>
  <c r="W178" i="22"/>
  <c r="BR135" i="39" l="1"/>
  <c r="BH133" i="30"/>
  <c r="BI133" i="30" s="1"/>
  <c r="BJ133" i="30" s="1"/>
  <c r="BR136" i="39"/>
  <c r="AA151" i="37"/>
  <c r="E151" i="37" s="1"/>
  <c r="BM132" i="30"/>
  <c r="BN132" i="30" s="1"/>
  <c r="BP132" i="30"/>
  <c r="BQ132" i="30" s="1"/>
  <c r="BM133" i="30"/>
  <c r="BN133" i="30" s="1"/>
  <c r="BP133" i="30"/>
  <c r="BQ133" i="30" s="1"/>
  <c r="BR131" i="30"/>
  <c r="AA140" i="39"/>
  <c r="E140" i="39" s="1"/>
  <c r="H140" i="39" s="1"/>
  <c r="AS140" i="39" s="1"/>
  <c r="AB139" i="39"/>
  <c r="AJ135" i="30"/>
  <c r="T136" i="34"/>
  <c r="BL136" i="34" s="1"/>
  <c r="CB135" i="40"/>
  <c r="T136" i="40"/>
  <c r="BL136" i="40" s="1"/>
  <c r="BM136" i="40" s="1"/>
  <c r="BN136" i="40" s="1"/>
  <c r="I150" i="39"/>
  <c r="K138" i="40"/>
  <c r="AT138" i="40" s="1"/>
  <c r="AR135" i="27"/>
  <c r="AI137" i="34"/>
  <c r="F151" i="34" s="1"/>
  <c r="L151" i="40"/>
  <c r="AR136" i="38"/>
  <c r="AQ137" i="38"/>
  <c r="G165" i="38" s="1"/>
  <c r="J165" i="38" s="1"/>
  <c r="AI136" i="30"/>
  <c r="F150" i="30" s="1"/>
  <c r="L150" i="30" s="1"/>
  <c r="AR137" i="37"/>
  <c r="AQ138" i="37"/>
  <c r="G166" i="37" s="1"/>
  <c r="J166" i="37" s="1"/>
  <c r="L150" i="37"/>
  <c r="BH138" i="39"/>
  <c r="BI138" i="39" s="1"/>
  <c r="BJ138" i="39" s="1"/>
  <c r="BF85" i="34"/>
  <c r="BH136" i="40"/>
  <c r="BI136" i="40" s="1"/>
  <c r="BJ136" i="40" s="1"/>
  <c r="BP136" i="40"/>
  <c r="BQ136" i="40" s="1"/>
  <c r="AI140" i="38"/>
  <c r="F154" i="38" s="1"/>
  <c r="I154" i="38" s="1"/>
  <c r="AJ137" i="40"/>
  <c r="AB137" i="34"/>
  <c r="BH135" i="34"/>
  <c r="BI135" i="34" s="1"/>
  <c r="BJ135" i="34" s="1"/>
  <c r="BL135" i="34"/>
  <c r="BM135" i="34" s="1"/>
  <c r="BN135" i="34" s="1"/>
  <c r="L152" i="40"/>
  <c r="BD142" i="38"/>
  <c r="BL142" i="38"/>
  <c r="AB137" i="40"/>
  <c r="BD141" i="38"/>
  <c r="BL141" i="38"/>
  <c r="K139" i="39"/>
  <c r="AT139" i="39" s="1"/>
  <c r="BL139" i="37"/>
  <c r="BP139" i="37" s="1"/>
  <c r="BD139" i="37"/>
  <c r="BL138" i="39"/>
  <c r="BM138" i="39" s="1"/>
  <c r="BN138" i="39" s="1"/>
  <c r="BB138" i="37"/>
  <c r="CE141" i="38"/>
  <c r="AV141" i="38"/>
  <c r="CE142" i="38"/>
  <c r="AV142" i="38"/>
  <c r="AG137" i="34"/>
  <c r="AH137" i="34" s="1"/>
  <c r="AF138" i="34"/>
  <c r="AG138" i="40"/>
  <c r="AH138" i="40" s="1"/>
  <c r="AF139" i="40"/>
  <c r="AA151" i="38"/>
  <c r="E151" i="38" s="1"/>
  <c r="H151" i="38" s="1"/>
  <c r="AO137" i="38"/>
  <c r="AP137" i="38" s="1"/>
  <c r="AN138" i="38"/>
  <c r="AO136" i="27"/>
  <c r="AP136" i="27" s="1"/>
  <c r="AQ137" i="27"/>
  <c r="G165" i="27" s="1"/>
  <c r="J165" i="27" s="1"/>
  <c r="AN137" i="27"/>
  <c r="I149" i="30"/>
  <c r="L149" i="30"/>
  <c r="AG136" i="30"/>
  <c r="AH136" i="30" s="1"/>
  <c r="AF137" i="30"/>
  <c r="I151" i="39"/>
  <c r="L151" i="39"/>
  <c r="AG137" i="39"/>
  <c r="AH137" i="39" s="1"/>
  <c r="AF138" i="39"/>
  <c r="AO138" i="37"/>
  <c r="AP138" i="37" s="1"/>
  <c r="AN139" i="37"/>
  <c r="AQ139" i="37"/>
  <c r="G167" i="37" s="1"/>
  <c r="AR138" i="37"/>
  <c r="H150" i="27"/>
  <c r="H151" i="27"/>
  <c r="Y138" i="34"/>
  <c r="Z138" i="34" s="1"/>
  <c r="X139" i="34"/>
  <c r="Y138" i="40"/>
  <c r="Z138" i="40" s="1"/>
  <c r="X139" i="40"/>
  <c r="AA139" i="40"/>
  <c r="E139" i="40" s="1"/>
  <c r="AB138" i="40"/>
  <c r="AJ136" i="27"/>
  <c r="AS134" i="30"/>
  <c r="T134" i="30"/>
  <c r="Y136" i="30"/>
  <c r="Z136" i="30" s="1"/>
  <c r="X137" i="30"/>
  <c r="V193" i="30"/>
  <c r="V188" i="30"/>
  <c r="W206" i="39"/>
  <c r="W207" i="39" s="1"/>
  <c r="V196" i="39"/>
  <c r="AA136" i="30"/>
  <c r="E136" i="30" s="1"/>
  <c r="H136" i="30" s="1"/>
  <c r="AB135" i="30"/>
  <c r="BF87" i="39"/>
  <c r="Y140" i="39"/>
  <c r="Z140" i="39" s="1"/>
  <c r="AA141" i="39"/>
  <c r="E141" i="39" s="1"/>
  <c r="H141" i="39" s="1"/>
  <c r="AS141" i="39" s="1"/>
  <c r="AB140" i="39"/>
  <c r="X141" i="39"/>
  <c r="V195" i="39"/>
  <c r="W172" i="30"/>
  <c r="BP137" i="39"/>
  <c r="BQ137" i="39" s="1"/>
  <c r="BR137" i="39" s="1"/>
  <c r="BH137" i="39"/>
  <c r="BI137" i="39" s="1"/>
  <c r="BJ137" i="39" s="1"/>
  <c r="CB137" i="39"/>
  <c r="BM137" i="39"/>
  <c r="BN137" i="39" s="1"/>
  <c r="K135" i="30"/>
  <c r="AT135" i="30" s="1"/>
  <c r="BP135" i="34"/>
  <c r="BQ135" i="34" s="1"/>
  <c r="BR135" i="34" s="1"/>
  <c r="CB135" i="34"/>
  <c r="V217" i="40"/>
  <c r="W165" i="40"/>
  <c r="V214" i="40"/>
  <c r="BF87" i="40"/>
  <c r="W167" i="34"/>
  <c r="BP136" i="34"/>
  <c r="BH136" i="34"/>
  <c r="V217" i="34"/>
  <c r="BF134" i="34"/>
  <c r="V216" i="34"/>
  <c r="Y151" i="37"/>
  <c r="Z151" i="37" s="1"/>
  <c r="X152" i="37"/>
  <c r="AE174" i="27"/>
  <c r="AE175" i="27" s="1"/>
  <c r="AG140" i="38"/>
  <c r="AH140" i="38" s="1"/>
  <c r="AF141" i="38"/>
  <c r="AE202" i="38"/>
  <c r="X152" i="38"/>
  <c r="Y151" i="38"/>
  <c r="Z151" i="38" s="1"/>
  <c r="AA152" i="38"/>
  <c r="E152" i="38" s="1"/>
  <c r="H152" i="38" s="1"/>
  <c r="AB150" i="27"/>
  <c r="AJ139" i="38"/>
  <c r="AD189" i="27"/>
  <c r="V205" i="38"/>
  <c r="W199" i="38"/>
  <c r="W200" i="38" s="1"/>
  <c r="AG137" i="27"/>
  <c r="AH137" i="27" s="1"/>
  <c r="AJ137" i="27"/>
  <c r="AF138" i="27"/>
  <c r="AD188" i="27"/>
  <c r="AD192" i="38"/>
  <c r="W205" i="27"/>
  <c r="V208" i="38"/>
  <c r="Y151" i="27"/>
  <c r="Z151" i="27" s="1"/>
  <c r="X152" i="27"/>
  <c r="AA152" i="27"/>
  <c r="E152" i="27" s="1"/>
  <c r="V202" i="27"/>
  <c r="AD193" i="38"/>
  <c r="V207" i="27"/>
  <c r="AB150" i="38"/>
  <c r="V206" i="37"/>
  <c r="AD190" i="37"/>
  <c r="V211" i="37"/>
  <c r="E137" i="22"/>
  <c r="K137" i="22" s="1"/>
  <c r="AI137" i="37"/>
  <c r="F151" i="37" s="1"/>
  <c r="I151" i="37" s="1"/>
  <c r="AJ136" i="37"/>
  <c r="W201" i="37"/>
  <c r="W202" i="37" s="1"/>
  <c r="W203" i="37" s="1"/>
  <c r="W204" i="37" s="1"/>
  <c r="W205" i="37" s="1"/>
  <c r="AD191" i="37"/>
  <c r="AE200" i="37"/>
  <c r="AG137" i="37"/>
  <c r="AH137" i="37" s="1"/>
  <c r="AF138" i="37"/>
  <c r="CB141" i="38"/>
  <c r="AZ141" i="38"/>
  <c r="BP141" i="38"/>
  <c r="BH141" i="38"/>
  <c r="AS143" i="38"/>
  <c r="AX87" i="38"/>
  <c r="CB142" i="38"/>
  <c r="BH142" i="38"/>
  <c r="BP142" i="38"/>
  <c r="AZ142" i="38"/>
  <c r="BI133" i="27"/>
  <c r="BJ133" i="27" s="1"/>
  <c r="BM133" i="27"/>
  <c r="BN133" i="27" s="1"/>
  <c r="AW133" i="27"/>
  <c r="AX133" i="27" s="1"/>
  <c r="BM134" i="27"/>
  <c r="BN134" i="27" s="1"/>
  <c r="BE133" i="27"/>
  <c r="BF133" i="27" s="1"/>
  <c r="BE134" i="27"/>
  <c r="BF134" i="27" s="1"/>
  <c r="AW134" i="27"/>
  <c r="AX134" i="27" s="1"/>
  <c r="BA134" i="27"/>
  <c r="BB134" i="27" s="1"/>
  <c r="BI134" i="27"/>
  <c r="BJ134" i="27" s="1"/>
  <c r="BA133" i="27"/>
  <c r="BB133" i="27" s="1"/>
  <c r="AW138" i="37"/>
  <c r="AX138" i="37" s="1"/>
  <c r="CB139" i="37"/>
  <c r="CE139" i="37"/>
  <c r="AV139" i="37"/>
  <c r="AZ139" i="37" s="1"/>
  <c r="BH139" i="37"/>
  <c r="BE138" i="37"/>
  <c r="BF138" i="37" s="1"/>
  <c r="BM138" i="37"/>
  <c r="BN138" i="37" s="1"/>
  <c r="K143" i="38"/>
  <c r="AT143" i="38" s="1"/>
  <c r="L151" i="27"/>
  <c r="K136" i="27"/>
  <c r="AT136" i="27" s="1"/>
  <c r="AS136" i="27"/>
  <c r="T135" i="27"/>
  <c r="AS137" i="27"/>
  <c r="K137" i="27"/>
  <c r="AT137" i="27" s="1"/>
  <c r="M163" i="27"/>
  <c r="T140" i="37"/>
  <c r="K141" i="37"/>
  <c r="AT141" i="37" s="1"/>
  <c r="AS141" i="37"/>
  <c r="M166" i="30"/>
  <c r="M169" i="39"/>
  <c r="M168" i="39"/>
  <c r="M165" i="40"/>
  <c r="T138" i="40"/>
  <c r="M166" i="40"/>
  <c r="T137" i="34"/>
  <c r="BL137" i="34" s="1"/>
  <c r="T137" i="40"/>
  <c r="BL137" i="40" s="1"/>
  <c r="M165" i="34"/>
  <c r="AB137" i="22"/>
  <c r="AA138" i="22"/>
  <c r="E138" i="22" s="1"/>
  <c r="V188" i="22"/>
  <c r="V187" i="22"/>
  <c r="L138" i="22"/>
  <c r="X139" i="22"/>
  <c r="Y138" i="22"/>
  <c r="Z138" i="22" s="1"/>
  <c r="W179" i="22"/>
  <c r="AJ137" i="39" l="1"/>
  <c r="AI138" i="39"/>
  <c r="F152" i="39" s="1"/>
  <c r="I152" i="39" s="1"/>
  <c r="BP138" i="39"/>
  <c r="BQ138" i="39" s="1"/>
  <c r="BR138" i="39" s="1"/>
  <c r="BR132" i="30"/>
  <c r="BR133" i="30"/>
  <c r="K140" i="39"/>
  <c r="AT140" i="39" s="1"/>
  <c r="AJ137" i="37"/>
  <c r="AA152" i="37"/>
  <c r="E152" i="37" s="1"/>
  <c r="AB151" i="37"/>
  <c r="CB136" i="34"/>
  <c r="M165" i="38"/>
  <c r="CB136" i="40"/>
  <c r="T139" i="39"/>
  <c r="BH139" i="39" s="1"/>
  <c r="I150" i="30"/>
  <c r="M166" i="37"/>
  <c r="L154" i="38"/>
  <c r="AB151" i="27"/>
  <c r="I151" i="34"/>
  <c r="L151" i="34"/>
  <c r="AB151" i="38"/>
  <c r="BR136" i="40"/>
  <c r="AJ138" i="40"/>
  <c r="BL138" i="40"/>
  <c r="AI139" i="40"/>
  <c r="F153" i="40" s="1"/>
  <c r="I153" i="40" s="1"/>
  <c r="BD135" i="27"/>
  <c r="BL135" i="27"/>
  <c r="AJ140" i="38"/>
  <c r="AI141" i="38"/>
  <c r="F155" i="38" s="1"/>
  <c r="I155" i="38" s="1"/>
  <c r="AW142" i="38"/>
  <c r="AX142" i="38" s="1"/>
  <c r="AZ149" i="38"/>
  <c r="BB149" i="38" s="1"/>
  <c r="BA149" i="38"/>
  <c r="AR137" i="38"/>
  <c r="AQ138" i="38"/>
  <c r="G166" i="38" s="1"/>
  <c r="J166" i="38" s="1"/>
  <c r="AW141" i="38"/>
  <c r="AX141" i="38" s="1"/>
  <c r="AZ148" i="38"/>
  <c r="BB148" i="38" s="1"/>
  <c r="BA148" i="38"/>
  <c r="BL140" i="37"/>
  <c r="BD140" i="37"/>
  <c r="BD134" i="30"/>
  <c r="BH134" i="30" s="1"/>
  <c r="BI134" i="30" s="1"/>
  <c r="BJ134" i="30" s="1"/>
  <c r="BL134" i="30"/>
  <c r="AJ136" i="30"/>
  <c r="AI137" i="30"/>
  <c r="F151" i="30" s="1"/>
  <c r="CE140" i="37"/>
  <c r="AV140" i="37"/>
  <c r="AZ140" i="37" s="1"/>
  <c r="BA140" i="37" s="1"/>
  <c r="J167" i="37"/>
  <c r="M167" i="37"/>
  <c r="H151" i="37"/>
  <c r="AG139" i="40"/>
  <c r="AH139" i="40" s="1"/>
  <c r="AF140" i="40"/>
  <c r="AI140" i="40"/>
  <c r="F154" i="40" s="1"/>
  <c r="I154" i="40" s="1"/>
  <c r="AJ137" i="34"/>
  <c r="AG138" i="34"/>
  <c r="AH138" i="34" s="1"/>
  <c r="AF139" i="34"/>
  <c r="AI139" i="34"/>
  <c r="F153" i="34" s="1"/>
  <c r="I153" i="34" s="1"/>
  <c r="AJ138" i="34"/>
  <c r="AI138" i="34"/>
  <c r="F152" i="34" s="1"/>
  <c r="I152" i="34" s="1"/>
  <c r="AI138" i="27"/>
  <c r="F152" i="27" s="1"/>
  <c r="I152" i="27" s="1"/>
  <c r="AR136" i="27"/>
  <c r="AO137" i="27"/>
  <c r="AP137" i="27" s="1"/>
  <c r="AN138" i="27"/>
  <c r="AO138" i="38"/>
  <c r="AP138" i="38" s="1"/>
  <c r="AN139" i="38"/>
  <c r="AQ139" i="38"/>
  <c r="G167" i="38" s="1"/>
  <c r="AR138" i="38"/>
  <c r="AF139" i="39"/>
  <c r="AG138" i="39"/>
  <c r="AH138" i="39" s="1"/>
  <c r="AJ138" i="39"/>
  <c r="K141" i="39"/>
  <c r="AT141" i="39" s="1"/>
  <c r="AG137" i="30"/>
  <c r="AH137" i="30" s="1"/>
  <c r="AF138" i="30"/>
  <c r="AA137" i="30"/>
  <c r="E137" i="30" s="1"/>
  <c r="H137" i="30" s="1"/>
  <c r="AB136" i="30"/>
  <c r="AO139" i="37"/>
  <c r="AP139" i="37" s="1"/>
  <c r="AN140" i="37"/>
  <c r="AQ140" i="37"/>
  <c r="G168" i="37" s="1"/>
  <c r="AR139" i="37"/>
  <c r="AI138" i="37"/>
  <c r="F152" i="37" s="1"/>
  <c r="I152" i="37" s="1"/>
  <c r="K139" i="40"/>
  <c r="AT139" i="40" s="1"/>
  <c r="H139" i="40"/>
  <c r="AS139" i="40" s="1"/>
  <c r="X140" i="40"/>
  <c r="Y139" i="40"/>
  <c r="Z139" i="40" s="1"/>
  <c r="X140" i="34"/>
  <c r="Y139" i="34"/>
  <c r="Z139" i="34" s="1"/>
  <c r="AB138" i="34"/>
  <c r="AA139" i="34"/>
  <c r="E139" i="34" s="1"/>
  <c r="H139" i="34" s="1"/>
  <c r="K136" i="30"/>
  <c r="AT136" i="30" s="1"/>
  <c r="V190" i="30"/>
  <c r="Y141" i="39"/>
  <c r="Z141" i="39" s="1"/>
  <c r="X142" i="39"/>
  <c r="V198" i="39"/>
  <c r="X138" i="30"/>
  <c r="Y137" i="30"/>
  <c r="Z137" i="30" s="1"/>
  <c r="W173" i="30"/>
  <c r="AS135" i="30"/>
  <c r="T135" i="30"/>
  <c r="V195" i="30"/>
  <c r="CB134" i="30"/>
  <c r="V197" i="39"/>
  <c r="BF88" i="39"/>
  <c r="W208" i="39"/>
  <c r="W209" i="39" s="1"/>
  <c r="BF88" i="40"/>
  <c r="V216" i="40"/>
  <c r="CB137" i="40"/>
  <c r="BH137" i="40"/>
  <c r="BP137" i="40"/>
  <c r="BH138" i="40"/>
  <c r="BP138" i="40"/>
  <c r="W166" i="40"/>
  <c r="V219" i="40"/>
  <c r="CB138" i="40"/>
  <c r="BQ136" i="34"/>
  <c r="BR136" i="34" s="1"/>
  <c r="CB137" i="34"/>
  <c r="BP137" i="34"/>
  <c r="BH137" i="34"/>
  <c r="BM136" i="34"/>
  <c r="BN136" i="34" s="1"/>
  <c r="V219" i="34"/>
  <c r="W168" i="34"/>
  <c r="V218" i="34"/>
  <c r="BI136" i="34"/>
  <c r="BJ136" i="34" s="1"/>
  <c r="BF87" i="34"/>
  <c r="BI139" i="39"/>
  <c r="Y152" i="37"/>
  <c r="Z152" i="37" s="1"/>
  <c r="X153" i="37"/>
  <c r="W206" i="27"/>
  <c r="W207" i="27" s="1"/>
  <c r="W208" i="27" s="1"/>
  <c r="Y152" i="27"/>
  <c r="Z152" i="27" s="1"/>
  <c r="X153" i="27"/>
  <c r="AB152" i="27"/>
  <c r="AA153" i="27"/>
  <c r="E153" i="27" s="1"/>
  <c r="V207" i="38"/>
  <c r="V209" i="27"/>
  <c r="AG141" i="38"/>
  <c r="AH141" i="38" s="1"/>
  <c r="AJ141" i="38"/>
  <c r="AF142" i="38"/>
  <c r="AX88" i="38"/>
  <c r="V204" i="27"/>
  <c r="V210" i="38"/>
  <c r="AD194" i="38"/>
  <c r="AG138" i="27"/>
  <c r="AH138" i="27" s="1"/>
  <c r="AF139" i="27"/>
  <c r="AD190" i="27"/>
  <c r="AE203" i="38"/>
  <c r="AD191" i="27"/>
  <c r="AE176" i="27"/>
  <c r="AE177" i="27" s="1"/>
  <c r="AE178" i="27" s="1"/>
  <c r="AE179" i="27" s="1"/>
  <c r="AE180" i="27" s="1"/>
  <c r="W201" i="38"/>
  <c r="AD195" i="38"/>
  <c r="Y152" i="38"/>
  <c r="Z152" i="38" s="1"/>
  <c r="X153" i="38"/>
  <c r="AB152" i="38"/>
  <c r="AA153" i="38"/>
  <c r="E153" i="38" s="1"/>
  <c r="H153" i="38" s="1"/>
  <c r="AG138" i="37"/>
  <c r="AH138" i="37" s="1"/>
  <c r="AF139" i="37"/>
  <c r="AD192" i="37"/>
  <c r="L151" i="37"/>
  <c r="W206" i="37"/>
  <c r="AE201" i="37"/>
  <c r="AE202" i="37" s="1"/>
  <c r="AE203" i="37" s="1"/>
  <c r="AE204" i="37" s="1"/>
  <c r="AE205" i="37" s="1"/>
  <c r="V213" i="37"/>
  <c r="V208" i="37"/>
  <c r="AD193" i="37"/>
  <c r="BE141" i="38"/>
  <c r="BF141" i="38" s="1"/>
  <c r="BQ141" i="38"/>
  <c r="BR141" i="38" s="1"/>
  <c r="T143" i="38"/>
  <c r="BA141" i="38"/>
  <c r="BB141" i="38" s="1"/>
  <c r="BA142" i="38"/>
  <c r="BB142" i="38" s="1"/>
  <c r="BQ142" i="38"/>
  <c r="BR142" i="38" s="1"/>
  <c r="BI141" i="38"/>
  <c r="BJ141" i="38" s="1"/>
  <c r="BI142" i="38"/>
  <c r="BJ142" i="38" s="1"/>
  <c r="BM141" i="38"/>
  <c r="BN141" i="38" s="1"/>
  <c r="BM142" i="38"/>
  <c r="BN142" i="38" s="1"/>
  <c r="BE142" i="38"/>
  <c r="BF142" i="38" s="1"/>
  <c r="CB135" i="27"/>
  <c r="CE135" i="27"/>
  <c r="AV135" i="27"/>
  <c r="BP135" i="27"/>
  <c r="BH135" i="27"/>
  <c r="AZ135" i="27"/>
  <c r="BA139" i="37"/>
  <c r="BB139" i="37" s="1"/>
  <c r="BM139" i="37"/>
  <c r="BN139" i="37" s="1"/>
  <c r="BE139" i="37"/>
  <c r="BF139" i="37" s="1"/>
  <c r="CB140" i="37"/>
  <c r="BP140" i="37"/>
  <c r="BH140" i="37"/>
  <c r="AW139" i="37"/>
  <c r="AX85" i="37"/>
  <c r="BI139" i="37"/>
  <c r="BJ139" i="37" s="1"/>
  <c r="BQ139" i="37"/>
  <c r="BR139" i="37" s="1"/>
  <c r="AS138" i="34"/>
  <c r="L150" i="27"/>
  <c r="M164" i="27"/>
  <c r="T136" i="27"/>
  <c r="K144" i="38"/>
  <c r="AT144" i="38" s="1"/>
  <c r="AS144" i="38"/>
  <c r="T137" i="27"/>
  <c r="M165" i="27"/>
  <c r="T141" i="37"/>
  <c r="AS142" i="37"/>
  <c r="K142" i="37"/>
  <c r="AT142" i="37" s="1"/>
  <c r="M170" i="39"/>
  <c r="K138" i="34"/>
  <c r="AT138" i="34" s="1"/>
  <c r="M167" i="40"/>
  <c r="K138" i="22"/>
  <c r="V189" i="22"/>
  <c r="V190" i="22"/>
  <c r="AB138" i="22"/>
  <c r="AA139" i="22"/>
  <c r="E139" i="22" s="1"/>
  <c r="L139" i="22"/>
  <c r="X140" i="22"/>
  <c r="Y139" i="22"/>
  <c r="Z139" i="22" s="1"/>
  <c r="W180" i="22"/>
  <c r="L152" i="39" l="1"/>
  <c r="AB152" i="37"/>
  <c r="AA153" i="37"/>
  <c r="E153" i="37" s="1"/>
  <c r="AB141" i="39"/>
  <c r="T140" i="39"/>
  <c r="BM134" i="30"/>
  <c r="BN134" i="30" s="1"/>
  <c r="BP134" i="30"/>
  <c r="BL139" i="39"/>
  <c r="T141" i="39"/>
  <c r="CB141" i="39" s="1"/>
  <c r="CB139" i="39"/>
  <c r="BJ139" i="39"/>
  <c r="AA140" i="34"/>
  <c r="E140" i="34" s="1"/>
  <c r="H140" i="34" s="1"/>
  <c r="AS140" i="34" s="1"/>
  <c r="L155" i="38"/>
  <c r="M166" i="38"/>
  <c r="AR137" i="27"/>
  <c r="AQ138" i="27"/>
  <c r="G166" i="27" s="1"/>
  <c r="J166" i="27" s="1"/>
  <c r="AI139" i="39"/>
  <c r="F153" i="39" s="1"/>
  <c r="L153" i="39" s="1"/>
  <c r="L153" i="40"/>
  <c r="H152" i="27"/>
  <c r="AA140" i="40"/>
  <c r="E140" i="40" s="1"/>
  <c r="H140" i="40" s="1"/>
  <c r="AS140" i="40" s="1"/>
  <c r="BD137" i="27"/>
  <c r="BL137" i="27"/>
  <c r="BD143" i="38"/>
  <c r="BL143" i="38"/>
  <c r="BH136" i="27"/>
  <c r="BI136" i="27" s="1"/>
  <c r="BJ136" i="27" s="1"/>
  <c r="BD136" i="27"/>
  <c r="BL136" i="27"/>
  <c r="BM136" i="27" s="1"/>
  <c r="BN136" i="27" s="1"/>
  <c r="L154" i="40"/>
  <c r="AJ139" i="40"/>
  <c r="AI138" i="30"/>
  <c r="F152" i="30" s="1"/>
  <c r="L152" i="30" s="1"/>
  <c r="AA142" i="39"/>
  <c r="E142" i="39" s="1"/>
  <c r="H142" i="39" s="1"/>
  <c r="AW140" i="37"/>
  <c r="AX140" i="37" s="1"/>
  <c r="I151" i="30"/>
  <c r="L151" i="30"/>
  <c r="BH140" i="39"/>
  <c r="BI140" i="39" s="1"/>
  <c r="BJ140" i="39" s="1"/>
  <c r="BL140" i="39"/>
  <c r="BM140" i="39" s="1"/>
  <c r="BN140" i="39" s="1"/>
  <c r="AJ137" i="30"/>
  <c r="BL141" i="37"/>
  <c r="BP141" i="37" s="1"/>
  <c r="BD141" i="37"/>
  <c r="BL135" i="30"/>
  <c r="BM135" i="30" s="1"/>
  <c r="BN135" i="30" s="1"/>
  <c r="BB140" i="37"/>
  <c r="CE143" i="38"/>
  <c r="AV143" i="38"/>
  <c r="CE141" i="37"/>
  <c r="AV141" i="37"/>
  <c r="AZ141" i="37" s="1"/>
  <c r="J168" i="37"/>
  <c r="M168" i="37"/>
  <c r="H152" i="37"/>
  <c r="L152" i="37"/>
  <c r="AG139" i="34"/>
  <c r="AH139" i="34" s="1"/>
  <c r="AJ139" i="34"/>
  <c r="AF140" i="34"/>
  <c r="AG140" i="40"/>
  <c r="AH140" i="40" s="1"/>
  <c r="AI141" i="40"/>
  <c r="F155" i="40" s="1"/>
  <c r="I155" i="40" s="1"/>
  <c r="AF141" i="40"/>
  <c r="AJ140" i="40"/>
  <c r="T139" i="40"/>
  <c r="BL139" i="40" s="1"/>
  <c r="AB139" i="40"/>
  <c r="J167" i="38"/>
  <c r="M167" i="38"/>
  <c r="AN140" i="38"/>
  <c r="AO139" i="38"/>
  <c r="AP139" i="38" s="1"/>
  <c r="AR139" i="38"/>
  <c r="AO138" i="27"/>
  <c r="AP138" i="27" s="1"/>
  <c r="AN139" i="27"/>
  <c r="AR138" i="27"/>
  <c r="AF139" i="30"/>
  <c r="AG138" i="30"/>
  <c r="AH138" i="30" s="1"/>
  <c r="AJ138" i="30"/>
  <c r="CB140" i="39"/>
  <c r="K137" i="30"/>
  <c r="AT137" i="30" s="1"/>
  <c r="AG139" i="39"/>
  <c r="AH139" i="39" s="1"/>
  <c r="AI140" i="39"/>
  <c r="F154" i="39" s="1"/>
  <c r="AF140" i="39"/>
  <c r="BH141" i="39"/>
  <c r="BI141" i="39" s="1"/>
  <c r="BJ86" i="39" s="1"/>
  <c r="AO140" i="37"/>
  <c r="AP140" i="37" s="1"/>
  <c r="AN141" i="37"/>
  <c r="AQ141" i="37"/>
  <c r="G169" i="37" s="1"/>
  <c r="AR140" i="37"/>
  <c r="AB139" i="34"/>
  <c r="Y140" i="34"/>
  <c r="Z140" i="34" s="1"/>
  <c r="X141" i="34"/>
  <c r="X141" i="40"/>
  <c r="Y140" i="40"/>
  <c r="Z140" i="40" s="1"/>
  <c r="AJ138" i="27"/>
  <c r="AI139" i="27"/>
  <c r="F153" i="27" s="1"/>
  <c r="I153" i="27" s="1"/>
  <c r="H153" i="27" s="1"/>
  <c r="V192" i="30"/>
  <c r="BE134" i="30"/>
  <c r="BF86" i="30" s="1"/>
  <c r="BF85" i="30"/>
  <c r="AS137" i="30"/>
  <c r="W210" i="39"/>
  <c r="W174" i="30"/>
  <c r="V197" i="30"/>
  <c r="X139" i="30"/>
  <c r="Y138" i="30"/>
  <c r="Z138" i="30" s="1"/>
  <c r="X143" i="39"/>
  <c r="Y142" i="39"/>
  <c r="Z142" i="39" s="1"/>
  <c r="AA138" i="30"/>
  <c r="E138" i="30" s="1"/>
  <c r="H138" i="30" s="1"/>
  <c r="V199" i="39"/>
  <c r="AB137" i="30"/>
  <c r="AS136" i="30"/>
  <c r="T136" i="30"/>
  <c r="BH135" i="30"/>
  <c r="BI135" i="30" s="1"/>
  <c r="BJ135" i="30" s="1"/>
  <c r="CB135" i="30"/>
  <c r="V200" i="39"/>
  <c r="BF88" i="34"/>
  <c r="BM138" i="40"/>
  <c r="BN138" i="40" s="1"/>
  <c r="BM137" i="40"/>
  <c r="BN137" i="40" s="1"/>
  <c r="V221" i="40"/>
  <c r="V218" i="40"/>
  <c r="BQ137" i="40"/>
  <c r="BR137" i="40" s="1"/>
  <c r="BI138" i="40"/>
  <c r="BJ138" i="40" s="1"/>
  <c r="W167" i="40"/>
  <c r="BQ138" i="40"/>
  <c r="BR138" i="40" s="1"/>
  <c r="BI137" i="40"/>
  <c r="BJ137" i="40" s="1"/>
  <c r="BI137" i="34"/>
  <c r="BJ137" i="34" s="1"/>
  <c r="W169" i="34"/>
  <c r="BQ137" i="34"/>
  <c r="BR137" i="34" s="1"/>
  <c r="BM137" i="34"/>
  <c r="BN137" i="34" s="1"/>
  <c r="V221" i="34"/>
  <c r="M166" i="34"/>
  <c r="V220" i="34"/>
  <c r="Y153" i="37"/>
  <c r="X154" i="37"/>
  <c r="AB153" i="37"/>
  <c r="V206" i="27"/>
  <c r="W202" i="38"/>
  <c r="V211" i="27"/>
  <c r="AE204" i="38"/>
  <c r="V212" i="38"/>
  <c r="X154" i="38"/>
  <c r="AA154" i="38"/>
  <c r="E154" i="38" s="1"/>
  <c r="H154" i="38" s="1"/>
  <c r="Y153" i="38"/>
  <c r="Z153" i="38" s="1"/>
  <c r="AE181" i="27"/>
  <c r="AE182" i="27" s="1"/>
  <c r="AD192" i="27"/>
  <c r="AF140" i="27"/>
  <c r="AG139" i="27"/>
  <c r="AH139" i="27" s="1"/>
  <c r="Y153" i="27"/>
  <c r="Z153" i="27" s="1"/>
  <c r="X154" i="27"/>
  <c r="AD197" i="38"/>
  <c r="AD193" i="27"/>
  <c r="AG142" i="38"/>
  <c r="AH142" i="38" s="1"/>
  <c r="AI143" i="38"/>
  <c r="F157" i="38" s="1"/>
  <c r="I157" i="38" s="1"/>
  <c r="AF143" i="38"/>
  <c r="AD196" i="38"/>
  <c r="AI142" i="38"/>
  <c r="F156" i="38" s="1"/>
  <c r="I156" i="38" s="1"/>
  <c r="V209" i="38"/>
  <c r="W209" i="27"/>
  <c r="V210" i="37"/>
  <c r="AE206" i="37"/>
  <c r="AD194" i="37"/>
  <c r="AD195" i="37"/>
  <c r="V215" i="37"/>
  <c r="W207" i="37"/>
  <c r="W208" i="37" s="1"/>
  <c r="W209" i="37" s="1"/>
  <c r="AI139" i="37"/>
  <c r="F153" i="37" s="1"/>
  <c r="I153" i="37" s="1"/>
  <c r="AJ138" i="37"/>
  <c r="AG139" i="37"/>
  <c r="AH139" i="37" s="1"/>
  <c r="AF140" i="37"/>
  <c r="BP136" i="27"/>
  <c r="BQ136" i="27" s="1"/>
  <c r="BR136" i="27" s="1"/>
  <c r="BH137" i="27"/>
  <c r="BI137" i="27" s="1"/>
  <c r="BJ137" i="27" s="1"/>
  <c r="CB143" i="38"/>
  <c r="BH143" i="38"/>
  <c r="BP143" i="38"/>
  <c r="AZ143" i="38"/>
  <c r="BM135" i="27"/>
  <c r="BN135" i="27" s="1"/>
  <c r="AZ137" i="27"/>
  <c r="AW135" i="27"/>
  <c r="AX135" i="27" s="1"/>
  <c r="BQ135" i="27"/>
  <c r="BR135" i="27" s="1"/>
  <c r="BA135" i="27"/>
  <c r="BB135" i="27" s="1"/>
  <c r="CB137" i="27"/>
  <c r="CE137" i="27"/>
  <c r="AV137" i="27"/>
  <c r="BE135" i="27"/>
  <c r="BF135" i="27" s="1"/>
  <c r="BI135" i="27"/>
  <c r="BJ135" i="27" s="1"/>
  <c r="BP137" i="27"/>
  <c r="CB136" i="27"/>
  <c r="CE136" i="27"/>
  <c r="AV136" i="27"/>
  <c r="AZ136" i="27"/>
  <c r="CB141" i="37"/>
  <c r="BH141" i="37"/>
  <c r="BQ140" i="37"/>
  <c r="BR140" i="37" s="1"/>
  <c r="BM140" i="37"/>
  <c r="BN140" i="37" s="1"/>
  <c r="AX139" i="37"/>
  <c r="AX87" i="37" s="1"/>
  <c r="AX86" i="37"/>
  <c r="BE140" i="37"/>
  <c r="BF140" i="37" s="1"/>
  <c r="BI140" i="37"/>
  <c r="BJ140" i="37" s="1"/>
  <c r="T138" i="34"/>
  <c r="BL138" i="34" s="1"/>
  <c r="L152" i="34"/>
  <c r="L153" i="34"/>
  <c r="L152" i="27"/>
  <c r="T144" i="38"/>
  <c r="K138" i="27"/>
  <c r="AT138" i="27" s="1"/>
  <c r="AS138" i="27"/>
  <c r="K146" i="38"/>
  <c r="AT146" i="38" s="1"/>
  <c r="AS146" i="38"/>
  <c r="K145" i="38"/>
  <c r="AT145" i="38" s="1"/>
  <c r="AS145" i="38"/>
  <c r="T142" i="37"/>
  <c r="K143" i="37"/>
  <c r="AT143" i="37" s="1"/>
  <c r="AS143" i="37"/>
  <c r="M171" i="39"/>
  <c r="M167" i="30"/>
  <c r="K140" i="34"/>
  <c r="AT140" i="34" s="1"/>
  <c r="AS139" i="34"/>
  <c r="K139" i="34"/>
  <c r="AT139" i="34" s="1"/>
  <c r="M168" i="40"/>
  <c r="K139" i="22"/>
  <c r="AA140" i="22"/>
  <c r="E140" i="22" s="1"/>
  <c r="AB139" i="22"/>
  <c r="V192" i="22"/>
  <c r="V191" i="22"/>
  <c r="L140" i="22"/>
  <c r="X141" i="22"/>
  <c r="Y140" i="22"/>
  <c r="Z140" i="22" s="1"/>
  <c r="W181" i="22"/>
  <c r="BQ134" i="30" l="1"/>
  <c r="BR134" i="30" s="1"/>
  <c r="BM139" i="39"/>
  <c r="BN139" i="39" s="1"/>
  <c r="BP139" i="39"/>
  <c r="BQ139" i="39" s="1"/>
  <c r="BR139" i="39" s="1"/>
  <c r="BL141" i="39"/>
  <c r="BP141" i="39" s="1"/>
  <c r="BQ141" i="39" s="1"/>
  <c r="BR141" i="39" s="1"/>
  <c r="AA143" i="39"/>
  <c r="E143" i="39" s="1"/>
  <c r="H143" i="39" s="1"/>
  <c r="AS143" i="39" s="1"/>
  <c r="BP135" i="30"/>
  <c r="BQ135" i="30" s="1"/>
  <c r="BR135" i="30" s="1"/>
  <c r="BP140" i="39"/>
  <c r="BQ140" i="39" s="1"/>
  <c r="BR140" i="39" s="1"/>
  <c r="AJ139" i="39"/>
  <c r="AB142" i="39"/>
  <c r="AI140" i="37"/>
  <c r="F154" i="37" s="1"/>
  <c r="I154" i="37" s="1"/>
  <c r="I153" i="39"/>
  <c r="K140" i="40"/>
  <c r="AT140" i="40" s="1"/>
  <c r="AJ142" i="38"/>
  <c r="AB140" i="40"/>
  <c r="AI139" i="30"/>
  <c r="F153" i="30" s="1"/>
  <c r="L153" i="30" s="1"/>
  <c r="K142" i="39"/>
  <c r="AT142" i="39" s="1"/>
  <c r="I152" i="30"/>
  <c r="T137" i="30"/>
  <c r="CB137" i="30" s="1"/>
  <c r="AQ140" i="38"/>
  <c r="G168" i="38" s="1"/>
  <c r="M168" i="38" s="1"/>
  <c r="AA141" i="34"/>
  <c r="E141" i="34" s="1"/>
  <c r="H141" i="34" s="1"/>
  <c r="AZ150" i="38"/>
  <c r="BB150" i="38" s="1"/>
  <c r="BA150" i="38"/>
  <c r="AW143" i="38"/>
  <c r="AX143" i="38" s="1"/>
  <c r="BD144" i="38"/>
  <c r="BL144" i="38"/>
  <c r="AI140" i="34"/>
  <c r="F154" i="34" s="1"/>
  <c r="I154" i="34" s="1"/>
  <c r="BL142" i="37"/>
  <c r="BD142" i="37"/>
  <c r="AW141" i="37"/>
  <c r="AX141" i="37" s="1"/>
  <c r="BL136" i="30"/>
  <c r="BM136" i="30" s="1"/>
  <c r="BN136" i="30" s="1"/>
  <c r="CE144" i="38"/>
  <c r="AV144" i="38"/>
  <c r="CE142" i="37"/>
  <c r="AV142" i="37"/>
  <c r="BP139" i="40"/>
  <c r="BQ139" i="40" s="1"/>
  <c r="J169" i="37"/>
  <c r="M169" i="37"/>
  <c r="BJ85" i="39"/>
  <c r="H153" i="37"/>
  <c r="CB139" i="40"/>
  <c r="AB140" i="34"/>
  <c r="AG141" i="40"/>
  <c r="AH141" i="40" s="1"/>
  <c r="AF142" i="40"/>
  <c r="AI142" i="40"/>
  <c r="F156" i="40" s="1"/>
  <c r="I156" i="40" s="1"/>
  <c r="AJ141" i="40"/>
  <c r="BH139" i="40"/>
  <c r="BI139" i="40" s="1"/>
  <c r="BJ139" i="40" s="1"/>
  <c r="AG140" i="34"/>
  <c r="AH140" i="34" s="1"/>
  <c r="AF141" i="34"/>
  <c r="AA141" i="40"/>
  <c r="E141" i="40" s="1"/>
  <c r="AO139" i="27"/>
  <c r="AP139" i="27" s="1"/>
  <c r="AN140" i="27"/>
  <c r="AQ140" i="27"/>
  <c r="G168" i="27" s="1"/>
  <c r="J168" i="27" s="1"/>
  <c r="AR139" i="27"/>
  <c r="AQ139" i="27"/>
  <c r="G167" i="27" s="1"/>
  <c r="J167" i="27" s="1"/>
  <c r="AO140" i="38"/>
  <c r="AP140" i="38" s="1"/>
  <c r="AN141" i="38"/>
  <c r="AB153" i="27"/>
  <c r="I154" i="39"/>
  <c r="L154" i="39"/>
  <c r="AG140" i="39"/>
  <c r="AH140" i="39" s="1"/>
  <c r="AF141" i="39"/>
  <c r="AG139" i="30"/>
  <c r="AH139" i="30" s="1"/>
  <c r="AF140" i="30"/>
  <c r="AJ139" i="30"/>
  <c r="AO141" i="37"/>
  <c r="AP141" i="37" s="1"/>
  <c r="AN142" i="37"/>
  <c r="X142" i="40"/>
  <c r="Y141" i="40"/>
  <c r="Z141" i="40" s="1"/>
  <c r="X142" i="34"/>
  <c r="Y141" i="34"/>
  <c r="Z141" i="34" s="1"/>
  <c r="BF134" i="30"/>
  <c r="AJ139" i="27"/>
  <c r="AB153" i="38"/>
  <c r="W175" i="30"/>
  <c r="W176" i="30" s="1"/>
  <c r="W177" i="30" s="1"/>
  <c r="W178" i="30" s="1"/>
  <c r="W179" i="30" s="1"/>
  <c r="K138" i="30"/>
  <c r="AT138" i="30" s="1"/>
  <c r="X140" i="30"/>
  <c r="Y139" i="30"/>
  <c r="Z139" i="30" s="1"/>
  <c r="V202" i="39"/>
  <c r="CB136" i="30"/>
  <c r="BH136" i="30"/>
  <c r="BI136" i="30" s="1"/>
  <c r="BJ136" i="30" s="1"/>
  <c r="BH137" i="30"/>
  <c r="BI137" i="30" s="1"/>
  <c r="BJ137" i="30" s="1"/>
  <c r="AS142" i="39"/>
  <c r="AA139" i="30"/>
  <c r="E139" i="30" s="1"/>
  <c r="H139" i="30" s="1"/>
  <c r="W211" i="39"/>
  <c r="W212" i="39" s="1"/>
  <c r="W213" i="39" s="1"/>
  <c r="V194" i="30"/>
  <c r="AB138" i="30"/>
  <c r="V199" i="30"/>
  <c r="V201" i="39"/>
  <c r="X144" i="39"/>
  <c r="Y143" i="39"/>
  <c r="Z143" i="39" s="1"/>
  <c r="W168" i="40"/>
  <c r="BM139" i="40"/>
  <c r="BN139" i="40" s="1"/>
  <c r="BP140" i="40"/>
  <c r="V223" i="40"/>
  <c r="V220" i="40"/>
  <c r="V223" i="34"/>
  <c r="W170" i="34"/>
  <c r="CB138" i="34"/>
  <c r="BP138" i="34"/>
  <c r="BH138" i="34"/>
  <c r="V222" i="34"/>
  <c r="BJ141" i="39"/>
  <c r="M169" i="30"/>
  <c r="AJ139" i="37"/>
  <c r="X155" i="37"/>
  <c r="Y154" i="37"/>
  <c r="Z154" i="37" s="1"/>
  <c r="Z153" i="37"/>
  <c r="AA154" i="37"/>
  <c r="E154" i="37" s="1"/>
  <c r="H154" i="37" s="1"/>
  <c r="V211" i="38"/>
  <c r="AG143" i="38"/>
  <c r="AH143" i="38" s="1"/>
  <c r="AJ143" i="38"/>
  <c r="AF144" i="38"/>
  <c r="AD199" i="38"/>
  <c r="AE183" i="27"/>
  <c r="AE184" i="27" s="1"/>
  <c r="W203" i="38"/>
  <c r="W204" i="38" s="1"/>
  <c r="AG140" i="27"/>
  <c r="AH140" i="27" s="1"/>
  <c r="AJ140" i="27"/>
  <c r="AI141" i="27"/>
  <c r="F155" i="27" s="1"/>
  <c r="I155" i="27" s="1"/>
  <c r="AF141" i="27"/>
  <c r="L157" i="38"/>
  <c r="L156" i="38"/>
  <c r="AI140" i="27"/>
  <c r="F154" i="27" s="1"/>
  <c r="I154" i="27" s="1"/>
  <c r="V208" i="27"/>
  <c r="AD198" i="38"/>
  <c r="AD195" i="27"/>
  <c r="AD194" i="27"/>
  <c r="V213" i="27"/>
  <c r="AE205" i="38"/>
  <c r="W210" i="27"/>
  <c r="W211" i="27" s="1"/>
  <c r="AA154" i="27"/>
  <c r="E154" i="27" s="1"/>
  <c r="Y154" i="38"/>
  <c r="Z154" i="38" s="1"/>
  <c r="X155" i="38"/>
  <c r="Y154" i="27"/>
  <c r="Z154" i="27" s="1"/>
  <c r="AA155" i="27"/>
  <c r="E155" i="27" s="1"/>
  <c r="X155" i="27"/>
  <c r="V214" i="38"/>
  <c r="AD196" i="37"/>
  <c r="V217" i="37"/>
  <c r="AG140" i="37"/>
  <c r="AH140" i="37" s="1"/>
  <c r="AF141" i="37"/>
  <c r="AD197" i="37"/>
  <c r="L153" i="37"/>
  <c r="V212" i="37"/>
  <c r="AE207" i="37"/>
  <c r="W210" i="37"/>
  <c r="CB144" i="38"/>
  <c r="BP144" i="38"/>
  <c r="BA143" i="38"/>
  <c r="BB143" i="38" s="1"/>
  <c r="AZ144" i="38"/>
  <c r="BQ143" i="38"/>
  <c r="BR143" i="38" s="1"/>
  <c r="BI143" i="38"/>
  <c r="BJ143" i="38" s="1"/>
  <c r="BM143" i="38"/>
  <c r="BN143" i="38" s="1"/>
  <c r="BE143" i="38"/>
  <c r="BF143" i="38" s="1"/>
  <c r="BH144" i="38"/>
  <c r="BE137" i="27"/>
  <c r="BF137" i="27" s="1"/>
  <c r="AW137" i="27"/>
  <c r="AX137" i="27" s="1"/>
  <c r="BQ137" i="27"/>
  <c r="BR137" i="27" s="1"/>
  <c r="BM137" i="27"/>
  <c r="BN137" i="27" s="1"/>
  <c r="AS139" i="27"/>
  <c r="BA136" i="27"/>
  <c r="BB136" i="27" s="1"/>
  <c r="BA137" i="27"/>
  <c r="BB137" i="27" s="1"/>
  <c r="K139" i="27"/>
  <c r="AT139" i="27" s="1"/>
  <c r="BE136" i="27"/>
  <c r="BF136" i="27" s="1"/>
  <c r="AW136" i="27"/>
  <c r="AX136" i="27" s="1"/>
  <c r="BA141" i="37"/>
  <c r="BB141" i="37" s="1"/>
  <c r="BP142" i="37"/>
  <c r="BI141" i="37"/>
  <c r="BJ141" i="37" s="1"/>
  <c r="BM141" i="37"/>
  <c r="BN141" i="37" s="1"/>
  <c r="BE141" i="37"/>
  <c r="BF141" i="37" s="1"/>
  <c r="CB142" i="37"/>
  <c r="AZ142" i="37"/>
  <c r="BH142" i="37"/>
  <c r="BQ141" i="37"/>
  <c r="BR141" i="37" s="1"/>
  <c r="L153" i="27"/>
  <c r="T146" i="38"/>
  <c r="K147" i="38"/>
  <c r="AT147" i="38" s="1"/>
  <c r="AS147" i="38"/>
  <c r="T138" i="27"/>
  <c r="K140" i="27"/>
  <c r="AT140" i="27" s="1"/>
  <c r="M166" i="27"/>
  <c r="T145" i="38"/>
  <c r="K144" i="37"/>
  <c r="AT144" i="37" s="1"/>
  <c r="AS144" i="37"/>
  <c r="T143" i="37"/>
  <c r="M168" i="30"/>
  <c r="T139" i="34"/>
  <c r="BL139" i="34" s="1"/>
  <c r="M167" i="34"/>
  <c r="M169" i="40"/>
  <c r="T140" i="34"/>
  <c r="M168" i="34"/>
  <c r="M172" i="39"/>
  <c r="K140" i="22"/>
  <c r="AA141" i="22"/>
  <c r="E141" i="22" s="1"/>
  <c r="V193" i="22"/>
  <c r="V194" i="22"/>
  <c r="AB140" i="22"/>
  <c r="X142" i="22"/>
  <c r="Y141" i="22"/>
  <c r="Z141" i="22" s="1"/>
  <c r="W182" i="22"/>
  <c r="K143" i="39" l="1"/>
  <c r="AT143" i="39" s="1"/>
  <c r="BM141" i="39"/>
  <c r="BN141" i="39" s="1"/>
  <c r="BP136" i="30"/>
  <c r="BQ136" i="30" s="1"/>
  <c r="BR136" i="30" s="1"/>
  <c r="L154" i="37"/>
  <c r="BL137" i="30"/>
  <c r="AA140" i="30"/>
  <c r="E140" i="30" s="1"/>
  <c r="H140" i="30" s="1"/>
  <c r="AI140" i="30"/>
  <c r="F154" i="30" s="1"/>
  <c r="T142" i="39"/>
  <c r="BL142" i="39" s="1"/>
  <c r="BM142" i="39" s="1"/>
  <c r="BN142" i="39" s="1"/>
  <c r="I153" i="30"/>
  <c r="T140" i="40"/>
  <c r="J168" i="38"/>
  <c r="AJ140" i="34"/>
  <c r="AI141" i="34"/>
  <c r="F155" i="34" s="1"/>
  <c r="I155" i="34" s="1"/>
  <c r="AR141" i="37"/>
  <c r="AQ142" i="37"/>
  <c r="G170" i="37" s="1"/>
  <c r="J170" i="37" s="1"/>
  <c r="T143" i="39"/>
  <c r="BH140" i="40"/>
  <c r="L154" i="34"/>
  <c r="BL140" i="34"/>
  <c r="AB141" i="40"/>
  <c r="AB154" i="27"/>
  <c r="AA142" i="40"/>
  <c r="E142" i="40" s="1"/>
  <c r="H142" i="40" s="1"/>
  <c r="AS142" i="40" s="1"/>
  <c r="BD145" i="38"/>
  <c r="BL145" i="38"/>
  <c r="AA155" i="38"/>
  <c r="E155" i="38" s="1"/>
  <c r="H155" i="38" s="1"/>
  <c r="AR140" i="38"/>
  <c r="AW144" i="38"/>
  <c r="AX144" i="38" s="1"/>
  <c r="BA151" i="38"/>
  <c r="AZ151" i="38"/>
  <c r="BB151" i="38" s="1"/>
  <c r="BD146" i="38"/>
  <c r="BL146" i="38"/>
  <c r="BD138" i="27"/>
  <c r="BL138" i="27"/>
  <c r="AB154" i="38"/>
  <c r="AQ141" i="38"/>
  <c r="G169" i="38" s="1"/>
  <c r="M169" i="38" s="1"/>
  <c r="AW142" i="37"/>
  <c r="AX142" i="37" s="1"/>
  <c r="AB143" i="39"/>
  <c r="AA144" i="39"/>
  <c r="E144" i="39" s="1"/>
  <c r="K144" i="39" s="1"/>
  <c r="AT144" i="39" s="1"/>
  <c r="BL143" i="37"/>
  <c r="BP143" i="37" s="1"/>
  <c r="BD143" i="37"/>
  <c r="AJ140" i="39"/>
  <c r="AI141" i="39"/>
  <c r="F155" i="39" s="1"/>
  <c r="L155" i="39" s="1"/>
  <c r="BR139" i="40"/>
  <c r="M167" i="27"/>
  <c r="CE146" i="38"/>
  <c r="AV146" i="38"/>
  <c r="BP145" i="38"/>
  <c r="BQ145" i="38" s="1"/>
  <c r="CE145" i="38"/>
  <c r="AV145" i="38"/>
  <c r="CE143" i="37"/>
  <c r="AV143" i="37"/>
  <c r="AZ143" i="37" s="1"/>
  <c r="H141" i="40"/>
  <c r="AS141" i="40" s="1"/>
  <c r="K141" i="40"/>
  <c r="AT141" i="40" s="1"/>
  <c r="AF142" i="34"/>
  <c r="AG141" i="34"/>
  <c r="AH141" i="34" s="1"/>
  <c r="AG142" i="40"/>
  <c r="AH142" i="40" s="1"/>
  <c r="AF143" i="40"/>
  <c r="AJ142" i="40"/>
  <c r="AB141" i="34"/>
  <c r="AO141" i="38"/>
  <c r="AP141" i="38" s="1"/>
  <c r="AN142" i="38"/>
  <c r="AO140" i="27"/>
  <c r="AP140" i="27" s="1"/>
  <c r="AQ141" i="27"/>
  <c r="G169" i="27" s="1"/>
  <c r="J169" i="27" s="1"/>
  <c r="AN141" i="27"/>
  <c r="AG140" i="30"/>
  <c r="AH140" i="30" s="1"/>
  <c r="AF141" i="30"/>
  <c r="I154" i="30"/>
  <c r="L154" i="30"/>
  <c r="AG141" i="39"/>
  <c r="AH141" i="39" s="1"/>
  <c r="AF142" i="39"/>
  <c r="H155" i="27"/>
  <c r="AO142" i="37"/>
  <c r="AP142" i="37" s="1"/>
  <c r="AN143" i="37"/>
  <c r="AR142" i="37"/>
  <c r="H154" i="27"/>
  <c r="AZ146" i="38"/>
  <c r="BB85" i="38" s="1"/>
  <c r="BF87" i="30"/>
  <c r="AA142" i="34"/>
  <c r="E142" i="34" s="1"/>
  <c r="K142" i="34" s="1"/>
  <c r="AT142" i="34" s="1"/>
  <c r="X143" i="34"/>
  <c r="Y142" i="34"/>
  <c r="Z142" i="34" s="1"/>
  <c r="X143" i="40"/>
  <c r="Y142" i="40"/>
  <c r="Z142" i="40" s="1"/>
  <c r="AI144" i="38"/>
  <c r="F158" i="38" s="1"/>
  <c r="I158" i="38" s="1"/>
  <c r="K140" i="30"/>
  <c r="AT140" i="30" s="1"/>
  <c r="V203" i="39"/>
  <c r="K139" i="30"/>
  <c r="AT139" i="30" s="1"/>
  <c r="AB139" i="30"/>
  <c r="V204" i="39"/>
  <c r="AS138" i="30"/>
  <c r="T138" i="30"/>
  <c r="BL138" i="30" s="1"/>
  <c r="V196" i="30"/>
  <c r="W180" i="30"/>
  <c r="W181" i="30" s="1"/>
  <c r="V201" i="30"/>
  <c r="Y144" i="39"/>
  <c r="Z144" i="39" s="1"/>
  <c r="AB144" i="39"/>
  <c r="X145" i="39"/>
  <c r="W214" i="39"/>
  <c r="AA141" i="30"/>
  <c r="E141" i="30" s="1"/>
  <c r="H141" i="30" s="1"/>
  <c r="AB140" i="30"/>
  <c r="X141" i="30"/>
  <c r="Y140" i="30"/>
  <c r="Z140" i="30" s="1"/>
  <c r="AA155" i="37"/>
  <c r="E155" i="37" s="1"/>
  <c r="AB154" i="37"/>
  <c r="BP140" i="34"/>
  <c r="BQ140" i="34" s="1"/>
  <c r="BR140" i="34" s="1"/>
  <c r="V222" i="40"/>
  <c r="V225" i="40"/>
  <c r="W169" i="40"/>
  <c r="BI140" i="40"/>
  <c r="BQ140" i="40"/>
  <c r="BR140" i="40" s="1"/>
  <c r="V224" i="34"/>
  <c r="BH139" i="34"/>
  <c r="W171" i="34"/>
  <c r="BQ138" i="34"/>
  <c r="BR138" i="34" s="1"/>
  <c r="V225" i="34"/>
  <c r="BI138" i="34"/>
  <c r="BJ138" i="34" s="1"/>
  <c r="CB139" i="34"/>
  <c r="BP139" i="34"/>
  <c r="CB140" i="34"/>
  <c r="BM138" i="34"/>
  <c r="BN138" i="34" s="1"/>
  <c r="BH140" i="34"/>
  <c r="BJ87" i="39"/>
  <c r="AJ140" i="37"/>
  <c r="AA156" i="37"/>
  <c r="E156" i="37" s="1"/>
  <c r="X156" i="37"/>
  <c r="Y155" i="37"/>
  <c r="Z155" i="37" s="1"/>
  <c r="AI141" i="37"/>
  <c r="F155" i="37" s="1"/>
  <c r="AJ141" i="27"/>
  <c r="AF142" i="27"/>
  <c r="AG141" i="27"/>
  <c r="AH141" i="27" s="1"/>
  <c r="AD201" i="38"/>
  <c r="X156" i="38"/>
  <c r="AB155" i="38"/>
  <c r="AA156" i="38"/>
  <c r="E156" i="38" s="1"/>
  <c r="H156" i="38" s="1"/>
  <c r="Y155" i="38"/>
  <c r="Z155" i="38" s="1"/>
  <c r="AE185" i="27"/>
  <c r="V215" i="27"/>
  <c r="AD197" i="27"/>
  <c r="V210" i="27"/>
  <c r="Y155" i="27"/>
  <c r="Z155" i="27" s="1"/>
  <c r="X156" i="27"/>
  <c r="V213" i="38"/>
  <c r="W212" i="27"/>
  <c r="W213" i="27" s="1"/>
  <c r="W214" i="27" s="1"/>
  <c r="W215" i="27" s="1"/>
  <c r="AD196" i="27"/>
  <c r="AD200" i="38"/>
  <c r="V216" i="38"/>
  <c r="AE206" i="38"/>
  <c r="AE207" i="38" s="1"/>
  <c r="AE208" i="38" s="1"/>
  <c r="W205" i="38"/>
  <c r="AG144" i="38"/>
  <c r="AH144" i="38" s="1"/>
  <c r="AF145" i="38"/>
  <c r="AE208" i="37"/>
  <c r="AG141" i="37"/>
  <c r="AH141" i="37" s="1"/>
  <c r="AF142" i="37"/>
  <c r="AD199" i="37"/>
  <c r="V214" i="37"/>
  <c r="AD198" i="37"/>
  <c r="V219" i="37"/>
  <c r="W211" i="37"/>
  <c r="W212" i="37" s="1"/>
  <c r="T139" i="27"/>
  <c r="BQ144" i="38"/>
  <c r="BR144" i="38" s="1"/>
  <c r="CB145" i="38"/>
  <c r="BH145" i="38"/>
  <c r="BH146" i="38"/>
  <c r="BA144" i="38"/>
  <c r="BB144" i="38" s="1"/>
  <c r="BI144" i="38"/>
  <c r="BJ144" i="38" s="1"/>
  <c r="BP146" i="38"/>
  <c r="BM144" i="38"/>
  <c r="BN144" i="38" s="1"/>
  <c r="CB146" i="38"/>
  <c r="BE144" i="38"/>
  <c r="BF144" i="38" s="1"/>
  <c r="AZ145" i="38"/>
  <c r="CB138" i="27"/>
  <c r="CE138" i="27"/>
  <c r="AV138" i="27"/>
  <c r="BH138" i="27"/>
  <c r="AZ138" i="27"/>
  <c r="BP138" i="27"/>
  <c r="CB143" i="37"/>
  <c r="BH143" i="37"/>
  <c r="AX88" i="37"/>
  <c r="BE142" i="37"/>
  <c r="BF142" i="37" s="1"/>
  <c r="BA142" i="37"/>
  <c r="BB142" i="37" s="1"/>
  <c r="BQ142" i="37"/>
  <c r="BR142" i="37" s="1"/>
  <c r="BI142" i="37"/>
  <c r="BJ142" i="37" s="1"/>
  <c r="BM142" i="37"/>
  <c r="BN142" i="37" s="1"/>
  <c r="L155" i="40"/>
  <c r="L156" i="40"/>
  <c r="L154" i="27"/>
  <c r="AS140" i="27"/>
  <c r="M168" i="27"/>
  <c r="L155" i="27"/>
  <c r="K141" i="27"/>
  <c r="AT141" i="27" s="1"/>
  <c r="AS141" i="27"/>
  <c r="T147" i="38"/>
  <c r="K148" i="38"/>
  <c r="AT148" i="38" s="1"/>
  <c r="AS148" i="38"/>
  <c r="T144" i="37"/>
  <c r="K145" i="37"/>
  <c r="AT145" i="37" s="1"/>
  <c r="AS145" i="37"/>
  <c r="AS141" i="34"/>
  <c r="K141" i="34"/>
  <c r="AT141" i="34" s="1"/>
  <c r="M170" i="30"/>
  <c r="V196" i="22"/>
  <c r="V195" i="22"/>
  <c r="AA142" i="22"/>
  <c r="AB141" i="22"/>
  <c r="L142" i="22"/>
  <c r="Y142" i="22"/>
  <c r="Z142" i="22" s="1"/>
  <c r="X143" i="22"/>
  <c r="W183" i="22"/>
  <c r="BL143" i="39" l="1"/>
  <c r="BP143" i="39" s="1"/>
  <c r="BP142" i="39"/>
  <c r="BQ142" i="39" s="1"/>
  <c r="BR142" i="39" s="1"/>
  <c r="BM137" i="30"/>
  <c r="BN137" i="30" s="1"/>
  <c r="BP137" i="30"/>
  <c r="BQ137" i="30" s="1"/>
  <c r="BR137" i="30" s="1"/>
  <c r="CB142" i="39"/>
  <c r="L155" i="34"/>
  <c r="M170" i="37"/>
  <c r="BJ140" i="40"/>
  <c r="BL140" i="40"/>
  <c r="BM140" i="40" s="1"/>
  <c r="BN140" i="40" s="1"/>
  <c r="CB140" i="40"/>
  <c r="K142" i="40"/>
  <c r="AT142" i="40" s="1"/>
  <c r="CB143" i="39"/>
  <c r="AR140" i="27"/>
  <c r="AI143" i="40"/>
  <c r="F157" i="40" s="1"/>
  <c r="I157" i="40" s="1"/>
  <c r="AJ141" i="34"/>
  <c r="AJ141" i="39"/>
  <c r="I155" i="39"/>
  <c r="H144" i="39"/>
  <c r="J169" i="38"/>
  <c r="BA153" i="38"/>
  <c r="AW146" i="38"/>
  <c r="AX146" i="38" s="1"/>
  <c r="AZ153" i="38"/>
  <c r="BB153" i="38" s="1"/>
  <c r="BD147" i="38"/>
  <c r="BL147" i="38"/>
  <c r="CE139" i="27"/>
  <c r="BD139" i="27"/>
  <c r="BE139" i="27" s="1"/>
  <c r="BF139" i="27" s="1"/>
  <c r="BL139" i="27"/>
  <c r="BM139" i="27" s="1"/>
  <c r="BN139" i="27" s="1"/>
  <c r="AR141" i="38"/>
  <c r="AB155" i="27"/>
  <c r="AQ142" i="38"/>
  <c r="G170" i="38" s="1"/>
  <c r="M170" i="38" s="1"/>
  <c r="AA156" i="27"/>
  <c r="E156" i="27" s="1"/>
  <c r="AW145" i="38"/>
  <c r="AX145" i="38" s="1"/>
  <c r="BA152" i="38"/>
  <c r="AZ152" i="38"/>
  <c r="BB152" i="38" s="1"/>
  <c r="AJ140" i="30"/>
  <c r="AQ143" i="37"/>
  <c r="G171" i="37" s="1"/>
  <c r="M171" i="37" s="1"/>
  <c r="AB155" i="37"/>
  <c r="AW143" i="37"/>
  <c r="AX143" i="37" s="1"/>
  <c r="BL144" i="37"/>
  <c r="BD144" i="37"/>
  <c r="AI142" i="39"/>
  <c r="F156" i="39" s="1"/>
  <c r="I156" i="39" s="1"/>
  <c r="BR145" i="38"/>
  <c r="BH147" i="38"/>
  <c r="BI147" i="38" s="1"/>
  <c r="CE147" i="38"/>
  <c r="AV147" i="38"/>
  <c r="CE144" i="37"/>
  <c r="AV144" i="37"/>
  <c r="AZ144" i="37" s="1"/>
  <c r="T141" i="40"/>
  <c r="BP141" i="40" s="1"/>
  <c r="BQ141" i="40" s="1"/>
  <c r="BR141" i="40" s="1"/>
  <c r="AG143" i="40"/>
  <c r="AH143" i="40" s="1"/>
  <c r="AF144" i="40"/>
  <c r="AG142" i="34"/>
  <c r="AH142" i="34" s="1"/>
  <c r="AF143" i="34"/>
  <c r="AJ142" i="34"/>
  <c r="AI142" i="34"/>
  <c r="F156" i="34" s="1"/>
  <c r="AO141" i="27"/>
  <c r="AP141" i="27" s="1"/>
  <c r="AN142" i="27"/>
  <c r="AR141" i="27"/>
  <c r="AO142" i="38"/>
  <c r="AP142" i="38" s="1"/>
  <c r="AQ143" i="38"/>
  <c r="G171" i="38" s="1"/>
  <c r="AN143" i="38"/>
  <c r="AI142" i="27"/>
  <c r="F156" i="27" s="1"/>
  <c r="I156" i="27" s="1"/>
  <c r="AG142" i="39"/>
  <c r="AH142" i="39" s="1"/>
  <c r="AF143" i="39"/>
  <c r="AG141" i="30"/>
  <c r="AH141" i="30" s="1"/>
  <c r="AF142" i="30"/>
  <c r="AI141" i="30"/>
  <c r="F155" i="30" s="1"/>
  <c r="AO143" i="37"/>
  <c r="AP143" i="37" s="1"/>
  <c r="AN144" i="37"/>
  <c r="AQ144" i="37"/>
  <c r="G172" i="37" s="1"/>
  <c r="AR143" i="37"/>
  <c r="L158" i="38"/>
  <c r="H142" i="34"/>
  <c r="AS142" i="34" s="1"/>
  <c r="L155" i="37"/>
  <c r="I155" i="37"/>
  <c r="H155" i="37" s="1"/>
  <c r="BF88" i="30"/>
  <c r="BA146" i="38"/>
  <c r="BB86" i="38" s="1"/>
  <c r="AA143" i="40"/>
  <c r="E143" i="40" s="1"/>
  <c r="AB142" i="40"/>
  <c r="AB142" i="34"/>
  <c r="AA143" i="34"/>
  <c r="E143" i="34" s="1"/>
  <c r="H143" i="34" s="1"/>
  <c r="AS143" i="34" s="1"/>
  <c r="Y143" i="40"/>
  <c r="Z143" i="40" s="1"/>
  <c r="X144" i="40"/>
  <c r="Y143" i="34"/>
  <c r="Z143" i="34" s="1"/>
  <c r="X144" i="34"/>
  <c r="V206" i="39"/>
  <c r="K141" i="30"/>
  <c r="AT141" i="30" s="1"/>
  <c r="AS139" i="30"/>
  <c r="T139" i="30"/>
  <c r="W215" i="39"/>
  <c r="V203" i="30"/>
  <c r="V198" i="30"/>
  <c r="V205" i="39"/>
  <c r="X146" i="39"/>
  <c r="Y145" i="39"/>
  <c r="Z145" i="39" s="1"/>
  <c r="W182" i="30"/>
  <c r="BP138" i="30"/>
  <c r="BQ138" i="30" s="1"/>
  <c r="BR138" i="30" s="1"/>
  <c r="BH138" i="30"/>
  <c r="BI138" i="30" s="1"/>
  <c r="BJ138" i="30" s="1"/>
  <c r="CB138" i="30"/>
  <c r="BM138" i="30"/>
  <c r="BN138" i="30" s="1"/>
  <c r="AS140" i="30"/>
  <c r="T140" i="30"/>
  <c r="X142" i="30"/>
  <c r="Y141" i="30"/>
  <c r="Z141" i="30" s="1"/>
  <c r="AA145" i="39"/>
  <c r="E145" i="39" s="1"/>
  <c r="H145" i="39" s="1"/>
  <c r="AI142" i="37"/>
  <c r="F156" i="37" s="1"/>
  <c r="I156" i="37" s="1"/>
  <c r="BJ88" i="39"/>
  <c r="V224" i="40"/>
  <c r="V227" i="40"/>
  <c r="W170" i="40"/>
  <c r="BI139" i="34"/>
  <c r="BJ139" i="34" s="1"/>
  <c r="BQ139" i="34"/>
  <c r="BR139" i="34" s="1"/>
  <c r="BM139" i="34"/>
  <c r="BN139" i="34" s="1"/>
  <c r="BI140" i="34"/>
  <c r="BJ140" i="34" s="1"/>
  <c r="V227" i="34"/>
  <c r="V226" i="34"/>
  <c r="W172" i="34"/>
  <c r="BM140" i="34"/>
  <c r="BN140" i="34" s="1"/>
  <c r="BQ143" i="39"/>
  <c r="AJ141" i="37"/>
  <c r="Y156" i="37"/>
  <c r="X157" i="37"/>
  <c r="BP139" i="27"/>
  <c r="BQ139" i="27" s="1"/>
  <c r="BR139" i="27" s="1"/>
  <c r="AZ139" i="27"/>
  <c r="BA139" i="27" s="1"/>
  <c r="BB139" i="27" s="1"/>
  <c r="AV139" i="27"/>
  <c r="AW139" i="27" s="1"/>
  <c r="BH139" i="27"/>
  <c r="BI139" i="27" s="1"/>
  <c r="BJ139" i="27" s="1"/>
  <c r="CB139" i="27"/>
  <c r="W206" i="38"/>
  <c r="Y156" i="27"/>
  <c r="Z156" i="27" s="1"/>
  <c r="X157" i="27"/>
  <c r="AB156" i="27"/>
  <c r="AD203" i="38"/>
  <c r="AD199" i="27"/>
  <c r="AE186" i="27"/>
  <c r="AE209" i="38"/>
  <c r="AE210" i="38" s="1"/>
  <c r="AE211" i="38" s="1"/>
  <c r="AE212" i="38" s="1"/>
  <c r="AE213" i="38" s="1"/>
  <c r="AE214" i="38" s="1"/>
  <c r="AE215" i="38" s="1"/>
  <c r="AE216" i="38" s="1"/>
  <c r="AE217" i="38" s="1"/>
  <c r="AE218" i="38" s="1"/>
  <c r="AD202" i="38"/>
  <c r="W216" i="27"/>
  <c r="W217" i="27" s="1"/>
  <c r="W218" i="27" s="1"/>
  <c r="W219" i="27" s="1"/>
  <c r="W220" i="27" s="1"/>
  <c r="W221" i="27" s="1"/>
  <c r="W222" i="27" s="1"/>
  <c r="W223" i="27" s="1"/>
  <c r="W224" i="27" s="1"/>
  <c r="W225" i="27" s="1"/>
  <c r="W226" i="27" s="1"/>
  <c r="W227" i="27" s="1"/>
  <c r="W228" i="27" s="1"/>
  <c r="W229" i="27" s="1"/>
  <c r="W230" i="27" s="1"/>
  <c r="AI145" i="38"/>
  <c r="F159" i="38" s="1"/>
  <c r="I159" i="38" s="1"/>
  <c r="V215" i="38"/>
  <c r="AG142" i="27"/>
  <c r="AH142" i="27" s="1"/>
  <c r="AI143" i="27"/>
  <c r="F157" i="27" s="1"/>
  <c r="I157" i="27" s="1"/>
  <c r="AF143" i="27"/>
  <c r="AJ144" i="38"/>
  <c r="V217" i="27"/>
  <c r="AG145" i="38"/>
  <c r="AH145" i="38" s="1"/>
  <c r="AF146" i="38"/>
  <c r="V218" i="38"/>
  <c r="AD198" i="27"/>
  <c r="V212" i="27"/>
  <c r="Y156" i="38"/>
  <c r="Z156" i="38" s="1"/>
  <c r="X157" i="38"/>
  <c r="AD200" i="37"/>
  <c r="E142" i="22"/>
  <c r="K142" i="22" s="1"/>
  <c r="W213" i="37"/>
  <c r="W214" i="37" s="1"/>
  <c r="V216" i="37"/>
  <c r="AG142" i="37"/>
  <c r="AH142" i="37" s="1"/>
  <c r="AF143" i="37"/>
  <c r="V221" i="37"/>
  <c r="AD201" i="37"/>
  <c r="AE209" i="37"/>
  <c r="AE210" i="37" s="1"/>
  <c r="AE211" i="37" s="1"/>
  <c r="AE212" i="37" s="1"/>
  <c r="BM146" i="38"/>
  <c r="BN146" i="38" s="1"/>
  <c r="BE146" i="38"/>
  <c r="BF146" i="38" s="1"/>
  <c r="BQ146" i="38"/>
  <c r="BR146" i="38" s="1"/>
  <c r="BA145" i="38"/>
  <c r="BB145" i="38" s="1"/>
  <c r="BI146" i="38"/>
  <c r="BJ146" i="38" s="1"/>
  <c r="CB147" i="38"/>
  <c r="BP147" i="38"/>
  <c r="BI145" i="38"/>
  <c r="BJ145" i="38" s="1"/>
  <c r="BM145" i="38"/>
  <c r="BN145" i="38" s="1"/>
  <c r="BE145" i="38"/>
  <c r="BF145" i="38" s="1"/>
  <c r="BE138" i="27"/>
  <c r="BF138" i="27" s="1"/>
  <c r="BM138" i="27"/>
  <c r="BN138" i="27" s="1"/>
  <c r="T140" i="27"/>
  <c r="BI138" i="27"/>
  <c r="BJ138" i="27" s="1"/>
  <c r="AW138" i="27"/>
  <c r="AX138" i="27" s="1"/>
  <c r="BQ138" i="27"/>
  <c r="BR138" i="27" s="1"/>
  <c r="BA138" i="27"/>
  <c r="BB138" i="27" s="1"/>
  <c r="BI143" i="37"/>
  <c r="BJ143" i="37" s="1"/>
  <c r="BQ143" i="37"/>
  <c r="BR143" i="37" s="1"/>
  <c r="BA143" i="37"/>
  <c r="BB143" i="37" s="1"/>
  <c r="BH144" i="37"/>
  <c r="BP144" i="37"/>
  <c r="CB144" i="37"/>
  <c r="BM143" i="37"/>
  <c r="BN143" i="37" s="1"/>
  <c r="BE143" i="37"/>
  <c r="BF143" i="37" s="1"/>
  <c r="T141" i="27"/>
  <c r="M169" i="27"/>
  <c r="K149" i="38"/>
  <c r="AT149" i="38" s="1"/>
  <c r="AS149" i="38"/>
  <c r="AS142" i="27"/>
  <c r="K142" i="27"/>
  <c r="AT142" i="27" s="1"/>
  <c r="T148" i="38"/>
  <c r="K146" i="37"/>
  <c r="AT146" i="37" s="1"/>
  <c r="AS146" i="37"/>
  <c r="T145" i="37"/>
  <c r="M173" i="39"/>
  <c r="T141" i="34"/>
  <c r="BL141" i="34" s="1"/>
  <c r="M170" i="40"/>
  <c r="M169" i="34"/>
  <c r="M170" i="34"/>
  <c r="M171" i="40"/>
  <c r="V197" i="22"/>
  <c r="V198" i="22"/>
  <c r="AB142" i="22"/>
  <c r="AA143" i="22"/>
  <c r="E143" i="22" s="1"/>
  <c r="X144" i="22"/>
  <c r="Y143" i="22"/>
  <c r="Z143" i="22" s="1"/>
  <c r="L141" i="22"/>
  <c r="K141" i="22"/>
  <c r="W184" i="22"/>
  <c r="BR143" i="39" l="1"/>
  <c r="BM143" i="39"/>
  <c r="BN143" i="39" s="1"/>
  <c r="T142" i="40"/>
  <c r="BL142" i="40" s="1"/>
  <c r="AJ142" i="39"/>
  <c r="AI143" i="39"/>
  <c r="F157" i="39" s="1"/>
  <c r="L157" i="39" s="1"/>
  <c r="AJ142" i="37"/>
  <c r="CB141" i="40"/>
  <c r="H156" i="27"/>
  <c r="AA157" i="27"/>
  <c r="E157" i="27" s="1"/>
  <c r="H157" i="27" s="1"/>
  <c r="AR142" i="38"/>
  <c r="J170" i="38"/>
  <c r="J171" i="37"/>
  <c r="AS144" i="39"/>
  <c r="T144" i="39"/>
  <c r="BH141" i="40"/>
  <c r="BI141" i="40" s="1"/>
  <c r="BJ86" i="40" s="1"/>
  <c r="AQ142" i="27"/>
  <c r="G170" i="27" s="1"/>
  <c r="J170" i="27" s="1"/>
  <c r="AW147" i="38"/>
  <c r="AX147" i="38" s="1"/>
  <c r="AZ154" i="38"/>
  <c r="BB154" i="38" s="1"/>
  <c r="BA154" i="38"/>
  <c r="AJ143" i="40"/>
  <c r="BD148" i="38"/>
  <c r="BL148" i="38"/>
  <c r="AI144" i="40"/>
  <c r="F158" i="40" s="1"/>
  <c r="I158" i="40" s="1"/>
  <c r="BD141" i="27"/>
  <c r="BL141" i="27"/>
  <c r="BL141" i="40"/>
  <c r="BM141" i="40" s="1"/>
  <c r="BN141" i="40" s="1"/>
  <c r="BD140" i="27"/>
  <c r="BL140" i="27"/>
  <c r="T142" i="34"/>
  <c r="BL142" i="34" s="1"/>
  <c r="L156" i="39"/>
  <c r="AA146" i="39"/>
  <c r="E146" i="39" s="1"/>
  <c r="H146" i="39" s="1"/>
  <c r="AS146" i="39" s="1"/>
  <c r="AB145" i="39"/>
  <c r="BL139" i="30"/>
  <c r="BM139" i="30" s="1"/>
  <c r="BN139" i="30" s="1"/>
  <c r="BL140" i="30"/>
  <c r="BM140" i="30" s="1"/>
  <c r="BN140" i="30" s="1"/>
  <c r="BL145" i="37"/>
  <c r="BP145" i="37" s="1"/>
  <c r="BD145" i="37"/>
  <c r="BH145" i="37" s="1"/>
  <c r="AW144" i="37"/>
  <c r="AX144" i="37" s="1"/>
  <c r="BJ147" i="38"/>
  <c r="CE141" i="27"/>
  <c r="AV141" i="27"/>
  <c r="CE148" i="38"/>
  <c r="AV148" i="38"/>
  <c r="CE140" i="27"/>
  <c r="AV140" i="27"/>
  <c r="CE145" i="37"/>
  <c r="AV145" i="37"/>
  <c r="AZ145" i="37" s="1"/>
  <c r="L156" i="37"/>
  <c r="J172" i="37"/>
  <c r="M172" i="37"/>
  <c r="H156" i="37"/>
  <c r="I156" i="34"/>
  <c r="L156" i="34"/>
  <c r="AG143" i="34"/>
  <c r="AH143" i="34" s="1"/>
  <c r="AF144" i="34"/>
  <c r="AI143" i="34"/>
  <c r="F157" i="34" s="1"/>
  <c r="AG144" i="40"/>
  <c r="AH144" i="40" s="1"/>
  <c r="AF145" i="40"/>
  <c r="AO143" i="38"/>
  <c r="AP143" i="38" s="1"/>
  <c r="AQ144" i="38"/>
  <c r="G172" i="38" s="1"/>
  <c r="AN144" i="38"/>
  <c r="AR143" i="38"/>
  <c r="J171" i="38"/>
  <c r="M171" i="38"/>
  <c r="L156" i="27"/>
  <c r="AO142" i="27"/>
  <c r="AP142" i="27" s="1"/>
  <c r="AN143" i="27"/>
  <c r="AQ143" i="27"/>
  <c r="G171" i="27" s="1"/>
  <c r="J171" i="27" s="1"/>
  <c r="I155" i="30"/>
  <c r="L155" i="30"/>
  <c r="AJ141" i="30"/>
  <c r="AI142" i="30"/>
  <c r="F156" i="30" s="1"/>
  <c r="AF143" i="30"/>
  <c r="AG142" i="30"/>
  <c r="AH142" i="30" s="1"/>
  <c r="AA142" i="30"/>
  <c r="E142" i="30" s="1"/>
  <c r="H142" i="30" s="1"/>
  <c r="AB141" i="30"/>
  <c r="AG143" i="39"/>
  <c r="AH143" i="39" s="1"/>
  <c r="AF144" i="39"/>
  <c r="AO144" i="37"/>
  <c r="AP144" i="37" s="1"/>
  <c r="AN145" i="37"/>
  <c r="AQ145" i="37"/>
  <c r="G173" i="37" s="1"/>
  <c r="AR144" i="37"/>
  <c r="K143" i="40"/>
  <c r="AT143" i="40" s="1"/>
  <c r="H143" i="40"/>
  <c r="K143" i="34"/>
  <c r="AT143" i="34" s="1"/>
  <c r="BB146" i="38"/>
  <c r="BB87" i="38" s="1"/>
  <c r="BH139" i="30"/>
  <c r="BI139" i="30" s="1"/>
  <c r="BJ139" i="30" s="1"/>
  <c r="AX85" i="27"/>
  <c r="AA144" i="40"/>
  <c r="E144" i="40" s="1"/>
  <c r="H144" i="40" s="1"/>
  <c r="X145" i="40"/>
  <c r="Y144" i="40"/>
  <c r="Z144" i="40" s="1"/>
  <c r="AB143" i="40"/>
  <c r="AB143" i="34"/>
  <c r="Y144" i="34"/>
  <c r="Z144" i="34" s="1"/>
  <c r="X145" i="34"/>
  <c r="AA144" i="34"/>
  <c r="E144" i="34" s="1"/>
  <c r="H144" i="34" s="1"/>
  <c r="BJ85" i="40"/>
  <c r="AI146" i="38"/>
  <c r="F160" i="38" s="1"/>
  <c r="I160" i="38" s="1"/>
  <c r="AJ145" i="38"/>
  <c r="V205" i="30"/>
  <c r="CB139" i="30"/>
  <c r="BH140" i="30"/>
  <c r="BI140" i="30" s="1"/>
  <c r="BJ140" i="30" s="1"/>
  <c r="CB140" i="30"/>
  <c r="V207" i="39"/>
  <c r="K145" i="39"/>
  <c r="AT145" i="39" s="1"/>
  <c r="V208" i="39"/>
  <c r="AA147" i="39"/>
  <c r="E147" i="39" s="1"/>
  <c r="X147" i="39"/>
  <c r="Y146" i="39"/>
  <c r="Z146" i="39" s="1"/>
  <c r="AS141" i="30"/>
  <c r="T141" i="30"/>
  <c r="BH141" i="30" s="1"/>
  <c r="Y142" i="30"/>
  <c r="Z142" i="30" s="1"/>
  <c r="X143" i="30"/>
  <c r="V200" i="30"/>
  <c r="W216" i="39"/>
  <c r="W183" i="30"/>
  <c r="W171" i="40"/>
  <c r="V229" i="40"/>
  <c r="CB142" i="40"/>
  <c r="BP142" i="40"/>
  <c r="V226" i="40"/>
  <c r="CB141" i="34"/>
  <c r="BH141" i="34"/>
  <c r="BP141" i="34"/>
  <c r="V229" i="34"/>
  <c r="W173" i="34"/>
  <c r="V228" i="34"/>
  <c r="AI143" i="37"/>
  <c r="F157" i="37" s="1"/>
  <c r="Y157" i="37"/>
  <c r="AB157" i="37"/>
  <c r="X158" i="37"/>
  <c r="Z156" i="37"/>
  <c r="AB156" i="37"/>
  <c r="AA157" i="37"/>
  <c r="E157" i="37" s="1"/>
  <c r="W231" i="27"/>
  <c r="W232" i="27" s="1"/>
  <c r="W233" i="27" s="1"/>
  <c r="W234" i="27" s="1"/>
  <c r="W235" i="27" s="1"/>
  <c r="W236" i="27" s="1"/>
  <c r="AE187" i="27"/>
  <c r="AJ142" i="27"/>
  <c r="V214" i="27"/>
  <c r="V220" i="38"/>
  <c r="V219" i="27"/>
  <c r="AD204" i="38"/>
  <c r="AD201" i="27"/>
  <c r="V217" i="38"/>
  <c r="Y157" i="27"/>
  <c r="Z157" i="27" s="1"/>
  <c r="AA158" i="27"/>
  <c r="E158" i="27" s="1"/>
  <c r="X158" i="27"/>
  <c r="AB156" i="38"/>
  <c r="AA157" i="38"/>
  <c r="E157" i="38" s="1"/>
  <c r="H157" i="38" s="1"/>
  <c r="AD200" i="27"/>
  <c r="AG146" i="38"/>
  <c r="AH146" i="38" s="1"/>
  <c r="AI147" i="38"/>
  <c r="F161" i="38" s="1"/>
  <c r="I161" i="38" s="1"/>
  <c r="AJ146" i="38"/>
  <c r="AF147" i="38"/>
  <c r="AE219" i="38"/>
  <c r="AE220" i="38" s="1"/>
  <c r="AD205" i="38"/>
  <c r="W207" i="38"/>
  <c r="W208" i="38" s="1"/>
  <c r="Y157" i="38"/>
  <c r="Z157" i="38" s="1"/>
  <c r="X158" i="38"/>
  <c r="AF144" i="27"/>
  <c r="AG143" i="27"/>
  <c r="AH143" i="27" s="1"/>
  <c r="L159" i="38"/>
  <c r="W215" i="37"/>
  <c r="W216" i="37" s="1"/>
  <c r="W217" i="37" s="1"/>
  <c r="AG143" i="37"/>
  <c r="AH143" i="37" s="1"/>
  <c r="AF144" i="37"/>
  <c r="AD203" i="37"/>
  <c r="V223" i="37"/>
  <c r="V218" i="37"/>
  <c r="AD202" i="37"/>
  <c r="AE213" i="37"/>
  <c r="AE214" i="37" s="1"/>
  <c r="CB148" i="38"/>
  <c r="BH148" i="38"/>
  <c r="BP148" i="38"/>
  <c r="BE147" i="38"/>
  <c r="BF147" i="38" s="1"/>
  <c r="BQ147" i="38"/>
  <c r="BR147" i="38" s="1"/>
  <c r="BM147" i="38"/>
  <c r="BN147" i="38" s="1"/>
  <c r="CB141" i="27"/>
  <c r="AX139" i="27"/>
  <c r="AX86" i="27"/>
  <c r="CB140" i="27"/>
  <c r="BP140" i="27"/>
  <c r="AZ140" i="27"/>
  <c r="BH141" i="27"/>
  <c r="AZ141" i="27"/>
  <c r="BP141" i="27"/>
  <c r="BH140" i="27"/>
  <c r="BQ144" i="37"/>
  <c r="BR144" i="37" s="1"/>
  <c r="BE144" i="37"/>
  <c r="BF144" i="37" s="1"/>
  <c r="BI144" i="37"/>
  <c r="BJ144" i="37" s="1"/>
  <c r="CB145" i="37"/>
  <c r="BM144" i="37"/>
  <c r="BN144" i="37" s="1"/>
  <c r="BA144" i="37"/>
  <c r="BB144" i="37" s="1"/>
  <c r="L157" i="40"/>
  <c r="L157" i="27"/>
  <c r="AS143" i="27"/>
  <c r="K143" i="27"/>
  <c r="AT143" i="27" s="1"/>
  <c r="T149" i="38"/>
  <c r="T142" i="27"/>
  <c r="T146" i="37"/>
  <c r="M175" i="39"/>
  <c r="M174" i="39"/>
  <c r="M171" i="30"/>
  <c r="M172" i="40"/>
  <c r="M171" i="34"/>
  <c r="AA144" i="22"/>
  <c r="E144" i="22" s="1"/>
  <c r="AB143" i="22"/>
  <c r="K143" i="22"/>
  <c r="V200" i="22"/>
  <c r="V199" i="22"/>
  <c r="Y144" i="22"/>
  <c r="Z144" i="22" s="1"/>
  <c r="X145" i="22"/>
  <c r="L143" i="22"/>
  <c r="H143" i="22"/>
  <c r="W185" i="22"/>
  <c r="I157" i="39" l="1"/>
  <c r="BP139" i="30"/>
  <c r="BQ139" i="30" s="1"/>
  <c r="BR139" i="30" s="1"/>
  <c r="BP140" i="30"/>
  <c r="BQ140" i="30" s="1"/>
  <c r="BR140" i="30" s="1"/>
  <c r="AB146" i="39"/>
  <c r="M170" i="27"/>
  <c r="BJ141" i="40"/>
  <c r="BJ87" i="40" s="1"/>
  <c r="BJ88" i="40" s="1"/>
  <c r="AI144" i="34"/>
  <c r="F158" i="34" s="1"/>
  <c r="I158" i="34" s="1"/>
  <c r="AJ143" i="34"/>
  <c r="AR142" i="27"/>
  <c r="AB142" i="30"/>
  <c r="AA143" i="30"/>
  <c r="E143" i="30" s="1"/>
  <c r="H143" i="30" s="1"/>
  <c r="BL144" i="39"/>
  <c r="BM144" i="39" s="1"/>
  <c r="BN144" i="39" s="1"/>
  <c r="CB144" i="39"/>
  <c r="T143" i="34"/>
  <c r="BL143" i="34" s="1"/>
  <c r="CB142" i="34"/>
  <c r="AW141" i="27"/>
  <c r="AX141" i="27" s="1"/>
  <c r="AZ148" i="27"/>
  <c r="BB148" i="27" s="1"/>
  <c r="BA148" i="27"/>
  <c r="L158" i="40"/>
  <c r="AB144" i="40"/>
  <c r="AI144" i="27"/>
  <c r="F158" i="27" s="1"/>
  <c r="I158" i="27" s="1"/>
  <c r="AW148" i="38"/>
  <c r="AX148" i="38" s="1"/>
  <c r="BA155" i="38"/>
  <c r="AZ155" i="38"/>
  <c r="BB155" i="38" s="1"/>
  <c r="AJ144" i="40"/>
  <c r="BD142" i="27"/>
  <c r="BL142" i="27"/>
  <c r="BP142" i="34"/>
  <c r="BQ142" i="34" s="1"/>
  <c r="BR142" i="34" s="1"/>
  <c r="AI145" i="40"/>
  <c r="F159" i="40" s="1"/>
  <c r="I159" i="40" s="1"/>
  <c r="BA147" i="27"/>
  <c r="AW140" i="27"/>
  <c r="AX140" i="27" s="1"/>
  <c r="AZ147" i="27"/>
  <c r="BB147" i="27" s="1"/>
  <c r="BD149" i="38"/>
  <c r="BL149" i="38"/>
  <c r="K146" i="39"/>
  <c r="AW145" i="37"/>
  <c r="AX145" i="37" s="1"/>
  <c r="BL146" i="37"/>
  <c r="BP146" i="37" s="1"/>
  <c r="BD146" i="37"/>
  <c r="BL141" i="30"/>
  <c r="BM141" i="30" s="1"/>
  <c r="BN141" i="30" s="1"/>
  <c r="AZ142" i="27"/>
  <c r="BA142" i="27" s="1"/>
  <c r="CE142" i="27"/>
  <c r="AV142" i="27"/>
  <c r="CE149" i="38"/>
  <c r="AV149" i="38"/>
  <c r="CE146" i="37"/>
  <c r="AV146" i="37"/>
  <c r="AZ146" i="37" s="1"/>
  <c r="J173" i="37"/>
  <c r="M173" i="37"/>
  <c r="AA145" i="40"/>
  <c r="E145" i="40" s="1"/>
  <c r="AG145" i="40"/>
  <c r="AH145" i="40" s="1"/>
  <c r="AF146" i="40"/>
  <c r="T143" i="40"/>
  <c r="BL143" i="40" s="1"/>
  <c r="I157" i="34"/>
  <c r="L157" i="34"/>
  <c r="AS143" i="40"/>
  <c r="AG144" i="34"/>
  <c r="AH144" i="34" s="1"/>
  <c r="AF145" i="34"/>
  <c r="AJ143" i="27"/>
  <c r="AO143" i="27"/>
  <c r="AP143" i="27" s="1"/>
  <c r="AQ144" i="27"/>
  <c r="G172" i="27" s="1"/>
  <c r="J172" i="27" s="1"/>
  <c r="AN144" i="27"/>
  <c r="AR143" i="27"/>
  <c r="AO144" i="38"/>
  <c r="AP144" i="38" s="1"/>
  <c r="AQ145" i="38"/>
  <c r="G173" i="38" s="1"/>
  <c r="AN145" i="38"/>
  <c r="J172" i="38"/>
  <c r="M172" i="38"/>
  <c r="AJ143" i="39"/>
  <c r="AI144" i="39"/>
  <c r="F158" i="39" s="1"/>
  <c r="AG144" i="39"/>
  <c r="AH144" i="39" s="1"/>
  <c r="AF145" i="39"/>
  <c r="AJ142" i="30"/>
  <c r="AI143" i="30"/>
  <c r="F157" i="30" s="1"/>
  <c r="AG143" i="30"/>
  <c r="AH143" i="30" s="1"/>
  <c r="AF144" i="30"/>
  <c r="I156" i="30"/>
  <c r="L156" i="30"/>
  <c r="K142" i="30"/>
  <c r="AT142" i="30" s="1"/>
  <c r="H158" i="27"/>
  <c r="AO145" i="37"/>
  <c r="AP145" i="37" s="1"/>
  <c r="AN146" i="37"/>
  <c r="AQ146" i="37"/>
  <c r="G174" i="37" s="1"/>
  <c r="AR145" i="37"/>
  <c r="L157" i="37"/>
  <c r="I157" i="37"/>
  <c r="H157" i="37" s="1"/>
  <c r="H147" i="39"/>
  <c r="AS147" i="39" s="1"/>
  <c r="AB144" i="34"/>
  <c r="Y145" i="34"/>
  <c r="Z145" i="34" s="1"/>
  <c r="X146" i="34"/>
  <c r="AB145" i="34"/>
  <c r="X146" i="40"/>
  <c r="Y145" i="40"/>
  <c r="Z145" i="40" s="1"/>
  <c r="K144" i="40"/>
  <c r="AT144" i="40" s="1"/>
  <c r="AA145" i="34"/>
  <c r="E145" i="34" s="1"/>
  <c r="H145" i="34" s="1"/>
  <c r="L160" i="38"/>
  <c r="AB157" i="38"/>
  <c r="AA158" i="38"/>
  <c r="E158" i="38" s="1"/>
  <c r="H158" i="38" s="1"/>
  <c r="W184" i="30"/>
  <c r="W185" i="30" s="1"/>
  <c r="W186" i="30" s="1"/>
  <c r="W187" i="30" s="1"/>
  <c r="W188" i="30" s="1"/>
  <c r="Y147" i="39"/>
  <c r="Z147" i="39" s="1"/>
  <c r="X148" i="39"/>
  <c r="Y143" i="30"/>
  <c r="Z143" i="30" s="1"/>
  <c r="X144" i="30"/>
  <c r="AS145" i="39"/>
  <c r="T145" i="39"/>
  <c r="BL145" i="39" s="1"/>
  <c r="K147" i="39"/>
  <c r="AT147" i="39" s="1"/>
  <c r="V210" i="39"/>
  <c r="V207" i="30"/>
  <c r="V209" i="39"/>
  <c r="AS142" i="30"/>
  <c r="V202" i="30"/>
  <c r="BP141" i="30"/>
  <c r="BQ141" i="30" s="1"/>
  <c r="BR141" i="30" s="1"/>
  <c r="CB141" i="30"/>
  <c r="W217" i="39"/>
  <c r="BI141" i="30"/>
  <c r="BJ85" i="30"/>
  <c r="BQ142" i="40"/>
  <c r="BR142" i="40" s="1"/>
  <c r="V231" i="40"/>
  <c r="W172" i="40"/>
  <c r="V228" i="40"/>
  <c r="BM142" i="40"/>
  <c r="BN142" i="40" s="1"/>
  <c r="V230" i="34"/>
  <c r="W174" i="34"/>
  <c r="BQ141" i="34"/>
  <c r="BR141" i="34" s="1"/>
  <c r="BJ85" i="34"/>
  <c r="BI141" i="34"/>
  <c r="BJ86" i="34" s="1"/>
  <c r="V231" i="34"/>
  <c r="BM141" i="34"/>
  <c r="BN141" i="34" s="1"/>
  <c r="BP143" i="34"/>
  <c r="BM142" i="34"/>
  <c r="BN142" i="34" s="1"/>
  <c r="Y158" i="37"/>
  <c r="Z158" i="37" s="1"/>
  <c r="X159" i="37"/>
  <c r="Z157" i="37"/>
  <c r="AA158" i="37"/>
  <c r="E158" i="37" s="1"/>
  <c r="AE221" i="38"/>
  <c r="AE222" i="38" s="1"/>
  <c r="V219" i="38"/>
  <c r="AD206" i="38"/>
  <c r="V222" i="38"/>
  <c r="AF145" i="27"/>
  <c r="AG144" i="27"/>
  <c r="AH144" i="27" s="1"/>
  <c r="W209" i="38"/>
  <c r="W210" i="38" s="1"/>
  <c r="AG147" i="38"/>
  <c r="AH147" i="38" s="1"/>
  <c r="AJ147" i="38"/>
  <c r="AF148" i="38"/>
  <c r="AE188" i="27"/>
  <c r="X159" i="38"/>
  <c r="Y158" i="38"/>
  <c r="Z158" i="38" s="1"/>
  <c r="AD202" i="27"/>
  <c r="AD207" i="38"/>
  <c r="L161" i="38"/>
  <c r="Y158" i="27"/>
  <c r="Z158" i="27" s="1"/>
  <c r="X159" i="27"/>
  <c r="AB158" i="27"/>
  <c r="AD203" i="27"/>
  <c r="V221" i="27"/>
  <c r="W237" i="27"/>
  <c r="W238" i="27" s="1"/>
  <c r="AB157" i="27"/>
  <c r="V216" i="27"/>
  <c r="AE215" i="37"/>
  <c r="AE216" i="37" s="1"/>
  <c r="AE217" i="37" s="1"/>
  <c r="AD205" i="37"/>
  <c r="AD204" i="37"/>
  <c r="V225" i="37"/>
  <c r="AG144" i="37"/>
  <c r="AH144" i="37" s="1"/>
  <c r="AF145" i="37"/>
  <c r="W218" i="37"/>
  <c r="AI144" i="37"/>
  <c r="F158" i="37" s="1"/>
  <c r="I158" i="37" s="1"/>
  <c r="AJ143" i="37"/>
  <c r="V220" i="37"/>
  <c r="BH142" i="27"/>
  <c r="BI142" i="27" s="1"/>
  <c r="BJ142" i="27" s="1"/>
  <c r="BQ148" i="38"/>
  <c r="BR148" i="38" s="1"/>
  <c r="BP149" i="38"/>
  <c r="BI148" i="38"/>
  <c r="BJ148" i="38" s="1"/>
  <c r="BM148" i="38"/>
  <c r="BN148" i="38" s="1"/>
  <c r="BE148" i="38"/>
  <c r="BF148" i="38" s="1"/>
  <c r="CB149" i="38"/>
  <c r="BH149" i="38"/>
  <c r="BQ141" i="27"/>
  <c r="BR141" i="27" s="1"/>
  <c r="CB142" i="27"/>
  <c r="BA141" i="27"/>
  <c r="BB141" i="27" s="1"/>
  <c r="BP142" i="27"/>
  <c r="AX87" i="27"/>
  <c r="BM140" i="27"/>
  <c r="BN140" i="27" s="1"/>
  <c r="BI141" i="27"/>
  <c r="BJ141" i="27" s="1"/>
  <c r="BE141" i="27"/>
  <c r="BF141" i="27" s="1"/>
  <c r="BQ140" i="27"/>
  <c r="BR140" i="27" s="1"/>
  <c r="BM141" i="27"/>
  <c r="BN141" i="27" s="1"/>
  <c r="BI140" i="27"/>
  <c r="BJ140" i="27" s="1"/>
  <c r="BA140" i="27"/>
  <c r="BB140" i="27" s="1"/>
  <c r="BE140" i="27"/>
  <c r="BF140" i="27" s="1"/>
  <c r="CB146" i="37"/>
  <c r="BA145" i="37"/>
  <c r="BB145" i="37" s="1"/>
  <c r="BE145" i="37"/>
  <c r="BF145" i="37" s="1"/>
  <c r="BI145" i="37"/>
  <c r="BJ145" i="37" s="1"/>
  <c r="BQ145" i="37"/>
  <c r="BR145" i="37" s="1"/>
  <c r="BH146" i="37"/>
  <c r="BM145" i="37"/>
  <c r="BN145" i="37" s="1"/>
  <c r="K147" i="37"/>
  <c r="AT147" i="37" s="1"/>
  <c r="AS147" i="37"/>
  <c r="AS144" i="34"/>
  <c r="K144" i="34"/>
  <c r="AT144" i="34" s="1"/>
  <c r="M171" i="27"/>
  <c r="AS150" i="38"/>
  <c r="K150" i="38"/>
  <c r="AT150" i="38" s="1"/>
  <c r="K151" i="38"/>
  <c r="AT151" i="38" s="1"/>
  <c r="AS151" i="38"/>
  <c r="T143" i="27"/>
  <c r="K148" i="37"/>
  <c r="AT148" i="37" s="1"/>
  <c r="AS148" i="37"/>
  <c r="AB144" i="22"/>
  <c r="M172" i="30"/>
  <c r="M173" i="40"/>
  <c r="M172" i="34"/>
  <c r="AA145" i="22"/>
  <c r="E145" i="22" s="1"/>
  <c r="AT143" i="22"/>
  <c r="V201" i="22"/>
  <c r="V202" i="22"/>
  <c r="AS143" i="22"/>
  <c r="T143" i="22"/>
  <c r="K144" i="22"/>
  <c r="X146" i="22"/>
  <c r="Y145" i="22"/>
  <c r="Z145" i="22" s="1"/>
  <c r="W186" i="22"/>
  <c r="BP144" i="39" l="1"/>
  <c r="BQ144" i="39" s="1"/>
  <c r="BR144" i="39" s="1"/>
  <c r="AI145" i="39"/>
  <c r="F159" i="39" s="1"/>
  <c r="L159" i="39" s="1"/>
  <c r="AJ143" i="30"/>
  <c r="AI144" i="30"/>
  <c r="F158" i="30" s="1"/>
  <c r="L158" i="30" s="1"/>
  <c r="K143" i="30"/>
  <c r="AT143" i="30" s="1"/>
  <c r="L158" i="34"/>
  <c r="CB143" i="34"/>
  <c r="AI145" i="27"/>
  <c r="F159" i="27" s="1"/>
  <c r="I159" i="27" s="1"/>
  <c r="AJ145" i="40"/>
  <c r="AA159" i="27"/>
  <c r="E159" i="27" s="1"/>
  <c r="H159" i="27" s="1"/>
  <c r="AR144" i="38"/>
  <c r="AI146" i="40"/>
  <c r="F160" i="40" s="1"/>
  <c r="I160" i="40" s="1"/>
  <c r="BP143" i="40"/>
  <c r="BQ143" i="40" s="1"/>
  <c r="BR143" i="40" s="1"/>
  <c r="CB143" i="40"/>
  <c r="AZ149" i="27"/>
  <c r="BB149" i="27" s="1"/>
  <c r="AW142" i="27"/>
  <c r="AX142" i="27" s="1"/>
  <c r="BA149" i="27"/>
  <c r="BD143" i="27"/>
  <c r="BL143" i="27"/>
  <c r="AA146" i="34"/>
  <c r="E146" i="34" s="1"/>
  <c r="H146" i="34" s="1"/>
  <c r="AS146" i="34" s="1"/>
  <c r="L159" i="40"/>
  <c r="AJ144" i="34"/>
  <c r="AI145" i="34"/>
  <c r="F159" i="34" s="1"/>
  <c r="I159" i="34" s="1"/>
  <c r="BA156" i="38"/>
  <c r="AZ156" i="38"/>
  <c r="BB156" i="38" s="1"/>
  <c r="AW149" i="38"/>
  <c r="AX149" i="38" s="1"/>
  <c r="AJ144" i="39"/>
  <c r="AW146" i="37"/>
  <c r="AX146" i="37" s="1"/>
  <c r="AA148" i="39"/>
  <c r="E148" i="39" s="1"/>
  <c r="H148" i="39" s="1"/>
  <c r="AS148" i="39" s="1"/>
  <c r="AT146" i="39"/>
  <c r="T146" i="39"/>
  <c r="BB142" i="27"/>
  <c r="CE143" i="27"/>
  <c r="AV143" i="27"/>
  <c r="J174" i="37"/>
  <c r="M174" i="37"/>
  <c r="H158" i="37"/>
  <c r="AG145" i="34"/>
  <c r="AH145" i="34" s="1"/>
  <c r="AF146" i="34"/>
  <c r="AI146" i="34"/>
  <c r="F160" i="34" s="1"/>
  <c r="I160" i="34" s="1"/>
  <c r="AJ145" i="34"/>
  <c r="AG146" i="40"/>
  <c r="AH146" i="40" s="1"/>
  <c r="AF147" i="40"/>
  <c r="H145" i="40"/>
  <c r="K145" i="40"/>
  <c r="AT145" i="40" s="1"/>
  <c r="AO145" i="38"/>
  <c r="AP145" i="38" s="1"/>
  <c r="AN146" i="38"/>
  <c r="AQ146" i="38"/>
  <c r="G174" i="38" s="1"/>
  <c r="AR145" i="38"/>
  <c r="J173" i="38"/>
  <c r="M173" i="38"/>
  <c r="AJ144" i="27"/>
  <c r="AO144" i="27"/>
  <c r="AP144" i="27" s="1"/>
  <c r="AN145" i="27"/>
  <c r="AB143" i="30"/>
  <c r="AG144" i="30"/>
  <c r="AH144" i="30" s="1"/>
  <c r="AF145" i="30"/>
  <c r="I158" i="30"/>
  <c r="AB147" i="39"/>
  <c r="I157" i="30"/>
  <c r="L157" i="30"/>
  <c r="T142" i="30"/>
  <c r="BL142" i="30" s="1"/>
  <c r="BM142" i="30" s="1"/>
  <c r="BN142" i="30" s="1"/>
  <c r="AG145" i="39"/>
  <c r="AH145" i="39" s="1"/>
  <c r="AF146" i="39"/>
  <c r="AJ145" i="39"/>
  <c r="I159" i="39"/>
  <c r="I158" i="39"/>
  <c r="L158" i="39"/>
  <c r="AI145" i="37"/>
  <c r="F159" i="37" s="1"/>
  <c r="I159" i="37" s="1"/>
  <c r="AO146" i="37"/>
  <c r="AP146" i="37" s="1"/>
  <c r="AN147" i="37"/>
  <c r="AQ147" i="37"/>
  <c r="G175" i="37" s="1"/>
  <c r="J175" i="37" s="1"/>
  <c r="AR146" i="37"/>
  <c r="T147" i="39"/>
  <c r="AA146" i="40"/>
  <c r="E146" i="40" s="1"/>
  <c r="X147" i="40"/>
  <c r="Y146" i="40"/>
  <c r="Z146" i="40" s="1"/>
  <c r="AB145" i="40"/>
  <c r="AS144" i="40"/>
  <c r="T144" i="40"/>
  <c r="BL144" i="40" s="1"/>
  <c r="Y146" i="34"/>
  <c r="Z146" i="34" s="1"/>
  <c r="X147" i="34"/>
  <c r="BJ86" i="30"/>
  <c r="BJ141" i="30"/>
  <c r="V209" i="30"/>
  <c r="W218" i="39"/>
  <c r="AS143" i="30"/>
  <c r="V211" i="39"/>
  <c r="V212" i="39"/>
  <c r="CB145" i="39"/>
  <c r="BM145" i="39"/>
  <c r="BN145" i="39" s="1"/>
  <c r="BP145" i="39"/>
  <c r="BQ145" i="39" s="1"/>
  <c r="BR145" i="39" s="1"/>
  <c r="Y148" i="39"/>
  <c r="Z148" i="39" s="1"/>
  <c r="X149" i="39"/>
  <c r="V204" i="30"/>
  <c r="X145" i="30"/>
  <c r="Y144" i="30"/>
  <c r="Z144" i="30" s="1"/>
  <c r="W189" i="30"/>
  <c r="W190" i="30" s="1"/>
  <c r="W191" i="30" s="1"/>
  <c r="W192" i="30" s="1"/>
  <c r="AA144" i="30"/>
  <c r="E144" i="30" s="1"/>
  <c r="H144" i="30" s="1"/>
  <c r="AA159" i="37"/>
  <c r="E159" i="37" s="1"/>
  <c r="AB158" i="37"/>
  <c r="T144" i="34"/>
  <c r="W173" i="40"/>
  <c r="V233" i="40"/>
  <c r="BM143" i="40"/>
  <c r="BN143" i="40" s="1"/>
  <c r="V230" i="40"/>
  <c r="V232" i="34"/>
  <c r="W175" i="34"/>
  <c r="V233" i="34"/>
  <c r="BM143" i="34"/>
  <c r="BN143" i="34" s="1"/>
  <c r="BJ141" i="34"/>
  <c r="BQ143" i="34"/>
  <c r="BR143" i="34" s="1"/>
  <c r="AJ144" i="37"/>
  <c r="Y159" i="37"/>
  <c r="Z159" i="37" s="1"/>
  <c r="AA160" i="37"/>
  <c r="E160" i="37" s="1"/>
  <c r="X160" i="37"/>
  <c r="AD209" i="38"/>
  <c r="AG145" i="27"/>
  <c r="AH145" i="27" s="1"/>
  <c r="AF146" i="27"/>
  <c r="X160" i="38"/>
  <c r="AA160" i="38"/>
  <c r="E160" i="38" s="1"/>
  <c r="H160" i="38" s="1"/>
  <c r="AB159" i="38"/>
  <c r="Y159" i="38"/>
  <c r="Z159" i="38" s="1"/>
  <c r="AI148" i="38"/>
  <c r="F162" i="38" s="1"/>
  <c r="I162" i="38" s="1"/>
  <c r="V224" i="38"/>
  <c r="V221" i="38"/>
  <c r="AB158" i="38"/>
  <c r="V218" i="27"/>
  <c r="AA159" i="38"/>
  <c r="E159" i="38" s="1"/>
  <c r="H159" i="38" s="1"/>
  <c r="W211" i="38"/>
  <c r="V223" i="27"/>
  <c r="Y159" i="27"/>
  <c r="Z159" i="27" s="1"/>
  <c r="X160" i="27"/>
  <c r="AD204" i="27"/>
  <c r="AE189" i="27"/>
  <c r="AE190" i="27" s="1"/>
  <c r="AE191" i="27" s="1"/>
  <c r="AD208" i="38"/>
  <c r="AE223" i="38"/>
  <c r="AE224" i="38" s="1"/>
  <c r="W239" i="27"/>
  <c r="AD205" i="27"/>
  <c r="AX88" i="27"/>
  <c r="AG148" i="38"/>
  <c r="AH148" i="38" s="1"/>
  <c r="AF149" i="38"/>
  <c r="AG145" i="37"/>
  <c r="AH145" i="37" s="1"/>
  <c r="AJ145" i="37"/>
  <c r="AI146" i="37"/>
  <c r="F160" i="37" s="1"/>
  <c r="I160" i="37" s="1"/>
  <c r="AF146" i="37"/>
  <c r="AD207" i="37"/>
  <c r="W219" i="37"/>
  <c r="W220" i="37" s="1"/>
  <c r="W221" i="37" s="1"/>
  <c r="W222" i="37" s="1"/>
  <c r="V222" i="37"/>
  <c r="V227" i="37"/>
  <c r="AD206" i="37"/>
  <c r="AE218" i="37"/>
  <c r="L158" i="37"/>
  <c r="BM149" i="38"/>
  <c r="BN149" i="38" s="1"/>
  <c r="BE149" i="38"/>
  <c r="BF149" i="38" s="1"/>
  <c r="BI149" i="38"/>
  <c r="BJ149" i="38" s="1"/>
  <c r="BQ149" i="38"/>
  <c r="BR149" i="38" s="1"/>
  <c r="BE142" i="27"/>
  <c r="BF142" i="27" s="1"/>
  <c r="BH143" i="27"/>
  <c r="BQ142" i="27"/>
  <c r="BR142" i="27" s="1"/>
  <c r="BM142" i="27"/>
  <c r="BN142" i="27" s="1"/>
  <c r="CB143" i="27"/>
  <c r="BP143" i="27"/>
  <c r="AZ143" i="27"/>
  <c r="T147" i="37"/>
  <c r="BI146" i="37"/>
  <c r="BJ146" i="37" s="1"/>
  <c r="BQ146" i="37"/>
  <c r="BR146" i="37" s="1"/>
  <c r="BB85" i="37"/>
  <c r="BA146" i="37"/>
  <c r="BB86" i="37" s="1"/>
  <c r="BM146" i="37"/>
  <c r="BN146" i="37" s="1"/>
  <c r="BE146" i="37"/>
  <c r="BF146" i="37" s="1"/>
  <c r="AS144" i="27"/>
  <c r="K144" i="27"/>
  <c r="AT144" i="27" s="1"/>
  <c r="K145" i="34"/>
  <c r="AT145" i="34" s="1"/>
  <c r="M174" i="40"/>
  <c r="L158" i="27"/>
  <c r="T151" i="38"/>
  <c r="M172" i="27"/>
  <c r="T150" i="38"/>
  <c r="T148" i="37"/>
  <c r="M176" i="39"/>
  <c r="M174" i="30"/>
  <c r="AS145" i="34"/>
  <c r="M173" i="34"/>
  <c r="M177" i="39"/>
  <c r="M173" i="30"/>
  <c r="CB143" i="22"/>
  <c r="CE143" i="22"/>
  <c r="V204" i="22"/>
  <c r="V203" i="22"/>
  <c r="AB145" i="22"/>
  <c r="AA146" i="22"/>
  <c r="E146" i="22" s="1"/>
  <c r="K145" i="22"/>
  <c r="X147" i="22"/>
  <c r="Y146" i="22"/>
  <c r="Z146" i="22" s="1"/>
  <c r="W187" i="22"/>
  <c r="AJ144" i="30" l="1"/>
  <c r="BL147" i="39"/>
  <c r="T143" i="30"/>
  <c r="CB143" i="30" s="1"/>
  <c r="CB147" i="39"/>
  <c r="K146" i="34"/>
  <c r="AT146" i="34" s="1"/>
  <c r="AR144" i="27"/>
  <c r="AQ145" i="27"/>
  <c r="G173" i="27" s="1"/>
  <c r="J173" i="27" s="1"/>
  <c r="K148" i="39"/>
  <c r="AT148" i="39" s="1"/>
  <c r="AI147" i="40"/>
  <c r="F161" i="40" s="1"/>
  <c r="I161" i="40" s="1"/>
  <c r="AW143" i="27"/>
  <c r="AX143" i="27" s="1"/>
  <c r="AZ150" i="27"/>
  <c r="BB150" i="27" s="1"/>
  <c r="BA150" i="27"/>
  <c r="BD151" i="38"/>
  <c r="BL151" i="38"/>
  <c r="BD150" i="38"/>
  <c r="BL150" i="38"/>
  <c r="CB144" i="34"/>
  <c r="BL144" i="34"/>
  <c r="BM144" i="34" s="1"/>
  <c r="BN144" i="34" s="1"/>
  <c r="AJ148" i="38"/>
  <c r="AJ146" i="40"/>
  <c r="AI149" i="38"/>
  <c r="F163" i="38" s="1"/>
  <c r="I163" i="38" s="1"/>
  <c r="H160" i="37"/>
  <c r="BP142" i="30"/>
  <c r="BQ142" i="30" s="1"/>
  <c r="BR142" i="30" s="1"/>
  <c r="AI146" i="39"/>
  <c r="F160" i="39" s="1"/>
  <c r="I160" i="39" s="1"/>
  <c r="CB142" i="30"/>
  <c r="BL146" i="39"/>
  <c r="BM146" i="39" s="1"/>
  <c r="BN146" i="39" s="1"/>
  <c r="CB146" i="39"/>
  <c r="BL147" i="37"/>
  <c r="BP147" i="37" s="1"/>
  <c r="BD147" i="37"/>
  <c r="BH147" i="37" s="1"/>
  <c r="AA145" i="30"/>
  <c r="E145" i="30" s="1"/>
  <c r="H145" i="30" s="1"/>
  <c r="AB159" i="37"/>
  <c r="BL148" i="37"/>
  <c r="BP148" i="37" s="1"/>
  <c r="BD148" i="37"/>
  <c r="L160" i="34"/>
  <c r="CE151" i="38"/>
  <c r="AV151" i="38"/>
  <c r="CE150" i="38"/>
  <c r="AV150" i="38"/>
  <c r="CE147" i="37"/>
  <c r="AV147" i="37"/>
  <c r="CE148" i="37"/>
  <c r="AV148" i="37"/>
  <c r="M175" i="37"/>
  <c r="H159" i="37"/>
  <c r="AS145" i="40"/>
  <c r="T145" i="40"/>
  <c r="BP145" i="40" s="1"/>
  <c r="BQ145" i="40" s="1"/>
  <c r="BR145" i="40" s="1"/>
  <c r="AG147" i="40"/>
  <c r="AH147" i="40" s="1"/>
  <c r="AF148" i="40"/>
  <c r="AG146" i="34"/>
  <c r="AH146" i="34" s="1"/>
  <c r="AF147" i="34"/>
  <c r="AI147" i="34"/>
  <c r="F161" i="34" s="1"/>
  <c r="I161" i="34" s="1"/>
  <c r="AJ146" i="34"/>
  <c r="AO145" i="27"/>
  <c r="AP145" i="27" s="1"/>
  <c r="AN146" i="27"/>
  <c r="AR145" i="27"/>
  <c r="J174" i="38"/>
  <c r="M174" i="38"/>
  <c r="AO146" i="38"/>
  <c r="AP146" i="38" s="1"/>
  <c r="AN147" i="38"/>
  <c r="AQ147" i="38"/>
  <c r="G175" i="38" s="1"/>
  <c r="AR146" i="38"/>
  <c r="AF147" i="39"/>
  <c r="AG146" i="39"/>
  <c r="AH146" i="39" s="1"/>
  <c r="AI145" i="30"/>
  <c r="F159" i="30" s="1"/>
  <c r="AG145" i="30"/>
  <c r="AH145" i="30" s="1"/>
  <c r="AF146" i="30"/>
  <c r="L159" i="37"/>
  <c r="AO147" i="37"/>
  <c r="AP147" i="37" s="1"/>
  <c r="AN148" i="37"/>
  <c r="AQ148" i="37"/>
  <c r="G176" i="37" s="1"/>
  <c r="AR147" i="37"/>
  <c r="H146" i="40"/>
  <c r="AS146" i="40" s="1"/>
  <c r="CB144" i="40"/>
  <c r="BM144" i="40"/>
  <c r="BN144" i="40" s="1"/>
  <c r="BP144" i="40"/>
  <c r="BQ144" i="40" s="1"/>
  <c r="BR144" i="40" s="1"/>
  <c r="K146" i="40"/>
  <c r="AT146" i="40" s="1"/>
  <c r="AB146" i="34"/>
  <c r="AA147" i="34"/>
  <c r="E147" i="34" s="1"/>
  <c r="H147" i="34" s="1"/>
  <c r="AA147" i="40"/>
  <c r="E147" i="40" s="1"/>
  <c r="H147" i="40" s="1"/>
  <c r="AB146" i="40"/>
  <c r="X148" i="34"/>
  <c r="Y147" i="34"/>
  <c r="Z147" i="34" s="1"/>
  <c r="AA148" i="34"/>
  <c r="E148" i="34" s="1"/>
  <c r="H148" i="34" s="1"/>
  <c r="X148" i="40"/>
  <c r="Y147" i="40"/>
  <c r="Z147" i="40" s="1"/>
  <c r="AB159" i="27"/>
  <c r="AI146" i="27"/>
  <c r="F160" i="27" s="1"/>
  <c r="I160" i="27" s="1"/>
  <c r="AA160" i="27"/>
  <c r="E160" i="27" s="1"/>
  <c r="AJ145" i="27"/>
  <c r="AA149" i="39"/>
  <c r="E149" i="39" s="1"/>
  <c r="H149" i="39" s="1"/>
  <c r="X146" i="30"/>
  <c r="Y145" i="30"/>
  <c r="Z145" i="30" s="1"/>
  <c r="AB148" i="39"/>
  <c r="V211" i="30"/>
  <c r="W193" i="30"/>
  <c r="BJ87" i="30"/>
  <c r="V213" i="39"/>
  <c r="V206" i="30"/>
  <c r="V214" i="39"/>
  <c r="K144" i="30"/>
  <c r="AT144" i="30" s="1"/>
  <c r="AB144" i="30"/>
  <c r="Y149" i="39"/>
  <c r="Z149" i="39" s="1"/>
  <c r="AB149" i="39"/>
  <c r="X150" i="39"/>
  <c r="W219" i="39"/>
  <c r="W220" i="39" s="1"/>
  <c r="BP144" i="34"/>
  <c r="BQ144" i="34" s="1"/>
  <c r="BR144" i="34" s="1"/>
  <c r="V232" i="40"/>
  <c r="V235" i="40"/>
  <c r="W174" i="40"/>
  <c r="V235" i="34"/>
  <c r="BJ87" i="34"/>
  <c r="V234" i="34"/>
  <c r="W176" i="34"/>
  <c r="X161" i="37"/>
  <c r="Y160" i="37"/>
  <c r="Z160" i="37" s="1"/>
  <c r="AB160" i="37"/>
  <c r="AA161" i="37"/>
  <c r="E161" i="37" s="1"/>
  <c r="Y160" i="27"/>
  <c r="Z160" i="27" s="1"/>
  <c r="AA161" i="27"/>
  <c r="E161" i="27" s="1"/>
  <c r="X161" i="27"/>
  <c r="W212" i="38"/>
  <c r="W213" i="38" s="1"/>
  <c r="W214" i="38" s="1"/>
  <c r="W215" i="38" s="1"/>
  <c r="W216" i="38" s="1"/>
  <c r="W217" i="38" s="1"/>
  <c r="W218" i="38" s="1"/>
  <c r="AD210" i="38"/>
  <c r="AG146" i="27"/>
  <c r="AH146" i="27" s="1"/>
  <c r="AJ146" i="27"/>
  <c r="AF147" i="27"/>
  <c r="AI147" i="27"/>
  <c r="F161" i="27" s="1"/>
  <c r="I161" i="27" s="1"/>
  <c r="AG149" i="38"/>
  <c r="AH149" i="38" s="1"/>
  <c r="AJ149" i="38"/>
  <c r="AF150" i="38"/>
  <c r="V223" i="38"/>
  <c r="L162" i="38"/>
  <c r="W240" i="27"/>
  <c r="AE192" i="27"/>
  <c r="AE193" i="27" s="1"/>
  <c r="AE194" i="27" s="1"/>
  <c r="AD211" i="38"/>
  <c r="AE225" i="38"/>
  <c r="AE226" i="38" s="1"/>
  <c r="AE227" i="38" s="1"/>
  <c r="AD206" i="27"/>
  <c r="V225" i="27"/>
  <c r="V220" i="27"/>
  <c r="AD207" i="27"/>
  <c r="V226" i="38"/>
  <c r="X161" i="38"/>
  <c r="Y160" i="38"/>
  <c r="Z160" i="38" s="1"/>
  <c r="AE219" i="37"/>
  <c r="W223" i="37"/>
  <c r="AD208" i="37"/>
  <c r="AD209" i="37"/>
  <c r="AG146" i="37"/>
  <c r="AH146" i="37" s="1"/>
  <c r="AF147" i="37"/>
  <c r="L160" i="37"/>
  <c r="V224" i="37"/>
  <c r="V229" i="37"/>
  <c r="CB150" i="38"/>
  <c r="BH150" i="38"/>
  <c r="BP151" i="38"/>
  <c r="BH151" i="38"/>
  <c r="BP150" i="38"/>
  <c r="CB151" i="38"/>
  <c r="BQ143" i="27"/>
  <c r="BR143" i="27" s="1"/>
  <c r="BE143" i="27"/>
  <c r="BF143" i="27" s="1"/>
  <c r="BM143" i="27"/>
  <c r="BN143" i="27" s="1"/>
  <c r="BA143" i="27"/>
  <c r="BB143" i="27" s="1"/>
  <c r="BI143" i="27"/>
  <c r="BJ143" i="27" s="1"/>
  <c r="BB146" i="37"/>
  <c r="CB148" i="37"/>
  <c r="BH148" i="37"/>
  <c r="CB147" i="37"/>
  <c r="T144" i="27"/>
  <c r="T145" i="34"/>
  <c r="BL145" i="34" s="1"/>
  <c r="L159" i="34"/>
  <c r="L160" i="40"/>
  <c r="L159" i="27"/>
  <c r="AS145" i="27"/>
  <c r="K145" i="27"/>
  <c r="AT145" i="27" s="1"/>
  <c r="K152" i="38"/>
  <c r="AT152" i="38" s="1"/>
  <c r="AS152" i="38"/>
  <c r="K146" i="27"/>
  <c r="AT146" i="27" s="1"/>
  <c r="AS146" i="27"/>
  <c r="K153" i="38"/>
  <c r="AT153" i="38" s="1"/>
  <c r="AS153" i="38"/>
  <c r="K149" i="37"/>
  <c r="AT149" i="37" s="1"/>
  <c r="AS149" i="37"/>
  <c r="M174" i="34"/>
  <c r="M175" i="40"/>
  <c r="V205" i="22"/>
  <c r="V206" i="22"/>
  <c r="K146" i="22"/>
  <c r="AA147" i="22"/>
  <c r="E147" i="22" s="1"/>
  <c r="AB146" i="22"/>
  <c r="Y147" i="22"/>
  <c r="Z147" i="22" s="1"/>
  <c r="X148" i="22"/>
  <c r="W188" i="22"/>
  <c r="T146" i="34" l="1"/>
  <c r="BL146" i="34" s="1"/>
  <c r="AZ147" i="37"/>
  <c r="BM147" i="39"/>
  <c r="BN147" i="39" s="1"/>
  <c r="BP147" i="39"/>
  <c r="BQ147" i="39" s="1"/>
  <c r="BR147" i="39" s="1"/>
  <c r="AZ148" i="37"/>
  <c r="BA148" i="37" s="1"/>
  <c r="BP146" i="39"/>
  <c r="BQ146" i="39" s="1"/>
  <c r="BR146" i="39" s="1"/>
  <c r="AA150" i="39"/>
  <c r="E150" i="39" s="1"/>
  <c r="H150" i="39" s="1"/>
  <c r="AS150" i="39" s="1"/>
  <c r="BL143" i="30"/>
  <c r="M173" i="27"/>
  <c r="L161" i="40"/>
  <c r="AJ147" i="40"/>
  <c r="AI148" i="40"/>
  <c r="F162" i="40" s="1"/>
  <c r="I162" i="40" s="1"/>
  <c r="AB160" i="38"/>
  <c r="AB147" i="40"/>
  <c r="AJ146" i="39"/>
  <c r="T148" i="39"/>
  <c r="L163" i="38"/>
  <c r="BA158" i="38"/>
  <c r="AW151" i="38"/>
  <c r="AX151" i="38" s="1"/>
  <c r="AZ158" i="38"/>
  <c r="BB158" i="38" s="1"/>
  <c r="CB145" i="40"/>
  <c r="BL145" i="40"/>
  <c r="BM145" i="40" s="1"/>
  <c r="BN145" i="40" s="1"/>
  <c r="BD144" i="27"/>
  <c r="BL144" i="27"/>
  <c r="AW150" i="38"/>
  <c r="AX150" i="38" s="1"/>
  <c r="AZ157" i="38"/>
  <c r="BB157" i="38" s="1"/>
  <c r="BA157" i="38"/>
  <c r="K145" i="30"/>
  <c r="AT145" i="30" s="1"/>
  <c r="AW148" i="37"/>
  <c r="AX148" i="37" s="1"/>
  <c r="L160" i="39"/>
  <c r="AW147" i="37"/>
  <c r="AX147" i="37" s="1"/>
  <c r="AJ145" i="30"/>
  <c r="CE144" i="27"/>
  <c r="AV144" i="27"/>
  <c r="H161" i="27"/>
  <c r="J176" i="37"/>
  <c r="M176" i="37"/>
  <c r="AG147" i="34"/>
  <c r="AH147" i="34" s="1"/>
  <c r="AF148" i="34"/>
  <c r="AG148" i="40"/>
  <c r="AH148" i="40" s="1"/>
  <c r="AF149" i="40"/>
  <c r="AB147" i="34"/>
  <c r="J175" i="38"/>
  <c r="M175" i="38"/>
  <c r="AB160" i="27"/>
  <c r="AQ148" i="38"/>
  <c r="G176" i="38" s="1"/>
  <c r="AO147" i="38"/>
  <c r="AP147" i="38" s="1"/>
  <c r="AN148" i="38"/>
  <c r="AR147" i="38"/>
  <c r="AO146" i="27"/>
  <c r="AP146" i="27" s="1"/>
  <c r="AN147" i="27"/>
  <c r="AQ147" i="27"/>
  <c r="G175" i="27" s="1"/>
  <c r="J175" i="27" s="1"/>
  <c r="L160" i="27"/>
  <c r="AQ146" i="27"/>
  <c r="G174" i="27" s="1"/>
  <c r="J174" i="27" s="1"/>
  <c r="AA146" i="30"/>
  <c r="E146" i="30" s="1"/>
  <c r="H146" i="30" s="1"/>
  <c r="AG146" i="30"/>
  <c r="AH146" i="30" s="1"/>
  <c r="AF147" i="30"/>
  <c r="AJ146" i="30"/>
  <c r="AI146" i="30"/>
  <c r="F160" i="30" s="1"/>
  <c r="I159" i="30"/>
  <c r="L159" i="30"/>
  <c r="AG147" i="39"/>
  <c r="AH147" i="39" s="1"/>
  <c r="AF148" i="39"/>
  <c r="AI147" i="39"/>
  <c r="F161" i="39" s="1"/>
  <c r="AO148" i="37"/>
  <c r="AP148" i="37" s="1"/>
  <c r="AN149" i="37"/>
  <c r="AQ149" i="37"/>
  <c r="G177" i="37" s="1"/>
  <c r="J177" i="37" s="1"/>
  <c r="AR148" i="37"/>
  <c r="H160" i="27"/>
  <c r="X149" i="34"/>
  <c r="Y148" i="34"/>
  <c r="Z148" i="34" s="1"/>
  <c r="T146" i="40"/>
  <c r="BL146" i="40" s="1"/>
  <c r="X149" i="40"/>
  <c r="Y148" i="40"/>
  <c r="Z148" i="40" s="1"/>
  <c r="AA149" i="40"/>
  <c r="E149" i="40" s="1"/>
  <c r="K147" i="40"/>
  <c r="AT147" i="40" s="1"/>
  <c r="AA148" i="40"/>
  <c r="E148" i="40" s="1"/>
  <c r="H148" i="40" s="1"/>
  <c r="AS148" i="40" s="1"/>
  <c r="AS144" i="30"/>
  <c r="T144" i="30"/>
  <c r="BL144" i="30" s="1"/>
  <c r="W221" i="39"/>
  <c r="W194" i="30"/>
  <c r="W195" i="30" s="1"/>
  <c r="W196" i="30" s="1"/>
  <c r="V216" i="39"/>
  <c r="Y150" i="39"/>
  <c r="Z150" i="39" s="1"/>
  <c r="X151" i="39"/>
  <c r="V215" i="39"/>
  <c r="V213" i="30"/>
  <c r="X147" i="30"/>
  <c r="Y146" i="30"/>
  <c r="Z146" i="30" s="1"/>
  <c r="AB145" i="30"/>
  <c r="K149" i="39"/>
  <c r="AT149" i="39" s="1"/>
  <c r="AS145" i="30"/>
  <c r="V208" i="30"/>
  <c r="BJ88" i="30"/>
  <c r="BJ88" i="34"/>
  <c r="W175" i="40"/>
  <c r="V237" i="40"/>
  <c r="V234" i="40"/>
  <c r="V236" i="34"/>
  <c r="CB145" i="34"/>
  <c r="BP146" i="34"/>
  <c r="BP145" i="34"/>
  <c r="CB146" i="34"/>
  <c r="W177" i="34"/>
  <c r="V237" i="34"/>
  <c r="Y161" i="37"/>
  <c r="X162" i="37"/>
  <c r="V225" i="38"/>
  <c r="V222" i="27"/>
  <c r="AD208" i="27"/>
  <c r="AE195" i="27"/>
  <c r="AD209" i="27"/>
  <c r="AF148" i="27"/>
  <c r="AG147" i="27"/>
  <c r="AH147" i="27" s="1"/>
  <c r="W219" i="38"/>
  <c r="W220" i="38" s="1"/>
  <c r="W221" i="38" s="1"/>
  <c r="X162" i="38"/>
  <c r="AB161" i="38"/>
  <c r="AA162" i="38"/>
  <c r="E162" i="38" s="1"/>
  <c r="H162" i="38" s="1"/>
  <c r="Y161" i="38"/>
  <c r="Z161" i="38" s="1"/>
  <c r="V227" i="27"/>
  <c r="AE228" i="38"/>
  <c r="AE229" i="38" s="1"/>
  <c r="AE230" i="38" s="1"/>
  <c r="W241" i="27"/>
  <c r="Y161" i="27"/>
  <c r="Z161" i="27" s="1"/>
  <c r="X162" i="27"/>
  <c r="AA161" i="38"/>
  <c r="E161" i="38" s="1"/>
  <c r="H161" i="38" s="1"/>
  <c r="AD213" i="38"/>
  <c r="AG150" i="38"/>
  <c r="AH150" i="38" s="1"/>
  <c r="AF151" i="38"/>
  <c r="AD212" i="38"/>
  <c r="V228" i="38"/>
  <c r="AI150" i="38"/>
  <c r="F164" i="38" s="1"/>
  <c r="I164" i="38" s="1"/>
  <c r="AJ146" i="37"/>
  <c r="AD210" i="37"/>
  <c r="AE220" i="37"/>
  <c r="AG147" i="37"/>
  <c r="AH147" i="37" s="1"/>
  <c r="AF148" i="37"/>
  <c r="AD211" i="37"/>
  <c r="V226" i="37"/>
  <c r="AI147" i="37"/>
  <c r="F161" i="37" s="1"/>
  <c r="I161" i="37" s="1"/>
  <c r="V231" i="37"/>
  <c r="W224" i="37"/>
  <c r="W225" i="37" s="1"/>
  <c r="W226" i="37" s="1"/>
  <c r="W227" i="37" s="1"/>
  <c r="BQ150" i="38"/>
  <c r="BR150" i="38" s="1"/>
  <c r="BI150" i="38"/>
  <c r="BJ150" i="38" s="1"/>
  <c r="BM151" i="38"/>
  <c r="BN151" i="38" s="1"/>
  <c r="BI151" i="38"/>
  <c r="BJ151" i="38" s="1"/>
  <c r="BM150" i="38"/>
  <c r="BN150" i="38" s="1"/>
  <c r="BE151" i="38"/>
  <c r="BF151" i="38" s="1"/>
  <c r="BQ151" i="38"/>
  <c r="BR151" i="38" s="1"/>
  <c r="BE150" i="38"/>
  <c r="BF150" i="38" s="1"/>
  <c r="CB144" i="27"/>
  <c r="AZ144" i="27"/>
  <c r="BH144" i="27"/>
  <c r="BP144" i="27"/>
  <c r="BI147" i="37"/>
  <c r="BJ147" i="37" s="1"/>
  <c r="BI148" i="37"/>
  <c r="BJ148" i="37" s="1"/>
  <c r="BM148" i="37"/>
  <c r="BN148" i="37" s="1"/>
  <c r="BQ147" i="37"/>
  <c r="BR147" i="37" s="1"/>
  <c r="BE148" i="37"/>
  <c r="BF148" i="37" s="1"/>
  <c r="BM147" i="37"/>
  <c r="BN147" i="37" s="1"/>
  <c r="BE147" i="37"/>
  <c r="BF147" i="37" s="1"/>
  <c r="BB87" i="37"/>
  <c r="BQ148" i="37"/>
  <c r="BR148" i="37" s="1"/>
  <c r="AS147" i="34"/>
  <c r="T152" i="38"/>
  <c r="T145" i="27"/>
  <c r="T153" i="38"/>
  <c r="AS147" i="27"/>
  <c r="T146" i="27"/>
  <c r="K150" i="37"/>
  <c r="AT150" i="37" s="1"/>
  <c r="T149" i="37"/>
  <c r="M178" i="39"/>
  <c r="M175" i="30"/>
  <c r="K147" i="34"/>
  <c r="AT147" i="34" s="1"/>
  <c r="AS148" i="34"/>
  <c r="K148" i="34"/>
  <c r="AT148" i="34" s="1"/>
  <c r="M176" i="40"/>
  <c r="M175" i="34"/>
  <c r="M176" i="30"/>
  <c r="AB147" i="22"/>
  <c r="AA148" i="22"/>
  <c r="E148" i="22" s="1"/>
  <c r="V208" i="22"/>
  <c r="V207" i="22"/>
  <c r="K147" i="22"/>
  <c r="X149" i="22"/>
  <c r="Y148" i="22"/>
  <c r="Z148" i="22" s="1"/>
  <c r="W189" i="22"/>
  <c r="AB150" i="39" l="1"/>
  <c r="BB148" i="37"/>
  <c r="BM143" i="30"/>
  <c r="BN143" i="30" s="1"/>
  <c r="BP143" i="30"/>
  <c r="BQ143" i="30" s="1"/>
  <c r="BR143" i="30" s="1"/>
  <c r="K150" i="39"/>
  <c r="AT150" i="39" s="1"/>
  <c r="BA147" i="37"/>
  <c r="BB147" i="37" s="1"/>
  <c r="AJ147" i="39"/>
  <c r="AA151" i="39"/>
  <c r="E151" i="39" s="1"/>
  <c r="H151" i="39" s="1"/>
  <c r="AS151" i="39" s="1"/>
  <c r="AJ150" i="38"/>
  <c r="AJ147" i="34"/>
  <c r="AI148" i="34"/>
  <c r="F162" i="34" s="1"/>
  <c r="I162" i="34" s="1"/>
  <c r="AR146" i="27"/>
  <c r="AI148" i="39"/>
  <c r="F162" i="39" s="1"/>
  <c r="L162" i="39" s="1"/>
  <c r="BL148" i="39"/>
  <c r="BP148" i="39" s="1"/>
  <c r="BQ148" i="39" s="1"/>
  <c r="BR148" i="39" s="1"/>
  <c r="CB148" i="39"/>
  <c r="T145" i="30"/>
  <c r="CB145" i="30" s="1"/>
  <c r="AI149" i="40"/>
  <c r="F163" i="40" s="1"/>
  <c r="BD153" i="38"/>
  <c r="BL153" i="38"/>
  <c r="BD145" i="27"/>
  <c r="BL145" i="27"/>
  <c r="BD152" i="38"/>
  <c r="BL152" i="38"/>
  <c r="K148" i="40"/>
  <c r="AT148" i="40" s="1"/>
  <c r="BA151" i="27"/>
  <c r="AW144" i="27"/>
  <c r="AX144" i="27" s="1"/>
  <c r="AZ151" i="27"/>
  <c r="BB151" i="27" s="1"/>
  <c r="AB148" i="34"/>
  <c r="AA149" i="34"/>
  <c r="E149" i="34" s="1"/>
  <c r="H149" i="34" s="1"/>
  <c r="AS149" i="34" s="1"/>
  <c r="BD146" i="27"/>
  <c r="BL146" i="27"/>
  <c r="AJ148" i="40"/>
  <c r="BD149" i="37"/>
  <c r="BL149" i="37"/>
  <c r="BP149" i="37" s="1"/>
  <c r="M177" i="37"/>
  <c r="CE152" i="38"/>
  <c r="AV152" i="38"/>
  <c r="CE146" i="27"/>
  <c r="AV146" i="27"/>
  <c r="CE153" i="38"/>
  <c r="AV153" i="38"/>
  <c r="M174" i="27"/>
  <c r="CE145" i="27"/>
  <c r="AV145" i="27"/>
  <c r="CE149" i="37"/>
  <c r="AV149" i="37"/>
  <c r="K146" i="30"/>
  <c r="AT146" i="30" s="1"/>
  <c r="H161" i="37"/>
  <c r="AF150" i="40"/>
  <c r="AG149" i="40"/>
  <c r="AH149" i="40" s="1"/>
  <c r="AI150" i="40"/>
  <c r="F164" i="40" s="1"/>
  <c r="I164" i="40" s="1"/>
  <c r="AG148" i="34"/>
  <c r="AH148" i="34" s="1"/>
  <c r="AF149" i="34"/>
  <c r="AI149" i="34"/>
  <c r="F163" i="34" s="1"/>
  <c r="I163" i="34" s="1"/>
  <c r="AJ148" i="34"/>
  <c r="AN148" i="27"/>
  <c r="AO147" i="27"/>
  <c r="AP147" i="27" s="1"/>
  <c r="AQ148" i="27"/>
  <c r="G176" i="27" s="1"/>
  <c r="J176" i="27" s="1"/>
  <c r="AR147" i="27"/>
  <c r="AN149" i="38"/>
  <c r="AQ149" i="38"/>
  <c r="G177" i="38" s="1"/>
  <c r="AO148" i="38"/>
  <c r="AP148" i="38" s="1"/>
  <c r="AR148" i="38"/>
  <c r="J176" i="38"/>
  <c r="M176" i="38"/>
  <c r="AB161" i="27"/>
  <c r="I161" i="39"/>
  <c r="L161" i="39"/>
  <c r="AG148" i="39"/>
  <c r="AH148" i="39" s="1"/>
  <c r="AF149" i="39"/>
  <c r="I160" i="30"/>
  <c r="L160" i="30"/>
  <c r="AG147" i="30"/>
  <c r="AH147" i="30" s="1"/>
  <c r="AF148" i="30"/>
  <c r="AJ147" i="30"/>
  <c r="AI147" i="30"/>
  <c r="F161" i="30" s="1"/>
  <c r="AO149" i="37"/>
  <c r="AP149" i="37" s="1"/>
  <c r="AN150" i="37"/>
  <c r="AR149" i="37"/>
  <c r="H149" i="40"/>
  <c r="AS149" i="40" s="1"/>
  <c r="AZ146" i="27"/>
  <c r="BB85" i="27" s="1"/>
  <c r="AB148" i="40"/>
  <c r="CB146" i="40"/>
  <c r="BP146" i="40"/>
  <c r="BQ146" i="40" s="1"/>
  <c r="BR146" i="40" s="1"/>
  <c r="BM146" i="40"/>
  <c r="BN146" i="40" s="1"/>
  <c r="X150" i="40"/>
  <c r="Y149" i="40"/>
  <c r="Z149" i="40" s="1"/>
  <c r="AA150" i="40"/>
  <c r="E150" i="40" s="1"/>
  <c r="H150" i="40" s="1"/>
  <c r="AS150" i="40" s="1"/>
  <c r="K149" i="40"/>
  <c r="AT149" i="40" s="1"/>
  <c r="AS147" i="40"/>
  <c r="T147" i="40"/>
  <c r="Y149" i="34"/>
  <c r="Z149" i="34" s="1"/>
  <c r="X150" i="34"/>
  <c r="AB149" i="34"/>
  <c r="AI148" i="27"/>
  <c r="F162" i="27" s="1"/>
  <c r="I162" i="27" s="1"/>
  <c r="AJ147" i="27"/>
  <c r="AI151" i="38"/>
  <c r="F165" i="38" s="1"/>
  <c r="I165" i="38" s="1"/>
  <c r="AS149" i="39"/>
  <c r="T149" i="39"/>
  <c r="BP150" i="39" s="1"/>
  <c r="V215" i="30"/>
  <c r="Y151" i="39"/>
  <c r="Z151" i="39" s="1"/>
  <c r="AB151" i="39"/>
  <c r="X152" i="39"/>
  <c r="W197" i="30"/>
  <c r="W198" i="30" s="1"/>
  <c r="V210" i="30"/>
  <c r="AA147" i="30"/>
  <c r="E147" i="30" s="1"/>
  <c r="H147" i="30" s="1"/>
  <c r="X148" i="30"/>
  <c r="Y147" i="30"/>
  <c r="Z147" i="30" s="1"/>
  <c r="V217" i="39"/>
  <c r="V218" i="39"/>
  <c r="BP144" i="30"/>
  <c r="BQ144" i="30" s="1"/>
  <c r="BR144" i="30" s="1"/>
  <c r="CB144" i="30"/>
  <c r="BM144" i="30"/>
  <c r="BN144" i="30" s="1"/>
  <c r="W222" i="39"/>
  <c r="AB146" i="30"/>
  <c r="AS146" i="30"/>
  <c r="V239" i="40"/>
  <c r="V236" i="40"/>
  <c r="W176" i="40"/>
  <c r="W178" i="34"/>
  <c r="BM146" i="34"/>
  <c r="BN146" i="34" s="1"/>
  <c r="BM145" i="34"/>
  <c r="BN145" i="34" s="1"/>
  <c r="V238" i="34"/>
  <c r="BQ145" i="34"/>
  <c r="BR145" i="34" s="1"/>
  <c r="V239" i="34"/>
  <c r="BQ146" i="34"/>
  <c r="BR146" i="34" s="1"/>
  <c r="Z161" i="37"/>
  <c r="AB161" i="37"/>
  <c r="AA162" i="37"/>
  <c r="E162" i="37" s="1"/>
  <c r="Y162" i="37"/>
  <c r="Z162" i="37" s="1"/>
  <c r="X163" i="37"/>
  <c r="AB162" i="37"/>
  <c r="AA163" i="37"/>
  <c r="E163" i="37" s="1"/>
  <c r="AD214" i="38"/>
  <c r="AF149" i="27"/>
  <c r="AG148" i="27"/>
  <c r="AH148" i="27" s="1"/>
  <c r="W242" i="27"/>
  <c r="AD215" i="38"/>
  <c r="AE196" i="27"/>
  <c r="AD210" i="27"/>
  <c r="L164" i="38"/>
  <c r="AE231" i="38"/>
  <c r="AD211" i="27"/>
  <c r="V230" i="38"/>
  <c r="X163" i="38"/>
  <c r="Y162" i="38"/>
  <c r="Z162" i="38" s="1"/>
  <c r="V227" i="38"/>
  <c r="Y162" i="27"/>
  <c r="Z162" i="27" s="1"/>
  <c r="AB162" i="27"/>
  <c r="X163" i="27"/>
  <c r="V229" i="27"/>
  <c r="W222" i="38"/>
  <c r="W223" i="38" s="1"/>
  <c r="AG151" i="38"/>
  <c r="AH151" i="38" s="1"/>
  <c r="AF152" i="38"/>
  <c r="AA162" i="27"/>
  <c r="E162" i="27" s="1"/>
  <c r="V224" i="27"/>
  <c r="W228" i="37"/>
  <c r="W229" i="37" s="1"/>
  <c r="W230" i="37" s="1"/>
  <c r="W231" i="37" s="1"/>
  <c r="W232" i="37" s="1"/>
  <c r="AD213" i="37"/>
  <c r="AE221" i="37"/>
  <c r="AE222" i="37" s="1"/>
  <c r="AE223" i="37" s="1"/>
  <c r="V233" i="37"/>
  <c r="L161" i="37"/>
  <c r="AD212" i="37"/>
  <c r="V228" i="37"/>
  <c r="AG148" i="37"/>
  <c r="AH148" i="37" s="1"/>
  <c r="AF149" i="37"/>
  <c r="AJ147" i="37"/>
  <c r="AI148" i="37"/>
  <c r="F162" i="37" s="1"/>
  <c r="I162" i="37" s="1"/>
  <c r="CB153" i="38"/>
  <c r="CB152" i="38"/>
  <c r="BP152" i="38"/>
  <c r="BH153" i="38"/>
  <c r="BH152" i="38"/>
  <c r="BP153" i="38"/>
  <c r="CB145" i="27"/>
  <c r="BP145" i="27"/>
  <c r="CB146" i="27"/>
  <c r="BA144" i="27"/>
  <c r="BB144" i="27" s="1"/>
  <c r="BP146" i="27"/>
  <c r="BM144" i="27"/>
  <c r="BN144" i="27" s="1"/>
  <c r="K147" i="27"/>
  <c r="AT147" i="27" s="1"/>
  <c r="BH145" i="27"/>
  <c r="BH146" i="27"/>
  <c r="BE144" i="27"/>
  <c r="BF144" i="27" s="1"/>
  <c r="BQ144" i="27"/>
  <c r="BR144" i="27" s="1"/>
  <c r="AZ145" i="27"/>
  <c r="BI144" i="27"/>
  <c r="BJ144" i="27" s="1"/>
  <c r="T150" i="37"/>
  <c r="AS150" i="37"/>
  <c r="CB149" i="37"/>
  <c r="BH149" i="37"/>
  <c r="T147" i="34"/>
  <c r="BL147" i="34" s="1"/>
  <c r="L162" i="40"/>
  <c r="L161" i="34"/>
  <c r="L161" i="27"/>
  <c r="AS148" i="27"/>
  <c r="K148" i="27"/>
  <c r="AT148" i="27" s="1"/>
  <c r="K155" i="38"/>
  <c r="AT155" i="38" s="1"/>
  <c r="AS155" i="38"/>
  <c r="M175" i="27"/>
  <c r="K154" i="38"/>
  <c r="AT154" i="38" s="1"/>
  <c r="AS154" i="38"/>
  <c r="AS152" i="37"/>
  <c r="K152" i="37"/>
  <c r="AT152" i="37" s="1"/>
  <c r="AS151" i="37"/>
  <c r="K151" i="37"/>
  <c r="AT151" i="37" s="1"/>
  <c r="M181" i="39"/>
  <c r="M179" i="39"/>
  <c r="M180" i="39"/>
  <c r="M177" i="40"/>
  <c r="T148" i="34"/>
  <c r="BL148" i="34" s="1"/>
  <c r="M176" i="34"/>
  <c r="K148" i="22"/>
  <c r="AA149" i="22"/>
  <c r="E149" i="22" s="1"/>
  <c r="AB148" i="22"/>
  <c r="V209" i="22"/>
  <c r="V210" i="22"/>
  <c r="X150" i="22"/>
  <c r="Y149" i="22"/>
  <c r="Z149" i="22" s="1"/>
  <c r="W190" i="22"/>
  <c r="K151" i="39" l="1"/>
  <c r="AT151" i="39" s="1"/>
  <c r="T150" i="39"/>
  <c r="CB150" i="39" s="1"/>
  <c r="AJ148" i="39"/>
  <c r="AI149" i="39"/>
  <c r="F163" i="39" s="1"/>
  <c r="I163" i="39" s="1"/>
  <c r="AZ149" i="37"/>
  <c r="BA149" i="37" s="1"/>
  <c r="BL145" i="30"/>
  <c r="L162" i="34"/>
  <c r="I162" i="39"/>
  <c r="AI152" i="38"/>
  <c r="F166" i="38" s="1"/>
  <c r="I166" i="38" s="1"/>
  <c r="AA150" i="34"/>
  <c r="E150" i="34" s="1"/>
  <c r="H150" i="34" s="1"/>
  <c r="AS150" i="34" s="1"/>
  <c r="AJ149" i="40"/>
  <c r="T146" i="30"/>
  <c r="BL146" i="30" s="1"/>
  <c r="BM146" i="30" s="1"/>
  <c r="BN146" i="30" s="1"/>
  <c r="AQ150" i="37"/>
  <c r="G178" i="37" s="1"/>
  <c r="M178" i="37" s="1"/>
  <c r="AI148" i="30"/>
  <c r="F162" i="30" s="1"/>
  <c r="I162" i="30" s="1"/>
  <c r="BM148" i="39"/>
  <c r="BN85" i="39"/>
  <c r="T148" i="40"/>
  <c r="BL148" i="40" s="1"/>
  <c r="AW153" i="38"/>
  <c r="AX153" i="38" s="1"/>
  <c r="AZ160" i="38"/>
  <c r="BB160" i="38" s="1"/>
  <c r="BA160" i="38"/>
  <c r="BA153" i="27"/>
  <c r="AW146" i="27"/>
  <c r="AX146" i="27" s="1"/>
  <c r="AZ153" i="27"/>
  <c r="BB153" i="27" s="1"/>
  <c r="K149" i="34"/>
  <c r="AT149" i="34" s="1"/>
  <c r="L162" i="27"/>
  <c r="AW152" i="38"/>
  <c r="AX152" i="38" s="1"/>
  <c r="AZ159" i="38"/>
  <c r="BB159" i="38" s="1"/>
  <c r="BA159" i="38"/>
  <c r="AW145" i="27"/>
  <c r="AX145" i="27" s="1"/>
  <c r="AZ152" i="27"/>
  <c r="BB152" i="27" s="1"/>
  <c r="BA152" i="27"/>
  <c r="L163" i="34"/>
  <c r="BP147" i="40"/>
  <c r="BQ147" i="40" s="1"/>
  <c r="BR147" i="40" s="1"/>
  <c r="BL147" i="40"/>
  <c r="BM147" i="40" s="1"/>
  <c r="BN147" i="40" s="1"/>
  <c r="L164" i="40"/>
  <c r="I163" i="40"/>
  <c r="L163" i="40"/>
  <c r="H162" i="37"/>
  <c r="BD150" i="37"/>
  <c r="BL150" i="37"/>
  <c r="BP150" i="37" s="1"/>
  <c r="AW149" i="37"/>
  <c r="AX149" i="37" s="1"/>
  <c r="BH150" i="37"/>
  <c r="BI150" i="37" s="1"/>
  <c r="CE150" i="37"/>
  <c r="AV150" i="37"/>
  <c r="AF150" i="34"/>
  <c r="AG149" i="34"/>
  <c r="AH149" i="34" s="1"/>
  <c r="AJ149" i="34"/>
  <c r="K150" i="40"/>
  <c r="AT150" i="40" s="1"/>
  <c r="AB149" i="40"/>
  <c r="AG150" i="40"/>
  <c r="AH150" i="40" s="1"/>
  <c r="AI151" i="40"/>
  <c r="F165" i="40" s="1"/>
  <c r="I165" i="40" s="1"/>
  <c r="AF151" i="40"/>
  <c r="AJ150" i="40"/>
  <c r="L165" i="38"/>
  <c r="J177" i="38"/>
  <c r="M177" i="38"/>
  <c r="AO149" i="38"/>
  <c r="AP149" i="38" s="1"/>
  <c r="AN150" i="38"/>
  <c r="AJ151" i="38"/>
  <c r="AO148" i="27"/>
  <c r="AP148" i="27" s="1"/>
  <c r="AN149" i="27"/>
  <c r="I161" i="30"/>
  <c r="L161" i="30"/>
  <c r="AF149" i="30"/>
  <c r="AG148" i="30"/>
  <c r="AH148" i="30" s="1"/>
  <c r="AJ148" i="30"/>
  <c r="AG149" i="39"/>
  <c r="AH149" i="39" s="1"/>
  <c r="AF150" i="39"/>
  <c r="AI150" i="39"/>
  <c r="F164" i="39" s="1"/>
  <c r="AO150" i="37"/>
  <c r="AP150" i="37" s="1"/>
  <c r="AN151" i="37"/>
  <c r="AQ151" i="37"/>
  <c r="G179" i="37" s="1"/>
  <c r="J179" i="37" s="1"/>
  <c r="AR150" i="37"/>
  <c r="H162" i="27"/>
  <c r="T149" i="40"/>
  <c r="CB149" i="40" s="1"/>
  <c r="BA146" i="27"/>
  <c r="BB86" i="27" s="1"/>
  <c r="X151" i="34"/>
  <c r="Y150" i="34"/>
  <c r="Z150" i="34" s="1"/>
  <c r="AA151" i="34"/>
  <c r="E151" i="34" s="1"/>
  <c r="H151" i="34" s="1"/>
  <c r="AB150" i="34"/>
  <c r="X151" i="40"/>
  <c r="Y150" i="40"/>
  <c r="Z150" i="40" s="1"/>
  <c r="AB150" i="40"/>
  <c r="CB147" i="40"/>
  <c r="V220" i="39"/>
  <c r="V217" i="30"/>
  <c r="W223" i="39"/>
  <c r="Y148" i="30"/>
  <c r="Z148" i="30" s="1"/>
  <c r="X149" i="30"/>
  <c r="AA148" i="30"/>
  <c r="E148" i="30" s="1"/>
  <c r="H148" i="30" s="1"/>
  <c r="W199" i="30"/>
  <c r="W200" i="30" s="1"/>
  <c r="AB147" i="30"/>
  <c r="V212" i="30"/>
  <c r="V219" i="39"/>
  <c r="K147" i="30"/>
  <c r="AT147" i="30" s="1"/>
  <c r="AA152" i="39"/>
  <c r="E152" i="39" s="1"/>
  <c r="H152" i="39" s="1"/>
  <c r="BP149" i="39"/>
  <c r="BQ149" i="39" s="1"/>
  <c r="BR149" i="39" s="1"/>
  <c r="CB149" i="39"/>
  <c r="Y152" i="39"/>
  <c r="Z152" i="39" s="1"/>
  <c r="X153" i="39"/>
  <c r="W177" i="40"/>
  <c r="V238" i="40"/>
  <c r="V241" i="40"/>
  <c r="CB147" i="34"/>
  <c r="BP147" i="34"/>
  <c r="BP148" i="34"/>
  <c r="V240" i="34"/>
  <c r="V241" i="34"/>
  <c r="W179" i="34"/>
  <c r="CB148" i="34"/>
  <c r="BQ150" i="39"/>
  <c r="BR150" i="39" s="1"/>
  <c r="X164" i="37"/>
  <c r="Y163" i="37"/>
  <c r="Z163" i="37" s="1"/>
  <c r="AE197" i="27"/>
  <c r="AE198" i="27" s="1"/>
  <c r="AE199" i="27" s="1"/>
  <c r="AE200" i="27" s="1"/>
  <c r="AG152" i="38"/>
  <c r="AH152" i="38" s="1"/>
  <c r="AF153" i="38"/>
  <c r="V232" i="38"/>
  <c r="AE232" i="38"/>
  <c r="AE233" i="38" s="1"/>
  <c r="AI149" i="27"/>
  <c r="F163" i="27" s="1"/>
  <c r="I163" i="27" s="1"/>
  <c r="AD217" i="38"/>
  <c r="AF150" i="27"/>
  <c r="AG149" i="27"/>
  <c r="AH149" i="27" s="1"/>
  <c r="V226" i="27"/>
  <c r="Y163" i="27"/>
  <c r="Z163" i="27" s="1"/>
  <c r="X164" i="27"/>
  <c r="AJ148" i="27"/>
  <c r="T147" i="27"/>
  <c r="AA163" i="27"/>
  <c r="E163" i="27" s="1"/>
  <c r="X164" i="38"/>
  <c r="Y163" i="38"/>
  <c r="Z163" i="38" s="1"/>
  <c r="AD216" i="38"/>
  <c r="W224" i="38"/>
  <c r="W225" i="38" s="1"/>
  <c r="W226" i="38" s="1"/>
  <c r="AB162" i="38"/>
  <c r="AD213" i="27"/>
  <c r="AD212" i="27"/>
  <c r="AA163" i="38"/>
  <c r="E163" i="38" s="1"/>
  <c r="H163" i="38" s="1"/>
  <c r="W243" i="27"/>
  <c r="W244" i="27" s="1"/>
  <c r="V231" i="27"/>
  <c r="V229" i="38"/>
  <c r="AE224" i="37"/>
  <c r="AD215" i="37"/>
  <c r="V230" i="37"/>
  <c r="V235" i="37"/>
  <c r="AG149" i="37"/>
  <c r="AH149" i="37" s="1"/>
  <c r="AF150" i="37"/>
  <c r="AJ148" i="37"/>
  <c r="AD214" i="37"/>
  <c r="L162" i="37"/>
  <c r="AI149" i="37"/>
  <c r="F163" i="37" s="1"/>
  <c r="I163" i="37" s="1"/>
  <c r="W233" i="37"/>
  <c r="BQ153" i="38"/>
  <c r="BR153" i="38" s="1"/>
  <c r="BE152" i="38"/>
  <c r="BF152" i="38" s="1"/>
  <c r="BI152" i="38"/>
  <c r="BJ152" i="38" s="1"/>
  <c r="BM153" i="38"/>
  <c r="BN153" i="38" s="1"/>
  <c r="BM152" i="38"/>
  <c r="BN152" i="38" s="1"/>
  <c r="BI153" i="38"/>
  <c r="BJ153" i="38" s="1"/>
  <c r="BE153" i="38"/>
  <c r="BF86" i="38" s="1"/>
  <c r="BF85" i="38"/>
  <c r="BQ152" i="38"/>
  <c r="BR152" i="38" s="1"/>
  <c r="BI145" i="27"/>
  <c r="BJ145" i="27" s="1"/>
  <c r="BM145" i="27"/>
  <c r="BN145" i="27" s="1"/>
  <c r="BQ145" i="27"/>
  <c r="BR145" i="27" s="1"/>
  <c r="BE145" i="27"/>
  <c r="BF145" i="27" s="1"/>
  <c r="BM146" i="27"/>
  <c r="BN146" i="27" s="1"/>
  <c r="BE146" i="27"/>
  <c r="BF146" i="27" s="1"/>
  <c r="BQ146" i="27"/>
  <c r="BR146" i="27" s="1"/>
  <c r="BA145" i="27"/>
  <c r="BB145" i="27" s="1"/>
  <c r="BI146" i="27"/>
  <c r="BJ146" i="27" s="1"/>
  <c r="BM149" i="37"/>
  <c r="BN149" i="37" s="1"/>
  <c r="BI149" i="37"/>
  <c r="BJ149" i="37" s="1"/>
  <c r="BE149" i="37"/>
  <c r="BF149" i="37" s="1"/>
  <c r="BQ149" i="37"/>
  <c r="BR149" i="37" s="1"/>
  <c r="CB150" i="37"/>
  <c r="T155" i="38"/>
  <c r="T154" i="38"/>
  <c r="BL154" i="38" s="1"/>
  <c r="AS156" i="38"/>
  <c r="K156" i="38"/>
  <c r="AT156" i="38" s="1"/>
  <c r="T148" i="27"/>
  <c r="AS149" i="27"/>
  <c r="K149" i="27"/>
  <c r="AT149" i="27" s="1"/>
  <c r="M176" i="27"/>
  <c r="T152" i="37"/>
  <c r="T151" i="37"/>
  <c r="M178" i="40"/>
  <c r="M177" i="34"/>
  <c r="M177" i="30"/>
  <c r="K149" i="22"/>
  <c r="AB149" i="22"/>
  <c r="AA150" i="22"/>
  <c r="V212" i="22"/>
  <c r="V211" i="22"/>
  <c r="X151" i="22"/>
  <c r="Y150" i="22"/>
  <c r="Z150" i="22" s="1"/>
  <c r="W191" i="22"/>
  <c r="T151" i="39" l="1"/>
  <c r="BP151" i="39" s="1"/>
  <c r="BP146" i="30"/>
  <c r="BQ146" i="30" s="1"/>
  <c r="BR146" i="30" s="1"/>
  <c r="AB152" i="39"/>
  <c r="AZ150" i="37"/>
  <c r="BM145" i="30"/>
  <c r="BN145" i="30" s="1"/>
  <c r="BP145" i="30"/>
  <c r="BQ145" i="30" s="1"/>
  <c r="BR145" i="30" s="1"/>
  <c r="BB149" i="37"/>
  <c r="L163" i="39"/>
  <c r="AB163" i="37"/>
  <c r="AA164" i="37"/>
  <c r="E164" i="37" s="1"/>
  <c r="K150" i="34"/>
  <c r="AT150" i="34" s="1"/>
  <c r="CB146" i="30"/>
  <c r="L166" i="38"/>
  <c r="CB148" i="40"/>
  <c r="L162" i="30"/>
  <c r="J178" i="37"/>
  <c r="T150" i="40"/>
  <c r="CB150" i="40" s="1"/>
  <c r="T149" i="34"/>
  <c r="CB149" i="34" s="1"/>
  <c r="BN86" i="39"/>
  <c r="BN148" i="39"/>
  <c r="AJ149" i="39"/>
  <c r="BP148" i="40"/>
  <c r="BP149" i="40"/>
  <c r="BQ149" i="40" s="1"/>
  <c r="BR149" i="40" s="1"/>
  <c r="BL155" i="38"/>
  <c r="AQ149" i="27"/>
  <c r="G177" i="27" s="1"/>
  <c r="J177" i="27" s="1"/>
  <c r="BD148" i="27"/>
  <c r="BL148" i="27"/>
  <c r="BD147" i="27"/>
  <c r="BE147" i="27" s="1"/>
  <c r="BF147" i="27" s="1"/>
  <c r="BL147" i="27"/>
  <c r="BM147" i="27" s="1"/>
  <c r="BN147" i="27" s="1"/>
  <c r="AR148" i="27"/>
  <c r="BD152" i="37"/>
  <c r="BL152" i="37"/>
  <c r="BP152" i="37" s="1"/>
  <c r="BD151" i="37"/>
  <c r="BH151" i="37" s="1"/>
  <c r="BL151" i="37"/>
  <c r="BP151" i="37" s="1"/>
  <c r="AA153" i="39"/>
  <c r="E153" i="39" s="1"/>
  <c r="H153" i="39" s="1"/>
  <c r="AW150" i="37"/>
  <c r="AX150" i="37" s="1"/>
  <c r="M179" i="37"/>
  <c r="AA149" i="30"/>
  <c r="E149" i="30" s="1"/>
  <c r="H149" i="30" s="1"/>
  <c r="BJ150" i="37"/>
  <c r="CE148" i="27"/>
  <c r="AV148" i="27"/>
  <c r="CE154" i="38"/>
  <c r="AV154" i="38"/>
  <c r="CE155" i="38"/>
  <c r="AV155" i="38"/>
  <c r="CE147" i="27"/>
  <c r="AV147" i="27"/>
  <c r="CE152" i="37"/>
  <c r="AV152" i="37"/>
  <c r="CE151" i="37"/>
  <c r="AV151" i="37"/>
  <c r="H163" i="37"/>
  <c r="AG151" i="40"/>
  <c r="AH151" i="40" s="1"/>
  <c r="AF152" i="40"/>
  <c r="AG150" i="34"/>
  <c r="AH150" i="34" s="1"/>
  <c r="AF151" i="34"/>
  <c r="AA151" i="40"/>
  <c r="E151" i="40" s="1"/>
  <c r="K151" i="40" s="1"/>
  <c r="AT151" i="40" s="1"/>
  <c r="AI150" i="34"/>
  <c r="F164" i="34" s="1"/>
  <c r="AO149" i="27"/>
  <c r="AP149" i="27" s="1"/>
  <c r="AN150" i="27"/>
  <c r="AQ150" i="27"/>
  <c r="G178" i="27" s="1"/>
  <c r="J178" i="27" s="1"/>
  <c r="AR149" i="38"/>
  <c r="AO150" i="38"/>
  <c r="AP150" i="38" s="1"/>
  <c r="AN151" i="38"/>
  <c r="AQ151" i="38"/>
  <c r="G179" i="38" s="1"/>
  <c r="AR150" i="38"/>
  <c r="AQ150" i="38"/>
  <c r="G178" i="38" s="1"/>
  <c r="I164" i="39"/>
  <c r="L164" i="39"/>
  <c r="AF151" i="39"/>
  <c r="AG150" i="39"/>
  <c r="AH150" i="39" s="1"/>
  <c r="AJ150" i="39"/>
  <c r="AI149" i="30"/>
  <c r="F163" i="30" s="1"/>
  <c r="AG149" i="30"/>
  <c r="AH149" i="30" s="1"/>
  <c r="AF150" i="30"/>
  <c r="H163" i="27"/>
  <c r="AO151" i="37"/>
  <c r="AP151" i="37" s="1"/>
  <c r="AN152" i="37"/>
  <c r="BH147" i="27"/>
  <c r="BI147" i="27" s="1"/>
  <c r="BJ147" i="27" s="1"/>
  <c r="CB147" i="27"/>
  <c r="BB146" i="27"/>
  <c r="BB87" i="27" s="1"/>
  <c r="Y151" i="40"/>
  <c r="Z151" i="40" s="1"/>
  <c r="X152" i="40"/>
  <c r="Y151" i="34"/>
  <c r="Z151" i="34" s="1"/>
  <c r="X152" i="34"/>
  <c r="BP147" i="27"/>
  <c r="BQ147" i="27" s="1"/>
  <c r="BR147" i="27" s="1"/>
  <c r="AJ152" i="38"/>
  <c r="AI153" i="38"/>
  <c r="F167" i="38" s="1"/>
  <c r="I167" i="38" s="1"/>
  <c r="V214" i="30"/>
  <c r="X150" i="30"/>
  <c r="Y149" i="30"/>
  <c r="Z149" i="30" s="1"/>
  <c r="K148" i="30"/>
  <c r="AT148" i="30" s="1"/>
  <c r="K152" i="39"/>
  <c r="AT152" i="39" s="1"/>
  <c r="AS147" i="30"/>
  <c r="T147" i="30"/>
  <c r="BL147" i="30" s="1"/>
  <c r="AB148" i="30"/>
  <c r="V222" i="39"/>
  <c r="Y153" i="39"/>
  <c r="Z153" i="39" s="1"/>
  <c r="X154" i="39"/>
  <c r="V221" i="39"/>
  <c r="W224" i="39"/>
  <c r="W225" i="39" s="1"/>
  <c r="W226" i="39" s="1"/>
  <c r="W201" i="30"/>
  <c r="W202" i="30" s="1"/>
  <c r="V219" i="30"/>
  <c r="BP150" i="40"/>
  <c r="BQ150" i="40" s="1"/>
  <c r="BR150" i="40" s="1"/>
  <c r="V240" i="40"/>
  <c r="BQ148" i="40"/>
  <c r="W178" i="40"/>
  <c r="V243" i="40"/>
  <c r="BM148" i="40"/>
  <c r="BN86" i="40" s="1"/>
  <c r="BN85" i="40"/>
  <c r="BQ148" i="34"/>
  <c r="BR148" i="34" s="1"/>
  <c r="BM148" i="34"/>
  <c r="BN86" i="34" s="1"/>
  <c r="BN85" i="34"/>
  <c r="BP149" i="34"/>
  <c r="V243" i="34"/>
  <c r="V242" i="34"/>
  <c r="BQ147" i="34"/>
  <c r="BR147" i="34" s="1"/>
  <c r="W180" i="34"/>
  <c r="BM147" i="34"/>
  <c r="BN147" i="34" s="1"/>
  <c r="BQ151" i="39"/>
  <c r="BR151" i="39" s="1"/>
  <c r="Y164" i="37"/>
  <c r="Z164" i="37" s="1"/>
  <c r="X165" i="37"/>
  <c r="AD214" i="27"/>
  <c r="AA164" i="38"/>
  <c r="E164" i="38" s="1"/>
  <c r="H164" i="38" s="1"/>
  <c r="AB163" i="27"/>
  <c r="AF151" i="27"/>
  <c r="AG150" i="27"/>
  <c r="AH150" i="27" s="1"/>
  <c r="V233" i="27"/>
  <c r="W227" i="38"/>
  <c r="AB163" i="38"/>
  <c r="AA164" i="27"/>
  <c r="E164" i="27" s="1"/>
  <c r="AJ149" i="27"/>
  <c r="AB164" i="38"/>
  <c r="X165" i="38"/>
  <c r="Y164" i="38"/>
  <c r="Z164" i="38" s="1"/>
  <c r="AI150" i="27"/>
  <c r="F164" i="27" s="1"/>
  <c r="AE234" i="38"/>
  <c r="AG153" i="38"/>
  <c r="AH153" i="38" s="1"/>
  <c r="AJ153" i="38"/>
  <c r="AF154" i="38"/>
  <c r="AD218" i="38"/>
  <c r="V228" i="27"/>
  <c r="AD219" i="38"/>
  <c r="AD215" i="27"/>
  <c r="V234" i="38"/>
  <c r="AE201" i="27"/>
  <c r="V231" i="38"/>
  <c r="W245" i="27"/>
  <c r="X165" i="27"/>
  <c r="Y164" i="27"/>
  <c r="Z164" i="27" s="1"/>
  <c r="E150" i="22"/>
  <c r="K150" i="22" s="1"/>
  <c r="L163" i="37"/>
  <c r="AJ149" i="37"/>
  <c r="V232" i="37"/>
  <c r="AD217" i="37"/>
  <c r="AG150" i="37"/>
  <c r="AH150" i="37" s="1"/>
  <c r="AF151" i="37"/>
  <c r="AI150" i="37"/>
  <c r="F164" i="37" s="1"/>
  <c r="I164" i="37" s="1"/>
  <c r="AD216" i="37"/>
  <c r="V237" i="37"/>
  <c r="AE225" i="37"/>
  <c r="W234" i="37"/>
  <c r="BF153" i="38"/>
  <c r="BF87" i="38" s="1"/>
  <c r="CB154" i="38"/>
  <c r="BH154" i="38"/>
  <c r="BH155" i="38"/>
  <c r="BP155" i="38"/>
  <c r="BP154" i="38"/>
  <c r="CB155" i="38"/>
  <c r="BP148" i="27"/>
  <c r="CB148" i="27"/>
  <c r="BH148" i="27"/>
  <c r="CB151" i="37"/>
  <c r="BH152" i="37"/>
  <c r="BQ150" i="37"/>
  <c r="BR150" i="37" s="1"/>
  <c r="CB152" i="37"/>
  <c r="BM150" i="37"/>
  <c r="BN150" i="37" s="1"/>
  <c r="BE150" i="37"/>
  <c r="BF150" i="37" s="1"/>
  <c r="M182" i="39"/>
  <c r="L163" i="27"/>
  <c r="T149" i="27"/>
  <c r="T156" i="38"/>
  <c r="BL156" i="38" s="1"/>
  <c r="AS157" i="38"/>
  <c r="K157" i="38"/>
  <c r="AT157" i="38" s="1"/>
  <c r="AS153" i="37"/>
  <c r="K153" i="37"/>
  <c r="AT153" i="37" s="1"/>
  <c r="AS154" i="37"/>
  <c r="K154" i="37"/>
  <c r="AT154" i="37" s="1"/>
  <c r="M178" i="34"/>
  <c r="M179" i="40"/>
  <c r="M179" i="30"/>
  <c r="M178" i="30"/>
  <c r="AA151" i="22"/>
  <c r="E151" i="22" s="1"/>
  <c r="AB150" i="22"/>
  <c r="V213" i="22"/>
  <c r="V214" i="22"/>
  <c r="Y151" i="22"/>
  <c r="Z151" i="22" s="1"/>
  <c r="X152" i="22"/>
  <c r="W192" i="22"/>
  <c r="CB151" i="39" l="1"/>
  <c r="AB153" i="39"/>
  <c r="AZ151" i="37"/>
  <c r="AZ152" i="37"/>
  <c r="BA152" i="37"/>
  <c r="BA150" i="37"/>
  <c r="BB150" i="37" s="1"/>
  <c r="AA154" i="39"/>
  <c r="E154" i="39" s="1"/>
  <c r="H154" i="39" s="1"/>
  <c r="AS154" i="39" s="1"/>
  <c r="AI151" i="39"/>
  <c r="F165" i="39" s="1"/>
  <c r="I165" i="39" s="1"/>
  <c r="AB164" i="37"/>
  <c r="AA165" i="37"/>
  <c r="E165" i="37" s="1"/>
  <c r="T150" i="34"/>
  <c r="BP150" i="34" s="1"/>
  <c r="BR148" i="40"/>
  <c r="M177" i="27"/>
  <c r="AI151" i="34"/>
  <c r="F165" i="34" s="1"/>
  <c r="I165" i="34" s="1"/>
  <c r="AA152" i="40"/>
  <c r="E152" i="40" s="1"/>
  <c r="H152" i="40" s="1"/>
  <c r="AS152" i="40" s="1"/>
  <c r="AJ150" i="34"/>
  <c r="AR149" i="27"/>
  <c r="BN87" i="39"/>
  <c r="BN88" i="39" s="1"/>
  <c r="K153" i="39"/>
  <c r="AT153" i="39" s="1"/>
  <c r="AA152" i="34"/>
  <c r="E152" i="34" s="1"/>
  <c r="H152" i="34" s="1"/>
  <c r="AS152" i="34" s="1"/>
  <c r="AW147" i="27"/>
  <c r="AX147" i="27" s="1"/>
  <c r="BA154" i="27"/>
  <c r="AZ154" i="27"/>
  <c r="BB154" i="27" s="1"/>
  <c r="AB151" i="34"/>
  <c r="AZ162" i="38"/>
  <c r="BB162" i="38" s="1"/>
  <c r="BA162" i="38"/>
  <c r="AW155" i="38"/>
  <c r="AX155" i="38" s="1"/>
  <c r="BD149" i="27"/>
  <c r="BL149" i="27"/>
  <c r="AW154" i="38"/>
  <c r="AX154" i="38" s="1"/>
  <c r="AZ161" i="38"/>
  <c r="BB161" i="38" s="1"/>
  <c r="BA161" i="38"/>
  <c r="AJ151" i="40"/>
  <c r="AW148" i="27"/>
  <c r="AX148" i="27" s="1"/>
  <c r="AZ155" i="27"/>
  <c r="BB155" i="27" s="1"/>
  <c r="BA155" i="27"/>
  <c r="AI152" i="40"/>
  <c r="F166" i="40" s="1"/>
  <c r="I166" i="40" s="1"/>
  <c r="K149" i="30"/>
  <c r="AT149" i="30" s="1"/>
  <c r="AR151" i="37"/>
  <c r="AQ152" i="37"/>
  <c r="G180" i="37" s="1"/>
  <c r="M180" i="37" s="1"/>
  <c r="AJ149" i="30"/>
  <c r="AW151" i="37"/>
  <c r="AX151" i="37" s="1"/>
  <c r="AI150" i="30"/>
  <c r="F164" i="30" s="1"/>
  <c r="I164" i="30" s="1"/>
  <c r="AW152" i="37"/>
  <c r="AX152" i="37" s="1"/>
  <c r="CE149" i="27"/>
  <c r="AV149" i="27"/>
  <c r="CE156" i="38"/>
  <c r="AV156" i="38"/>
  <c r="H164" i="37"/>
  <c r="AG151" i="34"/>
  <c r="AH151" i="34" s="1"/>
  <c r="AF152" i="34"/>
  <c r="AI152" i="34"/>
  <c r="F166" i="34" s="1"/>
  <c r="I166" i="34" s="1"/>
  <c r="AJ151" i="34"/>
  <c r="H151" i="40"/>
  <c r="I164" i="34"/>
  <c r="L164" i="34"/>
  <c r="AG152" i="40"/>
  <c r="AH152" i="40" s="1"/>
  <c r="AI153" i="40"/>
  <c r="F167" i="40" s="1"/>
  <c r="I167" i="40" s="1"/>
  <c r="AF153" i="40"/>
  <c r="J178" i="38"/>
  <c r="M178" i="38"/>
  <c r="J179" i="38"/>
  <c r="M179" i="38"/>
  <c r="AO151" i="38"/>
  <c r="AP151" i="38" s="1"/>
  <c r="AN152" i="38"/>
  <c r="AR151" i="38"/>
  <c r="AA165" i="27"/>
  <c r="E165" i="27" s="1"/>
  <c r="AO150" i="27"/>
  <c r="AP150" i="27" s="1"/>
  <c r="AN151" i="27"/>
  <c r="AQ151" i="27"/>
  <c r="G179" i="27" s="1"/>
  <c r="J179" i="27" s="1"/>
  <c r="AB164" i="27"/>
  <c r="AG150" i="30"/>
  <c r="AH150" i="30" s="1"/>
  <c r="AF151" i="30"/>
  <c r="I163" i="30"/>
  <c r="L163" i="30"/>
  <c r="AG151" i="39"/>
  <c r="AH151" i="39" s="1"/>
  <c r="AF152" i="39"/>
  <c r="AO152" i="37"/>
  <c r="AP152" i="37" s="1"/>
  <c r="AN153" i="37"/>
  <c r="AQ153" i="37"/>
  <c r="G181" i="37" s="1"/>
  <c r="J181" i="37" s="1"/>
  <c r="AR152" i="37"/>
  <c r="I164" i="27"/>
  <c r="H164" i="27" s="1"/>
  <c r="L167" i="38"/>
  <c r="Y152" i="34"/>
  <c r="Z152" i="34" s="1"/>
  <c r="X153" i="34"/>
  <c r="AB151" i="40"/>
  <c r="AB152" i="40"/>
  <c r="Y152" i="40"/>
  <c r="Z152" i="40" s="1"/>
  <c r="X153" i="40"/>
  <c r="AI154" i="38"/>
  <c r="F168" i="38" s="1"/>
  <c r="I168" i="38" s="1"/>
  <c r="AI151" i="27"/>
  <c r="F165" i="27" s="1"/>
  <c r="I165" i="27" s="1"/>
  <c r="AJ150" i="27"/>
  <c r="AA165" i="38"/>
  <c r="E165" i="38" s="1"/>
  <c r="H165" i="38" s="1"/>
  <c r="AS152" i="39"/>
  <c r="T152" i="39"/>
  <c r="V224" i="39"/>
  <c r="T148" i="30"/>
  <c r="BL148" i="30" s="1"/>
  <c r="AS148" i="30"/>
  <c r="W203" i="30"/>
  <c r="W204" i="30" s="1"/>
  <c r="X151" i="30"/>
  <c r="Y150" i="30"/>
  <c r="Z150" i="30" s="1"/>
  <c r="Y154" i="39"/>
  <c r="Z154" i="39" s="1"/>
  <c r="X155" i="39"/>
  <c r="BP147" i="30"/>
  <c r="BQ147" i="30" s="1"/>
  <c r="BR147" i="30" s="1"/>
  <c r="CB147" i="30"/>
  <c r="BM147" i="30"/>
  <c r="BN147" i="30" s="1"/>
  <c r="AB149" i="30"/>
  <c r="AS149" i="30"/>
  <c r="V223" i="39"/>
  <c r="W227" i="39"/>
  <c r="AA150" i="30"/>
  <c r="E150" i="30" s="1"/>
  <c r="H150" i="30" s="1"/>
  <c r="V216" i="30"/>
  <c r="V221" i="30"/>
  <c r="AS153" i="39"/>
  <c r="AJ150" i="37"/>
  <c r="V245" i="40"/>
  <c r="BN148" i="40"/>
  <c r="W179" i="40"/>
  <c r="V242" i="40"/>
  <c r="BQ150" i="34"/>
  <c r="V245" i="34"/>
  <c r="BN148" i="34"/>
  <c r="BQ149" i="34"/>
  <c r="BR149" i="34" s="1"/>
  <c r="V244" i="34"/>
  <c r="W181" i="34"/>
  <c r="Y165" i="37"/>
  <c r="AA166" i="37" s="1"/>
  <c r="E166" i="37" s="1"/>
  <c r="X166" i="37"/>
  <c r="Y165" i="27"/>
  <c r="Z165" i="27" s="1"/>
  <c r="X166" i="27"/>
  <c r="AE202" i="27"/>
  <c r="AE203" i="27" s="1"/>
  <c r="AE204" i="27" s="1"/>
  <c r="AE205" i="27" s="1"/>
  <c r="V230" i="27"/>
  <c r="AG154" i="38"/>
  <c r="AH154" i="38" s="1"/>
  <c r="AF155" i="38"/>
  <c r="X166" i="38"/>
  <c r="AB165" i="38"/>
  <c r="Y165" i="38"/>
  <c r="Z165" i="38" s="1"/>
  <c r="W228" i="38"/>
  <c r="W229" i="38" s="1"/>
  <c r="W230" i="38" s="1"/>
  <c r="W246" i="27"/>
  <c r="V236" i="38"/>
  <c r="AD221" i="38"/>
  <c r="V235" i="27"/>
  <c r="BF88" i="38"/>
  <c r="V233" i="38"/>
  <c r="AD220" i="38"/>
  <c r="AE235" i="38"/>
  <c r="AE236" i="38" s="1"/>
  <c r="AE237" i="38" s="1"/>
  <c r="AE238" i="38" s="1"/>
  <c r="AE239" i="38" s="1"/>
  <c r="AD216" i="27"/>
  <c r="AD217" i="27"/>
  <c r="AF152" i="27"/>
  <c r="AG151" i="27"/>
  <c r="AH151" i="27" s="1"/>
  <c r="AD218" i="37"/>
  <c r="AD219" i="37"/>
  <c r="W235" i="37"/>
  <c r="W236" i="37" s="1"/>
  <c r="V239" i="37"/>
  <c r="L164" i="37"/>
  <c r="AI151" i="37"/>
  <c r="F165" i="37" s="1"/>
  <c r="I165" i="37" s="1"/>
  <c r="AE226" i="37"/>
  <c r="AE227" i="37" s="1"/>
  <c r="AE228" i="37" s="1"/>
  <c r="AG151" i="37"/>
  <c r="AH151" i="37" s="1"/>
  <c r="AF152" i="37"/>
  <c r="V234" i="37"/>
  <c r="BI154" i="38"/>
  <c r="BJ154" i="38" s="1"/>
  <c r="BP156" i="38"/>
  <c r="BQ154" i="38"/>
  <c r="BR154" i="38" s="1"/>
  <c r="BH156" i="38"/>
  <c r="BM155" i="38"/>
  <c r="BN155" i="38" s="1"/>
  <c r="BQ155" i="38"/>
  <c r="BR155" i="38" s="1"/>
  <c r="CB156" i="38"/>
  <c r="BM154" i="38"/>
  <c r="BN154" i="38" s="1"/>
  <c r="BI155" i="38"/>
  <c r="BJ155" i="38" s="1"/>
  <c r="BE148" i="27"/>
  <c r="BF148" i="27" s="1"/>
  <c r="BI148" i="27"/>
  <c r="BJ148" i="27" s="1"/>
  <c r="BM148" i="27"/>
  <c r="BN148" i="27" s="1"/>
  <c r="BP149" i="27"/>
  <c r="BQ148" i="27"/>
  <c r="BR148" i="27" s="1"/>
  <c r="CB149" i="27"/>
  <c r="BH149" i="27"/>
  <c r="BE152" i="37"/>
  <c r="BF152" i="37" s="1"/>
  <c r="BI152" i="37"/>
  <c r="BJ152" i="37" s="1"/>
  <c r="BQ151" i="37"/>
  <c r="BR151" i="37" s="1"/>
  <c r="BQ152" i="37"/>
  <c r="BR152" i="37" s="1"/>
  <c r="BM151" i="37"/>
  <c r="BN151" i="37" s="1"/>
  <c r="BI151" i="37"/>
  <c r="BJ151" i="37" s="1"/>
  <c r="BE151" i="37"/>
  <c r="BF151" i="37" s="1"/>
  <c r="BM152" i="37"/>
  <c r="BN152" i="37" s="1"/>
  <c r="AS151" i="34"/>
  <c r="M179" i="34"/>
  <c r="M180" i="40"/>
  <c r="L165" i="40"/>
  <c r="L164" i="27"/>
  <c r="AS150" i="27"/>
  <c r="K150" i="27"/>
  <c r="AT150" i="27" s="1"/>
  <c r="K158" i="38"/>
  <c r="AT158" i="38" s="1"/>
  <c r="AS158" i="38"/>
  <c r="T157" i="38"/>
  <c r="BL157" i="38" s="1"/>
  <c r="M178" i="27"/>
  <c r="T153" i="37"/>
  <c r="T154" i="37"/>
  <c r="M180" i="30"/>
  <c r="M184" i="39"/>
  <c r="K151" i="34"/>
  <c r="AT151" i="34" s="1"/>
  <c r="V216" i="22"/>
  <c r="V215" i="22"/>
  <c r="AB151" i="22"/>
  <c r="AA152" i="22"/>
  <c r="E152" i="22" s="1"/>
  <c r="X153" i="22"/>
  <c r="Y152" i="22"/>
  <c r="Z152" i="22" s="1"/>
  <c r="K151" i="22"/>
  <c r="W193" i="22"/>
  <c r="CB150" i="34" l="1"/>
  <c r="L166" i="40"/>
  <c r="L165" i="39"/>
  <c r="BB152" i="37"/>
  <c r="BA151" i="37"/>
  <c r="BB151" i="37" s="1"/>
  <c r="BR150" i="34"/>
  <c r="K154" i="39"/>
  <c r="AT154" i="39" s="1"/>
  <c r="K152" i="40"/>
  <c r="AT152" i="40" s="1"/>
  <c r="T153" i="39"/>
  <c r="CB153" i="39" s="1"/>
  <c r="K152" i="34"/>
  <c r="AT152" i="34" s="1"/>
  <c r="T149" i="30"/>
  <c r="CB149" i="30" s="1"/>
  <c r="AQ152" i="38"/>
  <c r="G180" i="38" s="1"/>
  <c r="J180" i="38" s="1"/>
  <c r="AI155" i="38"/>
  <c r="F169" i="38" s="1"/>
  <c r="I169" i="38" s="1"/>
  <c r="AJ152" i="40"/>
  <c r="L166" i="34"/>
  <c r="AR150" i="27"/>
  <c r="AJ150" i="30"/>
  <c r="J180" i="37"/>
  <c r="BL154" i="37"/>
  <c r="BP154" i="37" s="1"/>
  <c r="AW149" i="27"/>
  <c r="AX149" i="27" s="1"/>
  <c r="BA156" i="27"/>
  <c r="AZ156" i="27"/>
  <c r="BB156" i="27" s="1"/>
  <c r="AA166" i="38"/>
  <c r="E166" i="38" s="1"/>
  <c r="H166" i="38" s="1"/>
  <c r="H165" i="27"/>
  <c r="AJ154" i="38"/>
  <c r="AA153" i="40"/>
  <c r="E153" i="40" s="1"/>
  <c r="H153" i="40" s="1"/>
  <c r="AS153" i="40" s="1"/>
  <c r="AW156" i="38"/>
  <c r="AX156" i="38" s="1"/>
  <c r="BA163" i="38"/>
  <c r="AZ163" i="38"/>
  <c r="BB163" i="38" s="1"/>
  <c r="L164" i="30"/>
  <c r="BD153" i="37"/>
  <c r="BH153" i="37" s="1"/>
  <c r="BL153" i="37"/>
  <c r="BP153" i="37" s="1"/>
  <c r="AJ151" i="39"/>
  <c r="AI152" i="39"/>
  <c r="F166" i="39" s="1"/>
  <c r="I166" i="39" s="1"/>
  <c r="CE157" i="38"/>
  <c r="AV157" i="38"/>
  <c r="M181" i="37"/>
  <c r="CE154" i="37"/>
  <c r="AV154" i="37"/>
  <c r="CE153" i="37"/>
  <c r="AV153" i="37"/>
  <c r="H165" i="37"/>
  <c r="AB152" i="34"/>
  <c r="AG153" i="40"/>
  <c r="AH153" i="40" s="1"/>
  <c r="AF154" i="40"/>
  <c r="AI154" i="40"/>
  <c r="F168" i="40" s="1"/>
  <c r="I168" i="40" s="1"/>
  <c r="AJ153" i="40"/>
  <c r="AS151" i="40"/>
  <c r="T151" i="40"/>
  <c r="AA153" i="34"/>
  <c r="E153" i="34" s="1"/>
  <c r="H153" i="34" s="1"/>
  <c r="AG152" i="34"/>
  <c r="AH152" i="34" s="1"/>
  <c r="AI153" i="34"/>
  <c r="F167" i="34" s="1"/>
  <c r="I167" i="34" s="1"/>
  <c r="AF153" i="34"/>
  <c r="AJ152" i="34"/>
  <c r="AO151" i="27"/>
  <c r="AP151" i="27" s="1"/>
  <c r="AN152" i="27"/>
  <c r="AO152" i="38"/>
  <c r="AP152" i="38" s="1"/>
  <c r="AN153" i="38"/>
  <c r="AG152" i="39"/>
  <c r="AH152" i="39" s="1"/>
  <c r="AF153" i="39"/>
  <c r="AI151" i="30"/>
  <c r="F165" i="30" s="1"/>
  <c r="AF152" i="30"/>
  <c r="AG151" i="30"/>
  <c r="AH151" i="30" s="1"/>
  <c r="AO153" i="37"/>
  <c r="AP153" i="37" s="1"/>
  <c r="AN154" i="37"/>
  <c r="L168" i="38"/>
  <c r="X154" i="40"/>
  <c r="Y153" i="40"/>
  <c r="Z153" i="40" s="1"/>
  <c r="X154" i="34"/>
  <c r="Y153" i="34"/>
  <c r="Z153" i="34" s="1"/>
  <c r="AB153" i="34"/>
  <c r="AI152" i="27"/>
  <c r="F166" i="27" s="1"/>
  <c r="AJ151" i="27"/>
  <c r="AB165" i="27"/>
  <c r="AA166" i="27"/>
  <c r="E166" i="27" s="1"/>
  <c r="BN85" i="30"/>
  <c r="BM148" i="30"/>
  <c r="BN86" i="30" s="1"/>
  <c r="V226" i="39"/>
  <c r="V225" i="39"/>
  <c r="Y151" i="30"/>
  <c r="Z151" i="30" s="1"/>
  <c r="X152" i="30"/>
  <c r="V218" i="30"/>
  <c r="AA151" i="30"/>
  <c r="E151" i="30" s="1"/>
  <c r="H151" i="30" s="1"/>
  <c r="W228" i="39"/>
  <c r="AB150" i="30"/>
  <c r="Y155" i="39"/>
  <c r="Z155" i="39" s="1"/>
  <c r="X156" i="39"/>
  <c r="W205" i="30"/>
  <c r="W206" i="30" s="1"/>
  <c r="BP148" i="30"/>
  <c r="BQ148" i="30" s="1"/>
  <c r="BR148" i="30" s="1"/>
  <c r="CB148" i="30"/>
  <c r="BP149" i="30"/>
  <c r="BQ149" i="30" s="1"/>
  <c r="BR149" i="30" s="1"/>
  <c r="V223" i="30"/>
  <c r="AA155" i="39"/>
  <c r="E155" i="39" s="1"/>
  <c r="H155" i="39" s="1"/>
  <c r="CB152" i="39"/>
  <c r="BP152" i="39"/>
  <c r="BQ152" i="39" s="1"/>
  <c r="BR152" i="39" s="1"/>
  <c r="BP153" i="39"/>
  <c r="BQ153" i="39" s="1"/>
  <c r="BR153" i="39" s="1"/>
  <c r="K150" i="30"/>
  <c r="AT150" i="30" s="1"/>
  <c r="AB154" i="39"/>
  <c r="W180" i="40"/>
  <c r="V244" i="40"/>
  <c r="BN87" i="40"/>
  <c r="V247" i="40"/>
  <c r="BN87" i="34"/>
  <c r="W182" i="34"/>
  <c r="V247" i="34"/>
  <c r="V246" i="34"/>
  <c r="BP154" i="39"/>
  <c r="Y166" i="37"/>
  <c r="Z166" i="37" s="1"/>
  <c r="AA167" i="37"/>
  <c r="E167" i="37" s="1"/>
  <c r="AB166" i="37"/>
  <c r="X167" i="37"/>
  <c r="AJ151" i="37"/>
  <c r="AI152" i="37"/>
  <c r="F166" i="37" s="1"/>
  <c r="I166" i="37" s="1"/>
  <c r="Z165" i="37"/>
  <c r="AB165" i="37"/>
  <c r="AD222" i="38"/>
  <c r="AD223" i="38"/>
  <c r="W247" i="27"/>
  <c r="W248" i="27" s="1"/>
  <c r="AG155" i="38"/>
  <c r="AH155" i="38" s="1"/>
  <c r="AF156" i="38"/>
  <c r="AE206" i="27"/>
  <c r="AD218" i="27"/>
  <c r="V237" i="27"/>
  <c r="W231" i="38"/>
  <c r="AF153" i="27"/>
  <c r="AG152" i="27"/>
  <c r="AH152" i="27" s="1"/>
  <c r="V235" i="38"/>
  <c r="X167" i="27"/>
  <c r="Y166" i="27"/>
  <c r="Z166" i="27" s="1"/>
  <c r="AA167" i="38"/>
  <c r="E167" i="38" s="1"/>
  <c r="H167" i="38" s="1"/>
  <c r="X167" i="38"/>
  <c r="Y166" i="38"/>
  <c r="Z166" i="38" s="1"/>
  <c r="V238" i="38"/>
  <c r="V232" i="27"/>
  <c r="AD219" i="27"/>
  <c r="AE240" i="38"/>
  <c r="AE241" i="38" s="1"/>
  <c r="V236" i="37"/>
  <c r="AE229" i="37"/>
  <c r="W237" i="37"/>
  <c r="W238" i="37" s="1"/>
  <c r="L165" i="37"/>
  <c r="AG152" i="37"/>
  <c r="AH152" i="37" s="1"/>
  <c r="AF153" i="37"/>
  <c r="AD221" i="37"/>
  <c r="V241" i="37"/>
  <c r="AD220" i="37"/>
  <c r="BQ156" i="38"/>
  <c r="BR156" i="38" s="1"/>
  <c r="BP157" i="38"/>
  <c r="CB157" i="38"/>
  <c r="BM156" i="38"/>
  <c r="BN156" i="38" s="1"/>
  <c r="BI156" i="38"/>
  <c r="BJ156" i="38" s="1"/>
  <c r="BH157" i="38"/>
  <c r="T150" i="27"/>
  <c r="BE149" i="27"/>
  <c r="BF149" i="27" s="1"/>
  <c r="BQ149" i="27"/>
  <c r="BR149" i="27" s="1"/>
  <c r="BM149" i="27"/>
  <c r="BN149" i="27" s="1"/>
  <c r="BI149" i="27"/>
  <c r="BJ149" i="27" s="1"/>
  <c r="CB153" i="37"/>
  <c r="BH154" i="37"/>
  <c r="CB154" i="37"/>
  <c r="L167" i="40"/>
  <c r="L165" i="34"/>
  <c r="L165" i="27"/>
  <c r="K159" i="38"/>
  <c r="AT159" i="38" s="1"/>
  <c r="AS151" i="27"/>
  <c r="K151" i="27"/>
  <c r="AT151" i="27" s="1"/>
  <c r="T158" i="38"/>
  <c r="BL158" i="38" s="1"/>
  <c r="AS156" i="37"/>
  <c r="K156" i="37"/>
  <c r="AT156" i="37" s="1"/>
  <c r="K155" i="37"/>
  <c r="AT155" i="37" s="1"/>
  <c r="AS155" i="37"/>
  <c r="M183" i="39"/>
  <c r="T151" i="34"/>
  <c r="M180" i="34"/>
  <c r="V217" i="22"/>
  <c r="V218" i="22"/>
  <c r="AA153" i="22"/>
  <c r="E153" i="22" s="1"/>
  <c r="K152" i="22"/>
  <c r="AB152" i="22"/>
  <c r="X154" i="22"/>
  <c r="Y153" i="22"/>
  <c r="Z153" i="22" s="1"/>
  <c r="W194" i="22"/>
  <c r="M180" i="38" l="1"/>
  <c r="AI153" i="37"/>
  <c r="F167" i="37" s="1"/>
  <c r="I167" i="37" s="1"/>
  <c r="BA153" i="37"/>
  <c r="AZ153" i="37"/>
  <c r="AZ154" i="37"/>
  <c r="BA154" i="37" s="1"/>
  <c r="T154" i="39"/>
  <c r="CB154" i="39" s="1"/>
  <c r="T152" i="40"/>
  <c r="CB152" i="40" s="1"/>
  <c r="T152" i="34"/>
  <c r="CB152" i="34" s="1"/>
  <c r="K153" i="40"/>
  <c r="AT153" i="40" s="1"/>
  <c r="L169" i="38"/>
  <c r="AR152" i="38"/>
  <c r="AR151" i="27"/>
  <c r="AQ152" i="27"/>
  <c r="G180" i="27" s="1"/>
  <c r="J180" i="27" s="1"/>
  <c r="AJ151" i="30"/>
  <c r="AJ152" i="39"/>
  <c r="AQ153" i="38"/>
  <c r="G181" i="38" s="1"/>
  <c r="J181" i="38" s="1"/>
  <c r="AB153" i="40"/>
  <c r="AA154" i="40"/>
  <c r="E154" i="40" s="1"/>
  <c r="H154" i="40" s="1"/>
  <c r="AS154" i="40" s="1"/>
  <c r="BD150" i="27"/>
  <c r="BL150" i="27"/>
  <c r="AI156" i="38"/>
  <c r="F170" i="38" s="1"/>
  <c r="I170" i="38" s="1"/>
  <c r="AJ155" i="38"/>
  <c r="AW157" i="38"/>
  <c r="AX157" i="38" s="1"/>
  <c r="AZ164" i="38"/>
  <c r="BB164" i="38" s="1"/>
  <c r="BA164" i="38"/>
  <c r="L166" i="39"/>
  <c r="AW153" i="37"/>
  <c r="AX153" i="37" s="1"/>
  <c r="AW154" i="37"/>
  <c r="AX154" i="37" s="1"/>
  <c r="AI153" i="39"/>
  <c r="F167" i="39" s="1"/>
  <c r="I167" i="39" s="1"/>
  <c r="AR153" i="37"/>
  <c r="AQ154" i="37"/>
  <c r="G182" i="37" s="1"/>
  <c r="M182" i="37" s="1"/>
  <c r="CE150" i="27"/>
  <c r="AV150" i="27"/>
  <c r="CE158" i="38"/>
  <c r="AV158" i="38"/>
  <c r="H167" i="37"/>
  <c r="H166" i="37"/>
  <c r="AG153" i="34"/>
  <c r="AH153" i="34" s="1"/>
  <c r="AF154" i="34"/>
  <c r="AI154" i="34"/>
  <c r="F168" i="34" s="1"/>
  <c r="I168" i="34" s="1"/>
  <c r="L168" i="40"/>
  <c r="CB151" i="40"/>
  <c r="BP151" i="40"/>
  <c r="BQ151" i="40" s="1"/>
  <c r="BR151" i="40" s="1"/>
  <c r="AG154" i="40"/>
  <c r="AH154" i="40" s="1"/>
  <c r="AF155" i="40"/>
  <c r="AO153" i="38"/>
  <c r="AP153" i="38" s="1"/>
  <c r="AQ154" i="38"/>
  <c r="G182" i="38" s="1"/>
  <c r="AN154" i="38"/>
  <c r="AR153" i="38"/>
  <c r="AO152" i="27"/>
  <c r="AP152" i="27" s="1"/>
  <c r="AQ153" i="27"/>
  <c r="G181" i="27" s="1"/>
  <c r="J181" i="27" s="1"/>
  <c r="AN153" i="27"/>
  <c r="AI152" i="30"/>
  <c r="F166" i="30" s="1"/>
  <c r="AA156" i="39"/>
  <c r="E156" i="39" s="1"/>
  <c r="H156" i="39" s="1"/>
  <c r="AG152" i="30"/>
  <c r="AH152" i="30" s="1"/>
  <c r="AF153" i="30"/>
  <c r="I165" i="30"/>
  <c r="L165" i="30"/>
  <c r="AG153" i="39"/>
  <c r="AH153" i="39" s="1"/>
  <c r="AF154" i="39"/>
  <c r="AO154" i="37"/>
  <c r="AP154" i="37" s="1"/>
  <c r="AN155" i="37"/>
  <c r="AQ155" i="37"/>
  <c r="G183" i="37" s="1"/>
  <c r="J183" i="37" s="1"/>
  <c r="AR154" i="37"/>
  <c r="I166" i="27"/>
  <c r="H166" i="27" s="1"/>
  <c r="AA155" i="34"/>
  <c r="E155" i="34" s="1"/>
  <c r="H155" i="34" s="1"/>
  <c r="X155" i="34"/>
  <c r="Y154" i="34"/>
  <c r="Z154" i="34" s="1"/>
  <c r="AA154" i="34"/>
  <c r="E154" i="34" s="1"/>
  <c r="X155" i="40"/>
  <c r="Y154" i="40"/>
  <c r="Z154" i="40" s="1"/>
  <c r="AB154" i="40"/>
  <c r="AA167" i="27"/>
  <c r="E167" i="27" s="1"/>
  <c r="AB166" i="27"/>
  <c r="W229" i="39"/>
  <c r="Y152" i="30"/>
  <c r="Z152" i="30" s="1"/>
  <c r="X153" i="30"/>
  <c r="V228" i="39"/>
  <c r="K155" i="39"/>
  <c r="AT155" i="39" s="1"/>
  <c r="W207" i="30"/>
  <c r="W208" i="30" s="1"/>
  <c r="AB151" i="30"/>
  <c r="V225" i="30"/>
  <c r="K151" i="30"/>
  <c r="AT151" i="30" s="1"/>
  <c r="AA152" i="30"/>
  <c r="E152" i="30" s="1"/>
  <c r="H152" i="30" s="1"/>
  <c r="AS150" i="30"/>
  <c r="T150" i="30"/>
  <c r="AB155" i="39"/>
  <c r="Y156" i="39"/>
  <c r="Z156" i="39" s="1"/>
  <c r="AB156" i="39"/>
  <c r="AA157" i="39"/>
  <c r="E157" i="39" s="1"/>
  <c r="X157" i="39"/>
  <c r="V220" i="30"/>
  <c r="V227" i="39"/>
  <c r="BN148" i="30"/>
  <c r="BN88" i="40"/>
  <c r="BN88" i="34"/>
  <c r="BP152" i="40"/>
  <c r="W181" i="40"/>
  <c r="V249" i="40"/>
  <c r="V246" i="40"/>
  <c r="V248" i="34"/>
  <c r="CB151" i="34"/>
  <c r="BP151" i="34"/>
  <c r="BP152" i="34"/>
  <c r="W183" i="34"/>
  <c r="V249" i="34"/>
  <c r="BQ154" i="39"/>
  <c r="BR154" i="39" s="1"/>
  <c r="L166" i="37"/>
  <c r="AJ152" i="37"/>
  <c r="Y167" i="37"/>
  <c r="Z167" i="37" s="1"/>
  <c r="X168" i="37"/>
  <c r="AI153" i="27"/>
  <c r="F167" i="27" s="1"/>
  <c r="I167" i="27" s="1"/>
  <c r="AD225" i="38"/>
  <c r="AF154" i="27"/>
  <c r="AG153" i="27"/>
  <c r="AH153" i="27" s="1"/>
  <c r="AD220" i="27"/>
  <c r="AG156" i="38"/>
  <c r="AH156" i="38" s="1"/>
  <c r="AF157" i="38"/>
  <c r="Y167" i="27"/>
  <c r="Z167" i="27" s="1"/>
  <c r="AA168" i="27"/>
  <c r="E168" i="27" s="1"/>
  <c r="AB167" i="27"/>
  <c r="X168" i="27"/>
  <c r="AJ152" i="27"/>
  <c r="V240" i="38"/>
  <c r="V234" i="27"/>
  <c r="V237" i="38"/>
  <c r="W232" i="38"/>
  <c r="AD224" i="38"/>
  <c r="AE242" i="38"/>
  <c r="AE243" i="38" s="1"/>
  <c r="AE244" i="38" s="1"/>
  <c r="AE245" i="38" s="1"/>
  <c r="AE246" i="38" s="1"/>
  <c r="AE247" i="38" s="1"/>
  <c r="X168" i="38"/>
  <c r="AB167" i="38"/>
  <c r="AA168" i="38"/>
  <c r="E168" i="38" s="1"/>
  <c r="H168" i="38" s="1"/>
  <c r="Y167" i="38"/>
  <c r="Z167" i="38" s="1"/>
  <c r="V239" i="27"/>
  <c r="AE207" i="27"/>
  <c r="W249" i="27"/>
  <c r="AD221" i="27"/>
  <c r="AB166" i="38"/>
  <c r="AG153" i="37"/>
  <c r="AH153" i="37" s="1"/>
  <c r="AF154" i="37"/>
  <c r="AE230" i="37"/>
  <c r="V238" i="37"/>
  <c r="V243" i="37"/>
  <c r="AD223" i="37"/>
  <c r="AD222" i="37"/>
  <c r="W239" i="37"/>
  <c r="BH158" i="38"/>
  <c r="BQ157" i="38"/>
  <c r="BR157" i="38" s="1"/>
  <c r="BI157" i="38"/>
  <c r="BJ157" i="38" s="1"/>
  <c r="BM157" i="38"/>
  <c r="BN157" i="38" s="1"/>
  <c r="CB158" i="38"/>
  <c r="BP158" i="38"/>
  <c r="CB150" i="27"/>
  <c r="BH150" i="27"/>
  <c r="BP150" i="27"/>
  <c r="BI153" i="37"/>
  <c r="BJ153" i="37" s="1"/>
  <c r="BI154" i="37"/>
  <c r="BJ154" i="37" s="1"/>
  <c r="BQ154" i="37"/>
  <c r="BR154" i="37" s="1"/>
  <c r="BM153" i="37"/>
  <c r="BN153" i="37" s="1"/>
  <c r="BQ153" i="37"/>
  <c r="BR153" i="37" s="1"/>
  <c r="BE153" i="37"/>
  <c r="BF86" i="37" s="1"/>
  <c r="BF85" i="37"/>
  <c r="BM154" i="37"/>
  <c r="BN154" i="37" s="1"/>
  <c r="L167" i="34"/>
  <c r="AS159" i="38"/>
  <c r="L166" i="27"/>
  <c r="K152" i="27"/>
  <c r="AT152" i="27" s="1"/>
  <c r="AS152" i="27"/>
  <c r="T151" i="27"/>
  <c r="K160" i="38"/>
  <c r="AT160" i="38" s="1"/>
  <c r="AS160" i="38"/>
  <c r="M179" i="27"/>
  <c r="T156" i="37"/>
  <c r="AS157" i="37"/>
  <c r="K157" i="37"/>
  <c r="AT157" i="37" s="1"/>
  <c r="T155" i="37"/>
  <c r="BL155" i="37" s="1"/>
  <c r="M182" i="30"/>
  <c r="M181" i="30"/>
  <c r="M181" i="40"/>
  <c r="M182" i="40"/>
  <c r="AS153" i="34"/>
  <c r="K153" i="34"/>
  <c r="AT153" i="34" s="1"/>
  <c r="AA154" i="22"/>
  <c r="E154" i="22" s="1"/>
  <c r="AB153" i="22"/>
  <c r="V220" i="22"/>
  <c r="V219" i="22"/>
  <c r="K153" i="22"/>
  <c r="X155" i="22"/>
  <c r="Y154" i="22"/>
  <c r="Z154" i="22" s="1"/>
  <c r="W195" i="22"/>
  <c r="L167" i="37" l="1"/>
  <c r="T153" i="40"/>
  <c r="CB153" i="40" s="1"/>
  <c r="BB154" i="37"/>
  <c r="BB153" i="37"/>
  <c r="AJ153" i="39"/>
  <c r="M181" i="38"/>
  <c r="AI157" i="38"/>
  <c r="F171" i="38" s="1"/>
  <c r="I171" i="38" s="1"/>
  <c r="AJ156" i="38"/>
  <c r="AJ154" i="40"/>
  <c r="L170" i="38"/>
  <c r="AR152" i="27"/>
  <c r="K154" i="40"/>
  <c r="AT154" i="40" s="1"/>
  <c r="AJ153" i="34"/>
  <c r="AJ152" i="30"/>
  <c r="AI153" i="30"/>
  <c r="F167" i="30" s="1"/>
  <c r="I167" i="30" s="1"/>
  <c r="AA168" i="37"/>
  <c r="E168" i="37" s="1"/>
  <c r="AW158" i="38"/>
  <c r="AX158" i="38" s="1"/>
  <c r="AZ165" i="38"/>
  <c r="BB165" i="38" s="1"/>
  <c r="BA165" i="38"/>
  <c r="AZ157" i="27"/>
  <c r="BB157" i="27" s="1"/>
  <c r="BA157" i="27"/>
  <c r="AW150" i="27"/>
  <c r="AX150" i="27" s="1"/>
  <c r="AI155" i="40"/>
  <c r="F169" i="40" s="1"/>
  <c r="I169" i="40" s="1"/>
  <c r="BD151" i="27"/>
  <c r="BL151" i="27"/>
  <c r="J182" i="37"/>
  <c r="AB167" i="37"/>
  <c r="L167" i="39"/>
  <c r="AI154" i="39"/>
  <c r="F168" i="39" s="1"/>
  <c r="I168" i="39" s="1"/>
  <c r="BL156" i="37"/>
  <c r="BP156" i="37" s="1"/>
  <c r="H167" i="27"/>
  <c r="CE151" i="27"/>
  <c r="AV151" i="27"/>
  <c r="L168" i="34"/>
  <c r="CE155" i="37"/>
  <c r="AV155" i="37"/>
  <c r="CE156" i="37"/>
  <c r="AV156" i="37"/>
  <c r="M183" i="37"/>
  <c r="K156" i="39"/>
  <c r="AT156" i="39" s="1"/>
  <c r="AG155" i="40"/>
  <c r="AH155" i="40" s="1"/>
  <c r="AF156" i="40"/>
  <c r="AI156" i="40"/>
  <c r="F170" i="40" s="1"/>
  <c r="I170" i="40" s="1"/>
  <c r="AJ155" i="40"/>
  <c r="AG154" i="34"/>
  <c r="AH154" i="34" s="1"/>
  <c r="AF155" i="34"/>
  <c r="AI155" i="34"/>
  <c r="F169" i="34" s="1"/>
  <c r="I169" i="34" s="1"/>
  <c r="AO153" i="27"/>
  <c r="AP153" i="27" s="1"/>
  <c r="AN154" i="27"/>
  <c r="AQ154" i="27"/>
  <c r="G182" i="27" s="1"/>
  <c r="J182" i="27" s="1"/>
  <c r="AR153" i="27"/>
  <c r="AO154" i="38"/>
  <c r="AP154" i="38" s="1"/>
  <c r="AN155" i="38"/>
  <c r="AQ155" i="38"/>
  <c r="G183" i="38" s="1"/>
  <c r="J182" i="38"/>
  <c r="M182" i="38"/>
  <c r="AF154" i="30"/>
  <c r="AG153" i="30"/>
  <c r="AH153" i="30" s="1"/>
  <c r="AG154" i="39"/>
  <c r="AH154" i="39" s="1"/>
  <c r="AF155" i="39"/>
  <c r="AA153" i="30"/>
  <c r="E153" i="30" s="1"/>
  <c r="H153" i="30" s="1"/>
  <c r="I166" i="30"/>
  <c r="L166" i="30"/>
  <c r="AO155" i="37"/>
  <c r="AP155" i="37" s="1"/>
  <c r="AN156" i="37"/>
  <c r="H157" i="39"/>
  <c r="AS157" i="39" s="1"/>
  <c r="K154" i="34"/>
  <c r="AT154" i="34" s="1"/>
  <c r="H154" i="34"/>
  <c r="AS154" i="34" s="1"/>
  <c r="Y155" i="40"/>
  <c r="Z155" i="40" s="1"/>
  <c r="X156" i="40"/>
  <c r="X156" i="34"/>
  <c r="Y155" i="34"/>
  <c r="Z155" i="34" s="1"/>
  <c r="AB155" i="34"/>
  <c r="AA155" i="40"/>
  <c r="E155" i="40" s="1"/>
  <c r="AB154" i="34"/>
  <c r="AI154" i="27"/>
  <c r="F168" i="27" s="1"/>
  <c r="AJ153" i="27"/>
  <c r="K157" i="39"/>
  <c r="AT157" i="39" s="1"/>
  <c r="V227" i="30"/>
  <c r="AS155" i="39"/>
  <c r="T155" i="39"/>
  <c r="V222" i="30"/>
  <c r="V230" i="39"/>
  <c r="W230" i="39"/>
  <c r="X154" i="30"/>
  <c r="Y153" i="30"/>
  <c r="Z153" i="30" s="1"/>
  <c r="CB150" i="30"/>
  <c r="BP150" i="30"/>
  <c r="BQ150" i="30" s="1"/>
  <c r="BR150" i="30" s="1"/>
  <c r="BN87" i="30"/>
  <c r="V229" i="39"/>
  <c r="AS151" i="30"/>
  <c r="T151" i="30"/>
  <c r="Y157" i="39"/>
  <c r="Z157" i="39" s="1"/>
  <c r="AA158" i="39"/>
  <c r="E158" i="39" s="1"/>
  <c r="X158" i="39"/>
  <c r="K152" i="30"/>
  <c r="AT152" i="30" s="1"/>
  <c r="W209" i="30"/>
  <c r="W210" i="30" s="1"/>
  <c r="AB152" i="30"/>
  <c r="AS156" i="39"/>
  <c r="W182" i="40"/>
  <c r="V248" i="40"/>
  <c r="BQ152" i="40"/>
  <c r="BR152" i="40" s="1"/>
  <c r="BP153" i="40"/>
  <c r="W184" i="34"/>
  <c r="V250" i="34"/>
  <c r="BQ152" i="34"/>
  <c r="BR152" i="34" s="1"/>
  <c r="BQ151" i="34"/>
  <c r="BR151" i="34" s="1"/>
  <c r="AJ153" i="37"/>
  <c r="X169" i="37"/>
  <c r="Y168" i="37"/>
  <c r="Z168" i="37" s="1"/>
  <c r="AI154" i="37"/>
  <c r="F168" i="37" s="1"/>
  <c r="T159" i="38"/>
  <c r="BL159" i="38" s="1"/>
  <c r="AE208" i="27"/>
  <c r="W233" i="38"/>
  <c r="X169" i="38"/>
  <c r="Y168" i="38"/>
  <c r="Z168" i="38" s="1"/>
  <c r="AD223" i="27"/>
  <c r="V241" i="27"/>
  <c r="AE248" i="38"/>
  <c r="V239" i="38"/>
  <c r="Y168" i="27"/>
  <c r="Z168" i="27" s="1"/>
  <c r="AB168" i="27"/>
  <c r="AA169" i="27"/>
  <c r="E169" i="27" s="1"/>
  <c r="X169" i="27"/>
  <c r="AD222" i="27"/>
  <c r="AD227" i="38"/>
  <c r="AG154" i="27"/>
  <c r="AH154" i="27" s="1"/>
  <c r="AF155" i="27"/>
  <c r="V242" i="38"/>
  <c r="AD226" i="38"/>
  <c r="V236" i="27"/>
  <c r="W250" i="27"/>
  <c r="AG157" i="38"/>
  <c r="AH157" i="38" s="1"/>
  <c r="AJ157" i="38"/>
  <c r="AI158" i="38"/>
  <c r="F172" i="38" s="1"/>
  <c r="I172" i="38" s="1"/>
  <c r="AF158" i="38"/>
  <c r="W240" i="37"/>
  <c r="AG154" i="37"/>
  <c r="AH154" i="37" s="1"/>
  <c r="AJ154" i="37"/>
  <c r="AF155" i="37"/>
  <c r="AD224" i="37"/>
  <c r="V245" i="37"/>
  <c r="V240" i="37"/>
  <c r="AE231" i="37"/>
  <c r="AE232" i="37" s="1"/>
  <c r="AD225" i="37"/>
  <c r="BQ158" i="38"/>
  <c r="BR158" i="38" s="1"/>
  <c r="BI158" i="38"/>
  <c r="BJ158" i="38" s="1"/>
  <c r="BM158" i="38"/>
  <c r="BN158" i="38" s="1"/>
  <c r="CB151" i="27"/>
  <c r="BH151" i="27"/>
  <c r="BP151" i="27"/>
  <c r="AS153" i="27"/>
  <c r="BQ150" i="27"/>
  <c r="BR150" i="27" s="1"/>
  <c r="BI150" i="27"/>
  <c r="BJ150" i="27" s="1"/>
  <c r="BM150" i="27"/>
  <c r="BN150" i="27" s="1"/>
  <c r="BE150" i="27"/>
  <c r="BF150" i="27" s="1"/>
  <c r="BF153" i="37"/>
  <c r="CB155" i="37"/>
  <c r="BP155" i="37"/>
  <c r="BH156" i="37"/>
  <c r="BH155" i="37"/>
  <c r="CB156" i="37"/>
  <c r="M185" i="39"/>
  <c r="L167" i="27"/>
  <c r="K153" i="27"/>
  <c r="AT153" i="27" s="1"/>
  <c r="K161" i="38"/>
  <c r="AT161" i="38" s="1"/>
  <c r="AS161" i="38"/>
  <c r="AS154" i="27"/>
  <c r="K154" i="27"/>
  <c r="AT154" i="27" s="1"/>
  <c r="T160" i="38"/>
  <c r="T152" i="27"/>
  <c r="M180" i="27"/>
  <c r="AS158" i="37"/>
  <c r="K158" i="37"/>
  <c r="AT158" i="37" s="1"/>
  <c r="T157" i="37"/>
  <c r="BL157" i="37" s="1"/>
  <c r="AS155" i="34"/>
  <c r="K155" i="34"/>
  <c r="AT155" i="34" s="1"/>
  <c r="T153" i="34"/>
  <c r="M181" i="34"/>
  <c r="M183" i="40"/>
  <c r="M182" i="34"/>
  <c r="K154" i="22"/>
  <c r="V221" i="22"/>
  <c r="V222" i="22"/>
  <c r="AB154" i="22"/>
  <c r="AA155" i="22"/>
  <c r="E155" i="22" s="1"/>
  <c r="X156" i="22"/>
  <c r="Y155" i="22"/>
  <c r="Z155" i="22" s="1"/>
  <c r="W196" i="22"/>
  <c r="AZ156" i="37" l="1"/>
  <c r="AZ155" i="37"/>
  <c r="L171" i="38"/>
  <c r="L169" i="40"/>
  <c r="T154" i="40"/>
  <c r="BP154" i="40" s="1"/>
  <c r="L167" i="30"/>
  <c r="T154" i="34"/>
  <c r="CB154" i="34" s="1"/>
  <c r="AB155" i="40"/>
  <c r="AR154" i="38"/>
  <c r="AJ154" i="39"/>
  <c r="AJ153" i="30"/>
  <c r="AI154" i="30"/>
  <c r="F168" i="30" s="1"/>
  <c r="I168" i="30" s="1"/>
  <c r="AI155" i="27"/>
  <c r="F169" i="27" s="1"/>
  <c r="I169" i="27" s="1"/>
  <c r="AA156" i="40"/>
  <c r="E156" i="40" s="1"/>
  <c r="H156" i="40" s="1"/>
  <c r="AS156" i="40" s="1"/>
  <c r="BD152" i="27"/>
  <c r="BL152" i="27"/>
  <c r="BL160" i="38"/>
  <c r="AW151" i="27"/>
  <c r="AX151" i="27" s="1"/>
  <c r="AZ158" i="27"/>
  <c r="BB158" i="27" s="1"/>
  <c r="BA158" i="27"/>
  <c r="AJ154" i="34"/>
  <c r="AI155" i="39"/>
  <c r="F169" i="39" s="1"/>
  <c r="L169" i="39" s="1"/>
  <c r="AW155" i="37"/>
  <c r="AX155" i="37" s="1"/>
  <c r="AW156" i="37"/>
  <c r="AX156" i="37" s="1"/>
  <c r="L168" i="39"/>
  <c r="T156" i="39"/>
  <c r="CB156" i="39" s="1"/>
  <c r="AR155" i="37"/>
  <c r="AQ156" i="37"/>
  <c r="G184" i="37" s="1"/>
  <c r="J184" i="37" s="1"/>
  <c r="L169" i="34"/>
  <c r="CE160" i="38"/>
  <c r="AV160" i="38"/>
  <c r="BH152" i="27"/>
  <c r="BI152" i="27" s="1"/>
  <c r="CE152" i="27"/>
  <c r="AV152" i="27"/>
  <c r="CB159" i="38"/>
  <c r="CE159" i="38"/>
  <c r="AV159" i="38"/>
  <c r="BH157" i="37"/>
  <c r="BI157" i="37" s="1"/>
  <c r="CE157" i="37"/>
  <c r="AV157" i="37"/>
  <c r="AF156" i="34"/>
  <c r="AG155" i="34"/>
  <c r="AH155" i="34" s="1"/>
  <c r="AI156" i="34"/>
  <c r="F170" i="34" s="1"/>
  <c r="I170" i="34" s="1"/>
  <c r="AJ155" i="34"/>
  <c r="AG156" i="40"/>
  <c r="AH156" i="40" s="1"/>
  <c r="AI157" i="40"/>
  <c r="F171" i="40" s="1"/>
  <c r="I171" i="40" s="1"/>
  <c r="AF157" i="40"/>
  <c r="AJ156" i="40"/>
  <c r="J183" i="38"/>
  <c r="M183" i="38"/>
  <c r="AQ156" i="38"/>
  <c r="G184" i="38" s="1"/>
  <c r="AN156" i="38"/>
  <c r="AO155" i="38"/>
  <c r="AP155" i="38" s="1"/>
  <c r="AR155" i="38"/>
  <c r="AO154" i="27"/>
  <c r="AP154" i="27" s="1"/>
  <c r="AN155" i="27"/>
  <c r="AB153" i="30"/>
  <c r="AG155" i="39"/>
  <c r="AH155" i="39" s="1"/>
  <c r="AF156" i="39"/>
  <c r="K153" i="30"/>
  <c r="AT153" i="30" s="1"/>
  <c r="AF155" i="30"/>
  <c r="AG154" i="30"/>
  <c r="AH154" i="30" s="1"/>
  <c r="AO156" i="37"/>
  <c r="AP156" i="37" s="1"/>
  <c r="AN157" i="37"/>
  <c r="AQ157" i="37"/>
  <c r="G185" i="37" s="1"/>
  <c r="AR156" i="37"/>
  <c r="L168" i="27"/>
  <c r="I168" i="27"/>
  <c r="H168" i="27" s="1"/>
  <c r="K155" i="40"/>
  <c r="AT155" i="40" s="1"/>
  <c r="H155" i="40"/>
  <c r="AS155" i="40" s="1"/>
  <c r="T157" i="39"/>
  <c r="CB157" i="39" s="1"/>
  <c r="L168" i="37"/>
  <c r="I168" i="37"/>
  <c r="H168" i="37" s="1"/>
  <c r="K158" i="39"/>
  <c r="AT158" i="39" s="1"/>
  <c r="H158" i="39"/>
  <c r="AS158" i="39" s="1"/>
  <c r="BP159" i="38"/>
  <c r="BQ159" i="38" s="1"/>
  <c r="BR159" i="38" s="1"/>
  <c r="BM159" i="38"/>
  <c r="BN159" i="38" s="1"/>
  <c r="BH159" i="38"/>
  <c r="BI159" i="38" s="1"/>
  <c r="BJ159" i="38" s="1"/>
  <c r="X157" i="34"/>
  <c r="Y156" i="34"/>
  <c r="Z156" i="34" s="1"/>
  <c r="AA156" i="34"/>
  <c r="E156" i="34" s="1"/>
  <c r="H156" i="34" s="1"/>
  <c r="AS156" i="34" s="1"/>
  <c r="X157" i="40"/>
  <c r="AB156" i="40"/>
  <c r="Y156" i="40"/>
  <c r="Z156" i="40" s="1"/>
  <c r="AJ154" i="27"/>
  <c r="Y158" i="39"/>
  <c r="Z158" i="39" s="1"/>
  <c r="AA159" i="39"/>
  <c r="E159" i="39" s="1"/>
  <c r="H159" i="39" s="1"/>
  <c r="AB158" i="39"/>
  <c r="X159" i="39"/>
  <c r="AB157" i="39"/>
  <c r="X155" i="30"/>
  <c r="Y154" i="30"/>
  <c r="Z154" i="30" s="1"/>
  <c r="V229" i="30"/>
  <c r="AA154" i="30"/>
  <c r="E154" i="30" s="1"/>
  <c r="H154" i="30" s="1"/>
  <c r="V224" i="30"/>
  <c r="W211" i="30"/>
  <c r="W212" i="30" s="1"/>
  <c r="CB151" i="30"/>
  <c r="W231" i="39"/>
  <c r="BN88" i="30"/>
  <c r="AS153" i="30"/>
  <c r="V231" i="39"/>
  <c r="BP151" i="30"/>
  <c r="BQ151" i="30" s="1"/>
  <c r="BR151" i="30" s="1"/>
  <c r="V232" i="39"/>
  <c r="AS152" i="30"/>
  <c r="T152" i="30"/>
  <c r="CB152" i="30" s="1"/>
  <c r="CB155" i="39"/>
  <c r="BP155" i="39"/>
  <c r="AA169" i="37"/>
  <c r="E169" i="37" s="1"/>
  <c r="AB168" i="37"/>
  <c r="AI155" i="37"/>
  <c r="F169" i="37" s="1"/>
  <c r="W183" i="40"/>
  <c r="V250" i="40"/>
  <c r="BQ154" i="40"/>
  <c r="BQ153" i="40"/>
  <c r="BR153" i="40" s="1"/>
  <c r="W185" i="34"/>
  <c r="BF87" i="37"/>
  <c r="CB153" i="34"/>
  <c r="BP153" i="34"/>
  <c r="BP154" i="34"/>
  <c r="Y169" i="37"/>
  <c r="Z169" i="37" s="1"/>
  <c r="X170" i="37"/>
  <c r="AB169" i="37"/>
  <c r="AD225" i="27"/>
  <c r="AB168" i="38"/>
  <c r="AF156" i="27"/>
  <c r="AG155" i="27"/>
  <c r="AH155" i="27" s="1"/>
  <c r="AA169" i="38"/>
  <c r="E169" i="38" s="1"/>
  <c r="H169" i="38" s="1"/>
  <c r="AD224" i="27"/>
  <c r="V238" i="27"/>
  <c r="AG158" i="38"/>
  <c r="AH158" i="38" s="1"/>
  <c r="AF159" i="38"/>
  <c r="V244" i="38"/>
  <c r="AD229" i="38"/>
  <c r="Y169" i="27"/>
  <c r="Z169" i="27" s="1"/>
  <c r="X170" i="27"/>
  <c r="AE249" i="38"/>
  <c r="W234" i="38"/>
  <c r="Y169" i="38"/>
  <c r="Z169" i="38" s="1"/>
  <c r="X170" i="38"/>
  <c r="L172" i="38"/>
  <c r="AD228" i="38"/>
  <c r="V243" i="27"/>
  <c r="AE209" i="27"/>
  <c r="V241" i="38"/>
  <c r="AD227" i="37"/>
  <c r="V247" i="37"/>
  <c r="AG155" i="37"/>
  <c r="AH155" i="37" s="1"/>
  <c r="AF156" i="37"/>
  <c r="V242" i="37"/>
  <c r="AD226" i="37"/>
  <c r="AE233" i="37"/>
  <c r="AE234" i="37" s="1"/>
  <c r="W241" i="37"/>
  <c r="CB160" i="38"/>
  <c r="BP160" i="38"/>
  <c r="BH160" i="38"/>
  <c r="BQ151" i="27"/>
  <c r="BR151" i="27" s="1"/>
  <c r="BI151" i="27"/>
  <c r="BJ151" i="27" s="1"/>
  <c r="BM151" i="27"/>
  <c r="BN151" i="27" s="1"/>
  <c r="T153" i="27"/>
  <c r="BE151" i="27"/>
  <c r="BF151" i="27" s="1"/>
  <c r="CB152" i="27"/>
  <c r="BP152" i="27"/>
  <c r="M181" i="27"/>
  <c r="CB157" i="37"/>
  <c r="BI155" i="37"/>
  <c r="BJ155" i="37" s="1"/>
  <c r="BP157" i="37"/>
  <c r="BQ155" i="37"/>
  <c r="BR155" i="37" s="1"/>
  <c r="BM156" i="37"/>
  <c r="BN156" i="37" s="1"/>
  <c r="BI156" i="37"/>
  <c r="BJ156" i="37" s="1"/>
  <c r="BM155" i="37"/>
  <c r="BN155" i="37" s="1"/>
  <c r="BQ156" i="37"/>
  <c r="BR156" i="37" s="1"/>
  <c r="L170" i="40"/>
  <c r="T154" i="27"/>
  <c r="AS162" i="38"/>
  <c r="K162" i="38"/>
  <c r="AT162" i="38" s="1"/>
  <c r="M182" i="27"/>
  <c r="AS155" i="27"/>
  <c r="K155" i="27"/>
  <c r="AT155" i="27" s="1"/>
  <c r="T161" i="38"/>
  <c r="BL161" i="38" s="1"/>
  <c r="T158" i="37"/>
  <c r="BL158" i="37" s="1"/>
  <c r="M187" i="39"/>
  <c r="M183" i="30"/>
  <c r="T155" i="34"/>
  <c r="CB155" i="34" s="1"/>
  <c r="M183" i="34"/>
  <c r="M184" i="40"/>
  <c r="M186" i="39"/>
  <c r="AA156" i="22"/>
  <c r="E156" i="22" s="1"/>
  <c r="AB155" i="22"/>
  <c r="V224" i="22"/>
  <c r="V223" i="22"/>
  <c r="X157" i="22"/>
  <c r="Y156" i="22"/>
  <c r="Z156" i="22" s="1"/>
  <c r="K155" i="22"/>
  <c r="W197" i="22"/>
  <c r="AZ157" i="37" l="1"/>
  <c r="AA170" i="37"/>
  <c r="E170" i="37" s="1"/>
  <c r="BA155" i="37"/>
  <c r="BB155" i="37" s="1"/>
  <c r="BA156" i="37"/>
  <c r="BB156" i="37" s="1"/>
  <c r="AJ155" i="39"/>
  <c r="AI156" i="39"/>
  <c r="F170" i="39" s="1"/>
  <c r="I170" i="39" s="1"/>
  <c r="BR154" i="40"/>
  <c r="CB154" i="40"/>
  <c r="K156" i="40"/>
  <c r="AT156" i="40" s="1"/>
  <c r="H169" i="27"/>
  <c r="AR154" i="27"/>
  <c r="AA157" i="40"/>
  <c r="E157" i="40" s="1"/>
  <c r="H157" i="40" s="1"/>
  <c r="AS157" i="40" s="1"/>
  <c r="AJ154" i="30"/>
  <c r="L168" i="30"/>
  <c r="I169" i="39"/>
  <c r="L169" i="27"/>
  <c r="AZ166" i="38"/>
  <c r="BB166" i="38" s="1"/>
  <c r="BA166" i="38"/>
  <c r="AW159" i="38"/>
  <c r="AX159" i="38" s="1"/>
  <c r="BL154" i="27"/>
  <c r="AW152" i="27"/>
  <c r="AX152" i="27" s="1"/>
  <c r="BA159" i="27"/>
  <c r="AZ159" i="27"/>
  <c r="BB159" i="27" s="1"/>
  <c r="BD153" i="27"/>
  <c r="BL153" i="27"/>
  <c r="AZ167" i="38"/>
  <c r="BB167" i="38" s="1"/>
  <c r="BA167" i="38"/>
  <c r="AW160" i="38"/>
  <c r="AX160" i="38" s="1"/>
  <c r="AQ155" i="27"/>
  <c r="G183" i="27" s="1"/>
  <c r="J183" i="27" s="1"/>
  <c r="AA170" i="38"/>
  <c r="E170" i="38" s="1"/>
  <c r="H170" i="38" s="1"/>
  <c r="AB169" i="38"/>
  <c r="M184" i="37"/>
  <c r="AW157" i="37"/>
  <c r="AX157" i="37" s="1"/>
  <c r="AB154" i="30"/>
  <c r="BJ152" i="27"/>
  <c r="L170" i="34"/>
  <c r="K156" i="34"/>
  <c r="AT156" i="34" s="1"/>
  <c r="BJ157" i="37"/>
  <c r="CE153" i="27"/>
  <c r="AV153" i="27"/>
  <c r="BP161" i="38"/>
  <c r="BQ161" i="38" s="1"/>
  <c r="CE161" i="38"/>
  <c r="AV161" i="38"/>
  <c r="CE154" i="27"/>
  <c r="AV154" i="27"/>
  <c r="BH158" i="37"/>
  <c r="BI158" i="37" s="1"/>
  <c r="CE158" i="37"/>
  <c r="AV158" i="37"/>
  <c r="T153" i="30"/>
  <c r="CB153" i="30" s="1"/>
  <c r="J185" i="37"/>
  <c r="M185" i="37"/>
  <c r="T155" i="40"/>
  <c r="CB155" i="40" s="1"/>
  <c r="AG157" i="40"/>
  <c r="AH157" i="40" s="1"/>
  <c r="AI158" i="40"/>
  <c r="F172" i="40" s="1"/>
  <c r="I172" i="40" s="1"/>
  <c r="AF158" i="40"/>
  <c r="AJ157" i="40"/>
  <c r="AB156" i="34"/>
  <c r="AA157" i="34"/>
  <c r="E157" i="34" s="1"/>
  <c r="H157" i="34" s="1"/>
  <c r="AG156" i="34"/>
  <c r="AH156" i="34" s="1"/>
  <c r="AF157" i="34"/>
  <c r="AJ156" i="34"/>
  <c r="AI156" i="27"/>
  <c r="F170" i="27" s="1"/>
  <c r="I170" i="27" s="1"/>
  <c r="AO155" i="27"/>
  <c r="AP155" i="27" s="1"/>
  <c r="AN156" i="27"/>
  <c r="AQ156" i="27"/>
  <c r="G184" i="27" s="1"/>
  <c r="J184" i="27" s="1"/>
  <c r="AR155" i="27"/>
  <c r="AO156" i="38"/>
  <c r="AP156" i="38" s="1"/>
  <c r="AN157" i="38"/>
  <c r="AQ157" i="38"/>
  <c r="G185" i="38" s="1"/>
  <c r="AR156" i="38"/>
  <c r="J184" i="38"/>
  <c r="M184" i="38"/>
  <c r="AA155" i="30"/>
  <c r="E155" i="30" s="1"/>
  <c r="H155" i="30" s="1"/>
  <c r="AI155" i="30"/>
  <c r="F169" i="30" s="1"/>
  <c r="K159" i="39"/>
  <c r="AT159" i="39" s="1"/>
  <c r="AF156" i="30"/>
  <c r="AG155" i="30"/>
  <c r="AH155" i="30" s="1"/>
  <c r="AG156" i="39"/>
  <c r="AH156" i="39" s="1"/>
  <c r="AI157" i="39"/>
  <c r="F171" i="39" s="1"/>
  <c r="AF157" i="39"/>
  <c r="AJ156" i="39"/>
  <c r="T158" i="39"/>
  <c r="CB158" i="39" s="1"/>
  <c r="AO157" i="37"/>
  <c r="AP157" i="37" s="1"/>
  <c r="AN158" i="37"/>
  <c r="AR157" i="37"/>
  <c r="L169" i="37"/>
  <c r="I169" i="37"/>
  <c r="H169" i="37" s="1"/>
  <c r="BF88" i="37"/>
  <c r="BP152" i="30"/>
  <c r="BQ152" i="30" s="1"/>
  <c r="BR152" i="30" s="1"/>
  <c r="BP154" i="27"/>
  <c r="BQ154" i="27" s="1"/>
  <c r="BR154" i="27" s="1"/>
  <c r="AB157" i="40"/>
  <c r="X158" i="40"/>
  <c r="Y157" i="40"/>
  <c r="Z157" i="40" s="1"/>
  <c r="X158" i="34"/>
  <c r="Y157" i="34"/>
  <c r="Z157" i="34" s="1"/>
  <c r="AB157" i="34"/>
  <c r="AA158" i="34"/>
  <c r="E158" i="34" s="1"/>
  <c r="H158" i="34" s="1"/>
  <c r="AI159" i="38"/>
  <c r="F173" i="38" s="1"/>
  <c r="AJ158" i="38"/>
  <c r="AJ155" i="27"/>
  <c r="BR85" i="39"/>
  <c r="BQ155" i="39"/>
  <c r="Y155" i="30"/>
  <c r="Z155" i="30" s="1"/>
  <c r="AB155" i="30"/>
  <c r="X156" i="30"/>
  <c r="K154" i="30"/>
  <c r="AT154" i="30" s="1"/>
  <c r="V233" i="39"/>
  <c r="W232" i="39"/>
  <c r="W233" i="39" s="1"/>
  <c r="V231" i="30"/>
  <c r="W213" i="30"/>
  <c r="W214" i="30" s="1"/>
  <c r="V226" i="30"/>
  <c r="Y159" i="39"/>
  <c r="Z159" i="39" s="1"/>
  <c r="X160" i="39"/>
  <c r="V234" i="39"/>
  <c r="BP155" i="34"/>
  <c r="BQ155" i="34" s="1"/>
  <c r="BR86" i="34" s="1"/>
  <c r="BP155" i="40"/>
  <c r="W184" i="40"/>
  <c r="W186" i="34"/>
  <c r="BQ154" i="34"/>
  <c r="BR154" i="34" s="1"/>
  <c r="BQ153" i="34"/>
  <c r="BR153" i="34" s="1"/>
  <c r="AS159" i="39"/>
  <c r="Y170" i="37"/>
  <c r="Z170" i="37" s="1"/>
  <c r="X171" i="37"/>
  <c r="AF157" i="27"/>
  <c r="AG156" i="27"/>
  <c r="AH156" i="27" s="1"/>
  <c r="W235" i="38"/>
  <c r="AD231" i="38"/>
  <c r="AE210" i="27"/>
  <c r="AE211" i="27" s="1"/>
  <c r="V245" i="27"/>
  <c r="AD226" i="27"/>
  <c r="AE250" i="38"/>
  <c r="AG159" i="38"/>
  <c r="AH159" i="38" s="1"/>
  <c r="AF160" i="38"/>
  <c r="V243" i="38"/>
  <c r="AD227" i="27"/>
  <c r="Y170" i="27"/>
  <c r="Z170" i="27" s="1"/>
  <c r="AA171" i="27"/>
  <c r="E171" i="27" s="1"/>
  <c r="AB170" i="27"/>
  <c r="X171" i="27"/>
  <c r="V246" i="38"/>
  <c r="AD230" i="38"/>
  <c r="AB170" i="38"/>
  <c r="X171" i="38"/>
  <c r="Y170" i="38"/>
  <c r="Z170" i="38" s="1"/>
  <c r="AB169" i="27"/>
  <c r="V240" i="27"/>
  <c r="AA170" i="27"/>
  <c r="E170" i="27" s="1"/>
  <c r="H170" i="27" s="1"/>
  <c r="W242" i="37"/>
  <c r="V249" i="37"/>
  <c r="AE235" i="37"/>
  <c r="AG156" i="37"/>
  <c r="AH156" i="37" s="1"/>
  <c r="AF157" i="37"/>
  <c r="AJ155" i="37"/>
  <c r="AI156" i="37"/>
  <c r="F170" i="37" s="1"/>
  <c r="I170" i="37" s="1"/>
  <c r="AD229" i="37"/>
  <c r="AD228" i="37"/>
  <c r="V244" i="37"/>
  <c r="BM160" i="38"/>
  <c r="BN160" i="38" s="1"/>
  <c r="BJ85" i="38"/>
  <c r="BI160" i="38"/>
  <c r="BJ86" i="38" s="1"/>
  <c r="CB161" i="38"/>
  <c r="BQ160" i="38"/>
  <c r="BR160" i="38" s="1"/>
  <c r="BQ152" i="27"/>
  <c r="BR152" i="27" s="1"/>
  <c r="CB153" i="27"/>
  <c r="BP153" i="27"/>
  <c r="BH153" i="27"/>
  <c r="BM152" i="27"/>
  <c r="BN152" i="27" s="1"/>
  <c r="BE152" i="27"/>
  <c r="BF152" i="27" s="1"/>
  <c r="CB154" i="27"/>
  <c r="BH154" i="27"/>
  <c r="BM157" i="37"/>
  <c r="BN157" i="37" s="1"/>
  <c r="CB158" i="37"/>
  <c r="BP158" i="37"/>
  <c r="BQ157" i="37"/>
  <c r="BR157" i="37" s="1"/>
  <c r="T155" i="27"/>
  <c r="BL155" i="27" s="1"/>
  <c r="T162" i="38"/>
  <c r="BL162" i="38" s="1"/>
  <c r="AS156" i="27"/>
  <c r="K156" i="27"/>
  <c r="AT156" i="27" s="1"/>
  <c r="K163" i="38"/>
  <c r="AT163" i="38" s="1"/>
  <c r="AS163" i="38"/>
  <c r="AS159" i="37"/>
  <c r="K159" i="37"/>
  <c r="AT159" i="37" s="1"/>
  <c r="K160" i="37"/>
  <c r="AT160" i="37" s="1"/>
  <c r="AS160" i="37"/>
  <c r="M188" i="39"/>
  <c r="M185" i="30"/>
  <c r="M184" i="30"/>
  <c r="M184" i="34"/>
  <c r="M185" i="40"/>
  <c r="V225" i="22"/>
  <c r="V226" i="22"/>
  <c r="K156" i="22"/>
  <c r="AA157" i="22"/>
  <c r="E157" i="22" s="1"/>
  <c r="AB156" i="22"/>
  <c r="Y157" i="22"/>
  <c r="Z157" i="22" s="1"/>
  <c r="X158" i="22"/>
  <c r="W198" i="22"/>
  <c r="AB170" i="37" l="1"/>
  <c r="AZ158" i="37"/>
  <c r="BA158" i="37"/>
  <c r="L170" i="39"/>
  <c r="BA157" i="37"/>
  <c r="BB157" i="37" s="1"/>
  <c r="AA171" i="37"/>
  <c r="E171" i="37" s="1"/>
  <c r="T156" i="40"/>
  <c r="CB156" i="40" s="1"/>
  <c r="K157" i="40"/>
  <c r="AT157" i="40" s="1"/>
  <c r="T156" i="34"/>
  <c r="CB156" i="34" s="1"/>
  <c r="M183" i="27"/>
  <c r="L172" i="40"/>
  <c r="AZ168" i="38"/>
  <c r="BB168" i="38" s="1"/>
  <c r="BA168" i="38"/>
  <c r="AW161" i="38"/>
  <c r="AX161" i="38" s="1"/>
  <c r="AZ161" i="27"/>
  <c r="BB161" i="27" s="1"/>
  <c r="AW154" i="27"/>
  <c r="AX154" i="27" s="1"/>
  <c r="BA161" i="27"/>
  <c r="BA160" i="27"/>
  <c r="AZ160" i="27"/>
  <c r="BB160" i="27" s="1"/>
  <c r="AW153" i="27"/>
  <c r="AX153" i="27" s="1"/>
  <c r="AQ158" i="37"/>
  <c r="G186" i="37" s="1"/>
  <c r="J186" i="37" s="1"/>
  <c r="BP153" i="30"/>
  <c r="BQ153" i="30" s="1"/>
  <c r="BR153" i="30" s="1"/>
  <c r="AW158" i="37"/>
  <c r="AX158" i="37" s="1"/>
  <c r="BJ158" i="37"/>
  <c r="BR161" i="38"/>
  <c r="CE162" i="38"/>
  <c r="AV162" i="38"/>
  <c r="BP155" i="27"/>
  <c r="BQ155" i="27" s="1"/>
  <c r="CE155" i="27"/>
  <c r="AV155" i="27"/>
  <c r="K155" i="30"/>
  <c r="AT155" i="30" s="1"/>
  <c r="T159" i="39"/>
  <c r="CB159" i="39" s="1"/>
  <c r="H170" i="37"/>
  <c r="AA158" i="40"/>
  <c r="E158" i="40" s="1"/>
  <c r="H158" i="40" s="1"/>
  <c r="AS158" i="40" s="1"/>
  <c r="AG157" i="34"/>
  <c r="AH157" i="34" s="1"/>
  <c r="AF158" i="34"/>
  <c r="AI157" i="34"/>
  <c r="F171" i="34" s="1"/>
  <c r="I171" i="34" s="1"/>
  <c r="AG158" i="40"/>
  <c r="AH158" i="40" s="1"/>
  <c r="AF159" i="40"/>
  <c r="J185" i="38"/>
  <c r="M185" i="38"/>
  <c r="AO157" i="38"/>
  <c r="AP157" i="38" s="1"/>
  <c r="AQ158" i="38"/>
  <c r="G186" i="38" s="1"/>
  <c r="AN158" i="38"/>
  <c r="AR157" i="38"/>
  <c r="AN157" i="27"/>
  <c r="AO156" i="27"/>
  <c r="AP156" i="27" s="1"/>
  <c r="AG157" i="39"/>
  <c r="AH157" i="39" s="1"/>
  <c r="AF158" i="39"/>
  <c r="AA156" i="30"/>
  <c r="E156" i="30" s="1"/>
  <c r="H156" i="30" s="1"/>
  <c r="AJ155" i="30"/>
  <c r="AG156" i="30"/>
  <c r="AH156" i="30" s="1"/>
  <c r="AI157" i="30"/>
  <c r="F171" i="30" s="1"/>
  <c r="AF157" i="30"/>
  <c r="AI156" i="30"/>
  <c r="F170" i="30" s="1"/>
  <c r="AB159" i="39"/>
  <c r="AA160" i="39"/>
  <c r="E160" i="39" s="1"/>
  <c r="H160" i="39" s="1"/>
  <c r="AS160" i="39" s="1"/>
  <c r="I169" i="30"/>
  <c r="L169" i="30"/>
  <c r="I171" i="39"/>
  <c r="L171" i="39"/>
  <c r="AO158" i="37"/>
  <c r="AP158" i="37" s="1"/>
  <c r="AN159" i="37"/>
  <c r="AQ159" i="37"/>
  <c r="G187" i="37" s="1"/>
  <c r="AR158" i="37"/>
  <c r="AI157" i="37"/>
  <c r="F171" i="37" s="1"/>
  <c r="I171" i="37" s="1"/>
  <c r="L173" i="38"/>
  <c r="I173" i="38"/>
  <c r="Y158" i="34"/>
  <c r="Z158" i="34" s="1"/>
  <c r="AA159" i="34"/>
  <c r="E159" i="34" s="1"/>
  <c r="H159" i="34" s="1"/>
  <c r="AB158" i="34"/>
  <c r="X159" i="34"/>
  <c r="Y158" i="40"/>
  <c r="Z158" i="40" s="1"/>
  <c r="AA159" i="40"/>
  <c r="E159" i="40" s="1"/>
  <c r="X159" i="40"/>
  <c r="AI157" i="27"/>
  <c r="F171" i="27" s="1"/>
  <c r="I171" i="27" s="1"/>
  <c r="V228" i="30"/>
  <c r="AS154" i="30"/>
  <c r="T154" i="30"/>
  <c r="W234" i="39"/>
  <c r="W235" i="39" s="1"/>
  <c r="X157" i="30"/>
  <c r="Y156" i="30"/>
  <c r="Z156" i="30" s="1"/>
  <c r="W215" i="30"/>
  <c r="W216" i="30" s="1"/>
  <c r="V235" i="39"/>
  <c r="Y160" i="39"/>
  <c r="Z160" i="39" s="1"/>
  <c r="X161" i="39"/>
  <c r="AS155" i="30"/>
  <c r="V233" i="30"/>
  <c r="BR86" i="39"/>
  <c r="BR155" i="39"/>
  <c r="V236" i="39"/>
  <c r="AJ156" i="37"/>
  <c r="BR85" i="34"/>
  <c r="BR85" i="40"/>
  <c r="BQ155" i="40"/>
  <c r="BR86" i="40" s="1"/>
  <c r="W185" i="40"/>
  <c r="BR155" i="34"/>
  <c r="BR87" i="34" s="1"/>
  <c r="F70" i="34" s="1"/>
  <c r="W187" i="34"/>
  <c r="Y171" i="37"/>
  <c r="AA172" i="37" s="1"/>
  <c r="E172" i="37" s="1"/>
  <c r="X172" i="37"/>
  <c r="AE212" i="27"/>
  <c r="AE213" i="27" s="1"/>
  <c r="AE214" i="27" s="1"/>
  <c r="AE215" i="27" s="1"/>
  <c r="Y171" i="27"/>
  <c r="Z171" i="27" s="1"/>
  <c r="X172" i="27"/>
  <c r="V245" i="38"/>
  <c r="W236" i="38"/>
  <c r="W237" i="38" s="1"/>
  <c r="W238" i="38" s="1"/>
  <c r="W239" i="38" s="1"/>
  <c r="W240" i="38" s="1"/>
  <c r="W241" i="38" s="1"/>
  <c r="V248" i="38"/>
  <c r="AD229" i="27"/>
  <c r="AG160" i="38"/>
  <c r="AH160" i="38" s="1"/>
  <c r="AF161" i="38"/>
  <c r="AD232" i="38"/>
  <c r="Y171" i="38"/>
  <c r="Z171" i="38" s="1"/>
  <c r="X172" i="38"/>
  <c r="AJ159" i="38"/>
  <c r="AG157" i="27"/>
  <c r="AH157" i="27" s="1"/>
  <c r="AI158" i="27"/>
  <c r="F172" i="27" s="1"/>
  <c r="I172" i="27" s="1"/>
  <c r="AF158" i="27"/>
  <c r="V242" i="27"/>
  <c r="AD228" i="27"/>
  <c r="AA171" i="38"/>
  <c r="E171" i="38" s="1"/>
  <c r="H171" i="38" s="1"/>
  <c r="AI160" i="38"/>
  <c r="F174" i="38" s="1"/>
  <c r="I174" i="38" s="1"/>
  <c r="V247" i="27"/>
  <c r="AD233" i="38"/>
  <c r="AJ156" i="27"/>
  <c r="V246" i="37"/>
  <c r="AD231" i="37"/>
  <c r="AG157" i="37"/>
  <c r="AH157" i="37" s="1"/>
  <c r="AI158" i="37"/>
  <c r="F172" i="37" s="1"/>
  <c r="I172" i="37" s="1"/>
  <c r="AF158" i="37"/>
  <c r="AE236" i="37"/>
  <c r="AE237" i="37" s="1"/>
  <c r="AE238" i="37" s="1"/>
  <c r="AD230" i="37"/>
  <c r="L170" i="37"/>
  <c r="W243" i="37"/>
  <c r="W244" i="37" s="1"/>
  <c r="BJ160" i="38"/>
  <c r="BJ87" i="38" s="1"/>
  <c r="CB162" i="38"/>
  <c r="BP162" i="38"/>
  <c r="BM161" i="38"/>
  <c r="BN161" i="38" s="1"/>
  <c r="BM153" i="27"/>
  <c r="BN153" i="27" s="1"/>
  <c r="BI154" i="27"/>
  <c r="BJ154" i="27" s="1"/>
  <c r="BE153" i="27"/>
  <c r="BF86" i="27" s="1"/>
  <c r="BF85" i="27"/>
  <c r="CB155" i="27"/>
  <c r="BM154" i="27"/>
  <c r="BN154" i="27" s="1"/>
  <c r="BH155" i="27"/>
  <c r="BI153" i="27"/>
  <c r="BJ153" i="27" s="1"/>
  <c r="BQ153" i="27"/>
  <c r="BR153" i="27" s="1"/>
  <c r="BM158" i="37"/>
  <c r="BN158" i="37" s="1"/>
  <c r="BQ158" i="37"/>
  <c r="BR158" i="37" s="1"/>
  <c r="AS157" i="34"/>
  <c r="L171" i="40"/>
  <c r="K157" i="34"/>
  <c r="AT157" i="34" s="1"/>
  <c r="L170" i="27"/>
  <c r="M184" i="27"/>
  <c r="T156" i="27"/>
  <c r="BL156" i="27" s="1"/>
  <c r="T163" i="38"/>
  <c r="BL163" i="38" s="1"/>
  <c r="T159" i="37"/>
  <c r="BL159" i="37" s="1"/>
  <c r="T160" i="37"/>
  <c r="M185" i="34"/>
  <c r="M186" i="40"/>
  <c r="M189" i="39"/>
  <c r="AA158" i="22"/>
  <c r="E158" i="22" s="1"/>
  <c r="AB157" i="22"/>
  <c r="V228" i="22"/>
  <c r="V227" i="22"/>
  <c r="K157" i="22"/>
  <c r="Y158" i="22"/>
  <c r="Z158" i="22" s="1"/>
  <c r="X159" i="22"/>
  <c r="W199" i="22"/>
  <c r="AJ156" i="30" l="1"/>
  <c r="AA161" i="39"/>
  <c r="E161" i="39" s="1"/>
  <c r="K161" i="39" s="1"/>
  <c r="AT161" i="39" s="1"/>
  <c r="BB158" i="37"/>
  <c r="AJ157" i="37"/>
  <c r="AJ157" i="39"/>
  <c r="AI158" i="39"/>
  <c r="F172" i="39" s="1"/>
  <c r="T157" i="40"/>
  <c r="CB157" i="40" s="1"/>
  <c r="AI159" i="40"/>
  <c r="F173" i="40" s="1"/>
  <c r="I173" i="40" s="1"/>
  <c r="AJ158" i="40"/>
  <c r="M186" i="37"/>
  <c r="H172" i="37"/>
  <c r="AJ157" i="34"/>
  <c r="AI158" i="34"/>
  <c r="F172" i="34" s="1"/>
  <c r="I172" i="34" s="1"/>
  <c r="K158" i="40"/>
  <c r="AT158" i="40" s="1"/>
  <c r="AW155" i="27"/>
  <c r="AX155" i="27" s="1"/>
  <c r="AZ162" i="27"/>
  <c r="BB162" i="27" s="1"/>
  <c r="BA162" i="27"/>
  <c r="AW162" i="38"/>
  <c r="AX162" i="38" s="1"/>
  <c r="BA169" i="38"/>
  <c r="AZ169" i="38"/>
  <c r="BB169" i="38" s="1"/>
  <c r="T155" i="30"/>
  <c r="CB155" i="30" s="1"/>
  <c r="BL160" i="37"/>
  <c r="BP160" i="37" s="1"/>
  <c r="BR155" i="27"/>
  <c r="CE163" i="38"/>
  <c r="AV163" i="38"/>
  <c r="BH156" i="27"/>
  <c r="BI156" i="27" s="1"/>
  <c r="CE156" i="27"/>
  <c r="AV156" i="27"/>
  <c r="K156" i="30"/>
  <c r="AT156" i="30" s="1"/>
  <c r="CE159" i="37"/>
  <c r="AV159" i="37"/>
  <c r="CE160" i="37"/>
  <c r="AV160" i="37"/>
  <c r="J187" i="37"/>
  <c r="M187" i="37"/>
  <c r="H171" i="37"/>
  <c r="AG159" i="40"/>
  <c r="AH159" i="40" s="1"/>
  <c r="AF160" i="40"/>
  <c r="AI160" i="40"/>
  <c r="F174" i="40" s="1"/>
  <c r="I174" i="40" s="1"/>
  <c r="AG158" i="34"/>
  <c r="AH158" i="34" s="1"/>
  <c r="AF159" i="34"/>
  <c r="AJ158" i="34"/>
  <c r="AR156" i="27"/>
  <c r="AO157" i="27"/>
  <c r="AP157" i="27" s="1"/>
  <c r="AN158" i="27"/>
  <c r="AQ158" i="27"/>
  <c r="G186" i="27" s="1"/>
  <c r="J186" i="27" s="1"/>
  <c r="AR157" i="27"/>
  <c r="AQ157" i="27"/>
  <c r="G185" i="27" s="1"/>
  <c r="J185" i="27" s="1"/>
  <c r="AO158" i="38"/>
  <c r="AP158" i="38" s="1"/>
  <c r="AN159" i="38"/>
  <c r="AQ159" i="38"/>
  <c r="G187" i="38" s="1"/>
  <c r="AR158" i="38"/>
  <c r="J186" i="38"/>
  <c r="M186" i="38"/>
  <c r="I171" i="30"/>
  <c r="L171" i="30"/>
  <c r="I172" i="39"/>
  <c r="L172" i="39"/>
  <c r="I170" i="30"/>
  <c r="L170" i="30"/>
  <c r="AG157" i="30"/>
  <c r="AH157" i="30" s="1"/>
  <c r="AF158" i="30"/>
  <c r="AG158" i="39"/>
  <c r="AH158" i="39" s="1"/>
  <c r="AI159" i="39"/>
  <c r="F173" i="39" s="1"/>
  <c r="AF159" i="39"/>
  <c r="K160" i="39"/>
  <c r="AT160" i="39" s="1"/>
  <c r="L171" i="37"/>
  <c r="AO159" i="37"/>
  <c r="AP159" i="37" s="1"/>
  <c r="AN160" i="37"/>
  <c r="H159" i="40"/>
  <c r="AS159" i="40" s="1"/>
  <c r="H171" i="27"/>
  <c r="K159" i="40"/>
  <c r="AT159" i="40" s="1"/>
  <c r="X160" i="40"/>
  <c r="Y159" i="40"/>
  <c r="Z159" i="40" s="1"/>
  <c r="AB158" i="40"/>
  <c r="X160" i="34"/>
  <c r="Y159" i="34"/>
  <c r="Z159" i="34" s="1"/>
  <c r="AA172" i="27"/>
  <c r="E172" i="27" s="1"/>
  <c r="H172" i="27" s="1"/>
  <c r="AB171" i="27"/>
  <c r="V235" i="30"/>
  <c r="AB160" i="39"/>
  <c r="W217" i="30"/>
  <c r="W218" i="30" s="1"/>
  <c r="W219" i="30" s="1"/>
  <c r="W220" i="30" s="1"/>
  <c r="CB154" i="30"/>
  <c r="BP154" i="30"/>
  <c r="BQ154" i="30" s="1"/>
  <c r="BR154" i="30" s="1"/>
  <c r="V238" i="39"/>
  <c r="AS156" i="30"/>
  <c r="Y157" i="30"/>
  <c r="Z157" i="30" s="1"/>
  <c r="AB157" i="30"/>
  <c r="AA158" i="30"/>
  <c r="E158" i="30" s="1"/>
  <c r="H158" i="30" s="1"/>
  <c r="X158" i="30"/>
  <c r="V230" i="30"/>
  <c r="V237" i="39"/>
  <c r="AB156" i="30"/>
  <c r="AA157" i="30"/>
  <c r="E157" i="30" s="1"/>
  <c r="H157" i="30" s="1"/>
  <c r="BR87" i="39"/>
  <c r="F70" i="39" s="1"/>
  <c r="Y161" i="39"/>
  <c r="Z161" i="39" s="1"/>
  <c r="X162" i="39"/>
  <c r="W236" i="39"/>
  <c r="BR88" i="34"/>
  <c r="W186" i="40"/>
  <c r="BR155" i="40"/>
  <c r="W188" i="34"/>
  <c r="Y172" i="37"/>
  <c r="Z172" i="37" s="1"/>
  <c r="X173" i="37"/>
  <c r="AA173" i="37"/>
  <c r="E173" i="37" s="1"/>
  <c r="Z171" i="37"/>
  <c r="AB171" i="37"/>
  <c r="AB171" i="38"/>
  <c r="AG161" i="38"/>
  <c r="AH161" i="38" s="1"/>
  <c r="AF162" i="38"/>
  <c r="AD230" i="27"/>
  <c r="AA173" i="38"/>
  <c r="E173" i="38" s="1"/>
  <c r="H173" i="38" s="1"/>
  <c r="AB172" i="38"/>
  <c r="X173" i="38"/>
  <c r="Y172" i="38"/>
  <c r="Z172" i="38" s="1"/>
  <c r="AI161" i="38"/>
  <c r="F175" i="38" s="1"/>
  <c r="I175" i="38" s="1"/>
  <c r="Y172" i="27"/>
  <c r="Z172" i="27" s="1"/>
  <c r="X173" i="27"/>
  <c r="V249" i="27"/>
  <c r="BJ88" i="38"/>
  <c r="AD234" i="38"/>
  <c r="AD231" i="27"/>
  <c r="W242" i="38"/>
  <c r="W243" i="38" s="1"/>
  <c r="W244" i="38" s="1"/>
  <c r="W245" i="38" s="1"/>
  <c r="AJ157" i="27"/>
  <c r="V247" i="38"/>
  <c r="AE216" i="27"/>
  <c r="AE217" i="27" s="1"/>
  <c r="AD235" i="38"/>
  <c r="L174" i="38"/>
  <c r="V244" i="27"/>
  <c r="AG158" i="27"/>
  <c r="AH158" i="27" s="1"/>
  <c r="AF159" i="27"/>
  <c r="AA172" i="38"/>
  <c r="E172" i="38" s="1"/>
  <c r="H172" i="38" s="1"/>
  <c r="AJ160" i="38"/>
  <c r="V250" i="38"/>
  <c r="AE239" i="37"/>
  <c r="L172" i="37"/>
  <c r="AG158" i="37"/>
  <c r="AH158" i="37" s="1"/>
  <c r="AF159" i="37"/>
  <c r="AD233" i="37"/>
  <c r="W245" i="37"/>
  <c r="W246" i="37" s="1"/>
  <c r="AD232" i="37"/>
  <c r="V248" i="37"/>
  <c r="BQ162" i="38"/>
  <c r="BR162" i="38" s="1"/>
  <c r="BM162" i="38"/>
  <c r="BN162" i="38" s="1"/>
  <c r="CB163" i="38"/>
  <c r="BP163" i="38"/>
  <c r="BM155" i="27"/>
  <c r="BN155" i="27" s="1"/>
  <c r="BP156" i="27"/>
  <c r="BI155" i="27"/>
  <c r="BJ155" i="27" s="1"/>
  <c r="CB156" i="27"/>
  <c r="BF153" i="27"/>
  <c r="CB159" i="37"/>
  <c r="BH159" i="37"/>
  <c r="BP159" i="37"/>
  <c r="BH160" i="37"/>
  <c r="CB160" i="37"/>
  <c r="T157" i="34"/>
  <c r="CB157" i="34" s="1"/>
  <c r="K158" i="34"/>
  <c r="AT158" i="34" s="1"/>
  <c r="L171" i="34"/>
  <c r="L171" i="27"/>
  <c r="K157" i="27"/>
  <c r="AT157" i="27" s="1"/>
  <c r="AS157" i="27"/>
  <c r="AS164" i="38"/>
  <c r="K164" i="38"/>
  <c r="AT164" i="38" s="1"/>
  <c r="K161" i="37"/>
  <c r="AT161" i="37" s="1"/>
  <c r="AS161" i="37"/>
  <c r="K162" i="37"/>
  <c r="AT162" i="37" s="1"/>
  <c r="AS162" i="37"/>
  <c r="M186" i="30"/>
  <c r="AS158" i="34"/>
  <c r="AS159" i="34"/>
  <c r="K159" i="34"/>
  <c r="AT159" i="34" s="1"/>
  <c r="M186" i="34"/>
  <c r="M187" i="40"/>
  <c r="K158" i="22"/>
  <c r="AB158" i="22"/>
  <c r="AA159" i="22"/>
  <c r="V229" i="22"/>
  <c r="V230" i="22"/>
  <c r="X160" i="22"/>
  <c r="Y159" i="22"/>
  <c r="Z159" i="22" s="1"/>
  <c r="W200" i="22"/>
  <c r="H161" i="39" l="1"/>
  <c r="AS161" i="39" s="1"/>
  <c r="AB172" i="37"/>
  <c r="AZ160" i="37"/>
  <c r="AZ159" i="37"/>
  <c r="AJ157" i="30"/>
  <c r="AI158" i="30"/>
  <c r="F172" i="30" s="1"/>
  <c r="L172" i="30" s="1"/>
  <c r="AB161" i="39"/>
  <c r="AA162" i="39"/>
  <c r="E162" i="39" s="1"/>
  <c r="H162" i="39" s="1"/>
  <c r="AS162" i="39" s="1"/>
  <c r="L173" i="40"/>
  <c r="T158" i="40"/>
  <c r="CB158" i="40" s="1"/>
  <c r="T156" i="30"/>
  <c r="CB156" i="30" s="1"/>
  <c r="AJ159" i="40"/>
  <c r="AR159" i="37"/>
  <c r="AQ160" i="37"/>
  <c r="G188" i="37" s="1"/>
  <c r="J188" i="37" s="1"/>
  <c r="BP155" i="30"/>
  <c r="BQ155" i="30" s="1"/>
  <c r="L174" i="40"/>
  <c r="AW163" i="38"/>
  <c r="AX163" i="38" s="1"/>
  <c r="BA170" i="38"/>
  <c r="AZ170" i="38"/>
  <c r="BB170" i="38" s="1"/>
  <c r="AI162" i="38"/>
  <c r="F176" i="38" s="1"/>
  <c r="I176" i="38" s="1"/>
  <c r="AJ161" i="38"/>
  <c r="AW156" i="27"/>
  <c r="AX156" i="27" s="1"/>
  <c r="BA163" i="27"/>
  <c r="AZ163" i="27"/>
  <c r="BB163" i="27" s="1"/>
  <c r="AI159" i="34"/>
  <c r="F173" i="34" s="1"/>
  <c r="I173" i="34" s="1"/>
  <c r="AW160" i="37"/>
  <c r="AX160" i="37" s="1"/>
  <c r="AW159" i="37"/>
  <c r="AX159" i="37" s="1"/>
  <c r="AJ158" i="39"/>
  <c r="BJ156" i="27"/>
  <c r="T159" i="40"/>
  <c r="CB159" i="40" s="1"/>
  <c r="AG159" i="34"/>
  <c r="AH159" i="34" s="1"/>
  <c r="AF160" i="34"/>
  <c r="AI160" i="34"/>
  <c r="F174" i="34" s="1"/>
  <c r="I174" i="34" s="1"/>
  <c r="AJ159" i="34"/>
  <c r="AG160" i="40"/>
  <c r="AH160" i="40" s="1"/>
  <c r="AF161" i="40"/>
  <c r="J187" i="38"/>
  <c r="M187" i="38"/>
  <c r="AO159" i="38"/>
  <c r="AP159" i="38" s="1"/>
  <c r="AQ160" i="38"/>
  <c r="G188" i="38" s="1"/>
  <c r="AN160" i="38"/>
  <c r="AR159" i="38"/>
  <c r="AN159" i="27"/>
  <c r="AO158" i="27"/>
  <c r="AP158" i="27" s="1"/>
  <c r="AG159" i="39"/>
  <c r="AH159" i="39" s="1"/>
  <c r="AI160" i="39"/>
  <c r="F174" i="39" s="1"/>
  <c r="AF160" i="39"/>
  <c r="I173" i="39"/>
  <c r="L173" i="39"/>
  <c r="T160" i="39"/>
  <c r="CB160" i="39" s="1"/>
  <c r="AG158" i="30"/>
  <c r="AH158" i="30" s="1"/>
  <c r="AF159" i="30"/>
  <c r="AO160" i="37"/>
  <c r="AP160" i="37" s="1"/>
  <c r="AN161" i="37"/>
  <c r="AQ161" i="37"/>
  <c r="G189" i="37" s="1"/>
  <c r="AR160" i="37"/>
  <c r="X161" i="34"/>
  <c r="Y160" i="34"/>
  <c r="Z160" i="34" s="1"/>
  <c r="AB159" i="40"/>
  <c r="AA160" i="40"/>
  <c r="E160" i="40" s="1"/>
  <c r="H160" i="40" s="1"/>
  <c r="AB159" i="34"/>
  <c r="Y160" i="40"/>
  <c r="Z160" i="40" s="1"/>
  <c r="X161" i="40"/>
  <c r="AA160" i="34"/>
  <c r="E160" i="34" s="1"/>
  <c r="H160" i="34" s="1"/>
  <c r="AB172" i="27"/>
  <c r="AA173" i="27"/>
  <c r="E173" i="27" s="1"/>
  <c r="W237" i="39"/>
  <c r="W238" i="39" s="1"/>
  <c r="W239" i="39" s="1"/>
  <c r="W240" i="39" s="1"/>
  <c r="W241" i="39" s="1"/>
  <c r="K157" i="30"/>
  <c r="AT157" i="30" s="1"/>
  <c r="W221" i="30"/>
  <c r="V240" i="39"/>
  <c r="V239" i="39"/>
  <c r="X159" i="30"/>
  <c r="Y158" i="30"/>
  <c r="Z158" i="30" s="1"/>
  <c r="V237" i="30"/>
  <c r="Y162" i="39"/>
  <c r="Z162" i="39" s="1"/>
  <c r="X163" i="39"/>
  <c r="K158" i="30"/>
  <c r="AT158" i="30" s="1"/>
  <c r="F71" i="34"/>
  <c r="BR85" i="30"/>
  <c r="BR88" i="39"/>
  <c r="V232" i="30"/>
  <c r="AJ158" i="37"/>
  <c r="BR87" i="40"/>
  <c r="W187" i="40"/>
  <c r="CF105" i="34"/>
  <c r="CF120" i="34"/>
  <c r="CF104" i="34"/>
  <c r="CF101" i="34"/>
  <c r="CF108" i="34"/>
  <c r="CF117" i="34"/>
  <c r="CF119" i="34"/>
  <c r="CF115" i="34"/>
  <c r="CF111" i="34"/>
  <c r="CF113" i="34"/>
  <c r="CF103" i="34"/>
  <c r="CF110" i="34"/>
  <c r="CF102" i="34"/>
  <c r="CF118" i="34"/>
  <c r="CF112" i="34"/>
  <c r="CF114" i="34"/>
  <c r="CF107" i="34"/>
  <c r="CF100" i="34"/>
  <c r="CF109" i="34"/>
  <c r="CF106" i="34"/>
  <c r="CF116" i="34"/>
  <c r="W189" i="34"/>
  <c r="AI159" i="37"/>
  <c r="F173" i="37" s="1"/>
  <c r="I173" i="37" s="1"/>
  <c r="X174" i="37"/>
  <c r="AA174" i="37"/>
  <c r="E174" i="37" s="1"/>
  <c r="AB173" i="37"/>
  <c r="Y173" i="37"/>
  <c r="Z173" i="37" s="1"/>
  <c r="AI159" i="27"/>
  <c r="F173" i="27" s="1"/>
  <c r="I173" i="27" s="1"/>
  <c r="AD233" i="27"/>
  <c r="AB173" i="27"/>
  <c r="Y173" i="27"/>
  <c r="Z173" i="27" s="1"/>
  <c r="X174" i="27"/>
  <c r="L175" i="38"/>
  <c r="AJ158" i="27"/>
  <c r="V249" i="38"/>
  <c r="AD237" i="38"/>
  <c r="AG162" i="38"/>
  <c r="AH162" i="38" s="1"/>
  <c r="AF163" i="38"/>
  <c r="AD236" i="38"/>
  <c r="X174" i="38"/>
  <c r="Y173" i="38"/>
  <c r="Z173" i="38" s="1"/>
  <c r="V246" i="27"/>
  <c r="AG159" i="27"/>
  <c r="AH159" i="27" s="1"/>
  <c r="AF160" i="27"/>
  <c r="W246" i="38"/>
  <c r="W247" i="38" s="1"/>
  <c r="W248" i="38" s="1"/>
  <c r="W249" i="38" s="1"/>
  <c r="W250" i="38" s="1"/>
  <c r="AE218" i="27"/>
  <c r="AD232" i="27"/>
  <c r="W247" i="37"/>
  <c r="W248" i="37" s="1"/>
  <c r="AG159" i="37"/>
  <c r="AH159" i="37" s="1"/>
  <c r="AF160" i="37"/>
  <c r="AD235" i="37"/>
  <c r="E159" i="22"/>
  <c r="K159" i="22" s="1"/>
  <c r="V250" i="37"/>
  <c r="AD234" i="37"/>
  <c r="AE240" i="37"/>
  <c r="AE241" i="37" s="1"/>
  <c r="AE242" i="37" s="1"/>
  <c r="BQ163" i="38"/>
  <c r="BR163" i="38" s="1"/>
  <c r="BM163" i="38"/>
  <c r="BN163" i="38" s="1"/>
  <c r="BF87" i="27"/>
  <c r="BM156" i="27"/>
  <c r="BN156" i="27" s="1"/>
  <c r="BQ156" i="27"/>
  <c r="BR156" i="27" s="1"/>
  <c r="BQ160" i="37"/>
  <c r="BR160" i="37" s="1"/>
  <c r="BJ85" i="37"/>
  <c r="BI160" i="37"/>
  <c r="BJ86" i="37" s="1"/>
  <c r="BQ159" i="37"/>
  <c r="BR159" i="37" s="1"/>
  <c r="BM160" i="37"/>
  <c r="BN160" i="37" s="1"/>
  <c r="BI159" i="37"/>
  <c r="BJ159" i="37" s="1"/>
  <c r="BM159" i="37"/>
  <c r="BN159" i="37" s="1"/>
  <c r="L172" i="34"/>
  <c r="L172" i="27"/>
  <c r="T157" i="27"/>
  <c r="BL157" i="27" s="1"/>
  <c r="K166" i="38"/>
  <c r="AT166" i="38" s="1"/>
  <c r="AS166" i="38"/>
  <c r="M185" i="27"/>
  <c r="AS158" i="27"/>
  <c r="K158" i="27"/>
  <c r="AT158" i="27" s="1"/>
  <c r="K165" i="38"/>
  <c r="AT165" i="38" s="1"/>
  <c r="AS165" i="38"/>
  <c r="T164" i="38"/>
  <c r="BL164" i="38" s="1"/>
  <c r="T161" i="37"/>
  <c r="BL161" i="37" s="1"/>
  <c r="T162" i="37"/>
  <c r="M187" i="30"/>
  <c r="M190" i="39"/>
  <c r="F69" i="34"/>
  <c r="T158" i="34"/>
  <c r="CB158" i="34" s="1"/>
  <c r="M188" i="40"/>
  <c r="T159" i="34"/>
  <c r="CB159" i="34" s="1"/>
  <c r="M187" i="34"/>
  <c r="V232" i="22"/>
  <c r="AA160" i="22"/>
  <c r="E160" i="22" s="1"/>
  <c r="AB159" i="22"/>
  <c r="V231" i="22"/>
  <c r="Y160" i="22"/>
  <c r="Z160" i="22" s="1"/>
  <c r="X161" i="22"/>
  <c r="W201" i="22"/>
  <c r="T161" i="39" l="1"/>
  <c r="CB161" i="39" s="1"/>
  <c r="I172" i="30"/>
  <c r="K162" i="39"/>
  <c r="AT162" i="39" s="1"/>
  <c r="BA159" i="37"/>
  <c r="BB159" i="37" s="1"/>
  <c r="BA160" i="37"/>
  <c r="BB160" i="37" s="1"/>
  <c r="AB162" i="39"/>
  <c r="AJ159" i="39"/>
  <c r="M188" i="37"/>
  <c r="L176" i="38"/>
  <c r="AJ160" i="40"/>
  <c r="AI161" i="40"/>
  <c r="F175" i="40" s="1"/>
  <c r="I175" i="40" s="1"/>
  <c r="L173" i="34"/>
  <c r="BL162" i="37"/>
  <c r="BP162" i="37" s="1"/>
  <c r="AI160" i="37"/>
  <c r="F174" i="37" s="1"/>
  <c r="I174" i="37" s="1"/>
  <c r="CE164" i="38"/>
  <c r="AV164" i="38"/>
  <c r="CE157" i="27"/>
  <c r="AV157" i="27"/>
  <c r="CE162" i="37"/>
  <c r="AV162" i="37"/>
  <c r="CE161" i="37"/>
  <c r="AV161" i="37"/>
  <c r="J189" i="37"/>
  <c r="M189" i="37"/>
  <c r="H173" i="37"/>
  <c r="AF162" i="40"/>
  <c r="AI162" i="40"/>
  <c r="F176" i="40" s="1"/>
  <c r="I176" i="40" s="1"/>
  <c r="AG161" i="40"/>
  <c r="AH161" i="40" s="1"/>
  <c r="AJ161" i="40"/>
  <c r="AF161" i="34"/>
  <c r="AG160" i="34"/>
  <c r="AH160" i="34" s="1"/>
  <c r="AA174" i="27"/>
  <c r="E174" i="27" s="1"/>
  <c r="AR158" i="27"/>
  <c r="AQ159" i="27"/>
  <c r="G187" i="27" s="1"/>
  <c r="J187" i="27" s="1"/>
  <c r="AO159" i="27"/>
  <c r="AP159" i="27" s="1"/>
  <c r="AN160" i="27"/>
  <c r="AR159" i="27"/>
  <c r="AO160" i="38"/>
  <c r="AP160" i="38" s="1"/>
  <c r="AN161" i="38"/>
  <c r="J188" i="38"/>
  <c r="M188" i="38"/>
  <c r="AJ158" i="30"/>
  <c r="AI159" i="30"/>
  <c r="F173" i="30" s="1"/>
  <c r="AF160" i="30"/>
  <c r="AG159" i="30"/>
  <c r="AH159" i="30" s="1"/>
  <c r="AJ159" i="30"/>
  <c r="AG160" i="39"/>
  <c r="AH160" i="39" s="1"/>
  <c r="AF161" i="39"/>
  <c r="AI161" i="39"/>
  <c r="F175" i="39" s="1"/>
  <c r="AJ160" i="39"/>
  <c r="AB158" i="30"/>
  <c r="I174" i="39"/>
  <c r="L174" i="39"/>
  <c r="AO161" i="37"/>
  <c r="AP161" i="37" s="1"/>
  <c r="AN162" i="37"/>
  <c r="H173" i="27"/>
  <c r="F70" i="40"/>
  <c r="O18" i="29" s="1"/>
  <c r="D64" i="29" s="1"/>
  <c r="K160" i="40"/>
  <c r="AT160" i="40" s="1"/>
  <c r="AB160" i="34"/>
  <c r="AA161" i="40"/>
  <c r="E161" i="40" s="1"/>
  <c r="H161" i="40" s="1"/>
  <c r="AA161" i="34"/>
  <c r="E161" i="34" s="1"/>
  <c r="H161" i="34" s="1"/>
  <c r="AB160" i="40"/>
  <c r="X162" i="40"/>
  <c r="Y161" i="40"/>
  <c r="Z161" i="40" s="1"/>
  <c r="X162" i="34"/>
  <c r="Y161" i="34"/>
  <c r="Z161" i="34" s="1"/>
  <c r="AJ162" i="38"/>
  <c r="AB173" i="38"/>
  <c r="AA174" i="38"/>
  <c r="E174" i="38" s="1"/>
  <c r="H174" i="38" s="1"/>
  <c r="AI160" i="27"/>
  <c r="F174" i="27" s="1"/>
  <c r="I174" i="27" s="1"/>
  <c r="X160" i="30"/>
  <c r="Y159" i="30"/>
  <c r="Z159" i="30" s="1"/>
  <c r="V234" i="30"/>
  <c r="BR86" i="30"/>
  <c r="BR155" i="30"/>
  <c r="V241" i="39"/>
  <c r="W222" i="30"/>
  <c r="V239" i="30"/>
  <c r="F69" i="39"/>
  <c r="CF110" i="39"/>
  <c r="CF107" i="39"/>
  <c r="CF102" i="39"/>
  <c r="CF114" i="39"/>
  <c r="CF106" i="39"/>
  <c r="CF113" i="39"/>
  <c r="CF101" i="39"/>
  <c r="CF105" i="39"/>
  <c r="CF112" i="39"/>
  <c r="CF108" i="39"/>
  <c r="CF104" i="39"/>
  <c r="CF103" i="39"/>
  <c r="CF100" i="39"/>
  <c r="CF111" i="39"/>
  <c r="CF109" i="39"/>
  <c r="CF115" i="39"/>
  <c r="CF116" i="39"/>
  <c r="CF117" i="39"/>
  <c r="CF118" i="39"/>
  <c r="CF119" i="39"/>
  <c r="CF120" i="39"/>
  <c r="AS158" i="30"/>
  <c r="T158" i="30"/>
  <c r="CB158" i="30" s="1"/>
  <c r="AS157" i="30"/>
  <c r="T157" i="30"/>
  <c r="CB157" i="30" s="1"/>
  <c r="F71" i="39"/>
  <c r="Y163" i="39"/>
  <c r="Z163" i="39" s="1"/>
  <c r="X164" i="39"/>
  <c r="AA164" i="39"/>
  <c r="E164" i="39" s="1"/>
  <c r="H164" i="39" s="1"/>
  <c r="AS164" i="39" s="1"/>
  <c r="V242" i="39"/>
  <c r="W242" i="39"/>
  <c r="W243" i="39" s="1"/>
  <c r="W244" i="39" s="1"/>
  <c r="W245" i="39" s="1"/>
  <c r="W246" i="39" s="1"/>
  <c r="W247" i="39" s="1"/>
  <c r="W248" i="39" s="1"/>
  <c r="AA163" i="39"/>
  <c r="E163" i="39" s="1"/>
  <c r="H163" i="39" s="1"/>
  <c r="AA159" i="30"/>
  <c r="E159" i="30" s="1"/>
  <c r="H159" i="30" s="1"/>
  <c r="L173" i="37"/>
  <c r="BR88" i="40"/>
  <c r="W188" i="40"/>
  <c r="W190" i="34"/>
  <c r="CF96" i="34"/>
  <c r="Y174" i="37"/>
  <c r="X175" i="37"/>
  <c r="AD234" i="27"/>
  <c r="AG163" i="38"/>
  <c r="AH163" i="38" s="1"/>
  <c r="AJ163" i="38"/>
  <c r="AF164" i="38"/>
  <c r="AI163" i="38"/>
  <c r="F177" i="38" s="1"/>
  <c r="I177" i="38" s="1"/>
  <c r="BF88" i="27"/>
  <c r="V248" i="27"/>
  <c r="Y174" i="38"/>
  <c r="Z174" i="38" s="1"/>
  <c r="AA175" i="38"/>
  <c r="E175" i="38" s="1"/>
  <c r="H175" i="38" s="1"/>
  <c r="AB174" i="38"/>
  <c r="X175" i="38"/>
  <c r="AD235" i="27"/>
  <c r="AE219" i="27"/>
  <c r="AD238" i="38"/>
  <c r="AD239" i="38"/>
  <c r="AF161" i="27"/>
  <c r="AG160" i="27"/>
  <c r="AH160" i="27" s="1"/>
  <c r="AJ159" i="27"/>
  <c r="Y174" i="27"/>
  <c r="Z174" i="27" s="1"/>
  <c r="X175" i="27"/>
  <c r="AE243" i="37"/>
  <c r="W249" i="37"/>
  <c r="AD236" i="37"/>
  <c r="AG160" i="37"/>
  <c r="AH160" i="37" s="1"/>
  <c r="AI161" i="37"/>
  <c r="F175" i="37" s="1"/>
  <c r="I175" i="37" s="1"/>
  <c r="AJ160" i="37"/>
  <c r="AF161" i="37"/>
  <c r="AJ159" i="37"/>
  <c r="AD237" i="37"/>
  <c r="CB164" i="38"/>
  <c r="BP164" i="38"/>
  <c r="CB157" i="27"/>
  <c r="BP157" i="27"/>
  <c r="BH157" i="27"/>
  <c r="CB161" i="37"/>
  <c r="BP161" i="37"/>
  <c r="BJ160" i="37"/>
  <c r="CB162" i="37"/>
  <c r="K160" i="34"/>
  <c r="AT160" i="34" s="1"/>
  <c r="L174" i="34"/>
  <c r="L173" i="27"/>
  <c r="M186" i="27"/>
  <c r="AS167" i="38"/>
  <c r="K167" i="38"/>
  <c r="AT167" i="38" s="1"/>
  <c r="T165" i="38"/>
  <c r="BL165" i="38" s="1"/>
  <c r="K160" i="27"/>
  <c r="AT160" i="27" s="1"/>
  <c r="AS160" i="27"/>
  <c r="AS159" i="27"/>
  <c r="K159" i="27"/>
  <c r="AT159" i="27" s="1"/>
  <c r="T158" i="27"/>
  <c r="BL158" i="27" s="1"/>
  <c r="T166" i="38"/>
  <c r="BL166" i="38" s="1"/>
  <c r="K163" i="37"/>
  <c r="AT163" i="37" s="1"/>
  <c r="AS163" i="37"/>
  <c r="K164" i="37"/>
  <c r="AT164" i="37" s="1"/>
  <c r="AS164" i="37"/>
  <c r="M188" i="30"/>
  <c r="M191" i="39"/>
  <c r="M189" i="40"/>
  <c r="M188" i="34"/>
  <c r="V233" i="22"/>
  <c r="V234" i="22"/>
  <c r="K160" i="22"/>
  <c r="AB160" i="22"/>
  <c r="AA161" i="22"/>
  <c r="E161" i="22" s="1"/>
  <c r="X162" i="22"/>
  <c r="Y161" i="22"/>
  <c r="Z161" i="22" s="1"/>
  <c r="W202" i="22"/>
  <c r="AZ161" i="37" l="1"/>
  <c r="AZ162" i="37"/>
  <c r="BA162" i="37" s="1"/>
  <c r="AB163" i="39"/>
  <c r="T162" i="39"/>
  <c r="CB162" i="39" s="1"/>
  <c r="AI160" i="30"/>
  <c r="F174" i="30" s="1"/>
  <c r="I174" i="30" s="1"/>
  <c r="L174" i="37"/>
  <c r="L175" i="40"/>
  <c r="AQ161" i="38"/>
  <c r="G189" i="38" s="1"/>
  <c r="J189" i="38" s="1"/>
  <c r="AA160" i="30"/>
  <c r="E160" i="30" s="1"/>
  <c r="H160" i="30" s="1"/>
  <c r="AR161" i="37"/>
  <c r="H174" i="37"/>
  <c r="AR160" i="38"/>
  <c r="AI164" i="38"/>
  <c r="F178" i="38" s="1"/>
  <c r="I178" i="38" s="1"/>
  <c r="BA164" i="27"/>
  <c r="AZ164" i="27"/>
  <c r="BB164" i="27" s="1"/>
  <c r="AW157" i="27"/>
  <c r="AX157" i="27" s="1"/>
  <c r="BA171" i="38"/>
  <c r="AW164" i="38"/>
  <c r="AX164" i="38" s="1"/>
  <c r="AZ171" i="38"/>
  <c r="BB171" i="38" s="1"/>
  <c r="AW162" i="37"/>
  <c r="AX162" i="37" s="1"/>
  <c r="AW161" i="37"/>
  <c r="AX161" i="37" s="1"/>
  <c r="AQ162" i="37"/>
  <c r="G190" i="37" s="1"/>
  <c r="J190" i="37" s="1"/>
  <c r="CE166" i="38"/>
  <c r="AV166" i="38"/>
  <c r="CE158" i="27"/>
  <c r="AV158" i="27"/>
  <c r="CE165" i="38"/>
  <c r="AV165" i="38"/>
  <c r="AJ160" i="34"/>
  <c r="AI161" i="34"/>
  <c r="F175" i="34" s="1"/>
  <c r="I175" i="34" s="1"/>
  <c r="AG161" i="34"/>
  <c r="AH161" i="34" s="1"/>
  <c r="AI162" i="34"/>
  <c r="F176" i="34" s="1"/>
  <c r="I176" i="34" s="1"/>
  <c r="AF162" i="34"/>
  <c r="AJ161" i="34"/>
  <c r="AA162" i="34"/>
  <c r="E162" i="34" s="1"/>
  <c r="H162" i="34" s="1"/>
  <c r="AB161" i="34"/>
  <c r="AG162" i="40"/>
  <c r="AH162" i="40" s="1"/>
  <c r="AF163" i="40"/>
  <c r="AI163" i="40"/>
  <c r="F177" i="40" s="1"/>
  <c r="I177" i="40" s="1"/>
  <c r="AO161" i="38"/>
  <c r="AP161" i="38" s="1"/>
  <c r="AQ162" i="38"/>
  <c r="G190" i="38" s="1"/>
  <c r="AN162" i="38"/>
  <c r="AR161" i="38"/>
  <c r="AO160" i="27"/>
  <c r="AP160" i="27" s="1"/>
  <c r="AN161" i="27"/>
  <c r="AQ161" i="27"/>
  <c r="G189" i="27" s="1"/>
  <c r="J189" i="27" s="1"/>
  <c r="L174" i="27"/>
  <c r="AQ160" i="27"/>
  <c r="G188" i="27" s="1"/>
  <c r="J188" i="27" s="1"/>
  <c r="I175" i="39"/>
  <c r="L175" i="39"/>
  <c r="AG161" i="39"/>
  <c r="AH161" i="39" s="1"/>
  <c r="AF162" i="39"/>
  <c r="K164" i="39"/>
  <c r="AT164" i="39" s="1"/>
  <c r="AG160" i="30"/>
  <c r="AH160" i="30" s="1"/>
  <c r="AF161" i="30"/>
  <c r="AI161" i="30"/>
  <c r="F175" i="30" s="1"/>
  <c r="I173" i="30"/>
  <c r="L173" i="30"/>
  <c r="AN163" i="37"/>
  <c r="AO162" i="37"/>
  <c r="AP162" i="37" s="1"/>
  <c r="AQ163" i="37"/>
  <c r="G191" i="37" s="1"/>
  <c r="J191" i="37" s="1"/>
  <c r="H174" i="27"/>
  <c r="X163" i="40"/>
  <c r="Y162" i="40"/>
  <c r="Z162" i="40" s="1"/>
  <c r="K161" i="40"/>
  <c r="AT161" i="40" s="1"/>
  <c r="X163" i="34"/>
  <c r="Y162" i="34"/>
  <c r="Z162" i="34" s="1"/>
  <c r="AA162" i="40"/>
  <c r="E162" i="40" s="1"/>
  <c r="AS160" i="40"/>
  <c r="T160" i="40"/>
  <c r="CB160" i="40" s="1"/>
  <c r="AB161" i="40"/>
  <c r="AJ160" i="27"/>
  <c r="AI161" i="27"/>
  <c r="F175" i="27" s="1"/>
  <c r="I175" i="27" s="1"/>
  <c r="AB174" i="27"/>
  <c r="AA175" i="27"/>
  <c r="E175" i="27" s="1"/>
  <c r="V244" i="39"/>
  <c r="V236" i="30"/>
  <c r="V243" i="39"/>
  <c r="V241" i="30"/>
  <c r="K159" i="30"/>
  <c r="AT159" i="30" s="1"/>
  <c r="K163" i="39"/>
  <c r="AT163" i="39" s="1"/>
  <c r="Y164" i="39"/>
  <c r="Z164" i="39" s="1"/>
  <c r="X165" i="39"/>
  <c r="CF96" i="39"/>
  <c r="BR87" i="30"/>
  <c r="F70" i="30" s="1"/>
  <c r="O17" i="29" s="1"/>
  <c r="X161" i="30"/>
  <c r="Y160" i="30"/>
  <c r="Z160" i="30" s="1"/>
  <c r="W249" i="39"/>
  <c r="W250" i="39" s="1"/>
  <c r="W223" i="30"/>
  <c r="AB159" i="30"/>
  <c r="F71" i="40"/>
  <c r="F69" i="40"/>
  <c r="CF103" i="40"/>
  <c r="CF109" i="40"/>
  <c r="CF105" i="40"/>
  <c r="CF116" i="40"/>
  <c r="CF106" i="40"/>
  <c r="CF101" i="40"/>
  <c r="CF107" i="40"/>
  <c r="CF110" i="40"/>
  <c r="CF113" i="40"/>
  <c r="CF104" i="40"/>
  <c r="CF102" i="40"/>
  <c r="CF114" i="40"/>
  <c r="CF115" i="40"/>
  <c r="CF112" i="40"/>
  <c r="CF111" i="40"/>
  <c r="CF100" i="40"/>
  <c r="CF108" i="40"/>
  <c r="CF117" i="40"/>
  <c r="CF119" i="40"/>
  <c r="CF118" i="40"/>
  <c r="CF120" i="40"/>
  <c r="W189" i="40"/>
  <c r="CE96" i="34"/>
  <c r="CF97" i="34"/>
  <c r="W191" i="34"/>
  <c r="T160" i="34"/>
  <c r="CB160" i="34" s="1"/>
  <c r="AS160" i="34"/>
  <c r="Y175" i="37"/>
  <c r="Z175" i="37" s="1"/>
  <c r="X176" i="37"/>
  <c r="Z174" i="37"/>
  <c r="AB174" i="37"/>
  <c r="AA175" i="37"/>
  <c r="E175" i="37" s="1"/>
  <c r="H175" i="37" s="1"/>
  <c r="AG164" i="38"/>
  <c r="AH164" i="38" s="1"/>
  <c r="AI165" i="38"/>
  <c r="F179" i="38" s="1"/>
  <c r="I179" i="38" s="1"/>
  <c r="AF165" i="38"/>
  <c r="AG161" i="27"/>
  <c r="AH161" i="27" s="1"/>
  <c r="AI162" i="27"/>
  <c r="F176" i="27" s="1"/>
  <c r="I176" i="27" s="1"/>
  <c r="AF162" i="27"/>
  <c r="Y175" i="38"/>
  <c r="Z175" i="38" s="1"/>
  <c r="X176" i="38"/>
  <c r="AA176" i="38"/>
  <c r="E176" i="38" s="1"/>
  <c r="H176" i="38" s="1"/>
  <c r="AD241" i="38"/>
  <c r="AE220" i="27"/>
  <c r="AE221" i="27" s="1"/>
  <c r="AE222" i="27" s="1"/>
  <c r="AE223" i="27" s="1"/>
  <c r="AE224" i="27" s="1"/>
  <c r="AE225" i="27" s="1"/>
  <c r="AE226" i="27" s="1"/>
  <c r="AE227" i="27" s="1"/>
  <c r="AE228" i="27" s="1"/>
  <c r="AE229" i="27" s="1"/>
  <c r="AE230" i="27" s="1"/>
  <c r="Y175" i="27"/>
  <c r="Z175" i="27" s="1"/>
  <c r="X176" i="27"/>
  <c r="L177" i="38"/>
  <c r="AD236" i="27"/>
  <c r="AD237" i="27"/>
  <c r="V250" i="27"/>
  <c r="AD240" i="38"/>
  <c r="AD239" i="37"/>
  <c r="AG161" i="37"/>
  <c r="AH161" i="37" s="1"/>
  <c r="AF162" i="37"/>
  <c r="W250" i="37"/>
  <c r="L175" i="37"/>
  <c r="AE244" i="37"/>
  <c r="AD238" i="37"/>
  <c r="CB166" i="38"/>
  <c r="BP166" i="38"/>
  <c r="BQ164" i="38"/>
  <c r="BR164" i="38" s="1"/>
  <c r="BM164" i="38"/>
  <c r="BN164" i="38" s="1"/>
  <c r="CB165" i="38"/>
  <c r="BP165" i="38"/>
  <c r="BI157" i="27"/>
  <c r="BJ157" i="27" s="1"/>
  <c r="CB158" i="27"/>
  <c r="BP158" i="27"/>
  <c r="BQ157" i="27"/>
  <c r="BR157" i="27" s="1"/>
  <c r="BH158" i="27"/>
  <c r="BM157" i="27"/>
  <c r="BN157" i="27" s="1"/>
  <c r="BJ87" i="37"/>
  <c r="BQ161" i="37"/>
  <c r="BR161" i="37" s="1"/>
  <c r="BQ162" i="37"/>
  <c r="BR162" i="37" s="1"/>
  <c r="BM162" i="37"/>
  <c r="BN162" i="37" s="1"/>
  <c r="BM161" i="37"/>
  <c r="BN161" i="37" s="1"/>
  <c r="K161" i="34"/>
  <c r="AT161" i="34" s="1"/>
  <c r="M189" i="34"/>
  <c r="T160" i="27"/>
  <c r="T167" i="38"/>
  <c r="BL167" i="38" s="1"/>
  <c r="AS161" i="27"/>
  <c r="K161" i="27"/>
  <c r="AT161" i="27" s="1"/>
  <c r="AS168" i="38"/>
  <c r="K168" i="38"/>
  <c r="AT168" i="38" s="1"/>
  <c r="T159" i="27"/>
  <c r="BL159" i="27" s="1"/>
  <c r="M187" i="27"/>
  <c r="T164" i="37"/>
  <c r="K165" i="37"/>
  <c r="AT165" i="37" s="1"/>
  <c r="AS165" i="37"/>
  <c r="T163" i="37"/>
  <c r="BL163" i="37" s="1"/>
  <c r="M193" i="39"/>
  <c r="M192" i="39"/>
  <c r="M191" i="30"/>
  <c r="M189" i="30"/>
  <c r="V236" i="22"/>
  <c r="AB161" i="22"/>
  <c r="AA162" i="22"/>
  <c r="E162" i="22" s="1"/>
  <c r="V235" i="22"/>
  <c r="K161" i="22"/>
  <c r="X163" i="22"/>
  <c r="Y162" i="22"/>
  <c r="Z162" i="22" s="1"/>
  <c r="W203" i="22"/>
  <c r="AJ160" i="30" l="1"/>
  <c r="BB162" i="37"/>
  <c r="AB175" i="37"/>
  <c r="BA161" i="37"/>
  <c r="BB161" i="37" s="1"/>
  <c r="L174" i="30"/>
  <c r="AA161" i="30"/>
  <c r="E161" i="30" s="1"/>
  <c r="H161" i="30" s="1"/>
  <c r="P17" i="29"/>
  <c r="D44" i="29"/>
  <c r="M189" i="38"/>
  <c r="K160" i="30"/>
  <c r="AT160" i="30" s="1"/>
  <c r="L178" i="38"/>
  <c r="AR160" i="27"/>
  <c r="AJ161" i="39"/>
  <c r="AI162" i="39"/>
  <c r="F176" i="39" s="1"/>
  <c r="I176" i="39" s="1"/>
  <c r="AR162" i="37"/>
  <c r="M190" i="37"/>
  <c r="AZ172" i="38"/>
  <c r="BB172" i="38" s="1"/>
  <c r="AW165" i="38"/>
  <c r="AX165" i="38" s="1"/>
  <c r="BA172" i="38"/>
  <c r="BL160" i="27"/>
  <c r="AJ162" i="40"/>
  <c r="AW158" i="27"/>
  <c r="AX158" i="27" s="1"/>
  <c r="AZ165" i="27"/>
  <c r="BB165" i="27" s="1"/>
  <c r="BA165" i="27"/>
  <c r="AW166" i="38"/>
  <c r="AX166" i="38" s="1"/>
  <c r="BA173" i="38"/>
  <c r="AZ173" i="38"/>
  <c r="BB173" i="38" s="1"/>
  <c r="T164" i="39"/>
  <c r="CB164" i="39" s="1"/>
  <c r="AA176" i="37"/>
  <c r="E176" i="37" s="1"/>
  <c r="BL164" i="37"/>
  <c r="BF156" i="30"/>
  <c r="BE156" i="30"/>
  <c r="M188" i="27"/>
  <c r="BP167" i="38"/>
  <c r="BQ167" i="38" s="1"/>
  <c r="CE167" i="38"/>
  <c r="AV167" i="38"/>
  <c r="CE160" i="27"/>
  <c r="AV160" i="27"/>
  <c r="CE159" i="27"/>
  <c r="AV159" i="27"/>
  <c r="CE164" i="37"/>
  <c r="AV164" i="37"/>
  <c r="CE163" i="37"/>
  <c r="AV163" i="37"/>
  <c r="M191" i="37"/>
  <c r="AG163" i="40"/>
  <c r="AH163" i="40" s="1"/>
  <c r="AF164" i="40"/>
  <c r="AI164" i="40"/>
  <c r="F178" i="40" s="1"/>
  <c r="I178" i="40" s="1"/>
  <c r="AG162" i="34"/>
  <c r="AH162" i="34" s="1"/>
  <c r="AF163" i="34"/>
  <c r="AI163" i="34"/>
  <c r="F177" i="34" s="1"/>
  <c r="I177" i="34" s="1"/>
  <c r="AJ162" i="34"/>
  <c r="L177" i="40"/>
  <c r="AB162" i="34"/>
  <c r="AA163" i="34"/>
  <c r="E163" i="34" s="1"/>
  <c r="H163" i="34" s="1"/>
  <c r="AO161" i="27"/>
  <c r="AP161" i="27" s="1"/>
  <c r="AN162" i="27"/>
  <c r="AQ162" i="27"/>
  <c r="G190" i="27" s="1"/>
  <c r="J190" i="27" s="1"/>
  <c r="L175" i="27"/>
  <c r="AO162" i="38"/>
  <c r="AP162" i="38" s="1"/>
  <c r="AN163" i="38"/>
  <c r="AR162" i="38"/>
  <c r="J190" i="38"/>
  <c r="M190" i="38"/>
  <c r="I175" i="30"/>
  <c r="L175" i="30"/>
  <c r="AG161" i="30"/>
  <c r="AH161" i="30" s="1"/>
  <c r="AF162" i="30"/>
  <c r="AG162" i="39"/>
  <c r="AH162" i="39" s="1"/>
  <c r="AI163" i="39"/>
  <c r="F177" i="39" s="1"/>
  <c r="AF163" i="39"/>
  <c r="AI162" i="37"/>
  <c r="F176" i="37" s="1"/>
  <c r="I176" i="37" s="1"/>
  <c r="AO163" i="37"/>
  <c r="AP163" i="37" s="1"/>
  <c r="AN164" i="37"/>
  <c r="H175" i="27"/>
  <c r="K162" i="40"/>
  <c r="AT162" i="40" s="1"/>
  <c r="H162" i="40"/>
  <c r="AS162" i="40" s="1"/>
  <c r="BH160" i="27"/>
  <c r="BJ85" i="27" s="1"/>
  <c r="X164" i="34"/>
  <c r="Y163" i="34"/>
  <c r="Z163" i="34" s="1"/>
  <c r="AB162" i="40"/>
  <c r="AA163" i="40"/>
  <c r="E163" i="40" s="1"/>
  <c r="H163" i="40" s="1"/>
  <c r="AS161" i="40"/>
  <c r="T161" i="40"/>
  <c r="CB161" i="40" s="1"/>
  <c r="X164" i="40"/>
  <c r="Y163" i="40"/>
  <c r="Z163" i="40" s="1"/>
  <c r="AJ164" i="38"/>
  <c r="AJ161" i="27"/>
  <c r="AB175" i="38"/>
  <c r="AB164" i="39"/>
  <c r="V238" i="30"/>
  <c r="AA165" i="39"/>
  <c r="E165" i="39" s="1"/>
  <c r="H165" i="39" s="1"/>
  <c r="AB160" i="30"/>
  <c r="AS163" i="39"/>
  <c r="T163" i="39"/>
  <c r="CB163" i="39" s="1"/>
  <c r="V245" i="39"/>
  <c r="X162" i="30"/>
  <c r="Y161" i="30"/>
  <c r="Z161" i="30" s="1"/>
  <c r="BR88" i="30"/>
  <c r="V246" i="39"/>
  <c r="W224" i="30"/>
  <c r="W225" i="30" s="1"/>
  <c r="AS160" i="30"/>
  <c r="CF97" i="39"/>
  <c r="CE96" i="39"/>
  <c r="AS159" i="30"/>
  <c r="T159" i="30"/>
  <c r="CB159" i="30" s="1"/>
  <c r="Y165" i="39"/>
  <c r="Z165" i="39" s="1"/>
  <c r="X166" i="39"/>
  <c r="V243" i="30"/>
  <c r="CF96" i="40"/>
  <c r="CE96" i="40" s="1"/>
  <c r="W190" i="40"/>
  <c r="M190" i="40"/>
  <c r="W192" i="34"/>
  <c r="T161" i="34"/>
  <c r="CB161" i="34" s="1"/>
  <c r="AS161" i="34"/>
  <c r="CE97" i="34"/>
  <c r="CH104" i="34"/>
  <c r="CH113" i="34"/>
  <c r="CH112" i="34"/>
  <c r="CH117" i="34"/>
  <c r="CH181" i="34"/>
  <c r="CH236" i="34"/>
  <c r="CH147" i="34"/>
  <c r="CH206" i="34"/>
  <c r="CH209" i="34"/>
  <c r="CH139" i="34"/>
  <c r="CH173" i="34"/>
  <c r="CH214" i="34"/>
  <c r="CH124" i="34"/>
  <c r="CH175" i="34"/>
  <c r="CH242" i="34"/>
  <c r="CH227" i="34"/>
  <c r="CH119" i="34"/>
  <c r="CH192" i="34"/>
  <c r="CH163" i="34"/>
  <c r="CH202" i="34"/>
  <c r="CH142" i="34"/>
  <c r="CH186" i="34"/>
  <c r="CH201" i="34"/>
  <c r="CH170" i="34"/>
  <c r="CH155" i="34"/>
  <c r="CH191" i="34"/>
  <c r="CH247" i="34"/>
  <c r="CH212" i="34"/>
  <c r="CH246" i="34"/>
  <c r="CH198" i="34"/>
  <c r="CH238" i="34"/>
  <c r="CH133" i="34"/>
  <c r="CH207" i="34"/>
  <c r="CH105" i="34"/>
  <c r="CH146" i="34"/>
  <c r="CH151" i="34"/>
  <c r="CH189" i="34"/>
  <c r="CH245" i="34"/>
  <c r="CH125" i="34"/>
  <c r="CH190" i="34"/>
  <c r="CH116" i="34"/>
  <c r="CH235" i="34"/>
  <c r="CH154" i="34"/>
  <c r="CH194" i="34"/>
  <c r="CH240" i="34"/>
  <c r="CH193" i="34"/>
  <c r="CH167" i="34"/>
  <c r="CH203" i="34"/>
  <c r="CH215" i="34"/>
  <c r="CH138" i="34"/>
  <c r="CH164" i="34"/>
  <c r="CH219" i="34"/>
  <c r="CH161" i="34"/>
  <c r="CH120" i="34"/>
  <c r="CH233" i="34"/>
  <c r="CH171" i="34"/>
  <c r="CH107" i="34"/>
  <c r="CH126" i="34"/>
  <c r="CH204" i="34"/>
  <c r="CH248" i="34"/>
  <c r="CH152" i="34"/>
  <c r="CH230" i="34"/>
  <c r="CH123" i="34"/>
  <c r="CH144" i="34"/>
  <c r="CH231" i="34"/>
  <c r="CH106" i="34"/>
  <c r="CH114" i="34"/>
  <c r="CH199" i="34"/>
  <c r="CH130" i="34"/>
  <c r="CH150" i="34"/>
  <c r="CH131" i="34"/>
  <c r="CH177" i="34"/>
  <c r="CH244" i="34"/>
  <c r="CH211" i="34"/>
  <c r="CH134" i="34"/>
  <c r="CH218" i="34"/>
  <c r="CH243" i="34"/>
  <c r="CH187" i="34"/>
  <c r="CH122" i="34"/>
  <c r="CH149" i="34"/>
  <c r="CH229" i="34"/>
  <c r="CH156" i="34"/>
  <c r="CH224" i="34"/>
  <c r="CH169" i="34"/>
  <c r="CH101" i="34"/>
  <c r="CH178" i="34"/>
  <c r="CH172" i="34"/>
  <c r="CH195" i="34"/>
  <c r="CH153" i="34"/>
  <c r="CH205" i="34"/>
  <c r="CH180" i="34"/>
  <c r="CH226" i="34"/>
  <c r="CH129" i="34"/>
  <c r="CH165" i="34"/>
  <c r="CH111" i="34"/>
  <c r="CH141" i="34"/>
  <c r="CH241" i="34"/>
  <c r="CH160" i="34"/>
  <c r="CH143" i="34"/>
  <c r="CH200" i="34"/>
  <c r="CH157" i="34"/>
  <c r="CH220" i="34"/>
  <c r="CH159" i="34"/>
  <c r="CH176" i="34"/>
  <c r="CH237" i="34"/>
  <c r="CH162" i="34"/>
  <c r="CH109" i="34"/>
  <c r="CH184" i="34"/>
  <c r="CH213" i="34"/>
  <c r="CH118" i="34"/>
  <c r="CH166" i="34"/>
  <c r="CH249" i="34"/>
  <c r="CH185" i="34"/>
  <c r="CH100" i="34"/>
  <c r="CH148" i="34"/>
  <c r="CH222" i="34"/>
  <c r="CH217" i="34"/>
  <c r="CH121" i="34"/>
  <c r="CH179" i="34"/>
  <c r="CH210" i="34"/>
  <c r="CH196" i="34"/>
  <c r="CH132" i="34"/>
  <c r="CH174" i="34"/>
  <c r="CH136" i="34"/>
  <c r="CH232" i="34"/>
  <c r="CH158" i="34"/>
  <c r="CH183" i="34"/>
  <c r="CH250" i="34"/>
  <c r="CH140" i="34"/>
  <c r="CH102" i="34"/>
  <c r="CH188" i="34"/>
  <c r="CH135" i="34"/>
  <c r="CH115" i="34"/>
  <c r="CH128" i="34"/>
  <c r="CH182" i="34"/>
  <c r="CH223" i="34"/>
  <c r="CH208" i="34"/>
  <c r="CH103" i="34"/>
  <c r="CH168" i="34"/>
  <c r="CH216" i="34"/>
  <c r="CH137" i="34"/>
  <c r="CH110" i="34"/>
  <c r="CH197" i="34"/>
  <c r="CH225" i="34"/>
  <c r="CH145" i="34"/>
  <c r="CH108" i="34"/>
  <c r="CH221" i="34"/>
  <c r="CH234" i="34"/>
  <c r="CH127" i="34"/>
  <c r="CH228" i="34"/>
  <c r="CH239" i="34"/>
  <c r="X177" i="37"/>
  <c r="Y176" i="37"/>
  <c r="Z176" i="37" s="1"/>
  <c r="AJ161" i="37"/>
  <c r="AD238" i="27"/>
  <c r="AA176" i="27"/>
  <c r="E176" i="27" s="1"/>
  <c r="H176" i="27" s="1"/>
  <c r="AB175" i="27"/>
  <c r="AE231" i="27"/>
  <c r="AG165" i="38"/>
  <c r="AH165" i="38" s="1"/>
  <c r="AF166" i="38"/>
  <c r="AI163" i="27"/>
  <c r="F177" i="27" s="1"/>
  <c r="I177" i="27" s="1"/>
  <c r="AF163" i="27"/>
  <c r="AG162" i="27"/>
  <c r="AH162" i="27" s="1"/>
  <c r="AD242" i="38"/>
  <c r="L179" i="38"/>
  <c r="AD239" i="27"/>
  <c r="AD243" i="38"/>
  <c r="X177" i="38"/>
  <c r="Y176" i="38"/>
  <c r="Z176" i="38" s="1"/>
  <c r="Y176" i="27"/>
  <c r="Z176" i="27" s="1"/>
  <c r="AA177" i="27"/>
  <c r="E177" i="27" s="1"/>
  <c r="X177" i="27"/>
  <c r="AD240" i="37"/>
  <c r="AE245" i="37"/>
  <c r="AD241" i="37"/>
  <c r="AG162" i="37"/>
  <c r="AH162" i="37" s="1"/>
  <c r="AF163" i="37"/>
  <c r="BQ165" i="38"/>
  <c r="BR165" i="38" s="1"/>
  <c r="BM165" i="38"/>
  <c r="BN165" i="38" s="1"/>
  <c r="CB167" i="38"/>
  <c r="BQ166" i="38"/>
  <c r="BR166" i="38" s="1"/>
  <c r="BM166" i="38"/>
  <c r="BN166" i="38" s="1"/>
  <c r="CB159" i="27"/>
  <c r="BP159" i="27"/>
  <c r="BQ158" i="27"/>
  <c r="BR158" i="27" s="1"/>
  <c r="CB160" i="27"/>
  <c r="BM158" i="27"/>
  <c r="BN158" i="27" s="1"/>
  <c r="BI158" i="27"/>
  <c r="BJ158" i="27" s="1"/>
  <c r="BP160" i="27"/>
  <c r="BH159" i="27"/>
  <c r="CB164" i="37"/>
  <c r="CB163" i="37"/>
  <c r="BP164" i="37"/>
  <c r="BP163" i="37"/>
  <c r="BJ88" i="37"/>
  <c r="AS162" i="34"/>
  <c r="L176" i="40"/>
  <c r="L175" i="34"/>
  <c r="M194" i="39"/>
  <c r="L176" i="27"/>
  <c r="T168" i="38"/>
  <c r="AS169" i="38"/>
  <c r="K169" i="38"/>
  <c r="AT169" i="38" s="1"/>
  <c r="T161" i="27"/>
  <c r="BL161" i="27" s="1"/>
  <c r="M189" i="27"/>
  <c r="AS162" i="27"/>
  <c r="K162" i="27"/>
  <c r="AT162" i="27" s="1"/>
  <c r="T165" i="37"/>
  <c r="BL165" i="37" s="1"/>
  <c r="K166" i="37"/>
  <c r="AT166" i="37" s="1"/>
  <c r="AS166" i="37"/>
  <c r="M190" i="30"/>
  <c r="K162" i="34"/>
  <c r="AT162" i="34" s="1"/>
  <c r="M191" i="40"/>
  <c r="M190" i="34"/>
  <c r="AA163" i="22"/>
  <c r="E163" i="22" s="1"/>
  <c r="AB162" i="22"/>
  <c r="V237" i="22"/>
  <c r="K162" i="22"/>
  <c r="V238" i="22"/>
  <c r="Y163" i="22"/>
  <c r="Z163" i="22" s="1"/>
  <c r="X164" i="22"/>
  <c r="W204" i="22"/>
  <c r="K161" i="30" l="1"/>
  <c r="AT161" i="30" s="1"/>
  <c r="AJ161" i="30"/>
  <c r="AZ164" i="37"/>
  <c r="BA164" i="37" s="1"/>
  <c r="AZ163" i="37"/>
  <c r="BA163" i="37" s="1"/>
  <c r="AJ162" i="37"/>
  <c r="T160" i="30"/>
  <c r="CB160" i="30" s="1"/>
  <c r="L176" i="39"/>
  <c r="T162" i="40"/>
  <c r="CB162" i="40" s="1"/>
  <c r="AB176" i="38"/>
  <c r="AQ163" i="38"/>
  <c r="G191" i="38" s="1"/>
  <c r="J191" i="38" s="1"/>
  <c r="AA162" i="30"/>
  <c r="E162" i="30" s="1"/>
  <c r="H162" i="30" s="1"/>
  <c r="AI162" i="30"/>
  <c r="F176" i="30" s="1"/>
  <c r="L176" i="30" s="1"/>
  <c r="AR163" i="37"/>
  <c r="AQ164" i="37"/>
  <c r="G192" i="37" s="1"/>
  <c r="J192" i="37" s="1"/>
  <c r="AA164" i="40"/>
  <c r="E164" i="40" s="1"/>
  <c r="H164" i="40" s="1"/>
  <c r="AS164" i="40" s="1"/>
  <c r="L178" i="40"/>
  <c r="BA166" i="27"/>
  <c r="AZ166" i="27"/>
  <c r="BB166" i="27" s="1"/>
  <c r="AW159" i="27"/>
  <c r="AX159" i="27" s="1"/>
  <c r="AW160" i="27"/>
  <c r="AX160" i="27" s="1"/>
  <c r="BA167" i="27"/>
  <c r="AZ167" i="27"/>
  <c r="BB167" i="27" s="1"/>
  <c r="BA174" i="38"/>
  <c r="AZ174" i="38"/>
  <c r="BB174" i="38" s="1"/>
  <c r="AW167" i="38"/>
  <c r="AX167" i="38" s="1"/>
  <c r="AJ163" i="40"/>
  <c r="AB165" i="39"/>
  <c r="AA166" i="39"/>
  <c r="E166" i="39" s="1"/>
  <c r="H166" i="39" s="1"/>
  <c r="AS166" i="39" s="1"/>
  <c r="AW164" i="37"/>
  <c r="AX164" i="37" s="1"/>
  <c r="AB176" i="37"/>
  <c r="AJ162" i="39"/>
  <c r="AW163" i="37"/>
  <c r="AX163" i="37" s="1"/>
  <c r="L176" i="37"/>
  <c r="BR167" i="38"/>
  <c r="CE168" i="38"/>
  <c r="AV168" i="38"/>
  <c r="CE161" i="27"/>
  <c r="AV161" i="27"/>
  <c r="CE165" i="37"/>
  <c r="AV165" i="37"/>
  <c r="H176" i="37"/>
  <c r="AG163" i="34"/>
  <c r="AH163" i="34" s="1"/>
  <c r="AI164" i="34"/>
  <c r="F178" i="34" s="1"/>
  <c r="I178" i="34" s="1"/>
  <c r="AF164" i="34"/>
  <c r="AJ163" i="34"/>
  <c r="AB163" i="40"/>
  <c r="AG164" i="40"/>
  <c r="AH164" i="40" s="1"/>
  <c r="AI165" i="40"/>
  <c r="F179" i="40" s="1"/>
  <c r="I179" i="40" s="1"/>
  <c r="AF165" i="40"/>
  <c r="AJ164" i="40"/>
  <c r="AO163" i="38"/>
  <c r="AP163" i="38" s="1"/>
  <c r="AN164" i="38"/>
  <c r="AR161" i="27"/>
  <c r="AO162" i="27"/>
  <c r="AP162" i="27" s="1"/>
  <c r="AN163" i="27"/>
  <c r="AR162" i="27"/>
  <c r="AG163" i="39"/>
  <c r="AH163" i="39" s="1"/>
  <c r="AF164" i="39"/>
  <c r="I177" i="39"/>
  <c r="L177" i="39"/>
  <c r="AF163" i="30"/>
  <c r="AG162" i="30"/>
  <c r="AH162" i="30" s="1"/>
  <c r="AO164" i="37"/>
  <c r="AP164" i="37" s="1"/>
  <c r="AN165" i="37"/>
  <c r="AQ165" i="37"/>
  <c r="G193" i="37" s="1"/>
  <c r="AR164" i="37"/>
  <c r="H177" i="27"/>
  <c r="BI160" i="27"/>
  <c r="BJ86" i="27" s="1"/>
  <c r="AB163" i="34"/>
  <c r="AA164" i="34"/>
  <c r="E164" i="34" s="1"/>
  <c r="H164" i="34" s="1"/>
  <c r="AS164" i="34" s="1"/>
  <c r="K163" i="40"/>
  <c r="AT163" i="40" s="1"/>
  <c r="X165" i="40"/>
  <c r="Y164" i="40"/>
  <c r="Z164" i="40" s="1"/>
  <c r="X165" i="34"/>
  <c r="Y164" i="34"/>
  <c r="Z164" i="34" s="1"/>
  <c r="AA165" i="34"/>
  <c r="E165" i="34" s="1"/>
  <c r="H165" i="34" s="1"/>
  <c r="AB176" i="27"/>
  <c r="AJ162" i="27"/>
  <c r="V247" i="39"/>
  <c r="AS161" i="30"/>
  <c r="T161" i="30"/>
  <c r="CB161" i="30" s="1"/>
  <c r="CF102" i="30"/>
  <c r="CF105" i="30"/>
  <c r="CF120" i="30"/>
  <c r="CF107" i="30"/>
  <c r="F69" i="30"/>
  <c r="CF106" i="30"/>
  <c r="CF109" i="30"/>
  <c r="CF116" i="30"/>
  <c r="CF112" i="30"/>
  <c r="CF101" i="30"/>
  <c r="CF117" i="30"/>
  <c r="CF119" i="30"/>
  <c r="CF108" i="30"/>
  <c r="CF103" i="30"/>
  <c r="CF115" i="30"/>
  <c r="CF113" i="30"/>
  <c r="CF104" i="30"/>
  <c r="CF110" i="30"/>
  <c r="CF114" i="30"/>
  <c r="CF118" i="30"/>
  <c r="CF111" i="30"/>
  <c r="CF100" i="30"/>
  <c r="V245" i="30"/>
  <c r="F71" i="30"/>
  <c r="V240" i="30"/>
  <c r="W226" i="30"/>
  <c r="CE97" i="39"/>
  <c r="CH141" i="39"/>
  <c r="CH148" i="39"/>
  <c r="CH157" i="39"/>
  <c r="CH102" i="39"/>
  <c r="CH238" i="39"/>
  <c r="CH208" i="39"/>
  <c r="CH101" i="39"/>
  <c r="CH213" i="39"/>
  <c r="CH119" i="39"/>
  <c r="CH225" i="39"/>
  <c r="CH200" i="39"/>
  <c r="CH210" i="39"/>
  <c r="CH122" i="39"/>
  <c r="CH159" i="39"/>
  <c r="CH162" i="39"/>
  <c r="CH245" i="39"/>
  <c r="CH183" i="39"/>
  <c r="CH202" i="39"/>
  <c r="CH206" i="39"/>
  <c r="CH182" i="39"/>
  <c r="CH166" i="39"/>
  <c r="CH123" i="39"/>
  <c r="CH234" i="39"/>
  <c r="CH160" i="39"/>
  <c r="CH161" i="39"/>
  <c r="CH142" i="39"/>
  <c r="CH169" i="39"/>
  <c r="CH201" i="39"/>
  <c r="CH170" i="39"/>
  <c r="CH192" i="39"/>
  <c r="CH176" i="39"/>
  <c r="CH184" i="39"/>
  <c r="CH188" i="39"/>
  <c r="CH195" i="39"/>
  <c r="CH189" i="39"/>
  <c r="CH115" i="39"/>
  <c r="CH224" i="39"/>
  <c r="CH226" i="39"/>
  <c r="CH229" i="39"/>
  <c r="CH242" i="39"/>
  <c r="CH110" i="39"/>
  <c r="CH181" i="39"/>
  <c r="CH108" i="39"/>
  <c r="CH146" i="39"/>
  <c r="CH130" i="39"/>
  <c r="CH144" i="39"/>
  <c r="CH168" i="39"/>
  <c r="CH196" i="39"/>
  <c r="CH220" i="39"/>
  <c r="CH205" i="39"/>
  <c r="CH247" i="39"/>
  <c r="CH127" i="39"/>
  <c r="CH178" i="39"/>
  <c r="CH165" i="39"/>
  <c r="CH180" i="39"/>
  <c r="CH137" i="39"/>
  <c r="CH227" i="39"/>
  <c r="CH246" i="39"/>
  <c r="CH103" i="39"/>
  <c r="CH249" i="39"/>
  <c r="CH198" i="39"/>
  <c r="CH175" i="39"/>
  <c r="CH105" i="39"/>
  <c r="CH240" i="39"/>
  <c r="CH199" i="39"/>
  <c r="CH120" i="39"/>
  <c r="CH239" i="39"/>
  <c r="CH214" i="39"/>
  <c r="CH114" i="39"/>
  <c r="CH131" i="39"/>
  <c r="CH187" i="39"/>
  <c r="CH163" i="39"/>
  <c r="CH167" i="39"/>
  <c r="CH134" i="39"/>
  <c r="CH231" i="39"/>
  <c r="CH132" i="39"/>
  <c r="CH230" i="39"/>
  <c r="CH243" i="39"/>
  <c r="CH185" i="39"/>
  <c r="CH143" i="39"/>
  <c r="CH232" i="39"/>
  <c r="CH156" i="39"/>
  <c r="CH100" i="39"/>
  <c r="CH113" i="39"/>
  <c r="CH211" i="39"/>
  <c r="CH250" i="39"/>
  <c r="CH151" i="39"/>
  <c r="CH133" i="39"/>
  <c r="CH112" i="39"/>
  <c r="CH126" i="39"/>
  <c r="CH207" i="39"/>
  <c r="CH164" i="39"/>
  <c r="CH216" i="39"/>
  <c r="CH109" i="39"/>
  <c r="CH221" i="39"/>
  <c r="CH219" i="39"/>
  <c r="CH116" i="39"/>
  <c r="CH223" i="39"/>
  <c r="CH186" i="39"/>
  <c r="CH222" i="39"/>
  <c r="CH212" i="39"/>
  <c r="CH155" i="39"/>
  <c r="CH139" i="39"/>
  <c r="CH197" i="39"/>
  <c r="CH172" i="39"/>
  <c r="CH218" i="39"/>
  <c r="CH140" i="39"/>
  <c r="CH104" i="39"/>
  <c r="CH124" i="39"/>
  <c r="CH190" i="39"/>
  <c r="CH215" i="39"/>
  <c r="CH149" i="39"/>
  <c r="CH125" i="39"/>
  <c r="CH194" i="39"/>
  <c r="CH228" i="39"/>
  <c r="CH235" i="39"/>
  <c r="CH117" i="39"/>
  <c r="CH121" i="39"/>
  <c r="CH111" i="39"/>
  <c r="CH237" i="39"/>
  <c r="CH118" i="39"/>
  <c r="CH129" i="39"/>
  <c r="CH135" i="39"/>
  <c r="CH203" i="39"/>
  <c r="CH154" i="39"/>
  <c r="CH150" i="39"/>
  <c r="CH233" i="39"/>
  <c r="CH171" i="39"/>
  <c r="CH152" i="39"/>
  <c r="CH236" i="39"/>
  <c r="CH209" i="39"/>
  <c r="CH179" i="39"/>
  <c r="CH204" i="39"/>
  <c r="CH107" i="39"/>
  <c r="CH173" i="39"/>
  <c r="CH158" i="39"/>
  <c r="CH145" i="39"/>
  <c r="CH128" i="39"/>
  <c r="CH174" i="39"/>
  <c r="CH191" i="39"/>
  <c r="CH106" i="39"/>
  <c r="CH147" i="39"/>
  <c r="CH248" i="39"/>
  <c r="CH217" i="39"/>
  <c r="CH138" i="39"/>
  <c r="CH241" i="39"/>
  <c r="CH244" i="39"/>
  <c r="CH177" i="39"/>
  <c r="CH153" i="39"/>
  <c r="CH136" i="39"/>
  <c r="CH193" i="39"/>
  <c r="X163" i="30"/>
  <c r="Y162" i="30"/>
  <c r="Z162" i="30" s="1"/>
  <c r="V248" i="39"/>
  <c r="AB161" i="30"/>
  <c r="Y166" i="39"/>
  <c r="Z166" i="39" s="1"/>
  <c r="AA167" i="39"/>
  <c r="E167" i="39" s="1"/>
  <c r="H167" i="39" s="1"/>
  <c r="AB166" i="39"/>
  <c r="X167" i="39"/>
  <c r="K165" i="39"/>
  <c r="AT165" i="39" s="1"/>
  <c r="AI163" i="37"/>
  <c r="F177" i="37" s="1"/>
  <c r="I177" i="37" s="1"/>
  <c r="AA177" i="37"/>
  <c r="E177" i="37" s="1"/>
  <c r="CF97" i="40"/>
  <c r="CH104" i="40"/>
  <c r="CH192" i="40"/>
  <c r="CH166" i="40"/>
  <c r="CH105" i="40"/>
  <c r="CH217" i="40"/>
  <c r="CH154" i="40"/>
  <c r="CH148" i="40"/>
  <c r="CH135" i="40"/>
  <c r="CH171" i="40"/>
  <c r="CH103" i="40"/>
  <c r="CH164" i="40"/>
  <c r="CH242" i="40"/>
  <c r="CH219" i="40"/>
  <c r="CH133" i="40"/>
  <c r="CH244" i="40"/>
  <c r="CH250" i="40"/>
  <c r="CH237" i="40"/>
  <c r="CH230" i="40"/>
  <c r="CH195" i="40"/>
  <c r="CH215" i="40"/>
  <c r="CH169" i="40"/>
  <c r="CH139" i="40"/>
  <c r="CH151" i="40"/>
  <c r="CH189" i="40"/>
  <c r="CH115" i="40"/>
  <c r="CH131" i="40"/>
  <c r="CH196" i="40"/>
  <c r="CH187" i="40"/>
  <c r="CH183" i="40"/>
  <c r="CH220" i="40"/>
  <c r="CH226" i="40"/>
  <c r="CH210" i="40"/>
  <c r="CH221" i="40"/>
  <c r="CH125" i="40"/>
  <c r="CH163" i="40"/>
  <c r="CH181" i="40"/>
  <c r="CH162" i="40"/>
  <c r="CH136" i="40"/>
  <c r="CH240" i="40"/>
  <c r="CH129" i="40"/>
  <c r="CH119" i="40"/>
  <c r="CH167" i="40"/>
  <c r="CH213" i="40"/>
  <c r="CH111" i="40"/>
  <c r="CH200" i="40"/>
  <c r="CH126" i="40"/>
  <c r="CH225" i="40"/>
  <c r="CH159" i="40"/>
  <c r="CH175" i="40"/>
  <c r="CH208" i="40"/>
  <c r="CH199" i="40"/>
  <c r="CH108" i="40"/>
  <c r="CH204" i="40"/>
  <c r="CH140" i="40"/>
  <c r="CH224" i="40"/>
  <c r="CH127" i="40"/>
  <c r="CH223" i="40"/>
  <c r="CH145" i="40"/>
  <c r="CH184" i="40"/>
  <c r="CH152" i="40"/>
  <c r="CH227" i="40"/>
  <c r="CE97" i="40"/>
  <c r="CH143" i="40"/>
  <c r="CH236" i="40"/>
  <c r="CH116" i="40"/>
  <c r="CH194" i="40"/>
  <c r="CH123" i="40"/>
  <c r="CH172" i="40"/>
  <c r="CH241" i="40"/>
  <c r="CH179" i="40"/>
  <c r="CH234" i="40"/>
  <c r="CH209" i="40"/>
  <c r="CH144" i="40"/>
  <c r="CH218" i="40"/>
  <c r="CH141" i="40"/>
  <c r="CH229" i="40"/>
  <c r="CH197" i="40"/>
  <c r="CH153" i="40"/>
  <c r="CH122" i="40"/>
  <c r="CH186" i="40"/>
  <c r="CH128" i="40"/>
  <c r="CH106" i="40"/>
  <c r="CH110" i="40"/>
  <c r="CH205" i="40"/>
  <c r="CH177" i="40"/>
  <c r="CH193" i="40"/>
  <c r="CH201" i="40"/>
  <c r="CH185" i="40"/>
  <c r="CH150" i="40"/>
  <c r="CH246" i="40"/>
  <c r="CH114" i="40"/>
  <c r="CH173" i="40"/>
  <c r="CH222" i="40"/>
  <c r="CH147" i="40"/>
  <c r="CH231" i="40"/>
  <c r="CH157" i="40"/>
  <c r="CH248" i="40"/>
  <c r="CH212" i="40"/>
  <c r="CH203" i="40"/>
  <c r="CH118" i="40"/>
  <c r="CH188" i="40"/>
  <c r="CH109" i="40"/>
  <c r="CH102" i="40"/>
  <c r="CH138" i="40"/>
  <c r="CH238" i="40"/>
  <c r="CH232" i="40"/>
  <c r="CH206" i="40"/>
  <c r="CH235" i="40"/>
  <c r="CH233" i="40"/>
  <c r="CH134" i="40"/>
  <c r="CH161" i="40"/>
  <c r="CH239" i="40"/>
  <c r="CH176" i="40"/>
  <c r="CH158" i="40"/>
  <c r="CH142" i="40"/>
  <c r="CH178" i="40"/>
  <c r="CH249" i="40"/>
  <c r="CH174" i="40"/>
  <c r="CH124" i="40"/>
  <c r="CH149" i="40"/>
  <c r="CH107" i="40"/>
  <c r="CH101" i="40"/>
  <c r="CH182" i="40"/>
  <c r="CH117" i="40"/>
  <c r="CH165" i="40"/>
  <c r="CH137" i="40"/>
  <c r="CH130" i="40"/>
  <c r="CH228" i="40"/>
  <c r="CH155" i="40"/>
  <c r="CH243" i="40"/>
  <c r="CH132" i="40"/>
  <c r="CH247" i="40"/>
  <c r="CH245" i="40"/>
  <c r="CH120" i="40"/>
  <c r="CH113" i="40"/>
  <c r="CH112" i="40"/>
  <c r="CH214" i="40"/>
  <c r="CH156" i="40"/>
  <c r="CH207" i="40"/>
  <c r="CH216" i="40"/>
  <c r="CH170" i="40"/>
  <c r="CH180" i="40"/>
  <c r="CH190" i="40"/>
  <c r="CH191" i="40"/>
  <c r="CH202" i="40"/>
  <c r="CH121" i="40"/>
  <c r="CH160" i="40"/>
  <c r="CH198" i="40"/>
  <c r="CH211" i="40"/>
  <c r="CH146" i="40"/>
  <c r="CH168" i="40"/>
  <c r="CH100" i="40"/>
  <c r="W191" i="40"/>
  <c r="W193" i="34"/>
  <c r="Y177" i="37"/>
  <c r="Z177" i="37" s="1"/>
  <c r="X178" i="37"/>
  <c r="Y177" i="27"/>
  <c r="Z177" i="27" s="1"/>
  <c r="X178" i="27"/>
  <c r="AD244" i="38"/>
  <c r="AD240" i="27"/>
  <c r="AJ165" i="38"/>
  <c r="AD245" i="38"/>
  <c r="AG166" i="38"/>
  <c r="AH166" i="38" s="1"/>
  <c r="AF167" i="38"/>
  <c r="AD241" i="27"/>
  <c r="AI166" i="38"/>
  <c r="F180" i="38" s="1"/>
  <c r="I180" i="38" s="1"/>
  <c r="Y177" i="38"/>
  <c r="Z177" i="38" s="1"/>
  <c r="X178" i="38"/>
  <c r="AA178" i="38"/>
  <c r="E178" i="38" s="1"/>
  <c r="H178" i="38" s="1"/>
  <c r="AB177" i="38"/>
  <c r="AE232" i="27"/>
  <c r="AA177" i="38"/>
  <c r="E177" i="38" s="1"/>
  <c r="H177" i="38" s="1"/>
  <c r="AF164" i="27"/>
  <c r="AG163" i="27"/>
  <c r="AH163" i="27" s="1"/>
  <c r="AG163" i="37"/>
  <c r="AH163" i="37" s="1"/>
  <c r="AJ163" i="37"/>
  <c r="AF164" i="37"/>
  <c r="AE246" i="37"/>
  <c r="AE247" i="37" s="1"/>
  <c r="AE248" i="37" s="1"/>
  <c r="AD243" i="37"/>
  <c r="AD242" i="37"/>
  <c r="CB168" i="38"/>
  <c r="BP168" i="38"/>
  <c r="BM167" i="38"/>
  <c r="BN86" i="38" s="1"/>
  <c r="BN85" i="38"/>
  <c r="BM160" i="27"/>
  <c r="BN160" i="27" s="1"/>
  <c r="CB161" i="27"/>
  <c r="BI159" i="27"/>
  <c r="BJ159" i="27" s="1"/>
  <c r="BP161" i="27"/>
  <c r="BQ160" i="27"/>
  <c r="BR160" i="27" s="1"/>
  <c r="BQ159" i="27"/>
  <c r="BR159" i="27" s="1"/>
  <c r="BM159" i="27"/>
  <c r="BN159" i="27" s="1"/>
  <c r="BQ163" i="37"/>
  <c r="BR163" i="37" s="1"/>
  <c r="BQ164" i="37"/>
  <c r="BR164" i="37" s="1"/>
  <c r="BM163" i="37"/>
  <c r="BN163" i="37" s="1"/>
  <c r="CB165" i="37"/>
  <c r="BM164" i="37"/>
  <c r="BN164" i="37" s="1"/>
  <c r="BP165" i="37"/>
  <c r="K163" i="34"/>
  <c r="AT163" i="34" s="1"/>
  <c r="L176" i="34"/>
  <c r="K170" i="38"/>
  <c r="AT170" i="38" s="1"/>
  <c r="T169" i="38"/>
  <c r="T162" i="27"/>
  <c r="BL162" i="27" s="1"/>
  <c r="M190" i="27"/>
  <c r="T166" i="37"/>
  <c r="BL166" i="37" s="1"/>
  <c r="M192" i="30"/>
  <c r="M195" i="39"/>
  <c r="T162" i="34"/>
  <c r="CB162" i="34" s="1"/>
  <c r="AS163" i="34"/>
  <c r="M191" i="34"/>
  <c r="M192" i="40"/>
  <c r="K163" i="22"/>
  <c r="AA164" i="22"/>
  <c r="E164" i="22" s="1"/>
  <c r="AB163" i="22"/>
  <c r="V240" i="22"/>
  <c r="V239" i="22"/>
  <c r="X165" i="22"/>
  <c r="Y164" i="22"/>
  <c r="Z164" i="22" s="1"/>
  <c r="W205" i="22"/>
  <c r="AZ165" i="37" l="1"/>
  <c r="BB163" i="37"/>
  <c r="BB164" i="37"/>
  <c r="AB162" i="30"/>
  <c r="AJ163" i="39"/>
  <c r="AA163" i="30"/>
  <c r="E163" i="30" s="1"/>
  <c r="H163" i="30" s="1"/>
  <c r="AI164" i="39"/>
  <c r="F178" i="39" s="1"/>
  <c r="L178" i="39" s="1"/>
  <c r="K164" i="40"/>
  <c r="AT164" i="40" s="1"/>
  <c r="K162" i="30"/>
  <c r="AT162" i="30" s="1"/>
  <c r="I176" i="30"/>
  <c r="L179" i="40"/>
  <c r="L178" i="34"/>
  <c r="AB164" i="40"/>
  <c r="M191" i="38"/>
  <c r="AR163" i="38"/>
  <c r="AQ164" i="38"/>
  <c r="G192" i="38" s="1"/>
  <c r="J192" i="38" s="1"/>
  <c r="M192" i="37"/>
  <c r="BA168" i="27"/>
  <c r="AZ168" i="27"/>
  <c r="BB168" i="27" s="1"/>
  <c r="AW161" i="27"/>
  <c r="AX161" i="27" s="1"/>
  <c r="AZ175" i="38"/>
  <c r="BB175" i="38" s="1"/>
  <c r="AW168" i="38"/>
  <c r="AX168" i="38" s="1"/>
  <c r="BA175" i="38"/>
  <c r="T164" i="40"/>
  <c r="CB164" i="40" s="1"/>
  <c r="K166" i="39"/>
  <c r="AJ162" i="30"/>
  <c r="AW165" i="37"/>
  <c r="AX165" i="37" s="1"/>
  <c r="BE157" i="30"/>
  <c r="BF157" i="30"/>
  <c r="BF155" i="30"/>
  <c r="BE155" i="30"/>
  <c r="K164" i="34"/>
  <c r="AT164" i="34" s="1"/>
  <c r="CE169" i="38"/>
  <c r="AV169" i="38"/>
  <c r="CE162" i="27"/>
  <c r="AV162" i="27"/>
  <c r="BP166" i="37"/>
  <c r="BQ166" i="37" s="1"/>
  <c r="CE166" i="37"/>
  <c r="AV166" i="37"/>
  <c r="H177" i="37"/>
  <c r="J193" i="37"/>
  <c r="M193" i="37"/>
  <c r="AB164" i="34"/>
  <c r="AF166" i="40"/>
  <c r="AG165" i="40"/>
  <c r="AH165" i="40" s="1"/>
  <c r="AG164" i="34"/>
  <c r="AH164" i="34" s="1"/>
  <c r="AF165" i="34"/>
  <c r="AJ164" i="34"/>
  <c r="AO163" i="27"/>
  <c r="AP163" i="27" s="1"/>
  <c r="AQ164" i="27"/>
  <c r="G192" i="27" s="1"/>
  <c r="J192" i="27" s="1"/>
  <c r="AN164" i="27"/>
  <c r="AR163" i="27"/>
  <c r="AQ163" i="27"/>
  <c r="G191" i="27" s="1"/>
  <c r="J191" i="27" s="1"/>
  <c r="AI167" i="38"/>
  <c r="F181" i="38" s="1"/>
  <c r="I181" i="38" s="1"/>
  <c r="AO164" i="38"/>
  <c r="AP164" i="38" s="1"/>
  <c r="AN165" i="38"/>
  <c r="AI163" i="30"/>
  <c r="F177" i="30" s="1"/>
  <c r="AF164" i="30"/>
  <c r="AG163" i="30"/>
  <c r="AH163" i="30" s="1"/>
  <c r="AG164" i="39"/>
  <c r="AH164" i="39" s="1"/>
  <c r="AF165" i="39"/>
  <c r="L177" i="37"/>
  <c r="AB177" i="37"/>
  <c r="AA178" i="37"/>
  <c r="E178" i="37" s="1"/>
  <c r="AO165" i="37"/>
  <c r="AP165" i="37" s="1"/>
  <c r="AN166" i="37"/>
  <c r="AQ166" i="37"/>
  <c r="G194" i="37" s="1"/>
  <c r="AR165" i="37"/>
  <c r="BJ160" i="27"/>
  <c r="BJ87" i="27" s="1"/>
  <c r="AA165" i="40"/>
  <c r="E165" i="40" s="1"/>
  <c r="H165" i="40" s="1"/>
  <c r="AA166" i="40"/>
  <c r="E166" i="40" s="1"/>
  <c r="H166" i="40" s="1"/>
  <c r="AS166" i="40" s="1"/>
  <c r="X166" i="40"/>
  <c r="Y165" i="40"/>
  <c r="Z165" i="40" s="1"/>
  <c r="AB165" i="40"/>
  <c r="AS163" i="40"/>
  <c r="T163" i="40"/>
  <c r="CB163" i="40" s="1"/>
  <c r="X166" i="34"/>
  <c r="Y165" i="34"/>
  <c r="Z165" i="34" s="1"/>
  <c r="AJ166" i="38"/>
  <c r="AA178" i="27"/>
  <c r="E178" i="27" s="1"/>
  <c r="AS162" i="30"/>
  <c r="Y167" i="39"/>
  <c r="Z167" i="39" s="1"/>
  <c r="AA168" i="39"/>
  <c r="E168" i="39" s="1"/>
  <c r="X168" i="39"/>
  <c r="V242" i="30"/>
  <c r="CF96" i="30"/>
  <c r="K167" i="39"/>
  <c r="AT167" i="39" s="1"/>
  <c r="V249" i="39"/>
  <c r="AS165" i="39"/>
  <c r="T165" i="39"/>
  <c r="CB165" i="39" s="1"/>
  <c r="Y163" i="30"/>
  <c r="Z163" i="30" s="1"/>
  <c r="X164" i="30"/>
  <c r="V250" i="39"/>
  <c r="W227" i="30"/>
  <c r="W228" i="30" s="1"/>
  <c r="W229" i="30" s="1"/>
  <c r="V247" i="30"/>
  <c r="AI164" i="37"/>
  <c r="F178" i="37" s="1"/>
  <c r="I178" i="37" s="1"/>
  <c r="W192" i="40"/>
  <c r="W194" i="34"/>
  <c r="X179" i="37"/>
  <c r="AA179" i="37"/>
  <c r="E179" i="37" s="1"/>
  <c r="Y178" i="37"/>
  <c r="Z178" i="37" s="1"/>
  <c r="AE233" i="27"/>
  <c r="AE234" i="27" s="1"/>
  <c r="AD246" i="38"/>
  <c r="AG167" i="38"/>
  <c r="AH167" i="38" s="1"/>
  <c r="AI168" i="38"/>
  <c r="F182" i="38" s="1"/>
  <c r="I182" i="38" s="1"/>
  <c r="AF168" i="38"/>
  <c r="AF165" i="27"/>
  <c r="AG164" i="27"/>
  <c r="AH164" i="27" s="1"/>
  <c r="Y178" i="38"/>
  <c r="Z178" i="38" s="1"/>
  <c r="AA179" i="38"/>
  <c r="E179" i="38" s="1"/>
  <c r="H179" i="38" s="1"/>
  <c r="X179" i="38"/>
  <c r="AD242" i="27"/>
  <c r="Y178" i="27"/>
  <c r="Z178" i="27" s="1"/>
  <c r="AB178" i="27"/>
  <c r="AA179" i="27"/>
  <c r="E179" i="27" s="1"/>
  <c r="X179" i="27"/>
  <c r="AI164" i="27"/>
  <c r="F178" i="27" s="1"/>
  <c r="I178" i="27" s="1"/>
  <c r="AJ163" i="27"/>
  <c r="L180" i="38"/>
  <c r="AD243" i="27"/>
  <c r="AD247" i="38"/>
  <c r="AB177" i="27"/>
  <c r="AE249" i="37"/>
  <c r="AG164" i="37"/>
  <c r="AH164" i="37" s="1"/>
  <c r="AF165" i="37"/>
  <c r="AD245" i="37"/>
  <c r="AD244" i="37"/>
  <c r="BQ168" i="38"/>
  <c r="BR168" i="38" s="1"/>
  <c r="CB169" i="38"/>
  <c r="BP169" i="38"/>
  <c r="BN167" i="38"/>
  <c r="BM161" i="27"/>
  <c r="BN161" i="27" s="1"/>
  <c r="CB162" i="27"/>
  <c r="BQ161" i="27"/>
  <c r="BR161" i="27" s="1"/>
  <c r="BP162" i="27"/>
  <c r="BM165" i="37"/>
  <c r="BN165" i="37" s="1"/>
  <c r="CB166" i="37"/>
  <c r="BQ165" i="37"/>
  <c r="BR165" i="37" s="1"/>
  <c r="T163" i="34"/>
  <c r="CB163" i="34" s="1"/>
  <c r="L177" i="34"/>
  <c r="L177" i="27"/>
  <c r="AS170" i="38"/>
  <c r="K163" i="27"/>
  <c r="AT163" i="27" s="1"/>
  <c r="AS163" i="27"/>
  <c r="AS171" i="38"/>
  <c r="K171" i="38"/>
  <c r="AT171" i="38" s="1"/>
  <c r="AS164" i="27"/>
  <c r="K164" i="27"/>
  <c r="AT164" i="27" s="1"/>
  <c r="K167" i="37"/>
  <c r="AT167" i="37" s="1"/>
  <c r="AS167" i="37"/>
  <c r="M193" i="30"/>
  <c r="M192" i="34"/>
  <c r="M193" i="40"/>
  <c r="K164" i="22"/>
  <c r="V241" i="22"/>
  <c r="AB164" i="22"/>
  <c r="AA165" i="22"/>
  <c r="E165" i="22" s="1"/>
  <c r="V242" i="22"/>
  <c r="Y165" i="22"/>
  <c r="Z165" i="22" s="1"/>
  <c r="X166" i="22"/>
  <c r="W206" i="22"/>
  <c r="K163" i="30" l="1"/>
  <c r="AT163" i="30" s="1"/>
  <c r="AJ164" i="37"/>
  <c r="AZ166" i="37"/>
  <c r="BA165" i="37"/>
  <c r="BB165" i="37" s="1"/>
  <c r="I178" i="39"/>
  <c r="AJ164" i="39"/>
  <c r="T162" i="30"/>
  <c r="CB162" i="30" s="1"/>
  <c r="AI165" i="39"/>
  <c r="F179" i="39" s="1"/>
  <c r="I179" i="39" s="1"/>
  <c r="M192" i="38"/>
  <c r="T164" i="34"/>
  <c r="CB164" i="34" s="1"/>
  <c r="AJ165" i="40"/>
  <c r="AI166" i="40"/>
  <c r="F180" i="40" s="1"/>
  <c r="I180" i="40" s="1"/>
  <c r="AA166" i="34"/>
  <c r="E166" i="34" s="1"/>
  <c r="H166" i="34" s="1"/>
  <c r="AS166" i="34" s="1"/>
  <c r="AW162" i="27"/>
  <c r="AX162" i="27" s="1"/>
  <c r="BA169" i="27"/>
  <c r="AZ169" i="27"/>
  <c r="BB169" i="27" s="1"/>
  <c r="AW169" i="38"/>
  <c r="AX169" i="38" s="1"/>
  <c r="BA176" i="38"/>
  <c r="AZ176" i="38"/>
  <c r="BB176" i="38" s="1"/>
  <c r="AB178" i="37"/>
  <c r="AB167" i="39"/>
  <c r="AW166" i="37"/>
  <c r="AX166" i="37" s="1"/>
  <c r="AT166" i="39"/>
  <c r="T166" i="39"/>
  <c r="CB166" i="39" s="1"/>
  <c r="BR166" i="37"/>
  <c r="J194" i="37"/>
  <c r="M194" i="37"/>
  <c r="H178" i="37"/>
  <c r="AG165" i="34"/>
  <c r="AH165" i="34" s="1"/>
  <c r="AF166" i="34"/>
  <c r="AJ165" i="34"/>
  <c r="AI166" i="34"/>
  <c r="F180" i="34" s="1"/>
  <c r="I180" i="34" s="1"/>
  <c r="AI165" i="34"/>
  <c r="F179" i="34" s="1"/>
  <c r="I179" i="34" s="1"/>
  <c r="AG166" i="40"/>
  <c r="AH166" i="40" s="1"/>
  <c r="AI167" i="40"/>
  <c r="F181" i="40" s="1"/>
  <c r="I181" i="40" s="1"/>
  <c r="AF167" i="40"/>
  <c r="AJ166" i="40"/>
  <c r="K166" i="40"/>
  <c r="AT166" i="40" s="1"/>
  <c r="L181" i="38"/>
  <c r="AR164" i="38"/>
  <c r="AO165" i="38"/>
  <c r="AP165" i="38" s="1"/>
  <c r="AN166" i="38"/>
  <c r="AQ165" i="38"/>
  <c r="G193" i="38" s="1"/>
  <c r="AO164" i="27"/>
  <c r="AP164" i="27" s="1"/>
  <c r="AQ165" i="27"/>
  <c r="G193" i="27" s="1"/>
  <c r="J193" i="27" s="1"/>
  <c r="AN165" i="27"/>
  <c r="AA164" i="30"/>
  <c r="E164" i="30" s="1"/>
  <c r="H164" i="30" s="1"/>
  <c r="AG165" i="39"/>
  <c r="AH165" i="39" s="1"/>
  <c r="AI166" i="39"/>
  <c r="F180" i="39" s="1"/>
  <c r="AF166" i="39"/>
  <c r="AJ163" i="30"/>
  <c r="AF165" i="30"/>
  <c r="AG164" i="30"/>
  <c r="AH164" i="30" s="1"/>
  <c r="AI164" i="30"/>
  <c r="F178" i="30" s="1"/>
  <c r="I177" i="30"/>
  <c r="L177" i="30"/>
  <c r="AO166" i="37"/>
  <c r="AP166" i="37" s="1"/>
  <c r="AN167" i="37"/>
  <c r="H178" i="27"/>
  <c r="L178" i="37"/>
  <c r="K168" i="39"/>
  <c r="AT168" i="39" s="1"/>
  <c r="H168" i="39"/>
  <c r="X167" i="34"/>
  <c r="Y166" i="34"/>
  <c r="Z166" i="34" s="1"/>
  <c r="AA167" i="34"/>
  <c r="E167" i="34" s="1"/>
  <c r="H167" i="34" s="1"/>
  <c r="AB165" i="34"/>
  <c r="X167" i="40"/>
  <c r="Y166" i="40"/>
  <c r="Z166" i="40" s="1"/>
  <c r="K165" i="40"/>
  <c r="AT165" i="40" s="1"/>
  <c r="AB178" i="38"/>
  <c r="W230" i="30"/>
  <c r="AS167" i="39"/>
  <c r="T167" i="39"/>
  <c r="CB167" i="39" s="1"/>
  <c r="Y168" i="39"/>
  <c r="Z168" i="39" s="1"/>
  <c r="X169" i="39"/>
  <c r="CE96" i="30"/>
  <c r="CF97" i="30"/>
  <c r="AS163" i="30"/>
  <c r="T163" i="30"/>
  <c r="CB163" i="30" s="1"/>
  <c r="Y164" i="30"/>
  <c r="Z164" i="30" s="1"/>
  <c r="X165" i="30"/>
  <c r="V244" i="30"/>
  <c r="V249" i="30"/>
  <c r="AB163" i="30"/>
  <c r="W193" i="40"/>
  <c r="W195" i="34"/>
  <c r="AI165" i="37"/>
  <c r="F179" i="37" s="1"/>
  <c r="X180" i="37"/>
  <c r="Y179" i="37"/>
  <c r="Z179" i="37" s="1"/>
  <c r="L182" i="38"/>
  <c r="AI166" i="27"/>
  <c r="F180" i="27" s="1"/>
  <c r="I180" i="27" s="1"/>
  <c r="AJ165" i="27"/>
  <c r="AF166" i="27"/>
  <c r="AG165" i="27"/>
  <c r="AH165" i="27" s="1"/>
  <c r="AD249" i="38"/>
  <c r="AD244" i="27"/>
  <c r="AD248" i="38"/>
  <c r="BJ88" i="27"/>
  <c r="AD245" i="27"/>
  <c r="Y179" i="27"/>
  <c r="Z179" i="27" s="1"/>
  <c r="X180" i="27"/>
  <c r="AI165" i="27"/>
  <c r="F179" i="27" s="1"/>
  <c r="I179" i="27" s="1"/>
  <c r="AJ164" i="27"/>
  <c r="Y179" i="38"/>
  <c r="Z179" i="38" s="1"/>
  <c r="X180" i="38"/>
  <c r="AG168" i="38"/>
  <c r="AH168" i="38" s="1"/>
  <c r="AF169" i="38"/>
  <c r="AE235" i="27"/>
  <c r="AE236" i="27" s="1"/>
  <c r="AJ167" i="38"/>
  <c r="AD246" i="37"/>
  <c r="AG165" i="37"/>
  <c r="AH165" i="37" s="1"/>
  <c r="AI166" i="37"/>
  <c r="F180" i="37" s="1"/>
  <c r="I180" i="37" s="1"/>
  <c r="AJ165" i="37"/>
  <c r="AF166" i="37"/>
  <c r="AD247" i="37"/>
  <c r="AE250" i="37"/>
  <c r="T170" i="38"/>
  <c r="BN87" i="38"/>
  <c r="BQ169" i="38"/>
  <c r="BR169" i="38" s="1"/>
  <c r="BQ162" i="27"/>
  <c r="BR162" i="27" s="1"/>
  <c r="BM162" i="27"/>
  <c r="BN162" i="27" s="1"/>
  <c r="BM166" i="37"/>
  <c r="BN166" i="37" s="1"/>
  <c r="AS165" i="27"/>
  <c r="K165" i="27"/>
  <c r="AT165" i="27" s="1"/>
  <c r="T164" i="27"/>
  <c r="T163" i="27"/>
  <c r="BL163" i="27" s="1"/>
  <c r="M191" i="27"/>
  <c r="AS172" i="38"/>
  <c r="K172" i="38"/>
  <c r="AT172" i="38" s="1"/>
  <c r="T171" i="38"/>
  <c r="AS168" i="37"/>
  <c r="K168" i="37"/>
  <c r="AT168" i="37" s="1"/>
  <c r="AS169" i="37"/>
  <c r="K169" i="37"/>
  <c r="AT169" i="37" s="1"/>
  <c r="T167" i="37"/>
  <c r="BL167" i="37" s="1"/>
  <c r="M196" i="39"/>
  <c r="M194" i="30"/>
  <c r="K165" i="34"/>
  <c r="AT165" i="34" s="1"/>
  <c r="AS165" i="34"/>
  <c r="M194" i="40"/>
  <c r="K165" i="22"/>
  <c r="V244" i="22"/>
  <c r="V243" i="22"/>
  <c r="AA166" i="22"/>
  <c r="E166" i="22" s="1"/>
  <c r="AB165" i="22"/>
  <c r="X167" i="22"/>
  <c r="Y166" i="22"/>
  <c r="Z166" i="22" s="1"/>
  <c r="W207" i="22"/>
  <c r="L179" i="39" l="1"/>
  <c r="BA166" i="37"/>
  <c r="BB166" i="37" s="1"/>
  <c r="AB168" i="39"/>
  <c r="AJ165" i="39"/>
  <c r="AA180" i="37"/>
  <c r="E180" i="37" s="1"/>
  <c r="H180" i="37" s="1"/>
  <c r="AB179" i="37"/>
  <c r="K166" i="34"/>
  <c r="AT166" i="34" s="1"/>
  <c r="L180" i="40"/>
  <c r="AA167" i="40"/>
  <c r="E167" i="40" s="1"/>
  <c r="H167" i="40" s="1"/>
  <c r="AS167" i="40" s="1"/>
  <c r="AJ164" i="30"/>
  <c r="AB164" i="30"/>
  <c r="AI165" i="30"/>
  <c r="F179" i="30" s="1"/>
  <c r="L179" i="30" s="1"/>
  <c r="T168" i="39"/>
  <c r="CB168" i="39" s="1"/>
  <c r="BL164" i="27"/>
  <c r="AA169" i="39"/>
  <c r="E169" i="39" s="1"/>
  <c r="H169" i="39" s="1"/>
  <c r="AS169" i="39" s="1"/>
  <c r="AR166" i="37"/>
  <c r="AQ167" i="37"/>
  <c r="G195" i="37" s="1"/>
  <c r="J195" i="37" s="1"/>
  <c r="CE171" i="38"/>
  <c r="AV171" i="38"/>
  <c r="CE170" i="38"/>
  <c r="AV170" i="38"/>
  <c r="CE163" i="27"/>
  <c r="AV163" i="27"/>
  <c r="CE164" i="27"/>
  <c r="AV164" i="27"/>
  <c r="K164" i="30"/>
  <c r="AT164" i="30" s="1"/>
  <c r="CE167" i="37"/>
  <c r="AV167" i="37"/>
  <c r="AS168" i="39"/>
  <c r="AG167" i="40"/>
  <c r="AH167" i="40" s="1"/>
  <c r="AI168" i="40"/>
  <c r="F182" i="40" s="1"/>
  <c r="I182" i="40" s="1"/>
  <c r="AF168" i="40"/>
  <c r="AJ167" i="40"/>
  <c r="T166" i="40"/>
  <c r="CB166" i="40" s="1"/>
  <c r="AF167" i="34"/>
  <c r="AG166" i="34"/>
  <c r="AH166" i="34" s="1"/>
  <c r="AI167" i="34"/>
  <c r="F181" i="34" s="1"/>
  <c r="I181" i="34" s="1"/>
  <c r="AJ166" i="34"/>
  <c r="L179" i="34"/>
  <c r="L180" i="34"/>
  <c r="AR164" i="27"/>
  <c r="AO165" i="27"/>
  <c r="AP165" i="27" s="1"/>
  <c r="AN166" i="27"/>
  <c r="J193" i="38"/>
  <c r="M193" i="38"/>
  <c r="AR165" i="38"/>
  <c r="AN167" i="38"/>
  <c r="AO166" i="38"/>
  <c r="AP166" i="38" s="1"/>
  <c r="AQ166" i="38"/>
  <c r="G194" i="38" s="1"/>
  <c r="AG165" i="30"/>
  <c r="AH165" i="30" s="1"/>
  <c r="AF166" i="30"/>
  <c r="I178" i="30"/>
  <c r="L178" i="30"/>
  <c r="AG166" i="39"/>
  <c r="AH166" i="39" s="1"/>
  <c r="AF167" i="39"/>
  <c r="I180" i="39"/>
  <c r="L180" i="39"/>
  <c r="AA165" i="30"/>
  <c r="E165" i="30" s="1"/>
  <c r="H165" i="30" s="1"/>
  <c r="AO167" i="37"/>
  <c r="AP167" i="37" s="1"/>
  <c r="AN168" i="37"/>
  <c r="AR167" i="37"/>
  <c r="L179" i="37"/>
  <c r="I179" i="37"/>
  <c r="H179" i="37" s="1"/>
  <c r="H179" i="27"/>
  <c r="X168" i="40"/>
  <c r="AB167" i="40"/>
  <c r="AA168" i="40"/>
  <c r="E168" i="40" s="1"/>
  <c r="H168" i="40" s="1"/>
  <c r="AS168" i="40" s="1"/>
  <c r="Y167" i="40"/>
  <c r="Z167" i="40" s="1"/>
  <c r="AS165" i="40"/>
  <c r="T165" i="40"/>
  <c r="CB165" i="40" s="1"/>
  <c r="X168" i="34"/>
  <c r="Y167" i="34"/>
  <c r="Z167" i="34" s="1"/>
  <c r="AB166" i="40"/>
  <c r="AB166" i="34"/>
  <c r="AI169" i="38"/>
  <c r="F183" i="38" s="1"/>
  <c r="I183" i="38" s="1"/>
  <c r="AB179" i="27"/>
  <c r="AJ168" i="38"/>
  <c r="AA180" i="27"/>
  <c r="E180" i="27" s="1"/>
  <c r="H180" i="27" s="1"/>
  <c r="CH119" i="30"/>
  <c r="CH181" i="30"/>
  <c r="CH221" i="30"/>
  <c r="CH159" i="30"/>
  <c r="CH146" i="30"/>
  <c r="CH173" i="30"/>
  <c r="CH142" i="30"/>
  <c r="CH171" i="30"/>
  <c r="CH160" i="30"/>
  <c r="CH190" i="30"/>
  <c r="CH128" i="30"/>
  <c r="CH218" i="30"/>
  <c r="CH109" i="30"/>
  <c r="CH135" i="30"/>
  <c r="CH120" i="30"/>
  <c r="CH152" i="30"/>
  <c r="CH223" i="30"/>
  <c r="CH107" i="30"/>
  <c r="CH121" i="30"/>
  <c r="CH112" i="30"/>
  <c r="CH246" i="30"/>
  <c r="CH104" i="30"/>
  <c r="CH209" i="30"/>
  <c r="CH202" i="30"/>
  <c r="CH132" i="30"/>
  <c r="CH207" i="30"/>
  <c r="CH110" i="30"/>
  <c r="CH227" i="30"/>
  <c r="CH241" i="30"/>
  <c r="CH200" i="30"/>
  <c r="CH204" i="30"/>
  <c r="CH182" i="30"/>
  <c r="CH165" i="30"/>
  <c r="CH161" i="30"/>
  <c r="CH118" i="30"/>
  <c r="CH237" i="30"/>
  <c r="CH214" i="30"/>
  <c r="CH201" i="30"/>
  <c r="CH151" i="30"/>
  <c r="CH117" i="30"/>
  <c r="CH157" i="30"/>
  <c r="CH133" i="30"/>
  <c r="CH189" i="30"/>
  <c r="CH230" i="30"/>
  <c r="CH250" i="30"/>
  <c r="CH196" i="30"/>
  <c r="CH153" i="30"/>
  <c r="CH208" i="30"/>
  <c r="CH130" i="30"/>
  <c r="CH116" i="30"/>
  <c r="CH138" i="30"/>
  <c r="CH242" i="30"/>
  <c r="CH211" i="30"/>
  <c r="CH191" i="30"/>
  <c r="CH140" i="30"/>
  <c r="CH102" i="30"/>
  <c r="CH248" i="30"/>
  <c r="CH215" i="30"/>
  <c r="CH222" i="30"/>
  <c r="CH249" i="30"/>
  <c r="CH137" i="30"/>
  <c r="CH180" i="30"/>
  <c r="CH193" i="30"/>
  <c r="CH232" i="30"/>
  <c r="CH247" i="30"/>
  <c r="CH168" i="30"/>
  <c r="CH219" i="30"/>
  <c r="CH166" i="30"/>
  <c r="CH141" i="30"/>
  <c r="CH203" i="30"/>
  <c r="CH225" i="30"/>
  <c r="CH123" i="30"/>
  <c r="CH134" i="30"/>
  <c r="CH186" i="30"/>
  <c r="CH169" i="30"/>
  <c r="CH163" i="30"/>
  <c r="CH177" i="30"/>
  <c r="CH115" i="30"/>
  <c r="CH108" i="30"/>
  <c r="CH235" i="30"/>
  <c r="CH224" i="30"/>
  <c r="CH167" i="30"/>
  <c r="CH150" i="30"/>
  <c r="CH124" i="30"/>
  <c r="CH244" i="30"/>
  <c r="CH195" i="30"/>
  <c r="CH229" i="30"/>
  <c r="CH213" i="30"/>
  <c r="CH240" i="30"/>
  <c r="CH192" i="30"/>
  <c r="CH184" i="30"/>
  <c r="CH188" i="30"/>
  <c r="CH100" i="30"/>
  <c r="CH236" i="30"/>
  <c r="CH217" i="30"/>
  <c r="CH205" i="30"/>
  <c r="CH174" i="30"/>
  <c r="CH164" i="30"/>
  <c r="CH136" i="30"/>
  <c r="CH197" i="30"/>
  <c r="CH155" i="30"/>
  <c r="CH122" i="30"/>
  <c r="CH158" i="30"/>
  <c r="CH139" i="30"/>
  <c r="CH145" i="30"/>
  <c r="CH175" i="30"/>
  <c r="CH125" i="30"/>
  <c r="CH129" i="30"/>
  <c r="CH111" i="30"/>
  <c r="CH114" i="30"/>
  <c r="CH245" i="30"/>
  <c r="CH154" i="30"/>
  <c r="CH113" i="30"/>
  <c r="CH148" i="30"/>
  <c r="CE97" i="30"/>
  <c r="CH131" i="30"/>
  <c r="CH243" i="30"/>
  <c r="CH228" i="30"/>
  <c r="CH220" i="30"/>
  <c r="CH162" i="30"/>
  <c r="CH212" i="30"/>
  <c r="CH234" i="30"/>
  <c r="CH238" i="30"/>
  <c r="CH183" i="30"/>
  <c r="CH216" i="30"/>
  <c r="CH149" i="30"/>
  <c r="CH185" i="30"/>
  <c r="CH206" i="30"/>
  <c r="CH170" i="30"/>
  <c r="CH143" i="30"/>
  <c r="CH178" i="30"/>
  <c r="CH194" i="30"/>
  <c r="CH179" i="30"/>
  <c r="CH103" i="30"/>
  <c r="CH144" i="30"/>
  <c r="CH172" i="30"/>
  <c r="CH105" i="30"/>
  <c r="CH126" i="30"/>
  <c r="CH199" i="30"/>
  <c r="CH156" i="30"/>
  <c r="CH127" i="30"/>
  <c r="CH106" i="30"/>
  <c r="CH187" i="30"/>
  <c r="CH210" i="30"/>
  <c r="CH101" i="30"/>
  <c r="CH147" i="30"/>
  <c r="CH198" i="30"/>
  <c r="CH231" i="30"/>
  <c r="CH226" i="30"/>
  <c r="CH176" i="30"/>
  <c r="CH239" i="30"/>
  <c r="CH233" i="30"/>
  <c r="Y169" i="39"/>
  <c r="Z169" i="39" s="1"/>
  <c r="AA170" i="39"/>
  <c r="E170" i="39" s="1"/>
  <c r="AB169" i="39"/>
  <c r="X170" i="39"/>
  <c r="V246" i="30"/>
  <c r="X166" i="30"/>
  <c r="Y165" i="30"/>
  <c r="Z165" i="30" s="1"/>
  <c r="AS164" i="30"/>
  <c r="W231" i="30"/>
  <c r="W232" i="30" s="1"/>
  <c r="W233" i="30" s="1"/>
  <c r="W234" i="30" s="1"/>
  <c r="W235" i="30" s="1"/>
  <c r="W236" i="30" s="1"/>
  <c r="W237" i="30" s="1"/>
  <c r="W194" i="40"/>
  <c r="W196" i="34"/>
  <c r="X181" i="37"/>
  <c r="Y180" i="37"/>
  <c r="Z180" i="37" s="1"/>
  <c r="AA181" i="37"/>
  <c r="E181" i="37" s="1"/>
  <c r="BN88" i="38"/>
  <c r="X181" i="38"/>
  <c r="Y180" i="38"/>
  <c r="Z180" i="38" s="1"/>
  <c r="AD246" i="27"/>
  <c r="AE237" i="27"/>
  <c r="AE238" i="27" s="1"/>
  <c r="AE239" i="27" s="1"/>
  <c r="AD247" i="27"/>
  <c r="AG169" i="38"/>
  <c r="AH169" i="38" s="1"/>
  <c r="AI170" i="38"/>
  <c r="F184" i="38" s="1"/>
  <c r="I184" i="38" s="1"/>
  <c r="AJ169" i="38"/>
  <c r="AF170" i="38"/>
  <c r="AG166" i="27"/>
  <c r="AH166" i="27" s="1"/>
  <c r="AF167" i="27"/>
  <c r="Y180" i="27"/>
  <c r="Z180" i="27" s="1"/>
  <c r="X181" i="27"/>
  <c r="AB180" i="27"/>
  <c r="AA181" i="27"/>
  <c r="E181" i="27" s="1"/>
  <c r="AA180" i="38"/>
  <c r="E180" i="38" s="1"/>
  <c r="H180" i="38" s="1"/>
  <c r="AD250" i="38"/>
  <c r="AB179" i="38"/>
  <c r="AD248" i="37"/>
  <c r="L180" i="37"/>
  <c r="AG166" i="37"/>
  <c r="AH166" i="37" s="1"/>
  <c r="AF167" i="37"/>
  <c r="AD249" i="37"/>
  <c r="CB171" i="38"/>
  <c r="BP171" i="38"/>
  <c r="CB170" i="38"/>
  <c r="BP170" i="38"/>
  <c r="CB163" i="27"/>
  <c r="BP163" i="27"/>
  <c r="BP164" i="27"/>
  <c r="CB164" i="27"/>
  <c r="CB167" i="37"/>
  <c r="BP167" i="37"/>
  <c r="L181" i="40"/>
  <c r="L179" i="27"/>
  <c r="M193" i="27"/>
  <c r="L178" i="27"/>
  <c r="M192" i="27"/>
  <c r="T165" i="27"/>
  <c r="BL165" i="27" s="1"/>
  <c r="T172" i="38"/>
  <c r="AS170" i="37"/>
  <c r="K170" i="37"/>
  <c r="AT170" i="37" s="1"/>
  <c r="T169" i="37"/>
  <c r="T168" i="37"/>
  <c r="M197" i="39"/>
  <c r="M193" i="34"/>
  <c r="K167" i="34"/>
  <c r="AT167" i="34" s="1"/>
  <c r="AS167" i="34"/>
  <c r="T166" i="34"/>
  <c r="CB166" i="34" s="1"/>
  <c r="M194" i="34"/>
  <c r="T165" i="34"/>
  <c r="CB165" i="34" s="1"/>
  <c r="AA167" i="22"/>
  <c r="E167" i="22" s="1"/>
  <c r="AB166" i="22"/>
  <c r="V245" i="22"/>
  <c r="V246" i="22"/>
  <c r="K166" i="22"/>
  <c r="X168" i="22"/>
  <c r="Y167" i="22"/>
  <c r="Z167" i="22" s="1"/>
  <c r="W208" i="22"/>
  <c r="AZ167" i="37" l="1"/>
  <c r="BA167" i="37"/>
  <c r="AB180" i="37"/>
  <c r="AJ165" i="30"/>
  <c r="AI166" i="30"/>
  <c r="F180" i="30" s="1"/>
  <c r="I180" i="30" s="1"/>
  <c r="K167" i="40"/>
  <c r="AT167" i="40" s="1"/>
  <c r="I179" i="30"/>
  <c r="K169" i="39"/>
  <c r="AT169" i="39" s="1"/>
  <c r="AQ168" i="37"/>
  <c r="G196" i="37" s="1"/>
  <c r="AJ166" i="39"/>
  <c r="L181" i="34"/>
  <c r="T164" i="30"/>
  <c r="CB164" i="30" s="1"/>
  <c r="M195" i="37"/>
  <c r="AW164" i="27"/>
  <c r="AX164" i="27" s="1"/>
  <c r="BA171" i="27"/>
  <c r="AZ171" i="27"/>
  <c r="BB171" i="27" s="1"/>
  <c r="BA170" i="27"/>
  <c r="AZ170" i="27"/>
  <c r="BB170" i="27" s="1"/>
  <c r="AW163" i="27"/>
  <c r="AX163" i="27" s="1"/>
  <c r="AW170" i="38"/>
  <c r="AX170" i="38" s="1"/>
  <c r="BA177" i="38"/>
  <c r="AZ177" i="38"/>
  <c r="BB177" i="38" s="1"/>
  <c r="AW171" i="38"/>
  <c r="AX171" i="38" s="1"/>
  <c r="BA178" i="38"/>
  <c r="AZ178" i="38"/>
  <c r="BB178" i="38" s="1"/>
  <c r="AR165" i="27"/>
  <c r="AQ166" i="27"/>
  <c r="G194" i="27" s="1"/>
  <c r="J194" i="27" s="1"/>
  <c r="AW167" i="37"/>
  <c r="AX167" i="37" s="1"/>
  <c r="AJ166" i="37"/>
  <c r="AI167" i="39"/>
  <c r="F181" i="39" s="1"/>
  <c r="L181" i="39" s="1"/>
  <c r="CE165" i="27"/>
  <c r="AV165" i="27"/>
  <c r="CB172" i="38"/>
  <c r="CE172" i="38"/>
  <c r="AV172" i="38"/>
  <c r="CB169" i="37"/>
  <c r="CE169" i="37"/>
  <c r="AV169" i="37"/>
  <c r="CB168" i="37"/>
  <c r="CE168" i="37"/>
  <c r="AV168" i="37"/>
  <c r="L183" i="38"/>
  <c r="AA168" i="34"/>
  <c r="E168" i="34" s="1"/>
  <c r="H168" i="34" s="1"/>
  <c r="AF168" i="34"/>
  <c r="AG167" i="34"/>
  <c r="AH167" i="34" s="1"/>
  <c r="AJ167" i="34"/>
  <c r="AG168" i="40"/>
  <c r="AH168" i="40" s="1"/>
  <c r="AF169" i="40"/>
  <c r="AI169" i="40"/>
  <c r="F183" i="40" s="1"/>
  <c r="I183" i="40" s="1"/>
  <c r="AJ168" i="40"/>
  <c r="J194" i="38"/>
  <c r="M194" i="38"/>
  <c r="AR166" i="38"/>
  <c r="AQ167" i="38"/>
  <c r="G195" i="38" s="1"/>
  <c r="AN168" i="38"/>
  <c r="AQ168" i="38"/>
  <c r="G196" i="38" s="1"/>
  <c r="AO167" i="38"/>
  <c r="AP167" i="38" s="1"/>
  <c r="AO166" i="27"/>
  <c r="AP166" i="27" s="1"/>
  <c r="AN167" i="27"/>
  <c r="AG167" i="39"/>
  <c r="AH167" i="39" s="1"/>
  <c r="AF168" i="39"/>
  <c r="K165" i="30"/>
  <c r="AT165" i="30" s="1"/>
  <c r="AA166" i="30"/>
  <c r="E166" i="30" s="1"/>
  <c r="H166" i="30" s="1"/>
  <c r="AB165" i="30"/>
  <c r="AG166" i="30"/>
  <c r="AH166" i="30" s="1"/>
  <c r="AF167" i="30"/>
  <c r="AI167" i="30"/>
  <c r="F181" i="30" s="1"/>
  <c r="I181" i="30" s="1"/>
  <c r="AO168" i="37"/>
  <c r="AP168" i="37" s="1"/>
  <c r="AN169" i="37"/>
  <c r="H170" i="39"/>
  <c r="AS170" i="39" s="1"/>
  <c r="Y168" i="34"/>
  <c r="Z168" i="34" s="1"/>
  <c r="X169" i="34"/>
  <c r="AA169" i="34"/>
  <c r="E169" i="34" s="1"/>
  <c r="H169" i="34" s="1"/>
  <c r="AB168" i="34"/>
  <c r="AB167" i="34"/>
  <c r="X169" i="40"/>
  <c r="AA169" i="40"/>
  <c r="E169" i="40" s="1"/>
  <c r="H169" i="40" s="1"/>
  <c r="Y168" i="40"/>
  <c r="Z168" i="40" s="1"/>
  <c r="W238" i="30"/>
  <c r="W239" i="30" s="1"/>
  <c r="V248" i="30"/>
  <c r="AS165" i="30"/>
  <c r="K170" i="39"/>
  <c r="AT170" i="39" s="1"/>
  <c r="X167" i="30"/>
  <c r="Y166" i="30"/>
  <c r="Z166" i="30" s="1"/>
  <c r="Y170" i="39"/>
  <c r="Z170" i="39" s="1"/>
  <c r="X171" i="39"/>
  <c r="W195" i="40"/>
  <c r="W197" i="34"/>
  <c r="X182" i="37"/>
  <c r="Y181" i="37"/>
  <c r="Z181" i="37" s="1"/>
  <c r="Y181" i="38"/>
  <c r="Z181" i="38" s="1"/>
  <c r="AA182" i="38"/>
  <c r="E182" i="38" s="1"/>
  <c r="H182" i="38" s="1"/>
  <c r="X182" i="38"/>
  <c r="AB181" i="38"/>
  <c r="AA181" i="38"/>
  <c r="E181" i="38" s="1"/>
  <c r="H181" i="38" s="1"/>
  <c r="AD248" i="27"/>
  <c r="AB180" i="38"/>
  <c r="AG170" i="38"/>
  <c r="AH170" i="38" s="1"/>
  <c r="AF171" i="38"/>
  <c r="Y181" i="27"/>
  <c r="Z181" i="27" s="1"/>
  <c r="AA182" i="27"/>
  <c r="E182" i="27" s="1"/>
  <c r="AB181" i="27"/>
  <c r="X182" i="27"/>
  <c r="AD249" i="27"/>
  <c r="AF168" i="27"/>
  <c r="AG167" i="27"/>
  <c r="AH167" i="27" s="1"/>
  <c r="AE240" i="27"/>
  <c r="L184" i="38"/>
  <c r="AI167" i="27"/>
  <c r="F181" i="27" s="1"/>
  <c r="AJ166" i="27"/>
  <c r="AD250" i="37"/>
  <c r="AG167" i="37"/>
  <c r="AH167" i="37" s="1"/>
  <c r="AJ167" i="37"/>
  <c r="AF168" i="37"/>
  <c r="AI167" i="37"/>
  <c r="F181" i="37" s="1"/>
  <c r="I181" i="37" s="1"/>
  <c r="BQ170" i="38"/>
  <c r="BR170" i="38" s="1"/>
  <c r="BQ171" i="38"/>
  <c r="BR171" i="38" s="1"/>
  <c r="BP172" i="38"/>
  <c r="BQ164" i="27"/>
  <c r="BR164" i="27" s="1"/>
  <c r="CB165" i="27"/>
  <c r="BP165" i="27"/>
  <c r="BQ163" i="27"/>
  <c r="BR163" i="27" s="1"/>
  <c r="BM164" i="27"/>
  <c r="BN164" i="27" s="1"/>
  <c r="BM163" i="27"/>
  <c r="BN163" i="27" s="1"/>
  <c r="BP169" i="37"/>
  <c r="BP168" i="37"/>
  <c r="BQ167" i="37"/>
  <c r="BR167" i="37" s="1"/>
  <c r="BM167" i="37"/>
  <c r="BN86" i="37" s="1"/>
  <c r="BN85" i="37"/>
  <c r="K168" i="40"/>
  <c r="AT168" i="40" s="1"/>
  <c r="L180" i="27"/>
  <c r="K166" i="27"/>
  <c r="AT166" i="27" s="1"/>
  <c r="AS166" i="27"/>
  <c r="AS167" i="27"/>
  <c r="K167" i="27"/>
  <c r="AT167" i="27" s="1"/>
  <c r="AS174" i="38"/>
  <c r="K174" i="38"/>
  <c r="AT174" i="38" s="1"/>
  <c r="K173" i="38"/>
  <c r="AT173" i="38" s="1"/>
  <c r="AS173" i="38"/>
  <c r="T170" i="37"/>
  <c r="AS171" i="37"/>
  <c r="K171" i="37"/>
  <c r="AT171" i="37" s="1"/>
  <c r="M195" i="30"/>
  <c r="M196" i="30"/>
  <c r="M198" i="39"/>
  <c r="M196" i="40"/>
  <c r="M195" i="40"/>
  <c r="M195" i="34"/>
  <c r="T167" i="34"/>
  <c r="CB167" i="34" s="1"/>
  <c r="K167" i="22"/>
  <c r="V248" i="22"/>
  <c r="V247" i="22"/>
  <c r="AA168" i="22"/>
  <c r="E168" i="22" s="1"/>
  <c r="AB167" i="22"/>
  <c r="X169" i="22"/>
  <c r="Y168" i="22"/>
  <c r="Z168" i="22" s="1"/>
  <c r="W209" i="22"/>
  <c r="L180" i="30" l="1"/>
  <c r="AZ168" i="37"/>
  <c r="AZ169" i="37"/>
  <c r="BB167" i="37"/>
  <c r="AB170" i="39"/>
  <c r="AA171" i="39"/>
  <c r="E171" i="39" s="1"/>
  <c r="H171" i="39" s="1"/>
  <c r="AS171" i="39" s="1"/>
  <c r="AB181" i="37"/>
  <c r="AA182" i="37"/>
  <c r="E182" i="37" s="1"/>
  <c r="T167" i="40"/>
  <c r="CB167" i="40" s="1"/>
  <c r="T169" i="39"/>
  <c r="CB169" i="39" s="1"/>
  <c r="AR168" i="37"/>
  <c r="AQ169" i="37"/>
  <c r="G197" i="37" s="1"/>
  <c r="J197" i="37" s="1"/>
  <c r="J196" i="37"/>
  <c r="M196" i="37"/>
  <c r="I181" i="39"/>
  <c r="AR167" i="38"/>
  <c r="BA179" i="38"/>
  <c r="AZ179" i="38"/>
  <c r="BB179" i="38" s="1"/>
  <c r="AW172" i="38"/>
  <c r="AX172" i="38" s="1"/>
  <c r="BA172" i="27"/>
  <c r="AZ172" i="27"/>
  <c r="BB172" i="27" s="1"/>
  <c r="AW165" i="27"/>
  <c r="AX165" i="27" s="1"/>
  <c r="AW168" i="37"/>
  <c r="AX168" i="37" s="1"/>
  <c r="AW169" i="37"/>
  <c r="AX169" i="37" s="1"/>
  <c r="AJ167" i="39"/>
  <c r="AI168" i="39"/>
  <c r="F182" i="39" s="1"/>
  <c r="L182" i="39" s="1"/>
  <c r="K166" i="30"/>
  <c r="AT166" i="30" s="1"/>
  <c r="T165" i="30"/>
  <c r="CB165" i="30" s="1"/>
  <c r="AJ166" i="30"/>
  <c r="CE170" i="37"/>
  <c r="AV170" i="37"/>
  <c r="H181" i="37"/>
  <c r="K169" i="40"/>
  <c r="AT169" i="40" s="1"/>
  <c r="AG169" i="40"/>
  <c r="AH169" i="40" s="1"/>
  <c r="AF170" i="40"/>
  <c r="AI170" i="40"/>
  <c r="F184" i="40" s="1"/>
  <c r="I184" i="40" s="1"/>
  <c r="L183" i="40"/>
  <c r="AG168" i="34"/>
  <c r="AH168" i="34" s="1"/>
  <c r="AF169" i="34"/>
  <c r="AI168" i="34"/>
  <c r="F182" i="34" s="1"/>
  <c r="I182" i="34" s="1"/>
  <c r="AR166" i="27"/>
  <c r="AQ167" i="27"/>
  <c r="G195" i="27" s="1"/>
  <c r="J195" i="27" s="1"/>
  <c r="AO167" i="27"/>
  <c r="AP167" i="27" s="1"/>
  <c r="AQ168" i="27"/>
  <c r="G196" i="27" s="1"/>
  <c r="J196" i="27" s="1"/>
  <c r="AN168" i="27"/>
  <c r="AR167" i="27"/>
  <c r="J196" i="38"/>
  <c r="M196" i="38"/>
  <c r="AO168" i="38"/>
  <c r="AP168" i="38" s="1"/>
  <c r="AN169" i="38"/>
  <c r="J195" i="38"/>
  <c r="M195" i="38"/>
  <c r="AI171" i="38"/>
  <c r="F185" i="38" s="1"/>
  <c r="I185" i="38" s="1"/>
  <c r="AI168" i="30"/>
  <c r="F182" i="30" s="1"/>
  <c r="AG167" i="30"/>
  <c r="AH167" i="30" s="1"/>
  <c r="AF168" i="30"/>
  <c r="L181" i="30"/>
  <c r="AF169" i="39"/>
  <c r="AG168" i="39"/>
  <c r="AH168" i="39" s="1"/>
  <c r="AO169" i="37"/>
  <c r="AP169" i="37" s="1"/>
  <c r="AQ170" i="37"/>
  <c r="G198" i="37" s="1"/>
  <c r="AN170" i="37"/>
  <c r="AR169" i="37"/>
  <c r="L181" i="27"/>
  <c r="I181" i="27"/>
  <c r="H181" i="27" s="1"/>
  <c r="T170" i="39"/>
  <c r="CB170" i="39" s="1"/>
  <c r="Y169" i="40"/>
  <c r="Z169" i="40" s="1"/>
  <c r="X170" i="40"/>
  <c r="X170" i="34"/>
  <c r="Y169" i="34"/>
  <c r="Z169" i="34" s="1"/>
  <c r="AA170" i="34"/>
  <c r="E170" i="34" s="1"/>
  <c r="H170" i="34" s="1"/>
  <c r="AB168" i="40"/>
  <c r="AA167" i="30"/>
  <c r="E167" i="30" s="1"/>
  <c r="H167" i="30" s="1"/>
  <c r="V250" i="30"/>
  <c r="X168" i="30"/>
  <c r="Y167" i="30"/>
  <c r="Z167" i="30" s="1"/>
  <c r="Y171" i="39"/>
  <c r="Z171" i="39" s="1"/>
  <c r="X172" i="39"/>
  <c r="AB166" i="30"/>
  <c r="AS166" i="30"/>
  <c r="W240" i="30"/>
  <c r="W241" i="30" s="1"/>
  <c r="T168" i="40"/>
  <c r="CB168" i="40" s="1"/>
  <c r="W196" i="40"/>
  <c r="W198" i="34"/>
  <c r="K168" i="34"/>
  <c r="AT168" i="34" s="1"/>
  <c r="AS168" i="34"/>
  <c r="AI168" i="37"/>
  <c r="F182" i="37" s="1"/>
  <c r="I182" i="37" s="1"/>
  <c r="Y182" i="37"/>
  <c r="X183" i="37"/>
  <c r="AJ170" i="38"/>
  <c r="AG168" i="27"/>
  <c r="AH168" i="27" s="1"/>
  <c r="AI169" i="27"/>
  <c r="F183" i="27" s="1"/>
  <c r="I183" i="27" s="1"/>
  <c r="AF169" i="27"/>
  <c r="X183" i="38"/>
  <c r="Y182" i="38"/>
  <c r="Z182" i="38" s="1"/>
  <c r="AE241" i="27"/>
  <c r="AE242" i="27" s="1"/>
  <c r="AG171" i="38"/>
  <c r="AH171" i="38" s="1"/>
  <c r="AJ171" i="38"/>
  <c r="AI172" i="38"/>
  <c r="F186" i="38" s="1"/>
  <c r="I186" i="38" s="1"/>
  <c r="AF172" i="38"/>
  <c r="Y182" i="27"/>
  <c r="Z182" i="27" s="1"/>
  <c r="X183" i="27"/>
  <c r="AJ167" i="27"/>
  <c r="AI168" i="27"/>
  <c r="F182" i="27" s="1"/>
  <c r="AD250" i="27"/>
  <c r="AG168" i="37"/>
  <c r="AH168" i="37" s="1"/>
  <c r="AF169" i="37"/>
  <c r="L181" i="37"/>
  <c r="BQ172" i="38"/>
  <c r="BR172" i="38" s="1"/>
  <c r="BQ165" i="27"/>
  <c r="BR165" i="27" s="1"/>
  <c r="BM165" i="27"/>
  <c r="BN165" i="27" s="1"/>
  <c r="BN167" i="37"/>
  <c r="BN87" i="37" s="1"/>
  <c r="BQ168" i="37"/>
  <c r="BR168" i="37" s="1"/>
  <c r="BQ169" i="37"/>
  <c r="BR169" i="37" s="1"/>
  <c r="CB170" i="37"/>
  <c r="BP170" i="37"/>
  <c r="AS169" i="40"/>
  <c r="L182" i="40"/>
  <c r="M194" i="27"/>
  <c r="T166" i="27"/>
  <c r="BL166" i="27" s="1"/>
  <c r="T174" i="38"/>
  <c r="T167" i="27"/>
  <c r="T173" i="38"/>
  <c r="K168" i="27"/>
  <c r="AT168" i="27" s="1"/>
  <c r="AS168" i="27"/>
  <c r="AS172" i="37"/>
  <c r="K172" i="37"/>
  <c r="AT172" i="37" s="1"/>
  <c r="T171" i="37"/>
  <c r="M200" i="39"/>
  <c r="M199" i="39"/>
  <c r="M197" i="30"/>
  <c r="K169" i="34"/>
  <c r="AT169" i="34" s="1"/>
  <c r="AS169" i="34"/>
  <c r="M196" i="34"/>
  <c r="M197" i="40"/>
  <c r="AA169" i="22"/>
  <c r="E169" i="22" s="1"/>
  <c r="AB168" i="22"/>
  <c r="V249" i="22"/>
  <c r="V250" i="22"/>
  <c r="K168" i="22"/>
  <c r="X170" i="22"/>
  <c r="Y169" i="22"/>
  <c r="Z169" i="22" s="1"/>
  <c r="W210" i="22"/>
  <c r="AZ170" i="37" l="1"/>
  <c r="BA170" i="37"/>
  <c r="AJ168" i="39"/>
  <c r="BA169" i="37"/>
  <c r="BB169" i="37" s="1"/>
  <c r="AA172" i="39"/>
  <c r="E172" i="39" s="1"/>
  <c r="H172" i="39" s="1"/>
  <c r="AS172" i="39" s="1"/>
  <c r="K171" i="39"/>
  <c r="AT171" i="39" s="1"/>
  <c r="BA168" i="37"/>
  <c r="BB168" i="37" s="1"/>
  <c r="AA168" i="30"/>
  <c r="E168" i="30" s="1"/>
  <c r="H168" i="30" s="1"/>
  <c r="M197" i="37"/>
  <c r="AJ169" i="40"/>
  <c r="AB167" i="30"/>
  <c r="AI169" i="39"/>
  <c r="F183" i="39" s="1"/>
  <c r="I183" i="39" s="1"/>
  <c r="AJ167" i="30"/>
  <c r="AB171" i="39"/>
  <c r="I182" i="39"/>
  <c r="BL167" i="27"/>
  <c r="AJ168" i="34"/>
  <c r="AR168" i="38"/>
  <c r="AQ169" i="38"/>
  <c r="G197" i="38" s="1"/>
  <c r="J197" i="38" s="1"/>
  <c r="AA170" i="40"/>
  <c r="E170" i="40" s="1"/>
  <c r="H170" i="40" s="1"/>
  <c r="AS170" i="40" s="1"/>
  <c r="AB169" i="40"/>
  <c r="M195" i="27"/>
  <c r="AI169" i="34"/>
  <c r="F183" i="34" s="1"/>
  <c r="I183" i="34" s="1"/>
  <c r="AW170" i="37"/>
  <c r="AX170" i="37" s="1"/>
  <c r="T166" i="30"/>
  <c r="CB166" i="30" s="1"/>
  <c r="CB174" i="38"/>
  <c r="CE174" i="38"/>
  <c r="AV174" i="38"/>
  <c r="CE166" i="27"/>
  <c r="AV166" i="27"/>
  <c r="CE173" i="38"/>
  <c r="AV173" i="38"/>
  <c r="CE167" i="27"/>
  <c r="AV167" i="27"/>
  <c r="CB171" i="37"/>
  <c r="CE171" i="37"/>
  <c r="AV171" i="37"/>
  <c r="J198" i="37"/>
  <c r="M198" i="37"/>
  <c r="H182" i="37"/>
  <c r="AG169" i="34"/>
  <c r="AH169" i="34" s="1"/>
  <c r="AI170" i="34"/>
  <c r="F184" i="34" s="1"/>
  <c r="I184" i="34" s="1"/>
  <c r="AF170" i="34"/>
  <c r="AJ169" i="34"/>
  <c r="L182" i="34"/>
  <c r="AG170" i="40"/>
  <c r="AH170" i="40" s="1"/>
  <c r="AI171" i="40"/>
  <c r="F185" i="40" s="1"/>
  <c r="I185" i="40" s="1"/>
  <c r="AF171" i="40"/>
  <c r="AJ170" i="40"/>
  <c r="AO168" i="27"/>
  <c r="AP168" i="27" s="1"/>
  <c r="AN169" i="27"/>
  <c r="AR168" i="27"/>
  <c r="AO169" i="38"/>
  <c r="AP169" i="38" s="1"/>
  <c r="AN170" i="38"/>
  <c r="L185" i="38"/>
  <c r="AG169" i="39"/>
  <c r="AH169" i="39" s="1"/>
  <c r="AF170" i="39"/>
  <c r="AI170" i="39"/>
  <c r="F184" i="39" s="1"/>
  <c r="AJ169" i="39"/>
  <c r="AG168" i="30"/>
  <c r="AH168" i="30" s="1"/>
  <c r="AF169" i="30"/>
  <c r="I182" i="30"/>
  <c r="L182" i="30"/>
  <c r="AO170" i="37"/>
  <c r="AP170" i="37" s="1"/>
  <c r="AN171" i="37"/>
  <c r="AR170" i="37"/>
  <c r="L182" i="27"/>
  <c r="I182" i="27"/>
  <c r="H182" i="27" s="1"/>
  <c r="AB169" i="34"/>
  <c r="Y170" i="34"/>
  <c r="Z170" i="34" s="1"/>
  <c r="X171" i="34"/>
  <c r="AA171" i="34"/>
  <c r="E171" i="34" s="1"/>
  <c r="H171" i="34" s="1"/>
  <c r="AB170" i="34"/>
  <c r="X171" i="40"/>
  <c r="AA171" i="40"/>
  <c r="E171" i="40" s="1"/>
  <c r="H171" i="40" s="1"/>
  <c r="AS171" i="40" s="1"/>
  <c r="Y170" i="40"/>
  <c r="Z170" i="40" s="1"/>
  <c r="AB182" i="27"/>
  <c r="AA183" i="27"/>
  <c r="E183" i="27" s="1"/>
  <c r="H183" i="27" s="1"/>
  <c r="Y172" i="39"/>
  <c r="Z172" i="39" s="1"/>
  <c r="AB172" i="39"/>
  <c r="X173" i="39"/>
  <c r="W242" i="30"/>
  <c r="W243" i="30" s="1"/>
  <c r="W244" i="30" s="1"/>
  <c r="W245" i="30" s="1"/>
  <c r="Y168" i="30"/>
  <c r="Z168" i="30" s="1"/>
  <c r="AA169" i="30"/>
  <c r="E169" i="30" s="1"/>
  <c r="H169" i="30" s="1"/>
  <c r="AB168" i="30"/>
  <c r="X169" i="30"/>
  <c r="K167" i="30"/>
  <c r="AT167" i="30" s="1"/>
  <c r="T168" i="34"/>
  <c r="CB168" i="34" s="1"/>
  <c r="T169" i="40"/>
  <c r="CB169" i="40" s="1"/>
  <c r="W197" i="40"/>
  <c r="W199" i="34"/>
  <c r="L182" i="37"/>
  <c r="AJ168" i="37"/>
  <c r="AA184" i="37"/>
  <c r="E184" i="37" s="1"/>
  <c r="X184" i="37"/>
  <c r="Y183" i="37"/>
  <c r="Z183" i="37" s="1"/>
  <c r="Z182" i="37"/>
  <c r="AB182" i="37"/>
  <c r="AA183" i="37"/>
  <c r="E183" i="37" s="1"/>
  <c r="AI169" i="37"/>
  <c r="F183" i="37" s="1"/>
  <c r="I183" i="37" s="1"/>
  <c r="Y183" i="27"/>
  <c r="Z183" i="27" s="1"/>
  <c r="X184" i="27"/>
  <c r="AE243" i="27"/>
  <c r="AE244" i="27" s="1"/>
  <c r="Y183" i="38"/>
  <c r="Z183" i="38" s="1"/>
  <c r="X184" i="38"/>
  <c r="AA184" i="38"/>
  <c r="E184" i="38" s="1"/>
  <c r="H184" i="38" s="1"/>
  <c r="AB183" i="38"/>
  <c r="AG172" i="38"/>
  <c r="AH172" i="38" s="1"/>
  <c r="AF173" i="38"/>
  <c r="AA183" i="38"/>
  <c r="E183" i="38" s="1"/>
  <c r="H183" i="38" s="1"/>
  <c r="L186" i="38"/>
  <c r="AB182" i="38"/>
  <c r="AF170" i="27"/>
  <c r="AG169" i="27"/>
  <c r="AH169" i="27" s="1"/>
  <c r="AJ168" i="27"/>
  <c r="AG169" i="37"/>
  <c r="AH169" i="37" s="1"/>
  <c r="AI170" i="37"/>
  <c r="F184" i="37" s="1"/>
  <c r="I184" i="37" s="1"/>
  <c r="AF170" i="37"/>
  <c r="CB173" i="38"/>
  <c r="BP173" i="38"/>
  <c r="BP174" i="38"/>
  <c r="CB166" i="27"/>
  <c r="BP167" i="27"/>
  <c r="BP166" i="27"/>
  <c r="CB167" i="27"/>
  <c r="BQ170" i="37"/>
  <c r="BR170" i="37" s="1"/>
  <c r="BN88" i="37"/>
  <c r="BP171" i="37"/>
  <c r="L184" i="40"/>
  <c r="K175" i="38"/>
  <c r="AT175" i="38" s="1"/>
  <c r="AS175" i="38"/>
  <c r="AS176" i="38"/>
  <c r="K176" i="38"/>
  <c r="AT176" i="38" s="1"/>
  <c r="T168" i="27"/>
  <c r="M196" i="27"/>
  <c r="T172" i="37"/>
  <c r="K173" i="37"/>
  <c r="AT173" i="37" s="1"/>
  <c r="AS173" i="37"/>
  <c r="M198" i="30"/>
  <c r="M201" i="39"/>
  <c r="T169" i="34"/>
  <c r="CB169" i="34" s="1"/>
  <c r="M198" i="40"/>
  <c r="K170" i="34"/>
  <c r="AT170" i="34" s="1"/>
  <c r="AS170" i="34"/>
  <c r="M197" i="34"/>
  <c r="AA170" i="22"/>
  <c r="AB169" i="22"/>
  <c r="X171" i="22"/>
  <c r="Y170" i="22"/>
  <c r="Z170" i="22" s="1"/>
  <c r="W211" i="22"/>
  <c r="K172" i="39" l="1"/>
  <c r="AT172" i="39" s="1"/>
  <c r="AB183" i="37"/>
  <c r="AZ171" i="37"/>
  <c r="BA171" i="37" s="1"/>
  <c r="T171" i="39"/>
  <c r="CB171" i="39" s="1"/>
  <c r="BB170" i="37"/>
  <c r="K168" i="30"/>
  <c r="AT168" i="30" s="1"/>
  <c r="L183" i="39"/>
  <c r="AQ169" i="27"/>
  <c r="G197" i="27" s="1"/>
  <c r="J197" i="27" s="1"/>
  <c r="K170" i="40"/>
  <c r="AT170" i="40" s="1"/>
  <c r="AR169" i="38"/>
  <c r="AJ172" i="38"/>
  <c r="AQ170" i="38"/>
  <c r="G198" i="38" s="1"/>
  <c r="M198" i="38" s="1"/>
  <c r="AI173" i="38"/>
  <c r="F187" i="38" s="1"/>
  <c r="I187" i="38" s="1"/>
  <c r="M197" i="38"/>
  <c r="L184" i="34"/>
  <c r="AZ181" i="38"/>
  <c r="BB181" i="38" s="1"/>
  <c r="AW174" i="38"/>
  <c r="AX174" i="38" s="1"/>
  <c r="BA181" i="38"/>
  <c r="AZ174" i="27"/>
  <c r="BB174" i="27" s="1"/>
  <c r="AW167" i="27"/>
  <c r="AX167" i="27" s="1"/>
  <c r="BA174" i="27"/>
  <c r="AW173" i="38"/>
  <c r="AX173" i="38" s="1"/>
  <c r="AZ180" i="38"/>
  <c r="BB180" i="38" s="1"/>
  <c r="BA180" i="38"/>
  <c r="AZ173" i="27"/>
  <c r="BB173" i="27" s="1"/>
  <c r="BA173" i="27"/>
  <c r="AW166" i="27"/>
  <c r="AX166" i="27" s="1"/>
  <c r="L183" i="34"/>
  <c r="H184" i="37"/>
  <c r="H183" i="37"/>
  <c r="AQ171" i="37"/>
  <c r="G199" i="37" s="1"/>
  <c r="J199" i="37" s="1"/>
  <c r="AJ168" i="30"/>
  <c r="AI169" i="30"/>
  <c r="F183" i="30" s="1"/>
  <c r="I183" i="30" s="1"/>
  <c r="AW171" i="37"/>
  <c r="AX171" i="37" s="1"/>
  <c r="CB168" i="27"/>
  <c r="CE168" i="27"/>
  <c r="AV168" i="27"/>
  <c r="CE172" i="37"/>
  <c r="AV172" i="37"/>
  <c r="AG171" i="40"/>
  <c r="AH171" i="40" s="1"/>
  <c r="AF172" i="40"/>
  <c r="AG170" i="34"/>
  <c r="AH170" i="34" s="1"/>
  <c r="AI171" i="34"/>
  <c r="F185" i="34" s="1"/>
  <c r="I185" i="34" s="1"/>
  <c r="AF171" i="34"/>
  <c r="AJ170" i="34"/>
  <c r="L185" i="40"/>
  <c r="AN171" i="38"/>
  <c r="AO170" i="38"/>
  <c r="AP170" i="38" s="1"/>
  <c r="AO169" i="27"/>
  <c r="AP169" i="27" s="1"/>
  <c r="AN170" i="27"/>
  <c r="AR169" i="27"/>
  <c r="I184" i="39"/>
  <c r="L184" i="39"/>
  <c r="AG170" i="39"/>
  <c r="AH170" i="39" s="1"/>
  <c r="AF171" i="39"/>
  <c r="AG169" i="30"/>
  <c r="AH169" i="30" s="1"/>
  <c r="AF170" i="30"/>
  <c r="AA173" i="39"/>
  <c r="E173" i="39" s="1"/>
  <c r="H173" i="39" s="1"/>
  <c r="AS173" i="39" s="1"/>
  <c r="T172" i="39"/>
  <c r="CB172" i="39" s="1"/>
  <c r="AO171" i="37"/>
  <c r="AP171" i="37" s="1"/>
  <c r="AN172" i="37"/>
  <c r="L183" i="37"/>
  <c r="K171" i="40"/>
  <c r="AT171" i="40" s="1"/>
  <c r="X172" i="40"/>
  <c r="Y171" i="40"/>
  <c r="Z171" i="40" s="1"/>
  <c r="AA172" i="40"/>
  <c r="E172" i="40" s="1"/>
  <c r="H172" i="40" s="1"/>
  <c r="AS172" i="40" s="1"/>
  <c r="AB171" i="40"/>
  <c r="AB171" i="34"/>
  <c r="X172" i="34"/>
  <c r="Y171" i="34"/>
  <c r="Z171" i="34" s="1"/>
  <c r="AB170" i="40"/>
  <c r="AA184" i="27"/>
  <c r="E184" i="27" s="1"/>
  <c r="AB183" i="27"/>
  <c r="X170" i="30"/>
  <c r="Y169" i="30"/>
  <c r="Z169" i="30" s="1"/>
  <c r="Y173" i="39"/>
  <c r="Z173" i="39" s="1"/>
  <c r="AA174" i="39"/>
  <c r="E174" i="39" s="1"/>
  <c r="X174" i="39"/>
  <c r="K169" i="30"/>
  <c r="AT169" i="30" s="1"/>
  <c r="W246" i="30"/>
  <c r="W247" i="30" s="1"/>
  <c r="AS167" i="30"/>
  <c r="T167" i="30"/>
  <c r="CB167" i="30" s="1"/>
  <c r="AS168" i="30"/>
  <c r="T168" i="30"/>
  <c r="CB168" i="30" s="1"/>
  <c r="W198" i="40"/>
  <c r="W200" i="34"/>
  <c r="AJ169" i="37"/>
  <c r="AA185" i="37"/>
  <c r="E185" i="37" s="1"/>
  <c r="X185" i="37"/>
  <c r="Y184" i="37"/>
  <c r="Z184" i="37" s="1"/>
  <c r="AF171" i="27"/>
  <c r="AG170" i="27"/>
  <c r="AH170" i="27" s="1"/>
  <c r="AI170" i="27"/>
  <c r="F184" i="27" s="1"/>
  <c r="AE245" i="27"/>
  <c r="AG173" i="38"/>
  <c r="AH173" i="38" s="1"/>
  <c r="AI174" i="38"/>
  <c r="F188" i="38" s="1"/>
  <c r="I188" i="38" s="1"/>
  <c r="AJ173" i="38"/>
  <c r="AF174" i="38"/>
  <c r="Y184" i="27"/>
  <c r="Z184" i="27" s="1"/>
  <c r="X185" i="27"/>
  <c r="Y184" i="38"/>
  <c r="Z184" i="38" s="1"/>
  <c r="AA185" i="38"/>
  <c r="E185" i="38" s="1"/>
  <c r="H185" i="38" s="1"/>
  <c r="AB184" i="38"/>
  <c r="X185" i="38"/>
  <c r="AJ169" i="27"/>
  <c r="AG170" i="37"/>
  <c r="AH170" i="37" s="1"/>
  <c r="AI171" i="37"/>
  <c r="F185" i="37" s="1"/>
  <c r="I185" i="37" s="1"/>
  <c r="AF171" i="37"/>
  <c r="L184" i="37"/>
  <c r="E170" i="22"/>
  <c r="K170" i="22" s="1"/>
  <c r="BR85" i="38"/>
  <c r="BQ174" i="38"/>
  <c r="BR86" i="38" s="1"/>
  <c r="BQ173" i="38"/>
  <c r="BR173" i="38" s="1"/>
  <c r="T175" i="38"/>
  <c r="BQ166" i="27"/>
  <c r="BR166" i="27" s="1"/>
  <c r="BQ167" i="27"/>
  <c r="BR167" i="27" s="1"/>
  <c r="BM167" i="27"/>
  <c r="BN86" i="27" s="1"/>
  <c r="BN85" i="27"/>
  <c r="BP168" i="27"/>
  <c r="BM166" i="27"/>
  <c r="BN166" i="27" s="1"/>
  <c r="CB172" i="37"/>
  <c r="BP172" i="37"/>
  <c r="BQ171" i="37"/>
  <c r="BR171" i="37" s="1"/>
  <c r="L183" i="27"/>
  <c r="T176" i="38"/>
  <c r="K170" i="27"/>
  <c r="AT170" i="27" s="1"/>
  <c r="AS170" i="27"/>
  <c r="AS169" i="27"/>
  <c r="K169" i="27"/>
  <c r="AT169" i="27" s="1"/>
  <c r="AS177" i="38"/>
  <c r="K177" i="38"/>
  <c r="AT177" i="38" s="1"/>
  <c r="T173" i="37"/>
  <c r="AS174" i="37"/>
  <c r="K174" i="37"/>
  <c r="AT174" i="37" s="1"/>
  <c r="M203" i="39"/>
  <c r="M198" i="34"/>
  <c r="AS171" i="34"/>
  <c r="M199" i="40"/>
  <c r="T170" i="34"/>
  <c r="CB170" i="34" s="1"/>
  <c r="M202" i="39"/>
  <c r="M199" i="30"/>
  <c r="AA171" i="22"/>
  <c r="E171" i="22" s="1"/>
  <c r="AB170" i="22"/>
  <c r="X172" i="22"/>
  <c r="Y171" i="22"/>
  <c r="Z171" i="22" s="1"/>
  <c r="K169" i="22"/>
  <c r="W212" i="22"/>
  <c r="AJ170" i="39" l="1"/>
  <c r="AI171" i="39"/>
  <c r="F185" i="39" s="1"/>
  <c r="I185" i="39" s="1"/>
  <c r="AZ172" i="37"/>
  <c r="BA172" i="37" s="1"/>
  <c r="BB171" i="37"/>
  <c r="AI170" i="30"/>
  <c r="F184" i="30" s="1"/>
  <c r="I184" i="30" s="1"/>
  <c r="AJ169" i="30"/>
  <c r="AB184" i="37"/>
  <c r="J198" i="38"/>
  <c r="T170" i="40"/>
  <c r="CB170" i="40" s="1"/>
  <c r="M199" i="37"/>
  <c r="L187" i="38"/>
  <c r="AI172" i="40"/>
  <c r="F186" i="40" s="1"/>
  <c r="I186" i="40" s="1"/>
  <c r="AR170" i="38"/>
  <c r="AQ171" i="38"/>
  <c r="G199" i="38" s="1"/>
  <c r="J199" i="38" s="1"/>
  <c r="AR171" i="37"/>
  <c r="AQ172" i="37"/>
  <c r="G200" i="37" s="1"/>
  <c r="J200" i="37" s="1"/>
  <c r="AJ170" i="37"/>
  <c r="AJ171" i="40"/>
  <c r="AW168" i="27"/>
  <c r="AX168" i="27" s="1"/>
  <c r="AZ175" i="27"/>
  <c r="BB175" i="27" s="1"/>
  <c r="BA175" i="27"/>
  <c r="AW172" i="37"/>
  <c r="AX172" i="37" s="1"/>
  <c r="L183" i="30"/>
  <c r="AB173" i="39"/>
  <c r="CB175" i="38"/>
  <c r="CE175" i="38"/>
  <c r="AV175" i="38"/>
  <c r="CB176" i="38"/>
  <c r="CE176" i="38"/>
  <c r="AV176" i="38"/>
  <c r="CE173" i="37"/>
  <c r="AV173" i="37"/>
  <c r="T171" i="40"/>
  <c r="CB171" i="40" s="1"/>
  <c r="H185" i="37"/>
  <c r="AG171" i="34"/>
  <c r="AH171" i="34" s="1"/>
  <c r="AF172" i="34"/>
  <c r="AI172" i="34"/>
  <c r="F186" i="34" s="1"/>
  <c r="I186" i="34" s="1"/>
  <c r="AJ171" i="34"/>
  <c r="K172" i="40"/>
  <c r="AT172" i="40" s="1"/>
  <c r="AG172" i="40"/>
  <c r="AH172" i="40" s="1"/>
  <c r="AF173" i="40"/>
  <c r="AI173" i="40"/>
  <c r="F187" i="40" s="1"/>
  <c r="I187" i="40" s="1"/>
  <c r="AJ172" i="40"/>
  <c r="AO170" i="27"/>
  <c r="AP170" i="27" s="1"/>
  <c r="AN171" i="27"/>
  <c r="AQ170" i="27"/>
  <c r="G198" i="27" s="1"/>
  <c r="J198" i="27" s="1"/>
  <c r="AO171" i="38"/>
  <c r="AP171" i="38" s="1"/>
  <c r="AQ172" i="38"/>
  <c r="G200" i="38" s="1"/>
  <c r="AN172" i="38"/>
  <c r="AR171" i="38"/>
  <c r="AG170" i="30"/>
  <c r="AH170" i="30" s="1"/>
  <c r="AI171" i="30"/>
  <c r="F185" i="30" s="1"/>
  <c r="AF171" i="30"/>
  <c r="K173" i="39"/>
  <c r="AT173" i="39" s="1"/>
  <c r="L185" i="39"/>
  <c r="AG171" i="39"/>
  <c r="AH171" i="39" s="1"/>
  <c r="AF172" i="39"/>
  <c r="AO172" i="37"/>
  <c r="AP172" i="37" s="1"/>
  <c r="AN173" i="37"/>
  <c r="AQ173" i="37"/>
  <c r="G201" i="37" s="1"/>
  <c r="AR172" i="37"/>
  <c r="L184" i="27"/>
  <c r="I184" i="27"/>
  <c r="H184" i="27" s="1"/>
  <c r="K174" i="39"/>
  <c r="AT174" i="39" s="1"/>
  <c r="H174" i="39"/>
  <c r="AA173" i="34"/>
  <c r="E173" i="34" s="1"/>
  <c r="H173" i="34" s="1"/>
  <c r="X173" i="34"/>
  <c r="Y172" i="34"/>
  <c r="Z172" i="34" s="1"/>
  <c r="AB172" i="34"/>
  <c r="AA172" i="34"/>
  <c r="E172" i="34" s="1"/>
  <c r="H172" i="34" s="1"/>
  <c r="X173" i="40"/>
  <c r="Y172" i="40"/>
  <c r="Z172" i="40" s="1"/>
  <c r="AA173" i="40"/>
  <c r="E173" i="40" s="1"/>
  <c r="AA185" i="27"/>
  <c r="E185" i="27" s="1"/>
  <c r="Y174" i="39"/>
  <c r="Z174" i="39" s="1"/>
  <c r="X175" i="39"/>
  <c r="W248" i="30"/>
  <c r="Y170" i="30"/>
  <c r="Z170" i="30" s="1"/>
  <c r="X171" i="30"/>
  <c r="AA170" i="30"/>
  <c r="E170" i="30" s="1"/>
  <c r="H170" i="30" s="1"/>
  <c r="AS169" i="30"/>
  <c r="T169" i="30"/>
  <c r="CB169" i="30" s="1"/>
  <c r="AB169" i="30"/>
  <c r="W199" i="40"/>
  <c r="W201" i="34"/>
  <c r="K171" i="34"/>
  <c r="AT171" i="34" s="1"/>
  <c r="X186" i="37"/>
  <c r="Y185" i="37"/>
  <c r="Z185" i="37" s="1"/>
  <c r="AA186" i="37"/>
  <c r="E186" i="37" s="1"/>
  <c r="Y185" i="27"/>
  <c r="Z185" i="27" s="1"/>
  <c r="AB185" i="27"/>
  <c r="AA186" i="27"/>
  <c r="E186" i="27" s="1"/>
  <c r="X186" i="27"/>
  <c r="Y185" i="38"/>
  <c r="Z185" i="38" s="1"/>
  <c r="X186" i="38"/>
  <c r="AB185" i="38"/>
  <c r="AA186" i="38"/>
  <c r="E186" i="38" s="1"/>
  <c r="H186" i="38" s="1"/>
  <c r="AG174" i="38"/>
  <c r="AH174" i="38" s="1"/>
  <c r="AJ174" i="38"/>
  <c r="AF175" i="38"/>
  <c r="AI175" i="38"/>
  <c r="F189" i="38" s="1"/>
  <c r="I189" i="38" s="1"/>
  <c r="L188" i="38"/>
  <c r="AF172" i="27"/>
  <c r="AG171" i="27"/>
  <c r="AH171" i="27" s="1"/>
  <c r="AI171" i="27"/>
  <c r="F185" i="27" s="1"/>
  <c r="I185" i="27" s="1"/>
  <c r="AB184" i="27"/>
  <c r="AE246" i="27"/>
  <c r="AJ170" i="27"/>
  <c r="AG171" i="37"/>
  <c r="AH171" i="37" s="1"/>
  <c r="AJ171" i="37"/>
  <c r="AF172" i="37"/>
  <c r="L185" i="37"/>
  <c r="BR174" i="38"/>
  <c r="BN167" i="27"/>
  <c r="BQ168" i="27"/>
  <c r="BR168" i="27" s="1"/>
  <c r="CB173" i="37"/>
  <c r="BP173" i="37"/>
  <c r="BQ172" i="37"/>
  <c r="BR172" i="37" s="1"/>
  <c r="L185" i="34"/>
  <c r="T177" i="38"/>
  <c r="AS171" i="27"/>
  <c r="K171" i="27"/>
  <c r="AT171" i="27" s="1"/>
  <c r="T169" i="27"/>
  <c r="M197" i="27"/>
  <c r="T170" i="27"/>
  <c r="T174" i="37"/>
  <c r="M200" i="30"/>
  <c r="M199" i="34"/>
  <c r="M200" i="40"/>
  <c r="AA172" i="22"/>
  <c r="E172" i="22" s="1"/>
  <c r="AB171" i="22"/>
  <c r="K171" i="22"/>
  <c r="X173" i="22"/>
  <c r="Y172" i="22"/>
  <c r="Z172" i="22" s="1"/>
  <c r="W213" i="22"/>
  <c r="AB185" i="37" l="1"/>
  <c r="AZ173" i="37"/>
  <c r="BA173" i="37"/>
  <c r="BB172" i="37"/>
  <c r="L184" i="30"/>
  <c r="AA175" i="39"/>
  <c r="E175" i="39" s="1"/>
  <c r="H175" i="39" s="1"/>
  <c r="AJ170" i="30"/>
  <c r="T172" i="40"/>
  <c r="CB172" i="40" s="1"/>
  <c r="M199" i="38"/>
  <c r="M200" i="37"/>
  <c r="L186" i="40"/>
  <c r="AI172" i="39"/>
  <c r="F186" i="39" s="1"/>
  <c r="I186" i="39" s="1"/>
  <c r="BA182" i="38"/>
  <c r="AZ182" i="38"/>
  <c r="BB182" i="38" s="1"/>
  <c r="AW175" i="38"/>
  <c r="AX175" i="38" s="1"/>
  <c r="AZ183" i="38"/>
  <c r="BB183" i="38" s="1"/>
  <c r="AW176" i="38"/>
  <c r="AX176" i="38" s="1"/>
  <c r="BA183" i="38"/>
  <c r="AR170" i="27"/>
  <c r="AQ171" i="27"/>
  <c r="G199" i="27" s="1"/>
  <c r="J199" i="27" s="1"/>
  <c r="AW173" i="37"/>
  <c r="AX173" i="37" s="1"/>
  <c r="AJ171" i="39"/>
  <c r="CB177" i="38"/>
  <c r="CE177" i="38"/>
  <c r="AV177" i="38"/>
  <c r="CB170" i="27"/>
  <c r="CE170" i="27"/>
  <c r="AV170" i="27"/>
  <c r="CE169" i="27"/>
  <c r="AV169" i="27"/>
  <c r="CB174" i="37"/>
  <c r="CE174" i="37"/>
  <c r="AV174" i="37"/>
  <c r="T173" i="39"/>
  <c r="CB173" i="39" s="1"/>
  <c r="J201" i="37"/>
  <c r="M201" i="37"/>
  <c r="AG173" i="40"/>
  <c r="AH173" i="40" s="1"/>
  <c r="AI174" i="40"/>
  <c r="F188" i="40" s="1"/>
  <c r="I188" i="40" s="1"/>
  <c r="AF174" i="40"/>
  <c r="AJ173" i="40"/>
  <c r="L187" i="40"/>
  <c r="AG172" i="34"/>
  <c r="AH172" i="34" s="1"/>
  <c r="AF173" i="34"/>
  <c r="AB172" i="40"/>
  <c r="AJ171" i="27"/>
  <c r="AO172" i="38"/>
  <c r="AP172" i="38" s="1"/>
  <c r="AQ173" i="38"/>
  <c r="G201" i="38" s="1"/>
  <c r="AN173" i="38"/>
  <c r="AR172" i="38"/>
  <c r="J200" i="38"/>
  <c r="M200" i="38"/>
  <c r="M198" i="27"/>
  <c r="AI172" i="27"/>
  <c r="F186" i="27" s="1"/>
  <c r="I186" i="27" s="1"/>
  <c r="H186" i="27" s="1"/>
  <c r="AN172" i="27"/>
  <c r="AO171" i="27"/>
  <c r="AP171" i="27" s="1"/>
  <c r="AG172" i="39"/>
  <c r="AH172" i="39" s="1"/>
  <c r="AF173" i="39"/>
  <c r="AF172" i="30"/>
  <c r="AG171" i="30"/>
  <c r="AH171" i="30" s="1"/>
  <c r="I185" i="30"/>
  <c r="L185" i="30"/>
  <c r="AB174" i="39"/>
  <c r="H185" i="27"/>
  <c r="AO173" i="37"/>
  <c r="AP173" i="37" s="1"/>
  <c r="AN174" i="37"/>
  <c r="AQ174" i="37"/>
  <c r="G202" i="37" s="1"/>
  <c r="AR173" i="37"/>
  <c r="K173" i="40"/>
  <c r="AT173" i="40" s="1"/>
  <c r="H173" i="40"/>
  <c r="AA174" i="40"/>
  <c r="E174" i="40" s="1"/>
  <c r="H174" i="40" s="1"/>
  <c r="AS174" i="40" s="1"/>
  <c r="AB173" i="40"/>
  <c r="X174" i="40"/>
  <c r="Y173" i="40"/>
  <c r="Z173" i="40" s="1"/>
  <c r="X174" i="34"/>
  <c r="Y173" i="34"/>
  <c r="Z173" i="34" s="1"/>
  <c r="AB173" i="34"/>
  <c r="AA174" i="34"/>
  <c r="E174" i="34" s="1"/>
  <c r="H174" i="34" s="1"/>
  <c r="L185" i="27"/>
  <c r="W249" i="30"/>
  <c r="K170" i="30"/>
  <c r="AT170" i="30" s="1"/>
  <c r="AS174" i="39"/>
  <c r="T174" i="39"/>
  <c r="CB174" i="39" s="1"/>
  <c r="Y175" i="39"/>
  <c r="Z175" i="39" s="1"/>
  <c r="X176" i="39"/>
  <c r="X172" i="30"/>
  <c r="Y171" i="30"/>
  <c r="Z171" i="30" s="1"/>
  <c r="AA171" i="30"/>
  <c r="E171" i="30" s="1"/>
  <c r="H171" i="30" s="1"/>
  <c r="AB170" i="30"/>
  <c r="T171" i="34"/>
  <c r="CB171" i="34" s="1"/>
  <c r="W200" i="40"/>
  <c r="K172" i="34"/>
  <c r="AT172" i="34" s="1"/>
  <c r="W202" i="34"/>
  <c r="L186" i="34"/>
  <c r="AI172" i="37"/>
  <c r="F186" i="37" s="1"/>
  <c r="Y186" i="37"/>
  <c r="X187" i="37"/>
  <c r="AE247" i="27"/>
  <c r="AE248" i="27" s="1"/>
  <c r="Y186" i="38"/>
  <c r="Z186" i="38" s="1"/>
  <c r="AA187" i="38"/>
  <c r="E187" i="38" s="1"/>
  <c r="H187" i="38" s="1"/>
  <c r="AB186" i="38"/>
  <c r="X187" i="38"/>
  <c r="L189" i="38"/>
  <c r="Y186" i="27"/>
  <c r="Z186" i="27" s="1"/>
  <c r="X187" i="27"/>
  <c r="AB186" i="27"/>
  <c r="AG175" i="38"/>
  <c r="AH175" i="38" s="1"/>
  <c r="AF176" i="38"/>
  <c r="AG172" i="27"/>
  <c r="AH172" i="27" s="1"/>
  <c r="AI173" i="27"/>
  <c r="F187" i="27" s="1"/>
  <c r="I187" i="27" s="1"/>
  <c r="AJ172" i="27"/>
  <c r="AF173" i="27"/>
  <c r="AG172" i="37"/>
  <c r="AH172" i="37" s="1"/>
  <c r="AF173" i="37"/>
  <c r="BR87" i="38"/>
  <c r="F70" i="38" s="1"/>
  <c r="CB169" i="27"/>
  <c r="BP169" i="27"/>
  <c r="BP170" i="27"/>
  <c r="BN87" i="27"/>
  <c r="BP174" i="37"/>
  <c r="BQ173" i="37"/>
  <c r="BR173" i="37" s="1"/>
  <c r="AS172" i="34"/>
  <c r="K172" i="27"/>
  <c r="AT172" i="27" s="1"/>
  <c r="AS172" i="27"/>
  <c r="T171" i="27"/>
  <c r="AS178" i="38"/>
  <c r="K178" i="38"/>
  <c r="AT178" i="38" s="1"/>
  <c r="K176" i="37"/>
  <c r="AT176" i="37" s="1"/>
  <c r="AS176" i="37"/>
  <c r="K175" i="37"/>
  <c r="AT175" i="37" s="1"/>
  <c r="AS175" i="37"/>
  <c r="M204" i="39"/>
  <c r="M201" i="40"/>
  <c r="AS173" i="34"/>
  <c r="K173" i="34"/>
  <c r="AT173" i="34" s="1"/>
  <c r="M200" i="34"/>
  <c r="K172" i="22"/>
  <c r="AB172" i="22"/>
  <c r="AA173" i="22"/>
  <c r="E173" i="22" s="1"/>
  <c r="Y173" i="22"/>
  <c r="Z173" i="22" s="1"/>
  <c r="X174" i="22"/>
  <c r="W214" i="22"/>
  <c r="AZ174" i="37" l="1"/>
  <c r="BB173" i="37"/>
  <c r="K175" i="39"/>
  <c r="AT175" i="39" s="1"/>
  <c r="AB175" i="39"/>
  <c r="M199" i="27"/>
  <c r="L186" i="39"/>
  <c r="AJ172" i="39"/>
  <c r="AA176" i="39"/>
  <c r="E176" i="39" s="1"/>
  <c r="H176" i="39" s="1"/>
  <c r="AS176" i="39" s="1"/>
  <c r="AI173" i="39"/>
  <c r="F187" i="39" s="1"/>
  <c r="I187" i="39" s="1"/>
  <c r="BA184" i="38"/>
  <c r="AW177" i="38"/>
  <c r="AX177" i="38" s="1"/>
  <c r="AZ184" i="38"/>
  <c r="BB184" i="38" s="1"/>
  <c r="AR171" i="27"/>
  <c r="L186" i="27"/>
  <c r="BA176" i="27"/>
  <c r="AZ176" i="27"/>
  <c r="BB176" i="27" s="1"/>
  <c r="AW169" i="27"/>
  <c r="AX169" i="27" s="1"/>
  <c r="AI173" i="34"/>
  <c r="F187" i="34" s="1"/>
  <c r="I187" i="34" s="1"/>
  <c r="T173" i="40"/>
  <c r="CB173" i="40" s="1"/>
  <c r="AZ177" i="27"/>
  <c r="BB177" i="27" s="1"/>
  <c r="BA177" i="27"/>
  <c r="AW170" i="27"/>
  <c r="AX170" i="27" s="1"/>
  <c r="AJ172" i="34"/>
  <c r="AW174" i="37"/>
  <c r="AX174" i="37" s="1"/>
  <c r="AJ171" i="30"/>
  <c r="AI172" i="30"/>
  <c r="F186" i="30" s="1"/>
  <c r="I186" i="30" s="1"/>
  <c r="CB171" i="27"/>
  <c r="CE171" i="27"/>
  <c r="AV171" i="27"/>
  <c r="AS173" i="40"/>
  <c r="J202" i="37"/>
  <c r="M202" i="37"/>
  <c r="AG173" i="34"/>
  <c r="AH173" i="34" s="1"/>
  <c r="AI174" i="34"/>
  <c r="F188" i="34" s="1"/>
  <c r="I188" i="34" s="1"/>
  <c r="AF174" i="34"/>
  <c r="L188" i="40"/>
  <c r="K174" i="40"/>
  <c r="AT174" i="40" s="1"/>
  <c r="AG174" i="40"/>
  <c r="AH174" i="40" s="1"/>
  <c r="AF175" i="40"/>
  <c r="AI175" i="40"/>
  <c r="F189" i="40" s="1"/>
  <c r="I189" i="40" s="1"/>
  <c r="AJ174" i="40"/>
  <c r="AO172" i="27"/>
  <c r="AP172" i="27" s="1"/>
  <c r="AQ173" i="27"/>
  <c r="G201" i="27" s="1"/>
  <c r="J201" i="27" s="1"/>
  <c r="AN173" i="27"/>
  <c r="AR172" i="27"/>
  <c r="AQ172" i="27"/>
  <c r="G200" i="27" s="1"/>
  <c r="J200" i="27" s="1"/>
  <c r="AO173" i="38"/>
  <c r="AP173" i="38" s="1"/>
  <c r="AN174" i="38"/>
  <c r="AQ174" i="38"/>
  <c r="G202" i="38" s="1"/>
  <c r="J201" i="38"/>
  <c r="M201" i="38"/>
  <c r="AG172" i="30"/>
  <c r="AH172" i="30" s="1"/>
  <c r="AI173" i="30"/>
  <c r="F187" i="30" s="1"/>
  <c r="I187" i="30" s="1"/>
  <c r="AF173" i="30"/>
  <c r="AJ172" i="30"/>
  <c r="AG173" i="39"/>
  <c r="AH173" i="39" s="1"/>
  <c r="AI174" i="39"/>
  <c r="F188" i="39" s="1"/>
  <c r="AF174" i="39"/>
  <c r="AO174" i="37"/>
  <c r="AP174" i="37" s="1"/>
  <c r="AN175" i="37"/>
  <c r="L186" i="37"/>
  <c r="I186" i="37"/>
  <c r="H186" i="37" s="1"/>
  <c r="X175" i="34"/>
  <c r="Y174" i="34"/>
  <c r="Z174" i="34" s="1"/>
  <c r="X175" i="40"/>
  <c r="Y174" i="40"/>
  <c r="Z174" i="40" s="1"/>
  <c r="AA175" i="40"/>
  <c r="E175" i="40" s="1"/>
  <c r="AB174" i="40"/>
  <c r="AA187" i="27"/>
  <c r="E187" i="27" s="1"/>
  <c r="H187" i="27" s="1"/>
  <c r="AS175" i="39"/>
  <c r="Y176" i="39"/>
  <c r="Z176" i="39" s="1"/>
  <c r="AA177" i="39"/>
  <c r="E177" i="39" s="1"/>
  <c r="H177" i="39" s="1"/>
  <c r="AS177" i="39" s="1"/>
  <c r="X177" i="39"/>
  <c r="X173" i="30"/>
  <c r="Y172" i="30"/>
  <c r="Z172" i="30" s="1"/>
  <c r="AA172" i="30"/>
  <c r="E172" i="30" s="1"/>
  <c r="H172" i="30" s="1"/>
  <c r="AB171" i="30"/>
  <c r="AS170" i="30"/>
  <c r="T170" i="30"/>
  <c r="CB170" i="30" s="1"/>
  <c r="W250" i="30"/>
  <c r="K171" i="30"/>
  <c r="AT171" i="30" s="1"/>
  <c r="AI173" i="37"/>
  <c r="F187" i="37" s="1"/>
  <c r="AJ172" i="37"/>
  <c r="T172" i="34"/>
  <c r="CB172" i="34" s="1"/>
  <c r="W201" i="40"/>
  <c r="W203" i="34"/>
  <c r="X188" i="37"/>
  <c r="Y187" i="37"/>
  <c r="Z187" i="37" s="1"/>
  <c r="Z186" i="37"/>
  <c r="AA187" i="37"/>
  <c r="E187" i="37" s="1"/>
  <c r="AB186" i="37"/>
  <c r="AG176" i="38"/>
  <c r="AH176" i="38" s="1"/>
  <c r="AF177" i="38"/>
  <c r="BR88" i="38"/>
  <c r="F71" i="38" s="1"/>
  <c r="AJ175" i="38"/>
  <c r="AI176" i="38"/>
  <c r="F190" i="38" s="1"/>
  <c r="I190" i="38" s="1"/>
  <c r="Y187" i="38"/>
  <c r="Z187" i="38" s="1"/>
  <c r="X188" i="38"/>
  <c r="AA188" i="38"/>
  <c r="E188" i="38" s="1"/>
  <c r="H188" i="38" s="1"/>
  <c r="AB187" i="38"/>
  <c r="BN88" i="27"/>
  <c r="AF174" i="27"/>
  <c r="AG173" i="27"/>
  <c r="AH173" i="27" s="1"/>
  <c r="Y187" i="27"/>
  <c r="Z187" i="27" s="1"/>
  <c r="AB187" i="27"/>
  <c r="X188" i="27"/>
  <c r="AE249" i="27"/>
  <c r="AG173" i="37"/>
  <c r="AH173" i="37" s="1"/>
  <c r="AJ173" i="37"/>
  <c r="AF174" i="37"/>
  <c r="BQ170" i="27"/>
  <c r="BR170" i="27" s="1"/>
  <c r="BP171" i="27"/>
  <c r="BQ169" i="27"/>
  <c r="BR169" i="27" s="1"/>
  <c r="BR85" i="37"/>
  <c r="BQ174" i="37"/>
  <c r="BR86" i="37" s="1"/>
  <c r="AS179" i="38"/>
  <c r="K179" i="38"/>
  <c r="AT179" i="38" s="1"/>
  <c r="T178" i="38"/>
  <c r="T172" i="27"/>
  <c r="AS173" i="27"/>
  <c r="T176" i="37"/>
  <c r="T175" i="37"/>
  <c r="M202" i="30"/>
  <c r="M201" i="30"/>
  <c r="K174" i="34"/>
  <c r="AT174" i="34" s="1"/>
  <c r="T173" i="34"/>
  <c r="CB173" i="34" s="1"/>
  <c r="M202" i="40"/>
  <c r="M201" i="34"/>
  <c r="K173" i="22"/>
  <c r="AB173" i="22"/>
  <c r="AA174" i="22"/>
  <c r="E174" i="22" s="1"/>
  <c r="Y174" i="22"/>
  <c r="Z174" i="22" s="1"/>
  <c r="X175" i="22"/>
  <c r="W215" i="22"/>
  <c r="AI174" i="37" l="1"/>
  <c r="F188" i="37" s="1"/>
  <c r="I188" i="37" s="1"/>
  <c r="T175" i="39"/>
  <c r="CB175" i="39" s="1"/>
  <c r="BA174" i="37"/>
  <c r="BB174" i="37" s="1"/>
  <c r="AJ173" i="39"/>
  <c r="AA173" i="30"/>
  <c r="E173" i="30" s="1"/>
  <c r="H173" i="30" s="1"/>
  <c r="AB187" i="37"/>
  <c r="L187" i="39"/>
  <c r="K176" i="39"/>
  <c r="AT176" i="39" s="1"/>
  <c r="L187" i="34"/>
  <c r="AR173" i="38"/>
  <c r="AJ173" i="34"/>
  <c r="AZ178" i="27"/>
  <c r="BB178" i="27" s="1"/>
  <c r="AW171" i="27"/>
  <c r="AX171" i="27" s="1"/>
  <c r="BA178" i="27"/>
  <c r="AA175" i="34"/>
  <c r="E175" i="34" s="1"/>
  <c r="H175" i="34" s="1"/>
  <c r="AB176" i="39"/>
  <c r="AQ175" i="37"/>
  <c r="G203" i="37" s="1"/>
  <c r="J203" i="37" s="1"/>
  <c r="L186" i="30"/>
  <c r="AR174" i="37"/>
  <c r="T174" i="40"/>
  <c r="CB174" i="40" s="1"/>
  <c r="M200" i="27"/>
  <c r="CB178" i="38"/>
  <c r="CE178" i="38"/>
  <c r="AV178" i="38"/>
  <c r="CE172" i="27"/>
  <c r="AV172" i="27"/>
  <c r="L187" i="30"/>
  <c r="CB175" i="37"/>
  <c r="CE175" i="37"/>
  <c r="AV175" i="37"/>
  <c r="CB176" i="37"/>
  <c r="CE176" i="37"/>
  <c r="AV176" i="37"/>
  <c r="AG175" i="40"/>
  <c r="AH175" i="40" s="1"/>
  <c r="AI176" i="40"/>
  <c r="F190" i="40" s="1"/>
  <c r="I190" i="40" s="1"/>
  <c r="AF176" i="40"/>
  <c r="AJ175" i="40"/>
  <c r="L189" i="40"/>
  <c r="AG174" i="34"/>
  <c r="AH174" i="34" s="1"/>
  <c r="AF175" i="34"/>
  <c r="J202" i="38"/>
  <c r="M202" i="38"/>
  <c r="AO174" i="38"/>
  <c r="AP174" i="38" s="1"/>
  <c r="AQ175" i="38"/>
  <c r="G203" i="38" s="1"/>
  <c r="AN175" i="38"/>
  <c r="AR174" i="38"/>
  <c r="AJ176" i="38"/>
  <c r="AO173" i="27"/>
  <c r="AP173" i="27" s="1"/>
  <c r="AN174" i="27"/>
  <c r="AQ174" i="27"/>
  <c r="G202" i="27" s="1"/>
  <c r="J202" i="27" s="1"/>
  <c r="AR173" i="27"/>
  <c r="AI177" i="38"/>
  <c r="F191" i="38" s="1"/>
  <c r="I191" i="38" s="1"/>
  <c r="AG174" i="39"/>
  <c r="AH174" i="39" s="1"/>
  <c r="AF175" i="39"/>
  <c r="AJ174" i="39"/>
  <c r="I188" i="39"/>
  <c r="L188" i="39"/>
  <c r="AG173" i="30"/>
  <c r="AH173" i="30" s="1"/>
  <c r="AF174" i="30"/>
  <c r="AN176" i="37"/>
  <c r="AO175" i="37"/>
  <c r="AP175" i="37" s="1"/>
  <c r="AQ176" i="37"/>
  <c r="G204" i="37" s="1"/>
  <c r="AR175" i="37"/>
  <c r="H175" i="40"/>
  <c r="AS175" i="40" s="1"/>
  <c r="L187" i="37"/>
  <c r="I187" i="37"/>
  <c r="H187" i="37" s="1"/>
  <c r="K177" i="39"/>
  <c r="AT177" i="39" s="1"/>
  <c r="Y175" i="40"/>
  <c r="Z175" i="40" s="1"/>
  <c r="X176" i="40"/>
  <c r="AA176" i="40"/>
  <c r="E176" i="40" s="1"/>
  <c r="H176" i="40" s="1"/>
  <c r="AB175" i="40"/>
  <c r="X176" i="34"/>
  <c r="AB175" i="34"/>
  <c r="Y175" i="34"/>
  <c r="Z175" i="34" s="1"/>
  <c r="AA176" i="34"/>
  <c r="E176" i="34" s="1"/>
  <c r="H176" i="34" s="1"/>
  <c r="K175" i="40"/>
  <c r="AT175" i="40" s="1"/>
  <c r="AB174" i="34"/>
  <c r="AJ173" i="27"/>
  <c r="X174" i="30"/>
  <c r="Y173" i="30"/>
  <c r="Z173" i="30" s="1"/>
  <c r="Y177" i="39"/>
  <c r="Z177" i="39" s="1"/>
  <c r="X178" i="39"/>
  <c r="K172" i="30"/>
  <c r="AT172" i="30" s="1"/>
  <c r="AS171" i="30"/>
  <c r="T171" i="30"/>
  <c r="CB171" i="30" s="1"/>
  <c r="AB172" i="30"/>
  <c r="AA188" i="37"/>
  <c r="E188" i="37" s="1"/>
  <c r="H188" i="37" s="1"/>
  <c r="W202" i="40"/>
  <c r="W204" i="34"/>
  <c r="Y188" i="37"/>
  <c r="Z188" i="37" s="1"/>
  <c r="AA189" i="37"/>
  <c r="E189" i="37" s="1"/>
  <c r="X189" i="37"/>
  <c r="L190" i="38"/>
  <c r="AI174" i="27"/>
  <c r="F188" i="27" s="1"/>
  <c r="I188" i="27" s="1"/>
  <c r="Y188" i="27"/>
  <c r="Z188" i="27" s="1"/>
  <c r="AB188" i="27"/>
  <c r="AA189" i="27"/>
  <c r="E189" i="27" s="1"/>
  <c r="X189" i="27"/>
  <c r="AE250" i="27"/>
  <c r="AA188" i="27"/>
  <c r="E188" i="27" s="1"/>
  <c r="AG177" i="38"/>
  <c r="AH177" i="38" s="1"/>
  <c r="AF178" i="38"/>
  <c r="Y188" i="38"/>
  <c r="Z188" i="38" s="1"/>
  <c r="AA189" i="38"/>
  <c r="E189" i="38" s="1"/>
  <c r="H189" i="38" s="1"/>
  <c r="AB188" i="38"/>
  <c r="X189" i="38"/>
  <c r="AG174" i="27"/>
  <c r="AH174" i="27" s="1"/>
  <c r="AF175" i="27"/>
  <c r="AJ174" i="27"/>
  <c r="AG174" i="37"/>
  <c r="AH174" i="37" s="1"/>
  <c r="AF175" i="37"/>
  <c r="CF122" i="38"/>
  <c r="CF100" i="38"/>
  <c r="CF112" i="38"/>
  <c r="CF131" i="38"/>
  <c r="CF126" i="38"/>
  <c r="CF115" i="38"/>
  <c r="CF121" i="38"/>
  <c r="CF114" i="38"/>
  <c r="CF125" i="38"/>
  <c r="CF138" i="38"/>
  <c r="CF127" i="38"/>
  <c r="CF110" i="38"/>
  <c r="CF111" i="38"/>
  <c r="CF109" i="38"/>
  <c r="CF134" i="38"/>
  <c r="CF107" i="38"/>
  <c r="CF116" i="38"/>
  <c r="CF124" i="38"/>
  <c r="CF104" i="38"/>
  <c r="CF108" i="38"/>
  <c r="CF129" i="38"/>
  <c r="CF137" i="38"/>
  <c r="CF103" i="38"/>
  <c r="CF139" i="38"/>
  <c r="CF130" i="38"/>
  <c r="CF106" i="38"/>
  <c r="CF113" i="38"/>
  <c r="CF128" i="38"/>
  <c r="CF136" i="38"/>
  <c r="CF101" i="38"/>
  <c r="CF120" i="38"/>
  <c r="CF102" i="38"/>
  <c r="CF135" i="38"/>
  <c r="CF123" i="38"/>
  <c r="CF133" i="38"/>
  <c r="CF118" i="38"/>
  <c r="CF105" i="38"/>
  <c r="CF119" i="38"/>
  <c r="CF132" i="38"/>
  <c r="CF117" i="38"/>
  <c r="T179" i="38"/>
  <c r="CB172" i="27"/>
  <c r="BP172" i="27"/>
  <c r="BQ171" i="27"/>
  <c r="BR171" i="27" s="1"/>
  <c r="K173" i="27"/>
  <c r="AT173" i="27" s="1"/>
  <c r="BR174" i="37"/>
  <c r="AS174" i="34"/>
  <c r="L187" i="27"/>
  <c r="AS181" i="38"/>
  <c r="K181" i="38"/>
  <c r="AT181" i="38" s="1"/>
  <c r="K180" i="38"/>
  <c r="AT180" i="38" s="1"/>
  <c r="AS180" i="38"/>
  <c r="AS174" i="27"/>
  <c r="K174" i="27"/>
  <c r="AT174" i="27" s="1"/>
  <c r="F69" i="38"/>
  <c r="K177" i="37"/>
  <c r="AT177" i="37" s="1"/>
  <c r="AS177" i="37"/>
  <c r="K178" i="37"/>
  <c r="AT178" i="37" s="1"/>
  <c r="AS178" i="37"/>
  <c r="M205" i="39"/>
  <c r="M202" i="34"/>
  <c r="M203" i="40"/>
  <c r="M206" i="39"/>
  <c r="K174" i="22"/>
  <c r="AB174" i="22"/>
  <c r="AA175" i="22"/>
  <c r="E175" i="22" s="1"/>
  <c r="X176" i="22"/>
  <c r="Y175" i="22"/>
  <c r="Z175" i="22" s="1"/>
  <c r="W216" i="22"/>
  <c r="L188" i="37" l="1"/>
  <c r="K173" i="30"/>
  <c r="AT173" i="30" s="1"/>
  <c r="AZ175" i="37"/>
  <c r="AZ176" i="37"/>
  <c r="AB177" i="39"/>
  <c r="AI175" i="39"/>
  <c r="F189" i="39" s="1"/>
  <c r="I189" i="39" s="1"/>
  <c r="T176" i="39"/>
  <c r="CB176" i="39" s="1"/>
  <c r="AI178" i="38"/>
  <c r="F192" i="38" s="1"/>
  <c r="I192" i="38" s="1"/>
  <c r="AJ174" i="34"/>
  <c r="AI175" i="34"/>
  <c r="F189" i="34" s="1"/>
  <c r="I189" i="34" s="1"/>
  <c r="T177" i="39"/>
  <c r="CB177" i="39" s="1"/>
  <c r="AZ179" i="27"/>
  <c r="BB179" i="27" s="1"/>
  <c r="BA179" i="27"/>
  <c r="AW172" i="27"/>
  <c r="AX172" i="27" s="1"/>
  <c r="AW178" i="38"/>
  <c r="AX178" i="38" s="1"/>
  <c r="AZ185" i="38"/>
  <c r="BB185" i="38" s="1"/>
  <c r="BA185" i="38"/>
  <c r="AI174" i="30"/>
  <c r="F188" i="30" s="1"/>
  <c r="I188" i="30" s="1"/>
  <c r="AW175" i="37"/>
  <c r="AX175" i="37" s="1"/>
  <c r="M203" i="37"/>
  <c r="AB188" i="37"/>
  <c r="AW176" i="37"/>
  <c r="AX176" i="37" s="1"/>
  <c r="AJ173" i="30"/>
  <c r="H188" i="27"/>
  <c r="CB179" i="38"/>
  <c r="CE179" i="38"/>
  <c r="AV179" i="38"/>
  <c r="T175" i="40"/>
  <c r="CB175" i="40" s="1"/>
  <c r="J204" i="37"/>
  <c r="M204" i="37"/>
  <c r="AG175" i="34"/>
  <c r="AH175" i="34" s="1"/>
  <c r="AF176" i="34"/>
  <c r="AI176" i="34"/>
  <c r="F190" i="34" s="1"/>
  <c r="I190" i="34" s="1"/>
  <c r="AJ175" i="34"/>
  <c r="AG176" i="40"/>
  <c r="AH176" i="40" s="1"/>
  <c r="AF177" i="40"/>
  <c r="AJ176" i="40"/>
  <c r="L191" i="38"/>
  <c r="AO174" i="27"/>
  <c r="AP174" i="27" s="1"/>
  <c r="AQ175" i="27"/>
  <c r="G203" i="27" s="1"/>
  <c r="J203" i="27" s="1"/>
  <c r="AN175" i="27"/>
  <c r="AR174" i="27"/>
  <c r="AO175" i="38"/>
  <c r="AP175" i="38" s="1"/>
  <c r="AQ176" i="38"/>
  <c r="G204" i="38" s="1"/>
  <c r="AN176" i="38"/>
  <c r="AR175" i="38"/>
  <c r="J203" i="38"/>
  <c r="M203" i="38"/>
  <c r="L188" i="27"/>
  <c r="AG174" i="30"/>
  <c r="AH174" i="30" s="1"/>
  <c r="AF175" i="30"/>
  <c r="AG175" i="39"/>
  <c r="AH175" i="39" s="1"/>
  <c r="AF176" i="39"/>
  <c r="AO176" i="37"/>
  <c r="AP176" i="37" s="1"/>
  <c r="AN177" i="37"/>
  <c r="X177" i="34"/>
  <c r="Y176" i="34"/>
  <c r="Z176" i="34" s="1"/>
  <c r="AB176" i="34"/>
  <c r="AA177" i="34"/>
  <c r="E177" i="34" s="1"/>
  <c r="H177" i="34" s="1"/>
  <c r="Y176" i="40"/>
  <c r="Z176" i="40" s="1"/>
  <c r="X177" i="40"/>
  <c r="AA177" i="40"/>
  <c r="E177" i="40" s="1"/>
  <c r="H177" i="40" s="1"/>
  <c r="AB176" i="40"/>
  <c r="AJ177" i="38"/>
  <c r="Y178" i="39"/>
  <c r="Z178" i="39" s="1"/>
  <c r="X179" i="39"/>
  <c r="X175" i="30"/>
  <c r="Y174" i="30"/>
  <c r="Z174" i="30" s="1"/>
  <c r="AS172" i="30"/>
  <c r="T172" i="30"/>
  <c r="CB172" i="30" s="1"/>
  <c r="AA174" i="30"/>
  <c r="E174" i="30" s="1"/>
  <c r="H174" i="30" s="1"/>
  <c r="AB173" i="30"/>
  <c r="AA178" i="39"/>
  <c r="E178" i="39" s="1"/>
  <c r="H178" i="39" s="1"/>
  <c r="AS173" i="30"/>
  <c r="W203" i="40"/>
  <c r="W205" i="34"/>
  <c r="T174" i="34"/>
  <c r="CB174" i="34" s="1"/>
  <c r="AJ174" i="37"/>
  <c r="AI175" i="37"/>
  <c r="F189" i="37" s="1"/>
  <c r="AB189" i="37"/>
  <c r="X190" i="37"/>
  <c r="Y189" i="37"/>
  <c r="Z189" i="37" s="1"/>
  <c r="AI175" i="27"/>
  <c r="F189" i="27" s="1"/>
  <c r="I189" i="27" s="1"/>
  <c r="H189" i="27" s="1"/>
  <c r="Y189" i="27"/>
  <c r="Z189" i="27" s="1"/>
  <c r="AB189" i="27"/>
  <c r="X190" i="27"/>
  <c r="AF176" i="27"/>
  <c r="AG175" i="27"/>
  <c r="AH175" i="27" s="1"/>
  <c r="AG178" i="38"/>
  <c r="AH178" i="38" s="1"/>
  <c r="AF179" i="38"/>
  <c r="Y189" i="38"/>
  <c r="Z189" i="38" s="1"/>
  <c r="X190" i="38"/>
  <c r="AG175" i="37"/>
  <c r="AH175" i="37" s="1"/>
  <c r="AF176" i="37"/>
  <c r="CF96" i="38"/>
  <c r="T173" i="27"/>
  <c r="M201" i="27"/>
  <c r="BQ172" i="27"/>
  <c r="BR172" i="27" s="1"/>
  <c r="BR87" i="37"/>
  <c r="F70" i="37" s="1"/>
  <c r="AS175" i="34"/>
  <c r="L190" i="40"/>
  <c r="L188" i="34"/>
  <c r="AS182" i="38"/>
  <c r="K182" i="38"/>
  <c r="AT182" i="38" s="1"/>
  <c r="T174" i="27"/>
  <c r="T181" i="38"/>
  <c r="M202" i="27"/>
  <c r="T180" i="38"/>
  <c r="T178" i="37"/>
  <c r="T177" i="37"/>
  <c r="K179" i="37"/>
  <c r="AT179" i="37" s="1"/>
  <c r="AS179" i="37"/>
  <c r="M207" i="39"/>
  <c r="M203" i="30"/>
  <c r="K175" i="34"/>
  <c r="AT175" i="34" s="1"/>
  <c r="AS176" i="40"/>
  <c r="K176" i="40"/>
  <c r="AT176" i="40" s="1"/>
  <c r="M203" i="34"/>
  <c r="K176" i="34"/>
  <c r="AT176" i="34" s="1"/>
  <c r="AS176" i="34"/>
  <c r="AB175" i="22"/>
  <c r="AA176" i="22"/>
  <c r="E176" i="22" s="1"/>
  <c r="K175" i="22"/>
  <c r="Y176" i="22"/>
  <c r="Z176" i="22" s="1"/>
  <c r="X177" i="22"/>
  <c r="W217" i="22"/>
  <c r="T173" i="30" l="1"/>
  <c r="CB173" i="30" s="1"/>
  <c r="L189" i="39"/>
  <c r="BA176" i="37"/>
  <c r="BB176" i="37" s="1"/>
  <c r="AA190" i="37"/>
  <c r="E190" i="37" s="1"/>
  <c r="BA175" i="37"/>
  <c r="BB175" i="37" s="1"/>
  <c r="CF162" i="37"/>
  <c r="CF169" i="37"/>
  <c r="CF168" i="37"/>
  <c r="CF164" i="37"/>
  <c r="CF151" i="37"/>
  <c r="CF155" i="37"/>
  <c r="CF165" i="37"/>
  <c r="CF148" i="37"/>
  <c r="CF153" i="37"/>
  <c r="CF175" i="37"/>
  <c r="CF158" i="37"/>
  <c r="CF167" i="37"/>
  <c r="CF159" i="37"/>
  <c r="CF157" i="37"/>
  <c r="CF176" i="37"/>
  <c r="CF146" i="37"/>
  <c r="CF142" i="37"/>
  <c r="CF149" i="37"/>
  <c r="CF141" i="37"/>
  <c r="CF170" i="37"/>
  <c r="CF163" i="37"/>
  <c r="CF152" i="37"/>
  <c r="CF140" i="37"/>
  <c r="CF172" i="37"/>
  <c r="CF174" i="37"/>
  <c r="CF173" i="37"/>
  <c r="CF161" i="37"/>
  <c r="CF145" i="37"/>
  <c r="CF166" i="37"/>
  <c r="CF154" i="37"/>
  <c r="CF144" i="37"/>
  <c r="CF156" i="37"/>
  <c r="CF147" i="37"/>
  <c r="CF143" i="37"/>
  <c r="CF171" i="37"/>
  <c r="CF160" i="37"/>
  <c r="CF150" i="37"/>
  <c r="AJ174" i="30"/>
  <c r="L192" i="38"/>
  <c r="AI177" i="40"/>
  <c r="F191" i="40" s="1"/>
  <c r="I191" i="40" s="1"/>
  <c r="L188" i="30"/>
  <c r="AB178" i="39"/>
  <c r="AA179" i="39"/>
  <c r="E179" i="39" s="1"/>
  <c r="H179" i="39" s="1"/>
  <c r="AS179" i="39" s="1"/>
  <c r="AA190" i="38"/>
  <c r="E190" i="38" s="1"/>
  <c r="H190" i="38" s="1"/>
  <c r="BA186" i="38"/>
  <c r="AZ186" i="38"/>
  <c r="BB186" i="38" s="1"/>
  <c r="AW179" i="38"/>
  <c r="AX179" i="38" s="1"/>
  <c r="AB189" i="38"/>
  <c r="AJ175" i="39"/>
  <c r="AI176" i="39"/>
  <c r="F190" i="39" s="1"/>
  <c r="I190" i="39" s="1"/>
  <c r="AR176" i="37"/>
  <c r="AQ177" i="37"/>
  <c r="G205" i="37" s="1"/>
  <c r="L190" i="34"/>
  <c r="CB180" i="38"/>
  <c r="CE180" i="38"/>
  <c r="AV180" i="38"/>
  <c r="CB181" i="38"/>
  <c r="CE181" i="38"/>
  <c r="AV181" i="38"/>
  <c r="CE173" i="27"/>
  <c r="AV173" i="27"/>
  <c r="CB174" i="27"/>
  <c r="CE174" i="27"/>
  <c r="AV174" i="27"/>
  <c r="CB177" i="37"/>
  <c r="CE177" i="37"/>
  <c r="AV177" i="37"/>
  <c r="CB178" i="37"/>
  <c r="CE178" i="37"/>
  <c r="AV178" i="37"/>
  <c r="AG177" i="40"/>
  <c r="AH177" i="40" s="1"/>
  <c r="AF178" i="40"/>
  <c r="AG176" i="34"/>
  <c r="AH176" i="34" s="1"/>
  <c r="AF177" i="34"/>
  <c r="AO176" i="38"/>
  <c r="AP176" i="38" s="1"/>
  <c r="AN177" i="38"/>
  <c r="AQ177" i="38"/>
  <c r="G205" i="38" s="1"/>
  <c r="AR176" i="38"/>
  <c r="J204" i="38"/>
  <c r="M204" i="38"/>
  <c r="AO175" i="27"/>
  <c r="AP175" i="27" s="1"/>
  <c r="AN176" i="27"/>
  <c r="AR175" i="27"/>
  <c r="AG176" i="39"/>
  <c r="AH176" i="39" s="1"/>
  <c r="AI177" i="39"/>
  <c r="F191" i="39" s="1"/>
  <c r="AF177" i="39"/>
  <c r="AG175" i="30"/>
  <c r="AH175" i="30" s="1"/>
  <c r="AF176" i="30"/>
  <c r="AJ175" i="30"/>
  <c r="AI175" i="30"/>
  <c r="F189" i="30" s="1"/>
  <c r="AI176" i="37"/>
  <c r="F190" i="37" s="1"/>
  <c r="I190" i="37" s="1"/>
  <c r="AO177" i="37"/>
  <c r="AP177" i="37" s="1"/>
  <c r="AN178" i="37"/>
  <c r="AJ175" i="37"/>
  <c r="L189" i="37"/>
  <c r="I189" i="37"/>
  <c r="H189" i="37" s="1"/>
  <c r="X178" i="40"/>
  <c r="Y177" i="40"/>
  <c r="Z177" i="40" s="1"/>
  <c r="AB177" i="40"/>
  <c r="Y177" i="34"/>
  <c r="Z177" i="34" s="1"/>
  <c r="X178" i="34"/>
  <c r="AJ175" i="27"/>
  <c r="AI179" i="38"/>
  <c r="F193" i="38" s="1"/>
  <c r="I193" i="38" s="1"/>
  <c r="AA190" i="27"/>
  <c r="E190" i="27" s="1"/>
  <c r="AJ178" i="38"/>
  <c r="AA175" i="30"/>
  <c r="E175" i="30" s="1"/>
  <c r="H175" i="30" s="1"/>
  <c r="Y175" i="30"/>
  <c r="Z175" i="30" s="1"/>
  <c r="AA176" i="30"/>
  <c r="E176" i="30" s="1"/>
  <c r="H176" i="30" s="1"/>
  <c r="AB175" i="30"/>
  <c r="X176" i="30"/>
  <c r="K178" i="39"/>
  <c r="AT178" i="39" s="1"/>
  <c r="AB174" i="30"/>
  <c r="Y179" i="39"/>
  <c r="Z179" i="39" s="1"/>
  <c r="X180" i="39"/>
  <c r="K174" i="30"/>
  <c r="AT174" i="30" s="1"/>
  <c r="W204" i="40"/>
  <c r="T175" i="34"/>
  <c r="CB175" i="34" s="1"/>
  <c r="W206" i="34"/>
  <c r="Y190" i="37"/>
  <c r="AB190" i="37" s="1"/>
  <c r="X191" i="37"/>
  <c r="AG176" i="27"/>
  <c r="AH176" i="27" s="1"/>
  <c r="AF177" i="27"/>
  <c r="AI176" i="27"/>
  <c r="F190" i="27" s="1"/>
  <c r="I190" i="27" s="1"/>
  <c r="Y190" i="27"/>
  <c r="Z190" i="27" s="1"/>
  <c r="X191" i="27"/>
  <c r="AG179" i="38"/>
  <c r="AH179" i="38" s="1"/>
  <c r="AI180" i="38"/>
  <c r="F194" i="38" s="1"/>
  <c r="I194" i="38" s="1"/>
  <c r="AJ179" i="38"/>
  <c r="AF180" i="38"/>
  <c r="Y190" i="38"/>
  <c r="Z190" i="38" s="1"/>
  <c r="AA191" i="38"/>
  <c r="E191" i="38" s="1"/>
  <c r="H191" i="38" s="1"/>
  <c r="X191" i="38"/>
  <c r="AG176" i="37"/>
  <c r="AH176" i="37" s="1"/>
  <c r="AF177" i="37"/>
  <c r="BR88" i="37"/>
  <c r="F71" i="37" s="1"/>
  <c r="CF97" i="38"/>
  <c r="CE96" i="38"/>
  <c r="CB173" i="27"/>
  <c r="BP173" i="27"/>
  <c r="BP174" i="27"/>
  <c r="L189" i="34"/>
  <c r="K177" i="40"/>
  <c r="AT177" i="40" s="1"/>
  <c r="L189" i="27"/>
  <c r="K175" i="27"/>
  <c r="AT175" i="27" s="1"/>
  <c r="AS175" i="27"/>
  <c r="T182" i="38"/>
  <c r="T179" i="37"/>
  <c r="M204" i="30"/>
  <c r="AS177" i="40"/>
  <c r="M204" i="34"/>
  <c r="M205" i="40"/>
  <c r="K177" i="34"/>
  <c r="AT177" i="34" s="1"/>
  <c r="AS177" i="34"/>
  <c r="T176" i="40"/>
  <c r="CB176" i="40" s="1"/>
  <c r="T176" i="34"/>
  <c r="CB176" i="34" s="1"/>
  <c r="M204" i="40"/>
  <c r="AB176" i="22"/>
  <c r="AA177" i="22"/>
  <c r="E177" i="22" s="1"/>
  <c r="K176" i="22"/>
  <c r="Y177" i="22"/>
  <c r="Z177" i="22" s="1"/>
  <c r="X178" i="22"/>
  <c r="W218" i="22"/>
  <c r="AI176" i="30" l="1"/>
  <c r="F190" i="30" s="1"/>
  <c r="I190" i="30" s="1"/>
  <c r="AZ178" i="37"/>
  <c r="AA180" i="39"/>
  <c r="E180" i="39" s="1"/>
  <c r="K180" i="39" s="1"/>
  <c r="AT180" i="39" s="1"/>
  <c r="AB179" i="39"/>
  <c r="AZ177" i="37"/>
  <c r="BA177" i="37"/>
  <c r="K179" i="39"/>
  <c r="AT179" i="39" s="1"/>
  <c r="AJ177" i="40"/>
  <c r="AI178" i="40"/>
  <c r="F192" i="40" s="1"/>
  <c r="I192" i="40" s="1"/>
  <c r="AJ176" i="39"/>
  <c r="AA178" i="40"/>
  <c r="E178" i="40" s="1"/>
  <c r="H178" i="40" s="1"/>
  <c r="AS178" i="40" s="1"/>
  <c r="AW181" i="38"/>
  <c r="AX181" i="38" s="1"/>
  <c r="BA188" i="38"/>
  <c r="AZ188" i="38"/>
  <c r="BB188" i="38" s="1"/>
  <c r="BA187" i="38"/>
  <c r="AW180" i="38"/>
  <c r="AX180" i="38" s="1"/>
  <c r="AZ187" i="38"/>
  <c r="BB187" i="38" s="1"/>
  <c r="BA181" i="27"/>
  <c r="AZ181" i="27"/>
  <c r="BB181" i="27" s="1"/>
  <c r="AW174" i="27"/>
  <c r="AX174" i="27" s="1"/>
  <c r="AB177" i="34"/>
  <c r="AJ176" i="34"/>
  <c r="AI177" i="34"/>
  <c r="F191" i="34" s="1"/>
  <c r="I191" i="34" s="1"/>
  <c r="AZ180" i="27"/>
  <c r="BB180" i="27" s="1"/>
  <c r="AW173" i="27"/>
  <c r="AX173" i="27" s="1"/>
  <c r="BA180" i="27"/>
  <c r="L190" i="39"/>
  <c r="AR177" i="37"/>
  <c r="AW178" i="37"/>
  <c r="AX178" i="37" s="1"/>
  <c r="CF178" i="37" s="1"/>
  <c r="AQ178" i="37"/>
  <c r="G206" i="37" s="1"/>
  <c r="J206" i="37" s="1"/>
  <c r="J205" i="37"/>
  <c r="M205" i="37"/>
  <c r="AW177" i="37"/>
  <c r="AX177" i="37" s="1"/>
  <c r="CF177" i="37" s="1"/>
  <c r="CB182" i="38"/>
  <c r="CE182" i="38"/>
  <c r="AV182" i="38"/>
  <c r="CB179" i="37"/>
  <c r="CE179" i="37"/>
  <c r="AV179" i="37"/>
  <c r="H190" i="37"/>
  <c r="AA178" i="34"/>
  <c r="E178" i="34" s="1"/>
  <c r="H178" i="34" s="1"/>
  <c r="AS178" i="34" s="1"/>
  <c r="AG177" i="34"/>
  <c r="AH177" i="34" s="1"/>
  <c r="AI178" i="34"/>
  <c r="F192" i="34" s="1"/>
  <c r="I192" i="34" s="1"/>
  <c r="AF178" i="34"/>
  <c r="AJ177" i="34"/>
  <c r="AG178" i="40"/>
  <c r="AH178" i="40" s="1"/>
  <c r="AF179" i="40"/>
  <c r="AI179" i="40"/>
  <c r="F193" i="40" s="1"/>
  <c r="I193" i="40" s="1"/>
  <c r="AI177" i="27"/>
  <c r="F191" i="27" s="1"/>
  <c r="I191" i="27" s="1"/>
  <c r="AO176" i="27"/>
  <c r="AP176" i="27" s="1"/>
  <c r="AN177" i="27"/>
  <c r="AR176" i="27"/>
  <c r="AQ176" i="27"/>
  <c r="G204" i="27" s="1"/>
  <c r="J204" i="27" s="1"/>
  <c r="J205" i="38"/>
  <c r="M205" i="38"/>
  <c r="AO177" i="38"/>
  <c r="AP177" i="38" s="1"/>
  <c r="AN178" i="38"/>
  <c r="AR177" i="38"/>
  <c r="L190" i="30"/>
  <c r="I189" i="30"/>
  <c r="L189" i="30"/>
  <c r="AG176" i="30"/>
  <c r="AH176" i="30" s="1"/>
  <c r="AF177" i="30"/>
  <c r="AG177" i="39"/>
  <c r="AH177" i="39" s="1"/>
  <c r="AF178" i="39"/>
  <c r="I191" i="39"/>
  <c r="L191" i="39"/>
  <c r="H190" i="27"/>
  <c r="AO178" i="37"/>
  <c r="AP178" i="37" s="1"/>
  <c r="AN179" i="37"/>
  <c r="AQ179" i="37"/>
  <c r="G207" i="37" s="1"/>
  <c r="L190" i="37"/>
  <c r="L193" i="38"/>
  <c r="X179" i="34"/>
  <c r="Y178" i="34"/>
  <c r="Z178" i="34" s="1"/>
  <c r="AB178" i="40"/>
  <c r="X179" i="40"/>
  <c r="Y178" i="40"/>
  <c r="Z178" i="40" s="1"/>
  <c r="AJ176" i="27"/>
  <c r="T178" i="39"/>
  <c r="CB178" i="39" s="1"/>
  <c r="AS178" i="39"/>
  <c r="AS174" i="30"/>
  <c r="T174" i="30"/>
  <c r="CB174" i="30" s="1"/>
  <c r="Y176" i="30"/>
  <c r="Z176" i="30" s="1"/>
  <c r="X177" i="30"/>
  <c r="Y180" i="39"/>
  <c r="Z180" i="39" s="1"/>
  <c r="X181" i="39"/>
  <c r="K176" i="30"/>
  <c r="AT176" i="30" s="1"/>
  <c r="K175" i="30"/>
  <c r="AT175" i="30" s="1"/>
  <c r="W205" i="40"/>
  <c r="W207" i="34"/>
  <c r="AJ176" i="37"/>
  <c r="X192" i="37"/>
  <c r="Y191" i="37"/>
  <c r="Z190" i="37"/>
  <c r="AA191" i="37"/>
  <c r="E191" i="37" s="1"/>
  <c r="AG180" i="38"/>
  <c r="AH180" i="38" s="1"/>
  <c r="AF181" i="38"/>
  <c r="L194" i="38"/>
  <c r="X192" i="38"/>
  <c r="Y191" i="38"/>
  <c r="Z191" i="38" s="1"/>
  <c r="Y191" i="27"/>
  <c r="Z191" i="27" s="1"/>
  <c r="AA192" i="27"/>
  <c r="E192" i="27" s="1"/>
  <c r="X192" i="27"/>
  <c r="AB190" i="38"/>
  <c r="AB190" i="27"/>
  <c r="AG177" i="27"/>
  <c r="AH177" i="27" s="1"/>
  <c r="AF178" i="27"/>
  <c r="AA191" i="27"/>
  <c r="E191" i="27" s="1"/>
  <c r="CF132" i="37"/>
  <c r="CF120" i="37"/>
  <c r="CF109" i="37"/>
  <c r="CF114" i="37"/>
  <c r="CF111" i="37"/>
  <c r="CF124" i="37"/>
  <c r="CF127" i="37"/>
  <c r="CF108" i="37"/>
  <c r="CF133" i="37"/>
  <c r="CF129" i="37"/>
  <c r="CF126" i="37"/>
  <c r="CF134" i="37"/>
  <c r="CF106" i="37"/>
  <c r="CF113" i="37"/>
  <c r="CF103" i="37"/>
  <c r="CF105" i="37"/>
  <c r="CF118" i="37"/>
  <c r="CF110" i="37"/>
  <c r="CF131" i="37"/>
  <c r="CF121" i="37"/>
  <c r="CF117" i="37"/>
  <c r="CF119" i="37"/>
  <c r="CF128" i="37"/>
  <c r="CF125" i="37"/>
  <c r="CF115" i="37"/>
  <c r="CF130" i="37"/>
  <c r="CF123" i="37"/>
  <c r="CF122" i="37"/>
  <c r="CF112" i="37"/>
  <c r="CF107" i="37"/>
  <c r="CF116" i="37"/>
  <c r="CF101" i="37"/>
  <c r="CF102" i="37"/>
  <c r="CF104" i="37"/>
  <c r="CF100" i="37"/>
  <c r="CF135" i="37"/>
  <c r="CF136" i="37"/>
  <c r="CF137" i="37"/>
  <c r="CF138" i="37"/>
  <c r="CF139" i="37"/>
  <c r="AG177" i="37"/>
  <c r="AH177" i="37" s="1"/>
  <c r="AF178" i="37"/>
  <c r="AI177" i="37"/>
  <c r="F191" i="37" s="1"/>
  <c r="I191" i="37" s="1"/>
  <c r="CE97" i="38"/>
  <c r="CH135" i="38"/>
  <c r="CH121" i="38"/>
  <c r="CH124" i="38"/>
  <c r="CH184" i="38"/>
  <c r="CH101" i="38"/>
  <c r="CH169" i="38"/>
  <c r="CH245" i="38"/>
  <c r="CH103" i="38"/>
  <c r="CH196" i="38"/>
  <c r="CH236" i="38"/>
  <c r="CH211" i="38"/>
  <c r="CH167" i="38"/>
  <c r="CH237" i="38"/>
  <c r="CH107" i="38"/>
  <c r="CH172" i="38"/>
  <c r="CH203" i="38"/>
  <c r="CH106" i="38"/>
  <c r="CH183" i="38"/>
  <c r="CH249" i="38"/>
  <c r="CH138" i="38"/>
  <c r="CH224" i="38"/>
  <c r="CH243" i="38"/>
  <c r="CH222" i="38"/>
  <c r="CH134" i="38"/>
  <c r="CH179" i="38"/>
  <c r="CH209" i="38"/>
  <c r="CH127" i="38"/>
  <c r="CH168" i="38"/>
  <c r="CH182" i="38"/>
  <c r="CH102" i="38"/>
  <c r="CH186" i="38"/>
  <c r="CH230" i="38"/>
  <c r="CH119" i="38"/>
  <c r="CH200" i="38"/>
  <c r="CH233" i="38"/>
  <c r="CH229" i="38"/>
  <c r="CH132" i="38"/>
  <c r="CH238" i="38"/>
  <c r="CH133" i="38"/>
  <c r="CH176" i="38"/>
  <c r="CH205" i="38"/>
  <c r="CH165" i="38"/>
  <c r="CH199" i="38"/>
  <c r="CH130" i="38"/>
  <c r="CH164" i="38"/>
  <c r="CH219" i="38"/>
  <c r="CH116" i="38"/>
  <c r="CH113" i="38"/>
  <c r="CH246" i="38"/>
  <c r="CH108" i="38"/>
  <c r="CH152" i="38"/>
  <c r="CH146" i="38"/>
  <c r="CH218" i="38"/>
  <c r="CH210" i="38"/>
  <c r="CH105" i="38"/>
  <c r="CH157" i="38"/>
  <c r="CH187" i="38"/>
  <c r="CH153" i="38"/>
  <c r="CH189" i="38"/>
  <c r="CH244" i="38"/>
  <c r="CH139" i="38"/>
  <c r="CH220" i="38"/>
  <c r="CH247" i="38"/>
  <c r="CH231" i="38"/>
  <c r="CH163" i="38"/>
  <c r="CH234" i="38"/>
  <c r="CH129" i="38"/>
  <c r="CH191" i="38"/>
  <c r="CH217" i="38"/>
  <c r="CH145" i="38"/>
  <c r="CH204" i="38"/>
  <c r="CH137" i="38"/>
  <c r="CH150" i="38"/>
  <c r="CH202" i="38"/>
  <c r="CH123" i="38"/>
  <c r="CH241" i="38"/>
  <c r="CH250" i="38"/>
  <c r="CH175" i="38"/>
  <c r="CH122" i="38"/>
  <c r="CH120" i="38"/>
  <c r="CH177" i="38"/>
  <c r="CH136" i="38"/>
  <c r="CH225" i="38"/>
  <c r="CH118" i="38"/>
  <c r="CH162" i="38"/>
  <c r="CH147" i="38"/>
  <c r="CH193" i="38"/>
  <c r="CH170" i="38"/>
  <c r="CH195" i="38"/>
  <c r="CH171" i="38"/>
  <c r="CH213" i="38"/>
  <c r="CH232" i="38"/>
  <c r="CH140" i="38"/>
  <c r="CH192" i="38"/>
  <c r="CH207" i="38"/>
  <c r="CH111" i="38"/>
  <c r="CH100" i="38"/>
  <c r="CH126" i="38"/>
  <c r="CH112" i="38"/>
  <c r="CH144" i="38"/>
  <c r="CH240" i="38"/>
  <c r="CH221" i="38"/>
  <c r="CH185" i="38"/>
  <c r="CH227" i="38"/>
  <c r="CH109" i="38"/>
  <c r="CH215" i="38"/>
  <c r="CH190" i="38"/>
  <c r="CH158" i="38"/>
  <c r="CH117" i="38"/>
  <c r="CH178" i="38"/>
  <c r="CH226" i="38"/>
  <c r="CH173" i="38"/>
  <c r="CH212" i="38"/>
  <c r="CH198" i="38"/>
  <c r="CH242" i="38"/>
  <c r="CH142" i="38"/>
  <c r="CH206" i="38"/>
  <c r="CH125" i="38"/>
  <c r="CH131" i="38"/>
  <c r="CH248" i="38"/>
  <c r="CH214" i="38"/>
  <c r="CH174" i="38"/>
  <c r="CH115" i="38"/>
  <c r="CH194" i="38"/>
  <c r="CH188" i="38"/>
  <c r="CH181" i="38"/>
  <c r="CH228" i="38"/>
  <c r="CH159" i="38"/>
  <c r="CH201" i="38"/>
  <c r="CH197" i="38"/>
  <c r="CH148" i="38"/>
  <c r="CH156" i="38"/>
  <c r="CH161" i="38"/>
  <c r="CH110" i="38"/>
  <c r="CH208" i="38"/>
  <c r="CH180" i="38"/>
  <c r="CH143" i="38"/>
  <c r="CH114" i="38"/>
  <c r="CH151" i="38"/>
  <c r="CH104" i="38"/>
  <c r="CH155" i="38"/>
  <c r="CH141" i="38"/>
  <c r="CH216" i="38"/>
  <c r="CH149" i="38"/>
  <c r="CH128" i="38"/>
  <c r="CH235" i="38"/>
  <c r="CH160" i="38"/>
  <c r="CH166" i="38"/>
  <c r="CH223" i="38"/>
  <c r="CH154" i="38"/>
  <c r="CH239" i="38"/>
  <c r="BR85" i="27"/>
  <c r="BQ174" i="27"/>
  <c r="BR86" i="27" s="1"/>
  <c r="BQ173" i="27"/>
  <c r="BR173" i="27" s="1"/>
  <c r="L191" i="40"/>
  <c r="T177" i="40"/>
  <c r="CB177" i="40" s="1"/>
  <c r="L190" i="27"/>
  <c r="T175" i="27"/>
  <c r="AS184" i="38"/>
  <c r="K184" i="38"/>
  <c r="AT184" i="38" s="1"/>
  <c r="M203" i="27"/>
  <c r="AS183" i="38"/>
  <c r="K183" i="38"/>
  <c r="AT183" i="38" s="1"/>
  <c r="K177" i="27"/>
  <c r="AT177" i="27" s="1"/>
  <c r="AS177" i="27"/>
  <c r="AS176" i="27"/>
  <c r="K176" i="27"/>
  <c r="AT176" i="27" s="1"/>
  <c r="K181" i="37"/>
  <c r="AT181" i="37" s="1"/>
  <c r="AS181" i="37"/>
  <c r="AS180" i="37"/>
  <c r="K180" i="37"/>
  <c r="AT180" i="37" s="1"/>
  <c r="F69" i="37"/>
  <c r="M205" i="30"/>
  <c r="M208" i="39"/>
  <c r="M206" i="40"/>
  <c r="T177" i="34"/>
  <c r="CB177" i="34" s="1"/>
  <c r="M205" i="34"/>
  <c r="M209" i="39"/>
  <c r="AB177" i="22"/>
  <c r="AA178" i="22"/>
  <c r="K177" i="22"/>
  <c r="X179" i="22"/>
  <c r="Y178" i="22"/>
  <c r="Z178" i="22" s="1"/>
  <c r="W219" i="22"/>
  <c r="H180" i="39" l="1"/>
  <c r="AS180" i="39" s="1"/>
  <c r="AB180" i="39"/>
  <c r="AA181" i="39"/>
  <c r="E181" i="39" s="1"/>
  <c r="H181" i="39" s="1"/>
  <c r="BB177" i="37"/>
  <c r="BA178" i="37"/>
  <c r="BB178" i="37" s="1"/>
  <c r="AZ179" i="37"/>
  <c r="BA179" i="37"/>
  <c r="T179" i="39"/>
  <c r="CB179" i="39" s="1"/>
  <c r="L192" i="34"/>
  <c r="K178" i="34"/>
  <c r="AT178" i="34" s="1"/>
  <c r="L192" i="40"/>
  <c r="AQ178" i="38"/>
  <c r="G206" i="38" s="1"/>
  <c r="J206" i="38" s="1"/>
  <c r="K178" i="40"/>
  <c r="AA179" i="40"/>
  <c r="E179" i="40" s="1"/>
  <c r="H179" i="40" s="1"/>
  <c r="AS179" i="40" s="1"/>
  <c r="AB176" i="30"/>
  <c r="AJ177" i="39"/>
  <c r="AI178" i="39"/>
  <c r="F192" i="39" s="1"/>
  <c r="I192" i="39" s="1"/>
  <c r="H191" i="27"/>
  <c r="AB191" i="38"/>
  <c r="AJ178" i="40"/>
  <c r="AW182" i="38"/>
  <c r="AX182" i="38" s="1"/>
  <c r="AZ189" i="38"/>
  <c r="BB189" i="38" s="1"/>
  <c r="BA189" i="38"/>
  <c r="AA192" i="38"/>
  <c r="E192" i="38" s="1"/>
  <c r="H192" i="38" s="1"/>
  <c r="L191" i="34"/>
  <c r="L191" i="27"/>
  <c r="AQ177" i="27"/>
  <c r="G205" i="27" s="1"/>
  <c r="J205" i="27" s="1"/>
  <c r="H191" i="37"/>
  <c r="AR178" i="37"/>
  <c r="M206" i="37"/>
  <c r="AJ176" i="30"/>
  <c r="AW179" i="37"/>
  <c r="AX179" i="37" s="1"/>
  <c r="CF179" i="37" s="1"/>
  <c r="AA177" i="30"/>
  <c r="E177" i="30" s="1"/>
  <c r="H177" i="30" s="1"/>
  <c r="AI177" i="30"/>
  <c r="F191" i="30" s="1"/>
  <c r="L191" i="30" s="1"/>
  <c r="CB175" i="27"/>
  <c r="CE175" i="27"/>
  <c r="AV175" i="27"/>
  <c r="J207" i="37"/>
  <c r="M207" i="37"/>
  <c r="AA179" i="34"/>
  <c r="E179" i="34" s="1"/>
  <c r="H179" i="34" s="1"/>
  <c r="AS179" i="34" s="1"/>
  <c r="AG179" i="40"/>
  <c r="AH179" i="40" s="1"/>
  <c r="AF180" i="40"/>
  <c r="AG178" i="34"/>
  <c r="AH178" i="34" s="1"/>
  <c r="AF179" i="34"/>
  <c r="AI179" i="34"/>
  <c r="F193" i="34" s="1"/>
  <c r="I193" i="34" s="1"/>
  <c r="AN179" i="38"/>
  <c r="AO178" i="38"/>
  <c r="AP178" i="38" s="1"/>
  <c r="AR178" i="38"/>
  <c r="AI181" i="38"/>
  <c r="F195" i="38" s="1"/>
  <c r="I195" i="38" s="1"/>
  <c r="AN178" i="27"/>
  <c r="AO177" i="27"/>
  <c r="AP177" i="27" s="1"/>
  <c r="AQ178" i="27"/>
  <c r="G206" i="27" s="1"/>
  <c r="J206" i="27" s="1"/>
  <c r="AR177" i="27"/>
  <c r="AJ180" i="38"/>
  <c r="AG178" i="39"/>
  <c r="AH178" i="39" s="1"/>
  <c r="AF179" i="39"/>
  <c r="AG177" i="30"/>
  <c r="AH177" i="30" s="1"/>
  <c r="AF178" i="30"/>
  <c r="T180" i="39"/>
  <c r="CB180" i="39" s="1"/>
  <c r="AO179" i="37"/>
  <c r="AP179" i="37" s="1"/>
  <c r="AN180" i="37"/>
  <c r="AI178" i="37"/>
  <c r="F192" i="37" s="1"/>
  <c r="I192" i="37" s="1"/>
  <c r="AB179" i="40"/>
  <c r="X180" i="40"/>
  <c r="Y179" i="40"/>
  <c r="Z179" i="40" s="1"/>
  <c r="AA180" i="40"/>
  <c r="E180" i="40" s="1"/>
  <c r="H180" i="40" s="1"/>
  <c r="AB178" i="34"/>
  <c r="X180" i="34"/>
  <c r="Y179" i="34"/>
  <c r="Z179" i="34" s="1"/>
  <c r="Y177" i="30"/>
  <c r="Z177" i="30" s="1"/>
  <c r="X178" i="30"/>
  <c r="AS176" i="30"/>
  <c r="T176" i="30"/>
  <c r="CB176" i="30" s="1"/>
  <c r="Y181" i="39"/>
  <c r="Z181" i="39" s="1"/>
  <c r="X182" i="39"/>
  <c r="AB181" i="39"/>
  <c r="AS175" i="30"/>
  <c r="T175" i="30"/>
  <c r="CB175" i="30" s="1"/>
  <c r="W206" i="40"/>
  <c r="W208" i="34"/>
  <c r="Z191" i="37"/>
  <c r="AB191" i="37"/>
  <c r="AA192" i="37"/>
  <c r="E192" i="37" s="1"/>
  <c r="Y192" i="37"/>
  <c r="Z192" i="37" s="1"/>
  <c r="AA193" i="37"/>
  <c r="E193" i="37" s="1"/>
  <c r="X193" i="37"/>
  <c r="Y192" i="38"/>
  <c r="Z192" i="38" s="1"/>
  <c r="AB192" i="38"/>
  <c r="AA193" i="38"/>
  <c r="E193" i="38" s="1"/>
  <c r="H193" i="38" s="1"/>
  <c r="X193" i="38"/>
  <c r="Y192" i="27"/>
  <c r="Z192" i="27" s="1"/>
  <c r="AA193" i="27"/>
  <c r="E193" i="27" s="1"/>
  <c r="X193" i="27"/>
  <c r="AB191" i="27"/>
  <c r="AG178" i="27"/>
  <c r="AH178" i="27" s="1"/>
  <c r="AF179" i="27"/>
  <c r="AJ177" i="27"/>
  <c r="AI178" i="27"/>
  <c r="F192" i="27" s="1"/>
  <c r="I192" i="27" s="1"/>
  <c r="H192" i="27" s="1"/>
  <c r="AG181" i="38"/>
  <c r="AH181" i="38" s="1"/>
  <c r="AF182" i="38"/>
  <c r="AG178" i="37"/>
  <c r="AH178" i="37" s="1"/>
  <c r="AF179" i="37"/>
  <c r="E178" i="22"/>
  <c r="K178" i="22" s="1"/>
  <c r="AJ177" i="37"/>
  <c r="L191" i="37"/>
  <c r="BR174" i="27"/>
  <c r="L193" i="40"/>
  <c r="T183" i="38"/>
  <c r="K178" i="27"/>
  <c r="AT178" i="27" s="1"/>
  <c r="AS178" i="27"/>
  <c r="T177" i="27"/>
  <c r="T176" i="27"/>
  <c r="T184" i="38"/>
  <c r="M204" i="27"/>
  <c r="T181" i="37"/>
  <c r="T180" i="37"/>
  <c r="K182" i="37"/>
  <c r="AT182" i="37" s="1"/>
  <c r="AS182" i="37"/>
  <c r="M206" i="30"/>
  <c r="M207" i="30"/>
  <c r="M206" i="34"/>
  <c r="AB178" i="22"/>
  <c r="AA179" i="22"/>
  <c r="E179" i="22" s="1"/>
  <c r="Y179" i="22"/>
  <c r="Z179" i="22" s="1"/>
  <c r="X180" i="22"/>
  <c r="W220" i="22"/>
  <c r="K181" i="39" l="1"/>
  <c r="AT181" i="39" s="1"/>
  <c r="BB179" i="37"/>
  <c r="AB192" i="37"/>
  <c r="AB177" i="30"/>
  <c r="AA182" i="39"/>
  <c r="E182" i="39" s="1"/>
  <c r="K182" i="39" s="1"/>
  <c r="AT182" i="39" s="1"/>
  <c r="T178" i="34"/>
  <c r="CB178" i="34" s="1"/>
  <c r="K179" i="40"/>
  <c r="AT179" i="40" s="1"/>
  <c r="L192" i="39"/>
  <c r="M206" i="38"/>
  <c r="AA180" i="34"/>
  <c r="E180" i="34" s="1"/>
  <c r="H180" i="34" s="1"/>
  <c r="AS180" i="34" s="1"/>
  <c r="AT178" i="40"/>
  <c r="T178" i="40"/>
  <c r="CB178" i="40" s="1"/>
  <c r="AB179" i="34"/>
  <c r="AQ180" i="37"/>
  <c r="G208" i="37" s="1"/>
  <c r="J208" i="37" s="1"/>
  <c r="AJ178" i="39"/>
  <c r="AI179" i="39"/>
  <c r="F193" i="39" s="1"/>
  <c r="I193" i="39" s="1"/>
  <c r="M205" i="27"/>
  <c r="AJ179" i="40"/>
  <c r="AI180" i="40"/>
  <c r="F194" i="40" s="1"/>
  <c r="I194" i="40" s="1"/>
  <c r="AZ182" i="27"/>
  <c r="BB182" i="27" s="1"/>
  <c r="BA182" i="27"/>
  <c r="AW175" i="27"/>
  <c r="AX175" i="27" s="1"/>
  <c r="AI182" i="38"/>
  <c r="F196" i="38" s="1"/>
  <c r="I196" i="38" s="1"/>
  <c r="AJ181" i="38"/>
  <c r="I191" i="30"/>
  <c r="K177" i="30"/>
  <c r="AT177" i="30" s="1"/>
  <c r="AJ177" i="30"/>
  <c r="AI178" i="30"/>
  <c r="F192" i="30" s="1"/>
  <c r="I192" i="30" s="1"/>
  <c r="AI179" i="37"/>
  <c r="F193" i="37" s="1"/>
  <c r="I193" i="37" s="1"/>
  <c r="AJ178" i="37"/>
  <c r="AR179" i="37"/>
  <c r="K179" i="34"/>
  <c r="AT179" i="34" s="1"/>
  <c r="CB177" i="27"/>
  <c r="CE177" i="27"/>
  <c r="AV177" i="27"/>
  <c r="CB184" i="38"/>
  <c r="CE184" i="38"/>
  <c r="AV184" i="38"/>
  <c r="CB183" i="38"/>
  <c r="CE183" i="38"/>
  <c r="AV183" i="38"/>
  <c r="CB176" i="27"/>
  <c r="CE176" i="27"/>
  <c r="AV176" i="27"/>
  <c r="CB180" i="37"/>
  <c r="CE180" i="37"/>
  <c r="AV180" i="37"/>
  <c r="CB181" i="37"/>
  <c r="CE181" i="37"/>
  <c r="AV181" i="37"/>
  <c r="H192" i="37"/>
  <c r="AJ178" i="34"/>
  <c r="AG179" i="34"/>
  <c r="AH179" i="34" s="1"/>
  <c r="AI180" i="34"/>
  <c r="F194" i="34" s="1"/>
  <c r="I194" i="34" s="1"/>
  <c r="AF180" i="34"/>
  <c r="L193" i="34"/>
  <c r="AG180" i="40"/>
  <c r="AH180" i="40" s="1"/>
  <c r="AF181" i="40"/>
  <c r="AJ180" i="40"/>
  <c r="AO178" i="27"/>
  <c r="AP178" i="27" s="1"/>
  <c r="AQ179" i="27"/>
  <c r="G207" i="27" s="1"/>
  <c r="J207" i="27" s="1"/>
  <c r="AN179" i="27"/>
  <c r="L195" i="38"/>
  <c r="AN180" i="38"/>
  <c r="AO179" i="38"/>
  <c r="AP179" i="38" s="1"/>
  <c r="AQ179" i="38"/>
  <c r="G207" i="38" s="1"/>
  <c r="AF179" i="30"/>
  <c r="AG178" i="30"/>
  <c r="AH178" i="30" s="1"/>
  <c r="AG179" i="39"/>
  <c r="AH179" i="39" s="1"/>
  <c r="AF180" i="39"/>
  <c r="AI180" i="39"/>
  <c r="F194" i="39" s="1"/>
  <c r="L192" i="37"/>
  <c r="AO180" i="37"/>
  <c r="AP180" i="37" s="1"/>
  <c r="AN181" i="37"/>
  <c r="AQ181" i="37"/>
  <c r="G209" i="37" s="1"/>
  <c r="X181" i="34"/>
  <c r="Y180" i="34"/>
  <c r="Z180" i="34" s="1"/>
  <c r="AB180" i="34"/>
  <c r="Y180" i="40"/>
  <c r="Z180" i="40" s="1"/>
  <c r="X181" i="40"/>
  <c r="AB180" i="40"/>
  <c r="AA181" i="40"/>
  <c r="E181" i="40" s="1"/>
  <c r="AB192" i="27"/>
  <c r="AI179" i="27"/>
  <c r="F193" i="27" s="1"/>
  <c r="I193" i="27" s="1"/>
  <c r="AS177" i="30"/>
  <c r="AS181" i="39"/>
  <c r="Y178" i="30"/>
  <c r="Z178" i="30" s="1"/>
  <c r="X179" i="30"/>
  <c r="AA178" i="30"/>
  <c r="E178" i="30" s="1"/>
  <c r="H178" i="30" s="1"/>
  <c r="Y182" i="39"/>
  <c r="Z182" i="39" s="1"/>
  <c r="AB182" i="39"/>
  <c r="AA183" i="39"/>
  <c r="E183" i="39" s="1"/>
  <c r="X183" i="39"/>
  <c r="W207" i="40"/>
  <c r="W209" i="34"/>
  <c r="X194" i="37"/>
  <c r="Y193" i="37"/>
  <c r="Z193" i="37" s="1"/>
  <c r="Y193" i="27"/>
  <c r="Z193" i="27" s="1"/>
  <c r="X194" i="27"/>
  <c r="AG182" i="38"/>
  <c r="AH182" i="38" s="1"/>
  <c r="AF183" i="38"/>
  <c r="AG179" i="27"/>
  <c r="AH179" i="27" s="1"/>
  <c r="AF180" i="27"/>
  <c r="AJ178" i="27"/>
  <c r="X194" i="38"/>
  <c r="AA194" i="38"/>
  <c r="E194" i="38" s="1"/>
  <c r="H194" i="38" s="1"/>
  <c r="AB193" i="38"/>
  <c r="Y193" i="38"/>
  <c r="Z193" i="38" s="1"/>
  <c r="AG179" i="37"/>
  <c r="AH179" i="37" s="1"/>
  <c r="AF180" i="37"/>
  <c r="BR87" i="27"/>
  <c r="F70" i="27" s="1"/>
  <c r="O12" i="29" s="1"/>
  <c r="D63" i="29" s="1"/>
  <c r="AS185" i="38"/>
  <c r="L192" i="27"/>
  <c r="K185" i="38"/>
  <c r="AT185" i="38" s="1"/>
  <c r="AS186" i="38"/>
  <c r="K186" i="38"/>
  <c r="AT186" i="38" s="1"/>
  <c r="M206" i="27"/>
  <c r="T178" i="27"/>
  <c r="T182" i="37"/>
  <c r="AS183" i="37"/>
  <c r="K183" i="37"/>
  <c r="AT183" i="37" s="1"/>
  <c r="M210" i="39"/>
  <c r="M208" i="30"/>
  <c r="K180" i="40"/>
  <c r="AT180" i="40" s="1"/>
  <c r="AS180" i="40"/>
  <c r="M207" i="34"/>
  <c r="M207" i="40"/>
  <c r="K179" i="22"/>
  <c r="AB179" i="22"/>
  <c r="AA180" i="22"/>
  <c r="E180" i="22" s="1"/>
  <c r="X181" i="22"/>
  <c r="Y180" i="22"/>
  <c r="Z180" i="22" s="1"/>
  <c r="W221" i="22"/>
  <c r="T181" i="39" l="1"/>
  <c r="CB181" i="39" s="1"/>
  <c r="H182" i="39"/>
  <c r="AS182" i="39" s="1"/>
  <c r="AZ180" i="37"/>
  <c r="BA180" i="37"/>
  <c r="AA194" i="37"/>
  <c r="E194" i="37" s="1"/>
  <c r="AZ181" i="37"/>
  <c r="AB193" i="37"/>
  <c r="T179" i="40"/>
  <c r="CB179" i="40" s="1"/>
  <c r="K180" i="34"/>
  <c r="AT180" i="34" s="1"/>
  <c r="M208" i="37"/>
  <c r="T177" i="30"/>
  <c r="CB177" i="30" s="1"/>
  <c r="L193" i="39"/>
  <c r="T179" i="34"/>
  <c r="CB179" i="34" s="1"/>
  <c r="AR179" i="38"/>
  <c r="AI181" i="40"/>
  <c r="F195" i="40" s="1"/>
  <c r="I195" i="40" s="1"/>
  <c r="L193" i="37"/>
  <c r="H193" i="37"/>
  <c r="L194" i="40"/>
  <c r="BA183" i="27"/>
  <c r="AW176" i="27"/>
  <c r="AX176" i="27" s="1"/>
  <c r="AZ183" i="27"/>
  <c r="BB183" i="27" s="1"/>
  <c r="BA190" i="38"/>
  <c r="AW183" i="38"/>
  <c r="AX183" i="38" s="1"/>
  <c r="AZ190" i="38"/>
  <c r="BB190" i="38" s="1"/>
  <c r="AZ191" i="38"/>
  <c r="BB191" i="38" s="1"/>
  <c r="AW184" i="38"/>
  <c r="AX184" i="38" s="1"/>
  <c r="BA191" i="38"/>
  <c r="L196" i="38"/>
  <c r="AQ180" i="38"/>
  <c r="G208" i="38" s="1"/>
  <c r="J208" i="38" s="1"/>
  <c r="AZ184" i="27"/>
  <c r="BB184" i="27" s="1"/>
  <c r="BA184" i="27"/>
  <c r="AW177" i="27"/>
  <c r="AX177" i="27" s="1"/>
  <c r="AR178" i="27"/>
  <c r="L192" i="30"/>
  <c r="AR180" i="37"/>
  <c r="AJ179" i="39"/>
  <c r="AW181" i="37"/>
  <c r="AX181" i="37" s="1"/>
  <c r="CF181" i="37" s="1"/>
  <c r="AW180" i="37"/>
  <c r="AX180" i="37" s="1"/>
  <c r="CF180" i="37" s="1"/>
  <c r="AJ178" i="30"/>
  <c r="AI179" i="30"/>
  <c r="F193" i="30" s="1"/>
  <c r="I193" i="30" s="1"/>
  <c r="CB178" i="27"/>
  <c r="CE178" i="27"/>
  <c r="AV178" i="27"/>
  <c r="CB182" i="37"/>
  <c r="CE182" i="37"/>
  <c r="AV182" i="37"/>
  <c r="J209" i="37"/>
  <c r="M209" i="37"/>
  <c r="AG181" i="40"/>
  <c r="AH181" i="40" s="1"/>
  <c r="AF182" i="40"/>
  <c r="AI182" i="40"/>
  <c r="F196" i="40" s="1"/>
  <c r="I196" i="40" s="1"/>
  <c r="AJ181" i="40"/>
  <c r="AG180" i="34"/>
  <c r="AH180" i="34" s="1"/>
  <c r="AJ180" i="34"/>
  <c r="AF181" i="34"/>
  <c r="AJ179" i="34"/>
  <c r="L194" i="34"/>
  <c r="J207" i="38"/>
  <c r="M207" i="38"/>
  <c r="AO180" i="38"/>
  <c r="AP180" i="38" s="1"/>
  <c r="AQ181" i="38"/>
  <c r="G209" i="38" s="1"/>
  <c r="AN181" i="38"/>
  <c r="AR180" i="38"/>
  <c r="AN180" i="27"/>
  <c r="AO179" i="27"/>
  <c r="AP179" i="27" s="1"/>
  <c r="I194" i="39"/>
  <c r="L194" i="39"/>
  <c r="AG180" i="39"/>
  <c r="AH180" i="39" s="1"/>
  <c r="AF181" i="39"/>
  <c r="AA179" i="30"/>
  <c r="E179" i="30" s="1"/>
  <c r="H179" i="30" s="1"/>
  <c r="AB178" i="30"/>
  <c r="AG179" i="30"/>
  <c r="AH179" i="30" s="1"/>
  <c r="AF180" i="30"/>
  <c r="AO181" i="37"/>
  <c r="AP181" i="37" s="1"/>
  <c r="AN182" i="37"/>
  <c r="AQ182" i="37"/>
  <c r="G210" i="37" s="1"/>
  <c r="AR181" i="37"/>
  <c r="H181" i="40"/>
  <c r="AS181" i="40" s="1"/>
  <c r="K183" i="39"/>
  <c r="AT183" i="39" s="1"/>
  <c r="H183" i="39"/>
  <c r="AS183" i="39" s="1"/>
  <c r="H193" i="27"/>
  <c r="X182" i="40"/>
  <c r="Y181" i="40"/>
  <c r="Z181" i="40" s="1"/>
  <c r="AA181" i="34"/>
  <c r="E181" i="34" s="1"/>
  <c r="H181" i="34" s="1"/>
  <c r="AS181" i="34" s="1"/>
  <c r="K181" i="40"/>
  <c r="AT181" i="40" s="1"/>
  <c r="AA182" i="34"/>
  <c r="E182" i="34" s="1"/>
  <c r="H182" i="34" s="1"/>
  <c r="AB181" i="34"/>
  <c r="X182" i="34"/>
  <c r="Y181" i="34"/>
  <c r="Z181" i="34" s="1"/>
  <c r="AI183" i="38"/>
  <c r="F197" i="38" s="1"/>
  <c r="I197" i="38" s="1"/>
  <c r="AJ182" i="38"/>
  <c r="Y183" i="39"/>
  <c r="Z183" i="39" s="1"/>
  <c r="AB183" i="39"/>
  <c r="AA184" i="39"/>
  <c r="E184" i="39" s="1"/>
  <c r="H184" i="39" s="1"/>
  <c r="AS184" i="39" s="1"/>
  <c r="X184" i="39"/>
  <c r="K178" i="30"/>
  <c r="AT178" i="30" s="1"/>
  <c r="X180" i="30"/>
  <c r="Y179" i="30"/>
  <c r="Z179" i="30" s="1"/>
  <c r="W208" i="40"/>
  <c r="W210" i="34"/>
  <c r="M211" i="39"/>
  <c r="AA195" i="37"/>
  <c r="E195" i="37" s="1"/>
  <c r="X195" i="37"/>
  <c r="Y194" i="37"/>
  <c r="Z194" i="37" s="1"/>
  <c r="AB194" i="37"/>
  <c r="AJ179" i="37"/>
  <c r="Y194" i="38"/>
  <c r="Z194" i="38" s="1"/>
  <c r="X195" i="38"/>
  <c r="AG183" i="38"/>
  <c r="AH183" i="38" s="1"/>
  <c r="AF184" i="38"/>
  <c r="BR88" i="27"/>
  <c r="AF181" i="27"/>
  <c r="AG180" i="27"/>
  <c r="AH180" i="27" s="1"/>
  <c r="Y194" i="27"/>
  <c r="Z194" i="27" s="1"/>
  <c r="X195" i="27"/>
  <c r="AJ179" i="27"/>
  <c r="AA194" i="27"/>
  <c r="E194" i="27" s="1"/>
  <c r="AI180" i="27"/>
  <c r="F194" i="27" s="1"/>
  <c r="I194" i="27" s="1"/>
  <c r="AB193" i="27"/>
  <c r="AG180" i="37"/>
  <c r="AH180" i="37" s="1"/>
  <c r="AF181" i="37"/>
  <c r="AI180" i="37"/>
  <c r="F194" i="37" s="1"/>
  <c r="I194" i="37" s="1"/>
  <c r="AS179" i="27"/>
  <c r="K179" i="27"/>
  <c r="AT179" i="27" s="1"/>
  <c r="T185" i="38"/>
  <c r="L193" i="27"/>
  <c r="K187" i="38"/>
  <c r="AT187" i="38" s="1"/>
  <c r="AS187" i="38"/>
  <c r="M207" i="27"/>
  <c r="T186" i="38"/>
  <c r="T183" i="37"/>
  <c r="K184" i="37"/>
  <c r="AT184" i="37" s="1"/>
  <c r="AS184" i="37"/>
  <c r="M209" i="40"/>
  <c r="M208" i="34"/>
  <c r="T180" i="40"/>
  <c r="CB180" i="40" s="1"/>
  <c r="M208" i="40"/>
  <c r="AB180" i="22"/>
  <c r="AA181" i="22"/>
  <c r="E181" i="22" s="1"/>
  <c r="K180" i="22"/>
  <c r="Y181" i="22"/>
  <c r="Z181" i="22" s="1"/>
  <c r="X182" i="22"/>
  <c r="W222" i="22"/>
  <c r="T182" i="39" l="1"/>
  <c r="CB182" i="39" s="1"/>
  <c r="BA181" i="37"/>
  <c r="BB181" i="37" s="1"/>
  <c r="AZ182" i="37"/>
  <c r="BA182" i="37" s="1"/>
  <c r="AI181" i="39"/>
  <c r="F195" i="39" s="1"/>
  <c r="I195" i="39" s="1"/>
  <c r="BB180" i="37"/>
  <c r="AJ179" i="30"/>
  <c r="AI180" i="30"/>
  <c r="F194" i="30" s="1"/>
  <c r="I194" i="30" s="1"/>
  <c r="T180" i="34"/>
  <c r="CB180" i="34" s="1"/>
  <c r="T181" i="40"/>
  <c r="CB181" i="40" s="1"/>
  <c r="AI181" i="34"/>
  <c r="F195" i="34" s="1"/>
  <c r="I195" i="34" s="1"/>
  <c r="L195" i="40"/>
  <c r="AA182" i="40"/>
  <c r="E182" i="40" s="1"/>
  <c r="H182" i="40" s="1"/>
  <c r="AS182" i="40" s="1"/>
  <c r="AB181" i="40"/>
  <c r="K181" i="34"/>
  <c r="AT181" i="34" s="1"/>
  <c r="BA185" i="27"/>
  <c r="AW178" i="27"/>
  <c r="AX178" i="27" s="1"/>
  <c r="AZ185" i="27"/>
  <c r="BB185" i="27" s="1"/>
  <c r="AB194" i="38"/>
  <c r="M208" i="38"/>
  <c r="H194" i="27"/>
  <c r="K184" i="39"/>
  <c r="AT184" i="39" s="1"/>
  <c r="L193" i="30"/>
  <c r="AJ180" i="39"/>
  <c r="AW182" i="37"/>
  <c r="AX182" i="37" s="1"/>
  <c r="CF182" i="37" s="1"/>
  <c r="CB185" i="38"/>
  <c r="CE185" i="38"/>
  <c r="AV185" i="38"/>
  <c r="CB186" i="38"/>
  <c r="CE186" i="38"/>
  <c r="AV186" i="38"/>
  <c r="CB183" i="37"/>
  <c r="CE183" i="37"/>
  <c r="AV183" i="37"/>
  <c r="J210" i="37"/>
  <c r="M210" i="37"/>
  <c r="H194" i="37"/>
  <c r="AG181" i="34"/>
  <c r="AH181" i="34" s="1"/>
  <c r="AF182" i="34"/>
  <c r="AG182" i="40"/>
  <c r="AH182" i="40" s="1"/>
  <c r="AF183" i="40"/>
  <c r="AR179" i="27"/>
  <c r="AO180" i="27"/>
  <c r="AP180" i="27" s="1"/>
  <c r="AN181" i="27"/>
  <c r="AQ181" i="27"/>
  <c r="G209" i="27" s="1"/>
  <c r="J209" i="27" s="1"/>
  <c r="AR180" i="27"/>
  <c r="AQ180" i="27"/>
  <c r="G208" i="27" s="1"/>
  <c r="J208" i="27" s="1"/>
  <c r="AB194" i="27"/>
  <c r="AO181" i="38"/>
  <c r="AP181" i="38" s="1"/>
  <c r="AN182" i="38"/>
  <c r="AQ182" i="38"/>
  <c r="G210" i="38" s="1"/>
  <c r="AR181" i="38"/>
  <c r="J209" i="38"/>
  <c r="M209" i="38"/>
  <c r="AF181" i="30"/>
  <c r="AG180" i="30"/>
  <c r="AH180" i="30" s="1"/>
  <c r="AI181" i="30"/>
  <c r="F195" i="30" s="1"/>
  <c r="I195" i="30" s="1"/>
  <c r="AJ180" i="30"/>
  <c r="T183" i="39"/>
  <c r="CB183" i="39" s="1"/>
  <c r="AG181" i="39"/>
  <c r="AH181" i="39" s="1"/>
  <c r="AF182" i="39"/>
  <c r="K179" i="30"/>
  <c r="AT179" i="30" s="1"/>
  <c r="AO182" i="37"/>
  <c r="AP182" i="37" s="1"/>
  <c r="AN183" i="37"/>
  <c r="AQ183" i="37"/>
  <c r="G211" i="37" s="1"/>
  <c r="AR182" i="37"/>
  <c r="L197" i="38"/>
  <c r="X183" i="34"/>
  <c r="Y182" i="34"/>
  <c r="Z182" i="34" s="1"/>
  <c r="AB182" i="34"/>
  <c r="X183" i="40"/>
  <c r="Y182" i="40"/>
  <c r="Z182" i="40" s="1"/>
  <c r="AA183" i="40"/>
  <c r="E183" i="40" s="1"/>
  <c r="AJ183" i="38"/>
  <c r="AI184" i="38"/>
  <c r="F198" i="38" s="1"/>
  <c r="Y184" i="39"/>
  <c r="Z184" i="39" s="1"/>
  <c r="AB184" i="39"/>
  <c r="X185" i="39"/>
  <c r="Y180" i="30"/>
  <c r="Z180" i="30" s="1"/>
  <c r="X181" i="30"/>
  <c r="AA180" i="30"/>
  <c r="E180" i="30" s="1"/>
  <c r="H180" i="30" s="1"/>
  <c r="AB179" i="30"/>
  <c r="AS179" i="30"/>
  <c r="AS178" i="30"/>
  <c r="T178" i="30"/>
  <c r="CB178" i="30" s="1"/>
  <c r="AI181" i="37"/>
  <c r="F195" i="37" s="1"/>
  <c r="I195" i="37" s="1"/>
  <c r="AJ180" i="37"/>
  <c r="W209" i="40"/>
  <c r="W211" i="34"/>
  <c r="X196" i="37"/>
  <c r="Y195" i="37"/>
  <c r="AA196" i="37" s="1"/>
  <c r="E196" i="37" s="1"/>
  <c r="T179" i="27"/>
  <c r="AA195" i="27"/>
  <c r="E195" i="27" s="1"/>
  <c r="AG184" i="38"/>
  <c r="AH184" i="38" s="1"/>
  <c r="AF185" i="38"/>
  <c r="Y195" i="27"/>
  <c r="Z195" i="27" s="1"/>
  <c r="X196" i="27"/>
  <c r="AI181" i="27"/>
  <c r="F195" i="27" s="1"/>
  <c r="I195" i="27" s="1"/>
  <c r="AJ180" i="27"/>
  <c r="X196" i="38"/>
  <c r="AA196" i="38"/>
  <c r="E196" i="38" s="1"/>
  <c r="H196" i="38" s="1"/>
  <c r="AB195" i="38"/>
  <c r="Y195" i="38"/>
  <c r="Z195" i="38" s="1"/>
  <c r="AG181" i="27"/>
  <c r="AH181" i="27" s="1"/>
  <c r="AI182" i="27"/>
  <c r="F196" i="27" s="1"/>
  <c r="I196" i="27" s="1"/>
  <c r="AF182" i="27"/>
  <c r="AA195" i="38"/>
  <c r="E195" i="38" s="1"/>
  <c r="H195" i="38" s="1"/>
  <c r="L194" i="37"/>
  <c r="AG181" i="37"/>
  <c r="AH181" i="37" s="1"/>
  <c r="AF182" i="37"/>
  <c r="L196" i="40"/>
  <c r="L194" i="27"/>
  <c r="K188" i="38"/>
  <c r="AT188" i="38" s="1"/>
  <c r="AS188" i="38"/>
  <c r="K180" i="27"/>
  <c r="AT180" i="27" s="1"/>
  <c r="AS180" i="27"/>
  <c r="T187" i="38"/>
  <c r="K181" i="27"/>
  <c r="AT181" i="27" s="1"/>
  <c r="AS181" i="27"/>
  <c r="T184" i="37"/>
  <c r="K185" i="37"/>
  <c r="AT185" i="37" s="1"/>
  <c r="AS185" i="37"/>
  <c r="M212" i="39"/>
  <c r="M209" i="30"/>
  <c r="M209" i="34"/>
  <c r="M213" i="39"/>
  <c r="K181" i="22"/>
  <c r="AB181" i="22"/>
  <c r="AA182" i="22"/>
  <c r="E182" i="22" s="1"/>
  <c r="Y182" i="22"/>
  <c r="Z182" i="22" s="1"/>
  <c r="X183" i="22"/>
  <c r="W223" i="22"/>
  <c r="AZ183" i="37" l="1"/>
  <c r="AA185" i="39"/>
  <c r="E185" i="39" s="1"/>
  <c r="H185" i="39" s="1"/>
  <c r="L195" i="39"/>
  <c r="BB182" i="37"/>
  <c r="AB180" i="30"/>
  <c r="AA181" i="30"/>
  <c r="E181" i="30" s="1"/>
  <c r="H181" i="30" s="1"/>
  <c r="L194" i="30"/>
  <c r="K182" i="40"/>
  <c r="AT182" i="40" s="1"/>
  <c r="T181" i="34"/>
  <c r="CB181" i="34" s="1"/>
  <c r="AJ181" i="27"/>
  <c r="AI183" i="40"/>
  <c r="F197" i="40" s="1"/>
  <c r="I197" i="40" s="1"/>
  <c r="AJ181" i="34"/>
  <c r="L195" i="34"/>
  <c r="AI182" i="34"/>
  <c r="F196" i="34" s="1"/>
  <c r="I196" i="34" s="1"/>
  <c r="T184" i="39"/>
  <c r="CB184" i="39" s="1"/>
  <c r="BA192" i="38"/>
  <c r="AW185" i="38"/>
  <c r="AX185" i="38" s="1"/>
  <c r="AZ192" i="38"/>
  <c r="BB192" i="38" s="1"/>
  <c r="AB182" i="40"/>
  <c r="BA193" i="38"/>
  <c r="AZ193" i="38"/>
  <c r="BB193" i="38" s="1"/>
  <c r="AW186" i="38"/>
  <c r="AX186" i="38" s="1"/>
  <c r="AJ182" i="40"/>
  <c r="AW183" i="37"/>
  <c r="AX183" i="37" s="1"/>
  <c r="CF183" i="37" s="1"/>
  <c r="AJ181" i="39"/>
  <c r="AI182" i="39"/>
  <c r="F196" i="39" s="1"/>
  <c r="I196" i="39" s="1"/>
  <c r="CB179" i="27"/>
  <c r="CE179" i="27"/>
  <c r="AV179" i="27"/>
  <c r="CB187" i="38"/>
  <c r="CE187" i="38"/>
  <c r="AV187" i="38"/>
  <c r="CB184" i="37"/>
  <c r="CE184" i="37"/>
  <c r="AV184" i="37"/>
  <c r="J211" i="37"/>
  <c r="M211" i="37"/>
  <c r="H195" i="37"/>
  <c r="AI184" i="40"/>
  <c r="F198" i="40" s="1"/>
  <c r="I198" i="40" s="1"/>
  <c r="AF184" i="40"/>
  <c r="AG183" i="40"/>
  <c r="AH183" i="40" s="1"/>
  <c r="AJ183" i="40"/>
  <c r="AG182" i="34"/>
  <c r="AH182" i="34" s="1"/>
  <c r="AF183" i="34"/>
  <c r="J210" i="38"/>
  <c r="M210" i="38"/>
  <c r="AO182" i="38"/>
  <c r="AP182" i="38" s="1"/>
  <c r="AN183" i="38"/>
  <c r="AJ184" i="38"/>
  <c r="AO181" i="27"/>
  <c r="AP181" i="27" s="1"/>
  <c r="AN182" i="27"/>
  <c r="AQ182" i="27"/>
  <c r="G210" i="27" s="1"/>
  <c r="J210" i="27" s="1"/>
  <c r="AI185" i="38"/>
  <c r="F199" i="38" s="1"/>
  <c r="I199" i="38" s="1"/>
  <c r="L195" i="30"/>
  <c r="AG182" i="39"/>
  <c r="AH182" i="39" s="1"/>
  <c r="AF183" i="39"/>
  <c r="AI183" i="39"/>
  <c r="F197" i="39" s="1"/>
  <c r="AJ182" i="39"/>
  <c r="T179" i="30"/>
  <c r="CB179" i="30" s="1"/>
  <c r="AF182" i="30"/>
  <c r="AG181" i="30"/>
  <c r="AH181" i="30" s="1"/>
  <c r="AO183" i="37"/>
  <c r="AP183" i="37" s="1"/>
  <c r="AN184" i="37"/>
  <c r="AQ184" i="37"/>
  <c r="G212" i="37" s="1"/>
  <c r="AR183" i="37"/>
  <c r="L198" i="38"/>
  <c r="I198" i="38"/>
  <c r="K183" i="40"/>
  <c r="AT183" i="40" s="1"/>
  <c r="H183" i="40"/>
  <c r="AS183" i="40" s="1"/>
  <c r="H195" i="27"/>
  <c r="X184" i="40"/>
  <c r="Y183" i="40"/>
  <c r="Z183" i="40" s="1"/>
  <c r="AA184" i="40"/>
  <c r="E184" i="40" s="1"/>
  <c r="H184" i="40" s="1"/>
  <c r="AS184" i="40" s="1"/>
  <c r="AB183" i="40"/>
  <c r="AA183" i="34"/>
  <c r="E183" i="34" s="1"/>
  <c r="H183" i="34" s="1"/>
  <c r="Y183" i="34"/>
  <c r="Z183" i="34" s="1"/>
  <c r="X184" i="34"/>
  <c r="AA196" i="27"/>
  <c r="E196" i="27" s="1"/>
  <c r="H196" i="27" s="1"/>
  <c r="AB195" i="27"/>
  <c r="X182" i="30"/>
  <c r="Y181" i="30"/>
  <c r="Z181" i="30" s="1"/>
  <c r="Y185" i="39"/>
  <c r="Z185" i="39" s="1"/>
  <c r="AB185" i="39"/>
  <c r="AA186" i="39"/>
  <c r="E186" i="39" s="1"/>
  <c r="H186" i="39" s="1"/>
  <c r="X186" i="39"/>
  <c r="K180" i="30"/>
  <c r="AT180" i="30" s="1"/>
  <c r="L195" i="37"/>
  <c r="M210" i="40"/>
  <c r="W210" i="40"/>
  <c r="W212" i="34"/>
  <c r="Z195" i="37"/>
  <c r="AB195" i="37"/>
  <c r="AJ181" i="37"/>
  <c r="AB196" i="37"/>
  <c r="Y196" i="37"/>
  <c r="Z196" i="37" s="1"/>
  <c r="X197" i="37"/>
  <c r="AA197" i="37"/>
  <c r="E197" i="37" s="1"/>
  <c r="L195" i="27"/>
  <c r="AB196" i="38"/>
  <c r="X197" i="38"/>
  <c r="Y196" i="38"/>
  <c r="Z196" i="38" s="1"/>
  <c r="AF183" i="27"/>
  <c r="AG182" i="27"/>
  <c r="AH182" i="27" s="1"/>
  <c r="AG185" i="38"/>
  <c r="AH185" i="38" s="1"/>
  <c r="AJ185" i="38"/>
  <c r="AF186" i="38"/>
  <c r="Y196" i="27"/>
  <c r="Z196" i="27" s="1"/>
  <c r="X197" i="27"/>
  <c r="AG182" i="37"/>
  <c r="AH182" i="37" s="1"/>
  <c r="AF183" i="37"/>
  <c r="AI183" i="37"/>
  <c r="F197" i="37" s="1"/>
  <c r="I197" i="37" s="1"/>
  <c r="AI182" i="37"/>
  <c r="F196" i="37" s="1"/>
  <c r="I196" i="37" s="1"/>
  <c r="K182" i="34"/>
  <c r="AT182" i="34" s="1"/>
  <c r="L196" i="27"/>
  <c r="AS182" i="27"/>
  <c r="K182" i="27"/>
  <c r="AT182" i="27" s="1"/>
  <c r="T188" i="38"/>
  <c r="T181" i="27"/>
  <c r="AS189" i="38"/>
  <c r="K189" i="38"/>
  <c r="AT189" i="38" s="1"/>
  <c r="M209" i="27"/>
  <c r="T180" i="27"/>
  <c r="M208" i="27"/>
  <c r="T185" i="37"/>
  <c r="K186" i="37"/>
  <c r="AT186" i="37" s="1"/>
  <c r="AS186" i="37"/>
  <c r="M210" i="30"/>
  <c r="M214" i="39"/>
  <c r="AS182" i="34"/>
  <c r="M210" i="34"/>
  <c r="M211" i="40"/>
  <c r="AA183" i="22"/>
  <c r="E183" i="22" s="1"/>
  <c r="AB182" i="22"/>
  <c r="K182" i="22"/>
  <c r="X184" i="22"/>
  <c r="Y183" i="22"/>
  <c r="Z183" i="22" s="1"/>
  <c r="W224" i="22"/>
  <c r="K181" i="30" l="1"/>
  <c r="AT181" i="30" s="1"/>
  <c r="AZ184" i="37"/>
  <c r="K185" i="39"/>
  <c r="AT185" i="39" s="1"/>
  <c r="BA183" i="37"/>
  <c r="BB183" i="37" s="1"/>
  <c r="T182" i="40"/>
  <c r="CB182" i="40" s="1"/>
  <c r="L197" i="40"/>
  <c r="AR181" i="27"/>
  <c r="L196" i="39"/>
  <c r="AW179" i="27"/>
  <c r="AX179" i="27" s="1"/>
  <c r="BA186" i="27"/>
  <c r="AZ186" i="27"/>
  <c r="BB186" i="27" s="1"/>
  <c r="AR182" i="38"/>
  <c r="AI186" i="38"/>
  <c r="F200" i="38" s="1"/>
  <c r="I200" i="38" s="1"/>
  <c r="AQ183" i="38"/>
  <c r="G211" i="38" s="1"/>
  <c r="M211" i="38" s="1"/>
  <c r="AZ194" i="38"/>
  <c r="BB194" i="38" s="1"/>
  <c r="AW187" i="38"/>
  <c r="AX187" i="38" s="1"/>
  <c r="BA194" i="38"/>
  <c r="AJ182" i="34"/>
  <c r="H197" i="37"/>
  <c r="AJ181" i="30"/>
  <c r="AW184" i="37"/>
  <c r="AX184" i="37" s="1"/>
  <c r="CF184" i="37" s="1"/>
  <c r="CB181" i="27"/>
  <c r="CE181" i="27"/>
  <c r="AV181" i="27"/>
  <c r="CB180" i="27"/>
  <c r="CE180" i="27"/>
  <c r="AV180" i="27"/>
  <c r="CB188" i="38"/>
  <c r="CE188" i="38"/>
  <c r="AV188" i="38"/>
  <c r="CB185" i="37"/>
  <c r="CE185" i="37"/>
  <c r="AV185" i="37"/>
  <c r="J212" i="37"/>
  <c r="M212" i="37"/>
  <c r="H196" i="37"/>
  <c r="K184" i="40"/>
  <c r="AT184" i="40" s="1"/>
  <c r="AG183" i="34"/>
  <c r="AH183" i="34" s="1"/>
  <c r="AF184" i="34"/>
  <c r="AI183" i="34"/>
  <c r="F197" i="34" s="1"/>
  <c r="I197" i="34" s="1"/>
  <c r="AG184" i="40"/>
  <c r="AH184" i="40" s="1"/>
  <c r="AF185" i="40"/>
  <c r="L198" i="40"/>
  <c r="AA184" i="34"/>
  <c r="E184" i="34" s="1"/>
  <c r="H184" i="34" s="1"/>
  <c r="AO182" i="27"/>
  <c r="AP182" i="27" s="1"/>
  <c r="AQ183" i="27"/>
  <c r="G211" i="27" s="1"/>
  <c r="J211" i="27" s="1"/>
  <c r="AN183" i="27"/>
  <c r="AR182" i="27"/>
  <c r="L199" i="38"/>
  <c r="AO183" i="38"/>
  <c r="AP183" i="38" s="1"/>
  <c r="AN184" i="38"/>
  <c r="AG182" i="30"/>
  <c r="AH182" i="30" s="1"/>
  <c r="AF183" i="30"/>
  <c r="AI182" i="30"/>
  <c r="F196" i="30" s="1"/>
  <c r="I197" i="39"/>
  <c r="L197" i="39"/>
  <c r="AG183" i="39"/>
  <c r="AH183" i="39" s="1"/>
  <c r="AF184" i="39"/>
  <c r="AJ183" i="39"/>
  <c r="T183" i="40"/>
  <c r="CB183" i="40" s="1"/>
  <c r="AO184" i="37"/>
  <c r="AP184" i="37" s="1"/>
  <c r="AN185" i="37"/>
  <c r="AQ185" i="37"/>
  <c r="G213" i="37" s="1"/>
  <c r="AR184" i="37"/>
  <c r="Y184" i="34"/>
  <c r="Z184" i="34" s="1"/>
  <c r="X185" i="34"/>
  <c r="AB183" i="34"/>
  <c r="X185" i="40"/>
  <c r="Y184" i="40"/>
  <c r="Z184" i="40" s="1"/>
  <c r="AA197" i="27"/>
  <c r="E197" i="27" s="1"/>
  <c r="AB196" i="27"/>
  <c r="Y186" i="39"/>
  <c r="Z186" i="39" s="1"/>
  <c r="AA187" i="39"/>
  <c r="E187" i="39" s="1"/>
  <c r="H187" i="39" s="1"/>
  <c r="AB186" i="39"/>
  <c r="X187" i="39"/>
  <c r="AS181" i="30"/>
  <c r="AS180" i="30"/>
  <c r="T180" i="30"/>
  <c r="CB180" i="30" s="1"/>
  <c r="X183" i="30"/>
  <c r="Y182" i="30"/>
  <c r="Z182" i="30" s="1"/>
  <c r="AS185" i="39"/>
  <c r="AB181" i="30"/>
  <c r="K186" i="39"/>
  <c r="AT186" i="39" s="1"/>
  <c r="AA182" i="30"/>
  <c r="E182" i="30" s="1"/>
  <c r="H182" i="30" s="1"/>
  <c r="W211" i="40"/>
  <c r="W213" i="34"/>
  <c r="AJ182" i="37"/>
  <c r="Y197" i="37"/>
  <c r="Z197" i="37" s="1"/>
  <c r="AB197" i="37"/>
  <c r="X198" i="37"/>
  <c r="AI183" i="27"/>
  <c r="F197" i="27" s="1"/>
  <c r="I197" i="27" s="1"/>
  <c r="AG186" i="38"/>
  <c r="AH186" i="38" s="1"/>
  <c r="AF187" i="38"/>
  <c r="AI187" i="38"/>
  <c r="F201" i="38" s="1"/>
  <c r="I201" i="38" s="1"/>
  <c r="AJ186" i="38"/>
  <c r="AJ182" i="27"/>
  <c r="Y197" i="27"/>
  <c r="Z197" i="27" s="1"/>
  <c r="X198" i="27"/>
  <c r="AG183" i="27"/>
  <c r="AH183" i="27" s="1"/>
  <c r="AI184" i="27"/>
  <c r="F198" i="27" s="1"/>
  <c r="I198" i="27" s="1"/>
  <c r="AF184" i="27"/>
  <c r="Y197" i="38"/>
  <c r="Z197" i="38" s="1"/>
  <c r="X198" i="38"/>
  <c r="AA198" i="38"/>
  <c r="E198" i="38" s="1"/>
  <c r="H198" i="38" s="1"/>
  <c r="AB197" i="38"/>
  <c r="AA197" i="38"/>
  <c r="E197" i="38" s="1"/>
  <c r="H197" i="38" s="1"/>
  <c r="AG183" i="37"/>
  <c r="AH183" i="37" s="1"/>
  <c r="AJ183" i="37"/>
  <c r="AI184" i="37"/>
  <c r="F198" i="37" s="1"/>
  <c r="I198" i="37" s="1"/>
  <c r="AF184" i="37"/>
  <c r="L197" i="37"/>
  <c r="L196" i="37"/>
  <c r="T182" i="34"/>
  <c r="CB182" i="34" s="1"/>
  <c r="L196" i="34"/>
  <c r="K183" i="27"/>
  <c r="AT183" i="27" s="1"/>
  <c r="AS183" i="27"/>
  <c r="AS190" i="38"/>
  <c r="K190" i="38"/>
  <c r="AT190" i="38" s="1"/>
  <c r="T189" i="38"/>
  <c r="T182" i="27"/>
  <c r="M210" i="27"/>
  <c r="AS187" i="37"/>
  <c r="K187" i="37"/>
  <c r="AT187" i="37" s="1"/>
  <c r="T186" i="37"/>
  <c r="M211" i="30"/>
  <c r="M212" i="40"/>
  <c r="K183" i="34"/>
  <c r="AT183" i="34" s="1"/>
  <c r="AS183" i="34"/>
  <c r="M215" i="39"/>
  <c r="AA184" i="22"/>
  <c r="AB183" i="22"/>
  <c r="X185" i="22"/>
  <c r="Y184" i="22"/>
  <c r="Z184" i="22" s="1"/>
  <c r="W225" i="22"/>
  <c r="T181" i="30" l="1"/>
  <c r="CB181" i="30" s="1"/>
  <c r="T185" i="39"/>
  <c r="CB185" i="39" s="1"/>
  <c r="AA198" i="37"/>
  <c r="E198" i="37" s="1"/>
  <c r="H198" i="37" s="1"/>
  <c r="BA184" i="37"/>
  <c r="BB184" i="37" s="1"/>
  <c r="AZ185" i="37"/>
  <c r="AB182" i="30"/>
  <c r="AJ182" i="30"/>
  <c r="J211" i="38"/>
  <c r="L200" i="38"/>
  <c r="L197" i="34"/>
  <c r="AJ184" i="40"/>
  <c r="BA195" i="38"/>
  <c r="AZ195" i="38"/>
  <c r="BB195" i="38" s="1"/>
  <c r="AW188" i="38"/>
  <c r="AX188" i="38" s="1"/>
  <c r="AI185" i="40"/>
  <c r="F199" i="40" s="1"/>
  <c r="I199" i="40" s="1"/>
  <c r="AA185" i="34"/>
  <c r="E185" i="34" s="1"/>
  <c r="H185" i="34" s="1"/>
  <c r="BA187" i="27"/>
  <c r="AZ187" i="27"/>
  <c r="BB187" i="27" s="1"/>
  <c r="AW180" i="27"/>
  <c r="AX180" i="27" s="1"/>
  <c r="AR183" i="38"/>
  <c r="AJ183" i="34"/>
  <c r="AQ184" i="38"/>
  <c r="G212" i="38" s="1"/>
  <c r="J212" i="38" s="1"/>
  <c r="AW181" i="27"/>
  <c r="AX181" i="27" s="1"/>
  <c r="AZ188" i="27"/>
  <c r="BB188" i="27" s="1"/>
  <c r="BA188" i="27"/>
  <c r="AI184" i="34"/>
  <c r="F198" i="34" s="1"/>
  <c r="I198" i="34" s="1"/>
  <c r="AW185" i="37"/>
  <c r="AX185" i="37" s="1"/>
  <c r="CF185" i="37" s="1"/>
  <c r="AI184" i="39"/>
  <c r="F198" i="39" s="1"/>
  <c r="I198" i="39" s="1"/>
  <c r="T184" i="40"/>
  <c r="CB184" i="40" s="1"/>
  <c r="H197" i="27"/>
  <c r="CB182" i="27"/>
  <c r="CE182" i="27"/>
  <c r="AV182" i="27"/>
  <c r="CB189" i="38"/>
  <c r="CE189" i="38"/>
  <c r="AV189" i="38"/>
  <c r="CB186" i="37"/>
  <c r="CE186" i="37"/>
  <c r="AV186" i="37"/>
  <c r="J213" i="37"/>
  <c r="M213" i="37"/>
  <c r="AG184" i="34"/>
  <c r="AH184" i="34" s="1"/>
  <c r="AF185" i="34"/>
  <c r="AJ184" i="34"/>
  <c r="AI185" i="34"/>
  <c r="F199" i="34" s="1"/>
  <c r="I199" i="34" s="1"/>
  <c r="AG185" i="40"/>
  <c r="AH185" i="40" s="1"/>
  <c r="AI186" i="40"/>
  <c r="F200" i="40" s="1"/>
  <c r="I200" i="40" s="1"/>
  <c r="AF186" i="40"/>
  <c r="AJ185" i="40"/>
  <c r="AO184" i="38"/>
  <c r="AP184" i="38" s="1"/>
  <c r="AN185" i="38"/>
  <c r="AJ183" i="27"/>
  <c r="AO183" i="27"/>
  <c r="AP183" i="27" s="1"/>
  <c r="AQ184" i="27"/>
  <c r="G212" i="27" s="1"/>
  <c r="J212" i="27" s="1"/>
  <c r="AN184" i="27"/>
  <c r="AR183" i="27"/>
  <c r="AG183" i="30"/>
  <c r="AH183" i="30" s="1"/>
  <c r="AF184" i="30"/>
  <c r="I196" i="30"/>
  <c r="L196" i="30"/>
  <c r="AI183" i="30"/>
  <c r="F197" i="30" s="1"/>
  <c r="AG184" i="39"/>
  <c r="AH184" i="39" s="1"/>
  <c r="AI185" i="39"/>
  <c r="F199" i="39" s="1"/>
  <c r="AF185" i="39"/>
  <c r="AO185" i="37"/>
  <c r="AP185" i="37" s="1"/>
  <c r="AN186" i="37"/>
  <c r="AQ186" i="37"/>
  <c r="G214" i="37" s="1"/>
  <c r="AR185" i="37"/>
  <c r="L197" i="27"/>
  <c r="AA185" i="40"/>
  <c r="E185" i="40" s="1"/>
  <c r="H185" i="40" s="1"/>
  <c r="AA186" i="40"/>
  <c r="E186" i="40" s="1"/>
  <c r="H186" i="40" s="1"/>
  <c r="X186" i="40"/>
  <c r="Y185" i="40"/>
  <c r="Z185" i="40" s="1"/>
  <c r="Y185" i="34"/>
  <c r="Z185" i="34" s="1"/>
  <c r="X186" i="34"/>
  <c r="AB185" i="34"/>
  <c r="AA186" i="34"/>
  <c r="E186" i="34" s="1"/>
  <c r="H186" i="34" s="1"/>
  <c r="AB184" i="34"/>
  <c r="AB184" i="40"/>
  <c r="AA198" i="27"/>
  <c r="E198" i="27" s="1"/>
  <c r="H198" i="27" s="1"/>
  <c r="Y187" i="39"/>
  <c r="Z187" i="39" s="1"/>
  <c r="X188" i="39"/>
  <c r="X184" i="30"/>
  <c r="Y183" i="30"/>
  <c r="Z183" i="30" s="1"/>
  <c r="K187" i="39"/>
  <c r="AT187" i="39" s="1"/>
  <c r="K182" i="30"/>
  <c r="AT182" i="30" s="1"/>
  <c r="AS186" i="39"/>
  <c r="T186" i="39"/>
  <c r="CB186" i="39" s="1"/>
  <c r="AA183" i="30"/>
  <c r="E183" i="30" s="1"/>
  <c r="H183" i="30" s="1"/>
  <c r="W212" i="40"/>
  <c r="W214" i="34"/>
  <c r="AA199" i="37"/>
  <c r="E199" i="37" s="1"/>
  <c r="X199" i="37"/>
  <c r="Y198" i="37"/>
  <c r="Z198" i="37" s="1"/>
  <c r="AJ184" i="27"/>
  <c r="AF185" i="27"/>
  <c r="AG184" i="27"/>
  <c r="AH184" i="27" s="1"/>
  <c r="L201" i="38"/>
  <c r="AG187" i="38"/>
  <c r="AH187" i="38" s="1"/>
  <c r="AI188" i="38"/>
  <c r="F202" i="38" s="1"/>
  <c r="I202" i="38" s="1"/>
  <c r="AJ187" i="38"/>
  <c r="AF188" i="38"/>
  <c r="X199" i="38"/>
  <c r="Y198" i="38"/>
  <c r="Z198" i="38" s="1"/>
  <c r="Y198" i="27"/>
  <c r="Z198" i="27" s="1"/>
  <c r="X199" i="27"/>
  <c r="AB197" i="27"/>
  <c r="E184" i="22"/>
  <c r="K184" i="22" s="1"/>
  <c r="AG184" i="37"/>
  <c r="AH184" i="37" s="1"/>
  <c r="AF185" i="37"/>
  <c r="L198" i="37"/>
  <c r="AS184" i="34"/>
  <c r="L198" i="27"/>
  <c r="T183" i="27"/>
  <c r="M211" i="27"/>
  <c r="AS184" i="27"/>
  <c r="K184" i="27"/>
  <c r="AT184" i="27" s="1"/>
  <c r="AS191" i="38"/>
  <c r="K191" i="38"/>
  <c r="AT191" i="38" s="1"/>
  <c r="T190" i="38"/>
  <c r="T187" i="37"/>
  <c r="K188" i="37"/>
  <c r="AT188" i="37" s="1"/>
  <c r="AS188" i="37"/>
  <c r="M213" i="30"/>
  <c r="M212" i="30"/>
  <c r="K184" i="34"/>
  <c r="AT184" i="34" s="1"/>
  <c r="M211" i="34"/>
  <c r="M212" i="34"/>
  <c r="M213" i="40"/>
  <c r="T183" i="34"/>
  <c r="CB183" i="34" s="1"/>
  <c r="AA185" i="22"/>
  <c r="E185" i="22" s="1"/>
  <c r="AB184" i="22"/>
  <c r="X186" i="22"/>
  <c r="Y185" i="22"/>
  <c r="Z185" i="22" s="1"/>
  <c r="K183" i="22"/>
  <c r="W226" i="22"/>
  <c r="AZ186" i="37" l="1"/>
  <c r="BA186" i="37" s="1"/>
  <c r="AB198" i="37"/>
  <c r="BA185" i="37"/>
  <c r="BB185" i="37" s="1"/>
  <c r="AB187" i="39"/>
  <c r="AI184" i="30"/>
  <c r="F198" i="30" s="1"/>
  <c r="I198" i="30" s="1"/>
  <c r="AR184" i="38"/>
  <c r="AJ183" i="30"/>
  <c r="M212" i="38"/>
  <c r="AQ185" i="38"/>
  <c r="G213" i="38" s="1"/>
  <c r="J213" i="38" s="1"/>
  <c r="AZ196" i="38"/>
  <c r="BB196" i="38" s="1"/>
  <c r="AW189" i="38"/>
  <c r="AX189" i="38" s="1"/>
  <c r="BA196" i="38"/>
  <c r="BA189" i="27"/>
  <c r="AZ189" i="27"/>
  <c r="BB189" i="27" s="1"/>
  <c r="AW182" i="27"/>
  <c r="AX182" i="27" s="1"/>
  <c r="AB185" i="40"/>
  <c r="AW186" i="37"/>
  <c r="AX186" i="37" s="1"/>
  <c r="CF186" i="37" s="1"/>
  <c r="L198" i="39"/>
  <c r="AJ184" i="39"/>
  <c r="CB190" i="38"/>
  <c r="CE190" i="38"/>
  <c r="AV190" i="38"/>
  <c r="CB183" i="27"/>
  <c r="CE183" i="27"/>
  <c r="AV183" i="27"/>
  <c r="CB187" i="37"/>
  <c r="CE187" i="37"/>
  <c r="AV187" i="37"/>
  <c r="J214" i="37"/>
  <c r="M214" i="37"/>
  <c r="AF187" i="40"/>
  <c r="AG186" i="40"/>
  <c r="AH186" i="40" s="1"/>
  <c r="AI187" i="40"/>
  <c r="F201" i="40" s="1"/>
  <c r="I201" i="40" s="1"/>
  <c r="AJ186" i="40"/>
  <c r="AG185" i="34"/>
  <c r="AH185" i="34" s="1"/>
  <c r="AI186" i="34"/>
  <c r="F200" i="34" s="1"/>
  <c r="I200" i="34" s="1"/>
  <c r="AF186" i="34"/>
  <c r="AO185" i="38"/>
  <c r="AP185" i="38" s="1"/>
  <c r="AN186" i="38"/>
  <c r="AR185" i="38"/>
  <c r="AO184" i="27"/>
  <c r="AP184" i="27" s="1"/>
  <c r="AN185" i="27"/>
  <c r="AQ185" i="27"/>
  <c r="G213" i="27" s="1"/>
  <c r="J213" i="27" s="1"/>
  <c r="AR184" i="27"/>
  <c r="I199" i="39"/>
  <c r="L199" i="39"/>
  <c r="I197" i="30"/>
  <c r="L197" i="30"/>
  <c r="AG184" i="30"/>
  <c r="AH184" i="30" s="1"/>
  <c r="AF185" i="30"/>
  <c r="AG185" i="39"/>
  <c r="AH185" i="39" s="1"/>
  <c r="AI186" i="39"/>
  <c r="F200" i="39" s="1"/>
  <c r="AF186" i="39"/>
  <c r="AO186" i="37"/>
  <c r="AP186" i="37" s="1"/>
  <c r="AN187" i="37"/>
  <c r="K185" i="40"/>
  <c r="AT185" i="40" s="1"/>
  <c r="X187" i="34"/>
  <c r="Y186" i="34"/>
  <c r="Z186" i="34" s="1"/>
  <c r="AA187" i="34"/>
  <c r="E187" i="34" s="1"/>
  <c r="H187" i="34" s="1"/>
  <c r="AB186" i="34"/>
  <c r="Y186" i="40"/>
  <c r="Z186" i="40" s="1"/>
  <c r="X187" i="40"/>
  <c r="AA199" i="27"/>
  <c r="E199" i="27" s="1"/>
  <c r="Y184" i="30"/>
  <c r="Z184" i="30" s="1"/>
  <c r="AA185" i="30"/>
  <c r="E185" i="30" s="1"/>
  <c r="H185" i="30" s="1"/>
  <c r="AB184" i="30"/>
  <c r="X185" i="30"/>
  <c r="AB183" i="30"/>
  <c r="K183" i="30"/>
  <c r="AT183" i="30" s="1"/>
  <c r="AA184" i="30"/>
  <c r="E184" i="30" s="1"/>
  <c r="H184" i="30" s="1"/>
  <c r="AS182" i="30"/>
  <c r="T182" i="30"/>
  <c r="CB182" i="30" s="1"/>
  <c r="Y188" i="39"/>
  <c r="Z188" i="39" s="1"/>
  <c r="X189" i="39"/>
  <c r="AA188" i="39"/>
  <c r="E188" i="39" s="1"/>
  <c r="H188" i="39" s="1"/>
  <c r="AS187" i="39"/>
  <c r="T187" i="39"/>
  <c r="CB187" i="39" s="1"/>
  <c r="AI185" i="37"/>
  <c r="F199" i="37" s="1"/>
  <c r="AJ184" i="37"/>
  <c r="W213" i="40"/>
  <c r="AS185" i="40"/>
  <c r="W215" i="34"/>
  <c r="X200" i="37"/>
  <c r="Y199" i="37"/>
  <c r="AB199" i="37" s="1"/>
  <c r="Y199" i="27"/>
  <c r="Z199" i="27" s="1"/>
  <c r="AA200" i="27"/>
  <c r="E200" i="27" s="1"/>
  <c r="AB199" i="27"/>
  <c r="X200" i="27"/>
  <c r="L202" i="38"/>
  <c r="Y199" i="38"/>
  <c r="Z199" i="38" s="1"/>
  <c r="X200" i="38"/>
  <c r="AB199" i="38"/>
  <c r="AA199" i="38"/>
  <c r="E199" i="38" s="1"/>
  <c r="H199" i="38" s="1"/>
  <c r="AB198" i="38"/>
  <c r="AI185" i="27"/>
  <c r="F199" i="27" s="1"/>
  <c r="AB198" i="27"/>
  <c r="AG188" i="38"/>
  <c r="AH188" i="38" s="1"/>
  <c r="AJ188" i="38"/>
  <c r="AI189" i="38"/>
  <c r="F203" i="38" s="1"/>
  <c r="I203" i="38" s="1"/>
  <c r="AF189" i="38"/>
  <c r="AI186" i="27"/>
  <c r="F200" i="27" s="1"/>
  <c r="I200" i="27" s="1"/>
  <c r="AF186" i="27"/>
  <c r="AG185" i="27"/>
  <c r="AH185" i="27" s="1"/>
  <c r="AG185" i="37"/>
  <c r="AH185" i="37" s="1"/>
  <c r="AF186" i="37"/>
  <c r="L199" i="40"/>
  <c r="L200" i="40"/>
  <c r="L198" i="34"/>
  <c r="AS185" i="34"/>
  <c r="T184" i="34"/>
  <c r="CB184" i="34" s="1"/>
  <c r="T184" i="27"/>
  <c r="M212" i="27"/>
  <c r="AS192" i="38"/>
  <c r="K192" i="38"/>
  <c r="AT192" i="38" s="1"/>
  <c r="AS185" i="27"/>
  <c r="K185" i="27"/>
  <c r="AT185" i="27" s="1"/>
  <c r="T191" i="38"/>
  <c r="AS189" i="37"/>
  <c r="K189" i="37"/>
  <c r="AT189" i="37" s="1"/>
  <c r="T188" i="37"/>
  <c r="M216" i="39"/>
  <c r="K185" i="34"/>
  <c r="AT185" i="34" s="1"/>
  <c r="M213" i="34"/>
  <c r="AS186" i="34"/>
  <c r="K186" i="34"/>
  <c r="AT186" i="34" s="1"/>
  <c r="AS186" i="40"/>
  <c r="K186" i="40"/>
  <c r="AT186" i="40" s="1"/>
  <c r="AA186" i="22"/>
  <c r="AB185" i="22"/>
  <c r="X187" i="22"/>
  <c r="Y186" i="22"/>
  <c r="Z186" i="22" s="1"/>
  <c r="K185" i="22"/>
  <c r="W227" i="22"/>
  <c r="AJ185" i="39" l="1"/>
  <c r="AZ187" i="37"/>
  <c r="L198" i="30"/>
  <c r="BB186" i="37"/>
  <c r="AB188" i="39"/>
  <c r="AA189" i="39"/>
  <c r="E189" i="39" s="1"/>
  <c r="H189" i="39" s="1"/>
  <c r="H200" i="27"/>
  <c r="AJ185" i="27"/>
  <c r="AQ186" i="38"/>
  <c r="G214" i="38" s="1"/>
  <c r="J214" i="38" s="1"/>
  <c r="AJ184" i="30"/>
  <c r="AI185" i="30"/>
  <c r="F199" i="30" s="1"/>
  <c r="L199" i="30" s="1"/>
  <c r="BA197" i="38"/>
  <c r="AZ197" i="38"/>
  <c r="BB197" i="38" s="1"/>
  <c r="AW190" i="38"/>
  <c r="AX190" i="38" s="1"/>
  <c r="AA200" i="38"/>
  <c r="E200" i="38" s="1"/>
  <c r="H200" i="38" s="1"/>
  <c r="M213" i="38"/>
  <c r="AW183" i="27"/>
  <c r="AX183" i="27" s="1"/>
  <c r="AZ190" i="27"/>
  <c r="BB190" i="27" s="1"/>
  <c r="BA190" i="27"/>
  <c r="AB186" i="40"/>
  <c r="AA187" i="40"/>
  <c r="E187" i="40" s="1"/>
  <c r="H187" i="40" s="1"/>
  <c r="AS187" i="40" s="1"/>
  <c r="AJ185" i="34"/>
  <c r="AW187" i="37"/>
  <c r="AX187" i="37" s="1"/>
  <c r="CF187" i="37" s="1"/>
  <c r="AR186" i="37"/>
  <c r="AQ187" i="37"/>
  <c r="G215" i="37" s="1"/>
  <c r="M215" i="37" s="1"/>
  <c r="CB184" i="27"/>
  <c r="CE184" i="27"/>
  <c r="AV184" i="27"/>
  <c r="CB191" i="38"/>
  <c r="CE191" i="38"/>
  <c r="AV191" i="38"/>
  <c r="CB188" i="37"/>
  <c r="CE188" i="37"/>
  <c r="AV188" i="37"/>
  <c r="T185" i="40"/>
  <c r="CB185" i="40" s="1"/>
  <c r="AG186" i="34"/>
  <c r="AH186" i="34" s="1"/>
  <c r="AF187" i="34"/>
  <c r="L200" i="34"/>
  <c r="AG187" i="40"/>
  <c r="AH187" i="40" s="1"/>
  <c r="AI188" i="40"/>
  <c r="F202" i="40" s="1"/>
  <c r="I202" i="40" s="1"/>
  <c r="AF188" i="40"/>
  <c r="AJ187" i="40"/>
  <c r="AO185" i="27"/>
  <c r="AP185" i="27" s="1"/>
  <c r="AN186" i="27"/>
  <c r="AO186" i="38"/>
  <c r="AP186" i="38" s="1"/>
  <c r="AQ187" i="38"/>
  <c r="G215" i="38" s="1"/>
  <c r="AN187" i="38"/>
  <c r="AR186" i="38"/>
  <c r="I200" i="39"/>
  <c r="L200" i="39"/>
  <c r="AG186" i="39"/>
  <c r="AH186" i="39" s="1"/>
  <c r="AF187" i="39"/>
  <c r="AG185" i="30"/>
  <c r="AH185" i="30" s="1"/>
  <c r="AF186" i="30"/>
  <c r="AO187" i="37"/>
  <c r="AP187" i="37" s="1"/>
  <c r="AN188" i="37"/>
  <c r="L199" i="27"/>
  <c r="I199" i="27"/>
  <c r="H199" i="27" s="1"/>
  <c r="L199" i="37"/>
  <c r="I199" i="37"/>
  <c r="H199" i="37" s="1"/>
  <c r="AB187" i="40"/>
  <c r="X188" i="40"/>
  <c r="Y187" i="40"/>
  <c r="Z187" i="40" s="1"/>
  <c r="X188" i="34"/>
  <c r="Y187" i="34"/>
  <c r="Z187" i="34" s="1"/>
  <c r="AA188" i="34"/>
  <c r="E188" i="34" s="1"/>
  <c r="H188" i="34" s="1"/>
  <c r="AS183" i="30"/>
  <c r="T183" i="30"/>
  <c r="CB183" i="30" s="1"/>
  <c r="K188" i="39"/>
  <c r="AT188" i="39" s="1"/>
  <c r="Y189" i="39"/>
  <c r="Z189" i="39" s="1"/>
  <c r="X190" i="39"/>
  <c r="AB189" i="39"/>
  <c r="K185" i="30"/>
  <c r="AT185" i="30" s="1"/>
  <c r="K184" i="30"/>
  <c r="AT184" i="30" s="1"/>
  <c r="Y185" i="30"/>
  <c r="Z185" i="30" s="1"/>
  <c r="X186" i="30"/>
  <c r="AI186" i="37"/>
  <c r="F200" i="37" s="1"/>
  <c r="I200" i="37" s="1"/>
  <c r="AJ185" i="37"/>
  <c r="W214" i="40"/>
  <c r="W216" i="34"/>
  <c r="Z199" i="37"/>
  <c r="AA200" i="37"/>
  <c r="E200" i="37" s="1"/>
  <c r="X201" i="37"/>
  <c r="Y200" i="37"/>
  <c r="Z200" i="37" s="1"/>
  <c r="AA201" i="38"/>
  <c r="E201" i="38" s="1"/>
  <c r="H201" i="38" s="1"/>
  <c r="AB200" i="38"/>
  <c r="X201" i="38"/>
  <c r="Y200" i="38"/>
  <c r="Z200" i="38" s="1"/>
  <c r="AF187" i="27"/>
  <c r="AG186" i="27"/>
  <c r="AH186" i="27" s="1"/>
  <c r="Y200" i="27"/>
  <c r="Z200" i="27" s="1"/>
  <c r="AA201" i="27"/>
  <c r="E201" i="27" s="1"/>
  <c r="X201" i="27"/>
  <c r="AG189" i="38"/>
  <c r="AH189" i="38" s="1"/>
  <c r="AF190" i="38"/>
  <c r="L203" i="38"/>
  <c r="AG186" i="37"/>
  <c r="AH186" i="37" s="1"/>
  <c r="AF187" i="37"/>
  <c r="E186" i="22"/>
  <c r="K186" i="22" s="1"/>
  <c r="L199" i="34"/>
  <c r="T192" i="38"/>
  <c r="T185" i="27"/>
  <c r="M213" i="27"/>
  <c r="AS193" i="38"/>
  <c r="K193" i="38"/>
  <c r="AT193" i="38" s="1"/>
  <c r="T189" i="37"/>
  <c r="M217" i="39"/>
  <c r="M214" i="30"/>
  <c r="M219" i="39"/>
  <c r="T185" i="34"/>
  <c r="CB185" i="34" s="1"/>
  <c r="T186" i="34"/>
  <c r="CB186" i="34" s="1"/>
  <c r="M214" i="34"/>
  <c r="AS187" i="34"/>
  <c r="K187" i="34"/>
  <c r="AT187" i="34" s="1"/>
  <c r="M215" i="40"/>
  <c r="T186" i="40"/>
  <c r="CB186" i="40" s="1"/>
  <c r="M214" i="40"/>
  <c r="AA187" i="22"/>
  <c r="E187" i="22" s="1"/>
  <c r="AB186" i="22"/>
  <c r="Y187" i="22"/>
  <c r="Z187" i="22" s="1"/>
  <c r="X188" i="22"/>
  <c r="W228" i="22"/>
  <c r="AI187" i="37" l="1"/>
  <c r="F201" i="37" s="1"/>
  <c r="I201" i="37" s="1"/>
  <c r="AJ186" i="37"/>
  <c r="AA186" i="30"/>
  <c r="E186" i="30" s="1"/>
  <c r="H186" i="30" s="1"/>
  <c r="AJ185" i="30"/>
  <c r="AA201" i="37"/>
  <c r="E201" i="37" s="1"/>
  <c r="H201" i="37" s="1"/>
  <c r="K189" i="39"/>
  <c r="AT189" i="39" s="1"/>
  <c r="BA187" i="37"/>
  <c r="BB187" i="37" s="1"/>
  <c r="AZ188" i="37"/>
  <c r="BA188" i="37" s="1"/>
  <c r="AA190" i="39"/>
  <c r="E190" i="39" s="1"/>
  <c r="K190" i="39" s="1"/>
  <c r="AT190" i="39" s="1"/>
  <c r="AJ186" i="39"/>
  <c r="AI187" i="39"/>
  <c r="F201" i="39" s="1"/>
  <c r="I201" i="39" s="1"/>
  <c r="M214" i="38"/>
  <c r="I199" i="30"/>
  <c r="AR185" i="27"/>
  <c r="AQ186" i="27"/>
  <c r="G214" i="27" s="1"/>
  <c r="J214" i="27" s="1"/>
  <c r="AA188" i="40"/>
  <c r="E188" i="40" s="1"/>
  <c r="H188" i="40" s="1"/>
  <c r="AS188" i="40" s="1"/>
  <c r="AJ186" i="34"/>
  <c r="AI187" i="34"/>
  <c r="F201" i="34" s="1"/>
  <c r="I201" i="34" s="1"/>
  <c r="J215" i="37"/>
  <c r="K187" i="40"/>
  <c r="AT187" i="40" s="1"/>
  <c r="AW191" i="38"/>
  <c r="AX191" i="38" s="1"/>
  <c r="AZ198" i="38"/>
  <c r="BB198" i="38" s="1"/>
  <c r="BA198" i="38"/>
  <c r="BA191" i="27"/>
  <c r="AZ191" i="27"/>
  <c r="BB191" i="27" s="1"/>
  <c r="AW184" i="27"/>
  <c r="AX184" i="27" s="1"/>
  <c r="H200" i="37"/>
  <c r="AB185" i="30"/>
  <c r="AW188" i="37"/>
  <c r="AX188" i="37" s="1"/>
  <c r="CF188" i="37" s="1"/>
  <c r="AB200" i="37"/>
  <c r="AR187" i="37"/>
  <c r="AQ188" i="37"/>
  <c r="G216" i="37" s="1"/>
  <c r="J216" i="37" s="1"/>
  <c r="CB185" i="27"/>
  <c r="CE185" i="27"/>
  <c r="AV185" i="27"/>
  <c r="CB192" i="38"/>
  <c r="CE192" i="38"/>
  <c r="AV192" i="38"/>
  <c r="CB189" i="37"/>
  <c r="CE189" i="37"/>
  <c r="AV189" i="37"/>
  <c r="AG188" i="40"/>
  <c r="AH188" i="40" s="1"/>
  <c r="AI189" i="40"/>
  <c r="F203" i="40" s="1"/>
  <c r="I203" i="40" s="1"/>
  <c r="AF189" i="40"/>
  <c r="AJ188" i="40"/>
  <c r="AG187" i="34"/>
  <c r="AH187" i="34" s="1"/>
  <c r="AF188" i="34"/>
  <c r="AI188" i="34"/>
  <c r="F202" i="34" s="1"/>
  <c r="I202" i="34" s="1"/>
  <c r="AJ187" i="34"/>
  <c r="L202" i="40"/>
  <c r="AO187" i="38"/>
  <c r="AP187" i="38" s="1"/>
  <c r="AN188" i="38"/>
  <c r="AQ188" i="38"/>
  <c r="G216" i="38" s="1"/>
  <c r="AR187" i="38"/>
  <c r="J215" i="38"/>
  <c r="M215" i="38"/>
  <c r="AO186" i="27"/>
  <c r="AP186" i="27" s="1"/>
  <c r="AN187" i="27"/>
  <c r="AQ187" i="27"/>
  <c r="G215" i="27" s="1"/>
  <c r="J215" i="27" s="1"/>
  <c r="AR186" i="27"/>
  <c r="AG186" i="30"/>
  <c r="AH186" i="30" s="1"/>
  <c r="AF187" i="30"/>
  <c r="AI186" i="30"/>
  <c r="F200" i="30" s="1"/>
  <c r="AG187" i="39"/>
  <c r="AH187" i="39" s="1"/>
  <c r="AF188" i="39"/>
  <c r="AS189" i="39"/>
  <c r="AO188" i="37"/>
  <c r="AP188" i="37" s="1"/>
  <c r="AN189" i="37"/>
  <c r="AQ189" i="37"/>
  <c r="G217" i="37" s="1"/>
  <c r="AB187" i="34"/>
  <c r="X189" i="34"/>
  <c r="Y188" i="34"/>
  <c r="Z188" i="34" s="1"/>
  <c r="Y188" i="40"/>
  <c r="Z188" i="40" s="1"/>
  <c r="X189" i="40"/>
  <c r="AI190" i="38"/>
  <c r="F204" i="38" s="1"/>
  <c r="AJ189" i="38"/>
  <c r="Y190" i="39"/>
  <c r="Z190" i="39" s="1"/>
  <c r="X191" i="39"/>
  <c r="AS184" i="30"/>
  <c r="T184" i="30"/>
  <c r="CB184" i="30" s="1"/>
  <c r="AS188" i="39"/>
  <c r="T188" i="39"/>
  <c r="CB188" i="39" s="1"/>
  <c r="AS185" i="30"/>
  <c r="T185" i="30"/>
  <c r="CB185" i="30" s="1"/>
  <c r="Y186" i="30"/>
  <c r="Z186" i="30" s="1"/>
  <c r="AA187" i="30"/>
  <c r="E187" i="30" s="1"/>
  <c r="H187" i="30" s="1"/>
  <c r="X187" i="30"/>
  <c r="L200" i="37"/>
  <c r="W215" i="40"/>
  <c r="W217" i="34"/>
  <c r="X202" i="37"/>
  <c r="Y201" i="37"/>
  <c r="Z201" i="37" s="1"/>
  <c r="AF188" i="27"/>
  <c r="AG187" i="27"/>
  <c r="AH187" i="27" s="1"/>
  <c r="AG190" i="38"/>
  <c r="AH190" i="38" s="1"/>
  <c r="AF191" i="38"/>
  <c r="AJ186" i="27"/>
  <c r="AI187" i="27"/>
  <c r="F201" i="27" s="1"/>
  <c r="I201" i="27" s="1"/>
  <c r="Y201" i="27"/>
  <c r="Z201" i="27" s="1"/>
  <c r="AB201" i="27"/>
  <c r="AA202" i="27"/>
  <c r="E202" i="27" s="1"/>
  <c r="X202" i="27"/>
  <c r="AB200" i="27"/>
  <c r="X202" i="38"/>
  <c r="AB201" i="38"/>
  <c r="AA202" i="38"/>
  <c r="E202" i="38" s="1"/>
  <c r="H202" i="38" s="1"/>
  <c r="Y201" i="38"/>
  <c r="Z201" i="38" s="1"/>
  <c r="AG187" i="37"/>
  <c r="AH187" i="37" s="1"/>
  <c r="AF188" i="37"/>
  <c r="K190" i="37"/>
  <c r="AT190" i="37" s="1"/>
  <c r="L201" i="40"/>
  <c r="L200" i="27"/>
  <c r="T193" i="38"/>
  <c r="AS186" i="27"/>
  <c r="K186" i="27"/>
  <c r="AT186" i="27" s="1"/>
  <c r="K194" i="38"/>
  <c r="AT194" i="38" s="1"/>
  <c r="AS194" i="38"/>
  <c r="AS190" i="37"/>
  <c r="K191" i="37"/>
  <c r="AT191" i="37" s="1"/>
  <c r="AS191" i="37"/>
  <c r="M215" i="30"/>
  <c r="M216" i="30"/>
  <c r="M218" i="39"/>
  <c r="T187" i="34"/>
  <c r="CB187" i="34" s="1"/>
  <c r="M215" i="34"/>
  <c r="M216" i="40"/>
  <c r="AA188" i="22"/>
  <c r="E188" i="22" s="1"/>
  <c r="AB187" i="22"/>
  <c r="K187" i="22"/>
  <c r="X189" i="22"/>
  <c r="Y188" i="22"/>
  <c r="Z188" i="22" s="1"/>
  <c r="W229" i="22"/>
  <c r="H190" i="39" l="1"/>
  <c r="AS190" i="39" s="1"/>
  <c r="L201" i="37"/>
  <c r="L201" i="39"/>
  <c r="T189" i="39"/>
  <c r="CB189" i="39" s="1"/>
  <c r="AZ189" i="37"/>
  <c r="BB188" i="37"/>
  <c r="AA191" i="39"/>
  <c r="E191" i="39" s="1"/>
  <c r="H191" i="39" s="1"/>
  <c r="AB190" i="39"/>
  <c r="K186" i="30"/>
  <c r="AT186" i="30" s="1"/>
  <c r="AI188" i="37"/>
  <c r="F202" i="37" s="1"/>
  <c r="I202" i="37" s="1"/>
  <c r="AJ187" i="37"/>
  <c r="L201" i="34"/>
  <c r="T187" i="40"/>
  <c r="CB187" i="40" s="1"/>
  <c r="AA189" i="34"/>
  <c r="E189" i="34" s="1"/>
  <c r="H189" i="34" s="1"/>
  <c r="AB188" i="34"/>
  <c r="K188" i="40"/>
  <c r="AT188" i="40" s="1"/>
  <c r="AJ186" i="30"/>
  <c r="AI187" i="30"/>
  <c r="F201" i="30" s="1"/>
  <c r="I201" i="30" s="1"/>
  <c r="BA199" i="38"/>
  <c r="AZ199" i="38"/>
  <c r="BB199" i="38" s="1"/>
  <c r="AW192" i="38"/>
  <c r="AX192" i="38" s="1"/>
  <c r="AW185" i="27"/>
  <c r="AX185" i="27" s="1"/>
  <c r="BA192" i="27"/>
  <c r="AZ192" i="27"/>
  <c r="BB192" i="27" s="1"/>
  <c r="AR188" i="37"/>
  <c r="M216" i="37"/>
  <c r="AJ187" i="39"/>
  <c r="AW189" i="37"/>
  <c r="AX189" i="37" s="1"/>
  <c r="CF189" i="37" s="1"/>
  <c r="AI188" i="39"/>
  <c r="F202" i="39" s="1"/>
  <c r="I202" i="39" s="1"/>
  <c r="CB193" i="38"/>
  <c r="CE193" i="38"/>
  <c r="AV193" i="38"/>
  <c r="J217" i="37"/>
  <c r="M217" i="37"/>
  <c r="AG188" i="34"/>
  <c r="AH188" i="34" s="1"/>
  <c r="AF189" i="34"/>
  <c r="AI189" i="34"/>
  <c r="F203" i="34" s="1"/>
  <c r="I203" i="34" s="1"/>
  <c r="AJ188" i="34"/>
  <c r="L203" i="40"/>
  <c r="AG189" i="40"/>
  <c r="AH189" i="40" s="1"/>
  <c r="AF190" i="40"/>
  <c r="AI190" i="40"/>
  <c r="F204" i="40" s="1"/>
  <c r="I204" i="40" s="1"/>
  <c r="AO187" i="27"/>
  <c r="AP187" i="27" s="1"/>
  <c r="AN188" i="27"/>
  <c r="J216" i="38"/>
  <c r="M216" i="38"/>
  <c r="AO188" i="38"/>
  <c r="AP188" i="38" s="1"/>
  <c r="AQ189" i="38"/>
  <c r="G217" i="38" s="1"/>
  <c r="AN189" i="38"/>
  <c r="AR188" i="38"/>
  <c r="I200" i="30"/>
  <c r="L200" i="30"/>
  <c r="AG188" i="39"/>
  <c r="AH188" i="39" s="1"/>
  <c r="AF189" i="39"/>
  <c r="AG187" i="30"/>
  <c r="AH187" i="30" s="1"/>
  <c r="AI188" i="30"/>
  <c r="F202" i="30" s="1"/>
  <c r="I202" i="30" s="1"/>
  <c r="AF188" i="30"/>
  <c r="AN190" i="37"/>
  <c r="AO189" i="37"/>
  <c r="AP189" i="37" s="1"/>
  <c r="AQ190" i="37"/>
  <c r="G218" i="37" s="1"/>
  <c r="AR189" i="37"/>
  <c r="L204" i="38"/>
  <c r="I204" i="38"/>
  <c r="H201" i="27"/>
  <c r="AA189" i="40"/>
  <c r="E189" i="40" s="1"/>
  <c r="H189" i="40" s="1"/>
  <c r="X190" i="34"/>
  <c r="Y189" i="34"/>
  <c r="Z189" i="34" s="1"/>
  <c r="AA190" i="34"/>
  <c r="E190" i="34" s="1"/>
  <c r="H190" i="34" s="1"/>
  <c r="AB189" i="34"/>
  <c r="AA190" i="40"/>
  <c r="E190" i="40" s="1"/>
  <c r="H190" i="40" s="1"/>
  <c r="X190" i="40"/>
  <c r="Y189" i="40"/>
  <c r="Z189" i="40" s="1"/>
  <c r="AB188" i="40"/>
  <c r="AI191" i="38"/>
  <c r="F205" i="38" s="1"/>
  <c r="I205" i="38" s="1"/>
  <c r="AB186" i="30"/>
  <c r="K187" i="30"/>
  <c r="AT187" i="30" s="1"/>
  <c r="Y191" i="39"/>
  <c r="Z191" i="39" s="1"/>
  <c r="X192" i="39"/>
  <c r="AS186" i="30"/>
  <c r="T190" i="39"/>
  <c r="CB190" i="39" s="1"/>
  <c r="Y187" i="30"/>
  <c r="Z187" i="30" s="1"/>
  <c r="AB187" i="30"/>
  <c r="AA188" i="30"/>
  <c r="E188" i="30" s="1"/>
  <c r="H188" i="30" s="1"/>
  <c r="X188" i="30"/>
  <c r="AA202" i="37"/>
  <c r="E202" i="37" s="1"/>
  <c r="H202" i="37" s="1"/>
  <c r="AB201" i="37"/>
  <c r="W216" i="40"/>
  <c r="W218" i="34"/>
  <c r="Y202" i="37"/>
  <c r="Z202" i="37" s="1"/>
  <c r="X203" i="37"/>
  <c r="Y202" i="27"/>
  <c r="Z202" i="27" s="1"/>
  <c r="X203" i="27"/>
  <c r="AA203" i="27"/>
  <c r="E203" i="27" s="1"/>
  <c r="AB202" i="27"/>
  <c r="AI189" i="27"/>
  <c r="F203" i="27" s="1"/>
  <c r="I203" i="27" s="1"/>
  <c r="AF189" i="27"/>
  <c r="AG188" i="27"/>
  <c r="AH188" i="27" s="1"/>
  <c r="AI188" i="27"/>
  <c r="F202" i="27" s="1"/>
  <c r="I202" i="27" s="1"/>
  <c r="H202" i="27" s="1"/>
  <c r="AJ187" i="27"/>
  <c r="X203" i="38"/>
  <c r="Y202" i="38"/>
  <c r="Z202" i="38" s="1"/>
  <c r="AG191" i="38"/>
  <c r="AH191" i="38" s="1"/>
  <c r="AJ191" i="38"/>
  <c r="AF192" i="38"/>
  <c r="AJ190" i="38"/>
  <c r="AG188" i="37"/>
  <c r="AH188" i="37" s="1"/>
  <c r="AF189" i="37"/>
  <c r="AI189" i="37"/>
  <c r="F203" i="37" s="1"/>
  <c r="I203" i="37" s="1"/>
  <c r="T190" i="37"/>
  <c r="L202" i="34"/>
  <c r="L201" i="27"/>
  <c r="K187" i="27"/>
  <c r="AT187" i="27" s="1"/>
  <c r="AS187" i="27"/>
  <c r="M214" i="27"/>
  <c r="K195" i="38"/>
  <c r="AT195" i="38" s="1"/>
  <c r="AS195" i="38"/>
  <c r="T194" i="38"/>
  <c r="M215" i="27"/>
  <c r="T186" i="27"/>
  <c r="AS192" i="37"/>
  <c r="K192" i="37"/>
  <c r="AT192" i="37" s="1"/>
  <c r="T191" i="37"/>
  <c r="M217" i="30"/>
  <c r="M220" i="39"/>
  <c r="M217" i="40"/>
  <c r="AS188" i="34"/>
  <c r="K188" i="34"/>
  <c r="AT188" i="34" s="1"/>
  <c r="AB188" i="22"/>
  <c r="AA189" i="22"/>
  <c r="E189" i="22" s="1"/>
  <c r="K188" i="22"/>
  <c r="X190" i="22"/>
  <c r="Y189" i="22"/>
  <c r="Z189" i="22" s="1"/>
  <c r="W230" i="22"/>
  <c r="T186" i="30" l="1"/>
  <c r="CB186" i="30" s="1"/>
  <c r="L202" i="37"/>
  <c r="K191" i="39"/>
  <c r="AT191" i="39" s="1"/>
  <c r="BA189" i="37"/>
  <c r="BB189" i="37" s="1"/>
  <c r="AI189" i="39"/>
  <c r="F203" i="39" s="1"/>
  <c r="I203" i="39" s="1"/>
  <c r="AJ188" i="39"/>
  <c r="K189" i="34"/>
  <c r="AT189" i="34" s="1"/>
  <c r="T188" i="40"/>
  <c r="CB188" i="40" s="1"/>
  <c r="AQ188" i="27"/>
  <c r="G216" i="27" s="1"/>
  <c r="J216" i="27" s="1"/>
  <c r="AJ189" i="40"/>
  <c r="AA203" i="37"/>
  <c r="E203" i="37" s="1"/>
  <c r="H203" i="37" s="1"/>
  <c r="L201" i="30"/>
  <c r="AJ187" i="30"/>
  <c r="AR187" i="27"/>
  <c r="AZ200" i="38"/>
  <c r="BB200" i="38" s="1"/>
  <c r="AW193" i="38"/>
  <c r="AX193" i="38" s="1"/>
  <c r="BA200" i="38"/>
  <c r="AI192" i="38"/>
  <c r="F206" i="38" s="1"/>
  <c r="I206" i="38" s="1"/>
  <c r="AB202" i="37"/>
  <c r="L202" i="39"/>
  <c r="AB191" i="39"/>
  <c r="L203" i="34"/>
  <c r="CB186" i="27"/>
  <c r="CE186" i="27"/>
  <c r="AV186" i="27"/>
  <c r="CB194" i="38"/>
  <c r="CE194" i="38"/>
  <c r="AV194" i="38"/>
  <c r="CB190" i="37"/>
  <c r="CE190" i="37"/>
  <c r="AV190" i="37"/>
  <c r="CB191" i="37"/>
  <c r="CE191" i="37"/>
  <c r="AV191" i="37"/>
  <c r="J218" i="37"/>
  <c r="M218" i="37"/>
  <c r="AG189" i="34"/>
  <c r="AH189" i="34" s="1"/>
  <c r="AF190" i="34"/>
  <c r="AI190" i="34"/>
  <c r="F204" i="34" s="1"/>
  <c r="I204" i="34" s="1"/>
  <c r="AG190" i="40"/>
  <c r="AH190" i="40" s="1"/>
  <c r="AF191" i="40"/>
  <c r="AO189" i="38"/>
  <c r="AP189" i="38" s="1"/>
  <c r="AN190" i="38"/>
  <c r="AQ190" i="38"/>
  <c r="G218" i="38" s="1"/>
  <c r="AR189" i="38"/>
  <c r="J217" i="38"/>
  <c r="M217" i="38"/>
  <c r="AO188" i="27"/>
  <c r="AP188" i="27" s="1"/>
  <c r="AN189" i="27"/>
  <c r="AQ189" i="27"/>
  <c r="G217" i="27" s="1"/>
  <c r="J217" i="27" s="1"/>
  <c r="AR188" i="27"/>
  <c r="AF189" i="30"/>
  <c r="AG188" i="30"/>
  <c r="AH188" i="30" s="1"/>
  <c r="L202" i="30"/>
  <c r="AG189" i="39"/>
  <c r="AH189" i="39" s="1"/>
  <c r="AF190" i="39"/>
  <c r="AA192" i="39"/>
  <c r="E192" i="39" s="1"/>
  <c r="H192" i="39" s="1"/>
  <c r="AO190" i="37"/>
  <c r="AP190" i="37" s="1"/>
  <c r="AN191" i="37"/>
  <c r="AQ191" i="37"/>
  <c r="G219" i="37" s="1"/>
  <c r="H203" i="27"/>
  <c r="L205" i="38"/>
  <c r="AB189" i="40"/>
  <c r="AA191" i="40"/>
  <c r="E191" i="40" s="1"/>
  <c r="H191" i="40" s="1"/>
  <c r="AS191" i="40" s="1"/>
  <c r="X191" i="40"/>
  <c r="AB190" i="40"/>
  <c r="Y190" i="40"/>
  <c r="Z190" i="40" s="1"/>
  <c r="Y190" i="34"/>
  <c r="Z190" i="34" s="1"/>
  <c r="X191" i="34"/>
  <c r="K189" i="40"/>
  <c r="AT189" i="40" s="1"/>
  <c r="Y192" i="39"/>
  <c r="Z192" i="39" s="1"/>
  <c r="AA193" i="39"/>
  <c r="E193" i="39" s="1"/>
  <c r="H193" i="39" s="1"/>
  <c r="X193" i="39"/>
  <c r="AS191" i="39"/>
  <c r="T191" i="39"/>
  <c r="CB191" i="39" s="1"/>
  <c r="X189" i="30"/>
  <c r="Y188" i="30"/>
  <c r="Z188" i="30" s="1"/>
  <c r="AS187" i="30"/>
  <c r="T187" i="30"/>
  <c r="CB187" i="30" s="1"/>
  <c r="K188" i="30"/>
  <c r="AT188" i="30" s="1"/>
  <c r="AJ188" i="37"/>
  <c r="W217" i="40"/>
  <c r="W219" i="34"/>
  <c r="X204" i="37"/>
  <c r="AB203" i="37"/>
  <c r="Y203" i="37"/>
  <c r="Z203" i="37" s="1"/>
  <c r="Y203" i="38"/>
  <c r="Z203" i="38" s="1"/>
  <c r="X204" i="38"/>
  <c r="AA204" i="38"/>
  <c r="E204" i="38" s="1"/>
  <c r="H204" i="38" s="1"/>
  <c r="AB203" i="38"/>
  <c r="AJ188" i="27"/>
  <c r="AB202" i="38"/>
  <c r="AA203" i="38"/>
  <c r="E203" i="38" s="1"/>
  <c r="H203" i="38" s="1"/>
  <c r="AG192" i="38"/>
  <c r="AH192" i="38" s="1"/>
  <c r="AF193" i="38"/>
  <c r="AA204" i="27"/>
  <c r="E204" i="27" s="1"/>
  <c r="Y203" i="27"/>
  <c r="Z203" i="27" s="1"/>
  <c r="X204" i="27"/>
  <c r="AG189" i="27"/>
  <c r="AH189" i="27" s="1"/>
  <c r="AJ189" i="27"/>
  <c r="AF190" i="27"/>
  <c r="AG189" i="37"/>
  <c r="AH189" i="37" s="1"/>
  <c r="AJ189" i="37"/>
  <c r="AF190" i="37"/>
  <c r="L203" i="37"/>
  <c r="AS189" i="34"/>
  <c r="L204" i="40"/>
  <c r="L202" i="27"/>
  <c r="T187" i="27"/>
  <c r="T195" i="38"/>
  <c r="AS188" i="27"/>
  <c r="K188" i="27"/>
  <c r="AT188" i="27" s="1"/>
  <c r="T192" i="37"/>
  <c r="K193" i="37"/>
  <c r="AT193" i="37" s="1"/>
  <c r="AS193" i="37"/>
  <c r="T189" i="34"/>
  <c r="CB189" i="34" s="1"/>
  <c r="T188" i="34"/>
  <c r="CB188" i="34" s="1"/>
  <c r="M216" i="34"/>
  <c r="M217" i="34"/>
  <c r="K190" i="34"/>
  <c r="AT190" i="34" s="1"/>
  <c r="AS190" i="34"/>
  <c r="K190" i="40"/>
  <c r="AT190" i="40" s="1"/>
  <c r="AS190" i="40"/>
  <c r="M218" i="30"/>
  <c r="AB189" i="22"/>
  <c r="AA190" i="22"/>
  <c r="K189" i="22"/>
  <c r="Y190" i="22"/>
  <c r="Z190" i="22" s="1"/>
  <c r="X191" i="22"/>
  <c r="W231" i="22"/>
  <c r="L203" i="39" l="1"/>
  <c r="AJ189" i="39"/>
  <c r="AZ191" i="37"/>
  <c r="BA191" i="37" s="1"/>
  <c r="AI190" i="39"/>
  <c r="F204" i="39" s="1"/>
  <c r="I204" i="39" s="1"/>
  <c r="AZ190" i="37"/>
  <c r="BA190" i="37" s="1"/>
  <c r="AA204" i="37"/>
  <c r="E204" i="37" s="1"/>
  <c r="AA189" i="30"/>
  <c r="E189" i="30" s="1"/>
  <c r="H189" i="30" s="1"/>
  <c r="AB192" i="39"/>
  <c r="AJ188" i="30"/>
  <c r="AJ190" i="40"/>
  <c r="AI191" i="40"/>
  <c r="F205" i="40" s="1"/>
  <c r="I205" i="40" s="1"/>
  <c r="AJ189" i="34"/>
  <c r="AZ201" i="38"/>
  <c r="BB201" i="38" s="1"/>
  <c r="BA201" i="38"/>
  <c r="AW194" i="38"/>
  <c r="AX194" i="38" s="1"/>
  <c r="BA193" i="27"/>
  <c r="AZ193" i="27"/>
  <c r="BB193" i="27" s="1"/>
  <c r="AW186" i="27"/>
  <c r="AX186" i="27" s="1"/>
  <c r="L206" i="38"/>
  <c r="L204" i="34"/>
  <c r="AW191" i="37"/>
  <c r="AX191" i="37" s="1"/>
  <c r="CF191" i="37" s="1"/>
  <c r="AW190" i="37"/>
  <c r="AX190" i="37" s="1"/>
  <c r="CF190" i="37" s="1"/>
  <c r="AR190" i="37"/>
  <c r="CB195" i="38"/>
  <c r="CE195" i="38"/>
  <c r="AV195" i="38"/>
  <c r="CB187" i="27"/>
  <c r="CE187" i="27"/>
  <c r="AV187" i="27"/>
  <c r="CB192" i="37"/>
  <c r="CE192" i="37"/>
  <c r="AV192" i="37"/>
  <c r="J219" i="37"/>
  <c r="M219" i="37"/>
  <c r="AG191" i="40"/>
  <c r="AH191" i="40" s="1"/>
  <c r="AI192" i="40"/>
  <c r="F206" i="40" s="1"/>
  <c r="I206" i="40" s="1"/>
  <c r="AF192" i="40"/>
  <c r="AG190" i="34"/>
  <c r="AH190" i="34" s="1"/>
  <c r="AF191" i="34"/>
  <c r="AO189" i="27"/>
  <c r="AP189" i="27" s="1"/>
  <c r="AN190" i="27"/>
  <c r="AQ190" i="27"/>
  <c r="G218" i="27" s="1"/>
  <c r="J218" i="27" s="1"/>
  <c r="AR189" i="27"/>
  <c r="J218" i="38"/>
  <c r="M218" i="38"/>
  <c r="AO190" i="38"/>
  <c r="AP190" i="38" s="1"/>
  <c r="AQ191" i="38"/>
  <c r="G219" i="38" s="1"/>
  <c r="AN191" i="38"/>
  <c r="AR190" i="38"/>
  <c r="K192" i="39"/>
  <c r="AT192" i="39" s="1"/>
  <c r="AG190" i="39"/>
  <c r="AH190" i="39" s="1"/>
  <c r="AF191" i="39"/>
  <c r="AG189" i="30"/>
  <c r="AH189" i="30" s="1"/>
  <c r="AF190" i="30"/>
  <c r="AI189" i="30"/>
  <c r="F203" i="30" s="1"/>
  <c r="AO191" i="37"/>
  <c r="AP191" i="37" s="1"/>
  <c r="AN192" i="37"/>
  <c r="AQ192" i="37"/>
  <c r="G220" i="37" s="1"/>
  <c r="AR191" i="37"/>
  <c r="K191" i="40"/>
  <c r="AT191" i="40" s="1"/>
  <c r="K193" i="39"/>
  <c r="AT193" i="39" s="1"/>
  <c r="AB190" i="34"/>
  <c r="X192" i="34"/>
  <c r="Y191" i="34"/>
  <c r="Z191" i="34" s="1"/>
  <c r="AA192" i="34"/>
  <c r="E192" i="34" s="1"/>
  <c r="H192" i="34" s="1"/>
  <c r="AB191" i="34"/>
  <c r="AB191" i="40"/>
  <c r="AA192" i="40"/>
  <c r="E192" i="40" s="1"/>
  <c r="H192" i="40" s="1"/>
  <c r="X192" i="40"/>
  <c r="Y191" i="40"/>
  <c r="Z191" i="40" s="1"/>
  <c r="AS189" i="40"/>
  <c r="T189" i="40"/>
  <c r="CB189" i="40" s="1"/>
  <c r="AA191" i="34"/>
  <c r="E191" i="34" s="1"/>
  <c r="H191" i="34" s="1"/>
  <c r="AB203" i="27"/>
  <c r="AI190" i="27"/>
  <c r="F204" i="27" s="1"/>
  <c r="I204" i="27" s="1"/>
  <c r="H204" i="27" s="1"/>
  <c r="AJ192" i="38"/>
  <c r="AS188" i="30"/>
  <c r="T188" i="30"/>
  <c r="CB188" i="30" s="1"/>
  <c r="AS192" i="39"/>
  <c r="Y193" i="39"/>
  <c r="Z193" i="39" s="1"/>
  <c r="X194" i="39"/>
  <c r="AB193" i="39"/>
  <c r="Y189" i="30"/>
  <c r="Z189" i="30" s="1"/>
  <c r="AB189" i="30"/>
  <c r="X190" i="30"/>
  <c r="AB188" i="30"/>
  <c r="W218" i="40"/>
  <c r="W220" i="34"/>
  <c r="AS193" i="39"/>
  <c r="AI190" i="37"/>
  <c r="F204" i="37" s="1"/>
  <c r="I204" i="37" s="1"/>
  <c r="Y204" i="37"/>
  <c r="Z204" i="37" s="1"/>
  <c r="AA205" i="37"/>
  <c r="E205" i="37" s="1"/>
  <c r="AB204" i="37"/>
  <c r="X205" i="37"/>
  <c r="Y204" i="27"/>
  <c r="Z204" i="27" s="1"/>
  <c r="AA205" i="27"/>
  <c r="E205" i="27" s="1"/>
  <c r="AB204" i="27"/>
  <c r="X205" i="27"/>
  <c r="AG190" i="27"/>
  <c r="AH190" i="27" s="1"/>
  <c r="AF191" i="27"/>
  <c r="AI193" i="38"/>
  <c r="F207" i="38" s="1"/>
  <c r="I207" i="38" s="1"/>
  <c r="AB204" i="38"/>
  <c r="AA205" i="38"/>
  <c r="E205" i="38" s="1"/>
  <c r="H205" i="38" s="1"/>
  <c r="X205" i="38"/>
  <c r="Y204" i="38"/>
  <c r="Z204" i="38" s="1"/>
  <c r="AG193" i="38"/>
  <c r="AH193" i="38" s="1"/>
  <c r="AF194" i="38"/>
  <c r="AG190" i="37"/>
  <c r="AH190" i="37" s="1"/>
  <c r="AF191" i="37"/>
  <c r="E190" i="22"/>
  <c r="K190" i="22" s="1"/>
  <c r="L203" i="27"/>
  <c r="T188" i="27"/>
  <c r="K189" i="27"/>
  <c r="AT189" i="27" s="1"/>
  <c r="AS189" i="27"/>
  <c r="M216" i="27"/>
  <c r="K197" i="38"/>
  <c r="AT197" i="38" s="1"/>
  <c r="AS197" i="38"/>
  <c r="AS196" i="38"/>
  <c r="K196" i="38"/>
  <c r="AT196" i="38" s="1"/>
  <c r="K194" i="37"/>
  <c r="AT194" i="37" s="1"/>
  <c r="AS194" i="37"/>
  <c r="T193" i="37"/>
  <c r="M219" i="30"/>
  <c r="M221" i="39"/>
  <c r="T190" i="40"/>
  <c r="CB190" i="40" s="1"/>
  <c r="M218" i="40"/>
  <c r="M219" i="40"/>
  <c r="T190" i="34"/>
  <c r="CB190" i="34" s="1"/>
  <c r="M218" i="34"/>
  <c r="M222" i="39"/>
  <c r="AB190" i="22"/>
  <c r="AA191" i="22"/>
  <c r="E191" i="22" s="1"/>
  <c r="Y191" i="22"/>
  <c r="Z191" i="22" s="1"/>
  <c r="X192" i="22"/>
  <c r="W232" i="22"/>
  <c r="L204" i="39" l="1"/>
  <c r="AA194" i="39"/>
  <c r="E194" i="39" s="1"/>
  <c r="H194" i="39" s="1"/>
  <c r="AS194" i="39" s="1"/>
  <c r="BB190" i="37"/>
  <c r="AJ189" i="30"/>
  <c r="AI190" i="30"/>
  <c r="F204" i="30" s="1"/>
  <c r="L204" i="30" s="1"/>
  <c r="BB191" i="37"/>
  <c r="AZ192" i="37"/>
  <c r="BA192" i="37" s="1"/>
  <c r="K189" i="30"/>
  <c r="AT189" i="30" s="1"/>
  <c r="T192" i="39"/>
  <c r="CB192" i="39" s="1"/>
  <c r="L205" i="40"/>
  <c r="AJ191" i="40"/>
  <c r="AI191" i="39"/>
  <c r="F205" i="39" s="1"/>
  <c r="I205" i="39" s="1"/>
  <c r="AI191" i="37"/>
  <c r="F205" i="37" s="1"/>
  <c r="I205" i="37" s="1"/>
  <c r="AJ190" i="39"/>
  <c r="AJ190" i="37"/>
  <c r="AJ193" i="38"/>
  <c r="AW187" i="27"/>
  <c r="AX187" i="27" s="1"/>
  <c r="AZ194" i="27"/>
  <c r="BB194" i="27" s="1"/>
  <c r="BA194" i="27"/>
  <c r="AJ190" i="34"/>
  <c r="BA202" i="38"/>
  <c r="AZ202" i="38"/>
  <c r="BB202" i="38" s="1"/>
  <c r="AW195" i="38"/>
  <c r="AX195" i="38" s="1"/>
  <c r="AI194" i="38"/>
  <c r="F208" i="38" s="1"/>
  <c r="I208" i="38" s="1"/>
  <c r="AI191" i="34"/>
  <c r="F205" i="34" s="1"/>
  <c r="I205" i="34" s="1"/>
  <c r="T193" i="39"/>
  <c r="CB193" i="39" s="1"/>
  <c r="H205" i="37"/>
  <c r="AW192" i="37"/>
  <c r="AX192" i="37" s="1"/>
  <c r="CF192" i="37" s="1"/>
  <c r="AA190" i="30"/>
  <c r="E190" i="30" s="1"/>
  <c r="H190" i="30" s="1"/>
  <c r="CB188" i="27"/>
  <c r="CE188" i="27"/>
  <c r="AV188" i="27"/>
  <c r="CB193" i="37"/>
  <c r="CE193" i="37"/>
  <c r="AV193" i="37"/>
  <c r="T191" i="40"/>
  <c r="CB191" i="40" s="1"/>
  <c r="J220" i="37"/>
  <c r="M220" i="37"/>
  <c r="H204" i="37"/>
  <c r="AG191" i="34"/>
  <c r="AH191" i="34" s="1"/>
  <c r="AJ191" i="34"/>
  <c r="AI192" i="34"/>
  <c r="F206" i="34" s="1"/>
  <c r="I206" i="34" s="1"/>
  <c r="AF192" i="34"/>
  <c r="AG192" i="40"/>
  <c r="AH192" i="40" s="1"/>
  <c r="AF193" i="40"/>
  <c r="AO191" i="38"/>
  <c r="AP191" i="38" s="1"/>
  <c r="AQ192" i="38"/>
  <c r="G220" i="38" s="1"/>
  <c r="AN192" i="38"/>
  <c r="AR191" i="38"/>
  <c r="J219" i="38"/>
  <c r="M219" i="38"/>
  <c r="AO190" i="27"/>
  <c r="AP190" i="27" s="1"/>
  <c r="AQ191" i="27"/>
  <c r="G219" i="27" s="1"/>
  <c r="J219" i="27" s="1"/>
  <c r="AN191" i="27"/>
  <c r="AR190" i="27"/>
  <c r="I203" i="30"/>
  <c r="L203" i="30"/>
  <c r="AG191" i="39"/>
  <c r="AH191" i="39" s="1"/>
  <c r="AI192" i="39"/>
  <c r="F206" i="39" s="1"/>
  <c r="AF192" i="39"/>
  <c r="AJ191" i="39"/>
  <c r="AG190" i="30"/>
  <c r="AH190" i="30" s="1"/>
  <c r="AF191" i="30"/>
  <c r="AO192" i="37"/>
  <c r="AP192" i="37" s="1"/>
  <c r="AN193" i="37"/>
  <c r="X193" i="40"/>
  <c r="Y192" i="40"/>
  <c r="Z192" i="40" s="1"/>
  <c r="AA193" i="40"/>
  <c r="E193" i="40" s="1"/>
  <c r="H193" i="40" s="1"/>
  <c r="Y192" i="34"/>
  <c r="Z192" i="34" s="1"/>
  <c r="X193" i="34"/>
  <c r="AA193" i="34"/>
  <c r="E193" i="34" s="1"/>
  <c r="H193" i="34" s="1"/>
  <c r="AB192" i="34"/>
  <c r="AI191" i="27"/>
  <c r="F205" i="27" s="1"/>
  <c r="I205" i="27" s="1"/>
  <c r="H205" i="27" s="1"/>
  <c r="AJ190" i="27"/>
  <c r="Y194" i="39"/>
  <c r="Z194" i="39" s="1"/>
  <c r="AA195" i="39"/>
  <c r="E195" i="39" s="1"/>
  <c r="K195" i="39" s="1"/>
  <c r="AT195" i="39" s="1"/>
  <c r="X195" i="39"/>
  <c r="Y190" i="30"/>
  <c r="Z190" i="30" s="1"/>
  <c r="AB190" i="30"/>
  <c r="AA191" i="30"/>
  <c r="E191" i="30" s="1"/>
  <c r="H191" i="30" s="1"/>
  <c r="X191" i="30"/>
  <c r="AS189" i="30"/>
  <c r="L204" i="37"/>
  <c r="K192" i="40"/>
  <c r="AT192" i="40" s="1"/>
  <c r="W219" i="40"/>
  <c r="AS192" i="40"/>
  <c r="W221" i="34"/>
  <c r="M220" i="30"/>
  <c r="X206" i="37"/>
  <c r="Y205" i="37"/>
  <c r="Z205" i="37" s="1"/>
  <c r="AF192" i="27"/>
  <c r="AG191" i="27"/>
  <c r="AH191" i="27" s="1"/>
  <c r="AG194" i="38"/>
  <c r="AH194" i="38" s="1"/>
  <c r="AF195" i="38"/>
  <c r="AA206" i="38"/>
  <c r="E206" i="38" s="1"/>
  <c r="H206" i="38" s="1"/>
  <c r="X206" i="38"/>
  <c r="Y205" i="38"/>
  <c r="Z205" i="38" s="1"/>
  <c r="AA206" i="27"/>
  <c r="E206" i="27" s="1"/>
  <c r="Y205" i="27"/>
  <c r="Z205" i="27" s="1"/>
  <c r="X206" i="27"/>
  <c r="L207" i="38"/>
  <c r="AG191" i="37"/>
  <c r="AH191" i="37" s="1"/>
  <c r="AF192" i="37"/>
  <c r="L206" i="40"/>
  <c r="L204" i="27"/>
  <c r="T189" i="27"/>
  <c r="M217" i="27"/>
  <c r="T196" i="38"/>
  <c r="AS190" i="27"/>
  <c r="K190" i="27"/>
  <c r="AT190" i="27" s="1"/>
  <c r="AS191" i="27"/>
  <c r="K191" i="27"/>
  <c r="AT191" i="27" s="1"/>
  <c r="T197" i="38"/>
  <c r="T194" i="37"/>
  <c r="AS195" i="37"/>
  <c r="K195" i="37"/>
  <c r="AT195" i="37" s="1"/>
  <c r="M223" i="39"/>
  <c r="AS192" i="34"/>
  <c r="K192" i="34"/>
  <c r="AT192" i="34" s="1"/>
  <c r="K191" i="34"/>
  <c r="AT191" i="34" s="1"/>
  <c r="AS191" i="34"/>
  <c r="M220" i="40"/>
  <c r="K191" i="22"/>
  <c r="AB191" i="22"/>
  <c r="AA192" i="22"/>
  <c r="E192" i="22" s="1"/>
  <c r="Y192" i="22"/>
  <c r="Z192" i="22" s="1"/>
  <c r="X193" i="22"/>
  <c r="W233" i="22"/>
  <c r="K194" i="39" l="1"/>
  <c r="AT194" i="39" s="1"/>
  <c r="I204" i="30"/>
  <c r="AZ193" i="37"/>
  <c r="AI191" i="30"/>
  <c r="F205" i="30" s="1"/>
  <c r="I205" i="30" s="1"/>
  <c r="BB192" i="37"/>
  <c r="T189" i="30"/>
  <c r="CB189" i="30" s="1"/>
  <c r="AB194" i="39"/>
  <c r="AJ190" i="30"/>
  <c r="AB205" i="37"/>
  <c r="AA206" i="37"/>
  <c r="E206" i="37" s="1"/>
  <c r="L205" i="37"/>
  <c r="L205" i="39"/>
  <c r="L205" i="34"/>
  <c r="L208" i="38"/>
  <c r="BA195" i="27"/>
  <c r="AW188" i="27"/>
  <c r="AX188" i="27" s="1"/>
  <c r="AZ195" i="27"/>
  <c r="BB195" i="27" s="1"/>
  <c r="AJ192" i="40"/>
  <c r="AB192" i="40"/>
  <c r="AI193" i="40"/>
  <c r="F207" i="40" s="1"/>
  <c r="I207" i="40" s="1"/>
  <c r="AW193" i="37"/>
  <c r="AX193" i="37" s="1"/>
  <c r="CF193" i="37" s="1"/>
  <c r="K190" i="30"/>
  <c r="AT190" i="30" s="1"/>
  <c r="AR192" i="37"/>
  <c r="AQ193" i="37"/>
  <c r="G221" i="37" s="1"/>
  <c r="J221" i="37" s="1"/>
  <c r="CB197" i="38"/>
  <c r="CE197" i="38"/>
  <c r="AV197" i="38"/>
  <c r="CB196" i="38"/>
  <c r="CE196" i="38"/>
  <c r="AV196" i="38"/>
  <c r="CB189" i="27"/>
  <c r="CE189" i="27"/>
  <c r="AV189" i="27"/>
  <c r="CB194" i="37"/>
  <c r="CE194" i="37"/>
  <c r="AV194" i="37"/>
  <c r="AG193" i="40"/>
  <c r="AH193" i="40" s="1"/>
  <c r="AF194" i="40"/>
  <c r="AI194" i="40"/>
  <c r="F208" i="40" s="1"/>
  <c r="I208" i="40" s="1"/>
  <c r="AJ193" i="40"/>
  <c r="L206" i="34"/>
  <c r="AF193" i="34"/>
  <c r="AG192" i="34"/>
  <c r="AH192" i="34" s="1"/>
  <c r="AJ192" i="34"/>
  <c r="AO191" i="27"/>
  <c r="AP191" i="27" s="1"/>
  <c r="AQ192" i="27"/>
  <c r="G220" i="27" s="1"/>
  <c r="J220" i="27" s="1"/>
  <c r="AN192" i="27"/>
  <c r="AR191" i="27"/>
  <c r="AO192" i="38"/>
  <c r="AP192" i="38" s="1"/>
  <c r="AN193" i="38"/>
  <c r="J220" i="38"/>
  <c r="M220" i="38"/>
  <c r="L205" i="27"/>
  <c r="AG192" i="39"/>
  <c r="AH192" i="39" s="1"/>
  <c r="AI193" i="39"/>
  <c r="F207" i="39" s="1"/>
  <c r="AF193" i="39"/>
  <c r="I206" i="39"/>
  <c r="L206" i="39"/>
  <c r="AG191" i="30"/>
  <c r="AH191" i="30" s="1"/>
  <c r="AF192" i="30"/>
  <c r="AO193" i="37"/>
  <c r="AP193" i="37" s="1"/>
  <c r="AN194" i="37"/>
  <c r="AQ194" i="37"/>
  <c r="G222" i="37" s="1"/>
  <c r="AR193" i="37"/>
  <c r="H195" i="39"/>
  <c r="AS195" i="39" s="1"/>
  <c r="T194" i="39"/>
  <c r="CB194" i="39" s="1"/>
  <c r="X194" i="34"/>
  <c r="Y193" i="34"/>
  <c r="Z193" i="34" s="1"/>
  <c r="X194" i="40"/>
  <c r="Y193" i="40"/>
  <c r="Z193" i="40" s="1"/>
  <c r="AA194" i="40"/>
  <c r="E194" i="40" s="1"/>
  <c r="AB193" i="40"/>
  <c r="AB205" i="27"/>
  <c r="AB205" i="38"/>
  <c r="AJ194" i="38"/>
  <c r="Y191" i="30"/>
  <c r="Z191" i="30" s="1"/>
  <c r="AA192" i="30"/>
  <c r="E192" i="30" s="1"/>
  <c r="H192" i="30" s="1"/>
  <c r="X192" i="30"/>
  <c r="K191" i="30"/>
  <c r="AT191" i="30" s="1"/>
  <c r="Y195" i="39"/>
  <c r="Z195" i="39" s="1"/>
  <c r="AA196" i="39"/>
  <c r="E196" i="39" s="1"/>
  <c r="X196" i="39"/>
  <c r="AS190" i="30"/>
  <c r="T192" i="40"/>
  <c r="CB192" i="40" s="1"/>
  <c r="W220" i="40"/>
  <c r="W222" i="34"/>
  <c r="AI192" i="37"/>
  <c r="F206" i="37" s="1"/>
  <c r="X207" i="37"/>
  <c r="Y206" i="37"/>
  <c r="Z206" i="37" s="1"/>
  <c r="AA207" i="37"/>
  <c r="E207" i="37" s="1"/>
  <c r="AB206" i="37"/>
  <c r="AJ191" i="37"/>
  <c r="AB206" i="38"/>
  <c r="AA207" i="38"/>
  <c r="E207" i="38" s="1"/>
  <c r="H207" i="38" s="1"/>
  <c r="X207" i="38"/>
  <c r="Y206" i="38"/>
  <c r="Z206" i="38" s="1"/>
  <c r="AG192" i="27"/>
  <c r="AH192" i="27" s="1"/>
  <c r="AJ192" i="27"/>
  <c r="AF193" i="27"/>
  <c r="AI192" i="27"/>
  <c r="F206" i="27" s="1"/>
  <c r="I206" i="27" s="1"/>
  <c r="AJ191" i="27"/>
  <c r="Y206" i="27"/>
  <c r="Z206" i="27" s="1"/>
  <c r="X207" i="27"/>
  <c r="AI195" i="38"/>
  <c r="F209" i="38" s="1"/>
  <c r="I209" i="38" s="1"/>
  <c r="AG195" i="38"/>
  <c r="AH195" i="38" s="1"/>
  <c r="AI196" i="38"/>
  <c r="F210" i="38" s="1"/>
  <c r="I210" i="38" s="1"/>
  <c r="AF196" i="38"/>
  <c r="AG192" i="37"/>
  <c r="AH192" i="37" s="1"/>
  <c r="AF193" i="37"/>
  <c r="T191" i="27"/>
  <c r="K198" i="38"/>
  <c r="AT198" i="38" s="1"/>
  <c r="AS198" i="38"/>
  <c r="M219" i="27"/>
  <c r="AS199" i="38"/>
  <c r="K199" i="38"/>
  <c r="AT199" i="38" s="1"/>
  <c r="T190" i="27"/>
  <c r="M218" i="27"/>
  <c r="T195" i="37"/>
  <c r="K196" i="37"/>
  <c r="AT196" i="37" s="1"/>
  <c r="AS196" i="37"/>
  <c r="M220" i="34"/>
  <c r="AS193" i="40"/>
  <c r="K193" i="40"/>
  <c r="AT193" i="40" s="1"/>
  <c r="T192" i="34"/>
  <c r="CB192" i="34" s="1"/>
  <c r="T191" i="34"/>
  <c r="CB191" i="34" s="1"/>
  <c r="M219" i="34"/>
  <c r="AB192" i="22"/>
  <c r="AA193" i="22"/>
  <c r="K192" i="22"/>
  <c r="X194" i="22"/>
  <c r="Y193" i="22"/>
  <c r="Z193" i="22" s="1"/>
  <c r="W234" i="22"/>
  <c r="L205" i="30" l="1"/>
  <c r="AZ194" i="37"/>
  <c r="BA194" i="37" s="1"/>
  <c r="BA193" i="37"/>
  <c r="BB193" i="37" s="1"/>
  <c r="AB191" i="30"/>
  <c r="AI193" i="37"/>
  <c r="F207" i="37" s="1"/>
  <c r="I207" i="37" s="1"/>
  <c r="AJ192" i="39"/>
  <c r="T190" i="30"/>
  <c r="CB190" i="30" s="1"/>
  <c r="H207" i="37"/>
  <c r="T195" i="39"/>
  <c r="CB195" i="39" s="1"/>
  <c r="L207" i="40"/>
  <c r="AB193" i="34"/>
  <c r="AR192" i="38"/>
  <c r="AQ193" i="38"/>
  <c r="G221" i="38" s="1"/>
  <c r="J221" i="38" s="1"/>
  <c r="AW189" i="27"/>
  <c r="AX189" i="27" s="1"/>
  <c r="BA196" i="27"/>
  <c r="AZ196" i="27"/>
  <c r="BB196" i="27" s="1"/>
  <c r="BA203" i="38"/>
  <c r="AZ203" i="38"/>
  <c r="BB203" i="38" s="1"/>
  <c r="AW196" i="38"/>
  <c r="AX196" i="38" s="1"/>
  <c r="BA204" i="38"/>
  <c r="AZ204" i="38"/>
  <c r="BB204" i="38" s="1"/>
  <c r="AW197" i="38"/>
  <c r="AX197" i="38" s="1"/>
  <c r="M221" i="37"/>
  <c r="AJ191" i="30"/>
  <c r="AW194" i="37"/>
  <c r="AX194" i="37" s="1"/>
  <c r="CF194" i="37" s="1"/>
  <c r="AI192" i="30"/>
  <c r="F206" i="30" s="1"/>
  <c r="I206" i="30" s="1"/>
  <c r="CB191" i="27"/>
  <c r="CE191" i="27"/>
  <c r="AV191" i="27"/>
  <c r="CB190" i="27"/>
  <c r="CE190" i="27"/>
  <c r="AV190" i="27"/>
  <c r="CB195" i="37"/>
  <c r="CE195" i="37"/>
  <c r="AV195" i="37"/>
  <c r="J222" i="37"/>
  <c r="M222" i="37"/>
  <c r="AG193" i="34"/>
  <c r="AH193" i="34" s="1"/>
  <c r="AF194" i="34"/>
  <c r="AJ193" i="34"/>
  <c r="AI193" i="34"/>
  <c r="F207" i="34" s="1"/>
  <c r="I207" i="34" s="1"/>
  <c r="L208" i="40"/>
  <c r="AG194" i="40"/>
  <c r="AH194" i="40" s="1"/>
  <c r="AF195" i="40"/>
  <c r="AO193" i="38"/>
  <c r="AP193" i="38" s="1"/>
  <c r="AQ194" i="38"/>
  <c r="G222" i="38" s="1"/>
  <c r="AN194" i="38"/>
  <c r="AR193" i="38"/>
  <c r="AO192" i="27"/>
  <c r="AP192" i="27" s="1"/>
  <c r="AN193" i="27"/>
  <c r="AQ193" i="27"/>
  <c r="G221" i="27" s="1"/>
  <c r="J221" i="27" s="1"/>
  <c r="AI193" i="27"/>
  <c r="F207" i="27" s="1"/>
  <c r="I207" i="27" s="1"/>
  <c r="AG193" i="39"/>
  <c r="AH193" i="39" s="1"/>
  <c r="AF194" i="39"/>
  <c r="AJ193" i="39"/>
  <c r="I207" i="39"/>
  <c r="L207" i="39"/>
  <c r="K196" i="39"/>
  <c r="AT196" i="39" s="1"/>
  <c r="H196" i="39"/>
  <c r="AS196" i="39" s="1"/>
  <c r="AG192" i="30"/>
  <c r="AH192" i="30" s="1"/>
  <c r="AF193" i="30"/>
  <c r="AO194" i="37"/>
  <c r="AP194" i="37" s="1"/>
  <c r="AN195" i="37"/>
  <c r="AQ195" i="37"/>
  <c r="G223" i="37" s="1"/>
  <c r="AR194" i="37"/>
  <c r="L206" i="37"/>
  <c r="I206" i="37"/>
  <c r="H206" i="37" s="1"/>
  <c r="H194" i="40"/>
  <c r="AS194" i="40" s="1"/>
  <c r="H206" i="27"/>
  <c r="X195" i="40"/>
  <c r="AA195" i="40"/>
  <c r="E195" i="40" s="1"/>
  <c r="H195" i="40" s="1"/>
  <c r="AB194" i="40"/>
  <c r="Y194" i="40"/>
  <c r="Z194" i="40" s="1"/>
  <c r="K194" i="40"/>
  <c r="AT194" i="40" s="1"/>
  <c r="AA194" i="34"/>
  <c r="E194" i="34" s="1"/>
  <c r="H194" i="34" s="1"/>
  <c r="X195" i="34"/>
  <c r="Y194" i="34"/>
  <c r="Z194" i="34" s="1"/>
  <c r="AB194" i="34"/>
  <c r="AA207" i="27"/>
  <c r="E207" i="27" s="1"/>
  <c r="AB206" i="27"/>
  <c r="AS191" i="30"/>
  <c r="T191" i="30"/>
  <c r="CB191" i="30" s="1"/>
  <c r="X193" i="30"/>
  <c r="Y192" i="30"/>
  <c r="Z192" i="30" s="1"/>
  <c r="Y196" i="39"/>
  <c r="Z196" i="39" s="1"/>
  <c r="X197" i="39"/>
  <c r="K192" i="30"/>
  <c r="AT192" i="30" s="1"/>
  <c r="AB195" i="39"/>
  <c r="W221" i="40"/>
  <c r="W223" i="34"/>
  <c r="AJ192" i="37"/>
  <c r="Y207" i="37"/>
  <c r="AB207" i="37" s="1"/>
  <c r="X208" i="37"/>
  <c r="L209" i="38"/>
  <c r="L210" i="38"/>
  <c r="Y207" i="27"/>
  <c r="Z207" i="27" s="1"/>
  <c r="X208" i="27"/>
  <c r="AG193" i="27"/>
  <c r="AH193" i="27" s="1"/>
  <c r="AF194" i="27"/>
  <c r="AG196" i="38"/>
  <c r="AH196" i="38" s="1"/>
  <c r="AF197" i="38"/>
  <c r="Y207" i="38"/>
  <c r="Z207" i="38" s="1"/>
  <c r="X208" i="38"/>
  <c r="AB207" i="38"/>
  <c r="AA208" i="38"/>
  <c r="E208" i="38" s="1"/>
  <c r="H208" i="38" s="1"/>
  <c r="AJ195" i="38"/>
  <c r="E193" i="22"/>
  <c r="K193" i="22" s="1"/>
  <c r="AG193" i="37"/>
  <c r="AH193" i="37" s="1"/>
  <c r="AF194" i="37"/>
  <c r="L206" i="27"/>
  <c r="K192" i="27"/>
  <c r="AT192" i="27" s="1"/>
  <c r="AS192" i="27"/>
  <c r="K200" i="38"/>
  <c r="AT200" i="38" s="1"/>
  <c r="AS200" i="38"/>
  <c r="T199" i="38"/>
  <c r="T198" i="38"/>
  <c r="K193" i="27"/>
  <c r="AT193" i="27" s="1"/>
  <c r="AS193" i="27"/>
  <c r="T196" i="37"/>
  <c r="AS197" i="37"/>
  <c r="K197" i="37"/>
  <c r="AT197" i="37" s="1"/>
  <c r="M224" i="39"/>
  <c r="M221" i="30"/>
  <c r="M222" i="40"/>
  <c r="AS193" i="34"/>
  <c r="K193" i="34"/>
  <c r="AT193" i="34" s="1"/>
  <c r="T193" i="40"/>
  <c r="CB193" i="40" s="1"/>
  <c r="M221" i="40"/>
  <c r="AB193" i="22"/>
  <c r="AA194" i="22"/>
  <c r="E194" i="22" s="1"/>
  <c r="X195" i="22"/>
  <c r="Y194" i="22"/>
  <c r="Z194" i="22" s="1"/>
  <c r="W235" i="22"/>
  <c r="L207" i="37" l="1"/>
  <c r="AZ195" i="37"/>
  <c r="BA195" i="37" s="1"/>
  <c r="BB194" i="37"/>
  <c r="AI194" i="39"/>
  <c r="F208" i="39" s="1"/>
  <c r="I208" i="39" s="1"/>
  <c r="AI194" i="37"/>
  <c r="F208" i="37" s="1"/>
  <c r="I208" i="37" s="1"/>
  <c r="AR192" i="27"/>
  <c r="M221" i="38"/>
  <c r="BA197" i="27"/>
  <c r="AW190" i="27"/>
  <c r="AX190" i="27" s="1"/>
  <c r="AZ197" i="27"/>
  <c r="BB197" i="27" s="1"/>
  <c r="AJ194" i="40"/>
  <c r="AW191" i="27"/>
  <c r="AX191" i="27" s="1"/>
  <c r="BA198" i="27"/>
  <c r="AZ198" i="27"/>
  <c r="BB198" i="27" s="1"/>
  <c r="AI195" i="40"/>
  <c r="F209" i="40" s="1"/>
  <c r="I209" i="40" s="1"/>
  <c r="AJ193" i="27"/>
  <c r="AI194" i="27"/>
  <c r="F208" i="27" s="1"/>
  <c r="I208" i="27" s="1"/>
  <c r="AW195" i="37"/>
  <c r="AX195" i="37" s="1"/>
  <c r="CF195" i="37" s="1"/>
  <c r="L206" i="30"/>
  <c r="AJ192" i="30"/>
  <c r="CB199" i="38"/>
  <c r="CE199" i="38"/>
  <c r="AV199" i="38"/>
  <c r="CB198" i="38"/>
  <c r="CE198" i="38"/>
  <c r="AV198" i="38"/>
  <c r="CB196" i="37"/>
  <c r="CE196" i="37"/>
  <c r="AV196" i="37"/>
  <c r="J223" i="37"/>
  <c r="M223" i="37"/>
  <c r="L207" i="34"/>
  <c r="AG195" i="40"/>
  <c r="AH195" i="40" s="1"/>
  <c r="AF196" i="40"/>
  <c r="AI196" i="40"/>
  <c r="F210" i="40" s="1"/>
  <c r="I210" i="40" s="1"/>
  <c r="AG194" i="34"/>
  <c r="AH194" i="34" s="1"/>
  <c r="AF195" i="34"/>
  <c r="AI195" i="34"/>
  <c r="F209" i="34" s="1"/>
  <c r="I209" i="34" s="1"/>
  <c r="AJ194" i="34"/>
  <c r="AI194" i="34"/>
  <c r="F208" i="34" s="1"/>
  <c r="I208" i="34" s="1"/>
  <c r="L207" i="27"/>
  <c r="AO193" i="27"/>
  <c r="AP193" i="27" s="1"/>
  <c r="AQ194" i="27"/>
  <c r="G222" i="27" s="1"/>
  <c r="J222" i="27" s="1"/>
  <c r="AN194" i="27"/>
  <c r="AR193" i="27"/>
  <c r="H207" i="27"/>
  <c r="AO194" i="38"/>
  <c r="AP194" i="38" s="1"/>
  <c r="AQ195" i="38"/>
  <c r="G223" i="38" s="1"/>
  <c r="AN195" i="38"/>
  <c r="AR194" i="38"/>
  <c r="J222" i="38"/>
  <c r="M222" i="38"/>
  <c r="AG193" i="30"/>
  <c r="AH193" i="30" s="1"/>
  <c r="AI194" i="30"/>
  <c r="F208" i="30" s="1"/>
  <c r="AF194" i="30"/>
  <c r="AJ193" i="30"/>
  <c r="L208" i="39"/>
  <c r="AI193" i="30"/>
  <c r="F207" i="30" s="1"/>
  <c r="AA193" i="30"/>
  <c r="E193" i="30" s="1"/>
  <c r="H193" i="30" s="1"/>
  <c r="AG194" i="39"/>
  <c r="AH194" i="39" s="1"/>
  <c r="AF195" i="39"/>
  <c r="AO195" i="37"/>
  <c r="AP195" i="37" s="1"/>
  <c r="AN196" i="37"/>
  <c r="AQ196" i="37"/>
  <c r="G224" i="37" s="1"/>
  <c r="AR195" i="37"/>
  <c r="T194" i="40"/>
  <c r="CB194" i="40" s="1"/>
  <c r="X196" i="34"/>
  <c r="Y195" i="34"/>
  <c r="Z195" i="34" s="1"/>
  <c r="AB195" i="34"/>
  <c r="AA195" i="34"/>
  <c r="E195" i="34" s="1"/>
  <c r="H195" i="34" s="1"/>
  <c r="X196" i="40"/>
  <c r="Y195" i="40"/>
  <c r="Z195" i="40" s="1"/>
  <c r="AJ196" i="38"/>
  <c r="AA208" i="27"/>
  <c r="E208" i="27" s="1"/>
  <c r="AI197" i="38"/>
  <c r="F211" i="38" s="1"/>
  <c r="I211" i="38" s="1"/>
  <c r="AB207" i="27"/>
  <c r="AS192" i="30"/>
  <c r="T192" i="30"/>
  <c r="CB192" i="30" s="1"/>
  <c r="X194" i="30"/>
  <c r="Y193" i="30"/>
  <c r="Z193" i="30" s="1"/>
  <c r="Y197" i="39"/>
  <c r="Z197" i="39" s="1"/>
  <c r="X198" i="39"/>
  <c r="AB192" i="30"/>
  <c r="T196" i="39"/>
  <c r="CB196" i="39" s="1"/>
  <c r="AB196" i="39"/>
  <c r="AA197" i="39"/>
  <c r="E197" i="39" s="1"/>
  <c r="H197" i="39" s="1"/>
  <c r="W222" i="40"/>
  <c r="W224" i="34"/>
  <c r="M225" i="39"/>
  <c r="AB208" i="37"/>
  <c r="Y208" i="37"/>
  <c r="Z208" i="37" s="1"/>
  <c r="X209" i="37"/>
  <c r="Z207" i="37"/>
  <c r="AA208" i="37"/>
  <c r="E208" i="37" s="1"/>
  <c r="H208" i="37" s="1"/>
  <c r="AG197" i="38"/>
  <c r="AH197" i="38" s="1"/>
  <c r="AF198" i="38"/>
  <c r="Y208" i="27"/>
  <c r="Z208" i="27" s="1"/>
  <c r="X209" i="27"/>
  <c r="AB208" i="27"/>
  <c r="AF195" i="27"/>
  <c r="AG194" i="27"/>
  <c r="AH194" i="27" s="1"/>
  <c r="AA209" i="38"/>
  <c r="E209" i="38" s="1"/>
  <c r="H209" i="38" s="1"/>
  <c r="X209" i="38"/>
  <c r="Y208" i="38"/>
  <c r="Z208" i="38" s="1"/>
  <c r="AG194" i="37"/>
  <c r="AH194" i="37" s="1"/>
  <c r="AJ194" i="37"/>
  <c r="AF195" i="37"/>
  <c r="AJ193" i="37"/>
  <c r="AS201" i="38"/>
  <c r="K201" i="38"/>
  <c r="AT201" i="38" s="1"/>
  <c r="T193" i="27"/>
  <c r="T200" i="38"/>
  <c r="M221" i="27"/>
  <c r="T192" i="27"/>
  <c r="M220" i="27"/>
  <c r="K198" i="37"/>
  <c r="AT198" i="37" s="1"/>
  <c r="T197" i="37"/>
  <c r="M222" i="30"/>
  <c r="M226" i="39"/>
  <c r="AS195" i="40"/>
  <c r="K195" i="40"/>
  <c r="AT195" i="40" s="1"/>
  <c r="T193" i="34"/>
  <c r="CB193" i="34" s="1"/>
  <c r="M221" i="34"/>
  <c r="K194" i="34"/>
  <c r="AT194" i="34" s="1"/>
  <c r="AS194" i="34"/>
  <c r="AB194" i="22"/>
  <c r="AA195" i="22"/>
  <c r="E195" i="22" s="1"/>
  <c r="K194" i="22"/>
  <c r="Y195" i="22"/>
  <c r="Z195" i="22" s="1"/>
  <c r="X196" i="22"/>
  <c r="W236" i="22"/>
  <c r="L208" i="37" l="1"/>
  <c r="AA209" i="37"/>
  <c r="E209" i="37" s="1"/>
  <c r="AZ196" i="37"/>
  <c r="BA196" i="37"/>
  <c r="BB195" i="37"/>
  <c r="AJ195" i="40"/>
  <c r="AB197" i="39"/>
  <c r="AA198" i="39"/>
  <c r="E198" i="39" s="1"/>
  <c r="H198" i="39" s="1"/>
  <c r="H208" i="27"/>
  <c r="AW198" i="38"/>
  <c r="AX198" i="38" s="1"/>
  <c r="AZ205" i="38"/>
  <c r="BB205" i="38" s="1"/>
  <c r="BA205" i="38"/>
  <c r="AW199" i="38"/>
  <c r="AX199" i="38" s="1"/>
  <c r="BA206" i="38"/>
  <c r="AZ206" i="38"/>
  <c r="BB206" i="38" s="1"/>
  <c r="AJ197" i="38"/>
  <c r="L209" i="40"/>
  <c r="AI198" i="38"/>
  <c r="F212" i="38" s="1"/>
  <c r="I212" i="38" s="1"/>
  <c r="AI195" i="39"/>
  <c r="F209" i="39" s="1"/>
  <c r="I209" i="39" s="1"/>
  <c r="AJ194" i="39"/>
  <c r="AW196" i="37"/>
  <c r="AX196" i="37" s="1"/>
  <c r="CF196" i="37" s="1"/>
  <c r="CB200" i="38"/>
  <c r="CE200" i="38"/>
  <c r="AV200" i="38"/>
  <c r="CB192" i="27"/>
  <c r="CE192" i="27"/>
  <c r="AV192" i="27"/>
  <c r="CB193" i="27"/>
  <c r="CE193" i="27"/>
  <c r="AV193" i="27"/>
  <c r="CB197" i="37"/>
  <c r="CE197" i="37"/>
  <c r="AV197" i="37"/>
  <c r="J224" i="37"/>
  <c r="M224" i="37"/>
  <c r="L208" i="34"/>
  <c r="AF197" i="40"/>
  <c r="AG196" i="40"/>
  <c r="AH196" i="40" s="1"/>
  <c r="AG195" i="34"/>
  <c r="AH195" i="34" s="1"/>
  <c r="AI196" i="34"/>
  <c r="F210" i="34" s="1"/>
  <c r="I210" i="34" s="1"/>
  <c r="AF196" i="34"/>
  <c r="AJ195" i="34"/>
  <c r="AO195" i="38"/>
  <c r="AP195" i="38" s="1"/>
  <c r="AN196" i="38"/>
  <c r="AQ196" i="38"/>
  <c r="G224" i="38" s="1"/>
  <c r="AR195" i="38"/>
  <c r="J223" i="38"/>
  <c r="M223" i="38"/>
  <c r="AO194" i="27"/>
  <c r="AP194" i="27" s="1"/>
  <c r="AQ195" i="27"/>
  <c r="G223" i="27" s="1"/>
  <c r="J223" i="27" s="1"/>
  <c r="AN195" i="27"/>
  <c r="K193" i="30"/>
  <c r="AT193" i="30" s="1"/>
  <c r="AG195" i="39"/>
  <c r="AH195" i="39" s="1"/>
  <c r="AF196" i="39"/>
  <c r="I207" i="30"/>
  <c r="L207" i="30"/>
  <c r="AG194" i="30"/>
  <c r="AH194" i="30" s="1"/>
  <c r="AF195" i="30"/>
  <c r="I208" i="30"/>
  <c r="L208" i="30"/>
  <c r="AO196" i="37"/>
  <c r="AP196" i="37" s="1"/>
  <c r="AN197" i="37"/>
  <c r="L211" i="38"/>
  <c r="AA196" i="40"/>
  <c r="E196" i="40" s="1"/>
  <c r="H196" i="40" s="1"/>
  <c r="AS196" i="40" s="1"/>
  <c r="Y196" i="40"/>
  <c r="Z196" i="40" s="1"/>
  <c r="X197" i="40"/>
  <c r="AA196" i="34"/>
  <c r="E196" i="34" s="1"/>
  <c r="AB195" i="40"/>
  <c r="X197" i="34"/>
  <c r="Y196" i="34"/>
  <c r="Z196" i="34" s="1"/>
  <c r="AS193" i="30"/>
  <c r="Y194" i="30"/>
  <c r="Z194" i="30" s="1"/>
  <c r="AB194" i="30"/>
  <c r="AA195" i="30"/>
  <c r="E195" i="30" s="1"/>
  <c r="H195" i="30" s="1"/>
  <c r="X195" i="30"/>
  <c r="AB193" i="30"/>
  <c r="K197" i="39"/>
  <c r="AT197" i="39" s="1"/>
  <c r="AA194" i="30"/>
  <c r="E194" i="30" s="1"/>
  <c r="H194" i="30" s="1"/>
  <c r="Y198" i="39"/>
  <c r="Z198" i="39" s="1"/>
  <c r="AB198" i="39"/>
  <c r="AA199" i="39"/>
  <c r="E199" i="39" s="1"/>
  <c r="X199" i="39"/>
  <c r="AI195" i="37"/>
  <c r="F209" i="37" s="1"/>
  <c r="I209" i="37" s="1"/>
  <c r="W223" i="40"/>
  <c r="W225" i="34"/>
  <c r="AB209" i="37"/>
  <c r="AA210" i="37"/>
  <c r="E210" i="37" s="1"/>
  <c r="X210" i="37"/>
  <c r="Y209" i="37"/>
  <c r="Z209" i="37" s="1"/>
  <c r="AB209" i="27"/>
  <c r="Y209" i="27"/>
  <c r="Z209" i="27" s="1"/>
  <c r="X210" i="27"/>
  <c r="AB208" i="38"/>
  <c r="AI195" i="27"/>
  <c r="F209" i="27" s="1"/>
  <c r="AJ194" i="27"/>
  <c r="AG198" i="38"/>
  <c r="AH198" i="38" s="1"/>
  <c r="AF199" i="38"/>
  <c r="AI196" i="27"/>
  <c r="F210" i="27" s="1"/>
  <c r="I210" i="27" s="1"/>
  <c r="AF196" i="27"/>
  <c r="AG195" i="27"/>
  <c r="AH195" i="27" s="1"/>
  <c r="Y209" i="38"/>
  <c r="Z209" i="38" s="1"/>
  <c r="AA210" i="38"/>
  <c r="E210" i="38" s="1"/>
  <c r="H210" i="38" s="1"/>
  <c r="AB209" i="38"/>
  <c r="X210" i="38"/>
  <c r="AA209" i="27"/>
  <c r="E209" i="27" s="1"/>
  <c r="AG195" i="37"/>
  <c r="AH195" i="37" s="1"/>
  <c r="AI196" i="37"/>
  <c r="F210" i="37" s="1"/>
  <c r="I210" i="37" s="1"/>
  <c r="AF196" i="37"/>
  <c r="K195" i="34"/>
  <c r="AT195" i="34" s="1"/>
  <c r="L210" i="40"/>
  <c r="M227" i="39"/>
  <c r="L208" i="27"/>
  <c r="AS202" i="38"/>
  <c r="K202" i="38"/>
  <c r="AT202" i="38" s="1"/>
  <c r="K195" i="27"/>
  <c r="AT195" i="27" s="1"/>
  <c r="AS195" i="27"/>
  <c r="AS194" i="27"/>
  <c r="K194" i="27"/>
  <c r="AT194" i="27" s="1"/>
  <c r="T201" i="38"/>
  <c r="K199" i="37"/>
  <c r="AT199" i="37" s="1"/>
  <c r="AS199" i="37"/>
  <c r="M224" i="30"/>
  <c r="M223" i="30"/>
  <c r="AS195" i="34"/>
  <c r="M222" i="34"/>
  <c r="T195" i="40"/>
  <c r="CB195" i="40" s="1"/>
  <c r="M223" i="40"/>
  <c r="T194" i="34"/>
  <c r="CB194" i="34" s="1"/>
  <c r="M223" i="34"/>
  <c r="K195" i="22"/>
  <c r="AB195" i="22"/>
  <c r="AA196" i="22"/>
  <c r="E196" i="22" s="1"/>
  <c r="Y196" i="22"/>
  <c r="Z196" i="22" s="1"/>
  <c r="X197" i="22"/>
  <c r="W237" i="22"/>
  <c r="AZ197" i="37" l="1"/>
  <c r="AJ195" i="39"/>
  <c r="AJ195" i="37"/>
  <c r="BB196" i="37"/>
  <c r="AA197" i="40"/>
  <c r="E197" i="40" s="1"/>
  <c r="H197" i="40" s="1"/>
  <c r="AS197" i="40" s="1"/>
  <c r="AB196" i="40"/>
  <c r="AR194" i="27"/>
  <c r="AI196" i="39"/>
  <c r="F210" i="39" s="1"/>
  <c r="I210" i="39" s="1"/>
  <c r="K198" i="39"/>
  <c r="AT198" i="39" s="1"/>
  <c r="L209" i="39"/>
  <c r="L212" i="38"/>
  <c r="AI197" i="40"/>
  <c r="F211" i="40" s="1"/>
  <c r="I211" i="40" s="1"/>
  <c r="BA200" i="27"/>
  <c r="AW193" i="27"/>
  <c r="AX193" i="27" s="1"/>
  <c r="AZ200" i="27"/>
  <c r="BB200" i="27" s="1"/>
  <c r="BA199" i="27"/>
  <c r="AW192" i="27"/>
  <c r="AX192" i="27" s="1"/>
  <c r="AZ199" i="27"/>
  <c r="BB199" i="27" s="1"/>
  <c r="AJ196" i="40"/>
  <c r="AW200" i="38"/>
  <c r="AX200" i="38" s="1"/>
  <c r="AZ207" i="38"/>
  <c r="BB207" i="38" s="1"/>
  <c r="BA207" i="38"/>
  <c r="AJ194" i="30"/>
  <c r="AI195" i="30"/>
  <c r="F209" i="30" s="1"/>
  <c r="I209" i="30" s="1"/>
  <c r="AW197" i="37"/>
  <c r="AX197" i="37" s="1"/>
  <c r="CF197" i="37" s="1"/>
  <c r="CB201" i="38"/>
  <c r="CE201" i="38"/>
  <c r="AV201" i="38"/>
  <c r="T193" i="30"/>
  <c r="CB193" i="30" s="1"/>
  <c r="H210" i="37"/>
  <c r="H209" i="37"/>
  <c r="K196" i="40"/>
  <c r="AT196" i="40" s="1"/>
  <c r="K196" i="34"/>
  <c r="AT196" i="34" s="1"/>
  <c r="H196" i="34"/>
  <c r="AS196" i="34" s="1"/>
  <c r="AG196" i="34"/>
  <c r="AH196" i="34" s="1"/>
  <c r="AF197" i="34"/>
  <c r="AG197" i="40"/>
  <c r="AH197" i="40" s="1"/>
  <c r="AF198" i="40"/>
  <c r="AI198" i="40"/>
  <c r="F212" i="40" s="1"/>
  <c r="I212" i="40" s="1"/>
  <c r="L210" i="34"/>
  <c r="AO195" i="27"/>
  <c r="AP195" i="27" s="1"/>
  <c r="AN196" i="27"/>
  <c r="AQ196" i="27"/>
  <c r="G224" i="27" s="1"/>
  <c r="J224" i="27" s="1"/>
  <c r="AR195" i="27"/>
  <c r="J224" i="38"/>
  <c r="M224" i="38"/>
  <c r="AO196" i="38"/>
  <c r="AP196" i="38" s="1"/>
  <c r="AN197" i="38"/>
  <c r="AG195" i="30"/>
  <c r="AH195" i="30" s="1"/>
  <c r="AF196" i="30"/>
  <c r="AG196" i="39"/>
  <c r="AH196" i="39" s="1"/>
  <c r="AI197" i="39"/>
  <c r="F211" i="39" s="1"/>
  <c r="AF197" i="39"/>
  <c r="AJ196" i="39"/>
  <c r="AR196" i="37"/>
  <c r="AQ197" i="37"/>
  <c r="G225" i="37" s="1"/>
  <c r="AO197" i="37"/>
  <c r="AP197" i="37" s="1"/>
  <c r="AN198" i="37"/>
  <c r="K199" i="39"/>
  <c r="AT199" i="39" s="1"/>
  <c r="H199" i="39"/>
  <c r="AS199" i="39" s="1"/>
  <c r="L209" i="27"/>
  <c r="I209" i="27"/>
  <c r="H209" i="27" s="1"/>
  <c r="AA198" i="40"/>
  <c r="E198" i="40" s="1"/>
  <c r="H198" i="40" s="1"/>
  <c r="AB197" i="40"/>
  <c r="X198" i="40"/>
  <c r="Y197" i="40"/>
  <c r="Z197" i="40" s="1"/>
  <c r="X198" i="34"/>
  <c r="Y197" i="34"/>
  <c r="Z197" i="34" s="1"/>
  <c r="AA198" i="34"/>
  <c r="E198" i="34" s="1"/>
  <c r="H198" i="34" s="1"/>
  <c r="AA197" i="34"/>
  <c r="E197" i="34" s="1"/>
  <c r="H197" i="34" s="1"/>
  <c r="AB196" i="34"/>
  <c r="Y199" i="39"/>
  <c r="Z199" i="39" s="1"/>
  <c r="X200" i="39"/>
  <c r="Y195" i="30"/>
  <c r="Z195" i="30" s="1"/>
  <c r="AB195" i="30"/>
  <c r="X196" i="30"/>
  <c r="AS198" i="39"/>
  <c r="K195" i="30"/>
  <c r="AT195" i="30" s="1"/>
  <c r="K194" i="30"/>
  <c r="AT194" i="30" s="1"/>
  <c r="AS197" i="39"/>
  <c r="T197" i="39"/>
  <c r="CB197" i="39" s="1"/>
  <c r="L209" i="37"/>
  <c r="W224" i="40"/>
  <c r="W226" i="34"/>
  <c r="AB210" i="37"/>
  <c r="X211" i="37"/>
  <c r="Y210" i="37"/>
  <c r="Z210" i="37" s="1"/>
  <c r="AF197" i="27"/>
  <c r="AG196" i="27"/>
  <c r="AH196" i="27" s="1"/>
  <c r="X211" i="38"/>
  <c r="Y210" i="38"/>
  <c r="Z210" i="38" s="1"/>
  <c r="AJ195" i="27"/>
  <c r="Y210" i="27"/>
  <c r="Z210" i="27" s="1"/>
  <c r="AA211" i="27"/>
  <c r="E211" i="27" s="1"/>
  <c r="AB210" i="27"/>
  <c r="X211" i="27"/>
  <c r="AG199" i="38"/>
  <c r="AH199" i="38" s="1"/>
  <c r="AJ199" i="38"/>
  <c r="AF200" i="38"/>
  <c r="AI199" i="38"/>
  <c r="F213" i="38" s="1"/>
  <c r="I213" i="38" s="1"/>
  <c r="AJ198" i="38"/>
  <c r="AA210" i="27"/>
  <c r="E210" i="27" s="1"/>
  <c r="H210" i="27" s="1"/>
  <c r="AG196" i="37"/>
  <c r="AH196" i="37" s="1"/>
  <c r="AF197" i="37"/>
  <c r="AI197" i="37"/>
  <c r="F211" i="37" s="1"/>
  <c r="I211" i="37" s="1"/>
  <c r="L210" i="37"/>
  <c r="T198" i="37"/>
  <c r="AS198" i="37"/>
  <c r="L209" i="34"/>
  <c r="M223" i="27"/>
  <c r="T194" i="27"/>
  <c r="M222" i="27"/>
  <c r="K203" i="38"/>
  <c r="AT203" i="38" s="1"/>
  <c r="AS203" i="38"/>
  <c r="T202" i="38"/>
  <c r="T195" i="27"/>
  <c r="AS200" i="37"/>
  <c r="K200" i="37"/>
  <c r="AT200" i="37" s="1"/>
  <c r="T199" i="37"/>
  <c r="T195" i="34"/>
  <c r="CB195" i="34" s="1"/>
  <c r="M224" i="40"/>
  <c r="M224" i="34"/>
  <c r="AB196" i="22"/>
  <c r="AA197" i="22"/>
  <c r="X198" i="22"/>
  <c r="Y197" i="22"/>
  <c r="Z197" i="22" s="1"/>
  <c r="K196" i="22"/>
  <c r="W238" i="22"/>
  <c r="AA211" i="37" l="1"/>
  <c r="E211" i="37" s="1"/>
  <c r="AA200" i="39"/>
  <c r="E200" i="39" s="1"/>
  <c r="K200" i="39" s="1"/>
  <c r="AT200" i="39" s="1"/>
  <c r="BB197" i="37"/>
  <c r="AJ196" i="37"/>
  <c r="BA197" i="37"/>
  <c r="T198" i="39"/>
  <c r="CB198" i="39" s="1"/>
  <c r="K197" i="40"/>
  <c r="AT197" i="40" s="1"/>
  <c r="L211" i="40"/>
  <c r="AQ197" i="38"/>
  <c r="G225" i="38" s="1"/>
  <c r="M225" i="38" s="1"/>
  <c r="AJ196" i="34"/>
  <c r="AI197" i="34"/>
  <c r="F211" i="34" s="1"/>
  <c r="I211" i="34" s="1"/>
  <c r="AR196" i="38"/>
  <c r="L210" i="39"/>
  <c r="AJ195" i="30"/>
  <c r="AW201" i="38"/>
  <c r="AX201" i="38" s="1"/>
  <c r="BA208" i="38"/>
  <c r="AZ208" i="38"/>
  <c r="BB208" i="38" s="1"/>
  <c r="AJ197" i="40"/>
  <c r="L209" i="30"/>
  <c r="AB199" i="39"/>
  <c r="AR197" i="37"/>
  <c r="AQ198" i="37"/>
  <c r="G226" i="37" s="1"/>
  <c r="J226" i="37" s="1"/>
  <c r="T196" i="40"/>
  <c r="CB196" i="40" s="1"/>
  <c r="CB195" i="27"/>
  <c r="CE195" i="27"/>
  <c r="AV195" i="27"/>
  <c r="CB202" i="38"/>
  <c r="CE202" i="38"/>
  <c r="AV202" i="38"/>
  <c r="CB194" i="27"/>
  <c r="CE194" i="27"/>
  <c r="AV194" i="27"/>
  <c r="CB199" i="37"/>
  <c r="CE199" i="37"/>
  <c r="AV199" i="37"/>
  <c r="CB198" i="37"/>
  <c r="CE198" i="37"/>
  <c r="AV198" i="37"/>
  <c r="J225" i="37"/>
  <c r="M225" i="37"/>
  <c r="H211" i="37"/>
  <c r="AG197" i="34"/>
  <c r="AH197" i="34" s="1"/>
  <c r="AF198" i="34"/>
  <c r="AI198" i="34"/>
  <c r="F212" i="34" s="1"/>
  <c r="I212" i="34" s="1"/>
  <c r="AJ197" i="34"/>
  <c r="AG198" i="40"/>
  <c r="AH198" i="40" s="1"/>
  <c r="AF199" i="40"/>
  <c r="AO197" i="38"/>
  <c r="AP197" i="38" s="1"/>
  <c r="AN198" i="38"/>
  <c r="AQ198" i="38"/>
  <c r="G226" i="38" s="1"/>
  <c r="AR197" i="38"/>
  <c r="AO196" i="27"/>
  <c r="AP196" i="27" s="1"/>
  <c r="AN197" i="27"/>
  <c r="AQ197" i="27"/>
  <c r="G225" i="27" s="1"/>
  <c r="J225" i="27" s="1"/>
  <c r="AG196" i="30"/>
  <c r="AH196" i="30" s="1"/>
  <c r="AF197" i="30"/>
  <c r="AI197" i="30"/>
  <c r="F211" i="30" s="1"/>
  <c r="I211" i="30" s="1"/>
  <c r="AG197" i="39"/>
  <c r="AH197" i="39" s="1"/>
  <c r="AF198" i="39"/>
  <c r="I211" i="39"/>
  <c r="L211" i="39"/>
  <c r="AI196" i="30"/>
  <c r="F210" i="30" s="1"/>
  <c r="AO198" i="37"/>
  <c r="AP198" i="37" s="1"/>
  <c r="AN199" i="37"/>
  <c r="AQ199" i="37"/>
  <c r="G227" i="37" s="1"/>
  <c r="AR198" i="37"/>
  <c r="AB197" i="34"/>
  <c r="X199" i="34"/>
  <c r="Y198" i="34"/>
  <c r="Z198" i="34" s="1"/>
  <c r="AB198" i="34"/>
  <c r="AA199" i="34"/>
  <c r="E199" i="34" s="1"/>
  <c r="H199" i="34" s="1"/>
  <c r="T196" i="34"/>
  <c r="CB196" i="34" s="1"/>
  <c r="X199" i="40"/>
  <c r="Y198" i="40"/>
  <c r="Z198" i="40" s="1"/>
  <c r="X197" i="30"/>
  <c r="Y196" i="30"/>
  <c r="Z196" i="30" s="1"/>
  <c r="AS194" i="30"/>
  <c r="T194" i="30"/>
  <c r="CB194" i="30" s="1"/>
  <c r="AA196" i="30"/>
  <c r="E196" i="30" s="1"/>
  <c r="H196" i="30" s="1"/>
  <c r="Y200" i="39"/>
  <c r="Z200" i="39" s="1"/>
  <c r="X201" i="39"/>
  <c r="AS195" i="30"/>
  <c r="T195" i="30"/>
  <c r="CB195" i="30" s="1"/>
  <c r="T199" i="39"/>
  <c r="CB199" i="39" s="1"/>
  <c r="W225" i="40"/>
  <c r="W227" i="34"/>
  <c r="M228" i="39"/>
  <c r="AB211" i="37"/>
  <c r="X212" i="37"/>
  <c r="Y211" i="37"/>
  <c r="Z211" i="37" s="1"/>
  <c r="AA212" i="37"/>
  <c r="E212" i="37" s="1"/>
  <c r="AI200" i="38"/>
  <c r="F214" i="38" s="1"/>
  <c r="I214" i="38" s="1"/>
  <c r="X212" i="38"/>
  <c r="Y211" i="38"/>
  <c r="Z211" i="38" s="1"/>
  <c r="AB210" i="38"/>
  <c r="AA212" i="27"/>
  <c r="E212" i="27" s="1"/>
  <c r="Y211" i="27"/>
  <c r="Z211" i="27" s="1"/>
  <c r="X212" i="27"/>
  <c r="AA211" i="38"/>
  <c r="E211" i="38" s="1"/>
  <c r="H211" i="38" s="1"/>
  <c r="AJ196" i="27"/>
  <c r="L213" i="38"/>
  <c r="AG197" i="27"/>
  <c r="AH197" i="27" s="1"/>
  <c r="AF198" i="27"/>
  <c r="AG200" i="38"/>
  <c r="AH200" i="38" s="1"/>
  <c r="AF201" i="38"/>
  <c r="AI197" i="27"/>
  <c r="F211" i="27" s="1"/>
  <c r="I211" i="27" s="1"/>
  <c r="L211" i="37"/>
  <c r="E197" i="22"/>
  <c r="K197" i="22" s="1"/>
  <c r="AG197" i="37"/>
  <c r="AH197" i="37" s="1"/>
  <c r="AJ197" i="37"/>
  <c r="AI198" i="37"/>
  <c r="F212" i="37" s="1"/>
  <c r="I212" i="37" s="1"/>
  <c r="AF198" i="37"/>
  <c r="M226" i="30"/>
  <c r="AS198" i="40"/>
  <c r="L212" i="40"/>
  <c r="K198" i="40"/>
  <c r="AT198" i="40" s="1"/>
  <c r="L210" i="27"/>
  <c r="AS197" i="27"/>
  <c r="K197" i="27"/>
  <c r="AT197" i="27" s="1"/>
  <c r="K196" i="27"/>
  <c r="AT196" i="27" s="1"/>
  <c r="AS196" i="27"/>
  <c r="AS204" i="38"/>
  <c r="K204" i="38"/>
  <c r="AT204" i="38" s="1"/>
  <c r="T203" i="38"/>
  <c r="K201" i="37"/>
  <c r="AT201" i="37" s="1"/>
  <c r="AS201" i="37"/>
  <c r="T200" i="37"/>
  <c r="M229" i="39"/>
  <c r="M225" i="30"/>
  <c r="T197" i="40"/>
  <c r="CB197" i="40" s="1"/>
  <c r="M225" i="40"/>
  <c r="M226" i="40"/>
  <c r="K197" i="34"/>
  <c r="AT197" i="34" s="1"/>
  <c r="AS197" i="34"/>
  <c r="AA198" i="22"/>
  <c r="E198" i="22" s="1"/>
  <c r="AB197" i="22"/>
  <c r="X199" i="22"/>
  <c r="Y198" i="22"/>
  <c r="Z198" i="22" s="1"/>
  <c r="W239" i="22"/>
  <c r="AZ199" i="37" l="1"/>
  <c r="BA199" i="37" s="1"/>
  <c r="H200" i="39"/>
  <c r="AS200" i="39" s="1"/>
  <c r="AZ198" i="37"/>
  <c r="J225" i="38"/>
  <c r="L211" i="34"/>
  <c r="AR196" i="27"/>
  <c r="AJ196" i="30"/>
  <c r="H212" i="37"/>
  <c r="AW202" i="38"/>
  <c r="AX202" i="38" s="1"/>
  <c r="BA209" i="38"/>
  <c r="AZ209" i="38"/>
  <c r="BB209" i="38" s="1"/>
  <c r="BA202" i="27"/>
  <c r="AW195" i="27"/>
  <c r="AX195" i="27" s="1"/>
  <c r="AZ202" i="27"/>
  <c r="BB202" i="27" s="1"/>
  <c r="AJ198" i="40"/>
  <c r="AZ201" i="27"/>
  <c r="BB201" i="27" s="1"/>
  <c r="AW194" i="27"/>
  <c r="AX194" i="27" s="1"/>
  <c r="BA201" i="27"/>
  <c r="AI199" i="40"/>
  <c r="F213" i="40" s="1"/>
  <c r="I213" i="40" s="1"/>
  <c r="AI198" i="39"/>
  <c r="F212" i="39" s="1"/>
  <c r="I212" i="39" s="1"/>
  <c r="M226" i="37"/>
  <c r="AW198" i="37"/>
  <c r="AX198" i="37" s="1"/>
  <c r="CF198" i="37" s="1"/>
  <c r="AJ197" i="39"/>
  <c r="AW199" i="37"/>
  <c r="AX199" i="37" s="1"/>
  <c r="CF199" i="37" s="1"/>
  <c r="CB203" i="38"/>
  <c r="CE203" i="38"/>
  <c r="AV203" i="38"/>
  <c r="CB200" i="37"/>
  <c r="CE200" i="37"/>
  <c r="AV200" i="37"/>
  <c r="J227" i="37"/>
  <c r="M227" i="37"/>
  <c r="AF200" i="40"/>
  <c r="AI200" i="40"/>
  <c r="F214" i="40" s="1"/>
  <c r="I214" i="40" s="1"/>
  <c r="AG199" i="40"/>
  <c r="AH199" i="40" s="1"/>
  <c r="AJ199" i="40"/>
  <c r="L212" i="34"/>
  <c r="AG198" i="34"/>
  <c r="AH198" i="34" s="1"/>
  <c r="AF199" i="34"/>
  <c r="AI199" i="34"/>
  <c r="F213" i="34" s="1"/>
  <c r="I213" i="34" s="1"/>
  <c r="AJ198" i="34"/>
  <c r="AO197" i="27"/>
  <c r="AP197" i="27" s="1"/>
  <c r="AN198" i="27"/>
  <c r="J226" i="38"/>
  <c r="M226" i="38"/>
  <c r="AJ200" i="38"/>
  <c r="AO198" i="38"/>
  <c r="AP198" i="38" s="1"/>
  <c r="AN199" i="38"/>
  <c r="I210" i="30"/>
  <c r="L210" i="30"/>
  <c r="AG198" i="39"/>
  <c r="AH198" i="39" s="1"/>
  <c r="AF199" i="39"/>
  <c r="AI199" i="39"/>
  <c r="F213" i="39" s="1"/>
  <c r="AJ198" i="39"/>
  <c r="T200" i="39"/>
  <c r="CB200" i="39" s="1"/>
  <c r="L211" i="30"/>
  <c r="AG197" i="30"/>
  <c r="AH197" i="30" s="1"/>
  <c r="AF198" i="30"/>
  <c r="AO199" i="37"/>
  <c r="AP199" i="37" s="1"/>
  <c r="AN200" i="37"/>
  <c r="AQ200" i="37"/>
  <c r="G228" i="37" s="1"/>
  <c r="AR199" i="37"/>
  <c r="H211" i="27"/>
  <c r="Y199" i="40"/>
  <c r="Z199" i="40" s="1"/>
  <c r="X200" i="40"/>
  <c r="AB198" i="40"/>
  <c r="X200" i="34"/>
  <c r="Y199" i="34"/>
  <c r="Z199" i="34" s="1"/>
  <c r="AA199" i="40"/>
  <c r="E199" i="40" s="1"/>
  <c r="H199" i="40" s="1"/>
  <c r="AB211" i="38"/>
  <c r="AA212" i="38"/>
  <c r="E212" i="38" s="1"/>
  <c r="H212" i="38" s="1"/>
  <c r="AJ197" i="27"/>
  <c r="AI198" i="27"/>
  <c r="F212" i="27" s="1"/>
  <c r="I212" i="27" s="1"/>
  <c r="H212" i="27" s="1"/>
  <c r="K196" i="30"/>
  <c r="AT196" i="30" s="1"/>
  <c r="Y201" i="39"/>
  <c r="Z201" i="39" s="1"/>
  <c r="AB201" i="39"/>
  <c r="AA202" i="39"/>
  <c r="E202" i="39" s="1"/>
  <c r="X202" i="39"/>
  <c r="AA197" i="30"/>
  <c r="E197" i="30" s="1"/>
  <c r="H197" i="30" s="1"/>
  <c r="AA201" i="39"/>
  <c r="E201" i="39" s="1"/>
  <c r="H201" i="39" s="1"/>
  <c r="AB196" i="30"/>
  <c r="AB200" i="39"/>
  <c r="Y197" i="30"/>
  <c r="Z197" i="30" s="1"/>
  <c r="X198" i="30"/>
  <c r="W226" i="40"/>
  <c r="K198" i="34"/>
  <c r="AT198" i="34" s="1"/>
  <c r="W228" i="34"/>
  <c r="X213" i="37"/>
  <c r="Y212" i="37"/>
  <c r="Z212" i="37" s="1"/>
  <c r="AB211" i="27"/>
  <c r="AI201" i="38"/>
  <c r="F215" i="38" s="1"/>
  <c r="I215" i="38" s="1"/>
  <c r="AG201" i="38"/>
  <c r="AH201" i="38" s="1"/>
  <c r="AF202" i="38"/>
  <c r="AG198" i="27"/>
  <c r="AH198" i="27" s="1"/>
  <c r="AF199" i="27"/>
  <c r="Y212" i="27"/>
  <c r="Z212" i="27" s="1"/>
  <c r="X213" i="27"/>
  <c r="AB212" i="27"/>
  <c r="AA213" i="27"/>
  <c r="E213" i="27" s="1"/>
  <c r="Y212" i="38"/>
  <c r="Z212" i="38" s="1"/>
  <c r="AA213" i="38"/>
  <c r="E213" i="38" s="1"/>
  <c r="H213" i="38" s="1"/>
  <c r="X213" i="38"/>
  <c r="L214" i="38"/>
  <c r="AG198" i="37"/>
  <c r="AH198" i="37" s="1"/>
  <c r="AJ198" i="37"/>
  <c r="AF199" i="37"/>
  <c r="L212" i="37"/>
  <c r="AS198" i="34"/>
  <c r="T198" i="40"/>
  <c r="CB198" i="40" s="1"/>
  <c r="L211" i="27"/>
  <c r="AS205" i="38"/>
  <c r="T197" i="27"/>
  <c r="M225" i="27"/>
  <c r="T204" i="38"/>
  <c r="AS198" i="27"/>
  <c r="K198" i="27"/>
  <c r="AT198" i="27" s="1"/>
  <c r="T196" i="27"/>
  <c r="M224" i="27"/>
  <c r="K202" i="37"/>
  <c r="AT202" i="37" s="1"/>
  <c r="AS202" i="37"/>
  <c r="T201" i="37"/>
  <c r="M227" i="30"/>
  <c r="T197" i="34"/>
  <c r="CB197" i="34" s="1"/>
  <c r="M225" i="34"/>
  <c r="M226" i="34"/>
  <c r="M227" i="40"/>
  <c r="K199" i="34"/>
  <c r="AT199" i="34" s="1"/>
  <c r="AS199" i="34"/>
  <c r="AA199" i="22"/>
  <c r="AB198" i="22"/>
  <c r="X200" i="22"/>
  <c r="Y199" i="22"/>
  <c r="Z199" i="22" s="1"/>
  <c r="K198" i="22"/>
  <c r="W240" i="22"/>
  <c r="AZ200" i="37" l="1"/>
  <c r="BA200" i="37" s="1"/>
  <c r="AB212" i="37"/>
  <c r="BA198" i="37"/>
  <c r="BB198" i="37" s="1"/>
  <c r="BB199" i="37"/>
  <c r="AA198" i="30"/>
  <c r="E198" i="30" s="1"/>
  <c r="H198" i="30" s="1"/>
  <c r="AI199" i="37"/>
  <c r="F213" i="37" s="1"/>
  <c r="I213" i="37" s="1"/>
  <c r="AQ199" i="38"/>
  <c r="G227" i="38" s="1"/>
  <c r="J227" i="38" s="1"/>
  <c r="AA200" i="40"/>
  <c r="E200" i="40" s="1"/>
  <c r="K200" i="40" s="1"/>
  <c r="AT200" i="40" s="1"/>
  <c r="AB199" i="40"/>
  <c r="AJ201" i="38"/>
  <c r="AR198" i="38"/>
  <c r="AB197" i="30"/>
  <c r="L212" i="39"/>
  <c r="AR197" i="27"/>
  <c r="BA210" i="38"/>
  <c r="AZ210" i="38"/>
  <c r="BB210" i="38" s="1"/>
  <c r="AW203" i="38"/>
  <c r="AX203" i="38" s="1"/>
  <c r="L213" i="40"/>
  <c r="AW200" i="37"/>
  <c r="AX200" i="37" s="1"/>
  <c r="CF200" i="37" s="1"/>
  <c r="AJ197" i="30"/>
  <c r="L214" i="40"/>
  <c r="CB204" i="38"/>
  <c r="CE204" i="38"/>
  <c r="AV204" i="38"/>
  <c r="CB197" i="27"/>
  <c r="CE197" i="27"/>
  <c r="AV197" i="27"/>
  <c r="CB196" i="27"/>
  <c r="CE196" i="27"/>
  <c r="AV196" i="27"/>
  <c r="CB201" i="37"/>
  <c r="CE201" i="37"/>
  <c r="AV201" i="37"/>
  <c r="J228" i="37"/>
  <c r="M228" i="37"/>
  <c r="L213" i="34"/>
  <c r="AG199" i="34"/>
  <c r="AH199" i="34" s="1"/>
  <c r="AF200" i="34"/>
  <c r="AG200" i="40"/>
  <c r="AH200" i="40" s="1"/>
  <c r="AI201" i="40"/>
  <c r="F215" i="40" s="1"/>
  <c r="I215" i="40" s="1"/>
  <c r="AF201" i="40"/>
  <c r="AO199" i="38"/>
  <c r="AP199" i="38" s="1"/>
  <c r="AN200" i="38"/>
  <c r="L212" i="27"/>
  <c r="AO198" i="27"/>
  <c r="AP198" i="27" s="1"/>
  <c r="AN199" i="27"/>
  <c r="AI202" i="38"/>
  <c r="F216" i="38" s="1"/>
  <c r="I216" i="38" s="1"/>
  <c r="AQ198" i="27"/>
  <c r="G226" i="27" s="1"/>
  <c r="J226" i="27" s="1"/>
  <c r="AI198" i="30"/>
  <c r="F212" i="30" s="1"/>
  <c r="AF199" i="30"/>
  <c r="AG198" i="30"/>
  <c r="AH198" i="30" s="1"/>
  <c r="I213" i="39"/>
  <c r="L213" i="39"/>
  <c r="AG199" i="39"/>
  <c r="AH199" i="39" s="1"/>
  <c r="AI200" i="39"/>
  <c r="F214" i="39" s="1"/>
  <c r="AF200" i="39"/>
  <c r="AO200" i="37"/>
  <c r="AP200" i="37" s="1"/>
  <c r="AN201" i="37"/>
  <c r="AQ201" i="37"/>
  <c r="G229" i="37" s="1"/>
  <c r="AR200" i="37"/>
  <c r="H202" i="39"/>
  <c r="AS202" i="39" s="1"/>
  <c r="X201" i="34"/>
  <c r="Y200" i="34"/>
  <c r="Z200" i="34" s="1"/>
  <c r="AB199" i="34"/>
  <c r="K199" i="40"/>
  <c r="AT199" i="40" s="1"/>
  <c r="Y200" i="40"/>
  <c r="Z200" i="40" s="1"/>
  <c r="AA201" i="40"/>
  <c r="E201" i="40" s="1"/>
  <c r="H201" i="40" s="1"/>
  <c r="X201" i="40"/>
  <c r="AA200" i="34"/>
  <c r="E200" i="34" s="1"/>
  <c r="H200" i="34" s="1"/>
  <c r="AJ198" i="27"/>
  <c r="K201" i="39"/>
  <c r="AT201" i="39" s="1"/>
  <c r="K197" i="30"/>
  <c r="AT197" i="30" s="1"/>
  <c r="X199" i="30"/>
  <c r="Y198" i="30"/>
  <c r="Z198" i="30" s="1"/>
  <c r="K202" i="39"/>
  <c r="AT202" i="39" s="1"/>
  <c r="AS196" i="30"/>
  <c r="T196" i="30"/>
  <c r="CB196" i="30" s="1"/>
  <c r="Y202" i="39"/>
  <c r="Z202" i="39" s="1"/>
  <c r="AB202" i="39"/>
  <c r="AA203" i="39"/>
  <c r="E203" i="39" s="1"/>
  <c r="X203" i="39"/>
  <c r="W227" i="40"/>
  <c r="W229" i="34"/>
  <c r="T198" i="34"/>
  <c r="CB198" i="34" s="1"/>
  <c r="M228" i="30"/>
  <c r="Y213" i="37"/>
  <c r="Z213" i="37" s="1"/>
  <c r="AB213" i="37"/>
  <c r="X214" i="37"/>
  <c r="AA214" i="37"/>
  <c r="E214" i="37" s="1"/>
  <c r="AA213" i="37"/>
  <c r="E213" i="37" s="1"/>
  <c r="H213" i="37" s="1"/>
  <c r="AG202" i="38"/>
  <c r="AH202" i="38" s="1"/>
  <c r="AF203" i="38"/>
  <c r="Y213" i="27"/>
  <c r="Z213" i="27" s="1"/>
  <c r="X214" i="27"/>
  <c r="Y213" i="38"/>
  <c r="Z213" i="38" s="1"/>
  <c r="X214" i="38"/>
  <c r="AB213" i="38"/>
  <c r="AA214" i="38"/>
  <c r="E214" i="38" s="1"/>
  <c r="H214" i="38" s="1"/>
  <c r="AI199" i="27"/>
  <c r="F213" i="27" s="1"/>
  <c r="L215" i="38"/>
  <c r="AB212" i="38"/>
  <c r="AG199" i="27"/>
  <c r="AH199" i="27" s="1"/>
  <c r="AI200" i="27"/>
  <c r="F214" i="27" s="1"/>
  <c r="I214" i="27" s="1"/>
  <c r="AF200" i="27"/>
  <c r="AG199" i="37"/>
  <c r="AH199" i="37" s="1"/>
  <c r="AF200" i="37"/>
  <c r="E199" i="22"/>
  <c r="K199" i="22" s="1"/>
  <c r="K205" i="38"/>
  <c r="AT205" i="38" s="1"/>
  <c r="K199" i="27"/>
  <c r="AT199" i="27" s="1"/>
  <c r="AS199" i="27"/>
  <c r="K206" i="38"/>
  <c r="AT206" i="38" s="1"/>
  <c r="AS206" i="38"/>
  <c r="T198" i="27"/>
  <c r="T202" i="37"/>
  <c r="AS203" i="37"/>
  <c r="K203" i="37"/>
  <c r="AT203" i="37" s="1"/>
  <c r="M232" i="39"/>
  <c r="M230" i="39"/>
  <c r="T199" i="34"/>
  <c r="CB199" i="34" s="1"/>
  <c r="M227" i="34"/>
  <c r="M228" i="40"/>
  <c r="AA200" i="22"/>
  <c r="AB199" i="22"/>
  <c r="Y200" i="22"/>
  <c r="Z200" i="22" s="1"/>
  <c r="X201" i="22"/>
  <c r="W241" i="22"/>
  <c r="L213" i="37" l="1"/>
  <c r="AZ201" i="37"/>
  <c r="BA201" i="37" s="1"/>
  <c r="BB200" i="37"/>
  <c r="K198" i="30"/>
  <c r="AT198" i="30" s="1"/>
  <c r="AI199" i="30"/>
  <c r="F213" i="30" s="1"/>
  <c r="I213" i="30" s="1"/>
  <c r="H200" i="40"/>
  <c r="AS200" i="40" s="1"/>
  <c r="M227" i="38"/>
  <c r="AR198" i="27"/>
  <c r="AQ199" i="27"/>
  <c r="G227" i="27" s="1"/>
  <c r="J227" i="27" s="1"/>
  <c r="AJ200" i="40"/>
  <c r="AI203" i="38"/>
  <c r="F217" i="38" s="1"/>
  <c r="I217" i="38" s="1"/>
  <c r="AJ198" i="30"/>
  <c r="AB200" i="34"/>
  <c r="BA204" i="27"/>
  <c r="AW197" i="27"/>
  <c r="AX197" i="27" s="1"/>
  <c r="AZ204" i="27"/>
  <c r="BB204" i="27" s="1"/>
  <c r="AZ211" i="38"/>
  <c r="BB211" i="38" s="1"/>
  <c r="BA211" i="38"/>
  <c r="AW204" i="38"/>
  <c r="AX204" i="38" s="1"/>
  <c r="AR199" i="38"/>
  <c r="BA203" i="27"/>
  <c r="AW196" i="27"/>
  <c r="AX196" i="27" s="1"/>
  <c r="AZ203" i="27"/>
  <c r="BB203" i="27" s="1"/>
  <c r="AQ200" i="38"/>
  <c r="G228" i="38" s="1"/>
  <c r="J228" i="38" s="1"/>
  <c r="AA201" i="34"/>
  <c r="E201" i="34" s="1"/>
  <c r="H201" i="34" s="1"/>
  <c r="AS201" i="34" s="1"/>
  <c r="AJ199" i="39"/>
  <c r="AW201" i="37"/>
  <c r="AX201" i="37" s="1"/>
  <c r="CF201" i="37" s="1"/>
  <c r="CB198" i="27"/>
  <c r="CE198" i="27"/>
  <c r="AV198" i="27"/>
  <c r="CB202" i="37"/>
  <c r="CE202" i="37"/>
  <c r="AV202" i="37"/>
  <c r="J229" i="37"/>
  <c r="M229" i="37"/>
  <c r="AG201" i="40"/>
  <c r="AH201" i="40" s="1"/>
  <c r="AF202" i="40"/>
  <c r="AG200" i="34"/>
  <c r="AH200" i="34" s="1"/>
  <c r="AF201" i="34"/>
  <c r="AJ199" i="34"/>
  <c r="AI200" i="34"/>
  <c r="F214" i="34" s="1"/>
  <c r="I214" i="34" s="1"/>
  <c r="AB200" i="40"/>
  <c r="M226" i="27"/>
  <c r="AO199" i="27"/>
  <c r="AP199" i="27" s="1"/>
  <c r="AQ200" i="27"/>
  <c r="G228" i="27" s="1"/>
  <c r="J228" i="27" s="1"/>
  <c r="AN200" i="27"/>
  <c r="AR199" i="27"/>
  <c r="AO200" i="38"/>
  <c r="AP200" i="38" s="1"/>
  <c r="AQ201" i="38"/>
  <c r="G229" i="38" s="1"/>
  <c r="AN201" i="38"/>
  <c r="L216" i="38"/>
  <c r="AJ199" i="27"/>
  <c r="I214" i="39"/>
  <c r="L214" i="39"/>
  <c r="AG200" i="39"/>
  <c r="AH200" i="39" s="1"/>
  <c r="AI201" i="39"/>
  <c r="F215" i="39" s="1"/>
  <c r="AF201" i="39"/>
  <c r="AG199" i="30"/>
  <c r="AH199" i="30" s="1"/>
  <c r="AF200" i="30"/>
  <c r="T202" i="39"/>
  <c r="CB202" i="39" s="1"/>
  <c r="I212" i="30"/>
  <c r="L212" i="30"/>
  <c r="AO201" i="37"/>
  <c r="AP201" i="37" s="1"/>
  <c r="AN202" i="37"/>
  <c r="AQ202" i="37"/>
  <c r="G230" i="37" s="1"/>
  <c r="AR201" i="37"/>
  <c r="K203" i="39"/>
  <c r="AT203" i="39" s="1"/>
  <c r="H203" i="39"/>
  <c r="L213" i="27"/>
  <c r="I213" i="27"/>
  <c r="H213" i="27" s="1"/>
  <c r="AS199" i="40"/>
  <c r="T199" i="40"/>
  <c r="CB199" i="40" s="1"/>
  <c r="X202" i="40"/>
  <c r="Y201" i="40"/>
  <c r="Z201" i="40" s="1"/>
  <c r="AA202" i="40"/>
  <c r="E202" i="40" s="1"/>
  <c r="H202" i="40" s="1"/>
  <c r="X202" i="34"/>
  <c r="Y201" i="34"/>
  <c r="Z201" i="34" s="1"/>
  <c r="AA214" i="27"/>
  <c r="E214" i="27" s="1"/>
  <c r="H214" i="27" s="1"/>
  <c r="AJ202" i="38"/>
  <c r="AB198" i="30"/>
  <c r="Y199" i="30"/>
  <c r="Z199" i="30" s="1"/>
  <c r="AA200" i="30"/>
  <c r="E200" i="30" s="1"/>
  <c r="H200" i="30" s="1"/>
  <c r="AB199" i="30"/>
  <c r="X200" i="30"/>
  <c r="AA199" i="30"/>
  <c r="E199" i="30" s="1"/>
  <c r="H199" i="30" s="1"/>
  <c r="AS197" i="30"/>
  <c r="T197" i="30"/>
  <c r="CB197" i="30" s="1"/>
  <c r="AS201" i="39"/>
  <c r="T201" i="39"/>
  <c r="CB201" i="39" s="1"/>
  <c r="Y203" i="39"/>
  <c r="Z203" i="39" s="1"/>
  <c r="X204" i="39"/>
  <c r="AA204" i="39"/>
  <c r="E204" i="39" s="1"/>
  <c r="H204" i="39" s="1"/>
  <c r="AB203" i="39"/>
  <c r="AS198" i="30"/>
  <c r="T198" i="30"/>
  <c r="CB198" i="30" s="1"/>
  <c r="W228" i="40"/>
  <c r="W230" i="34"/>
  <c r="X215" i="37"/>
  <c r="Y214" i="37"/>
  <c r="AJ199" i="37"/>
  <c r="AI200" i="37"/>
  <c r="F214" i="37" s="1"/>
  <c r="I214" i="37" s="1"/>
  <c r="AF201" i="27"/>
  <c r="AG200" i="27"/>
  <c r="AH200" i="27" s="1"/>
  <c r="Y214" i="38"/>
  <c r="Z214" i="38" s="1"/>
  <c r="AA215" i="38"/>
  <c r="E215" i="38" s="1"/>
  <c r="H215" i="38" s="1"/>
  <c r="AB214" i="38"/>
  <c r="X215" i="38"/>
  <c r="Y214" i="27"/>
  <c r="Z214" i="27" s="1"/>
  <c r="X215" i="27"/>
  <c r="AG203" i="38"/>
  <c r="AH203" i="38" s="1"/>
  <c r="AF204" i="38"/>
  <c r="AB213" i="27"/>
  <c r="E200" i="22"/>
  <c r="K200" i="22" s="1"/>
  <c r="AG200" i="37"/>
  <c r="AH200" i="37" s="1"/>
  <c r="AI201" i="37"/>
  <c r="F215" i="37" s="1"/>
  <c r="I215" i="37" s="1"/>
  <c r="AF201" i="37"/>
  <c r="T205" i="38"/>
  <c r="L215" i="40"/>
  <c r="AS200" i="34"/>
  <c r="L214" i="27"/>
  <c r="K200" i="27"/>
  <c r="AT200" i="27" s="1"/>
  <c r="AS200" i="27"/>
  <c r="T199" i="27"/>
  <c r="AS207" i="38"/>
  <c r="K207" i="38"/>
  <c r="AT207" i="38" s="1"/>
  <c r="T206" i="38"/>
  <c r="T203" i="37"/>
  <c r="K204" i="37"/>
  <c r="AT204" i="37" s="1"/>
  <c r="AS204" i="37"/>
  <c r="M229" i="30"/>
  <c r="K200" i="34"/>
  <c r="AT200" i="34" s="1"/>
  <c r="M228" i="34"/>
  <c r="K201" i="40"/>
  <c r="AT201" i="40" s="1"/>
  <c r="AS201" i="40"/>
  <c r="M231" i="39"/>
  <c r="AA201" i="22"/>
  <c r="E201" i="22" s="1"/>
  <c r="AB200" i="22"/>
  <c r="Y201" i="22"/>
  <c r="Z201" i="22" s="1"/>
  <c r="X202" i="22"/>
  <c r="W242" i="22"/>
  <c r="L213" i="30" l="1"/>
  <c r="AJ200" i="39"/>
  <c r="BB201" i="37"/>
  <c r="AZ202" i="37"/>
  <c r="T200" i="40"/>
  <c r="CB200" i="40" s="1"/>
  <c r="M227" i="27"/>
  <c r="L217" i="38"/>
  <c r="M228" i="38"/>
  <c r="K201" i="34"/>
  <c r="AT201" i="34" s="1"/>
  <c r="AB201" i="34"/>
  <c r="AJ201" i="40"/>
  <c r="AI202" i="40"/>
  <c r="F216" i="40" s="1"/>
  <c r="I216" i="40" s="1"/>
  <c r="AZ205" i="27"/>
  <c r="BB205" i="27" s="1"/>
  <c r="BA205" i="27"/>
  <c r="AW198" i="27"/>
  <c r="AX198" i="27" s="1"/>
  <c r="AJ200" i="34"/>
  <c r="AA215" i="27"/>
  <c r="E215" i="27" s="1"/>
  <c r="AR200" i="38"/>
  <c r="AI201" i="34"/>
  <c r="F215" i="34" s="1"/>
  <c r="I215" i="34" s="1"/>
  <c r="AB214" i="27"/>
  <c r="AI200" i="30"/>
  <c r="F214" i="30" s="1"/>
  <c r="I214" i="30" s="1"/>
  <c r="AW202" i="37"/>
  <c r="AX202" i="37" s="1"/>
  <c r="CF202" i="37" s="1"/>
  <c r="AJ199" i="30"/>
  <c r="CB199" i="27"/>
  <c r="CE199" i="27"/>
  <c r="AV199" i="27"/>
  <c r="CB205" i="38"/>
  <c r="CE205" i="38"/>
  <c r="AV205" i="38"/>
  <c r="CB206" i="38"/>
  <c r="CE206" i="38"/>
  <c r="AV206" i="38"/>
  <c r="CB203" i="37"/>
  <c r="CE203" i="37"/>
  <c r="AV203" i="37"/>
  <c r="T203" i="39"/>
  <c r="CB203" i="39" s="1"/>
  <c r="J230" i="37"/>
  <c r="M230" i="37"/>
  <c r="H214" i="37"/>
  <c r="AF202" i="34"/>
  <c r="AG201" i="34"/>
  <c r="AH201" i="34" s="1"/>
  <c r="AG202" i="40"/>
  <c r="AH202" i="40" s="1"/>
  <c r="AF203" i="40"/>
  <c r="J229" i="38"/>
  <c r="M229" i="38"/>
  <c r="AO201" i="38"/>
  <c r="AP201" i="38" s="1"/>
  <c r="AN202" i="38"/>
  <c r="AN201" i="27"/>
  <c r="AO200" i="27"/>
  <c r="AP200" i="27" s="1"/>
  <c r="AR200" i="27"/>
  <c r="AF201" i="30"/>
  <c r="AG200" i="30"/>
  <c r="AH200" i="30" s="1"/>
  <c r="AJ200" i="30"/>
  <c r="AG201" i="39"/>
  <c r="AH201" i="39" s="1"/>
  <c r="AI202" i="39"/>
  <c r="F216" i="39" s="1"/>
  <c r="AF202" i="39"/>
  <c r="AJ201" i="39"/>
  <c r="I215" i="39"/>
  <c r="L215" i="39"/>
  <c r="AS203" i="39"/>
  <c r="AO202" i="37"/>
  <c r="AP202" i="37" s="1"/>
  <c r="AN203" i="37"/>
  <c r="AQ203" i="37"/>
  <c r="G231" i="37" s="1"/>
  <c r="AR202" i="37"/>
  <c r="X203" i="34"/>
  <c r="Y202" i="34"/>
  <c r="Z202" i="34" s="1"/>
  <c r="X203" i="40"/>
  <c r="AA203" i="40"/>
  <c r="E203" i="40" s="1"/>
  <c r="Y202" i="40"/>
  <c r="Z202" i="40" s="1"/>
  <c r="AB202" i="40"/>
  <c r="AB201" i="40"/>
  <c r="AA202" i="34"/>
  <c r="E202" i="34" s="1"/>
  <c r="H202" i="34" s="1"/>
  <c r="K204" i="39"/>
  <c r="AT204" i="39" s="1"/>
  <c r="X201" i="30"/>
  <c r="Y200" i="30"/>
  <c r="Z200" i="30" s="1"/>
  <c r="Y204" i="39"/>
  <c r="Z204" i="39" s="1"/>
  <c r="AB204" i="39"/>
  <c r="X205" i="39"/>
  <c r="K200" i="30"/>
  <c r="AT200" i="30" s="1"/>
  <c r="K199" i="30"/>
  <c r="AT199" i="30" s="1"/>
  <c r="T200" i="34"/>
  <c r="CB200" i="34" s="1"/>
  <c r="K202" i="40"/>
  <c r="AT202" i="40" s="1"/>
  <c r="AS202" i="40"/>
  <c r="W229" i="40"/>
  <c r="W231" i="34"/>
  <c r="AJ200" i="37"/>
  <c r="L214" i="37"/>
  <c r="Z214" i="37"/>
  <c r="AA215" i="37"/>
  <c r="E215" i="37" s="1"/>
  <c r="H215" i="37" s="1"/>
  <c r="AB214" i="37"/>
  <c r="Y215" i="37"/>
  <c r="Z215" i="37" s="1"/>
  <c r="AB215" i="37"/>
  <c r="AA216" i="37"/>
  <c r="E216" i="37" s="1"/>
  <c r="X216" i="37"/>
  <c r="Y215" i="38"/>
  <c r="Z215" i="38" s="1"/>
  <c r="X216" i="38"/>
  <c r="AA216" i="38"/>
  <c r="E216" i="38" s="1"/>
  <c r="H216" i="38" s="1"/>
  <c r="AB215" i="38"/>
  <c r="Y215" i="27"/>
  <c r="Z215" i="27" s="1"/>
  <c r="X216" i="27"/>
  <c r="AG204" i="38"/>
  <c r="AH204" i="38" s="1"/>
  <c r="AI205" i="38"/>
  <c r="F219" i="38" s="1"/>
  <c r="I219" i="38" s="1"/>
  <c r="AF205" i="38"/>
  <c r="AJ204" i="38"/>
  <c r="AI201" i="27"/>
  <c r="F215" i="27" s="1"/>
  <c r="I215" i="27" s="1"/>
  <c r="AI204" i="38"/>
  <c r="F218" i="38" s="1"/>
  <c r="I218" i="38" s="1"/>
  <c r="AJ201" i="27"/>
  <c r="AI202" i="27"/>
  <c r="F216" i="27" s="1"/>
  <c r="I216" i="27" s="1"/>
  <c r="AF202" i="27"/>
  <c r="AG201" i="27"/>
  <c r="AH201" i="27" s="1"/>
  <c r="AJ203" i="38"/>
  <c r="AJ200" i="27"/>
  <c r="AG201" i="37"/>
  <c r="AH201" i="37" s="1"/>
  <c r="AF202" i="37"/>
  <c r="L215" i="37"/>
  <c r="L214" i="34"/>
  <c r="T207" i="38"/>
  <c r="AS201" i="27"/>
  <c r="K201" i="27"/>
  <c r="AT201" i="27" s="1"/>
  <c r="AS208" i="38"/>
  <c r="T200" i="27"/>
  <c r="M228" i="27"/>
  <c r="T204" i="37"/>
  <c r="M229" i="34"/>
  <c r="T201" i="40"/>
  <c r="CB201" i="40" s="1"/>
  <c r="M229" i="40"/>
  <c r="M230" i="40"/>
  <c r="AA202" i="22"/>
  <c r="AB201" i="22"/>
  <c r="K201" i="22"/>
  <c r="Y202" i="22"/>
  <c r="Z202" i="22" s="1"/>
  <c r="X203" i="22"/>
  <c r="W243" i="22"/>
  <c r="T201" i="34" l="1"/>
  <c r="CB201" i="34" s="1"/>
  <c r="BA202" i="37"/>
  <c r="BB202" i="37" s="1"/>
  <c r="AZ203" i="37"/>
  <c r="AJ202" i="40"/>
  <c r="AI203" i="40"/>
  <c r="F217" i="40" s="1"/>
  <c r="I217" i="40" s="1"/>
  <c r="AR201" i="38"/>
  <c r="AQ202" i="38"/>
  <c r="G230" i="38" s="1"/>
  <c r="M230" i="38" s="1"/>
  <c r="BA213" i="38"/>
  <c r="AW206" i="38"/>
  <c r="AX206" i="38" s="1"/>
  <c r="AZ213" i="38"/>
  <c r="BB213" i="38" s="1"/>
  <c r="AZ212" i="38"/>
  <c r="BB212" i="38" s="1"/>
  <c r="BA212" i="38"/>
  <c r="AW205" i="38"/>
  <c r="AX205" i="38" s="1"/>
  <c r="L216" i="40"/>
  <c r="AA203" i="34"/>
  <c r="E203" i="34" s="1"/>
  <c r="H203" i="34" s="1"/>
  <c r="L215" i="34"/>
  <c r="AZ206" i="27"/>
  <c r="BB206" i="27" s="1"/>
  <c r="AW199" i="27"/>
  <c r="AX199" i="27" s="1"/>
  <c r="BA206" i="27"/>
  <c r="AQ201" i="27"/>
  <c r="G229" i="27" s="1"/>
  <c r="J229" i="27" s="1"/>
  <c r="L214" i="30"/>
  <c r="AW203" i="37"/>
  <c r="AX203" i="37" s="1"/>
  <c r="CF203" i="37" s="1"/>
  <c r="CB200" i="27"/>
  <c r="CE200" i="27"/>
  <c r="AV200" i="27"/>
  <c r="CB207" i="38"/>
  <c r="CE207" i="38"/>
  <c r="AV207" i="38"/>
  <c r="CB204" i="37"/>
  <c r="CE204" i="37"/>
  <c r="AV204" i="37"/>
  <c r="J231" i="37"/>
  <c r="M231" i="37"/>
  <c r="AG203" i="40"/>
  <c r="AH203" i="40" s="1"/>
  <c r="AF204" i="40"/>
  <c r="AG202" i="34"/>
  <c r="AH202" i="34" s="1"/>
  <c r="AF203" i="34"/>
  <c r="AI202" i="34"/>
  <c r="F216" i="34" s="1"/>
  <c r="I216" i="34" s="1"/>
  <c r="AJ201" i="34"/>
  <c r="AO201" i="27"/>
  <c r="AP201" i="27" s="1"/>
  <c r="AN202" i="27"/>
  <c r="AO202" i="38"/>
  <c r="AP202" i="38" s="1"/>
  <c r="AN203" i="38"/>
  <c r="AG202" i="39"/>
  <c r="AH202" i="39" s="1"/>
  <c r="AF203" i="39"/>
  <c r="AG201" i="30"/>
  <c r="AH201" i="30" s="1"/>
  <c r="AF202" i="30"/>
  <c r="AJ201" i="30"/>
  <c r="I216" i="39"/>
  <c r="L216" i="39"/>
  <c r="AI201" i="30"/>
  <c r="F215" i="30" s="1"/>
  <c r="AO203" i="37"/>
  <c r="AP203" i="37" s="1"/>
  <c r="AN204" i="37"/>
  <c r="K203" i="40"/>
  <c r="AT203" i="40" s="1"/>
  <c r="H203" i="40"/>
  <c r="AS203" i="40" s="1"/>
  <c r="H215" i="27"/>
  <c r="AA204" i="40"/>
  <c r="E204" i="40" s="1"/>
  <c r="H204" i="40" s="1"/>
  <c r="X204" i="40"/>
  <c r="Y203" i="40"/>
  <c r="Z203" i="40" s="1"/>
  <c r="AB202" i="34"/>
  <c r="Y203" i="34"/>
  <c r="Z203" i="34" s="1"/>
  <c r="X204" i="34"/>
  <c r="AS199" i="30"/>
  <c r="T199" i="30"/>
  <c r="CB199" i="30" s="1"/>
  <c r="Y201" i="30"/>
  <c r="Z201" i="30" s="1"/>
  <c r="AB201" i="30"/>
  <c r="AA202" i="30"/>
  <c r="E202" i="30" s="1"/>
  <c r="H202" i="30" s="1"/>
  <c r="X202" i="30"/>
  <c r="AS200" i="30"/>
  <c r="T200" i="30"/>
  <c r="CB200" i="30" s="1"/>
  <c r="AA201" i="30"/>
  <c r="E201" i="30" s="1"/>
  <c r="H201" i="30" s="1"/>
  <c r="AB200" i="30"/>
  <c r="Y205" i="39"/>
  <c r="Z205" i="39" s="1"/>
  <c r="X206" i="39"/>
  <c r="AS204" i="39"/>
  <c r="T204" i="39"/>
  <c r="CB204" i="39" s="1"/>
  <c r="AA205" i="39"/>
  <c r="E205" i="39" s="1"/>
  <c r="H205" i="39" s="1"/>
  <c r="T202" i="40"/>
  <c r="CB202" i="40" s="1"/>
  <c r="W230" i="40"/>
  <c r="W232" i="34"/>
  <c r="AI202" i="37"/>
  <c r="F216" i="37" s="1"/>
  <c r="AJ201" i="37"/>
  <c r="AA217" i="37"/>
  <c r="E217" i="37" s="1"/>
  <c r="AB216" i="37"/>
  <c r="Y216" i="37"/>
  <c r="Z216" i="37" s="1"/>
  <c r="X217" i="37"/>
  <c r="L215" i="27"/>
  <c r="L218" i="38"/>
  <c r="AB215" i="27"/>
  <c r="Y216" i="27"/>
  <c r="Z216" i="27" s="1"/>
  <c r="X217" i="27"/>
  <c r="AA216" i="27"/>
  <c r="E216" i="27" s="1"/>
  <c r="H216" i="27" s="1"/>
  <c r="AG205" i="38"/>
  <c r="AH205" i="38" s="1"/>
  <c r="AJ205" i="38"/>
  <c r="AI206" i="38"/>
  <c r="F220" i="38" s="1"/>
  <c r="I220" i="38" s="1"/>
  <c r="AF206" i="38"/>
  <c r="L219" i="38"/>
  <c r="Y216" i="38"/>
  <c r="Z216" i="38" s="1"/>
  <c r="AA217" i="38"/>
  <c r="E217" i="38" s="1"/>
  <c r="H217" i="38" s="1"/>
  <c r="AB216" i="38"/>
  <c r="X217" i="38"/>
  <c r="AG202" i="27"/>
  <c r="AH202" i="27" s="1"/>
  <c r="AF203" i="27"/>
  <c r="E202" i="22"/>
  <c r="K202" i="22" s="1"/>
  <c r="AG202" i="37"/>
  <c r="AH202" i="37" s="1"/>
  <c r="AF203" i="37"/>
  <c r="AJ202" i="37"/>
  <c r="K205" i="37"/>
  <c r="AT205" i="37" s="1"/>
  <c r="AS205" i="37"/>
  <c r="K202" i="34"/>
  <c r="AT202" i="34" s="1"/>
  <c r="AS202" i="34"/>
  <c r="K208" i="38"/>
  <c r="AT208" i="38" s="1"/>
  <c r="L216" i="27"/>
  <c r="K202" i="27"/>
  <c r="AT202" i="27" s="1"/>
  <c r="AS202" i="27"/>
  <c r="T201" i="27"/>
  <c r="AS209" i="38"/>
  <c r="K209" i="38"/>
  <c r="AT209" i="38" s="1"/>
  <c r="M230" i="30"/>
  <c r="M233" i="39"/>
  <c r="M231" i="40"/>
  <c r="M230" i="34"/>
  <c r="AA203" i="22"/>
  <c r="E203" i="22" s="1"/>
  <c r="AB202" i="22"/>
  <c r="X204" i="22"/>
  <c r="Y203" i="22"/>
  <c r="Z203" i="22" s="1"/>
  <c r="W244" i="22"/>
  <c r="AZ204" i="37" l="1"/>
  <c r="BA203" i="37"/>
  <c r="BB203" i="37" s="1"/>
  <c r="AI203" i="37"/>
  <c r="F217" i="37" s="1"/>
  <c r="I217" i="37" s="1"/>
  <c r="AI202" i="30"/>
  <c r="F216" i="30" s="1"/>
  <c r="J230" i="38"/>
  <c r="L217" i="40"/>
  <c r="AJ202" i="34"/>
  <c r="AI203" i="34"/>
  <c r="F217" i="34" s="1"/>
  <c r="I217" i="34" s="1"/>
  <c r="AB203" i="40"/>
  <c r="AI203" i="39"/>
  <c r="F217" i="39" s="1"/>
  <c r="I217" i="39" s="1"/>
  <c r="AB205" i="39"/>
  <c r="AA206" i="39"/>
  <c r="E206" i="39" s="1"/>
  <c r="H206" i="39" s="1"/>
  <c r="AS206" i="39" s="1"/>
  <c r="AJ202" i="39"/>
  <c r="AR201" i="27"/>
  <c r="AQ202" i="27"/>
  <c r="G230" i="27" s="1"/>
  <c r="J230" i="27" s="1"/>
  <c r="AW207" i="38"/>
  <c r="AX207" i="38" s="1"/>
  <c r="BA214" i="38"/>
  <c r="AZ214" i="38"/>
  <c r="BB214" i="38" s="1"/>
  <c r="BA207" i="27"/>
  <c r="AW200" i="27"/>
  <c r="AX200" i="27" s="1"/>
  <c r="AZ207" i="27"/>
  <c r="BB207" i="27" s="1"/>
  <c r="M229" i="27"/>
  <c r="AR202" i="38"/>
  <c r="AJ203" i="40"/>
  <c r="AQ203" i="38"/>
  <c r="G231" i="38" s="1"/>
  <c r="M231" i="38" s="1"/>
  <c r="AI204" i="40"/>
  <c r="F218" i="40" s="1"/>
  <c r="I218" i="40" s="1"/>
  <c r="H217" i="37"/>
  <c r="AW204" i="37"/>
  <c r="AX204" i="37" s="1"/>
  <c r="CF204" i="37" s="1"/>
  <c r="AR203" i="37"/>
  <c r="AQ204" i="37"/>
  <c r="G232" i="37" s="1"/>
  <c r="J232" i="37" s="1"/>
  <c r="CB201" i="27"/>
  <c r="CE201" i="27"/>
  <c r="AV201" i="27"/>
  <c r="T203" i="40"/>
  <c r="CB203" i="40" s="1"/>
  <c r="AG203" i="34"/>
  <c r="AH203" i="34" s="1"/>
  <c r="AF204" i="34"/>
  <c r="AF205" i="40"/>
  <c r="AG204" i="40"/>
  <c r="AH204" i="40" s="1"/>
  <c r="AO203" i="38"/>
  <c r="AP203" i="38" s="1"/>
  <c r="AN204" i="38"/>
  <c r="AO202" i="27"/>
  <c r="AP202" i="27" s="1"/>
  <c r="AN203" i="27"/>
  <c r="AR202" i="27"/>
  <c r="I215" i="30"/>
  <c r="L215" i="30"/>
  <c r="I216" i="30"/>
  <c r="L216" i="30"/>
  <c r="AG202" i="30"/>
  <c r="AH202" i="30" s="1"/>
  <c r="AF203" i="30"/>
  <c r="AI203" i="30"/>
  <c r="F217" i="30" s="1"/>
  <c r="AG203" i="39"/>
  <c r="AH203" i="39" s="1"/>
  <c r="AF204" i="39"/>
  <c r="AO204" i="37"/>
  <c r="AP204" i="37" s="1"/>
  <c r="AN205" i="37"/>
  <c r="AQ205" i="37"/>
  <c r="G233" i="37" s="1"/>
  <c r="J233" i="37" s="1"/>
  <c r="AR204" i="37"/>
  <c r="L216" i="37"/>
  <c r="I216" i="37"/>
  <c r="H216" i="37" s="1"/>
  <c r="AB203" i="34"/>
  <c r="AA205" i="40"/>
  <c r="E205" i="40" s="1"/>
  <c r="H205" i="40" s="1"/>
  <c r="X205" i="40"/>
  <c r="Y204" i="40"/>
  <c r="Z204" i="40" s="1"/>
  <c r="X205" i="34"/>
  <c r="Y204" i="34"/>
  <c r="Z204" i="34" s="1"/>
  <c r="AB204" i="34"/>
  <c r="AA204" i="34"/>
  <c r="E204" i="34" s="1"/>
  <c r="H204" i="34" s="1"/>
  <c r="AS204" i="34" s="1"/>
  <c r="AB216" i="27"/>
  <c r="AI203" i="27"/>
  <c r="F217" i="27" s="1"/>
  <c r="I217" i="27" s="1"/>
  <c r="AA217" i="27"/>
  <c r="E217" i="27" s="1"/>
  <c r="Y206" i="39"/>
  <c r="Z206" i="39" s="1"/>
  <c r="AB206" i="39"/>
  <c r="X207" i="39"/>
  <c r="X203" i="30"/>
  <c r="Y202" i="30"/>
  <c r="Z202" i="30" s="1"/>
  <c r="K202" i="30"/>
  <c r="AT202" i="30" s="1"/>
  <c r="K205" i="39"/>
  <c r="AT205" i="39" s="1"/>
  <c r="K201" i="30"/>
  <c r="AT201" i="30" s="1"/>
  <c r="W231" i="40"/>
  <c r="T202" i="34"/>
  <c r="CB202" i="34" s="1"/>
  <c r="W233" i="34"/>
  <c r="X218" i="37"/>
  <c r="Y217" i="37"/>
  <c r="Z217" i="37" s="1"/>
  <c r="Y217" i="27"/>
  <c r="Z217" i="27" s="1"/>
  <c r="AB217" i="27"/>
  <c r="AA218" i="27"/>
  <c r="E218" i="27" s="1"/>
  <c r="X218" i="27"/>
  <c r="AG203" i="27"/>
  <c r="AH203" i="27" s="1"/>
  <c r="AF204" i="27"/>
  <c r="AJ202" i="27"/>
  <c r="AG206" i="38"/>
  <c r="AH206" i="38" s="1"/>
  <c r="AF207" i="38"/>
  <c r="L220" i="38"/>
  <c r="Y217" i="38"/>
  <c r="Z217" i="38" s="1"/>
  <c r="X218" i="38"/>
  <c r="AG203" i="37"/>
  <c r="AH203" i="37" s="1"/>
  <c r="AF204" i="37"/>
  <c r="T205" i="37"/>
  <c r="AS206" i="37"/>
  <c r="K206" i="37"/>
  <c r="AT206" i="37" s="1"/>
  <c r="L216" i="34"/>
  <c r="T208" i="38"/>
  <c r="K210" i="38"/>
  <c r="AT210" i="38" s="1"/>
  <c r="AS210" i="38"/>
  <c r="T202" i="27"/>
  <c r="T209" i="38"/>
  <c r="AS207" i="37"/>
  <c r="K207" i="37"/>
  <c r="AT207" i="37" s="1"/>
  <c r="M231" i="30"/>
  <c r="M234" i="39"/>
  <c r="K204" i="40"/>
  <c r="AT204" i="40" s="1"/>
  <c r="AS204" i="40"/>
  <c r="AS203" i="34"/>
  <c r="K203" i="34"/>
  <c r="AT203" i="34" s="1"/>
  <c r="K203" i="22"/>
  <c r="AA204" i="22"/>
  <c r="E204" i="22" s="1"/>
  <c r="AB203" i="22"/>
  <c r="X205" i="22"/>
  <c r="Y204" i="22"/>
  <c r="Z204" i="22" s="1"/>
  <c r="W245" i="22"/>
  <c r="L217" i="37" l="1"/>
  <c r="AI204" i="39"/>
  <c r="F218" i="39" s="1"/>
  <c r="BA204" i="37"/>
  <c r="BB204" i="37" s="1"/>
  <c r="L217" i="34"/>
  <c r="M230" i="27"/>
  <c r="K206" i="39"/>
  <c r="AT206" i="39" s="1"/>
  <c r="L217" i="39"/>
  <c r="AQ203" i="27"/>
  <c r="G231" i="27" s="1"/>
  <c r="J231" i="27" s="1"/>
  <c r="AJ204" i="40"/>
  <c r="AI205" i="40"/>
  <c r="F219" i="40" s="1"/>
  <c r="I219" i="40" s="1"/>
  <c r="AJ203" i="34"/>
  <c r="AI204" i="34"/>
  <c r="F218" i="34" s="1"/>
  <c r="I218" i="34" s="1"/>
  <c r="AJ203" i="39"/>
  <c r="AJ202" i="30"/>
  <c r="J231" i="38"/>
  <c r="L218" i="40"/>
  <c r="BA208" i="27"/>
  <c r="AW201" i="27"/>
  <c r="AX201" i="27" s="1"/>
  <c r="AZ208" i="27"/>
  <c r="BB208" i="27" s="1"/>
  <c r="AR203" i="38"/>
  <c r="AQ204" i="38"/>
  <c r="G232" i="38" s="1"/>
  <c r="J232" i="38" s="1"/>
  <c r="M232" i="37"/>
  <c r="CB208" i="38"/>
  <c r="CE208" i="38"/>
  <c r="AV208" i="38"/>
  <c r="CB202" i="27"/>
  <c r="CE202" i="27"/>
  <c r="AV202" i="27"/>
  <c r="CB209" i="38"/>
  <c r="CE209" i="38"/>
  <c r="AV209" i="38"/>
  <c r="CB205" i="37"/>
  <c r="CE205" i="37"/>
  <c r="AV205" i="37"/>
  <c r="M233" i="37"/>
  <c r="AG205" i="40"/>
  <c r="AH205" i="40" s="1"/>
  <c r="AF206" i="40"/>
  <c r="AG204" i="34"/>
  <c r="AH204" i="34" s="1"/>
  <c r="AF205" i="34"/>
  <c r="AN204" i="27"/>
  <c r="AO203" i="27"/>
  <c r="AP203" i="27" s="1"/>
  <c r="AO204" i="38"/>
  <c r="AP204" i="38" s="1"/>
  <c r="AN205" i="38"/>
  <c r="AQ205" i="38"/>
  <c r="G233" i="38" s="1"/>
  <c r="AR204" i="38"/>
  <c r="AI207" i="38"/>
  <c r="F221" i="38" s="1"/>
  <c r="I221" i="38" s="1"/>
  <c r="AJ206" i="38"/>
  <c r="AG203" i="30"/>
  <c r="AH203" i="30" s="1"/>
  <c r="AF204" i="30"/>
  <c r="I217" i="30"/>
  <c r="L217" i="30"/>
  <c r="AG204" i="39"/>
  <c r="AH204" i="39" s="1"/>
  <c r="AF205" i="39"/>
  <c r="AJ204" i="39"/>
  <c r="I218" i="39"/>
  <c r="L218" i="39"/>
  <c r="AO205" i="37"/>
  <c r="AP205" i="37" s="1"/>
  <c r="AN206" i="37"/>
  <c r="H217" i="27"/>
  <c r="K204" i="34"/>
  <c r="AT204" i="34" s="1"/>
  <c r="Y205" i="34"/>
  <c r="Z205" i="34" s="1"/>
  <c r="X206" i="34"/>
  <c r="AA206" i="34"/>
  <c r="E206" i="34" s="1"/>
  <c r="H206" i="34" s="1"/>
  <c r="X206" i="40"/>
  <c r="Y205" i="40"/>
  <c r="Z205" i="40" s="1"/>
  <c r="AB204" i="40"/>
  <c r="AA205" i="34"/>
  <c r="E205" i="34" s="1"/>
  <c r="H205" i="34" s="1"/>
  <c r="AS205" i="34" s="1"/>
  <c r="AA203" i="30"/>
  <c r="E203" i="30" s="1"/>
  <c r="H203" i="30" s="1"/>
  <c r="Y203" i="30"/>
  <c r="Z203" i="30" s="1"/>
  <c r="X204" i="30"/>
  <c r="AS205" i="39"/>
  <c r="T205" i="39"/>
  <c r="CB205" i="39" s="1"/>
  <c r="Y207" i="39"/>
  <c r="Z207" i="39" s="1"/>
  <c r="X208" i="39"/>
  <c r="AS201" i="30"/>
  <c r="T201" i="30"/>
  <c r="CB201" i="30" s="1"/>
  <c r="AB202" i="30"/>
  <c r="AA207" i="39"/>
  <c r="E207" i="39" s="1"/>
  <c r="H207" i="39" s="1"/>
  <c r="AS202" i="30"/>
  <c r="T202" i="30"/>
  <c r="CB202" i="30" s="1"/>
  <c r="W232" i="40"/>
  <c r="W234" i="34"/>
  <c r="AI204" i="37"/>
  <c r="F218" i="37" s="1"/>
  <c r="AJ203" i="37"/>
  <c r="X219" i="37"/>
  <c r="Y218" i="37"/>
  <c r="T206" i="37"/>
  <c r="AA218" i="37"/>
  <c r="E218" i="37" s="1"/>
  <c r="AB217" i="37"/>
  <c r="AJ203" i="27"/>
  <c r="AG204" i="27"/>
  <c r="AH204" i="27" s="1"/>
  <c r="AF205" i="27"/>
  <c r="AI204" i="27"/>
  <c r="F218" i="27" s="1"/>
  <c r="Y218" i="27"/>
  <c r="Z218" i="27" s="1"/>
  <c r="X219" i="27"/>
  <c r="AA219" i="27"/>
  <c r="E219" i="27" s="1"/>
  <c r="AB217" i="38"/>
  <c r="AG207" i="38"/>
  <c r="AH207" i="38" s="1"/>
  <c r="AF208" i="38"/>
  <c r="AA218" i="38"/>
  <c r="E218" i="38" s="1"/>
  <c r="H218" i="38" s="1"/>
  <c r="AB218" i="38"/>
  <c r="AA219" i="38"/>
  <c r="E219" i="38" s="1"/>
  <c r="H219" i="38" s="1"/>
  <c r="X219" i="38"/>
  <c r="Y218" i="38"/>
  <c r="Z218" i="38" s="1"/>
  <c r="AG204" i="37"/>
  <c r="AH204" i="37" s="1"/>
  <c r="AF205" i="37"/>
  <c r="L217" i="27"/>
  <c r="K203" i="27"/>
  <c r="AT203" i="27" s="1"/>
  <c r="AS203" i="27"/>
  <c r="AS211" i="38"/>
  <c r="K211" i="38"/>
  <c r="AT211" i="38" s="1"/>
  <c r="T210" i="38"/>
  <c r="AS204" i="27"/>
  <c r="K204" i="27"/>
  <c r="AT204" i="27" s="1"/>
  <c r="T207" i="37"/>
  <c r="M236" i="39"/>
  <c r="M235" i="39"/>
  <c r="M232" i="30"/>
  <c r="T203" i="34"/>
  <c r="CB203" i="34" s="1"/>
  <c r="M231" i="34"/>
  <c r="M232" i="34"/>
  <c r="T204" i="40"/>
  <c r="CB204" i="40" s="1"/>
  <c r="K205" i="40"/>
  <c r="AT205" i="40" s="1"/>
  <c r="AS205" i="40"/>
  <c r="M232" i="40"/>
  <c r="K204" i="22"/>
  <c r="AB204" i="22"/>
  <c r="AA205" i="22"/>
  <c r="E205" i="22" s="1"/>
  <c r="X206" i="22"/>
  <c r="Y205" i="22"/>
  <c r="Z205" i="22" s="1"/>
  <c r="W246" i="22"/>
  <c r="AZ205" i="37" l="1"/>
  <c r="BA205" i="37"/>
  <c r="AI205" i="39"/>
  <c r="F219" i="39" s="1"/>
  <c r="I219" i="39" s="1"/>
  <c r="AJ203" i="30"/>
  <c r="AI204" i="30"/>
  <c r="F218" i="30" s="1"/>
  <c r="I218" i="30" s="1"/>
  <c r="T206" i="39"/>
  <c r="CB206" i="39" s="1"/>
  <c r="M231" i="27"/>
  <c r="L219" i="40"/>
  <c r="L218" i="34"/>
  <c r="AI208" i="38"/>
  <c r="F222" i="38" s="1"/>
  <c r="I222" i="38" s="1"/>
  <c r="AJ207" i="38"/>
  <c r="AJ204" i="34"/>
  <c r="AB205" i="40"/>
  <c r="AI205" i="34"/>
  <c r="F219" i="34" s="1"/>
  <c r="I219" i="34" s="1"/>
  <c r="M232" i="38"/>
  <c r="AW202" i="27"/>
  <c r="AX202" i="27" s="1"/>
  <c r="BA209" i="27"/>
  <c r="AZ209" i="27"/>
  <c r="BB209" i="27" s="1"/>
  <c r="T204" i="34"/>
  <c r="CB204" i="34" s="1"/>
  <c r="BA215" i="38"/>
  <c r="AZ215" i="38"/>
  <c r="BB215" i="38" s="1"/>
  <c r="AW208" i="38"/>
  <c r="AX208" i="38" s="1"/>
  <c r="AJ205" i="40"/>
  <c r="AI206" i="40"/>
  <c r="F220" i="40" s="1"/>
  <c r="I220" i="40" s="1"/>
  <c r="AA206" i="40"/>
  <c r="E206" i="40" s="1"/>
  <c r="H206" i="40" s="1"/>
  <c r="AS206" i="40" s="1"/>
  <c r="AR203" i="27"/>
  <c r="AW209" i="38"/>
  <c r="AX209" i="38" s="1"/>
  <c r="AZ216" i="38"/>
  <c r="BB216" i="38" s="1"/>
  <c r="BA216" i="38"/>
  <c r="AQ206" i="37"/>
  <c r="G234" i="37" s="1"/>
  <c r="J234" i="37" s="1"/>
  <c r="AW205" i="37"/>
  <c r="AX205" i="37" s="1"/>
  <c r="CF205" i="37" s="1"/>
  <c r="AR205" i="37"/>
  <c r="CB210" i="38"/>
  <c r="CE210" i="38"/>
  <c r="AV210" i="38"/>
  <c r="CB206" i="37"/>
  <c r="CE206" i="37"/>
  <c r="AV206" i="37"/>
  <c r="CB207" i="37"/>
  <c r="CE207" i="37"/>
  <c r="AV207" i="37"/>
  <c r="K205" i="34"/>
  <c r="AT205" i="34" s="1"/>
  <c r="AF206" i="34"/>
  <c r="AG205" i="34"/>
  <c r="AH205" i="34" s="1"/>
  <c r="AJ205" i="34"/>
  <c r="AG206" i="40"/>
  <c r="AH206" i="40" s="1"/>
  <c r="AF207" i="40"/>
  <c r="AI207" i="40"/>
  <c r="F221" i="40" s="1"/>
  <c r="I221" i="40" s="1"/>
  <c r="AJ206" i="40"/>
  <c r="J233" i="38"/>
  <c r="M233" i="38"/>
  <c r="AO205" i="38"/>
  <c r="AP205" i="38" s="1"/>
  <c r="AN206" i="38"/>
  <c r="L221" i="38"/>
  <c r="AQ204" i="27"/>
  <c r="G232" i="27" s="1"/>
  <c r="J232" i="27" s="1"/>
  <c r="AN205" i="27"/>
  <c r="AO204" i="27"/>
  <c r="AP204" i="27" s="1"/>
  <c r="AR204" i="27"/>
  <c r="L219" i="39"/>
  <c r="AF205" i="30"/>
  <c r="AG204" i="30"/>
  <c r="AH204" i="30" s="1"/>
  <c r="AG205" i="39"/>
  <c r="AH205" i="39" s="1"/>
  <c r="AF206" i="39"/>
  <c r="AO206" i="37"/>
  <c r="AP206" i="37" s="1"/>
  <c r="AN207" i="37"/>
  <c r="AQ207" i="37"/>
  <c r="G235" i="37" s="1"/>
  <c r="L218" i="37"/>
  <c r="I218" i="37"/>
  <c r="H218" i="37" s="1"/>
  <c r="L218" i="27"/>
  <c r="I218" i="27"/>
  <c r="H218" i="27" s="1"/>
  <c r="X207" i="40"/>
  <c r="Y206" i="40"/>
  <c r="Z206" i="40" s="1"/>
  <c r="AB205" i="34"/>
  <c r="Y206" i="34"/>
  <c r="Z206" i="34" s="1"/>
  <c r="X207" i="34"/>
  <c r="AB206" i="34"/>
  <c r="AJ204" i="27"/>
  <c r="AB218" i="27"/>
  <c r="AI205" i="27"/>
  <c r="F219" i="27" s="1"/>
  <c r="I219" i="27" s="1"/>
  <c r="AA204" i="30"/>
  <c r="E204" i="30" s="1"/>
  <c r="H204" i="30" s="1"/>
  <c r="K207" i="39"/>
  <c r="AT207" i="39" s="1"/>
  <c r="AA208" i="39"/>
  <c r="E208" i="39" s="1"/>
  <c r="H208" i="39" s="1"/>
  <c r="AB203" i="30"/>
  <c r="X205" i="30"/>
  <c r="AA205" i="30"/>
  <c r="E205" i="30" s="1"/>
  <c r="H205" i="30" s="1"/>
  <c r="Y204" i="30"/>
  <c r="Z204" i="30" s="1"/>
  <c r="Y208" i="39"/>
  <c r="Z208" i="39" s="1"/>
  <c r="X209" i="39"/>
  <c r="AB207" i="39"/>
  <c r="K203" i="30"/>
  <c r="AT203" i="30" s="1"/>
  <c r="W233" i="40"/>
  <c r="W235" i="34"/>
  <c r="AI205" i="37"/>
  <c r="F219" i="37" s="1"/>
  <c r="Z218" i="37"/>
  <c r="AB218" i="37"/>
  <c r="AA219" i="37"/>
  <c r="E219" i="37" s="1"/>
  <c r="Y219" i="37"/>
  <c r="X220" i="37"/>
  <c r="AJ204" i="37"/>
  <c r="Y219" i="38"/>
  <c r="Z219" i="38" s="1"/>
  <c r="X220" i="38"/>
  <c r="AB219" i="38"/>
  <c r="AA220" i="38"/>
  <c r="E220" i="38" s="1"/>
  <c r="H220" i="38" s="1"/>
  <c r="AI206" i="27"/>
  <c r="F220" i="27" s="1"/>
  <c r="I220" i="27" s="1"/>
  <c r="AF206" i="27"/>
  <c r="AG205" i="27"/>
  <c r="AH205" i="27" s="1"/>
  <c r="Y219" i="27"/>
  <c r="Z219" i="27" s="1"/>
  <c r="AB219" i="27"/>
  <c r="X220" i="27"/>
  <c r="AG208" i="38"/>
  <c r="AH208" i="38" s="1"/>
  <c r="AJ208" i="38"/>
  <c r="AF209" i="38"/>
  <c r="AI209" i="38"/>
  <c r="F223" i="38" s="1"/>
  <c r="I223" i="38" s="1"/>
  <c r="AG205" i="37"/>
  <c r="AH205" i="37" s="1"/>
  <c r="AF206" i="37"/>
  <c r="T203" i="27"/>
  <c r="AS212" i="38"/>
  <c r="K212" i="38"/>
  <c r="AT212" i="38" s="1"/>
  <c r="T204" i="27"/>
  <c r="T211" i="38"/>
  <c r="AS208" i="37"/>
  <c r="K208" i="37"/>
  <c r="AT208" i="37" s="1"/>
  <c r="K209" i="37"/>
  <c r="AT209" i="37" s="1"/>
  <c r="AS209" i="37"/>
  <c r="M233" i="30"/>
  <c r="M237" i="39"/>
  <c r="M233" i="34"/>
  <c r="T205" i="40"/>
  <c r="CB205" i="40" s="1"/>
  <c r="M233" i="40"/>
  <c r="AS206" i="34"/>
  <c r="K206" i="34"/>
  <c r="AT206" i="34" s="1"/>
  <c r="K205" i="22"/>
  <c r="AB205" i="22"/>
  <c r="AA206" i="22"/>
  <c r="E206" i="22" s="1"/>
  <c r="X207" i="22"/>
  <c r="Y206" i="22"/>
  <c r="Z206" i="22" s="1"/>
  <c r="W247" i="22"/>
  <c r="AJ205" i="39" l="1"/>
  <c r="AZ207" i="37"/>
  <c r="AZ206" i="37"/>
  <c r="BB205" i="37"/>
  <c r="L218" i="30"/>
  <c r="AI206" i="39"/>
  <c r="F220" i="39" s="1"/>
  <c r="I220" i="39" s="1"/>
  <c r="L222" i="38"/>
  <c r="L219" i="34"/>
  <c r="M234" i="37"/>
  <c r="L220" i="40"/>
  <c r="K206" i="40"/>
  <c r="AT206" i="40" s="1"/>
  <c r="AR205" i="38"/>
  <c r="AQ206" i="38"/>
  <c r="G234" i="38" s="1"/>
  <c r="M234" i="38" s="1"/>
  <c r="BA217" i="38"/>
  <c r="AW210" i="38"/>
  <c r="AX210" i="38" s="1"/>
  <c r="AZ217" i="38"/>
  <c r="BB217" i="38" s="1"/>
  <c r="AA207" i="40"/>
  <c r="E207" i="40" s="1"/>
  <c r="H207" i="40" s="1"/>
  <c r="AS207" i="40" s="1"/>
  <c r="AB206" i="40"/>
  <c r="AR206" i="37"/>
  <c r="AW207" i="37"/>
  <c r="AX207" i="37" s="1"/>
  <c r="CF207" i="37" s="1"/>
  <c r="AW206" i="37"/>
  <c r="AX206" i="37" s="1"/>
  <c r="CF206" i="37" s="1"/>
  <c r="T205" i="34"/>
  <c r="CB205" i="34" s="1"/>
  <c r="CB203" i="27"/>
  <c r="CE203" i="27"/>
  <c r="AV203" i="27"/>
  <c r="CB211" i="38"/>
  <c r="CE211" i="38"/>
  <c r="AV211" i="38"/>
  <c r="CB204" i="27"/>
  <c r="CE204" i="27"/>
  <c r="AV204" i="27"/>
  <c r="J235" i="37"/>
  <c r="M235" i="37"/>
  <c r="L221" i="40"/>
  <c r="AI206" i="34"/>
  <c r="F220" i="34" s="1"/>
  <c r="AG207" i="40"/>
  <c r="AH207" i="40" s="1"/>
  <c r="AF208" i="40"/>
  <c r="AG206" i="34"/>
  <c r="AH206" i="34" s="1"/>
  <c r="AF207" i="34"/>
  <c r="AI207" i="34"/>
  <c r="F221" i="34" s="1"/>
  <c r="I221" i="34" s="1"/>
  <c r="AJ206" i="34"/>
  <c r="AQ205" i="27"/>
  <c r="G233" i="27" s="1"/>
  <c r="J233" i="27" s="1"/>
  <c r="AO205" i="27"/>
  <c r="AP205" i="27" s="1"/>
  <c r="AQ206" i="27"/>
  <c r="G234" i="27" s="1"/>
  <c r="J234" i="27" s="1"/>
  <c r="AN206" i="27"/>
  <c r="AR205" i="27"/>
  <c r="AO206" i="38"/>
  <c r="AP206" i="38" s="1"/>
  <c r="AQ207" i="38"/>
  <c r="G235" i="38" s="1"/>
  <c r="AN207" i="38"/>
  <c r="AR206" i="38"/>
  <c r="M232" i="27"/>
  <c r="AG206" i="39"/>
  <c r="AH206" i="39" s="1"/>
  <c r="AI207" i="39"/>
  <c r="F221" i="39" s="1"/>
  <c r="AF207" i="39"/>
  <c r="AJ204" i="30"/>
  <c r="AI205" i="30"/>
  <c r="F219" i="30" s="1"/>
  <c r="AG205" i="30"/>
  <c r="AH205" i="30" s="1"/>
  <c r="AF206" i="30"/>
  <c r="AO207" i="37"/>
  <c r="AP207" i="37" s="1"/>
  <c r="AN208" i="37"/>
  <c r="AQ208" i="37"/>
  <c r="G236" i="37" s="1"/>
  <c r="J236" i="37" s="1"/>
  <c r="L219" i="37"/>
  <c r="I219" i="37"/>
  <c r="H219" i="37" s="1"/>
  <c r="H219" i="27"/>
  <c r="X208" i="34"/>
  <c r="Y207" i="34"/>
  <c r="Z207" i="34" s="1"/>
  <c r="AA207" i="34"/>
  <c r="E207" i="34" s="1"/>
  <c r="H207" i="34" s="1"/>
  <c r="AS207" i="34" s="1"/>
  <c r="Y207" i="40"/>
  <c r="Z207" i="40" s="1"/>
  <c r="X208" i="40"/>
  <c r="AA208" i="40"/>
  <c r="E208" i="40" s="1"/>
  <c r="H208" i="40" s="1"/>
  <c r="AJ205" i="27"/>
  <c r="AA220" i="27"/>
  <c r="E220" i="27" s="1"/>
  <c r="H220" i="27" s="1"/>
  <c r="AS203" i="30"/>
  <c r="T203" i="30"/>
  <c r="CB203" i="30" s="1"/>
  <c r="K205" i="30"/>
  <c r="AT205" i="30" s="1"/>
  <c r="AB204" i="30"/>
  <c r="Y209" i="39"/>
  <c r="Z209" i="39" s="1"/>
  <c r="AB209" i="39"/>
  <c r="AA210" i="39"/>
  <c r="E210" i="39" s="1"/>
  <c r="X210" i="39"/>
  <c r="AB208" i="39"/>
  <c r="K208" i="39"/>
  <c r="AT208" i="39" s="1"/>
  <c r="Y205" i="30"/>
  <c r="Z205" i="30" s="1"/>
  <c r="X206" i="30"/>
  <c r="AA209" i="39"/>
  <c r="E209" i="39" s="1"/>
  <c r="H209" i="39" s="1"/>
  <c r="AS207" i="39"/>
  <c r="T207" i="39"/>
  <c r="CB207" i="39" s="1"/>
  <c r="K204" i="30"/>
  <c r="AT204" i="30" s="1"/>
  <c r="AJ205" i="37"/>
  <c r="W234" i="40"/>
  <c r="W236" i="34"/>
  <c r="Y220" i="37"/>
  <c r="Z220" i="37" s="1"/>
  <c r="X221" i="37"/>
  <c r="Z219" i="37"/>
  <c r="AA220" i="37"/>
  <c r="E220" i="37" s="1"/>
  <c r="AB219" i="37"/>
  <c r="AI206" i="37"/>
  <c r="F220" i="37" s="1"/>
  <c r="Y220" i="27"/>
  <c r="Z220" i="27" s="1"/>
  <c r="X221" i="27"/>
  <c r="AA221" i="27"/>
  <c r="E221" i="27" s="1"/>
  <c r="AB220" i="27"/>
  <c r="Y220" i="38"/>
  <c r="Z220" i="38" s="1"/>
  <c r="AB220" i="38"/>
  <c r="AA221" i="38"/>
  <c r="E221" i="38" s="1"/>
  <c r="H221" i="38" s="1"/>
  <c r="X221" i="38"/>
  <c r="L223" i="38"/>
  <c r="AG209" i="38"/>
  <c r="AH209" i="38" s="1"/>
  <c r="AF210" i="38"/>
  <c r="AF207" i="27"/>
  <c r="AG206" i="27"/>
  <c r="AH206" i="27" s="1"/>
  <c r="AG206" i="37"/>
  <c r="AH206" i="37" s="1"/>
  <c r="AF207" i="37"/>
  <c r="T208" i="37"/>
  <c r="L219" i="27"/>
  <c r="T212" i="38"/>
  <c r="AS213" i="38"/>
  <c r="K213" i="38"/>
  <c r="AT213" i="38" s="1"/>
  <c r="AS205" i="27"/>
  <c r="K205" i="27"/>
  <c r="AT205" i="27" s="1"/>
  <c r="T209" i="37"/>
  <c r="M234" i="30"/>
  <c r="M235" i="30"/>
  <c r="M234" i="40"/>
  <c r="T206" i="34"/>
  <c r="CB206" i="34" s="1"/>
  <c r="M235" i="40"/>
  <c r="M234" i="34"/>
  <c r="AB206" i="22"/>
  <c r="AA207" i="22"/>
  <c r="K206" i="22"/>
  <c r="X208" i="22"/>
  <c r="Y207" i="22"/>
  <c r="Z207" i="22" s="1"/>
  <c r="W248" i="22"/>
  <c r="L220" i="39" l="1"/>
  <c r="BA206" i="37"/>
  <c r="BB206" i="37" s="1"/>
  <c r="AJ206" i="39"/>
  <c r="BA207" i="37"/>
  <c r="BB207" i="37" s="1"/>
  <c r="AJ205" i="30"/>
  <c r="AI206" i="30"/>
  <c r="F220" i="30" s="1"/>
  <c r="I220" i="30" s="1"/>
  <c r="AB220" i="37"/>
  <c r="J234" i="38"/>
  <c r="T206" i="40"/>
  <c r="CB206" i="40" s="1"/>
  <c r="AI210" i="38"/>
  <c r="F224" i="38" s="1"/>
  <c r="I224" i="38" s="1"/>
  <c r="AA221" i="37"/>
  <c r="E221" i="37" s="1"/>
  <c r="AR207" i="37"/>
  <c r="AJ207" i="40"/>
  <c r="AI208" i="40"/>
  <c r="F222" i="40" s="1"/>
  <c r="I222" i="40" s="1"/>
  <c r="AZ211" i="27"/>
  <c r="BB211" i="27" s="1"/>
  <c r="BA211" i="27"/>
  <c r="AW204" i="27"/>
  <c r="AX204" i="27" s="1"/>
  <c r="AW211" i="38"/>
  <c r="AX211" i="38" s="1"/>
  <c r="AZ218" i="38"/>
  <c r="BB218" i="38" s="1"/>
  <c r="BA218" i="38"/>
  <c r="AI207" i="27"/>
  <c r="F221" i="27" s="1"/>
  <c r="I221" i="27" s="1"/>
  <c r="K207" i="40"/>
  <c r="AT207" i="40" s="1"/>
  <c r="AZ210" i="27"/>
  <c r="BB210" i="27" s="1"/>
  <c r="BA210" i="27"/>
  <c r="AW203" i="27"/>
  <c r="AX203" i="27" s="1"/>
  <c r="AA206" i="30"/>
  <c r="E206" i="30" s="1"/>
  <c r="H206" i="30" s="1"/>
  <c r="AB205" i="30"/>
  <c r="CB212" i="38"/>
  <c r="CE212" i="38"/>
  <c r="AV212" i="38"/>
  <c r="CB209" i="37"/>
  <c r="CE209" i="37"/>
  <c r="AV209" i="37"/>
  <c r="CB208" i="37"/>
  <c r="CE208" i="37"/>
  <c r="AV208" i="37"/>
  <c r="M236" i="37"/>
  <c r="AG207" i="34"/>
  <c r="AH207" i="34" s="1"/>
  <c r="AF208" i="34"/>
  <c r="AJ207" i="34"/>
  <c r="AG208" i="40"/>
  <c r="AH208" i="40" s="1"/>
  <c r="AF209" i="40"/>
  <c r="L221" i="34"/>
  <c r="I220" i="34"/>
  <c r="L220" i="34"/>
  <c r="K207" i="34"/>
  <c r="AT207" i="34" s="1"/>
  <c r="AB207" i="40"/>
  <c r="AO207" i="38"/>
  <c r="AP207" i="38" s="1"/>
  <c r="AN208" i="38"/>
  <c r="AQ208" i="38"/>
  <c r="G236" i="38" s="1"/>
  <c r="AR207" i="38"/>
  <c r="J235" i="38"/>
  <c r="M235" i="38"/>
  <c r="AO206" i="27"/>
  <c r="AP206" i="27" s="1"/>
  <c r="AN207" i="27"/>
  <c r="AG206" i="30"/>
  <c r="AH206" i="30" s="1"/>
  <c r="AF207" i="30"/>
  <c r="I219" i="30"/>
  <c r="L219" i="30"/>
  <c r="AG207" i="39"/>
  <c r="AH207" i="39" s="1"/>
  <c r="AI208" i="39"/>
  <c r="F222" i="39" s="1"/>
  <c r="AF208" i="39"/>
  <c r="AJ207" i="39"/>
  <c r="I221" i="39"/>
  <c r="L221" i="39"/>
  <c r="L220" i="30"/>
  <c r="AO208" i="37"/>
  <c r="AP208" i="37" s="1"/>
  <c r="AN209" i="37"/>
  <c r="AR208" i="37"/>
  <c r="L220" i="37"/>
  <c r="I220" i="37"/>
  <c r="H220" i="37" s="1"/>
  <c r="K210" i="39"/>
  <c r="AT210" i="39" s="1"/>
  <c r="H210" i="39"/>
  <c r="AS210" i="39" s="1"/>
  <c r="X209" i="40"/>
  <c r="Y208" i="40"/>
  <c r="Z208" i="40" s="1"/>
  <c r="AA209" i="40"/>
  <c r="E209" i="40" s="1"/>
  <c r="H209" i="40" s="1"/>
  <c r="AB208" i="40"/>
  <c r="AA208" i="34"/>
  <c r="E208" i="34" s="1"/>
  <c r="H208" i="34" s="1"/>
  <c r="AS208" i="34" s="1"/>
  <c r="AB207" i="34"/>
  <c r="X209" i="34"/>
  <c r="Y208" i="34"/>
  <c r="Z208" i="34" s="1"/>
  <c r="AJ209" i="38"/>
  <c r="AS208" i="39"/>
  <c r="T208" i="39"/>
  <c r="CB208" i="39" s="1"/>
  <c r="AS205" i="30"/>
  <c r="T205" i="30"/>
  <c r="CB205" i="30" s="1"/>
  <c r="AA207" i="30"/>
  <c r="E207" i="30" s="1"/>
  <c r="H207" i="30" s="1"/>
  <c r="X207" i="30"/>
  <c r="Y206" i="30"/>
  <c r="Z206" i="30" s="1"/>
  <c r="AS204" i="30"/>
  <c r="T204" i="30"/>
  <c r="CB204" i="30" s="1"/>
  <c r="K209" i="39"/>
  <c r="AT209" i="39" s="1"/>
  <c r="Y210" i="39"/>
  <c r="Z210" i="39" s="1"/>
  <c r="X211" i="39"/>
  <c r="W235" i="40"/>
  <c r="W237" i="34"/>
  <c r="Y221" i="37"/>
  <c r="Z221" i="37" s="1"/>
  <c r="AB221" i="37"/>
  <c r="AA222" i="37"/>
  <c r="E222" i="37" s="1"/>
  <c r="X222" i="37"/>
  <c r="X222" i="38"/>
  <c r="AA222" i="38"/>
  <c r="E222" i="38" s="1"/>
  <c r="H222" i="38" s="1"/>
  <c r="AB221" i="38"/>
  <c r="Y221" i="38"/>
  <c r="Z221" i="38" s="1"/>
  <c r="AG210" i="38"/>
  <c r="AH210" i="38" s="1"/>
  <c r="AI211" i="38"/>
  <c r="F225" i="38" s="1"/>
  <c r="I225" i="38" s="1"/>
  <c r="AF211" i="38"/>
  <c r="AJ210" i="38"/>
  <c r="AI208" i="27"/>
  <c r="F222" i="27" s="1"/>
  <c r="I222" i="27" s="1"/>
  <c r="AF208" i="27"/>
  <c r="AG207" i="27"/>
  <c r="AH207" i="27" s="1"/>
  <c r="Y221" i="27"/>
  <c r="Z221" i="27" s="1"/>
  <c r="X222" i="27"/>
  <c r="AJ206" i="27"/>
  <c r="AG207" i="37"/>
  <c r="AH207" i="37" s="1"/>
  <c r="AJ207" i="37"/>
  <c r="AF208" i="37"/>
  <c r="E207" i="22"/>
  <c r="K207" i="22" s="1"/>
  <c r="AJ206" i="37"/>
  <c r="AI207" i="37"/>
  <c r="F221" i="37" s="1"/>
  <c r="I221" i="37" s="1"/>
  <c r="AS208" i="40"/>
  <c r="L220" i="27"/>
  <c r="AS206" i="27"/>
  <c r="K206" i="27"/>
  <c r="AT206" i="27" s="1"/>
  <c r="T205" i="27"/>
  <c r="T213" i="38"/>
  <c r="M233" i="27"/>
  <c r="K214" i="38"/>
  <c r="AT214" i="38" s="1"/>
  <c r="AS214" i="38"/>
  <c r="AS207" i="27"/>
  <c r="K207" i="27"/>
  <c r="AT207" i="27" s="1"/>
  <c r="K210" i="37"/>
  <c r="AT210" i="37" s="1"/>
  <c r="AS210" i="37"/>
  <c r="AS211" i="37"/>
  <c r="K211" i="37"/>
  <c r="AT211" i="37" s="1"/>
  <c r="M240" i="39"/>
  <c r="M238" i="39"/>
  <c r="K208" i="40"/>
  <c r="AT208" i="40" s="1"/>
  <c r="M235" i="34"/>
  <c r="M236" i="40"/>
  <c r="AB207" i="22"/>
  <c r="AA208" i="22"/>
  <c r="E208" i="22" s="1"/>
  <c r="X209" i="22"/>
  <c r="Y208" i="22"/>
  <c r="Z208" i="22" s="1"/>
  <c r="W249" i="22"/>
  <c r="AZ209" i="37" l="1"/>
  <c r="AZ208" i="37"/>
  <c r="BA208" i="37" s="1"/>
  <c r="L224" i="38"/>
  <c r="AJ208" i="40"/>
  <c r="AI209" i="40"/>
  <c r="F223" i="40" s="1"/>
  <c r="I223" i="40" s="1"/>
  <c r="AR206" i="27"/>
  <c r="AJ206" i="30"/>
  <c r="AI207" i="30"/>
  <c r="F221" i="30" s="1"/>
  <c r="I221" i="30" s="1"/>
  <c r="K206" i="30"/>
  <c r="AT206" i="30" s="1"/>
  <c r="T207" i="40"/>
  <c r="CB207" i="40" s="1"/>
  <c r="H221" i="27"/>
  <c r="AA222" i="27"/>
  <c r="E222" i="27" s="1"/>
  <c r="H222" i="27" s="1"/>
  <c r="L221" i="27"/>
  <c r="BA219" i="38"/>
  <c r="AZ219" i="38"/>
  <c r="BB219" i="38" s="1"/>
  <c r="AW212" i="38"/>
  <c r="AX212" i="38" s="1"/>
  <c r="AW208" i="37"/>
  <c r="AX208" i="37" s="1"/>
  <c r="CF208" i="37" s="1"/>
  <c r="AW209" i="37"/>
  <c r="AX209" i="37" s="1"/>
  <c r="CF209" i="37" s="1"/>
  <c r="AQ209" i="37"/>
  <c r="G237" i="37" s="1"/>
  <c r="J237" i="37" s="1"/>
  <c r="K208" i="34"/>
  <c r="AT208" i="34" s="1"/>
  <c r="CB213" i="38"/>
  <c r="CE213" i="38"/>
  <c r="AV213" i="38"/>
  <c r="CB205" i="27"/>
  <c r="CE205" i="27"/>
  <c r="AV205" i="27"/>
  <c r="H221" i="37"/>
  <c r="AG209" i="40"/>
  <c r="AH209" i="40" s="1"/>
  <c r="AF210" i="40"/>
  <c r="AI210" i="40"/>
  <c r="F224" i="40" s="1"/>
  <c r="I224" i="40" s="1"/>
  <c r="AJ209" i="40"/>
  <c r="T207" i="34"/>
  <c r="CB207" i="34" s="1"/>
  <c r="AG208" i="34"/>
  <c r="AH208" i="34" s="1"/>
  <c r="AF209" i="34"/>
  <c r="AI208" i="34"/>
  <c r="F222" i="34" s="1"/>
  <c r="AO207" i="27"/>
  <c r="AP207" i="27" s="1"/>
  <c r="AN208" i="27"/>
  <c r="AQ207" i="27"/>
  <c r="G235" i="27" s="1"/>
  <c r="J235" i="27" s="1"/>
  <c r="AO208" i="38"/>
  <c r="AP208" i="38" s="1"/>
  <c r="AQ209" i="38"/>
  <c r="G237" i="38" s="1"/>
  <c r="AN209" i="38"/>
  <c r="AR208" i="38"/>
  <c r="J236" i="38"/>
  <c r="M236" i="38"/>
  <c r="AG208" i="39"/>
  <c r="AH208" i="39" s="1"/>
  <c r="AF209" i="39"/>
  <c r="I222" i="39"/>
  <c r="L222" i="39"/>
  <c r="AB206" i="30"/>
  <c r="AG207" i="30"/>
  <c r="AH207" i="30" s="1"/>
  <c r="AF208" i="30"/>
  <c r="AI208" i="30"/>
  <c r="F222" i="30" s="1"/>
  <c r="T210" i="39"/>
  <c r="CB210" i="39" s="1"/>
  <c r="AO209" i="37"/>
  <c r="AP209" i="37" s="1"/>
  <c r="AN210" i="37"/>
  <c r="AQ210" i="37"/>
  <c r="G238" i="37" s="1"/>
  <c r="J238" i="37" s="1"/>
  <c r="AR209" i="37"/>
  <c r="Y209" i="34"/>
  <c r="Z209" i="34" s="1"/>
  <c r="X210" i="34"/>
  <c r="AA209" i="34"/>
  <c r="E209" i="34" s="1"/>
  <c r="H209" i="34" s="1"/>
  <c r="AB208" i="34"/>
  <c r="AA210" i="40"/>
  <c r="E210" i="40" s="1"/>
  <c r="X210" i="40"/>
  <c r="Y209" i="40"/>
  <c r="Z209" i="40" s="1"/>
  <c r="AB209" i="40"/>
  <c r="K207" i="30"/>
  <c r="AT207" i="30" s="1"/>
  <c r="AS209" i="39"/>
  <c r="T209" i="39"/>
  <c r="CB209" i="39" s="1"/>
  <c r="Y211" i="39"/>
  <c r="Z211" i="39" s="1"/>
  <c r="AA212" i="39"/>
  <c r="E212" i="39" s="1"/>
  <c r="H212" i="39" s="1"/>
  <c r="AB211" i="39"/>
  <c r="X212" i="39"/>
  <c r="AS206" i="30"/>
  <c r="Y207" i="30"/>
  <c r="Z207" i="30" s="1"/>
  <c r="AA208" i="30"/>
  <c r="E208" i="30" s="1"/>
  <c r="H208" i="30" s="1"/>
  <c r="AB207" i="30"/>
  <c r="X208" i="30"/>
  <c r="AA211" i="39"/>
  <c r="E211" i="39" s="1"/>
  <c r="H211" i="39" s="1"/>
  <c r="AB210" i="39"/>
  <c r="W236" i="40"/>
  <c r="W238" i="34"/>
  <c r="X223" i="37"/>
  <c r="Y222" i="37"/>
  <c r="AA223" i="37"/>
  <c r="E223" i="37" s="1"/>
  <c r="AI208" i="37"/>
  <c r="F222" i="37" s="1"/>
  <c r="I222" i="37" s="1"/>
  <c r="AG211" i="38"/>
  <c r="AH211" i="38" s="1"/>
  <c r="AI212" i="38"/>
  <c r="F226" i="38" s="1"/>
  <c r="I226" i="38" s="1"/>
  <c r="AF212" i="38"/>
  <c r="L225" i="38"/>
  <c r="AF209" i="27"/>
  <c r="AG208" i="27"/>
  <c r="AH208" i="27" s="1"/>
  <c r="Y222" i="27"/>
  <c r="Z222" i="27" s="1"/>
  <c r="X223" i="27"/>
  <c r="AB221" i="27"/>
  <c r="AJ207" i="27"/>
  <c r="Y222" i="38"/>
  <c r="Z222" i="38" s="1"/>
  <c r="AA223" i="38"/>
  <c r="E223" i="38" s="1"/>
  <c r="H223" i="38" s="1"/>
  <c r="AB222" i="38"/>
  <c r="X223" i="38"/>
  <c r="L221" i="37"/>
  <c r="AG208" i="37"/>
  <c r="AH208" i="37" s="1"/>
  <c r="AI209" i="37"/>
  <c r="F223" i="37" s="1"/>
  <c r="I223" i="37" s="1"/>
  <c r="AF209" i="37"/>
  <c r="T210" i="37"/>
  <c r="L222" i="40"/>
  <c r="K209" i="40"/>
  <c r="AT209" i="40" s="1"/>
  <c r="L222" i="27"/>
  <c r="T207" i="27"/>
  <c r="T214" i="38"/>
  <c r="T206" i="27"/>
  <c r="M234" i="27"/>
  <c r="K208" i="27"/>
  <c r="AT208" i="27" s="1"/>
  <c r="AS208" i="27"/>
  <c r="AS212" i="37"/>
  <c r="K212" i="37"/>
  <c r="AT212" i="37" s="1"/>
  <c r="T211" i="37"/>
  <c r="M239" i="39"/>
  <c r="T208" i="40"/>
  <c r="CB208" i="40" s="1"/>
  <c r="M237" i="40"/>
  <c r="M236" i="34"/>
  <c r="M236" i="30"/>
  <c r="AB208" i="22"/>
  <c r="AA209" i="22"/>
  <c r="E209" i="22" s="1"/>
  <c r="X210" i="22"/>
  <c r="Y209" i="22"/>
  <c r="Z209" i="22" s="1"/>
  <c r="K208" i="22"/>
  <c r="W250" i="22"/>
  <c r="BB208" i="37" l="1"/>
  <c r="BA209" i="37"/>
  <c r="BB209" i="37" s="1"/>
  <c r="AJ208" i="39"/>
  <c r="AI209" i="39"/>
  <c r="F223" i="39" s="1"/>
  <c r="I223" i="39" s="1"/>
  <c r="T206" i="30"/>
  <c r="CB206" i="30" s="1"/>
  <c r="T208" i="34"/>
  <c r="CB208" i="34" s="1"/>
  <c r="AJ208" i="34"/>
  <c r="AI209" i="34"/>
  <c r="F223" i="34" s="1"/>
  <c r="I223" i="34" s="1"/>
  <c r="AA210" i="34"/>
  <c r="E210" i="34" s="1"/>
  <c r="H210" i="34" s="1"/>
  <c r="AS210" i="34" s="1"/>
  <c r="AB209" i="34"/>
  <c r="AJ211" i="38"/>
  <c r="L221" i="30"/>
  <c r="M237" i="37"/>
  <c r="BA220" i="38"/>
  <c r="AZ220" i="38"/>
  <c r="BB220" i="38" s="1"/>
  <c r="AW213" i="38"/>
  <c r="AX213" i="38" s="1"/>
  <c r="AR207" i="27"/>
  <c r="AW205" i="27"/>
  <c r="AX205" i="27" s="1"/>
  <c r="BA212" i="27"/>
  <c r="AZ212" i="27"/>
  <c r="BB212" i="27" s="1"/>
  <c r="AQ208" i="27"/>
  <c r="G236" i="27" s="1"/>
  <c r="J236" i="27" s="1"/>
  <c r="AJ207" i="30"/>
  <c r="CB206" i="27"/>
  <c r="CE206" i="27"/>
  <c r="AV206" i="27"/>
  <c r="CB214" i="38"/>
  <c r="CE214" i="38"/>
  <c r="AV214" i="38"/>
  <c r="CB207" i="27"/>
  <c r="CE207" i="27"/>
  <c r="AV207" i="27"/>
  <c r="L224" i="40"/>
  <c r="CB210" i="37"/>
  <c r="CE210" i="37"/>
  <c r="AV210" i="37"/>
  <c r="CB211" i="37"/>
  <c r="CE211" i="37"/>
  <c r="AV211" i="37"/>
  <c r="M238" i="37"/>
  <c r="H223" i="37"/>
  <c r="H222" i="37"/>
  <c r="AG209" i="34"/>
  <c r="AH209" i="34" s="1"/>
  <c r="AF210" i="34"/>
  <c r="I222" i="34"/>
  <c r="L222" i="34"/>
  <c r="AG210" i="40"/>
  <c r="AH210" i="40" s="1"/>
  <c r="AF211" i="40"/>
  <c r="AI211" i="40"/>
  <c r="F225" i="40" s="1"/>
  <c r="I225" i="40" s="1"/>
  <c r="AJ210" i="40"/>
  <c r="AO209" i="38"/>
  <c r="AP209" i="38" s="1"/>
  <c r="AN210" i="38"/>
  <c r="AQ210" i="38"/>
  <c r="G238" i="38" s="1"/>
  <c r="AR209" i="38"/>
  <c r="J237" i="38"/>
  <c r="M237" i="38"/>
  <c r="M235" i="27"/>
  <c r="AO208" i="27"/>
  <c r="AP208" i="27" s="1"/>
  <c r="AN209" i="27"/>
  <c r="AQ209" i="27"/>
  <c r="G237" i="27" s="1"/>
  <c r="J237" i="27" s="1"/>
  <c r="AR208" i="27"/>
  <c r="I222" i="30"/>
  <c r="L222" i="30"/>
  <c r="AG208" i="30"/>
  <c r="AH208" i="30" s="1"/>
  <c r="AF209" i="30"/>
  <c r="AG209" i="39"/>
  <c r="AH209" i="39" s="1"/>
  <c r="AF210" i="39"/>
  <c r="AN211" i="37"/>
  <c r="AO210" i="37"/>
  <c r="AP210" i="37" s="1"/>
  <c r="AQ211" i="37"/>
  <c r="G239" i="37" s="1"/>
  <c r="AR210" i="37"/>
  <c r="H210" i="40"/>
  <c r="AS210" i="40" s="1"/>
  <c r="K210" i="40"/>
  <c r="AT210" i="40" s="1"/>
  <c r="AB210" i="40"/>
  <c r="Y210" i="40"/>
  <c r="Z210" i="40" s="1"/>
  <c r="AA211" i="40"/>
  <c r="E211" i="40" s="1"/>
  <c r="H211" i="40" s="1"/>
  <c r="AS211" i="40" s="1"/>
  <c r="X211" i="40"/>
  <c r="X211" i="34"/>
  <c r="Y210" i="34"/>
  <c r="Z210" i="34" s="1"/>
  <c r="AA211" i="34"/>
  <c r="E211" i="34" s="1"/>
  <c r="H211" i="34" s="1"/>
  <c r="AI209" i="27"/>
  <c r="F223" i="27" s="1"/>
  <c r="I223" i="27" s="1"/>
  <c r="AB222" i="27"/>
  <c r="AA223" i="27"/>
  <c r="E223" i="27" s="1"/>
  <c r="Y212" i="39"/>
  <c r="Z212" i="39" s="1"/>
  <c r="AA213" i="39"/>
  <c r="E213" i="39" s="1"/>
  <c r="H213" i="39" s="1"/>
  <c r="AS213" i="39" s="1"/>
  <c r="AB212" i="39"/>
  <c r="X213" i="39"/>
  <c r="K211" i="39"/>
  <c r="AT211" i="39" s="1"/>
  <c r="K208" i="30"/>
  <c r="AT208" i="30" s="1"/>
  <c r="K212" i="39"/>
  <c r="AT212" i="39" s="1"/>
  <c r="X209" i="30"/>
  <c r="Y208" i="30"/>
  <c r="Z208" i="30" s="1"/>
  <c r="AS207" i="30"/>
  <c r="T207" i="30"/>
  <c r="CB207" i="30" s="1"/>
  <c r="L222" i="37"/>
  <c r="T209" i="40"/>
  <c r="CB209" i="40" s="1"/>
  <c r="AS209" i="40"/>
  <c r="W237" i="40"/>
  <c r="W239" i="34"/>
  <c r="AJ208" i="37"/>
  <c r="Z222" i="37"/>
  <c r="AB222" i="37"/>
  <c r="AA224" i="37"/>
  <c r="E224" i="37" s="1"/>
  <c r="X224" i="37"/>
  <c r="Y223" i="37"/>
  <c r="AJ208" i="27"/>
  <c r="Y223" i="27"/>
  <c r="Z223" i="27" s="1"/>
  <c r="AB223" i="27"/>
  <c r="X224" i="27"/>
  <c r="AB223" i="38"/>
  <c r="X224" i="38"/>
  <c r="Y223" i="38"/>
  <c r="Z223" i="38" s="1"/>
  <c r="AG212" i="38"/>
  <c r="AH212" i="38" s="1"/>
  <c r="AI213" i="38"/>
  <c r="F227" i="38" s="1"/>
  <c r="I227" i="38" s="1"/>
  <c r="AJ212" i="38"/>
  <c r="AF213" i="38"/>
  <c r="L226" i="38"/>
  <c r="AF210" i="27"/>
  <c r="AG209" i="27"/>
  <c r="AH209" i="27" s="1"/>
  <c r="AG209" i="37"/>
  <c r="AH209" i="37" s="1"/>
  <c r="AF210" i="37"/>
  <c r="L223" i="37"/>
  <c r="L223" i="40"/>
  <c r="T208" i="27"/>
  <c r="K215" i="38"/>
  <c r="AT215" i="38" s="1"/>
  <c r="AS215" i="38"/>
  <c r="K209" i="27"/>
  <c r="AT209" i="27" s="1"/>
  <c r="AS209" i="27"/>
  <c r="AS216" i="38"/>
  <c r="K216" i="38"/>
  <c r="AT216" i="38" s="1"/>
  <c r="K213" i="37"/>
  <c r="AT213" i="37" s="1"/>
  <c r="AS213" i="37"/>
  <c r="T212" i="37"/>
  <c r="M238" i="30"/>
  <c r="M237" i="30"/>
  <c r="M238" i="40"/>
  <c r="K209" i="34"/>
  <c r="AT209" i="34" s="1"/>
  <c r="AS209" i="34"/>
  <c r="K209" i="22"/>
  <c r="AB209" i="22"/>
  <c r="AA210" i="22"/>
  <c r="E210" i="22" s="1"/>
  <c r="X211" i="22"/>
  <c r="Y210" i="22"/>
  <c r="Z210" i="22" s="1"/>
  <c r="AZ210" i="37" l="1"/>
  <c r="BA210" i="37"/>
  <c r="L223" i="39"/>
  <c r="AJ208" i="30"/>
  <c r="AI209" i="30"/>
  <c r="F223" i="30" s="1"/>
  <c r="L223" i="30" s="1"/>
  <c r="AZ211" i="37"/>
  <c r="BA211" i="37" s="1"/>
  <c r="L223" i="34"/>
  <c r="H223" i="27"/>
  <c r="M236" i="27"/>
  <c r="BA221" i="38"/>
  <c r="AW214" i="38"/>
  <c r="AX214" i="38" s="1"/>
  <c r="AZ221" i="38"/>
  <c r="BB221" i="38" s="1"/>
  <c r="BA213" i="27"/>
  <c r="AW206" i="27"/>
  <c r="AX206" i="27" s="1"/>
  <c r="AZ213" i="27"/>
  <c r="BB213" i="27" s="1"/>
  <c r="AZ214" i="27"/>
  <c r="BB214" i="27" s="1"/>
  <c r="AW207" i="27"/>
  <c r="AX207" i="27" s="1"/>
  <c r="BA214" i="27"/>
  <c r="T210" i="40"/>
  <c r="CB210" i="40" s="1"/>
  <c r="AW210" i="37"/>
  <c r="AX210" i="37" s="1"/>
  <c r="CF210" i="37" s="1"/>
  <c r="AJ209" i="39"/>
  <c r="AI210" i="39"/>
  <c r="F224" i="39" s="1"/>
  <c r="I224" i="39" s="1"/>
  <c r="AW211" i="37"/>
  <c r="AX211" i="37" s="1"/>
  <c r="CF211" i="37" s="1"/>
  <c r="CB208" i="27"/>
  <c r="CE208" i="27"/>
  <c r="AV208" i="27"/>
  <c r="CB212" i="37"/>
  <c r="CE212" i="37"/>
  <c r="AV212" i="37"/>
  <c r="J239" i="37"/>
  <c r="M239" i="37"/>
  <c r="AG211" i="40"/>
  <c r="AH211" i="40" s="1"/>
  <c r="AI212" i="40"/>
  <c r="F226" i="40" s="1"/>
  <c r="I226" i="40" s="1"/>
  <c r="AF212" i="40"/>
  <c r="AJ211" i="40"/>
  <c r="AJ209" i="34"/>
  <c r="L225" i="40"/>
  <c r="AI210" i="34"/>
  <c r="F224" i="34" s="1"/>
  <c r="I224" i="34" s="1"/>
  <c r="AG210" i="34"/>
  <c r="AH210" i="34" s="1"/>
  <c r="AF211" i="34"/>
  <c r="AJ210" i="34"/>
  <c r="AO209" i="27"/>
  <c r="AP209" i="27" s="1"/>
  <c r="AN210" i="27"/>
  <c r="AQ210" i="27"/>
  <c r="G238" i="27" s="1"/>
  <c r="J238" i="27" s="1"/>
  <c r="AR209" i="27"/>
  <c r="J238" i="38"/>
  <c r="M238" i="38"/>
  <c r="AO210" i="38"/>
  <c r="AP210" i="38" s="1"/>
  <c r="AQ211" i="38"/>
  <c r="G239" i="38" s="1"/>
  <c r="AN211" i="38"/>
  <c r="AR210" i="38"/>
  <c r="AF211" i="39"/>
  <c r="AG210" i="39"/>
  <c r="AH210" i="39" s="1"/>
  <c r="AJ210" i="39"/>
  <c r="I223" i="30"/>
  <c r="AG209" i="30"/>
  <c r="AH209" i="30" s="1"/>
  <c r="AF210" i="30"/>
  <c r="AI210" i="30"/>
  <c r="F224" i="30" s="1"/>
  <c r="I224" i="30" s="1"/>
  <c r="AO211" i="37"/>
  <c r="AP211" i="37" s="1"/>
  <c r="AN212" i="37"/>
  <c r="AQ212" i="37"/>
  <c r="G240" i="37" s="1"/>
  <c r="AR211" i="37"/>
  <c r="K211" i="40"/>
  <c r="AT211" i="40" s="1"/>
  <c r="L223" i="27"/>
  <c r="K213" i="39"/>
  <c r="AT213" i="39" s="1"/>
  <c r="Y211" i="34"/>
  <c r="Z211" i="34" s="1"/>
  <c r="X212" i="34"/>
  <c r="AB211" i="34"/>
  <c r="AA212" i="34"/>
  <c r="E212" i="34" s="1"/>
  <c r="H212" i="34" s="1"/>
  <c r="Y211" i="40"/>
  <c r="Z211" i="40" s="1"/>
  <c r="AB211" i="40"/>
  <c r="AA212" i="40"/>
  <c r="E212" i="40" s="1"/>
  <c r="H212" i="40" s="1"/>
  <c r="X212" i="40"/>
  <c r="AB210" i="34"/>
  <c r="AA224" i="38"/>
  <c r="E224" i="38" s="1"/>
  <c r="H224" i="38" s="1"/>
  <c r="AA224" i="27"/>
  <c r="E224" i="27" s="1"/>
  <c r="AS208" i="30"/>
  <c r="T208" i="30"/>
  <c r="CB208" i="30" s="1"/>
  <c r="AB208" i="30"/>
  <c r="AS211" i="39"/>
  <c r="T211" i="39"/>
  <c r="CB211" i="39" s="1"/>
  <c r="AA209" i="30"/>
  <c r="E209" i="30" s="1"/>
  <c r="H209" i="30" s="1"/>
  <c r="Y213" i="39"/>
  <c r="Z213" i="39" s="1"/>
  <c r="X214" i="39"/>
  <c r="Y209" i="30"/>
  <c r="Z209" i="30" s="1"/>
  <c r="AA210" i="30"/>
  <c r="E210" i="30" s="1"/>
  <c r="H210" i="30" s="1"/>
  <c r="AB209" i="30"/>
  <c r="X210" i="30"/>
  <c r="AS212" i="39"/>
  <c r="T212" i="39"/>
  <c r="CB212" i="39" s="1"/>
  <c r="W238" i="40"/>
  <c r="W240" i="34"/>
  <c r="K210" i="34"/>
  <c r="AT210" i="34" s="1"/>
  <c r="Z223" i="37"/>
  <c r="AB223" i="37"/>
  <c r="Y224" i="37"/>
  <c r="Z224" i="37" s="1"/>
  <c r="X225" i="37"/>
  <c r="AB224" i="37"/>
  <c r="AJ209" i="37"/>
  <c r="AI210" i="27"/>
  <c r="F224" i="27" s="1"/>
  <c r="I224" i="27" s="1"/>
  <c r="Y224" i="38"/>
  <c r="Z224" i="38" s="1"/>
  <c r="AA225" i="38"/>
  <c r="E225" i="38" s="1"/>
  <c r="H225" i="38" s="1"/>
  <c r="AB224" i="38"/>
  <c r="X225" i="38"/>
  <c r="AG213" i="38"/>
  <c r="AH213" i="38" s="1"/>
  <c r="AJ213" i="38"/>
  <c r="AI214" i="38"/>
  <c r="F228" i="38" s="1"/>
  <c r="I228" i="38" s="1"/>
  <c r="AF214" i="38"/>
  <c r="Y224" i="27"/>
  <c r="Z224" i="27" s="1"/>
  <c r="AA225" i="27"/>
  <c r="E225" i="27" s="1"/>
  <c r="X225" i="27"/>
  <c r="L227" i="38"/>
  <c r="AG210" i="27"/>
  <c r="AH210" i="27" s="1"/>
  <c r="AF211" i="27"/>
  <c r="AJ209" i="27"/>
  <c r="AG210" i="37"/>
  <c r="AH210" i="37" s="1"/>
  <c r="AF211" i="37"/>
  <c r="AI210" i="37"/>
  <c r="F224" i="37" s="1"/>
  <c r="I224" i="37" s="1"/>
  <c r="T215" i="38"/>
  <c r="T216" i="38"/>
  <c r="AS217" i="38"/>
  <c r="K217" i="38"/>
  <c r="AT217" i="38" s="1"/>
  <c r="M237" i="27"/>
  <c r="T209" i="27"/>
  <c r="AS214" i="37"/>
  <c r="K214" i="37"/>
  <c r="AT214" i="37" s="1"/>
  <c r="T213" i="37"/>
  <c r="M241" i="39"/>
  <c r="M242" i="39"/>
  <c r="M239" i="30"/>
  <c r="M239" i="40"/>
  <c r="K211" i="34"/>
  <c r="AT211" i="34" s="1"/>
  <c r="AS211" i="34"/>
  <c r="T209" i="34"/>
  <c r="CB209" i="34" s="1"/>
  <c r="M237" i="34"/>
  <c r="M238" i="34"/>
  <c r="K210" i="22"/>
  <c r="AB210" i="22"/>
  <c r="AA211" i="22"/>
  <c r="E211" i="22" s="1"/>
  <c r="X212" i="22"/>
  <c r="Y211" i="22"/>
  <c r="Z211" i="22" s="1"/>
  <c r="AZ212" i="37" l="1"/>
  <c r="AA225" i="37"/>
  <c r="E225" i="37" s="1"/>
  <c r="BB211" i="37"/>
  <c r="AJ209" i="30"/>
  <c r="BB210" i="37"/>
  <c r="AI211" i="39"/>
  <c r="F225" i="39" s="1"/>
  <c r="L225" i="39" s="1"/>
  <c r="AA214" i="39"/>
  <c r="E214" i="39" s="1"/>
  <c r="K214" i="39" s="1"/>
  <c r="AT214" i="39" s="1"/>
  <c r="AB224" i="27"/>
  <c r="L224" i="39"/>
  <c r="T210" i="34"/>
  <c r="CB210" i="34" s="1"/>
  <c r="AW208" i="27"/>
  <c r="AX208" i="27" s="1"/>
  <c r="AZ215" i="27"/>
  <c r="BB215" i="27" s="1"/>
  <c r="BA215" i="27"/>
  <c r="AW212" i="37"/>
  <c r="AX212" i="37" s="1"/>
  <c r="CF212" i="37" s="1"/>
  <c r="CB209" i="27"/>
  <c r="CE209" i="27"/>
  <c r="AV209" i="27"/>
  <c r="CB216" i="38"/>
  <c r="CE216" i="38"/>
  <c r="AV216" i="38"/>
  <c r="T211" i="40"/>
  <c r="CB211" i="40" s="1"/>
  <c r="CB215" i="38"/>
  <c r="CE215" i="38"/>
  <c r="AV215" i="38"/>
  <c r="CB213" i="37"/>
  <c r="CE213" i="37"/>
  <c r="AV213" i="37"/>
  <c r="T213" i="39"/>
  <c r="CB213" i="39" s="1"/>
  <c r="J240" i="37"/>
  <c r="M240" i="37"/>
  <c r="H224" i="37"/>
  <c r="AI211" i="34"/>
  <c r="F225" i="34" s="1"/>
  <c r="AG211" i="34"/>
  <c r="AH211" i="34" s="1"/>
  <c r="AF212" i="34"/>
  <c r="AI212" i="34"/>
  <c r="F226" i="34" s="1"/>
  <c r="I226" i="34" s="1"/>
  <c r="AJ211" i="34"/>
  <c r="AG212" i="40"/>
  <c r="AH212" i="40" s="1"/>
  <c r="AF213" i="40"/>
  <c r="L224" i="34"/>
  <c r="AO211" i="38"/>
  <c r="AP211" i="38" s="1"/>
  <c r="AN212" i="38"/>
  <c r="AQ212" i="38"/>
  <c r="G240" i="38" s="1"/>
  <c r="AR211" i="38"/>
  <c r="J239" i="38"/>
  <c r="M239" i="38"/>
  <c r="AO210" i="27"/>
  <c r="AP210" i="27" s="1"/>
  <c r="AQ211" i="27"/>
  <c r="G239" i="27" s="1"/>
  <c r="J239" i="27" s="1"/>
  <c r="AN211" i="27"/>
  <c r="AR210" i="27"/>
  <c r="AG210" i="30"/>
  <c r="AH210" i="30" s="1"/>
  <c r="AF211" i="30"/>
  <c r="L224" i="30"/>
  <c r="AG211" i="39"/>
  <c r="AH211" i="39" s="1"/>
  <c r="AF212" i="39"/>
  <c r="AO212" i="37"/>
  <c r="AP212" i="37" s="1"/>
  <c r="AN213" i="37"/>
  <c r="AQ213" i="37"/>
  <c r="G241" i="37" s="1"/>
  <c r="AR212" i="37"/>
  <c r="H224" i="27"/>
  <c r="X213" i="40"/>
  <c r="Y212" i="40"/>
  <c r="Z212" i="40" s="1"/>
  <c r="AB212" i="40"/>
  <c r="X213" i="34"/>
  <c r="Y212" i="34"/>
  <c r="Z212" i="34" s="1"/>
  <c r="AA213" i="34"/>
  <c r="E213" i="34" s="1"/>
  <c r="H213" i="34" s="1"/>
  <c r="AB212" i="34"/>
  <c r="K209" i="30"/>
  <c r="AT209" i="30" s="1"/>
  <c r="K210" i="30"/>
  <c r="AT210" i="30" s="1"/>
  <c r="AA211" i="30"/>
  <c r="E211" i="30" s="1"/>
  <c r="H211" i="30" s="1"/>
  <c r="X211" i="30"/>
  <c r="Y210" i="30"/>
  <c r="Z210" i="30" s="1"/>
  <c r="Y214" i="39"/>
  <c r="Z214" i="39" s="1"/>
  <c r="AA215" i="39"/>
  <c r="E215" i="39" s="1"/>
  <c r="AB214" i="39"/>
  <c r="X215" i="39"/>
  <c r="AB213" i="39"/>
  <c r="AJ210" i="37"/>
  <c r="W239" i="40"/>
  <c r="W241" i="34"/>
  <c r="Y225" i="37"/>
  <c r="Z225" i="37" s="1"/>
  <c r="AB225" i="37"/>
  <c r="X226" i="37"/>
  <c r="AI211" i="37"/>
  <c r="F225" i="37" s="1"/>
  <c r="Y225" i="27"/>
  <c r="Z225" i="27" s="1"/>
  <c r="AB225" i="27"/>
  <c r="AA226" i="27"/>
  <c r="E226" i="27" s="1"/>
  <c r="X226" i="27"/>
  <c r="Y225" i="38"/>
  <c r="Z225" i="38" s="1"/>
  <c r="X226" i="38"/>
  <c r="AA226" i="38"/>
  <c r="E226" i="38" s="1"/>
  <c r="H226" i="38" s="1"/>
  <c r="AB225" i="38"/>
  <c r="L228" i="38"/>
  <c r="AI211" i="27"/>
  <c r="F225" i="27" s="1"/>
  <c r="I225" i="27" s="1"/>
  <c r="AJ210" i="27"/>
  <c r="AF212" i="27"/>
  <c r="AG211" i="27"/>
  <c r="AH211" i="27" s="1"/>
  <c r="AG214" i="38"/>
  <c r="AH214" i="38" s="1"/>
  <c r="AF215" i="38"/>
  <c r="AI215" i="38"/>
  <c r="F229" i="38" s="1"/>
  <c r="I229" i="38" s="1"/>
  <c r="AJ214" i="38"/>
  <c r="L224" i="37"/>
  <c r="AG211" i="37"/>
  <c r="AH211" i="37" s="1"/>
  <c r="AJ211" i="37"/>
  <c r="AF212" i="37"/>
  <c r="K210" i="27"/>
  <c r="AT210" i="27" s="1"/>
  <c r="AS210" i="27"/>
  <c r="L226" i="40"/>
  <c r="L224" i="27"/>
  <c r="T217" i="38"/>
  <c r="AS218" i="38"/>
  <c r="K218" i="38"/>
  <c r="AT218" i="38" s="1"/>
  <c r="M238" i="27"/>
  <c r="K215" i="37"/>
  <c r="AT215" i="37" s="1"/>
  <c r="AS215" i="37"/>
  <c r="T214" i="37"/>
  <c r="M243" i="39"/>
  <c r="M240" i="30"/>
  <c r="T211" i="34"/>
  <c r="CB211" i="34" s="1"/>
  <c r="M239" i="34"/>
  <c r="AS212" i="34"/>
  <c r="K212" i="34"/>
  <c r="AT212" i="34" s="1"/>
  <c r="AS212" i="40"/>
  <c r="K212" i="40"/>
  <c r="AT212" i="40" s="1"/>
  <c r="K211" i="22"/>
  <c r="AB211" i="22"/>
  <c r="AA212" i="22"/>
  <c r="E212" i="22" s="1"/>
  <c r="X213" i="22"/>
  <c r="Y212" i="22"/>
  <c r="Z212" i="22" s="1"/>
  <c r="H214" i="39" l="1"/>
  <c r="AS214" i="39" s="1"/>
  <c r="I225" i="39"/>
  <c r="AI212" i="39"/>
  <c r="F226" i="39" s="1"/>
  <c r="I226" i="39" s="1"/>
  <c r="AI211" i="30"/>
  <c r="F225" i="30" s="1"/>
  <c r="L225" i="30" s="1"/>
  <c r="AZ213" i="37"/>
  <c r="BA213" i="37" s="1"/>
  <c r="BA212" i="37"/>
  <c r="BB212" i="37" s="1"/>
  <c r="AJ210" i="30"/>
  <c r="AB210" i="30"/>
  <c r="AA226" i="37"/>
  <c r="E226" i="37" s="1"/>
  <c r="AI213" i="40"/>
  <c r="F227" i="40" s="1"/>
  <c r="I227" i="40" s="1"/>
  <c r="AZ223" i="38"/>
  <c r="BB223" i="38" s="1"/>
  <c r="BA223" i="38"/>
  <c r="AW216" i="38"/>
  <c r="AX216" i="38" s="1"/>
  <c r="AZ216" i="27"/>
  <c r="BB216" i="27" s="1"/>
  <c r="AW209" i="27"/>
  <c r="AX209" i="27" s="1"/>
  <c r="BA216" i="27"/>
  <c r="AA213" i="40"/>
  <c r="E213" i="40" s="1"/>
  <c r="H213" i="40" s="1"/>
  <c r="AS213" i="40" s="1"/>
  <c r="AJ212" i="40"/>
  <c r="BA222" i="38"/>
  <c r="AZ222" i="38"/>
  <c r="BB222" i="38" s="1"/>
  <c r="AW215" i="38"/>
  <c r="AX215" i="38" s="1"/>
  <c r="AW213" i="37"/>
  <c r="AX213" i="37" s="1"/>
  <c r="CF213" i="37" s="1"/>
  <c r="AJ211" i="39"/>
  <c r="CB217" i="38"/>
  <c r="CE217" i="38"/>
  <c r="AV217" i="38"/>
  <c r="CB214" i="37"/>
  <c r="CE214" i="37"/>
  <c r="AV214" i="37"/>
  <c r="J241" i="37"/>
  <c r="M241" i="37"/>
  <c r="AG212" i="34"/>
  <c r="AH212" i="34" s="1"/>
  <c r="AF213" i="34"/>
  <c r="AG213" i="40"/>
  <c r="AH213" i="40" s="1"/>
  <c r="AF214" i="40"/>
  <c r="L226" i="34"/>
  <c r="I225" i="34"/>
  <c r="L225" i="34"/>
  <c r="AO211" i="27"/>
  <c r="AP211" i="27" s="1"/>
  <c r="AN212" i="27"/>
  <c r="J240" i="38"/>
  <c r="M240" i="38"/>
  <c r="AO212" i="38"/>
  <c r="AP212" i="38" s="1"/>
  <c r="AQ213" i="38"/>
  <c r="G241" i="38" s="1"/>
  <c r="AN213" i="38"/>
  <c r="AR212" i="38"/>
  <c r="L226" i="39"/>
  <c r="AF213" i="39"/>
  <c r="AG212" i="39"/>
  <c r="AH212" i="39" s="1"/>
  <c r="AI213" i="39"/>
  <c r="F227" i="39" s="1"/>
  <c r="AJ212" i="39"/>
  <c r="AG211" i="30"/>
  <c r="AH211" i="30" s="1"/>
  <c r="AF212" i="30"/>
  <c r="I225" i="30"/>
  <c r="AO213" i="37"/>
  <c r="AP213" i="37" s="1"/>
  <c r="AN214" i="37"/>
  <c r="L225" i="37"/>
  <c r="I225" i="37"/>
  <c r="H225" i="37" s="1"/>
  <c r="H215" i="39"/>
  <c r="AS215" i="39" s="1"/>
  <c r="H225" i="27"/>
  <c r="X214" i="34"/>
  <c r="Y213" i="34"/>
  <c r="Z213" i="34" s="1"/>
  <c r="AB213" i="34"/>
  <c r="AA214" i="34"/>
  <c r="E214" i="34" s="1"/>
  <c r="H214" i="34" s="1"/>
  <c r="AB213" i="40"/>
  <c r="AA214" i="40"/>
  <c r="E214" i="40" s="1"/>
  <c r="X214" i="40"/>
  <c r="Y213" i="40"/>
  <c r="Z213" i="40" s="1"/>
  <c r="Y215" i="39"/>
  <c r="Z215" i="39" s="1"/>
  <c r="AA216" i="39"/>
  <c r="E216" i="39" s="1"/>
  <c r="H216" i="39" s="1"/>
  <c r="AS216" i="39" s="1"/>
  <c r="X216" i="39"/>
  <c r="Y211" i="30"/>
  <c r="Z211" i="30" s="1"/>
  <c r="AA212" i="30"/>
  <c r="E212" i="30" s="1"/>
  <c r="H212" i="30" s="1"/>
  <c r="AB211" i="30"/>
  <c r="X212" i="30"/>
  <c r="K211" i="30"/>
  <c r="AT211" i="30" s="1"/>
  <c r="AS210" i="30"/>
  <c r="T210" i="30"/>
  <c r="CB210" i="30" s="1"/>
  <c r="K215" i="39"/>
  <c r="AT215" i="39" s="1"/>
  <c r="T214" i="39"/>
  <c r="CB214" i="39" s="1"/>
  <c r="AS209" i="30"/>
  <c r="T209" i="30"/>
  <c r="CB209" i="30" s="1"/>
  <c r="W240" i="40"/>
  <c r="W242" i="34"/>
  <c r="X227" i="37"/>
  <c r="Y226" i="37"/>
  <c r="AI212" i="37"/>
  <c r="F226" i="37" s="1"/>
  <c r="I226" i="37" s="1"/>
  <c r="AG212" i="27"/>
  <c r="AH212" i="27" s="1"/>
  <c r="AF213" i="27"/>
  <c r="AI213" i="27"/>
  <c r="F227" i="27" s="1"/>
  <c r="I227" i="27" s="1"/>
  <c r="AI212" i="27"/>
  <c r="F226" i="27" s="1"/>
  <c r="I226" i="27" s="1"/>
  <c r="H226" i="27" s="1"/>
  <c r="AB226" i="38"/>
  <c r="AA227" i="38"/>
  <c r="E227" i="38" s="1"/>
  <c r="H227" i="38" s="1"/>
  <c r="X227" i="38"/>
  <c r="Y226" i="38"/>
  <c r="Z226" i="38" s="1"/>
  <c r="AJ211" i="27"/>
  <c r="Y226" i="27"/>
  <c r="Z226" i="27" s="1"/>
  <c r="X227" i="27"/>
  <c r="AA227" i="27"/>
  <c r="E227" i="27" s="1"/>
  <c r="L229" i="38"/>
  <c r="AG215" i="38"/>
  <c r="AH215" i="38" s="1"/>
  <c r="AJ215" i="38"/>
  <c r="AI216" i="38"/>
  <c r="F230" i="38" s="1"/>
  <c r="I230" i="38" s="1"/>
  <c r="AF216" i="38"/>
  <c r="AG212" i="37"/>
  <c r="AH212" i="37" s="1"/>
  <c r="AF213" i="37"/>
  <c r="T210" i="27"/>
  <c r="L225" i="27"/>
  <c r="K219" i="38"/>
  <c r="AT219" i="38" s="1"/>
  <c r="AS219" i="38"/>
  <c r="AS211" i="27"/>
  <c r="K211" i="27"/>
  <c r="AT211" i="27" s="1"/>
  <c r="T218" i="38"/>
  <c r="AS216" i="37"/>
  <c r="K216" i="37"/>
  <c r="AT216" i="37" s="1"/>
  <c r="T215" i="37"/>
  <c r="M241" i="30"/>
  <c r="T212" i="34"/>
  <c r="CB212" i="34" s="1"/>
  <c r="M240" i="34"/>
  <c r="T212" i="40"/>
  <c r="CB212" i="40" s="1"/>
  <c r="AS213" i="34"/>
  <c r="K213" i="34"/>
  <c r="AT213" i="34" s="1"/>
  <c r="M240" i="40"/>
  <c r="AB212" i="22"/>
  <c r="AA213" i="22"/>
  <c r="K212" i="22"/>
  <c r="Y213" i="22"/>
  <c r="Z213" i="22" s="1"/>
  <c r="X214" i="22"/>
  <c r="AZ214" i="37" l="1"/>
  <c r="BA214" i="37"/>
  <c r="BB213" i="37"/>
  <c r="L227" i="40"/>
  <c r="AR211" i="27"/>
  <c r="AQ212" i="27"/>
  <c r="G240" i="27" s="1"/>
  <c r="J240" i="27" s="1"/>
  <c r="AJ211" i="30"/>
  <c r="AI212" i="30"/>
  <c r="F226" i="30" s="1"/>
  <c r="I226" i="30" s="1"/>
  <c r="K213" i="40"/>
  <c r="AT213" i="40" s="1"/>
  <c r="AJ213" i="40"/>
  <c r="AI213" i="34"/>
  <c r="F227" i="34" s="1"/>
  <c r="I227" i="34" s="1"/>
  <c r="AJ212" i="34"/>
  <c r="BA224" i="38"/>
  <c r="AW217" i="38"/>
  <c r="AX217" i="38" s="1"/>
  <c r="AZ224" i="38"/>
  <c r="BB224" i="38" s="1"/>
  <c r="AI214" i="40"/>
  <c r="F228" i="40" s="1"/>
  <c r="I228" i="40" s="1"/>
  <c r="AB215" i="39"/>
  <c r="AQ214" i="37"/>
  <c r="G242" i="37" s="1"/>
  <c r="J242" i="37" s="1"/>
  <c r="AW214" i="37"/>
  <c r="AX214" i="37" s="1"/>
  <c r="CF214" i="37" s="1"/>
  <c r="AR213" i="37"/>
  <c r="CB218" i="38"/>
  <c r="CE218" i="38"/>
  <c r="AV218" i="38"/>
  <c r="CB210" i="27"/>
  <c r="CE210" i="27"/>
  <c r="AV210" i="27"/>
  <c r="CB215" i="37"/>
  <c r="CE215" i="37"/>
  <c r="AV215" i="37"/>
  <c r="H226" i="37"/>
  <c r="AG213" i="34"/>
  <c r="AH213" i="34" s="1"/>
  <c r="AJ213" i="34"/>
  <c r="AF214" i="34"/>
  <c r="AG214" i="40"/>
  <c r="AH214" i="40" s="1"/>
  <c r="AF215" i="40"/>
  <c r="AO213" i="38"/>
  <c r="AP213" i="38" s="1"/>
  <c r="AQ214" i="38"/>
  <c r="G242" i="38" s="1"/>
  <c r="AN214" i="38"/>
  <c r="J241" i="38"/>
  <c r="M241" i="38"/>
  <c r="H227" i="27"/>
  <c r="AO212" i="27"/>
  <c r="AP212" i="27" s="1"/>
  <c r="AN213" i="27"/>
  <c r="AR212" i="27"/>
  <c r="AF213" i="30"/>
  <c r="AG212" i="30"/>
  <c r="AH212" i="30" s="1"/>
  <c r="I227" i="39"/>
  <c r="L227" i="39"/>
  <c r="AG213" i="39"/>
  <c r="AH213" i="39" s="1"/>
  <c r="AI214" i="39"/>
  <c r="F228" i="39" s="1"/>
  <c r="AF214" i="39"/>
  <c r="T215" i="39"/>
  <c r="CB215" i="39" s="1"/>
  <c r="AO214" i="37"/>
  <c r="AP214" i="37" s="1"/>
  <c r="AN215" i="37"/>
  <c r="AQ215" i="37"/>
  <c r="G243" i="37" s="1"/>
  <c r="AR214" i="37"/>
  <c r="K214" i="40"/>
  <c r="AT214" i="40" s="1"/>
  <c r="H214" i="40"/>
  <c r="AS214" i="40" s="1"/>
  <c r="K216" i="39"/>
  <c r="AT216" i="39" s="1"/>
  <c r="X215" i="40"/>
  <c r="AA215" i="40"/>
  <c r="E215" i="40" s="1"/>
  <c r="H215" i="40" s="1"/>
  <c r="Y214" i="40"/>
  <c r="Z214" i="40" s="1"/>
  <c r="Y214" i="34"/>
  <c r="Z214" i="34" s="1"/>
  <c r="X215" i="34"/>
  <c r="AB226" i="27"/>
  <c r="AJ212" i="27"/>
  <c r="X213" i="30"/>
  <c r="Y212" i="30"/>
  <c r="Z212" i="30" s="1"/>
  <c r="Y216" i="39"/>
  <c r="Z216" i="39" s="1"/>
  <c r="AB216" i="39"/>
  <c r="X217" i="39"/>
  <c r="K212" i="30"/>
  <c r="AT212" i="30" s="1"/>
  <c r="AS211" i="30"/>
  <c r="T211" i="30"/>
  <c r="CB211" i="30" s="1"/>
  <c r="L226" i="37"/>
  <c r="W241" i="40"/>
  <c r="W243" i="34"/>
  <c r="Z226" i="37"/>
  <c r="AB226" i="37"/>
  <c r="AA227" i="37"/>
  <c r="E227" i="37" s="1"/>
  <c r="H227" i="37" s="1"/>
  <c r="Y227" i="37"/>
  <c r="Z227" i="37" s="1"/>
  <c r="X228" i="37"/>
  <c r="X228" i="38"/>
  <c r="AB227" i="38"/>
  <c r="AA228" i="38"/>
  <c r="E228" i="38" s="1"/>
  <c r="H228" i="38" s="1"/>
  <c r="Y227" i="38"/>
  <c r="Z227" i="38" s="1"/>
  <c r="AG216" i="38"/>
  <c r="AH216" i="38" s="1"/>
  <c r="AI217" i="38"/>
  <c r="F231" i="38" s="1"/>
  <c r="I231" i="38" s="1"/>
  <c r="AJ216" i="38"/>
  <c r="AF217" i="38"/>
  <c r="Y227" i="27"/>
  <c r="Z227" i="27" s="1"/>
  <c r="AB227" i="27"/>
  <c r="X228" i="27"/>
  <c r="L230" i="38"/>
  <c r="AG213" i="27"/>
  <c r="AH213" i="27" s="1"/>
  <c r="AF214" i="27"/>
  <c r="AG213" i="37"/>
  <c r="AH213" i="37" s="1"/>
  <c r="AJ213" i="37"/>
  <c r="AI214" i="37"/>
  <c r="F228" i="37" s="1"/>
  <c r="I228" i="37" s="1"/>
  <c r="AF214" i="37"/>
  <c r="E213" i="22"/>
  <c r="K213" i="22" s="1"/>
  <c r="AI213" i="37"/>
  <c r="F227" i="37" s="1"/>
  <c r="I227" i="37" s="1"/>
  <c r="AJ212" i="37"/>
  <c r="AS212" i="27"/>
  <c r="K212" i="27"/>
  <c r="AT212" i="27" s="1"/>
  <c r="L226" i="27"/>
  <c r="T211" i="27"/>
  <c r="M239" i="27"/>
  <c r="K220" i="38"/>
  <c r="AT220" i="38" s="1"/>
  <c r="AS220" i="38"/>
  <c r="T219" i="38"/>
  <c r="T216" i="37"/>
  <c r="AS217" i="37"/>
  <c r="K217" i="37"/>
  <c r="AT217" i="37" s="1"/>
  <c r="M246" i="39"/>
  <c r="M245" i="39"/>
  <c r="M244" i="39"/>
  <c r="T213" i="34"/>
  <c r="CB213" i="34" s="1"/>
  <c r="M242" i="40"/>
  <c r="M241" i="34"/>
  <c r="M241" i="40"/>
  <c r="K214" i="34"/>
  <c r="AT214" i="34" s="1"/>
  <c r="AS214" i="34"/>
  <c r="AA214" i="22"/>
  <c r="E214" i="22" s="1"/>
  <c r="AB213" i="22"/>
  <c r="X215" i="22"/>
  <c r="Y214" i="22"/>
  <c r="Z214" i="22" s="1"/>
  <c r="AZ215" i="37" l="1"/>
  <c r="BB214" i="37"/>
  <c r="AJ212" i="30"/>
  <c r="M240" i="27"/>
  <c r="T213" i="40"/>
  <c r="CB213" i="40" s="1"/>
  <c r="L226" i="30"/>
  <c r="AI215" i="40"/>
  <c r="F229" i="40" s="1"/>
  <c r="I229" i="40" s="1"/>
  <c r="AB227" i="37"/>
  <c r="AA228" i="37"/>
  <c r="E228" i="37" s="1"/>
  <c r="H228" i="37" s="1"/>
  <c r="M242" i="37"/>
  <c r="AI214" i="34"/>
  <c r="F228" i="34" s="1"/>
  <c r="L228" i="40"/>
  <c r="AR213" i="38"/>
  <c r="BA225" i="38"/>
  <c r="AW218" i="38"/>
  <c r="AX218" i="38" s="1"/>
  <c r="AZ225" i="38"/>
  <c r="BB225" i="38" s="1"/>
  <c r="AZ217" i="27"/>
  <c r="BB217" i="27" s="1"/>
  <c r="BA217" i="27"/>
  <c r="AW210" i="27"/>
  <c r="AX210" i="27" s="1"/>
  <c r="AJ214" i="40"/>
  <c r="AB214" i="40"/>
  <c r="L227" i="34"/>
  <c r="AW215" i="37"/>
  <c r="AX215" i="37" s="1"/>
  <c r="CF215" i="37" s="1"/>
  <c r="AJ213" i="39"/>
  <c r="CB219" i="38"/>
  <c r="CE219" i="38"/>
  <c r="AV219" i="38"/>
  <c r="CB211" i="27"/>
  <c r="CE211" i="27"/>
  <c r="AV211" i="27"/>
  <c r="CB216" i="37"/>
  <c r="CE216" i="37"/>
  <c r="AV216" i="37"/>
  <c r="T214" i="40"/>
  <c r="CB214" i="40" s="1"/>
  <c r="T216" i="39"/>
  <c r="CB216" i="39" s="1"/>
  <c r="J243" i="37"/>
  <c r="M243" i="37"/>
  <c r="AG215" i="40"/>
  <c r="AH215" i="40" s="1"/>
  <c r="AF216" i="40"/>
  <c r="AI216" i="40"/>
  <c r="F230" i="40" s="1"/>
  <c r="I230" i="40" s="1"/>
  <c r="AG214" i="34"/>
  <c r="AH214" i="34" s="1"/>
  <c r="AF215" i="34"/>
  <c r="AI215" i="34"/>
  <c r="F229" i="34" s="1"/>
  <c r="I229" i="34" s="1"/>
  <c r="AO213" i="27"/>
  <c r="AP213" i="27" s="1"/>
  <c r="AN214" i="27"/>
  <c r="AQ214" i="27"/>
  <c r="G242" i="27" s="1"/>
  <c r="J242" i="27" s="1"/>
  <c r="AR213" i="27"/>
  <c r="AQ213" i="27"/>
  <c r="G241" i="27" s="1"/>
  <c r="J241" i="27" s="1"/>
  <c r="AO214" i="38"/>
  <c r="AP214" i="38" s="1"/>
  <c r="AQ215" i="38"/>
  <c r="G243" i="38" s="1"/>
  <c r="AN215" i="38"/>
  <c r="J242" i="38"/>
  <c r="M242" i="38"/>
  <c r="AG214" i="39"/>
  <c r="AH214" i="39" s="1"/>
  <c r="AF215" i="39"/>
  <c r="I228" i="39"/>
  <c r="L228" i="39"/>
  <c r="AG213" i="30"/>
  <c r="AH213" i="30" s="1"/>
  <c r="AI214" i="30"/>
  <c r="F228" i="30" s="1"/>
  <c r="I228" i="30" s="1"/>
  <c r="AF214" i="30"/>
  <c r="AI213" i="30"/>
  <c r="F227" i="30" s="1"/>
  <c r="AA217" i="39"/>
  <c r="E217" i="39" s="1"/>
  <c r="H217" i="39" s="1"/>
  <c r="AO215" i="37"/>
  <c r="AP215" i="37" s="1"/>
  <c r="AN216" i="37"/>
  <c r="AQ216" i="37"/>
  <c r="G244" i="37" s="1"/>
  <c r="AB214" i="34"/>
  <c r="AA216" i="34"/>
  <c r="E216" i="34" s="1"/>
  <c r="H216" i="34" s="1"/>
  <c r="X216" i="34"/>
  <c r="Y215" i="34"/>
  <c r="Z215" i="34" s="1"/>
  <c r="AA215" i="34"/>
  <c r="E215" i="34" s="1"/>
  <c r="H215" i="34" s="1"/>
  <c r="AS215" i="34" s="1"/>
  <c r="Y215" i="40"/>
  <c r="Z215" i="40" s="1"/>
  <c r="X216" i="40"/>
  <c r="AA216" i="40"/>
  <c r="E216" i="40" s="1"/>
  <c r="H216" i="40" s="1"/>
  <c r="AB215" i="40"/>
  <c r="AJ213" i="27"/>
  <c r="AA228" i="27"/>
  <c r="E228" i="27" s="1"/>
  <c r="Y217" i="39"/>
  <c r="Z217" i="39" s="1"/>
  <c r="X218" i="39"/>
  <c r="AB212" i="30"/>
  <c r="AA213" i="30"/>
  <c r="E213" i="30" s="1"/>
  <c r="H213" i="30" s="1"/>
  <c r="AS212" i="30"/>
  <c r="T212" i="30"/>
  <c r="CB212" i="30" s="1"/>
  <c r="Y213" i="30"/>
  <c r="Z213" i="30" s="1"/>
  <c r="X214" i="30"/>
  <c r="W242" i="40"/>
  <c r="W244" i="34"/>
  <c r="Y228" i="37"/>
  <c r="Z228" i="37" s="1"/>
  <c r="X229" i="37"/>
  <c r="L231" i="38"/>
  <c r="AG217" i="38"/>
  <c r="AH217" i="38" s="1"/>
  <c r="AF218" i="38"/>
  <c r="AJ217" i="38"/>
  <c r="Y228" i="27"/>
  <c r="Z228" i="27" s="1"/>
  <c r="X229" i="27"/>
  <c r="AB228" i="27"/>
  <c r="AA229" i="27"/>
  <c r="E229" i="27" s="1"/>
  <c r="T212" i="27"/>
  <c r="AG214" i="27"/>
  <c r="AH214" i="27" s="1"/>
  <c r="AF215" i="27"/>
  <c r="AI214" i="27"/>
  <c r="F228" i="27" s="1"/>
  <c r="Y228" i="38"/>
  <c r="Z228" i="38" s="1"/>
  <c r="AB228" i="38"/>
  <c r="AA229" i="38"/>
  <c r="E229" i="38" s="1"/>
  <c r="H229" i="38" s="1"/>
  <c r="X229" i="38"/>
  <c r="L227" i="37"/>
  <c r="AG214" i="37"/>
  <c r="AH214" i="37" s="1"/>
  <c r="AF215" i="37"/>
  <c r="L228" i="37"/>
  <c r="K213" i="27"/>
  <c r="AT213" i="27" s="1"/>
  <c r="AS213" i="27"/>
  <c r="L227" i="27"/>
  <c r="T220" i="38"/>
  <c r="AS214" i="27"/>
  <c r="K214" i="27"/>
  <c r="AT214" i="27" s="1"/>
  <c r="K221" i="38"/>
  <c r="AT221" i="38" s="1"/>
  <c r="AS221" i="38"/>
  <c r="AS218" i="37"/>
  <c r="K218" i="37"/>
  <c r="AT218" i="37" s="1"/>
  <c r="T217" i="37"/>
  <c r="M242" i="30"/>
  <c r="M242" i="34"/>
  <c r="K215" i="40"/>
  <c r="AT215" i="40" s="1"/>
  <c r="AS215" i="40"/>
  <c r="T214" i="34"/>
  <c r="CB214" i="34" s="1"/>
  <c r="M243" i="30"/>
  <c r="K214" i="22"/>
  <c r="AA215" i="22"/>
  <c r="E215" i="22" s="1"/>
  <c r="AB214" i="22"/>
  <c r="X216" i="22"/>
  <c r="Y215" i="22"/>
  <c r="Z215" i="22" s="1"/>
  <c r="AZ216" i="37" l="1"/>
  <c r="BA216" i="37"/>
  <c r="AJ214" i="39"/>
  <c r="AB228" i="37"/>
  <c r="AA229" i="37"/>
  <c r="E229" i="37" s="1"/>
  <c r="BA215" i="37"/>
  <c r="BB215" i="37" s="1"/>
  <c r="L229" i="40"/>
  <c r="AJ214" i="34"/>
  <c r="AR214" i="38"/>
  <c r="AR215" i="37"/>
  <c r="AI218" i="38"/>
  <c r="F232" i="38" s="1"/>
  <c r="I232" i="38" s="1"/>
  <c r="BA218" i="27"/>
  <c r="AZ218" i="27"/>
  <c r="BB218" i="27" s="1"/>
  <c r="AW211" i="27"/>
  <c r="AX211" i="27" s="1"/>
  <c r="BA226" i="38"/>
  <c r="AZ226" i="38"/>
  <c r="BB226" i="38" s="1"/>
  <c r="AW219" i="38"/>
  <c r="AX219" i="38" s="1"/>
  <c r="AJ215" i="40"/>
  <c r="I228" i="34"/>
  <c r="L228" i="34"/>
  <c r="AW216" i="37"/>
  <c r="AX216" i="37" s="1"/>
  <c r="CF216" i="37" s="1"/>
  <c r="AI215" i="39"/>
  <c r="F229" i="39" s="1"/>
  <c r="I229" i="39" s="1"/>
  <c r="AB217" i="39"/>
  <c r="AA218" i="39"/>
  <c r="E218" i="39" s="1"/>
  <c r="H218" i="39" s="1"/>
  <c r="M241" i="27"/>
  <c r="CB220" i="38"/>
  <c r="CE220" i="38"/>
  <c r="AV220" i="38"/>
  <c r="CB212" i="27"/>
  <c r="CE212" i="27"/>
  <c r="AV212" i="27"/>
  <c r="CB217" i="37"/>
  <c r="CE217" i="37"/>
  <c r="AV217" i="37"/>
  <c r="J244" i="37"/>
  <c r="M244" i="37"/>
  <c r="AG215" i="34"/>
  <c r="AH215" i="34" s="1"/>
  <c r="AF216" i="34"/>
  <c r="L229" i="34"/>
  <c r="AG216" i="40"/>
  <c r="AH216" i="40" s="1"/>
  <c r="AI217" i="40"/>
  <c r="F231" i="40" s="1"/>
  <c r="I231" i="40" s="1"/>
  <c r="AF217" i="40"/>
  <c r="AJ216" i="40"/>
  <c r="AO215" i="38"/>
  <c r="AP215" i="38" s="1"/>
  <c r="AQ216" i="38"/>
  <c r="G244" i="38" s="1"/>
  <c r="AN216" i="38"/>
  <c r="AR215" i="38"/>
  <c r="J243" i="38"/>
  <c r="M243" i="38"/>
  <c r="AI215" i="27"/>
  <c r="F229" i="27" s="1"/>
  <c r="I229" i="27" s="1"/>
  <c r="H229" i="27" s="1"/>
  <c r="AO214" i="27"/>
  <c r="AP214" i="27" s="1"/>
  <c r="AN215" i="27"/>
  <c r="AJ214" i="27"/>
  <c r="I227" i="30"/>
  <c r="L227" i="30"/>
  <c r="AJ213" i="30"/>
  <c r="AF215" i="30"/>
  <c r="AG214" i="30"/>
  <c r="AH214" i="30" s="1"/>
  <c r="AI215" i="30"/>
  <c r="F229" i="30" s="1"/>
  <c r="AJ214" i="30"/>
  <c r="K217" i="39"/>
  <c r="AT217" i="39" s="1"/>
  <c r="L228" i="30"/>
  <c r="AG215" i="39"/>
  <c r="AH215" i="39" s="1"/>
  <c r="AI216" i="39"/>
  <c r="F230" i="39" s="1"/>
  <c r="AF216" i="39"/>
  <c r="AO216" i="37"/>
  <c r="AP216" i="37" s="1"/>
  <c r="AN217" i="37"/>
  <c r="AQ217" i="37"/>
  <c r="G245" i="37" s="1"/>
  <c r="AR216" i="37"/>
  <c r="I228" i="27"/>
  <c r="H228" i="27" s="1"/>
  <c r="Y216" i="34"/>
  <c r="Z216" i="34" s="1"/>
  <c r="X217" i="34"/>
  <c r="AA217" i="40"/>
  <c r="E217" i="40" s="1"/>
  <c r="X217" i="40"/>
  <c r="Y216" i="40"/>
  <c r="Z216" i="40" s="1"/>
  <c r="AB216" i="40"/>
  <c r="AB215" i="34"/>
  <c r="K213" i="30"/>
  <c r="AT213" i="30" s="1"/>
  <c r="X215" i="30"/>
  <c r="Y214" i="30"/>
  <c r="Z214" i="30" s="1"/>
  <c r="AS217" i="39"/>
  <c r="AB213" i="30"/>
  <c r="AA214" i="30"/>
  <c r="E214" i="30" s="1"/>
  <c r="H214" i="30" s="1"/>
  <c r="Y218" i="39"/>
  <c r="Z218" i="39" s="1"/>
  <c r="AB218" i="39"/>
  <c r="X219" i="39"/>
  <c r="W243" i="40"/>
  <c r="K215" i="34"/>
  <c r="AT215" i="34" s="1"/>
  <c r="W245" i="34"/>
  <c r="AA230" i="37"/>
  <c r="E230" i="37" s="1"/>
  <c r="X230" i="37"/>
  <c r="Y229" i="37"/>
  <c r="Z229" i="37" s="1"/>
  <c r="L228" i="27"/>
  <c r="Y229" i="27"/>
  <c r="Z229" i="27" s="1"/>
  <c r="AA230" i="27"/>
  <c r="E230" i="27" s="1"/>
  <c r="AB229" i="27"/>
  <c r="X230" i="27"/>
  <c r="AF216" i="27"/>
  <c r="AG215" i="27"/>
  <c r="AH215" i="27" s="1"/>
  <c r="Y229" i="38"/>
  <c r="Z229" i="38" s="1"/>
  <c r="AA230" i="38"/>
  <c r="E230" i="38" s="1"/>
  <c r="H230" i="38" s="1"/>
  <c r="AB229" i="38"/>
  <c r="X230" i="38"/>
  <c r="AG218" i="38"/>
  <c r="AH218" i="38" s="1"/>
  <c r="AJ218" i="38"/>
  <c r="AF219" i="38"/>
  <c r="AG215" i="37"/>
  <c r="AH215" i="37" s="1"/>
  <c r="AI216" i="37"/>
  <c r="F230" i="37" s="1"/>
  <c r="I230" i="37" s="1"/>
  <c r="AF216" i="37"/>
  <c r="AI215" i="37"/>
  <c r="F229" i="37" s="1"/>
  <c r="I229" i="37" s="1"/>
  <c r="AJ214" i="37"/>
  <c r="T213" i="27"/>
  <c r="L230" i="40"/>
  <c r="T221" i="38"/>
  <c r="T214" i="27"/>
  <c r="M242" i="27"/>
  <c r="K215" i="27"/>
  <c r="AT215" i="27" s="1"/>
  <c r="AS215" i="27"/>
  <c r="K222" i="38"/>
  <c r="AT222" i="38" s="1"/>
  <c r="AS222" i="38"/>
  <c r="K219" i="37"/>
  <c r="AT219" i="37" s="1"/>
  <c r="AS219" i="37"/>
  <c r="T218" i="37"/>
  <c r="M244" i="30"/>
  <c r="M243" i="34"/>
  <c r="K216" i="40"/>
  <c r="AT216" i="40" s="1"/>
  <c r="AS216" i="40"/>
  <c r="M243" i="40"/>
  <c r="T215" i="40"/>
  <c r="CB215" i="40" s="1"/>
  <c r="K215" i="22"/>
  <c r="AA216" i="22"/>
  <c r="E216" i="22" s="1"/>
  <c r="AB215" i="22"/>
  <c r="Y216" i="22"/>
  <c r="Z216" i="22" s="1"/>
  <c r="X217" i="22"/>
  <c r="AB229" i="37" l="1"/>
  <c r="AZ217" i="37"/>
  <c r="BB216" i="37"/>
  <c r="AA219" i="39"/>
  <c r="E219" i="39" s="1"/>
  <c r="K219" i="39" s="1"/>
  <c r="AT219" i="39" s="1"/>
  <c r="AJ215" i="39"/>
  <c r="L232" i="38"/>
  <c r="L229" i="39"/>
  <c r="K218" i="39"/>
  <c r="AT218" i="39" s="1"/>
  <c r="AR214" i="27"/>
  <c r="AJ215" i="34"/>
  <c r="AI216" i="34"/>
  <c r="F230" i="34" s="1"/>
  <c r="I230" i="34" s="1"/>
  <c r="AQ215" i="27"/>
  <c r="G243" i="27" s="1"/>
  <c r="J243" i="27" s="1"/>
  <c r="AZ219" i="27"/>
  <c r="BB219" i="27" s="1"/>
  <c r="AW212" i="27"/>
  <c r="AX212" i="27" s="1"/>
  <c r="BA219" i="27"/>
  <c r="AZ227" i="38"/>
  <c r="BB227" i="38" s="1"/>
  <c r="AW220" i="38"/>
  <c r="AX220" i="38" s="1"/>
  <c r="BA227" i="38"/>
  <c r="H230" i="37"/>
  <c r="AW217" i="37"/>
  <c r="AX217" i="37" s="1"/>
  <c r="CF217" i="37" s="1"/>
  <c r="CB221" i="38"/>
  <c r="CE221" i="38"/>
  <c r="AV221" i="38"/>
  <c r="CB214" i="27"/>
  <c r="CE214" i="27"/>
  <c r="AV214" i="27"/>
  <c r="CB213" i="27"/>
  <c r="CE213" i="27"/>
  <c r="AV213" i="27"/>
  <c r="CB218" i="37"/>
  <c r="CE218" i="37"/>
  <c r="AV218" i="37"/>
  <c r="J245" i="37"/>
  <c r="M245" i="37"/>
  <c r="T217" i="39"/>
  <c r="CB217" i="39" s="1"/>
  <c r="H229" i="37"/>
  <c r="L231" i="40"/>
  <c r="AF218" i="40"/>
  <c r="AG217" i="40"/>
  <c r="AH217" i="40" s="1"/>
  <c r="AJ217" i="40"/>
  <c r="AG216" i="34"/>
  <c r="AH216" i="34" s="1"/>
  <c r="AF217" i="34"/>
  <c r="AO215" i="27"/>
  <c r="AP215" i="27" s="1"/>
  <c r="AQ216" i="27"/>
  <c r="G244" i="27" s="1"/>
  <c r="J244" i="27" s="1"/>
  <c r="AN216" i="27"/>
  <c r="AR215" i="27"/>
  <c r="AO216" i="38"/>
  <c r="AP216" i="38" s="1"/>
  <c r="AQ217" i="38"/>
  <c r="G245" i="38" s="1"/>
  <c r="AN217" i="38"/>
  <c r="AR216" i="38"/>
  <c r="J244" i="38"/>
  <c r="M244" i="38"/>
  <c r="L229" i="27"/>
  <c r="AF217" i="39"/>
  <c r="AG216" i="39"/>
  <c r="AH216" i="39" s="1"/>
  <c r="AJ216" i="39"/>
  <c r="I229" i="30"/>
  <c r="L229" i="30"/>
  <c r="AG215" i="30"/>
  <c r="AH215" i="30" s="1"/>
  <c r="AF216" i="30"/>
  <c r="I230" i="39"/>
  <c r="L230" i="39"/>
  <c r="AO217" i="37"/>
  <c r="AP217" i="37" s="1"/>
  <c r="AQ218" i="37"/>
  <c r="G246" i="37" s="1"/>
  <c r="AN218" i="37"/>
  <c r="K217" i="40"/>
  <c r="AT217" i="40" s="1"/>
  <c r="H217" i="40"/>
  <c r="AS217" i="40" s="1"/>
  <c r="H219" i="39"/>
  <c r="AS219" i="39" s="1"/>
  <c r="Y217" i="40"/>
  <c r="Z217" i="40" s="1"/>
  <c r="X218" i="40"/>
  <c r="AA218" i="40"/>
  <c r="E218" i="40" s="1"/>
  <c r="H218" i="40" s="1"/>
  <c r="AS218" i="40" s="1"/>
  <c r="AB217" i="40"/>
  <c r="AB216" i="34"/>
  <c r="AA217" i="34"/>
  <c r="E217" i="34" s="1"/>
  <c r="H217" i="34" s="1"/>
  <c r="X218" i="34"/>
  <c r="Y217" i="34"/>
  <c r="Z217" i="34" s="1"/>
  <c r="AA218" i="34"/>
  <c r="E218" i="34" s="1"/>
  <c r="H218" i="34" s="1"/>
  <c r="AB217" i="34"/>
  <c r="AJ215" i="27"/>
  <c r="AI216" i="27"/>
  <c r="F230" i="27" s="1"/>
  <c r="AI219" i="38"/>
  <c r="F233" i="38" s="1"/>
  <c r="AS218" i="39"/>
  <c r="Y219" i="39"/>
  <c r="Z219" i="39" s="1"/>
  <c r="AA220" i="39"/>
  <c r="E220" i="39" s="1"/>
  <c r="X220" i="39"/>
  <c r="Y215" i="30"/>
  <c r="Z215" i="30" s="1"/>
  <c r="AB215" i="30"/>
  <c r="X216" i="30"/>
  <c r="AA215" i="30"/>
  <c r="E215" i="30" s="1"/>
  <c r="H215" i="30" s="1"/>
  <c r="AB214" i="30"/>
  <c r="K214" i="30"/>
  <c r="AT214" i="30" s="1"/>
  <c r="AS213" i="30"/>
  <c r="T213" i="30"/>
  <c r="CB213" i="30" s="1"/>
  <c r="W244" i="40"/>
  <c r="W246" i="34"/>
  <c r="T215" i="34"/>
  <c r="CB215" i="34" s="1"/>
  <c r="Y230" i="37"/>
  <c r="Z230" i="37" s="1"/>
  <c r="X231" i="37"/>
  <c r="AA231" i="37"/>
  <c r="E231" i="37" s="1"/>
  <c r="AJ215" i="37"/>
  <c r="X231" i="38"/>
  <c r="Y230" i="38"/>
  <c r="Z230" i="38" s="1"/>
  <c r="AG216" i="27"/>
  <c r="AH216" i="27" s="1"/>
  <c r="AF217" i="27"/>
  <c r="AI217" i="27"/>
  <c r="F231" i="27" s="1"/>
  <c r="I231" i="27" s="1"/>
  <c r="Y230" i="27"/>
  <c r="Z230" i="27" s="1"/>
  <c r="AB230" i="27"/>
  <c r="X231" i="27"/>
  <c r="AG219" i="38"/>
  <c r="AH219" i="38" s="1"/>
  <c r="AF220" i="38"/>
  <c r="AG216" i="37"/>
  <c r="AH216" i="37" s="1"/>
  <c r="AF217" i="37"/>
  <c r="L230" i="37"/>
  <c r="L229" i="37"/>
  <c r="AS223" i="38"/>
  <c r="K223" i="38"/>
  <c r="AT223" i="38" s="1"/>
  <c r="T222" i="38"/>
  <c r="K216" i="27"/>
  <c r="AT216" i="27" s="1"/>
  <c r="AS216" i="27"/>
  <c r="T215" i="27"/>
  <c r="AS220" i="37"/>
  <c r="K220" i="37"/>
  <c r="AT220" i="37" s="1"/>
  <c r="T219" i="37"/>
  <c r="M247" i="39"/>
  <c r="M245" i="40"/>
  <c r="T216" i="40"/>
  <c r="CB216" i="40" s="1"/>
  <c r="AS216" i="34"/>
  <c r="K216" i="34"/>
  <c r="AT216" i="34" s="1"/>
  <c r="M244" i="40"/>
  <c r="K216" i="22"/>
  <c r="AA217" i="22"/>
  <c r="E217" i="22" s="1"/>
  <c r="AB216" i="22"/>
  <c r="Y217" i="22"/>
  <c r="Z217" i="22" s="1"/>
  <c r="X218" i="22"/>
  <c r="AZ218" i="37" l="1"/>
  <c r="BA218" i="37"/>
  <c r="AB230" i="37"/>
  <c r="BA217" i="37"/>
  <c r="BB217" i="37" s="1"/>
  <c r="AI217" i="39"/>
  <c r="F231" i="39" s="1"/>
  <c r="L231" i="39" s="1"/>
  <c r="AB219" i="39"/>
  <c r="T218" i="39"/>
  <c r="CB218" i="39" s="1"/>
  <c r="L230" i="34"/>
  <c r="M243" i="27"/>
  <c r="AJ216" i="34"/>
  <c r="AI220" i="38"/>
  <c r="F234" i="38" s="1"/>
  <c r="I234" i="38" s="1"/>
  <c r="AI218" i="40"/>
  <c r="F232" i="40" s="1"/>
  <c r="I232" i="40" s="1"/>
  <c r="AJ219" i="38"/>
  <c r="AR217" i="37"/>
  <c r="AJ216" i="27"/>
  <c r="AZ220" i="27"/>
  <c r="BB220" i="27" s="1"/>
  <c r="BA220" i="27"/>
  <c r="AW213" i="27"/>
  <c r="AX213" i="27" s="1"/>
  <c r="AI217" i="34"/>
  <c r="F231" i="34" s="1"/>
  <c r="I231" i="34" s="1"/>
  <c r="AZ221" i="27"/>
  <c r="BB221" i="27" s="1"/>
  <c r="BA221" i="27"/>
  <c r="AW214" i="27"/>
  <c r="AX214" i="27" s="1"/>
  <c r="BA228" i="38"/>
  <c r="AW221" i="38"/>
  <c r="AX221" i="38" s="1"/>
  <c r="AZ228" i="38"/>
  <c r="BB228" i="38" s="1"/>
  <c r="AW218" i="37"/>
  <c r="AX218" i="37" s="1"/>
  <c r="CF218" i="37" s="1"/>
  <c r="CB215" i="27"/>
  <c r="CE215" i="27"/>
  <c r="AV215" i="27"/>
  <c r="CB222" i="38"/>
  <c r="CE222" i="38"/>
  <c r="AV222" i="38"/>
  <c r="CB219" i="37"/>
  <c r="CE219" i="37"/>
  <c r="AV219" i="37"/>
  <c r="T217" i="40"/>
  <c r="CB217" i="40" s="1"/>
  <c r="J246" i="37"/>
  <c r="M246" i="37"/>
  <c r="AG217" i="34"/>
  <c r="AH217" i="34" s="1"/>
  <c r="AF218" i="34"/>
  <c r="AI218" i="34"/>
  <c r="F232" i="34" s="1"/>
  <c r="I232" i="34" s="1"/>
  <c r="AJ217" i="34"/>
  <c r="AG218" i="40"/>
  <c r="AH218" i="40" s="1"/>
  <c r="AF219" i="40"/>
  <c r="AO217" i="38"/>
  <c r="AP217" i="38" s="1"/>
  <c r="AQ218" i="38"/>
  <c r="G246" i="38" s="1"/>
  <c r="AN218" i="38"/>
  <c r="AR217" i="38"/>
  <c r="J245" i="38"/>
  <c r="M245" i="38"/>
  <c r="AO216" i="27"/>
  <c r="AP216" i="27" s="1"/>
  <c r="AQ217" i="27"/>
  <c r="G245" i="27" s="1"/>
  <c r="J245" i="27" s="1"/>
  <c r="AN217" i="27"/>
  <c r="AR216" i="27"/>
  <c r="AI216" i="30"/>
  <c r="F230" i="30" s="1"/>
  <c r="AJ215" i="30"/>
  <c r="AG216" i="30"/>
  <c r="AH216" i="30" s="1"/>
  <c r="AF217" i="30"/>
  <c r="I231" i="39"/>
  <c r="AI218" i="39"/>
  <c r="F232" i="39" s="1"/>
  <c r="AF218" i="39"/>
  <c r="AG217" i="39"/>
  <c r="AH217" i="39" s="1"/>
  <c r="AO218" i="37"/>
  <c r="AP218" i="37" s="1"/>
  <c r="AN219" i="37"/>
  <c r="AR218" i="37"/>
  <c r="K220" i="39"/>
  <c r="AT220" i="39" s="1"/>
  <c r="H220" i="39"/>
  <c r="AS220" i="39" s="1"/>
  <c r="K218" i="40"/>
  <c r="AT218" i="40" s="1"/>
  <c r="L233" i="38"/>
  <c r="I233" i="38"/>
  <c r="I230" i="27"/>
  <c r="H230" i="27" s="1"/>
  <c r="X219" i="34"/>
  <c r="Y218" i="34"/>
  <c r="Z218" i="34" s="1"/>
  <c r="AA219" i="34"/>
  <c r="E219" i="34" s="1"/>
  <c r="H219" i="34" s="1"/>
  <c r="AB218" i="34"/>
  <c r="X219" i="40"/>
  <c r="AA219" i="40"/>
  <c r="E219" i="40" s="1"/>
  <c r="H219" i="40" s="1"/>
  <c r="Y218" i="40"/>
  <c r="Z218" i="40" s="1"/>
  <c r="AA231" i="27"/>
  <c r="E231" i="27" s="1"/>
  <c r="H231" i="27" s="1"/>
  <c r="AB230" i="38"/>
  <c r="AA231" i="38"/>
  <c r="E231" i="38" s="1"/>
  <c r="H231" i="38" s="1"/>
  <c r="L230" i="27"/>
  <c r="Y220" i="39"/>
  <c r="Z220" i="39" s="1"/>
  <c r="AB220" i="39"/>
  <c r="X221" i="39"/>
  <c r="AS214" i="30"/>
  <c r="T214" i="30"/>
  <c r="CB214" i="30" s="1"/>
  <c r="T219" i="39"/>
  <c r="CB219" i="39" s="1"/>
  <c r="K215" i="30"/>
  <c r="AT215" i="30" s="1"/>
  <c r="X217" i="30"/>
  <c r="Y216" i="30"/>
  <c r="Z216" i="30" s="1"/>
  <c r="AA216" i="30"/>
  <c r="E216" i="30" s="1"/>
  <c r="H216" i="30" s="1"/>
  <c r="W245" i="40"/>
  <c r="W247" i="34"/>
  <c r="AJ216" i="37"/>
  <c r="AI217" i="37"/>
  <c r="F231" i="37" s="1"/>
  <c r="Y231" i="37"/>
  <c r="Z231" i="37" s="1"/>
  <c r="X232" i="37"/>
  <c r="AG220" i="38"/>
  <c r="AH220" i="38" s="1"/>
  <c r="AF221" i="38"/>
  <c r="Y231" i="27"/>
  <c r="Z231" i="27" s="1"/>
  <c r="X232" i="27"/>
  <c r="X232" i="38"/>
  <c r="AB231" i="38"/>
  <c r="Y231" i="38"/>
  <c r="Z231" i="38" s="1"/>
  <c r="AF218" i="27"/>
  <c r="AG217" i="27"/>
  <c r="AH217" i="27" s="1"/>
  <c r="AG217" i="37"/>
  <c r="AH217" i="37" s="1"/>
  <c r="AI218" i="37"/>
  <c r="F232" i="37" s="1"/>
  <c r="I232" i="37" s="1"/>
  <c r="AF218" i="37"/>
  <c r="L231" i="27"/>
  <c r="K224" i="38"/>
  <c r="AT224" i="38" s="1"/>
  <c r="AS224" i="38"/>
  <c r="K217" i="27"/>
  <c r="AT217" i="27" s="1"/>
  <c r="AS217" i="27"/>
  <c r="T216" i="27"/>
  <c r="M244" i="27"/>
  <c r="T223" i="38"/>
  <c r="AS221" i="37"/>
  <c r="K221" i="37"/>
  <c r="AT221" i="37" s="1"/>
  <c r="T220" i="37"/>
  <c r="M246" i="30"/>
  <c r="M248" i="39"/>
  <c r="M245" i="30"/>
  <c r="M244" i="34"/>
  <c r="K218" i="34"/>
  <c r="AT218" i="34" s="1"/>
  <c r="AS218" i="34"/>
  <c r="M246" i="40"/>
  <c r="T216" i="34"/>
  <c r="CB216" i="34" s="1"/>
  <c r="K217" i="34"/>
  <c r="AT217" i="34" s="1"/>
  <c r="AS217" i="34"/>
  <c r="M249" i="39"/>
  <c r="AA218" i="22"/>
  <c r="AB217" i="22"/>
  <c r="K217" i="22"/>
  <c r="Y218" i="22"/>
  <c r="Z218" i="22" s="1"/>
  <c r="X219" i="22"/>
  <c r="AZ219" i="37" l="1"/>
  <c r="AI217" i="30"/>
  <c r="F231" i="30" s="1"/>
  <c r="I231" i="30" s="1"/>
  <c r="BB218" i="37"/>
  <c r="AJ217" i="39"/>
  <c r="AJ217" i="37"/>
  <c r="L234" i="38"/>
  <c r="L232" i="40"/>
  <c r="AI221" i="38"/>
  <c r="F235" i="38" s="1"/>
  <c r="I235" i="38" s="1"/>
  <c r="AQ219" i="37"/>
  <c r="G247" i="37" s="1"/>
  <c r="M247" i="37" s="1"/>
  <c r="L231" i="34"/>
  <c r="BA229" i="38"/>
  <c r="AZ229" i="38"/>
  <c r="BB229" i="38" s="1"/>
  <c r="AW222" i="38"/>
  <c r="AX222" i="38" s="1"/>
  <c r="AA232" i="38"/>
  <c r="E232" i="38" s="1"/>
  <c r="H232" i="38" s="1"/>
  <c r="AJ218" i="40"/>
  <c r="AI219" i="40"/>
  <c r="F233" i="40" s="1"/>
  <c r="I233" i="40" s="1"/>
  <c r="BA222" i="27"/>
  <c r="AZ222" i="27"/>
  <c r="BB222" i="27" s="1"/>
  <c r="AW215" i="27"/>
  <c r="AX215" i="27" s="1"/>
  <c r="AW219" i="37"/>
  <c r="AX219" i="37" s="1"/>
  <c r="CF219" i="37" s="1"/>
  <c r="AA221" i="39"/>
  <c r="E221" i="39" s="1"/>
  <c r="H221" i="39" s="1"/>
  <c r="T218" i="40"/>
  <c r="CB218" i="40" s="1"/>
  <c r="CB223" i="38"/>
  <c r="CE223" i="38"/>
  <c r="AV223" i="38"/>
  <c r="CB216" i="27"/>
  <c r="CE216" i="27"/>
  <c r="AV216" i="27"/>
  <c r="CB220" i="37"/>
  <c r="CE220" i="37"/>
  <c r="AV220" i="37"/>
  <c r="AG219" i="40"/>
  <c r="AH219" i="40" s="1"/>
  <c r="AI220" i="40"/>
  <c r="F234" i="40" s="1"/>
  <c r="I234" i="40" s="1"/>
  <c r="AF220" i="40"/>
  <c r="L232" i="34"/>
  <c r="AG218" i="34"/>
  <c r="AH218" i="34" s="1"/>
  <c r="AI219" i="34"/>
  <c r="F233" i="34" s="1"/>
  <c r="I233" i="34" s="1"/>
  <c r="AF219" i="34"/>
  <c r="AO217" i="27"/>
  <c r="AP217" i="27" s="1"/>
  <c r="AN218" i="27"/>
  <c r="AQ218" i="27"/>
  <c r="G246" i="27" s="1"/>
  <c r="J246" i="27" s="1"/>
  <c r="AR217" i="27"/>
  <c r="AO218" i="38"/>
  <c r="AP218" i="38" s="1"/>
  <c r="AN219" i="38"/>
  <c r="J246" i="38"/>
  <c r="M246" i="38"/>
  <c r="AB231" i="27"/>
  <c r="AA232" i="27"/>
  <c r="E232" i="27" s="1"/>
  <c r="I232" i="39"/>
  <c r="L232" i="39"/>
  <c r="AG218" i="39"/>
  <c r="AH218" i="39" s="1"/>
  <c r="AF219" i="39"/>
  <c r="AJ216" i="30"/>
  <c r="AG217" i="30"/>
  <c r="AH217" i="30" s="1"/>
  <c r="AF218" i="30"/>
  <c r="T220" i="39"/>
  <c r="CB220" i="39" s="1"/>
  <c r="I230" i="30"/>
  <c r="L230" i="30"/>
  <c r="AO219" i="37"/>
  <c r="AP219" i="37" s="1"/>
  <c r="AN220" i="37"/>
  <c r="L231" i="37"/>
  <c r="I231" i="37"/>
  <c r="H231" i="37" s="1"/>
  <c r="AB218" i="40"/>
  <c r="AB219" i="40"/>
  <c r="X220" i="40"/>
  <c r="Y219" i="40"/>
  <c r="Z219" i="40" s="1"/>
  <c r="X220" i="34"/>
  <c r="Y219" i="34"/>
  <c r="Z219" i="34" s="1"/>
  <c r="AJ217" i="27"/>
  <c r="AI218" i="27"/>
  <c r="F232" i="27" s="1"/>
  <c r="I232" i="27" s="1"/>
  <c r="AJ220" i="38"/>
  <c r="K216" i="30"/>
  <c r="AT216" i="30" s="1"/>
  <c r="AA217" i="30"/>
  <c r="E217" i="30" s="1"/>
  <c r="H217" i="30" s="1"/>
  <c r="AB216" i="30"/>
  <c r="Y221" i="39"/>
  <c r="Z221" i="39" s="1"/>
  <c r="AB221" i="39"/>
  <c r="X222" i="39"/>
  <c r="Y217" i="30"/>
  <c r="Z217" i="30" s="1"/>
  <c r="X218" i="30"/>
  <c r="AS215" i="30"/>
  <c r="T215" i="30"/>
  <c r="CB215" i="30" s="1"/>
  <c r="AB231" i="37"/>
  <c r="AA232" i="37"/>
  <c r="E232" i="37" s="1"/>
  <c r="H232" i="37" s="1"/>
  <c r="W246" i="40"/>
  <c r="W248" i="34"/>
  <c r="X233" i="37"/>
  <c r="AA233" i="37"/>
  <c r="E233" i="37" s="1"/>
  <c r="AB232" i="37"/>
  <c r="Y232" i="37"/>
  <c r="Z232" i="37" s="1"/>
  <c r="Y232" i="27"/>
  <c r="Z232" i="27" s="1"/>
  <c r="X233" i="27"/>
  <c r="AG221" i="38"/>
  <c r="AH221" i="38" s="1"/>
  <c r="AI222" i="38"/>
  <c r="F236" i="38" s="1"/>
  <c r="I236" i="38" s="1"/>
  <c r="AJ221" i="38"/>
  <c r="AF222" i="38"/>
  <c r="AF219" i="27"/>
  <c r="AG218" i="27"/>
  <c r="AH218" i="27" s="1"/>
  <c r="AA233" i="38"/>
  <c r="E233" i="38" s="1"/>
  <c r="H233" i="38" s="1"/>
  <c r="X233" i="38"/>
  <c r="Y232" i="38"/>
  <c r="Z232" i="38" s="1"/>
  <c r="AG218" i="37"/>
  <c r="AH218" i="37" s="1"/>
  <c r="AF219" i="37"/>
  <c r="L232" i="37"/>
  <c r="E218" i="22"/>
  <c r="K218" i="22" s="1"/>
  <c r="K219" i="40"/>
  <c r="AT219" i="40" s="1"/>
  <c r="AS219" i="40"/>
  <c r="AS218" i="27"/>
  <c r="K218" i="27"/>
  <c r="AT218" i="27" s="1"/>
  <c r="AS225" i="38"/>
  <c r="K225" i="38"/>
  <c r="AT225" i="38" s="1"/>
  <c r="T217" i="27"/>
  <c r="M245" i="27"/>
  <c r="T224" i="38"/>
  <c r="T221" i="37"/>
  <c r="K222" i="37"/>
  <c r="AT222" i="37" s="1"/>
  <c r="AS222" i="37"/>
  <c r="T218" i="34"/>
  <c r="CB218" i="34" s="1"/>
  <c r="M247" i="40"/>
  <c r="M246" i="34"/>
  <c r="T217" i="34"/>
  <c r="CB217" i="34" s="1"/>
  <c r="M245" i="34"/>
  <c r="M250" i="39"/>
  <c r="AA219" i="22"/>
  <c r="E219" i="22" s="1"/>
  <c r="AB218" i="22"/>
  <c r="Y219" i="22"/>
  <c r="Z219" i="22" s="1"/>
  <c r="X220" i="22"/>
  <c r="AA222" i="39" l="1"/>
  <c r="E222" i="39" s="1"/>
  <c r="AI218" i="30"/>
  <c r="F232" i="30" s="1"/>
  <c r="L232" i="30" s="1"/>
  <c r="AJ218" i="39"/>
  <c r="AZ220" i="37"/>
  <c r="BA220" i="37" s="1"/>
  <c r="L231" i="30"/>
  <c r="BA219" i="37"/>
  <c r="BB219" i="37" s="1"/>
  <c r="AJ217" i="30"/>
  <c r="AI219" i="39"/>
  <c r="F233" i="39" s="1"/>
  <c r="I233" i="39" s="1"/>
  <c r="AA218" i="30"/>
  <c r="E218" i="30" s="1"/>
  <c r="H218" i="30" s="1"/>
  <c r="AJ218" i="37"/>
  <c r="L235" i="38"/>
  <c r="J247" i="37"/>
  <c r="AR218" i="38"/>
  <c r="AQ219" i="38"/>
  <c r="G247" i="38" s="1"/>
  <c r="J247" i="38" s="1"/>
  <c r="AA220" i="40"/>
  <c r="E220" i="40" s="1"/>
  <c r="H220" i="40" s="1"/>
  <c r="AS220" i="40" s="1"/>
  <c r="AJ219" i="40"/>
  <c r="AR219" i="37"/>
  <c r="AQ220" i="37"/>
  <c r="G248" i="37" s="1"/>
  <c r="J248" i="37" s="1"/>
  <c r="K221" i="39"/>
  <c r="AT221" i="39" s="1"/>
  <c r="L233" i="40"/>
  <c r="AA220" i="34"/>
  <c r="E220" i="34" s="1"/>
  <c r="H220" i="34" s="1"/>
  <c r="AZ223" i="27"/>
  <c r="BB223" i="27" s="1"/>
  <c r="BA223" i="27"/>
  <c r="AW216" i="27"/>
  <c r="AX216" i="27" s="1"/>
  <c r="AJ218" i="34"/>
  <c r="BA230" i="38"/>
  <c r="AZ230" i="38"/>
  <c r="BB230" i="38" s="1"/>
  <c r="AW223" i="38"/>
  <c r="AX223" i="38" s="1"/>
  <c r="AW220" i="37"/>
  <c r="AX220" i="37" s="1"/>
  <c r="CF220" i="37" s="1"/>
  <c r="AB217" i="30"/>
  <c r="H232" i="27"/>
  <c r="CB217" i="27"/>
  <c r="CE217" i="27"/>
  <c r="AV217" i="27"/>
  <c r="CB224" i="38"/>
  <c r="CE224" i="38"/>
  <c r="AV224" i="38"/>
  <c r="CB221" i="37"/>
  <c r="CE221" i="37"/>
  <c r="AV221" i="37"/>
  <c r="AF220" i="34"/>
  <c r="AG219" i="34"/>
  <c r="AH219" i="34" s="1"/>
  <c r="AJ219" i="34"/>
  <c r="AB219" i="34"/>
  <c r="AF221" i="40"/>
  <c r="AG220" i="40"/>
  <c r="AH220" i="40" s="1"/>
  <c r="AJ220" i="40"/>
  <c r="AO219" i="38"/>
  <c r="AP219" i="38" s="1"/>
  <c r="AQ220" i="38"/>
  <c r="G248" i="38" s="1"/>
  <c r="AN220" i="38"/>
  <c r="AR219" i="38"/>
  <c r="AO218" i="27"/>
  <c r="AP218" i="27" s="1"/>
  <c r="AN219" i="27"/>
  <c r="AG218" i="30"/>
  <c r="AH218" i="30" s="1"/>
  <c r="AF219" i="30"/>
  <c r="I232" i="30"/>
  <c r="AI220" i="39"/>
  <c r="F234" i="39" s="1"/>
  <c r="AF220" i="39"/>
  <c r="AG219" i="39"/>
  <c r="AH219" i="39" s="1"/>
  <c r="AJ219" i="39"/>
  <c r="AN221" i="37"/>
  <c r="AO220" i="37"/>
  <c r="AP220" i="37" s="1"/>
  <c r="L232" i="27"/>
  <c r="K222" i="39"/>
  <c r="AT222" i="39" s="1"/>
  <c r="H222" i="39"/>
  <c r="X221" i="34"/>
  <c r="Y220" i="34"/>
  <c r="Z220" i="34" s="1"/>
  <c r="X221" i="40"/>
  <c r="Y220" i="40"/>
  <c r="Z220" i="40" s="1"/>
  <c r="AB220" i="40"/>
  <c r="AA233" i="27"/>
  <c r="E233" i="27" s="1"/>
  <c r="AB232" i="27"/>
  <c r="AB232" i="38"/>
  <c r="K217" i="30"/>
  <c r="AT217" i="30" s="1"/>
  <c r="Y218" i="30"/>
  <c r="Z218" i="30" s="1"/>
  <c r="X219" i="30"/>
  <c r="Y222" i="39"/>
  <c r="Z222" i="39" s="1"/>
  <c r="AA223" i="39"/>
  <c r="E223" i="39" s="1"/>
  <c r="H223" i="39" s="1"/>
  <c r="AS223" i="39" s="1"/>
  <c r="AB222" i="39"/>
  <c r="X223" i="39"/>
  <c r="AS221" i="39"/>
  <c r="AS216" i="30"/>
  <c r="T216" i="30"/>
  <c r="CB216" i="30" s="1"/>
  <c r="T219" i="40"/>
  <c r="CB219" i="40" s="1"/>
  <c r="W247" i="40"/>
  <c r="W249" i="34"/>
  <c r="AI219" i="37"/>
  <c r="F233" i="37" s="1"/>
  <c r="I233" i="37" s="1"/>
  <c r="Y233" i="37"/>
  <c r="Z233" i="37" s="1"/>
  <c r="X234" i="37"/>
  <c r="AB233" i="37"/>
  <c r="AG222" i="38"/>
  <c r="AH222" i="38" s="1"/>
  <c r="AI223" i="38"/>
  <c r="F237" i="38" s="1"/>
  <c r="I237" i="38" s="1"/>
  <c r="AF223" i="38"/>
  <c r="L236" i="38"/>
  <c r="AI220" i="27"/>
  <c r="F234" i="27" s="1"/>
  <c r="I234" i="27" s="1"/>
  <c r="AF220" i="27"/>
  <c r="AG219" i="27"/>
  <c r="AH219" i="27" s="1"/>
  <c r="AJ218" i="27"/>
  <c r="AI219" i="27"/>
  <c r="F233" i="27" s="1"/>
  <c r="Y233" i="27"/>
  <c r="Z233" i="27" s="1"/>
  <c r="AB233" i="27"/>
  <c r="AA234" i="27"/>
  <c r="E234" i="27" s="1"/>
  <c r="X234" i="27"/>
  <c r="X234" i="38"/>
  <c r="Y233" i="38"/>
  <c r="Z233" i="38" s="1"/>
  <c r="AG219" i="37"/>
  <c r="AH219" i="37" s="1"/>
  <c r="AI220" i="37"/>
  <c r="F234" i="37" s="1"/>
  <c r="I234" i="37" s="1"/>
  <c r="AF220" i="37"/>
  <c r="L233" i="34"/>
  <c r="L234" i="40"/>
  <c r="T225" i="38"/>
  <c r="K219" i="27"/>
  <c r="AT219" i="27" s="1"/>
  <c r="AS219" i="27"/>
  <c r="T218" i="27"/>
  <c r="M246" i="27"/>
  <c r="T222" i="37"/>
  <c r="M247" i="30"/>
  <c r="K219" i="34"/>
  <c r="AT219" i="34" s="1"/>
  <c r="AS219" i="34"/>
  <c r="AA220" i="22"/>
  <c r="E220" i="22" s="1"/>
  <c r="AB219" i="22"/>
  <c r="K219" i="22"/>
  <c r="X221" i="22"/>
  <c r="Y220" i="22"/>
  <c r="Z220" i="22" s="1"/>
  <c r="K218" i="30" l="1"/>
  <c r="AT218" i="30" s="1"/>
  <c r="AJ219" i="37"/>
  <c r="AZ221" i="37"/>
  <c r="BB220" i="37"/>
  <c r="L233" i="39"/>
  <c r="AA234" i="37"/>
  <c r="E234" i="37" s="1"/>
  <c r="H234" i="37" s="1"/>
  <c r="AI219" i="30"/>
  <c r="F233" i="30" s="1"/>
  <c r="I233" i="30" s="1"/>
  <c r="K220" i="40"/>
  <c r="AT220" i="40" s="1"/>
  <c r="M248" i="37"/>
  <c r="T221" i="39"/>
  <c r="CB221" i="39" s="1"/>
  <c r="M247" i="38"/>
  <c r="AQ219" i="27"/>
  <c r="G247" i="27" s="1"/>
  <c r="J247" i="27" s="1"/>
  <c r="AJ222" i="38"/>
  <c r="AR218" i="27"/>
  <c r="AJ218" i="30"/>
  <c r="T222" i="39"/>
  <c r="CB222" i="39" s="1"/>
  <c r="AZ224" i="27"/>
  <c r="BB224" i="27" s="1"/>
  <c r="BA224" i="27"/>
  <c r="AW217" i="27"/>
  <c r="AX217" i="27" s="1"/>
  <c r="AI221" i="40"/>
  <c r="F235" i="40" s="1"/>
  <c r="I235" i="40" s="1"/>
  <c r="AZ231" i="38"/>
  <c r="BB231" i="38" s="1"/>
  <c r="BA231" i="38"/>
  <c r="AW224" i="38"/>
  <c r="AX224" i="38" s="1"/>
  <c r="AA221" i="40"/>
  <c r="E221" i="40" s="1"/>
  <c r="K221" i="40" s="1"/>
  <c r="AT221" i="40" s="1"/>
  <c r="AW221" i="37"/>
  <c r="AX221" i="37" s="1"/>
  <c r="CF221" i="37" s="1"/>
  <c r="AR220" i="37"/>
  <c r="CB218" i="27"/>
  <c r="CE218" i="27"/>
  <c r="AV218" i="27"/>
  <c r="CB225" i="38"/>
  <c r="CE225" i="38"/>
  <c r="AV225" i="38"/>
  <c r="CB222" i="37"/>
  <c r="CE222" i="37"/>
  <c r="AV222" i="37"/>
  <c r="AS222" i="39"/>
  <c r="H233" i="37"/>
  <c r="AG221" i="40"/>
  <c r="AH221" i="40" s="1"/>
  <c r="AF222" i="40"/>
  <c r="AI220" i="34"/>
  <c r="F234" i="34" s="1"/>
  <c r="I234" i="34" s="1"/>
  <c r="AG220" i="34"/>
  <c r="AH220" i="34" s="1"/>
  <c r="AF221" i="34"/>
  <c r="AI221" i="34"/>
  <c r="F235" i="34" s="1"/>
  <c r="I235" i="34" s="1"/>
  <c r="AO219" i="27"/>
  <c r="AP219" i="27" s="1"/>
  <c r="AQ220" i="27"/>
  <c r="G248" i="27" s="1"/>
  <c r="J248" i="27" s="1"/>
  <c r="AN220" i="27"/>
  <c r="AR219" i="27"/>
  <c r="AO220" i="38"/>
  <c r="AP220" i="38" s="1"/>
  <c r="AN221" i="38"/>
  <c r="AQ221" i="38"/>
  <c r="G249" i="38" s="1"/>
  <c r="AR220" i="38"/>
  <c r="J248" i="38"/>
  <c r="M248" i="38"/>
  <c r="I234" i="39"/>
  <c r="L234" i="39"/>
  <c r="AF221" i="39"/>
  <c r="AG220" i="39"/>
  <c r="AH220" i="39" s="1"/>
  <c r="AG219" i="30"/>
  <c r="AH219" i="30" s="1"/>
  <c r="AF220" i="30"/>
  <c r="AI220" i="30"/>
  <c r="F234" i="30" s="1"/>
  <c r="K223" i="39"/>
  <c r="AT223" i="39" s="1"/>
  <c r="AO221" i="37"/>
  <c r="AP221" i="37" s="1"/>
  <c r="AN222" i="37"/>
  <c r="AQ222" i="37"/>
  <c r="G250" i="37" s="1"/>
  <c r="AR221" i="37"/>
  <c r="AQ221" i="37"/>
  <c r="G249" i="37" s="1"/>
  <c r="L233" i="27"/>
  <c r="I233" i="27"/>
  <c r="H233" i="27" s="1"/>
  <c r="H234" i="27"/>
  <c r="X222" i="40"/>
  <c r="Y221" i="40"/>
  <c r="Z221" i="40" s="1"/>
  <c r="AA222" i="40"/>
  <c r="E222" i="40" s="1"/>
  <c r="AB221" i="40"/>
  <c r="AA221" i="34"/>
  <c r="E221" i="34" s="1"/>
  <c r="H221" i="34" s="1"/>
  <c r="AS221" i="34" s="1"/>
  <c r="AB220" i="34"/>
  <c r="X222" i="34"/>
  <c r="Y221" i="34"/>
  <c r="Z221" i="34" s="1"/>
  <c r="AA234" i="38"/>
  <c r="E234" i="38" s="1"/>
  <c r="H234" i="38" s="1"/>
  <c r="AA219" i="30"/>
  <c r="E219" i="30" s="1"/>
  <c r="H219" i="30" s="1"/>
  <c r="AB218" i="30"/>
  <c r="Y223" i="39"/>
  <c r="Z223" i="39" s="1"/>
  <c r="X224" i="39"/>
  <c r="AB223" i="39"/>
  <c r="AS217" i="30"/>
  <c r="T217" i="30"/>
  <c r="CB217" i="30" s="1"/>
  <c r="AS218" i="30"/>
  <c r="T218" i="30"/>
  <c r="CB218" i="30" s="1"/>
  <c r="Y219" i="30"/>
  <c r="Z219" i="30" s="1"/>
  <c r="AA220" i="30"/>
  <c r="E220" i="30" s="1"/>
  <c r="H220" i="30" s="1"/>
  <c r="X220" i="30"/>
  <c r="L233" i="37"/>
  <c r="W248" i="40"/>
  <c r="W250" i="34"/>
  <c r="Y234" i="37"/>
  <c r="Z234" i="37" s="1"/>
  <c r="AB234" i="37"/>
  <c r="AA235" i="37"/>
  <c r="E235" i="37" s="1"/>
  <c r="X235" i="37"/>
  <c r="Y234" i="27"/>
  <c r="Z234" i="27" s="1"/>
  <c r="AA235" i="27"/>
  <c r="E235" i="27" s="1"/>
  <c r="X235" i="27"/>
  <c r="AJ219" i="27"/>
  <c r="AB233" i="38"/>
  <c r="AG223" i="38"/>
  <c r="AH223" i="38" s="1"/>
  <c r="AJ223" i="38"/>
  <c r="AF224" i="38"/>
  <c r="L237" i="38"/>
  <c r="X235" i="38"/>
  <c r="Y234" i="38"/>
  <c r="Z234" i="38" s="1"/>
  <c r="AG220" i="27"/>
  <c r="AH220" i="27" s="1"/>
  <c r="AI221" i="27"/>
  <c r="F235" i="27" s="1"/>
  <c r="I235" i="27" s="1"/>
  <c r="AF221" i="27"/>
  <c r="AJ220" i="27"/>
  <c r="AG220" i="37"/>
  <c r="AH220" i="37" s="1"/>
  <c r="AF221" i="37"/>
  <c r="L234" i="37"/>
  <c r="T219" i="27"/>
  <c r="K227" i="38"/>
  <c r="AT227" i="38" s="1"/>
  <c r="AS227" i="38"/>
  <c r="AS226" i="38"/>
  <c r="K226" i="38"/>
  <c r="AT226" i="38" s="1"/>
  <c r="K223" i="37"/>
  <c r="AT223" i="37" s="1"/>
  <c r="AS223" i="37"/>
  <c r="K224" i="37"/>
  <c r="AT224" i="37" s="1"/>
  <c r="AS224" i="37"/>
  <c r="M248" i="30"/>
  <c r="M248" i="40"/>
  <c r="M249" i="40"/>
  <c r="M247" i="34"/>
  <c r="T219" i="34"/>
  <c r="CB219" i="34" s="1"/>
  <c r="K220" i="34"/>
  <c r="AT220" i="34" s="1"/>
  <c r="AS220" i="34"/>
  <c r="K220" i="22"/>
  <c r="AB220" i="22"/>
  <c r="AA221" i="22"/>
  <c r="E221" i="22" s="1"/>
  <c r="Y221" i="22"/>
  <c r="Z221" i="22" s="1"/>
  <c r="X222" i="22"/>
  <c r="AI221" i="37" l="1"/>
  <c r="F235" i="37" s="1"/>
  <c r="I235" i="37" s="1"/>
  <c r="AJ220" i="37"/>
  <c r="L233" i="30"/>
  <c r="BA221" i="37"/>
  <c r="BB221" i="37" s="1"/>
  <c r="AZ222" i="37"/>
  <c r="BA222" i="37" s="1"/>
  <c r="AB219" i="30"/>
  <c r="T220" i="40"/>
  <c r="CB220" i="40" s="1"/>
  <c r="M247" i="27"/>
  <c r="AI222" i="40"/>
  <c r="F236" i="40" s="1"/>
  <c r="I236" i="40" s="1"/>
  <c r="H221" i="40"/>
  <c r="AS221" i="40" s="1"/>
  <c r="AJ221" i="40"/>
  <c r="AJ220" i="39"/>
  <c r="AI221" i="39"/>
  <c r="F235" i="39" s="1"/>
  <c r="I235" i="39" s="1"/>
  <c r="L235" i="40"/>
  <c r="AZ225" i="27"/>
  <c r="BB225" i="27" s="1"/>
  <c r="AW218" i="27"/>
  <c r="AX218" i="27" s="1"/>
  <c r="BA225" i="27"/>
  <c r="AB234" i="38"/>
  <c r="L234" i="34"/>
  <c r="BA232" i="38"/>
  <c r="AW225" i="38"/>
  <c r="AX225" i="38" s="1"/>
  <c r="AZ232" i="38"/>
  <c r="BB232" i="38" s="1"/>
  <c r="AJ220" i="34"/>
  <c r="H235" i="37"/>
  <c r="AJ219" i="30"/>
  <c r="AW222" i="37"/>
  <c r="AX222" i="37" s="1"/>
  <c r="CF222" i="37" s="1"/>
  <c r="AA224" i="39"/>
  <c r="E224" i="39" s="1"/>
  <c r="H224" i="39" s="1"/>
  <c r="CB219" i="27"/>
  <c r="CE219" i="27"/>
  <c r="AV219" i="27"/>
  <c r="J250" i="37"/>
  <c r="M250" i="37"/>
  <c r="J249" i="37"/>
  <c r="M249" i="37"/>
  <c r="AG221" i="34"/>
  <c r="AH221" i="34" s="1"/>
  <c r="AF222" i="34"/>
  <c r="AJ221" i="34"/>
  <c r="AG222" i="40"/>
  <c r="AH222" i="40" s="1"/>
  <c r="AF223" i="40"/>
  <c r="J249" i="38"/>
  <c r="M249" i="38"/>
  <c r="AO221" i="38"/>
  <c r="AP221" i="38" s="1"/>
  <c r="AQ222" i="38"/>
  <c r="G250" i="38" s="1"/>
  <c r="AN222" i="38"/>
  <c r="AR221" i="38"/>
  <c r="AN221" i="27"/>
  <c r="AO220" i="27"/>
  <c r="AP220" i="27" s="1"/>
  <c r="AR220" i="27"/>
  <c r="H235" i="27"/>
  <c r="AB234" i="27"/>
  <c r="AG220" i="30"/>
  <c r="AH220" i="30" s="1"/>
  <c r="AF221" i="30"/>
  <c r="I234" i="30"/>
  <c r="L234" i="30"/>
  <c r="AF222" i="39"/>
  <c r="AG221" i="39"/>
  <c r="AH221" i="39" s="1"/>
  <c r="T223" i="39"/>
  <c r="CB223" i="39" s="1"/>
  <c r="AO222" i="37"/>
  <c r="AP222" i="37" s="1"/>
  <c r="AN223" i="37"/>
  <c r="AQ223" i="37"/>
  <c r="K222" i="40"/>
  <c r="AT222" i="40" s="1"/>
  <c r="H222" i="40"/>
  <c r="X223" i="34"/>
  <c r="Y222" i="34"/>
  <c r="Z222" i="34" s="1"/>
  <c r="AB221" i="34"/>
  <c r="AA222" i="34"/>
  <c r="E222" i="34" s="1"/>
  <c r="AB222" i="40"/>
  <c r="X223" i="40"/>
  <c r="AA223" i="40"/>
  <c r="E223" i="40" s="1"/>
  <c r="H223" i="40" s="1"/>
  <c r="Y222" i="40"/>
  <c r="Z222" i="40" s="1"/>
  <c r="Y224" i="39"/>
  <c r="Z224" i="39" s="1"/>
  <c r="AB224" i="39"/>
  <c r="X225" i="39"/>
  <c r="K220" i="30"/>
  <c r="AT220" i="30" s="1"/>
  <c r="X221" i="30"/>
  <c r="Y220" i="30"/>
  <c r="Z220" i="30" s="1"/>
  <c r="K219" i="30"/>
  <c r="AT219" i="30" s="1"/>
  <c r="W249" i="40"/>
  <c r="K221" i="34"/>
  <c r="AT221" i="34" s="1"/>
  <c r="Y235" i="37"/>
  <c r="Z235" i="37" s="1"/>
  <c r="X236" i="37"/>
  <c r="X236" i="38"/>
  <c r="AB235" i="38"/>
  <c r="Y235" i="38"/>
  <c r="Z235" i="38" s="1"/>
  <c r="AA235" i="38"/>
  <c r="E235" i="38" s="1"/>
  <c r="H235" i="38" s="1"/>
  <c r="Y235" i="27"/>
  <c r="Z235" i="27" s="1"/>
  <c r="AB235" i="27"/>
  <c r="X236" i="27"/>
  <c r="AG221" i="27"/>
  <c r="AH221" i="27" s="1"/>
  <c r="AF222" i="27"/>
  <c r="AG224" i="38"/>
  <c r="AH224" i="38" s="1"/>
  <c r="AF225" i="38"/>
  <c r="AJ224" i="38"/>
  <c r="AI224" i="38"/>
  <c r="F238" i="38" s="1"/>
  <c r="I238" i="38" s="1"/>
  <c r="L235" i="37"/>
  <c r="AG221" i="37"/>
  <c r="AH221" i="37" s="1"/>
  <c r="AJ221" i="37"/>
  <c r="AF222" i="37"/>
  <c r="L235" i="34"/>
  <c r="L235" i="27"/>
  <c r="L234" i="27"/>
  <c r="T226" i="38"/>
  <c r="K220" i="27"/>
  <c r="AT220" i="27" s="1"/>
  <c r="AS220" i="27"/>
  <c r="T227" i="38"/>
  <c r="K228" i="38"/>
  <c r="AT228" i="38" s="1"/>
  <c r="AS228" i="38"/>
  <c r="AS221" i="27"/>
  <c r="K221" i="27"/>
  <c r="AT221" i="27" s="1"/>
  <c r="T223" i="37"/>
  <c r="T224" i="37"/>
  <c r="AS225" i="37"/>
  <c r="K225" i="37"/>
  <c r="AT225" i="37" s="1"/>
  <c r="M249" i="30"/>
  <c r="M250" i="40"/>
  <c r="T220" i="34"/>
  <c r="CB220" i="34" s="1"/>
  <c r="M248" i="34"/>
  <c r="M249" i="34"/>
  <c r="AB221" i="22"/>
  <c r="AA222" i="22"/>
  <c r="E222" i="22" s="1"/>
  <c r="K221" i="22"/>
  <c r="X223" i="22"/>
  <c r="Y222" i="22"/>
  <c r="Z222" i="22" s="1"/>
  <c r="BB222" i="37" l="1"/>
  <c r="AA236" i="37"/>
  <c r="E236" i="37" s="1"/>
  <c r="AJ221" i="39"/>
  <c r="AJ220" i="30"/>
  <c r="AI221" i="30"/>
  <c r="F235" i="30" s="1"/>
  <c r="I235" i="30" s="1"/>
  <c r="AB235" i="37"/>
  <c r="L236" i="40"/>
  <c r="T221" i="40"/>
  <c r="CB221" i="40" s="1"/>
  <c r="AJ222" i="40"/>
  <c r="AI223" i="40"/>
  <c r="F237" i="40" s="1"/>
  <c r="I237" i="40" s="1"/>
  <c r="AA223" i="34"/>
  <c r="E223" i="34" s="1"/>
  <c r="H223" i="34" s="1"/>
  <c r="AS223" i="34" s="1"/>
  <c r="AI222" i="39"/>
  <c r="F236" i="39" s="1"/>
  <c r="I236" i="39" s="1"/>
  <c r="L235" i="39"/>
  <c r="AB222" i="34"/>
  <c r="AQ221" i="27"/>
  <c r="G249" i="27" s="1"/>
  <c r="J249" i="27" s="1"/>
  <c r="AW219" i="27"/>
  <c r="AX219" i="27" s="1"/>
  <c r="AZ226" i="27"/>
  <c r="BB226" i="27" s="1"/>
  <c r="BA226" i="27"/>
  <c r="AI225" i="38"/>
  <c r="F239" i="38" s="1"/>
  <c r="I239" i="38" s="1"/>
  <c r="AA221" i="30"/>
  <c r="E221" i="30" s="1"/>
  <c r="H221" i="30" s="1"/>
  <c r="K224" i="39"/>
  <c r="AT224" i="39" s="1"/>
  <c r="AR222" i="37"/>
  <c r="T222" i="40"/>
  <c r="CB222" i="40" s="1"/>
  <c r="CB226" i="38"/>
  <c r="CE226" i="38"/>
  <c r="AV226" i="38"/>
  <c r="AS222" i="40"/>
  <c r="CB227" i="38"/>
  <c r="CE227" i="38"/>
  <c r="AV227" i="38"/>
  <c r="CB224" i="37"/>
  <c r="CE224" i="37"/>
  <c r="AV224" i="37"/>
  <c r="CB223" i="37"/>
  <c r="CE223" i="37"/>
  <c r="AV223" i="37"/>
  <c r="AG223" i="40"/>
  <c r="AH223" i="40" s="1"/>
  <c r="AI224" i="40"/>
  <c r="F238" i="40" s="1"/>
  <c r="I238" i="40" s="1"/>
  <c r="AF224" i="40"/>
  <c r="AJ223" i="40"/>
  <c r="AG222" i="34"/>
  <c r="AH222" i="34" s="1"/>
  <c r="AI223" i="34"/>
  <c r="F237" i="34" s="1"/>
  <c r="I237" i="34" s="1"/>
  <c r="AF223" i="34"/>
  <c r="AJ222" i="34"/>
  <c r="AI222" i="34"/>
  <c r="F236" i="34" s="1"/>
  <c r="I236" i="34" s="1"/>
  <c r="AO221" i="27"/>
  <c r="AP221" i="27" s="1"/>
  <c r="AN222" i="27"/>
  <c r="AO222" i="38"/>
  <c r="AP222" i="38" s="1"/>
  <c r="AN223" i="38"/>
  <c r="AQ223" i="38"/>
  <c r="AR222" i="38"/>
  <c r="J250" i="38"/>
  <c r="M250" i="38"/>
  <c r="AA236" i="27"/>
  <c r="E236" i="27" s="1"/>
  <c r="AG222" i="39"/>
  <c r="AH222" i="39" s="1"/>
  <c r="AI223" i="39"/>
  <c r="F237" i="39" s="1"/>
  <c r="AF223" i="39"/>
  <c r="AJ222" i="39"/>
  <c r="AG221" i="30"/>
  <c r="AH221" i="30" s="1"/>
  <c r="AF222" i="30"/>
  <c r="AA225" i="39"/>
  <c r="E225" i="39" s="1"/>
  <c r="H225" i="39" s="1"/>
  <c r="AO223" i="37"/>
  <c r="AP223" i="37" s="1"/>
  <c r="AN224" i="37"/>
  <c r="AQ224" i="37"/>
  <c r="AR223" i="37"/>
  <c r="H222" i="34"/>
  <c r="AS222" i="34" s="1"/>
  <c r="Y223" i="40"/>
  <c r="Z223" i="40" s="1"/>
  <c r="X224" i="40"/>
  <c r="X224" i="34"/>
  <c r="Y223" i="34"/>
  <c r="Z223" i="34" s="1"/>
  <c r="AI222" i="27"/>
  <c r="F236" i="27" s="1"/>
  <c r="I236" i="27" s="1"/>
  <c r="AA236" i="38"/>
  <c r="E236" i="38" s="1"/>
  <c r="H236" i="38" s="1"/>
  <c r="AS220" i="30"/>
  <c r="T220" i="30"/>
  <c r="CB220" i="30" s="1"/>
  <c r="T219" i="30"/>
  <c r="CB219" i="30" s="1"/>
  <c r="AS219" i="30"/>
  <c r="AS224" i="39"/>
  <c r="Y225" i="39"/>
  <c r="Z225" i="39" s="1"/>
  <c r="AA226" i="39"/>
  <c r="E226" i="39" s="1"/>
  <c r="X226" i="39"/>
  <c r="AB225" i="39"/>
  <c r="X222" i="30"/>
  <c r="Y221" i="30"/>
  <c r="Z221" i="30" s="1"/>
  <c r="AB220" i="30"/>
  <c r="T221" i="34"/>
  <c r="CB221" i="34" s="1"/>
  <c r="W250" i="40"/>
  <c r="K222" i="34"/>
  <c r="AT222" i="34" s="1"/>
  <c r="X237" i="37"/>
  <c r="AA237" i="37"/>
  <c r="E237" i="37" s="1"/>
  <c r="Y236" i="37"/>
  <c r="Z236" i="37" s="1"/>
  <c r="AI222" i="37"/>
  <c r="F236" i="37" s="1"/>
  <c r="I236" i="37" s="1"/>
  <c r="AG225" i="38"/>
  <c r="AH225" i="38" s="1"/>
  <c r="AI226" i="38"/>
  <c r="F240" i="38" s="1"/>
  <c r="I240" i="38" s="1"/>
  <c r="AJ225" i="38"/>
  <c r="AF226" i="38"/>
  <c r="AG222" i="27"/>
  <c r="AH222" i="27" s="1"/>
  <c r="AF223" i="27"/>
  <c r="AJ221" i="27"/>
  <c r="L238" i="38"/>
  <c r="Y236" i="27"/>
  <c r="Z236" i="27" s="1"/>
  <c r="X237" i="27"/>
  <c r="Y236" i="38"/>
  <c r="Z236" i="38" s="1"/>
  <c r="AB236" i="38"/>
  <c r="AA237" i="38"/>
  <c r="E237" i="38" s="1"/>
  <c r="H237" i="38" s="1"/>
  <c r="X237" i="38"/>
  <c r="AG222" i="37"/>
  <c r="AH222" i="37" s="1"/>
  <c r="AF223" i="37"/>
  <c r="K222" i="27"/>
  <c r="AT222" i="27" s="1"/>
  <c r="AS222" i="27"/>
  <c r="T228" i="38"/>
  <c r="T221" i="27"/>
  <c r="T220" i="27"/>
  <c r="K229" i="38"/>
  <c r="AT229" i="38" s="1"/>
  <c r="AS229" i="38"/>
  <c r="M248" i="27"/>
  <c r="T225" i="37"/>
  <c r="AS226" i="37"/>
  <c r="K226" i="37"/>
  <c r="AT226" i="37" s="1"/>
  <c r="M250" i="30"/>
  <c r="AS223" i="40"/>
  <c r="K223" i="40"/>
  <c r="AT223" i="40" s="1"/>
  <c r="M250" i="34"/>
  <c r="K222" i="22"/>
  <c r="AB222" i="22"/>
  <c r="AA223" i="22"/>
  <c r="Y223" i="22"/>
  <c r="Z223" i="22" s="1"/>
  <c r="X224" i="22"/>
  <c r="BQ239" i="22"/>
  <c r="AZ223" i="37" l="1"/>
  <c r="L235" i="30"/>
  <c r="AZ224" i="37"/>
  <c r="AB236" i="37"/>
  <c r="AJ222" i="37"/>
  <c r="AJ221" i="30"/>
  <c r="AI222" i="30"/>
  <c r="F236" i="30" s="1"/>
  <c r="L236" i="30" s="1"/>
  <c r="AI223" i="37"/>
  <c r="F237" i="37" s="1"/>
  <c r="I237" i="37" s="1"/>
  <c r="L237" i="40"/>
  <c r="K223" i="34"/>
  <c r="AT223" i="34" s="1"/>
  <c r="L236" i="39"/>
  <c r="M249" i="27"/>
  <c r="AA224" i="40"/>
  <c r="E224" i="40" s="1"/>
  <c r="H224" i="40" s="1"/>
  <c r="AS224" i="40" s="1"/>
  <c r="T224" i="39"/>
  <c r="CB224" i="39" s="1"/>
  <c r="AA222" i="30"/>
  <c r="E222" i="30" s="1"/>
  <c r="H222" i="30" s="1"/>
  <c r="K221" i="30"/>
  <c r="AT221" i="30" s="1"/>
  <c r="L239" i="38"/>
  <c r="AB223" i="40"/>
  <c r="AW226" i="38"/>
  <c r="AX226" i="38" s="1"/>
  <c r="BA233" i="38"/>
  <c r="AZ233" i="38"/>
  <c r="BB233" i="38" s="1"/>
  <c r="AR221" i="27"/>
  <c r="AQ222" i="27"/>
  <c r="G250" i="27" s="1"/>
  <c r="J250" i="27" s="1"/>
  <c r="BA234" i="38"/>
  <c r="AW227" i="38"/>
  <c r="AX227" i="38" s="1"/>
  <c r="AZ234" i="38"/>
  <c r="BB234" i="38" s="1"/>
  <c r="AW224" i="37"/>
  <c r="AX224" i="37" s="1"/>
  <c r="CF224" i="37" s="1"/>
  <c r="AW223" i="37"/>
  <c r="AX223" i="37" s="1"/>
  <c r="CF223" i="37" s="1"/>
  <c r="CB220" i="27"/>
  <c r="CE220" i="27"/>
  <c r="AV220" i="27"/>
  <c r="CB221" i="27"/>
  <c r="CE221" i="27"/>
  <c r="AV221" i="27"/>
  <c r="CB228" i="38"/>
  <c r="CE228" i="38"/>
  <c r="AV228" i="38"/>
  <c r="CB225" i="37"/>
  <c r="CE225" i="37"/>
  <c r="AV225" i="37"/>
  <c r="H237" i="37"/>
  <c r="H236" i="37"/>
  <c r="L236" i="34"/>
  <c r="AG223" i="34"/>
  <c r="AH223" i="34" s="1"/>
  <c r="AI224" i="34"/>
  <c r="F238" i="34" s="1"/>
  <c r="I238" i="34" s="1"/>
  <c r="AF224" i="34"/>
  <c r="L238" i="40"/>
  <c r="AG224" i="40"/>
  <c r="AH224" i="40" s="1"/>
  <c r="AI225" i="40"/>
  <c r="F239" i="40" s="1"/>
  <c r="I239" i="40" s="1"/>
  <c r="AF225" i="40"/>
  <c r="AJ224" i="40"/>
  <c r="AO223" i="38"/>
  <c r="AP223" i="38" s="1"/>
  <c r="AQ224" i="38"/>
  <c r="AN224" i="38"/>
  <c r="AR223" i="38"/>
  <c r="AO222" i="27"/>
  <c r="AP222" i="27" s="1"/>
  <c r="AN223" i="27"/>
  <c r="AS225" i="39"/>
  <c r="AF223" i="30"/>
  <c r="AG222" i="30"/>
  <c r="AH222" i="30" s="1"/>
  <c r="K225" i="39"/>
  <c r="AT225" i="39" s="1"/>
  <c r="AG223" i="39"/>
  <c r="AH223" i="39" s="1"/>
  <c r="AF224" i="39"/>
  <c r="AI224" i="39"/>
  <c r="F238" i="39" s="1"/>
  <c r="AJ223" i="39"/>
  <c r="I237" i="39"/>
  <c r="L237" i="39"/>
  <c r="L236" i="37"/>
  <c r="AN225" i="37"/>
  <c r="AO224" i="37"/>
  <c r="AP224" i="37" s="1"/>
  <c r="L236" i="27"/>
  <c r="K226" i="39"/>
  <c r="AT226" i="39" s="1"/>
  <c r="H226" i="39"/>
  <c r="AS226" i="39" s="1"/>
  <c r="H236" i="27"/>
  <c r="AA224" i="34"/>
  <c r="E224" i="34" s="1"/>
  <c r="H224" i="34" s="1"/>
  <c r="AS224" i="34" s="1"/>
  <c r="AB223" i="34"/>
  <c r="X225" i="34"/>
  <c r="Y224" i="34"/>
  <c r="Z224" i="34" s="1"/>
  <c r="AA225" i="34"/>
  <c r="E225" i="34" s="1"/>
  <c r="H225" i="34" s="1"/>
  <c r="AB224" i="34"/>
  <c r="AA225" i="40"/>
  <c r="E225" i="40" s="1"/>
  <c r="AB224" i="40"/>
  <c r="Y224" i="40"/>
  <c r="Z224" i="40" s="1"/>
  <c r="X225" i="40"/>
  <c r="T222" i="34"/>
  <c r="CB222" i="34" s="1"/>
  <c r="AJ222" i="27"/>
  <c r="AB236" i="27"/>
  <c r="Y226" i="39"/>
  <c r="Z226" i="39" s="1"/>
  <c r="AA227" i="39"/>
  <c r="E227" i="39" s="1"/>
  <c r="H227" i="39" s="1"/>
  <c r="AS227" i="39" s="1"/>
  <c r="X227" i="39"/>
  <c r="X223" i="30"/>
  <c r="Y222" i="30"/>
  <c r="Z222" i="30" s="1"/>
  <c r="AS221" i="30"/>
  <c r="AB221" i="30"/>
  <c r="X238" i="37"/>
  <c r="Y237" i="37"/>
  <c r="Z237" i="37" s="1"/>
  <c r="AA238" i="37"/>
  <c r="E238" i="37" s="1"/>
  <c r="Y237" i="27"/>
  <c r="Z237" i="27" s="1"/>
  <c r="AA238" i="27"/>
  <c r="E238" i="27" s="1"/>
  <c r="AB237" i="27"/>
  <c r="X238" i="27"/>
  <c r="AI223" i="27"/>
  <c r="F237" i="27" s="1"/>
  <c r="I237" i="27" s="1"/>
  <c r="AG223" i="27"/>
  <c r="AH223" i="27" s="1"/>
  <c r="AF224" i="27"/>
  <c r="Y237" i="38"/>
  <c r="Z237" i="38" s="1"/>
  <c r="X238" i="38"/>
  <c r="AA238" i="38"/>
  <c r="E238" i="38" s="1"/>
  <c r="H238" i="38" s="1"/>
  <c r="AB237" i="38"/>
  <c r="AG226" i="38"/>
  <c r="AH226" i="38" s="1"/>
  <c r="AI227" i="38"/>
  <c r="F241" i="38" s="1"/>
  <c r="I241" i="38" s="1"/>
  <c r="AF227" i="38"/>
  <c r="L240" i="38"/>
  <c r="AA237" i="27"/>
  <c r="E237" i="27" s="1"/>
  <c r="E223" i="22"/>
  <c r="K223" i="22" s="1"/>
  <c r="AG223" i="37"/>
  <c r="AH223" i="37" s="1"/>
  <c r="AJ223" i="37"/>
  <c r="AF224" i="37"/>
  <c r="T229" i="38"/>
  <c r="T222" i="27"/>
  <c r="K227" i="37"/>
  <c r="AT227" i="37" s="1"/>
  <c r="AS227" i="37"/>
  <c r="T226" i="37"/>
  <c r="L237" i="34"/>
  <c r="T223" i="40"/>
  <c r="CB223" i="40" s="1"/>
  <c r="AB223" i="22"/>
  <c r="AA224" i="22"/>
  <c r="X225" i="22"/>
  <c r="Y224" i="22"/>
  <c r="Z224" i="22" s="1"/>
  <c r="BQ240" i="22"/>
  <c r="I236" i="30" l="1"/>
  <c r="AZ225" i="37"/>
  <c r="BA225" i="37"/>
  <c r="L237" i="37"/>
  <c r="BA224" i="37"/>
  <c r="BB224" i="37" s="1"/>
  <c r="AB226" i="39"/>
  <c r="BA223" i="37"/>
  <c r="BB223" i="37" s="1"/>
  <c r="AB237" i="37"/>
  <c r="T223" i="34"/>
  <c r="CB223" i="34" s="1"/>
  <c r="K222" i="30"/>
  <c r="AT222" i="30" s="1"/>
  <c r="K224" i="40"/>
  <c r="AT224" i="40" s="1"/>
  <c r="T221" i="30"/>
  <c r="CB221" i="30" s="1"/>
  <c r="M250" i="27"/>
  <c r="AR222" i="27"/>
  <c r="AQ223" i="27"/>
  <c r="AJ226" i="38"/>
  <c r="AR224" i="37"/>
  <c r="AQ225" i="37"/>
  <c r="L238" i="34"/>
  <c r="AW228" i="38"/>
  <c r="AX228" i="38" s="1"/>
  <c r="AZ235" i="38"/>
  <c r="BB235" i="38" s="1"/>
  <c r="BA235" i="38"/>
  <c r="AW221" i="27"/>
  <c r="AX221" i="27" s="1"/>
  <c r="BA228" i="27"/>
  <c r="AZ228" i="27"/>
  <c r="BB228" i="27" s="1"/>
  <c r="AJ223" i="34"/>
  <c r="AW220" i="27"/>
  <c r="AX220" i="27" s="1"/>
  <c r="BA227" i="27"/>
  <c r="AZ227" i="27"/>
  <c r="BB227" i="27" s="1"/>
  <c r="AW225" i="37"/>
  <c r="AX225" i="37" s="1"/>
  <c r="CF225" i="37" s="1"/>
  <c r="CB229" i="38"/>
  <c r="CE229" i="38"/>
  <c r="AV229" i="38"/>
  <c r="CB222" i="27"/>
  <c r="CE222" i="27"/>
  <c r="AV222" i="27"/>
  <c r="CB226" i="37"/>
  <c r="CE226" i="37"/>
  <c r="AV226" i="37"/>
  <c r="AG225" i="40"/>
  <c r="AH225" i="40" s="1"/>
  <c r="AF226" i="40"/>
  <c r="AG224" i="34"/>
  <c r="AH224" i="34" s="1"/>
  <c r="AF225" i="34"/>
  <c r="AI225" i="34"/>
  <c r="F239" i="34" s="1"/>
  <c r="I239" i="34" s="1"/>
  <c r="AJ224" i="34"/>
  <c r="L239" i="40"/>
  <c r="AO223" i="27"/>
  <c r="AP223" i="27" s="1"/>
  <c r="AN224" i="27"/>
  <c r="AR223" i="27"/>
  <c r="AO224" i="38"/>
  <c r="AP224" i="38" s="1"/>
  <c r="AN225" i="38"/>
  <c r="AQ225" i="38"/>
  <c r="AR224" i="38"/>
  <c r="AI224" i="27"/>
  <c r="F238" i="27" s="1"/>
  <c r="I238" i="27" s="1"/>
  <c r="AJ223" i="27"/>
  <c r="AG224" i="39"/>
  <c r="AH224" i="39" s="1"/>
  <c r="AF225" i="39"/>
  <c r="AJ222" i="30"/>
  <c r="AI223" i="30"/>
  <c r="F237" i="30" s="1"/>
  <c r="AG223" i="30"/>
  <c r="AH223" i="30" s="1"/>
  <c r="AF224" i="30"/>
  <c r="AJ223" i="30"/>
  <c r="T225" i="39"/>
  <c r="CB225" i="39" s="1"/>
  <c r="I238" i="39"/>
  <c r="L238" i="39"/>
  <c r="AO225" i="37"/>
  <c r="AP225" i="37" s="1"/>
  <c r="AQ226" i="37"/>
  <c r="AN226" i="37"/>
  <c r="H225" i="40"/>
  <c r="AS225" i="40" s="1"/>
  <c r="K227" i="39"/>
  <c r="AT227" i="39" s="1"/>
  <c r="H237" i="27"/>
  <c r="K224" i="34"/>
  <c r="AT224" i="34" s="1"/>
  <c r="K225" i="40"/>
  <c r="AT225" i="40" s="1"/>
  <c r="AB225" i="40"/>
  <c r="X226" i="40"/>
  <c r="Y225" i="40"/>
  <c r="Z225" i="40" s="1"/>
  <c r="AA226" i="40"/>
  <c r="E226" i="40" s="1"/>
  <c r="H226" i="40" s="1"/>
  <c r="Y225" i="34"/>
  <c r="Z225" i="34" s="1"/>
  <c r="X226" i="34"/>
  <c r="AA226" i="34"/>
  <c r="E226" i="34" s="1"/>
  <c r="H226" i="34" s="1"/>
  <c r="AB222" i="30"/>
  <c r="AA223" i="30"/>
  <c r="E223" i="30" s="1"/>
  <c r="H223" i="30" s="1"/>
  <c r="X224" i="30"/>
  <c r="Y223" i="30"/>
  <c r="Z223" i="30" s="1"/>
  <c r="T226" i="39"/>
  <c r="CB226" i="39" s="1"/>
  <c r="AS222" i="30"/>
  <c r="Y227" i="39"/>
  <c r="Z227" i="39" s="1"/>
  <c r="X228" i="39"/>
  <c r="AI224" i="37"/>
  <c r="F238" i="37" s="1"/>
  <c r="X239" i="37"/>
  <c r="Y238" i="37"/>
  <c r="Z238" i="37" s="1"/>
  <c r="L241" i="38"/>
  <c r="Y238" i="27"/>
  <c r="Z238" i="27" s="1"/>
  <c r="X239" i="27"/>
  <c r="Y238" i="38"/>
  <c r="Z238" i="38" s="1"/>
  <c r="AB238" i="38"/>
  <c r="X239" i="38"/>
  <c r="AG227" i="38"/>
  <c r="AH227" i="38" s="1"/>
  <c r="AF228" i="38"/>
  <c r="AG224" i="27"/>
  <c r="AH224" i="27" s="1"/>
  <c r="AF225" i="27"/>
  <c r="E224" i="22"/>
  <c r="K224" i="22" s="1"/>
  <c r="AG224" i="37"/>
  <c r="AH224" i="37" s="1"/>
  <c r="AF225" i="37"/>
  <c r="L237" i="27"/>
  <c r="AS223" i="27"/>
  <c r="K223" i="27"/>
  <c r="AT223" i="27" s="1"/>
  <c r="K230" i="38"/>
  <c r="AT230" i="38" s="1"/>
  <c r="AS230" i="38"/>
  <c r="AS224" i="27"/>
  <c r="K224" i="27"/>
  <c r="AT224" i="27" s="1"/>
  <c r="AS231" i="38"/>
  <c r="K231" i="38"/>
  <c r="AT231" i="38" s="1"/>
  <c r="K228" i="37"/>
  <c r="AT228" i="37" s="1"/>
  <c r="AS228" i="37"/>
  <c r="T227" i="37"/>
  <c r="AA225" i="22"/>
  <c r="AB224" i="22"/>
  <c r="Y225" i="22"/>
  <c r="Z225" i="22" s="1"/>
  <c r="X226" i="22"/>
  <c r="BQ241" i="22"/>
  <c r="AI225" i="37" l="1"/>
  <c r="F239" i="37" s="1"/>
  <c r="I239" i="37" s="1"/>
  <c r="AZ226" i="37"/>
  <c r="AJ224" i="37"/>
  <c r="BB225" i="37"/>
  <c r="AI224" i="30"/>
  <c r="F238" i="30" s="1"/>
  <c r="I238" i="30" s="1"/>
  <c r="AI225" i="39"/>
  <c r="F239" i="39" s="1"/>
  <c r="L239" i="39" s="1"/>
  <c r="AB227" i="39"/>
  <c r="AB238" i="37"/>
  <c r="T222" i="30"/>
  <c r="CB222" i="30" s="1"/>
  <c r="T224" i="40"/>
  <c r="CB224" i="40" s="1"/>
  <c r="AI226" i="40"/>
  <c r="F240" i="40" s="1"/>
  <c r="I240" i="40" s="1"/>
  <c r="AI228" i="38"/>
  <c r="F242" i="38" s="1"/>
  <c r="I242" i="38" s="1"/>
  <c r="AJ225" i="40"/>
  <c r="AA228" i="39"/>
  <c r="E228" i="39" s="1"/>
  <c r="H228" i="39" s="1"/>
  <c r="H238" i="27"/>
  <c r="AW222" i="27"/>
  <c r="AX222" i="27" s="1"/>
  <c r="BA229" i="27"/>
  <c r="AZ229" i="27"/>
  <c r="BB229" i="27" s="1"/>
  <c r="BA236" i="38"/>
  <c r="AZ236" i="38"/>
  <c r="BB236" i="38" s="1"/>
  <c r="AW229" i="38"/>
  <c r="AX229" i="38" s="1"/>
  <c r="AR225" i="37"/>
  <c r="AW226" i="37"/>
  <c r="AX226" i="37" s="1"/>
  <c r="CF226" i="37" s="1"/>
  <c r="AJ224" i="39"/>
  <c r="T224" i="34"/>
  <c r="CB224" i="34" s="1"/>
  <c r="CB227" i="37"/>
  <c r="CE227" i="37"/>
  <c r="AV227" i="37"/>
  <c r="T227" i="39"/>
  <c r="CB227" i="39" s="1"/>
  <c r="AG225" i="34"/>
  <c r="AH225" i="34" s="1"/>
  <c r="AI226" i="34"/>
  <c r="F240" i="34" s="1"/>
  <c r="I240" i="34" s="1"/>
  <c r="AF226" i="34"/>
  <c r="AJ225" i="34"/>
  <c r="AG226" i="40"/>
  <c r="AH226" i="40" s="1"/>
  <c r="AI227" i="40"/>
  <c r="F241" i="40" s="1"/>
  <c r="I241" i="40" s="1"/>
  <c r="AF227" i="40"/>
  <c r="AJ226" i="40"/>
  <c r="AO225" i="38"/>
  <c r="AP225" i="38" s="1"/>
  <c r="AQ226" i="38"/>
  <c r="AN226" i="38"/>
  <c r="L238" i="27"/>
  <c r="AO224" i="27"/>
  <c r="AP224" i="27" s="1"/>
  <c r="AQ225" i="27"/>
  <c r="AN225" i="27"/>
  <c r="AQ224" i="27"/>
  <c r="AG224" i="30"/>
  <c r="AH224" i="30" s="1"/>
  <c r="AF225" i="30"/>
  <c r="I237" i="30"/>
  <c r="L237" i="30"/>
  <c r="AG225" i="39"/>
  <c r="AH225" i="39" s="1"/>
  <c r="AF226" i="39"/>
  <c r="T225" i="40"/>
  <c r="CB225" i="40" s="1"/>
  <c r="AO226" i="37"/>
  <c r="AP226" i="37" s="1"/>
  <c r="AN227" i="37"/>
  <c r="AQ227" i="37"/>
  <c r="L238" i="37"/>
  <c r="I238" i="37"/>
  <c r="H238" i="37" s="1"/>
  <c r="X227" i="34"/>
  <c r="Y226" i="34"/>
  <c r="Z226" i="34" s="1"/>
  <c r="AB226" i="34"/>
  <c r="AA227" i="40"/>
  <c r="E227" i="40" s="1"/>
  <c r="Y226" i="40"/>
  <c r="Z226" i="40" s="1"/>
  <c r="X227" i="40"/>
  <c r="AB226" i="40"/>
  <c r="AB225" i="34"/>
  <c r="AA239" i="27"/>
  <c r="E239" i="27" s="1"/>
  <c r="AB238" i="27"/>
  <c r="AJ227" i="38"/>
  <c r="Y224" i="30"/>
  <c r="Z224" i="30" s="1"/>
  <c r="X225" i="30"/>
  <c r="Y228" i="39"/>
  <c r="Z228" i="39" s="1"/>
  <c r="AB228" i="39"/>
  <c r="X229" i="39"/>
  <c r="AA224" i="30"/>
  <c r="E224" i="30" s="1"/>
  <c r="H224" i="30" s="1"/>
  <c r="AB223" i="30"/>
  <c r="K223" i="30"/>
  <c r="AT223" i="30" s="1"/>
  <c r="Y239" i="37"/>
  <c r="Z239" i="37" s="1"/>
  <c r="X240" i="37"/>
  <c r="AA239" i="37"/>
  <c r="E239" i="37" s="1"/>
  <c r="H239" i="37" s="1"/>
  <c r="AG228" i="38"/>
  <c r="AH228" i="38" s="1"/>
  <c r="AF229" i="38"/>
  <c r="Y239" i="27"/>
  <c r="Z239" i="27" s="1"/>
  <c r="AA240" i="27"/>
  <c r="E240" i="27" s="1"/>
  <c r="X240" i="27"/>
  <c r="AG225" i="27"/>
  <c r="AH225" i="27" s="1"/>
  <c r="AF226" i="27"/>
  <c r="AJ224" i="27"/>
  <c r="Y239" i="38"/>
  <c r="Z239" i="38" s="1"/>
  <c r="X240" i="38"/>
  <c r="AI225" i="27"/>
  <c r="F239" i="27" s="1"/>
  <c r="I239" i="27" s="1"/>
  <c r="AA239" i="38"/>
  <c r="E239" i="38" s="1"/>
  <c r="H239" i="38" s="1"/>
  <c r="E225" i="22"/>
  <c r="K225" i="22" s="1"/>
  <c r="AG225" i="37"/>
  <c r="AH225" i="37" s="1"/>
  <c r="AI226" i="37"/>
  <c r="F240" i="37" s="1"/>
  <c r="I240" i="37" s="1"/>
  <c r="AF226" i="37"/>
  <c r="L239" i="37"/>
  <c r="AS225" i="34"/>
  <c r="T224" i="27"/>
  <c r="AS232" i="38"/>
  <c r="K232" i="38"/>
  <c r="AT232" i="38" s="1"/>
  <c r="T230" i="38"/>
  <c r="T231" i="38"/>
  <c r="T223" i="27"/>
  <c r="T228" i="37"/>
  <c r="AS229" i="37"/>
  <c r="K229" i="37"/>
  <c r="AT229" i="37" s="1"/>
  <c r="K225" i="34"/>
  <c r="AT225" i="34" s="1"/>
  <c r="AS226" i="40"/>
  <c r="K226" i="40"/>
  <c r="AT226" i="40" s="1"/>
  <c r="AS226" i="34"/>
  <c r="K226" i="34"/>
  <c r="AT226" i="34" s="1"/>
  <c r="AB225" i="22"/>
  <c r="AA226" i="22"/>
  <c r="X227" i="22"/>
  <c r="Y226" i="22"/>
  <c r="Z226" i="22" s="1"/>
  <c r="BQ242" i="22"/>
  <c r="L240" i="40" l="1"/>
  <c r="I239" i="39"/>
  <c r="AA229" i="39"/>
  <c r="E229" i="39" s="1"/>
  <c r="AZ227" i="37"/>
  <c r="L238" i="30"/>
  <c r="BA226" i="37"/>
  <c r="BB226" i="37" s="1"/>
  <c r="AA240" i="37"/>
  <c r="E240" i="37" s="1"/>
  <c r="H240" i="37" s="1"/>
  <c r="AB239" i="37"/>
  <c r="K228" i="39"/>
  <c r="AT228" i="39" s="1"/>
  <c r="L242" i="38"/>
  <c r="AJ228" i="38"/>
  <c r="AR225" i="38"/>
  <c r="AA225" i="30"/>
  <c r="E225" i="30" s="1"/>
  <c r="H225" i="30" s="1"/>
  <c r="AR226" i="37"/>
  <c r="H239" i="27"/>
  <c r="L240" i="34"/>
  <c r="AI229" i="38"/>
  <c r="F243" i="38" s="1"/>
  <c r="I243" i="38" s="1"/>
  <c r="AR224" i="27"/>
  <c r="AW227" i="37"/>
  <c r="AX227" i="37" s="1"/>
  <c r="CF227" i="37" s="1"/>
  <c r="AJ225" i="39"/>
  <c r="AI226" i="39"/>
  <c r="F240" i="39" s="1"/>
  <c r="L240" i="39" s="1"/>
  <c r="AJ224" i="30"/>
  <c r="AB224" i="30"/>
  <c r="AI225" i="30"/>
  <c r="F239" i="30" s="1"/>
  <c r="I239" i="30" s="1"/>
  <c r="CB224" i="27"/>
  <c r="CE224" i="27"/>
  <c r="AV224" i="27"/>
  <c r="CB231" i="38"/>
  <c r="CE231" i="38"/>
  <c r="AV231" i="38"/>
  <c r="CB223" i="27"/>
  <c r="CE223" i="27"/>
  <c r="AV223" i="27"/>
  <c r="CB230" i="38"/>
  <c r="CE230" i="38"/>
  <c r="AV230" i="38"/>
  <c r="CB228" i="37"/>
  <c r="CE228" i="37"/>
  <c r="AV228" i="37"/>
  <c r="AG227" i="40"/>
  <c r="AH227" i="40" s="1"/>
  <c r="AF228" i="40"/>
  <c r="AG226" i="34"/>
  <c r="AH226" i="34" s="1"/>
  <c r="AF227" i="34"/>
  <c r="AO225" i="27"/>
  <c r="AP225" i="27" s="1"/>
  <c r="AN226" i="27"/>
  <c r="AR225" i="27"/>
  <c r="AO226" i="38"/>
  <c r="AP226" i="38" s="1"/>
  <c r="AN227" i="38"/>
  <c r="AR226" i="38"/>
  <c r="AI226" i="30"/>
  <c r="F240" i="30" s="1"/>
  <c r="AG225" i="30"/>
  <c r="AH225" i="30" s="1"/>
  <c r="AF226" i="30"/>
  <c r="K229" i="39"/>
  <c r="AT229" i="39" s="1"/>
  <c r="H229" i="39"/>
  <c r="AS229" i="39" s="1"/>
  <c r="AF227" i="39"/>
  <c r="AG226" i="39"/>
  <c r="AH226" i="39" s="1"/>
  <c r="AO227" i="37"/>
  <c r="AP227" i="37" s="1"/>
  <c r="AQ228" i="37"/>
  <c r="AN228" i="37"/>
  <c r="AR227" i="37"/>
  <c r="H227" i="40"/>
  <c r="AS227" i="40" s="1"/>
  <c r="X228" i="40"/>
  <c r="Y227" i="40"/>
  <c r="Z227" i="40" s="1"/>
  <c r="K227" i="40"/>
  <c r="AT227" i="40" s="1"/>
  <c r="X228" i="34"/>
  <c r="Y227" i="34"/>
  <c r="Z227" i="34" s="1"/>
  <c r="AA227" i="34"/>
  <c r="E227" i="34" s="1"/>
  <c r="H227" i="34" s="1"/>
  <c r="AS223" i="30"/>
  <c r="T223" i="30"/>
  <c r="CB223" i="30" s="1"/>
  <c r="AS228" i="39"/>
  <c r="Y229" i="39"/>
  <c r="Z229" i="39" s="1"/>
  <c r="X230" i="39"/>
  <c r="X226" i="30"/>
  <c r="Y225" i="30"/>
  <c r="Z225" i="30" s="1"/>
  <c r="K224" i="30"/>
  <c r="AT224" i="30" s="1"/>
  <c r="T225" i="34"/>
  <c r="CB225" i="34" s="1"/>
  <c r="AA241" i="37"/>
  <c r="E241" i="37" s="1"/>
  <c r="Y240" i="37"/>
  <c r="Z240" i="37" s="1"/>
  <c r="X241" i="37"/>
  <c r="AB240" i="37"/>
  <c r="AJ225" i="37"/>
  <c r="AG226" i="27"/>
  <c r="AH226" i="27" s="1"/>
  <c r="AF227" i="27"/>
  <c r="AI226" i="27"/>
  <c r="F240" i="27" s="1"/>
  <c r="I240" i="27" s="1"/>
  <c r="H240" i="27" s="1"/>
  <c r="AJ225" i="27"/>
  <c r="Y240" i="38"/>
  <c r="Z240" i="38" s="1"/>
  <c r="X241" i="38"/>
  <c r="AB239" i="38"/>
  <c r="Y240" i="27"/>
  <c r="Z240" i="27" s="1"/>
  <c r="X241" i="27"/>
  <c r="AB240" i="27"/>
  <c r="AA241" i="27"/>
  <c r="E241" i="27" s="1"/>
  <c r="AG229" i="38"/>
  <c r="AH229" i="38" s="1"/>
  <c r="AJ229" i="38"/>
  <c r="AF230" i="38"/>
  <c r="AA240" i="38"/>
  <c r="E240" i="38" s="1"/>
  <c r="H240" i="38" s="1"/>
  <c r="AB239" i="27"/>
  <c r="AG226" i="37"/>
  <c r="AH226" i="37" s="1"/>
  <c r="AF227" i="37"/>
  <c r="L240" i="37"/>
  <c r="E226" i="22"/>
  <c r="K226" i="22" s="1"/>
  <c r="L239" i="34"/>
  <c r="L239" i="27"/>
  <c r="T232" i="38"/>
  <c r="K233" i="38"/>
  <c r="AT233" i="38" s="1"/>
  <c r="AS233" i="38"/>
  <c r="AS226" i="27"/>
  <c r="K226" i="27"/>
  <c r="AT226" i="27" s="1"/>
  <c r="K225" i="27"/>
  <c r="AT225" i="27" s="1"/>
  <c r="AS225" i="27"/>
  <c r="T229" i="37"/>
  <c r="AS230" i="37"/>
  <c r="K230" i="37"/>
  <c r="AT230" i="37" s="1"/>
  <c r="L241" i="40"/>
  <c r="T226" i="34"/>
  <c r="CB226" i="34" s="1"/>
  <c r="T226" i="40"/>
  <c r="CB226" i="40" s="1"/>
  <c r="AB226" i="22"/>
  <c r="AA227" i="22"/>
  <c r="Y227" i="22"/>
  <c r="Z227" i="22" s="1"/>
  <c r="X228" i="22"/>
  <c r="BQ243" i="22"/>
  <c r="AJ225" i="30" l="1"/>
  <c r="AZ228" i="37"/>
  <c r="BA227" i="37"/>
  <c r="BB227" i="37" s="1"/>
  <c r="AJ226" i="39"/>
  <c r="T228" i="39"/>
  <c r="CB228" i="39" s="1"/>
  <c r="K225" i="30"/>
  <c r="AT225" i="30" s="1"/>
  <c r="AQ227" i="38"/>
  <c r="AQ226" i="27"/>
  <c r="AJ227" i="40"/>
  <c r="AI228" i="40"/>
  <c r="F242" i="40" s="1"/>
  <c r="I242" i="40" s="1"/>
  <c r="AI230" i="38"/>
  <c r="F244" i="38" s="1"/>
  <c r="I244" i="38" s="1"/>
  <c r="I240" i="39"/>
  <c r="L243" i="38"/>
  <c r="BA230" i="27"/>
  <c r="AZ230" i="27"/>
  <c r="BB230" i="27" s="1"/>
  <c r="AW223" i="27"/>
  <c r="AX223" i="27" s="1"/>
  <c r="AW224" i="27"/>
  <c r="AX224" i="27" s="1"/>
  <c r="BA231" i="27"/>
  <c r="AZ231" i="27"/>
  <c r="BB231" i="27" s="1"/>
  <c r="AW230" i="38"/>
  <c r="AX230" i="38" s="1"/>
  <c r="BA237" i="38"/>
  <c r="AZ237" i="38"/>
  <c r="BB237" i="38" s="1"/>
  <c r="AI227" i="34"/>
  <c r="F241" i="34" s="1"/>
  <c r="I241" i="34" s="1"/>
  <c r="AJ226" i="34"/>
  <c r="BA238" i="38"/>
  <c r="AW231" i="38"/>
  <c r="AX231" i="38" s="1"/>
  <c r="AZ238" i="38"/>
  <c r="BB238" i="38" s="1"/>
  <c r="L239" i="30"/>
  <c r="AW228" i="37"/>
  <c r="AX228" i="37" s="1"/>
  <c r="CF228" i="37" s="1"/>
  <c r="AI227" i="39"/>
  <c r="F241" i="39" s="1"/>
  <c r="I241" i="39" s="1"/>
  <c r="CB232" i="38"/>
  <c r="CE232" i="38"/>
  <c r="AV232" i="38"/>
  <c r="CB229" i="37"/>
  <c r="CE229" i="37"/>
  <c r="AV229" i="37"/>
  <c r="AG227" i="34"/>
  <c r="AH227" i="34" s="1"/>
  <c r="AF228" i="34"/>
  <c r="AG228" i="40"/>
  <c r="AH228" i="40" s="1"/>
  <c r="AF229" i="40"/>
  <c r="AO227" i="38"/>
  <c r="AP227" i="38" s="1"/>
  <c r="AQ228" i="38"/>
  <c r="AN228" i="38"/>
  <c r="AR227" i="38"/>
  <c r="AO226" i="27"/>
  <c r="AP226" i="27" s="1"/>
  <c r="AQ227" i="27"/>
  <c r="AN227" i="27"/>
  <c r="AR226" i="27"/>
  <c r="AG226" i="30"/>
  <c r="AH226" i="30" s="1"/>
  <c r="AF227" i="30"/>
  <c r="I240" i="30"/>
  <c r="L240" i="30"/>
  <c r="AG227" i="39"/>
  <c r="AH227" i="39" s="1"/>
  <c r="AF228" i="39"/>
  <c r="T229" i="39"/>
  <c r="CB229" i="39" s="1"/>
  <c r="AA230" i="39"/>
  <c r="E230" i="39" s="1"/>
  <c r="K230" i="39" s="1"/>
  <c r="AT230" i="39" s="1"/>
  <c r="AB229" i="39"/>
  <c r="AO228" i="37"/>
  <c r="AP228" i="37" s="1"/>
  <c r="AN229" i="37"/>
  <c r="AR228" i="37"/>
  <c r="T227" i="40"/>
  <c r="CB227" i="40" s="1"/>
  <c r="Y228" i="40"/>
  <c r="Z228" i="40" s="1"/>
  <c r="X229" i="40"/>
  <c r="AA229" i="40"/>
  <c r="E229" i="40" s="1"/>
  <c r="AA228" i="34"/>
  <c r="E228" i="34" s="1"/>
  <c r="H228" i="34" s="1"/>
  <c r="AS228" i="34" s="1"/>
  <c r="AB227" i="40"/>
  <c r="X229" i="34"/>
  <c r="Y228" i="34"/>
  <c r="Z228" i="34" s="1"/>
  <c r="AB228" i="34"/>
  <c r="AB227" i="34"/>
  <c r="AA228" i="40"/>
  <c r="E228" i="40" s="1"/>
  <c r="AA241" i="38"/>
  <c r="E241" i="38" s="1"/>
  <c r="H241" i="38" s="1"/>
  <c r="AB240" i="38"/>
  <c r="AI227" i="27"/>
  <c r="F241" i="27" s="1"/>
  <c r="I241" i="27" s="1"/>
  <c r="AJ226" i="27"/>
  <c r="X227" i="30"/>
  <c r="Y226" i="30"/>
  <c r="Z226" i="30" s="1"/>
  <c r="AS225" i="30"/>
  <c r="AS224" i="30"/>
  <c r="T224" i="30"/>
  <c r="CB224" i="30" s="1"/>
  <c r="AB225" i="30"/>
  <c r="AA226" i="30"/>
  <c r="E226" i="30" s="1"/>
  <c r="H226" i="30" s="1"/>
  <c r="Y230" i="39"/>
  <c r="Z230" i="39" s="1"/>
  <c r="X231" i="39"/>
  <c r="AI227" i="37"/>
  <c r="F241" i="37" s="1"/>
  <c r="AJ226" i="37"/>
  <c r="AA242" i="37"/>
  <c r="E242" i="37" s="1"/>
  <c r="AB241" i="37"/>
  <c r="Y241" i="37"/>
  <c r="Z241" i="37" s="1"/>
  <c r="X242" i="37"/>
  <c r="L240" i="27"/>
  <c r="Y241" i="27"/>
  <c r="Z241" i="27" s="1"/>
  <c r="AB241" i="27"/>
  <c r="X242" i="27"/>
  <c r="AG230" i="38"/>
  <c r="AH230" i="38" s="1"/>
  <c r="AJ230" i="38"/>
  <c r="AI231" i="38"/>
  <c r="F245" i="38" s="1"/>
  <c r="I245" i="38" s="1"/>
  <c r="AF231" i="38"/>
  <c r="AG227" i="27"/>
  <c r="AH227" i="27" s="1"/>
  <c r="AI228" i="27"/>
  <c r="F242" i="27" s="1"/>
  <c r="I242" i="27" s="1"/>
  <c r="AF228" i="27"/>
  <c r="AB241" i="38"/>
  <c r="X242" i="38"/>
  <c r="Y241" i="38"/>
  <c r="Z241" i="38" s="1"/>
  <c r="E227" i="22"/>
  <c r="K227" i="22" s="1"/>
  <c r="AG227" i="37"/>
  <c r="AH227" i="37" s="1"/>
  <c r="AF228" i="37"/>
  <c r="AS234" i="38"/>
  <c r="K234" i="38"/>
  <c r="AT234" i="38" s="1"/>
  <c r="T226" i="27"/>
  <c r="T225" i="27"/>
  <c r="T233" i="38"/>
  <c r="K227" i="27"/>
  <c r="AT227" i="27" s="1"/>
  <c r="AS227" i="27"/>
  <c r="T230" i="37"/>
  <c r="AS231" i="37"/>
  <c r="K231" i="37"/>
  <c r="AT231" i="37" s="1"/>
  <c r="AS227" i="34"/>
  <c r="K227" i="34"/>
  <c r="AT227" i="34" s="1"/>
  <c r="AB227" i="22"/>
  <c r="AA228" i="22"/>
  <c r="Y228" i="22"/>
  <c r="Z228" i="22" s="1"/>
  <c r="X229" i="22"/>
  <c r="BQ244" i="22"/>
  <c r="AA227" i="30" l="1"/>
  <c r="E227" i="30" s="1"/>
  <c r="H227" i="30" s="1"/>
  <c r="AB226" i="30"/>
  <c r="AZ229" i="37"/>
  <c r="BA229" i="37" s="1"/>
  <c r="BA228" i="37"/>
  <c r="BB228" i="37" s="1"/>
  <c r="T225" i="30"/>
  <c r="CB225" i="30" s="1"/>
  <c r="L241" i="39"/>
  <c r="L242" i="40"/>
  <c r="L244" i="38"/>
  <c r="AI229" i="40"/>
  <c r="F243" i="40" s="1"/>
  <c r="I243" i="40" s="1"/>
  <c r="AJ227" i="34"/>
  <c r="AQ229" i="37"/>
  <c r="AJ227" i="39"/>
  <c r="AI228" i="39"/>
  <c r="F242" i="39" s="1"/>
  <c r="L242" i="39" s="1"/>
  <c r="L241" i="34"/>
  <c r="AB228" i="40"/>
  <c r="AI228" i="34"/>
  <c r="F242" i="34" s="1"/>
  <c r="AW232" i="38"/>
  <c r="AX232" i="38" s="1"/>
  <c r="BA239" i="38"/>
  <c r="AZ239" i="38"/>
  <c r="BB239" i="38" s="1"/>
  <c r="AJ228" i="40"/>
  <c r="AW229" i="37"/>
  <c r="AX229" i="37" s="1"/>
  <c r="CF229" i="37" s="1"/>
  <c r="AJ226" i="30"/>
  <c r="AI227" i="30"/>
  <c r="F241" i="30" s="1"/>
  <c r="I241" i="30" s="1"/>
  <c r="CB233" i="38"/>
  <c r="CE233" i="38"/>
  <c r="AV233" i="38"/>
  <c r="CB225" i="27"/>
  <c r="CE225" i="27"/>
  <c r="AV225" i="27"/>
  <c r="CB226" i="27"/>
  <c r="CE226" i="27"/>
  <c r="AV226" i="27"/>
  <c r="CB230" i="37"/>
  <c r="CE230" i="37"/>
  <c r="AV230" i="37"/>
  <c r="K228" i="40"/>
  <c r="AT228" i="40" s="1"/>
  <c r="H228" i="40"/>
  <c r="K229" i="40"/>
  <c r="AT229" i="40" s="1"/>
  <c r="H229" i="40"/>
  <c r="AS229" i="40" s="1"/>
  <c r="AG228" i="34"/>
  <c r="AH228" i="34" s="1"/>
  <c r="AF229" i="34"/>
  <c r="K228" i="34"/>
  <c r="AT228" i="34" s="1"/>
  <c r="AG229" i="40"/>
  <c r="AH229" i="40" s="1"/>
  <c r="AF230" i="40"/>
  <c r="AJ229" i="40"/>
  <c r="AO227" i="27"/>
  <c r="AP227" i="27" s="1"/>
  <c r="AN228" i="27"/>
  <c r="AQ228" i="27"/>
  <c r="AR227" i="27"/>
  <c r="AO228" i="38"/>
  <c r="AP228" i="38" s="1"/>
  <c r="AN229" i="38"/>
  <c r="AQ229" i="38"/>
  <c r="AR228" i="38"/>
  <c r="L241" i="27"/>
  <c r="AF228" i="30"/>
  <c r="AG227" i="30"/>
  <c r="AH227" i="30" s="1"/>
  <c r="AG228" i="39"/>
  <c r="AH228" i="39" s="1"/>
  <c r="AF229" i="39"/>
  <c r="H230" i="39"/>
  <c r="T230" i="39" s="1"/>
  <c r="CB230" i="39" s="1"/>
  <c r="AO229" i="37"/>
  <c r="AP229" i="37" s="1"/>
  <c r="AN230" i="37"/>
  <c r="AR229" i="37"/>
  <c r="L241" i="37"/>
  <c r="I241" i="37"/>
  <c r="H241" i="37" s="1"/>
  <c r="H241" i="27"/>
  <c r="X230" i="40"/>
  <c r="Y229" i="40"/>
  <c r="Z229" i="40" s="1"/>
  <c r="AA229" i="34"/>
  <c r="E229" i="34" s="1"/>
  <c r="X230" i="34"/>
  <c r="Y229" i="34"/>
  <c r="Z229" i="34" s="1"/>
  <c r="AA230" i="34"/>
  <c r="E230" i="34" s="1"/>
  <c r="H230" i="34" s="1"/>
  <c r="AB229" i="34"/>
  <c r="AA242" i="27"/>
  <c r="E242" i="27" s="1"/>
  <c r="H242" i="27" s="1"/>
  <c r="AA232" i="39"/>
  <c r="E232" i="39" s="1"/>
  <c r="AB231" i="39"/>
  <c r="X232" i="39"/>
  <c r="Y231" i="39"/>
  <c r="Z231" i="39" s="1"/>
  <c r="AB230" i="39"/>
  <c r="AA231" i="39"/>
  <c r="E231" i="39" s="1"/>
  <c r="H231" i="39" s="1"/>
  <c r="K226" i="30"/>
  <c r="AT226" i="30" s="1"/>
  <c r="Y227" i="30"/>
  <c r="Z227" i="30" s="1"/>
  <c r="X228" i="30"/>
  <c r="K227" i="30"/>
  <c r="AT227" i="30" s="1"/>
  <c r="X243" i="37"/>
  <c r="AB242" i="37"/>
  <c r="Y242" i="37"/>
  <c r="Z242" i="37" s="1"/>
  <c r="AG228" i="27"/>
  <c r="AH228" i="27" s="1"/>
  <c r="AJ228" i="27"/>
  <c r="AF229" i="27"/>
  <c r="AG231" i="38"/>
  <c r="AH231" i="38" s="1"/>
  <c r="AI232" i="38"/>
  <c r="F246" i="38" s="1"/>
  <c r="I246" i="38" s="1"/>
  <c r="AJ231" i="38"/>
  <c r="AF232" i="38"/>
  <c r="Y242" i="38"/>
  <c r="Z242" i="38" s="1"/>
  <c r="AB242" i="38"/>
  <c r="AA243" i="38"/>
  <c r="E243" i="38" s="1"/>
  <c r="H243" i="38" s="1"/>
  <c r="X243" i="38"/>
  <c r="AJ227" i="27"/>
  <c r="Y242" i="27"/>
  <c r="Z242" i="27" s="1"/>
  <c r="X243" i="27"/>
  <c r="L245" i="38"/>
  <c r="AA242" i="38"/>
  <c r="E242" i="38" s="1"/>
  <c r="H242" i="38" s="1"/>
  <c r="AG228" i="37"/>
  <c r="AH228" i="37" s="1"/>
  <c r="AF229" i="37"/>
  <c r="AJ228" i="37"/>
  <c r="AI228" i="37"/>
  <c r="F242" i="37" s="1"/>
  <c r="I242" i="37" s="1"/>
  <c r="AJ227" i="37"/>
  <c r="E228" i="22"/>
  <c r="K228" i="22" s="1"/>
  <c r="AS235" i="38"/>
  <c r="K235" i="38"/>
  <c r="AT235" i="38" s="1"/>
  <c r="T227" i="27"/>
  <c r="T234" i="38"/>
  <c r="AS232" i="37"/>
  <c r="K232" i="37"/>
  <c r="AT232" i="37" s="1"/>
  <c r="T231" i="37"/>
  <c r="T227" i="34"/>
  <c r="CB227" i="34" s="1"/>
  <c r="AB228" i="22"/>
  <c r="AA229" i="22"/>
  <c r="E229" i="22" s="1"/>
  <c r="X230" i="22"/>
  <c r="Y229" i="22"/>
  <c r="Z229" i="22" s="1"/>
  <c r="CA239" i="22"/>
  <c r="BQ245" i="22"/>
  <c r="AZ230" i="37" l="1"/>
  <c r="BA230" i="37"/>
  <c r="AA243" i="37"/>
  <c r="E243" i="37" s="1"/>
  <c r="BB229" i="37"/>
  <c r="I242" i="39"/>
  <c r="L243" i="40"/>
  <c r="AJ227" i="30"/>
  <c r="T228" i="40"/>
  <c r="CB228" i="40" s="1"/>
  <c r="AB229" i="40"/>
  <c r="AI229" i="34"/>
  <c r="F243" i="34" s="1"/>
  <c r="I243" i="34" s="1"/>
  <c r="AJ228" i="34"/>
  <c r="AZ240" i="38"/>
  <c r="BB240" i="38" s="1"/>
  <c r="AW233" i="38"/>
  <c r="AX233" i="38" s="1"/>
  <c r="BA240" i="38"/>
  <c r="AZ233" i="27"/>
  <c r="BB233" i="27" s="1"/>
  <c r="AW226" i="27"/>
  <c r="AX226" i="27" s="1"/>
  <c r="BA233" i="27"/>
  <c r="AI230" i="40"/>
  <c r="F244" i="40" s="1"/>
  <c r="I244" i="40" s="1"/>
  <c r="I242" i="34"/>
  <c r="L242" i="34"/>
  <c r="AA230" i="40"/>
  <c r="E230" i="40" s="1"/>
  <c r="H230" i="40" s="1"/>
  <c r="AS230" i="40" s="1"/>
  <c r="AZ232" i="27"/>
  <c r="BB232" i="27" s="1"/>
  <c r="AW225" i="27"/>
  <c r="AX225" i="27" s="1"/>
  <c r="BA232" i="27"/>
  <c r="L241" i="30"/>
  <c r="AQ230" i="37"/>
  <c r="AJ228" i="39"/>
  <c r="AI229" i="39"/>
  <c r="F243" i="39" s="1"/>
  <c r="L243" i="39" s="1"/>
  <c r="AW230" i="37"/>
  <c r="AX230" i="37" s="1"/>
  <c r="CF230" i="37" s="1"/>
  <c r="AS228" i="40"/>
  <c r="CB227" i="27"/>
  <c r="CE227" i="27"/>
  <c r="AV227" i="27"/>
  <c r="CB234" i="38"/>
  <c r="CE234" i="38"/>
  <c r="AV234" i="38"/>
  <c r="T229" i="40"/>
  <c r="CB229" i="40" s="1"/>
  <c r="CB231" i="37"/>
  <c r="CE231" i="37"/>
  <c r="AV231" i="37"/>
  <c r="H242" i="37"/>
  <c r="AG229" i="34"/>
  <c r="AH229" i="34" s="1"/>
  <c r="AF230" i="34"/>
  <c r="AJ229" i="34"/>
  <c r="AG230" i="40"/>
  <c r="AH230" i="40" s="1"/>
  <c r="AF231" i="40"/>
  <c r="AI231" i="40"/>
  <c r="F245" i="40" s="1"/>
  <c r="I245" i="40" s="1"/>
  <c r="T228" i="34"/>
  <c r="CB228" i="34" s="1"/>
  <c r="K229" i="34"/>
  <c r="AT229" i="34" s="1"/>
  <c r="H229" i="34"/>
  <c r="AS229" i="34" s="1"/>
  <c r="AO229" i="38"/>
  <c r="AP229" i="38" s="1"/>
  <c r="AN230" i="38"/>
  <c r="AO228" i="27"/>
  <c r="AP228" i="27" s="1"/>
  <c r="AN229" i="27"/>
  <c r="AQ229" i="27"/>
  <c r="AR228" i="27"/>
  <c r="AS230" i="39"/>
  <c r="AI228" i="30"/>
  <c r="F242" i="30" s="1"/>
  <c r="AG229" i="39"/>
  <c r="AH229" i="39" s="1"/>
  <c r="AF230" i="39"/>
  <c r="AG228" i="30"/>
  <c r="AH228" i="30" s="1"/>
  <c r="AF229" i="30"/>
  <c r="AO230" i="37"/>
  <c r="AP230" i="37" s="1"/>
  <c r="AQ231" i="37"/>
  <c r="AN231" i="37"/>
  <c r="K232" i="39"/>
  <c r="AT232" i="39" s="1"/>
  <c r="H232" i="39"/>
  <c r="AS232" i="39" s="1"/>
  <c r="X231" i="34"/>
  <c r="AB230" i="34"/>
  <c r="Y230" i="34"/>
  <c r="Z230" i="34" s="1"/>
  <c r="Y230" i="40"/>
  <c r="Z230" i="40" s="1"/>
  <c r="AA231" i="40"/>
  <c r="E231" i="40" s="1"/>
  <c r="X231" i="40"/>
  <c r="AB230" i="40"/>
  <c r="AI229" i="27"/>
  <c r="F243" i="27" s="1"/>
  <c r="I243" i="27" s="1"/>
  <c r="AS226" i="30"/>
  <c r="T226" i="30"/>
  <c r="CB226" i="30" s="1"/>
  <c r="K231" i="39"/>
  <c r="AT231" i="39" s="1"/>
  <c r="Y228" i="30"/>
  <c r="Z228" i="30" s="1"/>
  <c r="X229" i="30"/>
  <c r="AS227" i="30"/>
  <c r="T227" i="30"/>
  <c r="CB227" i="30" s="1"/>
  <c r="AB227" i="30"/>
  <c r="Y232" i="39"/>
  <c r="Z232" i="39" s="1"/>
  <c r="AA233" i="39"/>
  <c r="E233" i="39" s="1"/>
  <c r="H233" i="39" s="1"/>
  <c r="AB232" i="39"/>
  <c r="X233" i="39"/>
  <c r="AA228" i="30"/>
  <c r="E228" i="30" s="1"/>
  <c r="H228" i="30" s="1"/>
  <c r="AI229" i="37"/>
  <c r="F243" i="37" s="1"/>
  <c r="I243" i="37" s="1"/>
  <c r="Y243" i="37"/>
  <c r="AA244" i="37" s="1"/>
  <c r="E244" i="37" s="1"/>
  <c r="X244" i="37"/>
  <c r="Y243" i="27"/>
  <c r="Z243" i="27" s="1"/>
  <c r="AA244" i="27"/>
  <c r="E244" i="27" s="1"/>
  <c r="X244" i="27"/>
  <c r="AG232" i="38"/>
  <c r="AH232" i="38" s="1"/>
  <c r="AJ232" i="38"/>
  <c r="AI233" i="38"/>
  <c r="F247" i="38" s="1"/>
  <c r="I247" i="38" s="1"/>
  <c r="AF233" i="38"/>
  <c r="AB242" i="27"/>
  <c r="L246" i="38"/>
  <c r="Y243" i="38"/>
  <c r="Z243" i="38" s="1"/>
  <c r="X244" i="38"/>
  <c r="AG229" i="27"/>
  <c r="AH229" i="27" s="1"/>
  <c r="AF230" i="27"/>
  <c r="AA243" i="27"/>
  <c r="E243" i="27" s="1"/>
  <c r="L242" i="37"/>
  <c r="AG229" i="37"/>
  <c r="AH229" i="37" s="1"/>
  <c r="AF230" i="37"/>
  <c r="T235" i="38"/>
  <c r="K229" i="27"/>
  <c r="AT229" i="27" s="1"/>
  <c r="AS229" i="27"/>
  <c r="AS228" i="27"/>
  <c r="K228" i="27"/>
  <c r="AT228" i="27" s="1"/>
  <c r="AS233" i="37"/>
  <c r="K233" i="37"/>
  <c r="AT233" i="37" s="1"/>
  <c r="T232" i="37"/>
  <c r="K230" i="34"/>
  <c r="AT230" i="34" s="1"/>
  <c r="AS230" i="34"/>
  <c r="AA230" i="22"/>
  <c r="AB229" i="22"/>
  <c r="K229" i="22"/>
  <c r="X231" i="22"/>
  <c r="Y230" i="22"/>
  <c r="Z230" i="22" s="1"/>
  <c r="CA240" i="22"/>
  <c r="BQ246" i="22"/>
  <c r="BI246" i="22"/>
  <c r="BM239" i="22"/>
  <c r="BF239" i="22"/>
  <c r="BE239" i="22"/>
  <c r="AZ231" i="37" l="1"/>
  <c r="BA231" i="37"/>
  <c r="BB230" i="37"/>
  <c r="AJ229" i="39"/>
  <c r="AJ228" i="30"/>
  <c r="AI229" i="30"/>
  <c r="F243" i="30" s="1"/>
  <c r="L243" i="30" s="1"/>
  <c r="AR230" i="37"/>
  <c r="I243" i="39"/>
  <c r="K230" i="40"/>
  <c r="AT230" i="40" s="1"/>
  <c r="AB243" i="38"/>
  <c r="AA231" i="34"/>
  <c r="E231" i="34" s="1"/>
  <c r="H231" i="34" s="1"/>
  <c r="AS231" i="34" s="1"/>
  <c r="AJ230" i="40"/>
  <c r="BA241" i="38"/>
  <c r="AW234" i="38"/>
  <c r="AX234" i="38" s="1"/>
  <c r="AZ241" i="38"/>
  <c r="BB241" i="38" s="1"/>
  <c r="L244" i="40"/>
  <c r="AR229" i="38"/>
  <c r="L243" i="34"/>
  <c r="AB243" i="27"/>
  <c r="AQ230" i="38"/>
  <c r="AZ234" i="27"/>
  <c r="BB234" i="27" s="1"/>
  <c r="BA234" i="27"/>
  <c r="AW227" i="27"/>
  <c r="AX227" i="27" s="1"/>
  <c r="AI230" i="39"/>
  <c r="F244" i="39" s="1"/>
  <c r="I244" i="39" s="1"/>
  <c r="AW231" i="37"/>
  <c r="AX231" i="37" s="1"/>
  <c r="CF231" i="37" s="1"/>
  <c r="T229" i="34"/>
  <c r="CB229" i="34" s="1"/>
  <c r="CB235" i="38"/>
  <c r="CE235" i="38"/>
  <c r="AV235" i="38"/>
  <c r="CB232" i="37"/>
  <c r="CE232" i="37"/>
  <c r="AV232" i="37"/>
  <c r="H243" i="37"/>
  <c r="AG230" i="34"/>
  <c r="AH230" i="34" s="1"/>
  <c r="AF231" i="34"/>
  <c r="AI231" i="34"/>
  <c r="F245" i="34" s="1"/>
  <c r="I245" i="34" s="1"/>
  <c r="AI230" i="34"/>
  <c r="F244" i="34" s="1"/>
  <c r="AG231" i="40"/>
  <c r="AH231" i="40" s="1"/>
  <c r="AI232" i="40"/>
  <c r="F246" i="40" s="1"/>
  <c r="I246" i="40" s="1"/>
  <c r="AF232" i="40"/>
  <c r="AO229" i="27"/>
  <c r="AP229" i="27" s="1"/>
  <c r="AN230" i="27"/>
  <c r="AR229" i="27"/>
  <c r="AO230" i="38"/>
  <c r="AP230" i="38" s="1"/>
  <c r="AQ231" i="38"/>
  <c r="AN231" i="38"/>
  <c r="AR230" i="38"/>
  <c r="AA244" i="38"/>
  <c r="E244" i="38" s="1"/>
  <c r="H244" i="38" s="1"/>
  <c r="AG229" i="30"/>
  <c r="AH229" i="30" s="1"/>
  <c r="AF230" i="30"/>
  <c r="AF231" i="39"/>
  <c r="AG230" i="39"/>
  <c r="AH230" i="39" s="1"/>
  <c r="AJ230" i="39"/>
  <c r="I242" i="30"/>
  <c r="L242" i="30"/>
  <c r="AA229" i="30"/>
  <c r="E229" i="30" s="1"/>
  <c r="H229" i="30" s="1"/>
  <c r="AB228" i="30"/>
  <c r="T232" i="39"/>
  <c r="CB232" i="39" s="1"/>
  <c r="H243" i="27"/>
  <c r="AO231" i="37"/>
  <c r="AP231" i="37" s="1"/>
  <c r="AN232" i="37"/>
  <c r="K231" i="40"/>
  <c r="AT231" i="40" s="1"/>
  <c r="H231" i="40"/>
  <c r="AS231" i="40" s="1"/>
  <c r="X232" i="40"/>
  <c r="Y231" i="40"/>
  <c r="Z231" i="40" s="1"/>
  <c r="AA232" i="40"/>
  <c r="E232" i="40" s="1"/>
  <c r="H232" i="40" s="1"/>
  <c r="Y231" i="34"/>
  <c r="Z231" i="34" s="1"/>
  <c r="X232" i="34"/>
  <c r="AB231" i="34"/>
  <c r="X234" i="39"/>
  <c r="Y233" i="39"/>
  <c r="Z233" i="39" s="1"/>
  <c r="X230" i="30"/>
  <c r="Y229" i="30"/>
  <c r="Z229" i="30" s="1"/>
  <c r="K233" i="39"/>
  <c r="AT233" i="39" s="1"/>
  <c r="K228" i="30"/>
  <c r="AT228" i="30" s="1"/>
  <c r="T231" i="39"/>
  <c r="CB231" i="39" s="1"/>
  <c r="AS231" i="39"/>
  <c r="AJ229" i="37"/>
  <c r="L243" i="37"/>
  <c r="AI230" i="37"/>
  <c r="F244" i="37" s="1"/>
  <c r="I244" i="37" s="1"/>
  <c r="X245" i="37"/>
  <c r="AA245" i="37"/>
  <c r="E245" i="37" s="1"/>
  <c r="Y244" i="37"/>
  <c r="Z244" i="37" s="1"/>
  <c r="Z243" i="37"/>
  <c r="AB243" i="37"/>
  <c r="AG233" i="38"/>
  <c r="AH233" i="38" s="1"/>
  <c r="AJ233" i="38"/>
  <c r="AF234" i="38"/>
  <c r="L247" i="38"/>
  <c r="Y244" i="38"/>
  <c r="Z244" i="38" s="1"/>
  <c r="AA245" i="38"/>
  <c r="E245" i="38" s="1"/>
  <c r="H245" i="38" s="1"/>
  <c r="X245" i="38"/>
  <c r="Y244" i="27"/>
  <c r="Z244" i="27" s="1"/>
  <c r="X245" i="27"/>
  <c r="AF231" i="27"/>
  <c r="AJ230" i="27"/>
  <c r="AG230" i="27"/>
  <c r="AH230" i="27" s="1"/>
  <c r="AJ229" i="27"/>
  <c r="AI230" i="27"/>
  <c r="F244" i="27" s="1"/>
  <c r="I244" i="27" s="1"/>
  <c r="AG230" i="37"/>
  <c r="AH230" i="37" s="1"/>
  <c r="AF231" i="37"/>
  <c r="E230" i="22"/>
  <c r="K230" i="22" s="1"/>
  <c r="AS230" i="27"/>
  <c r="K230" i="27"/>
  <c r="AT230" i="27" s="1"/>
  <c r="K237" i="38"/>
  <c r="AT237" i="38" s="1"/>
  <c r="AS237" i="38"/>
  <c r="T229" i="27"/>
  <c r="AS236" i="38"/>
  <c r="K236" i="38"/>
  <c r="AT236" i="38" s="1"/>
  <c r="L243" i="27"/>
  <c r="T228" i="27"/>
  <c r="L242" i="27"/>
  <c r="T233" i="37"/>
  <c r="AS234" i="37"/>
  <c r="K234" i="37"/>
  <c r="AT234" i="37" s="1"/>
  <c r="T230" i="34"/>
  <c r="CB230" i="34" s="1"/>
  <c r="AA231" i="22"/>
  <c r="AB230" i="22"/>
  <c r="Y231" i="22"/>
  <c r="Z231" i="22" s="1"/>
  <c r="X232" i="22"/>
  <c r="CA241" i="22"/>
  <c r="BQ247" i="22"/>
  <c r="BI247" i="22"/>
  <c r="BM240" i="22"/>
  <c r="BF240" i="22"/>
  <c r="BE240" i="22"/>
  <c r="AZ232" i="37" l="1"/>
  <c r="AI231" i="39"/>
  <c r="F245" i="39" s="1"/>
  <c r="I245" i="39" s="1"/>
  <c r="I243" i="30"/>
  <c r="AB244" i="37"/>
  <c r="BB231" i="37"/>
  <c r="AI230" i="30"/>
  <c r="F244" i="30" s="1"/>
  <c r="I244" i="30" s="1"/>
  <c r="T230" i="40"/>
  <c r="CB230" i="40" s="1"/>
  <c r="K231" i="34"/>
  <c r="AT231" i="34" s="1"/>
  <c r="AJ230" i="34"/>
  <c r="AA234" i="39"/>
  <c r="E234" i="39" s="1"/>
  <c r="H234" i="39" s="1"/>
  <c r="AS234" i="39" s="1"/>
  <c r="AB233" i="39"/>
  <c r="L245" i="34"/>
  <c r="AI234" i="38"/>
  <c r="F248" i="38" s="1"/>
  <c r="I248" i="38" s="1"/>
  <c r="AW235" i="38"/>
  <c r="AX235" i="38" s="1"/>
  <c r="AZ242" i="38"/>
  <c r="BB242" i="38" s="1"/>
  <c r="BA242" i="38"/>
  <c r="AJ231" i="40"/>
  <c r="AB231" i="40"/>
  <c r="AW232" i="37"/>
  <c r="AX232" i="37" s="1"/>
  <c r="CF232" i="37" s="1"/>
  <c r="L244" i="39"/>
  <c r="AR231" i="37"/>
  <c r="AQ232" i="37"/>
  <c r="AJ229" i="30"/>
  <c r="CB228" i="27"/>
  <c r="CE228" i="27"/>
  <c r="AV228" i="27"/>
  <c r="CB229" i="27"/>
  <c r="CE229" i="27"/>
  <c r="AV229" i="27"/>
  <c r="CB233" i="37"/>
  <c r="CE233" i="37"/>
  <c r="AV233" i="37"/>
  <c r="H244" i="37"/>
  <c r="I244" i="34"/>
  <c r="L244" i="34"/>
  <c r="AG232" i="40"/>
  <c r="AH232" i="40" s="1"/>
  <c r="AF233" i="40"/>
  <c r="AG231" i="34"/>
  <c r="AH231" i="34" s="1"/>
  <c r="AF232" i="34"/>
  <c r="AJ231" i="34"/>
  <c r="AA232" i="34"/>
  <c r="E232" i="34" s="1"/>
  <c r="H232" i="34" s="1"/>
  <c r="AQ232" i="38"/>
  <c r="AN232" i="38"/>
  <c r="AO231" i="38"/>
  <c r="AP231" i="38" s="1"/>
  <c r="AR231" i="38"/>
  <c r="AO230" i="27"/>
  <c r="AP230" i="27" s="1"/>
  <c r="AN231" i="27"/>
  <c r="AR230" i="27"/>
  <c r="AQ230" i="27"/>
  <c r="AG231" i="39"/>
  <c r="AH231" i="39" s="1"/>
  <c r="AF232" i="39"/>
  <c r="K229" i="30"/>
  <c r="AT229" i="30" s="1"/>
  <c r="AG230" i="30"/>
  <c r="AH230" i="30" s="1"/>
  <c r="AF231" i="30"/>
  <c r="AJ230" i="30"/>
  <c r="AO232" i="37"/>
  <c r="AP232" i="37" s="1"/>
  <c r="AQ233" i="37"/>
  <c r="AN233" i="37"/>
  <c r="AR232" i="37"/>
  <c r="H244" i="27"/>
  <c r="X233" i="34"/>
  <c r="Y232" i="34"/>
  <c r="Z232" i="34" s="1"/>
  <c r="X233" i="40"/>
  <c r="AB232" i="40"/>
  <c r="Y232" i="40"/>
  <c r="Z232" i="40" s="1"/>
  <c r="AS229" i="30"/>
  <c r="X231" i="30"/>
  <c r="Y230" i="30"/>
  <c r="Z230" i="30" s="1"/>
  <c r="AA230" i="30"/>
  <c r="E230" i="30" s="1"/>
  <c r="H230" i="30" s="1"/>
  <c r="AB229" i="30"/>
  <c r="AS228" i="30"/>
  <c r="T228" i="30"/>
  <c r="CB228" i="30" s="1"/>
  <c r="Y234" i="39"/>
  <c r="Z234" i="39" s="1"/>
  <c r="AB234" i="39"/>
  <c r="AA235" i="39"/>
  <c r="E235" i="39" s="1"/>
  <c r="X235" i="39"/>
  <c r="AS233" i="39"/>
  <c r="T233" i="39"/>
  <c r="CB233" i="39" s="1"/>
  <c r="L244" i="37"/>
  <c r="T231" i="40"/>
  <c r="CB231" i="40" s="1"/>
  <c r="AI231" i="37"/>
  <c r="F245" i="37" s="1"/>
  <c r="X246" i="37"/>
  <c r="Y245" i="37"/>
  <c r="Z245" i="37" s="1"/>
  <c r="AJ230" i="37"/>
  <c r="L244" i="27"/>
  <c r="AF232" i="27"/>
  <c r="AG231" i="27"/>
  <c r="AH231" i="27" s="1"/>
  <c r="Y245" i="27"/>
  <c r="Z245" i="27" s="1"/>
  <c r="AB245" i="27"/>
  <c r="AA246" i="27"/>
  <c r="E246" i="27" s="1"/>
  <c r="X246" i="27"/>
  <c r="AB244" i="27"/>
  <c r="AA245" i="27"/>
  <c r="E245" i="27" s="1"/>
  <c r="AG234" i="38"/>
  <c r="AH234" i="38" s="1"/>
  <c r="AF235" i="38"/>
  <c r="AI235" i="38"/>
  <c r="F249" i="38" s="1"/>
  <c r="I249" i="38" s="1"/>
  <c r="X246" i="38"/>
  <c r="Y245" i="38"/>
  <c r="Z245" i="38" s="1"/>
  <c r="AI231" i="27"/>
  <c r="F245" i="27" s="1"/>
  <c r="I245" i="27" s="1"/>
  <c r="AB244" i="38"/>
  <c r="E231" i="22"/>
  <c r="K231" i="22" s="1"/>
  <c r="AG231" i="37"/>
  <c r="AH231" i="37" s="1"/>
  <c r="AJ231" i="37"/>
  <c r="AI232" i="37"/>
  <c r="F246" i="37" s="1"/>
  <c r="I246" i="37" s="1"/>
  <c r="AF232" i="37"/>
  <c r="L246" i="40"/>
  <c r="L245" i="40"/>
  <c r="K238" i="38"/>
  <c r="AT238" i="38" s="1"/>
  <c r="T237" i="38"/>
  <c r="AS231" i="27"/>
  <c r="K231" i="27"/>
  <c r="AT231" i="27" s="1"/>
  <c r="T236" i="38"/>
  <c r="T230" i="27"/>
  <c r="AS235" i="37"/>
  <c r="K235" i="37"/>
  <c r="AT235" i="37" s="1"/>
  <c r="T234" i="37"/>
  <c r="AS232" i="40"/>
  <c r="K232" i="40"/>
  <c r="AT232" i="40" s="1"/>
  <c r="AA232" i="22"/>
  <c r="AB231" i="22"/>
  <c r="X233" i="22"/>
  <c r="Y232" i="22"/>
  <c r="Z232" i="22" s="1"/>
  <c r="CA242" i="22"/>
  <c r="BI248" i="22"/>
  <c r="BQ248" i="22"/>
  <c r="BM241" i="22"/>
  <c r="BE241" i="22"/>
  <c r="BF241" i="22"/>
  <c r="L244" i="30" l="1"/>
  <c r="L245" i="39"/>
  <c r="AZ233" i="37"/>
  <c r="BA233" i="37"/>
  <c r="AI232" i="39"/>
  <c r="F246" i="39" s="1"/>
  <c r="I246" i="39" s="1"/>
  <c r="BA232" i="37"/>
  <c r="BB232" i="37" s="1"/>
  <c r="T231" i="34"/>
  <c r="CB231" i="34" s="1"/>
  <c r="K234" i="39"/>
  <c r="AT234" i="39" s="1"/>
  <c r="L248" i="38"/>
  <c r="AA233" i="40"/>
  <c r="E233" i="40" s="1"/>
  <c r="H233" i="40" s="1"/>
  <c r="AS233" i="40" s="1"/>
  <c r="AB232" i="34"/>
  <c r="AI233" i="40"/>
  <c r="F247" i="40" s="1"/>
  <c r="I247" i="40" s="1"/>
  <c r="AJ232" i="40"/>
  <c r="AZ236" i="27"/>
  <c r="BB236" i="27" s="1"/>
  <c r="AW229" i="27"/>
  <c r="AX229" i="27" s="1"/>
  <c r="BA236" i="27"/>
  <c r="AI232" i="34"/>
  <c r="F246" i="34" s="1"/>
  <c r="I246" i="34" s="1"/>
  <c r="BA235" i="27"/>
  <c r="AW228" i="27"/>
  <c r="AX228" i="27" s="1"/>
  <c r="AZ235" i="27"/>
  <c r="BB235" i="27" s="1"/>
  <c r="AW233" i="37"/>
  <c r="AX233" i="37" s="1"/>
  <c r="CF233" i="37" s="1"/>
  <c r="AJ231" i="39"/>
  <c r="CB230" i="27"/>
  <c r="CE230" i="27"/>
  <c r="AV230" i="27"/>
  <c r="CB236" i="38"/>
  <c r="CE236" i="38"/>
  <c r="AV236" i="38"/>
  <c r="CB237" i="38"/>
  <c r="CE237" i="38"/>
  <c r="AV237" i="38"/>
  <c r="CB234" i="37"/>
  <c r="CE234" i="37"/>
  <c r="AV234" i="37"/>
  <c r="T229" i="30"/>
  <c r="CB229" i="30" s="1"/>
  <c r="AG232" i="34"/>
  <c r="AH232" i="34" s="1"/>
  <c r="AF233" i="34"/>
  <c r="AJ232" i="34"/>
  <c r="AG233" i="40"/>
  <c r="AH233" i="40" s="1"/>
  <c r="AF234" i="40"/>
  <c r="AQ231" i="27"/>
  <c r="AO231" i="27"/>
  <c r="AP231" i="27" s="1"/>
  <c r="AN232" i="27"/>
  <c r="AQ232" i="27"/>
  <c r="AR231" i="27"/>
  <c r="AO232" i="38"/>
  <c r="AP232" i="38" s="1"/>
  <c r="AQ233" i="38"/>
  <c r="AN233" i="38"/>
  <c r="AR232" i="38"/>
  <c r="AI231" i="30"/>
  <c r="F245" i="30" s="1"/>
  <c r="AG232" i="39"/>
  <c r="AH232" i="39" s="1"/>
  <c r="AF233" i="39"/>
  <c r="AG231" i="30"/>
  <c r="AH231" i="30" s="1"/>
  <c r="AF232" i="30"/>
  <c r="AI232" i="30"/>
  <c r="F246" i="30" s="1"/>
  <c r="L246" i="39"/>
  <c r="AQ234" i="37"/>
  <c r="AN234" i="37"/>
  <c r="AO233" i="37"/>
  <c r="AP233" i="37" s="1"/>
  <c r="H245" i="27"/>
  <c r="L245" i="37"/>
  <c r="I245" i="37"/>
  <c r="H245" i="37" s="1"/>
  <c r="K235" i="39"/>
  <c r="AT235" i="39" s="1"/>
  <c r="H235" i="39"/>
  <c r="X234" i="40"/>
  <c r="AA234" i="40"/>
  <c r="E234" i="40" s="1"/>
  <c r="H234" i="40" s="1"/>
  <c r="Y233" i="40"/>
  <c r="Z233" i="40" s="1"/>
  <c r="X234" i="34"/>
  <c r="Y233" i="34"/>
  <c r="Z233" i="34" s="1"/>
  <c r="AA233" i="34"/>
  <c r="E233" i="34" s="1"/>
  <c r="H233" i="34" s="1"/>
  <c r="AA246" i="38"/>
  <c r="E246" i="38" s="1"/>
  <c r="H246" i="38" s="1"/>
  <c r="AB245" i="38"/>
  <c r="AJ234" i="38"/>
  <c r="X236" i="39"/>
  <c r="AB235" i="39"/>
  <c r="Y235" i="39"/>
  <c r="Z235" i="39" s="1"/>
  <c r="K230" i="30"/>
  <c r="AT230" i="30" s="1"/>
  <c r="Y231" i="30"/>
  <c r="Z231" i="30" s="1"/>
  <c r="X232" i="30"/>
  <c r="AB230" i="30"/>
  <c r="AA231" i="30"/>
  <c r="E231" i="30" s="1"/>
  <c r="H231" i="30" s="1"/>
  <c r="AA246" i="37"/>
  <c r="E246" i="37" s="1"/>
  <c r="H246" i="37" s="1"/>
  <c r="Y246" i="37"/>
  <c r="Z246" i="37" s="1"/>
  <c r="X247" i="37"/>
  <c r="AB246" i="37"/>
  <c r="AB245" i="37"/>
  <c r="L245" i="27"/>
  <c r="Y246" i="27"/>
  <c r="Z246" i="27" s="1"/>
  <c r="X247" i="27"/>
  <c r="L249" i="38"/>
  <c r="AG235" i="38"/>
  <c r="AH235" i="38" s="1"/>
  <c r="AJ235" i="38"/>
  <c r="AI236" i="38"/>
  <c r="F250" i="38" s="1"/>
  <c r="I250" i="38" s="1"/>
  <c r="AF236" i="38"/>
  <c r="AF233" i="27"/>
  <c r="AG232" i="27"/>
  <c r="AH232" i="27" s="1"/>
  <c r="AJ231" i="27"/>
  <c r="Y246" i="38"/>
  <c r="Z246" i="38" s="1"/>
  <c r="AA247" i="38"/>
  <c r="E247" i="38" s="1"/>
  <c r="H247" i="38" s="1"/>
  <c r="X247" i="38"/>
  <c r="AI232" i="27"/>
  <c r="F246" i="27" s="1"/>
  <c r="I246" i="27" s="1"/>
  <c r="AG232" i="37"/>
  <c r="AH232" i="37" s="1"/>
  <c r="AF233" i="37"/>
  <c r="E232" i="22"/>
  <c r="K232" i="22" s="1"/>
  <c r="L246" i="37"/>
  <c r="AS238" i="38"/>
  <c r="K232" i="34"/>
  <c r="AT232" i="34" s="1"/>
  <c r="T231" i="27"/>
  <c r="K232" i="27"/>
  <c r="AT232" i="27" s="1"/>
  <c r="AS232" i="27"/>
  <c r="K239" i="38"/>
  <c r="AT239" i="38" s="1"/>
  <c r="AS239" i="38"/>
  <c r="T235" i="37"/>
  <c r="AS232" i="34"/>
  <c r="T232" i="40"/>
  <c r="CB232" i="40" s="1"/>
  <c r="AA233" i="22"/>
  <c r="E233" i="22" s="1"/>
  <c r="AB232" i="22"/>
  <c r="Y233" i="22"/>
  <c r="Z233" i="22" s="1"/>
  <c r="X234" i="22"/>
  <c r="CA243" i="22"/>
  <c r="BQ249" i="22"/>
  <c r="BI249" i="22"/>
  <c r="BM242" i="22"/>
  <c r="BF242" i="22"/>
  <c r="BE242" i="22"/>
  <c r="BB233" i="37" l="1"/>
  <c r="AZ234" i="37"/>
  <c r="BA234" i="37"/>
  <c r="AJ232" i="39"/>
  <c r="AI233" i="39"/>
  <c r="F247" i="39" s="1"/>
  <c r="L247" i="39" s="1"/>
  <c r="T234" i="39"/>
  <c r="CB234" i="39" s="1"/>
  <c r="L247" i="40"/>
  <c r="K233" i="40"/>
  <c r="AT233" i="40" s="1"/>
  <c r="AA247" i="37"/>
  <c r="E247" i="37" s="1"/>
  <c r="AJ231" i="30"/>
  <c r="T235" i="39"/>
  <c r="CB235" i="39" s="1"/>
  <c r="H246" i="27"/>
  <c r="AZ237" i="27"/>
  <c r="BB237" i="27" s="1"/>
  <c r="BA237" i="27"/>
  <c r="AW230" i="27"/>
  <c r="AX230" i="27" s="1"/>
  <c r="AI233" i="34"/>
  <c r="F247" i="34" s="1"/>
  <c r="I247" i="34" s="1"/>
  <c r="BA243" i="38"/>
  <c r="AW236" i="38"/>
  <c r="AX236" i="38" s="1"/>
  <c r="AZ243" i="38"/>
  <c r="BB243" i="38" s="1"/>
  <c r="AW237" i="38"/>
  <c r="AX237" i="38" s="1"/>
  <c r="BA244" i="38"/>
  <c r="AZ244" i="38"/>
  <c r="BB244" i="38" s="1"/>
  <c r="AJ233" i="40"/>
  <c r="AI234" i="40"/>
  <c r="F248" i="40" s="1"/>
  <c r="I248" i="40" s="1"/>
  <c r="AW234" i="37"/>
  <c r="AX234" i="37" s="1"/>
  <c r="CF234" i="37" s="1"/>
  <c r="AJ232" i="37"/>
  <c r="AI233" i="37"/>
  <c r="F247" i="37" s="1"/>
  <c r="I247" i="37" s="1"/>
  <c r="AR233" i="37"/>
  <c r="CB231" i="27"/>
  <c r="CE231" i="27"/>
  <c r="AV231" i="27"/>
  <c r="CB235" i="37"/>
  <c r="CE235" i="37"/>
  <c r="AV235" i="37"/>
  <c r="AG234" i="40"/>
  <c r="AH234" i="40" s="1"/>
  <c r="AF235" i="40"/>
  <c r="AJ234" i="40"/>
  <c r="AG233" i="34"/>
  <c r="AH233" i="34" s="1"/>
  <c r="AF234" i="34"/>
  <c r="AI234" i="34"/>
  <c r="F248" i="34" s="1"/>
  <c r="I248" i="34" s="1"/>
  <c r="AO233" i="38"/>
  <c r="AP233" i="38" s="1"/>
  <c r="AN234" i="38"/>
  <c r="AQ234" i="38"/>
  <c r="AR233" i="38"/>
  <c r="AO232" i="27"/>
  <c r="AP232" i="27" s="1"/>
  <c r="AN233" i="27"/>
  <c r="I246" i="30"/>
  <c r="L246" i="30"/>
  <c r="AG232" i="30"/>
  <c r="AH232" i="30" s="1"/>
  <c r="AF233" i="30"/>
  <c r="I247" i="39"/>
  <c r="AG233" i="39"/>
  <c r="AH233" i="39" s="1"/>
  <c r="AI234" i="39"/>
  <c r="F248" i="39" s="1"/>
  <c r="AF234" i="39"/>
  <c r="AA236" i="39"/>
  <c r="E236" i="39" s="1"/>
  <c r="H236" i="39" s="1"/>
  <c r="AS236" i="39" s="1"/>
  <c r="AS235" i="39"/>
  <c r="I245" i="30"/>
  <c r="L245" i="30"/>
  <c r="AO234" i="37"/>
  <c r="AP234" i="37" s="1"/>
  <c r="AQ235" i="37"/>
  <c r="AN235" i="37"/>
  <c r="AR234" i="37"/>
  <c r="Y234" i="34"/>
  <c r="Z234" i="34" s="1"/>
  <c r="X235" i="34"/>
  <c r="AA235" i="34"/>
  <c r="E235" i="34" s="1"/>
  <c r="H235" i="34" s="1"/>
  <c r="AB233" i="40"/>
  <c r="AB233" i="34"/>
  <c r="X235" i="40"/>
  <c r="Y234" i="40"/>
  <c r="Z234" i="40" s="1"/>
  <c r="AA234" i="34"/>
  <c r="E234" i="34" s="1"/>
  <c r="H234" i="34" s="1"/>
  <c r="AS234" i="34" s="1"/>
  <c r="AB246" i="27"/>
  <c r="AA247" i="27"/>
  <c r="E247" i="27" s="1"/>
  <c r="AS230" i="30"/>
  <c r="T230" i="30"/>
  <c r="CB230" i="30" s="1"/>
  <c r="K231" i="30"/>
  <c r="AT231" i="30" s="1"/>
  <c r="Y232" i="30"/>
  <c r="Z232" i="30" s="1"/>
  <c r="X233" i="30"/>
  <c r="AA233" i="30"/>
  <c r="E233" i="30" s="1"/>
  <c r="H233" i="30" s="1"/>
  <c r="AB232" i="30"/>
  <c r="AA232" i="30"/>
  <c r="E232" i="30" s="1"/>
  <c r="H232" i="30" s="1"/>
  <c r="AB231" i="30"/>
  <c r="Y236" i="39"/>
  <c r="Z236" i="39" s="1"/>
  <c r="X237" i="39"/>
  <c r="T232" i="34"/>
  <c r="CB232" i="34" s="1"/>
  <c r="X248" i="37"/>
  <c r="Y247" i="37"/>
  <c r="Z247" i="37" s="1"/>
  <c r="AB247" i="37"/>
  <c r="L246" i="27"/>
  <c r="T238" i="38"/>
  <c r="AG233" i="27"/>
  <c r="AH233" i="27" s="1"/>
  <c r="AF234" i="27"/>
  <c r="AJ232" i="27"/>
  <c r="Y247" i="38"/>
  <c r="Z247" i="38" s="1"/>
  <c r="X248" i="38"/>
  <c r="AI233" i="27"/>
  <c r="F247" i="27" s="1"/>
  <c r="Y247" i="27"/>
  <c r="Z247" i="27" s="1"/>
  <c r="AB247" i="27"/>
  <c r="X248" i="27"/>
  <c r="AB246" i="38"/>
  <c r="AG236" i="38"/>
  <c r="AH236" i="38" s="1"/>
  <c r="AF237" i="38"/>
  <c r="L250" i="38"/>
  <c r="AG233" i="37"/>
  <c r="AH233" i="37" s="1"/>
  <c r="AF234" i="37"/>
  <c r="AS233" i="34"/>
  <c r="L246" i="34"/>
  <c r="T239" i="38"/>
  <c r="T232" i="27"/>
  <c r="AS233" i="27"/>
  <c r="K233" i="27"/>
  <c r="AT233" i="27" s="1"/>
  <c r="AS240" i="38"/>
  <c r="K240" i="38"/>
  <c r="AT240" i="38" s="1"/>
  <c r="K237" i="37"/>
  <c r="AT237" i="37" s="1"/>
  <c r="AS237" i="37"/>
  <c r="AS236" i="37"/>
  <c r="K236" i="37"/>
  <c r="AT236" i="37" s="1"/>
  <c r="K233" i="34"/>
  <c r="AT233" i="34" s="1"/>
  <c r="AS234" i="40"/>
  <c r="K234" i="40"/>
  <c r="AT234" i="40" s="1"/>
  <c r="AA234" i="22"/>
  <c r="AB233" i="22"/>
  <c r="Y234" i="22"/>
  <c r="Z234" i="22" s="1"/>
  <c r="X235" i="22"/>
  <c r="K233" i="22"/>
  <c r="CA244" i="22"/>
  <c r="BI250" i="22"/>
  <c r="BQ250" i="22"/>
  <c r="BM243" i="22"/>
  <c r="BE243" i="22"/>
  <c r="BF243" i="22"/>
  <c r="AZ235" i="37" l="1"/>
  <c r="AI234" i="37"/>
  <c r="F248" i="37" s="1"/>
  <c r="I248" i="37" s="1"/>
  <c r="BB234" i="37"/>
  <c r="AA248" i="37"/>
  <c r="E248" i="37" s="1"/>
  <c r="AA237" i="39"/>
  <c r="E237" i="39" s="1"/>
  <c r="K237" i="39" s="1"/>
  <c r="AT237" i="39" s="1"/>
  <c r="AB236" i="39"/>
  <c r="T233" i="40"/>
  <c r="CB233" i="40" s="1"/>
  <c r="AI235" i="40"/>
  <c r="F249" i="40" s="1"/>
  <c r="I249" i="40" s="1"/>
  <c r="AR232" i="27"/>
  <c r="AQ233" i="27"/>
  <c r="AB234" i="34"/>
  <c r="L248" i="40"/>
  <c r="AJ233" i="34"/>
  <c r="AZ238" i="27"/>
  <c r="BB238" i="27" s="1"/>
  <c r="AW231" i="27"/>
  <c r="AX231" i="27" s="1"/>
  <c r="BA238" i="27"/>
  <c r="AB234" i="40"/>
  <c r="AA248" i="38"/>
  <c r="E248" i="38" s="1"/>
  <c r="H248" i="38" s="1"/>
  <c r="AA235" i="40"/>
  <c r="E235" i="40" s="1"/>
  <c r="H235" i="40" s="1"/>
  <c r="AS235" i="40" s="1"/>
  <c r="AB247" i="38"/>
  <c r="H247" i="37"/>
  <c r="AI233" i="30"/>
  <c r="F247" i="30" s="1"/>
  <c r="L247" i="30" s="1"/>
  <c r="AW235" i="37"/>
  <c r="AX235" i="37" s="1"/>
  <c r="CF235" i="37" s="1"/>
  <c r="AJ233" i="39"/>
  <c r="AJ232" i="30"/>
  <c r="L247" i="37"/>
  <c r="CB238" i="38"/>
  <c r="CE238" i="38"/>
  <c r="AV238" i="38"/>
  <c r="CB232" i="27"/>
  <c r="CE232" i="27"/>
  <c r="AV232" i="27"/>
  <c r="CB239" i="38"/>
  <c r="CE239" i="38"/>
  <c r="AV239" i="38"/>
  <c r="H248" i="37"/>
  <c r="AG234" i="34"/>
  <c r="AH234" i="34" s="1"/>
  <c r="AF235" i="34"/>
  <c r="K234" i="34"/>
  <c r="AT234" i="34" s="1"/>
  <c r="AG235" i="40"/>
  <c r="AH235" i="40" s="1"/>
  <c r="AF236" i="40"/>
  <c r="AI236" i="40"/>
  <c r="F250" i="40" s="1"/>
  <c r="I250" i="40" s="1"/>
  <c r="AJ235" i="40"/>
  <c r="AO233" i="27"/>
  <c r="AP233" i="27" s="1"/>
  <c r="AN234" i="27"/>
  <c r="AQ234" i="27"/>
  <c r="AR233" i="27"/>
  <c r="AO234" i="38"/>
  <c r="AP234" i="38" s="1"/>
  <c r="AN235" i="38"/>
  <c r="AQ235" i="38"/>
  <c r="I248" i="39"/>
  <c r="L248" i="39"/>
  <c r="K236" i="39"/>
  <c r="AT236" i="39" s="1"/>
  <c r="AF234" i="30"/>
  <c r="AG233" i="30"/>
  <c r="AH233" i="30" s="1"/>
  <c r="AG234" i="39"/>
  <c r="AH234" i="39" s="1"/>
  <c r="AF235" i="39"/>
  <c r="AJ234" i="39"/>
  <c r="AO235" i="37"/>
  <c r="AP235" i="37" s="1"/>
  <c r="AN236" i="37"/>
  <c r="L247" i="27"/>
  <c r="I247" i="27"/>
  <c r="H247" i="27" s="1"/>
  <c r="Y235" i="40"/>
  <c r="Z235" i="40" s="1"/>
  <c r="AB235" i="40"/>
  <c r="X236" i="40"/>
  <c r="Y235" i="34"/>
  <c r="Z235" i="34" s="1"/>
  <c r="X236" i="34"/>
  <c r="AA236" i="34"/>
  <c r="E236" i="34" s="1"/>
  <c r="H236" i="34" s="1"/>
  <c r="AA248" i="27"/>
  <c r="E248" i="27" s="1"/>
  <c r="Y237" i="39"/>
  <c r="Z237" i="39" s="1"/>
  <c r="X238" i="39"/>
  <c r="K233" i="30"/>
  <c r="AT233" i="30" s="1"/>
  <c r="Y233" i="30"/>
  <c r="Z233" i="30" s="1"/>
  <c r="X234" i="30"/>
  <c r="K232" i="30"/>
  <c r="AT232" i="30" s="1"/>
  <c r="AS231" i="30"/>
  <c r="T231" i="30"/>
  <c r="CB231" i="30" s="1"/>
  <c r="AJ233" i="37"/>
  <c r="X249" i="37"/>
  <c r="Y248" i="37"/>
  <c r="Z248" i="37" s="1"/>
  <c r="Y248" i="38"/>
  <c r="Z248" i="38" s="1"/>
  <c r="X249" i="38"/>
  <c r="Y248" i="27"/>
  <c r="Z248" i="27" s="1"/>
  <c r="X249" i="27"/>
  <c r="AF235" i="27"/>
  <c r="AI235" i="27"/>
  <c r="F249" i="27" s="1"/>
  <c r="I249" i="27" s="1"/>
  <c r="AG234" i="27"/>
  <c r="AH234" i="27" s="1"/>
  <c r="AJ236" i="38"/>
  <c r="AI234" i="27"/>
  <c r="F248" i="27" s="1"/>
  <c r="I248" i="27" s="1"/>
  <c r="AI237" i="38"/>
  <c r="AJ233" i="27"/>
  <c r="AG237" i="38"/>
  <c r="AH237" i="38" s="1"/>
  <c r="AI238" i="38"/>
  <c r="AJ237" i="38"/>
  <c r="AF238" i="38"/>
  <c r="E234" i="22"/>
  <c r="K234" i="22" s="1"/>
  <c r="AG234" i="37"/>
  <c r="AH234" i="37" s="1"/>
  <c r="AF235" i="37"/>
  <c r="T233" i="34"/>
  <c r="CB233" i="34" s="1"/>
  <c r="L247" i="34"/>
  <c r="T233" i="27"/>
  <c r="K234" i="27"/>
  <c r="AT234" i="27" s="1"/>
  <c r="AS234" i="27"/>
  <c r="T240" i="38"/>
  <c r="K241" i="38"/>
  <c r="AT241" i="38" s="1"/>
  <c r="AS241" i="38"/>
  <c r="T236" i="37"/>
  <c r="K238" i="37"/>
  <c r="AT238" i="37" s="1"/>
  <c r="AS238" i="37"/>
  <c r="T237" i="37"/>
  <c r="L248" i="34"/>
  <c r="AS235" i="34"/>
  <c r="K235" i="34"/>
  <c r="AT235" i="34" s="1"/>
  <c r="T234" i="40"/>
  <c r="CB234" i="40" s="1"/>
  <c r="AA235" i="22"/>
  <c r="AB234" i="22"/>
  <c r="Y235" i="22"/>
  <c r="Z235" i="22" s="1"/>
  <c r="X236" i="22"/>
  <c r="CA245" i="22"/>
  <c r="BM244" i="22"/>
  <c r="BE244" i="22"/>
  <c r="BF244" i="22"/>
  <c r="H237" i="39" l="1"/>
  <c r="AS237" i="39" s="1"/>
  <c r="L248" i="37"/>
  <c r="AI235" i="39"/>
  <c r="F249" i="39" s="1"/>
  <c r="I249" i="39" s="1"/>
  <c r="BA235" i="37"/>
  <c r="BB235" i="37" s="1"/>
  <c r="AJ234" i="37"/>
  <c r="H248" i="27"/>
  <c r="AA249" i="27"/>
  <c r="E249" i="27" s="1"/>
  <c r="H249" i="27" s="1"/>
  <c r="AJ234" i="34"/>
  <c r="AB248" i="38"/>
  <c r="AI235" i="34"/>
  <c r="F249" i="34" s="1"/>
  <c r="I249" i="34" s="1"/>
  <c r="AA249" i="38"/>
  <c r="E249" i="38" s="1"/>
  <c r="H249" i="38" s="1"/>
  <c r="AI235" i="37"/>
  <c r="F249" i="37" s="1"/>
  <c r="I249" i="37" s="1"/>
  <c r="AJ233" i="30"/>
  <c r="K235" i="40"/>
  <c r="AT235" i="40" s="1"/>
  <c r="I247" i="30"/>
  <c r="AR234" i="38"/>
  <c r="AW239" i="38"/>
  <c r="AX239" i="38" s="1"/>
  <c r="AZ246" i="38"/>
  <c r="BB246" i="38" s="1"/>
  <c r="BA246" i="38"/>
  <c r="BA239" i="27"/>
  <c r="AZ239" i="27"/>
  <c r="BB239" i="27" s="1"/>
  <c r="AW232" i="27"/>
  <c r="AX232" i="27" s="1"/>
  <c r="AB235" i="34"/>
  <c r="BA245" i="38"/>
  <c r="AW238" i="38"/>
  <c r="AX238" i="38" s="1"/>
  <c r="AZ245" i="38"/>
  <c r="BB245" i="38" s="1"/>
  <c r="AA236" i="40"/>
  <c r="E236" i="40" s="1"/>
  <c r="H236" i="40" s="1"/>
  <c r="AS236" i="40" s="1"/>
  <c r="AQ236" i="37"/>
  <c r="AR235" i="37"/>
  <c r="T234" i="34"/>
  <c r="CB234" i="34" s="1"/>
  <c r="CB233" i="27"/>
  <c r="CE233" i="27"/>
  <c r="AV233" i="27"/>
  <c r="CB240" i="38"/>
  <c r="CE240" i="38"/>
  <c r="AV240" i="38"/>
  <c r="CB237" i="37"/>
  <c r="CE237" i="37"/>
  <c r="AV237" i="37"/>
  <c r="CB236" i="37"/>
  <c r="CE236" i="37"/>
  <c r="AV236" i="37"/>
  <c r="T236" i="39"/>
  <c r="CB236" i="39" s="1"/>
  <c r="AG236" i="40"/>
  <c r="AH236" i="40" s="1"/>
  <c r="AF237" i="40"/>
  <c r="AI237" i="40"/>
  <c r="L250" i="40"/>
  <c r="AG235" i="34"/>
  <c r="AH235" i="34" s="1"/>
  <c r="AI236" i="34"/>
  <c r="F250" i="34" s="1"/>
  <c r="I250" i="34" s="1"/>
  <c r="AF236" i="34"/>
  <c r="AJ235" i="34"/>
  <c r="AJ234" i="27"/>
  <c r="AO235" i="38"/>
  <c r="AP235" i="38" s="1"/>
  <c r="AN236" i="38"/>
  <c r="AO234" i="27"/>
  <c r="AP234" i="27" s="1"/>
  <c r="AN235" i="27"/>
  <c r="AI234" i="30"/>
  <c r="F248" i="30" s="1"/>
  <c r="AG235" i="39"/>
  <c r="AH235" i="39" s="1"/>
  <c r="AF236" i="39"/>
  <c r="AG234" i="30"/>
  <c r="AH234" i="30" s="1"/>
  <c r="AF235" i="30"/>
  <c r="AJ234" i="30"/>
  <c r="AB237" i="39"/>
  <c r="AA238" i="39"/>
  <c r="E238" i="39" s="1"/>
  <c r="H238" i="39" s="1"/>
  <c r="AS238" i="39" s="1"/>
  <c r="AO236" i="37"/>
  <c r="AP236" i="37" s="1"/>
  <c r="AN237" i="37"/>
  <c r="AR236" i="37"/>
  <c r="Y236" i="34"/>
  <c r="Z236" i="34" s="1"/>
  <c r="X237" i="34"/>
  <c r="AB236" i="40"/>
  <c r="AA237" i="40"/>
  <c r="E237" i="40" s="1"/>
  <c r="Y236" i="40"/>
  <c r="Z236" i="40" s="1"/>
  <c r="X237" i="40"/>
  <c r="AB248" i="27"/>
  <c r="AS233" i="30"/>
  <c r="T233" i="30"/>
  <c r="CB233" i="30" s="1"/>
  <c r="AS232" i="30"/>
  <c r="T232" i="30"/>
  <c r="CB232" i="30" s="1"/>
  <c r="AB233" i="30"/>
  <c r="Y238" i="39"/>
  <c r="Z238" i="39" s="1"/>
  <c r="AA239" i="39"/>
  <c r="E239" i="39" s="1"/>
  <c r="X239" i="39"/>
  <c r="Y234" i="30"/>
  <c r="Z234" i="30" s="1"/>
  <c r="X235" i="30"/>
  <c r="AA234" i="30"/>
  <c r="E234" i="30" s="1"/>
  <c r="H234" i="30" s="1"/>
  <c r="L249" i="40"/>
  <c r="AB248" i="37"/>
  <c r="AA249" i="37"/>
  <c r="E249" i="37" s="1"/>
  <c r="H249" i="37" s="1"/>
  <c r="Y249" i="37"/>
  <c r="Z249" i="37" s="1"/>
  <c r="AA250" i="37"/>
  <c r="E250" i="37" s="1"/>
  <c r="X250" i="37"/>
  <c r="Y249" i="27"/>
  <c r="Z249" i="27" s="1"/>
  <c r="AB249" i="27"/>
  <c r="X250" i="27"/>
  <c r="AG238" i="38"/>
  <c r="AH238" i="38" s="1"/>
  <c r="AJ238" i="38"/>
  <c r="AI239" i="38"/>
  <c r="AF239" i="38"/>
  <c r="Y249" i="38"/>
  <c r="Z249" i="38" s="1"/>
  <c r="X250" i="38"/>
  <c r="AB249" i="38"/>
  <c r="AG235" i="27"/>
  <c r="AH235" i="27" s="1"/>
  <c r="AJ235" i="27"/>
  <c r="AI236" i="27"/>
  <c r="F250" i="27" s="1"/>
  <c r="I250" i="27" s="1"/>
  <c r="AF236" i="27"/>
  <c r="AG235" i="37"/>
  <c r="AH235" i="37" s="1"/>
  <c r="AF236" i="37"/>
  <c r="E235" i="22"/>
  <c r="K235" i="22" s="1"/>
  <c r="L249" i="27"/>
  <c r="L248" i="27"/>
  <c r="K242" i="38"/>
  <c r="AT242" i="38" s="1"/>
  <c r="K235" i="27"/>
  <c r="AT235" i="27" s="1"/>
  <c r="AS235" i="27"/>
  <c r="T234" i="27"/>
  <c r="T241" i="38"/>
  <c r="T238" i="37"/>
  <c r="T235" i="34"/>
  <c r="CB235" i="34" s="1"/>
  <c r="AS236" i="34"/>
  <c r="K236" i="34"/>
  <c r="AT236" i="34" s="1"/>
  <c r="AB235" i="22"/>
  <c r="AA236" i="22"/>
  <c r="E236" i="22" s="1"/>
  <c r="X237" i="22"/>
  <c r="Y236" i="22"/>
  <c r="Z236" i="22" s="1"/>
  <c r="CA246" i="22"/>
  <c r="BM245" i="22"/>
  <c r="BE245" i="22"/>
  <c r="BF245" i="22"/>
  <c r="T237" i="39" l="1"/>
  <c r="CB237" i="39" s="1"/>
  <c r="L249" i="39"/>
  <c r="AZ236" i="37"/>
  <c r="AZ237" i="37"/>
  <c r="BA237" i="37" s="1"/>
  <c r="AB238" i="39"/>
  <c r="AI235" i="30"/>
  <c r="F249" i="30" s="1"/>
  <c r="L249" i="30" s="1"/>
  <c r="AB249" i="37"/>
  <c r="AJ235" i="37"/>
  <c r="AI236" i="37"/>
  <c r="F250" i="37" s="1"/>
  <c r="I250" i="37" s="1"/>
  <c r="L249" i="34"/>
  <c r="L249" i="37"/>
  <c r="T235" i="40"/>
  <c r="CB235" i="40" s="1"/>
  <c r="AA250" i="38"/>
  <c r="E250" i="38" s="1"/>
  <c r="H250" i="38" s="1"/>
  <c r="AR235" i="38"/>
  <c r="H250" i="37"/>
  <c r="AB234" i="30"/>
  <c r="AJ235" i="39"/>
  <c r="AA235" i="30"/>
  <c r="E235" i="30" s="1"/>
  <c r="H235" i="30" s="1"/>
  <c r="AI236" i="39"/>
  <c r="F250" i="39" s="1"/>
  <c r="I250" i="39" s="1"/>
  <c r="K236" i="40"/>
  <c r="AT236" i="40" s="1"/>
  <c r="AR234" i="27"/>
  <c r="AQ235" i="27"/>
  <c r="AQ236" i="38"/>
  <c r="BA247" i="38"/>
  <c r="AZ247" i="38"/>
  <c r="BB247" i="38" s="1"/>
  <c r="AW240" i="38"/>
  <c r="AX240" i="38" s="1"/>
  <c r="AZ240" i="27"/>
  <c r="BB240" i="27" s="1"/>
  <c r="AW233" i="27"/>
  <c r="AX233" i="27" s="1"/>
  <c r="BA240" i="27"/>
  <c r="AJ236" i="40"/>
  <c r="AW237" i="37"/>
  <c r="AX237" i="37" s="1"/>
  <c r="CF237" i="37" s="1"/>
  <c r="AW236" i="37"/>
  <c r="AX236" i="37" s="1"/>
  <c r="CF236" i="37" s="1"/>
  <c r="AQ237" i="37"/>
  <c r="CB241" i="38"/>
  <c r="CE241" i="38"/>
  <c r="AV241" i="38"/>
  <c r="CB234" i="27"/>
  <c r="CE234" i="27"/>
  <c r="AV234" i="27"/>
  <c r="CB238" i="37"/>
  <c r="CE238" i="37"/>
  <c r="AV238" i="37"/>
  <c r="AF237" i="34"/>
  <c r="AG236" i="34"/>
  <c r="AH236" i="34" s="1"/>
  <c r="AI237" i="34"/>
  <c r="AJ236" i="34"/>
  <c r="AG237" i="40"/>
  <c r="AH237" i="40" s="1"/>
  <c r="AI238" i="40"/>
  <c r="AF238" i="40"/>
  <c r="AJ237" i="40"/>
  <c r="L250" i="34"/>
  <c r="AO235" i="27"/>
  <c r="AP235" i="27" s="1"/>
  <c r="AQ236" i="27"/>
  <c r="AN236" i="27"/>
  <c r="AR235" i="27"/>
  <c r="AO236" i="38"/>
  <c r="AP236" i="38" s="1"/>
  <c r="AN237" i="38"/>
  <c r="AG235" i="30"/>
  <c r="AH235" i="30" s="1"/>
  <c r="AF236" i="30"/>
  <c r="AJ235" i="30"/>
  <c r="K238" i="39"/>
  <c r="AT238" i="39" s="1"/>
  <c r="AG236" i="39"/>
  <c r="AH236" i="39" s="1"/>
  <c r="AI237" i="39"/>
  <c r="AF237" i="39"/>
  <c r="AJ236" i="39"/>
  <c r="I248" i="30"/>
  <c r="L248" i="30"/>
  <c r="AO237" i="37"/>
  <c r="AP237" i="37" s="1"/>
  <c r="AN238" i="37"/>
  <c r="AR237" i="37"/>
  <c r="K237" i="40"/>
  <c r="AT237" i="40" s="1"/>
  <c r="H237" i="40"/>
  <c r="AS237" i="40" s="1"/>
  <c r="H239" i="39"/>
  <c r="AS239" i="39" s="1"/>
  <c r="Y237" i="40"/>
  <c r="Z237" i="40" s="1"/>
  <c r="X238" i="40"/>
  <c r="AB237" i="40"/>
  <c r="AA238" i="40"/>
  <c r="E238" i="40" s="1"/>
  <c r="H238" i="40" s="1"/>
  <c r="AA237" i="34"/>
  <c r="E237" i="34" s="1"/>
  <c r="X238" i="34"/>
  <c r="Y237" i="34"/>
  <c r="Z237" i="34" s="1"/>
  <c r="AB236" i="34"/>
  <c r="AA250" i="27"/>
  <c r="E250" i="27" s="1"/>
  <c r="H250" i="27" s="1"/>
  <c r="K234" i="30"/>
  <c r="AT234" i="30" s="1"/>
  <c r="K239" i="39"/>
  <c r="AT239" i="39" s="1"/>
  <c r="Y235" i="30"/>
  <c r="Z235" i="30" s="1"/>
  <c r="X236" i="30"/>
  <c r="Y239" i="39"/>
  <c r="Z239" i="39" s="1"/>
  <c r="X240" i="39"/>
  <c r="AB250" i="37"/>
  <c r="Y250" i="37"/>
  <c r="Z250" i="37" s="1"/>
  <c r="AF237" i="27"/>
  <c r="AG236" i="27"/>
  <c r="AH236" i="27" s="1"/>
  <c r="AG239" i="38"/>
  <c r="AH239" i="38" s="1"/>
  <c r="AI240" i="38"/>
  <c r="AF240" i="38"/>
  <c r="Y250" i="27"/>
  <c r="Z250" i="27" s="1"/>
  <c r="Y250" i="38"/>
  <c r="Z250" i="38" s="1"/>
  <c r="AB250" i="38"/>
  <c r="AG236" i="37"/>
  <c r="AH236" i="37" s="1"/>
  <c r="AF237" i="37"/>
  <c r="AS242" i="38"/>
  <c r="T235" i="27"/>
  <c r="AS243" i="38"/>
  <c r="K243" i="38"/>
  <c r="AT243" i="38" s="1"/>
  <c r="AS240" i="37"/>
  <c r="K240" i="37"/>
  <c r="AT240" i="37" s="1"/>
  <c r="K239" i="37"/>
  <c r="AT239" i="37" s="1"/>
  <c r="AS239" i="37"/>
  <c r="T236" i="34"/>
  <c r="CB236" i="34" s="1"/>
  <c r="AB236" i="22"/>
  <c r="AA237" i="22"/>
  <c r="E237" i="22" s="1"/>
  <c r="X238" i="22"/>
  <c r="Y237" i="22"/>
  <c r="Z237" i="22" s="1"/>
  <c r="K236" i="22"/>
  <c r="CA247" i="22"/>
  <c r="BM246" i="22"/>
  <c r="BE246" i="22"/>
  <c r="BF246" i="22"/>
  <c r="I249" i="30" l="1"/>
  <c r="AB239" i="39"/>
  <c r="AZ238" i="37"/>
  <c r="AA236" i="30"/>
  <c r="E236" i="30" s="1"/>
  <c r="H236" i="30" s="1"/>
  <c r="BB237" i="37"/>
  <c r="L250" i="37"/>
  <c r="AA240" i="39"/>
  <c r="E240" i="39" s="1"/>
  <c r="H240" i="39" s="1"/>
  <c r="BA236" i="37"/>
  <c r="BB236" i="37" s="1"/>
  <c r="AI236" i="30"/>
  <c r="F250" i="30" s="1"/>
  <c r="I250" i="30" s="1"/>
  <c r="K235" i="30"/>
  <c r="AT235" i="30" s="1"/>
  <c r="L250" i="39"/>
  <c r="AR236" i="38"/>
  <c r="AJ239" i="38"/>
  <c r="AQ237" i="38"/>
  <c r="AB235" i="30"/>
  <c r="AQ238" i="37"/>
  <c r="T236" i="40"/>
  <c r="CB236" i="40" s="1"/>
  <c r="BA241" i="27"/>
  <c r="AZ241" i="27"/>
  <c r="BB241" i="27" s="1"/>
  <c r="AW234" i="27"/>
  <c r="AX234" i="27" s="1"/>
  <c r="AW241" i="38"/>
  <c r="AX241" i="38" s="1"/>
  <c r="AZ248" i="38"/>
  <c r="BB248" i="38" s="1"/>
  <c r="BA248" i="38"/>
  <c r="AB250" i="27"/>
  <c r="AW238" i="37"/>
  <c r="AX238" i="37" s="1"/>
  <c r="CF238" i="37" s="1"/>
  <c r="CB235" i="27"/>
  <c r="CE235" i="27"/>
  <c r="AV235" i="27"/>
  <c r="T238" i="39"/>
  <c r="CB238" i="39" s="1"/>
  <c r="AG238" i="40"/>
  <c r="AH238" i="40" s="1"/>
  <c r="AF239" i="40"/>
  <c r="T237" i="40"/>
  <c r="CB237" i="40" s="1"/>
  <c r="AA238" i="34"/>
  <c r="E238" i="34" s="1"/>
  <c r="H238" i="34" s="1"/>
  <c r="AF238" i="34"/>
  <c r="AG237" i="34"/>
  <c r="AH237" i="34" s="1"/>
  <c r="AJ237" i="34"/>
  <c r="AO236" i="27"/>
  <c r="AP236" i="27" s="1"/>
  <c r="AN237" i="27"/>
  <c r="AQ237" i="27"/>
  <c r="AR236" i="27"/>
  <c r="AO237" i="38"/>
  <c r="AP237" i="38" s="1"/>
  <c r="AN238" i="38"/>
  <c r="AG236" i="30"/>
  <c r="AH236" i="30" s="1"/>
  <c r="AF237" i="30"/>
  <c r="AJ236" i="30"/>
  <c r="AF238" i="39"/>
  <c r="AI238" i="39"/>
  <c r="AG237" i="39"/>
  <c r="AH237" i="39" s="1"/>
  <c r="AO238" i="37"/>
  <c r="AP238" i="37" s="1"/>
  <c r="AQ239" i="37"/>
  <c r="AN239" i="37"/>
  <c r="AR238" i="37"/>
  <c r="H237" i="34"/>
  <c r="AS237" i="34" s="1"/>
  <c r="T239" i="39"/>
  <c r="CB239" i="39" s="1"/>
  <c r="Y238" i="34"/>
  <c r="Z238" i="34" s="1"/>
  <c r="X239" i="34"/>
  <c r="AA239" i="34"/>
  <c r="E239" i="34" s="1"/>
  <c r="H239" i="34" s="1"/>
  <c r="AA239" i="40"/>
  <c r="E239" i="40" s="1"/>
  <c r="H239" i="40" s="1"/>
  <c r="Y238" i="40"/>
  <c r="Z238" i="40" s="1"/>
  <c r="X239" i="40"/>
  <c r="AB238" i="40"/>
  <c r="AB237" i="34"/>
  <c r="AI237" i="27"/>
  <c r="K236" i="30"/>
  <c r="AT236" i="30" s="1"/>
  <c r="Y240" i="39"/>
  <c r="Z240" i="39" s="1"/>
  <c r="X241" i="39"/>
  <c r="AS235" i="30"/>
  <c r="AS234" i="30"/>
  <c r="T234" i="30"/>
  <c r="CB234" i="30" s="1"/>
  <c r="Y236" i="30"/>
  <c r="Z236" i="30" s="1"/>
  <c r="AA237" i="30"/>
  <c r="E237" i="30" s="1"/>
  <c r="H237" i="30" s="1"/>
  <c r="X237" i="30"/>
  <c r="T242" i="38"/>
  <c r="AJ236" i="27"/>
  <c r="AG240" i="38"/>
  <c r="AH240" i="38" s="1"/>
  <c r="AF241" i="38"/>
  <c r="AJ240" i="38"/>
  <c r="AI241" i="38"/>
  <c r="AG237" i="27"/>
  <c r="AH237" i="27" s="1"/>
  <c r="AF238" i="27"/>
  <c r="AG237" i="37"/>
  <c r="AH237" i="37" s="1"/>
  <c r="AJ237" i="37"/>
  <c r="AF238" i="37"/>
  <c r="AJ236" i="37"/>
  <c r="AI237" i="37"/>
  <c r="K237" i="34"/>
  <c r="AT237" i="34" s="1"/>
  <c r="L250" i="27"/>
  <c r="K244" i="38"/>
  <c r="AT244" i="38" s="1"/>
  <c r="AS244" i="38"/>
  <c r="T243" i="38"/>
  <c r="AS236" i="27"/>
  <c r="K236" i="27"/>
  <c r="AT236" i="27" s="1"/>
  <c r="K237" i="27"/>
  <c r="AT237" i="27" s="1"/>
  <c r="AS237" i="27"/>
  <c r="AS241" i="37"/>
  <c r="K241" i="37"/>
  <c r="AT241" i="37" s="1"/>
  <c r="T239" i="37"/>
  <c r="T240" i="37"/>
  <c r="K238" i="40"/>
  <c r="AT238" i="40" s="1"/>
  <c r="AS238" i="40"/>
  <c r="AB237" i="22"/>
  <c r="AA238" i="22"/>
  <c r="E238" i="22" s="1"/>
  <c r="K237" i="22"/>
  <c r="X239" i="22"/>
  <c r="Y238" i="22"/>
  <c r="Z238" i="22" s="1"/>
  <c r="CA248" i="22"/>
  <c r="BF247" i="22"/>
  <c r="BE247" i="22"/>
  <c r="BM247" i="22"/>
  <c r="K240" i="39" l="1"/>
  <c r="AT240" i="39" s="1"/>
  <c r="L250" i="30"/>
  <c r="BA238" i="37"/>
  <c r="BB238" i="37" s="1"/>
  <c r="AB240" i="39"/>
  <c r="AI237" i="30"/>
  <c r="AJ237" i="39"/>
  <c r="AA241" i="39"/>
  <c r="E241" i="39" s="1"/>
  <c r="K241" i="39" s="1"/>
  <c r="AT241" i="39" s="1"/>
  <c r="AB236" i="30"/>
  <c r="T235" i="30"/>
  <c r="CB235" i="30" s="1"/>
  <c r="AR237" i="38"/>
  <c r="AQ238" i="38"/>
  <c r="AZ242" i="27"/>
  <c r="BB242" i="27" s="1"/>
  <c r="AW235" i="27"/>
  <c r="AX235" i="27" s="1"/>
  <c r="BA242" i="27"/>
  <c r="AJ238" i="40"/>
  <c r="AI239" i="40"/>
  <c r="CB242" i="38"/>
  <c r="CE242" i="38"/>
  <c r="AV242" i="38"/>
  <c r="CB243" i="38"/>
  <c r="CE243" i="38"/>
  <c r="AV243" i="38"/>
  <c r="CB240" i="37"/>
  <c r="CE240" i="37"/>
  <c r="AV240" i="37"/>
  <c r="CB239" i="37"/>
  <c r="CE239" i="37"/>
  <c r="AV239" i="37"/>
  <c r="AI238" i="34"/>
  <c r="AG238" i="34"/>
  <c r="AH238" i="34" s="1"/>
  <c r="AI239" i="34"/>
  <c r="AF239" i="34"/>
  <c r="AJ238" i="34"/>
  <c r="AG239" i="40"/>
  <c r="AH239" i="40" s="1"/>
  <c r="AI240" i="40"/>
  <c r="AF240" i="40"/>
  <c r="AJ239" i="40"/>
  <c r="AO238" i="38"/>
  <c r="AP238" i="38" s="1"/>
  <c r="AN239" i="38"/>
  <c r="AQ239" i="38"/>
  <c r="AR238" i="38"/>
  <c r="AO237" i="27"/>
  <c r="AP237" i="27" s="1"/>
  <c r="AQ238" i="27"/>
  <c r="AN238" i="27"/>
  <c r="AR237" i="27"/>
  <c r="AG237" i="30"/>
  <c r="AH237" i="30" s="1"/>
  <c r="AF238" i="30"/>
  <c r="AG238" i="39"/>
  <c r="AH238" i="39" s="1"/>
  <c r="AF239" i="39"/>
  <c r="AJ238" i="39"/>
  <c r="AO239" i="37"/>
  <c r="AP239" i="37" s="1"/>
  <c r="AN240" i="37"/>
  <c r="AQ240" i="37"/>
  <c r="AR239" i="37"/>
  <c r="AB239" i="40"/>
  <c r="X240" i="40"/>
  <c r="Y239" i="40"/>
  <c r="Z239" i="40" s="1"/>
  <c r="AA240" i="40"/>
  <c r="E240" i="40" s="1"/>
  <c r="T237" i="34"/>
  <c r="CB237" i="34" s="1"/>
  <c r="AB238" i="34"/>
  <c r="Y239" i="34"/>
  <c r="Z239" i="34" s="1"/>
  <c r="X240" i="34"/>
  <c r="Y241" i="39"/>
  <c r="Z241" i="39" s="1"/>
  <c r="X242" i="39"/>
  <c r="AB241" i="39"/>
  <c r="X238" i="30"/>
  <c r="Y237" i="30"/>
  <c r="Z237" i="30" s="1"/>
  <c r="K237" i="30"/>
  <c r="AT237" i="30" s="1"/>
  <c r="AS240" i="39"/>
  <c r="T240" i="39"/>
  <c r="CB240" i="39" s="1"/>
  <c r="AS236" i="30"/>
  <c r="T236" i="30"/>
  <c r="CB236" i="30" s="1"/>
  <c r="AJ237" i="27"/>
  <c r="AI238" i="27"/>
  <c r="AG241" i="38"/>
  <c r="AH241" i="38" s="1"/>
  <c r="AI242" i="38"/>
  <c r="AJ241" i="38"/>
  <c r="AF242" i="38"/>
  <c r="AG238" i="27"/>
  <c r="AH238" i="27" s="1"/>
  <c r="AF239" i="27"/>
  <c r="AG238" i="37"/>
  <c r="AH238" i="37" s="1"/>
  <c r="AI239" i="37"/>
  <c r="AF239" i="37"/>
  <c r="AI238" i="37"/>
  <c r="T236" i="27"/>
  <c r="T244" i="38"/>
  <c r="K245" i="38"/>
  <c r="AT245" i="38" s="1"/>
  <c r="AS245" i="38"/>
  <c r="T237" i="27"/>
  <c r="T241" i="37"/>
  <c r="AS239" i="34"/>
  <c r="AS238" i="34"/>
  <c r="K238" i="34"/>
  <c r="AT238" i="34" s="1"/>
  <c r="K239" i="40"/>
  <c r="AT239" i="40" s="1"/>
  <c r="AS239" i="40"/>
  <c r="T238" i="40"/>
  <c r="CB238" i="40" s="1"/>
  <c r="AB238" i="22"/>
  <c r="AA239" i="22"/>
  <c r="K238" i="22"/>
  <c r="X240" i="22"/>
  <c r="Y239" i="22"/>
  <c r="Z239" i="22" s="1"/>
  <c r="CA249" i="22"/>
  <c r="BM248" i="22"/>
  <c r="BE248" i="22"/>
  <c r="BF248" i="22"/>
  <c r="AZ240" i="37" l="1"/>
  <c r="AZ239" i="37"/>
  <c r="AI239" i="39"/>
  <c r="H241" i="39"/>
  <c r="T241" i="39" s="1"/>
  <c r="CB241" i="39" s="1"/>
  <c r="AW243" i="38"/>
  <c r="AX243" i="38" s="1"/>
  <c r="AZ250" i="38"/>
  <c r="BB250" i="38" s="1"/>
  <c r="BA250" i="38"/>
  <c r="BA249" i="38"/>
  <c r="AZ249" i="38"/>
  <c r="BB249" i="38" s="1"/>
  <c r="AW242" i="38"/>
  <c r="AX242" i="38" s="1"/>
  <c r="AW239" i="37"/>
  <c r="AX239" i="37" s="1"/>
  <c r="CF239" i="37" s="1"/>
  <c r="AW240" i="37"/>
  <c r="AX240" i="37" s="1"/>
  <c r="CF240" i="37" s="1"/>
  <c r="AJ237" i="30"/>
  <c r="CB237" i="27"/>
  <c r="CE237" i="27"/>
  <c r="AV237" i="27"/>
  <c r="CB236" i="27"/>
  <c r="CE236" i="27"/>
  <c r="AV236" i="27"/>
  <c r="CB244" i="38"/>
  <c r="CE244" i="38"/>
  <c r="AV244" i="38"/>
  <c r="AW244" i="38" s="1"/>
  <c r="AX244" i="38" s="1"/>
  <c r="CB241" i="37"/>
  <c r="CE241" i="37"/>
  <c r="AV241" i="37"/>
  <c r="AG240" i="40"/>
  <c r="AH240" i="40" s="1"/>
  <c r="AF241" i="40"/>
  <c r="AI241" i="40"/>
  <c r="AJ240" i="40"/>
  <c r="AG239" i="34"/>
  <c r="AH239" i="34" s="1"/>
  <c r="AF240" i="34"/>
  <c r="AO238" i="27"/>
  <c r="AP238" i="27" s="1"/>
  <c r="AN239" i="27"/>
  <c r="AQ239" i="27"/>
  <c r="AR238" i="27"/>
  <c r="AO239" i="38"/>
  <c r="AP239" i="38" s="1"/>
  <c r="AQ240" i="38"/>
  <c r="AN240" i="38"/>
  <c r="AR239" i="38"/>
  <c r="AG239" i="39"/>
  <c r="AH239" i="39" s="1"/>
  <c r="AF240" i="39"/>
  <c r="AJ239" i="39"/>
  <c r="AG238" i="30"/>
  <c r="AH238" i="30" s="1"/>
  <c r="AF239" i="30"/>
  <c r="AI239" i="30"/>
  <c r="AS241" i="39"/>
  <c r="AI238" i="30"/>
  <c r="AO240" i="37"/>
  <c r="AP240" i="37" s="1"/>
  <c r="AN241" i="37"/>
  <c r="H240" i="40"/>
  <c r="AS240" i="40" s="1"/>
  <c r="X241" i="34"/>
  <c r="Y240" i="34"/>
  <c r="Z240" i="34" s="1"/>
  <c r="AA240" i="34"/>
  <c r="E240" i="34" s="1"/>
  <c r="X241" i="40"/>
  <c r="AA241" i="40"/>
  <c r="E241" i="40" s="1"/>
  <c r="Y240" i="40"/>
  <c r="Z240" i="40" s="1"/>
  <c r="AB239" i="34"/>
  <c r="Y238" i="30"/>
  <c r="Z238" i="30" s="1"/>
  <c r="AB238" i="30"/>
  <c r="X239" i="30"/>
  <c r="AA238" i="30"/>
  <c r="E238" i="30" s="1"/>
  <c r="H238" i="30" s="1"/>
  <c r="AB237" i="30"/>
  <c r="AA242" i="39"/>
  <c r="E242" i="39" s="1"/>
  <c r="H242" i="39" s="1"/>
  <c r="AS237" i="30"/>
  <c r="T237" i="30"/>
  <c r="CB237" i="30" s="1"/>
  <c r="Y242" i="39"/>
  <c r="Z242" i="39" s="1"/>
  <c r="X243" i="39"/>
  <c r="AJ238" i="27"/>
  <c r="AG242" i="38"/>
  <c r="AH242" i="38" s="1"/>
  <c r="AJ242" i="38"/>
  <c r="AI243" i="38"/>
  <c r="AF243" i="38"/>
  <c r="AF240" i="27"/>
  <c r="AG239" i="27"/>
  <c r="AH239" i="27" s="1"/>
  <c r="AI239" i="27"/>
  <c r="E239" i="22"/>
  <c r="K239" i="22" s="1"/>
  <c r="AG239" i="37"/>
  <c r="AH239" i="37" s="1"/>
  <c r="AI240" i="37"/>
  <c r="AJ239" i="37"/>
  <c r="AF240" i="37"/>
  <c r="AJ238" i="37"/>
  <c r="K239" i="34"/>
  <c r="AT239" i="34" s="1"/>
  <c r="K240" i="40"/>
  <c r="AT240" i="40" s="1"/>
  <c r="T245" i="38"/>
  <c r="K246" i="38"/>
  <c r="AT246" i="38" s="1"/>
  <c r="AS246" i="38"/>
  <c r="K238" i="27"/>
  <c r="AT238" i="27" s="1"/>
  <c r="AS238" i="27"/>
  <c r="AS243" i="37"/>
  <c r="K243" i="37"/>
  <c r="AT243" i="37" s="1"/>
  <c r="AS242" i="37"/>
  <c r="K242" i="37"/>
  <c r="AT242" i="37" s="1"/>
  <c r="T239" i="40"/>
  <c r="CB239" i="40" s="1"/>
  <c r="T238" i="34"/>
  <c r="CB238" i="34" s="1"/>
  <c r="AA240" i="22"/>
  <c r="AB239" i="22"/>
  <c r="X241" i="22"/>
  <c r="Y240" i="22"/>
  <c r="Z240" i="22" s="1"/>
  <c r="CA250" i="22"/>
  <c r="BM249" i="22"/>
  <c r="BF249" i="22"/>
  <c r="BE249" i="22"/>
  <c r="AZ241" i="37" l="1"/>
  <c r="BA241" i="37"/>
  <c r="BA239" i="37"/>
  <c r="BB239" i="37" s="1"/>
  <c r="AI240" i="39"/>
  <c r="BA240" i="37"/>
  <c r="BB240" i="37" s="1"/>
  <c r="AA239" i="30"/>
  <c r="E239" i="30" s="1"/>
  <c r="H239" i="30" s="1"/>
  <c r="AJ238" i="30"/>
  <c r="AW236" i="27"/>
  <c r="AX236" i="27" s="1"/>
  <c r="AZ243" i="27"/>
  <c r="BB243" i="27" s="1"/>
  <c r="BA243" i="27"/>
  <c r="AJ239" i="34"/>
  <c r="AI240" i="34"/>
  <c r="AW237" i="27"/>
  <c r="AX237" i="27" s="1"/>
  <c r="BA244" i="27"/>
  <c r="AZ244" i="27"/>
  <c r="BB244" i="27" s="1"/>
  <c r="AQ241" i="37"/>
  <c r="AW241" i="37"/>
  <c r="AX241" i="37" s="1"/>
  <c r="CF241" i="37" s="1"/>
  <c r="AR240" i="37"/>
  <c r="CB245" i="38"/>
  <c r="CE245" i="38"/>
  <c r="AV245" i="38"/>
  <c r="AW245" i="38" s="1"/>
  <c r="AX245" i="38" s="1"/>
  <c r="AG240" i="34"/>
  <c r="AH240" i="34" s="1"/>
  <c r="AI241" i="34"/>
  <c r="AJ240" i="34"/>
  <c r="AF241" i="34"/>
  <c r="AG241" i="40"/>
  <c r="AH241" i="40" s="1"/>
  <c r="AF242" i="40"/>
  <c r="AO240" i="38"/>
  <c r="AP240" i="38" s="1"/>
  <c r="AQ241" i="38"/>
  <c r="AN241" i="38"/>
  <c r="AR240" i="38"/>
  <c r="AO239" i="27"/>
  <c r="AP239" i="27" s="1"/>
  <c r="AQ240" i="27"/>
  <c r="AN240" i="27"/>
  <c r="AG239" i="30"/>
  <c r="AH239" i="30" s="1"/>
  <c r="AI240" i="30"/>
  <c r="AF240" i="30"/>
  <c r="AB242" i="39"/>
  <c r="AG240" i="39"/>
  <c r="AH240" i="39" s="1"/>
  <c r="AF241" i="39"/>
  <c r="AA243" i="39"/>
  <c r="E243" i="39" s="1"/>
  <c r="H243" i="39" s="1"/>
  <c r="AS243" i="39" s="1"/>
  <c r="AO241" i="37"/>
  <c r="AP241" i="37" s="1"/>
  <c r="AN242" i="37"/>
  <c r="AQ242" i="37"/>
  <c r="AR241" i="37"/>
  <c r="K241" i="40"/>
  <c r="AT241" i="40" s="1"/>
  <c r="H241" i="40"/>
  <c r="K240" i="34"/>
  <c r="AT240" i="34" s="1"/>
  <c r="H240" i="34"/>
  <c r="AS240" i="34" s="1"/>
  <c r="AA242" i="40"/>
  <c r="E242" i="40" s="1"/>
  <c r="H242" i="40" s="1"/>
  <c r="AS242" i="40" s="1"/>
  <c r="X242" i="40"/>
  <c r="AB241" i="40"/>
  <c r="Y241" i="40"/>
  <c r="Z241" i="40" s="1"/>
  <c r="AB240" i="34"/>
  <c r="AA241" i="34"/>
  <c r="E241" i="34" s="1"/>
  <c r="H241" i="34" s="1"/>
  <c r="AB240" i="40"/>
  <c r="Y241" i="34"/>
  <c r="Z241" i="34" s="1"/>
  <c r="X242" i="34"/>
  <c r="AB241" i="34"/>
  <c r="AA242" i="34"/>
  <c r="E242" i="34" s="1"/>
  <c r="H242" i="34" s="1"/>
  <c r="K242" i="39"/>
  <c r="AT242" i="39" s="1"/>
  <c r="Y243" i="39"/>
  <c r="Z243" i="39" s="1"/>
  <c r="AA244" i="39"/>
  <c r="E244" i="39" s="1"/>
  <c r="AB243" i="39"/>
  <c r="X244" i="39"/>
  <c r="K238" i="30"/>
  <c r="AT238" i="30" s="1"/>
  <c r="X240" i="30"/>
  <c r="Y239" i="30"/>
  <c r="Z239" i="30" s="1"/>
  <c r="T240" i="40"/>
  <c r="CB240" i="40" s="1"/>
  <c r="T239" i="34"/>
  <c r="CB239" i="34" s="1"/>
  <c r="AF241" i="27"/>
  <c r="AG240" i="27"/>
  <c r="AH240" i="27" s="1"/>
  <c r="AJ239" i="27"/>
  <c r="AI240" i="27"/>
  <c r="AG243" i="38"/>
  <c r="AH243" i="38" s="1"/>
  <c r="AI244" i="38"/>
  <c r="AJ243" i="38"/>
  <c r="AF244" i="38"/>
  <c r="AG240" i="37"/>
  <c r="AH240" i="37" s="1"/>
  <c r="AF241" i="37"/>
  <c r="E240" i="22"/>
  <c r="K240" i="22" s="1"/>
  <c r="T246" i="38"/>
  <c r="T238" i="27"/>
  <c r="K239" i="27"/>
  <c r="AT239" i="27" s="1"/>
  <c r="AS239" i="27"/>
  <c r="T242" i="37"/>
  <c r="T243" i="37"/>
  <c r="AB240" i="22"/>
  <c r="AA241" i="22"/>
  <c r="E241" i="22" s="1"/>
  <c r="X242" i="22"/>
  <c r="Y241" i="22"/>
  <c r="Z241" i="22" s="1"/>
  <c r="BM250" i="22"/>
  <c r="BF250" i="22"/>
  <c r="BE250" i="22"/>
  <c r="BB241" i="37" l="1"/>
  <c r="K239" i="30"/>
  <c r="AT239" i="30" s="1"/>
  <c r="AJ240" i="37"/>
  <c r="AI241" i="37"/>
  <c r="AJ239" i="30"/>
  <c r="AJ241" i="40"/>
  <c r="AI242" i="40"/>
  <c r="AR239" i="27"/>
  <c r="AI241" i="39"/>
  <c r="AJ240" i="39"/>
  <c r="T240" i="34"/>
  <c r="CB240" i="34" s="1"/>
  <c r="CB238" i="27"/>
  <c r="CE238" i="27"/>
  <c r="AV238" i="27"/>
  <c r="T241" i="40"/>
  <c r="CB241" i="40" s="1"/>
  <c r="CB246" i="38"/>
  <c r="CE246" i="38"/>
  <c r="AV246" i="38"/>
  <c r="AW246" i="38" s="1"/>
  <c r="AX246" i="38" s="1"/>
  <c r="CB242" i="37"/>
  <c r="CE242" i="37"/>
  <c r="AV242" i="37"/>
  <c r="CB243" i="37"/>
  <c r="CE243" i="37"/>
  <c r="AV243" i="37"/>
  <c r="AS241" i="40"/>
  <c r="AG242" i="40"/>
  <c r="AH242" i="40" s="1"/>
  <c r="AI243" i="40"/>
  <c r="AF243" i="40"/>
  <c r="AJ242" i="40"/>
  <c r="AG241" i="34"/>
  <c r="AH241" i="34" s="1"/>
  <c r="AF242" i="34"/>
  <c r="AI242" i="34"/>
  <c r="AJ241" i="34"/>
  <c r="AO240" i="27"/>
  <c r="AP240" i="27" s="1"/>
  <c r="AN241" i="27"/>
  <c r="AO241" i="38"/>
  <c r="AP241" i="38" s="1"/>
  <c r="AN242" i="38"/>
  <c r="AQ242" i="38"/>
  <c r="AR241" i="38"/>
  <c r="AG241" i="39"/>
  <c r="AH241" i="39" s="1"/>
  <c r="AF242" i="39"/>
  <c r="AJ241" i="39"/>
  <c r="K243" i="39"/>
  <c r="AT243" i="39" s="1"/>
  <c r="AG240" i="30"/>
  <c r="AH240" i="30" s="1"/>
  <c r="AI241" i="30"/>
  <c r="AF241" i="30"/>
  <c r="AJ240" i="30"/>
  <c r="AQ243" i="37"/>
  <c r="AO242" i="37"/>
  <c r="AP242" i="37" s="1"/>
  <c r="AN243" i="37"/>
  <c r="K244" i="39"/>
  <c r="AT244" i="39" s="1"/>
  <c r="H244" i="39"/>
  <c r="AS244" i="39" s="1"/>
  <c r="K242" i="40"/>
  <c r="AT242" i="40" s="1"/>
  <c r="X243" i="34"/>
  <c r="Y242" i="34"/>
  <c r="Z242" i="34" s="1"/>
  <c r="AB242" i="34"/>
  <c r="X243" i="40"/>
  <c r="Y242" i="40"/>
  <c r="Z242" i="40" s="1"/>
  <c r="AS238" i="30"/>
  <c r="T238" i="30"/>
  <c r="CB238" i="30" s="1"/>
  <c r="Y244" i="39"/>
  <c r="Z244" i="39" s="1"/>
  <c r="AB244" i="39"/>
  <c r="AA245" i="39"/>
  <c r="E245" i="39" s="1"/>
  <c r="X245" i="39"/>
  <c r="Y240" i="30"/>
  <c r="Z240" i="30" s="1"/>
  <c r="X241" i="30"/>
  <c r="AB239" i="30"/>
  <c r="AS242" i="39"/>
  <c r="T242" i="39"/>
  <c r="CB242" i="39" s="1"/>
  <c r="AS239" i="30"/>
  <c r="T239" i="30"/>
  <c r="CB239" i="30" s="1"/>
  <c r="AA240" i="30"/>
  <c r="E240" i="30" s="1"/>
  <c r="H240" i="30" s="1"/>
  <c r="AI241" i="27"/>
  <c r="AG244" i="38"/>
  <c r="AH244" i="38" s="1"/>
  <c r="AF245" i="38"/>
  <c r="AJ240" i="27"/>
  <c r="AG241" i="27"/>
  <c r="AH241" i="27" s="1"/>
  <c r="AF242" i="27"/>
  <c r="AG241" i="37"/>
  <c r="AH241" i="37" s="1"/>
  <c r="AF242" i="37"/>
  <c r="T239" i="27"/>
  <c r="K240" i="27"/>
  <c r="AT240" i="27" s="1"/>
  <c r="AS240" i="27"/>
  <c r="AS247" i="38"/>
  <c r="K247" i="38"/>
  <c r="AT247" i="38" s="1"/>
  <c r="AS248" i="38"/>
  <c r="K248" i="38"/>
  <c r="AT248" i="38" s="1"/>
  <c r="K245" i="37"/>
  <c r="AT245" i="37" s="1"/>
  <c r="AS245" i="37"/>
  <c r="AS244" i="37"/>
  <c r="K244" i="37"/>
  <c r="AT244" i="37" s="1"/>
  <c r="K242" i="34"/>
  <c r="AT242" i="34" s="1"/>
  <c r="K241" i="34"/>
  <c r="AT241" i="34" s="1"/>
  <c r="AS241" i="34"/>
  <c r="AB241" i="22"/>
  <c r="AA242" i="22"/>
  <c r="E242" i="22" s="1"/>
  <c r="K241" i="22"/>
  <c r="X243" i="22"/>
  <c r="Y242" i="22"/>
  <c r="Z242" i="22" s="1"/>
  <c r="BI245" i="22"/>
  <c r="BI244" i="22"/>
  <c r="BI243" i="22"/>
  <c r="BI242" i="22"/>
  <c r="BI241" i="22"/>
  <c r="BI240" i="22"/>
  <c r="BI239" i="22"/>
  <c r="AZ243" i="37" l="1"/>
  <c r="AZ242" i="37"/>
  <c r="BA242" i="37" s="1"/>
  <c r="AI242" i="39"/>
  <c r="AJ241" i="37"/>
  <c r="AR242" i="37"/>
  <c r="AI242" i="37"/>
  <c r="BA245" i="27"/>
  <c r="AZ245" i="27"/>
  <c r="BB245" i="27" s="1"/>
  <c r="AW238" i="27"/>
  <c r="AX238" i="27" s="1"/>
  <c r="AA243" i="40"/>
  <c r="E243" i="40" s="1"/>
  <c r="H243" i="40" s="1"/>
  <c r="AR240" i="27"/>
  <c r="AB242" i="40"/>
  <c r="AQ241" i="27"/>
  <c r="AW243" i="37"/>
  <c r="AX243" i="37" s="1"/>
  <c r="CF243" i="37" s="1"/>
  <c r="AW242" i="37"/>
  <c r="AX242" i="37" s="1"/>
  <c r="CF242" i="37" s="1"/>
  <c r="T242" i="40"/>
  <c r="CB242" i="40" s="1"/>
  <c r="CB239" i="27"/>
  <c r="CE239" i="27"/>
  <c r="AV239" i="27"/>
  <c r="T243" i="39"/>
  <c r="CB243" i="39" s="1"/>
  <c r="AG242" i="34"/>
  <c r="AH242" i="34" s="1"/>
  <c r="AF243" i="34"/>
  <c r="AJ242" i="34"/>
  <c r="AG243" i="40"/>
  <c r="AH243" i="40" s="1"/>
  <c r="AF244" i="40"/>
  <c r="AO242" i="38"/>
  <c r="AP242" i="38" s="1"/>
  <c r="AQ243" i="38"/>
  <c r="AN243" i="38"/>
  <c r="AR242" i="38"/>
  <c r="AO241" i="27"/>
  <c r="AP241" i="27" s="1"/>
  <c r="AN242" i="27"/>
  <c r="AF242" i="30"/>
  <c r="AG241" i="30"/>
  <c r="AH241" i="30" s="1"/>
  <c r="AJ241" i="30"/>
  <c r="AG242" i="39"/>
  <c r="AH242" i="39" s="1"/>
  <c r="AF243" i="39"/>
  <c r="T244" i="39"/>
  <c r="CB244" i="39" s="1"/>
  <c r="AO243" i="37"/>
  <c r="AP243" i="37" s="1"/>
  <c r="AN244" i="37"/>
  <c r="AQ244" i="37"/>
  <c r="AR243" i="37"/>
  <c r="H245" i="39"/>
  <c r="AS245" i="39" s="1"/>
  <c r="Y243" i="40"/>
  <c r="Z243" i="40" s="1"/>
  <c r="AA244" i="40"/>
  <c r="E244" i="40" s="1"/>
  <c r="H244" i="40" s="1"/>
  <c r="X244" i="40"/>
  <c r="AA243" i="34"/>
  <c r="E243" i="34" s="1"/>
  <c r="Y243" i="34"/>
  <c r="Z243" i="34" s="1"/>
  <c r="X244" i="34"/>
  <c r="AB243" i="34"/>
  <c r="AI242" i="27"/>
  <c r="AJ244" i="38"/>
  <c r="AI245" i="38"/>
  <c r="K245" i="39"/>
  <c r="AT245" i="39" s="1"/>
  <c r="AA241" i="30"/>
  <c r="E241" i="30" s="1"/>
  <c r="H241" i="30" s="1"/>
  <c r="K240" i="30"/>
  <c r="AT240" i="30" s="1"/>
  <c r="X242" i="30"/>
  <c r="Y241" i="30"/>
  <c r="Z241" i="30" s="1"/>
  <c r="Y245" i="39"/>
  <c r="Z245" i="39" s="1"/>
  <c r="X246" i="39"/>
  <c r="AB240" i="30"/>
  <c r="AG245" i="38"/>
  <c r="AH245" i="38" s="1"/>
  <c r="AJ245" i="38"/>
  <c r="AI246" i="38"/>
  <c r="AF246" i="38"/>
  <c r="AF243" i="27"/>
  <c r="AG242" i="27"/>
  <c r="AH242" i="27" s="1"/>
  <c r="AJ241" i="27"/>
  <c r="AG242" i="37"/>
  <c r="AH242" i="37" s="1"/>
  <c r="AF243" i="37"/>
  <c r="K241" i="27"/>
  <c r="AT241" i="27" s="1"/>
  <c r="AS241" i="27"/>
  <c r="AS242" i="27"/>
  <c r="K242" i="27"/>
  <c r="AT242" i="27" s="1"/>
  <c r="T247" i="38"/>
  <c r="T240" i="27"/>
  <c r="T248" i="38"/>
  <c r="AS246" i="37"/>
  <c r="K246" i="37"/>
  <c r="AT246" i="37" s="1"/>
  <c r="T245" i="37"/>
  <c r="T244" i="37"/>
  <c r="T241" i="34"/>
  <c r="CB241" i="34" s="1"/>
  <c r="AQ101" i="22"/>
  <c r="G129" i="22" s="1"/>
  <c r="AR101" i="22"/>
  <c r="AI101" i="22"/>
  <c r="F115" i="22" s="1"/>
  <c r="I115" i="22" s="1"/>
  <c r="AJ101" i="22"/>
  <c r="AB242" i="22"/>
  <c r="AA243" i="22"/>
  <c r="E101" i="22"/>
  <c r="AB101" i="22"/>
  <c r="X244" i="22"/>
  <c r="Y243" i="22"/>
  <c r="Z243" i="22" s="1"/>
  <c r="K242" i="22"/>
  <c r="D102" i="22"/>
  <c r="BB242" i="37" l="1"/>
  <c r="BA243" i="37"/>
  <c r="BB243" i="37" s="1"/>
  <c r="AB245" i="39"/>
  <c r="AA246" i="39"/>
  <c r="E246" i="39" s="1"/>
  <c r="H246" i="39" s="1"/>
  <c r="AI243" i="39"/>
  <c r="K243" i="40"/>
  <c r="AT243" i="40" s="1"/>
  <c r="AJ243" i="40"/>
  <c r="AR241" i="27"/>
  <c r="AI244" i="40"/>
  <c r="AB243" i="40"/>
  <c r="AW239" i="27"/>
  <c r="AX239" i="27" s="1"/>
  <c r="BA246" i="27"/>
  <c r="AZ246" i="27"/>
  <c r="BB246" i="27" s="1"/>
  <c r="AJ242" i="39"/>
  <c r="CB240" i="27"/>
  <c r="CE240" i="27"/>
  <c r="AV240" i="27"/>
  <c r="CB248" i="38"/>
  <c r="CE248" i="38"/>
  <c r="AV248" i="38"/>
  <c r="AW248" i="38" s="1"/>
  <c r="AX248" i="38" s="1"/>
  <c r="CB247" i="38"/>
  <c r="CE247" i="38"/>
  <c r="AV247" i="38"/>
  <c r="AW247" i="38" s="1"/>
  <c r="AX247" i="38" s="1"/>
  <c r="CB244" i="37"/>
  <c r="CE244" i="37"/>
  <c r="AV244" i="37"/>
  <c r="CB245" i="37"/>
  <c r="CE245" i="37"/>
  <c r="AV245" i="37"/>
  <c r="AG244" i="40"/>
  <c r="AH244" i="40" s="1"/>
  <c r="AF245" i="40"/>
  <c r="AJ244" i="40"/>
  <c r="AG243" i="34"/>
  <c r="AH243" i="34" s="1"/>
  <c r="AF244" i="34"/>
  <c r="AI244" i="34"/>
  <c r="AJ243" i="34"/>
  <c r="AI243" i="34"/>
  <c r="AO242" i="27"/>
  <c r="AP242" i="27" s="1"/>
  <c r="AQ243" i="27"/>
  <c r="AN243" i="27"/>
  <c r="AR242" i="27"/>
  <c r="AQ242" i="27"/>
  <c r="AO243" i="38"/>
  <c r="AP243" i="38" s="1"/>
  <c r="AN244" i="38"/>
  <c r="AQ244" i="38"/>
  <c r="AR243" i="38"/>
  <c r="AG243" i="39"/>
  <c r="AH243" i="39" s="1"/>
  <c r="AF244" i="39"/>
  <c r="AJ243" i="39"/>
  <c r="AG242" i="30"/>
  <c r="AH242" i="30" s="1"/>
  <c r="AF243" i="30"/>
  <c r="AI242" i="30"/>
  <c r="AO244" i="37"/>
  <c r="AP244" i="37" s="1"/>
  <c r="AN245" i="37"/>
  <c r="AQ245" i="37"/>
  <c r="AR244" i="37"/>
  <c r="J129" i="22"/>
  <c r="I129" i="22" s="1"/>
  <c r="K243" i="34"/>
  <c r="AT243" i="34" s="1"/>
  <c r="H243" i="34"/>
  <c r="AS243" i="34" s="1"/>
  <c r="T245" i="39"/>
  <c r="CB245" i="39" s="1"/>
  <c r="X245" i="34"/>
  <c r="Y244" i="34"/>
  <c r="Z244" i="34" s="1"/>
  <c r="AB244" i="34"/>
  <c r="AA245" i="34"/>
  <c r="E245" i="34" s="1"/>
  <c r="H245" i="34" s="1"/>
  <c r="Y244" i="40"/>
  <c r="Z244" i="40" s="1"/>
  <c r="X245" i="40"/>
  <c r="AA244" i="34"/>
  <c r="E244" i="34" s="1"/>
  <c r="H244" i="34" s="1"/>
  <c r="AS244" i="34" s="1"/>
  <c r="AB241" i="30"/>
  <c r="AA242" i="30"/>
  <c r="E242" i="30" s="1"/>
  <c r="H242" i="30" s="1"/>
  <c r="Y246" i="39"/>
  <c r="Z246" i="39" s="1"/>
  <c r="X247" i="39"/>
  <c r="T240" i="30"/>
  <c r="CB240" i="30" s="1"/>
  <c r="AS240" i="30"/>
  <c r="K241" i="30"/>
  <c r="AT241" i="30" s="1"/>
  <c r="Y242" i="30"/>
  <c r="Z242" i="30" s="1"/>
  <c r="AB242" i="30"/>
  <c r="X243" i="30"/>
  <c r="AS243" i="40"/>
  <c r="T242" i="34"/>
  <c r="CB242" i="34" s="1"/>
  <c r="AS242" i="34"/>
  <c r="AJ242" i="37"/>
  <c r="AI243" i="37"/>
  <c r="AG243" i="27"/>
  <c r="AH243" i="27" s="1"/>
  <c r="AI244" i="27"/>
  <c r="AF244" i="27"/>
  <c r="AI243" i="27"/>
  <c r="AJ242" i="27"/>
  <c r="AG246" i="38"/>
  <c r="AH246" i="38" s="1"/>
  <c r="AF247" i="38"/>
  <c r="E243" i="22"/>
  <c r="K243" i="22" s="1"/>
  <c r="AG243" i="37"/>
  <c r="AH243" i="37" s="1"/>
  <c r="AF244" i="37"/>
  <c r="K250" i="38"/>
  <c r="AT250" i="38" s="1"/>
  <c r="K243" i="27"/>
  <c r="AT243" i="27" s="1"/>
  <c r="AS243" i="27"/>
  <c r="K249" i="38"/>
  <c r="AT249" i="38" s="1"/>
  <c r="AS249" i="38"/>
  <c r="T242" i="27"/>
  <c r="T241" i="27"/>
  <c r="K247" i="37"/>
  <c r="AT247" i="37" s="1"/>
  <c r="AS247" i="37"/>
  <c r="T246" i="37"/>
  <c r="K244" i="40"/>
  <c r="AT244" i="40" s="1"/>
  <c r="AS244" i="40"/>
  <c r="AJ102" i="22"/>
  <c r="AQ102" i="22"/>
  <c r="G130" i="22" s="1"/>
  <c r="AR102" i="22"/>
  <c r="AB243" i="22"/>
  <c r="AA244" i="22"/>
  <c r="AA102" i="22"/>
  <c r="E102" i="22" s="1"/>
  <c r="AI102" i="22"/>
  <c r="F116" i="22" s="1"/>
  <c r="I116" i="22" s="1"/>
  <c r="X245" i="22"/>
  <c r="Y244" i="22"/>
  <c r="Z244" i="22" s="1"/>
  <c r="H115" i="22"/>
  <c r="D103" i="22"/>
  <c r="M129" i="22"/>
  <c r="K101" i="22"/>
  <c r="H101" i="22"/>
  <c r="AB102" i="22"/>
  <c r="AA243" i="30" l="1"/>
  <c r="E243" i="30" s="1"/>
  <c r="H243" i="30" s="1"/>
  <c r="AW245" i="37"/>
  <c r="AX245" i="37" s="1"/>
  <c r="CF245" i="37" s="1"/>
  <c r="AZ245" i="37"/>
  <c r="BA245" i="37" s="1"/>
  <c r="AW244" i="37"/>
  <c r="AX244" i="37" s="1"/>
  <c r="CF244" i="37" s="1"/>
  <c r="AZ244" i="37"/>
  <c r="AI244" i="39"/>
  <c r="K246" i="39"/>
  <c r="AT246" i="39" s="1"/>
  <c r="AJ242" i="30"/>
  <c r="AI243" i="30"/>
  <c r="T243" i="40"/>
  <c r="CB243" i="40" s="1"/>
  <c r="T243" i="34"/>
  <c r="CB243" i="34" s="1"/>
  <c r="BA247" i="27"/>
  <c r="AW240" i="27"/>
  <c r="AX240" i="27" s="1"/>
  <c r="AZ247" i="27"/>
  <c r="BB247" i="27" s="1"/>
  <c r="AI245" i="40"/>
  <c r="AB244" i="40"/>
  <c r="AA245" i="40"/>
  <c r="E245" i="40" s="1"/>
  <c r="H245" i="40" s="1"/>
  <c r="AS245" i="40" s="1"/>
  <c r="AB246" i="39"/>
  <c r="AA247" i="39"/>
  <c r="E247" i="39" s="1"/>
  <c r="K247" i="39" s="1"/>
  <c r="AT247" i="39" s="1"/>
  <c r="CB242" i="27"/>
  <c r="CE242" i="27"/>
  <c r="AV242" i="27"/>
  <c r="CB241" i="27"/>
  <c r="CE241" i="27"/>
  <c r="AV241" i="27"/>
  <c r="CB246" i="37"/>
  <c r="CE246" i="37"/>
  <c r="AV246" i="37"/>
  <c r="AG244" i="34"/>
  <c r="AH244" i="34" s="1"/>
  <c r="AI245" i="34"/>
  <c r="AJ244" i="34"/>
  <c r="AF245" i="34"/>
  <c r="AG245" i="40"/>
  <c r="AH245" i="40" s="1"/>
  <c r="AF246" i="40"/>
  <c r="AI246" i="40"/>
  <c r="AJ245" i="40"/>
  <c r="AN244" i="27"/>
  <c r="AO243" i="27"/>
  <c r="AP243" i="27" s="1"/>
  <c r="AO244" i="38"/>
  <c r="AP244" i="38" s="1"/>
  <c r="AN245" i="38"/>
  <c r="AQ245" i="38"/>
  <c r="AG243" i="30"/>
  <c r="AH243" i="30" s="1"/>
  <c r="AI244" i="30"/>
  <c r="AF244" i="30"/>
  <c r="AG244" i="39"/>
  <c r="AH244" i="39" s="1"/>
  <c r="AF245" i="39"/>
  <c r="J130" i="22"/>
  <c r="I130" i="22" s="1"/>
  <c r="AQ246" i="37"/>
  <c r="AO245" i="37"/>
  <c r="AP245" i="37" s="1"/>
  <c r="AN246" i="37"/>
  <c r="AR245" i="37"/>
  <c r="K244" i="34"/>
  <c r="AT244" i="34" s="1"/>
  <c r="AA246" i="40"/>
  <c r="E246" i="40" s="1"/>
  <c r="AB245" i="40"/>
  <c r="X246" i="40"/>
  <c r="Y245" i="40"/>
  <c r="Z245" i="40" s="1"/>
  <c r="Y245" i="34"/>
  <c r="Z245" i="34" s="1"/>
  <c r="AA246" i="34"/>
  <c r="E246" i="34" s="1"/>
  <c r="H246" i="34" s="1"/>
  <c r="X246" i="34"/>
  <c r="AB245" i="34"/>
  <c r="AJ243" i="27"/>
  <c r="Y247" i="39"/>
  <c r="Z247" i="39" s="1"/>
  <c r="X248" i="39"/>
  <c r="AB247" i="39"/>
  <c r="AA248" i="39"/>
  <c r="E248" i="39" s="1"/>
  <c r="AS241" i="30"/>
  <c r="T241" i="30"/>
  <c r="CB241" i="30" s="1"/>
  <c r="K243" i="30"/>
  <c r="AT243" i="30" s="1"/>
  <c r="K242" i="30"/>
  <c r="AT242" i="30" s="1"/>
  <c r="Y243" i="30"/>
  <c r="Z243" i="30" s="1"/>
  <c r="X244" i="30"/>
  <c r="AS246" i="39"/>
  <c r="AI244" i="37"/>
  <c r="AJ243" i="37"/>
  <c r="AG247" i="38"/>
  <c r="AH247" i="38" s="1"/>
  <c r="AJ247" i="38"/>
  <c r="AI248" i="38"/>
  <c r="AF248" i="38"/>
  <c r="AF245" i="27"/>
  <c r="AG244" i="27"/>
  <c r="AH244" i="27" s="1"/>
  <c r="AI247" i="38"/>
  <c r="AJ246" i="38"/>
  <c r="AG244" i="37"/>
  <c r="AH244" i="37" s="1"/>
  <c r="AI245" i="37"/>
  <c r="AF245" i="37"/>
  <c r="E244" i="22"/>
  <c r="K244" i="22" s="1"/>
  <c r="AS250" i="38"/>
  <c r="T249" i="38"/>
  <c r="T243" i="27"/>
  <c r="T247" i="37"/>
  <c r="K245" i="34"/>
  <c r="AT245" i="34" s="1"/>
  <c r="T244" i="40"/>
  <c r="CB244" i="40" s="1"/>
  <c r="AQ103" i="22"/>
  <c r="G131" i="22" s="1"/>
  <c r="AR103" i="22"/>
  <c r="D104" i="22"/>
  <c r="AB104" i="22" s="1"/>
  <c r="AJ103" i="22"/>
  <c r="AB244" i="22"/>
  <c r="AA245" i="22"/>
  <c r="AA103" i="22"/>
  <c r="E103" i="22" s="1"/>
  <c r="AI103" i="22"/>
  <c r="F117" i="22" s="1"/>
  <c r="I117" i="22" s="1"/>
  <c r="L115" i="22"/>
  <c r="AT115" i="22" s="1"/>
  <c r="X246" i="22"/>
  <c r="Y245" i="22"/>
  <c r="Z245" i="22" s="1"/>
  <c r="AT129" i="22"/>
  <c r="L102" i="22"/>
  <c r="AS101" i="22"/>
  <c r="L101" i="22"/>
  <c r="AB103" i="22"/>
  <c r="AS115" i="22"/>
  <c r="H102" i="22"/>
  <c r="K102" i="22"/>
  <c r="T246" i="39" l="1"/>
  <c r="CB246" i="39" s="1"/>
  <c r="AW246" i="37"/>
  <c r="AX246" i="37" s="1"/>
  <c r="CF246" i="37" s="1"/>
  <c r="AZ246" i="37"/>
  <c r="BA246" i="37" s="1"/>
  <c r="BA244" i="37"/>
  <c r="BB244" i="37" s="1"/>
  <c r="BB245" i="37"/>
  <c r="AA244" i="30"/>
  <c r="E244" i="30" s="1"/>
  <c r="H244" i="30" s="1"/>
  <c r="AJ243" i="30"/>
  <c r="H247" i="39"/>
  <c r="T247" i="39" s="1"/>
  <c r="CB247" i="39" s="1"/>
  <c r="AJ244" i="37"/>
  <c r="AB243" i="30"/>
  <c r="K245" i="40"/>
  <c r="AT245" i="40" s="1"/>
  <c r="AR244" i="38"/>
  <c r="AW242" i="27"/>
  <c r="AX242" i="27" s="1"/>
  <c r="BA249" i="27"/>
  <c r="AZ249" i="27"/>
  <c r="BB249" i="27" s="1"/>
  <c r="AW241" i="27"/>
  <c r="AX241" i="27" s="1"/>
  <c r="AZ248" i="27"/>
  <c r="BB248" i="27" s="1"/>
  <c r="BA248" i="27"/>
  <c r="AI245" i="39"/>
  <c r="AJ244" i="39"/>
  <c r="CB249" i="38"/>
  <c r="CE249" i="38"/>
  <c r="AV249" i="38"/>
  <c r="AW249" i="38" s="1"/>
  <c r="AX249" i="38" s="1"/>
  <c r="CB243" i="27"/>
  <c r="CE243" i="27"/>
  <c r="AV243" i="27"/>
  <c r="CB247" i="37"/>
  <c r="CE247" i="37"/>
  <c r="AV247" i="37"/>
  <c r="T244" i="34"/>
  <c r="CB244" i="34" s="1"/>
  <c r="AG246" i="40"/>
  <c r="AH246" i="40" s="1"/>
  <c r="AI247" i="40"/>
  <c r="AF247" i="40"/>
  <c r="AJ246" i="40"/>
  <c r="AG245" i="34"/>
  <c r="AH245" i="34" s="1"/>
  <c r="AJ245" i="34"/>
  <c r="AI246" i="34"/>
  <c r="AF246" i="34"/>
  <c r="AR243" i="27"/>
  <c r="AO245" i="38"/>
  <c r="AP245" i="38" s="1"/>
  <c r="AN246" i="38"/>
  <c r="AQ246" i="38"/>
  <c r="AR245" i="38"/>
  <c r="AQ244" i="27"/>
  <c r="AO244" i="27"/>
  <c r="AP244" i="27" s="1"/>
  <c r="AQ245" i="27"/>
  <c r="AN245" i="27"/>
  <c r="AR244" i="27"/>
  <c r="AG245" i="39"/>
  <c r="AH245" i="39" s="1"/>
  <c r="AF246" i="39"/>
  <c r="AG244" i="30"/>
  <c r="AH244" i="30" s="1"/>
  <c r="AF245" i="30"/>
  <c r="AI245" i="30"/>
  <c r="AO246" i="37"/>
  <c r="AP246" i="37" s="1"/>
  <c r="AN247" i="37"/>
  <c r="AQ247" i="37"/>
  <c r="AR246" i="37"/>
  <c r="J131" i="22"/>
  <c r="I131" i="22" s="1"/>
  <c r="K248" i="39"/>
  <c r="AT248" i="39" s="1"/>
  <c r="H248" i="39"/>
  <c r="AS248" i="39" s="1"/>
  <c r="K246" i="40"/>
  <c r="AT246" i="40" s="1"/>
  <c r="H246" i="40"/>
  <c r="AS246" i="40" s="1"/>
  <c r="X247" i="34"/>
  <c r="Y246" i="34"/>
  <c r="Z246" i="34" s="1"/>
  <c r="AA247" i="34"/>
  <c r="E247" i="34" s="1"/>
  <c r="H247" i="34" s="1"/>
  <c r="X247" i="40"/>
  <c r="AA247" i="40"/>
  <c r="E247" i="40" s="1"/>
  <c r="AB246" i="40"/>
  <c r="Y246" i="40"/>
  <c r="Z246" i="40" s="1"/>
  <c r="Y244" i="30"/>
  <c r="Z244" i="30" s="1"/>
  <c r="X245" i="30"/>
  <c r="AS243" i="30"/>
  <c r="T243" i="30"/>
  <c r="CB243" i="30" s="1"/>
  <c r="Y248" i="39"/>
  <c r="Z248" i="39" s="1"/>
  <c r="AA249" i="39"/>
  <c r="E249" i="39" s="1"/>
  <c r="AB248" i="39"/>
  <c r="X249" i="39"/>
  <c r="AS242" i="30"/>
  <c r="T242" i="30"/>
  <c r="CB242" i="30" s="1"/>
  <c r="AI245" i="27"/>
  <c r="AF246" i="27"/>
  <c r="AG245" i="27"/>
  <c r="AH245" i="27" s="1"/>
  <c r="T250" i="38"/>
  <c r="AJ244" i="27"/>
  <c r="AG248" i="38"/>
  <c r="AH248" i="38" s="1"/>
  <c r="AF249" i="38"/>
  <c r="AG245" i="37"/>
  <c r="AH245" i="37" s="1"/>
  <c r="AI246" i="37"/>
  <c r="AF246" i="37"/>
  <c r="E245" i="22"/>
  <c r="K245" i="22" s="1"/>
  <c r="AS244" i="27"/>
  <c r="K244" i="27"/>
  <c r="AT244" i="27" s="1"/>
  <c r="K245" i="27"/>
  <c r="AT245" i="27" s="1"/>
  <c r="AS245" i="27"/>
  <c r="K249" i="37"/>
  <c r="AT249" i="37" s="1"/>
  <c r="AS249" i="37"/>
  <c r="K248" i="37"/>
  <c r="AT248" i="37" s="1"/>
  <c r="AS248" i="37"/>
  <c r="AS245" i="34"/>
  <c r="AS246" i="34"/>
  <c r="D105" i="22"/>
  <c r="AJ105" i="22" s="1"/>
  <c r="AJ104" i="22"/>
  <c r="AQ104" i="22"/>
  <c r="G132" i="22" s="1"/>
  <c r="AR104" i="22"/>
  <c r="T115" i="22"/>
  <c r="CE115" i="22" s="1"/>
  <c r="H129" i="22"/>
  <c r="AS129" i="22" s="1"/>
  <c r="AT101" i="22"/>
  <c r="AI104" i="22"/>
  <c r="F118" i="22" s="1"/>
  <c r="I118" i="22" s="1"/>
  <c r="AA104" i="22"/>
  <c r="AA246" i="22"/>
  <c r="AB245" i="22"/>
  <c r="Y246" i="22"/>
  <c r="Z246" i="22" s="1"/>
  <c r="X247" i="22"/>
  <c r="T101" i="22"/>
  <c r="CA101" i="22" s="1"/>
  <c r="CB101" i="22" s="1"/>
  <c r="AT102" i="22"/>
  <c r="H117" i="22"/>
  <c r="K103" i="22"/>
  <c r="H103" i="22"/>
  <c r="L103" i="22"/>
  <c r="AS102" i="22"/>
  <c r="T102" i="22"/>
  <c r="L116" i="22"/>
  <c r="AT116" i="22" s="1"/>
  <c r="H116" i="22"/>
  <c r="M130" i="22"/>
  <c r="AB244" i="30" l="1"/>
  <c r="K244" i="30"/>
  <c r="AT244" i="30" s="1"/>
  <c r="BB246" i="37"/>
  <c r="AW247" i="37"/>
  <c r="AX247" i="37" s="1"/>
  <c r="CF247" i="37" s="1"/>
  <c r="AZ247" i="37"/>
  <c r="BA247" i="37" s="1"/>
  <c r="AA245" i="30"/>
  <c r="E245" i="30" s="1"/>
  <c r="H245" i="30" s="1"/>
  <c r="AS247" i="39"/>
  <c r="T245" i="40"/>
  <c r="CB245" i="40" s="1"/>
  <c r="AJ244" i="30"/>
  <c r="AW243" i="27"/>
  <c r="AX243" i="27" s="1"/>
  <c r="AZ250" i="27"/>
  <c r="BB250" i="27" s="1"/>
  <c r="BA250" i="27"/>
  <c r="AJ245" i="39"/>
  <c r="AI246" i="39"/>
  <c r="CB250" i="38"/>
  <c r="CB96" i="38" s="1"/>
  <c r="CB97" i="38" s="1"/>
  <c r="CE250" i="38"/>
  <c r="AV250" i="38"/>
  <c r="AW250" i="38" s="1"/>
  <c r="AX250" i="38" s="1"/>
  <c r="AG246" i="34"/>
  <c r="AH246" i="34" s="1"/>
  <c r="AF247" i="34"/>
  <c r="AI247" i="34"/>
  <c r="AJ246" i="34"/>
  <c r="AG247" i="40"/>
  <c r="AH247" i="40" s="1"/>
  <c r="AF248" i="40"/>
  <c r="AI248" i="40"/>
  <c r="AO246" i="38"/>
  <c r="AP246" i="38" s="1"/>
  <c r="AN247" i="38"/>
  <c r="AQ247" i="38"/>
  <c r="AR246" i="38"/>
  <c r="AO245" i="27"/>
  <c r="AP245" i="27" s="1"/>
  <c r="AQ246" i="27"/>
  <c r="AN246" i="27"/>
  <c r="AR245" i="27"/>
  <c r="AG245" i="30"/>
  <c r="AH245" i="30" s="1"/>
  <c r="AI246" i="30"/>
  <c r="AF246" i="30"/>
  <c r="AG246" i="39"/>
  <c r="AH246" i="39" s="1"/>
  <c r="AF247" i="39"/>
  <c r="AI247" i="39"/>
  <c r="J132" i="22"/>
  <c r="I132" i="22" s="1"/>
  <c r="AO247" i="37"/>
  <c r="AP247" i="37" s="1"/>
  <c r="AN248" i="37"/>
  <c r="H247" i="40"/>
  <c r="AS247" i="40" s="1"/>
  <c r="H249" i="39"/>
  <c r="AS249" i="39" s="1"/>
  <c r="AB246" i="34"/>
  <c r="X248" i="40"/>
  <c r="AA248" i="40"/>
  <c r="E248" i="40" s="1"/>
  <c r="H248" i="40" s="1"/>
  <c r="Y247" i="40"/>
  <c r="Z247" i="40" s="1"/>
  <c r="X248" i="34"/>
  <c r="Y247" i="34"/>
  <c r="Z247" i="34" s="1"/>
  <c r="AB247" i="34"/>
  <c r="AS244" i="30"/>
  <c r="K249" i="39"/>
  <c r="AT249" i="39" s="1"/>
  <c r="T248" i="39"/>
  <c r="CB248" i="39" s="1"/>
  <c r="Y249" i="39"/>
  <c r="Z249" i="39" s="1"/>
  <c r="AA250" i="39"/>
  <c r="E250" i="39" s="1"/>
  <c r="H250" i="39" s="1"/>
  <c r="X250" i="39"/>
  <c r="AB249" i="39"/>
  <c r="X246" i="30"/>
  <c r="Y245" i="30"/>
  <c r="Z245" i="30" s="1"/>
  <c r="T246" i="40"/>
  <c r="CB246" i="40" s="1"/>
  <c r="K247" i="40"/>
  <c r="AT247" i="40" s="1"/>
  <c r="T245" i="34"/>
  <c r="CB245" i="34" s="1"/>
  <c r="AJ245" i="37"/>
  <c r="AF247" i="27"/>
  <c r="AG246" i="27"/>
  <c r="AH246" i="27" s="1"/>
  <c r="AG249" i="38"/>
  <c r="AH249" i="38" s="1"/>
  <c r="AJ249" i="38"/>
  <c r="AF250" i="38"/>
  <c r="AJ245" i="27"/>
  <c r="AJ248" i="38"/>
  <c r="AI246" i="27"/>
  <c r="AI249" i="38"/>
  <c r="E246" i="22"/>
  <c r="K246" i="22" s="1"/>
  <c r="AG246" i="37"/>
  <c r="AH246" i="37" s="1"/>
  <c r="AF247" i="37"/>
  <c r="E104" i="22"/>
  <c r="H104" i="22" s="1"/>
  <c r="T245" i="27"/>
  <c r="T244" i="27"/>
  <c r="T249" i="37"/>
  <c r="T248" i="37"/>
  <c r="AS250" i="37"/>
  <c r="K250" i="37"/>
  <c r="AT250" i="37" s="1"/>
  <c r="K246" i="34"/>
  <c r="AT246" i="34" s="1"/>
  <c r="D106" i="22"/>
  <c r="AR106" i="22" s="1"/>
  <c r="AB105" i="22"/>
  <c r="AI105" i="22"/>
  <c r="F119" i="22" s="1"/>
  <c r="I119" i="22" s="1"/>
  <c r="AR105" i="22"/>
  <c r="AA105" i="22"/>
  <c r="AQ105" i="22"/>
  <c r="G133" i="22" s="1"/>
  <c r="CA115" i="22"/>
  <c r="CB115" i="22" s="1"/>
  <c r="T129" i="22"/>
  <c r="CE129" i="22" s="1"/>
  <c r="H131" i="22"/>
  <c r="AS131" i="22" s="1"/>
  <c r="H130" i="22"/>
  <c r="T130" i="22" s="1"/>
  <c r="L104" i="22"/>
  <c r="M132" i="22"/>
  <c r="AA247" i="22"/>
  <c r="AB246" i="22"/>
  <c r="AT103" i="22"/>
  <c r="AV101" i="22"/>
  <c r="CE101" i="22"/>
  <c r="AV102" i="22"/>
  <c r="X248" i="22"/>
  <c r="Y247" i="22"/>
  <c r="Z247" i="22" s="1"/>
  <c r="L117" i="22"/>
  <c r="AT117" i="22" s="1"/>
  <c r="AS103" i="22"/>
  <c r="AG129" i="22"/>
  <c r="AT130" i="22"/>
  <c r="T103" i="22"/>
  <c r="CE103" i="22" s="1"/>
  <c r="M131" i="22"/>
  <c r="L105" i="22"/>
  <c r="BE101" i="22"/>
  <c r="BF101" i="22" s="1"/>
  <c r="AS117" i="22"/>
  <c r="H118" i="22"/>
  <c r="AS118" i="22" s="1"/>
  <c r="L118" i="22"/>
  <c r="AT118" i="22" s="1"/>
  <c r="AS116" i="22"/>
  <c r="T116" i="22"/>
  <c r="CA102" i="22"/>
  <c r="CB102" i="22" s="1"/>
  <c r="CE102" i="22"/>
  <c r="T244" i="30" l="1"/>
  <c r="CB244" i="30" s="1"/>
  <c r="AW101" i="22"/>
  <c r="AX101" i="22" s="1"/>
  <c r="AZ101" i="22"/>
  <c r="BA101" i="22" s="1"/>
  <c r="BB101" i="22" s="1"/>
  <c r="BB247" i="37"/>
  <c r="K245" i="30"/>
  <c r="AT245" i="30" s="1"/>
  <c r="AJ245" i="30"/>
  <c r="AJ246" i="39"/>
  <c r="AI247" i="37"/>
  <c r="AJ246" i="37"/>
  <c r="AJ247" i="40"/>
  <c r="CA96" i="38"/>
  <c r="CD241" i="38" s="1"/>
  <c r="AA246" i="30"/>
  <c r="E246" i="30" s="1"/>
  <c r="H246" i="30" s="1"/>
  <c r="AR247" i="37"/>
  <c r="AQ248" i="37"/>
  <c r="CB244" i="27"/>
  <c r="CE244" i="27"/>
  <c r="AV244" i="27"/>
  <c r="AW244" i="27" s="1"/>
  <c r="AX244" i="27" s="1"/>
  <c r="CB245" i="27"/>
  <c r="CE245" i="27"/>
  <c r="AV245" i="27"/>
  <c r="AW245" i="27" s="1"/>
  <c r="AX245" i="27" s="1"/>
  <c r="D107" i="22"/>
  <c r="AJ107" i="22" s="1"/>
  <c r="CB249" i="37"/>
  <c r="CE249" i="37"/>
  <c r="AV249" i="37"/>
  <c r="CB248" i="37"/>
  <c r="CE248" i="37"/>
  <c r="AV248" i="37"/>
  <c r="AG248" i="40"/>
  <c r="AH248" i="40" s="1"/>
  <c r="AF249" i="40"/>
  <c r="AJ248" i="40"/>
  <c r="AG247" i="34"/>
  <c r="AH247" i="34" s="1"/>
  <c r="AI248" i="34"/>
  <c r="AF248" i="34"/>
  <c r="AJ247" i="34"/>
  <c r="AO246" i="27"/>
  <c r="AP246" i="27" s="1"/>
  <c r="AN247" i="27"/>
  <c r="AO247" i="38"/>
  <c r="AP247" i="38" s="1"/>
  <c r="AN248" i="38"/>
  <c r="AQ248" i="38"/>
  <c r="AR247" i="38"/>
  <c r="AF248" i="39"/>
  <c r="AG247" i="39"/>
  <c r="AH247" i="39" s="1"/>
  <c r="AG246" i="30"/>
  <c r="AH246" i="30" s="1"/>
  <c r="AF247" i="30"/>
  <c r="AJ246" i="30"/>
  <c r="K104" i="22"/>
  <c r="T104" i="22" s="1"/>
  <c r="AV104" i="22" s="1"/>
  <c r="AW104" i="22" s="1"/>
  <c r="AX104" i="22" s="1"/>
  <c r="AO248" i="37"/>
  <c r="AP248" i="37" s="1"/>
  <c r="AN249" i="37"/>
  <c r="AQ249" i="37"/>
  <c r="AR248" i="37"/>
  <c r="J133" i="22"/>
  <c r="I133" i="22" s="1"/>
  <c r="T249" i="39"/>
  <c r="CB249" i="39" s="1"/>
  <c r="Y248" i="34"/>
  <c r="Z248" i="34" s="1"/>
  <c r="X249" i="34"/>
  <c r="T247" i="40"/>
  <c r="CB247" i="40" s="1"/>
  <c r="X249" i="40"/>
  <c r="AA249" i="40"/>
  <c r="E249" i="40" s="1"/>
  <c r="H249" i="40" s="1"/>
  <c r="AB248" i="40"/>
  <c r="Y248" i="40"/>
  <c r="Z248" i="40" s="1"/>
  <c r="AB247" i="40"/>
  <c r="AA248" i="34"/>
  <c r="E248" i="34" s="1"/>
  <c r="H248" i="34" s="1"/>
  <c r="AS248" i="34" s="1"/>
  <c r="AI250" i="38"/>
  <c r="K250" i="39"/>
  <c r="AT250" i="39" s="1"/>
  <c r="Y250" i="39"/>
  <c r="Z250" i="39" s="1"/>
  <c r="AS245" i="30"/>
  <c r="T245" i="30"/>
  <c r="CB245" i="30" s="1"/>
  <c r="Y246" i="30"/>
  <c r="Z246" i="30" s="1"/>
  <c r="X247" i="30"/>
  <c r="AB245" i="30"/>
  <c r="AS104" i="22"/>
  <c r="AG250" i="38"/>
  <c r="AH250" i="38" s="1"/>
  <c r="AG247" i="27"/>
  <c r="AH247" i="27" s="1"/>
  <c r="AI248" i="27"/>
  <c r="AF248" i="27"/>
  <c r="AI247" i="27"/>
  <c r="AJ246" i="27"/>
  <c r="E105" i="22"/>
  <c r="K105" i="22" s="1"/>
  <c r="AT105" i="22" s="1"/>
  <c r="AG247" i="37"/>
  <c r="AH247" i="37" s="1"/>
  <c r="AJ247" i="37"/>
  <c r="AI248" i="37"/>
  <c r="AF248" i="37"/>
  <c r="E247" i="22"/>
  <c r="K247" i="22" s="1"/>
  <c r="AA106" i="22"/>
  <c r="E106" i="22" s="1"/>
  <c r="H106" i="22" s="1"/>
  <c r="AJ106" i="22"/>
  <c r="AQ106" i="22"/>
  <c r="G134" i="22" s="1"/>
  <c r="T246" i="34"/>
  <c r="CB246" i="34" s="1"/>
  <c r="K246" i="27"/>
  <c r="AT246" i="27" s="1"/>
  <c r="AS246" i="27"/>
  <c r="K247" i="27"/>
  <c r="AT247" i="27" s="1"/>
  <c r="AS247" i="27"/>
  <c r="T250" i="37"/>
  <c r="AB106" i="22"/>
  <c r="AI106" i="22"/>
  <c r="F120" i="22" s="1"/>
  <c r="I120" i="22" s="1"/>
  <c r="K247" i="34"/>
  <c r="AT247" i="34" s="1"/>
  <c r="AS247" i="34"/>
  <c r="AS248" i="40"/>
  <c r="K248" i="40"/>
  <c r="AT248" i="40" s="1"/>
  <c r="CB129" i="22"/>
  <c r="T131" i="22"/>
  <c r="CE131" i="22" s="1"/>
  <c r="H132" i="22"/>
  <c r="AO129" i="22"/>
  <c r="AP129" i="22" s="1"/>
  <c r="AO131" i="22"/>
  <c r="AO130" i="22"/>
  <c r="AP130" i="22" s="1"/>
  <c r="AS130" i="22"/>
  <c r="AH129" i="22"/>
  <c r="AI130" i="22"/>
  <c r="F144" i="22" s="1"/>
  <c r="I144" i="22" s="1"/>
  <c r="AJ129" i="22"/>
  <c r="AA248" i="22"/>
  <c r="AB247" i="22"/>
  <c r="CA103" i="22"/>
  <c r="CB103" i="22" s="1"/>
  <c r="AV103" i="22"/>
  <c r="AW103" i="22" s="1"/>
  <c r="AX103" i="22" s="1"/>
  <c r="Y248" i="22"/>
  <c r="Z248" i="22" s="1"/>
  <c r="X249" i="22"/>
  <c r="T117" i="22"/>
  <c r="CA117" i="22" s="1"/>
  <c r="CB117" i="22" s="1"/>
  <c r="AT132" i="22"/>
  <c r="AG130" i="22"/>
  <c r="AT131" i="22"/>
  <c r="BE104" i="22"/>
  <c r="BF104" i="22" s="1"/>
  <c r="BE103" i="22"/>
  <c r="BF103" i="22" s="1"/>
  <c r="L106" i="22"/>
  <c r="BE102" i="22"/>
  <c r="BF102" i="22" s="1"/>
  <c r="AZ102" i="22"/>
  <c r="BA102" i="22" s="1"/>
  <c r="AZ103" i="22"/>
  <c r="BA103" i="22" s="1"/>
  <c r="AZ104" i="22"/>
  <c r="BA104" i="22" s="1"/>
  <c r="T118" i="22"/>
  <c r="H119" i="22"/>
  <c r="L119" i="22"/>
  <c r="AT119" i="22" s="1"/>
  <c r="M133" i="22"/>
  <c r="AW102" i="22"/>
  <c r="AX102" i="22" s="1"/>
  <c r="CA116" i="22"/>
  <c r="CB116" i="22" s="1"/>
  <c r="CE116" i="22"/>
  <c r="CB130" i="22"/>
  <c r="CE130" i="22"/>
  <c r="CD104" i="38" l="1"/>
  <c r="CD132" i="38"/>
  <c r="CD173" i="38"/>
  <c r="CD246" i="38"/>
  <c r="CD217" i="38"/>
  <c r="CD177" i="38"/>
  <c r="CD105" i="38"/>
  <c r="CD136" i="38"/>
  <c r="AW249" i="37"/>
  <c r="AX249" i="37" s="1"/>
  <c r="CF249" i="37" s="1"/>
  <c r="AZ249" i="37"/>
  <c r="AW248" i="37"/>
  <c r="AX248" i="37" s="1"/>
  <c r="CF248" i="37" s="1"/>
  <c r="AZ248" i="37"/>
  <c r="AJ247" i="39"/>
  <c r="CD158" i="38"/>
  <c r="CD204" i="38"/>
  <c r="CD222" i="38"/>
  <c r="CD194" i="38"/>
  <c r="CD154" i="38"/>
  <c r="CD137" i="38"/>
  <c r="CD200" i="38"/>
  <c r="CA97" i="38"/>
  <c r="CD114" i="38"/>
  <c r="CD221" i="38"/>
  <c r="CD216" i="38"/>
  <c r="CD140" i="38"/>
  <c r="CD100" i="38"/>
  <c r="CD230" i="38"/>
  <c r="CD215" i="38"/>
  <c r="CD176" i="38"/>
  <c r="CD214" i="38"/>
  <c r="CD149" i="38"/>
  <c r="CD170" i="38"/>
  <c r="CD159" i="38"/>
  <c r="CD148" i="38"/>
  <c r="CD156" i="38"/>
  <c r="CD141" i="38"/>
  <c r="CD249" i="38"/>
  <c r="CD110" i="38"/>
  <c r="CD207" i="38"/>
  <c r="CD153" i="38"/>
  <c r="CD225" i="38"/>
  <c r="CD189" i="38"/>
  <c r="CD101" i="38"/>
  <c r="CD243" i="38"/>
  <c r="CD162" i="38"/>
  <c r="CD209" i="38"/>
  <c r="CD181" i="38"/>
  <c r="CD226" i="38"/>
  <c r="CD231" i="38"/>
  <c r="CD117" i="38"/>
  <c r="CD220" i="38"/>
  <c r="CD115" i="38"/>
  <c r="CD229" i="38"/>
  <c r="CD163" i="38"/>
  <c r="CD245" i="38"/>
  <c r="CD224" i="38"/>
  <c r="CD150" i="38"/>
  <c r="CD234" i="38"/>
  <c r="CD192" i="38"/>
  <c r="CD131" i="38"/>
  <c r="CD213" i="38"/>
  <c r="CD196" i="38"/>
  <c r="CD236" i="38"/>
  <c r="CD126" i="38"/>
  <c r="CD219" i="38"/>
  <c r="CD174" i="38"/>
  <c r="CD247" i="38"/>
  <c r="CD208" i="38"/>
  <c r="CD121" i="38"/>
  <c r="CD202" i="38"/>
  <c r="CD146" i="38"/>
  <c r="CD195" i="38"/>
  <c r="CD172" i="38"/>
  <c r="CD187" i="38"/>
  <c r="CD168" i="38"/>
  <c r="CD240" i="38"/>
  <c r="CD239" i="38"/>
  <c r="CD169" i="38"/>
  <c r="CD122" i="38"/>
  <c r="CD133" i="38"/>
  <c r="CD125" i="38"/>
  <c r="CD138" i="38"/>
  <c r="CD166" i="38"/>
  <c r="CD211" i="38"/>
  <c r="CD180" i="38"/>
  <c r="CD171" i="38"/>
  <c r="CD235" i="38"/>
  <c r="CD102" i="38"/>
  <c r="CD139" i="38"/>
  <c r="CD144" i="38"/>
  <c r="CD124" i="38"/>
  <c r="CD134" i="38"/>
  <c r="CD186" i="38"/>
  <c r="CD183" i="38"/>
  <c r="CD109" i="38"/>
  <c r="AT104" i="22"/>
  <c r="CD218" i="38"/>
  <c r="CD250" i="38"/>
  <c r="CD116" i="38"/>
  <c r="CD106" i="38"/>
  <c r="CD129" i="38"/>
  <c r="CD103" i="38"/>
  <c r="CD157" i="38"/>
  <c r="CD165" i="38"/>
  <c r="CD191" i="38"/>
  <c r="CD197" i="38"/>
  <c r="CD248" i="38"/>
  <c r="CD127" i="38"/>
  <c r="CD179" i="38"/>
  <c r="CD201" i="38"/>
  <c r="CD178" i="38"/>
  <c r="CD155" i="38"/>
  <c r="CD205" i="38"/>
  <c r="CD203" i="38"/>
  <c r="CD118" i="38"/>
  <c r="CD147" i="38"/>
  <c r="CD185" i="38"/>
  <c r="CD161" i="38"/>
  <c r="CD164" i="38"/>
  <c r="CD184" i="38"/>
  <c r="CD182" i="38"/>
  <c r="CD228" i="38"/>
  <c r="CD193" i="38"/>
  <c r="CD233" i="38"/>
  <c r="CD135" i="38"/>
  <c r="CD160" i="38"/>
  <c r="CD199" i="38"/>
  <c r="CD244" i="38"/>
  <c r="CD113" i="38"/>
  <c r="CD206" i="38"/>
  <c r="CD120" i="38"/>
  <c r="CD108" i="38"/>
  <c r="CD242" i="38"/>
  <c r="CD210" i="38"/>
  <c r="CD107" i="38"/>
  <c r="CD142" i="38"/>
  <c r="CD212" i="38"/>
  <c r="CD151" i="38"/>
  <c r="CD123" i="38"/>
  <c r="CD188" i="38"/>
  <c r="CD237" i="38"/>
  <c r="CD190" i="38"/>
  <c r="CD238" i="38"/>
  <c r="CD128" i="38"/>
  <c r="CD152" i="38"/>
  <c r="CD167" i="38"/>
  <c r="CD232" i="38"/>
  <c r="CD130" i="38"/>
  <c r="CD198" i="38"/>
  <c r="CD111" i="38"/>
  <c r="CD143" i="38"/>
  <c r="CD145" i="38"/>
  <c r="CD175" i="38"/>
  <c r="CD227" i="38"/>
  <c r="CD119" i="38"/>
  <c r="CD223" i="38"/>
  <c r="AQ247" i="27"/>
  <c r="AB246" i="30"/>
  <c r="K246" i="30"/>
  <c r="AT246" i="30" s="1"/>
  <c r="CD112" i="38"/>
  <c r="AR246" i="27"/>
  <c r="AI248" i="39"/>
  <c r="AA247" i="30"/>
  <c r="E247" i="30" s="1"/>
  <c r="H247" i="30" s="1"/>
  <c r="D108" i="22"/>
  <c r="AB108" i="22" s="1"/>
  <c r="AR107" i="22"/>
  <c r="AB107" i="22"/>
  <c r="AQ107" i="22"/>
  <c r="G135" i="22" s="1"/>
  <c r="J135" i="22" s="1"/>
  <c r="AI107" i="22"/>
  <c r="F121" i="22" s="1"/>
  <c r="I121" i="22" s="1"/>
  <c r="AA107" i="22"/>
  <c r="E107" i="22" s="1"/>
  <c r="K107" i="22" s="1"/>
  <c r="K248" i="34"/>
  <c r="AT248" i="34" s="1"/>
  <c r="CB250" i="37"/>
  <c r="CB96" i="37" s="1"/>
  <c r="CA96" i="37" s="1"/>
  <c r="CE250" i="37"/>
  <c r="AV250" i="37"/>
  <c r="AG248" i="34"/>
  <c r="AH248" i="34" s="1"/>
  <c r="AF249" i="34"/>
  <c r="AJ248" i="34"/>
  <c r="K249" i="40"/>
  <c r="AT249" i="40" s="1"/>
  <c r="AA249" i="34"/>
  <c r="E249" i="34" s="1"/>
  <c r="H249" i="34" s="1"/>
  <c r="AS249" i="34" s="1"/>
  <c r="AG249" i="40"/>
  <c r="AH249" i="40" s="1"/>
  <c r="AI250" i="40"/>
  <c r="AF250" i="40"/>
  <c r="AJ249" i="40"/>
  <c r="AB248" i="34"/>
  <c r="AI249" i="40"/>
  <c r="AO248" i="38"/>
  <c r="AP248" i="38" s="1"/>
  <c r="AN249" i="38"/>
  <c r="AO247" i="27"/>
  <c r="AP247" i="27" s="1"/>
  <c r="AN248" i="27"/>
  <c r="AG247" i="30"/>
  <c r="AH247" i="30" s="1"/>
  <c r="AF248" i="30"/>
  <c r="AI247" i="30"/>
  <c r="AG248" i="39"/>
  <c r="AH248" i="39" s="1"/>
  <c r="AF249" i="39"/>
  <c r="J134" i="22"/>
  <c r="I134" i="22" s="1"/>
  <c r="AO249" i="37"/>
  <c r="AP249" i="37" s="1"/>
  <c r="AN250" i="37"/>
  <c r="AQ250" i="37"/>
  <c r="AR249" i="37"/>
  <c r="K106" i="22"/>
  <c r="AT106" i="22" s="1"/>
  <c r="AB249" i="40"/>
  <c r="AA250" i="40"/>
  <c r="E250" i="40" s="1"/>
  <c r="H250" i="40" s="1"/>
  <c r="X250" i="40"/>
  <c r="Y249" i="40"/>
  <c r="Z249" i="40" s="1"/>
  <c r="X250" i="34"/>
  <c r="Y249" i="34"/>
  <c r="Z249" i="34" s="1"/>
  <c r="AB249" i="34"/>
  <c r="AJ247" i="27"/>
  <c r="AJ250" i="38"/>
  <c r="AS246" i="30"/>
  <c r="X248" i="30"/>
  <c r="Y247" i="30"/>
  <c r="Z247" i="30" s="1"/>
  <c r="AB250" i="39"/>
  <c r="AS250" i="39"/>
  <c r="T250" i="39"/>
  <c r="CB250" i="39" s="1"/>
  <c r="CB96" i="39" s="1"/>
  <c r="H105" i="22"/>
  <c r="AS105" i="22" s="1"/>
  <c r="AF249" i="27"/>
  <c r="AG248" i="27"/>
  <c r="AH248" i="27" s="1"/>
  <c r="E248" i="22"/>
  <c r="K248" i="22" s="1"/>
  <c r="AG248" i="37"/>
  <c r="AH248" i="37" s="1"/>
  <c r="AF249" i="37"/>
  <c r="AJ248" i="37"/>
  <c r="AS249" i="40"/>
  <c r="K248" i="27"/>
  <c r="AT248" i="27" s="1"/>
  <c r="AS248" i="27"/>
  <c r="T247" i="27"/>
  <c r="T246" i="27"/>
  <c r="CB131" i="22"/>
  <c r="T248" i="40"/>
  <c r="CB248" i="40" s="1"/>
  <c r="T247" i="34"/>
  <c r="CB247" i="34" s="1"/>
  <c r="CA104" i="22"/>
  <c r="CB104" i="22" s="1"/>
  <c r="CE104" i="22"/>
  <c r="T132" i="22"/>
  <c r="CB132" i="22" s="1"/>
  <c r="H144" i="22"/>
  <c r="L144" i="22"/>
  <c r="AT144" i="22" s="1"/>
  <c r="AQ131" i="22"/>
  <c r="G159" i="22" s="1"/>
  <c r="J159" i="22" s="1"/>
  <c r="AR130" i="22"/>
  <c r="AQ130" i="22"/>
  <c r="G158" i="22" s="1"/>
  <c r="J158" i="22" s="1"/>
  <c r="AR129" i="22"/>
  <c r="AP131" i="22"/>
  <c r="AR131" i="22"/>
  <c r="AS132" i="22"/>
  <c r="H133" i="22"/>
  <c r="T133" i="22" s="1"/>
  <c r="AQ132" i="22"/>
  <c r="G160" i="22" s="1"/>
  <c r="J160" i="22" s="1"/>
  <c r="AO132" i="22"/>
  <c r="AP132" i="22" s="1"/>
  <c r="AH130" i="22"/>
  <c r="AJ130" i="22"/>
  <c r="AI131" i="22"/>
  <c r="F145" i="22" s="1"/>
  <c r="I145" i="22" s="1"/>
  <c r="AA249" i="22"/>
  <c r="AB248" i="22"/>
  <c r="X250" i="22"/>
  <c r="Y249" i="22"/>
  <c r="Z249" i="22" s="1"/>
  <c r="CE117" i="22"/>
  <c r="AT133" i="22"/>
  <c r="L107" i="22"/>
  <c r="BB104" i="22"/>
  <c r="BB103" i="22"/>
  <c r="BB102" i="22"/>
  <c r="M134" i="22"/>
  <c r="T119" i="22"/>
  <c r="AS119" i="22"/>
  <c r="H120" i="22"/>
  <c r="L120" i="22"/>
  <c r="AT120" i="22" s="1"/>
  <c r="CE118" i="22"/>
  <c r="CA118" i="22"/>
  <c r="CB118" i="22" s="1"/>
  <c r="AS106" i="22"/>
  <c r="AW250" i="37" l="1"/>
  <c r="AX250" i="37" s="1"/>
  <c r="CF250" i="37" s="1"/>
  <c r="CF96" i="37" s="1"/>
  <c r="CF97" i="37" s="1"/>
  <c r="AZ250" i="37"/>
  <c r="BA250" i="37" s="1"/>
  <c r="BA248" i="37"/>
  <c r="BB248" i="37" s="1"/>
  <c r="BA249" i="37"/>
  <c r="BB249" i="37" s="1"/>
  <c r="AJ248" i="39"/>
  <c r="AI249" i="39"/>
  <c r="T246" i="30"/>
  <c r="CB246" i="30" s="1"/>
  <c r="AQ108" i="22"/>
  <c r="G136" i="22" s="1"/>
  <c r="J136" i="22" s="1"/>
  <c r="I136" i="22" s="1"/>
  <c r="AI108" i="22"/>
  <c r="F122" i="22" s="1"/>
  <c r="I122" i="22" s="1"/>
  <c r="AJ108" i="22"/>
  <c r="AR108" i="22"/>
  <c r="D109" i="22"/>
  <c r="AI109" i="22" s="1"/>
  <c r="F123" i="22" s="1"/>
  <c r="I123" i="22" s="1"/>
  <c r="AA108" i="22"/>
  <c r="E108" i="22" s="1"/>
  <c r="K108" i="22" s="1"/>
  <c r="H107" i="22"/>
  <c r="T107" i="22" s="1"/>
  <c r="T248" i="34"/>
  <c r="CB248" i="34" s="1"/>
  <c r="AA250" i="34"/>
  <c r="E250" i="34" s="1"/>
  <c r="H250" i="34" s="1"/>
  <c r="AS250" i="34" s="1"/>
  <c r="K247" i="30"/>
  <c r="AT247" i="30" s="1"/>
  <c r="AJ247" i="30"/>
  <c r="AI248" i="30"/>
  <c r="I135" i="22"/>
  <c r="T106" i="22"/>
  <c r="CE106" i="22" s="1"/>
  <c r="CB97" i="37"/>
  <c r="CB246" i="27"/>
  <c r="CE246" i="27"/>
  <c r="AV246" i="27"/>
  <c r="AW246" i="27" s="1"/>
  <c r="AX246" i="27" s="1"/>
  <c r="CB247" i="27"/>
  <c r="CE247" i="27"/>
  <c r="AV247" i="27"/>
  <c r="AW247" i="27" s="1"/>
  <c r="AX247" i="27" s="1"/>
  <c r="AG250" i="40"/>
  <c r="AH250" i="40" s="1"/>
  <c r="K249" i="34"/>
  <c r="AT249" i="34" s="1"/>
  <c r="AG249" i="34"/>
  <c r="AH249" i="34" s="1"/>
  <c r="AF250" i="34"/>
  <c r="AI250" i="34"/>
  <c r="AJ249" i="34"/>
  <c r="AI249" i="34"/>
  <c r="AR247" i="27"/>
  <c r="AQ248" i="27"/>
  <c r="AO248" i="27"/>
  <c r="AP248" i="27" s="1"/>
  <c r="AN249" i="27"/>
  <c r="AR248" i="27"/>
  <c r="AR248" i="38"/>
  <c r="AQ249" i="38"/>
  <c r="AO249" i="38"/>
  <c r="AP249" i="38" s="1"/>
  <c r="AQ250" i="38"/>
  <c r="AN250" i="38"/>
  <c r="AG249" i="39"/>
  <c r="AH249" i="39" s="1"/>
  <c r="AF250" i="39"/>
  <c r="AI250" i="39"/>
  <c r="AJ249" i="39"/>
  <c r="AG248" i="30"/>
  <c r="AH248" i="30" s="1"/>
  <c r="AF249" i="30"/>
  <c r="AJ248" i="30"/>
  <c r="AO250" i="37"/>
  <c r="AP250" i="37" s="1"/>
  <c r="AR250" i="37"/>
  <c r="AI249" i="37"/>
  <c r="Y250" i="34"/>
  <c r="Z250" i="34" s="1"/>
  <c r="T249" i="40"/>
  <c r="CB249" i="40" s="1"/>
  <c r="Y250" i="40"/>
  <c r="Z250" i="40" s="1"/>
  <c r="AB250" i="40"/>
  <c r="X249" i="30"/>
  <c r="Y248" i="30"/>
  <c r="Z248" i="30" s="1"/>
  <c r="AB247" i="30"/>
  <c r="CA96" i="39"/>
  <c r="CB97" i="39"/>
  <c r="AA248" i="30"/>
  <c r="E248" i="30" s="1"/>
  <c r="H248" i="30" s="1"/>
  <c r="AS247" i="30"/>
  <c r="T105" i="22"/>
  <c r="CE105" i="22" s="1"/>
  <c r="AI249" i="27"/>
  <c r="AJ248" i="27"/>
  <c r="AF250" i="27"/>
  <c r="AG249" i="27"/>
  <c r="AH249" i="27" s="1"/>
  <c r="E249" i="22"/>
  <c r="K249" i="22" s="1"/>
  <c r="AG249" i="37"/>
  <c r="AH249" i="37" s="1"/>
  <c r="AF250" i="37"/>
  <c r="CD249" i="37"/>
  <c r="CD247" i="37"/>
  <c r="CD245" i="37"/>
  <c r="CD250" i="37"/>
  <c r="CD248" i="37"/>
  <c r="CD246" i="37"/>
  <c r="CD244" i="37"/>
  <c r="CD241" i="37"/>
  <c r="CD240" i="37"/>
  <c r="CD236" i="37"/>
  <c r="CD243" i="37"/>
  <c r="CD239" i="37"/>
  <c r="CD235" i="37"/>
  <c r="CD233" i="37"/>
  <c r="CD242" i="37"/>
  <c r="CD238" i="37"/>
  <c r="CD234" i="37"/>
  <c r="CD232" i="37"/>
  <c r="CD237" i="37"/>
  <c r="CD230" i="37"/>
  <c r="CD227" i="37"/>
  <c r="CD225" i="37"/>
  <c r="CD223" i="37"/>
  <c r="CD229" i="37"/>
  <c r="CD228" i="37"/>
  <c r="CD231" i="37"/>
  <c r="CD217" i="37"/>
  <c r="CD216" i="37"/>
  <c r="CD215" i="37"/>
  <c r="CD213" i="37"/>
  <c r="CD211" i="37"/>
  <c r="CD209" i="37"/>
  <c r="CD219" i="37"/>
  <c r="CD226" i="37"/>
  <c r="CD218" i="37"/>
  <c r="CD224" i="37"/>
  <c r="CD221" i="37"/>
  <c r="CD222" i="37"/>
  <c r="CD210" i="37"/>
  <c r="CD202" i="37"/>
  <c r="CD200" i="37"/>
  <c r="CD198" i="37"/>
  <c r="CD196" i="37"/>
  <c r="CD194" i="37"/>
  <c r="CD214" i="37"/>
  <c r="CD212" i="37"/>
  <c r="CD208" i="37"/>
  <c r="CD205" i="37"/>
  <c r="CD204" i="37"/>
  <c r="CD206" i="37"/>
  <c r="CD220" i="37"/>
  <c r="CD197" i="37"/>
  <c r="CD193" i="37"/>
  <c r="CD191" i="37"/>
  <c r="CD189" i="37"/>
  <c r="CD187" i="37"/>
  <c r="CD185" i="37"/>
  <c r="CD183" i="37"/>
  <c r="CD181" i="37"/>
  <c r="CD179" i="37"/>
  <c r="CD177" i="37"/>
  <c r="CD195" i="37"/>
  <c r="CD207" i="37"/>
  <c r="CD201" i="37"/>
  <c r="CD203" i="37"/>
  <c r="CD199" i="37"/>
  <c r="CD190" i="37"/>
  <c r="CD186" i="37"/>
  <c r="CD176" i="37"/>
  <c r="CD175" i="37"/>
  <c r="CD188" i="37"/>
  <c r="CD184" i="37"/>
  <c r="CD171" i="37"/>
  <c r="CD180" i="37"/>
  <c r="CD174" i="37"/>
  <c r="CD165" i="37"/>
  <c r="CD163" i="37"/>
  <c r="CD164" i="37"/>
  <c r="CD167" i="37"/>
  <c r="CD172" i="37"/>
  <c r="CD169" i="37"/>
  <c r="CD166" i="37"/>
  <c r="CD182" i="37"/>
  <c r="CD178" i="37"/>
  <c r="CD173" i="37"/>
  <c r="CD170" i="37"/>
  <c r="CD168" i="37"/>
  <c r="CD192" i="37"/>
  <c r="CD159" i="37"/>
  <c r="CD151" i="37"/>
  <c r="CD140" i="37"/>
  <c r="CD134" i="37"/>
  <c r="CD132" i="37"/>
  <c r="CD130" i="37"/>
  <c r="CD128" i="37"/>
  <c r="CD126" i="37"/>
  <c r="CD158" i="37"/>
  <c r="CD148" i="37"/>
  <c r="CD162" i="37"/>
  <c r="CD149" i="37"/>
  <c r="CD141" i="37"/>
  <c r="CD157" i="37"/>
  <c r="CD146" i="37"/>
  <c r="CD142" i="37"/>
  <c r="CD137" i="37"/>
  <c r="CD124" i="37"/>
  <c r="CD122" i="37"/>
  <c r="CD120" i="37"/>
  <c r="CD161" i="37"/>
  <c r="CD156" i="37"/>
  <c r="CD147" i="37"/>
  <c r="CD144" i="37"/>
  <c r="CD136" i="37"/>
  <c r="CD135" i="37"/>
  <c r="CD133" i="37"/>
  <c r="CD131" i="37"/>
  <c r="CD129" i="37"/>
  <c r="CD127" i="37"/>
  <c r="CD155" i="37"/>
  <c r="CD143" i="37"/>
  <c r="CD139" i="37"/>
  <c r="CD160" i="37"/>
  <c r="CD154" i="37"/>
  <c r="CD138" i="37"/>
  <c r="CD145" i="37"/>
  <c r="CD113" i="37"/>
  <c r="CD110" i="37"/>
  <c r="CD102" i="37"/>
  <c r="CD105" i="37"/>
  <c r="CD109" i="37"/>
  <c r="CD101" i="37"/>
  <c r="CD152" i="37"/>
  <c r="CD121" i="37"/>
  <c r="CD123" i="37"/>
  <c r="CD150" i="37"/>
  <c r="CA97" i="37"/>
  <c r="CD125" i="37"/>
  <c r="CD118" i="37"/>
  <c r="CD153" i="37"/>
  <c r="CD115" i="37"/>
  <c r="CD117" i="37"/>
  <c r="CD112" i="37"/>
  <c r="CD111" i="37"/>
  <c r="CD116" i="37"/>
  <c r="CD104" i="37"/>
  <c r="CD100" i="37"/>
  <c r="CD107" i="37"/>
  <c r="CD114" i="37"/>
  <c r="CD119" i="37"/>
  <c r="CD106" i="37"/>
  <c r="CD108" i="37"/>
  <c r="CD103" i="37"/>
  <c r="K249" i="27"/>
  <c r="AT249" i="27" s="1"/>
  <c r="AS249" i="27"/>
  <c r="T248" i="27"/>
  <c r="CE132" i="22"/>
  <c r="AS250" i="40"/>
  <c r="K250" i="40"/>
  <c r="AT250" i="40" s="1"/>
  <c r="M158" i="22"/>
  <c r="M159" i="22"/>
  <c r="M160" i="22"/>
  <c r="L145" i="22"/>
  <c r="AT145" i="22" s="1"/>
  <c r="H145" i="22"/>
  <c r="AS144" i="22"/>
  <c r="T144" i="22"/>
  <c r="AS133" i="22"/>
  <c r="AQ133" i="22"/>
  <c r="G161" i="22" s="1"/>
  <c r="J161" i="22" s="1"/>
  <c r="AR132" i="22"/>
  <c r="AO133" i="22"/>
  <c r="AP133" i="22" s="1"/>
  <c r="H134" i="22"/>
  <c r="T134" i="22" s="1"/>
  <c r="AA250" i="22"/>
  <c r="AB249" i="22"/>
  <c r="Y250" i="22"/>
  <c r="Z250" i="22" s="1"/>
  <c r="AT107" i="22"/>
  <c r="AG132" i="22"/>
  <c r="AT134" i="22"/>
  <c r="AG131" i="22"/>
  <c r="L108" i="22"/>
  <c r="BE105" i="22"/>
  <c r="BF105" i="22" s="1"/>
  <c r="M135" i="22"/>
  <c r="CB133" i="22"/>
  <c r="CE133" i="22"/>
  <c r="L121" i="22"/>
  <c r="AT121" i="22" s="1"/>
  <c r="H121" i="22"/>
  <c r="CE119" i="22"/>
  <c r="CA119" i="22"/>
  <c r="CB119" i="22" s="1"/>
  <c r="T120" i="22"/>
  <c r="AS120" i="22"/>
  <c r="CE96" i="37" l="1"/>
  <c r="CH249" i="37" s="1"/>
  <c r="AI249" i="30"/>
  <c r="BB250" i="37"/>
  <c r="AS107" i="22"/>
  <c r="CH241" i="37"/>
  <c r="CH205" i="37"/>
  <c r="CH165" i="37"/>
  <c r="CH218" i="37"/>
  <c r="CH141" i="37"/>
  <c r="CH245" i="37"/>
  <c r="CH227" i="37"/>
  <c r="CH196" i="37"/>
  <c r="CH130" i="37"/>
  <c r="CH105" i="37"/>
  <c r="CH178" i="37"/>
  <c r="CH151" i="37"/>
  <c r="CH107" i="37"/>
  <c r="CH127" i="37"/>
  <c r="CH210" i="37"/>
  <c r="CH140" i="37"/>
  <c r="CH106" i="37"/>
  <c r="CH180" i="37"/>
  <c r="CH195" i="37"/>
  <c r="CH158" i="37"/>
  <c r="CH163" i="37"/>
  <c r="CH173" i="37"/>
  <c r="CH244" i="37"/>
  <c r="CH236" i="37"/>
  <c r="CH128" i="37"/>
  <c r="CH108" i="37"/>
  <c r="CH199" i="37"/>
  <c r="CH228" i="37"/>
  <c r="CH150" i="37"/>
  <c r="CH223" i="37"/>
  <c r="CH155" i="37"/>
  <c r="CH167" i="37"/>
  <c r="CH237" i="37"/>
  <c r="CH135" i="37"/>
  <c r="CH219" i="37"/>
  <c r="CH131" i="37"/>
  <c r="CH217" i="37"/>
  <c r="CH226" i="37"/>
  <c r="CH139" i="37"/>
  <c r="CH166" i="37"/>
  <c r="CH213" i="37"/>
  <c r="CH234" i="37"/>
  <c r="CH231" i="37"/>
  <c r="CH216" i="37"/>
  <c r="CH145" i="37"/>
  <c r="CH101" i="37"/>
  <c r="CH186" i="37"/>
  <c r="CH232" i="37"/>
  <c r="CH208" i="37"/>
  <c r="CH104" i="37"/>
  <c r="CH149" i="37"/>
  <c r="CH147" i="37"/>
  <c r="CH242" i="37"/>
  <c r="CH240" i="37"/>
  <c r="CH201" i="37"/>
  <c r="CH212" i="37"/>
  <c r="CH138" i="37"/>
  <c r="CH203" i="37"/>
  <c r="CH184" i="37"/>
  <c r="CH214" i="37"/>
  <c r="CH148" i="37"/>
  <c r="CH161" i="37"/>
  <c r="CH189" i="37"/>
  <c r="CH122" i="37"/>
  <c r="CH192" i="37"/>
  <c r="CH250" i="37"/>
  <c r="CH225" i="37"/>
  <c r="CH159" i="37"/>
  <c r="CH168" i="37"/>
  <c r="CH118" i="37"/>
  <c r="CH179" i="37"/>
  <c r="CH125" i="37"/>
  <c r="CH144" i="37"/>
  <c r="CH204" i="37"/>
  <c r="CE97" i="37"/>
  <c r="CH129" i="37"/>
  <c r="CH154" i="37"/>
  <c r="CH202" i="37"/>
  <c r="CH235" i="37"/>
  <c r="CH113" i="37"/>
  <c r="CH246" i="37"/>
  <c r="CH100" i="37"/>
  <c r="AQ109" i="22"/>
  <c r="G137" i="22" s="1"/>
  <c r="J137" i="22" s="1"/>
  <c r="I137" i="22" s="1"/>
  <c r="H108" i="22"/>
  <c r="T108" i="22" s="1"/>
  <c r="AR109" i="22"/>
  <c r="CA106" i="22"/>
  <c r="CB106" i="22" s="1"/>
  <c r="AB109" i="22"/>
  <c r="D110" i="22"/>
  <c r="AI110" i="22" s="1"/>
  <c r="F124" i="22" s="1"/>
  <c r="I124" i="22" s="1"/>
  <c r="AA109" i="22"/>
  <c r="E109" i="22" s="1"/>
  <c r="H109" i="22" s="1"/>
  <c r="AJ109" i="22"/>
  <c r="T247" i="30"/>
  <c r="CB247" i="30" s="1"/>
  <c r="T249" i="34"/>
  <c r="CB249" i="34" s="1"/>
  <c r="K250" i="34"/>
  <c r="AT250" i="34" s="1"/>
  <c r="AR249" i="38"/>
  <c r="AB250" i="34"/>
  <c r="AJ250" i="40"/>
  <c r="CB248" i="27"/>
  <c r="CE248" i="27"/>
  <c r="AV248" i="27"/>
  <c r="AW248" i="27" s="1"/>
  <c r="AX248" i="27" s="1"/>
  <c r="AG250" i="34"/>
  <c r="AH250" i="34" s="1"/>
  <c r="AJ250" i="34"/>
  <c r="AO250" i="38"/>
  <c r="AP250" i="38" s="1"/>
  <c r="AR250" i="38"/>
  <c r="AO249" i="27"/>
  <c r="AP249" i="27" s="1"/>
  <c r="AN250" i="27"/>
  <c r="AQ250" i="27"/>
  <c r="AR249" i="27"/>
  <c r="AQ249" i="27"/>
  <c r="AG249" i="30"/>
  <c r="AH249" i="30" s="1"/>
  <c r="AF250" i="30"/>
  <c r="AG250" i="39"/>
  <c r="AH250" i="39" s="1"/>
  <c r="AJ250" i="39"/>
  <c r="AV106" i="22"/>
  <c r="CA105" i="22"/>
  <c r="CB105" i="22" s="1"/>
  <c r="AV105" i="22"/>
  <c r="CD239" i="39"/>
  <c r="CD231" i="39"/>
  <c r="CD233" i="39"/>
  <c r="CD222" i="39"/>
  <c r="CD204" i="39"/>
  <c r="CD213" i="39"/>
  <c r="CD192" i="39"/>
  <c r="CD179" i="39"/>
  <c r="CD197" i="39"/>
  <c r="CD166" i="39"/>
  <c r="CD161" i="39"/>
  <c r="CD144" i="39"/>
  <c r="CD153" i="39"/>
  <c r="CD124" i="39"/>
  <c r="CD158" i="39"/>
  <c r="CD126" i="39"/>
  <c r="CD103" i="39"/>
  <c r="CD118" i="39"/>
  <c r="CD106" i="39"/>
  <c r="CD250" i="39"/>
  <c r="CD236" i="39"/>
  <c r="CD218" i="39"/>
  <c r="CD224" i="39"/>
  <c r="CD202" i="39"/>
  <c r="CD208" i="39"/>
  <c r="CD190" i="39"/>
  <c r="CD177" i="39"/>
  <c r="CD182" i="39"/>
  <c r="CD162" i="39"/>
  <c r="CD159" i="39"/>
  <c r="CD142" i="39"/>
  <c r="CD151" i="39"/>
  <c r="CD122" i="39"/>
  <c r="CD170" i="39"/>
  <c r="CD125" i="39"/>
  <c r="CD101" i="39"/>
  <c r="CD113" i="39"/>
  <c r="CD114" i="39"/>
  <c r="CD248" i="39"/>
  <c r="CD235" i="39"/>
  <c r="CD227" i="39"/>
  <c r="CD217" i="39"/>
  <c r="CD200" i="39"/>
  <c r="CD207" i="39"/>
  <c r="CD188" i="39"/>
  <c r="CD175" i="39"/>
  <c r="CD199" i="39"/>
  <c r="CD157" i="39"/>
  <c r="CD156" i="39"/>
  <c r="CD140" i="39"/>
  <c r="CD149" i="39"/>
  <c r="CD139" i="39"/>
  <c r="CD138" i="39"/>
  <c r="CA97" i="39"/>
  <c r="CD119" i="39"/>
  <c r="CD108" i="39"/>
  <c r="CD102" i="39"/>
  <c r="CD249" i="39"/>
  <c r="CD246" i="39"/>
  <c r="CD237" i="39"/>
  <c r="CD221" i="39"/>
  <c r="CD215" i="39"/>
  <c r="CD198" i="39"/>
  <c r="CD205" i="39"/>
  <c r="CD195" i="39"/>
  <c r="CD173" i="39"/>
  <c r="CD181" i="39"/>
  <c r="CD185" i="39"/>
  <c r="CD154" i="39"/>
  <c r="CD174" i="39"/>
  <c r="CD147" i="39"/>
  <c r="CD137" i="39"/>
  <c r="CD136" i="39"/>
  <c r="CD123" i="39"/>
  <c r="CD127" i="39"/>
  <c r="CD116" i="39"/>
  <c r="CD247" i="39"/>
  <c r="CD244" i="39"/>
  <c r="CD238" i="39"/>
  <c r="CD220" i="39"/>
  <c r="CD210" i="39"/>
  <c r="CD196" i="39"/>
  <c r="CD203" i="39"/>
  <c r="CD193" i="39"/>
  <c r="CD171" i="39"/>
  <c r="CD184" i="39"/>
  <c r="CD180" i="39"/>
  <c r="CD152" i="39"/>
  <c r="CD164" i="39"/>
  <c r="CD145" i="39"/>
  <c r="CD135" i="39"/>
  <c r="CD134" i="39"/>
  <c r="CD117" i="39"/>
  <c r="CD109" i="39"/>
  <c r="CD105" i="39"/>
  <c r="CD245" i="39"/>
  <c r="CD242" i="39"/>
  <c r="CD230" i="39"/>
  <c r="CD216" i="39"/>
  <c r="CD219" i="39"/>
  <c r="CD228" i="39"/>
  <c r="CD225" i="39"/>
  <c r="CD191" i="39"/>
  <c r="CD169" i="39"/>
  <c r="CD201" i="39"/>
  <c r="CD178" i="39"/>
  <c r="CD150" i="39"/>
  <c r="CD160" i="39"/>
  <c r="CD143" i="39"/>
  <c r="CD133" i="39"/>
  <c r="CD132" i="39"/>
  <c r="CD112" i="39"/>
  <c r="CD121" i="39"/>
  <c r="CD100" i="39"/>
  <c r="CD243" i="39"/>
  <c r="CD240" i="39"/>
  <c r="CD232" i="39"/>
  <c r="CD226" i="39"/>
  <c r="CD212" i="39"/>
  <c r="CD214" i="39"/>
  <c r="CD209" i="39"/>
  <c r="CD189" i="39"/>
  <c r="CD167" i="39"/>
  <c r="CD186" i="39"/>
  <c r="CD176" i="39"/>
  <c r="CD148" i="39"/>
  <c r="CD163" i="39"/>
  <c r="CD141" i="39"/>
  <c r="CD131" i="39"/>
  <c r="CD130" i="39"/>
  <c r="CD104" i="39"/>
  <c r="CD107" i="39"/>
  <c r="CD120" i="39"/>
  <c r="CD241" i="39"/>
  <c r="CD234" i="39"/>
  <c r="CD229" i="39"/>
  <c r="CD223" i="39"/>
  <c r="CD206" i="39"/>
  <c r="CD211" i="39"/>
  <c r="CD194" i="39"/>
  <c r="CD187" i="39"/>
  <c r="CD165" i="39"/>
  <c r="CD168" i="39"/>
  <c r="CD183" i="39"/>
  <c r="CD146" i="39"/>
  <c r="CD155" i="39"/>
  <c r="CD172" i="39"/>
  <c r="CD129" i="39"/>
  <c r="CD128" i="39"/>
  <c r="CD111" i="39"/>
  <c r="CD115" i="39"/>
  <c r="CD110" i="39"/>
  <c r="X250" i="30"/>
  <c r="Y249" i="30"/>
  <c r="Z249" i="30" s="1"/>
  <c r="AA249" i="30"/>
  <c r="E249" i="30" s="1"/>
  <c r="H249" i="30" s="1"/>
  <c r="K248" i="30"/>
  <c r="AT248" i="30" s="1"/>
  <c r="AB248" i="30"/>
  <c r="AJ249" i="37"/>
  <c r="AI250" i="37"/>
  <c r="AG250" i="27"/>
  <c r="AH250" i="27" s="1"/>
  <c r="AJ249" i="27"/>
  <c r="AI250" i="27"/>
  <c r="E250" i="22"/>
  <c r="K250" i="22" s="1"/>
  <c r="AG250" i="37"/>
  <c r="AH250" i="37" s="1"/>
  <c r="K250" i="27"/>
  <c r="AT250" i="27" s="1"/>
  <c r="AS250" i="27"/>
  <c r="T249" i="27"/>
  <c r="T250" i="40"/>
  <c r="CB250" i="40" s="1"/>
  <c r="CB96" i="40" s="1"/>
  <c r="CB144" i="22"/>
  <c r="CE144" i="22"/>
  <c r="M161" i="22"/>
  <c r="AS145" i="22"/>
  <c r="T145" i="22"/>
  <c r="AQ134" i="22"/>
  <c r="G162" i="22" s="1"/>
  <c r="J162" i="22" s="1"/>
  <c r="AO134" i="22"/>
  <c r="AP134" i="22" s="1"/>
  <c r="AS134" i="22"/>
  <c r="AR133" i="22"/>
  <c r="H135" i="22"/>
  <c r="T135" i="22" s="1"/>
  <c r="AH131" i="22"/>
  <c r="AJ131" i="22"/>
  <c r="AI132" i="22"/>
  <c r="F146" i="22" s="1"/>
  <c r="I146" i="22" s="1"/>
  <c r="AI133" i="22"/>
  <c r="F147" i="22" s="1"/>
  <c r="I147" i="22" s="1"/>
  <c r="AJ132" i="22"/>
  <c r="AB250" i="22"/>
  <c r="AH132" i="22"/>
  <c r="AG134" i="22"/>
  <c r="AT135" i="22"/>
  <c r="AG133" i="22"/>
  <c r="AT108" i="22"/>
  <c r="AV107" i="22"/>
  <c r="AW107" i="22" s="1"/>
  <c r="AX107" i="22" s="1"/>
  <c r="BH107" i="22"/>
  <c r="BE106" i="22"/>
  <c r="BF106" i="22"/>
  <c r="L109" i="22"/>
  <c r="AW106" i="22"/>
  <c r="AX106" i="22" s="1"/>
  <c r="AZ106" i="22"/>
  <c r="BA106" i="22" s="1"/>
  <c r="CB134" i="22"/>
  <c r="CE134" i="22"/>
  <c r="T121" i="22"/>
  <c r="AS121" i="22"/>
  <c r="CE120" i="22"/>
  <c r="CA120" i="22"/>
  <c r="CB120" i="22" s="1"/>
  <c r="M136" i="22"/>
  <c r="CA107" i="22"/>
  <c r="CB107" i="22" s="1"/>
  <c r="CE107" i="22"/>
  <c r="L122" i="22"/>
  <c r="AT122" i="22" s="1"/>
  <c r="H122" i="22"/>
  <c r="CH207" i="37" l="1"/>
  <c r="CH156" i="37"/>
  <c r="CH220" i="37"/>
  <c r="CH126" i="37"/>
  <c r="CH177" i="37"/>
  <c r="CH120" i="37"/>
  <c r="CH134" i="37"/>
  <c r="CH152" i="37"/>
  <c r="CH117" i="37"/>
  <c r="CH169" i="37"/>
  <c r="CH176" i="37"/>
  <c r="CH193" i="37"/>
  <c r="CH172" i="37"/>
  <c r="CH175" i="37"/>
  <c r="CH146" i="37"/>
  <c r="CH121" i="37"/>
  <c r="CH185" i="37"/>
  <c r="CH197" i="37"/>
  <c r="CH182" i="37"/>
  <c r="CH123" i="37"/>
  <c r="CH211" i="37"/>
  <c r="CH190" i="37"/>
  <c r="CH162" i="37"/>
  <c r="CH112" i="37"/>
  <c r="CH114" i="37"/>
  <c r="CH103" i="37"/>
  <c r="CH110" i="37"/>
  <c r="CH174" i="37"/>
  <c r="CH143" i="37"/>
  <c r="CH191" i="37"/>
  <c r="CH238" i="37"/>
  <c r="CH247" i="37"/>
  <c r="CH198" i="37"/>
  <c r="CH221" i="37"/>
  <c r="CH124" i="37"/>
  <c r="CH132" i="37"/>
  <c r="CH243" i="37"/>
  <c r="CH102" i="37"/>
  <c r="CH142" i="37"/>
  <c r="CH109" i="37"/>
  <c r="CH136" i="37"/>
  <c r="CH206" i="37"/>
  <c r="CH111" i="37"/>
  <c r="CH153" i="37"/>
  <c r="CH200" i="37"/>
  <c r="CH160" i="37"/>
  <c r="CH171" i="37"/>
  <c r="CH229" i="37"/>
  <c r="CH116" i="37"/>
  <c r="CH119" i="37"/>
  <c r="CH209" i="37"/>
  <c r="CH170" i="37"/>
  <c r="CH248" i="37"/>
  <c r="CH188" i="37"/>
  <c r="CH157" i="37"/>
  <c r="CH187" i="37"/>
  <c r="CH137" i="37"/>
  <c r="CH133" i="37"/>
  <c r="CH222" i="37"/>
  <c r="CH215" i="37"/>
  <c r="CH233" i="37"/>
  <c r="CH239" i="37"/>
  <c r="CH230" i="37"/>
  <c r="CH115" i="37"/>
  <c r="CH183" i="37"/>
  <c r="CH194" i="37"/>
  <c r="CH164" i="37"/>
  <c r="CH181" i="37"/>
  <c r="CH224" i="37"/>
  <c r="AW105" i="22"/>
  <c r="AX105" i="22" s="1"/>
  <c r="AZ105" i="22"/>
  <c r="AZ107" i="22"/>
  <c r="BA107" i="22" s="1"/>
  <c r="BB107" i="22" s="1"/>
  <c r="AS108" i="22"/>
  <c r="T250" i="34"/>
  <c r="CB250" i="34" s="1"/>
  <c r="CB96" i="34" s="1"/>
  <c r="CB97" i="34" s="1"/>
  <c r="K109" i="22"/>
  <c r="AT109" i="22" s="1"/>
  <c r="AR110" i="22"/>
  <c r="AB110" i="22"/>
  <c r="D111" i="22"/>
  <c r="AR111" i="22" s="1"/>
  <c r="AA110" i="22"/>
  <c r="E110" i="22" s="1"/>
  <c r="H110" i="22" s="1"/>
  <c r="AQ110" i="22"/>
  <c r="G138" i="22" s="1"/>
  <c r="J138" i="22" s="1"/>
  <c r="I138" i="22" s="1"/>
  <c r="AJ110" i="22"/>
  <c r="AJ249" i="30"/>
  <c r="AI250" i="30"/>
  <c r="CB249" i="27"/>
  <c r="CE249" i="27"/>
  <c r="AV249" i="27"/>
  <c r="AW249" i="27" s="1"/>
  <c r="AX249" i="27" s="1"/>
  <c r="AO250" i="27"/>
  <c r="AP250" i="27" s="1"/>
  <c r="AR250" i="27"/>
  <c r="AG250" i="30"/>
  <c r="AH250" i="30" s="1"/>
  <c r="AS248" i="30"/>
  <c r="T248" i="30"/>
  <c r="CB248" i="30" s="1"/>
  <c r="K249" i="30"/>
  <c r="AT249" i="30" s="1"/>
  <c r="Y250" i="30"/>
  <c r="Z250" i="30" s="1"/>
  <c r="AA250" i="30"/>
  <c r="E250" i="30" s="1"/>
  <c r="H250" i="30" s="1"/>
  <c r="AB249" i="30"/>
  <c r="AJ250" i="37"/>
  <c r="CA96" i="40"/>
  <c r="CB97" i="40"/>
  <c r="AJ250" i="27"/>
  <c r="T250" i="27"/>
  <c r="CB145" i="22"/>
  <c r="CE145" i="22"/>
  <c r="M162" i="22"/>
  <c r="H147" i="22"/>
  <c r="L147" i="22"/>
  <c r="AT147" i="22" s="1"/>
  <c r="H146" i="22"/>
  <c r="L146" i="22"/>
  <c r="AT146" i="22" s="1"/>
  <c r="AQ135" i="22"/>
  <c r="G163" i="22" s="1"/>
  <c r="J163" i="22" s="1"/>
  <c r="AR134" i="22"/>
  <c r="H136" i="22"/>
  <c r="T136" i="22" s="1"/>
  <c r="AO135" i="22"/>
  <c r="AP135" i="22" s="1"/>
  <c r="AS135" i="22"/>
  <c r="AH133" i="22"/>
  <c r="AI134" i="22"/>
  <c r="F148" i="22" s="1"/>
  <c r="I148" i="22" s="1"/>
  <c r="AJ133" i="22"/>
  <c r="AH134" i="22"/>
  <c r="AI135" i="22"/>
  <c r="F149" i="22" s="1"/>
  <c r="I149" i="22" s="1"/>
  <c r="AJ134" i="22"/>
  <c r="AG135" i="22"/>
  <c r="AT136" i="22"/>
  <c r="L110" i="22"/>
  <c r="BH109" i="22"/>
  <c r="BE108" i="22"/>
  <c r="BF108" i="22" s="1"/>
  <c r="BH108" i="22"/>
  <c r="BI107" i="22"/>
  <c r="BJ107" i="22" s="1"/>
  <c r="BE107" i="22"/>
  <c r="BF107" i="22" s="1"/>
  <c r="BB106" i="22"/>
  <c r="AV108" i="22"/>
  <c r="AZ108" i="22"/>
  <c r="BA108" i="22" s="1"/>
  <c r="BB108" i="22" s="1"/>
  <c r="M137" i="22"/>
  <c r="L123" i="22"/>
  <c r="AT123" i="22" s="1"/>
  <c r="H123" i="22"/>
  <c r="AS109" i="22"/>
  <c r="CB135" i="22"/>
  <c r="CE135" i="22"/>
  <c r="CA108" i="22"/>
  <c r="CB108" i="22" s="1"/>
  <c r="CE108" i="22"/>
  <c r="T122" i="22"/>
  <c r="AS122" i="22"/>
  <c r="CB121" i="22"/>
  <c r="CE121" i="22"/>
  <c r="BA105" i="22" l="1"/>
  <c r="BB105" i="22"/>
  <c r="CA96" i="34"/>
  <c r="T109" i="22"/>
  <c r="AV109" i="22" s="1"/>
  <c r="AZ109" i="22" s="1"/>
  <c r="K110" i="22"/>
  <c r="D112" i="22"/>
  <c r="AI111" i="22"/>
  <c r="F125" i="22" s="1"/>
  <c r="I125" i="22" s="1"/>
  <c r="AQ111" i="22"/>
  <c r="G139" i="22" s="1"/>
  <c r="J139" i="22" s="1"/>
  <c r="I139" i="22" s="1"/>
  <c r="AJ111" i="22"/>
  <c r="AB111" i="22"/>
  <c r="AA111" i="22"/>
  <c r="E111" i="22" s="1"/>
  <c r="K111" i="22" s="1"/>
  <c r="CB250" i="27"/>
  <c r="CB96" i="27" s="1"/>
  <c r="CA96" i="27" s="1"/>
  <c r="CE250" i="27"/>
  <c r="AV250" i="27"/>
  <c r="AW250" i="27" s="1"/>
  <c r="AX250" i="27" s="1"/>
  <c r="AJ250" i="30"/>
  <c r="K250" i="30"/>
  <c r="AT250" i="30" s="1"/>
  <c r="AB250" i="30"/>
  <c r="AS249" i="30"/>
  <c r="T249" i="30"/>
  <c r="CB249" i="30" s="1"/>
  <c r="CD249" i="40"/>
  <c r="CD247" i="40"/>
  <c r="CD245" i="40"/>
  <c r="CD243" i="40"/>
  <c r="CD241" i="40"/>
  <c r="CD239" i="40"/>
  <c r="CD237" i="40"/>
  <c r="CD235" i="40"/>
  <c r="CD250" i="40"/>
  <c r="CD248" i="40"/>
  <c r="CD246" i="40"/>
  <c r="CD244" i="40"/>
  <c r="CD242" i="40"/>
  <c r="CD240" i="40"/>
  <c r="CD238" i="40"/>
  <c r="CD236" i="40"/>
  <c r="CD233" i="40"/>
  <c r="CD232" i="40"/>
  <c r="CD231" i="40"/>
  <c r="CD222" i="40"/>
  <c r="CD224" i="40"/>
  <c r="CD220" i="40"/>
  <c r="CD218" i="40"/>
  <c r="CD216" i="40"/>
  <c r="CD214" i="40"/>
  <c r="CD212" i="40"/>
  <c r="CD229" i="40"/>
  <c r="CD223" i="40"/>
  <c r="CD234" i="40"/>
  <c r="CD225" i="40"/>
  <c r="CD226" i="40"/>
  <c r="CD219" i="40"/>
  <c r="CD213" i="40"/>
  <c r="CD211" i="40"/>
  <c r="CD210" i="40"/>
  <c r="CD209" i="40"/>
  <c r="CD227" i="40"/>
  <c r="CD215" i="40"/>
  <c r="CD230" i="40"/>
  <c r="CD206" i="40"/>
  <c r="CD207" i="40"/>
  <c r="CD204" i="40"/>
  <c r="CD203" i="40"/>
  <c r="CD200" i="40"/>
  <c r="CD199" i="40"/>
  <c r="CD228" i="40"/>
  <c r="CD196" i="40"/>
  <c r="CD194" i="40"/>
  <c r="CD192" i="40"/>
  <c r="CD190" i="40"/>
  <c r="CD188" i="40"/>
  <c r="CD186" i="40"/>
  <c r="CD217" i="40"/>
  <c r="CD202" i="40"/>
  <c r="CD201" i="40"/>
  <c r="CD198" i="40"/>
  <c r="CD197" i="40"/>
  <c r="CD205" i="40"/>
  <c r="CD195" i="40"/>
  <c r="CD193" i="40"/>
  <c r="CD191" i="40"/>
  <c r="CD189" i="40"/>
  <c r="CD187" i="40"/>
  <c r="CD221" i="40"/>
  <c r="CD184" i="40"/>
  <c r="CD178" i="40"/>
  <c r="CD181" i="40"/>
  <c r="CD180" i="40"/>
  <c r="CD177" i="40"/>
  <c r="CD183" i="40"/>
  <c r="CD208" i="40"/>
  <c r="CD185" i="40"/>
  <c r="CD179" i="40"/>
  <c r="CD176" i="40"/>
  <c r="CD182" i="40"/>
  <c r="CD174" i="40"/>
  <c r="CD172" i="40"/>
  <c r="CD170" i="40"/>
  <c r="CD168" i="40"/>
  <c r="CD166" i="40"/>
  <c r="CD164" i="40"/>
  <c r="CD162" i="40"/>
  <c r="CD160" i="40"/>
  <c r="CD158" i="40"/>
  <c r="CD156" i="40"/>
  <c r="CD154" i="40"/>
  <c r="CD175" i="40"/>
  <c r="CD173" i="40"/>
  <c r="CD171" i="40"/>
  <c r="CD169" i="40"/>
  <c r="CD167" i="40"/>
  <c r="CD165" i="40"/>
  <c r="CD163" i="40"/>
  <c r="CD161" i="40"/>
  <c r="CD159" i="40"/>
  <c r="CD157" i="40"/>
  <c r="CD155" i="40"/>
  <c r="CD153" i="40"/>
  <c r="CD147" i="40"/>
  <c r="CD145" i="40"/>
  <c r="CD143" i="40"/>
  <c r="CD141" i="40"/>
  <c r="CD139" i="40"/>
  <c r="CD151" i="40"/>
  <c r="CD152" i="40"/>
  <c r="CD149" i="40"/>
  <c r="CD124" i="40"/>
  <c r="CD122" i="40"/>
  <c r="CD146" i="40"/>
  <c r="CD135" i="40"/>
  <c r="CD133" i="40"/>
  <c r="CD131" i="40"/>
  <c r="CD129" i="40"/>
  <c r="CD127" i="40"/>
  <c r="CD150" i="40"/>
  <c r="CD148" i="40"/>
  <c r="CD144" i="40"/>
  <c r="CD137" i="40"/>
  <c r="CD118" i="40"/>
  <c r="CD142" i="40"/>
  <c r="CD136" i="40"/>
  <c r="CD134" i="40"/>
  <c r="CD132" i="40"/>
  <c r="CD130" i="40"/>
  <c r="CD128" i="40"/>
  <c r="CD126" i="40"/>
  <c r="CD125" i="40"/>
  <c r="CD109" i="40"/>
  <c r="CD101" i="40"/>
  <c r="CD140" i="40"/>
  <c r="CD138" i="40"/>
  <c r="CD115" i="40"/>
  <c r="CD107" i="40"/>
  <c r="CA97" i="40"/>
  <c r="CD121" i="40"/>
  <c r="CD123" i="40"/>
  <c r="CD110" i="40"/>
  <c r="CD119" i="40"/>
  <c r="CD112" i="40"/>
  <c r="CD104" i="40"/>
  <c r="CD102" i="40"/>
  <c r="CD106" i="40"/>
  <c r="CD116" i="40"/>
  <c r="CD100" i="40"/>
  <c r="CD114" i="40"/>
  <c r="CD113" i="40"/>
  <c r="CD103" i="40"/>
  <c r="CD105" i="40"/>
  <c r="CD108" i="40"/>
  <c r="CD111" i="40"/>
  <c r="CD120" i="40"/>
  <c r="CD117" i="40"/>
  <c r="CD249" i="34"/>
  <c r="CD247" i="34"/>
  <c r="CD245" i="34"/>
  <c r="CD228" i="34"/>
  <c r="CD223" i="34"/>
  <c r="CD208" i="34"/>
  <c r="CD206" i="34"/>
  <c r="CD185" i="34"/>
  <c r="CD183" i="34"/>
  <c r="CD181" i="34"/>
  <c r="CD179" i="34"/>
  <c r="CD146" i="34"/>
  <c r="CD201" i="34"/>
  <c r="CD166" i="34"/>
  <c r="CD156" i="34"/>
  <c r="CD141" i="34"/>
  <c r="CD125" i="34"/>
  <c r="CD123" i="34"/>
  <c r="CD121" i="34"/>
  <c r="CD103" i="34"/>
  <c r="CD173" i="34"/>
  <c r="CD126" i="34"/>
  <c r="CD107" i="34"/>
  <c r="M163" i="22"/>
  <c r="H148" i="22"/>
  <c r="L148" i="22"/>
  <c r="AT148" i="22" s="1"/>
  <c r="AS136" i="22"/>
  <c r="T146" i="22"/>
  <c r="AS146" i="22"/>
  <c r="L149" i="22"/>
  <c r="AT149" i="22" s="1"/>
  <c r="H149" i="22"/>
  <c r="AS147" i="22"/>
  <c r="T147" i="22"/>
  <c r="AQ136" i="22"/>
  <c r="G164" i="22" s="1"/>
  <c r="J164" i="22" s="1"/>
  <c r="AO136" i="22"/>
  <c r="H137" i="22"/>
  <c r="T137" i="22" s="1"/>
  <c r="AR135" i="22"/>
  <c r="AH135" i="22"/>
  <c r="AI136" i="22"/>
  <c r="F150" i="22" s="1"/>
  <c r="I150" i="22" s="1"/>
  <c r="AJ135" i="22"/>
  <c r="AT137" i="22"/>
  <c r="AG136" i="22"/>
  <c r="BI109" i="22"/>
  <c r="BJ109" i="22" s="1"/>
  <c r="BI108" i="22"/>
  <c r="BJ108" i="22" s="1"/>
  <c r="L111" i="22"/>
  <c r="AW108" i="22"/>
  <c r="AX108" i="22" s="1"/>
  <c r="H124" i="22"/>
  <c r="L124" i="22"/>
  <c r="AT124" i="22" s="1"/>
  <c r="M138" i="22"/>
  <c r="T123" i="22"/>
  <c r="AS123" i="22"/>
  <c r="AS110" i="22"/>
  <c r="CE136" i="22"/>
  <c r="CB136" i="22"/>
  <c r="CB122" i="22"/>
  <c r="CE122" i="22"/>
  <c r="AI112" i="22" l="1"/>
  <c r="F126" i="22" s="1"/>
  <c r="I126" i="22" s="1"/>
  <c r="D113" i="22"/>
  <c r="AI113" i="22" s="1"/>
  <c r="F127" i="22" s="1"/>
  <c r="I127" i="22" s="1"/>
  <c r="AT110" i="22"/>
  <c r="T110" i="22"/>
  <c r="CA110" i="22" s="1"/>
  <c r="CB110" i="22" s="1"/>
  <c r="AJ112" i="22"/>
  <c r="CD243" i="34"/>
  <c r="CD229" i="34"/>
  <c r="CD219" i="34"/>
  <c r="CD221" i="34"/>
  <c r="CD220" i="34"/>
  <c r="CD175" i="34"/>
  <c r="CD165" i="34"/>
  <c r="CD149" i="34"/>
  <c r="CD162" i="34"/>
  <c r="CD171" i="34"/>
  <c r="CA97" i="34"/>
  <c r="CD124" i="34"/>
  <c r="CD112" i="34"/>
  <c r="CD241" i="34"/>
  <c r="CD227" i="34"/>
  <c r="CD217" i="34"/>
  <c r="CD212" i="34"/>
  <c r="CD216" i="34"/>
  <c r="CD192" i="34"/>
  <c r="CD163" i="34"/>
  <c r="CD200" i="34"/>
  <c r="CD150" i="34"/>
  <c r="CD145" i="34"/>
  <c r="CD131" i="34"/>
  <c r="CD111" i="34"/>
  <c r="CD108" i="34"/>
  <c r="CD239" i="34"/>
  <c r="CD244" i="34"/>
  <c r="CD215" i="34"/>
  <c r="CD211" i="34"/>
  <c r="CD207" i="34"/>
  <c r="CD209" i="34"/>
  <c r="CD174" i="34"/>
  <c r="CD161" i="34"/>
  <c r="CD137" i="34"/>
  <c r="CD143" i="34"/>
  <c r="CD159" i="34"/>
  <c r="CD132" i="34"/>
  <c r="CD113" i="34"/>
  <c r="CD237" i="34"/>
  <c r="CD242" i="34"/>
  <c r="CD224" i="34"/>
  <c r="CD191" i="34"/>
  <c r="CD199" i="34"/>
  <c r="CD180" i="34"/>
  <c r="CD190" i="34"/>
  <c r="CD160" i="34"/>
  <c r="CD158" i="34"/>
  <c r="CD136" i="34"/>
  <c r="CD135" i="34"/>
  <c r="CD118" i="34"/>
  <c r="CD114" i="34"/>
  <c r="CD235" i="34"/>
  <c r="CD240" i="34"/>
  <c r="CD222" i="34"/>
  <c r="CD214" i="34"/>
  <c r="CD197" i="34"/>
  <c r="CD198" i="34"/>
  <c r="CD164" i="34"/>
  <c r="CD148" i="34"/>
  <c r="CD153" i="34"/>
  <c r="CD130" i="34"/>
  <c r="CD129" i="34"/>
  <c r="CD102" i="34"/>
  <c r="CD116" i="34"/>
  <c r="CD250" i="34"/>
  <c r="CD236" i="34"/>
  <c r="CD218" i="34"/>
  <c r="CD203" i="34"/>
  <c r="CD189" i="34"/>
  <c r="CD205" i="34"/>
  <c r="CD147" i="34"/>
  <c r="CD144" i="34"/>
  <c r="CD139" i="34"/>
  <c r="CD152" i="34"/>
  <c r="CD128" i="34"/>
  <c r="CD110" i="34"/>
  <c r="CD248" i="34"/>
  <c r="CD226" i="34"/>
  <c r="CD210" i="34"/>
  <c r="CD193" i="34"/>
  <c r="CD187" i="34"/>
  <c r="CD195" i="34"/>
  <c r="CA109" i="22"/>
  <c r="CB109" i="22" s="1"/>
  <c r="CD119" i="34"/>
  <c r="CD168" i="34"/>
  <c r="CD154" i="34"/>
  <c r="CD196" i="34"/>
  <c r="CD233" i="34"/>
  <c r="CE109" i="22"/>
  <c r="CD172" i="34"/>
  <c r="CD133" i="34"/>
  <c r="CD155" i="34"/>
  <c r="CD182" i="34"/>
  <c r="CD238" i="34"/>
  <c r="CD100" i="34"/>
  <c r="CD105" i="34"/>
  <c r="CD176" i="34"/>
  <c r="CD167" i="34"/>
  <c r="CD184" i="34"/>
  <c r="CD225" i="34"/>
  <c r="CD101" i="34"/>
  <c r="CD115" i="34"/>
  <c r="CD151" i="34"/>
  <c r="CD169" i="34"/>
  <c r="CD186" i="34"/>
  <c r="CD231" i="34"/>
  <c r="CD109" i="34"/>
  <c r="CD120" i="34"/>
  <c r="CD157" i="34"/>
  <c r="CD194" i="34"/>
  <c r="CD188" i="34"/>
  <c r="CD234" i="34"/>
  <c r="CD117" i="34"/>
  <c r="CD122" i="34"/>
  <c r="CD138" i="34"/>
  <c r="CD170" i="34"/>
  <c r="CD213" i="34"/>
  <c r="CD230" i="34"/>
  <c r="CD104" i="34"/>
  <c r="CD127" i="34"/>
  <c r="CD140" i="34"/>
  <c r="CD178" i="34"/>
  <c r="CD202" i="34"/>
  <c r="CD232" i="34"/>
  <c r="CD106" i="34"/>
  <c r="CD134" i="34"/>
  <c r="CD142" i="34"/>
  <c r="CD177" i="34"/>
  <c r="CD204" i="34"/>
  <c r="CD246" i="34"/>
  <c r="AA112" i="22"/>
  <c r="E112" i="22" s="1"/>
  <c r="K112" i="22" s="1"/>
  <c r="H111" i="22"/>
  <c r="AS111" i="22" s="1"/>
  <c r="AR112" i="22"/>
  <c r="AB112" i="22"/>
  <c r="AQ112" i="22"/>
  <c r="G140" i="22" s="1"/>
  <c r="J140" i="22" s="1"/>
  <c r="CB97" i="27"/>
  <c r="AS250" i="30"/>
  <c r="T250" i="30"/>
  <c r="CB250" i="30" s="1"/>
  <c r="CB96" i="30" s="1"/>
  <c r="CD249" i="27"/>
  <c r="CD250" i="27"/>
  <c r="CD248" i="27"/>
  <c r="CD238" i="27"/>
  <c r="CD240" i="27"/>
  <c r="CD232" i="27"/>
  <c r="CD228" i="27"/>
  <c r="CD226" i="27"/>
  <c r="CD247" i="27"/>
  <c r="CD242" i="27"/>
  <c r="CD234" i="27"/>
  <c r="CD239" i="27"/>
  <c r="CD235" i="27"/>
  <c r="CD241" i="27"/>
  <c r="CD244" i="27"/>
  <c r="CD243" i="27"/>
  <c r="CD227" i="27"/>
  <c r="CD222" i="27"/>
  <c r="CD220" i="27"/>
  <c r="CD218" i="27"/>
  <c r="CD216" i="27"/>
  <c r="CD224" i="27"/>
  <c r="CD237" i="27"/>
  <c r="CD230" i="27"/>
  <c r="CD229" i="27"/>
  <c r="CD223" i="27"/>
  <c r="CD219" i="27"/>
  <c r="CD215" i="27"/>
  <c r="CD213" i="27"/>
  <c r="CD211" i="27"/>
  <c r="CD245" i="27"/>
  <c r="CD236" i="27"/>
  <c r="CD231" i="27"/>
  <c r="CD217" i="27"/>
  <c r="CD246" i="27"/>
  <c r="CD225" i="27"/>
  <c r="CD206" i="27"/>
  <c r="CD204" i="27"/>
  <c r="CD209" i="27"/>
  <c r="CD233" i="27"/>
  <c r="CD210" i="27"/>
  <c r="CD208" i="27"/>
  <c r="CD221" i="27"/>
  <c r="CD205" i="27"/>
  <c r="CD203" i="27"/>
  <c r="CD198" i="27"/>
  <c r="CD196" i="27"/>
  <c r="CD194" i="27"/>
  <c r="CD192" i="27"/>
  <c r="CD190" i="27"/>
  <c r="CD188" i="27"/>
  <c r="CD186" i="27"/>
  <c r="CD184" i="27"/>
  <c r="CD182" i="27"/>
  <c r="CD180" i="27"/>
  <c r="CD178" i="27"/>
  <c r="CD200" i="27"/>
  <c r="CD197" i="27"/>
  <c r="CD195" i="27"/>
  <c r="CD193" i="27"/>
  <c r="CD191" i="27"/>
  <c r="CD189" i="27"/>
  <c r="CD187" i="27"/>
  <c r="CD185" i="27"/>
  <c r="CD183" i="27"/>
  <c r="CD181" i="27"/>
  <c r="CD179" i="27"/>
  <c r="CD177" i="27"/>
  <c r="CD175" i="27"/>
  <c r="CD207" i="27"/>
  <c r="CD202" i="27"/>
  <c r="CD199" i="27"/>
  <c r="CD174" i="27"/>
  <c r="CD173" i="27"/>
  <c r="CD212" i="27"/>
  <c r="CD214" i="27"/>
  <c r="CD171" i="27"/>
  <c r="CD170" i="27"/>
  <c r="CD168" i="27"/>
  <c r="CD166" i="27"/>
  <c r="CD164" i="27"/>
  <c r="CD176" i="27"/>
  <c r="CD169" i="27"/>
  <c r="CD165" i="27"/>
  <c r="CD162" i="27"/>
  <c r="CD157" i="27"/>
  <c r="CD154" i="27"/>
  <c r="CD152" i="27"/>
  <c r="CD150" i="27"/>
  <c r="CD148" i="27"/>
  <c r="CD146" i="27"/>
  <c r="CD144" i="27"/>
  <c r="CD142" i="27"/>
  <c r="CD140" i="27"/>
  <c r="CD156" i="27"/>
  <c r="CD172" i="27"/>
  <c r="CD159" i="27"/>
  <c r="CD158" i="27"/>
  <c r="CD151" i="27"/>
  <c r="CD160" i="27"/>
  <c r="CD201" i="27"/>
  <c r="CD138" i="27"/>
  <c r="CD136" i="27"/>
  <c r="CD134" i="27"/>
  <c r="CD132" i="27"/>
  <c r="CD130" i="27"/>
  <c r="CD128" i="27"/>
  <c r="CD145" i="27"/>
  <c r="CD141" i="27"/>
  <c r="CD135" i="27"/>
  <c r="CD129" i="27"/>
  <c r="CD143" i="27"/>
  <c r="CD137" i="27"/>
  <c r="CD125" i="27"/>
  <c r="CD123" i="27"/>
  <c r="CD121" i="27"/>
  <c r="CD116" i="27"/>
  <c r="CD161" i="27"/>
  <c r="CD155" i="27"/>
  <c r="CD153" i="27"/>
  <c r="CD147" i="27"/>
  <c r="CD126" i="27"/>
  <c r="CD139" i="27"/>
  <c r="CD127" i="27"/>
  <c r="CD105" i="27"/>
  <c r="CA97" i="27"/>
  <c r="CD114" i="27"/>
  <c r="CD104" i="27"/>
  <c r="CD103" i="27"/>
  <c r="CD149" i="27"/>
  <c r="CD122" i="27"/>
  <c r="CD131" i="27"/>
  <c r="CD124" i="27"/>
  <c r="CD119" i="27"/>
  <c r="CD111" i="27"/>
  <c r="CD167" i="27"/>
  <c r="CD108" i="27"/>
  <c r="CD133" i="27"/>
  <c r="CD163" i="27"/>
  <c r="CD120" i="27"/>
  <c r="CD112" i="27"/>
  <c r="CD106" i="27"/>
  <c r="CD100" i="27"/>
  <c r="CD107" i="27"/>
  <c r="CD115" i="27"/>
  <c r="CD117" i="27"/>
  <c r="CD101" i="27"/>
  <c r="CD109" i="27"/>
  <c r="CD118" i="27"/>
  <c r="CD110" i="27"/>
  <c r="CD113" i="27"/>
  <c r="CD102" i="27"/>
  <c r="CB146" i="22"/>
  <c r="CE146" i="22"/>
  <c r="CB147" i="22"/>
  <c r="CE147" i="22"/>
  <c r="AQ113" i="22"/>
  <c r="G141" i="22" s="1"/>
  <c r="AR113" i="22"/>
  <c r="M164" i="22"/>
  <c r="AS137" i="22"/>
  <c r="T149" i="22"/>
  <c r="AS149" i="22"/>
  <c r="L150" i="22"/>
  <c r="AT150" i="22" s="1"/>
  <c r="H150" i="22"/>
  <c r="AS148" i="22"/>
  <c r="T148" i="22"/>
  <c r="AP136" i="22"/>
  <c r="AR136" i="22"/>
  <c r="AQ137" i="22"/>
  <c r="G165" i="22" s="1"/>
  <c r="J165" i="22" s="1"/>
  <c r="AO137" i="22"/>
  <c r="AP137" i="22" s="1"/>
  <c r="H138" i="22"/>
  <c r="T138" i="22" s="1"/>
  <c r="AH136" i="22"/>
  <c r="AI137" i="22"/>
  <c r="F151" i="22" s="1"/>
  <c r="I151" i="22" s="1"/>
  <c r="AJ136" i="22"/>
  <c r="AT138" i="22"/>
  <c r="AT111" i="22"/>
  <c r="BH111" i="22"/>
  <c r="BE109" i="22"/>
  <c r="BF109" i="22" s="1"/>
  <c r="L112" i="22"/>
  <c r="BH110" i="22"/>
  <c r="BA109" i="22"/>
  <c r="BB109" i="22" s="1"/>
  <c r="AW109" i="22"/>
  <c r="AX109" i="22" s="1"/>
  <c r="CB123" i="22"/>
  <c r="CE123" i="22"/>
  <c r="H125" i="22"/>
  <c r="L125" i="22"/>
  <c r="AT125" i="22" s="1"/>
  <c r="CB137" i="22"/>
  <c r="CE137" i="22"/>
  <c r="M139" i="22"/>
  <c r="AS124" i="22"/>
  <c r="T124" i="22"/>
  <c r="H112" i="22" l="1"/>
  <c r="AS112" i="22" s="1"/>
  <c r="I140" i="22"/>
  <c r="AV110" i="22"/>
  <c r="AB113" i="22"/>
  <c r="AA113" i="22"/>
  <c r="E113" i="22" s="1"/>
  <c r="K113" i="22" s="1"/>
  <c r="D114" i="22"/>
  <c r="AA114" i="22" s="1"/>
  <c r="E114" i="22" s="1"/>
  <c r="CE110" i="22"/>
  <c r="AJ113" i="22"/>
  <c r="T111" i="22"/>
  <c r="AV111" i="22" s="1"/>
  <c r="AZ111" i="22" s="1"/>
  <c r="BA111" i="22" s="1"/>
  <c r="BB111" i="22" s="1"/>
  <c r="J141" i="22"/>
  <c r="I141" i="22" s="1"/>
  <c r="CA96" i="30"/>
  <c r="CB97" i="30"/>
  <c r="CB148" i="22"/>
  <c r="CE148" i="22"/>
  <c r="CB149" i="22"/>
  <c r="CE149" i="22"/>
  <c r="M165" i="22"/>
  <c r="AS138" i="22"/>
  <c r="AS150" i="22"/>
  <c r="T150" i="22"/>
  <c r="H151" i="22"/>
  <c r="L151" i="22"/>
  <c r="AT151" i="22" s="1"/>
  <c r="AQ138" i="22"/>
  <c r="G166" i="22" s="1"/>
  <c r="J166" i="22" s="1"/>
  <c r="H139" i="22"/>
  <c r="T139" i="22" s="1"/>
  <c r="AO138" i="22"/>
  <c r="AP138" i="22" s="1"/>
  <c r="AR137" i="22"/>
  <c r="AG137" i="22"/>
  <c r="AG138" i="22"/>
  <c r="AT112" i="22"/>
  <c r="AT139" i="22"/>
  <c r="BI110" i="22"/>
  <c r="BJ110" i="22" s="1"/>
  <c r="BI111" i="22"/>
  <c r="BJ111" i="22" s="1"/>
  <c r="BE110" i="22"/>
  <c r="BF110" i="22" s="1"/>
  <c r="BE111" i="22"/>
  <c r="BF111" i="22" s="1"/>
  <c r="T125" i="22"/>
  <c r="AS125" i="22"/>
  <c r="CB124" i="22"/>
  <c r="CE124" i="22"/>
  <c r="M140" i="22"/>
  <c r="T112" i="22"/>
  <c r="CE138" i="22"/>
  <c r="CB138" i="22"/>
  <c r="L126" i="22"/>
  <c r="AT126" i="22" s="1"/>
  <c r="H126" i="22"/>
  <c r="AW110" i="22" l="1"/>
  <c r="AX110" i="22" s="1"/>
  <c r="AZ110" i="22"/>
  <c r="BA110" i="22" s="1"/>
  <c r="BB110" i="22" s="1"/>
  <c r="CE111" i="22"/>
  <c r="CA111" i="22"/>
  <c r="CB111" i="22" s="1"/>
  <c r="AR114" i="22"/>
  <c r="AJ114" i="22"/>
  <c r="D115" i="22"/>
  <c r="D116" i="22" s="1"/>
  <c r="D117" i="22" s="1"/>
  <c r="D118" i="22" s="1"/>
  <c r="D119" i="22" s="1"/>
  <c r="D120" i="22" s="1"/>
  <c r="D121" i="22" s="1"/>
  <c r="D122" i="22" s="1"/>
  <c r="D123" i="22" s="1"/>
  <c r="D124" i="22" s="1"/>
  <c r="D125" i="22" s="1"/>
  <c r="D126" i="22" s="1"/>
  <c r="D127" i="22" s="1"/>
  <c r="D128" i="22" s="1"/>
  <c r="D129" i="22" s="1"/>
  <c r="D130" i="22" s="1"/>
  <c r="D131" i="22" s="1"/>
  <c r="D132" i="22" s="1"/>
  <c r="D133" i="22" s="1"/>
  <c r="D134" i="22" s="1"/>
  <c r="D135" i="22" s="1"/>
  <c r="D136" i="22" s="1"/>
  <c r="D137" i="22" s="1"/>
  <c r="D138" i="22" s="1"/>
  <c r="D139" i="22" s="1"/>
  <c r="D140" i="22" s="1"/>
  <c r="D141" i="22" s="1"/>
  <c r="D142" i="22" s="1"/>
  <c r="D143" i="22" s="1"/>
  <c r="D144" i="22" s="1"/>
  <c r="D145" i="22" s="1"/>
  <c r="D146" i="22" s="1"/>
  <c r="D147" i="22" s="1"/>
  <c r="D148" i="22" s="1"/>
  <c r="D149" i="22" s="1"/>
  <c r="D150" i="22" s="1"/>
  <c r="D151" i="22" s="1"/>
  <c r="D152" i="22" s="1"/>
  <c r="D153" i="22" s="1"/>
  <c r="D154" i="22" s="1"/>
  <c r="D155" i="22" s="1"/>
  <c r="D156" i="22" s="1"/>
  <c r="D157" i="22" s="1"/>
  <c r="D158" i="22" s="1"/>
  <c r="D159" i="22" s="1"/>
  <c r="D160" i="22" s="1"/>
  <c r="D161" i="22" s="1"/>
  <c r="D162" i="22" s="1"/>
  <c r="D163" i="22" s="1"/>
  <c r="D164" i="22" s="1"/>
  <c r="D165" i="22" s="1"/>
  <c r="D166" i="22" s="1"/>
  <c r="D167" i="22" s="1"/>
  <c r="D168" i="22" s="1"/>
  <c r="D169" i="22" s="1"/>
  <c r="D170" i="22" s="1"/>
  <c r="D171" i="22" s="1"/>
  <c r="D172" i="22" s="1"/>
  <c r="D173" i="22" s="1"/>
  <c r="D174" i="22" s="1"/>
  <c r="D175" i="22" s="1"/>
  <c r="D176" i="22" s="1"/>
  <c r="D177" i="22" s="1"/>
  <c r="D178" i="22" s="1"/>
  <c r="D179" i="22" s="1"/>
  <c r="D180" i="22" s="1"/>
  <c r="D181" i="22" s="1"/>
  <c r="D182" i="22" s="1"/>
  <c r="D183" i="22" s="1"/>
  <c r="D184" i="22" s="1"/>
  <c r="D185" i="22" s="1"/>
  <c r="D186" i="22" s="1"/>
  <c r="D187" i="22" s="1"/>
  <c r="D188" i="22" s="1"/>
  <c r="D189" i="22" s="1"/>
  <c r="D190" i="22" s="1"/>
  <c r="D191" i="22" s="1"/>
  <c r="D192" i="22" s="1"/>
  <c r="D193" i="22" s="1"/>
  <c r="D194" i="22" s="1"/>
  <c r="D195" i="22" s="1"/>
  <c r="D196" i="22" s="1"/>
  <c r="D197" i="22" s="1"/>
  <c r="D198" i="22" s="1"/>
  <c r="D199" i="22" s="1"/>
  <c r="D200" i="22" s="1"/>
  <c r="D201" i="22" s="1"/>
  <c r="D202" i="22" s="1"/>
  <c r="D203" i="22" s="1"/>
  <c r="D204" i="22" s="1"/>
  <c r="D205" i="22" s="1"/>
  <c r="D206" i="22" s="1"/>
  <c r="D207" i="22" s="1"/>
  <c r="D208" i="22" s="1"/>
  <c r="D209" i="22" s="1"/>
  <c r="D210" i="22" s="1"/>
  <c r="D211" i="22" s="1"/>
  <c r="D212" i="22" s="1"/>
  <c r="D213" i="22" s="1"/>
  <c r="D214" i="22" s="1"/>
  <c r="D215" i="22" s="1"/>
  <c r="D216" i="22" s="1"/>
  <c r="D217" i="22" s="1"/>
  <c r="D218" i="22" s="1"/>
  <c r="D219" i="22" s="1"/>
  <c r="D220" i="22" s="1"/>
  <c r="D221" i="22" s="1"/>
  <c r="D222" i="22" s="1"/>
  <c r="D223" i="22" s="1"/>
  <c r="D224" i="22" s="1"/>
  <c r="D225" i="22" s="1"/>
  <c r="D226" i="22" s="1"/>
  <c r="D227" i="22" s="1"/>
  <c r="D228" i="22" s="1"/>
  <c r="D229" i="22" s="1"/>
  <c r="D230" i="22" s="1"/>
  <c r="D231" i="22" s="1"/>
  <c r="D232" i="22" s="1"/>
  <c r="D233" i="22" s="1"/>
  <c r="D234" i="22" s="1"/>
  <c r="D235" i="22" s="1"/>
  <c r="D236" i="22" s="1"/>
  <c r="D237" i="22" s="1"/>
  <c r="D238" i="22" s="1"/>
  <c r="D239" i="22" s="1"/>
  <c r="D240" i="22" s="1"/>
  <c r="D241" i="22" s="1"/>
  <c r="D242" i="22" s="1"/>
  <c r="D243" i="22" s="1"/>
  <c r="D244" i="22" s="1"/>
  <c r="D245" i="22" s="1"/>
  <c r="D246" i="22" s="1"/>
  <c r="D247" i="22" s="1"/>
  <c r="D248" i="22" s="1"/>
  <c r="D249" i="22" s="1"/>
  <c r="D250" i="22" s="1"/>
  <c r="AB114" i="22"/>
  <c r="AQ114" i="22"/>
  <c r="G142" i="22" s="1"/>
  <c r="J142" i="22" s="1"/>
  <c r="I142" i="22" s="1"/>
  <c r="AI114" i="22"/>
  <c r="F128" i="22" s="1"/>
  <c r="I128" i="22" s="1"/>
  <c r="CD245" i="30"/>
  <c r="CD242" i="30"/>
  <c r="CD227" i="30"/>
  <c r="CD219" i="30"/>
  <c r="CD204" i="30"/>
  <c r="CD223" i="30"/>
  <c r="CD214" i="30"/>
  <c r="CD201" i="30"/>
  <c r="CD187" i="30"/>
  <c r="CD172" i="30"/>
  <c r="CD148" i="30"/>
  <c r="CD168" i="30"/>
  <c r="CD122" i="30"/>
  <c r="CD133" i="30"/>
  <c r="CD146" i="30"/>
  <c r="CD110" i="30"/>
  <c r="CD142" i="30"/>
  <c r="CA97" i="30"/>
  <c r="CD120" i="30"/>
  <c r="CD237" i="30"/>
  <c r="CD209" i="30"/>
  <c r="CD118" i="30"/>
  <c r="CD243" i="30"/>
  <c r="CD240" i="30"/>
  <c r="CD225" i="30"/>
  <c r="CD222" i="30"/>
  <c r="CD202" i="30"/>
  <c r="CD211" i="30"/>
  <c r="CD213" i="30"/>
  <c r="CD185" i="30"/>
  <c r="CD199" i="30"/>
  <c r="CD170" i="30"/>
  <c r="CD161" i="30"/>
  <c r="CD165" i="30"/>
  <c r="CD160" i="30"/>
  <c r="CD131" i="30"/>
  <c r="CD147" i="30"/>
  <c r="CD151" i="30"/>
  <c r="CD128" i="30"/>
  <c r="CD107" i="30"/>
  <c r="CD112" i="30"/>
  <c r="CD241" i="30"/>
  <c r="CD238" i="30"/>
  <c r="CD235" i="30"/>
  <c r="CD217" i="30"/>
  <c r="CD200" i="30"/>
  <c r="CD224" i="30"/>
  <c r="CD208" i="30"/>
  <c r="CD180" i="30"/>
  <c r="CD195" i="30"/>
  <c r="CD179" i="30"/>
  <c r="CD167" i="30"/>
  <c r="CD162" i="30"/>
  <c r="CD145" i="30"/>
  <c r="CD155" i="30"/>
  <c r="CD134" i="30"/>
  <c r="CD130" i="30"/>
  <c r="CD113" i="30"/>
  <c r="CD104" i="30"/>
  <c r="CD102" i="30"/>
  <c r="CD247" i="30"/>
  <c r="CD156" i="30"/>
  <c r="CD123" i="30"/>
  <c r="CD239" i="30"/>
  <c r="CD233" i="30"/>
  <c r="CD229" i="30"/>
  <c r="CD215" i="30"/>
  <c r="CD198" i="30"/>
  <c r="CD218" i="30"/>
  <c r="CD221" i="30"/>
  <c r="CD178" i="30"/>
  <c r="CD189" i="30"/>
  <c r="CD186" i="30"/>
  <c r="CD166" i="30"/>
  <c r="CD154" i="30"/>
  <c r="CD143" i="30"/>
  <c r="CD149" i="30"/>
  <c r="CD127" i="30"/>
  <c r="CD126" i="30"/>
  <c r="CD105" i="30"/>
  <c r="CD109" i="30"/>
  <c r="CD115" i="30"/>
  <c r="CD106" i="30"/>
  <c r="CD250" i="30"/>
  <c r="CD232" i="30"/>
  <c r="CD231" i="30"/>
  <c r="CD220" i="30"/>
  <c r="CD196" i="30"/>
  <c r="CD212" i="30"/>
  <c r="CD183" i="30"/>
  <c r="CD176" i="30"/>
  <c r="CD188" i="30"/>
  <c r="CD159" i="30"/>
  <c r="CD164" i="30"/>
  <c r="CD173" i="30"/>
  <c r="CD141" i="30"/>
  <c r="CD171" i="30"/>
  <c r="CD119" i="30"/>
  <c r="CD144" i="30"/>
  <c r="CD121" i="30"/>
  <c r="CD117" i="30"/>
  <c r="CD108" i="30"/>
  <c r="CD206" i="30"/>
  <c r="CD182" i="30"/>
  <c r="CD124" i="30"/>
  <c r="CD103" i="30"/>
  <c r="CD248" i="30"/>
  <c r="CD230" i="30"/>
  <c r="CD228" i="30"/>
  <c r="CD216" i="30"/>
  <c r="CD194" i="30"/>
  <c r="CD207" i="30"/>
  <c r="CD197" i="30"/>
  <c r="CD174" i="30"/>
  <c r="CD181" i="30"/>
  <c r="CD153" i="30"/>
  <c r="CD158" i="30"/>
  <c r="CD163" i="30"/>
  <c r="CD139" i="30"/>
  <c r="CD157" i="30"/>
  <c r="CD140" i="30"/>
  <c r="CD138" i="30"/>
  <c r="CD111" i="30"/>
  <c r="CD101" i="30"/>
  <c r="CD116" i="30"/>
  <c r="CD226" i="30"/>
  <c r="CD191" i="30"/>
  <c r="CD135" i="30"/>
  <c r="CD249" i="30"/>
  <c r="CD246" i="30"/>
  <c r="CD236" i="30"/>
  <c r="CD234" i="30"/>
  <c r="CD210" i="30"/>
  <c r="CD192" i="30"/>
  <c r="CD205" i="30"/>
  <c r="CD193" i="30"/>
  <c r="CD184" i="30"/>
  <c r="CD177" i="30"/>
  <c r="CD175" i="30"/>
  <c r="CD150" i="30"/>
  <c r="CD152" i="30"/>
  <c r="CD137" i="30"/>
  <c r="CD125" i="30"/>
  <c r="CD136" i="30"/>
  <c r="CD132" i="30"/>
  <c r="CD114" i="30"/>
  <c r="CD100" i="30"/>
  <c r="CD244" i="30"/>
  <c r="CD190" i="30"/>
  <c r="CD203" i="30"/>
  <c r="CD169" i="30"/>
  <c r="CD129" i="30"/>
  <c r="CB150" i="22"/>
  <c r="CE150" i="22"/>
  <c r="M166" i="22"/>
  <c r="AS151" i="22"/>
  <c r="T151" i="22"/>
  <c r="AS139" i="22"/>
  <c r="AR138" i="22"/>
  <c r="AQ139" i="22"/>
  <c r="G167" i="22" s="1"/>
  <c r="J167" i="22" s="1"/>
  <c r="H140" i="22"/>
  <c r="T140" i="22" s="1"/>
  <c r="AH138" i="22"/>
  <c r="AI139" i="22"/>
  <c r="F153" i="22" s="1"/>
  <c r="I153" i="22" s="1"/>
  <c r="AJ138" i="22"/>
  <c r="AJ137" i="22"/>
  <c r="AI138" i="22"/>
  <c r="F152" i="22" s="1"/>
  <c r="I152" i="22" s="1"/>
  <c r="AG139" i="22"/>
  <c r="AH137" i="22"/>
  <c r="AT140" i="22"/>
  <c r="BH112" i="22"/>
  <c r="L113" i="22"/>
  <c r="L114" i="22"/>
  <c r="H114" i="22"/>
  <c r="H113" i="22"/>
  <c r="AW111" i="22"/>
  <c r="AX111" i="22" s="1"/>
  <c r="K114" i="22"/>
  <c r="M141" i="22"/>
  <c r="L127" i="22"/>
  <c r="AT127" i="22" s="1"/>
  <c r="H127" i="22"/>
  <c r="CE125" i="22"/>
  <c r="CB125" i="22"/>
  <c r="CA112" i="22"/>
  <c r="CB112" i="22" s="1"/>
  <c r="CE112" i="22"/>
  <c r="AV112" i="22"/>
  <c r="AZ112" i="22" s="1"/>
  <c r="BA112" i="22" s="1"/>
  <c r="BB112" i="22" s="1"/>
  <c r="T126" i="22"/>
  <c r="AS126" i="22"/>
  <c r="CE139" i="22"/>
  <c r="CB139" i="22"/>
  <c r="CB151" i="22" l="1"/>
  <c r="CE151" i="22"/>
  <c r="M167" i="22"/>
  <c r="AS140" i="22"/>
  <c r="H153" i="22"/>
  <c r="L153" i="22"/>
  <c r="AT153" i="22" s="1"/>
  <c r="L152" i="22"/>
  <c r="AT152" i="22" s="1"/>
  <c r="H152" i="22"/>
  <c r="H141" i="22"/>
  <c r="T141" i="22" s="1"/>
  <c r="AO139" i="22"/>
  <c r="AP139" i="22" s="1"/>
  <c r="AO140" i="22"/>
  <c r="AP140" i="22" s="1"/>
  <c r="AT113" i="22"/>
  <c r="AI140" i="22"/>
  <c r="F154" i="22" s="1"/>
  <c r="I154" i="22" s="1"/>
  <c r="AJ139" i="22"/>
  <c r="AH139" i="22"/>
  <c r="AG140" i="22"/>
  <c r="AT114" i="22"/>
  <c r="AT141" i="22"/>
  <c r="AS113" i="22"/>
  <c r="T113" i="22"/>
  <c r="CA113" i="22" s="1"/>
  <c r="CB113" i="22" s="1"/>
  <c r="BI112" i="22"/>
  <c r="BJ112" i="22" s="1"/>
  <c r="BE112" i="22"/>
  <c r="BF112" i="22" s="1"/>
  <c r="AW112" i="22"/>
  <c r="AX112" i="22" s="1"/>
  <c r="CB140" i="22"/>
  <c r="CE140" i="22"/>
  <c r="CB126" i="22"/>
  <c r="CE126" i="22"/>
  <c r="M142" i="22"/>
  <c r="AS114" i="22"/>
  <c r="T114" i="22"/>
  <c r="AS127" i="22"/>
  <c r="T127" i="22"/>
  <c r="L128" i="22"/>
  <c r="AT128" i="22" s="1"/>
  <c r="H128" i="22"/>
  <c r="BD126" i="22" l="1"/>
  <c r="BD122" i="22"/>
  <c r="BD118" i="22"/>
  <c r="BH118" i="22" s="1"/>
  <c r="BD123" i="22"/>
  <c r="BD117" i="22"/>
  <c r="BH117" i="22" s="1"/>
  <c r="BD119" i="22"/>
  <c r="BH119" i="22" s="1"/>
  <c r="BD125" i="22"/>
  <c r="BD121" i="22"/>
  <c r="BD116" i="22"/>
  <c r="BH116" i="22" s="1"/>
  <c r="BD124" i="22"/>
  <c r="BD120" i="22"/>
  <c r="BD115" i="22"/>
  <c r="BH115" i="22" s="1"/>
  <c r="BD114" i="22"/>
  <c r="BD127" i="22"/>
  <c r="AQ140" i="22"/>
  <c r="G168" i="22" s="1"/>
  <c r="J168" i="22" s="1"/>
  <c r="H154" i="22"/>
  <c r="L154" i="22"/>
  <c r="AT154" i="22" s="1"/>
  <c r="T152" i="22"/>
  <c r="AS152" i="22"/>
  <c r="AS141" i="22"/>
  <c r="AS153" i="22"/>
  <c r="T153" i="22"/>
  <c r="AQ141" i="22"/>
  <c r="G169" i="22" s="1"/>
  <c r="J169" i="22" s="1"/>
  <c r="AR140" i="22"/>
  <c r="AO141" i="22"/>
  <c r="AP141" i="22" s="1"/>
  <c r="H142" i="22"/>
  <c r="AS142" i="22" s="1"/>
  <c r="AR139" i="22"/>
  <c r="AI141" i="22"/>
  <c r="F155" i="22" s="1"/>
  <c r="I155" i="22" s="1"/>
  <c r="AJ140" i="22"/>
  <c r="AH140" i="22"/>
  <c r="AV113" i="22"/>
  <c r="AZ113" i="22" s="1"/>
  <c r="BA113" i="22" s="1"/>
  <c r="BB113" i="22" s="1"/>
  <c r="AG141" i="22"/>
  <c r="CE113" i="22"/>
  <c r="AT142" i="22"/>
  <c r="BH113" i="22"/>
  <c r="BH114" i="22"/>
  <c r="AV116" i="22"/>
  <c r="AZ116" i="22"/>
  <c r="BA116" i="22" s="1"/>
  <c r="BB116" i="22" s="1"/>
  <c r="AV114" i="22"/>
  <c r="AV124" i="22"/>
  <c r="CE127" i="22"/>
  <c r="CB127" i="22"/>
  <c r="CE114" i="22"/>
  <c r="CA114" i="22"/>
  <c r="CB114" i="22" s="1"/>
  <c r="AV117" i="22"/>
  <c r="AZ117" i="22" s="1"/>
  <c r="BA117" i="22" s="1"/>
  <c r="BB117" i="22" s="1"/>
  <c r="AV123" i="22"/>
  <c r="AV125" i="22"/>
  <c r="AV121" i="22"/>
  <c r="AV120" i="22"/>
  <c r="AV119" i="22"/>
  <c r="AZ119" i="22" s="1"/>
  <c r="BA119" i="22" s="1"/>
  <c r="BB119" i="22" s="1"/>
  <c r="AV118" i="22"/>
  <c r="AZ118" i="22" s="1"/>
  <c r="AV127" i="22"/>
  <c r="AV126" i="22"/>
  <c r="AV115" i="22"/>
  <c r="AZ115" i="22" s="1"/>
  <c r="BA115" i="22" s="1"/>
  <c r="BB115" i="22" s="1"/>
  <c r="CB141" i="22"/>
  <c r="CE141" i="22"/>
  <c r="AS128" i="22"/>
  <c r="T128" i="22"/>
  <c r="BD140" i="22" s="1"/>
  <c r="AV122" i="22"/>
  <c r="BD132" i="22" l="1"/>
  <c r="BD135" i="22"/>
  <c r="BD131" i="22"/>
  <c r="BD136" i="22"/>
  <c r="BD137" i="22"/>
  <c r="BD138" i="22"/>
  <c r="BD139" i="22"/>
  <c r="BD129" i="22"/>
  <c r="BD143" i="22"/>
  <c r="BD141" i="22"/>
  <c r="BD133" i="22"/>
  <c r="BD128" i="22"/>
  <c r="BL133" i="22"/>
  <c r="BL129" i="22"/>
  <c r="BL140" i="22"/>
  <c r="BL139" i="22"/>
  <c r="BL132" i="22"/>
  <c r="BL128" i="22"/>
  <c r="BL138" i="22"/>
  <c r="BL135" i="22"/>
  <c r="BL131" i="22"/>
  <c r="BL137" i="22"/>
  <c r="BL134" i="22"/>
  <c r="BL136" i="22"/>
  <c r="BL130" i="22"/>
  <c r="BL141" i="22"/>
  <c r="BD130" i="22"/>
  <c r="BD134" i="22"/>
  <c r="M168" i="22"/>
  <c r="CB152" i="22"/>
  <c r="CE152" i="22"/>
  <c r="CB153" i="22"/>
  <c r="CE153" i="22"/>
  <c r="M169" i="22"/>
  <c r="T142" i="22"/>
  <c r="T154" i="22"/>
  <c r="AS154" i="22"/>
  <c r="H155" i="22"/>
  <c r="L155" i="22"/>
  <c r="AT155" i="22" s="1"/>
  <c r="AO142" i="22"/>
  <c r="AP142" i="22" s="1"/>
  <c r="AR141" i="22"/>
  <c r="AQ142" i="22"/>
  <c r="G170" i="22" s="1"/>
  <c r="J170" i="22" s="1"/>
  <c r="AJ141" i="22"/>
  <c r="AI142" i="22"/>
  <c r="F156" i="22" s="1"/>
  <c r="I156" i="22" s="1"/>
  <c r="AZ120" i="22"/>
  <c r="BA120" i="22" s="1"/>
  <c r="BB120" i="22" s="1"/>
  <c r="AH141" i="22"/>
  <c r="AW113" i="22"/>
  <c r="AX113" i="22" s="1"/>
  <c r="BH120" i="22"/>
  <c r="AG142" i="22"/>
  <c r="BI113" i="22"/>
  <c r="BJ113" i="22" s="1"/>
  <c r="BE113" i="22"/>
  <c r="BF113" i="22"/>
  <c r="BH121" i="22"/>
  <c r="BH124" i="22"/>
  <c r="BI124" i="22" s="1"/>
  <c r="BJ124" i="22" s="1"/>
  <c r="BH122" i="22"/>
  <c r="BI122" i="22" s="1"/>
  <c r="BJ122" i="22" s="1"/>
  <c r="BH127" i="22"/>
  <c r="BI127" i="22" s="1"/>
  <c r="BJ127" i="22" s="1"/>
  <c r="BH126" i="22"/>
  <c r="BI126" i="22" s="1"/>
  <c r="BJ126" i="22" s="1"/>
  <c r="BH125" i="22"/>
  <c r="BI125" i="22" s="1"/>
  <c r="BH123" i="22"/>
  <c r="BI123" i="22" s="1"/>
  <c r="AZ114" i="22"/>
  <c r="BA114" i="22" s="1"/>
  <c r="BB114" i="22" s="1"/>
  <c r="BI116" i="22"/>
  <c r="BJ116" i="22" s="1"/>
  <c r="BE124" i="22"/>
  <c r="BF124" i="22" s="1"/>
  <c r="BE123" i="22"/>
  <c r="BF123" i="22" s="1"/>
  <c r="AW126" i="22"/>
  <c r="AX126" i="22" s="1"/>
  <c r="AW127" i="22"/>
  <c r="AX127" i="22" s="1"/>
  <c r="BE127" i="22"/>
  <c r="BF127" i="22" s="1"/>
  <c r="BE121" i="22"/>
  <c r="BF121" i="22" s="1"/>
  <c r="BE116" i="22"/>
  <c r="BF116" i="22" s="1"/>
  <c r="BE115" i="22"/>
  <c r="BF115" i="22" s="1"/>
  <c r="AW119" i="22"/>
  <c r="AX119" i="22" s="1"/>
  <c r="AZ126" i="22"/>
  <c r="BE118" i="22"/>
  <c r="BF118" i="22" s="1"/>
  <c r="AZ123" i="22"/>
  <c r="AW116" i="22"/>
  <c r="AX116" i="22" s="1"/>
  <c r="BE122" i="22"/>
  <c r="BF122" i="22" s="1"/>
  <c r="AW122" i="22"/>
  <c r="AX122" i="22" s="1"/>
  <c r="BE119" i="22"/>
  <c r="BF119" i="22" s="1"/>
  <c r="AZ124" i="22"/>
  <c r="AW117" i="22"/>
  <c r="AX117" i="22" s="1"/>
  <c r="BA118" i="22"/>
  <c r="BB118" i="22" s="1"/>
  <c r="AZ125" i="22"/>
  <c r="AW118" i="22"/>
  <c r="AX118" i="22" s="1"/>
  <c r="AW121" i="22"/>
  <c r="AX121" i="22" s="1"/>
  <c r="AW125" i="22"/>
  <c r="AX125" i="22" s="1"/>
  <c r="AW124" i="22"/>
  <c r="AX124" i="22" s="1"/>
  <c r="BE125" i="22"/>
  <c r="BF125" i="22" s="1"/>
  <c r="BE117" i="22"/>
  <c r="BF117" i="22" s="1"/>
  <c r="AZ127" i="22"/>
  <c r="BA127" i="22" s="1"/>
  <c r="BB127" i="22" s="1"/>
  <c r="AW120" i="22"/>
  <c r="AX120" i="22" s="1"/>
  <c r="BH133" i="22"/>
  <c r="AZ122" i="22"/>
  <c r="BA122" i="22" s="1"/>
  <c r="BB122" i="22" s="1"/>
  <c r="AW115" i="22"/>
  <c r="AX115" i="22" s="1"/>
  <c r="AW123" i="22"/>
  <c r="AX123" i="22" s="1"/>
  <c r="AZ121" i="22"/>
  <c r="AW114" i="22"/>
  <c r="AX114" i="22" s="1"/>
  <c r="BE126" i="22"/>
  <c r="BF126" i="22" s="1"/>
  <c r="BE120" i="22"/>
  <c r="BF120" i="22" s="1"/>
  <c r="AV132" i="22"/>
  <c r="AZ132" i="22" s="1"/>
  <c r="BA132" i="22" s="1"/>
  <c r="BB132" i="22" s="1"/>
  <c r="AV139" i="22"/>
  <c r="AX85" i="22" s="1"/>
  <c r="AV129" i="22"/>
  <c r="AZ129" i="22" s="1"/>
  <c r="AV137" i="22"/>
  <c r="AV130" i="22"/>
  <c r="AZ130" i="22" s="1"/>
  <c r="BA130" i="22" s="1"/>
  <c r="BB130" i="22" s="1"/>
  <c r="AV140" i="22"/>
  <c r="AV131" i="22"/>
  <c r="AZ131" i="22" s="1"/>
  <c r="BA131" i="22" s="1"/>
  <c r="BB131" i="22" s="1"/>
  <c r="CB128" i="22"/>
  <c r="CE128" i="22"/>
  <c r="AV138" i="22"/>
  <c r="AV135" i="22"/>
  <c r="AV133" i="22"/>
  <c r="AZ133" i="22" s="1"/>
  <c r="BA133" i="22" s="1"/>
  <c r="BB133" i="22" s="1"/>
  <c r="AV136" i="22"/>
  <c r="AV128" i="22"/>
  <c r="AZ128" i="22" s="1"/>
  <c r="AV134" i="22"/>
  <c r="AZ134" i="22" s="1"/>
  <c r="AV141" i="22"/>
  <c r="BL154" i="22" l="1"/>
  <c r="BM154" i="22" s="1"/>
  <c r="BN154" i="22" s="1"/>
  <c r="BD149" i="22"/>
  <c r="BE149" i="22" s="1"/>
  <c r="BF149" i="22" s="1"/>
  <c r="BL153" i="22"/>
  <c r="BM153" i="22" s="1"/>
  <c r="BN153" i="22" s="1"/>
  <c r="BD148" i="22"/>
  <c r="BE148" i="22" s="1"/>
  <c r="BF148" i="22" s="1"/>
  <c r="CB142" i="22"/>
  <c r="BD147" i="22"/>
  <c r="BE147" i="22" s="1"/>
  <c r="BF147" i="22" s="1"/>
  <c r="BD146" i="22"/>
  <c r="BE146" i="22" s="1"/>
  <c r="BF146" i="22" s="1"/>
  <c r="BD145" i="22"/>
  <c r="BE145" i="22" s="1"/>
  <c r="BF145" i="22" s="1"/>
  <c r="BL149" i="22"/>
  <c r="BM149" i="22" s="1"/>
  <c r="BN149" i="22" s="1"/>
  <c r="BL150" i="22"/>
  <c r="BM150" i="22" s="1"/>
  <c r="BN150" i="22" s="1"/>
  <c r="BD153" i="22"/>
  <c r="BE153" i="22" s="1"/>
  <c r="BL151" i="22"/>
  <c r="BM151" i="22" s="1"/>
  <c r="BN151" i="22" s="1"/>
  <c r="BL152" i="22"/>
  <c r="BM152" i="22" s="1"/>
  <c r="BN152" i="22" s="1"/>
  <c r="BD152" i="22"/>
  <c r="BE152" i="22" s="1"/>
  <c r="BF152" i="22" s="1"/>
  <c r="BD142" i="22"/>
  <c r="BE142" i="22" s="1"/>
  <c r="BF142" i="22" s="1"/>
  <c r="BD151" i="22"/>
  <c r="BE151" i="22" s="1"/>
  <c r="BF151" i="22" s="1"/>
  <c r="BD150" i="22"/>
  <c r="BE150" i="22" s="1"/>
  <c r="BF150" i="22" s="1"/>
  <c r="BD144" i="22"/>
  <c r="BH151" i="22" s="1"/>
  <c r="BL143" i="22"/>
  <c r="BL147" i="22"/>
  <c r="BP154" i="22" s="1"/>
  <c r="BL144" i="22"/>
  <c r="BP144" i="22" s="1"/>
  <c r="BL145" i="22"/>
  <c r="BP152" i="22" s="1"/>
  <c r="BL148" i="22"/>
  <c r="BM148" i="22" s="1"/>
  <c r="BN148" i="22" s="1"/>
  <c r="BL146" i="22"/>
  <c r="BP153" i="22" s="1"/>
  <c r="BL142" i="22"/>
  <c r="BE143" i="22"/>
  <c r="BF143" i="22" s="1"/>
  <c r="AV146" i="22"/>
  <c r="AW146" i="22" s="1"/>
  <c r="AX146" i="22" s="1"/>
  <c r="AV149" i="22"/>
  <c r="AW149" i="22" s="1"/>
  <c r="AX149" i="22" s="1"/>
  <c r="AV150" i="22"/>
  <c r="AW150" i="22" s="1"/>
  <c r="AX150" i="22" s="1"/>
  <c r="AV143" i="22"/>
  <c r="AW143" i="22" s="1"/>
  <c r="AX143" i="22" s="1"/>
  <c r="AV148" i="22"/>
  <c r="AW148" i="22" s="1"/>
  <c r="AX148" i="22" s="1"/>
  <c r="AV145" i="22"/>
  <c r="AZ152" i="22" s="1"/>
  <c r="BA152" i="22" s="1"/>
  <c r="AV147" i="22"/>
  <c r="AV144" i="22"/>
  <c r="AW144" i="22" s="1"/>
  <c r="AX144" i="22" s="1"/>
  <c r="CE142" i="22"/>
  <c r="AV153" i="22"/>
  <c r="AW153" i="22" s="1"/>
  <c r="AX153" i="22" s="1"/>
  <c r="AV152" i="22"/>
  <c r="AW152" i="22" s="1"/>
  <c r="AX152" i="22" s="1"/>
  <c r="AV151" i="22"/>
  <c r="AW151" i="22" s="1"/>
  <c r="AX151" i="22" s="1"/>
  <c r="AV142" i="22"/>
  <c r="AZ149" i="22" s="1"/>
  <c r="AV154" i="22"/>
  <c r="AW154" i="22" s="1"/>
  <c r="AX154" i="22" s="1"/>
  <c r="CB154" i="22"/>
  <c r="CE154" i="22"/>
  <c r="M170" i="22"/>
  <c r="H156" i="22"/>
  <c r="L156" i="22"/>
  <c r="AT156" i="22" s="1"/>
  <c r="AS155" i="22"/>
  <c r="T155" i="22"/>
  <c r="BL155" i="22" s="1"/>
  <c r="AR142" i="22"/>
  <c r="AQ143" i="22"/>
  <c r="G171" i="22" s="1"/>
  <c r="J171" i="22" s="1"/>
  <c r="AH142" i="22"/>
  <c r="AI143" i="22"/>
  <c r="F157" i="22" s="1"/>
  <c r="I157" i="22" s="1"/>
  <c r="AJ142" i="22"/>
  <c r="AG143" i="22"/>
  <c r="BH139" i="22"/>
  <c r="BH146" i="22"/>
  <c r="BH143" i="22"/>
  <c r="BI143" i="22" s="1"/>
  <c r="BJ143" i="22" s="1"/>
  <c r="BH135" i="22"/>
  <c r="BI135" i="22" s="1"/>
  <c r="BJ135" i="22" s="1"/>
  <c r="BH144" i="22"/>
  <c r="BJ123" i="22"/>
  <c r="BJ125" i="22"/>
  <c r="BH138" i="22"/>
  <c r="BH141" i="22"/>
  <c r="BH147" i="22"/>
  <c r="BI147" i="22" s="1"/>
  <c r="BH145" i="22"/>
  <c r="BH148" i="22"/>
  <c r="BH140" i="22"/>
  <c r="BH137" i="22"/>
  <c r="BH142" i="22"/>
  <c r="BI142" i="22" s="1"/>
  <c r="BJ142" i="22" s="1"/>
  <c r="BP130" i="22"/>
  <c r="BP133" i="22"/>
  <c r="BP139" i="22"/>
  <c r="BQ139" i="22" s="1"/>
  <c r="BP142" i="22"/>
  <c r="BQ142" i="22" s="1"/>
  <c r="BP131" i="22"/>
  <c r="BP132" i="22"/>
  <c r="BP143" i="22"/>
  <c r="BQ143" i="22" s="1"/>
  <c r="BP141" i="22"/>
  <c r="BQ141" i="22" s="1"/>
  <c r="BP137" i="22"/>
  <c r="BQ137" i="22" s="1"/>
  <c r="BP136" i="22"/>
  <c r="BQ136" i="22" s="1"/>
  <c r="BP134" i="22"/>
  <c r="BQ134" i="22" s="1"/>
  <c r="BP148" i="22"/>
  <c r="BP135" i="22"/>
  <c r="BQ135" i="22" s="1"/>
  <c r="BP128" i="22"/>
  <c r="BP138" i="22"/>
  <c r="BQ138" i="22" s="1"/>
  <c r="BP140" i="22"/>
  <c r="BP129" i="22"/>
  <c r="BH131" i="22"/>
  <c r="BH128" i="22"/>
  <c r="BH134" i="22"/>
  <c r="BH129" i="22"/>
  <c r="BH132" i="22"/>
  <c r="BH130" i="22"/>
  <c r="BE136" i="22"/>
  <c r="BF136" i="22" s="1"/>
  <c r="BH136" i="22"/>
  <c r="BI115" i="22"/>
  <c r="BJ115" i="22" s="1"/>
  <c r="BI119" i="22"/>
  <c r="BJ119" i="22" s="1"/>
  <c r="BI118" i="22"/>
  <c r="BJ118" i="22" s="1"/>
  <c r="BI120" i="22"/>
  <c r="BJ120" i="22" s="1"/>
  <c r="BI117" i="22"/>
  <c r="BJ117" i="22" s="1"/>
  <c r="BE140" i="22"/>
  <c r="BF140" i="22" s="1"/>
  <c r="AZ146" i="22"/>
  <c r="BB85" i="22" s="1"/>
  <c r="AW139" i="22"/>
  <c r="BE135" i="22"/>
  <c r="BF135" i="22" s="1"/>
  <c r="BA128" i="22"/>
  <c r="BB128" i="22" s="1"/>
  <c r="BA126" i="22"/>
  <c r="BB126" i="22" s="1"/>
  <c r="BM130" i="22"/>
  <c r="BN130" i="22" s="1"/>
  <c r="BM128" i="22"/>
  <c r="BN128" i="22" s="1"/>
  <c r="AZ136" i="22"/>
  <c r="BA136" i="22" s="1"/>
  <c r="BB136" i="22" s="1"/>
  <c r="AW129" i="22"/>
  <c r="AX129" i="22" s="1"/>
  <c r="BE138" i="22"/>
  <c r="BF138" i="22" s="1"/>
  <c r="BA129" i="22"/>
  <c r="BB129" i="22" s="1"/>
  <c r="BA123" i="22"/>
  <c r="BB123" i="22" s="1"/>
  <c r="BM140" i="22"/>
  <c r="BN140" i="22" s="1"/>
  <c r="BM133" i="22"/>
  <c r="BN133" i="22" s="1"/>
  <c r="BM129" i="22"/>
  <c r="BN129" i="22" s="1"/>
  <c r="BE132" i="22"/>
  <c r="BF132" i="22" s="1"/>
  <c r="AW140" i="22"/>
  <c r="AX140" i="22" s="1"/>
  <c r="AW137" i="22"/>
  <c r="AX137" i="22" s="1"/>
  <c r="AZ139" i="22"/>
  <c r="AW132" i="22"/>
  <c r="AX132" i="22" s="1"/>
  <c r="BM131" i="22"/>
  <c r="BN131" i="22" s="1"/>
  <c r="BE137" i="22"/>
  <c r="BF137" i="22" s="1"/>
  <c r="AZ141" i="22"/>
  <c r="BA141" i="22" s="1"/>
  <c r="BB141" i="22" s="1"/>
  <c r="AW134" i="22"/>
  <c r="AX134" i="22" s="1"/>
  <c r="BE133" i="22"/>
  <c r="BF133" i="22" s="1"/>
  <c r="BA125" i="22"/>
  <c r="BB125" i="22" s="1"/>
  <c r="BM132" i="22"/>
  <c r="BN132" i="22" s="1"/>
  <c r="AW135" i="22"/>
  <c r="AX135" i="22" s="1"/>
  <c r="AZ142" i="22"/>
  <c r="AZ148" i="22"/>
  <c r="BA148" i="22" s="1"/>
  <c r="AW141" i="22"/>
  <c r="AX141" i="22" s="1"/>
  <c r="AW136" i="22"/>
  <c r="AX136" i="22" s="1"/>
  <c r="AZ145" i="22"/>
  <c r="AW138" i="22"/>
  <c r="AX138" i="22" s="1"/>
  <c r="BA121" i="22"/>
  <c r="BB121" i="22" s="1"/>
  <c r="BM141" i="22"/>
  <c r="BN141" i="22" s="1"/>
  <c r="BM137" i="22"/>
  <c r="BN137" i="22" s="1"/>
  <c r="BI121" i="22"/>
  <c r="BJ121" i="22" s="1"/>
  <c r="AW128" i="22"/>
  <c r="AX128" i="22" s="1"/>
  <c r="AZ135" i="22"/>
  <c r="AZ140" i="22"/>
  <c r="AW133" i="22"/>
  <c r="AX133" i="22" s="1"/>
  <c r="BE141" i="22"/>
  <c r="BF141" i="22" s="1"/>
  <c r="BE129" i="22"/>
  <c r="BF129" i="22" s="1"/>
  <c r="BM136" i="22"/>
  <c r="BN136" i="22" s="1"/>
  <c r="AZ137" i="22"/>
  <c r="AW130" i="22"/>
  <c r="AX130" i="22" s="1"/>
  <c r="BI133" i="22"/>
  <c r="BJ133" i="22" s="1"/>
  <c r="BE134" i="22"/>
  <c r="BF134" i="22" s="1"/>
  <c r="BE139" i="22"/>
  <c r="BE128" i="22"/>
  <c r="BF128" i="22" s="1"/>
  <c r="BM139" i="22"/>
  <c r="BN139" i="22" s="1"/>
  <c r="BM134" i="22"/>
  <c r="BN134" i="22" s="1"/>
  <c r="BA134" i="22"/>
  <c r="BB134" i="22" s="1"/>
  <c r="AZ138" i="22"/>
  <c r="AW131" i="22"/>
  <c r="AX131" i="22" s="1"/>
  <c r="BA124" i="22"/>
  <c r="BB124" i="22" s="1"/>
  <c r="BE130" i="22"/>
  <c r="BF130" i="22" s="1"/>
  <c r="BE131" i="22"/>
  <c r="BF131" i="22" s="1"/>
  <c r="BM138" i="22"/>
  <c r="BN138" i="22" s="1"/>
  <c r="BM135" i="22"/>
  <c r="BN135" i="22" s="1"/>
  <c r="AZ154" i="22" l="1"/>
  <c r="BA154" i="22" s="1"/>
  <c r="BP146" i="22"/>
  <c r="BP147" i="22"/>
  <c r="BQ147" i="22" s="1"/>
  <c r="BR147" i="22" s="1"/>
  <c r="AZ143" i="22"/>
  <c r="BP151" i="22"/>
  <c r="BP150" i="22"/>
  <c r="BP145" i="22"/>
  <c r="BQ145" i="22" s="1"/>
  <c r="BR145" i="22" s="1"/>
  <c r="AZ144" i="22"/>
  <c r="AZ147" i="22"/>
  <c r="BA147" i="22" s="1"/>
  <c r="BP149" i="22"/>
  <c r="BF86" i="22"/>
  <c r="BH150" i="22"/>
  <c r="BI150" i="22" s="1"/>
  <c r="BJ150" i="22" s="1"/>
  <c r="BM143" i="22"/>
  <c r="BN143" i="22" s="1"/>
  <c r="AZ153" i="22"/>
  <c r="BA153" i="22" s="1"/>
  <c r="BM142" i="22"/>
  <c r="BN142" i="22" s="1"/>
  <c r="BH152" i="22"/>
  <c r="BI152" i="22" s="1"/>
  <c r="BJ152" i="22" s="1"/>
  <c r="BM145" i="22"/>
  <c r="BN145" i="22" s="1"/>
  <c r="BM147" i="22"/>
  <c r="BN147" i="22" s="1"/>
  <c r="BM144" i="22"/>
  <c r="BN144" i="22" s="1"/>
  <c r="BH154" i="22"/>
  <c r="BI154" i="22" s="1"/>
  <c r="BH155" i="22"/>
  <c r="BI155" i="22" s="1"/>
  <c r="BJ155" i="22" s="1"/>
  <c r="BE144" i="22"/>
  <c r="BF144" i="22" s="1"/>
  <c r="BM146" i="22"/>
  <c r="BN146" i="22" s="1"/>
  <c r="BF85" i="22"/>
  <c r="BH149" i="22"/>
  <c r="BI149" i="22" s="1"/>
  <c r="BH153" i="22"/>
  <c r="BI153" i="22" s="1"/>
  <c r="BJ153" i="22" s="1"/>
  <c r="AW145" i="22"/>
  <c r="AX145" i="22" s="1"/>
  <c r="AZ150" i="22"/>
  <c r="BA150" i="22" s="1"/>
  <c r="BP155" i="22"/>
  <c r="BQ155" i="22" s="1"/>
  <c r="BR155" i="22" s="1"/>
  <c r="AW147" i="22"/>
  <c r="AX147" i="22" s="1"/>
  <c r="AW142" i="22"/>
  <c r="AX142" i="22" s="1"/>
  <c r="AZ151" i="22"/>
  <c r="BA151" i="22" s="1"/>
  <c r="BA149" i="22"/>
  <c r="BB149" i="22" s="1"/>
  <c r="CE155" i="22"/>
  <c r="AV155" i="22"/>
  <c r="AW155" i="22" s="1"/>
  <c r="AX155" i="22" s="1"/>
  <c r="M171" i="22"/>
  <c r="L157" i="22"/>
  <c r="AT157" i="22" s="1"/>
  <c r="H157" i="22"/>
  <c r="CB155" i="22"/>
  <c r="T156" i="22"/>
  <c r="AS156" i="22"/>
  <c r="AX139" i="22"/>
  <c r="AX87" i="22" s="1"/>
  <c r="AX86" i="22"/>
  <c r="AO143" i="22"/>
  <c r="AP143" i="22" s="1"/>
  <c r="AJ143" i="22"/>
  <c r="AI144" i="22"/>
  <c r="F158" i="22" s="1"/>
  <c r="I158" i="22" s="1"/>
  <c r="AH143" i="22"/>
  <c r="BJ147" i="22"/>
  <c r="BR137" i="22"/>
  <c r="BR141" i="22"/>
  <c r="BR138" i="22"/>
  <c r="BR143" i="22"/>
  <c r="BQ129" i="22"/>
  <c r="BR129" i="22" s="1"/>
  <c r="BR135" i="22"/>
  <c r="BR142" i="22"/>
  <c r="BR139" i="22"/>
  <c r="BR134" i="22"/>
  <c r="BR136" i="22"/>
  <c r="BQ140" i="22"/>
  <c r="BR140" i="22" s="1"/>
  <c r="BQ131" i="22"/>
  <c r="BR131" i="22" s="1"/>
  <c r="BQ144" i="22"/>
  <c r="BR144" i="22" s="1"/>
  <c r="BI136" i="22"/>
  <c r="BJ136" i="22" s="1"/>
  <c r="BI130" i="22"/>
  <c r="BJ130" i="22" s="1"/>
  <c r="BI132" i="22"/>
  <c r="BJ132" i="22" s="1"/>
  <c r="BI129" i="22"/>
  <c r="BJ129" i="22" s="1"/>
  <c r="BI134" i="22"/>
  <c r="BJ134" i="22" s="1"/>
  <c r="BI128" i="22"/>
  <c r="BJ128" i="22" s="1"/>
  <c r="BI131" i="22"/>
  <c r="BJ131" i="22" s="1"/>
  <c r="BQ128" i="22"/>
  <c r="BR128" i="22" s="1"/>
  <c r="BQ133" i="22"/>
  <c r="BR133" i="22" s="1"/>
  <c r="BQ130" i="22"/>
  <c r="BR130" i="22" s="1"/>
  <c r="BQ132" i="22"/>
  <c r="BR132" i="22" s="1"/>
  <c r="BF153" i="22"/>
  <c r="BF87" i="22" s="1"/>
  <c r="BB148" i="22"/>
  <c r="BB152" i="22"/>
  <c r="BF139" i="22"/>
  <c r="BA138" i="22"/>
  <c r="BB138" i="22" s="1"/>
  <c r="BA145" i="22"/>
  <c r="BB145" i="22" s="1"/>
  <c r="BA142" i="22"/>
  <c r="BB142" i="22" s="1"/>
  <c r="BQ154" i="22"/>
  <c r="BR154" i="22" s="1"/>
  <c r="BI140" i="22"/>
  <c r="BJ140" i="22" s="1"/>
  <c r="BI144" i="22"/>
  <c r="BJ144" i="22" s="1"/>
  <c r="BA139" i="22"/>
  <c r="BB139" i="22" s="1"/>
  <c r="BI145" i="22"/>
  <c r="BJ145" i="22" s="1"/>
  <c r="BI151" i="22"/>
  <c r="BJ151" i="22" s="1"/>
  <c r="BQ150" i="22"/>
  <c r="BI138" i="22"/>
  <c r="BJ138" i="22" s="1"/>
  <c r="BI141" i="22"/>
  <c r="BJ141" i="22" s="1"/>
  <c r="BI148" i="22"/>
  <c r="BJ148" i="22" s="1"/>
  <c r="BA135" i="22"/>
  <c r="BB135" i="22" s="1"/>
  <c r="BA143" i="22"/>
  <c r="BA140" i="22"/>
  <c r="BB140" i="22" s="1"/>
  <c r="BI137" i="22"/>
  <c r="BJ137" i="22" s="1"/>
  <c r="BI146" i="22"/>
  <c r="BJ146" i="22" s="1"/>
  <c r="BA137" i="22"/>
  <c r="BB137" i="22" s="1"/>
  <c r="BI139" i="22"/>
  <c r="BJ139" i="22" s="1"/>
  <c r="BQ146" i="22"/>
  <c r="BQ148" i="22"/>
  <c r="BR148" i="22" s="1"/>
  <c r="BQ149" i="22"/>
  <c r="BQ153" i="22"/>
  <c r="BR153" i="22" s="1"/>
  <c r="BQ151" i="22"/>
  <c r="BQ152" i="22"/>
  <c r="BR152" i="22" s="1"/>
  <c r="BA144" i="22"/>
  <c r="BA146" i="22"/>
  <c r="BB86" i="22" s="1"/>
  <c r="BB154" i="22" l="1"/>
  <c r="BR151" i="22"/>
  <c r="BB144" i="22"/>
  <c r="BR146" i="22"/>
  <c r="BB143" i="22"/>
  <c r="BR150" i="22"/>
  <c r="BR149" i="22"/>
  <c r="BB147" i="22"/>
  <c r="AZ155" i="22"/>
  <c r="BA155" i="22" s="1"/>
  <c r="BL156" i="22"/>
  <c r="BM156" i="22" s="1"/>
  <c r="BN156" i="22" s="1"/>
  <c r="AR143" i="22"/>
  <c r="BB153" i="22"/>
  <c r="BJ154" i="22"/>
  <c r="BJ149" i="22"/>
  <c r="BB150" i="22"/>
  <c r="BB151" i="22"/>
  <c r="AZ156" i="22"/>
  <c r="AV156" i="22"/>
  <c r="AW156" i="22" s="1"/>
  <c r="AX156" i="22" s="1"/>
  <c r="CE156" i="22"/>
  <c r="AQ144" i="22"/>
  <c r="G172" i="22" s="1"/>
  <c r="J172" i="22" s="1"/>
  <c r="BM155" i="22"/>
  <c r="BN155" i="22" s="1"/>
  <c r="H158" i="22"/>
  <c r="L158" i="22"/>
  <c r="AT158" i="22" s="1"/>
  <c r="T157" i="22"/>
  <c r="AV157" i="22" s="1"/>
  <c r="AW157" i="22" s="1"/>
  <c r="AX157" i="22" s="1"/>
  <c r="AS157" i="22"/>
  <c r="CB156" i="22"/>
  <c r="BP156" i="22"/>
  <c r="BQ156" i="22" s="1"/>
  <c r="BR156" i="22" s="1"/>
  <c r="BH156" i="22"/>
  <c r="AO144" i="22"/>
  <c r="AP144" i="22" s="1"/>
  <c r="AG144" i="22"/>
  <c r="AG145" i="22"/>
  <c r="BB146" i="22"/>
  <c r="BB87" i="22" s="1"/>
  <c r="BB155" i="22" l="1"/>
  <c r="BL157" i="22"/>
  <c r="AZ157" i="22"/>
  <c r="BA157" i="22" s="1"/>
  <c r="BB157" i="22" s="1"/>
  <c r="BA156" i="22"/>
  <c r="BB156" i="22" s="1"/>
  <c r="BH157" i="22"/>
  <c r="BI157" i="22" s="1"/>
  <c r="BJ157" i="22" s="1"/>
  <c r="CE157" i="22"/>
  <c r="BP157" i="22"/>
  <c r="BQ157" i="22" s="1"/>
  <c r="BR157" i="22" s="1"/>
  <c r="M172" i="22"/>
  <c r="BI156" i="22"/>
  <c r="BJ156" i="22" s="1"/>
  <c r="AS158" i="22"/>
  <c r="T158" i="22"/>
  <c r="BL158" i="22" s="1"/>
  <c r="CB157" i="22"/>
  <c r="AQ145" i="22"/>
  <c r="G173" i="22" s="1"/>
  <c r="J173" i="22" s="1"/>
  <c r="AR144" i="22"/>
  <c r="AO145" i="22"/>
  <c r="AP145" i="22" s="1"/>
  <c r="AI145" i="22"/>
  <c r="F159" i="22" s="1"/>
  <c r="I159" i="22" s="1"/>
  <c r="AJ144" i="22"/>
  <c r="AH145" i="22"/>
  <c r="AI146" i="22"/>
  <c r="F160" i="22" s="1"/>
  <c r="I160" i="22" s="1"/>
  <c r="AJ145" i="22"/>
  <c r="AH144" i="22"/>
  <c r="AG146" i="22"/>
  <c r="AX88" i="22"/>
  <c r="BB88" i="22"/>
  <c r="CE158" i="22" l="1"/>
  <c r="AV158" i="22"/>
  <c r="AW158" i="22" s="1"/>
  <c r="AX158" i="22" s="1"/>
  <c r="M173" i="22"/>
  <c r="BM157" i="22"/>
  <c r="BN157" i="22" s="1"/>
  <c r="CB158" i="22"/>
  <c r="BH158" i="22"/>
  <c r="BP158" i="22"/>
  <c r="BQ158" i="22" s="1"/>
  <c r="BR158" i="22" s="1"/>
  <c r="H160" i="22"/>
  <c r="L160" i="22"/>
  <c r="AT160" i="22" s="1"/>
  <c r="BM158" i="22"/>
  <c r="BN158" i="22" s="1"/>
  <c r="H159" i="22"/>
  <c r="L159" i="22"/>
  <c r="AT159" i="22" s="1"/>
  <c r="AR145" i="22"/>
  <c r="AQ146" i="22"/>
  <c r="G174" i="22" s="1"/>
  <c r="J174" i="22" s="1"/>
  <c r="AO146" i="22"/>
  <c r="AP146" i="22" s="1"/>
  <c r="AH146" i="22"/>
  <c r="AJ146" i="22"/>
  <c r="AI147" i="22"/>
  <c r="F161" i="22" s="1"/>
  <c r="I161" i="22" s="1"/>
  <c r="AG147" i="22"/>
  <c r="BE114" i="22"/>
  <c r="BI114" i="22"/>
  <c r="BJ114" i="22" s="1"/>
  <c r="AZ158" i="22" l="1"/>
  <c r="BA158" i="22"/>
  <c r="M174" i="22"/>
  <c r="AS159" i="22"/>
  <c r="T159" i="22"/>
  <c r="H161" i="22"/>
  <c r="L161" i="22"/>
  <c r="AT161" i="22" s="1"/>
  <c r="T160" i="22"/>
  <c r="BL160" i="22" s="1"/>
  <c r="AS160" i="22"/>
  <c r="BI158" i="22"/>
  <c r="BJ158" i="22" s="1"/>
  <c r="AQ147" i="22"/>
  <c r="G175" i="22" s="1"/>
  <c r="J175" i="22" s="1"/>
  <c r="AR146" i="22"/>
  <c r="AO147" i="22"/>
  <c r="AP147" i="22" s="1"/>
  <c r="AH147" i="22"/>
  <c r="AI148" i="22"/>
  <c r="F162" i="22" s="1"/>
  <c r="I162" i="22" s="1"/>
  <c r="AJ147" i="22"/>
  <c r="AG148" i="22"/>
  <c r="BF114" i="22"/>
  <c r="BB158" i="22" l="1"/>
  <c r="BL159" i="22"/>
  <c r="CE159" i="22"/>
  <c r="AV159" i="22"/>
  <c r="AW159" i="22" s="1"/>
  <c r="AX159" i="22" s="1"/>
  <c r="AV160" i="22"/>
  <c r="AW160" i="22" s="1"/>
  <c r="AX160" i="22" s="1"/>
  <c r="CB160" i="22"/>
  <c r="CE160" i="22"/>
  <c r="M175" i="22"/>
  <c r="T161" i="22"/>
  <c r="AS161" i="22"/>
  <c r="CB159" i="22"/>
  <c r="BH159" i="22"/>
  <c r="BI159" i="22" s="1"/>
  <c r="BJ159" i="22" s="1"/>
  <c r="BP159" i="22"/>
  <c r="BQ159" i="22" s="1"/>
  <c r="BR159" i="22" s="1"/>
  <c r="BP160" i="22"/>
  <c r="BQ160" i="22" s="1"/>
  <c r="BR160" i="22" s="1"/>
  <c r="BH160" i="22"/>
  <c r="H162" i="22"/>
  <c r="L162" i="22"/>
  <c r="AT162" i="22" s="1"/>
  <c r="AR147" i="22"/>
  <c r="AO148" i="22"/>
  <c r="AP148" i="22" s="1"/>
  <c r="AQ148" i="22"/>
  <c r="G176" i="22" s="1"/>
  <c r="J176" i="22" s="1"/>
  <c r="AH148" i="22"/>
  <c r="AI149" i="22"/>
  <c r="F163" i="22" s="1"/>
  <c r="I163" i="22" s="1"/>
  <c r="AJ148" i="22"/>
  <c r="AG149" i="22"/>
  <c r="AZ160" i="22" l="1"/>
  <c r="AZ159" i="22"/>
  <c r="BL161" i="22"/>
  <c r="BM161" i="22" s="1"/>
  <c r="BN161" i="22" s="1"/>
  <c r="BA160" i="22"/>
  <c r="BA159" i="22"/>
  <c r="AV161" i="22"/>
  <c r="AW161" i="22" s="1"/>
  <c r="AX161" i="22" s="1"/>
  <c r="CB161" i="22"/>
  <c r="CE161" i="22"/>
  <c r="M176" i="22"/>
  <c r="AS162" i="22"/>
  <c r="T162" i="22"/>
  <c r="BL162" i="22" s="1"/>
  <c r="H163" i="22"/>
  <c r="L163" i="22"/>
  <c r="AT163" i="22" s="1"/>
  <c r="BJ85" i="22"/>
  <c r="BI160" i="22"/>
  <c r="BJ86" i="22" s="1"/>
  <c r="BM160" i="22"/>
  <c r="BN160" i="22" s="1"/>
  <c r="BM159" i="22"/>
  <c r="BN159" i="22" s="1"/>
  <c r="AQ149" i="22"/>
  <c r="G177" i="22" s="1"/>
  <c r="J177" i="22" s="1"/>
  <c r="AR148" i="22"/>
  <c r="AO149" i="22"/>
  <c r="AP149" i="22" s="1"/>
  <c r="AH149" i="22"/>
  <c r="AJ149" i="22"/>
  <c r="AI150" i="22"/>
  <c r="F164" i="22" s="1"/>
  <c r="I164" i="22" s="1"/>
  <c r="AG150" i="22"/>
  <c r="BB159" i="22" l="1"/>
  <c r="BB160" i="22"/>
  <c r="BP161" i="22"/>
  <c r="BQ161" i="22" s="1"/>
  <c r="BR161" i="22" s="1"/>
  <c r="AZ161" i="22"/>
  <c r="BA161" i="22" s="1"/>
  <c r="BB161" i="22" s="1"/>
  <c r="CE162" i="22"/>
  <c r="AV162" i="22"/>
  <c r="AW162" i="22" s="1"/>
  <c r="AX162" i="22" s="1"/>
  <c r="M177" i="22"/>
  <c r="AR149" i="22"/>
  <c r="AQ150" i="22"/>
  <c r="G178" i="22" s="1"/>
  <c r="J178" i="22" s="1"/>
  <c r="BJ160" i="22"/>
  <c r="BJ87" i="22" s="1"/>
  <c r="H164" i="22"/>
  <c r="L164" i="22"/>
  <c r="AT164" i="22" s="1"/>
  <c r="AS163" i="22"/>
  <c r="T163" i="22"/>
  <c r="BL163" i="22" s="1"/>
  <c r="CB162" i="22"/>
  <c r="BP162" i="22"/>
  <c r="BQ162" i="22" s="1"/>
  <c r="BR162" i="22" s="1"/>
  <c r="AO150" i="22"/>
  <c r="AP150" i="22" s="1"/>
  <c r="AH150" i="22"/>
  <c r="AJ150" i="22"/>
  <c r="AI151" i="22"/>
  <c r="F165" i="22" s="1"/>
  <c r="I165" i="22" s="1"/>
  <c r="AG151" i="22"/>
  <c r="AZ162" i="22" l="1"/>
  <c r="BJ88" i="22"/>
  <c r="BP163" i="22"/>
  <c r="BQ163" i="22" s="1"/>
  <c r="BR163" i="22" s="1"/>
  <c r="BA162" i="22"/>
  <c r="CE163" i="22"/>
  <c r="AV163" i="22"/>
  <c r="AW163" i="22" s="1"/>
  <c r="AX163" i="22" s="1"/>
  <c r="M178" i="22"/>
  <c r="BM163" i="22"/>
  <c r="BN163" i="22" s="1"/>
  <c r="BM162" i="22"/>
  <c r="BN162" i="22" s="1"/>
  <c r="CB163" i="22"/>
  <c r="T164" i="22"/>
  <c r="AS164" i="22"/>
  <c r="H165" i="22"/>
  <c r="L165" i="22"/>
  <c r="AT165" i="22" s="1"/>
  <c r="AQ151" i="22"/>
  <c r="G179" i="22" s="1"/>
  <c r="J179" i="22" s="1"/>
  <c r="AR150" i="22"/>
  <c r="AO151" i="22"/>
  <c r="AP151" i="22" s="1"/>
  <c r="AQ152" i="22"/>
  <c r="G180" i="22" s="1"/>
  <c r="J180" i="22" s="1"/>
  <c r="AH151" i="22"/>
  <c r="AI152" i="22"/>
  <c r="F166" i="22" s="1"/>
  <c r="I166" i="22" s="1"/>
  <c r="AJ151" i="22"/>
  <c r="AG152" i="22"/>
  <c r="BB162" i="22" l="1"/>
  <c r="AZ163" i="22"/>
  <c r="BA163" i="22" s="1"/>
  <c r="BB163" i="22" s="1"/>
  <c r="BL164" i="22"/>
  <c r="BP164" i="22" s="1"/>
  <c r="BQ164" i="22" s="1"/>
  <c r="BR164" i="22" s="1"/>
  <c r="AR151" i="22"/>
  <c r="CE164" i="22"/>
  <c r="AV164" i="22"/>
  <c r="AW164" i="22" s="1"/>
  <c r="AX164" i="22" s="1"/>
  <c r="M180" i="22"/>
  <c r="M179" i="22"/>
  <c r="AS165" i="22"/>
  <c r="T165" i="22"/>
  <c r="CB164" i="22"/>
  <c r="L166" i="22"/>
  <c r="AT166" i="22" s="1"/>
  <c r="H166" i="22"/>
  <c r="AO152" i="22"/>
  <c r="AP152" i="22" s="1"/>
  <c r="AH152" i="22"/>
  <c r="AI153" i="22"/>
  <c r="F167" i="22" s="1"/>
  <c r="I167" i="22" s="1"/>
  <c r="AJ152" i="22"/>
  <c r="AG153" i="22"/>
  <c r="AZ164" i="22" l="1"/>
  <c r="BA164" i="22" s="1"/>
  <c r="BB164" i="22" s="1"/>
  <c r="BL165" i="22"/>
  <c r="BM165" i="22" s="1"/>
  <c r="BN165" i="22" s="1"/>
  <c r="CE165" i="22"/>
  <c r="AV165" i="22"/>
  <c r="AW165" i="22" s="1"/>
  <c r="AX165" i="22" s="1"/>
  <c r="T166" i="22"/>
  <c r="AS166" i="22"/>
  <c r="H167" i="22"/>
  <c r="L167" i="22"/>
  <c r="AT167" i="22" s="1"/>
  <c r="CB165" i="22"/>
  <c r="BM164" i="22"/>
  <c r="BN164" i="22" s="1"/>
  <c r="AR152" i="22"/>
  <c r="AQ153" i="22"/>
  <c r="G181" i="22" s="1"/>
  <c r="J181" i="22" s="1"/>
  <c r="AO153" i="22"/>
  <c r="AP153" i="22" s="1"/>
  <c r="AH153" i="22"/>
  <c r="AJ153" i="22"/>
  <c r="AI154" i="22"/>
  <c r="F168" i="22" s="1"/>
  <c r="I168" i="22" s="1"/>
  <c r="AG154" i="22"/>
  <c r="AZ165" i="22" l="1"/>
  <c r="BP165" i="22"/>
  <c r="BQ165" i="22" s="1"/>
  <c r="BR165" i="22" s="1"/>
  <c r="BL166" i="22"/>
  <c r="BP166" i="22" s="1"/>
  <c r="BQ166" i="22" s="1"/>
  <c r="BR166" i="22" s="1"/>
  <c r="BA165" i="22"/>
  <c r="CE166" i="22"/>
  <c r="AV166" i="22"/>
  <c r="AW166" i="22" s="1"/>
  <c r="AX166" i="22" s="1"/>
  <c r="M181" i="22"/>
  <c r="T167" i="22"/>
  <c r="AS167" i="22"/>
  <c r="CB166" i="22"/>
  <c r="H168" i="22"/>
  <c r="L168" i="22"/>
  <c r="AT168" i="22" s="1"/>
  <c r="AR153" i="22"/>
  <c r="BF88" i="22" s="1"/>
  <c r="AQ154" i="22"/>
  <c r="G182" i="22" s="1"/>
  <c r="J182" i="22" s="1"/>
  <c r="AO154" i="22"/>
  <c r="AP154" i="22" s="1"/>
  <c r="AH154" i="22"/>
  <c r="AJ154" i="22"/>
  <c r="AI155" i="22"/>
  <c r="F169" i="22" s="1"/>
  <c r="I169" i="22" s="1"/>
  <c r="AG155" i="22"/>
  <c r="BB165" i="22" l="1"/>
  <c r="AZ166" i="22"/>
  <c r="BL167" i="22"/>
  <c r="BP167" i="22"/>
  <c r="BQ167" i="22" s="1"/>
  <c r="BR167" i="22" s="1"/>
  <c r="BA166" i="22"/>
  <c r="CE167" i="22"/>
  <c r="AV167" i="22"/>
  <c r="AW167" i="22" s="1"/>
  <c r="AX167" i="22" s="1"/>
  <c r="M182" i="22"/>
  <c r="T168" i="22"/>
  <c r="AS168" i="22"/>
  <c r="BM166" i="22"/>
  <c r="BN166" i="22" s="1"/>
  <c r="H169" i="22"/>
  <c r="L169" i="22"/>
  <c r="AT169" i="22" s="1"/>
  <c r="CB167" i="22"/>
  <c r="AQ155" i="22"/>
  <c r="G183" i="22" s="1"/>
  <c r="J183" i="22" s="1"/>
  <c r="AR154" i="22"/>
  <c r="AO155" i="22"/>
  <c r="AP155" i="22" s="1"/>
  <c r="AH155" i="22"/>
  <c r="AI156" i="22"/>
  <c r="F170" i="22" s="1"/>
  <c r="I170" i="22" s="1"/>
  <c r="AJ155" i="22"/>
  <c r="AG156" i="22"/>
  <c r="BB166" i="22" l="1"/>
  <c r="AZ167" i="22"/>
  <c r="BA167" i="22" s="1"/>
  <c r="BB167" i="22" s="1"/>
  <c r="CE168" i="22"/>
  <c r="AV168" i="22"/>
  <c r="AW168" i="22" s="1"/>
  <c r="AX168" i="22" s="1"/>
  <c r="M183" i="22"/>
  <c r="AS169" i="22"/>
  <c r="T169" i="22"/>
  <c r="H170" i="22"/>
  <c r="L170" i="22"/>
  <c r="AT170" i="22" s="1"/>
  <c r="BN85" i="22"/>
  <c r="BM167" i="22"/>
  <c r="BN86" i="22" s="1"/>
  <c r="CB168" i="22"/>
  <c r="BP168" i="22"/>
  <c r="BQ168" i="22" s="1"/>
  <c r="BR168" i="22" s="1"/>
  <c r="AR155" i="22"/>
  <c r="AQ156" i="22"/>
  <c r="G184" i="22" s="1"/>
  <c r="J184" i="22" s="1"/>
  <c r="AO156" i="22"/>
  <c r="AP156" i="22" s="1"/>
  <c r="AH156" i="22"/>
  <c r="AI157" i="22"/>
  <c r="F171" i="22" s="1"/>
  <c r="I171" i="22" s="1"/>
  <c r="AJ156" i="22"/>
  <c r="AG157" i="22"/>
  <c r="AZ168" i="22" l="1"/>
  <c r="BP169" i="22"/>
  <c r="BQ169" i="22" s="1"/>
  <c r="BR169" i="22" s="1"/>
  <c r="BA168" i="22"/>
  <c r="CE169" i="22"/>
  <c r="AV169" i="22"/>
  <c r="AW169" i="22" s="1"/>
  <c r="AX169" i="22" s="1"/>
  <c r="M184" i="22"/>
  <c r="BN167" i="22"/>
  <c r="T170" i="22"/>
  <c r="AS170" i="22"/>
  <c r="H171" i="22"/>
  <c r="L171" i="22"/>
  <c r="AT171" i="22" s="1"/>
  <c r="CB169" i="22"/>
  <c r="AQ157" i="22"/>
  <c r="G185" i="22" s="1"/>
  <c r="J185" i="22" s="1"/>
  <c r="AR156" i="22"/>
  <c r="AO157" i="22"/>
  <c r="AP157" i="22" s="1"/>
  <c r="AR157" i="22"/>
  <c r="AH157" i="22"/>
  <c r="AJ157" i="22"/>
  <c r="AI158" i="22"/>
  <c r="F172" i="22" s="1"/>
  <c r="I172" i="22" s="1"/>
  <c r="AG158" i="22"/>
  <c r="BB168" i="22" l="1"/>
  <c r="AZ169" i="22"/>
  <c r="BA169" i="22" s="1"/>
  <c r="BB169" i="22" s="1"/>
  <c r="BN87" i="22"/>
  <c r="CE170" i="22"/>
  <c r="AV170" i="22"/>
  <c r="AW170" i="22" s="1"/>
  <c r="AX170" i="22" s="1"/>
  <c r="M185" i="22"/>
  <c r="AS171" i="22"/>
  <c r="T171" i="22"/>
  <c r="H172" i="22"/>
  <c r="L172" i="22"/>
  <c r="AT172" i="22" s="1"/>
  <c r="CB170" i="22"/>
  <c r="BP170" i="22"/>
  <c r="BQ170" i="22" s="1"/>
  <c r="BR170" i="22" s="1"/>
  <c r="AQ158" i="22"/>
  <c r="G186" i="22" s="1"/>
  <c r="J186" i="22" s="1"/>
  <c r="AO158" i="22"/>
  <c r="AP158" i="22" s="1"/>
  <c r="AH158" i="22"/>
  <c r="AI159" i="22"/>
  <c r="F173" i="22" s="1"/>
  <c r="I173" i="22" s="1"/>
  <c r="AJ158" i="22"/>
  <c r="AG159" i="22"/>
  <c r="AZ170" i="22" l="1"/>
  <c r="BA170" i="22" s="1"/>
  <c r="BB170" i="22" s="1"/>
  <c r="BN88" i="22"/>
  <c r="CE171" i="22"/>
  <c r="AV171" i="22"/>
  <c r="AW171" i="22" s="1"/>
  <c r="AX171" i="22" s="1"/>
  <c r="M186" i="22"/>
  <c r="T172" i="22"/>
  <c r="AS172" i="22"/>
  <c r="H173" i="22"/>
  <c r="L173" i="22"/>
  <c r="AT173" i="22" s="1"/>
  <c r="CB171" i="22"/>
  <c r="BP171" i="22"/>
  <c r="BQ171" i="22" s="1"/>
  <c r="BR171" i="22" s="1"/>
  <c r="AQ159" i="22"/>
  <c r="G187" i="22" s="1"/>
  <c r="J187" i="22" s="1"/>
  <c r="AR158" i="22"/>
  <c r="AO159" i="22"/>
  <c r="AP159" i="22" s="1"/>
  <c r="AQ160" i="22"/>
  <c r="G188" i="22" s="1"/>
  <c r="J188" i="22" s="1"/>
  <c r="AR159" i="22"/>
  <c r="AH159" i="22"/>
  <c r="AI160" i="22"/>
  <c r="F174" i="22" s="1"/>
  <c r="I174" i="22" s="1"/>
  <c r="AJ159" i="22"/>
  <c r="AG160" i="22"/>
  <c r="AZ171" i="22" l="1"/>
  <c r="BA171" i="22" s="1"/>
  <c r="BB171" i="22" s="1"/>
  <c r="CE172" i="22"/>
  <c r="AV172" i="22"/>
  <c r="AW172" i="22" s="1"/>
  <c r="AX172" i="22" s="1"/>
  <c r="M187" i="22"/>
  <c r="M188" i="22"/>
  <c r="T173" i="22"/>
  <c r="AS173" i="22"/>
  <c r="H174" i="22"/>
  <c r="L174" i="22"/>
  <c r="AT174" i="22" s="1"/>
  <c r="CB172" i="22"/>
  <c r="BP172" i="22"/>
  <c r="BQ172" i="22" s="1"/>
  <c r="BR172" i="22" s="1"/>
  <c r="AO160" i="22"/>
  <c r="AP160" i="22" s="1"/>
  <c r="AH160" i="22"/>
  <c r="AI161" i="22"/>
  <c r="F175" i="22" s="1"/>
  <c r="I175" i="22" s="1"/>
  <c r="AJ160" i="22"/>
  <c r="AG161" i="22"/>
  <c r="AZ172" i="22" l="1"/>
  <c r="BA172" i="22" s="1"/>
  <c r="BB172" i="22" s="1"/>
  <c r="CE173" i="22"/>
  <c r="AV173" i="22"/>
  <c r="AW173" i="22" s="1"/>
  <c r="AX173" i="22" s="1"/>
  <c r="H175" i="22"/>
  <c r="L175" i="22"/>
  <c r="AT175" i="22" s="1"/>
  <c r="AS174" i="22"/>
  <c r="T174" i="22"/>
  <c r="CB173" i="22"/>
  <c r="BP173" i="22"/>
  <c r="BQ173" i="22" s="1"/>
  <c r="BR173" i="22" s="1"/>
  <c r="AQ161" i="22"/>
  <c r="G189" i="22" s="1"/>
  <c r="J189" i="22" s="1"/>
  <c r="AR160" i="22"/>
  <c r="AO161" i="22"/>
  <c r="AP161" i="22" s="1"/>
  <c r="AH161" i="22"/>
  <c r="AI162" i="22"/>
  <c r="F176" i="22" s="1"/>
  <c r="I176" i="22" s="1"/>
  <c r="AJ161" i="22"/>
  <c r="AG162" i="22"/>
  <c r="AZ173" i="22" l="1"/>
  <c r="BA173" i="22" s="1"/>
  <c r="BB173" i="22" s="1"/>
  <c r="AQ162" i="22"/>
  <c r="CE174" i="22"/>
  <c r="AV174" i="22"/>
  <c r="AW174" i="22" s="1"/>
  <c r="AX174" i="22" s="1"/>
  <c r="M189" i="22"/>
  <c r="H176" i="22"/>
  <c r="L176" i="22"/>
  <c r="AT176" i="22" s="1"/>
  <c r="CB174" i="22"/>
  <c r="BP174" i="22"/>
  <c r="AS175" i="22"/>
  <c r="T175" i="22"/>
  <c r="AR161" i="22"/>
  <c r="AO162" i="22"/>
  <c r="AP162" i="22" s="1"/>
  <c r="AH162" i="22"/>
  <c r="AI163" i="22"/>
  <c r="F177" i="22" s="1"/>
  <c r="I177" i="22" s="1"/>
  <c r="AJ162" i="22"/>
  <c r="AG163" i="22"/>
  <c r="AZ174" i="22" l="1"/>
  <c r="G190" i="22"/>
  <c r="J190" i="22" s="1"/>
  <c r="BA174" i="22"/>
  <c r="CB175" i="22"/>
  <c r="CE175" i="22"/>
  <c r="AV175" i="22"/>
  <c r="AW175" i="22" s="1"/>
  <c r="AX175" i="22" s="1"/>
  <c r="H177" i="22"/>
  <c r="L177" i="22"/>
  <c r="AT177" i="22" s="1"/>
  <c r="BR85" i="22"/>
  <c r="BQ174" i="22"/>
  <c r="BR86" i="22" s="1"/>
  <c r="T176" i="22"/>
  <c r="AS176" i="22"/>
  <c r="AQ163" i="22"/>
  <c r="G191" i="22" s="1"/>
  <c r="J191" i="22" s="1"/>
  <c r="AR162" i="22"/>
  <c r="AO163" i="22"/>
  <c r="AP163" i="22" s="1"/>
  <c r="AH163" i="22"/>
  <c r="AJ163" i="22"/>
  <c r="AI164" i="22"/>
  <c r="F178" i="22" s="1"/>
  <c r="I178" i="22" s="1"/>
  <c r="AG164" i="22"/>
  <c r="BB174" i="22" l="1"/>
  <c r="AZ175" i="22"/>
  <c r="BA175" i="22" s="1"/>
  <c r="BB175" i="22" s="1"/>
  <c r="AR163" i="22"/>
  <c r="AQ164" i="22"/>
  <c r="G192" i="22" s="1"/>
  <c r="J192" i="22" s="1"/>
  <c r="M190" i="22"/>
  <c r="CB176" i="22"/>
  <c r="CE176" i="22"/>
  <c r="AV176" i="22"/>
  <c r="AW176" i="22" s="1"/>
  <c r="AX176" i="22" s="1"/>
  <c r="M191" i="22"/>
  <c r="T177" i="22"/>
  <c r="AS177" i="22"/>
  <c r="BR174" i="22"/>
  <c r="H178" i="22"/>
  <c r="L178" i="22"/>
  <c r="AT178" i="22" s="1"/>
  <c r="AO164" i="22"/>
  <c r="AP164" i="22" s="1"/>
  <c r="AH164" i="22"/>
  <c r="AJ164" i="22"/>
  <c r="AI165" i="22"/>
  <c r="F179" i="22" s="1"/>
  <c r="I179" i="22" s="1"/>
  <c r="AG165" i="22"/>
  <c r="AZ176" i="22" l="1"/>
  <c r="BA176" i="22" s="1"/>
  <c r="BB176" i="22" s="1"/>
  <c r="M192" i="22"/>
  <c r="CB177" i="22"/>
  <c r="CE177" i="22"/>
  <c r="AV177" i="22"/>
  <c r="AW177" i="22" s="1"/>
  <c r="AX177" i="22" s="1"/>
  <c r="L179" i="22"/>
  <c r="AT179" i="22" s="1"/>
  <c r="H179" i="22"/>
  <c r="BR87" i="22"/>
  <c r="F70" i="22" s="1"/>
  <c r="O11" i="29" s="1"/>
  <c r="D43" i="29" s="1"/>
  <c r="AS178" i="22"/>
  <c r="T178" i="22"/>
  <c r="AQ165" i="22"/>
  <c r="G193" i="22" s="1"/>
  <c r="J193" i="22" s="1"/>
  <c r="AR164" i="22"/>
  <c r="AO165" i="22"/>
  <c r="AP165" i="22" s="1"/>
  <c r="AH165" i="22"/>
  <c r="AI166" i="22"/>
  <c r="F180" i="22" s="1"/>
  <c r="I180" i="22" s="1"/>
  <c r="AJ165" i="22"/>
  <c r="AG166" i="22"/>
  <c r="AZ177" i="22" l="1"/>
  <c r="BA177" i="22"/>
  <c r="CB178" i="22"/>
  <c r="CE178" i="22"/>
  <c r="AV178" i="22"/>
  <c r="AW178" i="22" s="1"/>
  <c r="AX178" i="22" s="1"/>
  <c r="M193" i="22"/>
  <c r="BR88" i="22"/>
  <c r="H180" i="22"/>
  <c r="L180" i="22"/>
  <c r="AT180" i="22" s="1"/>
  <c r="AS179" i="22"/>
  <c r="T179" i="22"/>
  <c r="AR165" i="22"/>
  <c r="AQ166" i="22"/>
  <c r="G194" i="22" s="1"/>
  <c r="J194" i="22" s="1"/>
  <c r="AO166" i="22"/>
  <c r="AP166" i="22" s="1"/>
  <c r="AH166" i="22"/>
  <c r="AJ166" i="22"/>
  <c r="AI167" i="22"/>
  <c r="F181" i="22" s="1"/>
  <c r="I181" i="22" s="1"/>
  <c r="AG167" i="22"/>
  <c r="BB177" i="22" l="1"/>
  <c r="AZ178" i="22"/>
  <c r="P11" i="29"/>
  <c r="F71" i="22"/>
  <c r="F69" i="22"/>
  <c r="BA178" i="22"/>
  <c r="CF178" i="22"/>
  <c r="CF163" i="22"/>
  <c r="CF143" i="22"/>
  <c r="CF171" i="22"/>
  <c r="CF167" i="22"/>
  <c r="CF158" i="22"/>
  <c r="CF151" i="22"/>
  <c r="CF144" i="22"/>
  <c r="CF176" i="22"/>
  <c r="CF145" i="22"/>
  <c r="CF159" i="22"/>
  <c r="CF147" i="22"/>
  <c r="CF157" i="22"/>
  <c r="CF150" i="22"/>
  <c r="CF153" i="22"/>
  <c r="CF161" i="22"/>
  <c r="CF165" i="22"/>
  <c r="CF146" i="22"/>
  <c r="CF152" i="22"/>
  <c r="CF173" i="22"/>
  <c r="CF149" i="22"/>
  <c r="CF164" i="22"/>
  <c r="CF141" i="22"/>
  <c r="CF172" i="22"/>
  <c r="CF162" i="22"/>
  <c r="CF177" i="22"/>
  <c r="CF168" i="22"/>
  <c r="CF156" i="22"/>
  <c r="CF174" i="22"/>
  <c r="CF155" i="22"/>
  <c r="CF140" i="22"/>
  <c r="CF170" i="22"/>
  <c r="CF154" i="22"/>
  <c r="CF148" i="22"/>
  <c r="CF160" i="22"/>
  <c r="CF169" i="22"/>
  <c r="CF175" i="22"/>
  <c r="CF166" i="22"/>
  <c r="CF142" i="22"/>
  <c r="CB179" i="22"/>
  <c r="CE179" i="22"/>
  <c r="AV179" i="22"/>
  <c r="AW179" i="22" s="1"/>
  <c r="AX179" i="22" s="1"/>
  <c r="CF179" i="22" s="1"/>
  <c r="M194" i="22"/>
  <c r="CF106" i="22"/>
  <c r="CF125" i="22"/>
  <c r="CF107" i="22"/>
  <c r="CF127" i="22"/>
  <c r="CF112" i="22"/>
  <c r="CF105" i="22"/>
  <c r="CF108" i="22"/>
  <c r="CF135" i="22"/>
  <c r="CF133" i="22"/>
  <c r="CF138" i="22"/>
  <c r="CF103" i="22"/>
  <c r="CF139" i="22"/>
  <c r="CF114" i="22"/>
  <c r="CF100" i="22"/>
  <c r="CF119" i="22"/>
  <c r="CF102" i="22"/>
  <c r="CF101" i="22"/>
  <c r="CF134" i="22"/>
  <c r="CF130" i="22"/>
  <c r="CF109" i="22"/>
  <c r="CF132" i="22"/>
  <c r="CF118" i="22"/>
  <c r="CF128" i="22"/>
  <c r="CF129" i="22"/>
  <c r="CF124" i="22"/>
  <c r="CF122" i="22"/>
  <c r="CF131" i="22"/>
  <c r="CF110" i="22"/>
  <c r="CF117" i="22"/>
  <c r="CF115" i="22"/>
  <c r="CF121" i="22"/>
  <c r="CF126" i="22"/>
  <c r="CF123" i="22"/>
  <c r="CF111" i="22"/>
  <c r="CF120" i="22"/>
  <c r="CF113" i="22"/>
  <c r="CF136" i="22"/>
  <c r="CF116" i="22"/>
  <c r="CF104" i="22"/>
  <c r="CF137" i="22"/>
  <c r="L181" i="22"/>
  <c r="AT181" i="22" s="1"/>
  <c r="H181" i="22"/>
  <c r="T180" i="22"/>
  <c r="AS180" i="22"/>
  <c r="AQ167" i="22"/>
  <c r="G195" i="22" s="1"/>
  <c r="J195" i="22" s="1"/>
  <c r="AR166" i="22"/>
  <c r="AO167" i="22"/>
  <c r="AP167" i="22" s="1"/>
  <c r="AH167" i="22"/>
  <c r="AI168" i="22"/>
  <c r="F182" i="22" s="1"/>
  <c r="I182" i="22" s="1"/>
  <c r="AJ167" i="22"/>
  <c r="AG168" i="22"/>
  <c r="BB178" i="22" l="1"/>
  <c r="AZ179" i="22"/>
  <c r="P18" i="29"/>
  <c r="AR167" i="22"/>
  <c r="AQ168" i="22"/>
  <c r="BA179" i="22"/>
  <c r="CB180" i="22"/>
  <c r="CE180" i="22"/>
  <c r="AV180" i="22"/>
  <c r="AW180" i="22" s="1"/>
  <c r="AX180" i="22" s="1"/>
  <c r="CF180" i="22" s="1"/>
  <c r="M195" i="22"/>
  <c r="T181" i="22"/>
  <c r="AS181" i="22"/>
  <c r="H182" i="22"/>
  <c r="L182" i="22"/>
  <c r="AT182" i="22" s="1"/>
  <c r="AO168" i="22"/>
  <c r="AP168" i="22" s="1"/>
  <c r="AH168" i="22"/>
  <c r="AI169" i="22"/>
  <c r="F183" i="22" s="1"/>
  <c r="I183" i="22" s="1"/>
  <c r="AJ168" i="22"/>
  <c r="AG169" i="22"/>
  <c r="BB179" i="22" l="1"/>
  <c r="AZ180" i="22"/>
  <c r="G196" i="22"/>
  <c r="J196" i="22" s="1"/>
  <c r="BA180" i="22"/>
  <c r="CB181" i="22"/>
  <c r="CE181" i="22"/>
  <c r="AV181" i="22"/>
  <c r="AW181" i="22" s="1"/>
  <c r="AX181" i="22" s="1"/>
  <c r="CF181" i="22" s="1"/>
  <c r="AS182" i="22"/>
  <c r="T182" i="22"/>
  <c r="L183" i="22"/>
  <c r="AT183" i="22" s="1"/>
  <c r="H183" i="22"/>
  <c r="AR168" i="22"/>
  <c r="AQ169" i="22"/>
  <c r="G197" i="22" s="1"/>
  <c r="J197" i="22" s="1"/>
  <c r="AO169" i="22"/>
  <c r="AP169" i="22" s="1"/>
  <c r="AH169" i="22"/>
  <c r="AJ169" i="22"/>
  <c r="AI170" i="22"/>
  <c r="F184" i="22" s="1"/>
  <c r="I184" i="22" s="1"/>
  <c r="AG170" i="22"/>
  <c r="BB180" i="22" l="1"/>
  <c r="AZ181" i="22"/>
  <c r="BA181" i="22" s="1"/>
  <c r="BB181" i="22" s="1"/>
  <c r="M196" i="22"/>
  <c r="CB182" i="22"/>
  <c r="CE182" i="22"/>
  <c r="AV182" i="22"/>
  <c r="AW182" i="22" s="1"/>
  <c r="AX182" i="22" s="1"/>
  <c r="CF182" i="22" s="1"/>
  <c r="M197" i="22"/>
  <c r="AR169" i="22"/>
  <c r="AQ170" i="22"/>
  <c r="G198" i="22" s="1"/>
  <c r="J198" i="22" s="1"/>
  <c r="T183" i="22"/>
  <c r="AS183" i="22"/>
  <c r="H184" i="22"/>
  <c r="L184" i="22"/>
  <c r="AT184" i="22" s="1"/>
  <c r="AO170" i="22"/>
  <c r="AP170" i="22" s="1"/>
  <c r="AH170" i="22"/>
  <c r="AI171" i="22"/>
  <c r="F185" i="22" s="1"/>
  <c r="I185" i="22" s="1"/>
  <c r="AJ170" i="22"/>
  <c r="AG171" i="22"/>
  <c r="AZ182" i="22" l="1"/>
  <c r="BA182" i="22" s="1"/>
  <c r="BB182" i="22" s="1"/>
  <c r="CB183" i="22"/>
  <c r="CE183" i="22"/>
  <c r="AV183" i="22"/>
  <c r="AW183" i="22" s="1"/>
  <c r="AX183" i="22" s="1"/>
  <c r="CF183" i="22" s="1"/>
  <c r="M198" i="22"/>
  <c r="L185" i="22"/>
  <c r="AT185" i="22" s="1"/>
  <c r="H185" i="22"/>
  <c r="AS184" i="22"/>
  <c r="T184" i="22"/>
  <c r="AQ171" i="22"/>
  <c r="G199" i="22" s="1"/>
  <c r="J199" i="22" s="1"/>
  <c r="AR170" i="22"/>
  <c r="AO171" i="22"/>
  <c r="AP171" i="22" s="1"/>
  <c r="AQ172" i="22"/>
  <c r="G200" i="22" s="1"/>
  <c r="J200" i="22" s="1"/>
  <c r="AR171" i="22"/>
  <c r="AH171" i="22"/>
  <c r="AI172" i="22"/>
  <c r="F186" i="22" s="1"/>
  <c r="I186" i="22" s="1"/>
  <c r="AJ171" i="22"/>
  <c r="AG172" i="22"/>
  <c r="AZ183" i="22" l="1"/>
  <c r="BA183" i="22"/>
  <c r="CB184" i="22"/>
  <c r="CE184" i="22"/>
  <c r="AV184" i="22"/>
  <c r="AW184" i="22" s="1"/>
  <c r="AX184" i="22" s="1"/>
  <c r="CF184" i="22" s="1"/>
  <c r="M200" i="22"/>
  <c r="M199" i="22"/>
  <c r="H186" i="22"/>
  <c r="L186" i="22"/>
  <c r="AT186" i="22" s="1"/>
  <c r="AS185" i="22"/>
  <c r="T185" i="22"/>
  <c r="AO172" i="22"/>
  <c r="AP172" i="22" s="1"/>
  <c r="AH172" i="22"/>
  <c r="AJ172" i="22"/>
  <c r="AI173" i="22"/>
  <c r="F187" i="22" s="1"/>
  <c r="I187" i="22" s="1"/>
  <c r="AG173" i="22"/>
  <c r="BB183" i="22" l="1"/>
  <c r="AZ184" i="22"/>
  <c r="BA184" i="22" s="1"/>
  <c r="BB184" i="22" s="1"/>
  <c r="CB185" i="22"/>
  <c r="CE185" i="22"/>
  <c r="AV185" i="22"/>
  <c r="AW185" i="22" s="1"/>
  <c r="AX185" i="22" s="1"/>
  <c r="CF185" i="22" s="1"/>
  <c r="H187" i="22"/>
  <c r="L187" i="22"/>
  <c r="AT187" i="22" s="1"/>
  <c r="T186" i="22"/>
  <c r="AS186" i="22"/>
  <c r="AQ173" i="22"/>
  <c r="G201" i="22" s="1"/>
  <c r="J201" i="22" s="1"/>
  <c r="AR172" i="22"/>
  <c r="AO173" i="22"/>
  <c r="AP173" i="22" s="1"/>
  <c r="AH173" i="22"/>
  <c r="AJ173" i="22"/>
  <c r="AI174" i="22"/>
  <c r="F188" i="22" s="1"/>
  <c r="I188" i="22" s="1"/>
  <c r="AG174" i="22"/>
  <c r="AZ185" i="22" l="1"/>
  <c r="BA185" i="22" s="1"/>
  <c r="BB185" i="22" s="1"/>
  <c r="AR173" i="22"/>
  <c r="CB186" i="22"/>
  <c r="CE186" i="22"/>
  <c r="AV186" i="22"/>
  <c r="AW186" i="22" s="1"/>
  <c r="AX186" i="22" s="1"/>
  <c r="CF186" i="22" s="1"/>
  <c r="AQ174" i="22"/>
  <c r="G202" i="22" s="1"/>
  <c r="J202" i="22" s="1"/>
  <c r="M201" i="22"/>
  <c r="H188" i="22"/>
  <c r="L188" i="22"/>
  <c r="AT188" i="22" s="1"/>
  <c r="AS187" i="22"/>
  <c r="T187" i="22"/>
  <c r="AO174" i="22"/>
  <c r="AP174" i="22" s="1"/>
  <c r="AH174" i="22"/>
  <c r="AJ174" i="22"/>
  <c r="AI175" i="22"/>
  <c r="F189" i="22" s="1"/>
  <c r="I189" i="22" s="1"/>
  <c r="AG175" i="22"/>
  <c r="AZ186" i="22" l="1"/>
  <c r="BA186" i="22"/>
  <c r="CB187" i="22"/>
  <c r="CE187" i="22"/>
  <c r="AV187" i="22"/>
  <c r="AW187" i="22" s="1"/>
  <c r="AX187" i="22" s="1"/>
  <c r="CF187" i="22" s="1"/>
  <c r="M202" i="22"/>
  <c r="L189" i="22"/>
  <c r="AT189" i="22" s="1"/>
  <c r="H189" i="22"/>
  <c r="T188" i="22"/>
  <c r="AS188" i="22"/>
  <c r="AQ175" i="22"/>
  <c r="G203" i="22" s="1"/>
  <c r="J203" i="22" s="1"/>
  <c r="AR174" i="22"/>
  <c r="AO175" i="22"/>
  <c r="AP175" i="22" s="1"/>
  <c r="AH175" i="22"/>
  <c r="AI176" i="22"/>
  <c r="F190" i="22" s="1"/>
  <c r="I190" i="22" s="1"/>
  <c r="AJ175" i="22"/>
  <c r="AG176" i="22"/>
  <c r="BB186" i="22" l="1"/>
  <c r="AZ187" i="22"/>
  <c r="BA187" i="22" s="1"/>
  <c r="BB187" i="22" s="1"/>
  <c r="CB188" i="22"/>
  <c r="CE188" i="22"/>
  <c r="AV188" i="22"/>
  <c r="AW188" i="22" s="1"/>
  <c r="AX188" i="22" s="1"/>
  <c r="CF188" i="22" s="1"/>
  <c r="M203" i="22"/>
  <c r="H190" i="22"/>
  <c r="L190" i="22"/>
  <c r="AT190" i="22" s="1"/>
  <c r="T189" i="22"/>
  <c r="AS189" i="22"/>
  <c r="AR175" i="22"/>
  <c r="AQ176" i="22"/>
  <c r="G204" i="22" s="1"/>
  <c r="J204" i="22" s="1"/>
  <c r="AO176" i="22"/>
  <c r="AP176" i="22" s="1"/>
  <c r="AH176" i="22"/>
  <c r="AJ176" i="22"/>
  <c r="AI177" i="22"/>
  <c r="F191" i="22" s="1"/>
  <c r="I191" i="22" s="1"/>
  <c r="AG177" i="22"/>
  <c r="AZ188" i="22" l="1"/>
  <c r="BA188" i="22"/>
  <c r="CB189" i="22"/>
  <c r="CE189" i="22"/>
  <c r="AV189" i="22"/>
  <c r="AW189" i="22" s="1"/>
  <c r="AX189" i="22" s="1"/>
  <c r="CF189" i="22" s="1"/>
  <c r="M204" i="22"/>
  <c r="H191" i="22"/>
  <c r="L191" i="22"/>
  <c r="AT191" i="22" s="1"/>
  <c r="AS190" i="22"/>
  <c r="T190" i="22"/>
  <c r="AQ177" i="22"/>
  <c r="G205" i="22" s="1"/>
  <c r="J205" i="22" s="1"/>
  <c r="AR176" i="22"/>
  <c r="AO177" i="22"/>
  <c r="AP177" i="22" s="1"/>
  <c r="AR177" i="22"/>
  <c r="AH177" i="22"/>
  <c r="AI178" i="22"/>
  <c r="F192" i="22" s="1"/>
  <c r="I192" i="22" s="1"/>
  <c r="AJ177" i="22"/>
  <c r="AG178" i="22"/>
  <c r="BB188" i="22" l="1"/>
  <c r="AZ189" i="22"/>
  <c r="BA189" i="22" s="1"/>
  <c r="BB189" i="22" s="1"/>
  <c r="CB190" i="22"/>
  <c r="CE190" i="22"/>
  <c r="AV190" i="22"/>
  <c r="AW190" i="22" s="1"/>
  <c r="AX190" i="22" s="1"/>
  <c r="CF190" i="22" s="1"/>
  <c r="M205" i="22"/>
  <c r="L192" i="22"/>
  <c r="AT192" i="22" s="1"/>
  <c r="H192" i="22"/>
  <c r="T191" i="22"/>
  <c r="AS191" i="22"/>
  <c r="AQ178" i="22"/>
  <c r="G206" i="22" s="1"/>
  <c r="J206" i="22" s="1"/>
  <c r="AO178" i="22"/>
  <c r="AP178" i="22" s="1"/>
  <c r="AH178" i="22"/>
  <c r="AJ178" i="22"/>
  <c r="AI179" i="22"/>
  <c r="F193" i="22" s="1"/>
  <c r="I193" i="22" s="1"/>
  <c r="AG179" i="22"/>
  <c r="AZ190" i="22" l="1"/>
  <c r="BA190" i="22" s="1"/>
  <c r="BB190" i="22" s="1"/>
  <c r="CB191" i="22"/>
  <c r="CE191" i="22"/>
  <c r="AV191" i="22"/>
  <c r="AW191" i="22" s="1"/>
  <c r="AX191" i="22" s="1"/>
  <c r="CF191" i="22" s="1"/>
  <c r="M206" i="22"/>
  <c r="L193" i="22"/>
  <c r="AT193" i="22" s="1"/>
  <c r="H193" i="22"/>
  <c r="T192" i="22"/>
  <c r="AS192" i="22"/>
  <c r="AQ179" i="22"/>
  <c r="G207" i="22" s="1"/>
  <c r="J207" i="22" s="1"/>
  <c r="AR178" i="22"/>
  <c r="AO179" i="22"/>
  <c r="AP179" i="22" s="1"/>
  <c r="AH179" i="22"/>
  <c r="AJ179" i="22"/>
  <c r="AI180" i="22"/>
  <c r="F194" i="22" s="1"/>
  <c r="I194" i="22" s="1"/>
  <c r="AG180" i="22"/>
  <c r="AZ191" i="22" l="1"/>
  <c r="BA191" i="22" s="1"/>
  <c r="BB191" i="22" s="1"/>
  <c r="CB192" i="22"/>
  <c r="CE192" i="22"/>
  <c r="AV192" i="22"/>
  <c r="AW192" i="22" s="1"/>
  <c r="AX192" i="22" s="1"/>
  <c r="CF192" i="22" s="1"/>
  <c r="M207" i="22"/>
  <c r="T193" i="22"/>
  <c r="AS193" i="22"/>
  <c r="H194" i="22"/>
  <c r="L194" i="22"/>
  <c r="AT194" i="22" s="1"/>
  <c r="AQ180" i="22"/>
  <c r="G208" i="22" s="1"/>
  <c r="J208" i="22" s="1"/>
  <c r="AR179" i="22"/>
  <c r="AO180" i="22"/>
  <c r="AP180" i="22" s="1"/>
  <c r="AH180" i="22"/>
  <c r="AI181" i="22"/>
  <c r="F195" i="22" s="1"/>
  <c r="I195" i="22" s="1"/>
  <c r="AJ180" i="22"/>
  <c r="AG181" i="22"/>
  <c r="AZ192" i="22" l="1"/>
  <c r="BA192" i="22"/>
  <c r="CB193" i="22"/>
  <c r="CE193" i="22"/>
  <c r="AV193" i="22"/>
  <c r="AW193" i="22" s="1"/>
  <c r="AX193" i="22" s="1"/>
  <c r="CF193" i="22" s="1"/>
  <c r="M208" i="22"/>
  <c r="H195" i="22"/>
  <c r="L195" i="22"/>
  <c r="AT195" i="22" s="1"/>
  <c r="T194" i="22"/>
  <c r="AS194" i="22"/>
  <c r="AQ181" i="22"/>
  <c r="G209" i="22" s="1"/>
  <c r="J209" i="22" s="1"/>
  <c r="AR180" i="22"/>
  <c r="AO181" i="22"/>
  <c r="AP181" i="22" s="1"/>
  <c r="AR181" i="22"/>
  <c r="AH181" i="22"/>
  <c r="AJ181" i="22"/>
  <c r="AI182" i="22"/>
  <c r="F196" i="22" s="1"/>
  <c r="I196" i="22" s="1"/>
  <c r="AG182" i="22"/>
  <c r="BB192" i="22" l="1"/>
  <c r="AZ193" i="22"/>
  <c r="BA193" i="22" s="1"/>
  <c r="BB193" i="22" s="1"/>
  <c r="CB194" i="22"/>
  <c r="CE194" i="22"/>
  <c r="AV194" i="22"/>
  <c r="AW194" i="22" s="1"/>
  <c r="AX194" i="22" s="1"/>
  <c r="CF194" i="22" s="1"/>
  <c r="AQ182" i="22"/>
  <c r="G210" i="22" s="1"/>
  <c r="J210" i="22" s="1"/>
  <c r="M209" i="22"/>
  <c r="H196" i="22"/>
  <c r="L196" i="22"/>
  <c r="AT196" i="22" s="1"/>
  <c r="AS195" i="22"/>
  <c r="T195" i="22"/>
  <c r="AO182" i="22"/>
  <c r="AP182" i="22" s="1"/>
  <c r="AH182" i="22"/>
  <c r="AI183" i="22"/>
  <c r="F197" i="22" s="1"/>
  <c r="I197" i="22" s="1"/>
  <c r="AJ182" i="22"/>
  <c r="AG183" i="22"/>
  <c r="AZ194" i="22" l="1"/>
  <c r="BA194" i="22" s="1"/>
  <c r="BB194" i="22" s="1"/>
  <c r="AQ183" i="22"/>
  <c r="G211" i="22" s="1"/>
  <c r="J211" i="22" s="1"/>
  <c r="CB195" i="22"/>
  <c r="CE195" i="22"/>
  <c r="AV195" i="22"/>
  <c r="AW195" i="22" s="1"/>
  <c r="AX195" i="22" s="1"/>
  <c r="CF195" i="22" s="1"/>
  <c r="M210" i="22"/>
  <c r="H197" i="22"/>
  <c r="L197" i="22"/>
  <c r="AT197" i="22" s="1"/>
  <c r="T196" i="22"/>
  <c r="AS196" i="22"/>
  <c r="AR182" i="22"/>
  <c r="AO183" i="22"/>
  <c r="AP183" i="22" s="1"/>
  <c r="AR183" i="22"/>
  <c r="AH183" i="22"/>
  <c r="AJ183" i="22"/>
  <c r="AI184" i="22"/>
  <c r="F198" i="22" s="1"/>
  <c r="I198" i="22" s="1"/>
  <c r="AG184" i="22"/>
  <c r="AZ195" i="22" l="1"/>
  <c r="BA195" i="22" s="1"/>
  <c r="BB195" i="22" s="1"/>
  <c r="M211" i="22"/>
  <c r="CB196" i="22"/>
  <c r="CE196" i="22"/>
  <c r="AV196" i="22"/>
  <c r="AW196" i="22" s="1"/>
  <c r="AX196" i="22" s="1"/>
  <c r="CF196" i="22" s="1"/>
  <c r="AQ184" i="22"/>
  <c r="G212" i="22" s="1"/>
  <c r="J212" i="22" s="1"/>
  <c r="H198" i="22"/>
  <c r="L198" i="22"/>
  <c r="AT198" i="22" s="1"/>
  <c r="T197" i="22"/>
  <c r="AS197" i="22"/>
  <c r="AO184" i="22"/>
  <c r="AP184" i="22" s="1"/>
  <c r="AH184" i="22"/>
  <c r="AJ184" i="22"/>
  <c r="AI185" i="22"/>
  <c r="F199" i="22" s="1"/>
  <c r="I199" i="22" s="1"/>
  <c r="AG185" i="22"/>
  <c r="AZ196" i="22" l="1"/>
  <c r="BA196" i="22" s="1"/>
  <c r="BB196" i="22" s="1"/>
  <c r="CB197" i="22"/>
  <c r="CE197" i="22"/>
  <c r="AV197" i="22"/>
  <c r="AW197" i="22" s="1"/>
  <c r="AX197" i="22" s="1"/>
  <c r="CF197" i="22" s="1"/>
  <c r="M212" i="22"/>
  <c r="H199" i="22"/>
  <c r="L199" i="22"/>
  <c r="AT199" i="22" s="1"/>
  <c r="T198" i="22"/>
  <c r="AS198" i="22"/>
  <c r="AQ185" i="22"/>
  <c r="G213" i="22" s="1"/>
  <c r="J213" i="22" s="1"/>
  <c r="AR184" i="22"/>
  <c r="AO185" i="22"/>
  <c r="AP185" i="22" s="1"/>
  <c r="AH185" i="22"/>
  <c r="AJ185" i="22"/>
  <c r="AI186" i="22"/>
  <c r="F200" i="22" s="1"/>
  <c r="I200" i="22" s="1"/>
  <c r="AG186" i="22"/>
  <c r="AZ197" i="22" l="1"/>
  <c r="BA197" i="22" s="1"/>
  <c r="BB197" i="22" s="1"/>
  <c r="CB198" i="22"/>
  <c r="CE198" i="22"/>
  <c r="AV198" i="22"/>
  <c r="AW198" i="22" s="1"/>
  <c r="AX198" i="22" s="1"/>
  <c r="CF198" i="22" s="1"/>
  <c r="M213" i="22"/>
  <c r="H200" i="22"/>
  <c r="L200" i="22"/>
  <c r="AT200" i="22" s="1"/>
  <c r="AS199" i="22"/>
  <c r="T199" i="22"/>
  <c r="AR185" i="22"/>
  <c r="AQ186" i="22"/>
  <c r="G214" i="22" s="1"/>
  <c r="J214" i="22" s="1"/>
  <c r="AO186" i="22"/>
  <c r="AP186" i="22" s="1"/>
  <c r="AH186" i="22"/>
  <c r="AJ186" i="22"/>
  <c r="AI187" i="22"/>
  <c r="F201" i="22" s="1"/>
  <c r="I201" i="22" s="1"/>
  <c r="AG187" i="22"/>
  <c r="AZ198" i="22" l="1"/>
  <c r="BA198" i="22"/>
  <c r="CB199" i="22"/>
  <c r="CE199" i="22"/>
  <c r="AV199" i="22"/>
  <c r="AW199" i="22" s="1"/>
  <c r="AX199" i="22" s="1"/>
  <c r="CF199" i="22" s="1"/>
  <c r="M214" i="22"/>
  <c r="H201" i="22"/>
  <c r="L201" i="22"/>
  <c r="AT201" i="22" s="1"/>
  <c r="T200" i="22"/>
  <c r="AS200" i="22"/>
  <c r="AQ187" i="22"/>
  <c r="G215" i="22" s="1"/>
  <c r="J215" i="22" s="1"/>
  <c r="AR186" i="22"/>
  <c r="AO187" i="22"/>
  <c r="AP187" i="22" s="1"/>
  <c r="AH187" i="22"/>
  <c r="AI188" i="22"/>
  <c r="F202" i="22" s="1"/>
  <c r="I202" i="22" s="1"/>
  <c r="AJ187" i="22"/>
  <c r="AG188" i="22"/>
  <c r="BB198" i="22" l="1"/>
  <c r="AZ199" i="22"/>
  <c r="BA199" i="22"/>
  <c r="CB200" i="22"/>
  <c r="CE200" i="22"/>
  <c r="AV200" i="22"/>
  <c r="AW200" i="22" s="1"/>
  <c r="AX200" i="22" s="1"/>
  <c r="CF200" i="22" s="1"/>
  <c r="AR187" i="22"/>
  <c r="M215" i="22"/>
  <c r="H202" i="22"/>
  <c r="L202" i="22"/>
  <c r="AT202" i="22" s="1"/>
  <c r="AS201" i="22"/>
  <c r="T201" i="22"/>
  <c r="AQ188" i="22"/>
  <c r="G216" i="22" s="1"/>
  <c r="J216" i="22" s="1"/>
  <c r="AO188" i="22"/>
  <c r="AP188" i="22" s="1"/>
  <c r="AH188" i="22"/>
  <c r="AJ188" i="22"/>
  <c r="AI189" i="22"/>
  <c r="F203" i="22" s="1"/>
  <c r="I203" i="22" s="1"/>
  <c r="AG189" i="22"/>
  <c r="BB199" i="22" l="1"/>
  <c r="AZ200" i="22"/>
  <c r="BA200" i="22"/>
  <c r="CB201" i="22"/>
  <c r="CE201" i="22"/>
  <c r="AV201" i="22"/>
  <c r="AW201" i="22" s="1"/>
  <c r="AX201" i="22" s="1"/>
  <c r="CF201" i="22" s="1"/>
  <c r="M216" i="22"/>
  <c r="H203" i="22"/>
  <c r="L203" i="22"/>
  <c r="AT203" i="22" s="1"/>
  <c r="T202" i="22"/>
  <c r="AS202" i="22"/>
  <c r="AQ189" i="22"/>
  <c r="G217" i="22" s="1"/>
  <c r="J217" i="22" s="1"/>
  <c r="AR188" i="22"/>
  <c r="AO189" i="22"/>
  <c r="AP189" i="22" s="1"/>
  <c r="AQ190" i="22"/>
  <c r="G218" i="22" s="1"/>
  <c r="J218" i="22" s="1"/>
  <c r="AH189" i="22"/>
  <c r="AJ189" i="22"/>
  <c r="AI190" i="22"/>
  <c r="F204" i="22" s="1"/>
  <c r="I204" i="22" s="1"/>
  <c r="AG190" i="22"/>
  <c r="BB200" i="22" l="1"/>
  <c r="AZ201" i="22"/>
  <c r="BA201" i="22" s="1"/>
  <c r="BB201" i="22" s="1"/>
  <c r="CB202" i="22"/>
  <c r="CE202" i="22"/>
  <c r="AV202" i="22"/>
  <c r="AW202" i="22" s="1"/>
  <c r="AX202" i="22" s="1"/>
  <c r="CF202" i="22" s="1"/>
  <c r="M218" i="22"/>
  <c r="M217" i="22"/>
  <c r="H204" i="22"/>
  <c r="L204" i="22"/>
  <c r="AT204" i="22" s="1"/>
  <c r="AS203" i="22"/>
  <c r="T203" i="22"/>
  <c r="AR189" i="22"/>
  <c r="AO190" i="22"/>
  <c r="AP190" i="22" s="1"/>
  <c r="AH190" i="22"/>
  <c r="AJ190" i="22"/>
  <c r="AI191" i="22"/>
  <c r="F205" i="22" s="1"/>
  <c r="I205" i="22" s="1"/>
  <c r="AG191" i="22"/>
  <c r="AZ202" i="22" l="1"/>
  <c r="BA202" i="22"/>
  <c r="CB203" i="22"/>
  <c r="CE203" i="22"/>
  <c r="AV203" i="22"/>
  <c r="AW203" i="22" s="1"/>
  <c r="AX203" i="22" s="1"/>
  <c r="CF203" i="22" s="1"/>
  <c r="L205" i="22"/>
  <c r="AT205" i="22" s="1"/>
  <c r="H205" i="22"/>
  <c r="T204" i="22"/>
  <c r="AS204" i="22"/>
  <c r="AQ191" i="22"/>
  <c r="G219" i="22" s="1"/>
  <c r="J219" i="22" s="1"/>
  <c r="AR190" i="22"/>
  <c r="AO191" i="22"/>
  <c r="AP191" i="22" s="1"/>
  <c r="AH191" i="22"/>
  <c r="AI192" i="22"/>
  <c r="F206" i="22" s="1"/>
  <c r="I206" i="22" s="1"/>
  <c r="AJ191" i="22"/>
  <c r="AG192" i="22"/>
  <c r="BB202" i="22" l="1"/>
  <c r="AZ203" i="22"/>
  <c r="AR191" i="22"/>
  <c r="BA203" i="22"/>
  <c r="CB204" i="22"/>
  <c r="CE204" i="22"/>
  <c r="AV204" i="22"/>
  <c r="AW204" i="22" s="1"/>
  <c r="AX204" i="22" s="1"/>
  <c r="CF204" i="22" s="1"/>
  <c r="M219" i="22"/>
  <c r="H206" i="22"/>
  <c r="L206" i="22"/>
  <c r="AT206" i="22" s="1"/>
  <c r="AS205" i="22"/>
  <c r="T205" i="22"/>
  <c r="AQ192" i="22"/>
  <c r="G220" i="22" s="1"/>
  <c r="J220" i="22" s="1"/>
  <c r="AO192" i="22"/>
  <c r="AP192" i="22" s="1"/>
  <c r="AH192" i="22"/>
  <c r="AI193" i="22"/>
  <c r="F207" i="22" s="1"/>
  <c r="I207" i="22" s="1"/>
  <c r="AJ192" i="22"/>
  <c r="AG193" i="22"/>
  <c r="BB203" i="22" l="1"/>
  <c r="AZ204" i="22"/>
  <c r="BA204" i="22" s="1"/>
  <c r="BB204" i="22" s="1"/>
  <c r="CB205" i="22"/>
  <c r="CE205" i="22"/>
  <c r="AV205" i="22"/>
  <c r="AW205" i="22" s="1"/>
  <c r="AX205" i="22" s="1"/>
  <c r="CF205" i="22" s="1"/>
  <c r="M220" i="22"/>
  <c r="AS206" i="22"/>
  <c r="T206" i="22"/>
  <c r="H207" i="22"/>
  <c r="L207" i="22"/>
  <c r="AT207" i="22" s="1"/>
  <c r="AQ193" i="22"/>
  <c r="G221" i="22" s="1"/>
  <c r="J221" i="22" s="1"/>
  <c r="AR192" i="22"/>
  <c r="AO193" i="22"/>
  <c r="AP193" i="22" s="1"/>
  <c r="AR193" i="22"/>
  <c r="AH193" i="22"/>
  <c r="AJ193" i="22"/>
  <c r="AI194" i="22"/>
  <c r="F208" i="22" s="1"/>
  <c r="I208" i="22" s="1"/>
  <c r="AG194" i="22"/>
  <c r="AZ205" i="22" l="1"/>
  <c r="BA205" i="22" s="1"/>
  <c r="BB205" i="22" s="1"/>
  <c r="CB206" i="22"/>
  <c r="CE206" i="22"/>
  <c r="AV206" i="22"/>
  <c r="AW206" i="22" s="1"/>
  <c r="AX206" i="22" s="1"/>
  <c r="CF206" i="22" s="1"/>
  <c r="M221" i="22"/>
  <c r="L208" i="22"/>
  <c r="AT208" i="22" s="1"/>
  <c r="H208" i="22"/>
  <c r="T207" i="22"/>
  <c r="AS207" i="22"/>
  <c r="AQ194" i="22"/>
  <c r="G222" i="22" s="1"/>
  <c r="J222" i="22" s="1"/>
  <c r="AO194" i="22"/>
  <c r="AP194" i="22" s="1"/>
  <c r="AH194" i="22"/>
  <c r="AI195" i="22"/>
  <c r="F209" i="22" s="1"/>
  <c r="I209" i="22" s="1"/>
  <c r="AJ194" i="22"/>
  <c r="AG195" i="22"/>
  <c r="AZ206" i="22" l="1"/>
  <c r="BA206" i="22" s="1"/>
  <c r="BB206" i="22" s="1"/>
  <c r="CB207" i="22"/>
  <c r="CE207" i="22"/>
  <c r="AV207" i="22"/>
  <c r="AW207" i="22" s="1"/>
  <c r="AX207" i="22" s="1"/>
  <c r="CF207" i="22" s="1"/>
  <c r="M222" i="22"/>
  <c r="L209" i="22"/>
  <c r="AT209" i="22" s="1"/>
  <c r="H209" i="22"/>
  <c r="T208" i="22"/>
  <c r="AS208" i="22"/>
  <c r="AR194" i="22"/>
  <c r="AQ195" i="22"/>
  <c r="G223" i="22" s="1"/>
  <c r="J223" i="22" s="1"/>
  <c r="AO195" i="22"/>
  <c r="AP195" i="22" s="1"/>
  <c r="AH195" i="22"/>
  <c r="AJ195" i="22"/>
  <c r="AI196" i="22"/>
  <c r="F210" i="22" s="1"/>
  <c r="I210" i="22" s="1"/>
  <c r="AG196" i="22"/>
  <c r="AZ207" i="22" l="1"/>
  <c r="BA207" i="22"/>
  <c r="CB208" i="22"/>
  <c r="CE208" i="22"/>
  <c r="AV208" i="22"/>
  <c r="AW208" i="22" s="1"/>
  <c r="AX208" i="22" s="1"/>
  <c r="CF208" i="22" s="1"/>
  <c r="M223" i="22"/>
  <c r="AS209" i="22"/>
  <c r="T209" i="22"/>
  <c r="L210" i="22"/>
  <c r="AT210" i="22" s="1"/>
  <c r="H210" i="22"/>
  <c r="AR195" i="22"/>
  <c r="AQ196" i="22"/>
  <c r="G224" i="22" s="1"/>
  <c r="J224" i="22" s="1"/>
  <c r="AO196" i="22"/>
  <c r="AP196" i="22" s="1"/>
  <c r="AH196" i="22"/>
  <c r="AI197" i="22"/>
  <c r="F211" i="22" s="1"/>
  <c r="I211" i="22" s="1"/>
  <c r="AJ196" i="22"/>
  <c r="AG197" i="22"/>
  <c r="BB207" i="22" l="1"/>
  <c r="AZ208" i="22"/>
  <c r="BA208" i="22" s="1"/>
  <c r="BB208" i="22" s="1"/>
  <c r="CB209" i="22"/>
  <c r="CE209" i="22"/>
  <c r="AV209" i="22"/>
  <c r="AW209" i="22" s="1"/>
  <c r="AX209" i="22" s="1"/>
  <c r="CF209" i="22" s="1"/>
  <c r="M224" i="22"/>
  <c r="H211" i="22"/>
  <c r="L211" i="22"/>
  <c r="AT211" i="22" s="1"/>
  <c r="AS210" i="22"/>
  <c r="T210" i="22"/>
  <c r="AQ197" i="22"/>
  <c r="G225" i="22" s="1"/>
  <c r="J225" i="22" s="1"/>
  <c r="AR196" i="22"/>
  <c r="AO197" i="22"/>
  <c r="AP197" i="22" s="1"/>
  <c r="AH197" i="22"/>
  <c r="AJ197" i="22"/>
  <c r="AI198" i="22"/>
  <c r="F212" i="22" s="1"/>
  <c r="I212" i="22" s="1"/>
  <c r="AG198" i="22"/>
  <c r="AZ209" i="22" l="1"/>
  <c r="BA209" i="22"/>
  <c r="CB210" i="22"/>
  <c r="CE210" i="22"/>
  <c r="AV210" i="22"/>
  <c r="AW210" i="22" s="1"/>
  <c r="AX210" i="22" s="1"/>
  <c r="CF210" i="22" s="1"/>
  <c r="M225" i="22"/>
  <c r="H212" i="22"/>
  <c r="L212" i="22"/>
  <c r="AT212" i="22" s="1"/>
  <c r="AS211" i="22"/>
  <c r="T211" i="22"/>
  <c r="AQ198" i="22"/>
  <c r="G226" i="22" s="1"/>
  <c r="J226" i="22" s="1"/>
  <c r="AR197" i="22"/>
  <c r="AO198" i="22"/>
  <c r="AP198" i="22" s="1"/>
  <c r="AH198" i="22"/>
  <c r="AJ198" i="22"/>
  <c r="AI199" i="22"/>
  <c r="F213" i="22" s="1"/>
  <c r="I213" i="22" s="1"/>
  <c r="AG199" i="22"/>
  <c r="BB209" i="22" l="1"/>
  <c r="AZ210" i="22"/>
  <c r="BA210" i="22"/>
  <c r="CB211" i="22"/>
  <c r="CE211" i="22"/>
  <c r="AV211" i="22"/>
  <c r="AW211" i="22" s="1"/>
  <c r="AX211" i="22" s="1"/>
  <c r="CF211" i="22" s="1"/>
  <c r="M226" i="22"/>
  <c r="AS212" i="22"/>
  <c r="T212" i="22"/>
  <c r="L213" i="22"/>
  <c r="AT213" i="22" s="1"/>
  <c r="H213" i="22"/>
  <c r="AQ199" i="22"/>
  <c r="G227" i="22" s="1"/>
  <c r="J227" i="22" s="1"/>
  <c r="AR198" i="22"/>
  <c r="AO199" i="22"/>
  <c r="AP199" i="22" s="1"/>
  <c r="AH199" i="22"/>
  <c r="AI200" i="22"/>
  <c r="F214" i="22" s="1"/>
  <c r="I214" i="22" s="1"/>
  <c r="AJ199" i="22"/>
  <c r="AG200" i="22"/>
  <c r="BB210" i="22" l="1"/>
  <c r="AZ211" i="22"/>
  <c r="BA211" i="22" s="1"/>
  <c r="BB211" i="22" s="1"/>
  <c r="AR199" i="22"/>
  <c r="AQ200" i="22"/>
  <c r="CB212" i="22"/>
  <c r="CE212" i="22"/>
  <c r="AV212" i="22"/>
  <c r="AW212" i="22" s="1"/>
  <c r="AX212" i="22" s="1"/>
  <c r="CF212" i="22" s="1"/>
  <c r="M227" i="22"/>
  <c r="H214" i="22"/>
  <c r="L214" i="22"/>
  <c r="AT214" i="22" s="1"/>
  <c r="AS213" i="22"/>
  <c r="T213" i="22"/>
  <c r="AO200" i="22"/>
  <c r="AP200" i="22" s="1"/>
  <c r="AH200" i="22"/>
  <c r="AI201" i="22"/>
  <c r="F215" i="22" s="1"/>
  <c r="I215" i="22" s="1"/>
  <c r="AJ200" i="22"/>
  <c r="AG201" i="22"/>
  <c r="AZ212" i="22" l="1"/>
  <c r="BA212" i="22" s="1"/>
  <c r="BB212" i="22" s="1"/>
  <c r="G228" i="22"/>
  <c r="J228" i="22" s="1"/>
  <c r="CB213" i="22"/>
  <c r="CE213" i="22"/>
  <c r="AV213" i="22"/>
  <c r="AW213" i="22" s="1"/>
  <c r="AX213" i="22" s="1"/>
  <c r="CF213" i="22" s="1"/>
  <c r="T214" i="22"/>
  <c r="AS214" i="22"/>
  <c r="H215" i="22"/>
  <c r="L215" i="22"/>
  <c r="AT215" i="22" s="1"/>
  <c r="AQ201" i="22"/>
  <c r="G229" i="22" s="1"/>
  <c r="J229" i="22" s="1"/>
  <c r="AR200" i="22"/>
  <c r="AO201" i="22"/>
  <c r="AP201" i="22" s="1"/>
  <c r="AH201" i="22"/>
  <c r="AI202" i="22"/>
  <c r="F216" i="22" s="1"/>
  <c r="I216" i="22" s="1"/>
  <c r="AJ201" i="22"/>
  <c r="AG202" i="22"/>
  <c r="AZ213" i="22" l="1"/>
  <c r="M228" i="22"/>
  <c r="AQ202" i="22"/>
  <c r="G230" i="22" s="1"/>
  <c r="J230" i="22" s="1"/>
  <c r="AR201" i="22"/>
  <c r="BA213" i="22"/>
  <c r="CB214" i="22"/>
  <c r="CE214" i="22"/>
  <c r="AV214" i="22"/>
  <c r="AW214" i="22" s="1"/>
  <c r="AX214" i="22" s="1"/>
  <c r="CF214" i="22" s="1"/>
  <c r="M229" i="22"/>
  <c r="T215" i="22"/>
  <c r="AS215" i="22"/>
  <c r="H216" i="22"/>
  <c r="L216" i="22"/>
  <c r="AT216" i="22" s="1"/>
  <c r="AO202" i="22"/>
  <c r="AP202" i="22" s="1"/>
  <c r="AH202" i="22"/>
  <c r="AI203" i="22"/>
  <c r="F217" i="22" s="1"/>
  <c r="I217" i="22" s="1"/>
  <c r="AJ202" i="22"/>
  <c r="AG203" i="22"/>
  <c r="BB213" i="22" l="1"/>
  <c r="AZ214" i="22"/>
  <c r="M230" i="22"/>
  <c r="BA214" i="22"/>
  <c r="CB215" i="22"/>
  <c r="CE215" i="22"/>
  <c r="AV215" i="22"/>
  <c r="AW215" i="22" s="1"/>
  <c r="AX215" i="22" s="1"/>
  <c r="CF215" i="22" s="1"/>
  <c r="T216" i="22"/>
  <c r="AS216" i="22"/>
  <c r="H217" i="22"/>
  <c r="L217" i="22"/>
  <c r="AT217" i="22" s="1"/>
  <c r="AQ203" i="22"/>
  <c r="G231" i="22" s="1"/>
  <c r="J231" i="22" s="1"/>
  <c r="AR202" i="22"/>
  <c r="AO203" i="22"/>
  <c r="AP203" i="22" s="1"/>
  <c r="AH203" i="22"/>
  <c r="AI204" i="22"/>
  <c r="F218" i="22" s="1"/>
  <c r="I218" i="22" s="1"/>
  <c r="AJ203" i="22"/>
  <c r="AG204" i="22"/>
  <c r="BB214" i="22" l="1"/>
  <c r="AZ215" i="22"/>
  <c r="BA215" i="22" s="1"/>
  <c r="BB215" i="22" s="1"/>
  <c r="AR203" i="22"/>
  <c r="AQ204" i="22"/>
  <c r="G232" i="22" s="1"/>
  <c r="J232" i="22" s="1"/>
  <c r="CB216" i="22"/>
  <c r="CE216" i="22"/>
  <c r="AV216" i="22"/>
  <c r="AW216" i="22" s="1"/>
  <c r="AX216" i="22" s="1"/>
  <c r="CF216" i="22" s="1"/>
  <c r="M231" i="22"/>
  <c r="T217" i="22"/>
  <c r="AS217" i="22"/>
  <c r="L218" i="22"/>
  <c r="AT218" i="22" s="1"/>
  <c r="H218" i="22"/>
  <c r="AO204" i="22"/>
  <c r="AP204" i="22" s="1"/>
  <c r="AH204" i="22"/>
  <c r="AI205" i="22"/>
  <c r="F219" i="22" s="1"/>
  <c r="I219" i="22" s="1"/>
  <c r="AJ204" i="22"/>
  <c r="AG205" i="22"/>
  <c r="AZ216" i="22" l="1"/>
  <c r="M232" i="22"/>
  <c r="BA216" i="22"/>
  <c r="CB217" i="22"/>
  <c r="CE217" i="22"/>
  <c r="AV217" i="22"/>
  <c r="AW217" i="22" s="1"/>
  <c r="AX217" i="22" s="1"/>
  <c r="CF217" i="22" s="1"/>
  <c r="T218" i="22"/>
  <c r="AS218" i="22"/>
  <c r="H219" i="22"/>
  <c r="L219" i="22"/>
  <c r="AT219" i="22" s="1"/>
  <c r="AQ205" i="22"/>
  <c r="G233" i="22" s="1"/>
  <c r="J233" i="22" s="1"/>
  <c r="AR204" i="22"/>
  <c r="AO205" i="22"/>
  <c r="AP205" i="22" s="1"/>
  <c r="AH205" i="22"/>
  <c r="AI206" i="22"/>
  <c r="F220" i="22" s="1"/>
  <c r="I220" i="22" s="1"/>
  <c r="AJ205" i="22"/>
  <c r="AG206" i="22"/>
  <c r="BB216" i="22" l="1"/>
  <c r="AZ217" i="22"/>
  <c r="BA217" i="22" s="1"/>
  <c r="BB217" i="22" s="1"/>
  <c r="AQ206" i="22"/>
  <c r="CB218" i="22"/>
  <c r="CE218" i="22"/>
  <c r="AV218" i="22"/>
  <c r="AW218" i="22" s="1"/>
  <c r="AX218" i="22" s="1"/>
  <c r="CF218" i="22" s="1"/>
  <c r="M233" i="22"/>
  <c r="AS219" i="22"/>
  <c r="T219" i="22"/>
  <c r="H220" i="22"/>
  <c r="L220" i="22"/>
  <c r="AT220" i="22" s="1"/>
  <c r="AR205" i="22"/>
  <c r="AO206" i="22"/>
  <c r="AP206" i="22" s="1"/>
  <c r="AH206" i="22"/>
  <c r="AJ206" i="22"/>
  <c r="AI207" i="22"/>
  <c r="F221" i="22" s="1"/>
  <c r="I221" i="22" s="1"/>
  <c r="AG207" i="22"/>
  <c r="AZ218" i="22" l="1"/>
  <c r="G234" i="22"/>
  <c r="J234" i="22" s="1"/>
  <c r="BA218" i="22"/>
  <c r="CB219" i="22"/>
  <c r="CE219" i="22"/>
  <c r="AV219" i="22"/>
  <c r="AW219" i="22" s="1"/>
  <c r="AX219" i="22" s="1"/>
  <c r="CF219" i="22" s="1"/>
  <c r="H221" i="22"/>
  <c r="L221" i="22"/>
  <c r="AT221" i="22" s="1"/>
  <c r="T220" i="22"/>
  <c r="AS220" i="22"/>
  <c r="AQ207" i="22"/>
  <c r="G235" i="22" s="1"/>
  <c r="J235" i="22" s="1"/>
  <c r="AR206" i="22"/>
  <c r="AO207" i="22"/>
  <c r="AP207" i="22" s="1"/>
  <c r="AH207" i="22"/>
  <c r="AJ207" i="22"/>
  <c r="AI208" i="22"/>
  <c r="F222" i="22" s="1"/>
  <c r="I222" i="22" s="1"/>
  <c r="AG208" i="22"/>
  <c r="BB218" i="22" l="1"/>
  <c r="AZ219" i="22"/>
  <c r="BA219" i="22" s="1"/>
  <c r="BB219" i="22" s="1"/>
  <c r="M234" i="22"/>
  <c r="CB220" i="22"/>
  <c r="CE220" i="22"/>
  <c r="AV220" i="22"/>
  <c r="AW220" i="22" s="1"/>
  <c r="AX220" i="22" s="1"/>
  <c r="CF220" i="22" s="1"/>
  <c r="M235" i="22"/>
  <c r="AQ208" i="22"/>
  <c r="G236" i="22" s="1"/>
  <c r="J236" i="22" s="1"/>
  <c r="T221" i="22"/>
  <c r="AS221" i="22"/>
  <c r="L222" i="22"/>
  <c r="AT222" i="22" s="1"/>
  <c r="H222" i="22"/>
  <c r="AR207" i="22"/>
  <c r="AO208" i="22"/>
  <c r="AP208" i="22" s="1"/>
  <c r="AH208" i="22"/>
  <c r="AJ208" i="22"/>
  <c r="AI209" i="22"/>
  <c r="F223" i="22" s="1"/>
  <c r="I223" i="22" s="1"/>
  <c r="AG209" i="22"/>
  <c r="AZ220" i="22" l="1"/>
  <c r="BA220" i="22" s="1"/>
  <c r="BB220" i="22" s="1"/>
  <c r="CB221" i="22"/>
  <c r="CE221" i="22"/>
  <c r="AV221" i="22"/>
  <c r="AW221" i="22" s="1"/>
  <c r="AX221" i="22" s="1"/>
  <c r="CF221" i="22" s="1"/>
  <c r="M236" i="22"/>
  <c r="AS222" i="22"/>
  <c r="T222" i="22"/>
  <c r="H223" i="22"/>
  <c r="L223" i="22"/>
  <c r="AT223" i="22" s="1"/>
  <c r="AQ209" i="22"/>
  <c r="G237" i="22" s="1"/>
  <c r="J237" i="22" s="1"/>
  <c r="AR208" i="22"/>
  <c r="AO209" i="22"/>
  <c r="AP209" i="22" s="1"/>
  <c r="AH209" i="22"/>
  <c r="AJ209" i="22"/>
  <c r="AI210" i="22"/>
  <c r="F224" i="22" s="1"/>
  <c r="I224" i="22" s="1"/>
  <c r="AG210" i="22"/>
  <c r="AZ221" i="22" l="1"/>
  <c r="BA221" i="22" s="1"/>
  <c r="BB221" i="22" s="1"/>
  <c r="CB222" i="22"/>
  <c r="CE222" i="22"/>
  <c r="AV222" i="22"/>
  <c r="AW222" i="22" s="1"/>
  <c r="AX222" i="22" s="1"/>
  <c r="CF222" i="22" s="1"/>
  <c r="M237" i="22"/>
  <c r="AS223" i="22"/>
  <c r="T223" i="22"/>
  <c r="H224" i="22"/>
  <c r="L224" i="22"/>
  <c r="AT224" i="22" s="1"/>
  <c r="AR209" i="22"/>
  <c r="AQ210" i="22"/>
  <c r="G238" i="22" s="1"/>
  <c r="J238" i="22" s="1"/>
  <c r="AO210" i="22"/>
  <c r="AP210" i="22" s="1"/>
  <c r="AH210" i="22"/>
  <c r="AJ210" i="22"/>
  <c r="AI211" i="22"/>
  <c r="F225" i="22" s="1"/>
  <c r="I225" i="22" s="1"/>
  <c r="AG211" i="22"/>
  <c r="AZ222" i="22" l="1"/>
  <c r="BA222" i="22"/>
  <c r="CB223" i="22"/>
  <c r="CE223" i="22"/>
  <c r="AV223" i="22"/>
  <c r="AW223" i="22" s="1"/>
  <c r="AX223" i="22" s="1"/>
  <c r="CF223" i="22" s="1"/>
  <c r="M238" i="22"/>
  <c r="H225" i="22"/>
  <c r="L225" i="22"/>
  <c r="AT225" i="22" s="1"/>
  <c r="T224" i="22"/>
  <c r="AS224" i="22"/>
  <c r="AQ211" i="22"/>
  <c r="G239" i="22" s="1"/>
  <c r="J239" i="22" s="1"/>
  <c r="AR210" i="22"/>
  <c r="AO211" i="22"/>
  <c r="AP211" i="22" s="1"/>
  <c r="AH211" i="22"/>
  <c r="AI212" i="22"/>
  <c r="F226" i="22" s="1"/>
  <c r="I226" i="22" s="1"/>
  <c r="AJ211" i="22"/>
  <c r="AG212" i="22"/>
  <c r="BB222" i="22" l="1"/>
  <c r="AZ223" i="22"/>
  <c r="BA223" i="22"/>
  <c r="CB224" i="22"/>
  <c r="CE224" i="22"/>
  <c r="AV224" i="22"/>
  <c r="AW224" i="22" s="1"/>
  <c r="AX224" i="22" s="1"/>
  <c r="CF224" i="22" s="1"/>
  <c r="AQ212" i="22"/>
  <c r="G240" i="22" s="1"/>
  <c r="J240" i="22" s="1"/>
  <c r="M239" i="22"/>
  <c r="AR211" i="22"/>
  <c r="L226" i="22"/>
  <c r="AT226" i="22" s="1"/>
  <c r="H226" i="22"/>
  <c r="T225" i="22"/>
  <c r="AS225" i="22"/>
  <c r="AO212" i="22"/>
  <c r="AP212" i="22" s="1"/>
  <c r="AH212" i="22"/>
  <c r="AJ212" i="22"/>
  <c r="AI213" i="22"/>
  <c r="F227" i="22" s="1"/>
  <c r="I227" i="22" s="1"/>
  <c r="AG213" i="22"/>
  <c r="BB223" i="22" l="1"/>
  <c r="AZ224" i="22"/>
  <c r="BA224" i="22"/>
  <c r="CB225" i="22"/>
  <c r="CE225" i="22"/>
  <c r="AV225" i="22"/>
  <c r="AW225" i="22" s="1"/>
  <c r="AX225" i="22" s="1"/>
  <c r="CF225" i="22" s="1"/>
  <c r="M240" i="22"/>
  <c r="H227" i="22"/>
  <c r="L227" i="22"/>
  <c r="AT227" i="22" s="1"/>
  <c r="AS226" i="22"/>
  <c r="T226" i="22"/>
  <c r="AQ213" i="22"/>
  <c r="G241" i="22" s="1"/>
  <c r="J241" i="22" s="1"/>
  <c r="AR212" i="22"/>
  <c r="AO213" i="22"/>
  <c r="AP213" i="22" s="1"/>
  <c r="AH213" i="22"/>
  <c r="AJ213" i="22"/>
  <c r="AI214" i="22"/>
  <c r="F228" i="22" s="1"/>
  <c r="I228" i="22" s="1"/>
  <c r="AG214" i="22"/>
  <c r="BB224" i="22" l="1"/>
  <c r="AZ225" i="22"/>
  <c r="BA225" i="22" s="1"/>
  <c r="BB225" i="22" s="1"/>
  <c r="CB226" i="22"/>
  <c r="CE226" i="22"/>
  <c r="AV226" i="22"/>
  <c r="AW226" i="22" s="1"/>
  <c r="AX226" i="22" s="1"/>
  <c r="CF226" i="22" s="1"/>
  <c r="M241" i="22"/>
  <c r="H228" i="22"/>
  <c r="L228" i="22"/>
  <c r="AT228" i="22" s="1"/>
  <c r="T227" i="22"/>
  <c r="AS227" i="22"/>
  <c r="AR213" i="22"/>
  <c r="AQ214" i="22"/>
  <c r="G242" i="22" s="1"/>
  <c r="J242" i="22" s="1"/>
  <c r="AO214" i="22"/>
  <c r="AP214" i="22" s="1"/>
  <c r="AH214" i="22"/>
  <c r="AI215" i="22"/>
  <c r="F229" i="22" s="1"/>
  <c r="I229" i="22" s="1"/>
  <c r="AJ214" i="22"/>
  <c r="AG215" i="22"/>
  <c r="AZ226" i="22" l="1"/>
  <c r="BA226" i="22" s="1"/>
  <c r="BB226" i="22" s="1"/>
  <c r="CB227" i="22"/>
  <c r="CE227" i="22"/>
  <c r="AV227" i="22"/>
  <c r="AW227" i="22" s="1"/>
  <c r="AX227" i="22" s="1"/>
  <c r="CF227" i="22" s="1"/>
  <c r="M242" i="22"/>
  <c r="H229" i="22"/>
  <c r="L229" i="22"/>
  <c r="AT229" i="22" s="1"/>
  <c r="AS228" i="22"/>
  <c r="T228" i="22"/>
  <c r="AQ215" i="22"/>
  <c r="G243" i="22" s="1"/>
  <c r="J243" i="22" s="1"/>
  <c r="AR214" i="22"/>
  <c r="AO215" i="22"/>
  <c r="AP215" i="22" s="1"/>
  <c r="AH215" i="22"/>
  <c r="AJ215" i="22"/>
  <c r="AI216" i="22"/>
  <c r="F230" i="22" s="1"/>
  <c r="I230" i="22" s="1"/>
  <c r="AG216" i="22"/>
  <c r="AZ227" i="22" l="1"/>
  <c r="BA227" i="22"/>
  <c r="CB228" i="22"/>
  <c r="CE228" i="22"/>
  <c r="AV228" i="22"/>
  <c r="AW228" i="22" s="1"/>
  <c r="AX228" i="22" s="1"/>
  <c r="CF228" i="22" s="1"/>
  <c r="M243" i="22"/>
  <c r="T229" i="22"/>
  <c r="AS229" i="22"/>
  <c r="H230" i="22"/>
  <c r="L230" i="22"/>
  <c r="AT230" i="22" s="1"/>
  <c r="AR215" i="22"/>
  <c r="AQ216" i="22"/>
  <c r="G244" i="22" s="1"/>
  <c r="J244" i="22" s="1"/>
  <c r="AO216" i="22"/>
  <c r="AP216" i="22" s="1"/>
  <c r="AH216" i="22"/>
  <c r="AI217" i="22"/>
  <c r="F231" i="22" s="1"/>
  <c r="I231" i="22" s="1"/>
  <c r="AJ216" i="22"/>
  <c r="AG217" i="22"/>
  <c r="BB227" i="22" l="1"/>
  <c r="AZ228" i="22"/>
  <c r="BA228" i="22" s="1"/>
  <c r="BB228" i="22" s="1"/>
  <c r="CB229" i="22"/>
  <c r="CE229" i="22"/>
  <c r="AV229" i="22"/>
  <c r="AW229" i="22" s="1"/>
  <c r="AX229" i="22" s="1"/>
  <c r="CF229" i="22" s="1"/>
  <c r="M244" i="22"/>
  <c r="H231" i="22"/>
  <c r="L231" i="22"/>
  <c r="AT231" i="22" s="1"/>
  <c r="AS230" i="22"/>
  <c r="T230" i="22"/>
  <c r="AQ217" i="22"/>
  <c r="G245" i="22" s="1"/>
  <c r="J245" i="22" s="1"/>
  <c r="AR216" i="22"/>
  <c r="AO217" i="22"/>
  <c r="AP217" i="22" s="1"/>
  <c r="AR217" i="22"/>
  <c r="AH217" i="22"/>
  <c r="AI218" i="22"/>
  <c r="F232" i="22" s="1"/>
  <c r="I232" i="22" s="1"/>
  <c r="AJ217" i="22"/>
  <c r="AG218" i="22"/>
  <c r="AZ229" i="22" l="1"/>
  <c r="BA229" i="22"/>
  <c r="CB230" i="22"/>
  <c r="CE230" i="22"/>
  <c r="AV230" i="22"/>
  <c r="AW230" i="22" s="1"/>
  <c r="AX230" i="22" s="1"/>
  <c r="CF230" i="22" s="1"/>
  <c r="M245" i="22"/>
  <c r="H232" i="22"/>
  <c r="L232" i="22"/>
  <c r="AT232" i="22" s="1"/>
  <c r="T231" i="22"/>
  <c r="AS231" i="22"/>
  <c r="AQ218" i="22"/>
  <c r="G246" i="22" s="1"/>
  <c r="J246" i="22" s="1"/>
  <c r="AO218" i="22"/>
  <c r="AP218" i="22" s="1"/>
  <c r="AH218" i="22"/>
  <c r="AI219" i="22"/>
  <c r="F233" i="22" s="1"/>
  <c r="I233" i="22" s="1"/>
  <c r="AJ218" i="22"/>
  <c r="AG219" i="22"/>
  <c r="BB229" i="22" l="1"/>
  <c r="AZ230" i="22"/>
  <c r="BA230" i="22" s="1"/>
  <c r="BB230" i="22" s="1"/>
  <c r="CB231" i="22"/>
  <c r="CE231" i="22"/>
  <c r="AV231" i="22"/>
  <c r="AW231" i="22" s="1"/>
  <c r="AX231" i="22" s="1"/>
  <c r="CF231" i="22" s="1"/>
  <c r="M246" i="22"/>
  <c r="H233" i="22"/>
  <c r="L233" i="22"/>
  <c r="AT233" i="22" s="1"/>
  <c r="T232" i="22"/>
  <c r="AS232" i="22"/>
  <c r="AQ219" i="22"/>
  <c r="G247" i="22" s="1"/>
  <c r="J247" i="22" s="1"/>
  <c r="AR218" i="22"/>
  <c r="AO219" i="22"/>
  <c r="AP219" i="22" s="1"/>
  <c r="AH219" i="22"/>
  <c r="AJ219" i="22"/>
  <c r="AI220" i="22"/>
  <c r="F234" i="22" s="1"/>
  <c r="I234" i="22" s="1"/>
  <c r="AG220" i="22"/>
  <c r="AZ231" i="22" l="1"/>
  <c r="BA231" i="22" s="1"/>
  <c r="BB231" i="22" s="1"/>
  <c r="AR219" i="22"/>
  <c r="AQ220" i="22"/>
  <c r="CB232" i="22"/>
  <c r="CE232" i="22"/>
  <c r="AV232" i="22"/>
  <c r="AW232" i="22" s="1"/>
  <c r="AX232" i="22" s="1"/>
  <c r="CF232" i="22" s="1"/>
  <c r="M247" i="22"/>
  <c r="H234" i="22"/>
  <c r="L234" i="22"/>
  <c r="AT234" i="22" s="1"/>
  <c r="AS233" i="22"/>
  <c r="T233" i="22"/>
  <c r="AO220" i="22"/>
  <c r="AP220" i="22" s="1"/>
  <c r="AH220" i="22"/>
  <c r="AI221" i="22"/>
  <c r="F235" i="22" s="1"/>
  <c r="I235" i="22" s="1"/>
  <c r="AJ220" i="22"/>
  <c r="AG221" i="22"/>
  <c r="AZ232" i="22" l="1"/>
  <c r="G248" i="22"/>
  <c r="J248" i="22" s="1"/>
  <c r="BA232" i="22"/>
  <c r="CB233" i="22"/>
  <c r="CE233" i="22"/>
  <c r="AV233" i="22"/>
  <c r="AW233" i="22" s="1"/>
  <c r="AX233" i="22" s="1"/>
  <c r="CF233" i="22" s="1"/>
  <c r="H235" i="22"/>
  <c r="L235" i="22"/>
  <c r="AT235" i="22" s="1"/>
  <c r="AS234" i="22"/>
  <c r="T234" i="22"/>
  <c r="AQ221" i="22"/>
  <c r="G249" i="22" s="1"/>
  <c r="J249" i="22" s="1"/>
  <c r="AR220" i="22"/>
  <c r="AO221" i="22"/>
  <c r="AP221" i="22" s="1"/>
  <c r="AH221" i="22"/>
  <c r="AJ221" i="22"/>
  <c r="AI222" i="22"/>
  <c r="F236" i="22" s="1"/>
  <c r="I236" i="22" s="1"/>
  <c r="AG222" i="22"/>
  <c r="BB232" i="22" l="1"/>
  <c r="AZ233" i="22"/>
  <c r="BA233" i="22" s="1"/>
  <c r="BB233" i="22" s="1"/>
  <c r="M248" i="22"/>
  <c r="AQ222" i="22"/>
  <c r="CB234" i="22"/>
  <c r="CE234" i="22"/>
  <c r="AV234" i="22"/>
  <c r="AW234" i="22" s="1"/>
  <c r="AX234" i="22" s="1"/>
  <c r="CF234" i="22" s="1"/>
  <c r="M249" i="22"/>
  <c r="H236" i="22"/>
  <c r="L236" i="22"/>
  <c r="AT236" i="22" s="1"/>
  <c r="AS235" i="22"/>
  <c r="T235" i="22"/>
  <c r="AR221" i="22"/>
  <c r="AO222" i="22"/>
  <c r="AP222" i="22" s="1"/>
  <c r="AH222" i="22"/>
  <c r="AI223" i="22"/>
  <c r="F237" i="22" s="1"/>
  <c r="I237" i="22" s="1"/>
  <c r="AJ222" i="22"/>
  <c r="AG223" i="22"/>
  <c r="AZ234" i="22" l="1"/>
  <c r="BA234" i="22" s="1"/>
  <c r="BB234" i="22" s="1"/>
  <c r="G250" i="22"/>
  <c r="J250" i="22" s="1"/>
  <c r="CB235" i="22"/>
  <c r="CE235" i="22"/>
  <c r="AV235" i="22"/>
  <c r="AW235" i="22" s="1"/>
  <c r="AX235" i="22" s="1"/>
  <c r="CF235" i="22" s="1"/>
  <c r="H237" i="22"/>
  <c r="L237" i="22"/>
  <c r="AT237" i="22" s="1"/>
  <c r="AS236" i="22"/>
  <c r="T236" i="22"/>
  <c r="AQ223" i="22"/>
  <c r="AR222" i="22"/>
  <c r="AO223" i="22"/>
  <c r="AP223" i="22" s="1"/>
  <c r="AH223" i="22"/>
  <c r="AJ223" i="22"/>
  <c r="AI224" i="22"/>
  <c r="F238" i="22" s="1"/>
  <c r="I238" i="22" s="1"/>
  <c r="AG224" i="22"/>
  <c r="AZ235" i="22" l="1"/>
  <c r="M250" i="22"/>
  <c r="AR223" i="22"/>
  <c r="BA235" i="22"/>
  <c r="CB236" i="22"/>
  <c r="CE236" i="22"/>
  <c r="AV236" i="22"/>
  <c r="AW236" i="22" s="1"/>
  <c r="AX236" i="22" s="1"/>
  <c r="CF236" i="22" s="1"/>
  <c r="AQ224" i="22"/>
  <c r="AS237" i="22"/>
  <c r="T237" i="22"/>
  <c r="H238" i="22"/>
  <c r="L238" i="22"/>
  <c r="AT238" i="22" s="1"/>
  <c r="AO224" i="22"/>
  <c r="AP224" i="22" s="1"/>
  <c r="AH224" i="22"/>
  <c r="AJ224" i="22"/>
  <c r="AI225" i="22"/>
  <c r="F239" i="22" s="1"/>
  <c r="I239" i="22" s="1"/>
  <c r="AG225" i="22"/>
  <c r="BB235" i="22" l="1"/>
  <c r="AZ236" i="22"/>
  <c r="BA236" i="22"/>
  <c r="CB237" i="22"/>
  <c r="CE237" i="22"/>
  <c r="AV237" i="22"/>
  <c r="AW237" i="22" s="1"/>
  <c r="AX237" i="22" s="1"/>
  <c r="CF237" i="22" s="1"/>
  <c r="H239" i="22"/>
  <c r="L239" i="22"/>
  <c r="AT239" i="22" s="1"/>
  <c r="AS238" i="22"/>
  <c r="T238" i="22"/>
  <c r="AQ225" i="22"/>
  <c r="AR224" i="22"/>
  <c r="AO225" i="22"/>
  <c r="AP225" i="22" s="1"/>
  <c r="AH225" i="22"/>
  <c r="AJ225" i="22"/>
  <c r="AI226" i="22"/>
  <c r="F240" i="22" s="1"/>
  <c r="I240" i="22" s="1"/>
  <c r="AG226" i="22"/>
  <c r="BB236" i="22" l="1"/>
  <c r="AZ237" i="22"/>
  <c r="BA237" i="22" s="1"/>
  <c r="BB237" i="22" s="1"/>
  <c r="AR225" i="22"/>
  <c r="CB238" i="22"/>
  <c r="CE238" i="22"/>
  <c r="AV238" i="22"/>
  <c r="AW238" i="22" s="1"/>
  <c r="AX238" i="22" s="1"/>
  <c r="CF238" i="22" s="1"/>
  <c r="H240" i="22"/>
  <c r="L240" i="22"/>
  <c r="AT240" i="22" s="1"/>
  <c r="AS239" i="22"/>
  <c r="T239" i="22"/>
  <c r="AQ226" i="22"/>
  <c r="AO226" i="22"/>
  <c r="AP226" i="22" s="1"/>
  <c r="AH226" i="22"/>
  <c r="AI227" i="22"/>
  <c r="F241" i="22" s="1"/>
  <c r="I241" i="22" s="1"/>
  <c r="AJ226" i="22"/>
  <c r="AG227" i="22"/>
  <c r="AZ238" i="22" l="1"/>
  <c r="BA238" i="22" s="1"/>
  <c r="BB238" i="22" s="1"/>
  <c r="CB239" i="22"/>
  <c r="CE239" i="22"/>
  <c r="AV239" i="22"/>
  <c r="AW239" i="22" s="1"/>
  <c r="AX239" i="22" s="1"/>
  <c r="CF239" i="22" s="1"/>
  <c r="H241" i="22"/>
  <c r="L241" i="22"/>
  <c r="AT241" i="22" s="1"/>
  <c r="AS240" i="22"/>
  <c r="T240" i="22"/>
  <c r="AQ227" i="22"/>
  <c r="AR226" i="22"/>
  <c r="AO227" i="22"/>
  <c r="AP227" i="22" s="1"/>
  <c r="AH227" i="22"/>
  <c r="AI228" i="22"/>
  <c r="F242" i="22" s="1"/>
  <c r="I242" i="22" s="1"/>
  <c r="AJ227" i="22"/>
  <c r="AG228" i="22"/>
  <c r="AZ239" i="22" l="1"/>
  <c r="BA239" i="22"/>
  <c r="CB240" i="22"/>
  <c r="CE240" i="22"/>
  <c r="AV240" i="22"/>
  <c r="AW240" i="22" s="1"/>
  <c r="AX240" i="22" s="1"/>
  <c r="CF240" i="22" s="1"/>
  <c r="H242" i="22"/>
  <c r="L242" i="22"/>
  <c r="AT242" i="22" s="1"/>
  <c r="T241" i="22"/>
  <c r="AS241" i="22"/>
  <c r="AR227" i="22"/>
  <c r="AQ228" i="22"/>
  <c r="AO228" i="22"/>
  <c r="AP228" i="22" s="1"/>
  <c r="AH228" i="22"/>
  <c r="AI229" i="22"/>
  <c r="F243" i="22" s="1"/>
  <c r="I243" i="22" s="1"/>
  <c r="AJ228" i="22"/>
  <c r="AG229" i="22"/>
  <c r="BB239" i="22" l="1"/>
  <c r="AZ240" i="22"/>
  <c r="BA240" i="22"/>
  <c r="CB241" i="22"/>
  <c r="CE241" i="22"/>
  <c r="AV241" i="22"/>
  <c r="AW241" i="22" s="1"/>
  <c r="AX241" i="22" s="1"/>
  <c r="CF241" i="22" s="1"/>
  <c r="H243" i="22"/>
  <c r="L243" i="22"/>
  <c r="AT243" i="22" s="1"/>
  <c r="AS242" i="22"/>
  <c r="T242" i="22"/>
  <c r="AQ229" i="22"/>
  <c r="AR228" i="22"/>
  <c r="AO229" i="22"/>
  <c r="AP229" i="22" s="1"/>
  <c r="AH229" i="22"/>
  <c r="AJ229" i="22"/>
  <c r="AI230" i="22"/>
  <c r="F244" i="22" s="1"/>
  <c r="I244" i="22" s="1"/>
  <c r="AG230" i="22"/>
  <c r="BB240" i="22" l="1"/>
  <c r="AZ241" i="22"/>
  <c r="BA241" i="22" s="1"/>
  <c r="BB241" i="22" s="1"/>
  <c r="AR229" i="22"/>
  <c r="AQ230" i="22"/>
  <c r="CB242" i="22"/>
  <c r="CE242" i="22"/>
  <c r="AV242" i="22"/>
  <c r="AW242" i="22" s="1"/>
  <c r="AX242" i="22" s="1"/>
  <c r="CF242" i="22" s="1"/>
  <c r="H244" i="22"/>
  <c r="L244" i="22"/>
  <c r="AT244" i="22" s="1"/>
  <c r="T243" i="22"/>
  <c r="AS243" i="22"/>
  <c r="AO230" i="22"/>
  <c r="AP230" i="22" s="1"/>
  <c r="AH230" i="22"/>
  <c r="AI231" i="22"/>
  <c r="F245" i="22" s="1"/>
  <c r="I245" i="22" s="1"/>
  <c r="AJ230" i="22"/>
  <c r="AG231" i="22"/>
  <c r="AZ242" i="22" l="1"/>
  <c r="BA242" i="22"/>
  <c r="CB243" i="22"/>
  <c r="CE243" i="22"/>
  <c r="AV243" i="22"/>
  <c r="AW243" i="22" s="1"/>
  <c r="AX243" i="22" s="1"/>
  <c r="CF243" i="22" s="1"/>
  <c r="L245" i="22"/>
  <c r="AT245" i="22" s="1"/>
  <c r="H245" i="22"/>
  <c r="AS244" i="22"/>
  <c r="T244" i="22"/>
  <c r="AQ231" i="22"/>
  <c r="AR230" i="22"/>
  <c r="AO231" i="22"/>
  <c r="AP231" i="22" s="1"/>
  <c r="AH231" i="22"/>
  <c r="AJ231" i="22"/>
  <c r="AI232" i="22"/>
  <c r="F246" i="22" s="1"/>
  <c r="I246" i="22" s="1"/>
  <c r="AG232" i="22"/>
  <c r="BB242" i="22" l="1"/>
  <c r="AZ243" i="22"/>
  <c r="AR231" i="22"/>
  <c r="BA243" i="22"/>
  <c r="CB244" i="22"/>
  <c r="CE244" i="22"/>
  <c r="AV244" i="22"/>
  <c r="AW244" i="22" s="1"/>
  <c r="AX244" i="22" s="1"/>
  <c r="CF244" i="22" s="1"/>
  <c r="AQ232" i="22"/>
  <c r="H246" i="22"/>
  <c r="L246" i="22"/>
  <c r="AT246" i="22" s="1"/>
  <c r="T245" i="22"/>
  <c r="AS245" i="22"/>
  <c r="AO232" i="22"/>
  <c r="AP232" i="22" s="1"/>
  <c r="AH232" i="22"/>
  <c r="AI233" i="22"/>
  <c r="F247" i="22" s="1"/>
  <c r="I247" i="22" s="1"/>
  <c r="AJ232" i="22"/>
  <c r="AG233" i="22"/>
  <c r="BB243" i="22" l="1"/>
  <c r="AZ244" i="22"/>
  <c r="BA244" i="22" s="1"/>
  <c r="BB244" i="22" s="1"/>
  <c r="CB245" i="22"/>
  <c r="CE245" i="22"/>
  <c r="AV245" i="22"/>
  <c r="AW245" i="22" s="1"/>
  <c r="AX245" i="22" s="1"/>
  <c r="CF245" i="22" s="1"/>
  <c r="H247" i="22"/>
  <c r="L247" i="22"/>
  <c r="AT247" i="22" s="1"/>
  <c r="T246" i="22"/>
  <c r="AS246" i="22"/>
  <c r="AQ233" i="22"/>
  <c r="AR232" i="22"/>
  <c r="AO233" i="22"/>
  <c r="AP233" i="22" s="1"/>
  <c r="AH233" i="22"/>
  <c r="AI234" i="22"/>
  <c r="F248" i="22" s="1"/>
  <c r="I248" i="22" s="1"/>
  <c r="AJ233" i="22"/>
  <c r="AG234" i="22"/>
  <c r="AZ245" i="22" l="1"/>
  <c r="BA245" i="22" s="1"/>
  <c r="BB245" i="22" s="1"/>
  <c r="AQ234" i="22"/>
  <c r="AR233" i="22"/>
  <c r="CB246" i="22"/>
  <c r="CE246" i="22"/>
  <c r="AV246" i="22"/>
  <c r="AW246" i="22" s="1"/>
  <c r="AX246" i="22" s="1"/>
  <c r="CF246" i="22" s="1"/>
  <c r="H248" i="22"/>
  <c r="L248" i="22"/>
  <c r="AT248" i="22" s="1"/>
  <c r="AS247" i="22"/>
  <c r="T247" i="22"/>
  <c r="AO234" i="22"/>
  <c r="AP234" i="22" s="1"/>
  <c r="AH234" i="22"/>
  <c r="AI235" i="22"/>
  <c r="F249" i="22" s="1"/>
  <c r="I249" i="22" s="1"/>
  <c r="AJ234" i="22"/>
  <c r="AG235" i="22"/>
  <c r="AZ246" i="22" l="1"/>
  <c r="BA246" i="22"/>
  <c r="CB247" i="22"/>
  <c r="CE247" i="22"/>
  <c r="AV247" i="22"/>
  <c r="AW247" i="22" s="1"/>
  <c r="AX247" i="22" s="1"/>
  <c r="CF247" i="22" s="1"/>
  <c r="L249" i="22"/>
  <c r="AT249" i="22" s="1"/>
  <c r="H249" i="22"/>
  <c r="T248" i="22"/>
  <c r="AS248" i="22"/>
  <c r="AQ235" i="22"/>
  <c r="AR234" i="22"/>
  <c r="AO235" i="22"/>
  <c r="AP235" i="22" s="1"/>
  <c r="AH235" i="22"/>
  <c r="AJ235" i="22"/>
  <c r="AI236" i="22"/>
  <c r="F250" i="22" s="1"/>
  <c r="I250" i="22" s="1"/>
  <c r="AG236" i="22"/>
  <c r="BB246" i="22" l="1"/>
  <c r="AZ247" i="22"/>
  <c r="BA247" i="22" s="1"/>
  <c r="BB247" i="22" s="1"/>
  <c r="AR235" i="22"/>
  <c r="CB248" i="22"/>
  <c r="CE248" i="22"/>
  <c r="AV248" i="22"/>
  <c r="AW248" i="22" s="1"/>
  <c r="AX248" i="22" s="1"/>
  <c r="CF248" i="22" s="1"/>
  <c r="AQ236" i="22"/>
  <c r="H250" i="22"/>
  <c r="L250" i="22"/>
  <c r="AT250" i="22" s="1"/>
  <c r="AS249" i="22"/>
  <c r="T249" i="22"/>
  <c r="AO236" i="22"/>
  <c r="AP236" i="22" s="1"/>
  <c r="AH236" i="22"/>
  <c r="AI237" i="22"/>
  <c r="AJ236" i="22"/>
  <c r="AG237" i="22"/>
  <c r="AZ248" i="22" l="1"/>
  <c r="BA248" i="22" s="1"/>
  <c r="BB248" i="22" s="1"/>
  <c r="CB249" i="22"/>
  <c r="CE249" i="22"/>
  <c r="AV249" i="22"/>
  <c r="AW249" i="22" s="1"/>
  <c r="AX249" i="22" s="1"/>
  <c r="CF249" i="22" s="1"/>
  <c r="T250" i="22"/>
  <c r="AS250" i="22"/>
  <c r="AQ237" i="22"/>
  <c r="AR236" i="22"/>
  <c r="AO237" i="22"/>
  <c r="AP237" i="22" s="1"/>
  <c r="AH237" i="22"/>
  <c r="AJ237" i="22"/>
  <c r="AI238" i="22"/>
  <c r="AG238" i="22"/>
  <c r="AZ249" i="22" l="1"/>
  <c r="BA249" i="22" s="1"/>
  <c r="BB249" i="22" s="1"/>
  <c r="CB250" i="22"/>
  <c r="CB96" i="22" s="1"/>
  <c r="CA96" i="22" s="1"/>
  <c r="CE250" i="22"/>
  <c r="AV250" i="22"/>
  <c r="AW250" i="22" s="1"/>
  <c r="AX250" i="22" s="1"/>
  <c r="CF250" i="22" s="1"/>
  <c r="CF96" i="22" s="1"/>
  <c r="AQ238" i="22"/>
  <c r="AR237" i="22"/>
  <c r="AO238" i="22"/>
  <c r="AP238" i="22" s="1"/>
  <c r="AH238" i="22"/>
  <c r="AJ238" i="22"/>
  <c r="AI239" i="22"/>
  <c r="AG239" i="22"/>
  <c r="AZ250" i="22" l="1"/>
  <c r="BA250" i="22" s="1"/>
  <c r="BB250" i="22" s="1"/>
  <c r="CE96" i="22"/>
  <c r="CF97" i="22"/>
  <c r="CB97" i="22"/>
  <c r="CD165" i="22"/>
  <c r="CD164" i="22"/>
  <c r="CD219" i="22"/>
  <c r="CD151" i="22"/>
  <c r="CD127" i="22"/>
  <c r="CD214" i="22"/>
  <c r="CD170" i="22"/>
  <c r="CD189" i="22"/>
  <c r="CD181" i="22"/>
  <c r="CD182" i="22"/>
  <c r="CD184" i="22"/>
  <c r="CD220" i="22"/>
  <c r="CD117" i="22"/>
  <c r="CD243" i="22"/>
  <c r="CD198" i="22"/>
  <c r="CD195" i="22"/>
  <c r="CD234" i="22"/>
  <c r="CD207" i="22"/>
  <c r="CD217" i="22"/>
  <c r="CD175" i="22"/>
  <c r="CD228" i="22"/>
  <c r="CD102" i="22"/>
  <c r="CD146" i="22"/>
  <c r="CD152" i="22"/>
  <c r="CD199" i="22"/>
  <c r="CD142" i="22"/>
  <c r="CD230" i="22"/>
  <c r="CD225" i="22"/>
  <c r="CD155" i="22"/>
  <c r="CD148" i="22"/>
  <c r="CD221" i="22"/>
  <c r="CD156" i="22"/>
  <c r="CD137" i="22"/>
  <c r="CD231" i="22"/>
  <c r="CD190" i="22"/>
  <c r="CD242" i="22"/>
  <c r="CD120" i="22"/>
  <c r="CD109" i="22"/>
  <c r="CD157" i="22"/>
  <c r="CD249" i="22"/>
  <c r="CD204" i="22"/>
  <c r="CD135" i="22"/>
  <c r="CD124" i="22"/>
  <c r="CD145" i="22"/>
  <c r="CD160" i="22"/>
  <c r="CD118" i="22"/>
  <c r="CD129" i="22"/>
  <c r="CD163" i="22"/>
  <c r="CD154" i="22"/>
  <c r="CD105" i="22"/>
  <c r="CD226" i="22"/>
  <c r="CD150" i="22"/>
  <c r="CD196" i="22"/>
  <c r="CD235" i="22"/>
  <c r="CD205" i="22"/>
  <c r="CD200" i="22"/>
  <c r="CD216" i="22"/>
  <c r="CD208" i="22"/>
  <c r="CD104" i="22"/>
  <c r="CD211" i="22"/>
  <c r="CD237" i="22"/>
  <c r="CD131" i="22"/>
  <c r="CD223" i="22"/>
  <c r="CD103" i="22"/>
  <c r="CD238" i="22"/>
  <c r="CD138" i="22"/>
  <c r="CD162" i="22"/>
  <c r="CD130" i="22"/>
  <c r="CD192" i="22"/>
  <c r="CD115" i="22"/>
  <c r="CD239" i="22"/>
  <c r="CD122" i="22"/>
  <c r="CD153" i="22"/>
  <c r="CD236" i="22"/>
  <c r="CD173" i="22"/>
  <c r="CD121" i="22"/>
  <c r="CD215" i="22"/>
  <c r="CD167" i="22"/>
  <c r="CD114" i="22"/>
  <c r="CD174" i="22"/>
  <c r="CD233" i="22"/>
  <c r="CD171" i="22"/>
  <c r="CD197" i="22"/>
  <c r="CD212" i="22"/>
  <c r="CD183" i="22"/>
  <c r="CD244" i="22"/>
  <c r="CD101" i="22"/>
  <c r="CD119" i="22"/>
  <c r="CD187" i="22"/>
  <c r="CD161" i="22"/>
  <c r="CD188" i="22"/>
  <c r="CD194" i="22"/>
  <c r="CD201" i="22"/>
  <c r="CD144" i="22"/>
  <c r="CD248" i="22"/>
  <c r="CD202" i="22"/>
  <c r="CD191" i="22"/>
  <c r="CD134" i="22"/>
  <c r="CD241" i="22"/>
  <c r="CD210" i="22"/>
  <c r="CD147" i="22"/>
  <c r="CD108" i="22"/>
  <c r="CD229" i="22"/>
  <c r="CD232" i="22"/>
  <c r="CD100" i="22"/>
  <c r="CD177" i="22"/>
  <c r="CD158" i="22"/>
  <c r="CD176" i="22"/>
  <c r="CD222" i="22"/>
  <c r="CD240" i="22"/>
  <c r="CD168" i="22"/>
  <c r="CD126" i="22"/>
  <c r="CD246" i="22"/>
  <c r="CD186" i="22"/>
  <c r="CD203" i="22"/>
  <c r="CD209" i="22"/>
  <c r="CD132" i="22"/>
  <c r="CD111" i="22"/>
  <c r="CD206" i="22"/>
  <c r="CD149" i="22"/>
  <c r="CD245" i="22"/>
  <c r="CD224" i="22"/>
  <c r="CD125" i="22"/>
  <c r="CD227" i="22"/>
  <c r="CD116" i="22"/>
  <c r="CD123" i="22"/>
  <c r="CD110" i="22"/>
  <c r="CD139" i="22"/>
  <c r="CD166" i="22"/>
  <c r="CD112" i="22"/>
  <c r="CD128" i="22"/>
  <c r="CD218" i="22"/>
  <c r="CD106" i="22"/>
  <c r="CD180" i="22"/>
  <c r="CD140" i="22"/>
  <c r="CA97" i="22"/>
  <c r="CD136" i="22"/>
  <c r="CD178" i="22"/>
  <c r="CD250" i="22"/>
  <c r="CD172" i="22"/>
  <c r="CD113" i="22"/>
  <c r="CD107" i="22"/>
  <c r="CD159" i="22"/>
  <c r="CD143" i="22"/>
  <c r="CD185" i="22"/>
  <c r="CD141" i="22"/>
  <c r="CD247" i="22"/>
  <c r="CD193" i="22"/>
  <c r="CD169" i="22"/>
  <c r="CD179" i="22"/>
  <c r="CD213" i="22"/>
  <c r="CD133" i="22"/>
  <c r="AQ239" i="22"/>
  <c r="AR238" i="22"/>
  <c r="AO239" i="22"/>
  <c r="AP239" i="22" s="1"/>
  <c r="AH239" i="22"/>
  <c r="AI240" i="22"/>
  <c r="AJ239" i="22"/>
  <c r="AG240" i="22"/>
  <c r="CH175" i="22" l="1"/>
  <c r="CH182" i="22"/>
  <c r="CH179" i="22"/>
  <c r="CH113" i="22"/>
  <c r="CH184" i="22"/>
  <c r="CH139" i="22"/>
  <c r="CH241" i="22"/>
  <c r="CH224" i="22"/>
  <c r="CH108" i="22"/>
  <c r="CH181" i="22"/>
  <c r="CH151" i="22"/>
  <c r="CH116" i="22"/>
  <c r="CH144" i="22"/>
  <c r="CH191" i="22"/>
  <c r="CH211" i="22"/>
  <c r="CH199" i="22"/>
  <c r="CH158" i="22"/>
  <c r="CH171" i="22"/>
  <c r="CH178" i="22"/>
  <c r="CH159" i="22"/>
  <c r="CH170" i="22"/>
  <c r="CH164" i="22"/>
  <c r="CH249" i="22"/>
  <c r="CH236" i="22"/>
  <c r="CH136" i="22"/>
  <c r="CH194" i="22"/>
  <c r="CH133" i="22"/>
  <c r="CH117" i="22"/>
  <c r="CH227" i="22"/>
  <c r="CH129" i="22"/>
  <c r="CH147" i="22"/>
  <c r="CH185" i="22"/>
  <c r="CH242" i="22"/>
  <c r="CH157" i="22"/>
  <c r="CH135" i="22"/>
  <c r="CH140" i="22"/>
  <c r="CH229" i="22"/>
  <c r="CH183" i="22"/>
  <c r="CH202" i="22"/>
  <c r="CH235" i="22"/>
  <c r="CH165" i="22"/>
  <c r="CH208" i="22"/>
  <c r="CH200" i="22"/>
  <c r="CH213" i="22"/>
  <c r="CH203" i="22"/>
  <c r="CH125" i="22"/>
  <c r="CH207" i="22"/>
  <c r="CH239" i="22"/>
  <c r="CH131" i="22"/>
  <c r="CH127" i="22"/>
  <c r="CH138" i="22"/>
  <c r="CH134" i="22"/>
  <c r="CH204" i="22"/>
  <c r="CH218" i="22"/>
  <c r="CH143" i="22"/>
  <c r="CH163" i="22"/>
  <c r="CH154" i="22"/>
  <c r="CH234" i="22"/>
  <c r="CH111" i="22"/>
  <c r="CH206" i="22"/>
  <c r="CH130" i="22"/>
  <c r="CH114" i="22"/>
  <c r="CH221" i="22"/>
  <c r="CH176" i="22"/>
  <c r="CH148" i="22"/>
  <c r="CH132" i="22"/>
  <c r="CH245" i="22"/>
  <c r="CH215" i="22"/>
  <c r="CH105" i="22"/>
  <c r="CH180" i="22"/>
  <c r="CH122" i="22"/>
  <c r="CH192" i="22"/>
  <c r="CH246" i="22"/>
  <c r="CH222" i="22"/>
  <c r="CH152" i="22"/>
  <c r="CH198" i="22"/>
  <c r="CH250" i="22"/>
  <c r="CH120" i="22"/>
  <c r="CH188" i="22"/>
  <c r="CH189" i="22"/>
  <c r="CH186" i="22"/>
  <c r="CH209" i="22"/>
  <c r="CH195" i="22"/>
  <c r="CH196" i="22"/>
  <c r="CH112" i="22"/>
  <c r="CH228" i="22"/>
  <c r="CH187" i="22"/>
  <c r="CH210" i="22"/>
  <c r="CH173" i="22"/>
  <c r="CH212" i="22"/>
  <c r="CH161" i="22"/>
  <c r="CH106" i="22"/>
  <c r="CH142" i="22"/>
  <c r="CH115" i="22"/>
  <c r="CH121" i="22"/>
  <c r="CH123" i="22"/>
  <c r="CH201" i="22"/>
  <c r="CH124" i="22"/>
  <c r="CH225" i="22"/>
  <c r="CH248" i="22"/>
  <c r="CH230" i="22"/>
  <c r="CH231" i="22"/>
  <c r="CH153" i="22"/>
  <c r="CH162" i="22"/>
  <c r="CH137" i="22"/>
  <c r="CH237" i="22"/>
  <c r="CH102" i="22"/>
  <c r="CH104" i="22"/>
  <c r="CH217" i="22"/>
  <c r="CH110" i="22"/>
  <c r="CH156" i="22"/>
  <c r="CE97" i="22"/>
  <c r="CH220" i="22"/>
  <c r="CH226" i="22"/>
  <c r="CH190" i="22"/>
  <c r="CH233" i="22"/>
  <c r="CH118" i="22"/>
  <c r="CH169" i="22"/>
  <c r="CH145" i="22"/>
  <c r="CH146" i="22"/>
  <c r="CH119" i="22"/>
  <c r="CH243" i="22"/>
  <c r="CH223" i="22"/>
  <c r="CH107" i="22"/>
  <c r="CH219" i="22"/>
  <c r="CH101" i="22"/>
  <c r="CH216" i="22"/>
  <c r="CH160" i="22"/>
  <c r="CH197" i="22"/>
  <c r="CH240" i="22"/>
  <c r="CH168" i="22"/>
  <c r="CH177" i="22"/>
  <c r="CH244" i="22"/>
  <c r="CH214" i="22"/>
  <c r="CH174" i="22"/>
  <c r="CH238" i="22"/>
  <c r="CH100" i="22"/>
  <c r="CH149" i="22"/>
  <c r="CH193" i="22"/>
  <c r="CH141" i="22"/>
  <c r="CH150" i="22"/>
  <c r="CH232" i="22"/>
  <c r="CH166" i="22"/>
  <c r="CH155" i="22"/>
  <c r="CH205" i="22"/>
  <c r="CH128" i="22"/>
  <c r="CH103" i="22"/>
  <c r="CH247" i="22"/>
  <c r="CH126" i="22"/>
  <c r="CH167" i="22"/>
  <c r="CH109" i="22"/>
  <c r="CH172" i="22"/>
  <c r="AQ240" i="22"/>
  <c r="AR239" i="22"/>
  <c r="AO240" i="22"/>
  <c r="AP240" i="22" s="1"/>
  <c r="AH240" i="22"/>
  <c r="AJ240" i="22"/>
  <c r="AI241" i="22"/>
  <c r="AG241" i="22"/>
  <c r="AQ241" i="22" l="1"/>
  <c r="AR240" i="22"/>
  <c r="AO241" i="22"/>
  <c r="AP241" i="22" s="1"/>
  <c r="AH241" i="22"/>
  <c r="AJ241" i="22"/>
  <c r="AI242" i="22"/>
  <c r="AG242" i="22"/>
  <c r="AQ242" i="22" l="1"/>
  <c r="AR241" i="22"/>
  <c r="AO242" i="22"/>
  <c r="AP242" i="22" s="1"/>
  <c r="AH242" i="22"/>
  <c r="AI243" i="22"/>
  <c r="AJ242" i="22"/>
  <c r="AG243" i="22"/>
  <c r="AQ243" i="22" l="1"/>
  <c r="AR242" i="22"/>
  <c r="AO243" i="22"/>
  <c r="AP243" i="22" s="1"/>
  <c r="AQ244" i="22"/>
  <c r="AH243" i="22"/>
  <c r="AI244" i="22"/>
  <c r="AJ243" i="22"/>
  <c r="AG244" i="22"/>
  <c r="AR243" i="22" l="1"/>
  <c r="AO244" i="22"/>
  <c r="AP244" i="22" s="1"/>
  <c r="AH244" i="22"/>
  <c r="AJ244" i="22"/>
  <c r="AI245" i="22"/>
  <c r="AG245" i="22"/>
  <c r="AQ245" i="22" l="1"/>
  <c r="AR244" i="22"/>
  <c r="AO245" i="22"/>
  <c r="AP245" i="22" s="1"/>
  <c r="AH245" i="22"/>
  <c r="AI246" i="22"/>
  <c r="AJ245" i="22"/>
  <c r="AG246" i="22"/>
  <c r="AR245" i="22" l="1"/>
  <c r="AQ246" i="22"/>
  <c r="AO246" i="22"/>
  <c r="AP246" i="22" s="1"/>
  <c r="AH246" i="22"/>
  <c r="AI247" i="22"/>
  <c r="AJ246" i="22"/>
  <c r="AG247" i="22"/>
  <c r="AQ247" i="22" l="1"/>
  <c r="AR246" i="22"/>
  <c r="AO247" i="22"/>
  <c r="AP247" i="22" s="1"/>
  <c r="AQ248" i="22"/>
  <c r="AR247" i="22"/>
  <c r="AH247" i="22"/>
  <c r="AI248" i="22"/>
  <c r="AJ247" i="22"/>
  <c r="AG248" i="22"/>
  <c r="AO248" i="22" l="1"/>
  <c r="AP248" i="22" s="1"/>
  <c r="AH248" i="22"/>
  <c r="AI249" i="22"/>
  <c r="AJ248" i="22"/>
  <c r="AG249" i="22"/>
  <c r="AQ249" i="22" l="1"/>
  <c r="AR248" i="22"/>
  <c r="AO249" i="22"/>
  <c r="AP249" i="22" s="1"/>
  <c r="AR249" i="22"/>
  <c r="AH249" i="22"/>
  <c r="AI250" i="22"/>
  <c r="AJ249" i="22"/>
  <c r="AG250" i="22"/>
  <c r="AQ250" i="22" l="1"/>
  <c r="AO250" i="22"/>
  <c r="AP250" i="22" s="1"/>
  <c r="AH250" i="22"/>
  <c r="AJ250" i="22"/>
  <c r="AR250" i="22" l="1"/>
  <c r="CF100" i="27"/>
  <c r="CF133" i="27"/>
  <c r="CF102" i="27"/>
  <c r="CF137" i="27"/>
  <c r="CF123" i="27"/>
  <c r="CF138" i="27"/>
  <c r="CF130" i="27"/>
  <c r="CF101" i="27"/>
  <c r="CF104" i="27"/>
  <c r="CF110" i="27"/>
  <c r="CF139" i="27"/>
  <c r="CF112" i="27"/>
  <c r="CF136" i="27"/>
  <c r="CF108" i="27"/>
  <c r="CF122" i="27"/>
  <c r="CF119" i="27"/>
  <c r="CF118" i="27"/>
  <c r="CF106" i="27"/>
  <c r="CF127" i="27"/>
  <c r="CF115" i="27"/>
  <c r="CF109" i="27"/>
  <c r="CF129" i="27"/>
  <c r="CF135" i="27"/>
  <c r="CF111" i="27"/>
  <c r="CF131" i="27"/>
  <c r="CF120" i="27"/>
  <c r="CF132" i="27"/>
  <c r="CF134" i="27"/>
  <c r="CF125" i="27"/>
  <c r="CF117" i="27"/>
  <c r="CF128" i="27"/>
  <c r="CF124" i="27"/>
  <c r="CF107" i="27"/>
  <c r="CF114" i="27"/>
  <c r="CF121" i="27"/>
  <c r="CF105" i="27"/>
  <c r="CF126" i="27"/>
  <c r="CF116" i="27"/>
  <c r="CF113" i="27"/>
  <c r="CF103" i="27"/>
  <c r="F71" i="27"/>
  <c r="F69" i="27"/>
  <c r="P12" i="29"/>
  <c r="CF96" i="27" l="1"/>
  <c r="CE96" i="27" s="1"/>
  <c r="CF97" i="27" l="1"/>
  <c r="CH110" i="27"/>
  <c r="CH200" i="27"/>
  <c r="CH172" i="27"/>
  <c r="CH196" i="27"/>
  <c r="CH207" i="27"/>
  <c r="CH158" i="27"/>
  <c r="CH236" i="27"/>
  <c r="CH117" i="27"/>
  <c r="CH112" i="27"/>
  <c r="CH208" i="27"/>
  <c r="CH217" i="27"/>
  <c r="CH114" i="27"/>
  <c r="CH123" i="27"/>
  <c r="CH213" i="27"/>
  <c r="CH224" i="27"/>
  <c r="CH134" i="27"/>
  <c r="CH235" i="27"/>
  <c r="CH139" i="27"/>
  <c r="CH149" i="27"/>
  <c r="CH100" i="27"/>
  <c r="CH145" i="27"/>
  <c r="CH201" i="27"/>
  <c r="CH161" i="27"/>
  <c r="CE97" i="27"/>
  <c r="CH111" i="27"/>
  <c r="CH164" i="27"/>
  <c r="CH186" i="27"/>
  <c r="CH209" i="27"/>
  <c r="CH203" i="27"/>
  <c r="CH166" i="27"/>
  <c r="CH181" i="27"/>
  <c r="CH126" i="27"/>
  <c r="CH142" i="27"/>
  <c r="CH230" i="27"/>
  <c r="CH152" i="27"/>
  <c r="CH119" i="27"/>
  <c r="CH105" i="27"/>
  <c r="CH212" i="27"/>
  <c r="CH171" i="27"/>
  <c r="CH188" i="27"/>
  <c r="CH133" i="27"/>
  <c r="CH129" i="27"/>
  <c r="CH221" i="27"/>
  <c r="CH127" i="27"/>
  <c r="CH175" i="27"/>
  <c r="CH156" i="27"/>
  <c r="CH182" i="27"/>
  <c r="CH205" i="27"/>
  <c r="CH183" i="27"/>
  <c r="CH223" i="27"/>
  <c r="CH115" i="27"/>
  <c r="CH118" i="27"/>
  <c r="CH179" i="27"/>
  <c r="CH107" i="27"/>
  <c r="CH132" i="27"/>
  <c r="CH239" i="27"/>
  <c r="CH191" i="27"/>
  <c r="CH148" i="27"/>
  <c r="CH244" i="27"/>
  <c r="CH206" i="27"/>
  <c r="CH173" i="27"/>
  <c r="CH241" i="27"/>
  <c r="CH146" i="27"/>
  <c r="CH229" i="27"/>
  <c r="CH237" i="27"/>
  <c r="CH249" i="27"/>
  <c r="CH246" i="27"/>
  <c r="CH234" i="27"/>
  <c r="CH245" i="27"/>
  <c r="CH184" i="27"/>
  <c r="CH227" i="27"/>
  <c r="CH210" i="27"/>
  <c r="CH109" i="27"/>
  <c r="CH104" i="27"/>
  <c r="CH198" i="27"/>
  <c r="CH176" i="27"/>
  <c r="CH218" i="27"/>
  <c r="CH233" i="27"/>
  <c r="CH219" i="27"/>
  <c r="CH194" i="27"/>
  <c r="CH116" i="27"/>
  <c r="CH177" i="27"/>
  <c r="CH140" i="27"/>
  <c r="CH157" i="27"/>
  <c r="CH202" i="27"/>
  <c r="CH225" i="27"/>
  <c r="CH243" i="27"/>
  <c r="CH215" i="27"/>
  <c r="CH174" i="27"/>
  <c r="CH204" i="27"/>
  <c r="CH228" i="27"/>
  <c r="CH222" i="27"/>
  <c r="CH211" i="27"/>
  <c r="CH162" i="27"/>
  <c r="CH130" i="27"/>
  <c r="CH120" i="27"/>
  <c r="CH141" i="27"/>
  <c r="CH125" i="27"/>
  <c r="CH195" i="27"/>
  <c r="CH163" i="27"/>
  <c r="CH151" i="27"/>
  <c r="CH193" i="27"/>
  <c r="CH154" i="27"/>
  <c r="CH108" i="27"/>
  <c r="CH216" i="27"/>
  <c r="CH106" i="27"/>
  <c r="CH226" i="27"/>
  <c r="CH199" i="27"/>
  <c r="CH232" i="27"/>
  <c r="CH242" i="27"/>
  <c r="CH159" i="27"/>
  <c r="CH153" i="27"/>
  <c r="CH189" i="27"/>
  <c r="CH192" i="27"/>
  <c r="CH165" i="27"/>
  <c r="CH135" i="27"/>
  <c r="CH150" i="27"/>
  <c r="CH240" i="27"/>
  <c r="CH136" i="27"/>
  <c r="CH250" i="27"/>
  <c r="CH168" i="27"/>
  <c r="CH178" i="27"/>
  <c r="CH185" i="27"/>
  <c r="CH170" i="27"/>
  <c r="CH124" i="27"/>
  <c r="CH214" i="27"/>
  <c r="CH231" i="27"/>
  <c r="CH102" i="27"/>
  <c r="CH121" i="27"/>
  <c r="CH220" i="27"/>
  <c r="CH190" i="27"/>
  <c r="CH187" i="27"/>
  <c r="CH137" i="27"/>
  <c r="CH113" i="27"/>
  <c r="CH147" i="27"/>
  <c r="CH101" i="27"/>
  <c r="CH247" i="27"/>
  <c r="CH103" i="27"/>
  <c r="CH143" i="27"/>
  <c r="CH197" i="27"/>
  <c r="CH131" i="27"/>
  <c r="CH167" i="27"/>
  <c r="CH144" i="27"/>
  <c r="CH180" i="27"/>
  <c r="CH238" i="27"/>
  <c r="CH128" i="27"/>
  <c r="CH155" i="27"/>
  <c r="CH160" i="27"/>
  <c r="CH169" i="27"/>
  <c r="CH122" i="27"/>
  <c r="CH138" i="27"/>
  <c r="CH248" i="27"/>
</calcChain>
</file>

<file path=xl/sharedStrings.xml><?xml version="1.0" encoding="utf-8"?>
<sst xmlns="http://schemas.openxmlformats.org/spreadsheetml/2006/main" count="2592" uniqueCount="364">
  <si>
    <t>長期水域ＰＥＣ計算シート</t>
    <rPh sb="0" eb="2">
      <t>チョウキ</t>
    </rPh>
    <rPh sb="2" eb="4">
      <t>スイイキ</t>
    </rPh>
    <rPh sb="7" eb="9">
      <t>ケイサン</t>
    </rPh>
    <phoneticPr fontId="3"/>
  </si>
  <si>
    <t>入力要求項目</t>
    <rPh sb="0" eb="2">
      <t>ニュウリョク</t>
    </rPh>
    <rPh sb="2" eb="4">
      <t>ヨウキュウ</t>
    </rPh>
    <rPh sb="4" eb="6">
      <t>コウモク</t>
    </rPh>
    <phoneticPr fontId="3"/>
  </si>
  <si>
    <t>任意（該当があれば入力）</t>
    <rPh sb="0" eb="2">
      <t>ニンイ</t>
    </rPh>
    <rPh sb="3" eb="5">
      <t>ガイトウ</t>
    </rPh>
    <rPh sb="9" eb="11">
      <t>ニュウリョク</t>
    </rPh>
    <phoneticPr fontId="3"/>
  </si>
  <si>
    <r>
      <t>PEC(μ</t>
    </r>
    <r>
      <rPr>
        <b/>
        <sz val="9.35"/>
        <rFont val="ＭＳ Ｐゴシック"/>
        <family val="3"/>
        <charset val="128"/>
      </rPr>
      <t>g/L</t>
    </r>
    <r>
      <rPr>
        <b/>
        <sz val="11"/>
        <rFont val="ＭＳ Ｐゴシック"/>
        <family val="3"/>
        <charset val="128"/>
      </rPr>
      <t>)算出結果</t>
    </r>
    <phoneticPr fontId="3"/>
  </si>
  <si>
    <t>計算シートへのリンク</t>
    <rPh sb="0" eb="2">
      <t>ケイサン</t>
    </rPh>
    <phoneticPr fontId="3"/>
  </si>
  <si>
    <t>備考</t>
    <rPh sb="0" eb="2">
      <t>ビコウ</t>
    </rPh>
    <phoneticPr fontId="3"/>
  </si>
  <si>
    <t>計算結果（変更不可）</t>
    <rPh sb="0" eb="2">
      <t>ケイサン</t>
    </rPh>
    <rPh sb="2" eb="4">
      <t>ケッカ</t>
    </rPh>
    <rPh sb="5" eb="7">
      <t>ヘンコウ</t>
    </rPh>
    <rPh sb="7" eb="9">
      <t>フカ</t>
    </rPh>
    <phoneticPr fontId="3"/>
  </si>
  <si>
    <t>第１段階</t>
    <rPh sb="0" eb="1">
      <t>ダイ</t>
    </rPh>
    <rPh sb="2" eb="4">
      <t>ダンカイ</t>
    </rPh>
    <phoneticPr fontId="3"/>
  </si>
  <si>
    <t>水田</t>
    <rPh sb="0" eb="2">
      <t>スイデン</t>
    </rPh>
    <phoneticPr fontId="3"/>
  </si>
  <si>
    <t>地上防除</t>
    <rPh sb="0" eb="2">
      <t>チジョウ</t>
    </rPh>
    <rPh sb="2" eb="4">
      <t>ボウジョ</t>
    </rPh>
    <phoneticPr fontId="3"/>
  </si>
  <si>
    <t>No.1</t>
    <phoneticPr fontId="3"/>
  </si>
  <si>
    <t>農薬名</t>
    <rPh sb="0" eb="3">
      <t>ノウヤクメイ</t>
    </rPh>
    <phoneticPr fontId="3"/>
  </si>
  <si>
    <t>航空防除</t>
    <rPh sb="0" eb="2">
      <t>コウクウ</t>
    </rPh>
    <rPh sb="2" eb="4">
      <t>ボウジョ</t>
    </rPh>
    <phoneticPr fontId="3"/>
  </si>
  <si>
    <t>使用方法（水田のみ＝０, 非水田のみ＝１, 水田及び非水田＝２）</t>
    <rPh sb="0" eb="4">
      <t>シヨウホウホウ</t>
    </rPh>
    <rPh sb="5" eb="7">
      <t>スイデン</t>
    </rPh>
    <rPh sb="13" eb="16">
      <t>ヒスイデン</t>
    </rPh>
    <rPh sb="22" eb="24">
      <t>スイデン</t>
    </rPh>
    <rPh sb="24" eb="25">
      <t>オヨ</t>
    </rPh>
    <rPh sb="26" eb="29">
      <t>ヒスイデン</t>
    </rPh>
    <phoneticPr fontId="3"/>
  </si>
  <si>
    <t>非水田</t>
    <rPh sb="0" eb="1">
      <t>ヒ</t>
    </rPh>
    <rPh sb="1" eb="3">
      <t>スイデン</t>
    </rPh>
    <phoneticPr fontId="3"/>
  </si>
  <si>
    <t>No.2</t>
    <phoneticPr fontId="3"/>
  </si>
  <si>
    <t>水田（第２段階、地上防除、魚類）（有り＝１、無し＝０）</t>
    <rPh sb="0" eb="2">
      <t>スイデン</t>
    </rPh>
    <rPh sb="3" eb="4">
      <t>ダイ</t>
    </rPh>
    <rPh sb="5" eb="7">
      <t>ダンカイ</t>
    </rPh>
    <rPh sb="8" eb="12">
      <t>チジョウボウジョ</t>
    </rPh>
    <rPh sb="13" eb="15">
      <t>ギョルイ</t>
    </rPh>
    <rPh sb="17" eb="18">
      <t>ア</t>
    </rPh>
    <rPh sb="22" eb="23">
      <t>ナ</t>
    </rPh>
    <phoneticPr fontId="3"/>
  </si>
  <si>
    <t>土壌中減衰を考慮</t>
    <rPh sb="0" eb="3">
      <t>ドジョウチュウ</t>
    </rPh>
    <rPh sb="3" eb="5">
      <t>ゲンスイ</t>
    </rPh>
    <rPh sb="6" eb="8">
      <t>コウリョ</t>
    </rPh>
    <phoneticPr fontId="3"/>
  </si>
  <si>
    <t>水田（第２段階、航空防除、魚類）（有り＝１、無し＝０）</t>
    <rPh sb="0" eb="2">
      <t>スイデン</t>
    </rPh>
    <rPh sb="3" eb="4">
      <t>ダイ</t>
    </rPh>
    <rPh sb="5" eb="7">
      <t>ダンカイ</t>
    </rPh>
    <rPh sb="8" eb="10">
      <t>コウクウ</t>
    </rPh>
    <rPh sb="10" eb="12">
      <t>ボウジョ</t>
    </rPh>
    <rPh sb="13" eb="15">
      <t>ギョルイ</t>
    </rPh>
    <rPh sb="17" eb="18">
      <t>ア</t>
    </rPh>
    <rPh sb="22" eb="23">
      <t>ナ</t>
    </rPh>
    <phoneticPr fontId="3"/>
  </si>
  <si>
    <t>水田（第２段階、地上防除、甲殻類等）（有り＝１、無し＝０）</t>
    <rPh sb="0" eb="2">
      <t>スイデン</t>
    </rPh>
    <rPh sb="3" eb="4">
      <t>ダイ</t>
    </rPh>
    <rPh sb="5" eb="7">
      <t>ダンカイ</t>
    </rPh>
    <rPh sb="8" eb="12">
      <t>チジョウボウジョ</t>
    </rPh>
    <rPh sb="13" eb="17">
      <t>コウカクルイトウ</t>
    </rPh>
    <rPh sb="19" eb="20">
      <t>ア</t>
    </rPh>
    <rPh sb="24" eb="25">
      <t>ナ</t>
    </rPh>
    <phoneticPr fontId="3"/>
  </si>
  <si>
    <t>水田（第２段階、航空防除、甲殻類等）（有り＝１、無し＝０）</t>
    <rPh sb="0" eb="2">
      <t>スイデン</t>
    </rPh>
    <rPh sb="3" eb="4">
      <t>ダイ</t>
    </rPh>
    <rPh sb="5" eb="7">
      <t>ダンカイ</t>
    </rPh>
    <rPh sb="8" eb="10">
      <t>コウクウ</t>
    </rPh>
    <rPh sb="10" eb="12">
      <t>ボウジョ</t>
    </rPh>
    <rPh sb="13" eb="17">
      <t>コウカクルイトウ</t>
    </rPh>
    <rPh sb="19" eb="20">
      <t>ア</t>
    </rPh>
    <rPh sb="24" eb="25">
      <t>ナ</t>
    </rPh>
    <phoneticPr fontId="3"/>
  </si>
  <si>
    <t>第２段階
（魚類）</t>
    <rPh sb="0" eb="1">
      <t>ダイ</t>
    </rPh>
    <rPh sb="2" eb="4">
      <t>ダンカイ</t>
    </rPh>
    <rPh sb="6" eb="8">
      <t>ギョルイ</t>
    </rPh>
    <phoneticPr fontId="3"/>
  </si>
  <si>
    <t>No.3</t>
    <phoneticPr fontId="3"/>
  </si>
  <si>
    <t>No.4</t>
    <phoneticPr fontId="3"/>
  </si>
  <si>
    <t>2つのシートの大きい方のPECを表示。括弧内は該当するシートNo.。</t>
    <rPh sb="7" eb="8">
      <t>オオ</t>
    </rPh>
    <rPh sb="10" eb="11">
      <t>ホウ</t>
    </rPh>
    <rPh sb="16" eb="18">
      <t>ヒョウジ</t>
    </rPh>
    <rPh sb="19" eb="21">
      <t>カッコ</t>
    </rPh>
    <rPh sb="21" eb="22">
      <t>ナイ</t>
    </rPh>
    <rPh sb="23" eb="25">
      <t>ガイトウ</t>
    </rPh>
    <phoneticPr fontId="3"/>
  </si>
  <si>
    <t>非水田（第２段階、魚類）（有り＝１、無し＝０）</t>
    <rPh sb="0" eb="3">
      <t>ヒスイデン</t>
    </rPh>
    <rPh sb="4" eb="5">
      <t>ダイ</t>
    </rPh>
    <rPh sb="6" eb="8">
      <t>ダンカイ</t>
    </rPh>
    <rPh sb="9" eb="11">
      <t>ギョルイ</t>
    </rPh>
    <rPh sb="13" eb="14">
      <t>ア</t>
    </rPh>
    <rPh sb="18" eb="19">
      <t>ナ</t>
    </rPh>
    <phoneticPr fontId="3"/>
  </si>
  <si>
    <t>No.5</t>
    <phoneticPr fontId="3"/>
  </si>
  <si>
    <t>No.6</t>
    <phoneticPr fontId="3"/>
  </si>
  <si>
    <t>非水田（第２段階、甲殻類等）（有り＝１、無し＝０）</t>
    <rPh sb="0" eb="3">
      <t>ヒスイデン</t>
    </rPh>
    <rPh sb="4" eb="5">
      <t>ダイ</t>
    </rPh>
    <rPh sb="6" eb="8">
      <t>ダンカイ</t>
    </rPh>
    <rPh sb="9" eb="13">
      <t>コウカクルイトウ</t>
    </rPh>
    <rPh sb="15" eb="16">
      <t>ア</t>
    </rPh>
    <rPh sb="20" eb="21">
      <t>ナ</t>
    </rPh>
    <phoneticPr fontId="3"/>
  </si>
  <si>
    <t>No.7</t>
    <phoneticPr fontId="3"/>
  </si>
  <si>
    <t>水田（第１段階）</t>
    <rPh sb="0" eb="2">
      <t>スイデン</t>
    </rPh>
    <rPh sb="3" eb="4">
      <t>ダイ</t>
    </rPh>
    <rPh sb="5" eb="7">
      <t>ダンカイ</t>
    </rPh>
    <phoneticPr fontId="3"/>
  </si>
  <si>
    <t>計算シート：</t>
    <rPh sb="0" eb="2">
      <t>ケイサン</t>
    </rPh>
    <phoneticPr fontId="3"/>
  </si>
  <si>
    <t>単回の農薬使用量(g/ha)</t>
    <rPh sb="0" eb="2">
      <t>タンカイ</t>
    </rPh>
    <rPh sb="3" eb="5">
      <t>ノウヤク</t>
    </rPh>
    <rPh sb="5" eb="8">
      <t>シヨウリョウ</t>
    </rPh>
    <phoneticPr fontId="3"/>
  </si>
  <si>
    <t>第２段階
（甲殻類等）</t>
    <rPh sb="0" eb="1">
      <t>ダイ</t>
    </rPh>
    <rPh sb="2" eb="4">
      <t>ダンカイ</t>
    </rPh>
    <rPh sb="6" eb="10">
      <t>コウカクルイトウ</t>
    </rPh>
    <phoneticPr fontId="3"/>
  </si>
  <si>
    <t>No.8</t>
    <phoneticPr fontId="3"/>
  </si>
  <si>
    <t>No.9</t>
    <phoneticPr fontId="3"/>
  </si>
  <si>
    <t>評価期間中の使用回数（１～２回）</t>
    <rPh sb="0" eb="5">
      <t>ヒョウカキカンチュウ</t>
    </rPh>
    <rPh sb="6" eb="8">
      <t>シヨウ</t>
    </rPh>
    <rPh sb="8" eb="10">
      <t>カイスウ</t>
    </rPh>
    <phoneticPr fontId="3"/>
  </si>
  <si>
    <t>No.10</t>
    <phoneticPr fontId="3"/>
  </si>
  <si>
    <t>No.11</t>
    <phoneticPr fontId="3"/>
  </si>
  <si>
    <t>ドリフト（有り＝１，無し＝０）</t>
    <rPh sb="5" eb="6">
      <t>ア</t>
    </rPh>
    <rPh sb="10" eb="11">
      <t>ナ</t>
    </rPh>
    <phoneticPr fontId="3"/>
  </si>
  <si>
    <t>No.12</t>
    <phoneticPr fontId="3"/>
  </si>
  <si>
    <t>水田における施用法による農薬流出補正係数</t>
    <phoneticPr fontId="3"/>
  </si>
  <si>
    <t>地上防除（湛水散布＝１、茎葉散布＝0.5、箱処理＝0.2）</t>
    <phoneticPr fontId="3"/>
  </si>
  <si>
    <t>fp</t>
    <phoneticPr fontId="3"/>
  </si>
  <si>
    <t>航空防除（茎葉＝0.3，茎葉以外＝１）</t>
    <rPh sb="0" eb="2">
      <t>コウクウ</t>
    </rPh>
    <rPh sb="2" eb="4">
      <t>ボウジョ</t>
    </rPh>
    <phoneticPr fontId="3"/>
  </si>
  <si>
    <t>水田（第２段階、地上防除）</t>
    <rPh sb="0" eb="2">
      <t>スイデン</t>
    </rPh>
    <rPh sb="3" eb="4">
      <t>ダイ</t>
    </rPh>
    <rPh sb="5" eb="7">
      <t>ダンカイ</t>
    </rPh>
    <rPh sb="8" eb="12">
      <t>チジョウボウジョ</t>
    </rPh>
    <phoneticPr fontId="3"/>
  </si>
  <si>
    <t>計算シート（魚類）：</t>
    <rPh sb="0" eb="2">
      <t>ケイサン</t>
    </rPh>
    <rPh sb="6" eb="8">
      <t>ギョルイ</t>
    </rPh>
    <phoneticPr fontId="3"/>
  </si>
  <si>
    <t>計算シート（甲殻類等）：</t>
    <rPh sb="0" eb="2">
      <t>ケイサン</t>
    </rPh>
    <rPh sb="6" eb="9">
      <t>コウカクルイ</t>
    </rPh>
    <rPh sb="9" eb="10">
      <t>トウ</t>
    </rPh>
    <phoneticPr fontId="3"/>
  </si>
  <si>
    <t>評価期間中の使用回数</t>
    <rPh sb="0" eb="5">
      <t>ヒョウカキカンチュウ</t>
    </rPh>
    <rPh sb="6" eb="8">
      <t>シヨウ</t>
    </rPh>
    <rPh sb="8" eb="10">
      <t>カイスウ</t>
    </rPh>
    <phoneticPr fontId="3"/>
  </si>
  <si>
    <t>魚類</t>
    <rPh sb="0" eb="2">
      <t>ギョルイ</t>
    </rPh>
    <phoneticPr fontId="3"/>
  </si>
  <si>
    <t>評価期間が21-27日の場合：１～２
評価期間が28-40日の場合：１～３</t>
    <rPh sb="0" eb="2">
      <t>ヒョウカ</t>
    </rPh>
    <rPh sb="2" eb="4">
      <t>キカン</t>
    </rPh>
    <rPh sb="10" eb="11">
      <t>ニチ</t>
    </rPh>
    <rPh sb="19" eb="21">
      <t>ヒョウカ</t>
    </rPh>
    <rPh sb="21" eb="23">
      <t>キカン</t>
    </rPh>
    <rPh sb="29" eb="30">
      <t>ニチ</t>
    </rPh>
    <phoneticPr fontId="3"/>
  </si>
  <si>
    <t>甲殻類等</t>
    <rPh sb="0" eb="3">
      <t>コウカクルイ</t>
    </rPh>
    <rPh sb="3" eb="4">
      <t>トウ</t>
    </rPh>
    <phoneticPr fontId="3"/>
  </si>
  <si>
    <t>１～２</t>
    <phoneticPr fontId="3"/>
  </si>
  <si>
    <t>農薬流出補正係数
（湛水散布＝１、茎葉散布＝0.5、箱処理＝0.2）</t>
    <rPh sb="0" eb="2">
      <t>ノウヤク</t>
    </rPh>
    <rPh sb="2" eb="4">
      <t>リュウシュツ</t>
    </rPh>
    <rPh sb="4" eb="6">
      <t>ホセイ</t>
    </rPh>
    <rPh sb="6" eb="8">
      <t>ケイスウ</t>
    </rPh>
    <rPh sb="10" eb="12">
      <t>タンスイ</t>
    </rPh>
    <rPh sb="12" eb="14">
      <t>サンプ</t>
    </rPh>
    <rPh sb="17" eb="18">
      <t>クキ</t>
    </rPh>
    <rPh sb="18" eb="19">
      <t>ハ</t>
    </rPh>
    <rPh sb="19" eb="21">
      <t>サンプ</t>
    </rPh>
    <rPh sb="26" eb="27">
      <t>ハコ</t>
    </rPh>
    <rPh sb="27" eb="29">
      <t>ショリ</t>
    </rPh>
    <phoneticPr fontId="3"/>
  </si>
  <si>
    <t xml:space="preserve">作物栽培条件で登録申請に係る方法で施用した場合には、流出補正係数は適用しない。 </t>
    <phoneticPr fontId="3"/>
  </si>
  <si>
    <t>ドリフト（有り＝１、無し＝０）</t>
    <phoneticPr fontId="3"/>
  </si>
  <si>
    <t>止水期間（day）</t>
    <rPh sb="0" eb="4">
      <t>シスイキカン</t>
    </rPh>
    <phoneticPr fontId="3"/>
  </si>
  <si>
    <t>設定しない場合は「０」</t>
    <rPh sb="0" eb="2">
      <t>セッテイ</t>
    </rPh>
    <rPh sb="5" eb="7">
      <t>バアイ</t>
    </rPh>
    <phoneticPr fontId="3"/>
  </si>
  <si>
    <t>評価期間（day）</t>
    <rPh sb="0" eb="4">
      <t>ヒョウカキカン</t>
    </rPh>
    <phoneticPr fontId="3"/>
  </si>
  <si>
    <t>21～40日</t>
    <rPh sb="5" eb="6">
      <t>ニチ</t>
    </rPh>
    <phoneticPr fontId="3"/>
  </si>
  <si>
    <t>土壌有機炭素吸着定数（cm3/g）</t>
    <rPh sb="0" eb="2">
      <t>ドジョウ</t>
    </rPh>
    <rPh sb="2" eb="4">
      <t>ユウキ</t>
    </rPh>
    <rPh sb="4" eb="6">
      <t>タンソ</t>
    </rPh>
    <rPh sb="6" eb="8">
      <t>キュウチャク</t>
    </rPh>
    <rPh sb="8" eb="10">
      <t>ジョウスウ</t>
    </rPh>
    <phoneticPr fontId="3"/>
  </si>
  <si>
    <t>水質汚濁性試験結果</t>
    <phoneticPr fontId="3"/>
  </si>
  <si>
    <t>試験区１</t>
    <rPh sb="0" eb="3">
      <t>シケンク</t>
    </rPh>
    <phoneticPr fontId="3"/>
  </si>
  <si>
    <r>
      <t xml:space="preserve">水質汚濁性試験の試験条件
</t>
    </r>
    <r>
      <rPr>
        <sz val="8"/>
        <rFont val="ＭＳ Ｐゴシック"/>
        <family val="3"/>
        <charset val="128"/>
      </rPr>
      <t>※水質汚濁性試験における被験物質の取扱い及び施用（登録申請に係る剤型、使用方法（時期、量等）等）等をご記載ください。</t>
    </r>
    <phoneticPr fontId="3"/>
  </si>
  <si>
    <t>測定日
（経過日数）</t>
    <rPh sb="0" eb="2">
      <t>ソクテイ</t>
    </rPh>
    <rPh sb="2" eb="3">
      <t>ビ</t>
    </rPh>
    <rPh sb="5" eb="7">
      <t>ケイカ</t>
    </rPh>
    <rPh sb="7" eb="9">
      <t>ニッスウ</t>
    </rPh>
    <phoneticPr fontId="3"/>
  </si>
  <si>
    <t>水質汚濁性試験結果(mg/l)測定値</t>
    <phoneticPr fontId="3"/>
  </si>
  <si>
    <t>試験区２</t>
    <rPh sb="0" eb="3">
      <t>シケンク</t>
    </rPh>
    <phoneticPr fontId="3"/>
  </si>
  <si>
    <t>水田（第２段階、航空防除）</t>
    <rPh sb="0" eb="2">
      <t>スイデン</t>
    </rPh>
    <rPh sb="3" eb="4">
      <t>ダイ</t>
    </rPh>
    <rPh sb="5" eb="7">
      <t>ダンカイ</t>
    </rPh>
    <rPh sb="8" eb="10">
      <t>コウクウ</t>
    </rPh>
    <rPh sb="10" eb="12">
      <t>ボウジョ</t>
    </rPh>
    <phoneticPr fontId="3"/>
  </si>
  <si>
    <t>農薬流出補正係数
（茎葉散布＝0.3、上記以外＝１）</t>
    <rPh sb="0" eb="2">
      <t>ノウヤク</t>
    </rPh>
    <rPh sb="2" eb="4">
      <t>リュウシュツ</t>
    </rPh>
    <rPh sb="4" eb="6">
      <t>ホセイ</t>
    </rPh>
    <rPh sb="6" eb="8">
      <t>ケイスウ</t>
    </rPh>
    <rPh sb="10" eb="11">
      <t>クキ</t>
    </rPh>
    <rPh sb="11" eb="12">
      <t>ハ</t>
    </rPh>
    <rPh sb="12" eb="14">
      <t>サンプ</t>
    </rPh>
    <rPh sb="19" eb="21">
      <t>ジョウキ</t>
    </rPh>
    <rPh sb="21" eb="23">
      <t>イガイ</t>
    </rPh>
    <phoneticPr fontId="3"/>
  </si>
  <si>
    <t>非水田（第１段階）</t>
    <rPh sb="0" eb="3">
      <t>ヒスイデン</t>
    </rPh>
    <rPh sb="4" eb="5">
      <t>ダイ</t>
    </rPh>
    <rPh sb="6" eb="8">
      <t>ダンカイ</t>
    </rPh>
    <phoneticPr fontId="3"/>
  </si>
  <si>
    <r>
      <t>単回の農薬</t>
    </r>
    <r>
      <rPr>
        <sz val="11"/>
        <rFont val="ＭＳ Ｐゴシック"/>
        <family val="3"/>
        <charset val="128"/>
      </rPr>
      <t>使用量(g/ha)</t>
    </r>
    <rPh sb="0" eb="2">
      <t>タンカイ</t>
    </rPh>
    <rPh sb="3" eb="5">
      <t>ノウヤク</t>
    </rPh>
    <rPh sb="5" eb="8">
      <t>シヨウリョウ</t>
    </rPh>
    <phoneticPr fontId="3"/>
  </si>
  <si>
    <t>農薬流出補正係数</t>
    <rPh sb="0" eb="2">
      <t>ノウヤク</t>
    </rPh>
    <rPh sb="2" eb="4">
      <t>リュウシュツ</t>
    </rPh>
    <rPh sb="4" eb="6">
      <t>ホセイ</t>
    </rPh>
    <rPh sb="6" eb="8">
      <t>ケイスウ</t>
    </rPh>
    <phoneticPr fontId="3"/>
  </si>
  <si>
    <t>地上防除（土壌混和・潅注＝0.1、それ以外＝1）</t>
    <rPh sb="0" eb="2">
      <t>チジョウ</t>
    </rPh>
    <rPh sb="2" eb="4">
      <t>ボウジョ</t>
    </rPh>
    <rPh sb="5" eb="7">
      <t>ドジョウ</t>
    </rPh>
    <rPh sb="7" eb="9">
      <t>コンワ</t>
    </rPh>
    <rPh sb="10" eb="11">
      <t>カン</t>
    </rPh>
    <rPh sb="11" eb="12">
      <t>チュウ</t>
    </rPh>
    <rPh sb="19" eb="21">
      <t>イガイ</t>
    </rPh>
    <phoneticPr fontId="3"/>
  </si>
  <si>
    <t>fu</t>
    <phoneticPr fontId="3"/>
  </si>
  <si>
    <t>航空防除（茎葉＝0.3，茎葉以外＝1）</t>
    <rPh sb="0" eb="2">
      <t>コウクウ</t>
    </rPh>
    <phoneticPr fontId="3"/>
  </si>
  <si>
    <t>河川へのドリフト率</t>
    <rPh sb="0" eb="2">
      <t>カセン</t>
    </rPh>
    <rPh sb="8" eb="9">
      <t>リツ</t>
    </rPh>
    <phoneticPr fontId="3"/>
  </si>
  <si>
    <t>地上防除（果樹＝3.4、果樹以外＝0.1、ドリフトがない場合＝0）</t>
    <rPh sb="0" eb="2">
      <t>チジョウ</t>
    </rPh>
    <rPh sb="2" eb="4">
      <t>ボウジョ</t>
    </rPh>
    <rPh sb="5" eb="7">
      <t>カジュ</t>
    </rPh>
    <rPh sb="12" eb="14">
      <t>カジュ</t>
    </rPh>
    <rPh sb="14" eb="16">
      <t>イガイ</t>
    </rPh>
    <rPh sb="28" eb="30">
      <t>バアイ</t>
    </rPh>
    <phoneticPr fontId="3"/>
  </si>
  <si>
    <t>Driver</t>
    <phoneticPr fontId="3"/>
  </si>
  <si>
    <t>土壌残留試験における土壌中濃度の半減期（day）</t>
    <phoneticPr fontId="3"/>
  </si>
  <si>
    <t>減衰を考慮しない場合はブランクとする</t>
    <phoneticPr fontId="3"/>
  </si>
  <si>
    <t>非水田（第２段階）</t>
    <rPh sb="0" eb="3">
      <t>ヒスイデン</t>
    </rPh>
    <rPh sb="4" eb="5">
      <t>ダイ</t>
    </rPh>
    <rPh sb="6" eb="8">
      <t>ダンカイ</t>
    </rPh>
    <phoneticPr fontId="3"/>
  </si>
  <si>
    <t>計算シート
（甲殻類等）：</t>
    <rPh sb="0" eb="2">
      <t>ケイサン</t>
    </rPh>
    <rPh sb="7" eb="10">
      <t>コウカクルイ</t>
    </rPh>
    <rPh sb="10" eb="11">
      <t>トウ</t>
    </rPh>
    <phoneticPr fontId="3"/>
  </si>
  <si>
    <r>
      <t>単回の農薬</t>
    </r>
    <r>
      <rPr>
        <sz val="11"/>
        <rFont val="ＭＳ Ｐゴシック"/>
        <family val="3"/>
        <charset val="128"/>
      </rPr>
      <t>使用量</t>
    </r>
    <r>
      <rPr>
        <sz val="11"/>
        <rFont val="ＭＳ Ｐゴシック"/>
        <family val="3"/>
        <charset val="128"/>
      </rPr>
      <t>（g/ha）</t>
    </r>
    <rPh sb="5" eb="7">
      <t>シヨウ</t>
    </rPh>
    <phoneticPr fontId="3"/>
  </si>
  <si>
    <t>評価期間が21日の場合：１
評価期間が22-27日の場合：１～２
評価期間が28-40日の場合：１～３</t>
    <rPh sb="7" eb="8">
      <t>ニチ</t>
    </rPh>
    <rPh sb="9" eb="11">
      <t>バアイ</t>
    </rPh>
    <rPh sb="14" eb="16">
      <t>ヒョウカ</t>
    </rPh>
    <rPh sb="16" eb="18">
      <t>キカン</t>
    </rPh>
    <phoneticPr fontId="3"/>
  </si>
  <si>
    <t>農薬使用地からの1日当たりの流出率</t>
    <rPh sb="0" eb="2">
      <t>ノウヤク</t>
    </rPh>
    <rPh sb="2" eb="4">
      <t>シヨウ</t>
    </rPh>
    <rPh sb="4" eb="5">
      <t>チ</t>
    </rPh>
    <phoneticPr fontId="3"/>
  </si>
  <si>
    <t>地表流出試験結果に基づく平均流出率。試験を実施していない場合、0.2と入力。</t>
    <rPh sb="35" eb="37">
      <t>ニュウリョク</t>
    </rPh>
    <phoneticPr fontId="3"/>
  </si>
  <si>
    <t>地表流出試験の試験条件</t>
  </si>
  <si>
    <t>地表流出試験における被験物質の取扱い及び施用（登録申請に係る剤型、使用方法（時期、量等）等）等をご記載ください。</t>
    <phoneticPr fontId="3"/>
  </si>
  <si>
    <t>ドリフト試験結果に基づく値。試験を実施していない場合、以下の値を入力。
地上防除：果樹＝3.4、果樹以外＝0.1、ドリフトがない場合＝0
航空防除= 1.7</t>
    <rPh sb="4" eb="6">
      <t>シケン</t>
    </rPh>
    <rPh sb="6" eb="8">
      <t>ケッカ</t>
    </rPh>
    <rPh sb="9" eb="10">
      <t>モト</t>
    </rPh>
    <rPh sb="12" eb="13">
      <t>アタイ</t>
    </rPh>
    <rPh sb="27" eb="29">
      <t>イカ</t>
    </rPh>
    <rPh sb="30" eb="31">
      <t>アタイ</t>
    </rPh>
    <rPh sb="32" eb="34">
      <t>ニュウリョク</t>
    </rPh>
    <rPh sb="69" eb="73">
      <t>コウクウボウジョ</t>
    </rPh>
    <phoneticPr fontId="3"/>
  </si>
  <si>
    <t>ドリフト試験の試験条件</t>
    <phoneticPr fontId="3"/>
  </si>
  <si>
    <t>ドリフト試験における被験物質の取扱い及び施用（登録申請に係る剤型、使用方法（時期、量等）等）等をご記載ください。</t>
    <phoneticPr fontId="3"/>
  </si>
  <si>
    <t>農薬流出補正係数
　地上防除（土壌混和･潅注＝0.1, 上記以外＝１）
　航空防除（茎葉散布＝0.3, 上記以外＝１）</t>
    <rPh sb="0" eb="2">
      <t>ノウヤク</t>
    </rPh>
    <rPh sb="2" eb="4">
      <t>リュウシュツ</t>
    </rPh>
    <rPh sb="4" eb="6">
      <t>ホセイ</t>
    </rPh>
    <rPh sb="6" eb="8">
      <t>ケイスウ</t>
    </rPh>
    <rPh sb="10" eb="12">
      <t>チジョウ</t>
    </rPh>
    <rPh sb="12" eb="14">
      <t>ボウジョ</t>
    </rPh>
    <rPh sb="15" eb="17">
      <t>ドジョウ</t>
    </rPh>
    <rPh sb="17" eb="19">
      <t>コンワ</t>
    </rPh>
    <rPh sb="20" eb="22">
      <t>カンチュウ</t>
    </rPh>
    <rPh sb="28" eb="30">
      <t>ジョウキ</t>
    </rPh>
    <rPh sb="30" eb="32">
      <t>イガイ</t>
    </rPh>
    <rPh sb="37" eb="39">
      <t>コウクウ</t>
    </rPh>
    <rPh sb="39" eb="41">
      <t>ボウジョ</t>
    </rPh>
    <rPh sb="42" eb="44">
      <t>ケイヨウ</t>
    </rPh>
    <rPh sb="44" eb="46">
      <t>サンプ</t>
    </rPh>
    <rPh sb="52" eb="54">
      <t>ジョウキ</t>
    </rPh>
    <rPh sb="54" eb="56">
      <t>イガイ</t>
    </rPh>
    <phoneticPr fontId="3"/>
  </si>
  <si>
    <r>
      <t>土壌有機炭素吸着定数（cm</t>
    </r>
    <r>
      <rPr>
        <vertAlign val="superscript"/>
        <sz val="11"/>
        <rFont val="ＭＳ Ｐゴシック"/>
        <family val="3"/>
        <charset val="128"/>
      </rPr>
      <t>3</t>
    </r>
    <r>
      <rPr>
        <sz val="11"/>
        <rFont val="ＭＳ Ｐゴシック"/>
        <family val="3"/>
        <charset val="128"/>
      </rPr>
      <t>/g）</t>
    </r>
    <rPh sb="0" eb="2">
      <t>ドジョウ</t>
    </rPh>
    <rPh sb="2" eb="4">
      <t>ユウキ</t>
    </rPh>
    <rPh sb="4" eb="6">
      <t>タンソ</t>
    </rPh>
    <rPh sb="6" eb="8">
      <t>キュウチャク</t>
    </rPh>
    <rPh sb="8" eb="10">
      <t>ジョウスウ</t>
    </rPh>
    <phoneticPr fontId="3"/>
  </si>
  <si>
    <t>21～40日</t>
    <phoneticPr fontId="3"/>
  </si>
  <si>
    <t>土壌残留試験における土壌中濃度の半減期（day）</t>
  </si>
  <si>
    <t>長期水域ＰＥＣ計算シート（水田、第１段階）</t>
    <rPh sb="0" eb="2">
      <t>チョウキ</t>
    </rPh>
    <rPh sb="2" eb="4">
      <t>スイイキ</t>
    </rPh>
    <rPh sb="7" eb="9">
      <t>ケイサン</t>
    </rPh>
    <rPh sb="13" eb="15">
      <t>スイデン</t>
    </rPh>
    <rPh sb="16" eb="17">
      <t>ダイ</t>
    </rPh>
    <rPh sb="18" eb="20">
      <t>ダンカイ</t>
    </rPh>
    <phoneticPr fontId="3"/>
  </si>
  <si>
    <t>自動入力（変更不可）</t>
    <rPh sb="0" eb="2">
      <t>ジドウ</t>
    </rPh>
    <rPh sb="2" eb="4">
      <t>ニュウリョク</t>
    </rPh>
    <rPh sb="5" eb="7">
      <t>ヘンコウ</t>
    </rPh>
    <rPh sb="7" eb="9">
      <t>フカ</t>
    </rPh>
    <phoneticPr fontId="3"/>
  </si>
  <si>
    <t>任意入力</t>
    <rPh sb="0" eb="2">
      <t>ニンイ</t>
    </rPh>
    <rPh sb="2" eb="4">
      <t>ニュウリョク</t>
    </rPh>
    <phoneticPr fontId="3"/>
  </si>
  <si>
    <t>計算結果（変更不可）</t>
    <rPh sb="0" eb="4">
      <t>ケイサンケッカ</t>
    </rPh>
    <rPh sb="5" eb="7">
      <t>ヘンコウ</t>
    </rPh>
    <rPh sb="7" eb="9">
      <t>フカ</t>
    </rPh>
    <phoneticPr fontId="3"/>
  </si>
  <si>
    <t>使用条件、環境条件等</t>
    <rPh sb="0" eb="2">
      <t>シヨウ</t>
    </rPh>
    <rPh sb="2" eb="4">
      <t>ジョウケン</t>
    </rPh>
    <rPh sb="5" eb="7">
      <t>カンキョウ</t>
    </rPh>
    <rPh sb="7" eb="9">
      <t>ジョウケン</t>
    </rPh>
    <rPh sb="9" eb="10">
      <t>ナド</t>
    </rPh>
    <phoneticPr fontId="3"/>
  </si>
  <si>
    <t>農薬名</t>
    <rPh sb="0" eb="2">
      <t>ノウヤク</t>
    </rPh>
    <rPh sb="2" eb="3">
      <t>メイ</t>
    </rPh>
    <phoneticPr fontId="3"/>
  </si>
  <si>
    <t>パラメーター</t>
    <phoneticPr fontId="3"/>
  </si>
  <si>
    <t>Ａｐ（ｈａ）</t>
    <phoneticPr fontId="3"/>
  </si>
  <si>
    <r>
      <rPr>
        <sz val="11"/>
        <rFont val="ＭＳ Ｐゴシック"/>
        <family val="3"/>
        <charset val="128"/>
      </rPr>
      <t>農薬使用面積</t>
    </r>
    <rPh sb="0" eb="2">
      <t>ノウヤク</t>
    </rPh>
    <rPh sb="2" eb="4">
      <t>シヨウ</t>
    </rPh>
    <rPh sb="4" eb="6">
      <t>メンセキ</t>
    </rPh>
    <phoneticPr fontId="3"/>
  </si>
  <si>
    <t>Te(day)</t>
    <phoneticPr fontId="3"/>
  </si>
  <si>
    <t>評価期間</t>
    <rPh sb="0" eb="4">
      <t>ヒョウカキカン</t>
    </rPh>
    <phoneticPr fontId="3"/>
  </si>
  <si>
    <t>Ｒｐ（％）</t>
    <phoneticPr fontId="3"/>
  </si>
  <si>
    <r>
      <t>水田からの農薬流出率(1回目</t>
    </r>
    <r>
      <rPr>
        <sz val="11"/>
        <rFont val="ＭＳ Ｐゴシック"/>
        <family val="3"/>
        <charset val="128"/>
      </rPr>
      <t>使用)</t>
    </r>
    <rPh sb="0" eb="2">
      <t>スイデン</t>
    </rPh>
    <rPh sb="5" eb="7">
      <t>ノウヤク</t>
    </rPh>
    <rPh sb="7" eb="9">
      <t>リュウシュツ</t>
    </rPh>
    <rPh sb="9" eb="10">
      <t>リツ</t>
    </rPh>
    <rPh sb="12" eb="14">
      <t>カイメ</t>
    </rPh>
    <rPh sb="14" eb="16">
      <t>シヨウ</t>
    </rPh>
    <phoneticPr fontId="3"/>
  </si>
  <si>
    <r>
      <t>水田からの農薬流出率(2回目</t>
    </r>
    <r>
      <rPr>
        <sz val="11"/>
        <rFont val="ＭＳ Ｐゴシック"/>
        <family val="3"/>
        <charset val="128"/>
      </rPr>
      <t>使用)</t>
    </r>
    <rPh sb="0" eb="2">
      <t>スイデン</t>
    </rPh>
    <rPh sb="5" eb="7">
      <t>ノウヤク</t>
    </rPh>
    <rPh sb="7" eb="9">
      <t>リュウシュツ</t>
    </rPh>
    <rPh sb="9" eb="10">
      <t>リツ</t>
    </rPh>
    <rPh sb="12" eb="14">
      <t>カイメ</t>
    </rPh>
    <rPh sb="14" eb="16">
      <t>シヨウ</t>
    </rPh>
    <phoneticPr fontId="3"/>
  </si>
  <si>
    <t>Driver(%)</t>
    <phoneticPr fontId="3"/>
  </si>
  <si>
    <t>河川ドリフト率</t>
    <rPh sb="0" eb="2">
      <t>カセン</t>
    </rPh>
    <rPh sb="6" eb="7">
      <t>リツ</t>
    </rPh>
    <phoneticPr fontId="3"/>
  </si>
  <si>
    <t>Zriver(ha/day)</t>
    <phoneticPr fontId="3"/>
  </si>
  <si>
    <r>
      <t>1日</t>
    </r>
    <r>
      <rPr>
        <sz val="11"/>
        <rFont val="ＭＳ Ｐゴシック"/>
        <family val="3"/>
        <charset val="128"/>
      </rPr>
      <t>当たりの河川ドリフト面積</t>
    </r>
    <rPh sb="1" eb="2">
      <t>ニチ</t>
    </rPh>
    <rPh sb="2" eb="3">
      <t>ア</t>
    </rPh>
    <rPh sb="6" eb="8">
      <t>カセン</t>
    </rPh>
    <rPh sb="12" eb="14">
      <t>メンセキ</t>
    </rPh>
    <phoneticPr fontId="3"/>
  </si>
  <si>
    <t>Dditch(%)</t>
    <phoneticPr fontId="3"/>
  </si>
  <si>
    <t>排水路ドリフト率</t>
    <rPh sb="0" eb="3">
      <t>ハイスイロ</t>
    </rPh>
    <rPh sb="7" eb="8">
      <t>リツ</t>
    </rPh>
    <phoneticPr fontId="3"/>
  </si>
  <si>
    <t>Zditch(ha/day)</t>
    <phoneticPr fontId="3"/>
  </si>
  <si>
    <r>
      <t>1日</t>
    </r>
    <r>
      <rPr>
        <sz val="11"/>
        <rFont val="ＭＳ Ｐゴシック"/>
        <family val="3"/>
        <charset val="128"/>
      </rPr>
      <t>当たりの排水路へのドリフト面積</t>
    </r>
    <rPh sb="1" eb="2">
      <t>ニチ</t>
    </rPh>
    <rPh sb="2" eb="3">
      <t>ア</t>
    </rPh>
    <rPh sb="6" eb="9">
      <t>ハイスイロ</t>
    </rPh>
    <rPh sb="15" eb="17">
      <t>メンセキ</t>
    </rPh>
    <phoneticPr fontId="3"/>
  </si>
  <si>
    <t>小数点以下桁数（0-8）</t>
    <rPh sb="0" eb="3">
      <t>ショウスウテン</t>
    </rPh>
    <rPh sb="3" eb="5">
      <t>イカ</t>
    </rPh>
    <rPh sb="5" eb="7">
      <t>ケタスウ</t>
    </rPh>
    <phoneticPr fontId="3"/>
  </si>
  <si>
    <t>Ndrift(day)</t>
    <phoneticPr fontId="3"/>
  </si>
  <si>
    <t>ドリフト寄与日数</t>
    <rPh sb="4" eb="6">
      <t>キヨ</t>
    </rPh>
    <rPh sb="6" eb="8">
      <t>ニッスウ</t>
    </rPh>
    <phoneticPr fontId="3"/>
  </si>
  <si>
    <t>※PEC計算での桁数、ブランクはデフォルト</t>
    <rPh sb="4" eb="6">
      <t>ケイサン</t>
    </rPh>
    <rPh sb="8" eb="10">
      <t>ケタスウ</t>
    </rPh>
    <phoneticPr fontId="3"/>
  </si>
  <si>
    <t>21days</t>
    <phoneticPr fontId="3"/>
  </si>
  <si>
    <r>
      <t>Rp</t>
    </r>
    <r>
      <rPr>
        <vertAlign val="subscript"/>
        <sz val="11"/>
        <rFont val="ＭＳ Ｐゴシック"/>
        <family val="3"/>
        <charset val="128"/>
      </rPr>
      <t>1</t>
    </r>
    <r>
      <rPr>
        <sz val="11"/>
        <rFont val="ＭＳ Ｐゴシック"/>
        <family val="3"/>
        <charset val="128"/>
      </rPr>
      <t>(%)</t>
    </r>
    <phoneticPr fontId="3"/>
  </si>
  <si>
    <r>
      <t>Rp</t>
    </r>
    <r>
      <rPr>
        <vertAlign val="subscript"/>
        <sz val="11"/>
        <rFont val="ＭＳ Ｐゴシック"/>
        <family val="3"/>
        <charset val="128"/>
      </rPr>
      <t>2</t>
    </r>
    <r>
      <rPr>
        <sz val="11"/>
        <rFont val="ＭＳ Ｐゴシック"/>
        <family val="3"/>
        <charset val="128"/>
      </rPr>
      <t>(%)</t>
    </r>
    <phoneticPr fontId="3"/>
  </si>
  <si>
    <t>ｆｐ</t>
    <phoneticPr fontId="3"/>
  </si>
  <si>
    <t>Mrunoff(g)</t>
    <phoneticPr fontId="3"/>
  </si>
  <si>
    <t>MDr(g)</t>
    <phoneticPr fontId="3"/>
  </si>
  <si>
    <t>MDd(g)</t>
    <phoneticPr fontId="3"/>
  </si>
  <si>
    <r>
      <t>PEC(</t>
    </r>
    <r>
      <rPr>
        <sz val="11"/>
        <rFont val="ＭＳ Ｐゴシック"/>
        <family val="3"/>
        <charset val="128"/>
      </rPr>
      <t>μ</t>
    </r>
    <r>
      <rPr>
        <sz val="11"/>
        <rFont val="ＭＳ Ｐゴシック"/>
        <family val="3"/>
        <charset val="128"/>
      </rPr>
      <t>g/L)</t>
    </r>
    <phoneticPr fontId="3"/>
  </si>
  <si>
    <t>「入力及び計算結果」に戻る</t>
    <rPh sb="1" eb="3">
      <t>ニュウリョク</t>
    </rPh>
    <rPh sb="3" eb="4">
      <t>オヨ</t>
    </rPh>
    <rPh sb="5" eb="7">
      <t>ケイサン</t>
    </rPh>
    <rPh sb="7" eb="9">
      <t>ケッカ</t>
    </rPh>
    <rPh sb="11" eb="12">
      <t>モド</t>
    </rPh>
    <phoneticPr fontId="3"/>
  </si>
  <si>
    <t>農薬名</t>
    <rPh sb="0" eb="2">
      <t>ノウヤク</t>
    </rPh>
    <rPh sb="2" eb="3">
      <t>ナ</t>
    </rPh>
    <phoneticPr fontId="3"/>
  </si>
  <si>
    <t>n(回)</t>
    <rPh sb="2" eb="3">
      <t>カイ</t>
    </rPh>
    <phoneticPr fontId="3"/>
  </si>
  <si>
    <t>評価期間中の使用回数</t>
    <rPh sb="0" eb="5">
      <t>ヒョウカキカンチュウ</t>
    </rPh>
    <rPh sb="6" eb="10">
      <t>シヨウカイスウ</t>
    </rPh>
    <phoneticPr fontId="3"/>
  </si>
  <si>
    <t>Ａu（ｈａ）</t>
    <phoneticPr fontId="3"/>
  </si>
  <si>
    <t>Te（day）</t>
    <phoneticPr fontId="3"/>
  </si>
  <si>
    <t>評価期間</t>
    <rPh sb="0" eb="2">
      <t>ヒョウカ</t>
    </rPh>
    <rPh sb="2" eb="4">
      <t>キカン</t>
    </rPh>
    <phoneticPr fontId="3"/>
  </si>
  <si>
    <t>Wrain（回）</t>
    <rPh sb="6" eb="7">
      <t>カイ</t>
    </rPh>
    <phoneticPr fontId="3"/>
  </si>
  <si>
    <t>降雨の回数</t>
    <rPh sb="0" eb="2">
      <t>コウウ</t>
    </rPh>
    <rPh sb="3" eb="5">
      <t>カイスウ</t>
    </rPh>
    <phoneticPr fontId="3"/>
  </si>
  <si>
    <t>Tr（day）</t>
    <phoneticPr fontId="3"/>
  </si>
  <si>
    <t>増水期間</t>
    <rPh sb="0" eb="2">
      <t>ゾウスイ</t>
    </rPh>
    <rPh sb="2" eb="4">
      <t>キカン</t>
    </rPh>
    <phoneticPr fontId="3"/>
  </si>
  <si>
    <t>Ru(%)</t>
    <phoneticPr fontId="3"/>
  </si>
  <si>
    <t>農薬使用地からの河川への農薬流出率</t>
    <rPh sb="0" eb="2">
      <t>ノウヤク</t>
    </rPh>
    <rPh sb="2" eb="5">
      <t>シヨウチ</t>
    </rPh>
    <rPh sb="8" eb="10">
      <t>カセン</t>
    </rPh>
    <rPh sb="12" eb="14">
      <t>ノウヤク</t>
    </rPh>
    <rPh sb="14" eb="16">
      <t>リュウシュツ</t>
    </rPh>
    <rPh sb="16" eb="17">
      <t>リツ</t>
    </rPh>
    <phoneticPr fontId="3"/>
  </si>
  <si>
    <r>
      <rPr>
        <sz val="11"/>
        <rFont val="ＭＳ Ｐゴシック"/>
        <family val="3"/>
        <charset val="128"/>
      </rPr>
      <t>１日当たりの河川ドリフト面積</t>
    </r>
    <rPh sb="1" eb="2">
      <t>ニチ</t>
    </rPh>
    <rPh sb="2" eb="3">
      <t>ア</t>
    </rPh>
    <rPh sb="6" eb="8">
      <t>カセン</t>
    </rPh>
    <rPh sb="12" eb="14">
      <t>メンセキ</t>
    </rPh>
    <phoneticPr fontId="3"/>
  </si>
  <si>
    <t>土壌中における減衰を考慮する場合(減衰を考慮しない場合はブランクとする）（注１）</t>
    <rPh sb="0" eb="3">
      <t>ドジョウチュウ</t>
    </rPh>
    <rPh sb="7" eb="9">
      <t>ゲンスイ</t>
    </rPh>
    <rPh sb="10" eb="12">
      <t>コウリョ</t>
    </rPh>
    <rPh sb="14" eb="16">
      <t>バアイ</t>
    </rPh>
    <rPh sb="17" eb="19">
      <t>ゲンスイ</t>
    </rPh>
    <rPh sb="20" eb="22">
      <t>コウリョ</t>
    </rPh>
    <rPh sb="25" eb="27">
      <t>バアイ</t>
    </rPh>
    <rPh sb="37" eb="38">
      <t>チュウ</t>
    </rPh>
    <phoneticPr fontId="3"/>
  </si>
  <si>
    <t>（注１）
第１段階における河川予測濃度が登録基準値を超過した場合には、第２段階に進む前に、土壌中での半減期を考慮し、河川予測濃度を算定することもできる。</t>
    <rPh sb="1" eb="2">
      <t>チュウ</t>
    </rPh>
    <phoneticPr fontId="3"/>
  </si>
  <si>
    <t>土壌残留試験における土壌中濃度の半減期</t>
    <rPh sb="0" eb="2">
      <t>ドジョウ</t>
    </rPh>
    <rPh sb="2" eb="4">
      <t>ザンリュウ</t>
    </rPh>
    <rPh sb="4" eb="6">
      <t>シケン</t>
    </rPh>
    <rPh sb="10" eb="13">
      <t>ドジョウチュウ</t>
    </rPh>
    <rPh sb="13" eb="15">
      <t>ノウド</t>
    </rPh>
    <rPh sb="16" eb="19">
      <t>ハンゲンキ</t>
    </rPh>
    <phoneticPr fontId="3"/>
  </si>
  <si>
    <t>day</t>
    <phoneticPr fontId="3"/>
  </si>
  <si>
    <t>農薬使用から1回目の降雨までの日数</t>
    <rPh sb="0" eb="2">
      <t>ノウヤク</t>
    </rPh>
    <rPh sb="2" eb="4">
      <t>シヨウ</t>
    </rPh>
    <rPh sb="7" eb="9">
      <t>カイメ</t>
    </rPh>
    <rPh sb="10" eb="12">
      <t>コウウ</t>
    </rPh>
    <rPh sb="15" eb="17">
      <t>ニッスウ</t>
    </rPh>
    <phoneticPr fontId="3"/>
  </si>
  <si>
    <t>農薬使用から2回目の降雨までの日数</t>
    <rPh sb="0" eb="2">
      <t>ノウヤク</t>
    </rPh>
    <rPh sb="2" eb="4">
      <t>シヨウ</t>
    </rPh>
    <rPh sb="7" eb="9">
      <t>カイメ</t>
    </rPh>
    <rPh sb="10" eb="12">
      <t>コウウ</t>
    </rPh>
    <rPh sb="15" eb="17">
      <t>ニッスウ</t>
    </rPh>
    <phoneticPr fontId="3"/>
  </si>
  <si>
    <t>PEC(μg/L)算出結果</t>
    <phoneticPr fontId="3"/>
  </si>
  <si>
    <t>ｆu</t>
    <phoneticPr fontId="3"/>
  </si>
  <si>
    <r>
      <t>Mrunoff（</t>
    </r>
    <r>
      <rPr>
        <sz val="10"/>
        <rFont val="ＭＳ Ｐゴシック"/>
        <family val="3"/>
        <charset val="128"/>
      </rPr>
      <t>土壌中における減衰を考慮）</t>
    </r>
    <r>
      <rPr>
        <sz val="11"/>
        <rFont val="ＭＳ Ｐゴシック"/>
        <family val="3"/>
        <charset val="128"/>
      </rPr>
      <t>(g)</t>
    </r>
    <phoneticPr fontId="3"/>
  </si>
  <si>
    <t>PEC(μg/L)</t>
    <phoneticPr fontId="3"/>
  </si>
  <si>
    <r>
      <t>PEC</t>
    </r>
    <r>
      <rPr>
        <sz val="10"/>
        <rFont val="ＭＳ Ｐゴシック"/>
        <family val="3"/>
        <charset val="128"/>
      </rPr>
      <t>（土壌中における減衰を考慮）</t>
    </r>
    <r>
      <rPr>
        <sz val="11"/>
        <rFont val="ＭＳ Ｐゴシック"/>
        <family val="3"/>
        <charset val="128"/>
      </rPr>
      <t>(μg/L)</t>
    </r>
    <rPh sb="4" eb="7">
      <t>ドジョウチュウ</t>
    </rPh>
    <rPh sb="11" eb="13">
      <t>ゲンスイ</t>
    </rPh>
    <rPh sb="14" eb="16">
      <t>コウリョ</t>
    </rPh>
    <phoneticPr fontId="3"/>
  </si>
  <si>
    <t>長期水域ＰＥＣ計算シート
水田（第２段階、地上防除）魚類</t>
    <rPh sb="0" eb="4">
      <t>チョウキスイイキ</t>
    </rPh>
    <rPh sb="7" eb="9">
      <t>ケイサン</t>
    </rPh>
    <rPh sb="26" eb="28">
      <t>ギョルイ</t>
    </rPh>
    <phoneticPr fontId="3"/>
  </si>
  <si>
    <t>農薬名：</t>
    <rPh sb="0" eb="2">
      <t>ノウヤク</t>
    </rPh>
    <rPh sb="2" eb="3">
      <t>ナ</t>
    </rPh>
    <phoneticPr fontId="3"/>
  </si>
  <si>
    <t>水質汚濁性試験の試験条件※：</t>
    <phoneticPr fontId="3"/>
  </si>
  <si>
    <t>※水質汚濁性試験における被験物質の取扱い及び施用（登録申請に係る剤型、使用方法（時期、量等）等）等をご記載ください。</t>
    <rPh sb="1" eb="3">
      <t>スイシツ</t>
    </rPh>
    <rPh sb="3" eb="6">
      <t>オダクセイ</t>
    </rPh>
    <rPh sb="6" eb="8">
      <t>シケン</t>
    </rPh>
    <rPh sb="12" eb="16">
      <t>ヒケンブッシツ</t>
    </rPh>
    <rPh sb="17" eb="19">
      <t>トリアツカ</t>
    </rPh>
    <rPh sb="20" eb="21">
      <t>オヨ</t>
    </rPh>
    <rPh sb="22" eb="24">
      <t>セヨウ</t>
    </rPh>
    <rPh sb="25" eb="27">
      <t>トウロク</t>
    </rPh>
    <rPh sb="27" eb="29">
      <t>シンセイ</t>
    </rPh>
    <rPh sb="30" eb="31">
      <t>カカワ</t>
    </rPh>
    <rPh sb="32" eb="34">
      <t>ザイガタ</t>
    </rPh>
    <rPh sb="35" eb="37">
      <t>シヨウ</t>
    </rPh>
    <rPh sb="37" eb="39">
      <t>ホウホウ</t>
    </rPh>
    <rPh sb="40" eb="42">
      <t>ジキ</t>
    </rPh>
    <rPh sb="43" eb="45">
      <t>リョウナド</t>
    </rPh>
    <rPh sb="46" eb="47">
      <t>ナド</t>
    </rPh>
    <rPh sb="48" eb="49">
      <t>ナド</t>
    </rPh>
    <rPh sb="51" eb="53">
      <t>キサイ</t>
    </rPh>
    <phoneticPr fontId="3"/>
  </si>
  <si>
    <t>農薬の使用条件等</t>
    <rPh sb="0" eb="2">
      <t>ノウヤク</t>
    </rPh>
    <rPh sb="3" eb="5">
      <t>シヨウ</t>
    </rPh>
    <rPh sb="5" eb="7">
      <t>ジョウケン</t>
    </rPh>
    <rPh sb="7" eb="8">
      <t>ナド</t>
    </rPh>
    <phoneticPr fontId="3"/>
  </si>
  <si>
    <t>パラメータ</t>
    <phoneticPr fontId="3"/>
  </si>
  <si>
    <t>内容</t>
    <rPh sb="0" eb="2">
      <t>ナイヨウ</t>
    </rPh>
    <phoneticPr fontId="3"/>
  </si>
  <si>
    <t>値</t>
    <rPh sb="0" eb="1">
      <t>アタイ</t>
    </rPh>
    <phoneticPr fontId="3"/>
  </si>
  <si>
    <t>単位</t>
    <rPh sb="0" eb="2">
      <t>タンイ</t>
    </rPh>
    <phoneticPr fontId="3"/>
  </si>
  <si>
    <t>留意点</t>
    <rPh sb="0" eb="3">
      <t>リュウイテン</t>
    </rPh>
    <phoneticPr fontId="3"/>
  </si>
  <si>
    <t>Ap</t>
    <phoneticPr fontId="3"/>
  </si>
  <si>
    <t>ha</t>
    <phoneticPr fontId="3"/>
  </si>
  <si>
    <t>I</t>
    <phoneticPr fontId="3"/>
  </si>
  <si>
    <r>
      <t>単回の農薬</t>
    </r>
    <r>
      <rPr>
        <sz val="11"/>
        <rFont val="ＭＳ Ｐゴシック"/>
        <family val="3"/>
        <charset val="128"/>
      </rPr>
      <t>使用量</t>
    </r>
    <rPh sb="0" eb="2">
      <t>タンカイ</t>
    </rPh>
    <rPh sb="3" eb="5">
      <t>ノウヤク</t>
    </rPh>
    <rPh sb="5" eb="8">
      <t>シヨウリョウ</t>
    </rPh>
    <phoneticPr fontId="3"/>
  </si>
  <si>
    <t>g/ha</t>
    <phoneticPr fontId="3"/>
  </si>
  <si>
    <t xml:space="preserve">単位がha当たりなので注意する。 </t>
    <rPh sb="0" eb="2">
      <t>タンイ</t>
    </rPh>
    <rPh sb="5" eb="6">
      <t>ア</t>
    </rPh>
    <rPh sb="11" eb="13">
      <t>チュウイ</t>
    </rPh>
    <phoneticPr fontId="3"/>
  </si>
  <si>
    <t>n</t>
    <phoneticPr fontId="3"/>
  </si>
  <si>
    <r>
      <rPr>
        <sz val="11"/>
        <rFont val="ＭＳ Ｐゴシック"/>
        <family val="3"/>
        <charset val="128"/>
      </rPr>
      <t>評価期間中の使用回数</t>
    </r>
    <rPh sb="0" eb="5">
      <t>ヒョウカキカンチュウ</t>
    </rPh>
    <rPh sb="6" eb="8">
      <t>シヨウ</t>
    </rPh>
    <rPh sb="8" eb="10">
      <t>カイスウ</t>
    </rPh>
    <phoneticPr fontId="3"/>
  </si>
  <si>
    <t>Te=21-27の場合：１～２、Te=28-40の場合：１～３</t>
    <phoneticPr fontId="3"/>
  </si>
  <si>
    <t>dy</t>
    <phoneticPr fontId="3"/>
  </si>
  <si>
    <r>
      <t>y回目の農薬</t>
    </r>
    <r>
      <rPr>
        <sz val="11"/>
        <rFont val="ＭＳ Ｐゴシック"/>
        <family val="3"/>
        <charset val="128"/>
      </rPr>
      <t>使用日</t>
    </r>
    <rPh sb="1" eb="3">
      <t>カイメ</t>
    </rPh>
    <rPh sb="4" eb="6">
      <t>ノウヤク</t>
    </rPh>
    <rPh sb="6" eb="8">
      <t>シヨウ</t>
    </rPh>
    <rPh sb="8" eb="9">
      <t>ビ</t>
    </rPh>
    <phoneticPr fontId="3"/>
  </si>
  <si>
    <t>農薬流出補正係数
　湛水散布＝１
　茎葉散布＝0.5
　箱処理＝0.2</t>
    <rPh sb="0" eb="2">
      <t>ノウヤク</t>
    </rPh>
    <rPh sb="2" eb="4">
      <t>リュウシュツ</t>
    </rPh>
    <rPh sb="4" eb="6">
      <t>ホセイ</t>
    </rPh>
    <rPh sb="6" eb="8">
      <t>ケイスウ</t>
    </rPh>
    <rPh sb="10" eb="12">
      <t>タンスイ</t>
    </rPh>
    <rPh sb="12" eb="14">
      <t>サンプ</t>
    </rPh>
    <rPh sb="18" eb="19">
      <t>クキ</t>
    </rPh>
    <rPh sb="19" eb="20">
      <t>ハ</t>
    </rPh>
    <rPh sb="20" eb="22">
      <t>サンプ</t>
    </rPh>
    <rPh sb="28" eb="29">
      <t>ハコ</t>
    </rPh>
    <rPh sb="29" eb="31">
      <t>ショリ</t>
    </rPh>
    <phoneticPr fontId="3"/>
  </si>
  <si>
    <t>ドリフトの有無</t>
    <rPh sb="5" eb="7">
      <t>ウム</t>
    </rPh>
    <phoneticPr fontId="3"/>
  </si>
  <si>
    <t>有り＝１、無し＝０</t>
    <phoneticPr fontId="3"/>
  </si>
  <si>
    <t>Tc</t>
    <phoneticPr fontId="3"/>
  </si>
  <si>
    <t>止水期間</t>
    <rPh sb="0" eb="4">
      <t>シスイキカン</t>
    </rPh>
    <phoneticPr fontId="3"/>
  </si>
  <si>
    <t>設定しない場合は「0」</t>
    <phoneticPr fontId="3"/>
  </si>
  <si>
    <t>Te</t>
    <phoneticPr fontId="3"/>
  </si>
  <si>
    <t>Koc</t>
    <phoneticPr fontId="3"/>
  </si>
  <si>
    <t>土壌有機炭素吸着定数</t>
    <rPh sb="0" eb="2">
      <t>ドジョウ</t>
    </rPh>
    <rPh sb="2" eb="4">
      <t>ユウキ</t>
    </rPh>
    <rPh sb="4" eb="6">
      <t>タンソ</t>
    </rPh>
    <rPh sb="6" eb="8">
      <t>キュウチャク</t>
    </rPh>
    <rPh sb="8" eb="10">
      <t>ジョウスウ</t>
    </rPh>
    <phoneticPr fontId="3"/>
  </si>
  <si>
    <r>
      <t>cm</t>
    </r>
    <r>
      <rPr>
        <vertAlign val="superscript"/>
        <sz val="11"/>
        <rFont val="ＭＳ Ｐゴシック"/>
        <family val="3"/>
        <charset val="128"/>
      </rPr>
      <t>3</t>
    </r>
    <r>
      <rPr>
        <sz val="11"/>
        <rFont val="ＭＳ Ｐゴシック"/>
        <family val="3"/>
        <charset val="128"/>
      </rPr>
      <t>/g</t>
    </r>
    <phoneticPr fontId="3"/>
  </si>
  <si>
    <t>河川水中における分解を考慮する場合(分解を考慮しない場合はブランクとする）（注１）</t>
    <rPh sb="0" eb="4">
      <t>カセンスイチュウ</t>
    </rPh>
    <rPh sb="8" eb="10">
      <t>ブンカイ</t>
    </rPh>
    <rPh sb="11" eb="13">
      <t>コウリョ</t>
    </rPh>
    <rPh sb="15" eb="17">
      <t>バアイ</t>
    </rPh>
    <rPh sb="18" eb="20">
      <t>ブンカイ</t>
    </rPh>
    <rPh sb="21" eb="23">
      <t>コウリョ</t>
    </rPh>
    <rPh sb="26" eb="28">
      <t>バアイ</t>
    </rPh>
    <rPh sb="38" eb="39">
      <t>チュウ</t>
    </rPh>
    <phoneticPr fontId="3"/>
  </si>
  <si>
    <t>（注１）
・光分解半減期（水中光分解試験結果による暗所対照区の分解性を考慮し補正した光分解半減期）及び加水分解半減期を入力する場合は、水中光分解半減期は入力しない。
・暗所対照区での分解性を考慮せず、光照射区の水中光分解半減期をそのまま用いる場合は、水中光分解半減期のみ入力。
・光分解半減期及び水中光分解半減期のいずれもない場合、加水分解半減期のみ入力。</t>
    <rPh sb="6" eb="7">
      <t>ヒカリ</t>
    </rPh>
    <rPh sb="7" eb="9">
      <t>ブンカイ</t>
    </rPh>
    <rPh sb="9" eb="12">
      <t>ハンゲンキ</t>
    </rPh>
    <phoneticPr fontId="3"/>
  </si>
  <si>
    <t>光分解半減期</t>
    <rPh sb="3" eb="6">
      <t>ハンゲンキ</t>
    </rPh>
    <phoneticPr fontId="3"/>
  </si>
  <si>
    <r>
      <t>加水分解半減期</t>
    </r>
    <r>
      <rPr>
        <sz val="8"/>
        <color indexed="8"/>
        <rFont val="ＭＳ Ｐゴシック"/>
        <family val="3"/>
        <charset val="128"/>
      </rPr>
      <t>(pH7)</t>
    </r>
    <phoneticPr fontId="3"/>
  </si>
  <si>
    <t>k1=</t>
    <phoneticPr fontId="3"/>
  </si>
  <si>
    <t>k2=</t>
    <phoneticPr fontId="3"/>
  </si>
  <si>
    <t>又は</t>
    <rPh sb="0" eb="1">
      <t>マタ</t>
    </rPh>
    <phoneticPr fontId="3"/>
  </si>
  <si>
    <t>水中光分解半減期</t>
    <rPh sb="0" eb="2">
      <t>スイチュウ</t>
    </rPh>
    <rPh sb="2" eb="3">
      <t>ヒカリ</t>
    </rPh>
    <phoneticPr fontId="3"/>
  </si>
  <si>
    <t>k3=</t>
    <phoneticPr fontId="3"/>
  </si>
  <si>
    <r>
      <t xml:space="preserve">  </t>
    </r>
    <r>
      <rPr>
        <sz val="11"/>
        <rFont val="ＭＳ Ｐゴシック"/>
        <family val="3"/>
        <charset val="128"/>
      </rPr>
      <t>水中分解速度定数</t>
    </r>
    <r>
      <rPr>
        <i/>
        <sz val="11"/>
        <rFont val="ＭＳ Ｐゴシック"/>
        <family val="3"/>
        <charset val="128"/>
      </rPr>
      <t>　k=</t>
    </r>
    <phoneticPr fontId="3"/>
  </si>
  <si>
    <t>水質汚濁性試験結果入力①（注２）</t>
    <rPh sb="9" eb="11">
      <t>ニュウリョク</t>
    </rPh>
    <rPh sb="13" eb="14">
      <t>チュウ</t>
    </rPh>
    <phoneticPr fontId="3"/>
  </si>
  <si>
    <t>環境条件</t>
    <rPh sb="0" eb="2">
      <t>カンキョウ</t>
    </rPh>
    <rPh sb="2" eb="4">
      <t>ジョウケン</t>
    </rPh>
    <phoneticPr fontId="3"/>
  </si>
  <si>
    <t>測定日（経過日数）</t>
    <rPh sb="0" eb="2">
      <t>ソクテイ</t>
    </rPh>
    <rPh sb="2" eb="3">
      <t>ビ</t>
    </rPh>
    <rPh sb="4" eb="6">
      <t>ケイカ</t>
    </rPh>
    <rPh sb="6" eb="8">
      <t>ニッスウ</t>
    </rPh>
    <phoneticPr fontId="3"/>
  </si>
  <si>
    <t>水質汚濁性試験結果(mg/l)測定値</t>
    <rPh sb="0" eb="2">
      <t>スイシツ</t>
    </rPh>
    <rPh sb="2" eb="4">
      <t>オダク</t>
    </rPh>
    <rPh sb="4" eb="5">
      <t>セイ</t>
    </rPh>
    <rPh sb="5" eb="7">
      <t>シケン</t>
    </rPh>
    <rPh sb="7" eb="9">
      <t>ケッカ</t>
    </rPh>
    <rPh sb="15" eb="18">
      <t>ソクテイチ</t>
    </rPh>
    <phoneticPr fontId="3"/>
  </si>
  <si>
    <t>ln(C/C0)</t>
    <phoneticPr fontId="3"/>
  </si>
  <si>
    <t>Qout</t>
    <phoneticPr fontId="3"/>
  </si>
  <si>
    <t>１日当たりの水田水尻からの流出水量</t>
    <phoneticPr fontId="3"/>
  </si>
  <si>
    <r>
      <t>m</t>
    </r>
    <r>
      <rPr>
        <vertAlign val="superscript"/>
        <sz val="11"/>
        <rFont val="ＭＳ Ｐゴシック"/>
        <family val="3"/>
        <charset val="128"/>
      </rPr>
      <t>3</t>
    </r>
    <r>
      <rPr>
        <sz val="11"/>
        <rFont val="ＭＳ Ｐゴシック"/>
        <family val="3"/>
        <charset val="128"/>
      </rPr>
      <t>/ha/day</t>
    </r>
    <phoneticPr fontId="3"/>
  </si>
  <si>
    <t>Qseepage</t>
    <phoneticPr fontId="3"/>
  </si>
  <si>
    <t>１日当たりの畦畔浸透による流出水量</t>
    <phoneticPr fontId="3"/>
  </si>
  <si>
    <t>ドリフト率（ドリフトがある場合に自動的に"0.3"を設定）</t>
    <phoneticPr fontId="3"/>
  </si>
  <si>
    <t>%</t>
    <phoneticPr fontId="3"/>
  </si>
  <si>
    <t>Zriver</t>
    <phoneticPr fontId="3"/>
  </si>
  <si>
    <r>
      <t>1日</t>
    </r>
    <r>
      <rPr>
        <sz val="11"/>
        <rFont val="ＭＳ Ｐゴシック"/>
        <family val="3"/>
        <charset val="128"/>
      </rPr>
      <t>当たりの河川ドリフト面積</t>
    </r>
    <rPh sb="2" eb="3">
      <t>ア</t>
    </rPh>
    <phoneticPr fontId="3"/>
  </si>
  <si>
    <t>ha/day</t>
    <phoneticPr fontId="3"/>
  </si>
  <si>
    <t>Dditch</t>
    <phoneticPr fontId="3"/>
  </si>
  <si>
    <t>排水路ドリフト率（ドリフトがある場合に自動的に"4"を設定）</t>
    <phoneticPr fontId="3"/>
  </si>
  <si>
    <t>Zditch</t>
    <phoneticPr fontId="3"/>
  </si>
  <si>
    <t>1日当たりの排水路ドリフト面積</t>
    <phoneticPr fontId="3"/>
  </si>
  <si>
    <t xml:space="preserve">Ndrift </t>
    <phoneticPr fontId="3"/>
  </si>
  <si>
    <t>ドリフト寄与日数</t>
    <phoneticPr fontId="3"/>
  </si>
  <si>
    <t>Ｖw</t>
    <phoneticPr fontId="3"/>
  </si>
  <si>
    <r>
      <t>支川河川の水量</t>
    </r>
    <r>
      <rPr>
        <i/>
        <sz val="11"/>
        <rFont val="ＭＳ Ｐゴシック"/>
        <family val="3"/>
        <charset val="128"/>
      </rPr>
      <t>1(㎥/s)×86400×評価期間(day)</t>
    </r>
    <rPh sb="20" eb="24">
      <t>ヒョウカキカン</t>
    </rPh>
    <phoneticPr fontId="3"/>
  </si>
  <si>
    <r>
      <t>m</t>
    </r>
    <r>
      <rPr>
        <vertAlign val="superscript"/>
        <sz val="11"/>
        <rFont val="ＭＳ Ｐゴシック"/>
        <family val="3"/>
        <charset val="128"/>
      </rPr>
      <t>3</t>
    </r>
    <phoneticPr fontId="3"/>
  </si>
  <si>
    <t>Vse</t>
    <phoneticPr fontId="3"/>
  </si>
  <si>
    <t>支川の底質量</t>
    <rPh sb="0" eb="2">
      <t>シセン</t>
    </rPh>
    <rPh sb="3" eb="5">
      <t>テイシツ</t>
    </rPh>
    <rPh sb="5" eb="6">
      <t>リョウ</t>
    </rPh>
    <phoneticPr fontId="3"/>
  </si>
  <si>
    <r>
      <t>ρ</t>
    </r>
    <r>
      <rPr>
        <sz val="11"/>
        <rFont val="ＭＳ Ｐゴシック"/>
        <family val="3"/>
        <charset val="128"/>
      </rPr>
      <t>se</t>
    </r>
    <phoneticPr fontId="3"/>
  </si>
  <si>
    <t>底質の比重</t>
    <rPh sb="0" eb="2">
      <t>テイシツ</t>
    </rPh>
    <rPh sb="3" eb="5">
      <t>ヒジュウ</t>
    </rPh>
    <phoneticPr fontId="3"/>
  </si>
  <si>
    <r>
      <t>g/cm</t>
    </r>
    <r>
      <rPr>
        <vertAlign val="superscript"/>
        <sz val="11"/>
        <rFont val="ＭＳ Ｐゴシック"/>
        <family val="3"/>
        <charset val="128"/>
      </rPr>
      <t>3</t>
    </r>
    <phoneticPr fontId="3"/>
  </si>
  <si>
    <t>OCse</t>
    <phoneticPr fontId="3"/>
  </si>
  <si>
    <t>支川河川底質の有機炭素含有率</t>
    <rPh sb="0" eb="2">
      <t>シセン</t>
    </rPh>
    <rPh sb="2" eb="4">
      <t>カセン</t>
    </rPh>
    <rPh sb="4" eb="6">
      <t>テイシツ</t>
    </rPh>
    <rPh sb="7" eb="9">
      <t>ユウキ</t>
    </rPh>
    <rPh sb="9" eb="11">
      <t>タンソ</t>
    </rPh>
    <rPh sb="11" eb="14">
      <t>ガンユウリツ</t>
    </rPh>
    <phoneticPr fontId="3"/>
  </si>
  <si>
    <t>ρlevee</t>
    <phoneticPr fontId="3"/>
  </si>
  <si>
    <t>畦土壌の比重</t>
    <rPh sb="0" eb="1">
      <t>アゼ</t>
    </rPh>
    <rPh sb="1" eb="3">
      <t>ドジョウ</t>
    </rPh>
    <rPh sb="4" eb="6">
      <t>ヒジュウ</t>
    </rPh>
    <phoneticPr fontId="3"/>
  </si>
  <si>
    <t>rws</t>
    <phoneticPr fontId="3"/>
  </si>
  <si>
    <t>接触する水と土壌の体積比</t>
    <rPh sb="0" eb="2">
      <t>セッショク</t>
    </rPh>
    <rPh sb="4" eb="5">
      <t>ミズ</t>
    </rPh>
    <rPh sb="6" eb="8">
      <t>ドジョウ</t>
    </rPh>
    <rPh sb="9" eb="12">
      <t>タイセキヒ</t>
    </rPh>
    <phoneticPr fontId="3"/>
  </si>
  <si>
    <t>-</t>
    <phoneticPr fontId="3"/>
  </si>
  <si>
    <t>OClevee</t>
    <phoneticPr fontId="3"/>
  </si>
  <si>
    <t>畦土壌の有機炭素含有率</t>
    <rPh sb="0" eb="1">
      <t>アゼ</t>
    </rPh>
    <rPh sb="1" eb="3">
      <t>ドジョウ</t>
    </rPh>
    <rPh sb="4" eb="6">
      <t>ユウキ</t>
    </rPh>
    <rPh sb="6" eb="8">
      <t>タンソ</t>
    </rPh>
    <rPh sb="8" eb="11">
      <t>ガンユウリツ</t>
    </rPh>
    <phoneticPr fontId="3"/>
  </si>
  <si>
    <t>Klevee</t>
  </si>
  <si>
    <r>
      <t>畦</t>
    </r>
    <r>
      <rPr>
        <sz val="11"/>
        <color indexed="8"/>
        <rFont val="ＭＳ Ｐゴシック"/>
        <family val="3"/>
        <charset val="128"/>
      </rPr>
      <t>吸着</t>
    </r>
    <r>
      <rPr>
        <sz val="11"/>
        <rFont val="ＭＳ Ｐゴシック"/>
        <family val="3"/>
        <charset val="128"/>
      </rPr>
      <t>係数</t>
    </r>
    <rPh sb="1" eb="3">
      <t>キュウチャク</t>
    </rPh>
    <phoneticPr fontId="3"/>
  </si>
  <si>
    <t>（注2）水質汚濁性試験での分析値は、０，１，３，７，１４日後の値は必ず入力する。その他の日について、測定している場合には、入力する。分析値がある場合にはその値が用いられ、欠測日のみ補間値が計算される。</t>
    <phoneticPr fontId="3"/>
  </si>
  <si>
    <t>水質汚濁性試験結果から算出した半減期</t>
    <rPh sb="0" eb="5">
      <t>スイシツオダクセイ</t>
    </rPh>
    <rPh sb="5" eb="7">
      <t>シケン</t>
    </rPh>
    <rPh sb="7" eb="9">
      <t>ケッカ</t>
    </rPh>
    <rPh sb="11" eb="13">
      <t>サンシュツ</t>
    </rPh>
    <phoneticPr fontId="3"/>
  </si>
  <si>
    <t>PEC(μg/L)算出結果</t>
    <rPh sb="10" eb="12">
      <t>サンシュツ</t>
    </rPh>
    <phoneticPr fontId="3"/>
  </si>
  <si>
    <t>評価期間(days)</t>
    <rPh sb="0" eb="2">
      <t>ヒョウカ</t>
    </rPh>
    <rPh sb="2" eb="4">
      <t>キカン</t>
    </rPh>
    <phoneticPr fontId="3"/>
  </si>
  <si>
    <t>PEC（河川水中における分解を考慮）(μg/L)</t>
    <rPh sb="4" eb="8">
      <t>カセンスイチュウ</t>
    </rPh>
    <rPh sb="12" eb="14">
      <t>ブンカイ</t>
    </rPh>
    <rPh sb="15" eb="17">
      <t>コウリョ</t>
    </rPh>
    <phoneticPr fontId="3"/>
  </si>
  <si>
    <t>【図及び計算表】</t>
    <rPh sb="2" eb="3">
      <t>オヨ</t>
    </rPh>
    <phoneticPr fontId="3"/>
  </si>
  <si>
    <t>ΣMtotal (g)</t>
  </si>
  <si>
    <t>最大合計流出量</t>
    <rPh sb="0" eb="2">
      <t>サイダイ</t>
    </rPh>
    <rPh sb="2" eb="4">
      <t>ゴウケイ</t>
    </rPh>
    <rPh sb="4" eb="7">
      <t>リュウシュツリョウ</t>
    </rPh>
    <phoneticPr fontId="3"/>
  </si>
  <si>
    <t>Mse(g)</t>
  </si>
  <si>
    <t>支川河川底質への吸着量</t>
    <phoneticPr fontId="3"/>
  </si>
  <si>
    <t>河川水中における分解を考慮</t>
    <phoneticPr fontId="3"/>
  </si>
  <si>
    <t>図作成用データ</t>
    <rPh sb="0" eb="1">
      <t>ズ</t>
    </rPh>
    <rPh sb="1" eb="3">
      <t>サクセイ</t>
    </rPh>
    <rPh sb="3" eb="4">
      <t>ヨウ</t>
    </rPh>
    <phoneticPr fontId="3"/>
  </si>
  <si>
    <t>Ci(mg/l)
水質汚濁性試験でのi日の水中農薬濃度</t>
    <rPh sb="9" eb="11">
      <t>スイシツ</t>
    </rPh>
    <rPh sb="11" eb="14">
      <t>オダクセイ</t>
    </rPh>
    <rPh sb="14" eb="16">
      <t>シケン</t>
    </rPh>
    <rPh sb="19" eb="20">
      <t>ニチ</t>
    </rPh>
    <rPh sb="21" eb="23">
      <t>スイチュウ</t>
    </rPh>
    <rPh sb="23" eb="25">
      <t>ノウヤク</t>
    </rPh>
    <rPh sb="25" eb="27">
      <t>ノウド</t>
    </rPh>
    <phoneticPr fontId="3"/>
  </si>
  <si>
    <r>
      <t>M</t>
    </r>
    <r>
      <rPr>
        <vertAlign val="subscript"/>
        <sz val="11"/>
        <rFont val="ＭＳ Ｐゴシック"/>
        <family val="3"/>
        <charset val="128"/>
      </rPr>
      <t>out</t>
    </r>
    <r>
      <rPr>
        <sz val="11"/>
        <rFont val="ＭＳ Ｐゴシック"/>
        <family val="3"/>
        <charset val="128"/>
      </rPr>
      <t>(g)
農薬使用に係る水田水尻からの農薬流出量</t>
    </r>
    <phoneticPr fontId="3"/>
  </si>
  <si>
    <r>
      <t>M</t>
    </r>
    <r>
      <rPr>
        <vertAlign val="subscript"/>
        <sz val="11"/>
        <rFont val="ＭＳ Ｐゴシック"/>
        <family val="3"/>
        <charset val="128"/>
      </rPr>
      <t>seepagr</t>
    </r>
    <r>
      <rPr>
        <sz val="11"/>
        <rFont val="ＭＳ Ｐゴシック"/>
        <family val="3"/>
        <charset val="128"/>
      </rPr>
      <t>(g)
農薬使用に係る畦からの農薬流出量</t>
    </r>
    <phoneticPr fontId="3"/>
  </si>
  <si>
    <r>
      <t>M</t>
    </r>
    <r>
      <rPr>
        <vertAlign val="subscript"/>
        <sz val="11"/>
        <rFont val="ＭＳ Ｐゴシック"/>
        <family val="3"/>
        <charset val="128"/>
      </rPr>
      <t>Dr</t>
    </r>
    <r>
      <rPr>
        <sz val="11"/>
        <rFont val="ＭＳ Ｐゴシック"/>
        <family val="3"/>
        <charset val="128"/>
      </rPr>
      <t>(g)
農薬使用に係る河川へのドリフト農薬量</t>
    </r>
    <phoneticPr fontId="3"/>
  </si>
  <si>
    <r>
      <t>M</t>
    </r>
    <r>
      <rPr>
        <vertAlign val="subscript"/>
        <sz val="11"/>
        <rFont val="ＭＳ Ｐゴシック"/>
        <family val="3"/>
        <charset val="128"/>
      </rPr>
      <t>Dｄ</t>
    </r>
    <r>
      <rPr>
        <sz val="11"/>
        <rFont val="ＭＳ Ｐゴシック"/>
        <family val="3"/>
        <charset val="128"/>
      </rPr>
      <t>(g)
農薬使用に係る排水路へのドリフト農薬量</t>
    </r>
    <phoneticPr fontId="3"/>
  </si>
  <si>
    <r>
      <t>M</t>
    </r>
    <r>
      <rPr>
        <vertAlign val="subscript"/>
        <sz val="11"/>
        <rFont val="ＭＳ Ｐゴシック"/>
        <family val="3"/>
        <charset val="128"/>
      </rPr>
      <t>total</t>
    </r>
    <r>
      <rPr>
        <sz val="11"/>
        <rFont val="ＭＳ Ｐゴシック"/>
        <family val="3"/>
        <charset val="128"/>
      </rPr>
      <t>(g)</t>
    </r>
    <phoneticPr fontId="3"/>
  </si>
  <si>
    <t>測定値から各日の補正値算出用データ</t>
    <rPh sb="0" eb="3">
      <t>ソクテイチ</t>
    </rPh>
    <rPh sb="5" eb="7">
      <t>カクジツ</t>
    </rPh>
    <rPh sb="8" eb="11">
      <t>ホセイチ</t>
    </rPh>
    <rPh sb="11" eb="13">
      <t>サンシュツ</t>
    </rPh>
    <rPh sb="13" eb="14">
      <t>ヨウ</t>
    </rPh>
    <phoneticPr fontId="3"/>
  </si>
  <si>
    <t>経過日数</t>
    <rPh sb="0" eb="2">
      <t>ケイカ</t>
    </rPh>
    <rPh sb="2" eb="4">
      <t>ニッスウ</t>
    </rPh>
    <phoneticPr fontId="3"/>
  </si>
  <si>
    <t>測定値</t>
    <rPh sb="0" eb="3">
      <t>ソクテイチ</t>
    </rPh>
    <phoneticPr fontId="3"/>
  </si>
  <si>
    <t>補間値</t>
    <rPh sb="0" eb="3">
      <t>ホカンチ</t>
    </rPh>
    <phoneticPr fontId="3"/>
  </si>
  <si>
    <t>１回目散布分</t>
    <rPh sb="1" eb="2">
      <t>カイ</t>
    </rPh>
    <rPh sb="2" eb="3">
      <t>メ</t>
    </rPh>
    <rPh sb="3" eb="5">
      <t>サンプ</t>
    </rPh>
    <rPh sb="5" eb="6">
      <t>ブン</t>
    </rPh>
    <phoneticPr fontId="3"/>
  </si>
  <si>
    <t>２回目散布分</t>
    <rPh sb="1" eb="2">
      <t>カイ</t>
    </rPh>
    <rPh sb="2" eb="3">
      <t>メ</t>
    </rPh>
    <rPh sb="3" eb="5">
      <t>サンプ</t>
    </rPh>
    <rPh sb="5" eb="6">
      <t>ブン</t>
    </rPh>
    <phoneticPr fontId="3"/>
  </si>
  <si>
    <t>３回目散布分</t>
    <rPh sb="1" eb="2">
      <t>カイ</t>
    </rPh>
    <rPh sb="2" eb="3">
      <t>メ</t>
    </rPh>
    <rPh sb="3" eb="5">
      <t>サンプ</t>
    </rPh>
    <rPh sb="5" eb="6">
      <t>ブン</t>
    </rPh>
    <phoneticPr fontId="3"/>
  </si>
  <si>
    <t>日</t>
    <rPh sb="0" eb="1">
      <t>ニチ</t>
    </rPh>
    <phoneticPr fontId="3"/>
  </si>
  <si>
    <t>列番号</t>
    <rPh sb="0" eb="3">
      <t>レツバンゴウ</t>
    </rPh>
    <phoneticPr fontId="3"/>
  </si>
  <si>
    <t>min</t>
    <phoneticPr fontId="3"/>
  </si>
  <si>
    <t>max</t>
    <phoneticPr fontId="3"/>
  </si>
  <si>
    <t>1日当たりの変動量</t>
    <rPh sb="1" eb="2">
      <t>ニチ</t>
    </rPh>
    <rPh sb="2" eb="3">
      <t>ア</t>
    </rPh>
    <rPh sb="6" eb="9">
      <t>ヘンドウリョウ</t>
    </rPh>
    <phoneticPr fontId="3"/>
  </si>
  <si>
    <t>最大値day</t>
    <rPh sb="0" eb="3">
      <t>サイダイチ</t>
    </rPh>
    <phoneticPr fontId="3"/>
  </si>
  <si>
    <t>PEC最大値</t>
    <rPh sb="3" eb="6">
      <t>サイダイチ</t>
    </rPh>
    <phoneticPr fontId="3"/>
  </si>
  <si>
    <t>i日目開始時の濃度</t>
    <rPh sb="1" eb="3">
      <t>ニチメ</t>
    </rPh>
    <rPh sb="3" eb="6">
      <t>カイシジ</t>
    </rPh>
    <rPh sb="7" eb="9">
      <t>ノウド</t>
    </rPh>
    <phoneticPr fontId="3"/>
  </si>
  <si>
    <t>i日目終了時の濃度</t>
    <rPh sb="1" eb="3">
      <t>ニチメ</t>
    </rPh>
    <rPh sb="3" eb="6">
      <t>シュウリョウジ</t>
    </rPh>
    <rPh sb="7" eb="9">
      <t>ノウド</t>
    </rPh>
    <phoneticPr fontId="3"/>
  </si>
  <si>
    <t>累積Mtotal</t>
    <rPh sb="0" eb="2">
      <t>ルイセキ</t>
    </rPh>
    <phoneticPr fontId="3"/>
  </si>
  <si>
    <t>累積Mse</t>
    <rPh sb="0" eb="2">
      <t>ルイセキ</t>
    </rPh>
    <phoneticPr fontId="3"/>
  </si>
  <si>
    <t>PEC</t>
    <phoneticPr fontId="3"/>
  </si>
  <si>
    <t>止水期間終了以降の累積Mtotal</t>
    <rPh sb="0" eb="4">
      <t>シスイキカン</t>
    </rPh>
    <rPh sb="4" eb="6">
      <t>シュウリョウ</t>
    </rPh>
    <rPh sb="6" eb="8">
      <t>イコウ</t>
    </rPh>
    <rPh sb="9" eb="11">
      <t>ルイセキ</t>
    </rPh>
    <phoneticPr fontId="3"/>
  </si>
  <si>
    <t>止水期間終了以降の累積Mse</t>
    <rPh sb="0" eb="4">
      <t>シスイキカン</t>
    </rPh>
    <rPh sb="4" eb="6">
      <t>シュウリョウ</t>
    </rPh>
    <rPh sb="6" eb="8">
      <t>イコウ</t>
    </rPh>
    <rPh sb="9" eb="11">
      <t>ルイセキ</t>
    </rPh>
    <phoneticPr fontId="3"/>
  </si>
  <si>
    <t>止水期間終了以降のPEC</t>
    <rPh sb="0" eb="4">
      <t>シスイキカン</t>
    </rPh>
    <rPh sb="4" eb="6">
      <t>シュウリョウ</t>
    </rPh>
    <rPh sb="6" eb="8">
      <t>イコウ</t>
    </rPh>
    <phoneticPr fontId="3"/>
  </si>
  <si>
    <t>i</t>
    <phoneticPr fontId="3"/>
  </si>
  <si>
    <t>散布回数</t>
    <rPh sb="0" eb="4">
      <t>サンプカイスウ</t>
    </rPh>
    <phoneticPr fontId="3"/>
  </si>
  <si>
    <t>散布後経過日数(日間)</t>
    <rPh sb="0" eb="3">
      <t>サンプゴ</t>
    </rPh>
    <rPh sb="3" eb="5">
      <t>ケイカ</t>
    </rPh>
    <rPh sb="5" eb="7">
      <t>ニッスウ</t>
    </rPh>
    <rPh sb="8" eb="10">
      <t>ニチカン</t>
    </rPh>
    <phoneticPr fontId="3"/>
  </si>
  <si>
    <t>止水期間日数</t>
    <rPh sb="0" eb="4">
      <t>シスイキカン</t>
    </rPh>
    <rPh sb="4" eb="6">
      <t>ニッスウ</t>
    </rPh>
    <phoneticPr fontId="3"/>
  </si>
  <si>
    <t>止水期間外日数</t>
    <rPh sb="0" eb="5">
      <t>シスイキカンガイ</t>
    </rPh>
    <rPh sb="5" eb="7">
      <t>ニッスウ</t>
    </rPh>
    <phoneticPr fontId="3"/>
  </si>
  <si>
    <t>水替率</t>
    <rPh sb="0" eb="2">
      <t>ミズカ</t>
    </rPh>
    <rPh sb="2" eb="3">
      <t>リツ</t>
    </rPh>
    <phoneticPr fontId="3"/>
  </si>
  <si>
    <t>Ci</t>
    <phoneticPr fontId="3"/>
  </si>
  <si>
    <t>Mout</t>
    <phoneticPr fontId="3"/>
  </si>
  <si>
    <t>Mseepage</t>
    <phoneticPr fontId="3"/>
  </si>
  <si>
    <t>MDr+MDd</t>
    <phoneticPr fontId="3"/>
  </si>
  <si>
    <t>Mse(g)</t>
    <phoneticPr fontId="3"/>
  </si>
  <si>
    <t>PEC（ppb)</t>
    <phoneticPr fontId="3"/>
  </si>
  <si>
    <t>days</t>
    <phoneticPr fontId="3"/>
  </si>
  <si>
    <t>MaxData</t>
    <phoneticPr fontId="3"/>
  </si>
  <si>
    <t>end：データが無い場合</t>
    <rPh sb="8" eb="9">
      <t>ナ</t>
    </rPh>
    <rPh sb="10" eb="12">
      <t>バアイ</t>
    </rPh>
    <phoneticPr fontId="3"/>
  </si>
  <si>
    <t>長期水域ＰＥＣ計算シート
水田（第２段階、地上防除）魚類(2)</t>
    <rPh sb="0" eb="4">
      <t>チョウキスイイキ</t>
    </rPh>
    <rPh sb="7" eb="9">
      <t>ケイサン</t>
    </rPh>
    <rPh sb="26" eb="28">
      <t>ギョルイ</t>
    </rPh>
    <phoneticPr fontId="3"/>
  </si>
  <si>
    <t>長期水域ＰＥＣ計算シート
水田（第２段階、航空防除）魚類</t>
    <rPh sb="0" eb="2">
      <t>チョウキ</t>
    </rPh>
    <rPh sb="2" eb="4">
      <t>スイイキ</t>
    </rPh>
    <rPh sb="7" eb="9">
      <t>ケイサン</t>
    </rPh>
    <rPh sb="21" eb="23">
      <t>コウクウ</t>
    </rPh>
    <rPh sb="26" eb="28">
      <t>ギョルイ</t>
    </rPh>
    <phoneticPr fontId="3"/>
  </si>
  <si>
    <t>農薬流出補正係数
　茎葉散布＝0.3
　上記以外＝１</t>
    <rPh sb="0" eb="2">
      <t>ノウヤク</t>
    </rPh>
    <rPh sb="2" eb="4">
      <t>リュウシュツ</t>
    </rPh>
    <rPh sb="4" eb="6">
      <t>ホセイ</t>
    </rPh>
    <rPh sb="6" eb="8">
      <t>ケイスウ</t>
    </rPh>
    <rPh sb="10" eb="12">
      <t>ケイヨウ</t>
    </rPh>
    <rPh sb="12" eb="14">
      <t>サンプ</t>
    </rPh>
    <rPh sb="20" eb="22">
      <t>ジョウキ</t>
    </rPh>
    <rPh sb="22" eb="24">
      <t>イガイ</t>
    </rPh>
    <phoneticPr fontId="3"/>
  </si>
  <si>
    <t>航空防除の場合、ドリフト無しのパターンは考慮しない。</t>
    <phoneticPr fontId="3"/>
  </si>
  <si>
    <t>ドリフト率</t>
    <phoneticPr fontId="3"/>
  </si>
  <si>
    <t>排水路ドリフト率</t>
    <phoneticPr fontId="3"/>
  </si>
  <si>
    <t>支川河川底質の有機炭素含有率</t>
    <rPh sb="0" eb="4">
      <t>シセンカセン</t>
    </rPh>
    <rPh sb="4" eb="6">
      <t>テイシツ</t>
    </rPh>
    <rPh sb="7" eb="9">
      <t>ユウキ</t>
    </rPh>
    <rPh sb="9" eb="11">
      <t>タンソ</t>
    </rPh>
    <rPh sb="11" eb="14">
      <t>ガンユウリツ</t>
    </rPh>
    <phoneticPr fontId="3"/>
  </si>
  <si>
    <t>長期水域ＰＥＣ計算シート
水田（第２段階、航空防除）魚類(2)</t>
    <rPh sb="0" eb="2">
      <t>チョウキ</t>
    </rPh>
    <rPh sb="2" eb="4">
      <t>スイイキ</t>
    </rPh>
    <rPh sb="7" eb="9">
      <t>ケイサン</t>
    </rPh>
    <rPh sb="21" eb="23">
      <t>コウクウ</t>
    </rPh>
    <rPh sb="26" eb="28">
      <t>ギョルイ</t>
    </rPh>
    <phoneticPr fontId="3"/>
  </si>
  <si>
    <t>長期水域ＰＥＣ計算シート
PECの算定（非水田、第２段階）魚類</t>
    <rPh sb="0" eb="2">
      <t>チョウキ</t>
    </rPh>
    <rPh sb="2" eb="4">
      <t>スイイキ</t>
    </rPh>
    <rPh sb="7" eb="9">
      <t>ケイサン</t>
    </rPh>
    <rPh sb="29" eb="31">
      <t>ギョルイ</t>
    </rPh>
    <phoneticPr fontId="3"/>
  </si>
  <si>
    <t>地表流出試験の試験条件※：</t>
    <rPh sb="0" eb="2">
      <t>チヒョウ</t>
    </rPh>
    <rPh sb="2" eb="4">
      <t>リュウシュツ</t>
    </rPh>
    <phoneticPr fontId="3"/>
  </si>
  <si>
    <t>※地表流出試験における被験物質の取扱い及び施用（登録申請に係る剤型、使用方法（時期、量等）等）等をご記載ください。</t>
    <rPh sb="1" eb="3">
      <t>チヒョウ</t>
    </rPh>
    <rPh sb="3" eb="5">
      <t>リュウシュツ</t>
    </rPh>
    <rPh sb="5" eb="7">
      <t>シケン</t>
    </rPh>
    <rPh sb="11" eb="15">
      <t>ヒケンブッシツ</t>
    </rPh>
    <rPh sb="16" eb="18">
      <t>トリアツカ</t>
    </rPh>
    <rPh sb="19" eb="20">
      <t>オヨ</t>
    </rPh>
    <rPh sb="21" eb="23">
      <t>セヨウ</t>
    </rPh>
    <rPh sb="24" eb="26">
      <t>トウロク</t>
    </rPh>
    <rPh sb="26" eb="28">
      <t>シンセイ</t>
    </rPh>
    <rPh sb="29" eb="30">
      <t>カカワ</t>
    </rPh>
    <rPh sb="31" eb="33">
      <t>ザイガタ</t>
    </rPh>
    <rPh sb="34" eb="36">
      <t>シヨウ</t>
    </rPh>
    <rPh sb="36" eb="38">
      <t>ホウホウ</t>
    </rPh>
    <rPh sb="39" eb="41">
      <t>ジキ</t>
    </rPh>
    <rPh sb="42" eb="44">
      <t>リョウナド</t>
    </rPh>
    <rPh sb="45" eb="46">
      <t>ナド</t>
    </rPh>
    <rPh sb="47" eb="48">
      <t>ナド</t>
    </rPh>
    <rPh sb="50" eb="52">
      <t>キサイ</t>
    </rPh>
    <phoneticPr fontId="3"/>
  </si>
  <si>
    <t>ドリフト試験の試験条件※※：</t>
    <phoneticPr fontId="3"/>
  </si>
  <si>
    <t>※※ドリフト試験における被験物質の取扱い及び施用（登録申請に係る剤型、使用方法（時期、量等）等）等をご記載ください。</t>
    <rPh sb="6" eb="8">
      <t>シケン</t>
    </rPh>
    <rPh sb="12" eb="16">
      <t>ヒケンブッシツ</t>
    </rPh>
    <rPh sb="17" eb="19">
      <t>トリアツカ</t>
    </rPh>
    <rPh sb="20" eb="21">
      <t>オヨ</t>
    </rPh>
    <rPh sb="22" eb="24">
      <t>セヨウ</t>
    </rPh>
    <rPh sb="25" eb="27">
      <t>トウロク</t>
    </rPh>
    <rPh sb="27" eb="29">
      <t>シンセイ</t>
    </rPh>
    <rPh sb="30" eb="31">
      <t>カカワ</t>
    </rPh>
    <rPh sb="32" eb="34">
      <t>ザイガタ</t>
    </rPh>
    <rPh sb="35" eb="37">
      <t>シヨウ</t>
    </rPh>
    <rPh sb="37" eb="39">
      <t>ホウホウ</t>
    </rPh>
    <rPh sb="40" eb="42">
      <t>ジキ</t>
    </rPh>
    <rPh sb="43" eb="45">
      <t>リョウナド</t>
    </rPh>
    <rPh sb="46" eb="47">
      <t>ナド</t>
    </rPh>
    <rPh sb="48" eb="49">
      <t>ナド</t>
    </rPh>
    <rPh sb="51" eb="53">
      <t>キサイ</t>
    </rPh>
    <phoneticPr fontId="3"/>
  </si>
  <si>
    <t>Ａu（ha）</t>
    <phoneticPr fontId="3"/>
  </si>
  <si>
    <t>I（g/ha）</t>
    <phoneticPr fontId="3"/>
  </si>
  <si>
    <t>単回の農薬使用量</t>
    <rPh sb="5" eb="7">
      <t>シヨウ</t>
    </rPh>
    <phoneticPr fontId="3"/>
  </si>
  <si>
    <t xml:space="preserve">単位がha当たりなので注意する。 </t>
    <phoneticPr fontId="3"/>
  </si>
  <si>
    <t>Te=21の場合：１、Te=22-27の場合：１～２、Te=28-40の場合：１～３</t>
    <rPh sb="6" eb="8">
      <t>バアイ</t>
    </rPh>
    <phoneticPr fontId="3"/>
  </si>
  <si>
    <r>
      <t>Driver</t>
    </r>
    <r>
      <rPr>
        <vertAlign val="subscript"/>
        <sz val="11"/>
        <rFont val="ＭＳ Ｐゴシック"/>
        <family val="3"/>
        <charset val="128"/>
      </rPr>
      <t xml:space="preserve"> </t>
    </r>
    <r>
      <rPr>
        <sz val="11"/>
        <rFont val="ＭＳ Ｐゴシック"/>
        <family val="3"/>
        <charset val="128"/>
      </rPr>
      <t>(%)</t>
    </r>
    <phoneticPr fontId="3"/>
  </si>
  <si>
    <t>河川へのドリフト率
(ドリフト試験結果に基づく値)</t>
    <rPh sb="0" eb="2">
      <t>カセン</t>
    </rPh>
    <rPh sb="8" eb="9">
      <t>リツ</t>
    </rPh>
    <phoneticPr fontId="3"/>
  </si>
  <si>
    <t>Zriver (ha/day)</t>
    <phoneticPr fontId="3"/>
  </si>
  <si>
    <t>Ndrift (day)</t>
    <phoneticPr fontId="3"/>
  </si>
  <si>
    <t>Ru (%)</t>
    <phoneticPr fontId="3"/>
  </si>
  <si>
    <t>農薬使用地からの1日当たりの流出率
入力：地表流出試験結果に基づく平均流出率
※地表流出試験で得られた流出率は、算定に当たり1/10に補正</t>
    <rPh sb="44" eb="46">
      <t>シケン</t>
    </rPh>
    <phoneticPr fontId="3"/>
  </si>
  <si>
    <t>1日当たりの平均流出率（％）</t>
    <rPh sb="6" eb="8">
      <t>ヘイキン</t>
    </rPh>
    <rPh sb="8" eb="11">
      <t>リュウシュツリツ</t>
    </rPh>
    <phoneticPr fontId="3"/>
  </si>
  <si>
    <t>1日当たりの平均流出率（％）/10＝</t>
    <rPh sb="1" eb="2">
      <t>ニチ</t>
    </rPh>
    <rPh sb="2" eb="3">
      <t>ア</t>
    </rPh>
    <rPh sb="6" eb="8">
      <t>ヘイキン</t>
    </rPh>
    <rPh sb="8" eb="11">
      <t>リュウシュツリツ</t>
    </rPh>
    <phoneticPr fontId="3"/>
  </si>
  <si>
    <r>
      <t>Vw</t>
    </r>
    <r>
      <rPr>
        <vertAlign val="subscript"/>
        <sz val="11"/>
        <rFont val="ＭＳ Ｐゴシック"/>
        <family val="3"/>
        <charset val="128"/>
      </rPr>
      <t xml:space="preserve"> </t>
    </r>
    <r>
      <rPr>
        <sz val="11"/>
        <rFont val="ＭＳ Ｐゴシック"/>
        <family val="3"/>
        <charset val="128"/>
      </rPr>
      <t>(m</t>
    </r>
    <r>
      <rPr>
        <vertAlign val="superscript"/>
        <sz val="11"/>
        <rFont val="ＭＳ Ｐゴシック"/>
        <family val="3"/>
        <charset val="128"/>
      </rPr>
      <t>3</t>
    </r>
    <r>
      <rPr>
        <sz val="11"/>
        <rFont val="ＭＳ Ｐゴシック"/>
        <family val="3"/>
        <charset val="128"/>
      </rPr>
      <t>)</t>
    </r>
    <phoneticPr fontId="3"/>
  </si>
  <si>
    <t>河川流量</t>
    <rPh sb="0" eb="2">
      <t>カセン</t>
    </rPh>
    <rPh sb="2" eb="4">
      <t>リュウリョウ</t>
    </rPh>
    <phoneticPr fontId="3"/>
  </si>
  <si>
    <r>
      <t>3(m</t>
    </r>
    <r>
      <rPr>
        <vertAlign val="superscript"/>
        <sz val="11"/>
        <rFont val="ＭＳ Ｐゴシック"/>
        <family val="3"/>
        <charset val="128"/>
      </rPr>
      <t>3</t>
    </r>
    <r>
      <rPr>
        <sz val="11"/>
        <rFont val="ＭＳ Ｐゴシック"/>
        <family val="3"/>
        <charset val="128"/>
      </rPr>
      <t>/s)（平水時）</t>
    </r>
    <rPh sb="8" eb="11">
      <t>ヘイスイジ</t>
    </rPh>
    <phoneticPr fontId="3"/>
  </si>
  <si>
    <r>
      <t>11(m</t>
    </r>
    <r>
      <rPr>
        <vertAlign val="superscript"/>
        <sz val="11"/>
        <rFont val="ＭＳ Ｐゴシック"/>
        <family val="3"/>
        <charset val="128"/>
      </rPr>
      <t>3</t>
    </r>
    <r>
      <rPr>
        <sz val="11"/>
        <rFont val="ＭＳ Ｐゴシック"/>
        <family val="3"/>
        <charset val="128"/>
      </rPr>
      <t>/s)（増水時）</t>
    </r>
    <rPh sb="9" eb="12">
      <t>ゾウスイジ</t>
    </rPh>
    <phoneticPr fontId="3"/>
  </si>
  <si>
    <t>ｆu (-)</t>
    <phoneticPr fontId="3"/>
  </si>
  <si>
    <t>土壌混和・潅注：0.1</t>
    <rPh sb="0" eb="2">
      <t>ドジョウ</t>
    </rPh>
    <rPh sb="2" eb="4">
      <t>コンワ</t>
    </rPh>
    <rPh sb="5" eb="6">
      <t>カン</t>
    </rPh>
    <rPh sb="6" eb="7">
      <t>チュウ</t>
    </rPh>
    <phoneticPr fontId="3"/>
  </si>
  <si>
    <t>茎葉散布：0.3</t>
    <rPh sb="0" eb="1">
      <t>クキ</t>
    </rPh>
    <rPh sb="1" eb="2">
      <t>ハ</t>
    </rPh>
    <rPh sb="2" eb="4">
      <t>サンプ</t>
    </rPh>
    <phoneticPr fontId="3"/>
  </si>
  <si>
    <t>上記以外：１</t>
    <rPh sb="0" eb="2">
      <t>ジョウキ</t>
    </rPh>
    <rPh sb="2" eb="4">
      <t>イガイ</t>
    </rPh>
    <phoneticPr fontId="3"/>
  </si>
  <si>
    <r>
      <t>Koc（cm</t>
    </r>
    <r>
      <rPr>
        <vertAlign val="superscript"/>
        <sz val="11"/>
        <rFont val="ＭＳ Ｐゴシック"/>
        <family val="3"/>
        <charset val="128"/>
      </rPr>
      <t>3</t>
    </r>
    <r>
      <rPr>
        <sz val="11"/>
        <rFont val="ＭＳ Ｐゴシック"/>
        <family val="3"/>
        <charset val="128"/>
      </rPr>
      <t>/g）</t>
    </r>
    <phoneticPr fontId="3"/>
  </si>
  <si>
    <t>評価期間は21～40日</t>
    <phoneticPr fontId="3"/>
  </si>
  <si>
    <t>Wrain(回)</t>
    <rPh sb="6" eb="7">
      <t>カイ</t>
    </rPh>
    <phoneticPr fontId="3"/>
  </si>
  <si>
    <t>降雨回数</t>
    <rPh sb="0" eb="2">
      <t>コウウ</t>
    </rPh>
    <rPh sb="2" eb="4">
      <t>カイスウ</t>
    </rPh>
    <phoneticPr fontId="3"/>
  </si>
  <si>
    <t>Tr(day)</t>
    <phoneticPr fontId="3"/>
  </si>
  <si>
    <t>増水期間</t>
    <rPh sb="0" eb="4">
      <t>ゾウスイキカン</t>
    </rPh>
    <phoneticPr fontId="3"/>
  </si>
  <si>
    <t>土壌中における減衰を考慮する場合(減衰を考慮しない場合はブランクとする）</t>
    <rPh sb="0" eb="3">
      <t>ドジョウチュウ</t>
    </rPh>
    <rPh sb="7" eb="9">
      <t>ゲンスイ</t>
    </rPh>
    <rPh sb="10" eb="12">
      <t>コウリョ</t>
    </rPh>
    <rPh sb="14" eb="16">
      <t>バアイ</t>
    </rPh>
    <rPh sb="17" eb="19">
      <t>ゲンスイ</t>
    </rPh>
    <rPh sb="20" eb="22">
      <t>コウリョ</t>
    </rPh>
    <rPh sb="25" eb="27">
      <t>バアイ</t>
    </rPh>
    <phoneticPr fontId="3"/>
  </si>
  <si>
    <t>農薬使用から3回目の降雨までの日数</t>
    <rPh sb="0" eb="2">
      <t>ノウヤク</t>
    </rPh>
    <rPh sb="2" eb="4">
      <t>シヨウ</t>
    </rPh>
    <rPh sb="7" eb="9">
      <t>カイメ</t>
    </rPh>
    <rPh sb="10" eb="12">
      <t>コウウ</t>
    </rPh>
    <rPh sb="15" eb="17">
      <t>ニッスウ</t>
    </rPh>
    <phoneticPr fontId="3"/>
  </si>
  <si>
    <t>農薬使用から4回目の降雨までの日数</t>
    <rPh sb="0" eb="2">
      <t>ノウヤク</t>
    </rPh>
    <rPh sb="2" eb="4">
      <t>シヨウ</t>
    </rPh>
    <rPh sb="7" eb="9">
      <t>カイメ</t>
    </rPh>
    <rPh sb="10" eb="12">
      <t>コウウ</t>
    </rPh>
    <rPh sb="15" eb="17">
      <t>ニッスウ</t>
    </rPh>
    <phoneticPr fontId="3"/>
  </si>
  <si>
    <t>河川水中における分解を考慮する場合（分解を考慮しない場合はブランク）（注１）</t>
    <rPh sb="0" eb="4">
      <t>カセンスイチュウ</t>
    </rPh>
    <rPh sb="18" eb="20">
      <t>ブンカイ</t>
    </rPh>
    <rPh sb="35" eb="36">
      <t>チュウ</t>
    </rPh>
    <phoneticPr fontId="3"/>
  </si>
  <si>
    <t>（注１）
・光分解半減期（水中光分解試験結果による暗所対照区の分解性を考慮し補正した光分解半減期）及び加水分解半減期を入力する場合は、水中光分解半減期は入力しない。
・暗所対照区での分解性を考慮せず、光照射区の水中光分解半減期をそのまま用いる場合は、水中光分解半減期のみ入力。
・光分解半減期及び水中光分解半減期のいずれもない場合、加水分解半減期のみ入力。</t>
    <phoneticPr fontId="3"/>
  </si>
  <si>
    <r>
      <rPr>
        <sz val="11"/>
        <rFont val="ＭＳ Ｐゴシック"/>
        <family val="3"/>
        <charset val="128"/>
      </rPr>
      <t>水中分解速度定数</t>
    </r>
    <r>
      <rPr>
        <i/>
        <sz val="11"/>
        <rFont val="ＭＳ Ｐゴシック"/>
        <family val="3"/>
        <charset val="128"/>
      </rPr>
      <t>　k=</t>
    </r>
    <phoneticPr fontId="3"/>
  </si>
  <si>
    <t>パラメータ</t>
  </si>
  <si>
    <t>Vse</t>
  </si>
  <si>
    <t>ρse</t>
    <phoneticPr fontId="3"/>
  </si>
  <si>
    <r>
      <rPr>
        <sz val="11"/>
        <rFont val="ＭＳ Ｐゴシック"/>
        <family val="3"/>
        <charset val="128"/>
      </rPr>
      <t>支川底質の有機炭素含有率</t>
    </r>
    <rPh sb="0" eb="2">
      <t>シセン</t>
    </rPh>
    <rPh sb="2" eb="4">
      <t>テイシツ</t>
    </rPh>
    <rPh sb="5" eb="7">
      <t>ユウキ</t>
    </rPh>
    <rPh sb="7" eb="9">
      <t>タンソ</t>
    </rPh>
    <rPh sb="9" eb="12">
      <t>ガンユウリツ</t>
    </rPh>
    <phoneticPr fontId="3"/>
  </si>
  <si>
    <t>%</t>
  </si>
  <si>
    <t>試験期間(days)</t>
    <phoneticPr fontId="3"/>
  </si>
  <si>
    <t>Ndrift(days)</t>
    <phoneticPr fontId="3"/>
  </si>
  <si>
    <r>
      <t>Mse（</t>
    </r>
    <r>
      <rPr>
        <sz val="10"/>
        <rFont val="ＭＳ Ｐゴシック"/>
        <family val="3"/>
        <charset val="128"/>
      </rPr>
      <t>土壌中における減衰を考</t>
    </r>
    <r>
      <rPr>
        <sz val="11"/>
        <rFont val="ＭＳ Ｐゴシック"/>
        <family val="3"/>
        <charset val="128"/>
      </rPr>
      <t>慮）(g)</t>
    </r>
    <phoneticPr fontId="3"/>
  </si>
  <si>
    <t>PEC（土壌中における減衰を考慮）(μg/L)</t>
    <rPh sb="4" eb="7">
      <t>ドジョウチュウ</t>
    </rPh>
    <rPh sb="11" eb="13">
      <t>ゲンスイ</t>
    </rPh>
    <rPh sb="14" eb="16">
      <t>コウリョ</t>
    </rPh>
    <phoneticPr fontId="3"/>
  </si>
  <si>
    <t>PEC（河川水中における分解を考慮）(μg/L)</t>
    <rPh sb="4" eb="6">
      <t>カセン</t>
    </rPh>
    <rPh sb="6" eb="8">
      <t>スイチュウ</t>
    </rPh>
    <rPh sb="12" eb="14">
      <t>ブンカイ</t>
    </rPh>
    <rPh sb="15" eb="17">
      <t>コウリョ</t>
    </rPh>
    <phoneticPr fontId="3"/>
  </si>
  <si>
    <t>PEC（土壌中における減衰及び／又は河川水中での分解を考慮）(μg/L)</t>
    <rPh sb="13" eb="14">
      <t>オヨ</t>
    </rPh>
    <rPh sb="16" eb="17">
      <t>マタ</t>
    </rPh>
    <phoneticPr fontId="3"/>
  </si>
  <si>
    <t>長期水域ＰＥＣ計算シート
水田（第２段階、地上防除）甲殻類</t>
    <rPh sb="0" eb="4">
      <t>チョウキスイイキ</t>
    </rPh>
    <rPh sb="7" eb="9">
      <t>ケイサン</t>
    </rPh>
    <rPh sb="26" eb="29">
      <t>コウカクルイ</t>
    </rPh>
    <phoneticPr fontId="3"/>
  </si>
  <si>
    <t>１～２回</t>
    <rPh sb="3" eb="4">
      <t>カイ</t>
    </rPh>
    <phoneticPr fontId="3"/>
  </si>
  <si>
    <t>長期水域ＰＥＣ計算シート
水田（第２段階、地上防除）甲殻類(2)</t>
    <rPh sb="0" eb="4">
      <t>チョウキスイイキ</t>
    </rPh>
    <rPh sb="7" eb="9">
      <t>ケイサン</t>
    </rPh>
    <rPh sb="26" eb="29">
      <t>コウカクルイ</t>
    </rPh>
    <phoneticPr fontId="3"/>
  </si>
  <si>
    <t>長期水域ＰＥＣ計算シート
水田（第２段階、航空防除）甲殻類</t>
    <rPh sb="0" eb="2">
      <t>チョウキ</t>
    </rPh>
    <rPh sb="2" eb="4">
      <t>スイイキ</t>
    </rPh>
    <rPh sb="7" eb="9">
      <t>ケイサン</t>
    </rPh>
    <rPh sb="21" eb="23">
      <t>コウクウ</t>
    </rPh>
    <rPh sb="26" eb="29">
      <t>コウカクルイ</t>
    </rPh>
    <phoneticPr fontId="3"/>
  </si>
  <si>
    <t>長期水域ＰＥＣ計算シート
水田（第２段階、航空防除）甲殻類(2)</t>
    <rPh sb="0" eb="2">
      <t>チョウキ</t>
    </rPh>
    <rPh sb="2" eb="4">
      <t>スイイキ</t>
    </rPh>
    <rPh sb="7" eb="9">
      <t>ケイサン</t>
    </rPh>
    <rPh sb="21" eb="23">
      <t>コウクウ</t>
    </rPh>
    <rPh sb="26" eb="29">
      <t>コウカクルイ</t>
    </rPh>
    <phoneticPr fontId="3"/>
  </si>
  <si>
    <t>長期水域ＰＥＣ計算シート
PECの算定（非水田、第２段階）甲殻類</t>
    <rPh sb="0" eb="2">
      <t>チョウキ</t>
    </rPh>
    <rPh sb="2" eb="4">
      <t>スイイキ</t>
    </rPh>
    <rPh sb="7" eb="9">
      <t>ケイサン</t>
    </rPh>
    <rPh sb="29" eb="32">
      <t>コウカクルイ</t>
    </rPh>
    <phoneticPr fontId="3"/>
  </si>
  <si>
    <t>地上防除</t>
    <phoneticPr fontId="3"/>
  </si>
  <si>
    <t>甲殻類等</t>
    <rPh sb="0" eb="4">
      <t>コウカクルイトウ</t>
    </rPh>
    <phoneticPr fontId="3"/>
  </si>
  <si>
    <t>結果一覧へ</t>
    <rPh sb="0" eb="2">
      <t>ケッカ</t>
    </rPh>
    <rPh sb="2" eb="4">
      <t>イチラン</t>
    </rPh>
    <phoneticPr fontId="3"/>
  </si>
  <si>
    <t>結果一覧へ</t>
    <phoneticPr fontId="3"/>
  </si>
  <si>
    <r>
      <t>長期水域ＰＥＣ計算シート（</t>
    </r>
    <r>
      <rPr>
        <b/>
        <sz val="11"/>
        <rFont val="ＭＳ Ｐゴシック"/>
        <family val="3"/>
        <charset val="128"/>
      </rPr>
      <t>非</t>
    </r>
    <r>
      <rPr>
        <b/>
        <sz val="12"/>
        <rFont val="ＭＳ Ｐゴシック"/>
        <family val="3"/>
        <charset val="128"/>
      </rPr>
      <t>水田、第１段階）</t>
    </r>
    <rPh sb="0" eb="2">
      <t>チョウキ</t>
    </rPh>
    <rPh sb="2" eb="4">
      <t>スイイキ</t>
    </rPh>
    <rPh sb="7" eb="9">
      <t>ケイサン</t>
    </rPh>
    <rPh sb="13" eb="14">
      <t>ヒ</t>
    </rPh>
    <rPh sb="14" eb="16">
      <t>スイデン</t>
    </rPh>
    <rPh sb="17" eb="18">
      <t>ダイ</t>
    </rPh>
    <rPh sb="19" eb="21">
      <t>ダンカイ</t>
    </rPh>
    <phoneticPr fontId="3"/>
  </si>
  <si>
    <t>公表日</t>
    <rPh sb="0" eb="3">
      <t>コウヒョウビ</t>
    </rPh>
    <phoneticPr fontId="3"/>
  </si>
  <si>
    <t>改訂履歴</t>
    <rPh sb="0" eb="2">
      <t>カイテイ</t>
    </rPh>
    <rPh sb="2" eb="4">
      <t>リレキ</t>
    </rPh>
    <phoneticPr fontId="3"/>
  </si>
  <si>
    <t>Ver.</t>
    <phoneticPr fontId="3"/>
  </si>
  <si>
    <t>ver.1.0を公開</t>
    <rPh sb="8" eb="10">
      <t>コウカイ</t>
    </rPh>
    <phoneticPr fontId="3"/>
  </si>
  <si>
    <t>1.0</t>
    <phoneticPr fontId="3"/>
  </si>
  <si>
    <t>ver.1.0（2026/07/01）</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</si>
</sst>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0.0_ "/>
    <numFmt numFmtId="177" formatCode="0.00_ "/>
    <numFmt numFmtId="178" formatCode="0.000_ "/>
    <numFmt numFmtId="179" formatCode="0.0000_);[Red]\(0.0000\)"/>
    <numFmt numFmtId="180" formatCode="0.0000_ "/>
    <numFmt numFmtId="181" formatCode="0.0_);[Red]\(0.0\)"/>
    <numFmt numFmtId="182" formatCode="0_);[Red]\(0\)"/>
    <numFmt numFmtId="183" formatCode="0.00_);[Red]\(0.00\)"/>
    <numFmt numFmtId="184" formatCode="0.0"/>
    <numFmt numFmtId="185" formatCode="0.0000000"/>
    <numFmt numFmtId="186" formatCode="0.0.E+00"/>
    <numFmt numFmtId="187" formatCode="&quot;使用&quot;#&quot;回目&quot;"/>
    <numFmt numFmtId="188" formatCode="0.00.E+00"/>
    <numFmt numFmtId="189" formatCode="&quot;d1=&quot;General"/>
    <numFmt numFmtId="190" formatCode="&quot;d2=&quot;General"/>
    <numFmt numFmtId="191" formatCode="&quot;d3=&quot;General"/>
    <numFmt numFmtId="192" formatCode="#,##0.0#;\-#,##0.0#"/>
    <numFmt numFmtId="193" formatCode="0.00000000000000_);[Red]\(0.00000000000000\)"/>
  </numFmts>
  <fonts count="37" x14ac:knownFonts="1">
    <font>
      <sz val="11"/>
      <name val="ＭＳ Ｐゴシック"/>
      <family val="3"/>
      <charset val="128"/>
    </font>
    <font>
      <sz val="11"/>
      <color indexed="8"/>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b/>
      <sz val="11"/>
      <name val="ＭＳ Ｐゴシック"/>
      <family val="3"/>
      <charset val="128"/>
    </font>
    <font>
      <b/>
      <sz val="11"/>
      <color indexed="10"/>
      <name val="ＭＳ Ｐゴシック"/>
      <family val="3"/>
      <charset val="128"/>
    </font>
    <font>
      <b/>
      <sz val="12"/>
      <name val="ＭＳ Ｐゴシック"/>
      <family val="3"/>
      <charset val="128"/>
    </font>
    <font>
      <sz val="11"/>
      <color indexed="9"/>
      <name val="ＭＳ Ｐゴシック"/>
      <family val="3"/>
      <charset val="128"/>
    </font>
    <font>
      <sz val="11"/>
      <color indexed="10"/>
      <name val="ＭＳ Ｐゴシック"/>
      <family val="3"/>
      <charset val="128"/>
    </font>
    <font>
      <vertAlign val="subscript"/>
      <sz val="11"/>
      <name val="ＭＳ Ｐゴシック"/>
      <family val="3"/>
      <charset val="128"/>
    </font>
    <font>
      <u/>
      <sz val="11"/>
      <name val="ＭＳ Ｐゴシック"/>
      <family val="3"/>
      <charset val="128"/>
    </font>
    <font>
      <vertAlign val="superscript"/>
      <sz val="11"/>
      <name val="ＭＳ Ｐゴシック"/>
      <family val="3"/>
      <charset val="128"/>
    </font>
    <font>
      <b/>
      <sz val="10"/>
      <name val="ＭＳ Ｐゴシック"/>
      <family val="3"/>
      <charset val="128"/>
    </font>
    <font>
      <sz val="8"/>
      <color indexed="8"/>
      <name val="ＭＳ Ｐゴシック"/>
      <family val="3"/>
      <charset val="128"/>
    </font>
    <font>
      <i/>
      <sz val="11"/>
      <name val="ＭＳ Ｐゴシック"/>
      <family val="3"/>
      <charset val="128"/>
    </font>
    <font>
      <b/>
      <sz val="14"/>
      <name val="ＭＳ Ｐゴシック"/>
      <family val="3"/>
      <charset val="128"/>
    </font>
    <font>
      <sz val="8"/>
      <name val="ＭＳ Ｐゴシック"/>
      <family val="3"/>
      <charset val="128"/>
    </font>
    <font>
      <sz val="9"/>
      <name val="ＭＳ Ｐゴシック"/>
      <family val="3"/>
      <charset val="128"/>
    </font>
    <font>
      <sz val="10"/>
      <color indexed="8"/>
      <name val="ＭＳ Ｐゴシック"/>
      <family val="3"/>
      <charset val="128"/>
    </font>
    <font>
      <b/>
      <sz val="9.35"/>
      <name val="ＭＳ Ｐゴシック"/>
      <family val="3"/>
      <charset val="128"/>
    </font>
    <font>
      <b/>
      <sz val="16"/>
      <name val="ＭＳ Ｐゴシック"/>
      <family val="3"/>
      <charset val="128"/>
    </font>
    <font>
      <b/>
      <sz val="11"/>
      <color rgb="FFFF0000"/>
      <name val="ＭＳ Ｐゴシック"/>
      <family val="3"/>
      <charset val="128"/>
    </font>
    <font>
      <i/>
      <sz val="11"/>
      <color theme="1"/>
      <name val="ＭＳ Ｐゴシック"/>
      <family val="3"/>
      <charset val="128"/>
    </font>
    <font>
      <sz val="11"/>
      <color rgb="FFFF0000"/>
      <name val="ＭＳ Ｐゴシック"/>
      <family val="3"/>
      <charset val="128"/>
    </font>
    <font>
      <sz val="11"/>
      <color theme="1"/>
      <name val="ＭＳ Ｐゴシック"/>
      <family val="3"/>
      <charset val="128"/>
    </font>
    <font>
      <b/>
      <sz val="11"/>
      <color rgb="FF00B050"/>
      <name val="ＭＳ Ｐゴシック"/>
      <family val="3"/>
      <charset val="128"/>
    </font>
    <font>
      <sz val="10"/>
      <color rgb="FFFF0000"/>
      <name val="ＭＳ Ｐゴシック"/>
      <family val="3"/>
      <charset val="128"/>
    </font>
    <font>
      <sz val="11"/>
      <color theme="0" tint="-0.249977111117893"/>
      <name val="ＭＳ Ｐゴシック"/>
      <family val="3"/>
      <charset val="128"/>
    </font>
    <font>
      <sz val="10"/>
      <name val="ＭＳ Ｐゴシック"/>
      <family val="3"/>
      <charset val="128"/>
      <scheme val="minor"/>
    </font>
    <font>
      <sz val="8"/>
      <color rgb="FFFF0000"/>
      <name val="ＭＳ Ｐゴシック"/>
      <family val="3"/>
      <charset val="128"/>
    </font>
    <font>
      <sz val="8"/>
      <color theme="1"/>
      <name val="ＭＳ Ｐゴシック"/>
      <family val="3"/>
      <charset val="128"/>
    </font>
    <font>
      <b/>
      <sz val="11"/>
      <color theme="1"/>
      <name val="ＭＳ Ｐゴシック"/>
      <family val="3"/>
      <charset val="128"/>
    </font>
    <font>
      <u/>
      <sz val="11"/>
      <color theme="10"/>
      <name val="ＭＳ Ｐゴシック"/>
      <family val="3"/>
      <charset val="128"/>
    </font>
    <font>
      <sz val="11"/>
      <name val="ＭＳ Ｐゴシック"/>
      <family val="3"/>
      <charset val="128"/>
      <scheme val="minor"/>
    </font>
    <font>
      <b/>
      <sz val="11"/>
      <color rgb="FFFF0000"/>
      <name val="Calibri"/>
      <family val="2"/>
    </font>
    <font>
      <b/>
      <sz val="11"/>
      <color theme="0"/>
      <name val="ＭＳ Ｐゴシック"/>
      <family val="3"/>
      <charset val="128"/>
    </font>
  </fonts>
  <fills count="15">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79998168889431442"/>
        <bgColor indexed="64"/>
      </patternFill>
    </fill>
    <fill>
      <patternFill patternType="solid">
        <fgColor rgb="FFFF0000"/>
        <bgColor indexed="64"/>
      </patternFill>
    </fill>
    <fill>
      <patternFill patternType="solid">
        <fgColor theme="6" tint="0.39997558519241921"/>
        <bgColor indexed="64"/>
      </patternFill>
    </fill>
    <fill>
      <patternFill patternType="solid">
        <fgColor theme="6" tint="-0.249977111117893"/>
        <bgColor indexed="64"/>
      </patternFill>
    </fill>
  </fills>
  <borders count="108">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style="thick">
        <color indexed="64"/>
      </top>
      <bottom style="thin">
        <color indexed="64"/>
      </bottom>
      <diagonal/>
    </border>
    <border>
      <left style="double">
        <color indexed="64"/>
      </left>
      <right style="double">
        <color indexed="64"/>
      </right>
      <top style="double">
        <color indexed="64"/>
      </top>
      <bottom style="double">
        <color indexed="64"/>
      </bottom>
      <diagonal/>
    </border>
    <border>
      <left/>
      <right/>
      <top/>
      <bottom style="double">
        <color indexed="64"/>
      </bottom>
      <diagonal/>
    </border>
    <border>
      <left style="thin">
        <color indexed="64"/>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thick">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top/>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double">
        <color indexed="64"/>
      </right>
      <top style="thin">
        <color indexed="64"/>
      </top>
      <bottom/>
      <diagonal/>
    </border>
    <border>
      <left style="thin">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style="double">
        <color indexed="64"/>
      </right>
      <top/>
      <bottom/>
      <diagonal/>
    </border>
    <border>
      <left style="double">
        <color indexed="64"/>
      </left>
      <right/>
      <top style="double">
        <color indexed="64"/>
      </top>
      <bottom style="thin">
        <color indexed="64"/>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thin">
        <color indexed="64"/>
      </left>
      <right/>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thick">
        <color indexed="64"/>
      </top>
      <bottom/>
      <diagonal/>
    </border>
    <border>
      <left style="double">
        <color indexed="64"/>
      </left>
      <right style="double">
        <color indexed="64"/>
      </right>
      <top style="thick">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right style="thin">
        <color indexed="64"/>
      </right>
      <top/>
      <bottom style="thin">
        <color indexed="64"/>
      </bottom>
      <diagonal/>
    </border>
    <border>
      <left/>
      <right/>
      <top style="double">
        <color indexed="64"/>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right style="double">
        <color indexed="64"/>
      </right>
      <top style="thin">
        <color indexed="64"/>
      </top>
      <bottom style="double">
        <color indexed="64"/>
      </bottom>
      <diagonal/>
    </border>
    <border>
      <left style="double">
        <color indexed="64"/>
      </left>
      <right style="double">
        <color indexed="64"/>
      </right>
      <top style="thick">
        <color indexed="64"/>
      </top>
      <bottom/>
      <diagonal/>
    </border>
    <border>
      <left style="thin">
        <color indexed="64"/>
      </left>
      <right/>
      <top style="thin">
        <color indexed="64"/>
      </top>
      <bottom/>
      <diagonal/>
    </border>
    <border>
      <left/>
      <right/>
      <top style="double">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thin">
        <color indexed="64"/>
      </top>
      <bottom style="thick">
        <color indexed="64"/>
      </bottom>
      <diagonal/>
    </border>
    <border>
      <left/>
      <right style="double">
        <color indexed="64"/>
      </right>
      <top style="thin">
        <color indexed="64"/>
      </top>
      <bottom style="thick">
        <color indexed="64"/>
      </bottom>
      <diagonal/>
    </border>
    <border>
      <left/>
      <right style="thin">
        <color indexed="64"/>
      </right>
      <top/>
      <bottom/>
      <diagonal/>
    </border>
    <border>
      <left style="double">
        <color indexed="64"/>
      </left>
      <right style="double">
        <color indexed="64"/>
      </right>
      <top/>
      <bottom/>
      <diagonal/>
    </border>
    <border>
      <left/>
      <right style="double">
        <color indexed="64"/>
      </right>
      <top style="thick">
        <color indexed="64"/>
      </top>
      <bottom style="thin">
        <color indexed="64"/>
      </bottom>
      <diagonal/>
    </border>
    <border>
      <left/>
      <right/>
      <top style="thin">
        <color indexed="64"/>
      </top>
      <bottom style="thick">
        <color indexed="64"/>
      </bottom>
      <diagonal/>
    </border>
    <border>
      <left/>
      <right style="thin">
        <color indexed="64"/>
      </right>
      <top style="double">
        <color indexed="64"/>
      </top>
      <bottom style="double">
        <color indexed="64"/>
      </bottom>
      <diagonal/>
    </border>
    <border>
      <left/>
      <right style="double">
        <color indexed="64"/>
      </right>
      <top style="thin">
        <color indexed="64"/>
      </top>
      <bottom/>
      <diagonal/>
    </border>
    <border>
      <left style="double">
        <color indexed="64"/>
      </left>
      <right style="double">
        <color indexed="64"/>
      </right>
      <top style="double">
        <color theme="1"/>
      </top>
      <bottom style="thin">
        <color theme="1"/>
      </bottom>
      <diagonal/>
    </border>
    <border>
      <left style="double">
        <color indexed="64"/>
      </left>
      <right style="double">
        <color indexed="64"/>
      </right>
      <top style="thin">
        <color theme="1"/>
      </top>
      <bottom style="thin">
        <color theme="1"/>
      </bottom>
      <diagonal/>
    </border>
    <border>
      <left style="double">
        <color indexed="64"/>
      </left>
      <right style="double">
        <color indexed="64"/>
      </right>
      <top style="thin">
        <color theme="1"/>
      </top>
      <bottom style="double">
        <color theme="1"/>
      </bottom>
      <diagonal/>
    </border>
    <border>
      <left style="double">
        <color indexed="64"/>
      </left>
      <right style="double">
        <color theme="1"/>
      </right>
      <top style="thin">
        <color theme="1"/>
      </top>
      <bottom style="double">
        <color theme="1"/>
      </bottom>
      <diagonal/>
    </border>
    <border>
      <left style="double">
        <color indexed="64"/>
      </left>
      <right style="thin">
        <color indexed="64"/>
      </right>
      <top style="double">
        <color theme="1"/>
      </top>
      <bottom style="thin">
        <color indexed="64"/>
      </bottom>
      <diagonal/>
    </border>
    <border>
      <left style="thin">
        <color indexed="64"/>
      </left>
      <right style="thin">
        <color indexed="64"/>
      </right>
      <top style="double">
        <color theme="1"/>
      </top>
      <bottom style="thin">
        <color indexed="64"/>
      </bottom>
      <diagonal/>
    </border>
    <border>
      <left style="thin">
        <color indexed="64"/>
      </left>
      <right/>
      <top style="double">
        <color theme="1"/>
      </top>
      <bottom style="thin">
        <color indexed="64"/>
      </bottom>
      <diagonal/>
    </border>
    <border>
      <left style="double">
        <color indexed="64"/>
      </left>
      <right/>
      <top style="thin">
        <color theme="1"/>
      </top>
      <bottom style="thin">
        <color theme="1"/>
      </bottom>
      <diagonal/>
    </border>
    <border>
      <left/>
      <right/>
      <top style="thin">
        <color theme="1"/>
      </top>
      <bottom style="thin">
        <color theme="1"/>
      </bottom>
      <diagonal/>
    </border>
    <border>
      <left style="double">
        <color theme="1"/>
      </left>
      <right/>
      <top style="thin">
        <color theme="1"/>
      </top>
      <bottom style="double">
        <color theme="1"/>
      </bottom>
      <diagonal/>
    </border>
    <border>
      <left/>
      <right style="double">
        <color indexed="64"/>
      </right>
      <top style="thin">
        <color theme="1"/>
      </top>
      <bottom style="double">
        <color theme="1"/>
      </bottom>
      <diagonal/>
    </border>
    <border>
      <left style="double">
        <color indexed="64"/>
      </left>
      <right/>
      <top style="thin">
        <color indexed="64"/>
      </top>
      <bottom style="double">
        <color theme="1"/>
      </bottom>
      <diagonal/>
    </border>
    <border>
      <left/>
      <right style="double">
        <color indexed="64"/>
      </right>
      <top style="thin">
        <color indexed="64"/>
      </top>
      <bottom style="double">
        <color theme="1"/>
      </bottom>
      <diagonal/>
    </border>
    <border>
      <left style="double">
        <color indexed="64"/>
      </left>
      <right/>
      <top style="double">
        <color theme="1"/>
      </top>
      <bottom style="thin">
        <color theme="1"/>
      </bottom>
      <diagonal/>
    </border>
    <border>
      <left/>
      <right/>
      <top style="double">
        <color theme="1"/>
      </top>
      <bottom style="thin">
        <color theme="1"/>
      </bottom>
      <diagonal/>
    </border>
    <border>
      <left style="double">
        <color indexed="64"/>
      </left>
      <right style="double">
        <color indexed="64"/>
      </right>
      <top style="double">
        <color theme="1"/>
      </top>
      <bottom style="thin">
        <color indexed="64"/>
      </bottom>
      <diagonal/>
    </border>
    <border>
      <left style="double">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double">
        <color theme="1"/>
      </right>
      <top style="thin">
        <color theme="1"/>
      </top>
      <bottom style="thin">
        <color theme="1"/>
      </bottom>
      <diagonal/>
    </border>
    <border>
      <left style="thin">
        <color theme="1"/>
      </left>
      <right/>
      <top style="thin">
        <color theme="1"/>
      </top>
      <bottom style="thin">
        <color theme="1"/>
      </bottom>
      <diagonal/>
    </border>
    <border>
      <left style="double">
        <color indexed="64"/>
      </left>
      <right style="thin">
        <color theme="1"/>
      </right>
      <top style="thin">
        <color theme="1"/>
      </top>
      <bottom style="thin">
        <color theme="1"/>
      </bottom>
      <diagonal/>
    </border>
    <border>
      <left style="thin">
        <color indexed="64"/>
      </left>
      <right/>
      <top/>
      <bottom style="double">
        <color indexed="64"/>
      </bottom>
      <diagonal/>
    </border>
    <border>
      <left style="thick">
        <color indexed="64"/>
      </left>
      <right/>
      <top style="thin">
        <color indexed="64"/>
      </top>
      <bottom/>
      <diagonal/>
    </border>
    <border>
      <left style="thick">
        <color indexed="64"/>
      </left>
      <right/>
      <top/>
      <bottom style="thin">
        <color indexed="64"/>
      </bottom>
      <diagonal/>
    </border>
    <border>
      <left style="thick">
        <color indexed="64"/>
      </left>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s>
  <cellStyleXfs count="4">
    <xf numFmtId="0" fontId="0" fillId="0" borderId="0"/>
    <xf numFmtId="38" fontId="2" fillId="0" borderId="0" applyFont="0" applyFill="0" applyBorder="0" applyAlignment="0" applyProtection="0"/>
    <xf numFmtId="0" fontId="33" fillId="0" borderId="0" applyNumberFormat="0" applyFill="0" applyBorder="0" applyAlignment="0" applyProtection="0"/>
    <xf numFmtId="9" fontId="2" fillId="0" borderId="0" applyFont="0" applyFill="0" applyBorder="0" applyAlignment="0" applyProtection="0">
      <alignment vertical="center"/>
    </xf>
  </cellStyleXfs>
  <cellXfs count="673">
    <xf numFmtId="0" fontId="0" fillId="0" borderId="0" xfId="0"/>
    <xf numFmtId="0" fontId="22" fillId="4" borderId="13" xfId="0" applyFont="1" applyFill="1" applyBorder="1" applyAlignment="1" applyProtection="1">
      <alignment horizontal="right" vertical="center"/>
      <protection locked="0"/>
    </xf>
    <xf numFmtId="0" fontId="22" fillId="4" borderId="13" xfId="0" applyFont="1" applyFill="1" applyBorder="1" applyAlignment="1" applyProtection="1">
      <alignment horizontal="center" vertical="center"/>
      <protection locked="0"/>
    </xf>
    <xf numFmtId="0" fontId="2" fillId="0" borderId="18" xfId="1" applyNumberFormat="1" applyFont="1" applyFill="1" applyBorder="1" applyAlignment="1" applyProtection="1"/>
    <xf numFmtId="0" fontId="22" fillId="4" borderId="19" xfId="0" applyFont="1" applyFill="1" applyBorder="1" applyAlignment="1" applyProtection="1">
      <alignment vertical="center"/>
      <protection locked="0"/>
    </xf>
    <xf numFmtId="0" fontId="22" fillId="4" borderId="18" xfId="0" applyFont="1" applyFill="1" applyBorder="1" applyAlignment="1" applyProtection="1">
      <alignment vertical="center"/>
      <protection locked="0"/>
    </xf>
    <xf numFmtId="0" fontId="22" fillId="4" borderId="17" xfId="0" applyFont="1" applyFill="1" applyBorder="1" applyAlignment="1" applyProtection="1">
      <alignment vertical="center"/>
      <protection locked="0"/>
    </xf>
    <xf numFmtId="0" fontId="6" fillId="8" borderId="13" xfId="0" applyFont="1" applyFill="1" applyBorder="1" applyAlignment="1" applyProtection="1">
      <alignment vertical="center"/>
      <protection locked="0"/>
    </xf>
    <xf numFmtId="0" fontId="22" fillId="8" borderId="13" xfId="0" applyFont="1" applyFill="1" applyBorder="1" applyAlignment="1" applyProtection="1">
      <alignment vertical="center"/>
      <protection locked="0"/>
    </xf>
    <xf numFmtId="0" fontId="33" fillId="0" borderId="27" xfId="2" applyBorder="1" applyAlignment="1" applyProtection="1">
      <alignment horizontal="center"/>
      <protection locked="0"/>
    </xf>
    <xf numFmtId="0" fontId="33" fillId="0" borderId="0" xfId="2" applyProtection="1">
      <protection locked="0"/>
    </xf>
    <xf numFmtId="0" fontId="6" fillId="4" borderId="13" xfId="0" applyFont="1" applyFill="1" applyBorder="1" applyAlignment="1" applyProtection="1">
      <alignment horizontal="right"/>
      <protection locked="0"/>
    </xf>
    <xf numFmtId="0" fontId="6" fillId="4" borderId="13" xfId="0" applyFont="1" applyFill="1" applyBorder="1" applyAlignment="1" applyProtection="1">
      <alignment horizontal="right" vertical="center"/>
      <protection locked="0"/>
    </xf>
    <xf numFmtId="0" fontId="6" fillId="4" borderId="13" xfId="0" applyFont="1" applyFill="1" applyBorder="1" applyAlignment="1" applyProtection="1">
      <alignment vertical="center"/>
      <protection locked="0"/>
    </xf>
    <xf numFmtId="0" fontId="6" fillId="4" borderId="51" xfId="0" applyFont="1" applyFill="1" applyBorder="1" applyAlignment="1" applyProtection="1">
      <alignment vertical="center"/>
      <protection locked="0"/>
    </xf>
    <xf numFmtId="0" fontId="22" fillId="4" borderId="13" xfId="0" applyFont="1" applyFill="1" applyBorder="1" applyAlignment="1" applyProtection="1">
      <alignment vertical="center"/>
      <protection locked="0"/>
    </xf>
    <xf numFmtId="0" fontId="22" fillId="4" borderId="13" xfId="0" applyFont="1" applyFill="1" applyBorder="1" applyAlignment="1" applyProtection="1">
      <alignment horizontal="right"/>
      <protection locked="0"/>
    </xf>
    <xf numFmtId="0" fontId="15" fillId="0" borderId="0" xfId="0" applyFont="1"/>
    <xf numFmtId="0" fontId="21" fillId="0" borderId="0" xfId="0" applyFont="1"/>
    <xf numFmtId="0" fontId="0" fillId="0" borderId="0" xfId="0" applyAlignment="1">
      <alignment horizontal="center"/>
    </xf>
    <xf numFmtId="0" fontId="29" fillId="8" borderId="23" xfId="0" applyFont="1" applyFill="1" applyBorder="1" applyAlignment="1">
      <alignment vertical="center"/>
    </xf>
    <xf numFmtId="0" fontId="0" fillId="0" borderId="0" xfId="0" applyAlignment="1">
      <alignment horizontal="left"/>
    </xf>
    <xf numFmtId="0" fontId="0" fillId="3" borderId="23" xfId="0" applyFill="1" applyBorder="1"/>
    <xf numFmtId="0" fontId="0" fillId="2" borderId="23" xfId="0" quotePrefix="1" applyFill="1" applyBorder="1" applyAlignment="1">
      <alignment horizontal="right" vertical="center"/>
    </xf>
    <xf numFmtId="0" fontId="0" fillId="0" borderId="34" xfId="0" applyBorder="1" applyAlignment="1">
      <alignment horizontal="center" vertical="center"/>
    </xf>
    <xf numFmtId="0" fontId="0" fillId="10" borderId="106" xfId="0" quotePrefix="1" applyFill="1" applyBorder="1" applyAlignment="1">
      <alignment horizontal="right" vertical="center"/>
    </xf>
    <xf numFmtId="0" fontId="0" fillId="10" borderId="107" xfId="0" quotePrefix="1" applyFill="1" applyBorder="1" applyAlignment="1">
      <alignment horizontal="right" vertical="center"/>
    </xf>
    <xf numFmtId="0" fontId="0" fillId="0" borderId="23" xfId="0" applyBorder="1"/>
    <xf numFmtId="192" fontId="0" fillId="0" borderId="0" xfId="0" applyNumberFormat="1"/>
    <xf numFmtId="0" fontId="0" fillId="0" borderId="2" xfId="0" applyBorder="1"/>
    <xf numFmtId="182" fontId="0" fillId="10" borderId="106" xfId="0" quotePrefix="1" applyNumberFormat="1" applyFill="1" applyBorder="1" applyAlignment="1">
      <alignment horizontal="right" vertical="center"/>
    </xf>
    <xf numFmtId="0" fontId="0" fillId="0" borderId="26" xfId="0" applyBorder="1" applyAlignment="1">
      <alignment horizontal="center" vertical="center"/>
    </xf>
    <xf numFmtId="0" fontId="17" fillId="0" borderId="2" xfId="0" applyFont="1" applyBorder="1"/>
    <xf numFmtId="0" fontId="0" fillId="0" borderId="41" xfId="0" applyBorder="1" applyAlignment="1">
      <alignment horizontal="center" vertical="center"/>
    </xf>
    <xf numFmtId="2" fontId="0" fillId="10" borderId="106" xfId="0" quotePrefix="1" applyNumberFormat="1" applyFill="1" applyBorder="1" applyAlignment="1">
      <alignment horizontal="right" vertical="center"/>
    </xf>
    <xf numFmtId="188" fontId="0" fillId="10" borderId="107" xfId="0" quotePrefix="1" applyNumberFormat="1" applyFill="1" applyBorder="1" applyAlignment="1">
      <alignment horizontal="left" vertical="center"/>
    </xf>
    <xf numFmtId="188" fontId="0" fillId="10" borderId="106" xfId="0" quotePrefix="1" applyNumberFormat="1" applyFill="1" applyBorder="1" applyAlignment="1">
      <alignment horizontal="right" vertical="center"/>
    </xf>
    <xf numFmtId="0" fontId="31" fillId="0" borderId="2" xfId="0" applyFont="1" applyBorder="1"/>
    <xf numFmtId="0" fontId="0" fillId="10" borderId="107" xfId="0" quotePrefix="1" applyFill="1" applyBorder="1" applyAlignment="1">
      <alignment horizontal="left" vertical="center"/>
    </xf>
    <xf numFmtId="0" fontId="7" fillId="0" borderId="0" xfId="0" applyFont="1"/>
    <xf numFmtId="0" fontId="5" fillId="0" borderId="0" xfId="0" applyFont="1"/>
    <xf numFmtId="0" fontId="4" fillId="0" borderId="0" xfId="0" applyFont="1" applyAlignment="1">
      <alignment horizontal="right"/>
    </xf>
    <xf numFmtId="0" fontId="33" fillId="0" borderId="0" xfId="2" applyProtection="1"/>
    <xf numFmtId="0" fontId="0" fillId="0" borderId="23" xfId="0" applyBorder="1" applyAlignment="1">
      <alignment horizontal="left"/>
    </xf>
    <xf numFmtId="0" fontId="0" fillId="0" borderId="23" xfId="0" applyBorder="1" applyAlignment="1">
      <alignment horizontal="left" vertical="center" wrapText="1"/>
    </xf>
    <xf numFmtId="0" fontId="0" fillId="0" borderId="2" xfId="0" applyBorder="1" applyAlignment="1">
      <alignment vertical="center"/>
    </xf>
    <xf numFmtId="0" fontId="0" fillId="0" borderId="23" xfId="0" applyBorder="1" applyAlignment="1">
      <alignment horizontal="left" vertical="center"/>
    </xf>
    <xf numFmtId="0" fontId="0" fillId="2" borderId="23" xfId="0" quotePrefix="1" applyFill="1" applyBorder="1" applyAlignment="1">
      <alignment horizontal="center" vertical="center"/>
    </xf>
    <xf numFmtId="0" fontId="25" fillId="0" borderId="0" xfId="0" applyFont="1" applyAlignment="1">
      <alignment horizontal="center" vertical="center" wrapText="1"/>
    </xf>
    <xf numFmtId="0" fontId="33" fillId="0" borderId="0" xfId="2" applyBorder="1" applyAlignment="1" applyProtection="1">
      <alignment horizontal="center" vertical="center"/>
    </xf>
    <xf numFmtId="0" fontId="25" fillId="0" borderId="0" xfId="0" applyFont="1" applyAlignment="1">
      <alignment horizontal="center" vertical="center"/>
    </xf>
    <xf numFmtId="0" fontId="31" fillId="0" borderId="0" xfId="0" applyFont="1"/>
    <xf numFmtId="0" fontId="0" fillId="0" borderId="0" xfId="0" quotePrefix="1" applyAlignment="1">
      <alignment horizontal="right" vertical="center"/>
    </xf>
    <xf numFmtId="0" fontId="0" fillId="0" borderId="0" xfId="0" quotePrefix="1" applyAlignment="1">
      <alignment horizontal="left" vertical="center"/>
    </xf>
    <xf numFmtId="0" fontId="24" fillId="0" borderId="0" xfId="0" applyFont="1" applyAlignment="1">
      <alignment horizontal="center" vertical="center" wrapText="1"/>
    </xf>
    <xf numFmtId="0" fontId="24" fillId="0" borderId="0" xfId="0" applyFont="1" applyAlignment="1">
      <alignment horizontal="center" vertical="center"/>
    </xf>
    <xf numFmtId="0" fontId="30" fillId="0" borderId="0" xfId="0" applyFont="1"/>
    <xf numFmtId="0" fontId="4" fillId="0" borderId="0" xfId="0" applyFont="1" applyAlignment="1">
      <alignment horizontal="right" wrapText="1"/>
    </xf>
    <xf numFmtId="0" fontId="0" fillId="0" borderId="2" xfId="0" applyBorder="1" applyAlignment="1">
      <alignment horizontal="left" vertical="center"/>
    </xf>
    <xf numFmtId="0" fontId="0" fillId="0" borderId="1" xfId="0" applyBorder="1" applyAlignment="1">
      <alignment horizontal="left" vertical="center"/>
    </xf>
    <xf numFmtId="0" fontId="0" fillId="0" borderId="45" xfId="0" applyBorder="1" applyAlignment="1">
      <alignment horizontal="left" vertical="center"/>
    </xf>
    <xf numFmtId="0" fontId="0" fillId="0" borderId="2" xfId="0" applyBorder="1" applyAlignment="1">
      <alignment vertical="center" wrapText="1"/>
    </xf>
    <xf numFmtId="0" fontId="0" fillId="0" borderId="1" xfId="0" applyBorder="1" applyAlignment="1">
      <alignment vertical="center" wrapText="1"/>
    </xf>
    <xf numFmtId="0" fontId="25" fillId="0" borderId="45" xfId="0" applyFont="1" applyBorder="1" applyAlignment="1">
      <alignment vertical="center"/>
    </xf>
    <xf numFmtId="0" fontId="0" fillId="0" borderId="2" xfId="0" applyBorder="1" applyAlignment="1">
      <alignment horizontal="left" vertical="center" wrapText="1"/>
    </xf>
    <xf numFmtId="0" fontId="0" fillId="0" borderId="1" xfId="0" applyBorder="1" applyAlignment="1">
      <alignment horizontal="left" vertical="center" wrapText="1"/>
    </xf>
    <xf numFmtId="0" fontId="34" fillId="0" borderId="0" xfId="0" applyFont="1" applyAlignment="1">
      <alignment horizontal="left" vertical="top"/>
    </xf>
    <xf numFmtId="0" fontId="0" fillId="0" borderId="0" xfId="0" applyAlignment="1">
      <alignment vertical="center"/>
    </xf>
    <xf numFmtId="0" fontId="0" fillId="0" borderId="1" xfId="0" applyBorder="1" applyAlignment="1">
      <alignment vertical="center"/>
    </xf>
    <xf numFmtId="0" fontId="0" fillId="0" borderId="27" xfId="0" applyBorder="1" applyAlignment="1">
      <alignment vertical="center"/>
    </xf>
    <xf numFmtId="0" fontId="0" fillId="0" borderId="27" xfId="0" applyBorder="1" applyAlignment="1">
      <alignment horizontal="left" vertical="center"/>
    </xf>
    <xf numFmtId="0" fontId="0" fillId="0" borderId="23" xfId="0" applyBorder="1" applyAlignment="1">
      <alignment horizontal="center" vertical="center"/>
    </xf>
    <xf numFmtId="2" fontId="0" fillId="2" borderId="23" xfId="0" quotePrefix="1" applyNumberFormat="1" applyFill="1" applyBorder="1" applyAlignment="1">
      <alignment horizontal="center" vertical="center"/>
    </xf>
    <xf numFmtId="0" fontId="0" fillId="0" borderId="23" xfId="0" applyBorder="1" applyAlignment="1">
      <alignment vertical="center" wrapText="1"/>
    </xf>
    <xf numFmtId="0" fontId="25" fillId="0" borderId="2" xfId="0" applyFont="1" applyBorder="1" applyAlignment="1">
      <alignment vertical="center"/>
    </xf>
    <xf numFmtId="0" fontId="0" fillId="0" borderId="44" xfId="0" applyBorder="1" applyAlignment="1">
      <alignment vertical="center"/>
    </xf>
    <xf numFmtId="0" fontId="17" fillId="0" borderId="23" xfId="0" applyFont="1" applyBorder="1"/>
    <xf numFmtId="0" fontId="0" fillId="0" borderId="0" xfId="0" applyAlignment="1">
      <alignment horizontal="left" vertical="center" wrapText="1"/>
    </xf>
    <xf numFmtId="0" fontId="22" fillId="0" borderId="0" xfId="0" applyFont="1" applyAlignment="1">
      <alignment horizontal="right" vertical="center"/>
    </xf>
    <xf numFmtId="0" fontId="0" fillId="0" borderId="0" xfId="0" applyAlignment="1">
      <alignment horizontal="left" vertical="center"/>
    </xf>
    <xf numFmtId="0" fontId="0" fillId="0" borderId="0" xfId="0" applyAlignment="1">
      <alignment horizontal="center" vertical="center"/>
    </xf>
    <xf numFmtId="0" fontId="17" fillId="0" borderId="0" xfId="0" applyFont="1"/>
    <xf numFmtId="2" fontId="0" fillId="0" borderId="0" xfId="0" quotePrefix="1" applyNumberFormat="1" applyAlignment="1">
      <alignment horizontal="center" vertical="center"/>
    </xf>
    <xf numFmtId="0" fontId="0" fillId="0" borderId="1" xfId="0" applyBorder="1" applyAlignment="1">
      <alignment horizontal="left"/>
    </xf>
    <xf numFmtId="0" fontId="0" fillId="0" borderId="3" xfId="0" applyBorder="1" applyAlignment="1">
      <alignment horizontal="left"/>
    </xf>
    <xf numFmtId="0" fontId="0" fillId="10" borderId="30" xfId="0" applyFill="1" applyBorder="1" applyAlignment="1">
      <alignment horizontal="center" vertical="center"/>
    </xf>
    <xf numFmtId="0" fontId="0" fillId="10" borderId="23" xfId="0" applyFill="1" applyBorder="1" applyAlignment="1">
      <alignment horizontal="center" vertical="center"/>
    </xf>
    <xf numFmtId="0" fontId="0" fillId="0" borderId="23" xfId="0" applyBorder="1" applyAlignment="1">
      <alignment vertical="center"/>
    </xf>
    <xf numFmtId="0" fontId="7" fillId="0" borderId="0" xfId="0" applyFont="1" applyAlignment="1">
      <alignment horizontal="left"/>
    </xf>
    <xf numFmtId="0" fontId="29" fillId="11" borderId="23" xfId="0" applyFont="1" applyFill="1" applyBorder="1" applyAlignment="1">
      <alignment vertical="center"/>
    </xf>
    <xf numFmtId="0" fontId="2" fillId="0" borderId="0" xfId="0" applyFont="1"/>
    <xf numFmtId="0" fontId="8" fillId="0" borderId="0" xfId="0" applyFont="1"/>
    <xf numFmtId="0" fontId="0" fillId="0" borderId="0" xfId="0" applyAlignment="1">
      <alignment horizontal="left" vertical="top" wrapText="1"/>
    </xf>
    <xf numFmtId="0" fontId="0" fillId="0" borderId="54" xfId="0" applyBorder="1" applyAlignment="1">
      <alignment horizontal="left" vertical="top"/>
    </xf>
    <xf numFmtId="0" fontId="0" fillId="0" borderId="25" xfId="0" applyBorder="1"/>
    <xf numFmtId="0" fontId="0" fillId="0" borderId="23" xfId="0" applyBorder="1" applyAlignment="1">
      <alignment horizontal="center"/>
    </xf>
    <xf numFmtId="0" fontId="0" fillId="0" borderId="24" xfId="0" applyBorder="1" applyAlignment="1">
      <alignment horizontal="left" vertical="center"/>
    </xf>
    <xf numFmtId="0" fontId="0" fillId="0" borderId="25" xfId="0" applyBorder="1" applyAlignment="1">
      <alignment horizontal="left" vertical="center"/>
    </xf>
    <xf numFmtId="0" fontId="0" fillId="0" borderId="46" xfId="0" applyBorder="1" applyAlignment="1">
      <alignment vertical="center"/>
    </xf>
    <xf numFmtId="0" fontId="0" fillId="0" borderId="0" xfId="0" applyAlignment="1">
      <alignment horizontal="right" vertical="center"/>
    </xf>
    <xf numFmtId="0" fontId="0" fillId="0" borderId="0" xfId="0" applyAlignment="1">
      <alignment vertical="top" wrapText="1"/>
    </xf>
    <xf numFmtId="187" fontId="0" fillId="0" borderId="0" xfId="0" applyNumberFormat="1"/>
    <xf numFmtId="0" fontId="0" fillId="0" borderId="1" xfId="0" applyBorder="1"/>
    <xf numFmtId="0" fontId="22" fillId="11" borderId="13" xfId="0" applyFont="1" applyFill="1" applyBorder="1" applyAlignment="1">
      <alignment horizontal="right" vertical="center"/>
    </xf>
    <xf numFmtId="0" fontId="0" fillId="0" borderId="27" xfId="0" applyBorder="1"/>
    <xf numFmtId="0" fontId="22" fillId="0" borderId="25" xfId="0" applyFont="1" applyBorder="1" applyAlignment="1">
      <alignment horizontal="right" vertical="center"/>
    </xf>
    <xf numFmtId="0" fontId="0" fillId="0" borderId="30" xfId="0" applyBorder="1" applyAlignment="1">
      <alignment horizontal="right" vertical="center"/>
    </xf>
    <xf numFmtId="186" fontId="0" fillId="0" borderId="23" xfId="0" applyNumberFormat="1" applyBorder="1" applyAlignment="1">
      <alignment horizontal="center" vertical="center"/>
    </xf>
    <xf numFmtId="0" fontId="0" fillId="0" borderId="53" xfId="0" applyBorder="1" applyAlignment="1">
      <alignment horizontal="right" vertical="center"/>
    </xf>
    <xf numFmtId="0" fontId="0" fillId="0" borderId="53" xfId="0" applyBorder="1"/>
    <xf numFmtId="0" fontId="0" fillId="0" borderId="23" xfId="0" applyBorder="1" applyAlignment="1">
      <alignment horizontal="right" vertical="center"/>
    </xf>
    <xf numFmtId="0" fontId="0" fillId="0" borderId="27" xfId="0" applyBorder="1" applyAlignment="1">
      <alignment horizontal="right" vertical="center"/>
    </xf>
    <xf numFmtId="0" fontId="25" fillId="0" borderId="23" xfId="0" applyFont="1" applyBorder="1" applyAlignment="1">
      <alignment horizontal="right" vertical="center"/>
    </xf>
    <xf numFmtId="0" fontId="25" fillId="0" borderId="27" xfId="0" applyFont="1" applyBorder="1" applyAlignment="1">
      <alignment horizontal="right" vertical="center"/>
    </xf>
    <xf numFmtId="186" fontId="0" fillId="0" borderId="0" xfId="0" applyNumberFormat="1" applyAlignment="1">
      <alignment vertical="top" wrapText="1"/>
    </xf>
    <xf numFmtId="0" fontId="0" fillId="0" borderId="0" xfId="0" applyAlignment="1">
      <alignment wrapText="1"/>
    </xf>
    <xf numFmtId="0" fontId="15" fillId="0" borderId="0" xfId="0" applyFont="1" applyAlignment="1">
      <alignment horizontal="right"/>
    </xf>
    <xf numFmtId="0" fontId="23" fillId="0" borderId="0" xfId="0" applyFont="1" applyAlignment="1">
      <alignment horizontal="right"/>
    </xf>
    <xf numFmtId="0" fontId="0" fillId="0" borderId="0" xfId="0" applyAlignment="1">
      <alignment horizontal="right"/>
    </xf>
    <xf numFmtId="0" fontId="0" fillId="0" borderId="0" xfId="0" applyAlignment="1">
      <alignment vertical="center" wrapText="1"/>
    </xf>
    <xf numFmtId="0" fontId="5" fillId="0" borderId="0" xfId="0" applyFont="1" applyAlignment="1">
      <alignment wrapText="1"/>
    </xf>
    <xf numFmtId="0" fontId="0" fillId="0" borderId="23" xfId="0" applyBorder="1" applyAlignment="1">
      <alignment horizontal="center" wrapText="1"/>
    </xf>
    <xf numFmtId="0" fontId="24" fillId="0" borderId="0" xfId="0" applyFont="1"/>
    <xf numFmtId="0" fontId="22" fillId="0" borderId="0" xfId="0" applyFont="1"/>
    <xf numFmtId="0" fontId="5" fillId="0" borderId="14" xfId="0" applyFont="1" applyBorder="1"/>
    <xf numFmtId="0" fontId="0" fillId="0" borderId="14" xfId="0" applyBorder="1" applyAlignment="1">
      <alignment vertical="center"/>
    </xf>
    <xf numFmtId="0" fontId="0" fillId="0" borderId="43" xfId="0" applyBorder="1" applyAlignment="1">
      <alignment horizontal="center"/>
    </xf>
    <xf numFmtId="0" fontId="0" fillId="0" borderId="32" xfId="0" applyBorder="1" applyAlignment="1">
      <alignment horizontal="center"/>
    </xf>
    <xf numFmtId="0" fontId="0" fillId="0" borderId="21" xfId="0" applyBorder="1" applyAlignment="1">
      <alignment vertical="center"/>
    </xf>
    <xf numFmtId="0" fontId="0" fillId="0" borderId="17" xfId="0" applyBorder="1" applyAlignment="1">
      <alignment horizontal="center" vertical="center"/>
    </xf>
    <xf numFmtId="0" fontId="0" fillId="0" borderId="18" xfId="0" applyBorder="1"/>
    <xf numFmtId="0" fontId="0" fillId="0" borderId="19" xfId="0" applyBorder="1"/>
    <xf numFmtId="0" fontId="25" fillId="0" borderId="19" xfId="1" applyNumberFormat="1" applyFont="1" applyFill="1" applyBorder="1" applyProtection="1"/>
    <xf numFmtId="0" fontId="0" fillId="0" borderId="20" xfId="0" applyBorder="1"/>
    <xf numFmtId="0" fontId="0" fillId="0" borderId="59" xfId="0" applyBorder="1" applyAlignment="1">
      <alignment horizontal="right"/>
    </xf>
    <xf numFmtId="179" fontId="0" fillId="0" borderId="59" xfId="0" applyNumberFormat="1" applyBorder="1" applyAlignment="1">
      <alignment horizontal="right"/>
    </xf>
    <xf numFmtId="0" fontId="0" fillId="0" borderId="48" xfId="0" applyBorder="1" applyAlignment="1">
      <alignment horizontal="left"/>
    </xf>
    <xf numFmtId="179" fontId="0" fillId="0" borderId="20" xfId="0" applyNumberFormat="1" applyBorder="1" applyAlignment="1">
      <alignment horizontal="right"/>
    </xf>
    <xf numFmtId="179" fontId="0" fillId="0" borderId="20" xfId="0" quotePrefix="1" applyNumberFormat="1" applyBorder="1" applyAlignment="1">
      <alignment horizontal="right" vertical="center"/>
    </xf>
    <xf numFmtId="179" fontId="0" fillId="0" borderId="20" xfId="0" applyNumberFormat="1" applyBorder="1" applyAlignment="1">
      <alignment horizontal="right" vertical="center"/>
    </xf>
    <xf numFmtId="0" fontId="0" fillId="2" borderId="96" xfId="0" quotePrefix="1" applyFill="1" applyBorder="1" applyAlignment="1">
      <alignment horizontal="right" vertical="center"/>
    </xf>
    <xf numFmtId="0" fontId="0" fillId="2" borderId="19" xfId="0" quotePrefix="1" applyFill="1" applyBorder="1" applyAlignment="1">
      <alignment horizontal="right" vertical="center"/>
    </xf>
    <xf numFmtId="0" fontId="0" fillId="2" borderId="17" xfId="0" quotePrefix="1" applyFill="1" applyBorder="1" applyAlignment="1">
      <alignment horizontal="right" vertical="center"/>
    </xf>
    <xf numFmtId="188" fontId="0" fillId="0" borderId="0" xfId="0" applyNumberFormat="1" applyAlignment="1">
      <alignment horizontal="right" vertical="center"/>
    </xf>
    <xf numFmtId="188" fontId="0" fillId="0" borderId="0" xfId="0" applyNumberFormat="1" applyAlignment="1">
      <alignment horizontal="center" vertical="center"/>
    </xf>
    <xf numFmtId="0" fontId="0" fillId="0" borderId="0" xfId="0" applyAlignment="1">
      <alignment horizontal="left" vertical="top"/>
    </xf>
    <xf numFmtId="0" fontId="0" fillId="0" borderId="26" xfId="0" applyBorder="1" applyAlignment="1">
      <alignment horizontal="right"/>
    </xf>
    <xf numFmtId="0" fontId="6" fillId="11" borderId="13" xfId="0" applyFont="1" applyFill="1" applyBorder="1" applyAlignment="1">
      <alignment vertical="center"/>
    </xf>
    <xf numFmtId="0" fontId="4" fillId="0" borderId="23" xfId="0" applyFont="1" applyBorder="1" applyAlignment="1">
      <alignment vertical="center" wrapText="1"/>
    </xf>
    <xf numFmtId="0" fontId="0" fillId="0" borderId="26" xfId="0" applyBorder="1" applyAlignment="1">
      <alignment vertical="center"/>
    </xf>
    <xf numFmtId="0" fontId="0" fillId="0" borderId="26" xfId="0" applyBorder="1" applyAlignment="1">
      <alignment horizontal="left" vertical="center"/>
    </xf>
    <xf numFmtId="189" fontId="25" fillId="0" borderId="30" xfId="0" applyNumberFormat="1" applyFont="1" applyBorder="1" applyAlignment="1">
      <alignment vertical="center"/>
    </xf>
    <xf numFmtId="190" fontId="25" fillId="0" borderId="23" xfId="0" applyNumberFormat="1" applyFont="1" applyBorder="1" applyAlignment="1">
      <alignment vertical="center"/>
    </xf>
    <xf numFmtId="191" fontId="25" fillId="0" borderId="23" xfId="0" applyNumberFormat="1" applyFont="1" applyBorder="1" applyAlignment="1">
      <alignment vertical="center"/>
    </xf>
    <xf numFmtId="0" fontId="6" fillId="11" borderId="13" xfId="0" applyFont="1" applyFill="1" applyBorder="1" applyAlignment="1">
      <alignment horizontal="right" vertical="center"/>
    </xf>
    <xf numFmtId="0" fontId="0" fillId="0" borderId="41" xfId="0" applyBorder="1" applyAlignment="1">
      <alignment horizontal="left" vertical="center"/>
    </xf>
    <xf numFmtId="0" fontId="0" fillId="6" borderId="34" xfId="0" applyFill="1" applyBorder="1" applyAlignment="1">
      <alignment horizontal="right" vertical="center"/>
    </xf>
    <xf numFmtId="0" fontId="25" fillId="0" borderId="64" xfId="0" applyFont="1" applyBorder="1" applyAlignment="1">
      <alignment vertical="center"/>
    </xf>
    <xf numFmtId="0" fontId="25" fillId="0" borderId="54" xfId="0" applyFont="1" applyBorder="1" applyAlignment="1">
      <alignment horizontal="right" vertical="center"/>
    </xf>
    <xf numFmtId="0" fontId="25" fillId="0" borderId="0" xfId="0" applyFont="1" applyAlignment="1">
      <alignment horizontal="right" vertical="center"/>
    </xf>
    <xf numFmtId="0" fontId="5" fillId="0" borderId="0" xfId="0" applyFont="1" applyAlignment="1">
      <alignment vertical="center"/>
    </xf>
    <xf numFmtId="0" fontId="0" fillId="0" borderId="1" xfId="0" applyBorder="1" applyAlignment="1">
      <alignment horizontal="center" vertical="center"/>
    </xf>
    <xf numFmtId="0" fontId="0" fillId="0" borderId="27" xfId="0" applyBorder="1" applyAlignment="1">
      <alignment horizontal="center" vertical="center"/>
    </xf>
    <xf numFmtId="0" fontId="0" fillId="0" borderId="23" xfId="0" applyBorder="1" applyAlignment="1">
      <alignment horizontal="right" vertical="center" wrapText="1"/>
    </xf>
    <xf numFmtId="0" fontId="22" fillId="11" borderId="19" xfId="0" applyFont="1" applyFill="1" applyBorder="1" applyAlignment="1">
      <alignment vertical="center"/>
    </xf>
    <xf numFmtId="0" fontId="25" fillId="0" borderId="4" xfId="0" applyFont="1" applyBorder="1" applyAlignment="1">
      <alignment vertical="center"/>
    </xf>
    <xf numFmtId="0" fontId="0" fillId="0" borderId="26" xfId="0" applyBorder="1" applyAlignment="1">
      <alignment horizontal="right" vertical="center" wrapText="1"/>
    </xf>
    <xf numFmtId="0" fontId="0" fillId="0" borderId="41" xfId="0" applyBorder="1" applyAlignment="1">
      <alignment horizontal="right" vertical="center" wrapText="1"/>
    </xf>
    <xf numFmtId="0" fontId="0" fillId="0" borderId="23" xfId="0" applyBorder="1" applyAlignment="1">
      <alignment wrapText="1"/>
    </xf>
    <xf numFmtId="1" fontId="0" fillId="0" borderId="23" xfId="0" applyNumberFormat="1" applyBorder="1" applyAlignment="1">
      <alignment wrapText="1"/>
    </xf>
    <xf numFmtId="0" fontId="5" fillId="0" borderId="23" xfId="0" applyFont="1" applyBorder="1" applyAlignment="1">
      <alignment vertical="center"/>
    </xf>
    <xf numFmtId="0" fontId="26" fillId="0" borderId="0" xfId="0" applyFont="1"/>
    <xf numFmtId="0" fontId="26" fillId="0" borderId="24" xfId="0" applyFont="1" applyBorder="1" applyAlignment="1">
      <alignment vertical="center"/>
    </xf>
    <xf numFmtId="0" fontId="0" fillId="0" borderId="0" xfId="0" applyAlignment="1">
      <alignment horizontal="left" wrapText="1"/>
    </xf>
    <xf numFmtId="0" fontId="0" fillId="0" borderId="13" xfId="0" applyBorder="1" applyAlignment="1">
      <alignment vertical="center" wrapText="1"/>
    </xf>
    <xf numFmtId="0" fontId="0" fillId="2" borderId="21" xfId="0" quotePrefix="1" applyFill="1" applyBorder="1" applyAlignment="1">
      <alignment horizontal="right" vertical="center"/>
    </xf>
    <xf numFmtId="188" fontId="0" fillId="10" borderId="17" xfId="0" quotePrefix="1" applyNumberFormat="1" applyFill="1" applyBorder="1" applyAlignment="1">
      <alignment horizontal="right" vertical="center"/>
    </xf>
    <xf numFmtId="0" fontId="11" fillId="0" borderId="0" xfId="0" applyFont="1"/>
    <xf numFmtId="176" fontId="4" fillId="0" borderId="0" xfId="0" quotePrefix="1" applyNumberFormat="1" applyFont="1" applyAlignment="1">
      <alignment horizontal="center" vertical="center"/>
    </xf>
    <xf numFmtId="176" fontId="4" fillId="0" borderId="0" xfId="0" applyNumberFormat="1" applyFont="1" applyAlignment="1">
      <alignment horizontal="center" vertical="center"/>
    </xf>
    <xf numFmtId="0" fontId="8" fillId="0" borderId="0" xfId="0" applyFont="1" applyAlignment="1">
      <alignment vertical="center"/>
    </xf>
    <xf numFmtId="0" fontId="16" fillId="0" borderId="0" xfId="0" applyFont="1" applyAlignment="1">
      <alignment horizontal="left" vertical="center"/>
    </xf>
    <xf numFmtId="0" fontId="16" fillId="0" borderId="0" xfId="0" applyFont="1" applyAlignment="1">
      <alignment horizontal="left" vertical="center" wrapText="1"/>
    </xf>
    <xf numFmtId="179" fontId="0" fillId="0" borderId="0" xfId="0" applyNumberFormat="1" applyAlignment="1">
      <alignment vertical="center"/>
    </xf>
    <xf numFmtId="180" fontId="0" fillId="0" borderId="0" xfId="0" applyNumberFormat="1"/>
    <xf numFmtId="177" fontId="0" fillId="0" borderId="0" xfId="0" applyNumberFormat="1"/>
    <xf numFmtId="0" fontId="0" fillId="0" borderId="0" xfId="3" applyNumberFormat="1" applyFont="1" applyAlignment="1" applyProtection="1"/>
    <xf numFmtId="188" fontId="0" fillId="0" borderId="23" xfId="1" applyNumberFormat="1" applyFont="1" applyBorder="1" applyAlignment="1" applyProtection="1">
      <alignment horizontal="right" vertical="center" wrapText="1"/>
    </xf>
    <xf numFmtId="0" fontId="0" fillId="0" borderId="23" xfId="0" applyBorder="1" applyAlignment="1">
      <alignment shrinkToFit="1"/>
    </xf>
    <xf numFmtId="188" fontId="0" fillId="10" borderId="23" xfId="0" quotePrefix="1" applyNumberFormat="1" applyFill="1" applyBorder="1" applyAlignment="1">
      <alignment horizontal="right" vertical="center"/>
    </xf>
    <xf numFmtId="188" fontId="0" fillId="0" borderId="0" xfId="0" applyNumberFormat="1"/>
    <xf numFmtId="182" fontId="0" fillId="0" borderId="0" xfId="0" applyNumberFormat="1"/>
    <xf numFmtId="38" fontId="2" fillId="0" borderId="0" xfId="1" applyFont="1" applyFill="1" applyBorder="1" applyAlignment="1" applyProtection="1">
      <alignment vertical="center"/>
    </xf>
    <xf numFmtId="0" fontId="18" fillId="0" borderId="0" xfId="0" applyFont="1" applyAlignment="1">
      <alignment horizontal="left"/>
    </xf>
    <xf numFmtId="0" fontId="0" fillId="0" borderId="0" xfId="0" applyAlignment="1">
      <alignment horizontal="center" vertical="center" wrapText="1"/>
    </xf>
    <xf numFmtId="188" fontId="0" fillId="0" borderId="0" xfId="0" applyNumberFormat="1" applyAlignment="1">
      <alignment vertical="top"/>
    </xf>
    <xf numFmtId="0" fontId="18" fillId="0" borderId="0" xfId="0" applyFont="1" applyAlignment="1">
      <alignment horizontal="left" vertical="top"/>
    </xf>
    <xf numFmtId="0" fontId="0" fillId="0" borderId="32" xfId="0" applyBorder="1" applyAlignment="1">
      <alignment horizontal="center" vertical="center"/>
    </xf>
    <xf numFmtId="0" fontId="0" fillId="0" borderId="67" xfId="0" applyBorder="1" applyAlignment="1">
      <alignment horizontal="center" vertical="center"/>
    </xf>
    <xf numFmtId="0" fontId="0" fillId="0" borderId="7"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29" xfId="0" applyBorder="1" applyAlignment="1">
      <alignment horizontal="right" vertical="center"/>
    </xf>
    <xf numFmtId="0" fontId="0" fillId="0" borderId="26" xfId="0" applyBorder="1" applyAlignment="1">
      <alignment horizontal="center" vertical="center" wrapText="1"/>
    </xf>
    <xf numFmtId="0" fontId="0" fillId="0" borderId="9" xfId="0" applyBorder="1" applyAlignment="1">
      <alignment horizontal="center" vertical="center"/>
    </xf>
    <xf numFmtId="0" fontId="18" fillId="0" borderId="33" xfId="0" applyFont="1" applyBorder="1" applyAlignment="1">
      <alignment horizontal="center" vertical="center" wrapText="1"/>
    </xf>
    <xf numFmtId="0" fontId="0" fillId="0" borderId="4" xfId="0" applyBorder="1" applyAlignment="1">
      <alignment horizontal="center" vertical="center"/>
    </xf>
    <xf numFmtId="0" fontId="0" fillId="0" borderId="8" xfId="0" applyBorder="1" applyAlignment="1">
      <alignment horizontal="center" vertical="center"/>
    </xf>
    <xf numFmtId="0" fontId="0" fillId="0" borderId="34" xfId="0" applyBorder="1"/>
    <xf numFmtId="0" fontId="0" fillId="0" borderId="35" xfId="0" applyBorder="1"/>
    <xf numFmtId="0" fontId="0" fillId="0" borderId="36" xfId="0" applyBorder="1" applyAlignment="1">
      <alignment horizontal="center" vertical="center"/>
    </xf>
    <xf numFmtId="0" fontId="0" fillId="5" borderId="9" xfId="0" applyFill="1" applyBorder="1" applyAlignment="1">
      <alignment horizontal="center" vertical="center"/>
    </xf>
    <xf numFmtId="0" fontId="0" fillId="5" borderId="26" xfId="0" applyFill="1" applyBorder="1" applyAlignment="1">
      <alignment horizontal="center" vertical="center"/>
    </xf>
    <xf numFmtId="0" fontId="0" fillId="5" borderId="33" xfId="0" applyFill="1" applyBorder="1" applyAlignment="1">
      <alignment horizontal="center" vertical="center"/>
    </xf>
    <xf numFmtId="0" fontId="0" fillId="7" borderId="0" xfId="0" applyFill="1" applyAlignment="1">
      <alignment horizontal="center" vertical="center" wrapText="1"/>
    </xf>
    <xf numFmtId="0" fontId="0" fillId="5" borderId="0" xfId="0" applyFill="1" applyAlignment="1">
      <alignment horizontal="center" vertical="center" wrapText="1"/>
    </xf>
    <xf numFmtId="0" fontId="0" fillId="13" borderId="0" xfId="0" applyFill="1" applyAlignment="1">
      <alignment horizontal="center" vertical="center" wrapText="1"/>
    </xf>
    <xf numFmtId="0" fontId="0" fillId="0" borderId="37" xfId="0" applyBorder="1"/>
    <xf numFmtId="0" fontId="0" fillId="0" borderId="38" xfId="0" applyBorder="1"/>
    <xf numFmtId="0" fontId="0" fillId="7" borderId="0" xfId="0" applyFill="1"/>
    <xf numFmtId="0" fontId="4" fillId="7" borderId="0" xfId="0" quotePrefix="1" applyFont="1" applyFill="1" applyAlignment="1">
      <alignment horizontal="right" vertical="center"/>
    </xf>
    <xf numFmtId="182" fontId="4" fillId="7" borderId="0" xfId="0" quotePrefix="1" applyNumberFormat="1" applyFont="1" applyFill="1" applyAlignment="1">
      <alignment horizontal="right" vertical="center"/>
    </xf>
    <xf numFmtId="0" fontId="0" fillId="5" borderId="0" xfId="0" applyFill="1"/>
    <xf numFmtId="0" fontId="4" fillId="5" borderId="0" xfId="0" quotePrefix="1" applyFont="1" applyFill="1" applyAlignment="1">
      <alignment horizontal="right" vertical="center"/>
    </xf>
    <xf numFmtId="182" fontId="4" fillId="5" borderId="0" xfId="0" quotePrefix="1" applyNumberFormat="1" applyFont="1" applyFill="1" applyAlignment="1">
      <alignment horizontal="right" vertical="center"/>
    </xf>
    <xf numFmtId="0" fontId="0" fillId="13" borderId="0" xfId="0" applyFill="1"/>
    <xf numFmtId="0" fontId="4" fillId="13" borderId="0" xfId="0" quotePrefix="1" applyFont="1" applyFill="1" applyAlignment="1">
      <alignment horizontal="right" vertical="center"/>
    </xf>
    <xf numFmtId="182" fontId="4" fillId="13" borderId="0" xfId="0" quotePrefix="1" applyNumberFormat="1" applyFont="1" applyFill="1" applyAlignment="1">
      <alignment horizontal="right" vertical="center"/>
    </xf>
    <xf numFmtId="0" fontId="25" fillId="0" borderId="0" xfId="0" applyFont="1"/>
    <xf numFmtId="0" fontId="0" fillId="0" borderId="39" xfId="0" applyBorder="1" applyAlignment="1">
      <alignment horizontal="center" vertical="center"/>
    </xf>
    <xf numFmtId="0" fontId="0" fillId="0" borderId="37" xfId="0" applyBorder="1" applyAlignment="1">
      <alignment horizontal="center" vertical="center"/>
    </xf>
    <xf numFmtId="0" fontId="0" fillId="0" borderId="6" xfId="0" applyBorder="1" applyAlignment="1">
      <alignment horizontal="center" vertical="center"/>
    </xf>
    <xf numFmtId="0" fontId="0" fillId="0" borderId="40" xfId="0" applyBorder="1" applyAlignment="1">
      <alignment horizontal="center" vertical="center" wrapText="1"/>
    </xf>
    <xf numFmtId="0" fontId="0" fillId="0" borderId="40" xfId="0" applyBorder="1" applyAlignment="1">
      <alignment horizontal="center" vertical="center"/>
    </xf>
    <xf numFmtId="0" fontId="0" fillId="0" borderId="16" xfId="0" applyBorder="1" applyAlignment="1">
      <alignment horizontal="center" vertical="center"/>
    </xf>
    <xf numFmtId="182" fontId="0" fillId="0" borderId="5" xfId="0" applyNumberFormat="1" applyBorder="1"/>
    <xf numFmtId="183" fontId="4" fillId="12" borderId="19" xfId="0" quotePrefix="1" applyNumberFormat="1" applyFont="1" applyFill="1" applyBorder="1" applyAlignment="1">
      <alignment horizontal="right" vertical="center"/>
    </xf>
    <xf numFmtId="183" fontId="4" fillId="0" borderId="19" xfId="0" quotePrefix="1" applyNumberFormat="1" applyFont="1" applyBorder="1" applyAlignment="1">
      <alignment horizontal="right" vertical="center"/>
    </xf>
    <xf numFmtId="193" fontId="4" fillId="0" borderId="7" xfId="0" quotePrefix="1" applyNumberFormat="1" applyFont="1" applyBorder="1" applyAlignment="1">
      <alignment horizontal="right" vertical="center"/>
    </xf>
    <xf numFmtId="193" fontId="4" fillId="0" borderId="30" xfId="0" quotePrefix="1" applyNumberFormat="1" applyFont="1" applyBorder="1" applyAlignment="1">
      <alignment horizontal="right" vertical="center"/>
    </xf>
    <xf numFmtId="183" fontId="4" fillId="0" borderId="4" xfId="0" quotePrefix="1" applyNumberFormat="1" applyFont="1" applyBorder="1" applyAlignment="1">
      <alignment horizontal="right" vertical="center"/>
    </xf>
    <xf numFmtId="183" fontId="4" fillId="0" borderId="30" xfId="0" quotePrefix="1" applyNumberFormat="1" applyFont="1" applyBorder="1" applyAlignment="1">
      <alignment horizontal="right" vertical="center"/>
    </xf>
    <xf numFmtId="183" fontId="4" fillId="0" borderId="7" xfId="0" quotePrefix="1" applyNumberFormat="1" applyFont="1" applyBorder="1" applyAlignment="1">
      <alignment horizontal="right" vertical="center"/>
    </xf>
    <xf numFmtId="178" fontId="4" fillId="0" borderId="7" xfId="0" quotePrefix="1" applyNumberFormat="1" applyFont="1" applyBorder="1" applyAlignment="1">
      <alignment horizontal="right" vertical="center"/>
    </xf>
    <xf numFmtId="178" fontId="4" fillId="0" borderId="30" xfId="0" quotePrefix="1" applyNumberFormat="1" applyFont="1" applyBorder="1" applyAlignment="1">
      <alignment horizontal="right" vertical="center"/>
    </xf>
    <xf numFmtId="178" fontId="4" fillId="0" borderId="31" xfId="0" quotePrefix="1" applyNumberFormat="1" applyFont="1" applyBorder="1" applyAlignment="1">
      <alignment horizontal="right" vertical="center"/>
    </xf>
    <xf numFmtId="186" fontId="4" fillId="0" borderId="21" xfId="0" quotePrefix="1" applyNumberFormat="1" applyFont="1" applyBorder="1" applyAlignment="1">
      <alignment horizontal="right" vertical="center"/>
    </xf>
    <xf numFmtId="182" fontId="4" fillId="9" borderId="0" xfId="0" quotePrefix="1" applyNumberFormat="1" applyFont="1" applyFill="1" applyAlignment="1">
      <alignment horizontal="right" vertical="center"/>
    </xf>
    <xf numFmtId="0" fontId="4" fillId="9" borderId="0" xfId="0" quotePrefix="1" applyFont="1" applyFill="1" applyAlignment="1">
      <alignment horizontal="right" vertical="center"/>
    </xf>
    <xf numFmtId="183" fontId="4" fillId="9" borderId="0" xfId="0" quotePrefix="1" applyNumberFormat="1" applyFont="1" applyFill="1" applyAlignment="1">
      <alignment horizontal="right" vertical="center"/>
    </xf>
    <xf numFmtId="188" fontId="4" fillId="9" borderId="0" xfId="0" quotePrefix="1" applyNumberFormat="1" applyFont="1" applyFill="1" applyAlignment="1">
      <alignment horizontal="right" vertical="center"/>
    </xf>
    <xf numFmtId="188" fontId="28" fillId="9" borderId="0" xfId="0" applyNumberFormat="1" applyFont="1" applyFill="1"/>
    <xf numFmtId="0" fontId="0" fillId="9" borderId="0" xfId="0" applyFill="1"/>
    <xf numFmtId="188" fontId="0" fillId="9" borderId="0" xfId="0" applyNumberFormat="1" applyFill="1"/>
    <xf numFmtId="0" fontId="0" fillId="0" borderId="5" xfId="0" applyBorder="1"/>
    <xf numFmtId="38" fontId="19" fillId="0" borderId="41" xfId="1" applyFont="1" applyBorder="1" applyAlignment="1" applyProtection="1">
      <alignment horizontal="center" vertical="center"/>
    </xf>
    <xf numFmtId="0" fontId="0" fillId="0" borderId="41" xfId="0" applyBorder="1"/>
    <xf numFmtId="0" fontId="0" fillId="0" borderId="28" xfId="0" applyBorder="1"/>
    <xf numFmtId="181" fontId="0" fillId="0" borderId="5" xfId="0" applyNumberFormat="1" applyBorder="1" applyAlignment="1">
      <alignment horizontal="center" vertical="center"/>
    </xf>
    <xf numFmtId="0" fontId="0" fillId="0" borderId="48" xfId="0" applyBorder="1" applyAlignment="1">
      <alignment horizontal="center" vertical="center"/>
    </xf>
    <xf numFmtId="181" fontId="0" fillId="0" borderId="7" xfId="0" applyNumberFormat="1" applyBorder="1" applyAlignment="1">
      <alignment horizontal="center" vertical="center"/>
    </xf>
    <xf numFmtId="0" fontId="0" fillId="0" borderId="28" xfId="0" applyBorder="1" applyAlignment="1">
      <alignment horizontal="center" vertical="center"/>
    </xf>
    <xf numFmtId="182" fontId="0" fillId="0" borderId="4" xfId="0" applyNumberFormat="1" applyBorder="1"/>
    <xf numFmtId="193" fontId="4" fillId="0" borderId="4" xfId="0" quotePrefix="1" applyNumberFormat="1" applyFont="1" applyBorder="1" applyAlignment="1">
      <alignment horizontal="right" vertical="center"/>
    </xf>
    <xf numFmtId="193" fontId="4" fillId="0" borderId="23" xfId="0" quotePrefix="1" applyNumberFormat="1" applyFont="1" applyBorder="1" applyAlignment="1">
      <alignment horizontal="right" vertical="center"/>
    </xf>
    <xf numFmtId="183" fontId="4" fillId="0" borderId="23" xfId="0" quotePrefix="1" applyNumberFormat="1" applyFont="1" applyBorder="1" applyAlignment="1">
      <alignment horizontal="right" vertical="center"/>
    </xf>
    <xf numFmtId="178" fontId="4" fillId="0" borderId="4" xfId="0" quotePrefix="1" applyNumberFormat="1" applyFont="1" applyBorder="1" applyAlignment="1">
      <alignment horizontal="right" vertical="center"/>
    </xf>
    <xf numFmtId="178" fontId="4" fillId="0" borderId="23" xfId="0" applyNumberFormat="1" applyFont="1" applyBorder="1" applyAlignment="1">
      <alignment horizontal="right" vertical="center"/>
    </xf>
    <xf numFmtId="178" fontId="4" fillId="0" borderId="2" xfId="0" applyNumberFormat="1" applyFont="1" applyBorder="1" applyAlignment="1">
      <alignment horizontal="right" vertical="center"/>
    </xf>
    <xf numFmtId="186" fontId="4" fillId="0" borderId="19" xfId="0" quotePrefix="1" applyNumberFormat="1" applyFont="1" applyBorder="1" applyAlignment="1">
      <alignment horizontal="right" vertical="center"/>
    </xf>
    <xf numFmtId="183" fontId="4" fillId="7" borderId="0" xfId="0" quotePrefix="1" applyNumberFormat="1" applyFont="1" applyFill="1" applyAlignment="1">
      <alignment horizontal="right" vertical="center"/>
    </xf>
    <xf numFmtId="188" fontId="4" fillId="8" borderId="0" xfId="0" quotePrefix="1" applyNumberFormat="1" applyFont="1" applyFill="1" applyAlignment="1">
      <alignment horizontal="right" vertical="center"/>
    </xf>
    <xf numFmtId="183" fontId="4" fillId="5" borderId="0" xfId="0" quotePrefix="1" applyNumberFormat="1" applyFont="1" applyFill="1" applyAlignment="1">
      <alignment horizontal="right" vertical="center"/>
    </xf>
    <xf numFmtId="183" fontId="4" fillId="13" borderId="0" xfId="0" quotePrefix="1" applyNumberFormat="1" applyFont="1" applyFill="1" applyAlignment="1">
      <alignment horizontal="right" vertical="center"/>
    </xf>
    <xf numFmtId="188" fontId="4" fillId="0" borderId="0" xfId="0" quotePrefix="1" applyNumberFormat="1" applyFont="1" applyAlignment="1">
      <alignment horizontal="right" vertical="center"/>
    </xf>
    <xf numFmtId="188" fontId="28" fillId="0" borderId="0" xfId="0" applyNumberFormat="1" applyFont="1"/>
    <xf numFmtId="0" fontId="0" fillId="0" borderId="4" xfId="0" applyBorder="1"/>
    <xf numFmtId="38" fontId="19" fillId="0" borderId="23" xfId="1" applyFont="1" applyBorder="1" applyAlignment="1" applyProtection="1">
      <alignment horizontal="center" vertical="center"/>
    </xf>
    <xf numFmtId="177" fontId="0" fillId="0" borderId="23" xfId="0" applyNumberFormat="1" applyBorder="1"/>
    <xf numFmtId="0" fontId="0" fillId="0" borderId="8" xfId="0" applyBorder="1"/>
    <xf numFmtId="181" fontId="0" fillId="0" borderId="4" xfId="0" applyNumberFormat="1" applyBorder="1" applyAlignment="1">
      <alignment horizontal="center" vertical="center"/>
    </xf>
    <xf numFmtId="181" fontId="0" fillId="0" borderId="9" xfId="0" applyNumberFormat="1" applyBorder="1" applyAlignment="1">
      <alignment horizontal="center" vertical="center"/>
    </xf>
    <xf numFmtId="0" fontId="0" fillId="0" borderId="46" xfId="0" applyBorder="1" applyAlignment="1">
      <alignment horizontal="center" vertical="center"/>
    </xf>
    <xf numFmtId="0" fontId="0" fillId="0" borderId="35" xfId="0" applyBorder="1" applyAlignment="1">
      <alignment horizontal="center" vertical="center"/>
    </xf>
    <xf numFmtId="181" fontId="25" fillId="0" borderId="97" xfId="0" applyNumberFormat="1" applyFont="1" applyBorder="1" applyAlignment="1">
      <alignment horizontal="center" vertical="center"/>
    </xf>
    <xf numFmtId="0" fontId="25" fillId="0" borderId="98" xfId="0" applyFont="1" applyBorder="1" applyAlignment="1">
      <alignment horizontal="center" vertical="center"/>
    </xf>
    <xf numFmtId="0" fontId="25" fillId="0" borderId="100" xfId="0" applyFont="1" applyBorder="1" applyAlignment="1">
      <alignment horizontal="center" vertical="center"/>
    </xf>
    <xf numFmtId="181" fontId="25" fillId="0" borderId="101" xfId="0" applyNumberFormat="1" applyFont="1" applyBorder="1" applyAlignment="1">
      <alignment horizontal="center" vertical="center"/>
    </xf>
    <xf numFmtId="0" fontId="25" fillId="0" borderId="99" xfId="0" applyFont="1" applyBorder="1" applyAlignment="1">
      <alignment horizontal="center" vertical="center"/>
    </xf>
    <xf numFmtId="193" fontId="4" fillId="0" borderId="26" xfId="0" quotePrefix="1" applyNumberFormat="1" applyFont="1" applyBorder="1" applyAlignment="1">
      <alignment horizontal="right" vertical="center"/>
    </xf>
    <xf numFmtId="193" fontId="4" fillId="0" borderId="10" xfId="0" quotePrefix="1" applyNumberFormat="1" applyFont="1" applyBorder="1" applyAlignment="1">
      <alignment horizontal="right" vertical="center"/>
    </xf>
    <xf numFmtId="193" fontId="4" fillId="0" borderId="27" xfId="0" quotePrefix="1" applyNumberFormat="1" applyFont="1" applyBorder="1" applyAlignment="1">
      <alignment horizontal="right" vertical="center"/>
    </xf>
    <xf numFmtId="188" fontId="27" fillId="8" borderId="0" xfId="0" quotePrefix="1" applyNumberFormat="1" applyFont="1" applyFill="1" applyAlignment="1">
      <alignment horizontal="right" vertical="center"/>
    </xf>
    <xf numFmtId="182" fontId="25" fillId="0" borderId="4" xfId="0" applyNumberFormat="1" applyFont="1" applyBorder="1"/>
    <xf numFmtId="188" fontId="27" fillId="0" borderId="0" xfId="0" quotePrefix="1" applyNumberFormat="1" applyFont="1" applyAlignment="1">
      <alignment horizontal="right" vertical="center"/>
    </xf>
    <xf numFmtId="185" fontId="0" fillId="9" borderId="0" xfId="0" applyNumberFormat="1" applyFill="1"/>
    <xf numFmtId="185" fontId="0" fillId="0" borderId="0" xfId="0" applyNumberFormat="1"/>
    <xf numFmtId="0" fontId="0" fillId="0" borderId="4" xfId="0" applyBorder="1" applyAlignment="1">
      <alignment vertical="center"/>
    </xf>
    <xf numFmtId="177" fontId="0" fillId="0" borderId="23" xfId="0" applyNumberFormat="1" applyBorder="1" applyAlignment="1">
      <alignment vertical="center"/>
    </xf>
    <xf numFmtId="0" fontId="0" fillId="0" borderId="8" xfId="0" applyBorder="1" applyAlignment="1">
      <alignment vertical="center"/>
    </xf>
    <xf numFmtId="177" fontId="0" fillId="0" borderId="24" xfId="0" applyNumberFormat="1" applyBorder="1"/>
    <xf numFmtId="181" fontId="0" fillId="0" borderId="24" xfId="0" applyNumberFormat="1" applyBorder="1" applyAlignment="1">
      <alignment horizontal="center" vertical="center"/>
    </xf>
    <xf numFmtId="0" fontId="0" fillId="0" borderId="42" xfId="0" applyBorder="1"/>
    <xf numFmtId="177" fontId="0" fillId="0" borderId="0" xfId="0" applyNumberFormat="1" applyAlignment="1">
      <alignment horizontal="center" vertical="center"/>
    </xf>
    <xf numFmtId="179" fontId="0" fillId="0" borderId="0" xfId="0" applyNumberFormat="1"/>
    <xf numFmtId="193" fontId="4" fillId="0" borderId="44" xfId="0" quotePrefix="1" applyNumberFormat="1" applyFont="1" applyBorder="1" applyAlignment="1">
      <alignment horizontal="right" vertical="center"/>
    </xf>
    <xf numFmtId="193" fontId="4" fillId="0" borderId="8" xfId="0" quotePrefix="1" applyNumberFormat="1" applyFont="1" applyBorder="1" applyAlignment="1">
      <alignment horizontal="right" vertical="center"/>
    </xf>
    <xf numFmtId="0" fontId="0" fillId="2" borderId="81" xfId="0" quotePrefix="1" applyFill="1" applyBorder="1" applyAlignment="1">
      <alignment horizontal="right" vertical="center"/>
    </xf>
    <xf numFmtId="0" fontId="0" fillId="2" borderId="82" xfId="0" quotePrefix="1" applyFill="1" applyBorder="1" applyAlignment="1">
      <alignment horizontal="right" vertical="center"/>
    </xf>
    <xf numFmtId="0" fontId="0" fillId="2" borderId="83" xfId="0" quotePrefix="1" applyFill="1" applyBorder="1" applyAlignment="1">
      <alignment horizontal="right" vertical="center" shrinkToFit="1"/>
    </xf>
    <xf numFmtId="0" fontId="0" fillId="2" borderId="84" xfId="0" quotePrefix="1" applyFill="1" applyBorder="1" applyAlignment="1">
      <alignment horizontal="right" vertical="center" shrinkToFit="1"/>
    </xf>
    <xf numFmtId="0" fontId="25" fillId="0" borderId="54" xfId="0" applyFont="1" applyBorder="1" applyAlignment="1">
      <alignment vertical="center"/>
    </xf>
    <xf numFmtId="0" fontId="25" fillId="0" borderId="0" xfId="0" applyFont="1" applyAlignment="1">
      <alignment vertical="center"/>
    </xf>
    <xf numFmtId="0" fontId="7" fillId="0" borderId="0" xfId="0" applyFont="1" applyAlignment="1">
      <alignment wrapText="1"/>
    </xf>
    <xf numFmtId="0" fontId="35" fillId="0" borderId="0" xfId="0" applyFont="1"/>
    <xf numFmtId="0" fontId="0" fillId="0" borderId="13" xfId="0" applyBorder="1"/>
    <xf numFmtId="0" fontId="0" fillId="0" borderId="55" xfId="0" applyBorder="1"/>
    <xf numFmtId="0" fontId="0" fillId="0" borderId="56" xfId="0" applyBorder="1"/>
    <xf numFmtId="0" fontId="22" fillId="11" borderId="56" xfId="0" applyFont="1" applyFill="1" applyBorder="1" applyAlignment="1">
      <alignment horizontal="right" vertical="center"/>
    </xf>
    <xf numFmtId="0" fontId="22" fillId="11" borderId="13" xfId="0" applyFont="1" applyFill="1" applyBorder="1" applyAlignment="1">
      <alignment horizontal="right"/>
    </xf>
    <xf numFmtId="0" fontId="0" fillId="0" borderId="1" xfId="0" applyBorder="1" applyAlignment="1">
      <alignment horizontal="right" vertical="center"/>
    </xf>
    <xf numFmtId="0" fontId="0" fillId="0" borderId="6" xfId="0" applyBorder="1" applyAlignment="1">
      <alignment vertical="center" wrapText="1"/>
    </xf>
    <xf numFmtId="0" fontId="0" fillId="0" borderId="15" xfId="0" applyBorder="1" applyAlignment="1">
      <alignment horizontal="left" vertical="center"/>
    </xf>
    <xf numFmtId="0" fontId="22" fillId="0" borderId="54" xfId="0" applyFont="1" applyBorder="1" applyAlignment="1">
      <alignment horizontal="right" vertical="center"/>
    </xf>
    <xf numFmtId="0" fontId="13" fillId="0" borderId="0" xfId="0" applyFont="1"/>
    <xf numFmtId="0" fontId="0" fillId="0" borderId="47" xfId="0" applyBorder="1" applyAlignment="1">
      <alignment horizontal="left"/>
    </xf>
    <xf numFmtId="0" fontId="0" fillId="0" borderId="21" xfId="0" applyBorder="1" applyAlignment="1">
      <alignment horizontal="right" vertical="center"/>
    </xf>
    <xf numFmtId="0" fontId="0" fillId="0" borderId="47" xfId="0" applyBorder="1"/>
    <xf numFmtId="0" fontId="0" fillId="0" borderId="17" xfId="0" applyBorder="1" applyAlignment="1">
      <alignment horizontal="right" vertical="center"/>
    </xf>
    <xf numFmtId="0" fontId="0" fillId="0" borderId="58" xfId="0" applyBorder="1"/>
    <xf numFmtId="0" fontId="0" fillId="0" borderId="7" xfId="0" applyBorder="1" applyAlignment="1">
      <alignment vertical="center"/>
    </xf>
    <xf numFmtId="0" fontId="0" fillId="0" borderId="6" xfId="0" applyBorder="1" applyAlignment="1">
      <alignment horizontal="left" vertical="center"/>
    </xf>
    <xf numFmtId="0" fontId="0" fillId="0" borderId="17" xfId="0" applyBorder="1" applyAlignment="1">
      <alignment vertical="center"/>
    </xf>
    <xf numFmtId="0" fontId="0" fillId="0" borderId="21" xfId="0" applyBorder="1"/>
    <xf numFmtId="0" fontId="0" fillId="0" borderId="9" xfId="0" applyBorder="1"/>
    <xf numFmtId="0" fontId="0" fillId="0" borderId="22" xfId="0" applyBorder="1"/>
    <xf numFmtId="0" fontId="0" fillId="0" borderId="50" xfId="0" applyBorder="1" applyAlignment="1">
      <alignment horizontal="right"/>
    </xf>
    <xf numFmtId="0" fontId="0" fillId="0" borderId="36" xfId="0" applyBorder="1" applyAlignment="1">
      <alignment horizontal="right"/>
    </xf>
    <xf numFmtId="0" fontId="0" fillId="0" borderId="19" xfId="0" applyBorder="1" applyAlignment="1">
      <alignment horizontal="right"/>
    </xf>
    <xf numFmtId="0" fontId="0" fillId="0" borderId="9" xfId="0" applyBorder="1" applyAlignment="1">
      <alignment horizontal="right"/>
    </xf>
    <xf numFmtId="0" fontId="0" fillId="0" borderId="1" xfId="0" applyBorder="1" applyAlignment="1">
      <alignment vertical="top" wrapText="1"/>
    </xf>
    <xf numFmtId="0" fontId="6" fillId="11" borderId="13" xfId="0" applyFont="1" applyFill="1" applyBorder="1" applyAlignment="1">
      <alignment horizontal="right"/>
    </xf>
    <xf numFmtId="184" fontId="0" fillId="0" borderId="24" xfId="0" applyNumberFormat="1" applyBorder="1" applyAlignment="1">
      <alignment horizontal="right"/>
    </xf>
    <xf numFmtId="0" fontId="0" fillId="0" borderId="28" xfId="0" applyBorder="1" applyAlignment="1">
      <alignment vertical="center"/>
    </xf>
    <xf numFmtId="0" fontId="0" fillId="0" borderId="16" xfId="0" applyBorder="1" applyAlignment="1">
      <alignment vertical="center"/>
    </xf>
    <xf numFmtId="0" fontId="6" fillId="0" borderId="54" xfId="0" applyFont="1" applyBorder="1" applyAlignment="1">
      <alignment vertical="center"/>
    </xf>
    <xf numFmtId="0" fontId="0" fillId="0" borderId="51" xfId="0" applyBorder="1"/>
    <xf numFmtId="0" fontId="0" fillId="0" borderId="21" xfId="0" applyBorder="1" applyAlignment="1">
      <alignment horizontal="center" vertical="center"/>
    </xf>
    <xf numFmtId="0" fontId="0" fillId="0" borderId="52" xfId="0" applyBorder="1" applyAlignment="1">
      <alignment horizontal="center" vertical="center"/>
    </xf>
    <xf numFmtId="0" fontId="0" fillId="0" borderId="3" xfId="0" applyBorder="1"/>
    <xf numFmtId="0" fontId="0" fillId="0" borderId="10" xfId="0" applyBorder="1"/>
    <xf numFmtId="184" fontId="0" fillId="0" borderId="4" xfId="0" applyNumberFormat="1" applyBorder="1"/>
    <xf numFmtId="184" fontId="0" fillId="0" borderId="19" xfId="0" applyNumberFormat="1" applyBorder="1"/>
    <xf numFmtId="0" fontId="0" fillId="0" borderId="11" xfId="0" applyBorder="1"/>
    <xf numFmtId="0" fontId="0" fillId="0" borderId="12" xfId="0" applyBorder="1"/>
    <xf numFmtId="0" fontId="0" fillId="0" borderId="49" xfId="0" applyBorder="1" applyAlignment="1">
      <alignment horizontal="right"/>
    </xf>
    <xf numFmtId="0" fontId="0" fillId="0" borderId="4" xfId="0" applyBorder="1" applyAlignment="1">
      <alignment horizontal="right"/>
    </xf>
    <xf numFmtId="0" fontId="0" fillId="0" borderId="5" xfId="0" applyBorder="1" applyAlignment="1">
      <alignment horizontal="right"/>
    </xf>
    <xf numFmtId="0" fontId="0" fillId="2" borderId="57" xfId="0" quotePrefix="1" applyFill="1" applyBorder="1" applyAlignment="1">
      <alignment horizontal="right" vertical="center"/>
    </xf>
    <xf numFmtId="0" fontId="0" fillId="2" borderId="13" xfId="0" quotePrefix="1" applyFill="1" applyBorder="1" applyAlignment="1">
      <alignment horizontal="right" vertical="center"/>
    </xf>
    <xf numFmtId="0" fontId="36" fillId="14" borderId="0" xfId="0" applyFont="1" applyFill="1"/>
    <xf numFmtId="58" fontId="0" fillId="0" borderId="0" xfId="0" applyNumberFormat="1" applyAlignment="1">
      <alignment horizontal="left" vertical="top"/>
    </xf>
    <xf numFmtId="0" fontId="0" fillId="0" borderId="0" xfId="0" quotePrefix="1" applyAlignment="1">
      <alignment horizontal="center"/>
    </xf>
    <xf numFmtId="0" fontId="0" fillId="0" borderId="23" xfId="0" applyBorder="1" applyAlignment="1">
      <alignment horizontal="center" vertical="center"/>
    </xf>
    <xf numFmtId="0" fontId="5" fillId="0" borderId="23" xfId="0" applyFont="1" applyBorder="1" applyAlignment="1">
      <alignment horizontal="center" vertical="center"/>
    </xf>
    <xf numFmtId="0" fontId="0" fillId="0" borderId="23" xfId="0" applyBorder="1" applyAlignment="1">
      <alignment vertical="center"/>
    </xf>
    <xf numFmtId="0" fontId="5" fillId="0" borderId="26" xfId="0" applyFont="1" applyBorder="1" applyAlignment="1">
      <alignment horizontal="center" vertical="center"/>
    </xf>
    <xf numFmtId="0" fontId="5" fillId="0" borderId="41" xfId="0" applyFont="1" applyBorder="1" applyAlignment="1">
      <alignment horizontal="center" vertical="center"/>
    </xf>
    <xf numFmtId="0" fontId="0" fillId="0" borderId="23" xfId="0" applyBorder="1"/>
    <xf numFmtId="0" fontId="0" fillId="0" borderId="2" xfId="0" applyBorder="1"/>
    <xf numFmtId="0" fontId="0" fillId="0" borderId="23" xfId="0" applyBorder="1" applyAlignment="1">
      <alignment horizontal="left" vertical="center" wrapText="1"/>
    </xf>
    <xf numFmtId="0" fontId="22" fillId="4" borderId="13" xfId="0" applyFont="1" applyFill="1" applyBorder="1" applyAlignment="1" applyProtection="1">
      <alignment horizontal="center" vertical="center" wrapText="1"/>
      <protection locked="0"/>
    </xf>
    <xf numFmtId="0" fontId="22" fillId="4" borderId="13" xfId="0" applyFont="1" applyFill="1" applyBorder="1" applyAlignment="1" applyProtection="1">
      <alignment horizontal="center" vertical="center"/>
      <protection locked="0"/>
    </xf>
    <xf numFmtId="0" fontId="0" fillId="0" borderId="2" xfId="0" applyBorder="1" applyAlignment="1">
      <alignment horizontal="left" vertical="center" wrapText="1"/>
    </xf>
    <xf numFmtId="0" fontId="25" fillId="0" borderId="23" xfId="0" applyFont="1" applyBorder="1" applyAlignment="1">
      <alignment horizontal="left" vertical="center"/>
    </xf>
    <xf numFmtId="0" fontId="0" fillId="0" borderId="23" xfId="0" applyBorder="1" applyAlignment="1">
      <alignment horizontal="left" vertical="center"/>
    </xf>
    <xf numFmtId="0" fontId="22" fillId="4" borderId="55" xfId="0" applyFont="1" applyFill="1" applyBorder="1" applyAlignment="1" applyProtection="1">
      <alignment horizontal="center" vertical="center"/>
      <protection locked="0"/>
    </xf>
    <xf numFmtId="0" fontId="22" fillId="4" borderId="61" xfId="0" applyFont="1" applyFill="1" applyBorder="1" applyAlignment="1" applyProtection="1">
      <alignment horizontal="center" vertical="center"/>
      <protection locked="0"/>
    </xf>
    <xf numFmtId="0" fontId="22" fillId="4" borderId="56" xfId="0" applyFont="1" applyFill="1" applyBorder="1" applyAlignment="1" applyProtection="1">
      <alignment horizontal="center" vertical="center"/>
      <protection locked="0"/>
    </xf>
    <xf numFmtId="0" fontId="0" fillId="0" borderId="23" xfId="0" applyBorder="1" applyAlignment="1">
      <alignment horizontal="left"/>
    </xf>
    <xf numFmtId="0" fontId="0" fillId="0" borderId="2" xfId="0" applyBorder="1" applyAlignment="1">
      <alignment horizontal="left"/>
    </xf>
    <xf numFmtId="0" fontId="25" fillId="0" borderId="2" xfId="0" applyFont="1" applyBorder="1" applyAlignment="1">
      <alignment horizontal="left" vertical="center"/>
    </xf>
    <xf numFmtId="0" fontId="25" fillId="0" borderId="1" xfId="0" applyFont="1" applyBorder="1" applyAlignment="1">
      <alignment horizontal="left" vertical="center"/>
    </xf>
    <xf numFmtId="0" fontId="25" fillId="0" borderId="45" xfId="0" applyFont="1" applyBorder="1" applyAlignment="1">
      <alignment horizontal="left" vertical="center"/>
    </xf>
    <xf numFmtId="0" fontId="6" fillId="8" borderId="55" xfId="0" applyFont="1" applyFill="1" applyBorder="1" applyAlignment="1" applyProtection="1">
      <alignment horizontal="left" vertical="center"/>
      <protection locked="0"/>
    </xf>
    <xf numFmtId="0" fontId="6" fillId="8" borderId="61" xfId="0" applyFont="1" applyFill="1" applyBorder="1" applyAlignment="1" applyProtection="1">
      <alignment horizontal="left" vertical="center"/>
      <protection locked="0"/>
    </xf>
    <xf numFmtId="0" fontId="6" fillId="8" borderId="56" xfId="0" applyFont="1" applyFill="1" applyBorder="1" applyAlignment="1" applyProtection="1">
      <alignment horizontal="left" vertical="center"/>
      <protection locked="0"/>
    </xf>
    <xf numFmtId="0" fontId="25" fillId="0" borderId="23" xfId="0" applyFont="1" applyBorder="1" applyAlignment="1">
      <alignment horizontal="left"/>
    </xf>
    <xf numFmtId="0" fontId="25" fillId="0" borderId="60" xfId="0" applyFont="1" applyBorder="1" applyAlignment="1">
      <alignment horizontal="left" vertical="center" wrapText="1"/>
    </xf>
    <xf numFmtId="0" fontId="25" fillId="0" borderId="24" xfId="0" applyFont="1" applyBorder="1" applyAlignment="1">
      <alignment horizontal="left" vertical="center" wrapText="1"/>
    </xf>
    <xf numFmtId="0" fontId="25" fillId="0" borderId="80" xfId="0" applyFont="1" applyBorder="1" applyAlignment="1">
      <alignment horizontal="left" vertical="center" wrapText="1"/>
    </xf>
    <xf numFmtId="0" fontId="25" fillId="0" borderId="48" xfId="0" applyFont="1" applyBorder="1" applyAlignment="1">
      <alignment horizontal="left" vertical="center" wrapText="1"/>
    </xf>
    <xf numFmtId="0" fontId="25" fillId="0" borderId="25" xfId="0" applyFont="1" applyBorder="1" applyAlignment="1">
      <alignment horizontal="left" vertical="center" wrapText="1"/>
    </xf>
    <xf numFmtId="0" fontId="25" fillId="0" borderId="47" xfId="0" applyFont="1" applyBorder="1" applyAlignment="1">
      <alignment horizontal="left" vertical="center" wrapText="1"/>
    </xf>
    <xf numFmtId="0" fontId="25" fillId="0" borderId="24" xfId="0" applyFont="1" applyBorder="1" applyAlignment="1">
      <alignment horizontal="left" vertical="center"/>
    </xf>
    <xf numFmtId="0" fontId="25" fillId="0" borderId="48" xfId="0" applyFont="1" applyBorder="1" applyAlignment="1">
      <alignment horizontal="left" vertical="center"/>
    </xf>
    <xf numFmtId="0" fontId="25" fillId="0" borderId="25" xfId="0" applyFont="1" applyBorder="1" applyAlignment="1">
      <alignment horizontal="left" vertical="center"/>
    </xf>
    <xf numFmtId="0" fontId="6" fillId="4" borderId="13" xfId="0" applyFont="1" applyFill="1" applyBorder="1" applyAlignment="1" applyProtection="1">
      <alignment horizontal="right" vertical="center"/>
      <protection locked="0"/>
    </xf>
    <xf numFmtId="0" fontId="0" fillId="0" borderId="2" xfId="0" applyBorder="1" applyAlignment="1">
      <alignment vertical="center"/>
    </xf>
    <xf numFmtId="0" fontId="0" fillId="0" borderId="1" xfId="0" applyBorder="1" applyAlignment="1">
      <alignment vertical="center"/>
    </xf>
    <xf numFmtId="0" fontId="0" fillId="0" borderId="27" xfId="0" applyBorder="1" applyAlignment="1">
      <alignment vertical="center"/>
    </xf>
    <xf numFmtId="0" fontId="0" fillId="0" borderId="2" xfId="0" applyBorder="1" applyAlignment="1">
      <alignment horizontal="left" vertical="center"/>
    </xf>
    <xf numFmtId="0" fontId="0" fillId="0" borderId="1" xfId="0" applyBorder="1" applyAlignment="1">
      <alignment horizontal="left" vertical="center"/>
    </xf>
    <xf numFmtId="0" fontId="0" fillId="0" borderId="45" xfId="0" applyBorder="1" applyAlignment="1">
      <alignment horizontal="left" vertical="center"/>
    </xf>
    <xf numFmtId="0" fontId="25" fillId="0" borderId="23" xfId="0" applyFont="1" applyBorder="1" applyAlignment="1">
      <alignment vertical="center" wrapText="1"/>
    </xf>
    <xf numFmtId="0" fontId="22" fillId="4" borderId="13" xfId="0" applyFont="1" applyFill="1" applyBorder="1" applyAlignment="1" applyProtection="1">
      <alignment horizontal="left" vertical="center"/>
      <protection locked="0"/>
    </xf>
    <xf numFmtId="0" fontId="0" fillId="0" borderId="26" xfId="0" applyBorder="1" applyAlignment="1">
      <alignment horizontal="center" vertical="center"/>
    </xf>
    <xf numFmtId="0" fontId="0" fillId="0" borderId="34" xfId="0" applyBorder="1" applyAlignment="1">
      <alignment horizontal="center" vertical="center"/>
    </xf>
    <xf numFmtId="0" fontId="0" fillId="0" borderId="41" xfId="0" applyBorder="1" applyAlignment="1">
      <alignment horizontal="center" vertical="center"/>
    </xf>
    <xf numFmtId="0" fontId="0" fillId="0" borderId="10" xfId="0" applyBorder="1" applyAlignment="1">
      <alignment horizontal="left" vertical="center"/>
    </xf>
    <xf numFmtId="0" fontId="0" fillId="0" borderId="27" xfId="0" applyBorder="1" applyAlignment="1">
      <alignment horizontal="left" vertical="center"/>
    </xf>
    <xf numFmtId="0" fontId="0" fillId="0" borderId="2" xfId="0" applyBorder="1" applyAlignment="1">
      <alignment vertical="center" wrapText="1"/>
    </xf>
    <xf numFmtId="0" fontId="0" fillId="0" borderId="1" xfId="0" applyBorder="1" applyAlignment="1">
      <alignment vertical="center" wrapText="1"/>
    </xf>
    <xf numFmtId="0" fontId="0" fillId="0" borderId="27" xfId="0" applyBorder="1" applyAlignment="1">
      <alignment vertical="center" wrapText="1"/>
    </xf>
    <xf numFmtId="0" fontId="25" fillId="0" borderId="26" xfId="0" applyFont="1" applyBorder="1" applyAlignment="1">
      <alignment horizontal="center" vertical="center" wrapText="1"/>
    </xf>
    <xf numFmtId="0" fontId="25" fillId="0" borderId="34" xfId="0" applyFont="1" applyBorder="1" applyAlignment="1">
      <alignment horizontal="center" vertical="center" wrapText="1"/>
    </xf>
    <xf numFmtId="0" fontId="25" fillId="0" borderId="41" xfId="0" applyFont="1" applyBorder="1" applyAlignment="1">
      <alignment horizontal="center" vertical="center" wrapText="1"/>
    </xf>
    <xf numFmtId="0" fontId="25" fillId="0" borderId="26" xfId="0" applyFont="1" applyBorder="1" applyAlignment="1">
      <alignment horizontal="center" vertical="center"/>
    </xf>
    <xf numFmtId="0" fontId="25" fillId="0" borderId="41" xfId="0" applyFont="1" applyBorder="1" applyAlignment="1">
      <alignment horizontal="center" vertical="center"/>
    </xf>
    <xf numFmtId="0" fontId="33" fillId="0" borderId="2" xfId="2" applyBorder="1" applyAlignment="1" applyProtection="1">
      <alignment horizontal="center"/>
      <protection locked="0"/>
    </xf>
    <xf numFmtId="0" fontId="33" fillId="0" borderId="1" xfId="2" applyBorder="1" applyAlignment="1" applyProtection="1">
      <alignment horizontal="center"/>
      <protection locked="0"/>
    </xf>
    <xf numFmtId="0" fontId="0" fillId="0" borderId="60" xfId="0" applyBorder="1" applyAlignment="1">
      <alignment vertical="center" wrapText="1"/>
    </xf>
    <xf numFmtId="0" fontId="0" fillId="0" borderId="24" xfId="0" applyBorder="1" applyAlignment="1">
      <alignment vertical="center" wrapText="1"/>
    </xf>
    <xf numFmtId="0" fontId="0" fillId="0" borderId="44" xfId="0" applyBorder="1" applyAlignment="1">
      <alignment vertical="center" wrapText="1"/>
    </xf>
    <xf numFmtId="0" fontId="0" fillId="0" borderId="48" xfId="0" applyBorder="1" applyAlignment="1">
      <alignment vertical="center" wrapText="1"/>
    </xf>
    <xf numFmtId="0" fontId="0" fillId="0" borderId="25" xfId="0" applyBorder="1" applyAlignment="1">
      <alignment vertical="center" wrapText="1"/>
    </xf>
    <xf numFmtId="0" fontId="0" fillId="0" borderId="53" xfId="0" applyBorder="1" applyAlignment="1">
      <alignment vertical="center" wrapText="1"/>
    </xf>
    <xf numFmtId="0" fontId="6" fillId="4" borderId="51" xfId="0" applyFont="1" applyFill="1" applyBorder="1" applyAlignment="1" applyProtection="1">
      <alignment horizontal="right" vertical="center"/>
      <protection locked="0"/>
    </xf>
    <xf numFmtId="0" fontId="6" fillId="4" borderId="52" xfId="0" applyFont="1" applyFill="1" applyBorder="1" applyAlignment="1" applyProtection="1">
      <alignment horizontal="right" vertical="center"/>
      <protection locked="0"/>
    </xf>
    <xf numFmtId="0" fontId="33" fillId="0" borderId="26" xfId="2" applyBorder="1" applyAlignment="1" applyProtection="1">
      <alignment horizontal="center" vertical="center"/>
      <protection locked="0"/>
    </xf>
    <xf numFmtId="0" fontId="33" fillId="0" borderId="34" xfId="2" applyBorder="1" applyAlignment="1" applyProtection="1">
      <alignment horizontal="center" vertical="center"/>
      <protection locked="0"/>
    </xf>
    <xf numFmtId="0" fontId="33" fillId="0" borderId="41" xfId="2" applyBorder="1" applyAlignment="1" applyProtection="1">
      <alignment horizontal="center" vertical="center"/>
      <protection locked="0"/>
    </xf>
    <xf numFmtId="0" fontId="25" fillId="0" borderId="2" xfId="0" applyFont="1" applyBorder="1" applyAlignment="1">
      <alignment horizontal="left" vertical="center" wrapText="1"/>
    </xf>
    <xf numFmtId="0" fontId="25" fillId="0" borderId="1" xfId="0" applyFont="1" applyBorder="1" applyAlignment="1">
      <alignment horizontal="left" vertical="center" wrapText="1"/>
    </xf>
    <xf numFmtId="0" fontId="25" fillId="0" borderId="27" xfId="0" applyFont="1" applyBorder="1" applyAlignment="1">
      <alignment horizontal="left" vertical="center" wrapText="1"/>
    </xf>
    <xf numFmtId="0" fontId="0" fillId="0" borderId="10" xfId="0" applyBorder="1" applyAlignment="1">
      <alignment horizontal="left" vertical="center" wrapText="1"/>
    </xf>
    <xf numFmtId="0" fontId="0" fillId="0" borderId="1" xfId="0" applyBorder="1" applyAlignment="1">
      <alignment horizontal="left" vertical="center" wrapText="1"/>
    </xf>
    <xf numFmtId="0" fontId="0" fillId="0" borderId="27" xfId="0" applyBorder="1" applyAlignment="1">
      <alignment horizontal="left" vertical="center" wrapText="1"/>
    </xf>
    <xf numFmtId="0" fontId="0" fillId="0" borderId="2" xfId="0" applyBorder="1" applyAlignment="1">
      <alignment horizontal="center"/>
    </xf>
    <xf numFmtId="0" fontId="0" fillId="0" borderId="1" xfId="0" applyBorder="1" applyAlignment="1">
      <alignment horizontal="center"/>
    </xf>
    <xf numFmtId="0" fontId="0" fillId="0" borderId="27" xfId="0" applyBorder="1" applyAlignment="1">
      <alignment horizontal="center"/>
    </xf>
    <xf numFmtId="0" fontId="4" fillId="0" borderId="23" xfId="0" applyFont="1" applyBorder="1" applyAlignment="1">
      <alignment horizontal="left" vertical="center" wrapText="1"/>
    </xf>
    <xf numFmtId="0" fontId="25" fillId="0" borderId="10" xfId="0" applyFont="1" applyBorder="1" applyAlignment="1">
      <alignment horizontal="left"/>
    </xf>
    <xf numFmtId="0" fontId="25" fillId="0" borderId="1" xfId="0" applyFont="1" applyBorder="1" applyAlignment="1">
      <alignment horizontal="left"/>
    </xf>
    <xf numFmtId="0" fontId="25" fillId="0" borderId="27" xfId="0" applyFont="1" applyBorder="1" applyAlignment="1">
      <alignment horizontal="left"/>
    </xf>
    <xf numFmtId="0" fontId="0" fillId="0" borderId="11" xfId="0" applyBorder="1" applyAlignment="1">
      <alignment horizontal="left"/>
    </xf>
    <xf numFmtId="0" fontId="0" fillId="0" borderId="24" xfId="0" applyBorder="1" applyAlignment="1">
      <alignment horizontal="left"/>
    </xf>
    <xf numFmtId="0" fontId="0" fillId="0" borderId="44" xfId="0" applyBorder="1" applyAlignment="1">
      <alignment horizontal="left"/>
    </xf>
    <xf numFmtId="0" fontId="0" fillId="0" borderId="3" xfId="0" applyBorder="1" applyAlignment="1">
      <alignment horizontal="left"/>
    </xf>
    <xf numFmtId="0" fontId="0" fillId="0" borderId="25" xfId="0" applyBorder="1" applyAlignment="1">
      <alignment horizontal="left"/>
    </xf>
    <xf numFmtId="0" fontId="0" fillId="0" borderId="53" xfId="0" applyBorder="1" applyAlignment="1">
      <alignment horizontal="left"/>
    </xf>
    <xf numFmtId="0" fontId="0" fillId="0" borderId="10" xfId="0" applyBorder="1" applyAlignment="1">
      <alignment horizontal="left"/>
    </xf>
    <xf numFmtId="0" fontId="0" fillId="0" borderId="1" xfId="0" applyBorder="1" applyAlignment="1">
      <alignment horizontal="left"/>
    </xf>
    <xf numFmtId="0" fontId="0" fillId="0" borderId="27" xfId="0" applyBorder="1" applyAlignment="1">
      <alignment horizontal="left"/>
    </xf>
    <xf numFmtId="0" fontId="33" fillId="0" borderId="103" xfId="2" applyBorder="1" applyAlignment="1" applyProtection="1">
      <alignment horizontal="center" vertical="center"/>
      <protection locked="0"/>
    </xf>
    <xf numFmtId="0" fontId="33" fillId="0" borderId="44" xfId="2" applyBorder="1" applyAlignment="1" applyProtection="1">
      <alignment horizontal="center" vertical="center"/>
      <protection locked="0"/>
    </xf>
    <xf numFmtId="0" fontId="33" fillId="0" borderId="104" xfId="2" applyBorder="1" applyAlignment="1" applyProtection="1">
      <alignment horizontal="center" vertical="center"/>
      <protection locked="0"/>
    </xf>
    <xf numFmtId="0" fontId="33" fillId="0" borderId="53" xfId="2" applyBorder="1" applyAlignment="1" applyProtection="1">
      <alignment horizontal="center" vertical="center"/>
      <protection locked="0"/>
    </xf>
    <xf numFmtId="0" fontId="33" fillId="0" borderId="105" xfId="2" applyBorder="1" applyAlignment="1" applyProtection="1">
      <alignment horizontal="center" vertical="center"/>
      <protection locked="0"/>
    </xf>
    <xf numFmtId="0" fontId="33" fillId="0" borderId="75" xfId="2" applyBorder="1" applyAlignment="1" applyProtection="1">
      <alignment horizontal="center" vertical="center"/>
      <protection locked="0"/>
    </xf>
    <xf numFmtId="0" fontId="33" fillId="0" borderId="24" xfId="2" applyBorder="1" applyAlignment="1" applyProtection="1">
      <alignment horizontal="center" vertical="center"/>
      <protection locked="0"/>
    </xf>
    <xf numFmtId="0" fontId="33" fillId="0" borderId="0" xfId="2" applyBorder="1" applyAlignment="1" applyProtection="1">
      <alignment horizontal="center" vertical="center"/>
      <protection locked="0"/>
    </xf>
    <xf numFmtId="0" fontId="33" fillId="0" borderId="25" xfId="2" applyBorder="1" applyAlignment="1" applyProtection="1">
      <alignment horizontal="center" vertical="center"/>
      <protection locked="0"/>
    </xf>
    <xf numFmtId="0" fontId="0" fillId="0" borderId="48" xfId="0" applyBorder="1" applyAlignment="1">
      <alignment horizontal="center"/>
    </xf>
    <xf numFmtId="0" fontId="0" fillId="0" borderId="25" xfId="0" applyBorder="1" applyAlignment="1">
      <alignment horizontal="center"/>
    </xf>
    <xf numFmtId="0" fontId="21" fillId="0" borderId="0" xfId="0" applyFont="1" applyAlignment="1">
      <alignment horizontal="left"/>
    </xf>
    <xf numFmtId="0" fontId="32" fillId="0" borderId="23" xfId="0" applyFont="1" applyBorder="1" applyAlignment="1">
      <alignment horizontal="center" vertical="center" wrapText="1"/>
    </xf>
    <xf numFmtId="0" fontId="0" fillId="0" borderId="26" xfId="0" applyBorder="1" applyAlignment="1">
      <alignment horizontal="center" wrapText="1"/>
    </xf>
    <xf numFmtId="0" fontId="0" fillId="0" borderId="41" xfId="0" applyBorder="1" applyAlignment="1">
      <alignment horizontal="center" wrapText="1"/>
    </xf>
    <xf numFmtId="0" fontId="25" fillId="0" borderId="27" xfId="0" applyFont="1" applyBorder="1" applyAlignment="1">
      <alignment horizontal="left" vertical="center"/>
    </xf>
    <xf numFmtId="0" fontId="0" fillId="0" borderId="60" xfId="0" applyBorder="1" applyAlignment="1">
      <alignment vertical="center"/>
    </xf>
    <xf numFmtId="0" fontId="0" fillId="0" borderId="24" xfId="0" applyBorder="1" applyAlignment="1">
      <alignment vertical="center"/>
    </xf>
    <xf numFmtId="0" fontId="0" fillId="0" borderId="44" xfId="0" applyBorder="1" applyAlignment="1">
      <alignment vertical="center"/>
    </xf>
    <xf numFmtId="0" fontId="0" fillId="0" borderId="15" xfId="0" applyBorder="1" applyAlignment="1">
      <alignment vertical="center"/>
    </xf>
    <xf numFmtId="0" fontId="0" fillId="0" borderId="62" xfId="0" applyBorder="1" applyAlignment="1">
      <alignment vertical="center"/>
    </xf>
    <xf numFmtId="0" fontId="0" fillId="0" borderId="63" xfId="0" applyBorder="1" applyAlignment="1">
      <alignment vertical="center"/>
    </xf>
    <xf numFmtId="0" fontId="0" fillId="0" borderId="23" xfId="0" applyBorder="1" applyAlignment="1">
      <alignment vertical="center" wrapText="1"/>
    </xf>
    <xf numFmtId="0" fontId="25" fillId="0" borderId="2" xfId="0" applyFont="1" applyBorder="1" applyAlignment="1">
      <alignment vertical="center"/>
    </xf>
    <xf numFmtId="0" fontId="25" fillId="0" borderId="1" xfId="0" applyFont="1" applyBorder="1" applyAlignment="1">
      <alignment vertical="center"/>
    </xf>
    <xf numFmtId="0" fontId="25" fillId="0" borderId="27" xfId="0" applyFont="1" applyBorder="1" applyAlignment="1">
      <alignment vertical="center"/>
    </xf>
    <xf numFmtId="0" fontId="0" fillId="0" borderId="54" xfId="0" applyBorder="1"/>
    <xf numFmtId="0" fontId="7" fillId="0" borderId="0" xfId="0" applyFont="1" applyAlignment="1">
      <alignment horizontal="left"/>
    </xf>
    <xf numFmtId="0" fontId="0" fillId="0" borderId="24" xfId="0" applyBorder="1" applyAlignment="1">
      <alignment horizontal="left" vertical="center" wrapText="1"/>
    </xf>
    <xf numFmtId="0" fontId="0" fillId="0" borderId="55" xfId="0" applyBorder="1"/>
    <xf numFmtId="0" fontId="0" fillId="0" borderId="61" xfId="0" applyBorder="1"/>
    <xf numFmtId="0" fontId="0" fillId="0" borderId="56" xfId="0" applyBorder="1"/>
    <xf numFmtId="0" fontId="0" fillId="0" borderId="55" xfId="0" applyBorder="1" applyAlignment="1">
      <alignment horizontal="left"/>
    </xf>
    <xf numFmtId="0" fontId="0" fillId="0" borderId="61" xfId="0" applyBorder="1" applyAlignment="1">
      <alignment horizontal="left"/>
    </xf>
    <xf numFmtId="0" fontId="0" fillId="0" borderId="56" xfId="0" applyBorder="1" applyAlignment="1">
      <alignment horizontal="left"/>
    </xf>
    <xf numFmtId="0" fontId="0" fillId="0" borderId="25" xfId="0" applyBorder="1" applyAlignment="1">
      <alignment horizontal="left" vertical="center" wrapText="1"/>
    </xf>
    <xf numFmtId="0" fontId="0" fillId="0" borderId="57" xfId="0" applyBorder="1" applyAlignment="1">
      <alignment horizontal="left" vertical="center" wrapText="1"/>
    </xf>
    <xf numFmtId="0" fontId="0" fillId="0" borderId="66" xfId="0" applyBorder="1" applyAlignment="1">
      <alignment horizontal="left" vertical="center" wrapText="1"/>
    </xf>
    <xf numFmtId="0" fontId="0" fillId="0" borderId="56" xfId="0" applyBorder="1" applyProtection="1">
      <protection locked="0"/>
    </xf>
    <xf numFmtId="0" fontId="22" fillId="11" borderId="55" xfId="0" applyFont="1" applyFill="1" applyBorder="1" applyAlignment="1">
      <alignment horizontal="left" vertical="center"/>
    </xf>
    <xf numFmtId="0" fontId="22" fillId="11" borderId="61" xfId="0" applyFont="1" applyFill="1" applyBorder="1" applyAlignment="1">
      <alignment horizontal="left" vertical="center"/>
    </xf>
    <xf numFmtId="0" fontId="22" fillId="11" borderId="56" xfId="0" applyFont="1" applyFill="1" applyBorder="1" applyAlignment="1">
      <alignment horizontal="left" vertical="center"/>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57" xfId="0" applyBorder="1" applyAlignment="1">
      <alignment horizontal="left"/>
    </xf>
    <xf numFmtId="0" fontId="0" fillId="0" borderId="64" xfId="0" applyBorder="1" applyAlignment="1">
      <alignment horizontal="left"/>
    </xf>
    <xf numFmtId="0" fontId="0" fillId="0" borderId="65" xfId="0" applyBorder="1" applyAlignment="1">
      <alignment horizontal="left"/>
    </xf>
    <xf numFmtId="0" fontId="0" fillId="0" borderId="41" xfId="0" applyBorder="1" applyAlignment="1">
      <alignment horizontal="left" vertical="center" wrapText="1"/>
    </xf>
    <xf numFmtId="0" fontId="0" fillId="0" borderId="40" xfId="0" applyBorder="1" applyAlignment="1">
      <alignment horizontal="left" vertical="center"/>
    </xf>
    <xf numFmtId="0" fontId="5" fillId="11" borderId="61" xfId="0" applyFont="1" applyFill="1" applyBorder="1" applyAlignment="1">
      <alignment horizontal="left" vertical="center"/>
    </xf>
    <xf numFmtId="0" fontId="5" fillId="11" borderId="56" xfId="0" applyFont="1" applyFill="1" applyBorder="1" applyAlignment="1">
      <alignment horizontal="left" vertical="center"/>
    </xf>
    <xf numFmtId="0" fontId="0" fillId="0" borderId="4" xfId="0" applyBorder="1" applyAlignment="1">
      <alignment horizontal="left" vertical="center" wrapText="1"/>
    </xf>
    <xf numFmtId="0" fontId="0" fillId="0" borderId="45" xfId="0" applyBorder="1" applyAlignment="1">
      <alignment horizontal="left"/>
    </xf>
    <xf numFmtId="0" fontId="0" fillId="0" borderId="55" xfId="0" applyBorder="1" applyAlignment="1">
      <alignment horizontal="left" vertical="center" wrapText="1"/>
    </xf>
    <xf numFmtId="0" fontId="0" fillId="0" borderId="56" xfId="0" applyBorder="1" applyAlignment="1">
      <alignment horizontal="left" vertical="center" wrapText="1"/>
    </xf>
    <xf numFmtId="0" fontId="0" fillId="0" borderId="68" xfId="0" applyBorder="1" applyAlignment="1">
      <alignment horizontal="left"/>
    </xf>
    <xf numFmtId="0" fontId="0" fillId="0" borderId="58" xfId="0" applyBorder="1" applyAlignment="1">
      <alignment horizontal="left"/>
    </xf>
    <xf numFmtId="0" fontId="0" fillId="0" borderId="73" xfId="0" applyBorder="1" applyAlignment="1">
      <alignment horizontal="left"/>
    </xf>
    <xf numFmtId="0" fontId="0" fillId="0" borderId="74" xfId="0" applyBorder="1" applyAlignment="1">
      <alignment horizontal="left"/>
    </xf>
    <xf numFmtId="0" fontId="0" fillId="0" borderId="47" xfId="0" applyBorder="1" applyAlignment="1">
      <alignment horizontal="left"/>
    </xf>
    <xf numFmtId="0" fontId="0" fillId="0" borderId="43" xfId="0" applyBorder="1" applyAlignment="1">
      <alignment horizontal="left"/>
    </xf>
    <xf numFmtId="0" fontId="0" fillId="0" borderId="67" xfId="0" applyBorder="1" applyAlignment="1">
      <alignment horizontal="left"/>
    </xf>
    <xf numFmtId="0" fontId="0" fillId="0" borderId="0" xfId="0" applyAlignment="1">
      <alignment horizontal="left" wrapText="1"/>
    </xf>
    <xf numFmtId="0" fontId="0" fillId="0" borderId="62" xfId="0" applyBorder="1" applyAlignment="1">
      <alignment horizontal="left"/>
    </xf>
    <xf numFmtId="0" fontId="0" fillId="0" borderId="69" xfId="0" applyBorder="1" applyAlignment="1">
      <alignment horizontal="center"/>
    </xf>
    <xf numFmtId="0" fontId="0" fillId="0" borderId="70" xfId="0" applyBorder="1" applyAlignment="1">
      <alignment horizontal="center"/>
    </xf>
    <xf numFmtId="0" fontId="0" fillId="0" borderId="71" xfId="0" applyBorder="1" applyAlignment="1">
      <alignment horizontal="center" vertical="center"/>
    </xf>
    <xf numFmtId="0" fontId="0" fillId="0" borderId="72" xfId="0" applyBorder="1" applyAlignment="1">
      <alignment horizontal="center" vertical="center"/>
    </xf>
    <xf numFmtId="0" fontId="0" fillId="0" borderId="0" xfId="0"/>
    <xf numFmtId="0" fontId="4" fillId="0" borderId="15"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0" fillId="0" borderId="26" xfId="0" applyBorder="1" applyAlignment="1">
      <alignment horizontal="left" vertical="center"/>
    </xf>
    <xf numFmtId="0" fontId="0" fillId="0" borderId="41" xfId="0" applyBorder="1" applyAlignment="1">
      <alignment horizontal="left" vertical="center"/>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0" fillId="0" borderId="55" xfId="0" applyBorder="1" applyAlignment="1">
      <alignment horizontal="center" vertical="center" wrapText="1"/>
    </xf>
    <xf numFmtId="0" fontId="0" fillId="0" borderId="61" xfId="0" applyBorder="1" applyAlignment="1">
      <alignment horizontal="center"/>
    </xf>
    <xf numFmtId="0" fontId="6" fillId="11" borderId="55" xfId="0" applyFont="1" applyFill="1" applyBorder="1" applyAlignment="1">
      <alignment horizontal="left" vertical="top"/>
    </xf>
    <xf numFmtId="0" fontId="6" fillId="11" borderId="61" xfId="0" applyFont="1" applyFill="1" applyBorder="1" applyAlignment="1">
      <alignment horizontal="left" vertical="top"/>
    </xf>
    <xf numFmtId="0" fontId="6" fillId="11" borderId="56" xfId="0" applyFont="1" applyFill="1" applyBorder="1" applyAlignment="1">
      <alignment horizontal="left" vertical="top"/>
    </xf>
    <xf numFmtId="0" fontId="0" fillId="0" borderId="55" xfId="0" applyBorder="1" applyAlignment="1">
      <alignment horizontal="center" vertical="center"/>
    </xf>
    <xf numFmtId="0" fontId="0" fillId="0" borderId="23" xfId="0" applyBorder="1" applyAlignment="1">
      <alignment horizontal="center"/>
    </xf>
    <xf numFmtId="0" fontId="0" fillId="0" borderId="60" xfId="0" applyBorder="1" applyAlignment="1">
      <alignment horizontal="left" vertical="center" wrapText="1"/>
    </xf>
    <xf numFmtId="0" fontId="0" fillId="0" borderId="24" xfId="0" applyBorder="1" applyAlignment="1">
      <alignment horizontal="left" vertical="center"/>
    </xf>
    <xf numFmtId="0" fontId="0" fillId="0" borderId="48" xfId="0" applyBorder="1" applyAlignment="1">
      <alignment horizontal="left" vertical="center"/>
    </xf>
    <xf numFmtId="0" fontId="0" fillId="0" borderId="25" xfId="0" applyBorder="1" applyAlignment="1">
      <alignment horizontal="left" vertical="center"/>
    </xf>
    <xf numFmtId="0" fontId="6" fillId="11" borderId="13" xfId="0" applyFont="1" applyFill="1" applyBorder="1" applyAlignment="1">
      <alignment horizontal="right" vertical="center"/>
    </xf>
    <xf numFmtId="0" fontId="4" fillId="0" borderId="44" xfId="0" applyFont="1" applyBorder="1" applyAlignment="1">
      <alignment horizontal="center" vertical="center"/>
    </xf>
    <xf numFmtId="0" fontId="4" fillId="0" borderId="53" xfId="0" applyFont="1" applyBorder="1" applyAlignment="1">
      <alignment horizontal="center" vertical="center"/>
    </xf>
    <xf numFmtId="0" fontId="4" fillId="0" borderId="23" xfId="0" applyFont="1" applyBorder="1" applyAlignment="1">
      <alignment vertical="center" wrapText="1"/>
    </xf>
    <xf numFmtId="0" fontId="0" fillId="0" borderId="34" xfId="0" applyBorder="1" applyAlignment="1">
      <alignment horizontal="left" vertical="center"/>
    </xf>
    <xf numFmtId="0" fontId="0" fillId="0" borderId="60" xfId="0" applyBorder="1" applyAlignment="1">
      <alignment horizontal="left" vertical="center"/>
    </xf>
    <xf numFmtId="0" fontId="0" fillId="0" borderId="46" xfId="0" applyBorder="1" applyAlignment="1">
      <alignment horizontal="left" vertical="center"/>
    </xf>
    <xf numFmtId="0" fontId="0" fillId="0" borderId="0" xfId="0" applyAlignment="1">
      <alignment horizontal="left" vertical="center"/>
    </xf>
    <xf numFmtId="0" fontId="4" fillId="0" borderId="60"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46" xfId="0" applyFont="1" applyBorder="1" applyAlignment="1">
      <alignment horizontal="center" vertical="center" wrapText="1"/>
    </xf>
    <xf numFmtId="0" fontId="4" fillId="0" borderId="0" xfId="0" applyFont="1" applyAlignment="1">
      <alignment horizontal="center" vertical="center" wrapText="1"/>
    </xf>
    <xf numFmtId="0" fontId="4" fillId="0" borderId="75" xfId="0" applyFont="1" applyBorder="1" applyAlignment="1">
      <alignment horizontal="center" vertical="center" wrapText="1"/>
    </xf>
    <xf numFmtId="0" fontId="1" fillId="0" borderId="2" xfId="0" applyFont="1" applyBorder="1" applyAlignment="1">
      <alignment horizontal="left"/>
    </xf>
    <xf numFmtId="0" fontId="1" fillId="0" borderId="45" xfId="0" applyFont="1" applyBorder="1" applyAlignment="1">
      <alignment horizontal="left"/>
    </xf>
    <xf numFmtId="0" fontId="0" fillId="0" borderId="60" xfId="0" applyBorder="1" applyAlignment="1">
      <alignment horizontal="left" vertical="top" wrapText="1"/>
    </xf>
    <xf numFmtId="0" fontId="0" fillId="0" borderId="24" xfId="0" applyBorder="1" applyAlignment="1">
      <alignment horizontal="left" vertical="top" wrapText="1"/>
    </xf>
    <xf numFmtId="0" fontId="0" fillId="0" borderId="44" xfId="0" applyBorder="1" applyAlignment="1">
      <alignment horizontal="left" vertical="top" wrapText="1"/>
    </xf>
    <xf numFmtId="0" fontId="0" fillId="0" borderId="48" xfId="0" applyBorder="1" applyAlignment="1">
      <alignment horizontal="left" vertical="top" wrapText="1"/>
    </xf>
    <xf numFmtId="0" fontId="0" fillId="0" borderId="25" xfId="0" applyBorder="1" applyAlignment="1">
      <alignment horizontal="left" vertical="top" wrapText="1"/>
    </xf>
    <xf numFmtId="0" fontId="0" fillId="0" borderId="53" xfId="0" applyBorder="1" applyAlignment="1">
      <alignment horizontal="left" vertical="top" wrapText="1"/>
    </xf>
    <xf numFmtId="0" fontId="0" fillId="0" borderId="44" xfId="0" applyBorder="1" applyAlignment="1">
      <alignment horizontal="left" vertical="center" wrapText="1"/>
    </xf>
    <xf numFmtId="0" fontId="0" fillId="0" borderId="48" xfId="0" applyBorder="1" applyAlignment="1">
      <alignment horizontal="left" vertical="center" wrapText="1"/>
    </xf>
    <xf numFmtId="0" fontId="0" fillId="0" borderId="53" xfId="0" applyBorder="1" applyAlignment="1">
      <alignment horizontal="left" vertical="center" wrapText="1"/>
    </xf>
    <xf numFmtId="0" fontId="0" fillId="0" borderId="51" xfId="0" applyBorder="1" applyAlignment="1">
      <alignment horizontal="left" vertical="center" wrapText="1"/>
    </xf>
    <xf numFmtId="0" fontId="0" fillId="0" borderId="18" xfId="0" applyBorder="1" applyAlignment="1">
      <alignment horizontal="left" vertical="center" wrapText="1"/>
    </xf>
    <xf numFmtId="0" fontId="5" fillId="0" borderId="0" xfId="0" applyFont="1" applyAlignment="1">
      <alignment horizontal="left" wrapText="1"/>
    </xf>
    <xf numFmtId="0" fontId="0" fillId="0" borderId="0" xfId="0" applyAlignment="1">
      <alignment horizontal="left" vertical="top" wrapText="1"/>
    </xf>
    <xf numFmtId="0" fontId="0" fillId="0" borderId="44" xfId="0" applyBorder="1" applyAlignment="1">
      <alignment horizontal="left" vertical="center"/>
    </xf>
    <xf numFmtId="0" fontId="0" fillId="0" borderId="53" xfId="0" applyBorder="1" applyAlignment="1">
      <alignment horizontal="left" vertical="center"/>
    </xf>
    <xf numFmtId="0" fontId="0" fillId="0" borderId="6" xfId="0" applyBorder="1" applyAlignment="1">
      <alignment horizontal="left" vertical="center" shrinkToFit="1"/>
    </xf>
    <xf numFmtId="0" fontId="0" fillId="0" borderId="40" xfId="0" applyBorder="1" applyAlignment="1">
      <alignment horizontal="left" vertical="center" shrinkToFit="1"/>
    </xf>
    <xf numFmtId="0" fontId="0" fillId="0" borderId="15" xfId="0" applyBorder="1" applyAlignment="1">
      <alignment horizontal="left" vertical="center" shrinkToFit="1"/>
    </xf>
    <xf numFmtId="0" fontId="0" fillId="0" borderId="2" xfId="0" applyBorder="1" applyAlignment="1">
      <alignment horizontal="left" vertical="top"/>
    </xf>
    <xf numFmtId="0" fontId="0" fillId="0" borderId="1" xfId="0" applyBorder="1" applyAlignment="1">
      <alignment horizontal="left" vertical="top"/>
    </xf>
    <xf numFmtId="0" fontId="0" fillId="0" borderId="27" xfId="0" applyBorder="1" applyAlignment="1">
      <alignment horizontal="left" vertical="top"/>
    </xf>
    <xf numFmtId="0" fontId="0" fillId="0" borderId="0" xfId="0" applyAlignment="1">
      <alignment vertical="top" wrapText="1"/>
    </xf>
    <xf numFmtId="0" fontId="0" fillId="0" borderId="61" xfId="0" applyBorder="1" applyAlignment="1">
      <alignment horizontal="left" vertical="center" wrapText="1"/>
    </xf>
    <xf numFmtId="0" fontId="0" fillId="0" borderId="43" xfId="0" applyBorder="1" applyAlignment="1">
      <alignment horizontal="center" vertical="center"/>
    </xf>
    <xf numFmtId="0" fontId="0" fillId="0" borderId="32" xfId="0" applyBorder="1" applyAlignment="1">
      <alignment horizontal="center" vertical="center"/>
    </xf>
    <xf numFmtId="0" fontId="0" fillId="0" borderId="67" xfId="0" applyBorder="1" applyAlignment="1">
      <alignment horizontal="center" vertical="center"/>
    </xf>
    <xf numFmtId="0" fontId="0" fillId="0" borderId="9" xfId="0" applyBorder="1" applyAlignment="1">
      <alignment horizontal="center" vertical="center" wrapText="1"/>
    </xf>
    <xf numFmtId="0" fontId="0" fillId="0" borderId="36" xfId="0" applyBorder="1"/>
    <xf numFmtId="0" fontId="0" fillId="0" borderId="39" xfId="0" applyBorder="1"/>
    <xf numFmtId="0" fontId="0" fillId="0" borderId="26" xfId="0" applyBorder="1" applyAlignment="1">
      <alignment horizontal="center" vertical="center" wrapText="1"/>
    </xf>
    <xf numFmtId="0" fontId="0" fillId="0" borderId="34" xfId="0" applyBorder="1"/>
    <xf numFmtId="0" fontId="0" fillId="0" borderId="37" xfId="0" applyBorder="1"/>
    <xf numFmtId="0" fontId="0" fillId="0" borderId="33" xfId="0" applyBorder="1" applyAlignment="1">
      <alignment horizontal="center" vertical="center" wrapText="1"/>
    </xf>
    <xf numFmtId="0" fontId="0" fillId="0" borderId="35" xfId="0" applyBorder="1"/>
    <xf numFmtId="0" fontId="0" fillId="0" borderId="38" xfId="0" applyBorder="1"/>
    <xf numFmtId="0" fontId="17" fillId="0" borderId="9"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39" xfId="0" applyFont="1" applyBorder="1" applyAlignment="1">
      <alignment horizontal="center" vertical="center" wrapText="1"/>
    </xf>
    <xf numFmtId="0" fontId="17" fillId="0" borderId="26" xfId="0" applyFont="1" applyBorder="1" applyAlignment="1">
      <alignment horizontal="center" vertical="center" wrapText="1"/>
    </xf>
    <xf numFmtId="0" fontId="17" fillId="0" borderId="34" xfId="0" applyFont="1" applyBorder="1" applyAlignment="1">
      <alignment horizontal="center" vertical="center" wrapText="1"/>
    </xf>
    <xf numFmtId="0" fontId="17" fillId="0" borderId="37" xfId="0" applyFont="1" applyBorder="1" applyAlignment="1">
      <alignment horizontal="center" vertical="center" wrapText="1"/>
    </xf>
    <xf numFmtId="0" fontId="0" fillId="0" borderId="43" xfId="0" applyBorder="1" applyAlignment="1">
      <alignment horizontal="center" vertical="center" wrapText="1"/>
    </xf>
    <xf numFmtId="0" fontId="0" fillId="0" borderId="32" xfId="0" applyBorder="1" applyAlignment="1">
      <alignment horizontal="center" vertical="center" wrapText="1"/>
    </xf>
    <xf numFmtId="0" fontId="0" fillId="0" borderId="67" xfId="0" applyBorder="1" applyAlignment="1">
      <alignment horizontal="center" vertical="center" wrapText="1"/>
    </xf>
    <xf numFmtId="0" fontId="0" fillId="0" borderId="51" xfId="0" applyBorder="1" applyAlignment="1">
      <alignment horizontal="center" vertical="center" wrapText="1"/>
    </xf>
    <xf numFmtId="0" fontId="0" fillId="0" borderId="76" xfId="0" applyBorder="1" applyAlignment="1">
      <alignment horizontal="center" vertical="center" wrapText="1"/>
    </xf>
    <xf numFmtId="0" fontId="0" fillId="0" borderId="52" xfId="0" applyBorder="1" applyAlignment="1">
      <alignment horizontal="center" vertical="center" wrapText="1"/>
    </xf>
    <xf numFmtId="0" fontId="0" fillId="0" borderId="0" xfId="0" applyAlignment="1">
      <alignment horizontal="center" wrapText="1"/>
    </xf>
    <xf numFmtId="0" fontId="7" fillId="0" borderId="0" xfId="0" applyFont="1" applyAlignment="1">
      <alignment horizontal="left" wrapText="1"/>
    </xf>
    <xf numFmtId="0" fontId="0" fillId="0" borderId="57" xfId="0" applyBorder="1" applyAlignment="1">
      <alignment horizontal="center" vertical="center" wrapText="1"/>
    </xf>
    <xf numFmtId="0" fontId="0" fillId="0" borderId="64" xfId="0" applyBorder="1" applyAlignment="1">
      <alignment horizontal="center" vertical="center" wrapText="1"/>
    </xf>
    <xf numFmtId="0" fontId="0" fillId="0" borderId="66" xfId="0" applyBorder="1" applyAlignment="1">
      <alignment horizontal="center" vertical="center" wrapText="1"/>
    </xf>
    <xf numFmtId="0" fontId="0" fillId="0" borderId="85" xfId="0" applyBorder="1" applyAlignment="1">
      <alignment horizontal="left"/>
    </xf>
    <xf numFmtId="0" fontId="0" fillId="0" borderId="86" xfId="0" applyBorder="1" applyAlignment="1">
      <alignment horizontal="left"/>
    </xf>
    <xf numFmtId="0" fontId="0" fillId="0" borderId="87" xfId="0" applyBorder="1" applyAlignment="1">
      <alignment horizontal="left"/>
    </xf>
    <xf numFmtId="0" fontId="17" fillId="0" borderId="60" xfId="0" applyFont="1" applyBorder="1" applyAlignment="1">
      <alignment horizontal="center" vertical="center" wrapText="1"/>
    </xf>
    <xf numFmtId="0" fontId="17" fillId="0" borderId="46" xfId="0" applyFont="1" applyBorder="1" applyAlignment="1">
      <alignment horizontal="center" vertical="center" wrapText="1"/>
    </xf>
    <xf numFmtId="0" fontId="17" fillId="0" borderId="102" xfId="0" applyFont="1" applyBorder="1" applyAlignment="1">
      <alignment horizontal="center" vertical="center" wrapText="1"/>
    </xf>
    <xf numFmtId="0" fontId="0" fillId="0" borderId="92" xfId="0" applyBorder="1" applyAlignment="1">
      <alignment horizontal="left"/>
    </xf>
    <xf numFmtId="0" fontId="0" fillId="0" borderId="93" xfId="0" applyBorder="1" applyAlignment="1">
      <alignment horizontal="left"/>
    </xf>
    <xf numFmtId="0" fontId="0" fillId="0" borderId="94" xfId="0" applyBorder="1"/>
    <xf numFmtId="0" fontId="0" fillId="0" borderId="95" xfId="0" applyBorder="1"/>
    <xf numFmtId="0" fontId="0" fillId="0" borderId="88" xfId="0" applyBorder="1"/>
    <xf numFmtId="0" fontId="0" fillId="0" borderId="89" xfId="0" applyBorder="1"/>
    <xf numFmtId="0" fontId="0" fillId="0" borderId="90" xfId="0" applyBorder="1" applyAlignment="1">
      <alignment horizontal="left" wrapText="1"/>
    </xf>
    <xf numFmtId="0" fontId="0" fillId="0" borderId="91" xfId="0" applyBorder="1" applyAlignment="1">
      <alignment horizontal="left" wrapText="1"/>
    </xf>
    <xf numFmtId="0" fontId="0" fillId="0" borderId="78" xfId="0" applyBorder="1" applyAlignment="1">
      <alignment horizontal="left"/>
    </xf>
    <xf numFmtId="0" fontId="0" fillId="0" borderId="12" xfId="0" applyBorder="1" applyAlignment="1">
      <alignment horizontal="left"/>
    </xf>
    <xf numFmtId="0" fontId="0" fillId="0" borderId="77" xfId="0" applyBorder="1" applyAlignment="1">
      <alignment horizontal="left"/>
    </xf>
    <xf numFmtId="0" fontId="0" fillId="0" borderId="10" xfId="0" applyBorder="1" applyAlignment="1">
      <alignment horizontal="left" vertical="center" wrapText="1" shrinkToFit="1"/>
    </xf>
    <xf numFmtId="0" fontId="0" fillId="0" borderId="45" xfId="0" applyBorder="1" applyAlignment="1">
      <alignment horizontal="left" vertical="center" wrapText="1" shrinkToFit="1"/>
    </xf>
    <xf numFmtId="0" fontId="0" fillId="0" borderId="68" xfId="0" applyBorder="1" applyAlignment="1">
      <alignment horizontal="center" vertical="center"/>
    </xf>
    <xf numFmtId="0" fontId="0" fillId="0" borderId="62" xfId="0" applyBorder="1" applyAlignment="1">
      <alignment horizontal="center" vertical="center"/>
    </xf>
    <xf numFmtId="0" fontId="0" fillId="0" borderId="32" xfId="0" applyBorder="1" applyAlignment="1">
      <alignment horizontal="left"/>
    </xf>
    <xf numFmtId="0" fontId="0" fillId="0" borderId="79" xfId="0" applyBorder="1" applyAlignment="1">
      <alignment horizontal="left" vertical="center" wrapText="1"/>
    </xf>
    <xf numFmtId="0" fontId="0" fillId="0" borderId="0" xfId="0" applyAlignment="1">
      <alignment wrapText="1"/>
    </xf>
    <xf numFmtId="0" fontId="1" fillId="0" borderId="1" xfId="0" applyFont="1" applyBorder="1" applyAlignment="1">
      <alignment horizontal="left"/>
    </xf>
    <xf numFmtId="0" fontId="22" fillId="11" borderId="57" xfId="0" applyFont="1" applyFill="1" applyBorder="1" applyAlignment="1">
      <alignment horizontal="center" vertical="center"/>
    </xf>
    <xf numFmtId="0" fontId="22" fillId="11" borderId="64" xfId="0" applyFont="1" applyFill="1" applyBorder="1" applyAlignment="1">
      <alignment horizontal="center" vertical="center"/>
    </xf>
    <xf numFmtId="0" fontId="22" fillId="11" borderId="65" xfId="0" applyFont="1" applyFill="1" applyBorder="1" applyAlignment="1">
      <alignment horizontal="center" vertical="center"/>
    </xf>
    <xf numFmtId="0" fontId="22" fillId="11" borderId="39" xfId="0" applyFont="1" applyFill="1" applyBorder="1" applyAlignment="1">
      <alignment horizontal="center" vertical="center"/>
    </xf>
    <xf numFmtId="0" fontId="22" fillId="11" borderId="37" xfId="0" applyFont="1" applyFill="1" applyBorder="1" applyAlignment="1">
      <alignment horizontal="center" vertical="center"/>
    </xf>
    <xf numFmtId="0" fontId="22" fillId="11" borderId="38" xfId="0" applyFont="1" applyFill="1" applyBorder="1" applyAlignment="1">
      <alignment horizontal="center" vertical="center"/>
    </xf>
    <xf numFmtId="0" fontId="0" fillId="0" borderId="26" xfId="0" applyBorder="1" applyAlignment="1">
      <alignment horizontal="left" vertical="center" wrapText="1"/>
    </xf>
    <xf numFmtId="0" fontId="22" fillId="11" borderId="51" xfId="0" applyFont="1" applyFill="1" applyBorder="1" applyAlignment="1">
      <alignment horizontal="center" vertical="center"/>
    </xf>
    <xf numFmtId="0" fontId="22" fillId="11" borderId="76" xfId="0" applyFont="1" applyFill="1" applyBorder="1" applyAlignment="1">
      <alignment horizontal="center" vertical="center"/>
    </xf>
    <xf numFmtId="0" fontId="0" fillId="0" borderId="11" xfId="0" applyBorder="1" applyAlignment="1">
      <alignment horizontal="center"/>
    </xf>
    <xf numFmtId="0" fontId="0" fillId="0" borderId="24" xfId="0" applyBorder="1" applyAlignment="1">
      <alignment horizontal="center"/>
    </xf>
    <xf numFmtId="0" fontId="0" fillId="0" borderId="44" xfId="0" applyBorder="1" applyAlignment="1">
      <alignment horizontal="center"/>
    </xf>
    <xf numFmtId="0" fontId="0" fillId="0" borderId="3" xfId="0" applyBorder="1" applyAlignment="1">
      <alignment horizontal="center"/>
    </xf>
    <xf numFmtId="0" fontId="0" fillId="0" borderId="53" xfId="0" applyBorder="1" applyAlignment="1">
      <alignment horizontal="center"/>
    </xf>
    <xf numFmtId="0" fontId="0" fillId="0" borderId="34" xfId="0" applyBorder="1" applyAlignment="1">
      <alignment horizontal="left" vertical="center" wrapText="1"/>
    </xf>
    <xf numFmtId="0" fontId="22" fillId="11" borderId="13" xfId="0" applyFont="1" applyFill="1" applyBorder="1" applyAlignment="1">
      <alignment horizontal="center" vertical="center" wrapText="1"/>
    </xf>
    <xf numFmtId="0" fontId="5" fillId="6" borderId="48" xfId="0" applyFont="1" applyFill="1" applyBorder="1" applyAlignment="1">
      <alignment horizontal="center" vertical="center" wrapText="1"/>
    </xf>
    <xf numFmtId="0" fontId="5" fillId="6" borderId="53" xfId="0" applyFont="1" applyFill="1" applyBorder="1" applyAlignment="1">
      <alignment horizontal="center" vertical="center" wrapText="1"/>
    </xf>
    <xf numFmtId="0" fontId="0" fillId="0" borderId="75" xfId="0" applyBorder="1" applyAlignment="1">
      <alignment horizontal="left" vertical="center"/>
    </xf>
    <xf numFmtId="0" fontId="0" fillId="0" borderId="60" xfId="0" applyBorder="1" applyAlignment="1">
      <alignment horizontal="center"/>
    </xf>
    <xf numFmtId="0" fontId="0" fillId="0" borderId="46" xfId="0" applyBorder="1" applyAlignment="1">
      <alignment horizontal="center"/>
    </xf>
    <xf numFmtId="0" fontId="0" fillId="0" borderId="0" xfId="0" applyAlignment="1">
      <alignment horizontal="center"/>
    </xf>
    <xf numFmtId="0" fontId="0" fillId="0" borderId="75" xfId="0" applyBorder="1" applyAlignment="1">
      <alignment horizontal="center"/>
    </xf>
    <xf numFmtId="0" fontId="0" fillId="0" borderId="45" xfId="0" applyBorder="1" applyAlignment="1">
      <alignment horizontal="left" vertical="center" wrapText="1"/>
    </xf>
    <xf numFmtId="0" fontId="22" fillId="11" borderId="55" xfId="0" applyFont="1" applyFill="1" applyBorder="1" applyAlignment="1">
      <alignment horizontal="center" vertical="center"/>
    </xf>
    <xf numFmtId="0" fontId="22" fillId="11" borderId="61" xfId="0" applyFont="1" applyFill="1" applyBorder="1" applyAlignment="1">
      <alignment horizontal="center" vertical="center"/>
    </xf>
    <xf numFmtId="0" fontId="22" fillId="11" borderId="56" xfId="0" applyFont="1" applyFill="1" applyBorder="1" applyAlignment="1">
      <alignment horizontal="center" vertical="center"/>
    </xf>
    <xf numFmtId="0" fontId="22" fillId="11" borderId="13" xfId="0" applyFont="1" applyFill="1" applyBorder="1" applyAlignment="1">
      <alignment horizontal="center" vertical="center"/>
    </xf>
    <xf numFmtId="0" fontId="0" fillId="0" borderId="29" xfId="0" applyBorder="1" applyAlignment="1">
      <alignment horizontal="left" vertical="top" wrapText="1"/>
    </xf>
    <xf numFmtId="0" fontId="0" fillId="0" borderId="56" xfId="0" applyBorder="1" applyAlignment="1">
      <alignment horizontal="center" vertical="center" wrapText="1"/>
    </xf>
    <xf numFmtId="0" fontId="9" fillId="11" borderId="55" xfId="0" applyFont="1" applyFill="1" applyBorder="1" applyAlignment="1">
      <alignment horizontal="left" vertical="top" wrapText="1"/>
    </xf>
    <xf numFmtId="0" fontId="9" fillId="11" borderId="61" xfId="0" applyFont="1" applyFill="1" applyBorder="1" applyAlignment="1">
      <alignment horizontal="left" vertical="top" wrapText="1"/>
    </xf>
    <xf numFmtId="0" fontId="9" fillId="11" borderId="56" xfId="0" applyFont="1" applyFill="1" applyBorder="1" applyAlignment="1">
      <alignment horizontal="left" vertical="top" wrapText="1"/>
    </xf>
    <xf numFmtId="0" fontId="0" fillId="0" borderId="61" xfId="0" applyBorder="1" applyAlignment="1">
      <alignment horizontal="center" vertical="center"/>
    </xf>
    <xf numFmtId="0" fontId="6" fillId="11" borderId="55" xfId="0" applyFont="1" applyFill="1" applyBorder="1" applyAlignment="1">
      <alignment horizontal="left" vertical="center"/>
    </xf>
    <xf numFmtId="0" fontId="6" fillId="11" borderId="61" xfId="0" applyFont="1" applyFill="1" applyBorder="1" applyAlignment="1">
      <alignment horizontal="left" vertical="center"/>
    </xf>
    <xf numFmtId="0" fontId="6" fillId="11" borderId="56" xfId="0" applyFont="1" applyFill="1" applyBorder="1" applyAlignment="1">
      <alignment horizontal="left" vertical="center"/>
    </xf>
    <xf numFmtId="0" fontId="25" fillId="0" borderId="30" xfId="0" applyFont="1" applyBorder="1" applyAlignment="1">
      <alignment horizontal="center" vertical="center"/>
    </xf>
  </cellXfs>
  <cellStyles count="4">
    <cellStyle name="パーセント" xfId="3" builtinId="5"/>
    <cellStyle name="ハイパーリンク" xfId="2" builtinId="8"/>
    <cellStyle name="桁区切り" xfId="1" builtinId="6"/>
    <cellStyle name="標準" xfId="0" builtinId="0"/>
  </cellStyles>
  <dxfs count="1365">
    <dxf>
      <numFmt numFmtId="0" formatCode="General"/>
    </dxf>
    <dxf>
      <font>
        <u/>
      </font>
      <numFmt numFmtId="194" formatCode="0_ "/>
      <fill>
        <patternFill>
          <bgColor rgb="FFFFFF00"/>
        </patternFill>
      </fill>
    </dxf>
    <dxf>
      <font>
        <u/>
      </font>
      <numFmt numFmtId="176" formatCode="0.0_ "/>
      <fill>
        <patternFill>
          <bgColor rgb="FFFFFF00"/>
        </patternFill>
      </fill>
    </dxf>
    <dxf>
      <font>
        <u/>
      </font>
      <numFmt numFmtId="177" formatCode="0.00_ "/>
      <fill>
        <patternFill>
          <bgColor rgb="FFFFFF00"/>
        </patternFill>
      </fill>
    </dxf>
    <dxf>
      <font>
        <u/>
      </font>
      <numFmt numFmtId="178" formatCode="0.000_ "/>
      <fill>
        <patternFill>
          <bgColor rgb="FFFFFF00"/>
        </patternFill>
      </fill>
    </dxf>
    <dxf>
      <font>
        <u/>
      </font>
      <numFmt numFmtId="180" formatCode="0.0000_ "/>
      <fill>
        <patternFill>
          <bgColor rgb="FFFFFF00"/>
        </patternFill>
      </fill>
    </dxf>
    <dxf>
      <font>
        <u/>
      </font>
      <numFmt numFmtId="195" formatCode="0.00000_ "/>
      <fill>
        <patternFill>
          <bgColor rgb="FFFFFF00"/>
        </patternFill>
      </fill>
    </dxf>
    <dxf>
      <font>
        <u/>
      </font>
      <numFmt numFmtId="196" formatCode="0.000000_ "/>
      <fill>
        <patternFill>
          <bgColor rgb="FFFFFF00"/>
        </patternFill>
      </fill>
    </dxf>
    <dxf>
      <font>
        <u/>
      </font>
      <numFmt numFmtId="197" formatCode="0.0000000_ "/>
      <fill>
        <patternFill>
          <bgColor rgb="FFFFFF00"/>
        </patternFill>
      </fill>
    </dxf>
    <dxf>
      <font>
        <u/>
      </font>
      <numFmt numFmtId="198" formatCode="0.00000000_ "/>
      <fill>
        <patternFill>
          <bgColor rgb="FFFFFF00"/>
        </patternFill>
      </fill>
    </dxf>
    <dxf>
      <font>
        <u/>
        <color auto="1"/>
      </font>
      <numFmt numFmtId="0" formatCode="General"/>
      <fill>
        <patternFill>
          <bgColor rgb="FFFFFF00"/>
        </patternFill>
      </fill>
    </dxf>
    <dxf>
      <numFmt numFmtId="194" formatCode="0_ "/>
    </dxf>
    <dxf>
      <numFmt numFmtId="176" formatCode="0.0_ "/>
    </dxf>
    <dxf>
      <numFmt numFmtId="177" formatCode="0.00_ "/>
    </dxf>
    <dxf>
      <numFmt numFmtId="178" formatCode="0.000_ "/>
    </dxf>
    <dxf>
      <numFmt numFmtId="180" formatCode="0.0000_ "/>
    </dxf>
    <dxf>
      <numFmt numFmtId="195" formatCode="0.00000_ "/>
    </dxf>
    <dxf>
      <numFmt numFmtId="196" formatCode="0.000000_ "/>
    </dxf>
    <dxf>
      <numFmt numFmtId="197" formatCode="0.0000000_ "/>
    </dxf>
    <dxf>
      <numFmt numFmtId="198" formatCode="0.00000000_ "/>
    </dxf>
    <dxf>
      <font>
        <u/>
      </font>
      <numFmt numFmtId="197" formatCode="0.0000000_ "/>
      <fill>
        <patternFill>
          <bgColor rgb="FFFFFF00"/>
        </patternFill>
      </fill>
    </dxf>
    <dxf>
      <font>
        <u/>
      </font>
      <numFmt numFmtId="196" formatCode="0.000000_ "/>
      <fill>
        <patternFill>
          <bgColor rgb="FFFFFF00"/>
        </patternFill>
      </fill>
    </dxf>
    <dxf>
      <font>
        <u/>
      </font>
      <numFmt numFmtId="195" formatCode="0.00000_ "/>
      <fill>
        <patternFill>
          <bgColor rgb="FFFFFF00"/>
        </patternFill>
      </fill>
    </dxf>
    <dxf>
      <font>
        <u/>
      </font>
      <numFmt numFmtId="180" formatCode="0.0000_ "/>
      <fill>
        <patternFill>
          <bgColor rgb="FFFFFF00"/>
        </patternFill>
      </fill>
    </dxf>
    <dxf>
      <font>
        <u/>
      </font>
      <numFmt numFmtId="178" formatCode="0.000_ "/>
      <fill>
        <patternFill>
          <bgColor rgb="FFFFFF00"/>
        </patternFill>
      </fill>
    </dxf>
    <dxf>
      <font>
        <u/>
      </font>
      <numFmt numFmtId="177" formatCode="0.00_ "/>
      <fill>
        <patternFill>
          <bgColor rgb="FFFFFF00"/>
        </patternFill>
      </fill>
    </dxf>
    <dxf>
      <font>
        <u/>
      </font>
      <numFmt numFmtId="176" formatCode="0.0_ "/>
      <fill>
        <patternFill>
          <bgColor rgb="FFFFFF00"/>
        </patternFill>
      </fill>
    </dxf>
    <dxf>
      <font>
        <u/>
      </font>
      <numFmt numFmtId="194" formatCode="0_ "/>
      <fill>
        <patternFill>
          <bgColor rgb="FFFFFF00"/>
        </patternFill>
      </fill>
    </dxf>
    <dxf>
      <font>
        <u/>
      </font>
      <numFmt numFmtId="0" formatCode="General"/>
      <fill>
        <patternFill>
          <bgColor rgb="FFFFFF00"/>
        </patternFill>
      </fill>
    </dxf>
    <dxf>
      <font>
        <u/>
      </font>
      <numFmt numFmtId="198" formatCode="0.00000000_ "/>
      <fill>
        <patternFill>
          <bgColor rgb="FFFFFF00"/>
        </patternFill>
      </fill>
    </dxf>
    <dxf>
      <numFmt numFmtId="176" formatCode="0.0_ "/>
    </dxf>
    <dxf>
      <numFmt numFmtId="177" formatCode="0.00_ "/>
    </dxf>
    <dxf>
      <numFmt numFmtId="178" formatCode="0.000_ "/>
    </dxf>
    <dxf>
      <numFmt numFmtId="180" formatCode="0.0000_ "/>
    </dxf>
    <dxf>
      <numFmt numFmtId="195" formatCode="0.00000_ "/>
    </dxf>
    <dxf>
      <numFmt numFmtId="196" formatCode="0.000000_ "/>
    </dxf>
    <dxf>
      <numFmt numFmtId="197" formatCode="0.0000000_ "/>
    </dxf>
    <dxf>
      <numFmt numFmtId="198" formatCode="0.00000000_ "/>
    </dxf>
    <dxf>
      <numFmt numFmtId="194" formatCode="0_ "/>
    </dxf>
    <dxf>
      <numFmt numFmtId="0" formatCode="General"/>
    </dxf>
    <dxf>
      <numFmt numFmtId="178" formatCode="0.000_ "/>
    </dxf>
    <dxf>
      <numFmt numFmtId="177" formatCode="0.00_ "/>
    </dxf>
    <dxf>
      <numFmt numFmtId="176" formatCode="0.0_ "/>
    </dxf>
    <dxf>
      <numFmt numFmtId="194" formatCode="0_ "/>
    </dxf>
    <dxf>
      <numFmt numFmtId="0" formatCode="General"/>
    </dxf>
    <dxf>
      <numFmt numFmtId="180" formatCode="0.0000_ "/>
    </dxf>
    <dxf>
      <numFmt numFmtId="195" formatCode="0.00000_ "/>
    </dxf>
    <dxf>
      <numFmt numFmtId="197" formatCode="0.0000000_ "/>
    </dxf>
    <dxf>
      <numFmt numFmtId="198" formatCode="0.00000000_ "/>
    </dxf>
    <dxf>
      <numFmt numFmtId="197" formatCode="0.0000000_ "/>
    </dxf>
    <dxf>
      <numFmt numFmtId="198" formatCode="0.00000000_ "/>
    </dxf>
    <dxf>
      <numFmt numFmtId="195" formatCode="0.00000_ "/>
    </dxf>
    <dxf>
      <numFmt numFmtId="180" formatCode="0.0000_ "/>
    </dxf>
    <dxf>
      <numFmt numFmtId="178" formatCode="0.000_ "/>
    </dxf>
    <dxf>
      <numFmt numFmtId="176" formatCode="0.0_ "/>
    </dxf>
    <dxf>
      <numFmt numFmtId="177" formatCode="0.00_ "/>
    </dxf>
    <dxf>
      <numFmt numFmtId="194" formatCode="0_ "/>
    </dxf>
    <dxf>
      <numFmt numFmtId="0" formatCode="General"/>
    </dxf>
    <dxf>
      <numFmt numFmtId="197" formatCode="0.0000000_ "/>
    </dxf>
    <dxf>
      <numFmt numFmtId="177" formatCode="0.00_ "/>
    </dxf>
    <dxf>
      <numFmt numFmtId="178" formatCode="0.000_ "/>
    </dxf>
    <dxf>
      <numFmt numFmtId="180" formatCode="0.0000_ "/>
    </dxf>
    <dxf>
      <numFmt numFmtId="176" formatCode="0.0_ "/>
    </dxf>
    <dxf>
      <numFmt numFmtId="198" formatCode="0.00000000_ "/>
    </dxf>
    <dxf>
      <numFmt numFmtId="195" formatCode="0.00000_ "/>
    </dxf>
    <dxf>
      <numFmt numFmtId="0" formatCode="General"/>
    </dxf>
    <dxf>
      <numFmt numFmtId="194" formatCode="0_ "/>
    </dxf>
    <dxf>
      <numFmt numFmtId="197" formatCode="0.0000000_ "/>
    </dxf>
    <dxf>
      <numFmt numFmtId="180" formatCode="0.0000_ "/>
    </dxf>
    <dxf>
      <numFmt numFmtId="178" formatCode="0.000_ "/>
    </dxf>
    <dxf>
      <numFmt numFmtId="177" formatCode="0.00_ "/>
    </dxf>
    <dxf>
      <numFmt numFmtId="176" formatCode="0.0_ "/>
    </dxf>
    <dxf>
      <numFmt numFmtId="194" formatCode="0_ "/>
    </dxf>
    <dxf>
      <numFmt numFmtId="195" formatCode="0.00000_ "/>
    </dxf>
    <dxf>
      <numFmt numFmtId="0" formatCode="General"/>
    </dxf>
    <dxf>
      <numFmt numFmtId="198" formatCode="0.00000000_ "/>
    </dxf>
    <dxf>
      <numFmt numFmtId="177" formatCode="0.00_ "/>
    </dxf>
    <dxf>
      <numFmt numFmtId="198" formatCode="0.00000000_ "/>
    </dxf>
    <dxf>
      <numFmt numFmtId="197" formatCode="0.0000000_ "/>
    </dxf>
    <dxf>
      <numFmt numFmtId="195" formatCode="0.00000_ "/>
    </dxf>
    <dxf>
      <numFmt numFmtId="180" formatCode="0.0000_ "/>
    </dxf>
    <dxf>
      <numFmt numFmtId="178" formatCode="0.000_ "/>
    </dxf>
    <dxf>
      <numFmt numFmtId="176" formatCode="0.0_ "/>
    </dxf>
    <dxf>
      <numFmt numFmtId="194" formatCode="0_ "/>
    </dxf>
    <dxf>
      <numFmt numFmtId="0" formatCode="General"/>
    </dxf>
    <dxf>
      <numFmt numFmtId="194" formatCode="0_ "/>
    </dxf>
    <dxf>
      <numFmt numFmtId="198" formatCode="0.00000000_ "/>
    </dxf>
    <dxf>
      <numFmt numFmtId="197" formatCode="0.0000000_ "/>
    </dxf>
    <dxf>
      <numFmt numFmtId="195" formatCode="0.00000_ "/>
    </dxf>
    <dxf>
      <numFmt numFmtId="180" formatCode="0.0000_ "/>
    </dxf>
    <dxf>
      <numFmt numFmtId="178" formatCode="0.000_ "/>
    </dxf>
    <dxf>
      <numFmt numFmtId="177" formatCode="0.00_ "/>
    </dxf>
    <dxf>
      <numFmt numFmtId="176" formatCode="0.0_ "/>
    </dxf>
    <dxf>
      <numFmt numFmtId="0" formatCode="General"/>
    </dxf>
    <dxf>
      <font>
        <color theme="0"/>
      </font>
      <fill>
        <patternFill patternType="none">
          <bgColor indexed="65"/>
        </patternFill>
      </fill>
    </dxf>
    <dxf>
      <font>
        <color theme="0"/>
      </font>
      <border>
        <left/>
        <right/>
        <bottom/>
      </border>
    </dxf>
    <dxf>
      <font>
        <color theme="0"/>
      </font>
      <fill>
        <patternFill patternType="none">
          <bgColor indexed="65"/>
        </patternFill>
      </fill>
    </dxf>
    <dxf>
      <font>
        <color theme="0"/>
      </font>
      <border>
        <left/>
        <right/>
        <bottom/>
      </border>
    </dxf>
    <dxf>
      <font>
        <color theme="0"/>
      </font>
      <border>
        <left/>
        <right/>
        <bottom/>
      </border>
    </dxf>
    <dxf>
      <numFmt numFmtId="194" formatCode="0_ "/>
    </dxf>
    <dxf>
      <font>
        <u/>
        <color auto="1"/>
      </font>
      <numFmt numFmtId="0" formatCode="General"/>
      <fill>
        <patternFill>
          <bgColor rgb="FFFFFF00"/>
        </patternFill>
      </fill>
    </dxf>
    <dxf>
      <font>
        <u/>
      </font>
      <numFmt numFmtId="194" formatCode="0_ "/>
      <fill>
        <patternFill>
          <bgColor rgb="FFFFFF00"/>
        </patternFill>
      </fill>
    </dxf>
    <dxf>
      <font>
        <u/>
      </font>
      <numFmt numFmtId="176" formatCode="0.0_ "/>
      <fill>
        <patternFill>
          <bgColor rgb="FFFFFF00"/>
        </patternFill>
      </fill>
    </dxf>
    <dxf>
      <font>
        <u/>
      </font>
      <numFmt numFmtId="177" formatCode="0.00_ "/>
      <fill>
        <patternFill>
          <bgColor rgb="FFFFFF00"/>
        </patternFill>
      </fill>
    </dxf>
    <dxf>
      <font>
        <u/>
      </font>
      <numFmt numFmtId="178" formatCode="0.000_ "/>
      <fill>
        <patternFill>
          <bgColor rgb="FFFFFF00"/>
        </patternFill>
      </fill>
    </dxf>
    <dxf>
      <font>
        <u/>
      </font>
      <numFmt numFmtId="180" formatCode="0.0000_ "/>
      <fill>
        <patternFill>
          <bgColor rgb="FFFFFF00"/>
        </patternFill>
      </fill>
    </dxf>
    <dxf>
      <font>
        <u/>
      </font>
      <numFmt numFmtId="195" formatCode="0.00000_ "/>
      <fill>
        <patternFill>
          <bgColor rgb="FFFFFF00"/>
        </patternFill>
      </fill>
    </dxf>
    <dxf>
      <font>
        <u/>
      </font>
      <numFmt numFmtId="196" formatCode="0.000000_ "/>
      <fill>
        <patternFill>
          <bgColor rgb="FFFFFF00"/>
        </patternFill>
      </fill>
    </dxf>
    <dxf>
      <font>
        <u/>
      </font>
      <numFmt numFmtId="197" formatCode="0.0000000_ "/>
      <fill>
        <patternFill>
          <bgColor rgb="FFFFFF00"/>
        </patternFill>
      </fill>
    </dxf>
    <dxf>
      <font>
        <u/>
      </font>
      <numFmt numFmtId="198" formatCode="0.00000000_ "/>
      <fill>
        <patternFill>
          <bgColor rgb="FFFFFF00"/>
        </patternFill>
      </fill>
    </dxf>
    <dxf>
      <numFmt numFmtId="0" formatCode="General"/>
    </dxf>
    <dxf>
      <numFmt numFmtId="198" formatCode="0.00000000_ "/>
    </dxf>
    <dxf>
      <numFmt numFmtId="197" formatCode="0.0000000_ "/>
    </dxf>
    <dxf>
      <numFmt numFmtId="196" formatCode="0.000000_ "/>
    </dxf>
    <dxf>
      <numFmt numFmtId="195" formatCode="0.00000_ "/>
    </dxf>
    <dxf>
      <numFmt numFmtId="180" formatCode="0.0000_ "/>
    </dxf>
    <dxf>
      <numFmt numFmtId="176" formatCode="0.0_ "/>
    </dxf>
    <dxf>
      <numFmt numFmtId="178" formatCode="0.000_ "/>
    </dxf>
    <dxf>
      <numFmt numFmtId="177" formatCode="0.00_ "/>
    </dxf>
    <dxf>
      <numFmt numFmtId="198" formatCode="0.00000000_ "/>
    </dxf>
    <dxf>
      <numFmt numFmtId="197" formatCode="0.0000000_ "/>
    </dxf>
    <dxf>
      <numFmt numFmtId="195" formatCode="0.00000_ "/>
    </dxf>
    <dxf>
      <numFmt numFmtId="180" formatCode="0.0000_ "/>
    </dxf>
    <dxf>
      <numFmt numFmtId="178" formatCode="0.000_ "/>
    </dxf>
    <dxf>
      <numFmt numFmtId="177" formatCode="0.00_ "/>
    </dxf>
    <dxf>
      <numFmt numFmtId="176" formatCode="0.0_ "/>
    </dxf>
    <dxf>
      <numFmt numFmtId="194" formatCode="0_ "/>
    </dxf>
    <dxf>
      <numFmt numFmtId="0" formatCode="General"/>
    </dxf>
    <dxf>
      <font>
        <u/>
      </font>
      <numFmt numFmtId="195" formatCode="0.00000_ "/>
      <fill>
        <patternFill>
          <bgColor rgb="FFFFFF00"/>
        </patternFill>
      </fill>
    </dxf>
    <dxf>
      <font>
        <u/>
      </font>
      <numFmt numFmtId="198" formatCode="0.00000000_ "/>
      <fill>
        <patternFill>
          <bgColor rgb="FFFFFF00"/>
        </patternFill>
      </fill>
    </dxf>
    <dxf>
      <font>
        <u/>
      </font>
      <numFmt numFmtId="197" formatCode="0.0000000_ "/>
      <fill>
        <patternFill>
          <bgColor rgb="FFFFFF00"/>
        </patternFill>
      </fill>
    </dxf>
    <dxf>
      <font>
        <u/>
      </font>
      <numFmt numFmtId="196" formatCode="0.000000_ "/>
      <fill>
        <patternFill>
          <bgColor rgb="FFFFFF00"/>
        </patternFill>
      </fill>
    </dxf>
    <dxf>
      <font>
        <u/>
      </font>
      <numFmt numFmtId="180" formatCode="0.0000_ "/>
      <fill>
        <patternFill>
          <bgColor rgb="FFFFFF00"/>
        </patternFill>
      </fill>
    </dxf>
    <dxf>
      <font>
        <u/>
      </font>
      <numFmt numFmtId="178" formatCode="0.000_ "/>
      <fill>
        <patternFill>
          <bgColor rgb="FFFFFF00"/>
        </patternFill>
      </fill>
    </dxf>
    <dxf>
      <font>
        <u/>
      </font>
      <numFmt numFmtId="177" formatCode="0.00_ "/>
      <fill>
        <patternFill>
          <bgColor rgb="FFFFFF00"/>
        </patternFill>
      </fill>
    </dxf>
    <dxf>
      <font>
        <u/>
      </font>
      <numFmt numFmtId="176" formatCode="0.0_ "/>
      <fill>
        <patternFill>
          <bgColor rgb="FFFFFF00"/>
        </patternFill>
      </fill>
    </dxf>
    <dxf>
      <font>
        <u/>
      </font>
      <numFmt numFmtId="194" formatCode="0_ "/>
      <fill>
        <patternFill>
          <bgColor rgb="FFFFFF00"/>
        </patternFill>
      </fill>
    </dxf>
    <dxf>
      <font>
        <u/>
        <color auto="1"/>
      </font>
      <numFmt numFmtId="0" formatCode="General"/>
      <fill>
        <patternFill>
          <bgColor rgb="FFFFFF00"/>
        </patternFill>
      </fill>
    </dxf>
    <dxf>
      <numFmt numFmtId="194" formatCode="0_ "/>
    </dxf>
    <dxf>
      <numFmt numFmtId="176" formatCode="0.0_ "/>
    </dxf>
    <dxf>
      <numFmt numFmtId="177" formatCode="0.00_ "/>
    </dxf>
    <dxf>
      <numFmt numFmtId="178" formatCode="0.000_ "/>
    </dxf>
    <dxf>
      <numFmt numFmtId="180" formatCode="0.0000_ "/>
    </dxf>
    <dxf>
      <numFmt numFmtId="195" formatCode="0.00000_ "/>
    </dxf>
    <dxf>
      <numFmt numFmtId="196" formatCode="0.000000_ "/>
    </dxf>
    <dxf>
      <numFmt numFmtId="197" formatCode="0.0000000_ "/>
    </dxf>
    <dxf>
      <numFmt numFmtId="198" formatCode="0.00000000_ "/>
    </dxf>
    <dxf>
      <numFmt numFmtId="0" formatCode="General"/>
    </dxf>
    <dxf>
      <numFmt numFmtId="197" formatCode="0.0000000_ "/>
    </dxf>
    <dxf>
      <numFmt numFmtId="196" formatCode="0.000000_ "/>
    </dxf>
    <dxf>
      <numFmt numFmtId="180" formatCode="0.0000_ "/>
    </dxf>
    <dxf>
      <numFmt numFmtId="178" formatCode="0.000_ "/>
    </dxf>
    <dxf>
      <numFmt numFmtId="195" formatCode="0.00000_ "/>
    </dxf>
    <dxf>
      <numFmt numFmtId="177" formatCode="0.00_ "/>
    </dxf>
    <dxf>
      <numFmt numFmtId="176" formatCode="0.0_ "/>
    </dxf>
    <dxf>
      <numFmt numFmtId="194" formatCode="0_ "/>
    </dxf>
    <dxf>
      <font>
        <u/>
        <color auto="1"/>
      </font>
      <numFmt numFmtId="0" formatCode="General"/>
      <fill>
        <patternFill>
          <bgColor rgb="FFFFFF00"/>
        </patternFill>
      </fill>
    </dxf>
    <dxf>
      <font>
        <u/>
      </font>
      <numFmt numFmtId="194" formatCode="0_ "/>
      <fill>
        <patternFill>
          <bgColor rgb="FFFFFF00"/>
        </patternFill>
      </fill>
    </dxf>
    <dxf>
      <font>
        <u/>
      </font>
      <numFmt numFmtId="176" formatCode="0.0_ "/>
      <fill>
        <patternFill>
          <bgColor rgb="FFFFFF00"/>
        </patternFill>
      </fill>
    </dxf>
    <dxf>
      <font>
        <u/>
      </font>
      <numFmt numFmtId="177" formatCode="0.00_ "/>
      <fill>
        <patternFill>
          <bgColor rgb="FFFFFF00"/>
        </patternFill>
      </fill>
    </dxf>
    <dxf>
      <font>
        <u/>
      </font>
      <numFmt numFmtId="178" formatCode="0.000_ "/>
      <fill>
        <patternFill>
          <bgColor rgb="FFFFFF00"/>
        </patternFill>
      </fill>
    </dxf>
    <dxf>
      <font>
        <u/>
      </font>
      <numFmt numFmtId="180" formatCode="0.0000_ "/>
      <fill>
        <patternFill>
          <bgColor rgb="FFFFFF00"/>
        </patternFill>
      </fill>
    </dxf>
    <dxf>
      <font>
        <u/>
      </font>
      <numFmt numFmtId="195" formatCode="0.00000_ "/>
      <fill>
        <patternFill>
          <bgColor rgb="FFFFFF00"/>
        </patternFill>
      </fill>
    </dxf>
    <dxf>
      <font>
        <u/>
      </font>
      <numFmt numFmtId="196" formatCode="0.000000_ "/>
      <fill>
        <patternFill>
          <bgColor rgb="FFFFFF00"/>
        </patternFill>
      </fill>
    </dxf>
    <dxf>
      <font>
        <u/>
      </font>
      <numFmt numFmtId="197" formatCode="0.0000000_ "/>
      <fill>
        <patternFill>
          <bgColor rgb="FFFFFF00"/>
        </patternFill>
      </fill>
    </dxf>
    <dxf>
      <font>
        <u/>
      </font>
      <numFmt numFmtId="198" formatCode="0.00000000_ "/>
      <fill>
        <patternFill>
          <bgColor rgb="FFFFFF00"/>
        </patternFill>
      </fill>
    </dxf>
    <dxf>
      <numFmt numFmtId="0" formatCode="General"/>
    </dxf>
    <dxf>
      <numFmt numFmtId="198" formatCode="0.00000000_ "/>
    </dxf>
    <dxf>
      <font>
        <color theme="0"/>
      </font>
      <border>
        <left/>
        <right/>
        <bottom/>
      </border>
    </dxf>
    <dxf>
      <numFmt numFmtId="178" formatCode="0.000_ "/>
    </dxf>
    <dxf>
      <numFmt numFmtId="177" formatCode="0.00_ "/>
    </dxf>
    <dxf>
      <numFmt numFmtId="176" formatCode="0.0_ "/>
    </dxf>
    <dxf>
      <numFmt numFmtId="194" formatCode="0_ "/>
    </dxf>
    <dxf>
      <numFmt numFmtId="0" formatCode="General"/>
    </dxf>
    <dxf>
      <numFmt numFmtId="180" formatCode="0.0000_ "/>
    </dxf>
    <dxf>
      <numFmt numFmtId="195" formatCode="0.00000_ "/>
    </dxf>
    <dxf>
      <numFmt numFmtId="197" formatCode="0.0000000_ "/>
    </dxf>
    <dxf>
      <numFmt numFmtId="198" formatCode="0.00000000_ "/>
    </dxf>
    <dxf>
      <numFmt numFmtId="197" formatCode="0.0000000_ "/>
    </dxf>
    <dxf>
      <numFmt numFmtId="198" formatCode="0.00000000_ "/>
    </dxf>
    <dxf>
      <numFmt numFmtId="195" formatCode="0.00000_ "/>
    </dxf>
    <dxf>
      <numFmt numFmtId="180" formatCode="0.0000_ "/>
    </dxf>
    <dxf>
      <numFmt numFmtId="178" formatCode="0.000_ "/>
    </dxf>
    <dxf>
      <numFmt numFmtId="176" formatCode="0.0_ "/>
    </dxf>
    <dxf>
      <numFmt numFmtId="177" formatCode="0.00_ "/>
    </dxf>
    <dxf>
      <numFmt numFmtId="194" formatCode="0_ "/>
    </dxf>
    <dxf>
      <numFmt numFmtId="0" formatCode="General"/>
    </dxf>
    <dxf>
      <numFmt numFmtId="197" formatCode="0.0000000_ "/>
    </dxf>
    <dxf>
      <numFmt numFmtId="177" formatCode="0.00_ "/>
    </dxf>
    <dxf>
      <numFmt numFmtId="178" formatCode="0.000_ "/>
    </dxf>
    <dxf>
      <numFmt numFmtId="180" formatCode="0.0000_ "/>
    </dxf>
    <dxf>
      <numFmt numFmtId="176" formatCode="0.0_ "/>
    </dxf>
    <dxf>
      <numFmt numFmtId="198" formatCode="0.00000000_ "/>
    </dxf>
    <dxf>
      <numFmt numFmtId="195" formatCode="0.00000_ "/>
    </dxf>
    <dxf>
      <numFmt numFmtId="0" formatCode="General"/>
    </dxf>
    <dxf>
      <numFmt numFmtId="194" formatCode="0_ "/>
    </dxf>
    <dxf>
      <numFmt numFmtId="197" formatCode="0.0000000_ "/>
    </dxf>
    <dxf>
      <numFmt numFmtId="180" formatCode="0.0000_ "/>
    </dxf>
    <dxf>
      <numFmt numFmtId="178" formatCode="0.000_ "/>
    </dxf>
    <dxf>
      <numFmt numFmtId="177" formatCode="0.00_ "/>
    </dxf>
    <dxf>
      <numFmt numFmtId="176" formatCode="0.0_ "/>
    </dxf>
    <dxf>
      <numFmt numFmtId="194" formatCode="0_ "/>
    </dxf>
    <dxf>
      <numFmt numFmtId="195" formatCode="0.00000_ "/>
    </dxf>
    <dxf>
      <numFmt numFmtId="0" formatCode="General"/>
    </dxf>
    <dxf>
      <numFmt numFmtId="198" formatCode="0.00000000_ "/>
    </dxf>
    <dxf>
      <numFmt numFmtId="177" formatCode="0.00_ "/>
    </dxf>
    <dxf>
      <numFmt numFmtId="198" formatCode="0.00000000_ "/>
    </dxf>
    <dxf>
      <numFmt numFmtId="197" formatCode="0.0000000_ "/>
    </dxf>
    <dxf>
      <numFmt numFmtId="195" formatCode="0.00000_ "/>
    </dxf>
    <dxf>
      <numFmt numFmtId="180" formatCode="0.0000_ "/>
    </dxf>
    <dxf>
      <numFmt numFmtId="178" formatCode="0.000_ "/>
    </dxf>
    <dxf>
      <numFmt numFmtId="176" formatCode="0.0_ "/>
    </dxf>
    <dxf>
      <numFmt numFmtId="194" formatCode="0_ "/>
    </dxf>
    <dxf>
      <numFmt numFmtId="0" formatCode="General"/>
    </dxf>
    <dxf>
      <numFmt numFmtId="194" formatCode="0_ "/>
    </dxf>
    <dxf>
      <numFmt numFmtId="198" formatCode="0.00000000_ "/>
    </dxf>
    <dxf>
      <numFmt numFmtId="197" formatCode="0.0000000_ "/>
    </dxf>
    <dxf>
      <numFmt numFmtId="195" formatCode="0.00000_ "/>
    </dxf>
    <dxf>
      <numFmt numFmtId="180" formatCode="0.0000_ "/>
    </dxf>
    <dxf>
      <numFmt numFmtId="178" formatCode="0.000_ "/>
    </dxf>
    <dxf>
      <numFmt numFmtId="177" formatCode="0.00_ "/>
    </dxf>
    <dxf>
      <numFmt numFmtId="176" formatCode="0.0_ "/>
    </dxf>
    <dxf>
      <numFmt numFmtId="0" formatCode="General"/>
    </dxf>
    <dxf>
      <font>
        <color theme="0"/>
      </font>
      <fill>
        <patternFill patternType="none">
          <bgColor indexed="65"/>
        </patternFill>
      </fill>
    </dxf>
    <dxf>
      <font>
        <color theme="0"/>
      </font>
      <border>
        <left/>
        <right/>
        <bottom/>
      </border>
    </dxf>
    <dxf>
      <font>
        <color theme="0"/>
      </font>
      <fill>
        <patternFill patternType="none">
          <bgColor indexed="65"/>
        </patternFill>
      </fill>
    </dxf>
    <dxf>
      <font>
        <color theme="0"/>
      </font>
      <border>
        <left/>
        <right/>
        <bottom/>
      </border>
    </dxf>
    <dxf>
      <font>
        <color theme="0"/>
      </font>
      <border>
        <left/>
        <right/>
        <bottom/>
      </border>
    </dxf>
    <dxf>
      <numFmt numFmtId="194" formatCode="0_ "/>
    </dxf>
    <dxf>
      <font>
        <u/>
        <color auto="1"/>
      </font>
      <numFmt numFmtId="0" formatCode="General"/>
      <fill>
        <patternFill>
          <bgColor rgb="FFFFFF00"/>
        </patternFill>
      </fill>
    </dxf>
    <dxf>
      <font>
        <u/>
      </font>
      <numFmt numFmtId="194" formatCode="0_ "/>
      <fill>
        <patternFill>
          <bgColor rgb="FFFFFF00"/>
        </patternFill>
      </fill>
    </dxf>
    <dxf>
      <font>
        <u/>
      </font>
      <numFmt numFmtId="176" formatCode="0.0_ "/>
      <fill>
        <patternFill>
          <bgColor rgb="FFFFFF00"/>
        </patternFill>
      </fill>
    </dxf>
    <dxf>
      <font>
        <u/>
      </font>
      <numFmt numFmtId="177" formatCode="0.00_ "/>
      <fill>
        <patternFill>
          <bgColor rgb="FFFFFF00"/>
        </patternFill>
      </fill>
    </dxf>
    <dxf>
      <font>
        <u/>
      </font>
      <numFmt numFmtId="178" formatCode="0.000_ "/>
      <fill>
        <patternFill>
          <bgColor rgb="FFFFFF00"/>
        </patternFill>
      </fill>
    </dxf>
    <dxf>
      <font>
        <u/>
      </font>
      <numFmt numFmtId="180" formatCode="0.0000_ "/>
      <fill>
        <patternFill>
          <bgColor rgb="FFFFFF00"/>
        </patternFill>
      </fill>
    </dxf>
    <dxf>
      <font>
        <u/>
      </font>
      <numFmt numFmtId="195" formatCode="0.00000_ "/>
      <fill>
        <patternFill>
          <bgColor rgb="FFFFFF00"/>
        </patternFill>
      </fill>
    </dxf>
    <dxf>
      <font>
        <u/>
      </font>
      <numFmt numFmtId="196" formatCode="0.000000_ "/>
      <fill>
        <patternFill>
          <bgColor rgb="FFFFFF00"/>
        </patternFill>
      </fill>
    </dxf>
    <dxf>
      <font>
        <u/>
      </font>
      <numFmt numFmtId="197" formatCode="0.0000000_ "/>
      <fill>
        <patternFill>
          <bgColor rgb="FFFFFF00"/>
        </patternFill>
      </fill>
    </dxf>
    <dxf>
      <font>
        <u/>
      </font>
      <numFmt numFmtId="198" formatCode="0.00000000_ "/>
      <fill>
        <patternFill>
          <bgColor rgb="FFFFFF00"/>
        </patternFill>
      </fill>
    </dxf>
    <dxf>
      <numFmt numFmtId="0" formatCode="General"/>
    </dxf>
    <dxf>
      <numFmt numFmtId="198" formatCode="0.00000000_ "/>
    </dxf>
    <dxf>
      <numFmt numFmtId="197" formatCode="0.0000000_ "/>
    </dxf>
    <dxf>
      <numFmt numFmtId="196" formatCode="0.000000_ "/>
    </dxf>
    <dxf>
      <numFmt numFmtId="195" formatCode="0.00000_ "/>
    </dxf>
    <dxf>
      <numFmt numFmtId="180" formatCode="0.0000_ "/>
    </dxf>
    <dxf>
      <numFmt numFmtId="176" formatCode="0.0_ "/>
    </dxf>
    <dxf>
      <numFmt numFmtId="178" formatCode="0.000_ "/>
    </dxf>
    <dxf>
      <numFmt numFmtId="177" formatCode="0.00_ "/>
    </dxf>
    <dxf>
      <numFmt numFmtId="198" formatCode="0.00000000_ "/>
    </dxf>
    <dxf>
      <numFmt numFmtId="197" formatCode="0.0000000_ "/>
    </dxf>
    <dxf>
      <numFmt numFmtId="195" formatCode="0.00000_ "/>
    </dxf>
    <dxf>
      <numFmt numFmtId="180" formatCode="0.0000_ "/>
    </dxf>
    <dxf>
      <numFmt numFmtId="178" formatCode="0.000_ "/>
    </dxf>
    <dxf>
      <numFmt numFmtId="177" formatCode="0.00_ "/>
    </dxf>
    <dxf>
      <numFmt numFmtId="176" formatCode="0.0_ "/>
    </dxf>
    <dxf>
      <numFmt numFmtId="194" formatCode="0_ "/>
    </dxf>
    <dxf>
      <numFmt numFmtId="0" formatCode="General"/>
    </dxf>
    <dxf>
      <font>
        <u/>
      </font>
      <numFmt numFmtId="195" formatCode="0.00000_ "/>
      <fill>
        <patternFill>
          <bgColor rgb="FFFFFF00"/>
        </patternFill>
      </fill>
    </dxf>
    <dxf>
      <font>
        <u/>
      </font>
      <numFmt numFmtId="198" formatCode="0.00000000_ "/>
      <fill>
        <patternFill>
          <bgColor rgb="FFFFFF00"/>
        </patternFill>
      </fill>
    </dxf>
    <dxf>
      <font>
        <u/>
      </font>
      <numFmt numFmtId="197" formatCode="0.0000000_ "/>
      <fill>
        <patternFill>
          <bgColor rgb="FFFFFF00"/>
        </patternFill>
      </fill>
    </dxf>
    <dxf>
      <font>
        <u/>
      </font>
      <numFmt numFmtId="196" formatCode="0.000000_ "/>
      <fill>
        <patternFill>
          <bgColor rgb="FFFFFF00"/>
        </patternFill>
      </fill>
    </dxf>
    <dxf>
      <font>
        <u/>
      </font>
      <numFmt numFmtId="180" formatCode="0.0000_ "/>
      <fill>
        <patternFill>
          <bgColor rgb="FFFFFF00"/>
        </patternFill>
      </fill>
    </dxf>
    <dxf>
      <font>
        <u/>
      </font>
      <numFmt numFmtId="178" formatCode="0.000_ "/>
      <fill>
        <patternFill>
          <bgColor rgb="FFFFFF00"/>
        </patternFill>
      </fill>
    </dxf>
    <dxf>
      <font>
        <u/>
      </font>
      <numFmt numFmtId="177" formatCode="0.00_ "/>
      <fill>
        <patternFill>
          <bgColor rgb="FFFFFF00"/>
        </patternFill>
      </fill>
    </dxf>
    <dxf>
      <font>
        <u/>
      </font>
      <numFmt numFmtId="176" formatCode="0.0_ "/>
      <fill>
        <patternFill>
          <bgColor rgb="FFFFFF00"/>
        </patternFill>
      </fill>
    </dxf>
    <dxf>
      <font>
        <u/>
      </font>
      <numFmt numFmtId="194" formatCode="0_ "/>
      <fill>
        <patternFill>
          <bgColor rgb="FFFFFF00"/>
        </patternFill>
      </fill>
    </dxf>
    <dxf>
      <font>
        <u/>
        <color auto="1"/>
      </font>
      <numFmt numFmtId="0" formatCode="General"/>
      <fill>
        <patternFill>
          <bgColor rgb="FFFFFF00"/>
        </patternFill>
      </fill>
    </dxf>
    <dxf>
      <numFmt numFmtId="194" formatCode="0_ "/>
    </dxf>
    <dxf>
      <numFmt numFmtId="176" formatCode="0.0_ "/>
    </dxf>
    <dxf>
      <numFmt numFmtId="177" formatCode="0.00_ "/>
    </dxf>
    <dxf>
      <numFmt numFmtId="178" formatCode="0.000_ "/>
    </dxf>
    <dxf>
      <numFmt numFmtId="180" formatCode="0.0000_ "/>
    </dxf>
    <dxf>
      <numFmt numFmtId="195" formatCode="0.00000_ "/>
    </dxf>
    <dxf>
      <numFmt numFmtId="196" formatCode="0.000000_ "/>
    </dxf>
    <dxf>
      <numFmt numFmtId="197" formatCode="0.0000000_ "/>
    </dxf>
    <dxf>
      <numFmt numFmtId="198" formatCode="0.00000000_ "/>
    </dxf>
    <dxf>
      <numFmt numFmtId="0" formatCode="General"/>
    </dxf>
    <dxf>
      <numFmt numFmtId="197" formatCode="0.0000000_ "/>
    </dxf>
    <dxf>
      <numFmt numFmtId="196" formatCode="0.000000_ "/>
    </dxf>
    <dxf>
      <numFmt numFmtId="180" formatCode="0.0000_ "/>
    </dxf>
    <dxf>
      <numFmt numFmtId="178" formatCode="0.000_ "/>
    </dxf>
    <dxf>
      <numFmt numFmtId="195" formatCode="0.00000_ "/>
    </dxf>
    <dxf>
      <numFmt numFmtId="177" formatCode="0.00_ "/>
    </dxf>
    <dxf>
      <numFmt numFmtId="176" formatCode="0.0_ "/>
    </dxf>
    <dxf>
      <numFmt numFmtId="194" formatCode="0_ "/>
    </dxf>
    <dxf>
      <font>
        <u/>
        <color auto="1"/>
      </font>
      <numFmt numFmtId="0" formatCode="General"/>
      <fill>
        <patternFill>
          <bgColor rgb="FFFFFF00"/>
        </patternFill>
      </fill>
    </dxf>
    <dxf>
      <font>
        <u/>
      </font>
      <numFmt numFmtId="194" formatCode="0_ "/>
      <fill>
        <patternFill>
          <bgColor rgb="FFFFFF00"/>
        </patternFill>
      </fill>
    </dxf>
    <dxf>
      <font>
        <u/>
      </font>
      <numFmt numFmtId="176" formatCode="0.0_ "/>
      <fill>
        <patternFill>
          <bgColor rgb="FFFFFF00"/>
        </patternFill>
      </fill>
    </dxf>
    <dxf>
      <font>
        <u/>
      </font>
      <numFmt numFmtId="177" formatCode="0.00_ "/>
      <fill>
        <patternFill>
          <bgColor rgb="FFFFFF00"/>
        </patternFill>
      </fill>
    </dxf>
    <dxf>
      <font>
        <u/>
      </font>
      <numFmt numFmtId="178" formatCode="0.000_ "/>
      <fill>
        <patternFill>
          <bgColor rgb="FFFFFF00"/>
        </patternFill>
      </fill>
    </dxf>
    <dxf>
      <font>
        <u/>
      </font>
      <numFmt numFmtId="180" formatCode="0.0000_ "/>
      <fill>
        <patternFill>
          <bgColor rgb="FFFFFF00"/>
        </patternFill>
      </fill>
    </dxf>
    <dxf>
      <font>
        <u/>
      </font>
      <numFmt numFmtId="195" formatCode="0.00000_ "/>
      <fill>
        <patternFill>
          <bgColor rgb="FFFFFF00"/>
        </patternFill>
      </fill>
    </dxf>
    <dxf>
      <font>
        <u/>
      </font>
      <numFmt numFmtId="196" formatCode="0.000000_ "/>
      <fill>
        <patternFill>
          <bgColor rgb="FFFFFF00"/>
        </patternFill>
      </fill>
    </dxf>
    <dxf>
      <font>
        <u/>
      </font>
      <numFmt numFmtId="197" formatCode="0.0000000_ "/>
      <fill>
        <patternFill>
          <bgColor rgb="FFFFFF00"/>
        </patternFill>
      </fill>
    </dxf>
    <dxf>
      <font>
        <u/>
      </font>
      <numFmt numFmtId="198" formatCode="0.00000000_ "/>
      <fill>
        <patternFill>
          <bgColor rgb="FFFFFF00"/>
        </patternFill>
      </fill>
    </dxf>
    <dxf>
      <numFmt numFmtId="0" formatCode="General"/>
    </dxf>
    <dxf>
      <numFmt numFmtId="198" formatCode="0.00000000_ "/>
    </dxf>
    <dxf>
      <font>
        <color theme="0"/>
      </font>
      <border>
        <left/>
        <right/>
        <bottom/>
      </border>
    </dxf>
    <dxf>
      <numFmt numFmtId="176" formatCode="0.0_ "/>
    </dxf>
    <dxf>
      <numFmt numFmtId="177" formatCode="0.00_ "/>
    </dxf>
    <dxf>
      <numFmt numFmtId="178" formatCode="0.000_ "/>
    </dxf>
    <dxf>
      <numFmt numFmtId="180" formatCode="0.0000_ "/>
    </dxf>
    <dxf>
      <numFmt numFmtId="197" formatCode="0.0000000_ "/>
    </dxf>
    <dxf>
      <numFmt numFmtId="195" formatCode="0.00000_ "/>
    </dxf>
    <dxf>
      <numFmt numFmtId="0" formatCode="General"/>
    </dxf>
    <dxf>
      <numFmt numFmtId="194" formatCode="0_ "/>
    </dxf>
    <dxf>
      <numFmt numFmtId="198" formatCode="0.00000000_ "/>
    </dxf>
    <dxf>
      <numFmt numFmtId="0" formatCode="General"/>
    </dxf>
    <dxf>
      <numFmt numFmtId="180" formatCode="0.0000_ "/>
    </dxf>
    <dxf>
      <numFmt numFmtId="198" formatCode="0.00000000_ "/>
    </dxf>
    <dxf>
      <numFmt numFmtId="195" formatCode="0.00000_ "/>
    </dxf>
    <dxf>
      <numFmt numFmtId="197" formatCode="0.0000000_ "/>
    </dxf>
    <dxf>
      <numFmt numFmtId="194" formatCode="0_ "/>
    </dxf>
    <dxf>
      <numFmt numFmtId="176" formatCode="0.0_ "/>
    </dxf>
    <dxf>
      <numFmt numFmtId="177" formatCode="0.00_ "/>
    </dxf>
    <dxf>
      <numFmt numFmtId="178" formatCode="0.000_ "/>
    </dxf>
    <dxf>
      <numFmt numFmtId="198" formatCode="0.00000000_ "/>
    </dxf>
    <dxf>
      <numFmt numFmtId="0" formatCode="General"/>
    </dxf>
    <dxf>
      <numFmt numFmtId="194" formatCode="0_ "/>
    </dxf>
    <dxf>
      <numFmt numFmtId="176" formatCode="0.0_ "/>
    </dxf>
    <dxf>
      <numFmt numFmtId="177" formatCode="0.00_ "/>
    </dxf>
    <dxf>
      <numFmt numFmtId="178" formatCode="0.000_ "/>
    </dxf>
    <dxf>
      <numFmt numFmtId="180" formatCode="0.0000_ "/>
    </dxf>
    <dxf>
      <numFmt numFmtId="195" formatCode="0.00000_ "/>
    </dxf>
    <dxf>
      <numFmt numFmtId="197" formatCode="0.0000000_ "/>
    </dxf>
    <dxf>
      <numFmt numFmtId="197" formatCode="0.0000000_ "/>
    </dxf>
    <dxf>
      <numFmt numFmtId="0" formatCode="General"/>
    </dxf>
    <dxf>
      <numFmt numFmtId="194" formatCode="0_ "/>
    </dxf>
    <dxf>
      <numFmt numFmtId="176" formatCode="0.0_ "/>
    </dxf>
    <dxf>
      <numFmt numFmtId="177" formatCode="0.00_ "/>
    </dxf>
    <dxf>
      <numFmt numFmtId="178" formatCode="0.000_ "/>
    </dxf>
    <dxf>
      <numFmt numFmtId="180" formatCode="0.0000_ "/>
    </dxf>
    <dxf>
      <numFmt numFmtId="195" formatCode="0.00000_ "/>
    </dxf>
    <dxf>
      <numFmt numFmtId="198" formatCode="0.00000000_ "/>
    </dxf>
    <dxf>
      <numFmt numFmtId="176" formatCode="0.0_ "/>
    </dxf>
    <dxf>
      <numFmt numFmtId="177" formatCode="0.00_ "/>
    </dxf>
    <dxf>
      <numFmt numFmtId="178" formatCode="0.000_ "/>
    </dxf>
    <dxf>
      <numFmt numFmtId="195" formatCode="0.00000_ "/>
    </dxf>
    <dxf>
      <numFmt numFmtId="198" formatCode="0.00000000_ "/>
    </dxf>
    <dxf>
      <numFmt numFmtId="197" formatCode="0.0000000_ "/>
    </dxf>
    <dxf>
      <numFmt numFmtId="180" formatCode="0.0000_ "/>
    </dxf>
    <dxf>
      <numFmt numFmtId="194" formatCode="0_ "/>
    </dxf>
    <dxf>
      <numFmt numFmtId="0" formatCode="General"/>
    </dxf>
    <dxf>
      <numFmt numFmtId="194" formatCode="0_ "/>
    </dxf>
    <dxf>
      <numFmt numFmtId="198" formatCode="0.00000000_ "/>
    </dxf>
    <dxf>
      <numFmt numFmtId="197" formatCode="0.0000000_ "/>
    </dxf>
    <dxf>
      <numFmt numFmtId="195" formatCode="0.00000_ "/>
    </dxf>
    <dxf>
      <numFmt numFmtId="180" formatCode="0.0000_ "/>
    </dxf>
    <dxf>
      <numFmt numFmtId="178" formatCode="0.000_ "/>
    </dxf>
    <dxf>
      <numFmt numFmtId="177" formatCode="0.00_ "/>
    </dxf>
    <dxf>
      <numFmt numFmtId="176" formatCode="0.0_ "/>
    </dxf>
    <dxf>
      <numFmt numFmtId="0" formatCode="General"/>
    </dxf>
    <dxf>
      <font>
        <color theme="0"/>
      </font>
      <fill>
        <patternFill patternType="none">
          <bgColor indexed="65"/>
        </patternFill>
      </fill>
    </dxf>
    <dxf>
      <font>
        <color theme="0"/>
      </font>
      <border>
        <left/>
        <right/>
        <bottom/>
      </border>
    </dxf>
    <dxf>
      <font>
        <color theme="0"/>
      </font>
      <fill>
        <patternFill patternType="none">
          <bgColor indexed="65"/>
        </patternFill>
      </fill>
    </dxf>
    <dxf>
      <font>
        <color theme="0"/>
      </font>
      <border>
        <left/>
        <right/>
        <bottom/>
      </border>
    </dxf>
    <dxf>
      <font>
        <color theme="0"/>
      </font>
      <border>
        <left/>
        <right/>
        <bottom/>
      </border>
    </dxf>
    <dxf>
      <numFmt numFmtId="176" formatCode="0.0_ "/>
    </dxf>
    <dxf>
      <font>
        <u/>
        <color auto="1"/>
      </font>
      <numFmt numFmtId="0" formatCode="General"/>
      <fill>
        <patternFill>
          <bgColor rgb="FFFFFF00"/>
        </patternFill>
      </fill>
    </dxf>
    <dxf>
      <font>
        <u/>
      </font>
      <numFmt numFmtId="194" formatCode="0_ "/>
      <fill>
        <patternFill>
          <bgColor rgb="FFFFFF00"/>
        </patternFill>
      </fill>
    </dxf>
    <dxf>
      <font>
        <u/>
      </font>
      <numFmt numFmtId="176" formatCode="0.0_ "/>
      <fill>
        <patternFill>
          <bgColor rgb="FFFFFF00"/>
        </patternFill>
      </fill>
    </dxf>
    <dxf>
      <font>
        <u/>
      </font>
      <numFmt numFmtId="177" formatCode="0.00_ "/>
      <fill>
        <patternFill>
          <bgColor rgb="FFFFFF00"/>
        </patternFill>
      </fill>
    </dxf>
    <dxf>
      <font>
        <u/>
      </font>
      <numFmt numFmtId="178" formatCode="0.000_ "/>
      <fill>
        <patternFill>
          <bgColor rgb="FFFFFF00"/>
        </patternFill>
      </fill>
    </dxf>
    <dxf>
      <font>
        <u/>
      </font>
      <numFmt numFmtId="180" formatCode="0.0000_ "/>
      <fill>
        <patternFill>
          <bgColor rgb="FFFFFF00"/>
        </patternFill>
      </fill>
    </dxf>
    <dxf>
      <font>
        <u/>
      </font>
      <numFmt numFmtId="195" formatCode="0.00000_ "/>
      <fill>
        <patternFill>
          <bgColor rgb="FFFFFF00"/>
        </patternFill>
      </fill>
    </dxf>
    <dxf>
      <font>
        <u/>
      </font>
      <numFmt numFmtId="196" formatCode="0.000000_ "/>
      <fill>
        <patternFill>
          <bgColor rgb="FFFFFF00"/>
        </patternFill>
      </fill>
    </dxf>
    <dxf>
      <font>
        <u/>
      </font>
      <numFmt numFmtId="197" formatCode="0.0000000_ "/>
      <fill>
        <patternFill>
          <bgColor rgb="FFFFFF00"/>
        </patternFill>
      </fill>
    </dxf>
    <dxf>
      <font>
        <u/>
      </font>
      <numFmt numFmtId="198" formatCode="0.00000000_ "/>
      <fill>
        <patternFill>
          <bgColor rgb="FFFFFF00"/>
        </patternFill>
      </fill>
    </dxf>
    <dxf>
      <numFmt numFmtId="194" formatCode="0_ "/>
    </dxf>
    <dxf>
      <numFmt numFmtId="0" formatCode="General"/>
    </dxf>
    <dxf>
      <numFmt numFmtId="198" formatCode="0.00000000_ "/>
    </dxf>
    <dxf>
      <numFmt numFmtId="197" formatCode="0.0000000_ "/>
    </dxf>
    <dxf>
      <numFmt numFmtId="196" formatCode="0.000000_ "/>
    </dxf>
    <dxf>
      <numFmt numFmtId="180" formatCode="0.0000_ "/>
    </dxf>
    <dxf>
      <numFmt numFmtId="195" formatCode="0.00000_ "/>
    </dxf>
    <dxf>
      <numFmt numFmtId="178" formatCode="0.000_ "/>
    </dxf>
    <dxf>
      <numFmt numFmtId="177" formatCode="0.00_ "/>
    </dxf>
    <dxf>
      <numFmt numFmtId="198" formatCode="0.00000000_ "/>
    </dxf>
    <dxf>
      <numFmt numFmtId="197" formatCode="0.0000000_ "/>
    </dxf>
    <dxf>
      <numFmt numFmtId="195" formatCode="0.00000_ "/>
    </dxf>
    <dxf>
      <numFmt numFmtId="180" formatCode="0.0000_ "/>
    </dxf>
    <dxf>
      <numFmt numFmtId="178" formatCode="0.000_ "/>
    </dxf>
    <dxf>
      <numFmt numFmtId="177" formatCode="0.00_ "/>
    </dxf>
    <dxf>
      <numFmt numFmtId="176" formatCode="0.0_ "/>
    </dxf>
    <dxf>
      <numFmt numFmtId="194" formatCode="0_ "/>
    </dxf>
    <dxf>
      <numFmt numFmtId="0" formatCode="General"/>
    </dxf>
    <dxf>
      <font>
        <u/>
      </font>
      <numFmt numFmtId="195" formatCode="0.00000_ "/>
      <fill>
        <patternFill>
          <bgColor rgb="FFFFFF00"/>
        </patternFill>
      </fill>
    </dxf>
    <dxf>
      <font>
        <u/>
      </font>
      <numFmt numFmtId="198" formatCode="0.00000000_ "/>
      <fill>
        <patternFill>
          <bgColor rgb="FFFFFF00"/>
        </patternFill>
      </fill>
    </dxf>
    <dxf>
      <font>
        <u/>
      </font>
      <numFmt numFmtId="197" formatCode="0.0000000_ "/>
      <fill>
        <patternFill>
          <bgColor rgb="FFFFFF00"/>
        </patternFill>
      </fill>
    </dxf>
    <dxf>
      <font>
        <u/>
      </font>
      <numFmt numFmtId="196" formatCode="0.000000_ "/>
      <fill>
        <patternFill>
          <bgColor rgb="FFFFFF00"/>
        </patternFill>
      </fill>
    </dxf>
    <dxf>
      <font>
        <u/>
      </font>
      <numFmt numFmtId="180" formatCode="0.0000_ "/>
      <fill>
        <patternFill>
          <bgColor rgb="FFFFFF00"/>
        </patternFill>
      </fill>
    </dxf>
    <dxf>
      <font>
        <u/>
      </font>
      <numFmt numFmtId="178" formatCode="0.000_ "/>
      <fill>
        <patternFill>
          <bgColor rgb="FFFFFF00"/>
        </patternFill>
      </fill>
    </dxf>
    <dxf>
      <font>
        <u/>
      </font>
      <numFmt numFmtId="177" formatCode="0.00_ "/>
      <fill>
        <patternFill>
          <bgColor rgb="FFFFFF00"/>
        </patternFill>
      </fill>
    </dxf>
    <dxf>
      <font>
        <u/>
      </font>
      <numFmt numFmtId="176" formatCode="0.0_ "/>
      <fill>
        <patternFill>
          <bgColor rgb="FFFFFF00"/>
        </patternFill>
      </fill>
    </dxf>
    <dxf>
      <font>
        <u/>
      </font>
      <numFmt numFmtId="194" formatCode="0_ "/>
      <fill>
        <patternFill>
          <bgColor rgb="FFFFFF00"/>
        </patternFill>
      </fill>
    </dxf>
    <dxf>
      <font>
        <u/>
        <color auto="1"/>
      </font>
      <numFmt numFmtId="0" formatCode="General"/>
      <fill>
        <patternFill>
          <bgColor rgb="FFFFFF00"/>
        </patternFill>
      </fill>
    </dxf>
    <dxf>
      <numFmt numFmtId="194" formatCode="0_ "/>
    </dxf>
    <dxf>
      <numFmt numFmtId="176" formatCode="0.0_ "/>
    </dxf>
    <dxf>
      <numFmt numFmtId="177" formatCode="0.00_ "/>
    </dxf>
    <dxf>
      <numFmt numFmtId="178" formatCode="0.000_ "/>
    </dxf>
    <dxf>
      <numFmt numFmtId="180" formatCode="0.0000_ "/>
    </dxf>
    <dxf>
      <numFmt numFmtId="195" formatCode="0.00000_ "/>
    </dxf>
    <dxf>
      <numFmt numFmtId="196" formatCode="0.000000_ "/>
    </dxf>
    <dxf>
      <numFmt numFmtId="197" formatCode="0.0000000_ "/>
    </dxf>
    <dxf>
      <numFmt numFmtId="198" formatCode="0.00000000_ "/>
    </dxf>
    <dxf>
      <numFmt numFmtId="0" formatCode="General"/>
    </dxf>
    <dxf>
      <numFmt numFmtId="196" formatCode="0.000000_ "/>
    </dxf>
    <dxf>
      <numFmt numFmtId="195" formatCode="0.00000_ "/>
    </dxf>
    <dxf>
      <numFmt numFmtId="180" formatCode="0.0000_ "/>
    </dxf>
    <dxf>
      <numFmt numFmtId="178" formatCode="0.000_ "/>
    </dxf>
    <dxf>
      <numFmt numFmtId="176" formatCode="0.0_ "/>
    </dxf>
    <dxf>
      <numFmt numFmtId="177" formatCode="0.00_ "/>
    </dxf>
    <dxf>
      <numFmt numFmtId="194" formatCode="0_ "/>
    </dxf>
    <dxf>
      <font>
        <u/>
        <color auto="1"/>
      </font>
      <numFmt numFmtId="0" formatCode="General"/>
      <fill>
        <patternFill>
          <bgColor rgb="FFFFFF00"/>
        </patternFill>
      </fill>
    </dxf>
    <dxf>
      <font>
        <u/>
      </font>
      <numFmt numFmtId="194" formatCode="0_ "/>
      <fill>
        <patternFill>
          <bgColor rgb="FFFFFF00"/>
        </patternFill>
      </fill>
    </dxf>
    <dxf>
      <font>
        <u/>
      </font>
      <numFmt numFmtId="176" formatCode="0.0_ "/>
      <fill>
        <patternFill>
          <bgColor rgb="FFFFFF00"/>
        </patternFill>
      </fill>
    </dxf>
    <dxf>
      <font>
        <u/>
      </font>
      <numFmt numFmtId="177" formatCode="0.00_ "/>
      <fill>
        <patternFill>
          <bgColor rgb="FFFFFF00"/>
        </patternFill>
      </fill>
    </dxf>
    <dxf>
      <font>
        <u/>
      </font>
      <numFmt numFmtId="178" formatCode="0.000_ "/>
      <fill>
        <patternFill>
          <bgColor rgb="FFFFFF00"/>
        </patternFill>
      </fill>
    </dxf>
    <dxf>
      <font>
        <u/>
      </font>
      <numFmt numFmtId="180" formatCode="0.0000_ "/>
      <fill>
        <patternFill>
          <bgColor rgb="FFFFFF00"/>
        </patternFill>
      </fill>
    </dxf>
    <dxf>
      <font>
        <u/>
      </font>
      <numFmt numFmtId="195" formatCode="0.00000_ "/>
      <fill>
        <patternFill>
          <bgColor rgb="FFFFFF00"/>
        </patternFill>
      </fill>
    </dxf>
    <dxf>
      <font>
        <u/>
      </font>
      <numFmt numFmtId="196" formatCode="0.000000_ "/>
      <fill>
        <patternFill>
          <bgColor rgb="FFFFFF00"/>
        </patternFill>
      </fill>
    </dxf>
    <dxf>
      <font>
        <u/>
      </font>
      <numFmt numFmtId="197" formatCode="0.0000000_ "/>
      <fill>
        <patternFill>
          <bgColor rgb="FFFFFF00"/>
        </patternFill>
      </fill>
    </dxf>
    <dxf>
      <font>
        <u/>
      </font>
      <numFmt numFmtId="198" formatCode="0.00000000_ "/>
      <fill>
        <patternFill>
          <bgColor rgb="FFFFFF00"/>
        </patternFill>
      </fill>
    </dxf>
    <dxf>
      <numFmt numFmtId="0" formatCode="General"/>
    </dxf>
    <dxf>
      <numFmt numFmtId="198" formatCode="0.00000000_ "/>
    </dxf>
    <dxf>
      <numFmt numFmtId="197" formatCode="0.0000000_ "/>
    </dxf>
    <dxf>
      <font>
        <color theme="0"/>
      </font>
      <border>
        <left/>
        <right/>
        <bottom/>
      </border>
    </dxf>
    <dxf>
      <numFmt numFmtId="176" formatCode="0.0_ "/>
    </dxf>
    <dxf>
      <numFmt numFmtId="177" formatCode="0.00_ "/>
    </dxf>
    <dxf>
      <numFmt numFmtId="178" formatCode="0.000_ "/>
    </dxf>
    <dxf>
      <numFmt numFmtId="180" formatCode="0.0000_ "/>
    </dxf>
    <dxf>
      <numFmt numFmtId="197" formatCode="0.0000000_ "/>
    </dxf>
    <dxf>
      <numFmt numFmtId="195" formatCode="0.00000_ "/>
    </dxf>
    <dxf>
      <numFmt numFmtId="0" formatCode="General"/>
    </dxf>
    <dxf>
      <numFmt numFmtId="194" formatCode="0_ "/>
    </dxf>
    <dxf>
      <numFmt numFmtId="198" formatCode="0.00000000_ "/>
    </dxf>
    <dxf>
      <numFmt numFmtId="0" formatCode="General"/>
    </dxf>
    <dxf>
      <numFmt numFmtId="180" formatCode="0.0000_ "/>
    </dxf>
    <dxf>
      <numFmt numFmtId="198" formatCode="0.00000000_ "/>
    </dxf>
    <dxf>
      <numFmt numFmtId="195" formatCode="0.00000_ "/>
    </dxf>
    <dxf>
      <numFmt numFmtId="197" formatCode="0.0000000_ "/>
    </dxf>
    <dxf>
      <numFmt numFmtId="194" formatCode="0_ "/>
    </dxf>
    <dxf>
      <numFmt numFmtId="176" formatCode="0.0_ "/>
    </dxf>
    <dxf>
      <numFmt numFmtId="177" formatCode="0.00_ "/>
    </dxf>
    <dxf>
      <numFmt numFmtId="178" formatCode="0.000_ "/>
    </dxf>
    <dxf>
      <numFmt numFmtId="198" formatCode="0.00000000_ "/>
    </dxf>
    <dxf>
      <numFmt numFmtId="0" formatCode="General"/>
    </dxf>
    <dxf>
      <numFmt numFmtId="194" formatCode="0_ "/>
    </dxf>
    <dxf>
      <numFmt numFmtId="176" formatCode="0.0_ "/>
    </dxf>
    <dxf>
      <numFmt numFmtId="177" formatCode="0.00_ "/>
    </dxf>
    <dxf>
      <numFmt numFmtId="178" formatCode="0.000_ "/>
    </dxf>
    <dxf>
      <numFmt numFmtId="180" formatCode="0.0000_ "/>
    </dxf>
    <dxf>
      <numFmt numFmtId="195" formatCode="0.00000_ "/>
    </dxf>
    <dxf>
      <numFmt numFmtId="197" formatCode="0.0000000_ "/>
    </dxf>
    <dxf>
      <numFmt numFmtId="197" formatCode="0.0000000_ "/>
    </dxf>
    <dxf>
      <numFmt numFmtId="0" formatCode="General"/>
    </dxf>
    <dxf>
      <numFmt numFmtId="194" formatCode="0_ "/>
    </dxf>
    <dxf>
      <numFmt numFmtId="176" formatCode="0.0_ "/>
    </dxf>
    <dxf>
      <numFmt numFmtId="177" formatCode="0.00_ "/>
    </dxf>
    <dxf>
      <numFmt numFmtId="178" formatCode="0.000_ "/>
    </dxf>
    <dxf>
      <numFmt numFmtId="180" formatCode="0.0000_ "/>
    </dxf>
    <dxf>
      <numFmt numFmtId="195" formatCode="0.00000_ "/>
    </dxf>
    <dxf>
      <numFmt numFmtId="198" formatCode="0.00000000_ "/>
    </dxf>
    <dxf>
      <numFmt numFmtId="176" formatCode="0.0_ "/>
    </dxf>
    <dxf>
      <numFmt numFmtId="177" formatCode="0.00_ "/>
    </dxf>
    <dxf>
      <numFmt numFmtId="178" formatCode="0.000_ "/>
    </dxf>
    <dxf>
      <numFmt numFmtId="195" formatCode="0.00000_ "/>
    </dxf>
    <dxf>
      <numFmt numFmtId="198" formatCode="0.00000000_ "/>
    </dxf>
    <dxf>
      <numFmt numFmtId="197" formatCode="0.0000000_ "/>
    </dxf>
    <dxf>
      <numFmt numFmtId="180" formatCode="0.0000_ "/>
    </dxf>
    <dxf>
      <numFmt numFmtId="194" formatCode="0_ "/>
    </dxf>
    <dxf>
      <numFmt numFmtId="0" formatCode="General"/>
    </dxf>
    <dxf>
      <numFmt numFmtId="194" formatCode="0_ "/>
    </dxf>
    <dxf>
      <numFmt numFmtId="198" formatCode="0.00000000_ "/>
    </dxf>
    <dxf>
      <numFmt numFmtId="197" formatCode="0.0000000_ "/>
    </dxf>
    <dxf>
      <numFmt numFmtId="195" formatCode="0.00000_ "/>
    </dxf>
    <dxf>
      <numFmt numFmtId="180" formatCode="0.0000_ "/>
    </dxf>
    <dxf>
      <numFmt numFmtId="178" formatCode="0.000_ "/>
    </dxf>
    <dxf>
      <numFmt numFmtId="177" formatCode="0.00_ "/>
    </dxf>
    <dxf>
      <numFmt numFmtId="176" formatCode="0.0_ "/>
    </dxf>
    <dxf>
      <numFmt numFmtId="0" formatCode="General"/>
    </dxf>
    <dxf>
      <font>
        <color theme="0"/>
      </font>
      <fill>
        <patternFill patternType="none">
          <bgColor indexed="65"/>
        </patternFill>
      </fill>
    </dxf>
    <dxf>
      <font>
        <color theme="0"/>
      </font>
      <border>
        <left/>
        <right/>
        <bottom/>
      </border>
    </dxf>
    <dxf>
      <font>
        <color theme="0"/>
      </font>
      <fill>
        <patternFill patternType="none">
          <bgColor indexed="65"/>
        </patternFill>
      </fill>
    </dxf>
    <dxf>
      <font>
        <color theme="0"/>
      </font>
      <border>
        <left/>
        <right/>
        <bottom/>
      </border>
    </dxf>
    <dxf>
      <font>
        <color theme="0"/>
      </font>
      <border>
        <left/>
        <right/>
        <bottom/>
      </border>
    </dxf>
    <dxf>
      <numFmt numFmtId="176" formatCode="0.0_ "/>
    </dxf>
    <dxf>
      <font>
        <u/>
        <color auto="1"/>
      </font>
      <numFmt numFmtId="0" formatCode="General"/>
      <fill>
        <patternFill>
          <bgColor rgb="FFFFFF00"/>
        </patternFill>
      </fill>
    </dxf>
    <dxf>
      <font>
        <u/>
      </font>
      <numFmt numFmtId="194" formatCode="0_ "/>
      <fill>
        <patternFill>
          <bgColor rgb="FFFFFF00"/>
        </patternFill>
      </fill>
    </dxf>
    <dxf>
      <font>
        <u/>
      </font>
      <numFmt numFmtId="176" formatCode="0.0_ "/>
      <fill>
        <patternFill>
          <bgColor rgb="FFFFFF00"/>
        </patternFill>
      </fill>
    </dxf>
    <dxf>
      <font>
        <u/>
      </font>
      <numFmt numFmtId="177" formatCode="0.00_ "/>
      <fill>
        <patternFill>
          <bgColor rgb="FFFFFF00"/>
        </patternFill>
      </fill>
    </dxf>
    <dxf>
      <font>
        <u/>
      </font>
      <numFmt numFmtId="178" formatCode="0.000_ "/>
      <fill>
        <patternFill>
          <bgColor rgb="FFFFFF00"/>
        </patternFill>
      </fill>
    </dxf>
    <dxf>
      <font>
        <u/>
      </font>
      <numFmt numFmtId="180" formatCode="0.0000_ "/>
      <fill>
        <patternFill>
          <bgColor rgb="FFFFFF00"/>
        </patternFill>
      </fill>
    </dxf>
    <dxf>
      <font>
        <u/>
      </font>
      <numFmt numFmtId="195" formatCode="0.00000_ "/>
      <fill>
        <patternFill>
          <bgColor rgb="FFFFFF00"/>
        </patternFill>
      </fill>
    </dxf>
    <dxf>
      <font>
        <u/>
      </font>
      <numFmt numFmtId="196" formatCode="0.000000_ "/>
      <fill>
        <patternFill>
          <bgColor rgb="FFFFFF00"/>
        </patternFill>
      </fill>
    </dxf>
    <dxf>
      <font>
        <u/>
      </font>
      <numFmt numFmtId="197" formatCode="0.0000000_ "/>
      <fill>
        <patternFill>
          <bgColor rgb="FFFFFF00"/>
        </patternFill>
      </fill>
    </dxf>
    <dxf>
      <font>
        <u/>
      </font>
      <numFmt numFmtId="198" formatCode="0.00000000_ "/>
      <fill>
        <patternFill>
          <bgColor rgb="FFFFFF00"/>
        </patternFill>
      </fill>
    </dxf>
    <dxf>
      <numFmt numFmtId="194" formatCode="0_ "/>
    </dxf>
    <dxf>
      <numFmt numFmtId="0" formatCode="General"/>
    </dxf>
    <dxf>
      <numFmt numFmtId="198" formatCode="0.00000000_ "/>
    </dxf>
    <dxf>
      <numFmt numFmtId="197" formatCode="0.0000000_ "/>
    </dxf>
    <dxf>
      <numFmt numFmtId="196" formatCode="0.000000_ "/>
    </dxf>
    <dxf>
      <numFmt numFmtId="180" formatCode="0.0000_ "/>
    </dxf>
    <dxf>
      <numFmt numFmtId="195" formatCode="0.00000_ "/>
    </dxf>
    <dxf>
      <numFmt numFmtId="178" formatCode="0.000_ "/>
    </dxf>
    <dxf>
      <numFmt numFmtId="177" formatCode="0.00_ "/>
    </dxf>
    <dxf>
      <numFmt numFmtId="198" formatCode="0.00000000_ "/>
    </dxf>
    <dxf>
      <numFmt numFmtId="197" formatCode="0.0000000_ "/>
    </dxf>
    <dxf>
      <numFmt numFmtId="195" formatCode="0.00000_ "/>
    </dxf>
    <dxf>
      <numFmt numFmtId="180" formatCode="0.0000_ "/>
    </dxf>
    <dxf>
      <numFmt numFmtId="178" formatCode="0.000_ "/>
    </dxf>
    <dxf>
      <numFmt numFmtId="177" formatCode="0.00_ "/>
    </dxf>
    <dxf>
      <numFmt numFmtId="176" formatCode="0.0_ "/>
    </dxf>
    <dxf>
      <numFmt numFmtId="194" formatCode="0_ "/>
    </dxf>
    <dxf>
      <numFmt numFmtId="0" formatCode="General"/>
    </dxf>
    <dxf>
      <font>
        <u/>
      </font>
      <numFmt numFmtId="195" formatCode="0.00000_ "/>
      <fill>
        <patternFill>
          <bgColor rgb="FFFFFF00"/>
        </patternFill>
      </fill>
    </dxf>
    <dxf>
      <font>
        <u/>
      </font>
      <numFmt numFmtId="198" formatCode="0.00000000_ "/>
      <fill>
        <patternFill>
          <bgColor rgb="FFFFFF00"/>
        </patternFill>
      </fill>
    </dxf>
    <dxf>
      <font>
        <u/>
      </font>
      <numFmt numFmtId="197" formatCode="0.0000000_ "/>
      <fill>
        <patternFill>
          <bgColor rgb="FFFFFF00"/>
        </patternFill>
      </fill>
    </dxf>
    <dxf>
      <font>
        <u/>
      </font>
      <numFmt numFmtId="196" formatCode="0.000000_ "/>
      <fill>
        <patternFill>
          <bgColor rgb="FFFFFF00"/>
        </patternFill>
      </fill>
    </dxf>
    <dxf>
      <font>
        <u/>
      </font>
      <numFmt numFmtId="180" formatCode="0.0000_ "/>
      <fill>
        <patternFill>
          <bgColor rgb="FFFFFF00"/>
        </patternFill>
      </fill>
    </dxf>
    <dxf>
      <font>
        <u/>
      </font>
      <numFmt numFmtId="178" formatCode="0.000_ "/>
      <fill>
        <patternFill>
          <bgColor rgb="FFFFFF00"/>
        </patternFill>
      </fill>
    </dxf>
    <dxf>
      <font>
        <u/>
      </font>
      <numFmt numFmtId="177" formatCode="0.00_ "/>
      <fill>
        <patternFill>
          <bgColor rgb="FFFFFF00"/>
        </patternFill>
      </fill>
    </dxf>
    <dxf>
      <font>
        <u/>
      </font>
      <numFmt numFmtId="176" formatCode="0.0_ "/>
      <fill>
        <patternFill>
          <bgColor rgb="FFFFFF00"/>
        </patternFill>
      </fill>
    </dxf>
    <dxf>
      <font>
        <u/>
      </font>
      <numFmt numFmtId="194" formatCode="0_ "/>
      <fill>
        <patternFill>
          <bgColor rgb="FFFFFF00"/>
        </patternFill>
      </fill>
    </dxf>
    <dxf>
      <font>
        <u/>
        <color auto="1"/>
      </font>
      <numFmt numFmtId="0" formatCode="General"/>
      <fill>
        <patternFill>
          <bgColor rgb="FFFFFF00"/>
        </patternFill>
      </fill>
    </dxf>
    <dxf>
      <numFmt numFmtId="194" formatCode="0_ "/>
    </dxf>
    <dxf>
      <numFmt numFmtId="176" formatCode="0.0_ "/>
    </dxf>
    <dxf>
      <numFmt numFmtId="177" formatCode="0.00_ "/>
    </dxf>
    <dxf>
      <numFmt numFmtId="178" formatCode="0.000_ "/>
    </dxf>
    <dxf>
      <numFmt numFmtId="180" formatCode="0.0000_ "/>
    </dxf>
    <dxf>
      <numFmt numFmtId="195" formatCode="0.00000_ "/>
    </dxf>
    <dxf>
      <numFmt numFmtId="196" formatCode="0.000000_ "/>
    </dxf>
    <dxf>
      <numFmt numFmtId="197" formatCode="0.0000000_ "/>
    </dxf>
    <dxf>
      <numFmt numFmtId="198" formatCode="0.00000000_ "/>
    </dxf>
    <dxf>
      <numFmt numFmtId="0" formatCode="General"/>
    </dxf>
    <dxf>
      <numFmt numFmtId="196" formatCode="0.000000_ "/>
    </dxf>
    <dxf>
      <numFmt numFmtId="195" formatCode="0.00000_ "/>
    </dxf>
    <dxf>
      <numFmt numFmtId="180" formatCode="0.0000_ "/>
    </dxf>
    <dxf>
      <numFmt numFmtId="178" formatCode="0.000_ "/>
    </dxf>
    <dxf>
      <numFmt numFmtId="176" formatCode="0.0_ "/>
    </dxf>
    <dxf>
      <numFmt numFmtId="177" formatCode="0.00_ "/>
    </dxf>
    <dxf>
      <numFmt numFmtId="194" formatCode="0_ "/>
    </dxf>
    <dxf>
      <font>
        <u/>
        <color auto="1"/>
      </font>
      <numFmt numFmtId="0" formatCode="General"/>
      <fill>
        <patternFill>
          <bgColor rgb="FFFFFF00"/>
        </patternFill>
      </fill>
    </dxf>
    <dxf>
      <font>
        <u/>
      </font>
      <numFmt numFmtId="194" formatCode="0_ "/>
      <fill>
        <patternFill>
          <bgColor rgb="FFFFFF00"/>
        </patternFill>
      </fill>
    </dxf>
    <dxf>
      <font>
        <u/>
      </font>
      <numFmt numFmtId="176" formatCode="0.0_ "/>
      <fill>
        <patternFill>
          <bgColor rgb="FFFFFF00"/>
        </patternFill>
      </fill>
    </dxf>
    <dxf>
      <font>
        <u/>
      </font>
      <numFmt numFmtId="177" formatCode="0.00_ "/>
      <fill>
        <patternFill>
          <bgColor rgb="FFFFFF00"/>
        </patternFill>
      </fill>
    </dxf>
    <dxf>
      <font>
        <u/>
      </font>
      <numFmt numFmtId="178" formatCode="0.000_ "/>
      <fill>
        <patternFill>
          <bgColor rgb="FFFFFF00"/>
        </patternFill>
      </fill>
    </dxf>
    <dxf>
      <font>
        <u/>
      </font>
      <numFmt numFmtId="180" formatCode="0.0000_ "/>
      <fill>
        <patternFill>
          <bgColor rgb="FFFFFF00"/>
        </patternFill>
      </fill>
    </dxf>
    <dxf>
      <font>
        <u/>
      </font>
      <numFmt numFmtId="195" formatCode="0.00000_ "/>
      <fill>
        <patternFill>
          <bgColor rgb="FFFFFF00"/>
        </patternFill>
      </fill>
    </dxf>
    <dxf>
      <font>
        <u/>
      </font>
      <numFmt numFmtId="196" formatCode="0.000000_ "/>
      <fill>
        <patternFill>
          <bgColor rgb="FFFFFF00"/>
        </patternFill>
      </fill>
    </dxf>
    <dxf>
      <font>
        <u/>
      </font>
      <numFmt numFmtId="197" formatCode="0.0000000_ "/>
      <fill>
        <patternFill>
          <bgColor rgb="FFFFFF00"/>
        </patternFill>
      </fill>
    </dxf>
    <dxf>
      <font>
        <u/>
      </font>
      <numFmt numFmtId="198" formatCode="0.00000000_ "/>
      <fill>
        <patternFill>
          <bgColor rgb="FFFFFF00"/>
        </patternFill>
      </fill>
    </dxf>
    <dxf>
      <numFmt numFmtId="0" formatCode="General"/>
    </dxf>
    <dxf>
      <numFmt numFmtId="198" formatCode="0.00000000_ "/>
    </dxf>
    <dxf>
      <numFmt numFmtId="197" formatCode="0.0000000_ "/>
    </dxf>
    <dxf>
      <font>
        <color theme="0"/>
      </font>
      <border>
        <left/>
        <right/>
        <bottom/>
      </border>
    </dxf>
    <dxf>
      <font>
        <u/>
      </font>
      <numFmt numFmtId="194" formatCode="0_ "/>
      <fill>
        <patternFill>
          <bgColor rgb="FFFFFF00"/>
        </patternFill>
      </fill>
    </dxf>
    <dxf>
      <font>
        <u/>
      </font>
      <numFmt numFmtId="176" formatCode="0.0_ "/>
      <fill>
        <patternFill>
          <bgColor rgb="FFFFFF00"/>
        </patternFill>
      </fill>
    </dxf>
    <dxf>
      <font>
        <u/>
      </font>
      <numFmt numFmtId="177" formatCode="0.00_ "/>
      <fill>
        <patternFill>
          <bgColor rgb="FFFFFF00"/>
        </patternFill>
      </fill>
    </dxf>
    <dxf>
      <font>
        <u/>
      </font>
      <numFmt numFmtId="198" formatCode="0.00000000_ "/>
      <fill>
        <patternFill>
          <bgColor rgb="FFFFFF00"/>
        </patternFill>
      </fill>
    </dxf>
    <dxf>
      <font>
        <u/>
      </font>
      <numFmt numFmtId="178" formatCode="0.000_ "/>
      <fill>
        <patternFill>
          <bgColor rgb="FFFFFF00"/>
        </patternFill>
      </fill>
    </dxf>
    <dxf>
      <font>
        <u/>
      </font>
      <numFmt numFmtId="180" formatCode="0.0000_ "/>
      <fill>
        <patternFill>
          <bgColor rgb="FFFFFF00"/>
        </patternFill>
      </fill>
    </dxf>
    <dxf>
      <numFmt numFmtId="178" formatCode="0.000_ "/>
    </dxf>
    <dxf>
      <font>
        <u/>
      </font>
      <numFmt numFmtId="195" formatCode="0.00000_ "/>
      <fill>
        <patternFill>
          <bgColor rgb="FFFFFF00"/>
        </patternFill>
      </fill>
    </dxf>
    <dxf>
      <font>
        <u/>
      </font>
      <numFmt numFmtId="196" formatCode="0.000000_ "/>
      <fill>
        <patternFill>
          <bgColor rgb="FFFFFF00"/>
        </patternFill>
      </fill>
    </dxf>
    <dxf>
      <font>
        <u/>
      </font>
      <numFmt numFmtId="197" formatCode="0.0000000_ "/>
      <fill>
        <patternFill>
          <bgColor rgb="FFFFFF00"/>
        </patternFill>
      </fill>
    </dxf>
    <dxf>
      <numFmt numFmtId="180" formatCode="0.0000_ "/>
    </dxf>
    <dxf>
      <numFmt numFmtId="177" formatCode="0.00_ "/>
    </dxf>
    <dxf>
      <numFmt numFmtId="176" formatCode="0.0_ "/>
    </dxf>
    <dxf>
      <numFmt numFmtId="194" formatCode="0_ "/>
    </dxf>
    <dxf>
      <font>
        <u/>
        <color auto="1"/>
      </font>
      <numFmt numFmtId="0" formatCode="General"/>
      <fill>
        <patternFill>
          <bgColor rgb="FFFFFF00"/>
        </patternFill>
      </fill>
    </dxf>
    <dxf>
      <numFmt numFmtId="195" formatCode="0.00000_ "/>
    </dxf>
    <dxf>
      <numFmt numFmtId="196" formatCode="0.000000_ "/>
    </dxf>
    <dxf>
      <numFmt numFmtId="197" formatCode="0.0000000_ "/>
    </dxf>
    <dxf>
      <numFmt numFmtId="198" formatCode="0.00000000_ "/>
    </dxf>
    <dxf>
      <numFmt numFmtId="0" formatCode="General"/>
    </dxf>
    <dxf>
      <font>
        <u/>
      </font>
      <numFmt numFmtId="178" formatCode="0.000_ "/>
      <fill>
        <patternFill>
          <bgColor rgb="FFFFFF00"/>
        </patternFill>
      </fill>
    </dxf>
    <dxf>
      <font>
        <u/>
      </font>
      <numFmt numFmtId="176" formatCode="0.0_ "/>
      <fill>
        <patternFill>
          <bgColor rgb="FFFFFF00"/>
        </patternFill>
      </fill>
    </dxf>
    <dxf>
      <font>
        <u/>
      </font>
      <numFmt numFmtId="194" formatCode="0_ "/>
      <fill>
        <patternFill>
          <bgColor rgb="FFFFFF00"/>
        </patternFill>
      </fill>
    </dxf>
    <dxf>
      <font>
        <u/>
      </font>
      <numFmt numFmtId="0" formatCode="General"/>
      <fill>
        <patternFill>
          <bgColor rgb="FFFFFF00"/>
        </patternFill>
      </fill>
    </dxf>
    <dxf>
      <font>
        <u/>
      </font>
      <numFmt numFmtId="177" formatCode="0.00_ "/>
      <fill>
        <patternFill>
          <bgColor rgb="FFFFFF00"/>
        </patternFill>
      </fill>
    </dxf>
    <dxf>
      <font>
        <u/>
      </font>
      <numFmt numFmtId="198" formatCode="0.00000000_ "/>
      <fill>
        <patternFill>
          <bgColor rgb="FFFFFF00"/>
        </patternFill>
      </fill>
    </dxf>
    <dxf>
      <font>
        <u/>
      </font>
      <numFmt numFmtId="197" formatCode="0.0000000_ "/>
      <fill>
        <patternFill>
          <bgColor rgb="FFFFFF00"/>
        </patternFill>
      </fill>
    </dxf>
    <dxf>
      <font>
        <u/>
      </font>
      <numFmt numFmtId="196" formatCode="0.000000_ "/>
      <fill>
        <patternFill>
          <bgColor rgb="FFFFFF00"/>
        </patternFill>
      </fill>
    </dxf>
    <dxf>
      <font>
        <u/>
      </font>
      <numFmt numFmtId="195" formatCode="0.00000_ "/>
      <fill>
        <patternFill>
          <bgColor rgb="FFFFFF00"/>
        </patternFill>
      </fill>
    </dxf>
    <dxf>
      <font>
        <u/>
      </font>
      <numFmt numFmtId="180" formatCode="0.0000_ "/>
      <fill>
        <patternFill>
          <bgColor rgb="FFFFFF00"/>
        </patternFill>
      </fill>
    </dxf>
    <dxf>
      <numFmt numFmtId="195" formatCode="0.00000_ "/>
    </dxf>
    <dxf>
      <numFmt numFmtId="196" formatCode="0.000000_ "/>
    </dxf>
    <dxf>
      <numFmt numFmtId="197" formatCode="0.0000000_ "/>
    </dxf>
    <dxf>
      <numFmt numFmtId="198" formatCode="0.00000000_ "/>
    </dxf>
    <dxf>
      <numFmt numFmtId="180" formatCode="0.0000_ "/>
    </dxf>
    <dxf>
      <numFmt numFmtId="178" formatCode="0.000_ "/>
    </dxf>
    <dxf>
      <numFmt numFmtId="177" formatCode="0.00_ "/>
    </dxf>
    <dxf>
      <numFmt numFmtId="176" formatCode="0.0_ "/>
    </dxf>
    <dxf>
      <numFmt numFmtId="194" formatCode="0_ "/>
    </dxf>
    <dxf>
      <numFmt numFmtId="0" formatCode="General"/>
    </dxf>
    <dxf>
      <font>
        <u/>
      </font>
      <numFmt numFmtId="194" formatCode="0_ "/>
      <fill>
        <patternFill>
          <bgColor rgb="FFFFFF00"/>
        </patternFill>
      </fill>
    </dxf>
    <dxf>
      <font>
        <u/>
      </font>
      <numFmt numFmtId="0" formatCode="General"/>
      <fill>
        <patternFill>
          <bgColor rgb="FFFFFF00"/>
        </patternFill>
      </fill>
    </dxf>
    <dxf>
      <font>
        <u/>
      </font>
      <numFmt numFmtId="176" formatCode="0.0_ "/>
      <fill>
        <patternFill>
          <bgColor rgb="FFFFFF00"/>
        </patternFill>
      </fill>
    </dxf>
    <dxf>
      <font>
        <u/>
      </font>
      <numFmt numFmtId="177" formatCode="0.00_ "/>
      <fill>
        <patternFill>
          <bgColor rgb="FFFFFF00"/>
        </patternFill>
      </fill>
    </dxf>
    <dxf>
      <font>
        <u/>
      </font>
      <numFmt numFmtId="178" formatCode="0.000_ "/>
      <fill>
        <patternFill>
          <bgColor rgb="FFFFFF00"/>
        </patternFill>
      </fill>
    </dxf>
    <dxf>
      <font>
        <u/>
      </font>
      <numFmt numFmtId="180" formatCode="0.0000_ "/>
      <fill>
        <patternFill>
          <bgColor rgb="FFFFFF00"/>
        </patternFill>
      </fill>
    </dxf>
    <dxf>
      <font>
        <u/>
      </font>
      <numFmt numFmtId="195" formatCode="0.00000_ "/>
      <fill>
        <patternFill>
          <bgColor rgb="FFFFFF00"/>
        </patternFill>
      </fill>
    </dxf>
    <dxf>
      <font>
        <u/>
      </font>
      <numFmt numFmtId="196" formatCode="0.000000_ "/>
      <fill>
        <patternFill>
          <bgColor rgb="FFFFFF00"/>
        </patternFill>
      </fill>
    </dxf>
    <dxf>
      <font>
        <u/>
      </font>
      <numFmt numFmtId="197" formatCode="0.0000000_ "/>
      <fill>
        <patternFill>
          <bgColor rgb="FFFFFF00"/>
        </patternFill>
      </fill>
    </dxf>
    <dxf>
      <font>
        <u/>
      </font>
      <numFmt numFmtId="198" formatCode="0.00000000_ "/>
      <fill>
        <patternFill>
          <bgColor rgb="FFFFFF00"/>
        </patternFill>
      </fill>
    </dxf>
    <dxf>
      <numFmt numFmtId="178" formatCode="0.000_ "/>
    </dxf>
    <dxf>
      <numFmt numFmtId="177" formatCode="0.00_ "/>
    </dxf>
    <dxf>
      <numFmt numFmtId="176" formatCode="0.0_ "/>
    </dxf>
    <dxf>
      <numFmt numFmtId="194" formatCode="0_ "/>
    </dxf>
    <dxf>
      <numFmt numFmtId="0" formatCode="General"/>
    </dxf>
    <dxf>
      <numFmt numFmtId="180" formatCode="0.0000_ "/>
    </dxf>
    <dxf>
      <numFmt numFmtId="195" formatCode="0.00000_ "/>
    </dxf>
    <dxf>
      <numFmt numFmtId="197" formatCode="0.0000000_ "/>
    </dxf>
    <dxf>
      <numFmt numFmtId="198" formatCode="0.00000000_ "/>
    </dxf>
    <dxf>
      <numFmt numFmtId="197" formatCode="0.0000000_ "/>
    </dxf>
    <dxf>
      <numFmt numFmtId="198" formatCode="0.00000000_ "/>
    </dxf>
    <dxf>
      <numFmt numFmtId="195" formatCode="0.00000_ "/>
    </dxf>
    <dxf>
      <numFmt numFmtId="180" formatCode="0.0000_ "/>
    </dxf>
    <dxf>
      <numFmt numFmtId="178" formatCode="0.000_ "/>
    </dxf>
    <dxf>
      <numFmt numFmtId="176" formatCode="0.0_ "/>
    </dxf>
    <dxf>
      <numFmt numFmtId="177" formatCode="0.00_ "/>
    </dxf>
    <dxf>
      <numFmt numFmtId="194" formatCode="0_ "/>
    </dxf>
    <dxf>
      <numFmt numFmtId="0" formatCode="General"/>
    </dxf>
    <dxf>
      <numFmt numFmtId="197" formatCode="0.0000000_ "/>
    </dxf>
    <dxf>
      <numFmt numFmtId="177" formatCode="0.00_ "/>
    </dxf>
    <dxf>
      <numFmt numFmtId="178" formatCode="0.000_ "/>
    </dxf>
    <dxf>
      <numFmt numFmtId="180" formatCode="0.0000_ "/>
    </dxf>
    <dxf>
      <numFmt numFmtId="176" formatCode="0.0_ "/>
    </dxf>
    <dxf>
      <numFmt numFmtId="198" formatCode="0.00000000_ "/>
    </dxf>
    <dxf>
      <numFmt numFmtId="195" formatCode="0.00000_ "/>
    </dxf>
    <dxf>
      <numFmt numFmtId="0" formatCode="General"/>
    </dxf>
    <dxf>
      <numFmt numFmtId="194" formatCode="0_ "/>
    </dxf>
    <dxf>
      <numFmt numFmtId="197" formatCode="0.0000000_ "/>
    </dxf>
    <dxf>
      <numFmt numFmtId="180" formatCode="0.0000_ "/>
    </dxf>
    <dxf>
      <numFmt numFmtId="178" formatCode="0.000_ "/>
    </dxf>
    <dxf>
      <numFmt numFmtId="177" formatCode="0.00_ "/>
    </dxf>
    <dxf>
      <numFmt numFmtId="176" formatCode="0.0_ "/>
    </dxf>
    <dxf>
      <numFmt numFmtId="194" formatCode="0_ "/>
    </dxf>
    <dxf>
      <numFmt numFmtId="195" formatCode="0.00000_ "/>
    </dxf>
    <dxf>
      <numFmt numFmtId="0" formatCode="General"/>
    </dxf>
    <dxf>
      <numFmt numFmtId="198" formatCode="0.00000000_ "/>
    </dxf>
    <dxf>
      <numFmt numFmtId="177" formatCode="0.00_ "/>
    </dxf>
    <dxf>
      <numFmt numFmtId="198" formatCode="0.00000000_ "/>
    </dxf>
    <dxf>
      <numFmt numFmtId="197" formatCode="0.0000000_ "/>
    </dxf>
    <dxf>
      <numFmt numFmtId="195" formatCode="0.00000_ "/>
    </dxf>
    <dxf>
      <numFmt numFmtId="180" formatCode="0.0000_ "/>
    </dxf>
    <dxf>
      <numFmt numFmtId="178" formatCode="0.000_ "/>
    </dxf>
    <dxf>
      <numFmt numFmtId="176" formatCode="0.0_ "/>
    </dxf>
    <dxf>
      <numFmt numFmtId="194" formatCode="0_ "/>
    </dxf>
    <dxf>
      <numFmt numFmtId="0" formatCode="General"/>
    </dxf>
    <dxf>
      <numFmt numFmtId="194" formatCode="0_ "/>
    </dxf>
    <dxf>
      <numFmt numFmtId="198" formatCode="0.00000000_ "/>
    </dxf>
    <dxf>
      <numFmt numFmtId="197" formatCode="0.0000000_ "/>
    </dxf>
    <dxf>
      <numFmt numFmtId="195" formatCode="0.00000_ "/>
    </dxf>
    <dxf>
      <numFmt numFmtId="180" formatCode="0.0000_ "/>
    </dxf>
    <dxf>
      <numFmt numFmtId="178" formatCode="0.000_ "/>
    </dxf>
    <dxf>
      <numFmt numFmtId="177" formatCode="0.00_ "/>
    </dxf>
    <dxf>
      <numFmt numFmtId="176" formatCode="0.0_ "/>
    </dxf>
    <dxf>
      <numFmt numFmtId="0" formatCode="General"/>
    </dxf>
    <dxf>
      <font>
        <color theme="0"/>
      </font>
      <fill>
        <patternFill patternType="none">
          <bgColor indexed="65"/>
        </patternFill>
      </fill>
    </dxf>
    <dxf>
      <font>
        <color theme="0"/>
      </font>
      <border>
        <left/>
        <right/>
        <bottom/>
      </border>
    </dxf>
    <dxf>
      <font>
        <color theme="0"/>
      </font>
      <fill>
        <patternFill patternType="none">
          <bgColor indexed="65"/>
        </patternFill>
      </fill>
    </dxf>
    <dxf>
      <font>
        <color theme="0"/>
      </font>
      <border>
        <left/>
        <right/>
        <bottom/>
      </border>
    </dxf>
    <dxf>
      <font>
        <color theme="0"/>
      </font>
      <border>
        <left/>
        <right/>
        <bottom/>
      </border>
    </dxf>
    <dxf>
      <numFmt numFmtId="194" formatCode="0_ "/>
    </dxf>
    <dxf>
      <font>
        <u/>
        <color auto="1"/>
      </font>
      <numFmt numFmtId="0" formatCode="General"/>
      <fill>
        <patternFill>
          <bgColor rgb="FFFFFF00"/>
        </patternFill>
      </fill>
    </dxf>
    <dxf>
      <font>
        <u/>
      </font>
      <numFmt numFmtId="194" formatCode="0_ "/>
      <fill>
        <patternFill>
          <bgColor rgb="FFFFFF00"/>
        </patternFill>
      </fill>
    </dxf>
    <dxf>
      <font>
        <u/>
      </font>
      <numFmt numFmtId="176" formatCode="0.0_ "/>
      <fill>
        <patternFill>
          <bgColor rgb="FFFFFF00"/>
        </patternFill>
      </fill>
    </dxf>
    <dxf>
      <font>
        <u/>
      </font>
      <numFmt numFmtId="177" formatCode="0.00_ "/>
      <fill>
        <patternFill>
          <bgColor rgb="FFFFFF00"/>
        </patternFill>
      </fill>
    </dxf>
    <dxf>
      <font>
        <u/>
      </font>
      <numFmt numFmtId="178" formatCode="0.000_ "/>
      <fill>
        <patternFill>
          <bgColor rgb="FFFFFF00"/>
        </patternFill>
      </fill>
    </dxf>
    <dxf>
      <font>
        <u/>
      </font>
      <numFmt numFmtId="180" formatCode="0.0000_ "/>
      <fill>
        <patternFill>
          <bgColor rgb="FFFFFF00"/>
        </patternFill>
      </fill>
    </dxf>
    <dxf>
      <font>
        <u/>
      </font>
      <numFmt numFmtId="195" formatCode="0.00000_ "/>
      <fill>
        <patternFill>
          <bgColor rgb="FFFFFF00"/>
        </patternFill>
      </fill>
    </dxf>
    <dxf>
      <font>
        <u/>
      </font>
      <numFmt numFmtId="196" formatCode="0.000000_ "/>
      <fill>
        <patternFill>
          <bgColor rgb="FFFFFF00"/>
        </patternFill>
      </fill>
    </dxf>
    <dxf>
      <font>
        <u/>
      </font>
      <numFmt numFmtId="197" formatCode="0.0000000_ "/>
      <fill>
        <patternFill>
          <bgColor rgb="FFFFFF00"/>
        </patternFill>
      </fill>
    </dxf>
    <dxf>
      <font>
        <u/>
      </font>
      <numFmt numFmtId="198" formatCode="0.00000000_ "/>
      <fill>
        <patternFill>
          <bgColor rgb="FFFFFF00"/>
        </patternFill>
      </fill>
    </dxf>
    <dxf>
      <numFmt numFmtId="0" formatCode="General"/>
    </dxf>
    <dxf>
      <numFmt numFmtId="198" formatCode="0.00000000_ "/>
    </dxf>
    <dxf>
      <numFmt numFmtId="197" formatCode="0.0000000_ "/>
    </dxf>
    <dxf>
      <numFmt numFmtId="196" formatCode="0.000000_ "/>
    </dxf>
    <dxf>
      <numFmt numFmtId="195" formatCode="0.00000_ "/>
    </dxf>
    <dxf>
      <numFmt numFmtId="180" formatCode="0.0000_ "/>
    </dxf>
    <dxf>
      <numFmt numFmtId="176" formatCode="0.0_ "/>
    </dxf>
    <dxf>
      <numFmt numFmtId="178" formatCode="0.000_ "/>
    </dxf>
    <dxf>
      <numFmt numFmtId="177" formatCode="0.00_ "/>
    </dxf>
    <dxf>
      <numFmt numFmtId="198" formatCode="0.00000000_ "/>
    </dxf>
    <dxf>
      <numFmt numFmtId="197" formatCode="0.0000000_ "/>
    </dxf>
    <dxf>
      <numFmt numFmtId="195" formatCode="0.00000_ "/>
    </dxf>
    <dxf>
      <numFmt numFmtId="180" formatCode="0.0000_ "/>
    </dxf>
    <dxf>
      <numFmt numFmtId="178" formatCode="0.000_ "/>
    </dxf>
    <dxf>
      <numFmt numFmtId="177" formatCode="0.00_ "/>
    </dxf>
    <dxf>
      <numFmt numFmtId="176" formatCode="0.0_ "/>
    </dxf>
    <dxf>
      <numFmt numFmtId="194" formatCode="0_ "/>
    </dxf>
    <dxf>
      <numFmt numFmtId="0" formatCode="General"/>
    </dxf>
    <dxf>
      <font>
        <u/>
      </font>
      <numFmt numFmtId="195" formatCode="0.00000_ "/>
      <fill>
        <patternFill>
          <bgColor rgb="FFFFFF00"/>
        </patternFill>
      </fill>
    </dxf>
    <dxf>
      <font>
        <u/>
      </font>
      <numFmt numFmtId="198" formatCode="0.00000000_ "/>
      <fill>
        <patternFill>
          <bgColor rgb="FFFFFF00"/>
        </patternFill>
      </fill>
    </dxf>
    <dxf>
      <font>
        <u/>
      </font>
      <numFmt numFmtId="197" formatCode="0.0000000_ "/>
      <fill>
        <patternFill>
          <bgColor rgb="FFFFFF00"/>
        </patternFill>
      </fill>
    </dxf>
    <dxf>
      <font>
        <u/>
      </font>
      <numFmt numFmtId="196" formatCode="0.000000_ "/>
      <fill>
        <patternFill>
          <bgColor rgb="FFFFFF00"/>
        </patternFill>
      </fill>
    </dxf>
    <dxf>
      <font>
        <u/>
      </font>
      <numFmt numFmtId="180" formatCode="0.0000_ "/>
      <fill>
        <patternFill>
          <bgColor rgb="FFFFFF00"/>
        </patternFill>
      </fill>
    </dxf>
    <dxf>
      <font>
        <u/>
      </font>
      <numFmt numFmtId="178" formatCode="0.000_ "/>
      <fill>
        <patternFill>
          <bgColor rgb="FFFFFF00"/>
        </patternFill>
      </fill>
    </dxf>
    <dxf>
      <font>
        <u/>
      </font>
      <numFmt numFmtId="177" formatCode="0.00_ "/>
      <fill>
        <patternFill>
          <bgColor rgb="FFFFFF00"/>
        </patternFill>
      </fill>
    </dxf>
    <dxf>
      <font>
        <u/>
      </font>
      <numFmt numFmtId="176" formatCode="0.0_ "/>
      <fill>
        <patternFill>
          <bgColor rgb="FFFFFF00"/>
        </patternFill>
      </fill>
    </dxf>
    <dxf>
      <font>
        <u/>
      </font>
      <numFmt numFmtId="194" formatCode="0_ "/>
      <fill>
        <patternFill>
          <bgColor rgb="FFFFFF00"/>
        </patternFill>
      </fill>
    </dxf>
    <dxf>
      <font>
        <u/>
        <color auto="1"/>
      </font>
      <numFmt numFmtId="0" formatCode="General"/>
      <fill>
        <patternFill>
          <bgColor rgb="FFFFFF00"/>
        </patternFill>
      </fill>
    </dxf>
    <dxf>
      <numFmt numFmtId="194" formatCode="0_ "/>
    </dxf>
    <dxf>
      <numFmt numFmtId="176" formatCode="0.0_ "/>
    </dxf>
    <dxf>
      <numFmt numFmtId="177" formatCode="0.00_ "/>
    </dxf>
    <dxf>
      <numFmt numFmtId="178" formatCode="0.000_ "/>
    </dxf>
    <dxf>
      <numFmt numFmtId="180" formatCode="0.0000_ "/>
    </dxf>
    <dxf>
      <numFmt numFmtId="195" formatCode="0.00000_ "/>
    </dxf>
    <dxf>
      <numFmt numFmtId="196" formatCode="0.000000_ "/>
    </dxf>
    <dxf>
      <numFmt numFmtId="197" formatCode="0.0000000_ "/>
    </dxf>
    <dxf>
      <numFmt numFmtId="198" formatCode="0.00000000_ "/>
    </dxf>
    <dxf>
      <numFmt numFmtId="0" formatCode="General"/>
    </dxf>
    <dxf>
      <numFmt numFmtId="197" formatCode="0.0000000_ "/>
    </dxf>
    <dxf>
      <numFmt numFmtId="196" formatCode="0.000000_ "/>
    </dxf>
    <dxf>
      <numFmt numFmtId="180" formatCode="0.0000_ "/>
    </dxf>
    <dxf>
      <numFmt numFmtId="178" formatCode="0.000_ "/>
    </dxf>
    <dxf>
      <numFmt numFmtId="195" formatCode="0.00000_ "/>
    </dxf>
    <dxf>
      <numFmt numFmtId="177" formatCode="0.00_ "/>
    </dxf>
    <dxf>
      <numFmt numFmtId="176" formatCode="0.0_ "/>
    </dxf>
    <dxf>
      <numFmt numFmtId="194" formatCode="0_ "/>
    </dxf>
    <dxf>
      <font>
        <u/>
        <color auto="1"/>
      </font>
      <numFmt numFmtId="0" formatCode="General"/>
      <fill>
        <patternFill>
          <bgColor rgb="FFFFFF00"/>
        </patternFill>
      </fill>
    </dxf>
    <dxf>
      <font>
        <u/>
      </font>
      <numFmt numFmtId="194" formatCode="0_ "/>
      <fill>
        <patternFill>
          <bgColor rgb="FFFFFF00"/>
        </patternFill>
      </fill>
    </dxf>
    <dxf>
      <font>
        <u/>
      </font>
      <numFmt numFmtId="176" formatCode="0.0_ "/>
      <fill>
        <patternFill>
          <bgColor rgb="FFFFFF00"/>
        </patternFill>
      </fill>
    </dxf>
    <dxf>
      <font>
        <u/>
      </font>
      <numFmt numFmtId="177" formatCode="0.00_ "/>
      <fill>
        <patternFill>
          <bgColor rgb="FFFFFF00"/>
        </patternFill>
      </fill>
    </dxf>
    <dxf>
      <font>
        <u/>
      </font>
      <numFmt numFmtId="178" formatCode="0.000_ "/>
      <fill>
        <patternFill>
          <bgColor rgb="FFFFFF00"/>
        </patternFill>
      </fill>
    </dxf>
    <dxf>
      <font>
        <u/>
      </font>
      <numFmt numFmtId="180" formatCode="0.0000_ "/>
      <fill>
        <patternFill>
          <bgColor rgb="FFFFFF00"/>
        </patternFill>
      </fill>
    </dxf>
    <dxf>
      <font>
        <u/>
      </font>
      <numFmt numFmtId="195" formatCode="0.00000_ "/>
      <fill>
        <patternFill>
          <bgColor rgb="FFFFFF00"/>
        </patternFill>
      </fill>
    </dxf>
    <dxf>
      <font>
        <u/>
      </font>
      <numFmt numFmtId="196" formatCode="0.000000_ "/>
      <fill>
        <patternFill>
          <bgColor rgb="FFFFFF00"/>
        </patternFill>
      </fill>
    </dxf>
    <dxf>
      <font>
        <u/>
      </font>
      <numFmt numFmtId="197" formatCode="0.0000000_ "/>
      <fill>
        <patternFill>
          <bgColor rgb="FFFFFF00"/>
        </patternFill>
      </fill>
    </dxf>
    <dxf>
      <font>
        <u/>
      </font>
      <numFmt numFmtId="198" formatCode="0.00000000_ "/>
      <fill>
        <patternFill>
          <bgColor rgb="FFFFFF00"/>
        </patternFill>
      </fill>
    </dxf>
    <dxf>
      <numFmt numFmtId="0" formatCode="General"/>
    </dxf>
    <dxf>
      <numFmt numFmtId="198" formatCode="0.00000000_ "/>
    </dxf>
    <dxf>
      <font>
        <color theme="0"/>
      </font>
      <border>
        <left/>
        <right/>
        <bottom/>
      </border>
    </dxf>
    <dxf>
      <numFmt numFmtId="178" formatCode="0.000_ "/>
    </dxf>
    <dxf>
      <numFmt numFmtId="177" formatCode="0.00_ "/>
    </dxf>
    <dxf>
      <numFmt numFmtId="176" formatCode="0.0_ "/>
    </dxf>
    <dxf>
      <numFmt numFmtId="194" formatCode="0_ "/>
    </dxf>
    <dxf>
      <numFmt numFmtId="0" formatCode="General"/>
    </dxf>
    <dxf>
      <numFmt numFmtId="180" formatCode="0.0000_ "/>
    </dxf>
    <dxf>
      <numFmt numFmtId="195" formatCode="0.00000_ "/>
    </dxf>
    <dxf>
      <numFmt numFmtId="197" formatCode="0.0000000_ "/>
    </dxf>
    <dxf>
      <numFmt numFmtId="198" formatCode="0.00000000_ "/>
    </dxf>
    <dxf>
      <numFmt numFmtId="197" formatCode="0.0000000_ "/>
    </dxf>
    <dxf>
      <numFmt numFmtId="198" formatCode="0.00000000_ "/>
    </dxf>
    <dxf>
      <numFmt numFmtId="195" formatCode="0.00000_ "/>
    </dxf>
    <dxf>
      <numFmt numFmtId="180" formatCode="0.0000_ "/>
    </dxf>
    <dxf>
      <numFmt numFmtId="178" formatCode="0.000_ "/>
    </dxf>
    <dxf>
      <numFmt numFmtId="176" formatCode="0.0_ "/>
    </dxf>
    <dxf>
      <numFmt numFmtId="177" formatCode="0.00_ "/>
    </dxf>
    <dxf>
      <numFmt numFmtId="194" formatCode="0_ "/>
    </dxf>
    <dxf>
      <numFmt numFmtId="0" formatCode="General"/>
    </dxf>
    <dxf>
      <numFmt numFmtId="197" formatCode="0.0000000_ "/>
    </dxf>
    <dxf>
      <numFmt numFmtId="177" formatCode="0.00_ "/>
    </dxf>
    <dxf>
      <numFmt numFmtId="178" formatCode="0.000_ "/>
    </dxf>
    <dxf>
      <numFmt numFmtId="180" formatCode="0.0000_ "/>
    </dxf>
    <dxf>
      <numFmt numFmtId="176" formatCode="0.0_ "/>
    </dxf>
    <dxf>
      <numFmt numFmtId="198" formatCode="0.00000000_ "/>
    </dxf>
    <dxf>
      <numFmt numFmtId="195" formatCode="0.00000_ "/>
    </dxf>
    <dxf>
      <numFmt numFmtId="0" formatCode="General"/>
    </dxf>
    <dxf>
      <numFmt numFmtId="194" formatCode="0_ "/>
    </dxf>
    <dxf>
      <numFmt numFmtId="197" formatCode="0.0000000_ "/>
    </dxf>
    <dxf>
      <numFmt numFmtId="180" formatCode="0.0000_ "/>
    </dxf>
    <dxf>
      <numFmt numFmtId="178" formatCode="0.000_ "/>
    </dxf>
    <dxf>
      <numFmt numFmtId="177" formatCode="0.00_ "/>
    </dxf>
    <dxf>
      <numFmt numFmtId="176" formatCode="0.0_ "/>
    </dxf>
    <dxf>
      <numFmt numFmtId="194" formatCode="0_ "/>
    </dxf>
    <dxf>
      <numFmt numFmtId="195" formatCode="0.00000_ "/>
    </dxf>
    <dxf>
      <numFmt numFmtId="0" formatCode="General"/>
    </dxf>
    <dxf>
      <numFmt numFmtId="198" formatCode="0.00000000_ "/>
    </dxf>
    <dxf>
      <numFmt numFmtId="177" formatCode="0.00_ "/>
    </dxf>
    <dxf>
      <numFmt numFmtId="198" formatCode="0.00000000_ "/>
    </dxf>
    <dxf>
      <numFmt numFmtId="197" formatCode="0.0000000_ "/>
    </dxf>
    <dxf>
      <numFmt numFmtId="195" formatCode="0.00000_ "/>
    </dxf>
    <dxf>
      <numFmt numFmtId="180" formatCode="0.0000_ "/>
    </dxf>
    <dxf>
      <numFmt numFmtId="178" formatCode="0.000_ "/>
    </dxf>
    <dxf>
      <numFmt numFmtId="176" formatCode="0.0_ "/>
    </dxf>
    <dxf>
      <numFmt numFmtId="194" formatCode="0_ "/>
    </dxf>
    <dxf>
      <numFmt numFmtId="0" formatCode="General"/>
    </dxf>
    <dxf>
      <numFmt numFmtId="194" formatCode="0_ "/>
    </dxf>
    <dxf>
      <numFmt numFmtId="198" formatCode="0.00000000_ "/>
    </dxf>
    <dxf>
      <numFmt numFmtId="197" formatCode="0.0000000_ "/>
    </dxf>
    <dxf>
      <numFmt numFmtId="195" formatCode="0.00000_ "/>
    </dxf>
    <dxf>
      <numFmt numFmtId="180" formatCode="0.0000_ "/>
    </dxf>
    <dxf>
      <numFmt numFmtId="178" formatCode="0.000_ "/>
    </dxf>
    <dxf>
      <numFmt numFmtId="177" formatCode="0.00_ "/>
    </dxf>
    <dxf>
      <numFmt numFmtId="176" formatCode="0.0_ "/>
    </dxf>
    <dxf>
      <numFmt numFmtId="0" formatCode="General"/>
    </dxf>
    <dxf>
      <font>
        <color theme="0"/>
      </font>
      <fill>
        <patternFill patternType="none">
          <bgColor indexed="65"/>
        </patternFill>
      </fill>
    </dxf>
    <dxf>
      <font>
        <color theme="0"/>
      </font>
      <border>
        <left/>
        <right/>
        <bottom/>
      </border>
    </dxf>
    <dxf>
      <font>
        <color theme="0"/>
      </font>
      <fill>
        <patternFill patternType="none">
          <bgColor indexed="65"/>
        </patternFill>
      </fill>
    </dxf>
    <dxf>
      <font>
        <color theme="0"/>
      </font>
      <border>
        <left/>
        <right/>
        <bottom/>
      </border>
    </dxf>
    <dxf>
      <font>
        <color theme="0"/>
      </font>
      <border>
        <left/>
        <right/>
        <bottom/>
      </border>
    </dxf>
    <dxf>
      <numFmt numFmtId="194" formatCode="0_ "/>
    </dxf>
    <dxf>
      <font>
        <u/>
        <color auto="1"/>
      </font>
      <numFmt numFmtId="0" formatCode="General"/>
      <fill>
        <patternFill>
          <bgColor rgb="FFFFFF00"/>
        </patternFill>
      </fill>
    </dxf>
    <dxf>
      <font>
        <u/>
      </font>
      <numFmt numFmtId="194" formatCode="0_ "/>
      <fill>
        <patternFill>
          <bgColor rgb="FFFFFF00"/>
        </patternFill>
      </fill>
    </dxf>
    <dxf>
      <font>
        <u/>
      </font>
      <numFmt numFmtId="176" formatCode="0.0_ "/>
      <fill>
        <patternFill>
          <bgColor rgb="FFFFFF00"/>
        </patternFill>
      </fill>
    </dxf>
    <dxf>
      <font>
        <u/>
      </font>
      <numFmt numFmtId="177" formatCode="0.00_ "/>
      <fill>
        <patternFill>
          <bgColor rgb="FFFFFF00"/>
        </patternFill>
      </fill>
    </dxf>
    <dxf>
      <font>
        <u/>
      </font>
      <numFmt numFmtId="178" formatCode="0.000_ "/>
      <fill>
        <patternFill>
          <bgColor rgb="FFFFFF00"/>
        </patternFill>
      </fill>
    </dxf>
    <dxf>
      <font>
        <u/>
      </font>
      <numFmt numFmtId="180" formatCode="0.0000_ "/>
      <fill>
        <patternFill>
          <bgColor rgb="FFFFFF00"/>
        </patternFill>
      </fill>
    </dxf>
    <dxf>
      <font>
        <u/>
      </font>
      <numFmt numFmtId="195" formatCode="0.00000_ "/>
      <fill>
        <patternFill>
          <bgColor rgb="FFFFFF00"/>
        </patternFill>
      </fill>
    </dxf>
    <dxf>
      <font>
        <u/>
      </font>
      <numFmt numFmtId="196" formatCode="0.000000_ "/>
      <fill>
        <patternFill>
          <bgColor rgb="FFFFFF00"/>
        </patternFill>
      </fill>
    </dxf>
    <dxf>
      <font>
        <u/>
      </font>
      <numFmt numFmtId="197" formatCode="0.0000000_ "/>
      <fill>
        <patternFill>
          <bgColor rgb="FFFFFF00"/>
        </patternFill>
      </fill>
    </dxf>
    <dxf>
      <font>
        <u/>
      </font>
      <numFmt numFmtId="198" formatCode="0.00000000_ "/>
      <fill>
        <patternFill>
          <bgColor rgb="FFFFFF00"/>
        </patternFill>
      </fill>
    </dxf>
    <dxf>
      <numFmt numFmtId="0" formatCode="General"/>
    </dxf>
    <dxf>
      <numFmt numFmtId="198" formatCode="0.00000000_ "/>
    </dxf>
    <dxf>
      <numFmt numFmtId="197" formatCode="0.0000000_ "/>
    </dxf>
    <dxf>
      <numFmt numFmtId="196" formatCode="0.000000_ "/>
    </dxf>
    <dxf>
      <numFmt numFmtId="195" formatCode="0.00000_ "/>
    </dxf>
    <dxf>
      <numFmt numFmtId="180" formatCode="0.0000_ "/>
    </dxf>
    <dxf>
      <numFmt numFmtId="176" formatCode="0.0_ "/>
    </dxf>
    <dxf>
      <numFmt numFmtId="178" formatCode="0.000_ "/>
    </dxf>
    <dxf>
      <numFmt numFmtId="177" formatCode="0.00_ "/>
    </dxf>
    <dxf>
      <numFmt numFmtId="198" formatCode="0.00000000_ "/>
    </dxf>
    <dxf>
      <numFmt numFmtId="197" formatCode="0.0000000_ "/>
    </dxf>
    <dxf>
      <numFmt numFmtId="195" formatCode="0.00000_ "/>
    </dxf>
    <dxf>
      <numFmt numFmtId="180" formatCode="0.0000_ "/>
    </dxf>
    <dxf>
      <numFmt numFmtId="178" formatCode="0.000_ "/>
    </dxf>
    <dxf>
      <numFmt numFmtId="177" formatCode="0.00_ "/>
    </dxf>
    <dxf>
      <numFmt numFmtId="176" formatCode="0.0_ "/>
    </dxf>
    <dxf>
      <numFmt numFmtId="194" formatCode="0_ "/>
    </dxf>
    <dxf>
      <numFmt numFmtId="0" formatCode="General"/>
    </dxf>
    <dxf>
      <font>
        <u/>
      </font>
      <numFmt numFmtId="195" formatCode="0.00000_ "/>
      <fill>
        <patternFill>
          <bgColor rgb="FFFFFF00"/>
        </patternFill>
      </fill>
    </dxf>
    <dxf>
      <font>
        <u/>
      </font>
      <numFmt numFmtId="198" formatCode="0.00000000_ "/>
      <fill>
        <patternFill>
          <bgColor rgb="FFFFFF00"/>
        </patternFill>
      </fill>
    </dxf>
    <dxf>
      <font>
        <u/>
      </font>
      <numFmt numFmtId="197" formatCode="0.0000000_ "/>
      <fill>
        <patternFill>
          <bgColor rgb="FFFFFF00"/>
        </patternFill>
      </fill>
    </dxf>
    <dxf>
      <font>
        <u/>
      </font>
      <numFmt numFmtId="196" formatCode="0.000000_ "/>
      <fill>
        <patternFill>
          <bgColor rgb="FFFFFF00"/>
        </patternFill>
      </fill>
    </dxf>
    <dxf>
      <font>
        <u/>
      </font>
      <numFmt numFmtId="180" formatCode="0.0000_ "/>
      <fill>
        <patternFill>
          <bgColor rgb="FFFFFF00"/>
        </patternFill>
      </fill>
    </dxf>
    <dxf>
      <font>
        <u/>
      </font>
      <numFmt numFmtId="178" formatCode="0.000_ "/>
      <fill>
        <patternFill>
          <bgColor rgb="FFFFFF00"/>
        </patternFill>
      </fill>
    </dxf>
    <dxf>
      <font>
        <u/>
      </font>
      <numFmt numFmtId="177" formatCode="0.00_ "/>
      <fill>
        <patternFill>
          <bgColor rgb="FFFFFF00"/>
        </patternFill>
      </fill>
    </dxf>
    <dxf>
      <font>
        <u/>
      </font>
      <numFmt numFmtId="176" formatCode="0.0_ "/>
      <fill>
        <patternFill>
          <bgColor rgb="FFFFFF00"/>
        </patternFill>
      </fill>
    </dxf>
    <dxf>
      <font>
        <u/>
      </font>
      <numFmt numFmtId="194" formatCode="0_ "/>
      <fill>
        <patternFill>
          <bgColor rgb="FFFFFF00"/>
        </patternFill>
      </fill>
    </dxf>
    <dxf>
      <font>
        <u/>
        <color auto="1"/>
      </font>
      <numFmt numFmtId="0" formatCode="General"/>
      <fill>
        <patternFill>
          <bgColor rgb="FFFFFF00"/>
        </patternFill>
      </fill>
    </dxf>
    <dxf>
      <numFmt numFmtId="194" formatCode="0_ "/>
    </dxf>
    <dxf>
      <numFmt numFmtId="176" formatCode="0.0_ "/>
    </dxf>
    <dxf>
      <numFmt numFmtId="177" formatCode="0.00_ "/>
    </dxf>
    <dxf>
      <numFmt numFmtId="178" formatCode="0.000_ "/>
    </dxf>
    <dxf>
      <numFmt numFmtId="180" formatCode="0.0000_ "/>
    </dxf>
    <dxf>
      <numFmt numFmtId="195" formatCode="0.00000_ "/>
    </dxf>
    <dxf>
      <numFmt numFmtId="196" formatCode="0.000000_ "/>
    </dxf>
    <dxf>
      <numFmt numFmtId="197" formatCode="0.0000000_ "/>
    </dxf>
    <dxf>
      <numFmt numFmtId="198" formatCode="0.00000000_ "/>
    </dxf>
    <dxf>
      <numFmt numFmtId="0" formatCode="General"/>
    </dxf>
    <dxf>
      <numFmt numFmtId="197" formatCode="0.0000000_ "/>
    </dxf>
    <dxf>
      <numFmt numFmtId="196" formatCode="0.000000_ "/>
    </dxf>
    <dxf>
      <numFmt numFmtId="180" formatCode="0.0000_ "/>
    </dxf>
    <dxf>
      <numFmt numFmtId="178" formatCode="0.000_ "/>
    </dxf>
    <dxf>
      <numFmt numFmtId="195" formatCode="0.00000_ "/>
    </dxf>
    <dxf>
      <numFmt numFmtId="177" formatCode="0.00_ "/>
    </dxf>
    <dxf>
      <numFmt numFmtId="176" formatCode="0.0_ "/>
    </dxf>
    <dxf>
      <numFmt numFmtId="194" formatCode="0_ "/>
    </dxf>
    <dxf>
      <font>
        <u/>
        <color auto="1"/>
      </font>
      <numFmt numFmtId="0" formatCode="General"/>
      <fill>
        <patternFill>
          <bgColor rgb="FFFFFF00"/>
        </patternFill>
      </fill>
    </dxf>
    <dxf>
      <font>
        <u/>
      </font>
      <numFmt numFmtId="194" formatCode="0_ "/>
      <fill>
        <patternFill>
          <bgColor rgb="FFFFFF00"/>
        </patternFill>
      </fill>
    </dxf>
    <dxf>
      <font>
        <u/>
      </font>
      <numFmt numFmtId="176" formatCode="0.0_ "/>
      <fill>
        <patternFill>
          <bgColor rgb="FFFFFF00"/>
        </patternFill>
      </fill>
    </dxf>
    <dxf>
      <font>
        <u/>
      </font>
      <numFmt numFmtId="177" formatCode="0.00_ "/>
      <fill>
        <patternFill>
          <bgColor rgb="FFFFFF00"/>
        </patternFill>
      </fill>
    </dxf>
    <dxf>
      <font>
        <u/>
      </font>
      <numFmt numFmtId="178" formatCode="0.000_ "/>
      <fill>
        <patternFill>
          <bgColor rgb="FFFFFF00"/>
        </patternFill>
      </fill>
    </dxf>
    <dxf>
      <font>
        <u/>
      </font>
      <numFmt numFmtId="180" formatCode="0.0000_ "/>
      <fill>
        <patternFill>
          <bgColor rgb="FFFFFF00"/>
        </patternFill>
      </fill>
    </dxf>
    <dxf>
      <font>
        <u/>
      </font>
      <numFmt numFmtId="195" formatCode="0.00000_ "/>
      <fill>
        <patternFill>
          <bgColor rgb="FFFFFF00"/>
        </patternFill>
      </fill>
    </dxf>
    <dxf>
      <font>
        <u/>
      </font>
      <numFmt numFmtId="196" formatCode="0.000000_ "/>
      <fill>
        <patternFill>
          <bgColor rgb="FFFFFF00"/>
        </patternFill>
      </fill>
    </dxf>
    <dxf>
      <font>
        <u/>
      </font>
      <numFmt numFmtId="197" formatCode="0.0000000_ "/>
      <fill>
        <patternFill>
          <bgColor rgb="FFFFFF00"/>
        </patternFill>
      </fill>
    </dxf>
    <dxf>
      <font>
        <u/>
      </font>
      <numFmt numFmtId="198" formatCode="0.00000000_ "/>
      <fill>
        <patternFill>
          <bgColor rgb="FFFFFF00"/>
        </patternFill>
      </fill>
    </dxf>
    <dxf>
      <numFmt numFmtId="0" formatCode="General"/>
    </dxf>
    <dxf>
      <numFmt numFmtId="198" formatCode="0.00000000_ "/>
    </dxf>
    <dxf>
      <font>
        <color theme="0"/>
      </font>
      <border>
        <left/>
        <right/>
        <bottom/>
      </border>
    </dxf>
    <dxf>
      <numFmt numFmtId="176" formatCode="0.0_ "/>
    </dxf>
    <dxf>
      <numFmt numFmtId="177" formatCode="0.00_ "/>
    </dxf>
    <dxf>
      <numFmt numFmtId="178" formatCode="0.000_ "/>
    </dxf>
    <dxf>
      <numFmt numFmtId="180" formatCode="0.0000_ "/>
    </dxf>
    <dxf>
      <numFmt numFmtId="197" formatCode="0.0000000_ "/>
    </dxf>
    <dxf>
      <numFmt numFmtId="195" formatCode="0.00000_ "/>
    </dxf>
    <dxf>
      <numFmt numFmtId="0" formatCode="General"/>
    </dxf>
    <dxf>
      <numFmt numFmtId="194" formatCode="0_ "/>
    </dxf>
    <dxf>
      <numFmt numFmtId="198" formatCode="0.00000000_ "/>
    </dxf>
    <dxf>
      <numFmt numFmtId="0" formatCode="General"/>
    </dxf>
    <dxf>
      <numFmt numFmtId="180" formatCode="0.0000_ "/>
    </dxf>
    <dxf>
      <numFmt numFmtId="198" formatCode="0.00000000_ "/>
    </dxf>
    <dxf>
      <numFmt numFmtId="195" formatCode="0.00000_ "/>
    </dxf>
    <dxf>
      <numFmt numFmtId="197" formatCode="0.0000000_ "/>
    </dxf>
    <dxf>
      <numFmt numFmtId="194" formatCode="0_ "/>
    </dxf>
    <dxf>
      <numFmt numFmtId="176" formatCode="0.0_ "/>
    </dxf>
    <dxf>
      <numFmt numFmtId="177" formatCode="0.00_ "/>
    </dxf>
    <dxf>
      <numFmt numFmtId="178" formatCode="0.000_ "/>
    </dxf>
    <dxf>
      <numFmt numFmtId="198" formatCode="0.00000000_ "/>
    </dxf>
    <dxf>
      <numFmt numFmtId="0" formatCode="General"/>
    </dxf>
    <dxf>
      <numFmt numFmtId="194" formatCode="0_ "/>
    </dxf>
    <dxf>
      <numFmt numFmtId="176" formatCode="0.0_ "/>
    </dxf>
    <dxf>
      <numFmt numFmtId="177" formatCode="0.00_ "/>
    </dxf>
    <dxf>
      <numFmt numFmtId="178" formatCode="0.000_ "/>
    </dxf>
    <dxf>
      <numFmt numFmtId="180" formatCode="0.0000_ "/>
    </dxf>
    <dxf>
      <numFmt numFmtId="195" formatCode="0.00000_ "/>
    </dxf>
    <dxf>
      <numFmt numFmtId="197" formatCode="0.0000000_ "/>
    </dxf>
    <dxf>
      <numFmt numFmtId="197" formatCode="0.0000000_ "/>
    </dxf>
    <dxf>
      <numFmt numFmtId="0" formatCode="General"/>
    </dxf>
    <dxf>
      <numFmt numFmtId="194" formatCode="0_ "/>
    </dxf>
    <dxf>
      <numFmt numFmtId="176" formatCode="0.0_ "/>
    </dxf>
    <dxf>
      <numFmt numFmtId="177" formatCode="0.00_ "/>
    </dxf>
    <dxf>
      <numFmt numFmtId="178" formatCode="0.000_ "/>
    </dxf>
    <dxf>
      <numFmt numFmtId="180" formatCode="0.0000_ "/>
    </dxf>
    <dxf>
      <numFmt numFmtId="195" formatCode="0.00000_ "/>
    </dxf>
    <dxf>
      <numFmt numFmtId="198" formatCode="0.00000000_ "/>
    </dxf>
    <dxf>
      <numFmt numFmtId="176" formatCode="0.0_ "/>
    </dxf>
    <dxf>
      <numFmt numFmtId="177" formatCode="0.00_ "/>
    </dxf>
    <dxf>
      <numFmt numFmtId="178" formatCode="0.000_ "/>
    </dxf>
    <dxf>
      <numFmt numFmtId="195" formatCode="0.00000_ "/>
    </dxf>
    <dxf>
      <numFmt numFmtId="198" formatCode="0.00000000_ "/>
    </dxf>
    <dxf>
      <numFmt numFmtId="197" formatCode="0.0000000_ "/>
    </dxf>
    <dxf>
      <numFmt numFmtId="180" formatCode="0.0000_ "/>
    </dxf>
    <dxf>
      <numFmt numFmtId="194" formatCode="0_ "/>
    </dxf>
    <dxf>
      <numFmt numFmtId="0" formatCode="General"/>
    </dxf>
    <dxf>
      <numFmt numFmtId="194" formatCode="0_ "/>
    </dxf>
    <dxf>
      <numFmt numFmtId="198" formatCode="0.00000000_ "/>
    </dxf>
    <dxf>
      <numFmt numFmtId="197" formatCode="0.0000000_ "/>
    </dxf>
    <dxf>
      <numFmt numFmtId="195" formatCode="0.00000_ "/>
    </dxf>
    <dxf>
      <numFmt numFmtId="180" formatCode="0.0000_ "/>
    </dxf>
    <dxf>
      <numFmt numFmtId="178" formatCode="0.000_ "/>
    </dxf>
    <dxf>
      <numFmt numFmtId="177" formatCode="0.00_ "/>
    </dxf>
    <dxf>
      <numFmt numFmtId="176" formatCode="0.0_ "/>
    </dxf>
    <dxf>
      <numFmt numFmtId="0" formatCode="General"/>
    </dxf>
    <dxf>
      <font>
        <color theme="0"/>
      </font>
      <fill>
        <patternFill patternType="none">
          <bgColor indexed="65"/>
        </patternFill>
      </fill>
    </dxf>
    <dxf>
      <font>
        <color theme="0"/>
      </font>
      <border>
        <left/>
        <right/>
        <bottom/>
      </border>
    </dxf>
    <dxf>
      <font>
        <color theme="0"/>
      </font>
      <border>
        <left/>
        <right/>
        <bottom/>
      </border>
    </dxf>
    <dxf>
      <font>
        <color theme="0"/>
      </font>
      <fill>
        <patternFill patternType="none">
          <bgColor indexed="65"/>
        </patternFill>
      </fill>
    </dxf>
    <dxf>
      <font>
        <color theme="0"/>
      </font>
      <border>
        <left/>
        <right/>
        <bottom/>
      </border>
    </dxf>
    <dxf>
      <numFmt numFmtId="176" formatCode="0.0_ "/>
    </dxf>
    <dxf>
      <font>
        <u/>
        <color auto="1"/>
      </font>
      <numFmt numFmtId="0" formatCode="General"/>
      <fill>
        <patternFill>
          <bgColor rgb="FFFFFF00"/>
        </patternFill>
      </fill>
    </dxf>
    <dxf>
      <font>
        <u/>
      </font>
      <numFmt numFmtId="194" formatCode="0_ "/>
      <fill>
        <patternFill>
          <bgColor rgb="FFFFFF00"/>
        </patternFill>
      </fill>
    </dxf>
    <dxf>
      <font>
        <u/>
      </font>
      <numFmt numFmtId="176" formatCode="0.0_ "/>
      <fill>
        <patternFill>
          <bgColor rgb="FFFFFF00"/>
        </patternFill>
      </fill>
    </dxf>
    <dxf>
      <font>
        <u/>
      </font>
      <numFmt numFmtId="177" formatCode="0.00_ "/>
      <fill>
        <patternFill>
          <bgColor rgb="FFFFFF00"/>
        </patternFill>
      </fill>
    </dxf>
    <dxf>
      <font>
        <u/>
      </font>
      <numFmt numFmtId="178" formatCode="0.000_ "/>
      <fill>
        <patternFill>
          <bgColor rgb="FFFFFF00"/>
        </patternFill>
      </fill>
    </dxf>
    <dxf>
      <font>
        <u/>
      </font>
      <numFmt numFmtId="180" formatCode="0.0000_ "/>
      <fill>
        <patternFill>
          <bgColor rgb="FFFFFF00"/>
        </patternFill>
      </fill>
    </dxf>
    <dxf>
      <font>
        <u/>
      </font>
      <numFmt numFmtId="195" formatCode="0.00000_ "/>
      <fill>
        <patternFill>
          <bgColor rgb="FFFFFF00"/>
        </patternFill>
      </fill>
    </dxf>
    <dxf>
      <font>
        <u/>
      </font>
      <numFmt numFmtId="196" formatCode="0.000000_ "/>
      <fill>
        <patternFill>
          <bgColor rgb="FFFFFF00"/>
        </patternFill>
      </fill>
    </dxf>
    <dxf>
      <font>
        <u/>
      </font>
      <numFmt numFmtId="197" formatCode="0.0000000_ "/>
      <fill>
        <patternFill>
          <bgColor rgb="FFFFFF00"/>
        </patternFill>
      </fill>
    </dxf>
    <dxf>
      <font>
        <u/>
      </font>
      <numFmt numFmtId="198" formatCode="0.00000000_ "/>
      <fill>
        <patternFill>
          <bgColor rgb="FFFFFF00"/>
        </patternFill>
      </fill>
    </dxf>
    <dxf>
      <numFmt numFmtId="194" formatCode="0_ "/>
    </dxf>
    <dxf>
      <numFmt numFmtId="0" formatCode="General"/>
    </dxf>
    <dxf>
      <numFmt numFmtId="198" formatCode="0.00000000_ "/>
    </dxf>
    <dxf>
      <numFmt numFmtId="197" formatCode="0.0000000_ "/>
    </dxf>
    <dxf>
      <numFmt numFmtId="196" formatCode="0.000000_ "/>
    </dxf>
    <dxf>
      <numFmt numFmtId="180" formatCode="0.0000_ "/>
    </dxf>
    <dxf>
      <numFmt numFmtId="195" formatCode="0.00000_ "/>
    </dxf>
    <dxf>
      <numFmt numFmtId="178" formatCode="0.000_ "/>
    </dxf>
    <dxf>
      <numFmt numFmtId="177" formatCode="0.00_ "/>
    </dxf>
    <dxf>
      <numFmt numFmtId="198" formatCode="0.00000000_ "/>
    </dxf>
    <dxf>
      <numFmt numFmtId="197" formatCode="0.0000000_ "/>
    </dxf>
    <dxf>
      <numFmt numFmtId="195" formatCode="0.00000_ "/>
    </dxf>
    <dxf>
      <numFmt numFmtId="180" formatCode="0.0000_ "/>
    </dxf>
    <dxf>
      <numFmt numFmtId="178" formatCode="0.000_ "/>
    </dxf>
    <dxf>
      <numFmt numFmtId="177" formatCode="0.00_ "/>
    </dxf>
    <dxf>
      <numFmt numFmtId="176" formatCode="0.0_ "/>
    </dxf>
    <dxf>
      <numFmt numFmtId="194" formatCode="0_ "/>
    </dxf>
    <dxf>
      <numFmt numFmtId="0" formatCode="General"/>
    </dxf>
    <dxf>
      <font>
        <u/>
      </font>
      <numFmt numFmtId="195" formatCode="0.00000_ "/>
      <fill>
        <patternFill>
          <bgColor rgb="FFFFFF00"/>
        </patternFill>
      </fill>
    </dxf>
    <dxf>
      <font>
        <u/>
      </font>
      <numFmt numFmtId="198" formatCode="0.00000000_ "/>
      <fill>
        <patternFill>
          <bgColor rgb="FFFFFF00"/>
        </patternFill>
      </fill>
    </dxf>
    <dxf>
      <font>
        <u/>
      </font>
      <numFmt numFmtId="197" formatCode="0.0000000_ "/>
      <fill>
        <patternFill>
          <bgColor rgb="FFFFFF00"/>
        </patternFill>
      </fill>
    </dxf>
    <dxf>
      <font>
        <u/>
      </font>
      <numFmt numFmtId="196" formatCode="0.000000_ "/>
      <fill>
        <patternFill>
          <bgColor rgb="FFFFFF00"/>
        </patternFill>
      </fill>
    </dxf>
    <dxf>
      <font>
        <u/>
      </font>
      <numFmt numFmtId="180" formatCode="0.0000_ "/>
      <fill>
        <patternFill>
          <bgColor rgb="FFFFFF00"/>
        </patternFill>
      </fill>
    </dxf>
    <dxf>
      <font>
        <u/>
      </font>
      <numFmt numFmtId="178" formatCode="0.000_ "/>
      <fill>
        <patternFill>
          <bgColor rgb="FFFFFF00"/>
        </patternFill>
      </fill>
    </dxf>
    <dxf>
      <font>
        <u/>
      </font>
      <numFmt numFmtId="177" formatCode="0.00_ "/>
      <fill>
        <patternFill>
          <bgColor rgb="FFFFFF00"/>
        </patternFill>
      </fill>
    </dxf>
    <dxf>
      <font>
        <u/>
      </font>
      <numFmt numFmtId="176" formatCode="0.0_ "/>
      <fill>
        <patternFill>
          <bgColor rgb="FFFFFF00"/>
        </patternFill>
      </fill>
    </dxf>
    <dxf>
      <font>
        <u/>
      </font>
      <numFmt numFmtId="194" formatCode="0_ "/>
      <fill>
        <patternFill>
          <bgColor rgb="FFFFFF00"/>
        </patternFill>
      </fill>
    </dxf>
    <dxf>
      <font>
        <u/>
        <color auto="1"/>
      </font>
      <numFmt numFmtId="0" formatCode="General"/>
      <fill>
        <patternFill>
          <bgColor rgb="FFFFFF00"/>
        </patternFill>
      </fill>
    </dxf>
    <dxf>
      <numFmt numFmtId="194" formatCode="0_ "/>
    </dxf>
    <dxf>
      <numFmt numFmtId="176" formatCode="0.0_ "/>
    </dxf>
    <dxf>
      <numFmt numFmtId="177" formatCode="0.00_ "/>
    </dxf>
    <dxf>
      <numFmt numFmtId="178" formatCode="0.000_ "/>
    </dxf>
    <dxf>
      <numFmt numFmtId="180" formatCode="0.0000_ "/>
    </dxf>
    <dxf>
      <numFmt numFmtId="195" formatCode="0.00000_ "/>
    </dxf>
    <dxf>
      <numFmt numFmtId="196" formatCode="0.000000_ "/>
    </dxf>
    <dxf>
      <numFmt numFmtId="197" formatCode="0.0000000_ "/>
    </dxf>
    <dxf>
      <numFmt numFmtId="198" formatCode="0.00000000_ "/>
    </dxf>
    <dxf>
      <numFmt numFmtId="0" formatCode="General"/>
    </dxf>
    <dxf>
      <numFmt numFmtId="196" formatCode="0.000000_ "/>
    </dxf>
    <dxf>
      <numFmt numFmtId="195" formatCode="0.00000_ "/>
    </dxf>
    <dxf>
      <numFmt numFmtId="180" formatCode="0.0000_ "/>
    </dxf>
    <dxf>
      <numFmt numFmtId="178" formatCode="0.000_ "/>
    </dxf>
    <dxf>
      <numFmt numFmtId="176" formatCode="0.0_ "/>
    </dxf>
    <dxf>
      <numFmt numFmtId="177" formatCode="0.00_ "/>
    </dxf>
    <dxf>
      <numFmt numFmtId="194" formatCode="0_ "/>
    </dxf>
    <dxf>
      <font>
        <u/>
        <color auto="1"/>
      </font>
      <numFmt numFmtId="0" formatCode="General"/>
      <fill>
        <patternFill>
          <bgColor rgb="FFFFFF00"/>
        </patternFill>
      </fill>
    </dxf>
    <dxf>
      <font>
        <u/>
      </font>
      <numFmt numFmtId="194" formatCode="0_ "/>
      <fill>
        <patternFill>
          <bgColor rgb="FFFFFF00"/>
        </patternFill>
      </fill>
    </dxf>
    <dxf>
      <font>
        <u/>
      </font>
      <numFmt numFmtId="176" formatCode="0.0_ "/>
      <fill>
        <patternFill>
          <bgColor rgb="FFFFFF00"/>
        </patternFill>
      </fill>
    </dxf>
    <dxf>
      <font>
        <u/>
      </font>
      <numFmt numFmtId="177" formatCode="0.00_ "/>
      <fill>
        <patternFill>
          <bgColor rgb="FFFFFF00"/>
        </patternFill>
      </fill>
    </dxf>
    <dxf>
      <font>
        <u/>
      </font>
      <numFmt numFmtId="178" formatCode="0.000_ "/>
      <fill>
        <patternFill>
          <bgColor rgb="FFFFFF00"/>
        </patternFill>
      </fill>
    </dxf>
    <dxf>
      <font>
        <u/>
      </font>
      <numFmt numFmtId="180" formatCode="0.0000_ "/>
      <fill>
        <patternFill>
          <bgColor rgb="FFFFFF00"/>
        </patternFill>
      </fill>
    </dxf>
    <dxf>
      <font>
        <u/>
      </font>
      <numFmt numFmtId="195" formatCode="0.00000_ "/>
      <fill>
        <patternFill>
          <bgColor rgb="FFFFFF00"/>
        </patternFill>
      </fill>
    </dxf>
    <dxf>
      <font>
        <u/>
      </font>
      <numFmt numFmtId="196" formatCode="0.000000_ "/>
      <fill>
        <patternFill>
          <bgColor rgb="FFFFFF00"/>
        </patternFill>
      </fill>
    </dxf>
    <dxf>
      <font>
        <u/>
      </font>
      <numFmt numFmtId="197" formatCode="0.0000000_ "/>
      <fill>
        <patternFill>
          <bgColor rgb="FFFFFF00"/>
        </patternFill>
      </fill>
    </dxf>
    <dxf>
      <font>
        <u/>
      </font>
      <numFmt numFmtId="198" formatCode="0.00000000_ "/>
      <fill>
        <patternFill>
          <bgColor rgb="FFFFFF00"/>
        </patternFill>
      </fill>
    </dxf>
    <dxf>
      <numFmt numFmtId="0" formatCode="General"/>
    </dxf>
    <dxf>
      <numFmt numFmtId="198" formatCode="0.00000000_ "/>
    </dxf>
    <dxf>
      <numFmt numFmtId="197" formatCode="0.0000000_ "/>
    </dxf>
    <dxf>
      <font>
        <color theme="0"/>
      </font>
      <border>
        <left/>
        <right/>
        <bottom/>
      </border>
    </dxf>
    <dxf>
      <numFmt numFmtId="194" formatCode="0_ "/>
    </dxf>
    <dxf>
      <numFmt numFmtId="178" formatCode="0.000_ "/>
    </dxf>
    <dxf>
      <numFmt numFmtId="177" formatCode="0.00_ "/>
    </dxf>
    <dxf>
      <numFmt numFmtId="176" formatCode="0.0_ "/>
    </dxf>
    <dxf>
      <numFmt numFmtId="0" formatCode="General"/>
    </dxf>
    <dxf>
      <numFmt numFmtId="198" formatCode="0.00000000_ "/>
    </dxf>
    <dxf>
      <numFmt numFmtId="197" formatCode="0.0000000_ "/>
    </dxf>
    <dxf>
      <numFmt numFmtId="195" formatCode="0.00000_ "/>
    </dxf>
    <dxf>
      <numFmt numFmtId="180" formatCode="0.0000_ "/>
    </dxf>
    <dxf>
      <numFmt numFmtId="176" formatCode="0.0_ "/>
    </dxf>
    <dxf>
      <numFmt numFmtId="197" formatCode="0.0000000_ "/>
    </dxf>
    <dxf>
      <numFmt numFmtId="198" formatCode="0.00000000_ "/>
    </dxf>
    <dxf>
      <numFmt numFmtId="0" formatCode="General"/>
    </dxf>
    <dxf>
      <numFmt numFmtId="194" formatCode="0_ "/>
    </dxf>
    <dxf>
      <numFmt numFmtId="195" formatCode="0.00000_ "/>
    </dxf>
    <dxf>
      <numFmt numFmtId="177" formatCode="0.00_ "/>
    </dxf>
    <dxf>
      <numFmt numFmtId="178" formatCode="0.000_ "/>
    </dxf>
    <dxf>
      <numFmt numFmtId="180" formatCode="0.0000_ "/>
    </dxf>
    <dxf>
      <numFmt numFmtId="178" formatCode="0.000_ "/>
    </dxf>
    <dxf>
      <numFmt numFmtId="177" formatCode="0.00_ "/>
    </dxf>
    <dxf>
      <numFmt numFmtId="176" formatCode="0.0_ "/>
    </dxf>
    <dxf>
      <numFmt numFmtId="194" formatCode="0_ "/>
    </dxf>
    <dxf>
      <numFmt numFmtId="198" formatCode="0.00000000_ "/>
    </dxf>
    <dxf>
      <numFmt numFmtId="0" formatCode="General"/>
    </dxf>
    <dxf>
      <numFmt numFmtId="180" formatCode="0.0000_ "/>
    </dxf>
    <dxf>
      <numFmt numFmtId="195" formatCode="0.00000_ "/>
    </dxf>
    <dxf>
      <numFmt numFmtId="197" formatCode="0.0000000_ "/>
    </dxf>
    <dxf>
      <numFmt numFmtId="0" formatCode="General"/>
    </dxf>
    <dxf>
      <numFmt numFmtId="178" formatCode="0.000_ "/>
    </dxf>
    <dxf>
      <numFmt numFmtId="180" formatCode="0.0000_ "/>
    </dxf>
    <dxf>
      <numFmt numFmtId="195" formatCode="0.00000_ "/>
    </dxf>
    <dxf>
      <numFmt numFmtId="197" formatCode="0.0000000_ "/>
    </dxf>
    <dxf>
      <numFmt numFmtId="198" formatCode="0.00000000_ "/>
    </dxf>
    <dxf>
      <numFmt numFmtId="194" formatCode="0_ "/>
    </dxf>
    <dxf>
      <numFmt numFmtId="176" formatCode="0.0_ "/>
    </dxf>
    <dxf>
      <numFmt numFmtId="177" formatCode="0.00_ "/>
    </dxf>
    <dxf>
      <numFmt numFmtId="195" formatCode="0.00000_ "/>
    </dxf>
    <dxf>
      <numFmt numFmtId="180" formatCode="0.0000_ "/>
    </dxf>
    <dxf>
      <numFmt numFmtId="178" formatCode="0.000_ "/>
    </dxf>
    <dxf>
      <numFmt numFmtId="197" formatCode="0.0000000_ "/>
    </dxf>
    <dxf>
      <numFmt numFmtId="198" formatCode="0.00000000_ "/>
    </dxf>
    <dxf>
      <numFmt numFmtId="177" formatCode="0.00_ "/>
    </dxf>
    <dxf>
      <numFmt numFmtId="176" formatCode="0.0_ "/>
    </dxf>
    <dxf>
      <numFmt numFmtId="194" formatCode="0_ "/>
    </dxf>
    <dxf>
      <numFmt numFmtId="0" formatCode="General"/>
    </dxf>
    <dxf>
      <numFmt numFmtId="198" formatCode="0.00000000_ "/>
    </dxf>
    <dxf>
      <numFmt numFmtId="197" formatCode="0.0000000_ "/>
    </dxf>
    <dxf>
      <numFmt numFmtId="195" formatCode="0.00000_ "/>
    </dxf>
    <dxf>
      <numFmt numFmtId="180" formatCode="0.0000_ "/>
    </dxf>
    <dxf>
      <numFmt numFmtId="178" formatCode="0.000_ "/>
    </dxf>
    <dxf>
      <numFmt numFmtId="177" formatCode="0.00_ "/>
    </dxf>
    <dxf>
      <numFmt numFmtId="176" formatCode="0.0_ "/>
    </dxf>
    <dxf>
      <numFmt numFmtId="194" formatCode="0_ "/>
    </dxf>
    <dxf>
      <numFmt numFmtId="0" formatCode="General"/>
    </dxf>
    <dxf>
      <font>
        <color theme="0"/>
      </font>
      <fill>
        <patternFill patternType="none">
          <bgColor indexed="65"/>
        </patternFill>
      </fill>
    </dxf>
    <dxf>
      <font>
        <color theme="0"/>
      </font>
      <border>
        <left/>
        <right/>
        <bottom/>
      </border>
    </dxf>
    <dxf>
      <numFmt numFmtId="180" formatCode="0.0000_ "/>
    </dxf>
    <dxf>
      <numFmt numFmtId="195" formatCode="0.00000_ "/>
    </dxf>
    <dxf>
      <numFmt numFmtId="196" formatCode="0.000000_ "/>
    </dxf>
    <dxf>
      <numFmt numFmtId="197" formatCode="0.0000000_ "/>
    </dxf>
    <dxf>
      <numFmt numFmtId="198" formatCode="0.00000000_ "/>
    </dxf>
    <dxf>
      <numFmt numFmtId="0" formatCode="General"/>
    </dxf>
    <dxf>
      <font>
        <u/>
      </font>
      <numFmt numFmtId="180" formatCode="0.0000_ "/>
      <fill>
        <patternFill>
          <bgColor rgb="FFFFFF00"/>
        </patternFill>
      </fill>
    </dxf>
    <dxf>
      <font>
        <u/>
      </font>
      <numFmt numFmtId="198" formatCode="0.00000000_ "/>
      <fill>
        <patternFill>
          <bgColor rgb="FFFFFF00"/>
        </patternFill>
      </fill>
    </dxf>
    <dxf>
      <font>
        <u/>
      </font>
      <numFmt numFmtId="197" formatCode="0.0000000_ "/>
      <fill>
        <patternFill>
          <bgColor rgb="FFFFFF00"/>
        </patternFill>
      </fill>
    </dxf>
    <dxf>
      <font>
        <u/>
      </font>
      <numFmt numFmtId="196" formatCode="0.000000_ "/>
      <fill>
        <patternFill>
          <bgColor rgb="FFFFFF00"/>
        </patternFill>
      </fill>
    </dxf>
    <dxf>
      <font>
        <u/>
      </font>
      <numFmt numFmtId="195" formatCode="0.00000_ "/>
      <fill>
        <patternFill>
          <bgColor rgb="FFFFFF00"/>
        </patternFill>
      </fill>
    </dxf>
    <dxf>
      <font>
        <u/>
      </font>
      <numFmt numFmtId="178" formatCode="0.000_ "/>
      <fill>
        <patternFill>
          <bgColor rgb="FFFFFF00"/>
        </patternFill>
      </fill>
    </dxf>
    <dxf>
      <font>
        <u/>
      </font>
      <numFmt numFmtId="177" formatCode="0.00_ "/>
      <fill>
        <patternFill>
          <bgColor rgb="FFFFFF00"/>
        </patternFill>
      </fill>
    </dxf>
    <dxf>
      <font>
        <u/>
      </font>
      <numFmt numFmtId="176" formatCode="0.0_ "/>
      <fill>
        <patternFill>
          <bgColor rgb="FFFFFF00"/>
        </patternFill>
      </fill>
    </dxf>
    <dxf>
      <font>
        <u/>
      </font>
      <numFmt numFmtId="194" formatCode="0_ "/>
      <fill>
        <patternFill>
          <bgColor rgb="FFFFFF00"/>
        </patternFill>
      </fill>
    </dxf>
    <dxf>
      <font>
        <u/>
        <color auto="1"/>
      </font>
      <numFmt numFmtId="0" formatCode="General"/>
      <fill>
        <patternFill>
          <bgColor rgb="FFFFFF00"/>
        </patternFill>
      </fill>
    </dxf>
    <dxf>
      <numFmt numFmtId="194" formatCode="0_ "/>
    </dxf>
    <dxf>
      <numFmt numFmtId="176" formatCode="0.0_ "/>
    </dxf>
    <dxf>
      <numFmt numFmtId="177" formatCode="0.00_ "/>
    </dxf>
    <dxf>
      <numFmt numFmtId="178" formatCode="0.000_ "/>
    </dxf>
    <dxf>
      <numFmt numFmtId="180" formatCode="0.0000_ "/>
    </dxf>
    <dxf>
      <numFmt numFmtId="178" formatCode="0.000_ "/>
    </dxf>
    <dxf>
      <numFmt numFmtId="195" formatCode="0.00000_ "/>
    </dxf>
    <dxf>
      <numFmt numFmtId="197" formatCode="0.0000000_ "/>
    </dxf>
    <dxf>
      <numFmt numFmtId="198" formatCode="0.00000000_ "/>
    </dxf>
    <dxf>
      <numFmt numFmtId="0" formatCode="General"/>
    </dxf>
    <dxf>
      <numFmt numFmtId="194" formatCode="0_ "/>
    </dxf>
    <dxf>
      <numFmt numFmtId="176" formatCode="0.0_ "/>
    </dxf>
    <dxf>
      <numFmt numFmtId="177" formatCode="0.00_ "/>
    </dxf>
    <dxf>
      <font>
        <u/>
      </font>
      <numFmt numFmtId="197" formatCode="0.0000000_ "/>
      <fill>
        <patternFill>
          <bgColor rgb="FFFFFF00"/>
        </patternFill>
      </fill>
    </dxf>
    <dxf>
      <numFmt numFmtId="178" formatCode="0.000_ "/>
    </dxf>
    <dxf>
      <font>
        <u/>
      </font>
      <numFmt numFmtId="198" formatCode="0.00000000_ "/>
      <fill>
        <patternFill>
          <bgColor rgb="FFFFFF00"/>
        </patternFill>
      </fill>
    </dxf>
    <dxf>
      <font>
        <u/>
      </font>
      <numFmt numFmtId="196" formatCode="0.000000_ "/>
      <fill>
        <patternFill>
          <bgColor rgb="FFFFFF00"/>
        </patternFill>
      </fill>
    </dxf>
    <dxf>
      <font>
        <u/>
      </font>
      <numFmt numFmtId="195" formatCode="0.00000_ "/>
      <fill>
        <patternFill>
          <bgColor rgb="FFFFFF00"/>
        </patternFill>
      </fill>
    </dxf>
    <dxf>
      <font>
        <u/>
      </font>
      <numFmt numFmtId="180" formatCode="0.0000_ "/>
      <fill>
        <patternFill>
          <bgColor rgb="FFFFFF00"/>
        </patternFill>
      </fill>
    </dxf>
    <dxf>
      <font>
        <u/>
      </font>
      <numFmt numFmtId="178" formatCode="0.000_ "/>
      <fill>
        <patternFill>
          <bgColor rgb="FFFFFF00"/>
        </patternFill>
      </fill>
    </dxf>
    <dxf>
      <font>
        <u/>
      </font>
      <numFmt numFmtId="177" formatCode="0.00_ "/>
      <fill>
        <patternFill>
          <bgColor rgb="FFFFFF00"/>
        </patternFill>
      </fill>
    </dxf>
    <dxf>
      <font>
        <u/>
      </font>
      <numFmt numFmtId="176" formatCode="0.0_ "/>
      <fill>
        <patternFill>
          <bgColor rgb="FFFFFF00"/>
        </patternFill>
      </fill>
    </dxf>
    <dxf>
      <font>
        <u/>
      </font>
      <numFmt numFmtId="194" formatCode="0_ "/>
      <fill>
        <patternFill>
          <bgColor rgb="FFFFFF00"/>
        </patternFill>
      </fill>
    </dxf>
    <dxf>
      <font>
        <u/>
        <color auto="1"/>
      </font>
      <numFmt numFmtId="0" formatCode="General"/>
      <fill>
        <patternFill>
          <bgColor rgb="FFFFFF00"/>
        </patternFill>
      </fill>
    </dxf>
    <dxf>
      <numFmt numFmtId="194" formatCode="0_ "/>
    </dxf>
    <dxf>
      <numFmt numFmtId="176" formatCode="0.0_ "/>
    </dxf>
    <dxf>
      <numFmt numFmtId="177" formatCode="0.00_ "/>
    </dxf>
    <dxf>
      <numFmt numFmtId="180" formatCode="0.0000_ "/>
    </dxf>
    <dxf>
      <numFmt numFmtId="195" formatCode="0.00000_ "/>
    </dxf>
    <dxf>
      <numFmt numFmtId="196" formatCode="0.000000_ "/>
    </dxf>
    <dxf>
      <numFmt numFmtId="197" formatCode="0.0000000_ "/>
    </dxf>
    <dxf>
      <numFmt numFmtId="198" formatCode="0.00000000_ "/>
    </dxf>
    <dxf>
      <numFmt numFmtId="0" formatCode="General"/>
    </dxf>
    <dxf>
      <numFmt numFmtId="196" formatCode="0.000000_ "/>
    </dxf>
    <dxf>
      <numFmt numFmtId="194" formatCode="0_ "/>
    </dxf>
    <dxf>
      <font>
        <u/>
      </font>
      <numFmt numFmtId="180" formatCode="0.0000_ "/>
      <fill>
        <patternFill>
          <bgColor rgb="FFFFFF00"/>
        </patternFill>
      </fill>
    </dxf>
    <dxf>
      <font>
        <u/>
      </font>
      <numFmt numFmtId="195" formatCode="0.00000_ "/>
      <fill>
        <patternFill>
          <bgColor rgb="FFFFFF00"/>
        </patternFill>
      </fill>
    </dxf>
    <dxf>
      <font>
        <u/>
      </font>
      <numFmt numFmtId="196" formatCode="0.000000_ "/>
      <fill>
        <patternFill>
          <bgColor rgb="FFFFFF00"/>
        </patternFill>
      </fill>
    </dxf>
    <dxf>
      <font>
        <u/>
      </font>
      <numFmt numFmtId="197" formatCode="0.0000000_ "/>
      <fill>
        <patternFill>
          <bgColor rgb="FFFFFF00"/>
        </patternFill>
      </fill>
    </dxf>
    <dxf>
      <font>
        <u/>
      </font>
      <numFmt numFmtId="198" formatCode="0.00000000_ "/>
      <fill>
        <patternFill>
          <bgColor rgb="FFFFFF00"/>
        </patternFill>
      </fill>
    </dxf>
    <dxf>
      <numFmt numFmtId="0" formatCode="General"/>
    </dxf>
    <dxf>
      <numFmt numFmtId="198" formatCode="0.00000000_ "/>
    </dxf>
    <dxf>
      <numFmt numFmtId="195" formatCode="0.00000_ "/>
    </dxf>
    <dxf>
      <numFmt numFmtId="180" formatCode="0.0000_ "/>
    </dxf>
    <dxf>
      <numFmt numFmtId="178" formatCode="0.000_ "/>
    </dxf>
    <dxf>
      <numFmt numFmtId="177" formatCode="0.00_ "/>
    </dxf>
    <dxf>
      <numFmt numFmtId="197" formatCode="0.0000000_ "/>
    </dxf>
    <dxf>
      <numFmt numFmtId="176" formatCode="0.0_ "/>
    </dxf>
    <dxf>
      <font>
        <u/>
      </font>
      <numFmt numFmtId="178" formatCode="0.000_ "/>
      <fill>
        <patternFill>
          <bgColor rgb="FFFFFF00"/>
        </patternFill>
      </fill>
    </dxf>
    <dxf>
      <font>
        <u/>
        <color auto="1"/>
      </font>
      <numFmt numFmtId="0" formatCode="General"/>
      <fill>
        <patternFill>
          <bgColor rgb="FFFFFF00"/>
        </patternFill>
      </fill>
    </dxf>
    <dxf>
      <font>
        <u/>
      </font>
      <numFmt numFmtId="194" formatCode="0_ "/>
      <fill>
        <patternFill>
          <bgColor rgb="FFFFFF00"/>
        </patternFill>
      </fill>
    </dxf>
    <dxf>
      <font>
        <u/>
      </font>
      <numFmt numFmtId="176" formatCode="0.0_ "/>
      <fill>
        <patternFill>
          <bgColor rgb="FFFFFF00"/>
        </patternFill>
      </fill>
    </dxf>
    <dxf>
      <font>
        <u/>
      </font>
      <numFmt numFmtId="177" formatCode="0.00_ "/>
      <fill>
        <patternFill>
          <bgColor rgb="FFFFFF00"/>
        </patternFill>
      </fill>
    </dxf>
    <dxf>
      <font>
        <u/>
      </font>
      <numFmt numFmtId="198" formatCode="0.00000000_ "/>
      <fill>
        <patternFill>
          <bgColor rgb="FFFFFF00"/>
        </patternFill>
      </fill>
    </dxf>
    <dxf>
      <font>
        <u/>
      </font>
      <numFmt numFmtId="197" formatCode="0.0000000_ "/>
      <fill>
        <patternFill>
          <bgColor rgb="FFFFFF00"/>
        </patternFill>
      </fill>
    </dxf>
    <dxf>
      <font>
        <u/>
      </font>
      <numFmt numFmtId="196" formatCode="0.000000_ "/>
      <fill>
        <patternFill>
          <bgColor rgb="FFFFFF00"/>
        </patternFill>
      </fill>
    </dxf>
    <dxf>
      <font>
        <u/>
      </font>
      <numFmt numFmtId="195" formatCode="0.00000_ "/>
      <fill>
        <patternFill>
          <bgColor rgb="FFFFFF00"/>
        </patternFill>
      </fill>
    </dxf>
    <dxf>
      <font>
        <u/>
      </font>
      <numFmt numFmtId="180" formatCode="0.0000_ "/>
      <fill>
        <patternFill>
          <bgColor rgb="FFFFFF00"/>
        </patternFill>
      </fill>
    </dxf>
    <dxf>
      <font>
        <u/>
      </font>
      <numFmt numFmtId="178" formatCode="0.000_ "/>
      <fill>
        <patternFill>
          <bgColor rgb="FFFFFF00"/>
        </patternFill>
      </fill>
    </dxf>
    <dxf>
      <font>
        <u/>
      </font>
      <numFmt numFmtId="177" formatCode="0.00_ "/>
      <fill>
        <patternFill>
          <bgColor rgb="FFFFFF00"/>
        </patternFill>
      </fill>
    </dxf>
    <dxf>
      <font>
        <u/>
      </font>
      <numFmt numFmtId="176" formatCode="0.0_ "/>
      <fill>
        <patternFill>
          <bgColor rgb="FFFFFF00"/>
        </patternFill>
      </fill>
    </dxf>
    <dxf>
      <font>
        <u/>
      </font>
      <numFmt numFmtId="194" formatCode="0_ "/>
      <fill>
        <patternFill>
          <bgColor rgb="FFFFFF00"/>
        </patternFill>
      </fill>
    </dxf>
    <dxf>
      <font>
        <u/>
        <color auto="1"/>
      </font>
      <numFmt numFmtId="0" formatCode="General"/>
      <fill>
        <patternFill>
          <bgColor rgb="FFFFFF00"/>
        </patternFill>
      </fill>
    </dxf>
    <dxf>
      <numFmt numFmtId="194" formatCode="0_ "/>
    </dxf>
    <dxf>
      <numFmt numFmtId="176" formatCode="0.0_ "/>
    </dxf>
    <dxf>
      <numFmt numFmtId="177" formatCode="0.00_ "/>
    </dxf>
    <dxf>
      <numFmt numFmtId="178" formatCode="0.000_ "/>
    </dxf>
    <dxf>
      <numFmt numFmtId="180" formatCode="0.0000_ "/>
    </dxf>
    <dxf>
      <numFmt numFmtId="195" formatCode="0.00000_ "/>
    </dxf>
    <dxf>
      <numFmt numFmtId="196" formatCode="0.000000_ "/>
    </dxf>
    <dxf>
      <numFmt numFmtId="197" formatCode="0.0000000_ "/>
    </dxf>
    <dxf>
      <numFmt numFmtId="198" formatCode="0.00000000_ "/>
    </dxf>
    <dxf>
      <numFmt numFmtId="0" formatCode="General"/>
    </dxf>
    <dxf>
      <numFmt numFmtId="194" formatCode="0_ "/>
    </dxf>
    <dxf>
      <numFmt numFmtId="177" formatCode="0.00_ "/>
    </dxf>
    <dxf>
      <numFmt numFmtId="178" formatCode="0.000_ "/>
    </dxf>
    <dxf>
      <numFmt numFmtId="180" formatCode="0.0000_ "/>
    </dxf>
    <dxf>
      <numFmt numFmtId="195" formatCode="0.00000_ "/>
    </dxf>
    <dxf>
      <numFmt numFmtId="196" formatCode="0.000000_ "/>
    </dxf>
    <dxf>
      <numFmt numFmtId="197" formatCode="0.0000000_ "/>
    </dxf>
    <dxf>
      <numFmt numFmtId="198" formatCode="0.00000000_ "/>
    </dxf>
    <dxf>
      <numFmt numFmtId="0" formatCode="General"/>
    </dxf>
    <dxf>
      <numFmt numFmtId="194" formatCode="0_ "/>
    </dxf>
    <dxf>
      <numFmt numFmtId="176" formatCode="0.0_ "/>
    </dxf>
    <dxf>
      <numFmt numFmtId="176" formatCode="0.0_ "/>
    </dxf>
    <dxf>
      <numFmt numFmtId="194" formatCode="0_ "/>
    </dxf>
    <dxf>
      <numFmt numFmtId="176" formatCode="0.0_ "/>
    </dxf>
    <dxf>
      <numFmt numFmtId="177" formatCode="0.00_ "/>
    </dxf>
    <dxf>
      <numFmt numFmtId="178" formatCode="0.000_ "/>
    </dxf>
    <dxf>
      <numFmt numFmtId="180" formatCode="0.0000_ "/>
    </dxf>
    <dxf>
      <numFmt numFmtId="195" formatCode="0.00000_ "/>
    </dxf>
    <dxf>
      <numFmt numFmtId="196" formatCode="0.000000_ "/>
    </dxf>
    <dxf>
      <numFmt numFmtId="197" formatCode="0.0000000_ "/>
    </dxf>
    <dxf>
      <numFmt numFmtId="198" formatCode="0.00000000_ "/>
    </dxf>
    <dxf>
      <numFmt numFmtId="0" formatCode="General"/>
    </dxf>
    <dxf>
      <numFmt numFmtId="194" formatCode="0_ "/>
    </dxf>
    <dxf>
      <numFmt numFmtId="176" formatCode="0.0_ "/>
    </dxf>
    <dxf>
      <numFmt numFmtId="177" formatCode="0.00_ "/>
    </dxf>
    <dxf>
      <numFmt numFmtId="178" formatCode="0.000_ "/>
    </dxf>
    <dxf>
      <numFmt numFmtId="180" formatCode="0.0000_ "/>
    </dxf>
    <dxf>
      <numFmt numFmtId="195" formatCode="0.00000_ "/>
    </dxf>
    <dxf>
      <numFmt numFmtId="196" formatCode="0.000000_ "/>
    </dxf>
    <dxf>
      <numFmt numFmtId="197" formatCode="0.0000000_ "/>
    </dxf>
    <dxf>
      <numFmt numFmtId="198" formatCode="0.00000000_ "/>
    </dxf>
    <dxf>
      <numFmt numFmtId="0" formatCode="General"/>
    </dxf>
    <dxf>
      <numFmt numFmtId="0" formatCode="General"/>
    </dxf>
    <dxf>
      <numFmt numFmtId="195" formatCode="0.00000_ "/>
    </dxf>
    <dxf>
      <numFmt numFmtId="198" formatCode="0.00000000_ "/>
    </dxf>
    <dxf>
      <numFmt numFmtId="194" formatCode="0_ "/>
    </dxf>
    <dxf>
      <numFmt numFmtId="176" formatCode="0.0_ "/>
    </dxf>
    <dxf>
      <numFmt numFmtId="178" formatCode="0.000_ "/>
    </dxf>
    <dxf>
      <numFmt numFmtId="197" formatCode="0.0000000_ "/>
    </dxf>
    <dxf>
      <numFmt numFmtId="177" formatCode="0.00_ "/>
    </dxf>
    <dxf>
      <numFmt numFmtId="180" formatCode="0.0000_ "/>
    </dxf>
    <dxf>
      <numFmt numFmtId="198" formatCode="0.00000000_ "/>
    </dxf>
    <dxf>
      <numFmt numFmtId="197" formatCode="0.0000000_ "/>
    </dxf>
    <dxf>
      <numFmt numFmtId="196" formatCode="0.000000_ "/>
    </dxf>
    <dxf>
      <numFmt numFmtId="0" formatCode="General"/>
    </dxf>
    <dxf>
      <numFmt numFmtId="194" formatCode="0_ "/>
    </dxf>
    <dxf>
      <numFmt numFmtId="195" formatCode="0.00000_ "/>
    </dxf>
    <dxf>
      <numFmt numFmtId="180" formatCode="0.0000_ "/>
    </dxf>
    <dxf>
      <numFmt numFmtId="178" formatCode="0.000_ "/>
    </dxf>
    <dxf>
      <numFmt numFmtId="177" formatCode="0.00_ "/>
    </dxf>
    <dxf>
      <numFmt numFmtId="176" formatCode="0.0_ "/>
    </dxf>
    <dxf>
      <numFmt numFmtId="177" formatCode="0.00_ "/>
    </dxf>
    <dxf>
      <numFmt numFmtId="176" formatCode="0.0_ "/>
    </dxf>
    <dxf>
      <numFmt numFmtId="194" formatCode="0_ "/>
    </dxf>
    <dxf>
      <numFmt numFmtId="0" formatCode="General"/>
    </dxf>
    <dxf>
      <numFmt numFmtId="178" formatCode="0.000_ "/>
    </dxf>
    <dxf>
      <numFmt numFmtId="198" formatCode="0.00000000_ "/>
    </dxf>
    <dxf>
      <numFmt numFmtId="197" formatCode="0.0000000_ "/>
    </dxf>
    <dxf>
      <numFmt numFmtId="196" formatCode="0.000000_ "/>
    </dxf>
    <dxf>
      <numFmt numFmtId="195" formatCode="0.00000_ "/>
    </dxf>
    <dxf>
      <numFmt numFmtId="180" formatCode="0.0000_ "/>
    </dxf>
    <dxf>
      <numFmt numFmtId="198" formatCode="0.00000000_ "/>
    </dxf>
    <dxf>
      <numFmt numFmtId="197" formatCode="0.0000000_ "/>
    </dxf>
    <dxf>
      <numFmt numFmtId="196" formatCode="0.000000_ "/>
    </dxf>
    <dxf>
      <numFmt numFmtId="195" formatCode="0.00000_ "/>
    </dxf>
    <dxf>
      <numFmt numFmtId="180" formatCode="0.0000_ "/>
    </dxf>
    <dxf>
      <numFmt numFmtId="178" formatCode="0.000_ "/>
    </dxf>
    <dxf>
      <numFmt numFmtId="176" formatCode="0.0_ "/>
    </dxf>
    <dxf>
      <numFmt numFmtId="0" formatCode="General"/>
    </dxf>
    <dxf>
      <numFmt numFmtId="194" formatCode="0_ "/>
    </dxf>
    <dxf>
      <numFmt numFmtId="177" formatCode="0.00_ "/>
    </dxf>
    <dxf>
      <numFmt numFmtId="197" formatCode="0.0000000_ "/>
    </dxf>
    <dxf>
      <numFmt numFmtId="198" formatCode="0.00000000_ "/>
    </dxf>
    <dxf>
      <numFmt numFmtId="0" formatCode="General"/>
    </dxf>
    <dxf>
      <numFmt numFmtId="196" formatCode="0.000000_ "/>
    </dxf>
    <dxf>
      <numFmt numFmtId="195" formatCode="0.00000_ "/>
    </dxf>
    <dxf>
      <numFmt numFmtId="180" formatCode="0.0000_ "/>
    </dxf>
    <dxf>
      <numFmt numFmtId="178" formatCode="0.000_ "/>
    </dxf>
    <dxf>
      <numFmt numFmtId="177" formatCode="0.00_ "/>
    </dxf>
    <dxf>
      <numFmt numFmtId="176" formatCode="0.0_ "/>
    </dxf>
    <dxf>
      <numFmt numFmtId="194" formatCode="0_ "/>
    </dxf>
    <dxf>
      <numFmt numFmtId="198" formatCode="0.00000000_ "/>
    </dxf>
    <dxf>
      <numFmt numFmtId="197" formatCode="0.0000000_ "/>
    </dxf>
    <dxf>
      <numFmt numFmtId="180" formatCode="0.0000_ "/>
    </dxf>
    <dxf>
      <numFmt numFmtId="178" formatCode="0.000_ "/>
    </dxf>
    <dxf>
      <numFmt numFmtId="177" formatCode="0.00_ "/>
    </dxf>
    <dxf>
      <numFmt numFmtId="176" formatCode="0.0_ "/>
    </dxf>
    <dxf>
      <numFmt numFmtId="194" formatCode="0_ "/>
    </dxf>
    <dxf>
      <numFmt numFmtId="0" formatCode="General"/>
    </dxf>
    <dxf>
      <numFmt numFmtId="195" formatCode="0.00000_ "/>
    </dxf>
    <dxf>
      <numFmt numFmtId="180" formatCode="0.0000_ "/>
    </dxf>
    <dxf>
      <numFmt numFmtId="195" formatCode="0.00000_ "/>
    </dxf>
    <dxf>
      <numFmt numFmtId="196" formatCode="0.000000_ "/>
    </dxf>
    <dxf>
      <numFmt numFmtId="197" formatCode="0.0000000_ "/>
    </dxf>
    <dxf>
      <numFmt numFmtId="198" formatCode="0.00000000_ "/>
    </dxf>
    <dxf>
      <numFmt numFmtId="0" formatCode="General"/>
    </dxf>
    <dxf>
      <numFmt numFmtId="177" formatCode="0.00_ "/>
    </dxf>
    <dxf>
      <numFmt numFmtId="178" formatCode="0.000_ "/>
    </dxf>
    <dxf>
      <numFmt numFmtId="176" formatCode="0.0_ "/>
    </dxf>
    <dxf>
      <numFmt numFmtId="194" formatCode="0_ "/>
    </dxf>
    <dxf>
      <numFmt numFmtId="176" formatCode="0.0_ "/>
    </dxf>
    <dxf>
      <numFmt numFmtId="177" formatCode="0.00_ "/>
    </dxf>
    <dxf>
      <numFmt numFmtId="178" formatCode="0.000_ "/>
    </dxf>
    <dxf>
      <numFmt numFmtId="195" formatCode="0.00000_ "/>
    </dxf>
    <dxf>
      <numFmt numFmtId="196" formatCode="0.000000_ "/>
    </dxf>
    <dxf>
      <numFmt numFmtId="197" formatCode="0.0000000_ "/>
    </dxf>
    <dxf>
      <numFmt numFmtId="198" formatCode="0.00000000_ "/>
    </dxf>
    <dxf>
      <numFmt numFmtId="0" formatCode="General"/>
    </dxf>
    <dxf>
      <numFmt numFmtId="180" formatCode="0.0000_ "/>
    </dxf>
    <dxf>
      <numFmt numFmtId="194" formatCode="0_ "/>
    </dxf>
    <dxf>
      <numFmt numFmtId="194" formatCode="0_ "/>
    </dxf>
    <dxf>
      <numFmt numFmtId="177" formatCode="0.00_ "/>
    </dxf>
    <dxf>
      <numFmt numFmtId="176" formatCode="0.0_ "/>
    </dxf>
    <dxf>
      <numFmt numFmtId="198" formatCode="0.00000000_ "/>
    </dxf>
    <dxf>
      <numFmt numFmtId="197" formatCode="0.0000000_ "/>
    </dxf>
    <dxf>
      <numFmt numFmtId="196" formatCode="0.000000_ "/>
    </dxf>
    <dxf>
      <numFmt numFmtId="195" formatCode="0.00000_ "/>
    </dxf>
    <dxf>
      <numFmt numFmtId="180" formatCode="0.0000_ "/>
    </dxf>
    <dxf>
      <numFmt numFmtId="178" formatCode="0.000_ "/>
    </dxf>
    <dxf>
      <numFmt numFmtId="0" formatCode="General"/>
    </dxf>
    <dxf>
      <fill>
        <patternFill>
          <bgColor theme="9" tint="0.59996337778862885"/>
        </patternFill>
      </fill>
    </dxf>
    <dxf>
      <fill>
        <patternFill>
          <bgColor theme="9" tint="0.59996337778862885"/>
        </patternFill>
      </fill>
    </dxf>
    <dxf>
      <font>
        <u/>
      </font>
      <numFmt numFmtId="180" formatCode="0.0000_ "/>
      <fill>
        <patternFill>
          <bgColor rgb="FFFFFF00"/>
        </patternFill>
      </fill>
    </dxf>
    <dxf>
      <font>
        <u/>
      </font>
      <numFmt numFmtId="178" formatCode="0.000_ "/>
      <fill>
        <patternFill>
          <bgColor rgb="FFFFFF00"/>
        </patternFill>
      </fill>
    </dxf>
    <dxf>
      <font>
        <u/>
      </font>
      <numFmt numFmtId="177" formatCode="0.00_ "/>
      <fill>
        <patternFill>
          <bgColor rgb="FFFFFF00"/>
        </patternFill>
      </fill>
    </dxf>
    <dxf>
      <font>
        <u/>
      </font>
      <numFmt numFmtId="176" formatCode="0.0_ "/>
      <fill>
        <patternFill>
          <bgColor rgb="FFFFFF00"/>
        </patternFill>
      </fill>
    </dxf>
    <dxf>
      <font>
        <u/>
        <color auto="1"/>
      </font>
      <numFmt numFmtId="0" formatCode="General"/>
      <fill>
        <patternFill>
          <bgColor rgb="FFFFFF00"/>
        </patternFill>
      </fill>
    </dxf>
    <dxf>
      <numFmt numFmtId="194" formatCode="0_ "/>
    </dxf>
    <dxf>
      <numFmt numFmtId="176" formatCode="0.0_ "/>
    </dxf>
    <dxf>
      <numFmt numFmtId="177" formatCode="0.00_ "/>
    </dxf>
    <dxf>
      <numFmt numFmtId="178" formatCode="0.000_ "/>
    </dxf>
    <dxf>
      <numFmt numFmtId="180" formatCode="0.0000_ "/>
    </dxf>
    <dxf>
      <font>
        <u/>
      </font>
      <numFmt numFmtId="197" formatCode="0.0000000_ "/>
      <fill>
        <patternFill>
          <bgColor rgb="FFFFFF00"/>
        </patternFill>
      </fill>
    </dxf>
    <dxf>
      <numFmt numFmtId="196" formatCode="0.000000_ "/>
    </dxf>
    <dxf>
      <numFmt numFmtId="197" formatCode="0.0000000_ "/>
    </dxf>
    <dxf>
      <numFmt numFmtId="198" formatCode="0.00000000_ "/>
    </dxf>
    <dxf>
      <numFmt numFmtId="0" formatCode="General"/>
    </dxf>
    <dxf>
      <font>
        <u/>
      </font>
      <numFmt numFmtId="198" formatCode="0.00000000_ "/>
      <fill>
        <patternFill>
          <bgColor rgb="FFFFFF00"/>
        </patternFill>
      </fill>
    </dxf>
    <dxf>
      <font>
        <u/>
      </font>
      <numFmt numFmtId="194" formatCode="0_ "/>
      <fill>
        <patternFill>
          <bgColor rgb="FFFFFF00"/>
        </patternFill>
      </fill>
    </dxf>
    <dxf>
      <font>
        <u/>
      </font>
      <numFmt numFmtId="196" formatCode="0.000000_ "/>
      <fill>
        <patternFill>
          <bgColor rgb="FFFFFF00"/>
        </patternFill>
      </fill>
    </dxf>
    <dxf>
      <font>
        <u/>
      </font>
      <numFmt numFmtId="195" formatCode="0.00000_ "/>
      <fill>
        <patternFill>
          <bgColor rgb="FFFFFF00"/>
        </patternFill>
      </fill>
    </dxf>
    <dxf>
      <numFmt numFmtId="195" formatCode="0.00000_ "/>
    </dxf>
    <dxf>
      <fill>
        <patternFill>
          <bgColor theme="9" tint="0.59996337778862885"/>
        </patternFill>
      </fill>
    </dxf>
    <dxf>
      <numFmt numFmtId="0" formatCode="General"/>
    </dxf>
    <dxf>
      <numFmt numFmtId="198" formatCode="0.00000000_ "/>
    </dxf>
    <dxf>
      <numFmt numFmtId="197" formatCode="0.0000000_ "/>
    </dxf>
    <dxf>
      <numFmt numFmtId="196" formatCode="0.000000_ "/>
    </dxf>
    <dxf>
      <numFmt numFmtId="195" formatCode="0.00000_ "/>
    </dxf>
    <dxf>
      <numFmt numFmtId="180" formatCode="0.0000_ "/>
    </dxf>
    <dxf>
      <numFmt numFmtId="178" formatCode="0.000_ "/>
    </dxf>
    <dxf>
      <numFmt numFmtId="177" formatCode="0.00_ "/>
    </dxf>
    <dxf>
      <numFmt numFmtId="176" formatCode="0.0_ "/>
    </dxf>
    <dxf>
      <numFmt numFmtId="194" formatCode="0_ "/>
    </dxf>
    <dxf>
      <font>
        <u/>
        <color auto="1"/>
      </font>
      <numFmt numFmtId="0" formatCode="General"/>
      <fill>
        <patternFill>
          <bgColor rgb="FFFFFF00"/>
        </patternFill>
      </fill>
    </dxf>
    <dxf>
      <font>
        <u/>
      </font>
      <numFmt numFmtId="194" formatCode="0_ "/>
      <fill>
        <patternFill>
          <bgColor rgb="FFFFFF00"/>
        </patternFill>
      </fill>
    </dxf>
    <dxf>
      <font>
        <u/>
      </font>
      <numFmt numFmtId="176" formatCode="0.0_ "/>
      <fill>
        <patternFill>
          <bgColor rgb="FFFFFF00"/>
        </patternFill>
      </fill>
    </dxf>
    <dxf>
      <font>
        <u/>
      </font>
      <numFmt numFmtId="177" formatCode="0.00_ "/>
      <fill>
        <patternFill>
          <bgColor rgb="FFFFFF00"/>
        </patternFill>
      </fill>
    </dxf>
    <dxf>
      <font>
        <u/>
      </font>
      <numFmt numFmtId="180" formatCode="0.0000_ "/>
      <fill>
        <patternFill>
          <bgColor rgb="FFFFFF00"/>
        </patternFill>
      </fill>
    </dxf>
    <dxf>
      <font>
        <u/>
      </font>
      <numFmt numFmtId="195" formatCode="0.00000_ "/>
      <fill>
        <patternFill>
          <bgColor rgb="FFFFFF00"/>
        </patternFill>
      </fill>
    </dxf>
    <dxf>
      <font>
        <u/>
      </font>
      <numFmt numFmtId="196" formatCode="0.000000_ "/>
      <fill>
        <patternFill>
          <bgColor rgb="FFFFFF00"/>
        </patternFill>
      </fill>
    </dxf>
    <dxf>
      <font>
        <u/>
      </font>
      <numFmt numFmtId="197" formatCode="0.0000000_ "/>
      <fill>
        <patternFill>
          <bgColor rgb="FFFFFF00"/>
        </patternFill>
      </fill>
    </dxf>
    <dxf>
      <font>
        <u/>
      </font>
      <numFmt numFmtId="198" formatCode="0.00000000_ "/>
      <fill>
        <patternFill>
          <bgColor rgb="FFFFFF00"/>
        </patternFill>
      </fill>
    </dxf>
    <dxf>
      <font>
        <u/>
      </font>
      <numFmt numFmtId="178" formatCode="0.000_ "/>
      <fill>
        <patternFill>
          <bgColor rgb="FFFFFF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numFmt numFmtId="0" formatCode="General"/>
    </dxf>
    <dxf>
      <numFmt numFmtId="176" formatCode="0.0_ "/>
    </dxf>
    <dxf>
      <font>
        <u/>
      </font>
      <numFmt numFmtId="198" formatCode="0.00000000_ "/>
      <fill>
        <patternFill>
          <bgColor rgb="FFFFFF00"/>
        </patternFill>
      </fill>
    </dxf>
    <dxf>
      <font>
        <u/>
      </font>
      <numFmt numFmtId="197" formatCode="0.0000000_ "/>
      <fill>
        <patternFill>
          <bgColor rgb="FFFFFF00"/>
        </patternFill>
      </fill>
    </dxf>
    <dxf>
      <font>
        <u/>
      </font>
      <numFmt numFmtId="196" formatCode="0.000000_ "/>
      <fill>
        <patternFill>
          <bgColor rgb="FFFFFF00"/>
        </patternFill>
      </fill>
    </dxf>
    <dxf>
      <font>
        <u/>
      </font>
      <numFmt numFmtId="195" formatCode="0.00000_ "/>
      <fill>
        <patternFill>
          <bgColor rgb="FFFFFF00"/>
        </patternFill>
      </fill>
    </dxf>
    <dxf>
      <font>
        <u/>
      </font>
      <numFmt numFmtId="180" formatCode="0.0000_ "/>
      <fill>
        <patternFill>
          <bgColor rgb="FFFFFF00"/>
        </patternFill>
      </fill>
    </dxf>
    <dxf>
      <font>
        <u/>
      </font>
      <numFmt numFmtId="178" formatCode="0.000_ "/>
      <fill>
        <patternFill>
          <bgColor rgb="FFFFFF00"/>
        </patternFill>
      </fill>
    </dxf>
    <dxf>
      <font>
        <u/>
      </font>
      <numFmt numFmtId="177" formatCode="0.00_ "/>
      <fill>
        <patternFill>
          <bgColor rgb="FFFFFF00"/>
        </patternFill>
      </fill>
    </dxf>
    <dxf>
      <font>
        <u/>
      </font>
      <numFmt numFmtId="176" formatCode="0.0_ "/>
      <fill>
        <patternFill>
          <bgColor rgb="FFFFFF00"/>
        </patternFill>
      </fill>
    </dxf>
    <dxf>
      <font>
        <u/>
      </font>
      <numFmt numFmtId="194" formatCode="0_ "/>
      <fill>
        <patternFill>
          <bgColor rgb="FFFFFF00"/>
        </patternFill>
      </fill>
    </dxf>
    <dxf>
      <font>
        <u/>
        <color auto="1"/>
      </font>
      <numFmt numFmtId="0" formatCode="General"/>
      <fill>
        <patternFill>
          <bgColor rgb="FFFFFF00"/>
        </patternFill>
      </fill>
    </dxf>
    <dxf>
      <numFmt numFmtId="194" formatCode="0_ "/>
    </dxf>
    <dxf>
      <numFmt numFmtId="177" formatCode="0.00_ "/>
    </dxf>
    <dxf>
      <numFmt numFmtId="178" formatCode="0.000_ "/>
    </dxf>
    <dxf>
      <numFmt numFmtId="180" formatCode="0.0000_ "/>
    </dxf>
    <dxf>
      <numFmt numFmtId="195" formatCode="0.00000_ "/>
    </dxf>
    <dxf>
      <numFmt numFmtId="196" formatCode="0.000000_ "/>
    </dxf>
    <dxf>
      <numFmt numFmtId="197" formatCode="0.0000000_ "/>
    </dxf>
    <dxf>
      <numFmt numFmtId="198" formatCode="0.00000000_ "/>
    </dxf>
    <dxf>
      <font>
        <u/>
      </font>
      <numFmt numFmtId="196" formatCode="0.000000_ "/>
      <fill>
        <patternFill>
          <bgColor rgb="FFFFFF00"/>
        </patternFill>
      </fill>
    </dxf>
    <dxf>
      <font>
        <u/>
      </font>
      <numFmt numFmtId="195" formatCode="0.00000_ "/>
      <fill>
        <patternFill>
          <bgColor rgb="FFFFFF00"/>
        </patternFill>
      </fill>
    </dxf>
    <dxf>
      <font>
        <u/>
      </font>
      <numFmt numFmtId="180" formatCode="0.0000_ "/>
      <fill>
        <patternFill>
          <bgColor rgb="FFFFFF00"/>
        </patternFill>
      </fill>
    </dxf>
    <dxf>
      <font>
        <u/>
      </font>
      <numFmt numFmtId="178" formatCode="0.000_ "/>
      <fill>
        <patternFill>
          <bgColor rgb="FFFFFF00"/>
        </patternFill>
      </fill>
    </dxf>
    <dxf>
      <font>
        <u/>
      </font>
      <numFmt numFmtId="177" formatCode="0.00_ "/>
      <fill>
        <patternFill>
          <bgColor rgb="FFFFFF00"/>
        </patternFill>
      </fill>
    </dxf>
    <dxf>
      <font>
        <u/>
      </font>
      <numFmt numFmtId="176" formatCode="0.0_ "/>
      <fill>
        <patternFill>
          <bgColor rgb="FFFFFF00"/>
        </patternFill>
      </fill>
    </dxf>
    <dxf>
      <font>
        <u/>
      </font>
      <numFmt numFmtId="194" formatCode="0_ "/>
      <fill>
        <patternFill>
          <bgColor rgb="FFFFFF00"/>
        </patternFill>
      </fill>
    </dxf>
    <dxf>
      <font>
        <u/>
        <color auto="1"/>
      </font>
      <numFmt numFmtId="0" formatCode="General"/>
      <fill>
        <patternFill>
          <bgColor rgb="FFFFFF00"/>
        </patternFill>
      </fill>
    </dxf>
    <dxf>
      <numFmt numFmtId="194" formatCode="0_ "/>
    </dxf>
    <dxf>
      <font>
        <u/>
      </font>
      <numFmt numFmtId="198" formatCode="0.00000000_ "/>
      <fill>
        <patternFill>
          <bgColor rgb="FFFFFF00"/>
        </patternFill>
      </fill>
    </dxf>
    <dxf>
      <numFmt numFmtId="177" formatCode="0.00_ "/>
    </dxf>
    <dxf>
      <numFmt numFmtId="195" formatCode="0.00000_ "/>
    </dxf>
    <dxf>
      <numFmt numFmtId="178" formatCode="0.000_ "/>
    </dxf>
    <dxf>
      <numFmt numFmtId="180" formatCode="0.0000_ "/>
    </dxf>
    <dxf>
      <font>
        <u/>
      </font>
      <numFmt numFmtId="197" formatCode="0.0000000_ "/>
      <fill>
        <patternFill>
          <bgColor rgb="FFFFFF00"/>
        </patternFill>
      </fill>
    </dxf>
    <dxf>
      <numFmt numFmtId="196" formatCode="0.000000_ "/>
    </dxf>
    <dxf>
      <numFmt numFmtId="197" formatCode="0.0000000_ "/>
    </dxf>
    <dxf>
      <numFmt numFmtId="198" formatCode="0.00000000_ "/>
    </dxf>
    <dxf>
      <numFmt numFmtId="0" formatCode="General"/>
    </dxf>
    <dxf>
      <numFmt numFmtId="176" formatCode="0.0_ "/>
    </dxf>
    <dxf>
      <numFmt numFmtId="0" formatCode="General"/>
    </dxf>
    <dxf>
      <font>
        <u/>
      </font>
      <numFmt numFmtId="176" formatCode="0.0_ "/>
      <fill>
        <patternFill>
          <bgColor rgb="FFFFFF00"/>
        </patternFill>
      </fill>
    </dxf>
    <dxf>
      <numFmt numFmtId="196" formatCode="0.000000_ "/>
    </dxf>
    <dxf>
      <numFmt numFmtId="195" formatCode="0.00000_ "/>
    </dxf>
    <dxf>
      <numFmt numFmtId="180" formatCode="0.0000_ "/>
    </dxf>
    <dxf>
      <numFmt numFmtId="198" formatCode="0.00000000_ "/>
    </dxf>
    <dxf>
      <numFmt numFmtId="178" formatCode="0.000_ "/>
    </dxf>
    <dxf>
      <numFmt numFmtId="177" formatCode="0.00_ "/>
    </dxf>
    <dxf>
      <numFmt numFmtId="176" formatCode="0.0_ "/>
    </dxf>
    <dxf>
      <numFmt numFmtId="194" formatCode="0_ "/>
    </dxf>
    <dxf>
      <font>
        <u/>
        <color auto="1"/>
      </font>
      <numFmt numFmtId="0" formatCode="General"/>
      <fill>
        <patternFill>
          <bgColor rgb="FFFFFF00"/>
        </patternFill>
      </fill>
    </dxf>
    <dxf>
      <font>
        <u/>
      </font>
      <numFmt numFmtId="194" formatCode="0_ "/>
      <fill>
        <patternFill>
          <bgColor rgb="FFFFFF00"/>
        </patternFill>
      </fill>
    </dxf>
    <dxf>
      <numFmt numFmtId="197" formatCode="0.0000000_ "/>
    </dxf>
    <dxf>
      <font>
        <u/>
      </font>
      <numFmt numFmtId="177" formatCode="0.00_ "/>
      <fill>
        <patternFill>
          <bgColor rgb="FFFFFF00"/>
        </patternFill>
      </fill>
    </dxf>
    <dxf>
      <font>
        <u/>
      </font>
      <numFmt numFmtId="178" formatCode="0.000_ "/>
      <fill>
        <patternFill>
          <bgColor rgb="FFFFFF00"/>
        </patternFill>
      </fill>
    </dxf>
    <dxf>
      <font>
        <u/>
      </font>
      <numFmt numFmtId="180" formatCode="0.0000_ "/>
      <fill>
        <patternFill>
          <bgColor rgb="FFFFFF00"/>
        </patternFill>
      </fill>
    </dxf>
    <dxf>
      <font>
        <u/>
      </font>
      <numFmt numFmtId="195" formatCode="0.00000_ "/>
      <fill>
        <patternFill>
          <bgColor rgb="FFFFFF00"/>
        </patternFill>
      </fill>
    </dxf>
    <dxf>
      <font>
        <u/>
      </font>
      <numFmt numFmtId="196" formatCode="0.000000_ "/>
      <fill>
        <patternFill>
          <bgColor rgb="FFFFFF00"/>
        </patternFill>
      </fill>
    </dxf>
    <dxf>
      <font>
        <u/>
      </font>
      <numFmt numFmtId="197" formatCode="0.0000000_ "/>
      <fill>
        <patternFill>
          <bgColor rgb="FFFFFF00"/>
        </patternFill>
      </fill>
    </dxf>
    <dxf>
      <font>
        <u/>
      </font>
      <numFmt numFmtId="198" formatCode="0.00000000_ "/>
      <fill>
        <patternFill>
          <bgColor rgb="FFFFFF00"/>
        </patternFill>
      </fill>
    </dxf>
  </dxfs>
  <tableStyles count="0" defaultTableStyle="TableStyleMedium9" defaultPivotStyle="PivotStyleLight16"/>
  <colors>
    <mruColors>
      <color rgb="FFCC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theme/theme1.xml" Type="http://schemas.openxmlformats.org/officeDocument/2006/relationships/theme"/><Relationship Id="rId16" Target="styles.xml" Type="http://schemas.openxmlformats.org/officeDocument/2006/relationships/styles"/><Relationship Id="rId17" Target="sharedStrings.xml" Type="http://schemas.openxmlformats.org/officeDocument/2006/relationships/sharedStrings"/><Relationship Id="rId18" Target="calcChain.xml" Type="http://schemas.openxmlformats.org/officeDocument/2006/relationships/calcChain"/><Relationship Id="rId19" Target="../customXml/item1.xml" Type="http://schemas.openxmlformats.org/officeDocument/2006/relationships/customXml"/><Relationship Id="rId2" Target="worksheets/sheet2.xml" Type="http://schemas.openxmlformats.org/officeDocument/2006/relationships/worksheet"/><Relationship Id="rId20" Target="../customXml/item2.xml" Type="http://schemas.openxmlformats.org/officeDocument/2006/relationships/customXml"/><Relationship Id="rId21" Target="../customXml/item3.xml" Type="http://schemas.openxmlformats.org/officeDocument/2006/relationships/customXml"/><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No.3!$F$22:$G$22</c:f>
          <c:strCache>
            <c:ptCount val="2"/>
            <c:pt idx="1">
              <c:v>day</c:v>
            </c:pt>
          </c:strCache>
        </c:strRef>
      </c:tx>
      <c:layout>
        <c:manualLayout>
          <c:xMode val="edge"/>
          <c:yMode val="edge"/>
          <c:x val="0.84510554857685594"/>
          <c:y val="0.87499919652900526"/>
        </c:manualLayout>
      </c:layout>
      <c:overlay val="1"/>
      <c:txPr>
        <a:bodyPr/>
        <a:lstStyle/>
        <a:p>
          <a:pPr>
            <a:defRPr sz="1800"/>
          </a:pPr>
          <a:endParaRPr lang="ja-JP"/>
        </a:p>
      </c:txPr>
    </c:title>
    <c:autoTitleDeleted val="0"/>
    <c:plotArea>
      <c:layout/>
      <c:barChart>
        <c:barDir val="col"/>
        <c:grouping val="clustered"/>
        <c:varyColors val="0"/>
        <c:ser>
          <c:idx val="1"/>
          <c:order val="0"/>
          <c:tx>
            <c:v>max</c:v>
          </c:tx>
          <c:spPr>
            <a:ln w="28575">
              <a:noFill/>
            </a:ln>
          </c:spPr>
          <c:invertIfNegative val="0"/>
          <c:dLbls>
            <c:numFmt formatCode="#0.###0;General;&quot;&quot;"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No.3!days</c:f>
              <c:numCache>
                <c:formatCode>General</c:formatCode>
                <c:ptCount val="1"/>
                <c:pt idx="0">
                  <c:v>1</c:v>
                </c:pt>
              </c:numCache>
            </c:numRef>
          </c:cat>
          <c:val>
            <c:numRef>
              <c:f>No.3!MaxData</c:f>
              <c:numCache>
                <c:formatCode>General</c:formatCode>
                <c:ptCount val="1"/>
                <c:pt idx="0">
                  <c:v>1</c:v>
                </c:pt>
              </c:numCache>
            </c:numRef>
          </c:val>
          <c:extLst>
            <c:ext xmlns:c16="http://schemas.microsoft.com/office/drawing/2014/chart" uri="{C3380CC4-5D6E-409C-BE32-E72D297353CC}">
              <c16:uniqueId val="{00000000-15BF-4F5C-941E-DCE227D3541F}"/>
            </c:ext>
          </c:extLst>
        </c:ser>
        <c:ser>
          <c:idx val="0"/>
          <c:order val="1"/>
          <c:tx>
            <c:strRef>
              <c:f>No.3!$F$22:$G$22</c:f>
              <c:strCache>
                <c:ptCount val="1"/>
              </c:strCache>
            </c:strRef>
          </c:tx>
          <c:spPr>
            <a:ln w="28575">
              <a:noFill/>
            </a:ln>
          </c:spPr>
          <c:invertIfNegative val="0"/>
          <c:cat>
            <c:numRef>
              <c:f>No.3!days</c:f>
              <c:numCache>
                <c:formatCode>General</c:formatCode>
                <c:ptCount val="1"/>
                <c:pt idx="0">
                  <c:v>1</c:v>
                </c:pt>
              </c:numCache>
            </c:numRef>
          </c:cat>
          <c:val>
            <c:numRef>
              <c:f>No.3!PEC</c:f>
              <c:numCache>
                <c:formatCode>General</c:formatCode>
                <c:ptCount val="1"/>
                <c:pt idx="0">
                  <c:v>1</c:v>
                </c:pt>
              </c:numCache>
            </c:numRef>
          </c:val>
          <c:extLst>
            <c:ext xmlns:c16="http://schemas.microsoft.com/office/drawing/2014/chart" uri="{C3380CC4-5D6E-409C-BE32-E72D297353CC}">
              <c16:uniqueId val="{00000001-15BF-4F5C-941E-DCE227D3541F}"/>
            </c:ext>
          </c:extLst>
        </c:ser>
        <c:dLbls>
          <c:showLegendKey val="0"/>
          <c:showVal val="0"/>
          <c:showCatName val="0"/>
          <c:showSerName val="0"/>
          <c:showPercent val="0"/>
          <c:showBubbleSize val="0"/>
        </c:dLbls>
        <c:gapWidth val="150"/>
        <c:axId val="102655872"/>
        <c:axId val="1"/>
      </c:barChart>
      <c:catAx>
        <c:axId val="102655872"/>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lgn="ctr" rtl="0">
                  <a:defRPr lang="ja-JP" altLang="ja-JP" sz="1000" b="1" i="0" u="none" strike="noStrike" kern="1200" baseline="0">
                    <a:solidFill>
                      <a:sysClr val="windowText" lastClr="000000"/>
                    </a:solidFill>
                    <a:latin typeface="+mn-lt"/>
                    <a:ea typeface="+mn-ea"/>
                    <a:cs typeface="+mn-cs"/>
                  </a:defRPr>
                </a:pPr>
                <a:r>
                  <a:rPr lang="ja-JP" altLang="ja-JP" sz="1000" b="1" i="0" u="none" strike="noStrike" kern="1200" baseline="0">
                    <a:solidFill>
                      <a:sysClr val="windowText" lastClr="000000"/>
                    </a:solidFill>
                    <a:latin typeface="+mn-lt"/>
                    <a:ea typeface="+mn-ea"/>
                    <a:cs typeface="+mn-cs"/>
                  </a:rPr>
                  <a:t>期間 [日]</a:t>
                </a:r>
              </a:p>
            </c:rich>
          </c:tx>
          <c:layout>
            <c:manualLayout>
              <c:xMode val="edge"/>
              <c:yMode val="edge"/>
              <c:x val="0.48622731497084265"/>
              <c:y val="0.87871908868534299"/>
            </c:manualLayout>
          </c:layout>
          <c:overlay val="0"/>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eaVert"/>
          <a:lstStyle/>
          <a:p>
            <a:pPr>
              <a:defRPr sz="900" b="0" i="0" u="none" strike="noStrike" baseline="0">
                <a:solidFill>
                  <a:srgbClr val="333333"/>
                </a:solidFill>
                <a:latin typeface="ＭＳ Ｐゴシック"/>
                <a:ea typeface="ＭＳ Ｐゴシック"/>
                <a:cs typeface="ＭＳ Ｐゴシック"/>
              </a:defRPr>
            </a:pPr>
            <a:endParaRPr lang="ja-JP"/>
          </a:p>
        </c:txPr>
        <c:crossAx val="1"/>
        <c:crossesAt val="0"/>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ltLang="ja-JP"/>
                  <a:t>PEC [µg/L] </a:t>
                </a:r>
                <a:endParaRPr lang="ja-JP" altLang="en-US"/>
              </a:p>
            </c:rich>
          </c:tx>
          <c:layout>
            <c:manualLayout>
              <c:xMode val="edge"/>
              <c:yMode val="edge"/>
              <c:x val="3.3742455344832868E-2"/>
              <c:y val="0.12952702340778832"/>
            </c:manualLayout>
          </c:layout>
          <c:overlay val="0"/>
        </c:title>
        <c:numFmt formatCode="#,##0.0_);[Red]\(#,##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265587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No.4!$F$22:$G$22</c:f>
          <c:strCache>
            <c:ptCount val="2"/>
            <c:pt idx="1">
              <c:v>day</c:v>
            </c:pt>
          </c:strCache>
        </c:strRef>
      </c:tx>
      <c:layout>
        <c:manualLayout>
          <c:xMode val="edge"/>
          <c:yMode val="edge"/>
          <c:x val="0.84510554857685594"/>
          <c:y val="0.87499919652900526"/>
        </c:manualLayout>
      </c:layout>
      <c:overlay val="1"/>
      <c:txPr>
        <a:bodyPr/>
        <a:lstStyle/>
        <a:p>
          <a:pPr>
            <a:defRPr sz="1800"/>
          </a:pPr>
          <a:endParaRPr lang="ja-JP"/>
        </a:p>
      </c:txPr>
    </c:title>
    <c:autoTitleDeleted val="0"/>
    <c:plotArea>
      <c:layout/>
      <c:barChart>
        <c:barDir val="col"/>
        <c:grouping val="clustered"/>
        <c:varyColors val="0"/>
        <c:ser>
          <c:idx val="1"/>
          <c:order val="0"/>
          <c:tx>
            <c:v>max</c:v>
          </c:tx>
          <c:spPr>
            <a:ln w="28575">
              <a:noFill/>
            </a:ln>
          </c:spPr>
          <c:invertIfNegative val="0"/>
          <c:dLbls>
            <c:numFmt formatCode="#0.###0;General;&quot;&quot;"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No.4!days</c:f>
              <c:numCache>
                <c:formatCode>General</c:formatCode>
                <c:ptCount val="1"/>
                <c:pt idx="0">
                  <c:v>1</c:v>
                </c:pt>
              </c:numCache>
            </c:numRef>
          </c:cat>
          <c:val>
            <c:numRef>
              <c:f>No.4!MaxData</c:f>
              <c:numCache>
                <c:formatCode>General</c:formatCode>
                <c:ptCount val="1"/>
                <c:pt idx="0">
                  <c:v>1</c:v>
                </c:pt>
              </c:numCache>
            </c:numRef>
          </c:val>
          <c:extLst>
            <c:ext xmlns:c16="http://schemas.microsoft.com/office/drawing/2014/chart" uri="{C3380CC4-5D6E-409C-BE32-E72D297353CC}">
              <c16:uniqueId val="{00000000-BEFF-44EA-8CD8-DEC0E4A3A1F7}"/>
            </c:ext>
          </c:extLst>
        </c:ser>
        <c:ser>
          <c:idx val="0"/>
          <c:order val="1"/>
          <c:tx>
            <c:strRef>
              <c:f>No.4!$F$22:$G$22</c:f>
              <c:strCache>
                <c:ptCount val="1"/>
              </c:strCache>
            </c:strRef>
          </c:tx>
          <c:spPr>
            <a:ln w="28575">
              <a:noFill/>
            </a:ln>
          </c:spPr>
          <c:invertIfNegative val="0"/>
          <c:cat>
            <c:numRef>
              <c:f>No.4!days</c:f>
              <c:numCache>
                <c:formatCode>General</c:formatCode>
                <c:ptCount val="1"/>
                <c:pt idx="0">
                  <c:v>1</c:v>
                </c:pt>
              </c:numCache>
            </c:numRef>
          </c:cat>
          <c:val>
            <c:numRef>
              <c:f>No.4!PEC</c:f>
              <c:numCache>
                <c:formatCode>General</c:formatCode>
                <c:ptCount val="1"/>
                <c:pt idx="0">
                  <c:v>1</c:v>
                </c:pt>
              </c:numCache>
            </c:numRef>
          </c:val>
          <c:extLst>
            <c:ext xmlns:c16="http://schemas.microsoft.com/office/drawing/2014/chart" uri="{C3380CC4-5D6E-409C-BE32-E72D297353CC}">
              <c16:uniqueId val="{00000001-BEFF-44EA-8CD8-DEC0E4A3A1F7}"/>
            </c:ext>
          </c:extLst>
        </c:ser>
        <c:dLbls>
          <c:showLegendKey val="0"/>
          <c:showVal val="0"/>
          <c:showCatName val="0"/>
          <c:showSerName val="0"/>
          <c:showPercent val="0"/>
          <c:showBubbleSize val="0"/>
        </c:dLbls>
        <c:gapWidth val="150"/>
        <c:axId val="102655872"/>
        <c:axId val="1"/>
      </c:barChart>
      <c:catAx>
        <c:axId val="102655872"/>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lgn="ctr" rtl="0">
                  <a:defRPr lang="ja-JP" altLang="ja-JP" sz="1000" b="1" i="0" u="none" strike="noStrike" kern="1200" baseline="0">
                    <a:solidFill>
                      <a:sysClr val="windowText" lastClr="000000"/>
                    </a:solidFill>
                    <a:latin typeface="+mn-lt"/>
                    <a:ea typeface="+mn-ea"/>
                    <a:cs typeface="+mn-cs"/>
                  </a:defRPr>
                </a:pPr>
                <a:r>
                  <a:rPr lang="ja-JP" altLang="ja-JP" sz="1000" b="1" i="0" u="none" strike="noStrike" kern="1200" baseline="0">
                    <a:solidFill>
                      <a:sysClr val="windowText" lastClr="000000"/>
                    </a:solidFill>
                    <a:latin typeface="+mn-lt"/>
                    <a:ea typeface="+mn-ea"/>
                    <a:cs typeface="+mn-cs"/>
                  </a:rPr>
                  <a:t>期間 [日]</a:t>
                </a:r>
              </a:p>
            </c:rich>
          </c:tx>
          <c:layout>
            <c:manualLayout>
              <c:xMode val="edge"/>
              <c:yMode val="edge"/>
              <c:x val="0.48622731497084265"/>
              <c:y val="0.87871908868534299"/>
            </c:manualLayout>
          </c:layout>
          <c:overlay val="0"/>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eaVert"/>
          <a:lstStyle/>
          <a:p>
            <a:pPr>
              <a:defRPr sz="900" b="0" i="0" u="none" strike="noStrike" baseline="0">
                <a:solidFill>
                  <a:srgbClr val="333333"/>
                </a:solidFill>
                <a:latin typeface="ＭＳ Ｐゴシック"/>
                <a:ea typeface="ＭＳ Ｐゴシック"/>
                <a:cs typeface="ＭＳ Ｐゴシック"/>
              </a:defRPr>
            </a:pPr>
            <a:endParaRPr lang="ja-JP"/>
          </a:p>
        </c:txPr>
        <c:crossAx val="1"/>
        <c:crossesAt val="0"/>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ltLang="ja-JP"/>
                  <a:t>PEC [µg/L] </a:t>
                </a:r>
                <a:endParaRPr lang="ja-JP" altLang="en-US"/>
              </a:p>
            </c:rich>
          </c:tx>
          <c:layout>
            <c:manualLayout>
              <c:xMode val="edge"/>
              <c:yMode val="edge"/>
              <c:x val="3.3742455344832868E-2"/>
              <c:y val="0.12952702340778832"/>
            </c:manualLayout>
          </c:layout>
          <c:overlay val="0"/>
        </c:title>
        <c:numFmt formatCode="#,##0.0_);[Red]\(#,##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265587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No.5!$F$22:$G$22</c:f>
          <c:strCache>
            <c:ptCount val="2"/>
            <c:pt idx="1">
              <c:v>day</c:v>
            </c:pt>
          </c:strCache>
        </c:strRef>
      </c:tx>
      <c:layout>
        <c:manualLayout>
          <c:xMode val="edge"/>
          <c:yMode val="edge"/>
          <c:x val="0.84510569981569217"/>
          <c:y val="0.87499955362722515"/>
        </c:manualLayout>
      </c:layout>
      <c:overlay val="1"/>
      <c:txPr>
        <a:bodyPr/>
        <a:lstStyle/>
        <a:p>
          <a:pPr>
            <a:defRPr sz="1800"/>
          </a:pPr>
          <a:endParaRPr lang="ja-JP"/>
        </a:p>
      </c:txPr>
    </c:title>
    <c:autoTitleDeleted val="0"/>
    <c:plotArea>
      <c:layout/>
      <c:barChart>
        <c:barDir val="col"/>
        <c:grouping val="clustered"/>
        <c:varyColors val="0"/>
        <c:ser>
          <c:idx val="1"/>
          <c:order val="0"/>
          <c:tx>
            <c:v>max</c:v>
          </c:tx>
          <c:spPr>
            <a:ln w="28575">
              <a:noFill/>
            </a:ln>
          </c:spPr>
          <c:invertIfNegative val="0"/>
          <c:dLbls>
            <c:numFmt formatCode="#0.###0;General;&quot;&quot;"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No.5!days</c:f>
              <c:numCache>
                <c:formatCode>General</c:formatCode>
                <c:ptCount val="1"/>
                <c:pt idx="0">
                  <c:v>1</c:v>
                </c:pt>
              </c:numCache>
            </c:numRef>
          </c:cat>
          <c:val>
            <c:numRef>
              <c:f>No.5!MaxData</c:f>
              <c:numCache>
                <c:formatCode>General</c:formatCode>
                <c:ptCount val="1"/>
                <c:pt idx="0">
                  <c:v>1</c:v>
                </c:pt>
              </c:numCache>
            </c:numRef>
          </c:val>
          <c:extLst>
            <c:ext xmlns:c16="http://schemas.microsoft.com/office/drawing/2014/chart" uri="{C3380CC4-5D6E-409C-BE32-E72D297353CC}">
              <c16:uniqueId val="{00000000-B48F-4279-9278-E3DB795E3152}"/>
            </c:ext>
          </c:extLst>
        </c:ser>
        <c:ser>
          <c:idx val="0"/>
          <c:order val="1"/>
          <c:tx>
            <c:strRef>
              <c:f>No.5!$F$22:$G$22</c:f>
              <c:strCache>
                <c:ptCount val="1"/>
              </c:strCache>
            </c:strRef>
          </c:tx>
          <c:spPr>
            <a:ln w="28575">
              <a:noFill/>
            </a:ln>
          </c:spPr>
          <c:invertIfNegative val="0"/>
          <c:cat>
            <c:numRef>
              <c:f>No.5!days</c:f>
              <c:numCache>
                <c:formatCode>General</c:formatCode>
                <c:ptCount val="1"/>
                <c:pt idx="0">
                  <c:v>1</c:v>
                </c:pt>
              </c:numCache>
            </c:numRef>
          </c:cat>
          <c:val>
            <c:numRef>
              <c:f>No.5!PEC</c:f>
              <c:numCache>
                <c:formatCode>General</c:formatCode>
                <c:ptCount val="1"/>
                <c:pt idx="0">
                  <c:v>1</c:v>
                </c:pt>
              </c:numCache>
            </c:numRef>
          </c:val>
          <c:extLst>
            <c:ext xmlns:c16="http://schemas.microsoft.com/office/drawing/2014/chart" uri="{C3380CC4-5D6E-409C-BE32-E72D297353CC}">
              <c16:uniqueId val="{00000001-B48F-4279-9278-E3DB795E3152}"/>
            </c:ext>
          </c:extLst>
        </c:ser>
        <c:dLbls>
          <c:showLegendKey val="0"/>
          <c:showVal val="0"/>
          <c:showCatName val="0"/>
          <c:showSerName val="0"/>
          <c:showPercent val="0"/>
          <c:showBubbleSize val="0"/>
        </c:dLbls>
        <c:gapWidth val="150"/>
        <c:axId val="102661152"/>
        <c:axId val="1"/>
      </c:barChart>
      <c:catAx>
        <c:axId val="102661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lgn="ctr" rtl="0">
                  <a:defRPr lang="ja-JP" altLang="ja-JP" sz="1000" b="1" i="0" u="none" strike="noStrike" kern="1200" baseline="0">
                    <a:solidFill>
                      <a:sysClr val="windowText" lastClr="000000"/>
                    </a:solidFill>
                    <a:latin typeface="+mn-lt"/>
                    <a:ea typeface="+mn-ea"/>
                    <a:cs typeface="+mn-cs"/>
                  </a:defRPr>
                </a:pPr>
                <a:r>
                  <a:rPr lang="ja-JP" altLang="ja-JP" sz="1000" b="1" i="0" u="none" strike="noStrike" kern="1200" baseline="0">
                    <a:solidFill>
                      <a:sysClr val="windowText" lastClr="000000"/>
                    </a:solidFill>
                    <a:latin typeface="+mn-lt"/>
                    <a:ea typeface="+mn-ea"/>
                    <a:cs typeface="+mn-cs"/>
                  </a:rPr>
                  <a:t>期間 [日]</a:t>
                </a:r>
              </a:p>
            </c:rich>
          </c:tx>
          <c:layout>
            <c:manualLayout>
              <c:xMode val="edge"/>
              <c:yMode val="edge"/>
              <c:x val="0.4862269681078597"/>
              <c:y val="0.87871908868534299"/>
            </c:manualLayout>
          </c:layout>
          <c:overlay val="0"/>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eaVert"/>
          <a:lstStyle/>
          <a:p>
            <a:pPr>
              <a:defRPr sz="900" b="0" i="0" u="none" strike="noStrike" baseline="0">
                <a:solidFill>
                  <a:srgbClr val="333333"/>
                </a:solidFill>
                <a:latin typeface="ＭＳ Ｐゴシック"/>
                <a:ea typeface="ＭＳ Ｐゴシック"/>
                <a:cs typeface="ＭＳ Ｐゴシック"/>
              </a:defRPr>
            </a:pPr>
            <a:endParaRPr lang="ja-JP"/>
          </a:p>
        </c:txPr>
        <c:crossAx val="1"/>
        <c:crossesAt val="0"/>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ltLang="ja-JP"/>
                  <a:t>PEC [µg/L] </a:t>
                </a:r>
                <a:endParaRPr lang="ja-JP" altLang="en-US"/>
              </a:p>
            </c:rich>
          </c:tx>
          <c:layout>
            <c:manualLayout>
              <c:xMode val="edge"/>
              <c:yMode val="edge"/>
              <c:x val="3.3742401918070097E-2"/>
              <c:y val="0.12952666630956844"/>
            </c:manualLayout>
          </c:layout>
          <c:overlay val="0"/>
        </c:title>
        <c:numFmt formatCode="#,##0.0_);[Red]\(#,##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266115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No.6!$F$22:$G$22</c:f>
          <c:strCache>
            <c:ptCount val="2"/>
            <c:pt idx="1">
              <c:v>day</c:v>
            </c:pt>
          </c:strCache>
        </c:strRef>
      </c:tx>
      <c:layout>
        <c:manualLayout>
          <c:xMode val="edge"/>
          <c:yMode val="edge"/>
          <c:x val="0.84510569981569217"/>
          <c:y val="0.87499955362722515"/>
        </c:manualLayout>
      </c:layout>
      <c:overlay val="1"/>
      <c:txPr>
        <a:bodyPr/>
        <a:lstStyle/>
        <a:p>
          <a:pPr>
            <a:defRPr sz="1800"/>
          </a:pPr>
          <a:endParaRPr lang="ja-JP"/>
        </a:p>
      </c:txPr>
    </c:title>
    <c:autoTitleDeleted val="0"/>
    <c:plotArea>
      <c:layout/>
      <c:barChart>
        <c:barDir val="col"/>
        <c:grouping val="clustered"/>
        <c:varyColors val="0"/>
        <c:ser>
          <c:idx val="1"/>
          <c:order val="0"/>
          <c:tx>
            <c:v>max</c:v>
          </c:tx>
          <c:spPr>
            <a:ln w="28575">
              <a:noFill/>
            </a:ln>
          </c:spPr>
          <c:invertIfNegative val="0"/>
          <c:dLbls>
            <c:numFmt formatCode="#0.###0;General;&quot;&quot;"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No.6!days</c:f>
              <c:numCache>
                <c:formatCode>General</c:formatCode>
                <c:ptCount val="1"/>
                <c:pt idx="0">
                  <c:v>1</c:v>
                </c:pt>
              </c:numCache>
            </c:numRef>
          </c:cat>
          <c:val>
            <c:numRef>
              <c:f>No.6!MaxData</c:f>
              <c:numCache>
                <c:formatCode>General</c:formatCode>
                <c:ptCount val="1"/>
                <c:pt idx="0">
                  <c:v>1</c:v>
                </c:pt>
              </c:numCache>
            </c:numRef>
          </c:val>
          <c:extLst>
            <c:ext xmlns:c16="http://schemas.microsoft.com/office/drawing/2014/chart" uri="{C3380CC4-5D6E-409C-BE32-E72D297353CC}">
              <c16:uniqueId val="{00000000-13ED-4968-8149-749B5478C5C9}"/>
            </c:ext>
          </c:extLst>
        </c:ser>
        <c:ser>
          <c:idx val="0"/>
          <c:order val="1"/>
          <c:tx>
            <c:strRef>
              <c:f>No.6!$F$22:$G$22</c:f>
              <c:strCache>
                <c:ptCount val="1"/>
              </c:strCache>
            </c:strRef>
          </c:tx>
          <c:spPr>
            <a:ln w="28575">
              <a:noFill/>
            </a:ln>
          </c:spPr>
          <c:invertIfNegative val="0"/>
          <c:cat>
            <c:numRef>
              <c:f>No.6!days</c:f>
              <c:numCache>
                <c:formatCode>General</c:formatCode>
                <c:ptCount val="1"/>
                <c:pt idx="0">
                  <c:v>1</c:v>
                </c:pt>
              </c:numCache>
            </c:numRef>
          </c:cat>
          <c:val>
            <c:numRef>
              <c:f>No.6!PEC</c:f>
              <c:numCache>
                <c:formatCode>General</c:formatCode>
                <c:ptCount val="1"/>
                <c:pt idx="0">
                  <c:v>1</c:v>
                </c:pt>
              </c:numCache>
            </c:numRef>
          </c:val>
          <c:extLst>
            <c:ext xmlns:c16="http://schemas.microsoft.com/office/drawing/2014/chart" uri="{C3380CC4-5D6E-409C-BE32-E72D297353CC}">
              <c16:uniqueId val="{00000001-13ED-4968-8149-749B5478C5C9}"/>
            </c:ext>
          </c:extLst>
        </c:ser>
        <c:dLbls>
          <c:showLegendKey val="0"/>
          <c:showVal val="0"/>
          <c:showCatName val="0"/>
          <c:showSerName val="0"/>
          <c:showPercent val="0"/>
          <c:showBubbleSize val="0"/>
        </c:dLbls>
        <c:gapWidth val="150"/>
        <c:axId val="102661152"/>
        <c:axId val="1"/>
      </c:barChart>
      <c:catAx>
        <c:axId val="102661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lgn="ctr" rtl="0">
                  <a:defRPr lang="ja-JP" altLang="ja-JP" sz="1000" b="1" i="0" u="none" strike="noStrike" kern="1200" baseline="0">
                    <a:solidFill>
                      <a:sysClr val="windowText" lastClr="000000"/>
                    </a:solidFill>
                    <a:latin typeface="+mn-lt"/>
                    <a:ea typeface="+mn-ea"/>
                    <a:cs typeface="+mn-cs"/>
                  </a:defRPr>
                </a:pPr>
                <a:r>
                  <a:rPr lang="ja-JP" altLang="ja-JP" sz="1000" b="1" i="0" u="none" strike="noStrike" kern="1200" baseline="0">
                    <a:solidFill>
                      <a:sysClr val="windowText" lastClr="000000"/>
                    </a:solidFill>
                    <a:latin typeface="+mn-lt"/>
                    <a:ea typeface="+mn-ea"/>
                    <a:cs typeface="+mn-cs"/>
                  </a:rPr>
                  <a:t>期間 [日]</a:t>
                </a:r>
              </a:p>
            </c:rich>
          </c:tx>
          <c:layout>
            <c:manualLayout>
              <c:xMode val="edge"/>
              <c:yMode val="edge"/>
              <c:x val="0.4862269681078597"/>
              <c:y val="0.87871908868534299"/>
            </c:manualLayout>
          </c:layout>
          <c:overlay val="0"/>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eaVert"/>
          <a:lstStyle/>
          <a:p>
            <a:pPr>
              <a:defRPr sz="900" b="0" i="0" u="none" strike="noStrike" baseline="0">
                <a:solidFill>
                  <a:srgbClr val="333333"/>
                </a:solidFill>
                <a:latin typeface="ＭＳ Ｐゴシック"/>
                <a:ea typeface="ＭＳ Ｐゴシック"/>
                <a:cs typeface="ＭＳ Ｐゴシック"/>
              </a:defRPr>
            </a:pPr>
            <a:endParaRPr lang="ja-JP"/>
          </a:p>
        </c:txPr>
        <c:crossAx val="1"/>
        <c:crossesAt val="0"/>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ltLang="ja-JP"/>
                  <a:t>PEC [µg/L] </a:t>
                </a:r>
                <a:endParaRPr lang="ja-JP" altLang="en-US"/>
              </a:p>
            </c:rich>
          </c:tx>
          <c:layout>
            <c:manualLayout>
              <c:xMode val="edge"/>
              <c:yMode val="edge"/>
              <c:x val="3.3742401918070097E-2"/>
              <c:y val="0.12952666630956844"/>
            </c:manualLayout>
          </c:layout>
          <c:overlay val="0"/>
        </c:title>
        <c:numFmt formatCode="#,##0.0_);[Red]\(#,##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266115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solidFill>
                  <a:schemeClr val="tx1">
                    <a:lumMod val="95000"/>
                    <a:lumOff val="5000"/>
                  </a:schemeClr>
                </a:solidFill>
              </a:defRPr>
            </a:pPr>
            <a:r>
              <a:rPr lang="en-US" altLang="ja-JP" sz="1800">
                <a:solidFill>
                  <a:schemeClr val="tx1">
                    <a:lumMod val="95000"/>
                    <a:lumOff val="5000"/>
                  </a:schemeClr>
                </a:solidFill>
              </a:rPr>
              <a:t>21 day</a:t>
            </a:r>
            <a:endParaRPr lang="ja-JP" altLang="en-US" sz="1800">
              <a:solidFill>
                <a:schemeClr val="tx1">
                  <a:lumMod val="95000"/>
                  <a:lumOff val="5000"/>
                </a:schemeClr>
              </a:solidFill>
            </a:endParaRPr>
          </a:p>
        </c:rich>
      </c:tx>
      <c:layout>
        <c:manualLayout>
          <c:xMode val="edge"/>
          <c:yMode val="edge"/>
          <c:x val="0.82162811840300787"/>
          <c:y val="0.87499919652900526"/>
        </c:manualLayout>
      </c:layout>
      <c:overlay val="1"/>
    </c:title>
    <c:autoTitleDeleted val="0"/>
    <c:plotArea>
      <c:layout/>
      <c:barChart>
        <c:barDir val="col"/>
        <c:grouping val="clustered"/>
        <c:varyColors val="0"/>
        <c:ser>
          <c:idx val="0"/>
          <c:order val="0"/>
          <c:tx>
            <c:v>21days</c:v>
          </c:tx>
          <c:spPr>
            <a:ln w="28575">
              <a:noFill/>
            </a:ln>
          </c:spPr>
          <c:invertIfNegative val="0"/>
          <c:cat>
            <c:strRef>
              <c:f>No.8!days</c:f>
              <c:strCache>
                <c:ptCount val="21"/>
                <c:pt idx="0">
                  <c:v>0-1</c:v>
                </c:pt>
                <c:pt idx="1">
                  <c:v>1-2</c:v>
                </c:pt>
                <c:pt idx="2">
                  <c:v>2-3</c:v>
                </c:pt>
                <c:pt idx="3">
                  <c:v>3-4</c:v>
                </c:pt>
                <c:pt idx="4">
                  <c:v>4-5</c:v>
                </c:pt>
                <c:pt idx="5">
                  <c:v>5-6</c:v>
                </c:pt>
                <c:pt idx="6">
                  <c:v>6-7</c:v>
                </c:pt>
                <c:pt idx="7">
                  <c:v>7-8</c:v>
                </c:pt>
                <c:pt idx="8">
                  <c:v>8-9</c:v>
                </c:pt>
                <c:pt idx="9">
                  <c:v>9-10</c:v>
                </c:pt>
                <c:pt idx="10">
                  <c:v>10-11</c:v>
                </c:pt>
                <c:pt idx="11">
                  <c:v>11-12</c:v>
                </c:pt>
                <c:pt idx="12">
                  <c:v>12-13</c:v>
                </c:pt>
                <c:pt idx="13">
                  <c:v>13-14</c:v>
                </c:pt>
                <c:pt idx="14">
                  <c:v>14-15</c:v>
                </c:pt>
                <c:pt idx="15">
                  <c:v>15-16</c:v>
                </c:pt>
                <c:pt idx="16">
                  <c:v>16-17</c:v>
                </c:pt>
                <c:pt idx="17">
                  <c:v>17-18</c:v>
                </c:pt>
                <c:pt idx="18">
                  <c:v>18-19</c:v>
                </c:pt>
                <c:pt idx="19">
                  <c:v>19-20</c:v>
                </c:pt>
                <c:pt idx="20">
                  <c:v>20-21</c:v>
                </c:pt>
              </c:strCache>
            </c:strRef>
          </c:cat>
          <c:val>
            <c:numRef>
              <c:f>No.8!PEC</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4F53-4000-A84F-53037895C76F}"/>
            </c:ext>
          </c:extLst>
        </c:ser>
        <c:ser>
          <c:idx val="1"/>
          <c:order val="1"/>
          <c:tx>
            <c:v>max</c:v>
          </c:tx>
          <c:spPr>
            <a:ln w="28575">
              <a:noFill/>
            </a:ln>
          </c:spPr>
          <c:invertIfNegative val="0"/>
          <c:dLbls>
            <c:numFmt formatCode="#0.###0;General;&quot;&quot;"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No.8!days</c:f>
              <c:strCache>
                <c:ptCount val="21"/>
                <c:pt idx="0">
                  <c:v>0-1</c:v>
                </c:pt>
                <c:pt idx="1">
                  <c:v>1-2</c:v>
                </c:pt>
                <c:pt idx="2">
                  <c:v>2-3</c:v>
                </c:pt>
                <c:pt idx="3">
                  <c:v>3-4</c:v>
                </c:pt>
                <c:pt idx="4">
                  <c:v>4-5</c:v>
                </c:pt>
                <c:pt idx="5">
                  <c:v>5-6</c:v>
                </c:pt>
                <c:pt idx="6">
                  <c:v>6-7</c:v>
                </c:pt>
                <c:pt idx="7">
                  <c:v>7-8</c:v>
                </c:pt>
                <c:pt idx="8">
                  <c:v>8-9</c:v>
                </c:pt>
                <c:pt idx="9">
                  <c:v>9-10</c:v>
                </c:pt>
                <c:pt idx="10">
                  <c:v>10-11</c:v>
                </c:pt>
                <c:pt idx="11">
                  <c:v>11-12</c:v>
                </c:pt>
                <c:pt idx="12">
                  <c:v>12-13</c:v>
                </c:pt>
                <c:pt idx="13">
                  <c:v>13-14</c:v>
                </c:pt>
                <c:pt idx="14">
                  <c:v>14-15</c:v>
                </c:pt>
                <c:pt idx="15">
                  <c:v>15-16</c:v>
                </c:pt>
                <c:pt idx="16">
                  <c:v>16-17</c:v>
                </c:pt>
                <c:pt idx="17">
                  <c:v>17-18</c:v>
                </c:pt>
                <c:pt idx="18">
                  <c:v>18-19</c:v>
                </c:pt>
                <c:pt idx="19">
                  <c:v>19-20</c:v>
                </c:pt>
                <c:pt idx="20">
                  <c:v>20-21</c:v>
                </c:pt>
              </c:strCache>
            </c:strRef>
          </c:cat>
          <c:val>
            <c:numRef>
              <c:f>No.8!MaxData</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4F53-4000-A84F-53037895C76F}"/>
            </c:ext>
          </c:extLst>
        </c:ser>
        <c:dLbls>
          <c:showLegendKey val="0"/>
          <c:showVal val="0"/>
          <c:showCatName val="0"/>
          <c:showSerName val="0"/>
          <c:showPercent val="0"/>
          <c:showBubbleSize val="0"/>
        </c:dLbls>
        <c:gapWidth val="150"/>
        <c:axId val="102678912"/>
        <c:axId val="1"/>
      </c:barChart>
      <c:catAx>
        <c:axId val="102678912"/>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lgn="ctr" rtl="0">
                  <a:defRPr lang="ja-JP" altLang="ja-JP" sz="1000" b="1" i="0" u="none" strike="noStrike" kern="1200" baseline="0">
                    <a:solidFill>
                      <a:sysClr val="windowText" lastClr="000000"/>
                    </a:solidFill>
                    <a:latin typeface="+mn-lt"/>
                    <a:ea typeface="+mn-ea"/>
                    <a:cs typeface="+mn-cs"/>
                  </a:defRPr>
                </a:pPr>
                <a:r>
                  <a:rPr lang="ja-JP" altLang="ja-JP" sz="1000" b="1" i="0" u="none" strike="noStrike" kern="1200" baseline="0">
                    <a:solidFill>
                      <a:sysClr val="windowText" lastClr="000000"/>
                    </a:solidFill>
                    <a:latin typeface="+mn-lt"/>
                    <a:ea typeface="+mn-ea"/>
                    <a:cs typeface="+mn-cs"/>
                  </a:rPr>
                  <a:t>期間 [日]</a:t>
                </a:r>
              </a:p>
            </c:rich>
          </c:tx>
          <c:layout>
            <c:manualLayout>
              <c:xMode val="edge"/>
              <c:yMode val="edge"/>
              <c:x val="0.4862268928712678"/>
              <c:y val="0.87871908868534299"/>
            </c:manualLayout>
          </c:layout>
          <c:overlay val="0"/>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eaVert"/>
          <a:lstStyle/>
          <a:p>
            <a:pPr>
              <a:defRPr sz="900" b="0" i="0" u="none" strike="noStrike" baseline="0">
                <a:solidFill>
                  <a:srgbClr val="333333"/>
                </a:solidFill>
                <a:latin typeface="ＭＳ Ｐゴシック"/>
                <a:ea typeface="ＭＳ Ｐゴシック"/>
                <a:cs typeface="ＭＳ Ｐゴシック"/>
              </a:defRPr>
            </a:pPr>
            <a:endParaRPr lang="ja-JP"/>
          </a:p>
        </c:txPr>
        <c:crossAx val="1"/>
        <c:crossesAt val="0"/>
        <c:auto val="0"/>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ltLang="ja-JP"/>
                  <a:t>PEC [µg/L] </a:t>
                </a:r>
                <a:endParaRPr lang="ja-JP" altLang="en-US"/>
              </a:p>
            </c:rich>
          </c:tx>
          <c:layout>
            <c:manualLayout>
              <c:xMode val="edge"/>
              <c:yMode val="edge"/>
              <c:x val="3.374228906318217E-2"/>
              <c:y val="0.12952702340778832"/>
            </c:manualLayout>
          </c:layout>
          <c:overlay val="0"/>
        </c:title>
        <c:numFmt formatCode="#,##0.0_);[Red]\(#,##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267891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solidFill>
                  <a:schemeClr val="tx1">
                    <a:lumMod val="95000"/>
                    <a:lumOff val="5000"/>
                  </a:schemeClr>
                </a:solidFill>
              </a:defRPr>
            </a:pPr>
            <a:r>
              <a:rPr lang="en-US" altLang="ja-JP" sz="1800">
                <a:solidFill>
                  <a:schemeClr val="tx1">
                    <a:lumMod val="95000"/>
                    <a:lumOff val="5000"/>
                  </a:schemeClr>
                </a:solidFill>
              </a:rPr>
              <a:t>21 day</a:t>
            </a:r>
            <a:endParaRPr lang="ja-JP" altLang="en-US" sz="1800">
              <a:solidFill>
                <a:schemeClr val="tx1">
                  <a:lumMod val="95000"/>
                  <a:lumOff val="5000"/>
                </a:schemeClr>
              </a:solidFill>
            </a:endParaRPr>
          </a:p>
        </c:rich>
      </c:tx>
      <c:layout>
        <c:manualLayout>
          <c:xMode val="edge"/>
          <c:yMode val="edge"/>
          <c:x val="0.82162811840300787"/>
          <c:y val="0.87499919652900526"/>
        </c:manualLayout>
      </c:layout>
      <c:overlay val="1"/>
    </c:title>
    <c:autoTitleDeleted val="0"/>
    <c:plotArea>
      <c:layout/>
      <c:barChart>
        <c:barDir val="col"/>
        <c:grouping val="clustered"/>
        <c:varyColors val="0"/>
        <c:ser>
          <c:idx val="0"/>
          <c:order val="0"/>
          <c:tx>
            <c:v>21days</c:v>
          </c:tx>
          <c:spPr>
            <a:ln w="28575">
              <a:noFill/>
            </a:ln>
          </c:spPr>
          <c:invertIfNegative val="0"/>
          <c:cat>
            <c:strRef>
              <c:f>No.9!days</c:f>
              <c:strCache>
                <c:ptCount val="21"/>
                <c:pt idx="0">
                  <c:v>0-1</c:v>
                </c:pt>
                <c:pt idx="1">
                  <c:v>1-2</c:v>
                </c:pt>
                <c:pt idx="2">
                  <c:v>2-3</c:v>
                </c:pt>
                <c:pt idx="3">
                  <c:v>3-4</c:v>
                </c:pt>
                <c:pt idx="4">
                  <c:v>4-5</c:v>
                </c:pt>
                <c:pt idx="5">
                  <c:v>5-6</c:v>
                </c:pt>
                <c:pt idx="6">
                  <c:v>6-7</c:v>
                </c:pt>
                <c:pt idx="7">
                  <c:v>7-8</c:v>
                </c:pt>
                <c:pt idx="8">
                  <c:v>8-9</c:v>
                </c:pt>
                <c:pt idx="9">
                  <c:v>9-10</c:v>
                </c:pt>
                <c:pt idx="10">
                  <c:v>10-11</c:v>
                </c:pt>
                <c:pt idx="11">
                  <c:v>11-12</c:v>
                </c:pt>
                <c:pt idx="12">
                  <c:v>12-13</c:v>
                </c:pt>
                <c:pt idx="13">
                  <c:v>13-14</c:v>
                </c:pt>
                <c:pt idx="14">
                  <c:v>14-15</c:v>
                </c:pt>
                <c:pt idx="15">
                  <c:v>15-16</c:v>
                </c:pt>
                <c:pt idx="16">
                  <c:v>16-17</c:v>
                </c:pt>
                <c:pt idx="17">
                  <c:v>17-18</c:v>
                </c:pt>
                <c:pt idx="18">
                  <c:v>18-19</c:v>
                </c:pt>
                <c:pt idx="19">
                  <c:v>19-20</c:v>
                </c:pt>
                <c:pt idx="20">
                  <c:v>20-21</c:v>
                </c:pt>
              </c:strCache>
            </c:strRef>
          </c:cat>
          <c:val>
            <c:numRef>
              <c:f>No.9!PEC</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DBEE-4185-B653-A43C2B96CD41}"/>
            </c:ext>
          </c:extLst>
        </c:ser>
        <c:ser>
          <c:idx val="1"/>
          <c:order val="1"/>
          <c:tx>
            <c:v>max</c:v>
          </c:tx>
          <c:spPr>
            <a:ln w="28575">
              <a:noFill/>
            </a:ln>
          </c:spPr>
          <c:invertIfNegative val="0"/>
          <c:dLbls>
            <c:numFmt formatCode="#0.###0;General;&quot;&quot;"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No.9!days</c:f>
              <c:strCache>
                <c:ptCount val="21"/>
                <c:pt idx="0">
                  <c:v>0-1</c:v>
                </c:pt>
                <c:pt idx="1">
                  <c:v>1-2</c:v>
                </c:pt>
                <c:pt idx="2">
                  <c:v>2-3</c:v>
                </c:pt>
                <c:pt idx="3">
                  <c:v>3-4</c:v>
                </c:pt>
                <c:pt idx="4">
                  <c:v>4-5</c:v>
                </c:pt>
                <c:pt idx="5">
                  <c:v>5-6</c:v>
                </c:pt>
                <c:pt idx="6">
                  <c:v>6-7</c:v>
                </c:pt>
                <c:pt idx="7">
                  <c:v>7-8</c:v>
                </c:pt>
                <c:pt idx="8">
                  <c:v>8-9</c:v>
                </c:pt>
                <c:pt idx="9">
                  <c:v>9-10</c:v>
                </c:pt>
                <c:pt idx="10">
                  <c:v>10-11</c:v>
                </c:pt>
                <c:pt idx="11">
                  <c:v>11-12</c:v>
                </c:pt>
                <c:pt idx="12">
                  <c:v>12-13</c:v>
                </c:pt>
                <c:pt idx="13">
                  <c:v>13-14</c:v>
                </c:pt>
                <c:pt idx="14">
                  <c:v>14-15</c:v>
                </c:pt>
                <c:pt idx="15">
                  <c:v>15-16</c:v>
                </c:pt>
                <c:pt idx="16">
                  <c:v>16-17</c:v>
                </c:pt>
                <c:pt idx="17">
                  <c:v>17-18</c:v>
                </c:pt>
                <c:pt idx="18">
                  <c:v>18-19</c:v>
                </c:pt>
                <c:pt idx="19">
                  <c:v>19-20</c:v>
                </c:pt>
                <c:pt idx="20">
                  <c:v>20-21</c:v>
                </c:pt>
              </c:strCache>
            </c:strRef>
          </c:cat>
          <c:val>
            <c:numRef>
              <c:f>No.9!MaxData</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DBEE-4185-B653-A43C2B96CD41}"/>
            </c:ext>
          </c:extLst>
        </c:ser>
        <c:dLbls>
          <c:showLegendKey val="0"/>
          <c:showVal val="0"/>
          <c:showCatName val="0"/>
          <c:showSerName val="0"/>
          <c:showPercent val="0"/>
          <c:showBubbleSize val="0"/>
        </c:dLbls>
        <c:gapWidth val="150"/>
        <c:axId val="102678912"/>
        <c:axId val="1"/>
      </c:barChart>
      <c:catAx>
        <c:axId val="102678912"/>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lgn="ctr" rtl="0">
                  <a:defRPr lang="ja-JP" altLang="ja-JP" sz="1000" b="1" i="0" u="none" strike="noStrike" kern="1200" baseline="0">
                    <a:solidFill>
                      <a:sysClr val="windowText" lastClr="000000"/>
                    </a:solidFill>
                    <a:latin typeface="+mn-lt"/>
                    <a:ea typeface="+mn-ea"/>
                    <a:cs typeface="+mn-cs"/>
                  </a:defRPr>
                </a:pPr>
                <a:r>
                  <a:rPr lang="ja-JP" altLang="ja-JP" sz="1000" b="1" i="0" u="none" strike="noStrike" kern="1200" baseline="0">
                    <a:solidFill>
                      <a:sysClr val="windowText" lastClr="000000"/>
                    </a:solidFill>
                    <a:latin typeface="+mn-lt"/>
                    <a:ea typeface="+mn-ea"/>
                    <a:cs typeface="+mn-cs"/>
                  </a:rPr>
                  <a:t>期間 [日]</a:t>
                </a:r>
              </a:p>
            </c:rich>
          </c:tx>
          <c:layout>
            <c:manualLayout>
              <c:xMode val="edge"/>
              <c:yMode val="edge"/>
              <c:x val="0.4862268928712678"/>
              <c:y val="0.87871908868534299"/>
            </c:manualLayout>
          </c:layout>
          <c:overlay val="0"/>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eaVert"/>
          <a:lstStyle/>
          <a:p>
            <a:pPr>
              <a:defRPr sz="900" b="0" i="0" u="none" strike="noStrike" baseline="0">
                <a:solidFill>
                  <a:srgbClr val="333333"/>
                </a:solidFill>
                <a:latin typeface="ＭＳ Ｐゴシック"/>
                <a:ea typeface="ＭＳ Ｐゴシック"/>
                <a:cs typeface="ＭＳ Ｐゴシック"/>
              </a:defRPr>
            </a:pPr>
            <a:endParaRPr lang="ja-JP"/>
          </a:p>
        </c:txPr>
        <c:crossAx val="1"/>
        <c:crossesAt val="0"/>
        <c:auto val="0"/>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ltLang="ja-JP"/>
                  <a:t>PEC [µg/L] </a:t>
                </a:r>
                <a:endParaRPr lang="ja-JP" altLang="en-US"/>
              </a:p>
            </c:rich>
          </c:tx>
          <c:layout>
            <c:manualLayout>
              <c:xMode val="edge"/>
              <c:yMode val="edge"/>
              <c:x val="3.374228906318217E-2"/>
              <c:y val="0.12952702340778832"/>
            </c:manualLayout>
          </c:layout>
          <c:overlay val="0"/>
        </c:title>
        <c:numFmt formatCode="#,##0.0_);[Red]\(#,##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267891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solidFill>
                  <a:schemeClr val="tx1">
                    <a:lumMod val="95000"/>
                    <a:lumOff val="5000"/>
                  </a:schemeClr>
                </a:solidFill>
              </a:defRPr>
            </a:pPr>
            <a:r>
              <a:rPr lang="en-US" altLang="ja-JP" sz="1800">
                <a:solidFill>
                  <a:schemeClr val="tx1">
                    <a:lumMod val="95000"/>
                    <a:lumOff val="5000"/>
                  </a:schemeClr>
                </a:solidFill>
              </a:rPr>
              <a:t>21 day</a:t>
            </a:r>
            <a:endParaRPr lang="ja-JP" altLang="en-US" sz="1800">
              <a:solidFill>
                <a:schemeClr val="tx1">
                  <a:lumMod val="95000"/>
                  <a:lumOff val="5000"/>
                </a:schemeClr>
              </a:solidFill>
            </a:endParaRPr>
          </a:p>
        </c:rich>
      </c:tx>
      <c:layout>
        <c:manualLayout>
          <c:xMode val="edge"/>
          <c:yMode val="edge"/>
          <c:x val="0.82162811519905044"/>
          <c:y val="0.87499955362722515"/>
        </c:manualLayout>
      </c:layout>
      <c:overlay val="1"/>
    </c:title>
    <c:autoTitleDeleted val="0"/>
    <c:plotArea>
      <c:layout/>
      <c:barChart>
        <c:barDir val="col"/>
        <c:grouping val="clustered"/>
        <c:varyColors val="0"/>
        <c:ser>
          <c:idx val="0"/>
          <c:order val="0"/>
          <c:tx>
            <c:v>21days</c:v>
          </c:tx>
          <c:spPr>
            <a:ln w="28575">
              <a:noFill/>
            </a:ln>
          </c:spPr>
          <c:invertIfNegative val="0"/>
          <c:cat>
            <c:strRef>
              <c:f>No.10!days</c:f>
              <c:strCache>
                <c:ptCount val="21"/>
                <c:pt idx="0">
                  <c:v>0-1</c:v>
                </c:pt>
                <c:pt idx="1">
                  <c:v>1-2</c:v>
                </c:pt>
                <c:pt idx="2">
                  <c:v>2-3</c:v>
                </c:pt>
                <c:pt idx="3">
                  <c:v>3-4</c:v>
                </c:pt>
                <c:pt idx="4">
                  <c:v>4-5</c:v>
                </c:pt>
                <c:pt idx="5">
                  <c:v>5-6</c:v>
                </c:pt>
                <c:pt idx="6">
                  <c:v>6-7</c:v>
                </c:pt>
                <c:pt idx="7">
                  <c:v>7-8</c:v>
                </c:pt>
                <c:pt idx="8">
                  <c:v>8-9</c:v>
                </c:pt>
                <c:pt idx="9">
                  <c:v>9-10</c:v>
                </c:pt>
                <c:pt idx="10">
                  <c:v>10-11</c:v>
                </c:pt>
                <c:pt idx="11">
                  <c:v>11-12</c:v>
                </c:pt>
                <c:pt idx="12">
                  <c:v>12-13</c:v>
                </c:pt>
                <c:pt idx="13">
                  <c:v>13-14</c:v>
                </c:pt>
                <c:pt idx="14">
                  <c:v>14-15</c:v>
                </c:pt>
                <c:pt idx="15">
                  <c:v>15-16</c:v>
                </c:pt>
                <c:pt idx="16">
                  <c:v>16-17</c:v>
                </c:pt>
                <c:pt idx="17">
                  <c:v>17-18</c:v>
                </c:pt>
                <c:pt idx="18">
                  <c:v>18-19</c:v>
                </c:pt>
                <c:pt idx="19">
                  <c:v>19-20</c:v>
                </c:pt>
                <c:pt idx="20">
                  <c:v>20-21</c:v>
                </c:pt>
              </c:strCache>
            </c:strRef>
          </c:cat>
          <c:val>
            <c:numRef>
              <c:f>No.10!PEC</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34F6-4298-804C-C9788181495A}"/>
            </c:ext>
          </c:extLst>
        </c:ser>
        <c:ser>
          <c:idx val="1"/>
          <c:order val="1"/>
          <c:tx>
            <c:v>max</c:v>
          </c:tx>
          <c:spPr>
            <a:ln w="28575">
              <a:noFill/>
            </a:ln>
          </c:spPr>
          <c:invertIfNegative val="0"/>
          <c:dLbls>
            <c:numFmt formatCode="#0.###0;General;&quot;&quot;"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No.10!days</c:f>
              <c:strCache>
                <c:ptCount val="21"/>
                <c:pt idx="0">
                  <c:v>0-1</c:v>
                </c:pt>
                <c:pt idx="1">
                  <c:v>1-2</c:v>
                </c:pt>
                <c:pt idx="2">
                  <c:v>2-3</c:v>
                </c:pt>
                <c:pt idx="3">
                  <c:v>3-4</c:v>
                </c:pt>
                <c:pt idx="4">
                  <c:v>4-5</c:v>
                </c:pt>
                <c:pt idx="5">
                  <c:v>5-6</c:v>
                </c:pt>
                <c:pt idx="6">
                  <c:v>6-7</c:v>
                </c:pt>
                <c:pt idx="7">
                  <c:v>7-8</c:v>
                </c:pt>
                <c:pt idx="8">
                  <c:v>8-9</c:v>
                </c:pt>
                <c:pt idx="9">
                  <c:v>9-10</c:v>
                </c:pt>
                <c:pt idx="10">
                  <c:v>10-11</c:v>
                </c:pt>
                <c:pt idx="11">
                  <c:v>11-12</c:v>
                </c:pt>
                <c:pt idx="12">
                  <c:v>12-13</c:v>
                </c:pt>
                <c:pt idx="13">
                  <c:v>13-14</c:v>
                </c:pt>
                <c:pt idx="14">
                  <c:v>14-15</c:v>
                </c:pt>
                <c:pt idx="15">
                  <c:v>15-16</c:v>
                </c:pt>
                <c:pt idx="16">
                  <c:v>16-17</c:v>
                </c:pt>
                <c:pt idx="17">
                  <c:v>17-18</c:v>
                </c:pt>
                <c:pt idx="18">
                  <c:v>18-19</c:v>
                </c:pt>
                <c:pt idx="19">
                  <c:v>19-20</c:v>
                </c:pt>
                <c:pt idx="20">
                  <c:v>20-21</c:v>
                </c:pt>
              </c:strCache>
            </c:strRef>
          </c:cat>
          <c:val>
            <c:numRef>
              <c:f>No.10!MaxData</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34F6-4298-804C-C9788181495A}"/>
            </c:ext>
          </c:extLst>
        </c:ser>
        <c:dLbls>
          <c:showLegendKey val="0"/>
          <c:showVal val="0"/>
          <c:showCatName val="0"/>
          <c:showSerName val="0"/>
          <c:showPercent val="0"/>
          <c:showBubbleSize val="0"/>
        </c:dLbls>
        <c:gapWidth val="150"/>
        <c:axId val="102653472"/>
        <c:axId val="1"/>
      </c:barChart>
      <c:catAx>
        <c:axId val="102653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lgn="ctr" rtl="0">
                  <a:defRPr lang="ja-JP" altLang="ja-JP" sz="1000" b="1" i="0" u="none" strike="noStrike" kern="1200" baseline="0">
                    <a:solidFill>
                      <a:sysClr val="windowText" lastClr="000000"/>
                    </a:solidFill>
                    <a:latin typeface="+mn-lt"/>
                    <a:ea typeface="+mn-ea"/>
                    <a:cs typeface="+mn-cs"/>
                  </a:defRPr>
                </a:pPr>
                <a:r>
                  <a:rPr lang="ja-JP" altLang="ja-JP" sz="1000" b="1" i="0" u="none" strike="noStrike" kern="1200" baseline="0">
                    <a:solidFill>
                      <a:sysClr val="windowText" lastClr="000000"/>
                    </a:solidFill>
                    <a:latin typeface="+mn-lt"/>
                    <a:ea typeface="+mn-ea"/>
                    <a:cs typeface="+mn-cs"/>
                  </a:rPr>
                  <a:t>期間 [日]</a:t>
                </a:r>
              </a:p>
            </c:rich>
          </c:tx>
          <c:layout>
            <c:manualLayout>
              <c:xMode val="edge"/>
              <c:yMode val="edge"/>
              <c:x val="0.48622697016674082"/>
              <c:y val="0.87871908868534299"/>
            </c:manualLayout>
          </c:layout>
          <c:overlay val="0"/>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eaVert"/>
          <a:lstStyle/>
          <a:p>
            <a:pPr>
              <a:defRPr sz="900" b="0" i="0" u="none" strike="noStrike" baseline="0">
                <a:solidFill>
                  <a:srgbClr val="333333"/>
                </a:solidFill>
                <a:latin typeface="ＭＳ Ｐゴシック"/>
                <a:ea typeface="ＭＳ Ｐゴシック"/>
                <a:cs typeface="ＭＳ Ｐゴシック"/>
              </a:defRPr>
            </a:pPr>
            <a:endParaRPr lang="ja-JP"/>
          </a:p>
        </c:txPr>
        <c:crossAx val="1"/>
        <c:crossesAt val="0"/>
        <c:auto val="0"/>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ltLang="ja-JP"/>
                  <a:t>PEC [µg/L] </a:t>
                </a:r>
                <a:endParaRPr lang="ja-JP" altLang="en-US"/>
              </a:p>
            </c:rich>
          </c:tx>
          <c:layout>
            <c:manualLayout>
              <c:xMode val="edge"/>
              <c:yMode val="edge"/>
              <c:x val="3.3742331916112825E-2"/>
              <c:y val="0.12952666630956844"/>
            </c:manualLayout>
          </c:layout>
          <c:overlay val="0"/>
        </c:title>
        <c:numFmt formatCode="#,##0.0_);[Red]\(#,##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265347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solidFill>
                  <a:schemeClr val="tx1">
                    <a:lumMod val="95000"/>
                    <a:lumOff val="5000"/>
                  </a:schemeClr>
                </a:solidFill>
              </a:defRPr>
            </a:pPr>
            <a:r>
              <a:rPr lang="en-US" altLang="ja-JP" sz="1800">
                <a:solidFill>
                  <a:schemeClr val="tx1">
                    <a:lumMod val="95000"/>
                    <a:lumOff val="5000"/>
                  </a:schemeClr>
                </a:solidFill>
              </a:rPr>
              <a:t>21 day</a:t>
            </a:r>
            <a:endParaRPr lang="ja-JP" altLang="en-US" sz="1800">
              <a:solidFill>
                <a:schemeClr val="tx1">
                  <a:lumMod val="95000"/>
                  <a:lumOff val="5000"/>
                </a:schemeClr>
              </a:solidFill>
            </a:endParaRPr>
          </a:p>
        </c:rich>
      </c:tx>
      <c:layout>
        <c:manualLayout>
          <c:xMode val="edge"/>
          <c:yMode val="edge"/>
          <c:x val="0.82162811519905044"/>
          <c:y val="0.87499955362722515"/>
        </c:manualLayout>
      </c:layout>
      <c:overlay val="1"/>
    </c:title>
    <c:autoTitleDeleted val="0"/>
    <c:plotArea>
      <c:layout/>
      <c:barChart>
        <c:barDir val="col"/>
        <c:grouping val="clustered"/>
        <c:varyColors val="0"/>
        <c:ser>
          <c:idx val="0"/>
          <c:order val="0"/>
          <c:tx>
            <c:v>21days</c:v>
          </c:tx>
          <c:spPr>
            <a:ln w="28575">
              <a:noFill/>
            </a:ln>
          </c:spPr>
          <c:invertIfNegative val="0"/>
          <c:cat>
            <c:strRef>
              <c:f>No.11!days</c:f>
              <c:strCache>
                <c:ptCount val="21"/>
                <c:pt idx="0">
                  <c:v>0-1</c:v>
                </c:pt>
                <c:pt idx="1">
                  <c:v>1-2</c:v>
                </c:pt>
                <c:pt idx="2">
                  <c:v>2-3</c:v>
                </c:pt>
                <c:pt idx="3">
                  <c:v>3-4</c:v>
                </c:pt>
                <c:pt idx="4">
                  <c:v>4-5</c:v>
                </c:pt>
                <c:pt idx="5">
                  <c:v>5-6</c:v>
                </c:pt>
                <c:pt idx="6">
                  <c:v>6-7</c:v>
                </c:pt>
                <c:pt idx="7">
                  <c:v>7-8</c:v>
                </c:pt>
                <c:pt idx="8">
                  <c:v>8-9</c:v>
                </c:pt>
                <c:pt idx="9">
                  <c:v>9-10</c:v>
                </c:pt>
                <c:pt idx="10">
                  <c:v>10-11</c:v>
                </c:pt>
                <c:pt idx="11">
                  <c:v>11-12</c:v>
                </c:pt>
                <c:pt idx="12">
                  <c:v>12-13</c:v>
                </c:pt>
                <c:pt idx="13">
                  <c:v>13-14</c:v>
                </c:pt>
                <c:pt idx="14">
                  <c:v>14-15</c:v>
                </c:pt>
                <c:pt idx="15">
                  <c:v>15-16</c:v>
                </c:pt>
                <c:pt idx="16">
                  <c:v>16-17</c:v>
                </c:pt>
                <c:pt idx="17">
                  <c:v>17-18</c:v>
                </c:pt>
                <c:pt idx="18">
                  <c:v>18-19</c:v>
                </c:pt>
                <c:pt idx="19">
                  <c:v>19-20</c:v>
                </c:pt>
                <c:pt idx="20">
                  <c:v>20-21</c:v>
                </c:pt>
              </c:strCache>
            </c:strRef>
          </c:cat>
          <c:val>
            <c:numRef>
              <c:f>No.11!PEC</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4210-4AB2-855E-0F347116ED21}"/>
            </c:ext>
          </c:extLst>
        </c:ser>
        <c:ser>
          <c:idx val="1"/>
          <c:order val="1"/>
          <c:tx>
            <c:v>max</c:v>
          </c:tx>
          <c:spPr>
            <a:ln w="28575">
              <a:noFill/>
            </a:ln>
          </c:spPr>
          <c:invertIfNegative val="0"/>
          <c:dLbls>
            <c:numFmt formatCode="#0.###0;General;&quot;&quot;"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No.11!days</c:f>
              <c:strCache>
                <c:ptCount val="21"/>
                <c:pt idx="0">
                  <c:v>0-1</c:v>
                </c:pt>
                <c:pt idx="1">
                  <c:v>1-2</c:v>
                </c:pt>
                <c:pt idx="2">
                  <c:v>2-3</c:v>
                </c:pt>
                <c:pt idx="3">
                  <c:v>3-4</c:v>
                </c:pt>
                <c:pt idx="4">
                  <c:v>4-5</c:v>
                </c:pt>
                <c:pt idx="5">
                  <c:v>5-6</c:v>
                </c:pt>
                <c:pt idx="6">
                  <c:v>6-7</c:v>
                </c:pt>
                <c:pt idx="7">
                  <c:v>7-8</c:v>
                </c:pt>
                <c:pt idx="8">
                  <c:v>8-9</c:v>
                </c:pt>
                <c:pt idx="9">
                  <c:v>9-10</c:v>
                </c:pt>
                <c:pt idx="10">
                  <c:v>10-11</c:v>
                </c:pt>
                <c:pt idx="11">
                  <c:v>11-12</c:v>
                </c:pt>
                <c:pt idx="12">
                  <c:v>12-13</c:v>
                </c:pt>
                <c:pt idx="13">
                  <c:v>13-14</c:v>
                </c:pt>
                <c:pt idx="14">
                  <c:v>14-15</c:v>
                </c:pt>
                <c:pt idx="15">
                  <c:v>15-16</c:v>
                </c:pt>
                <c:pt idx="16">
                  <c:v>16-17</c:v>
                </c:pt>
                <c:pt idx="17">
                  <c:v>17-18</c:v>
                </c:pt>
                <c:pt idx="18">
                  <c:v>18-19</c:v>
                </c:pt>
                <c:pt idx="19">
                  <c:v>19-20</c:v>
                </c:pt>
                <c:pt idx="20">
                  <c:v>20-21</c:v>
                </c:pt>
              </c:strCache>
            </c:strRef>
          </c:cat>
          <c:val>
            <c:numRef>
              <c:f>No.11!MaxData</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4210-4AB2-855E-0F347116ED21}"/>
            </c:ext>
          </c:extLst>
        </c:ser>
        <c:dLbls>
          <c:showLegendKey val="0"/>
          <c:showVal val="0"/>
          <c:showCatName val="0"/>
          <c:showSerName val="0"/>
          <c:showPercent val="0"/>
          <c:showBubbleSize val="0"/>
        </c:dLbls>
        <c:gapWidth val="150"/>
        <c:axId val="102653472"/>
        <c:axId val="1"/>
      </c:barChart>
      <c:catAx>
        <c:axId val="102653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lgn="ctr" rtl="0">
                  <a:defRPr lang="ja-JP" altLang="ja-JP" sz="1000" b="1" i="0" u="none" strike="noStrike" kern="1200" baseline="0">
                    <a:solidFill>
                      <a:sysClr val="windowText" lastClr="000000"/>
                    </a:solidFill>
                    <a:latin typeface="+mn-lt"/>
                    <a:ea typeface="+mn-ea"/>
                    <a:cs typeface="+mn-cs"/>
                  </a:defRPr>
                </a:pPr>
                <a:r>
                  <a:rPr lang="ja-JP" altLang="ja-JP" sz="1000" b="1" i="0" u="none" strike="noStrike" kern="1200" baseline="0">
                    <a:solidFill>
                      <a:sysClr val="windowText" lastClr="000000"/>
                    </a:solidFill>
                    <a:latin typeface="+mn-lt"/>
                    <a:ea typeface="+mn-ea"/>
                    <a:cs typeface="+mn-cs"/>
                  </a:rPr>
                  <a:t>期間 [日]</a:t>
                </a:r>
              </a:p>
            </c:rich>
          </c:tx>
          <c:layout>
            <c:manualLayout>
              <c:xMode val="edge"/>
              <c:yMode val="edge"/>
              <c:x val="0.48622697016674082"/>
              <c:y val="0.87871908868534299"/>
            </c:manualLayout>
          </c:layout>
          <c:overlay val="0"/>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eaVert"/>
          <a:lstStyle/>
          <a:p>
            <a:pPr>
              <a:defRPr sz="900" b="0" i="0" u="none" strike="noStrike" baseline="0">
                <a:solidFill>
                  <a:srgbClr val="333333"/>
                </a:solidFill>
                <a:latin typeface="ＭＳ Ｐゴシック"/>
                <a:ea typeface="ＭＳ Ｐゴシック"/>
                <a:cs typeface="ＭＳ Ｐゴシック"/>
              </a:defRPr>
            </a:pPr>
            <a:endParaRPr lang="ja-JP"/>
          </a:p>
        </c:txPr>
        <c:crossAx val="1"/>
        <c:crossesAt val="0"/>
        <c:auto val="0"/>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ltLang="ja-JP"/>
                  <a:t>PEC [µg/L] </a:t>
                </a:r>
                <a:endParaRPr lang="ja-JP" altLang="en-US"/>
              </a:p>
            </c:rich>
          </c:tx>
          <c:layout>
            <c:manualLayout>
              <c:xMode val="edge"/>
              <c:yMode val="edge"/>
              <c:x val="3.3742331916112825E-2"/>
              <c:y val="0.12952666630956844"/>
            </c:manualLayout>
          </c:layout>
          <c:overlay val="0"/>
        </c:title>
        <c:numFmt formatCode="#,##0.0_);[Red]\(#,##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265347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drawings/_rels/drawing1.xml.rels><?xml version="1.0" encoding="UTF-8" standalone="yes"?><Relationships xmlns="http://schemas.openxmlformats.org/package/2006/relationships"><Relationship Id="rId1" Target="../charts/chart1.xml" Type="http://schemas.openxmlformats.org/officeDocument/2006/relationships/chart"/></Relationships>
</file>

<file path=xl/drawings/_rels/drawing2.xml.rels><?xml version="1.0" encoding="UTF-8" standalone="yes"?><Relationships xmlns="http://schemas.openxmlformats.org/package/2006/relationships"><Relationship Id="rId1" Target="../charts/chart2.xml" Type="http://schemas.openxmlformats.org/officeDocument/2006/relationships/chart"/></Relationships>
</file>

<file path=xl/drawings/_rels/drawing3.xml.rels><?xml version="1.0" encoding="UTF-8" standalone="yes"?><Relationships xmlns="http://schemas.openxmlformats.org/package/2006/relationships"><Relationship Id="rId1" Target="../charts/chart3.xml" Type="http://schemas.openxmlformats.org/officeDocument/2006/relationships/chart"/></Relationships>
</file>

<file path=xl/drawings/_rels/drawing4.xml.rels><?xml version="1.0" encoding="UTF-8" standalone="yes"?><Relationships xmlns="http://schemas.openxmlformats.org/package/2006/relationships"><Relationship Id="rId1" Target="../charts/chart4.xml" Type="http://schemas.openxmlformats.org/officeDocument/2006/relationships/chart"/></Relationships>
</file>

<file path=xl/drawings/_rels/drawing5.xml.rels><?xml version="1.0" encoding="UTF-8" standalone="yes"?><Relationships xmlns="http://schemas.openxmlformats.org/package/2006/relationships"><Relationship Id="rId1" Target="../charts/chart5.xml" Type="http://schemas.openxmlformats.org/officeDocument/2006/relationships/chart"/></Relationships>
</file>

<file path=xl/drawings/_rels/drawing6.xml.rels><?xml version="1.0" encoding="UTF-8" standalone="yes"?><Relationships xmlns="http://schemas.openxmlformats.org/package/2006/relationships"><Relationship Id="rId1" Target="../charts/chart6.xml" Type="http://schemas.openxmlformats.org/officeDocument/2006/relationships/chart"/></Relationships>
</file>

<file path=xl/drawings/_rels/drawing7.xml.rels><?xml version="1.0" encoding="UTF-8" standalone="yes"?><Relationships xmlns="http://schemas.openxmlformats.org/package/2006/relationships"><Relationship Id="rId1" Target="../charts/chart7.xml" Type="http://schemas.openxmlformats.org/officeDocument/2006/relationships/chart"/></Relationships>
</file>

<file path=xl/drawings/_rels/drawing8.xml.rels><?xml version="1.0" encoding="UTF-8" standalone="yes"?><Relationships xmlns="http://schemas.openxmlformats.org/package/2006/relationships"><Relationship Id="rId1" Target="../charts/chart8.xml" Type="http://schemas.openxmlformats.org/officeDocument/2006/relationships/chart"/></Relationships>
</file>

<file path=xl/drawings/drawing1.xml><?xml version="1.0" encoding="utf-8"?>
<xdr:wsDr xmlns:xdr="http://schemas.openxmlformats.org/drawingml/2006/spreadsheetDrawing" xmlns:a="http://schemas.openxmlformats.org/drawingml/2006/main">
  <xdr:twoCellAnchor>
    <xdr:from>
      <xdr:col>1</xdr:col>
      <xdr:colOff>9525</xdr:colOff>
      <xdr:row>74</xdr:row>
      <xdr:rowOff>9525</xdr:rowOff>
    </xdr:from>
    <xdr:to>
      <xdr:col>5</xdr:col>
      <xdr:colOff>238125</xdr:colOff>
      <xdr:row>90</xdr:row>
      <xdr:rowOff>66675</xdr:rowOff>
    </xdr:to>
    <xdr:graphicFrame macro="">
      <xdr:nvGraphicFramePr>
        <xdr:cNvPr id="4247825" name="グラフ 2">
          <a:extLst>
            <a:ext uri="{FF2B5EF4-FFF2-40B4-BE49-F238E27FC236}">
              <a16:creationId xmlns:a16="http://schemas.microsoft.com/office/drawing/2014/main" id="{B04960BD-D8DD-2522-8607-8808F46EAD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74</xdr:row>
      <xdr:rowOff>9525</xdr:rowOff>
    </xdr:from>
    <xdr:to>
      <xdr:col>5</xdr:col>
      <xdr:colOff>238125</xdr:colOff>
      <xdr:row>90</xdr:row>
      <xdr:rowOff>66675</xdr:rowOff>
    </xdr:to>
    <xdr:graphicFrame macro="">
      <xdr:nvGraphicFramePr>
        <xdr:cNvPr id="2" name="グラフ 2">
          <a:extLst>
            <a:ext uri="{FF2B5EF4-FFF2-40B4-BE49-F238E27FC236}">
              <a16:creationId xmlns:a16="http://schemas.microsoft.com/office/drawing/2014/main" id="{31955707-4E56-4D95-A64C-52668C740B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74</xdr:row>
      <xdr:rowOff>0</xdr:rowOff>
    </xdr:from>
    <xdr:to>
      <xdr:col>5</xdr:col>
      <xdr:colOff>66675</xdr:colOff>
      <xdr:row>90</xdr:row>
      <xdr:rowOff>57150</xdr:rowOff>
    </xdr:to>
    <xdr:graphicFrame macro="">
      <xdr:nvGraphicFramePr>
        <xdr:cNvPr id="3728787" name="グラフ 2">
          <a:extLst>
            <a:ext uri="{FF2B5EF4-FFF2-40B4-BE49-F238E27FC236}">
              <a16:creationId xmlns:a16="http://schemas.microsoft.com/office/drawing/2014/main" id="{82A24E54-070E-8F83-3D04-2BAFCF083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74</xdr:row>
      <xdr:rowOff>0</xdr:rowOff>
    </xdr:from>
    <xdr:to>
      <xdr:col>5</xdr:col>
      <xdr:colOff>66675</xdr:colOff>
      <xdr:row>90</xdr:row>
      <xdr:rowOff>57150</xdr:rowOff>
    </xdr:to>
    <xdr:graphicFrame macro="">
      <xdr:nvGraphicFramePr>
        <xdr:cNvPr id="2" name="グラフ 2">
          <a:extLst>
            <a:ext uri="{FF2B5EF4-FFF2-40B4-BE49-F238E27FC236}">
              <a16:creationId xmlns:a16="http://schemas.microsoft.com/office/drawing/2014/main" id="{5878AB13-861B-451E-9207-5C1F5F88A1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74</xdr:row>
      <xdr:rowOff>0</xdr:rowOff>
    </xdr:from>
    <xdr:to>
      <xdr:col>5</xdr:col>
      <xdr:colOff>200025</xdr:colOff>
      <xdr:row>90</xdr:row>
      <xdr:rowOff>57150</xdr:rowOff>
    </xdr:to>
    <xdr:graphicFrame macro="">
      <xdr:nvGraphicFramePr>
        <xdr:cNvPr id="5346310" name="グラフ 1">
          <a:extLst>
            <a:ext uri="{FF2B5EF4-FFF2-40B4-BE49-F238E27FC236}">
              <a16:creationId xmlns:a16="http://schemas.microsoft.com/office/drawing/2014/main" id="{C518C727-5FC7-358A-9EA8-A6992CC0C9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74</xdr:row>
      <xdr:rowOff>0</xdr:rowOff>
    </xdr:from>
    <xdr:to>
      <xdr:col>5</xdr:col>
      <xdr:colOff>200025</xdr:colOff>
      <xdr:row>90</xdr:row>
      <xdr:rowOff>57150</xdr:rowOff>
    </xdr:to>
    <xdr:graphicFrame macro="">
      <xdr:nvGraphicFramePr>
        <xdr:cNvPr id="2" name="グラフ 1">
          <a:extLst>
            <a:ext uri="{FF2B5EF4-FFF2-40B4-BE49-F238E27FC236}">
              <a16:creationId xmlns:a16="http://schemas.microsoft.com/office/drawing/2014/main" id="{89B2D571-000B-4655-910A-6ED9FB7BA7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73</xdr:row>
      <xdr:rowOff>314325</xdr:rowOff>
    </xdr:from>
    <xdr:to>
      <xdr:col>5</xdr:col>
      <xdr:colOff>200025</xdr:colOff>
      <xdr:row>90</xdr:row>
      <xdr:rowOff>28575</xdr:rowOff>
    </xdr:to>
    <xdr:graphicFrame macro="">
      <xdr:nvGraphicFramePr>
        <xdr:cNvPr id="5373955" name="グラフ 1">
          <a:extLst>
            <a:ext uri="{FF2B5EF4-FFF2-40B4-BE49-F238E27FC236}">
              <a16:creationId xmlns:a16="http://schemas.microsoft.com/office/drawing/2014/main" id="{AA902A3C-B858-7D10-4D1E-9A98159E6D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73</xdr:row>
      <xdr:rowOff>314325</xdr:rowOff>
    </xdr:from>
    <xdr:to>
      <xdr:col>5</xdr:col>
      <xdr:colOff>200025</xdr:colOff>
      <xdr:row>90</xdr:row>
      <xdr:rowOff>28575</xdr:rowOff>
    </xdr:to>
    <xdr:graphicFrame macro="">
      <xdr:nvGraphicFramePr>
        <xdr:cNvPr id="2" name="グラフ 1">
          <a:extLst>
            <a:ext uri="{FF2B5EF4-FFF2-40B4-BE49-F238E27FC236}">
              <a16:creationId xmlns:a16="http://schemas.microsoft.com/office/drawing/2014/main" id="{021B6FAE-4670-4903-8F95-E972A4E709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5.xml" Type="http://schemas.openxmlformats.org/officeDocument/2006/relationships/drawing"/></Relationships>
</file>

<file path=xl/worksheets/_rels/sheet11.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6.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7.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8.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1.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2.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3.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4.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677E0-082E-4717-8D04-331867666F0D}">
  <dimension ref="A1:C2"/>
  <sheetViews>
    <sheetView workbookViewId="0">
      <selection activeCell="A2" sqref="A2"/>
    </sheetView>
  </sheetViews>
  <sheetFormatPr defaultRowHeight="13" x14ac:dyDescent="0.2"/>
  <cols>
    <col min="1" max="1" width="17.36328125" bestFit="1" customWidth="1"/>
    <col min="2" max="2" width="59.54296875" customWidth="1"/>
  </cols>
  <sheetData>
    <row r="1" spans="1:3" x14ac:dyDescent="0.2">
      <c r="A1" s="360" t="s">
        <v>358</v>
      </c>
      <c r="B1" s="360" t="s">
        <v>359</v>
      </c>
      <c r="C1" s="360" t="s">
        <v>360</v>
      </c>
    </row>
    <row r="2" spans="1:3" x14ac:dyDescent="0.2">
      <c r="A2" s="361">
        <v>46204</v>
      </c>
      <c r="B2" s="115" t="s">
        <v>361</v>
      </c>
      <c r="C2" s="362" t="s">
        <v>362</v>
      </c>
    </row>
  </sheetData>
  <sheetProtection algorithmName="SHA-512" hashValue="buPZK0kXOXrNDBO26gMlZkNRLkYZ+KClVzUW5222Z0uoHL2FaPruXMKgJRT/F6HA0yiudvTdq6Wp7VvB+ZVf5A==" saltValue="k/LOUll58o0XQFMQW0sDaA==" spinCount="100000" sheet="1" objects="1" scenarios="1"/>
  <phoneticPr fontId="3"/>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O250"/>
  <sheetViews>
    <sheetView topLeftCell="A18" zoomScale="90" zoomScaleNormal="90" workbookViewId="0">
      <selection activeCell="C72" sqref="C72"/>
    </sheetView>
  </sheetViews>
  <sheetFormatPr defaultRowHeight="13" x14ac:dyDescent="0.2"/>
  <cols>
    <col min="1" max="1" width="2.453125" style="91" customWidth="1"/>
    <col min="2" max="2" width="12.08984375" customWidth="1"/>
    <col min="3" max="3" width="23.90625" customWidth="1"/>
    <col min="4" max="9" width="12.453125" customWidth="1"/>
    <col min="10" max="10" width="17.453125" customWidth="1"/>
    <col min="11" max="21" width="12.453125" customWidth="1"/>
    <col min="22" max="22" width="12.08984375" customWidth="1"/>
    <col min="23" max="23" width="11.90625" bestFit="1" customWidth="1"/>
    <col min="24" max="24" width="9.26953125" customWidth="1"/>
    <col min="25" max="25" width="19.7265625" customWidth="1"/>
    <col min="26" max="26" width="5.7265625" customWidth="1"/>
    <col min="27" max="28" width="13.90625" customWidth="1"/>
    <col min="29" max="29" width="12.453125" customWidth="1"/>
    <col min="30" max="30" width="12.08984375" customWidth="1"/>
    <col min="31" max="31" width="11.90625" bestFit="1" customWidth="1"/>
    <col min="32" max="32" width="9.26953125" customWidth="1"/>
    <col min="33" max="33" width="19.7265625" customWidth="1"/>
    <col min="34" max="34" width="5.7265625" customWidth="1"/>
    <col min="35" max="36" width="13.90625" customWidth="1"/>
    <col min="37" max="37" width="12.453125" customWidth="1"/>
    <col min="38" max="38" width="12.08984375" customWidth="1"/>
    <col min="39" max="39" width="11.90625" bestFit="1" customWidth="1"/>
    <col min="40" max="40" width="9.26953125" customWidth="1"/>
    <col min="41" max="41" width="19.7265625" customWidth="1"/>
    <col min="42" max="42" width="5.7265625" customWidth="1"/>
    <col min="43" max="47" width="13.90625" customWidth="1"/>
    <col min="48" max="48" width="11.453125" customWidth="1"/>
    <col min="49" max="50" width="13.453125" customWidth="1"/>
    <col min="51" max="51" width="11.90625" style="99" customWidth="1"/>
    <col min="52" max="52" width="12.453125" style="99" customWidth="1"/>
    <col min="53" max="53" width="13.7265625" style="143" customWidth="1"/>
    <col min="54" max="54" width="14.453125" style="99" customWidth="1"/>
    <col min="55" max="55" width="12.453125" style="143" customWidth="1"/>
    <col min="56" max="56" width="16.08984375" style="143" customWidth="1"/>
    <col min="57" max="57" width="13.26953125" style="143" customWidth="1"/>
    <col min="58" max="58" width="14.453125" style="143" customWidth="1"/>
    <col min="59" max="59" width="11.90625" style="99" customWidth="1"/>
    <col min="60" max="60" width="12.453125" style="99" customWidth="1"/>
    <col min="61" max="61" width="13.453125" style="143" customWidth="1"/>
    <col min="62" max="62" width="14.453125" style="99" customWidth="1"/>
    <col min="63" max="63" width="12.7265625" style="143" customWidth="1"/>
    <col min="64" max="64" width="16.08984375" style="143" customWidth="1"/>
    <col min="65" max="65" width="13.26953125" style="143" customWidth="1"/>
    <col min="66" max="66" width="14.453125" style="143" customWidth="1"/>
    <col min="67" max="67" width="11.90625" style="99" customWidth="1"/>
    <col min="68" max="68" width="12.453125" style="99" customWidth="1"/>
    <col min="69" max="69" width="14.08984375" style="143" customWidth="1"/>
    <col min="70" max="70" width="14.90625" style="99" customWidth="1"/>
    <col min="71" max="71" width="16.08984375" style="143" customWidth="1"/>
    <col min="72" max="72" width="8.7265625" style="143" customWidth="1"/>
    <col min="73" max="73" width="10.7265625" style="80" customWidth="1"/>
    <col min="74" max="74" width="14.08984375" style="143" customWidth="1"/>
    <col min="75" max="75" width="14.08984375" style="99" customWidth="1"/>
    <col min="76" max="76" width="9.08984375" style="99" customWidth="1"/>
    <col min="77" max="77" width="9.08984375" style="80" customWidth="1"/>
    <col min="78" max="78" width="13.08984375" style="80" customWidth="1"/>
    <col min="79" max="81" width="9.08984375" style="80" customWidth="1"/>
    <col min="82" max="82" width="13.08984375" style="80" customWidth="1"/>
    <col min="83" max="84" width="9.08984375" style="80" customWidth="1"/>
    <col min="85" max="87" width="9.08984375" style="99" customWidth="1"/>
    <col min="89" max="89" width="11.453125" bestFit="1" customWidth="1"/>
    <col min="90" max="90" width="5.08984375" customWidth="1"/>
    <col min="92" max="92" width="11.453125" bestFit="1" customWidth="1"/>
    <col min="93" max="93" width="5.08984375" customWidth="1"/>
    <col min="95" max="95" width="11.453125" bestFit="1" customWidth="1"/>
    <col min="96" max="96" width="5.08984375" customWidth="1"/>
  </cols>
  <sheetData>
    <row r="1" spans="2:84" ht="15" customHeight="1" x14ac:dyDescent="0.2">
      <c r="B1" s="17" t="str">
        <f>入力及び計算結果!B1</f>
        <v>ver.1.0（2026/07/01）</v>
      </c>
      <c r="C1" s="39"/>
      <c r="D1" s="39"/>
    </row>
    <row r="2" spans="2:84" ht="15" customHeight="1" x14ac:dyDescent="0.2">
      <c r="B2" s="606" t="s">
        <v>347</v>
      </c>
      <c r="C2" s="606"/>
      <c r="D2" s="606"/>
      <c r="F2" s="89"/>
      <c r="G2" s="21" t="s">
        <v>96</v>
      </c>
      <c r="AW2" s="99"/>
      <c r="AX2" s="99"/>
      <c r="AY2" s="143"/>
      <c r="BB2" s="143"/>
      <c r="BE2" s="99"/>
      <c r="BF2" s="99"/>
      <c r="BG2" s="143"/>
      <c r="BJ2" s="143"/>
      <c r="BM2" s="99"/>
      <c r="BN2" s="99"/>
      <c r="BO2" s="143"/>
      <c r="BR2" s="143"/>
      <c r="BS2" s="80"/>
      <c r="BU2" s="99"/>
      <c r="BV2" s="99"/>
      <c r="BW2" s="80"/>
      <c r="BX2" s="80"/>
      <c r="CE2" s="99"/>
      <c r="CF2" s="99"/>
    </row>
    <row r="3" spans="2:84" ht="15" customHeight="1" x14ac:dyDescent="0.2">
      <c r="B3" s="606"/>
      <c r="C3" s="606"/>
      <c r="D3" s="606"/>
      <c r="F3" s="22"/>
      <c r="G3" t="s">
        <v>97</v>
      </c>
      <c r="I3" s="23"/>
      <c r="J3" s="21" t="s">
        <v>98</v>
      </c>
      <c r="W3" s="99"/>
      <c r="X3" s="99"/>
      <c r="Y3" s="99"/>
      <c r="Z3" s="99"/>
      <c r="AA3" s="99"/>
      <c r="AB3" s="99"/>
      <c r="AE3" s="99"/>
      <c r="AF3" s="99"/>
      <c r="AG3" s="99"/>
      <c r="AH3" s="99"/>
      <c r="AI3" s="99"/>
      <c r="AJ3" s="99"/>
      <c r="AM3" s="99"/>
      <c r="AN3" s="99"/>
      <c r="AO3" s="99"/>
      <c r="AP3" s="99"/>
      <c r="AQ3" s="99"/>
      <c r="AR3" s="99"/>
      <c r="AS3" s="99"/>
      <c r="AT3" s="99"/>
      <c r="AU3" s="99"/>
      <c r="AV3" s="99"/>
      <c r="AW3" s="99"/>
      <c r="AX3" s="99"/>
      <c r="BA3" s="144"/>
      <c r="BB3" s="80"/>
      <c r="BC3" s="144"/>
      <c r="BD3" s="144"/>
      <c r="BE3" s="144"/>
      <c r="BF3" s="144"/>
      <c r="BI3" s="144"/>
      <c r="BJ3" s="80"/>
      <c r="BK3" s="144"/>
      <c r="BL3" s="144"/>
      <c r="BM3" s="144"/>
      <c r="BN3" s="144"/>
      <c r="BQ3" s="144"/>
      <c r="BR3" s="80"/>
      <c r="BS3" s="144"/>
      <c r="BT3" s="144"/>
      <c r="BV3" s="144"/>
      <c r="BW3" s="80"/>
      <c r="BX3" s="80"/>
    </row>
    <row r="4" spans="2:84" ht="13.5" customHeight="1" thickBot="1" x14ac:dyDescent="0.25">
      <c r="B4" s="39"/>
      <c r="C4" s="39"/>
      <c r="D4" s="39"/>
      <c r="W4" s="99"/>
      <c r="X4" s="99"/>
      <c r="Y4" s="99"/>
      <c r="Z4" s="99"/>
      <c r="AA4" s="99"/>
      <c r="AB4" s="99"/>
      <c r="AE4" s="99"/>
      <c r="AF4" s="99"/>
      <c r="AG4" s="99"/>
      <c r="AH4" s="99"/>
      <c r="AI4" s="99"/>
      <c r="AJ4" s="99"/>
      <c r="AM4" s="99"/>
      <c r="AN4" s="99"/>
      <c r="AO4" s="99"/>
      <c r="AP4" s="99"/>
      <c r="AQ4" s="99"/>
      <c r="AR4" s="99"/>
      <c r="AS4" s="99"/>
      <c r="AT4" s="99"/>
      <c r="AU4" s="99"/>
      <c r="AV4" s="99"/>
      <c r="AW4" s="99"/>
      <c r="AX4" s="99"/>
      <c r="BA4" s="144"/>
      <c r="BB4" s="80"/>
      <c r="BC4" s="144"/>
      <c r="BD4" s="144"/>
      <c r="BE4" s="144"/>
      <c r="BF4" s="144"/>
      <c r="BI4" s="144"/>
      <c r="BJ4" s="80"/>
      <c r="BK4" s="144"/>
      <c r="BL4" s="144"/>
      <c r="BM4" s="144"/>
      <c r="BN4" s="144"/>
      <c r="BQ4" s="144"/>
      <c r="BR4" s="80"/>
      <c r="BS4" s="144"/>
      <c r="BT4" s="144"/>
      <c r="BV4" s="144"/>
      <c r="BW4" s="80"/>
      <c r="BX4" s="80"/>
    </row>
    <row r="5" spans="2:84" ht="13.5" customHeight="1" thickTop="1" thickBot="1" x14ac:dyDescent="0.25">
      <c r="B5" s="531" t="s">
        <v>155</v>
      </c>
      <c r="C5" s="532"/>
      <c r="D5" s="533" t="str">
        <f>IF(ISBLANK(入力及び計算結果!C6),"",IF(ISBLANK(入力及び計算結果!F7),"",IF(AND(OR(入力及び計算結果!F7=0,入力及び計算結果!F7=2),入力及び計算結果!F8=1),入力及び計算結果!C6,"")))</f>
        <v/>
      </c>
      <c r="E5" s="534"/>
      <c r="F5" s="534"/>
      <c r="G5" s="534"/>
      <c r="H5" s="534"/>
      <c r="I5" s="534"/>
      <c r="J5" s="535"/>
    </row>
    <row r="6" spans="2:84" ht="27" customHeight="1" thickTop="1" thickBot="1" x14ac:dyDescent="0.25">
      <c r="B6" s="536" t="s">
        <v>156</v>
      </c>
      <c r="C6" s="532"/>
      <c r="D6" s="533" t="str">
        <f>IF(ISBLANK(入力及び計算結果!E37),"",入力及び計算結果!E37)</f>
        <v/>
      </c>
      <c r="E6" s="534"/>
      <c r="F6" s="534"/>
      <c r="G6" s="534"/>
      <c r="H6" s="534"/>
      <c r="I6" s="534"/>
      <c r="J6" s="535"/>
    </row>
    <row r="7" spans="2:84" ht="13.5" customHeight="1" thickTop="1" x14ac:dyDescent="0.2">
      <c r="B7" s="145" t="s">
        <v>157</v>
      </c>
      <c r="C7" s="145"/>
      <c r="D7" s="145"/>
      <c r="E7" s="145"/>
      <c r="F7" s="145"/>
      <c r="G7" s="145"/>
      <c r="H7" s="145"/>
      <c r="I7" s="145"/>
    </row>
    <row r="8" spans="2:84" ht="13.5" customHeight="1" x14ac:dyDescent="0.2">
      <c r="B8" s="145"/>
      <c r="C8" s="145"/>
      <c r="D8" s="145"/>
      <c r="E8" s="145"/>
      <c r="F8" s="145"/>
      <c r="G8" s="145"/>
      <c r="H8" s="145"/>
      <c r="I8" s="145"/>
    </row>
    <row r="9" spans="2:84" ht="13.5" customHeight="1" x14ac:dyDescent="0.2">
      <c r="B9" s="91"/>
    </row>
    <row r="10" spans="2:84" ht="13.5" customHeight="1" x14ac:dyDescent="0.2">
      <c r="B10" s="40" t="s">
        <v>158</v>
      </c>
    </row>
    <row r="11" spans="2:84" ht="13.5" customHeight="1" x14ac:dyDescent="0.2">
      <c r="B11" s="95" t="s">
        <v>159</v>
      </c>
      <c r="C11" s="537" t="s">
        <v>160</v>
      </c>
      <c r="D11" s="537"/>
      <c r="E11" s="537"/>
      <c r="F11" s="95" t="s">
        <v>161</v>
      </c>
      <c r="G11" s="95" t="s">
        <v>162</v>
      </c>
      <c r="H11" s="537" t="s">
        <v>163</v>
      </c>
      <c r="I11" s="537"/>
      <c r="J11" s="537"/>
    </row>
    <row r="12" spans="2:84" ht="13.5" customHeight="1" thickBot="1" x14ac:dyDescent="0.25">
      <c r="B12" s="43" t="s">
        <v>164</v>
      </c>
      <c r="C12" s="380" t="s">
        <v>103</v>
      </c>
      <c r="D12" s="452"/>
      <c r="E12" s="453"/>
      <c r="F12" s="146">
        <v>50</v>
      </c>
      <c r="G12" s="43" t="s">
        <v>165</v>
      </c>
      <c r="H12" s="438"/>
      <c r="I12" s="439"/>
      <c r="J12" s="440"/>
    </row>
    <row r="13" spans="2:84" ht="13.5" customHeight="1" thickTop="1" thickBot="1" x14ac:dyDescent="0.25">
      <c r="B13" s="87" t="s">
        <v>166</v>
      </c>
      <c r="C13" s="375" t="s">
        <v>167</v>
      </c>
      <c r="D13" s="375"/>
      <c r="E13" s="401"/>
      <c r="F13" s="147" t="str">
        <f>IF(ISBLANK(入力及び計算結果!E28),"",入力及び計算結果!E28)</f>
        <v/>
      </c>
      <c r="G13" s="69" t="s">
        <v>168</v>
      </c>
      <c r="H13" s="545" t="s">
        <v>169</v>
      </c>
      <c r="I13" s="545"/>
      <c r="J13" s="545"/>
    </row>
    <row r="14" spans="2:84" ht="13.5" customHeight="1" thickTop="1" thickBot="1" x14ac:dyDescent="0.25">
      <c r="B14" s="149" t="s">
        <v>170</v>
      </c>
      <c r="C14" s="401" t="s">
        <v>171</v>
      </c>
      <c r="D14" s="402"/>
      <c r="E14" s="403"/>
      <c r="F14" s="147" t="str">
        <f>IF(ISBLANK(入力及び計算結果!E30),"",入力及び計算結果!E30)</f>
        <v/>
      </c>
      <c r="G14" s="75"/>
      <c r="H14" s="528" t="s">
        <v>348</v>
      </c>
      <c r="I14" s="529"/>
      <c r="J14" s="530"/>
    </row>
    <row r="15" spans="2:84" ht="13.5" customHeight="1" thickTop="1" x14ac:dyDescent="0.2">
      <c r="B15" s="526" t="s">
        <v>173</v>
      </c>
      <c r="C15" s="547" t="s">
        <v>174</v>
      </c>
      <c r="D15" s="539"/>
      <c r="E15" s="539"/>
      <c r="F15" s="151">
        <v>0</v>
      </c>
      <c r="G15" s="526" t="s">
        <v>146</v>
      </c>
      <c r="H15" s="550"/>
      <c r="I15" s="551"/>
      <c r="J15" s="552"/>
    </row>
    <row r="16" spans="2:84" ht="13.5" customHeight="1" x14ac:dyDescent="0.2">
      <c r="B16" s="546"/>
      <c r="C16" s="548"/>
      <c r="D16" s="549"/>
      <c r="E16" s="549"/>
      <c r="F16" s="152">
        <v>14</v>
      </c>
      <c r="G16" s="546"/>
      <c r="H16" s="553"/>
      <c r="I16" s="554"/>
      <c r="J16" s="555"/>
    </row>
    <row r="17" spans="2:76" ht="13.5" customHeight="1" thickBot="1" x14ac:dyDescent="0.25">
      <c r="B17" s="546"/>
      <c r="C17" s="548"/>
      <c r="D17" s="549"/>
      <c r="E17" s="549"/>
      <c r="F17" s="153">
        <v>28</v>
      </c>
      <c r="G17" s="546"/>
      <c r="H17" s="553"/>
      <c r="I17" s="554"/>
      <c r="J17" s="555"/>
    </row>
    <row r="18" spans="2:76" ht="27" customHeight="1" thickTop="1" thickBot="1" x14ac:dyDescent="0.25">
      <c r="B18" s="526" t="s">
        <v>124</v>
      </c>
      <c r="C18" s="538" t="s">
        <v>175</v>
      </c>
      <c r="D18" s="539"/>
      <c r="E18" s="539"/>
      <c r="F18" s="542" t="str">
        <f>IF(ISBLANK(入力及び計算結果!E31),"",入力及び計算結果!E31)</f>
        <v/>
      </c>
      <c r="G18" s="543"/>
      <c r="H18" s="476" t="s">
        <v>54</v>
      </c>
      <c r="I18" s="476"/>
      <c r="J18" s="476"/>
    </row>
    <row r="19" spans="2:76" ht="27" customHeight="1" thickTop="1" thickBot="1" x14ac:dyDescent="0.25">
      <c r="B19" s="527"/>
      <c r="C19" s="540"/>
      <c r="D19" s="541"/>
      <c r="E19" s="541"/>
      <c r="F19" s="542"/>
      <c r="G19" s="544"/>
      <c r="H19" s="476"/>
      <c r="I19" s="476"/>
      <c r="J19" s="476"/>
    </row>
    <row r="20" spans="2:76" ht="27" customHeight="1" thickTop="1" thickBot="1" x14ac:dyDescent="0.25">
      <c r="B20" s="148" t="s">
        <v>176</v>
      </c>
      <c r="C20" s="401" t="s">
        <v>177</v>
      </c>
      <c r="D20" s="402"/>
      <c r="E20" s="402"/>
      <c r="F20" s="147" t="str">
        <f>IF(ISBLANK(入力及び計算結果!E33),"",入力及び計算結果!E33)</f>
        <v/>
      </c>
      <c r="G20" s="69"/>
      <c r="H20" s="398"/>
      <c r="I20" s="399"/>
      <c r="J20" s="400"/>
    </row>
    <row r="21" spans="2:76" ht="13.5" customHeight="1" thickTop="1" thickBot="1" x14ac:dyDescent="0.25">
      <c r="B21" s="87" t="s">
        <v>178</v>
      </c>
      <c r="C21" s="375" t="s">
        <v>179</v>
      </c>
      <c r="D21" s="375"/>
      <c r="E21" s="401"/>
      <c r="F21" s="147" t="str">
        <f>IF(ISBLANK(入力及び計算結果!E34),"",入力及び計算結果!E34)</f>
        <v/>
      </c>
      <c r="G21" s="69" t="s">
        <v>146</v>
      </c>
      <c r="H21" s="398" t="s">
        <v>180</v>
      </c>
      <c r="I21" s="399"/>
      <c r="J21" s="400"/>
    </row>
    <row r="22" spans="2:76" ht="13.5" customHeight="1" thickTop="1" thickBot="1" x14ac:dyDescent="0.25">
      <c r="B22" s="87" t="s">
        <v>181</v>
      </c>
      <c r="C22" s="401" t="s">
        <v>105</v>
      </c>
      <c r="D22" s="402"/>
      <c r="E22" s="402"/>
      <c r="F22" s="157">
        <v>21</v>
      </c>
      <c r="G22" s="69" t="s">
        <v>146</v>
      </c>
      <c r="H22" s="401"/>
      <c r="I22" s="402"/>
      <c r="J22" s="410"/>
    </row>
    <row r="23" spans="2:76" ht="13.5" customHeight="1" thickTop="1" thickBot="1" x14ac:dyDescent="0.25">
      <c r="B23" s="87" t="s">
        <v>182</v>
      </c>
      <c r="C23" s="375" t="s">
        <v>183</v>
      </c>
      <c r="D23" s="375"/>
      <c r="E23" s="401"/>
      <c r="F23" s="147" t="str">
        <f>IF(ISBLANK(入力及び計算結果!E36),"",入力及び計算結果!E36)</f>
        <v/>
      </c>
      <c r="G23" s="69" t="s">
        <v>184</v>
      </c>
      <c r="H23" s="398"/>
      <c r="I23" s="399"/>
      <c r="J23" s="400"/>
    </row>
    <row r="24" spans="2:76" ht="13.5" customHeight="1" thickTop="1" x14ac:dyDescent="0.2">
      <c r="B24" s="91"/>
      <c r="H24" s="67"/>
      <c r="I24" s="67"/>
      <c r="W24" s="99"/>
      <c r="X24" s="99"/>
      <c r="Y24" s="99"/>
      <c r="Z24" s="99"/>
      <c r="AA24" s="99"/>
      <c r="AB24" s="99"/>
      <c r="AE24" s="99"/>
      <c r="AF24" s="99"/>
      <c r="AG24" s="99"/>
      <c r="AH24" s="99"/>
      <c r="AI24" s="99"/>
      <c r="AJ24" s="99"/>
      <c r="AM24" s="99"/>
      <c r="AN24" s="99"/>
      <c r="AO24" s="99"/>
      <c r="AP24" s="99"/>
      <c r="AQ24" s="99"/>
      <c r="AR24" s="99"/>
      <c r="AS24" s="99"/>
      <c r="AT24" s="99"/>
      <c r="AU24" s="99"/>
      <c r="AV24" s="99"/>
      <c r="AW24" s="99"/>
      <c r="AX24" s="99"/>
      <c r="BX24" s="80"/>
    </row>
    <row r="25" spans="2:76" ht="13.5" customHeight="1" thickBot="1" x14ac:dyDescent="0.25">
      <c r="B25" s="40" t="s">
        <v>185</v>
      </c>
      <c r="H25" s="570" t="s">
        <v>186</v>
      </c>
      <c r="I25" s="570"/>
      <c r="J25" s="570"/>
      <c r="K25" s="570"/>
      <c r="W25" s="99"/>
      <c r="X25" s="99"/>
      <c r="Y25" s="99"/>
      <c r="Z25" s="99"/>
      <c r="AA25" s="99"/>
      <c r="AB25" s="99"/>
      <c r="AE25" s="99"/>
      <c r="AF25" s="99"/>
      <c r="AG25" s="99"/>
      <c r="AH25" s="99"/>
      <c r="AI25" s="99"/>
      <c r="AJ25" s="99"/>
      <c r="AM25" s="99"/>
      <c r="AN25" s="99"/>
      <c r="AO25" s="99"/>
      <c r="AP25" s="99"/>
      <c r="AQ25" s="99"/>
      <c r="AR25" s="99"/>
      <c r="AS25" s="99"/>
      <c r="AT25" s="99"/>
      <c r="AU25" s="99"/>
      <c r="AV25" s="99"/>
      <c r="AW25" s="99"/>
      <c r="AX25" s="99"/>
      <c r="BX25" s="80"/>
    </row>
    <row r="26" spans="2:76" ht="13.5" customHeight="1" thickTop="1" thickBot="1" x14ac:dyDescent="0.25">
      <c r="B26" s="556" t="s">
        <v>187</v>
      </c>
      <c r="C26" s="557"/>
      <c r="D26" s="1"/>
      <c r="E26" s="104" t="s">
        <v>146</v>
      </c>
      <c r="G26" s="100"/>
      <c r="H26" s="570"/>
      <c r="I26" s="570"/>
      <c r="J26" s="570"/>
      <c r="K26" s="570"/>
      <c r="W26" s="99"/>
      <c r="X26" s="99"/>
      <c r="Y26" s="99"/>
      <c r="Z26" s="99"/>
      <c r="AA26" s="99"/>
      <c r="AB26" s="99"/>
      <c r="AE26" s="99"/>
      <c r="AF26" s="99"/>
      <c r="AG26" s="99"/>
      <c r="AH26" s="99"/>
      <c r="AI26" s="99"/>
      <c r="AJ26" s="99"/>
      <c r="AM26" s="99"/>
      <c r="AN26" s="99"/>
      <c r="AO26" s="99"/>
      <c r="AP26" s="99"/>
      <c r="AQ26" s="99"/>
      <c r="AR26" s="99"/>
      <c r="AS26" s="99"/>
      <c r="AT26" s="99"/>
      <c r="AU26" s="99"/>
      <c r="AV26" s="99"/>
      <c r="AW26" s="99"/>
      <c r="AX26" s="99"/>
      <c r="BX26" s="80"/>
    </row>
    <row r="27" spans="2:76" ht="13.5" customHeight="1" thickTop="1" thickBot="1" x14ac:dyDescent="0.25">
      <c r="B27" s="380" t="s">
        <v>188</v>
      </c>
      <c r="C27" s="506"/>
      <c r="D27" s="1"/>
      <c r="E27" s="104" t="s">
        <v>146</v>
      </c>
      <c r="G27" s="100"/>
      <c r="H27" s="570"/>
      <c r="I27" s="570"/>
      <c r="J27" s="570"/>
      <c r="K27" s="570"/>
      <c r="W27" s="99"/>
      <c r="X27" s="99"/>
      <c r="Y27" s="99"/>
      <c r="Z27" s="99"/>
      <c r="AA27" s="99"/>
      <c r="AB27" s="99"/>
      <c r="AE27" s="99"/>
      <c r="AF27" s="99"/>
      <c r="AG27" s="99"/>
      <c r="AH27" s="99"/>
      <c r="AI27" s="99"/>
      <c r="AJ27" s="99"/>
      <c r="AM27" s="99"/>
      <c r="AN27" s="99"/>
      <c r="AO27" s="99"/>
      <c r="AP27" s="99"/>
      <c r="AQ27" s="99"/>
      <c r="AR27" s="99"/>
      <c r="AS27" s="99"/>
      <c r="AT27" s="99"/>
      <c r="AU27" s="99"/>
      <c r="AV27" s="99"/>
      <c r="AW27" s="99"/>
      <c r="AX27" s="99"/>
      <c r="BX27" s="80"/>
    </row>
    <row r="28" spans="2:76" ht="13.5" customHeight="1" thickTop="1" x14ac:dyDescent="0.2">
      <c r="B28" s="91"/>
      <c r="C28" s="116" t="s">
        <v>189</v>
      </c>
      <c r="D28">
        <f>IF(D31&lt;&gt;0,"使用しない",IF(D26="",0,LN(2)/D26))</f>
        <v>0</v>
      </c>
      <c r="G28" s="100"/>
      <c r="H28" s="570"/>
      <c r="I28" s="570"/>
      <c r="J28" s="570"/>
      <c r="K28" s="570"/>
      <c r="W28" s="99"/>
      <c r="X28" s="99"/>
      <c r="Y28" s="99"/>
      <c r="Z28" s="99"/>
      <c r="AA28" s="99"/>
      <c r="AB28" s="99"/>
      <c r="AE28" s="99"/>
      <c r="AF28" s="99"/>
      <c r="AG28" s="99"/>
      <c r="AH28" s="99"/>
      <c r="AI28" s="99"/>
      <c r="AJ28" s="99"/>
      <c r="AM28" s="99"/>
      <c r="AN28" s="99"/>
      <c r="AO28" s="99"/>
      <c r="AP28" s="99"/>
      <c r="AQ28" s="99"/>
      <c r="AR28" s="99"/>
      <c r="AS28" s="99"/>
      <c r="AT28" s="99"/>
      <c r="AU28" s="99"/>
      <c r="AV28" s="99"/>
      <c r="AW28" s="99"/>
      <c r="AX28" s="99"/>
      <c r="BX28" s="80"/>
    </row>
    <row r="29" spans="2:76" ht="13.5" customHeight="1" x14ac:dyDescent="0.2">
      <c r="B29" s="91"/>
      <c r="C29" s="116" t="s">
        <v>190</v>
      </c>
      <c r="D29">
        <f>IF(D31&lt;&gt;0,"使用しない",IF(D28&lt;&gt;0,IF(D27="","加水分解半減期を入力してください",LN(2)/D27),IF(D27="",0,LN(2)/D27)))</f>
        <v>0</v>
      </c>
      <c r="G29" s="100"/>
      <c r="H29" s="570"/>
      <c r="I29" s="570"/>
      <c r="J29" s="570"/>
      <c r="K29" s="570"/>
      <c r="W29" s="99"/>
      <c r="X29" s="99"/>
      <c r="Y29" s="99"/>
      <c r="Z29" s="99"/>
      <c r="AA29" s="99"/>
      <c r="AB29" s="99"/>
      <c r="AE29" s="99"/>
      <c r="AF29" s="99"/>
      <c r="AG29" s="99"/>
      <c r="AH29" s="99"/>
      <c r="AI29" s="99"/>
      <c r="AJ29" s="99"/>
      <c r="AM29" s="99"/>
      <c r="AN29" s="99"/>
      <c r="AO29" s="99"/>
      <c r="AP29" s="99"/>
      <c r="AQ29" s="99"/>
      <c r="AR29" s="99"/>
      <c r="AS29" s="99"/>
      <c r="AT29" s="99"/>
      <c r="AU29" s="99"/>
      <c r="AV29" s="99"/>
      <c r="AW29" s="99"/>
      <c r="AX29" s="99"/>
      <c r="BX29" s="80"/>
    </row>
    <row r="30" spans="2:76" ht="13.5" customHeight="1" thickBot="1" x14ac:dyDescent="0.25">
      <c r="B30" t="s">
        <v>191</v>
      </c>
      <c r="G30" s="100"/>
      <c r="H30" s="570"/>
      <c r="I30" s="570"/>
      <c r="J30" s="570"/>
      <c r="K30" s="570"/>
      <c r="W30" s="99"/>
      <c r="X30" s="99"/>
      <c r="Y30" s="99"/>
      <c r="Z30" s="99"/>
      <c r="AA30" s="99"/>
      <c r="AB30" s="99"/>
      <c r="AE30" s="99"/>
      <c r="AF30" s="99"/>
      <c r="AG30" s="99"/>
      <c r="AH30" s="99"/>
      <c r="AI30" s="99"/>
      <c r="AJ30" s="99"/>
      <c r="AM30" s="99"/>
      <c r="AN30" s="99"/>
      <c r="AO30" s="99"/>
      <c r="AP30" s="99"/>
      <c r="AQ30" s="99"/>
      <c r="AR30" s="99"/>
      <c r="AS30" s="99"/>
      <c r="AT30" s="99"/>
      <c r="AU30" s="99"/>
      <c r="AV30" s="99"/>
      <c r="AW30" s="99"/>
      <c r="AX30" s="99"/>
      <c r="BX30" s="80"/>
    </row>
    <row r="31" spans="2:76" ht="13.5" customHeight="1" thickTop="1" thickBot="1" x14ac:dyDescent="0.25">
      <c r="B31" s="380" t="s">
        <v>192</v>
      </c>
      <c r="C31" s="506"/>
      <c r="D31" s="1"/>
      <c r="E31" s="104" t="s">
        <v>146</v>
      </c>
      <c r="G31" s="100"/>
      <c r="H31" s="570"/>
      <c r="I31" s="570"/>
      <c r="J31" s="570"/>
      <c r="K31" s="570"/>
      <c r="W31" s="99"/>
      <c r="X31" s="99"/>
      <c r="Y31" s="99"/>
      <c r="Z31" s="99"/>
      <c r="AA31" s="99"/>
      <c r="AB31" s="99"/>
      <c r="AE31" s="99"/>
      <c r="AF31" s="99"/>
      <c r="AG31" s="99"/>
      <c r="AH31" s="99"/>
      <c r="AI31" s="99"/>
      <c r="AJ31" s="99"/>
      <c r="AM31" s="99"/>
      <c r="AN31" s="99"/>
      <c r="AO31" s="99"/>
      <c r="AP31" s="99"/>
      <c r="AQ31" s="99"/>
      <c r="AR31" s="99"/>
      <c r="AS31" s="99"/>
      <c r="AT31" s="99"/>
      <c r="AU31" s="99"/>
      <c r="AV31" s="99"/>
      <c r="AW31" s="99"/>
      <c r="AX31" s="99"/>
      <c r="BX31" s="80"/>
    </row>
    <row r="32" spans="2:76" ht="13.5" customHeight="1" thickTop="1" x14ac:dyDescent="0.2">
      <c r="B32" s="91"/>
      <c r="C32" s="117" t="s">
        <v>193</v>
      </c>
      <c r="D32">
        <f>IF(AND(D28&lt;&gt;0,NOT(D28="使用しない")),"使用しない",IF(AND(D29&lt;&gt;0,NOT(D29="使用しない")),0,IF(D31="",0,LN(2)/D31)))</f>
        <v>0</v>
      </c>
      <c r="G32" s="100"/>
      <c r="H32" s="570"/>
      <c r="I32" s="570"/>
      <c r="J32" s="570"/>
      <c r="K32" s="570"/>
      <c r="W32" s="99"/>
      <c r="X32" s="99"/>
      <c r="Y32" s="99"/>
      <c r="Z32" s="99"/>
      <c r="AA32" s="99"/>
      <c r="AB32" s="99"/>
      <c r="AE32" s="99"/>
      <c r="AF32" s="99"/>
      <c r="AG32" s="99"/>
      <c r="AH32" s="99"/>
      <c r="AI32" s="99"/>
      <c r="AJ32" s="99"/>
      <c r="AM32" s="99"/>
      <c r="AN32" s="99"/>
      <c r="AO32" s="99"/>
      <c r="AP32" s="99"/>
      <c r="AQ32" s="99"/>
      <c r="AR32" s="99"/>
      <c r="AS32" s="99"/>
      <c r="AT32" s="99"/>
      <c r="AU32" s="99"/>
      <c r="AV32" s="99"/>
      <c r="AW32" s="99"/>
      <c r="AX32" s="99"/>
      <c r="BX32" s="80"/>
    </row>
    <row r="33" spans="2:76" ht="13.5" customHeight="1" x14ac:dyDescent="0.2">
      <c r="B33" s="91"/>
      <c r="C33" s="117"/>
      <c r="G33" s="100"/>
      <c r="H33" s="570"/>
      <c r="I33" s="570"/>
      <c r="J33" s="570"/>
      <c r="K33" s="570"/>
      <c r="W33" s="99"/>
      <c r="X33" s="99"/>
      <c r="Y33" s="99"/>
      <c r="Z33" s="99"/>
      <c r="AA33" s="99"/>
      <c r="AB33" s="99"/>
      <c r="AE33" s="99"/>
      <c r="AF33" s="99"/>
      <c r="AG33" s="99"/>
      <c r="AH33" s="99"/>
      <c r="AI33" s="99"/>
      <c r="AJ33" s="99"/>
      <c r="AM33" s="99"/>
      <c r="AN33" s="99"/>
      <c r="AO33" s="99"/>
      <c r="AP33" s="99"/>
      <c r="AQ33" s="99"/>
      <c r="AR33" s="99"/>
      <c r="AS33" s="99"/>
      <c r="AT33" s="99"/>
      <c r="AU33" s="99"/>
      <c r="AV33" s="99"/>
      <c r="AW33" s="99"/>
      <c r="AX33" s="99"/>
      <c r="BX33" s="80"/>
    </row>
    <row r="34" spans="2:76" ht="13.5" customHeight="1" x14ac:dyDescent="0.2">
      <c r="B34" s="91"/>
      <c r="C34" s="116" t="s">
        <v>194</v>
      </c>
      <c r="D34">
        <f>IF(OR(D32="使用しない",D32=0),D28+D29,D32)</f>
        <v>0</v>
      </c>
      <c r="G34" s="100"/>
      <c r="H34" s="570"/>
      <c r="I34" s="570"/>
      <c r="J34" s="570"/>
      <c r="K34" s="570"/>
      <c r="W34" s="99"/>
      <c r="X34" s="99"/>
      <c r="Y34" s="99"/>
      <c r="Z34" s="99"/>
      <c r="AA34" s="99"/>
      <c r="AB34" s="99"/>
      <c r="AE34" s="99"/>
      <c r="AF34" s="99"/>
      <c r="AG34" s="99"/>
      <c r="AH34" s="99"/>
      <c r="AI34" s="99"/>
      <c r="AJ34" s="99"/>
      <c r="AM34" s="99"/>
      <c r="AN34" s="99"/>
      <c r="AO34" s="99"/>
      <c r="AP34" s="99"/>
      <c r="AQ34" s="99"/>
      <c r="AR34" s="99"/>
      <c r="AS34" s="99"/>
      <c r="AT34" s="99"/>
      <c r="AU34" s="99"/>
      <c r="AV34" s="99"/>
      <c r="AW34" s="99"/>
      <c r="AX34" s="99"/>
      <c r="BX34" s="80"/>
    </row>
    <row r="35" spans="2:76" ht="13.5" customHeight="1" x14ac:dyDescent="0.2">
      <c r="B35" s="91"/>
      <c r="G35" s="100"/>
      <c r="H35" s="100"/>
      <c r="I35" s="100"/>
      <c r="J35" s="100"/>
      <c r="W35" s="99"/>
      <c r="X35" s="99"/>
      <c r="Y35" s="99"/>
      <c r="Z35" s="99"/>
      <c r="AA35" s="99"/>
      <c r="AB35" s="99"/>
      <c r="AE35" s="99"/>
      <c r="AF35" s="99"/>
      <c r="AG35" s="99"/>
      <c r="AH35" s="99"/>
      <c r="AI35" s="99"/>
      <c r="AJ35" s="99"/>
      <c r="AM35" s="99"/>
      <c r="AN35" s="99"/>
      <c r="AO35" s="99"/>
      <c r="AP35" s="99"/>
      <c r="AQ35" s="99"/>
      <c r="AR35" s="99"/>
      <c r="AS35" s="99"/>
      <c r="AT35" s="99"/>
      <c r="AU35" s="99"/>
      <c r="AV35" s="99"/>
      <c r="AW35" s="99"/>
      <c r="AX35" s="99"/>
      <c r="BX35" s="80"/>
    </row>
    <row r="36" spans="2:76" ht="13.5" customHeight="1" thickBot="1" x14ac:dyDescent="0.25">
      <c r="B36" s="569" t="s">
        <v>195</v>
      </c>
      <c r="C36" s="569"/>
      <c r="D36" s="569"/>
      <c r="F36" s="160" t="s">
        <v>196</v>
      </c>
      <c r="W36" s="99"/>
      <c r="X36" s="99"/>
      <c r="Y36" s="99"/>
      <c r="Z36" s="99"/>
      <c r="AA36" s="99"/>
      <c r="AB36" s="99"/>
      <c r="AE36" s="99"/>
      <c r="AF36" s="99"/>
      <c r="AG36" s="99"/>
      <c r="AH36" s="99"/>
      <c r="AI36" s="99"/>
      <c r="AJ36" s="99"/>
      <c r="AM36" s="99"/>
      <c r="AN36" s="99"/>
      <c r="AO36" s="99"/>
      <c r="AP36" s="99"/>
      <c r="AQ36" s="99"/>
      <c r="AR36" s="99"/>
      <c r="AS36" s="99"/>
      <c r="AT36" s="99"/>
      <c r="AU36" s="99"/>
      <c r="AV36" s="99"/>
      <c r="AW36" s="99"/>
      <c r="AX36" s="99"/>
      <c r="BX36" s="80"/>
    </row>
    <row r="37" spans="2:76" ht="13.5" customHeight="1" thickTop="1" x14ac:dyDescent="0.2">
      <c r="B37" s="567" t="s">
        <v>197</v>
      </c>
      <c r="C37" s="567" t="s">
        <v>198</v>
      </c>
      <c r="D37" s="505" t="s">
        <v>199</v>
      </c>
      <c r="F37" s="71" t="s">
        <v>159</v>
      </c>
      <c r="G37" s="45" t="s">
        <v>160</v>
      </c>
      <c r="H37" s="161"/>
      <c r="I37" s="162"/>
      <c r="J37" s="71" t="s">
        <v>161</v>
      </c>
      <c r="K37" s="71" t="s">
        <v>162</v>
      </c>
      <c r="W37" s="99"/>
      <c r="X37" s="99"/>
      <c r="Y37" s="99"/>
      <c r="Z37" s="99"/>
      <c r="AA37" s="99"/>
      <c r="AB37" s="99"/>
      <c r="AE37" s="99"/>
      <c r="AF37" s="99"/>
      <c r="AG37" s="99"/>
      <c r="AH37" s="99"/>
      <c r="AI37" s="99"/>
      <c r="AJ37" s="99"/>
      <c r="AM37" s="99"/>
      <c r="AN37" s="99"/>
      <c r="AO37" s="99"/>
      <c r="AP37" s="99"/>
      <c r="AQ37" s="99"/>
      <c r="AR37" s="99"/>
      <c r="AS37" s="99"/>
      <c r="AT37" s="99"/>
      <c r="AU37" s="99"/>
      <c r="AV37" s="99"/>
      <c r="AW37" s="99"/>
      <c r="AX37" s="99"/>
      <c r="BX37" s="80"/>
    </row>
    <row r="38" spans="2:76" ht="13.5" customHeight="1" x14ac:dyDescent="0.2">
      <c r="B38" s="568"/>
      <c r="C38" s="568"/>
      <c r="D38" s="505"/>
      <c r="F38" s="46" t="s">
        <v>200</v>
      </c>
      <c r="G38" s="401" t="s">
        <v>201</v>
      </c>
      <c r="H38" s="402"/>
      <c r="I38" s="410"/>
      <c r="J38" s="163">
        <v>30</v>
      </c>
      <c r="K38" s="87" t="s">
        <v>202</v>
      </c>
      <c r="W38" s="99"/>
      <c r="X38" s="99"/>
      <c r="Y38" s="99"/>
      <c r="Z38" s="99"/>
      <c r="AA38" s="99"/>
      <c r="AB38" s="99"/>
      <c r="AE38" s="99"/>
      <c r="AF38" s="99"/>
      <c r="AG38" s="99"/>
      <c r="AH38" s="99"/>
      <c r="AI38" s="99"/>
      <c r="AJ38" s="99"/>
      <c r="AM38" s="99"/>
      <c r="AN38" s="99"/>
      <c r="AO38" s="99"/>
      <c r="AP38" s="99"/>
      <c r="AQ38" s="99"/>
      <c r="AR38" s="99"/>
      <c r="AS38" s="99"/>
      <c r="AT38" s="99"/>
      <c r="AU38" s="99"/>
      <c r="AV38" s="99"/>
      <c r="AW38" s="99"/>
      <c r="AX38" s="99"/>
      <c r="BX38" s="80"/>
    </row>
    <row r="39" spans="2:76" ht="13.5" customHeight="1" x14ac:dyDescent="0.2">
      <c r="B39" s="164" t="str">
        <f>IF(ISBLANK(入力及び計算結果!E38),"",入力及び計算結果!E38)</f>
        <v/>
      </c>
      <c r="C39" s="164" t="str">
        <f>IF(ISBLANK(入力及び計算結果!E39),"",入力及び計算結果!E39)</f>
        <v/>
      </c>
      <c r="D39" s="165" t="str">
        <f>IF(ISNUMBER(C39),LN(C39/C$39),"")</f>
        <v/>
      </c>
      <c r="F39" s="46" t="s">
        <v>203</v>
      </c>
      <c r="G39" s="401" t="s">
        <v>204</v>
      </c>
      <c r="H39" s="402"/>
      <c r="I39" s="410"/>
      <c r="J39" s="163">
        <v>20</v>
      </c>
      <c r="K39" s="46" t="s">
        <v>202</v>
      </c>
      <c r="W39" s="99"/>
      <c r="X39" s="99"/>
      <c r="Y39" s="99"/>
      <c r="Z39" s="99"/>
      <c r="AA39" s="99"/>
      <c r="AB39" s="99"/>
      <c r="AE39" s="99"/>
      <c r="AF39" s="99"/>
      <c r="AG39" s="99"/>
      <c r="AH39" s="99"/>
      <c r="AI39" s="99"/>
      <c r="AJ39" s="99"/>
      <c r="AM39" s="99"/>
      <c r="AN39" s="99"/>
      <c r="AO39" s="99"/>
      <c r="AP39" s="99"/>
      <c r="AQ39" s="99"/>
      <c r="AR39" s="99"/>
      <c r="AS39" s="99"/>
      <c r="AT39" s="99"/>
      <c r="AU39" s="99"/>
      <c r="AV39" s="99"/>
      <c r="AW39" s="99"/>
      <c r="AX39" s="99"/>
      <c r="BX39" s="80"/>
    </row>
    <row r="40" spans="2:76" ht="13.5" customHeight="1" x14ac:dyDescent="0.2">
      <c r="B40" s="164" t="str">
        <f>IF(ISBLANK(入力及び計算結果!F38),"",入力及び計算結果!F38)</f>
        <v/>
      </c>
      <c r="C40" s="164" t="str">
        <f>IF(ISBLANK(入力及び計算結果!F39),"",入力及び計算結果!F39)</f>
        <v/>
      </c>
      <c r="D40" s="165" t="str">
        <f>IF(ISNUMBER(C40),LN(C40/C$39),"")</f>
        <v/>
      </c>
      <c r="F40" s="526" t="s">
        <v>77</v>
      </c>
      <c r="G40" s="558" t="s">
        <v>205</v>
      </c>
      <c r="H40" s="559"/>
      <c r="I40" s="560"/>
      <c r="J40" s="166">
        <f>IF(F20=0,0,0.3)</f>
        <v>0.3</v>
      </c>
      <c r="K40" s="150" t="s">
        <v>206</v>
      </c>
      <c r="W40" s="99"/>
      <c r="X40" s="99"/>
      <c r="Y40" s="99"/>
      <c r="Z40" s="99"/>
      <c r="AA40" s="99"/>
      <c r="AB40" s="99"/>
      <c r="AE40" s="99"/>
      <c r="AF40" s="99"/>
      <c r="AG40" s="99"/>
      <c r="AH40" s="99"/>
      <c r="AI40" s="99"/>
      <c r="AJ40" s="99"/>
      <c r="AM40" s="99"/>
      <c r="AN40" s="99"/>
      <c r="AO40" s="99"/>
      <c r="AP40" s="99"/>
      <c r="AQ40" s="99"/>
      <c r="AR40" s="99"/>
      <c r="AS40" s="99"/>
      <c r="AT40" s="99"/>
      <c r="AU40" s="99"/>
      <c r="AV40" s="99"/>
      <c r="AW40" s="99"/>
      <c r="AX40" s="99"/>
      <c r="BX40" s="80"/>
    </row>
    <row r="41" spans="2:76" ht="13.5" customHeight="1" x14ac:dyDescent="0.2">
      <c r="B41" s="164" t="str">
        <f>IF(ISBLANK(入力及び計算結果!G38),"",入力及び計算結果!G38)</f>
        <v/>
      </c>
      <c r="C41" s="164" t="str">
        <f>IF(ISBLANK(入力及び計算結果!G39),"",入力及び計算結果!G39)</f>
        <v/>
      </c>
      <c r="D41" s="165" t="str">
        <f>IF(ISNUMBER(C41),LN(C41/C$39),"")</f>
        <v/>
      </c>
      <c r="F41" s="527"/>
      <c r="G41" s="561"/>
      <c r="H41" s="562"/>
      <c r="I41" s="563"/>
      <c r="J41" s="167"/>
      <c r="K41" s="155"/>
      <c r="W41" s="99"/>
      <c r="X41" s="99"/>
      <c r="Y41" s="99"/>
      <c r="Z41" s="99"/>
      <c r="AA41" s="99"/>
      <c r="AB41" s="99"/>
      <c r="AE41" s="99"/>
      <c r="AF41" s="99"/>
      <c r="AG41" s="99"/>
      <c r="AH41" s="99"/>
      <c r="AI41" s="99"/>
      <c r="AJ41" s="99"/>
      <c r="AM41" s="99"/>
      <c r="AN41" s="99"/>
      <c r="AO41" s="99"/>
      <c r="AP41" s="99"/>
      <c r="AQ41" s="99"/>
      <c r="AR41" s="99"/>
      <c r="AS41" s="99"/>
      <c r="AT41" s="99"/>
      <c r="AU41" s="99"/>
      <c r="AV41" s="99"/>
      <c r="AW41" s="99"/>
      <c r="AX41" s="99"/>
      <c r="BX41" s="80"/>
    </row>
    <row r="42" spans="2:76" ht="13.5" customHeight="1" x14ac:dyDescent="0.2">
      <c r="B42" s="164" t="str">
        <f>IF(ISBLANK(入力及び計算結果!H38),"",入力及び計算結果!H38)</f>
        <v/>
      </c>
      <c r="C42" s="164" t="str">
        <f>IF(ISBLANK(入力及び計算結果!H39),"",入力及び計算結果!H39)</f>
        <v/>
      </c>
      <c r="D42" s="165" t="str">
        <f>IF(ISNUMBER(C42),LN(C42/C$39),"")</f>
        <v/>
      </c>
      <c r="F42" s="46" t="s">
        <v>207</v>
      </c>
      <c r="G42" s="401" t="s">
        <v>208</v>
      </c>
      <c r="H42" s="402"/>
      <c r="I42" s="410"/>
      <c r="J42" s="163">
        <v>0.8</v>
      </c>
      <c r="K42" s="46" t="s">
        <v>209</v>
      </c>
      <c r="W42" s="99"/>
      <c r="X42" s="99"/>
      <c r="Y42" s="99"/>
      <c r="Z42" s="99"/>
      <c r="AA42" s="99"/>
      <c r="AB42" s="99"/>
      <c r="AE42" s="99"/>
      <c r="AF42" s="99"/>
      <c r="AG42" s="99"/>
      <c r="AH42" s="99"/>
      <c r="AI42" s="99"/>
      <c r="AJ42" s="99"/>
      <c r="AM42" s="99"/>
      <c r="AN42" s="99"/>
      <c r="AO42" s="99"/>
      <c r="AP42" s="99"/>
      <c r="AQ42" s="99"/>
      <c r="AR42" s="99"/>
      <c r="AS42" s="99"/>
      <c r="AT42" s="99"/>
      <c r="AU42" s="99"/>
      <c r="AV42" s="99"/>
      <c r="AW42" s="99"/>
      <c r="AX42" s="99"/>
      <c r="BX42" s="80"/>
    </row>
    <row r="43" spans="2:76" ht="13.5" customHeight="1" x14ac:dyDescent="0.2">
      <c r="B43" s="164" t="str">
        <f>IF(ISBLANK(入力及び計算結果!I38),"",入力及び計算結果!I38)</f>
        <v/>
      </c>
      <c r="C43" s="164" t="str">
        <f>IF(ISBLANK(入力及び計算結果!I39),"",入力及び計算結果!I39)</f>
        <v/>
      </c>
      <c r="D43" s="165" t="str">
        <f>IF(ISNUMBER(C43),LN(C43/C$39),"")</f>
        <v/>
      </c>
      <c r="F43" s="526" t="s">
        <v>210</v>
      </c>
      <c r="G43" s="538" t="s">
        <v>211</v>
      </c>
      <c r="H43" s="482"/>
      <c r="I43" s="564"/>
      <c r="J43" s="166">
        <f>IF(F20=0,0,4)</f>
        <v>4</v>
      </c>
      <c r="K43" s="150" t="s">
        <v>206</v>
      </c>
      <c r="W43" s="99"/>
      <c r="X43" s="99"/>
      <c r="Y43" s="99"/>
      <c r="Z43" s="99"/>
      <c r="AA43" s="99"/>
      <c r="AB43" s="99"/>
      <c r="AE43" s="99"/>
      <c r="AF43" s="99"/>
      <c r="AG43" s="99"/>
      <c r="AH43" s="99"/>
      <c r="AI43" s="99"/>
      <c r="AJ43" s="99"/>
      <c r="AM43" s="99"/>
      <c r="AN43" s="99"/>
      <c r="AO43" s="99"/>
      <c r="AP43" s="99"/>
      <c r="AQ43" s="99"/>
      <c r="AR43" s="99"/>
      <c r="AS43" s="99"/>
      <c r="AT43" s="99"/>
      <c r="AU43" s="99"/>
      <c r="AV43" s="99"/>
      <c r="AW43" s="99"/>
      <c r="AX43" s="99"/>
      <c r="BX43" s="80"/>
    </row>
    <row r="44" spans="2:76" ht="13.5" customHeight="1" x14ac:dyDescent="0.2">
      <c r="B44" s="164" t="str">
        <f>IF(ISBLANK(入力及び計算結果!J38),"",入力及び計算結果!J38)</f>
        <v/>
      </c>
      <c r="C44" s="164" t="str">
        <f>IF(ISBLANK(入力及び計算結果!J39),"",入力及び計算結果!J39)</f>
        <v/>
      </c>
      <c r="D44" s="165" t="str">
        <f t="shared" ref="D44:D59" si="0">IF(ISNUMBER(C44),LN(C44/C$39),"")</f>
        <v/>
      </c>
      <c r="F44" s="527"/>
      <c r="G44" s="565"/>
      <c r="H44" s="489"/>
      <c r="I44" s="566"/>
      <c r="J44" s="167"/>
      <c r="K44" s="155"/>
      <c r="W44" s="99"/>
      <c r="X44" s="99"/>
      <c r="Y44" s="99"/>
      <c r="Z44" s="99"/>
      <c r="AA44" s="99"/>
      <c r="AB44" s="99"/>
      <c r="AE44" s="99"/>
      <c r="AF44" s="99"/>
      <c r="AG44" s="99"/>
      <c r="AH44" s="99"/>
      <c r="AI44" s="99"/>
      <c r="AJ44" s="99"/>
      <c r="AM44" s="99"/>
      <c r="AN44" s="99"/>
      <c r="AO44" s="99"/>
      <c r="AP44" s="99"/>
      <c r="AQ44" s="99"/>
      <c r="AR44" s="99"/>
      <c r="AS44" s="99"/>
      <c r="AT44" s="99"/>
      <c r="AU44" s="99"/>
      <c r="AV44" s="99"/>
      <c r="AW44" s="99"/>
      <c r="AX44" s="99"/>
      <c r="BX44" s="80"/>
    </row>
    <row r="45" spans="2:76" ht="13.5" customHeight="1" x14ac:dyDescent="0.2">
      <c r="B45" s="164" t="str">
        <f>IF(ISBLANK(入力及び計算結果!K38),"",入力及び計算結果!K38)</f>
        <v/>
      </c>
      <c r="C45" s="164" t="str">
        <f>IF(ISBLANK(入力及び計算結果!K39),"",入力及び計算結果!K39)</f>
        <v/>
      </c>
      <c r="D45" s="165" t="str">
        <f t="shared" si="0"/>
        <v/>
      </c>
      <c r="F45" s="46" t="s">
        <v>212</v>
      </c>
      <c r="G45" s="401" t="s">
        <v>213</v>
      </c>
      <c r="H45" s="402"/>
      <c r="I45" s="410"/>
      <c r="J45" s="163">
        <v>0.33</v>
      </c>
      <c r="K45" s="46" t="s">
        <v>209</v>
      </c>
      <c r="W45" s="99"/>
      <c r="X45" s="99"/>
      <c r="Y45" s="99"/>
      <c r="Z45" s="99"/>
      <c r="AA45" s="99"/>
      <c r="AB45" s="99"/>
      <c r="AE45" s="99"/>
      <c r="AF45" s="99"/>
      <c r="AG45" s="99"/>
      <c r="AH45" s="99"/>
      <c r="AI45" s="99"/>
      <c r="AJ45" s="99"/>
      <c r="AM45" s="99"/>
      <c r="AN45" s="99"/>
      <c r="AO45" s="99"/>
      <c r="AP45" s="99"/>
      <c r="AQ45" s="99"/>
      <c r="AR45" s="99"/>
      <c r="AS45" s="99"/>
      <c r="AT45" s="99"/>
      <c r="AU45" s="99"/>
      <c r="AV45" s="99"/>
      <c r="AW45" s="99"/>
      <c r="AX45" s="99"/>
      <c r="BX45" s="80"/>
    </row>
    <row r="46" spans="2:76" ht="13.5" customHeight="1" x14ac:dyDescent="0.2">
      <c r="B46" s="164" t="str">
        <f>IF(ISBLANK(入力及び計算結果!L38),"",入力及び計算結果!L38)</f>
        <v/>
      </c>
      <c r="C46" s="164" t="str">
        <f>IF(ISBLANK(入力及び計算結果!L39),"",入力及び計算結果!L39)</f>
        <v/>
      </c>
      <c r="D46" s="165" t="str">
        <f t="shared" si="0"/>
        <v/>
      </c>
      <c r="F46" s="526" t="s">
        <v>214</v>
      </c>
      <c r="G46" s="547" t="s">
        <v>215</v>
      </c>
      <c r="H46" s="539"/>
      <c r="I46" s="571"/>
      <c r="J46" s="166">
        <v>1</v>
      </c>
      <c r="K46" s="150" t="s">
        <v>146</v>
      </c>
      <c r="W46" s="99"/>
      <c r="X46" s="99"/>
      <c r="Y46" s="99"/>
      <c r="Z46" s="99"/>
      <c r="AA46" s="99"/>
      <c r="AB46" s="99"/>
      <c r="AE46" s="99"/>
      <c r="AF46" s="99"/>
      <c r="AG46" s="99"/>
      <c r="AH46" s="99"/>
      <c r="AI46" s="99"/>
      <c r="AJ46" s="99"/>
      <c r="AM46" s="99"/>
      <c r="AN46" s="99"/>
      <c r="AO46" s="99"/>
      <c r="AP46" s="99"/>
      <c r="AQ46" s="99"/>
      <c r="AR46" s="99"/>
      <c r="AS46" s="99"/>
      <c r="AT46" s="99"/>
      <c r="AU46" s="99"/>
      <c r="AV46" s="99"/>
      <c r="AW46" s="99"/>
      <c r="AX46" s="99"/>
      <c r="BX46" s="80"/>
    </row>
    <row r="47" spans="2:76" ht="13.5" customHeight="1" x14ac:dyDescent="0.2">
      <c r="B47" s="164" t="str">
        <f>IF(ISBLANK(入力及び計算結果!M38),"",入力及び計算結果!M38)</f>
        <v/>
      </c>
      <c r="C47" s="164" t="str">
        <f>IF(ISBLANK(入力及び計算結果!M39),"",入力及び計算結果!M39)</f>
        <v/>
      </c>
      <c r="D47" s="165" t="str">
        <f t="shared" si="0"/>
        <v/>
      </c>
      <c r="F47" s="527"/>
      <c r="G47" s="540"/>
      <c r="H47" s="541"/>
      <c r="I47" s="572"/>
      <c r="J47" s="167"/>
      <c r="K47" s="155"/>
      <c r="W47" s="99"/>
      <c r="X47" s="99"/>
      <c r="Y47" s="99"/>
      <c r="Z47" s="99"/>
      <c r="AA47" s="99"/>
      <c r="AB47" s="99"/>
      <c r="AE47" s="99"/>
      <c r="AF47" s="99"/>
      <c r="AG47" s="99"/>
      <c r="AH47" s="99"/>
      <c r="AI47" s="99"/>
      <c r="AJ47" s="99"/>
      <c r="AM47" s="99"/>
      <c r="AN47" s="99"/>
      <c r="AO47" s="99"/>
      <c r="AP47" s="99"/>
      <c r="AQ47" s="99"/>
      <c r="AR47" s="99"/>
      <c r="AS47" s="99"/>
      <c r="AT47" s="99"/>
      <c r="AU47" s="99"/>
      <c r="AV47" s="99"/>
      <c r="AW47" s="99"/>
      <c r="AX47" s="99"/>
      <c r="BX47" s="80"/>
    </row>
    <row r="48" spans="2:76" ht="13.5" customHeight="1" x14ac:dyDescent="0.2">
      <c r="B48" s="164" t="str">
        <f>IF(ISBLANK(入力及び計算結果!N38),"",入力及び計算結果!N38)</f>
        <v/>
      </c>
      <c r="C48" s="164" t="str">
        <f>IF(ISBLANK(入力及び計算結果!N39),"",入力及び計算結果!N39)</f>
        <v/>
      </c>
      <c r="D48" s="165" t="str">
        <f t="shared" si="0"/>
        <v/>
      </c>
      <c r="F48" s="526" t="s">
        <v>216</v>
      </c>
      <c r="G48" s="538" t="s">
        <v>217</v>
      </c>
      <c r="H48" s="539"/>
      <c r="I48" s="539"/>
      <c r="J48" s="571"/>
      <c r="K48" s="150" t="s">
        <v>218</v>
      </c>
      <c r="W48" s="99"/>
      <c r="X48" s="99"/>
      <c r="Y48" s="99"/>
      <c r="Z48" s="99"/>
      <c r="AA48" s="99"/>
      <c r="AB48" s="99"/>
      <c r="AE48" s="99"/>
      <c r="AF48" s="99"/>
      <c r="AG48" s="99"/>
      <c r="AH48" s="99"/>
      <c r="AI48" s="99"/>
      <c r="AJ48" s="99"/>
      <c r="AM48" s="99"/>
      <c r="AN48" s="99"/>
      <c r="AO48" s="99"/>
      <c r="AP48" s="99"/>
      <c r="AQ48" s="99"/>
      <c r="AR48" s="99"/>
      <c r="AS48" s="99"/>
      <c r="AT48" s="99"/>
      <c r="AU48" s="99"/>
      <c r="AV48" s="99"/>
      <c r="AW48" s="99"/>
      <c r="AX48" s="99"/>
      <c r="BX48" s="80"/>
    </row>
    <row r="49" spans="1:87" ht="13.5" customHeight="1" x14ac:dyDescent="0.2">
      <c r="B49" s="4"/>
      <c r="C49" s="4"/>
      <c r="D49" s="165" t="str">
        <f t="shared" si="0"/>
        <v/>
      </c>
      <c r="F49" s="527"/>
      <c r="G49" s="540"/>
      <c r="H49" s="541"/>
      <c r="I49" s="541"/>
      <c r="J49" s="572"/>
      <c r="K49" s="155"/>
      <c r="W49" s="99"/>
      <c r="X49" s="99"/>
      <c r="Y49" s="99"/>
      <c r="Z49" s="99"/>
      <c r="AA49" s="99"/>
      <c r="AB49" s="99"/>
      <c r="AE49" s="99"/>
      <c r="AF49" s="99"/>
      <c r="AG49" s="99"/>
      <c r="AH49" s="99"/>
      <c r="AI49" s="99"/>
      <c r="AJ49" s="99"/>
      <c r="AM49" s="99"/>
      <c r="AN49" s="99"/>
      <c r="AO49" s="99"/>
      <c r="AP49" s="99"/>
      <c r="AQ49" s="99"/>
      <c r="AR49" s="99"/>
      <c r="AS49" s="99"/>
      <c r="AT49" s="99"/>
      <c r="AU49" s="99"/>
      <c r="AV49" s="99"/>
      <c r="AW49" s="99"/>
      <c r="AX49" s="99"/>
      <c r="BX49" s="80"/>
    </row>
    <row r="50" spans="1:87" ht="13.5" customHeight="1" x14ac:dyDescent="0.2">
      <c r="B50" s="4"/>
      <c r="C50" s="4"/>
      <c r="D50" s="165" t="str">
        <f t="shared" si="0"/>
        <v/>
      </c>
      <c r="F50" s="43" t="s">
        <v>219</v>
      </c>
      <c r="G50" s="380" t="s">
        <v>220</v>
      </c>
      <c r="H50" s="452"/>
      <c r="I50" s="453"/>
      <c r="J50" s="168">
        <v>2000</v>
      </c>
      <c r="K50" s="87" t="s">
        <v>218</v>
      </c>
      <c r="W50" s="99"/>
      <c r="X50" s="99"/>
      <c r="Y50" s="99"/>
      <c r="Z50" s="99"/>
      <c r="AA50" s="99"/>
      <c r="AB50" s="99"/>
      <c r="AE50" s="99"/>
      <c r="AF50" s="99"/>
      <c r="AG50" s="99"/>
      <c r="AH50" s="99"/>
      <c r="AI50" s="99"/>
      <c r="AJ50" s="99"/>
      <c r="AM50" s="99"/>
      <c r="AN50" s="99"/>
      <c r="AO50" s="99"/>
      <c r="AP50" s="99"/>
      <c r="AQ50" s="99"/>
      <c r="AR50" s="99"/>
      <c r="AS50" s="99"/>
      <c r="AT50" s="99"/>
      <c r="AU50" s="99"/>
      <c r="AV50" s="99"/>
      <c r="AW50" s="99"/>
      <c r="AX50" s="99"/>
      <c r="BX50" s="80"/>
    </row>
    <row r="51" spans="1:87" ht="13.5" customHeight="1" x14ac:dyDescent="0.2">
      <c r="B51" s="4"/>
      <c r="C51" s="4"/>
      <c r="D51" s="165" t="str">
        <f t="shared" si="0"/>
        <v/>
      </c>
      <c r="F51" s="27" t="s">
        <v>221</v>
      </c>
      <c r="G51" s="380" t="s">
        <v>222</v>
      </c>
      <c r="H51" s="452"/>
      <c r="I51" s="453"/>
      <c r="J51" s="168">
        <v>1</v>
      </c>
      <c r="K51" s="87" t="s">
        <v>223</v>
      </c>
      <c r="W51" s="99"/>
      <c r="X51" s="99"/>
      <c r="Y51" s="99"/>
      <c r="Z51" s="99"/>
      <c r="AA51" s="99"/>
      <c r="AB51" s="99"/>
      <c r="AE51" s="99"/>
      <c r="AF51" s="99"/>
      <c r="AG51" s="99"/>
      <c r="AH51" s="99"/>
      <c r="AI51" s="99"/>
      <c r="AJ51" s="99"/>
      <c r="AM51" s="99"/>
      <c r="AN51" s="99"/>
      <c r="AO51" s="99"/>
      <c r="AP51" s="99"/>
      <c r="AQ51" s="99"/>
      <c r="AR51" s="99"/>
      <c r="AS51" s="99"/>
      <c r="AT51" s="99"/>
      <c r="AU51" s="99"/>
      <c r="AV51" s="99"/>
      <c r="AW51" s="99"/>
      <c r="AX51" s="99"/>
      <c r="BX51" s="80"/>
    </row>
    <row r="52" spans="1:87" ht="13.5" customHeight="1" x14ac:dyDescent="0.2">
      <c r="B52" s="4"/>
      <c r="C52" s="4"/>
      <c r="D52" s="165" t="str">
        <f t="shared" si="0"/>
        <v/>
      </c>
      <c r="F52" s="27" t="s">
        <v>224</v>
      </c>
      <c r="G52" s="380" t="s">
        <v>225</v>
      </c>
      <c r="H52" s="452"/>
      <c r="I52" s="453"/>
      <c r="J52" s="168">
        <v>1.2</v>
      </c>
      <c r="K52" s="87" t="s">
        <v>206</v>
      </c>
      <c r="W52" s="99"/>
      <c r="X52" s="99"/>
      <c r="Y52" s="99"/>
      <c r="Z52" s="99"/>
      <c r="AA52" s="99"/>
      <c r="AB52" s="99"/>
      <c r="AE52" s="99"/>
      <c r="AF52" s="99"/>
      <c r="AG52" s="99"/>
      <c r="AH52" s="99"/>
      <c r="AI52" s="99"/>
      <c r="AJ52" s="99"/>
      <c r="AM52" s="99"/>
      <c r="AN52" s="99"/>
      <c r="AO52" s="99"/>
      <c r="AP52" s="99"/>
      <c r="AQ52" s="99"/>
      <c r="AR52" s="99"/>
      <c r="AS52" s="99"/>
      <c r="AT52" s="99"/>
      <c r="AU52" s="99"/>
      <c r="AV52" s="99"/>
      <c r="AW52" s="99"/>
      <c r="AX52" s="99"/>
      <c r="BX52" s="80"/>
    </row>
    <row r="53" spans="1:87" ht="13.5" customHeight="1" x14ac:dyDescent="0.2">
      <c r="B53" s="4"/>
      <c r="C53" s="4"/>
      <c r="D53" s="165" t="str">
        <f t="shared" si="0"/>
        <v/>
      </c>
      <c r="F53" s="27" t="s">
        <v>226</v>
      </c>
      <c r="G53" s="380" t="s">
        <v>227</v>
      </c>
      <c r="H53" s="452"/>
      <c r="I53" s="453"/>
      <c r="J53" s="168">
        <v>1</v>
      </c>
      <c r="K53" s="87" t="s">
        <v>223</v>
      </c>
      <c r="W53" s="99"/>
      <c r="X53" s="99"/>
      <c r="Y53" s="99"/>
      <c r="Z53" s="99"/>
      <c r="AA53" s="99"/>
      <c r="AB53" s="99"/>
      <c r="AE53" s="99"/>
      <c r="AF53" s="99"/>
      <c r="AG53" s="99"/>
      <c r="AH53" s="99"/>
      <c r="AI53" s="99"/>
      <c r="AJ53" s="99"/>
      <c r="AM53" s="99"/>
      <c r="AN53" s="99"/>
      <c r="AO53" s="99"/>
      <c r="AP53" s="99"/>
      <c r="AQ53" s="99"/>
      <c r="AR53" s="99"/>
      <c r="AS53" s="99"/>
      <c r="AT53" s="99"/>
      <c r="AU53" s="99"/>
      <c r="AV53" s="99"/>
      <c r="AW53" s="99"/>
      <c r="AX53" s="99"/>
      <c r="BX53" s="80"/>
    </row>
    <row r="54" spans="1:87" ht="13.5" customHeight="1" x14ac:dyDescent="0.2">
      <c r="B54" s="4"/>
      <c r="C54" s="5"/>
      <c r="D54" s="165" t="str">
        <f t="shared" si="0"/>
        <v/>
      </c>
      <c r="F54" s="27" t="s">
        <v>228</v>
      </c>
      <c r="G54" s="576" t="s">
        <v>229</v>
      </c>
      <c r="H54" s="577"/>
      <c r="I54" s="578"/>
      <c r="J54" s="168">
        <v>2.4</v>
      </c>
      <c r="K54" s="87" t="s">
        <v>230</v>
      </c>
      <c r="W54" s="99"/>
      <c r="X54" s="99"/>
      <c r="Y54" s="99"/>
      <c r="Z54" s="99"/>
      <c r="AA54" s="99"/>
      <c r="AB54" s="99"/>
      <c r="AE54" s="99"/>
      <c r="AF54" s="99"/>
      <c r="AG54" s="99"/>
      <c r="AH54" s="99"/>
      <c r="AI54" s="99"/>
      <c r="AJ54" s="99"/>
      <c r="AM54" s="99"/>
      <c r="AN54" s="99"/>
      <c r="AO54" s="99"/>
      <c r="AP54" s="99"/>
      <c r="AQ54" s="99"/>
      <c r="AR54" s="99"/>
      <c r="AS54" s="99"/>
      <c r="AT54" s="99"/>
      <c r="AU54" s="99"/>
      <c r="AV54" s="99"/>
      <c r="AW54" s="99"/>
      <c r="AX54" s="99"/>
      <c r="BX54" s="80"/>
    </row>
    <row r="55" spans="1:87" ht="13.5" customHeight="1" x14ac:dyDescent="0.2">
      <c r="B55" s="4"/>
      <c r="C55" s="4"/>
      <c r="D55" s="165" t="str">
        <f t="shared" si="0"/>
        <v/>
      </c>
      <c r="F55" s="27" t="s">
        <v>231</v>
      </c>
      <c r="G55" s="380" t="s">
        <v>232</v>
      </c>
      <c r="H55" s="452"/>
      <c r="I55" s="453"/>
      <c r="J55" s="168">
        <v>2.9</v>
      </c>
      <c r="K55" s="87" t="s">
        <v>206</v>
      </c>
      <c r="W55" s="99"/>
      <c r="X55" s="99"/>
      <c r="Y55" s="99"/>
      <c r="Z55" s="99"/>
      <c r="AA55" s="99"/>
      <c r="AB55" s="99"/>
      <c r="AE55" s="99"/>
      <c r="AF55" s="99"/>
      <c r="AG55" s="99"/>
      <c r="AH55" s="99"/>
      <c r="AI55" s="99"/>
      <c r="AJ55" s="99"/>
      <c r="AM55" s="99"/>
      <c r="AN55" s="99"/>
      <c r="AO55" s="99"/>
      <c r="AP55" s="99"/>
      <c r="AQ55" s="99"/>
      <c r="AR55" s="99"/>
      <c r="AS55" s="99"/>
      <c r="AT55" s="99"/>
      <c r="AU55" s="99"/>
      <c r="AV55" s="99"/>
      <c r="AW55" s="99"/>
      <c r="AX55" s="99"/>
      <c r="BX55" s="80"/>
    </row>
    <row r="56" spans="1:87" ht="13.5" customHeight="1" x14ac:dyDescent="0.2">
      <c r="B56" s="4"/>
      <c r="C56" s="4"/>
      <c r="D56" s="165" t="str">
        <f t="shared" si="0"/>
        <v/>
      </c>
      <c r="F56" s="27" t="s">
        <v>233</v>
      </c>
      <c r="G56" s="380" t="s">
        <v>234</v>
      </c>
      <c r="H56" s="452"/>
      <c r="I56" s="453"/>
      <c r="J56" s="169" t="str">
        <f>IF(ISNUMBER(Koc),(Plevee/rws)*Koc*(Oclevee/100)+1,"-")</f>
        <v>-</v>
      </c>
      <c r="K56" s="170" t="s">
        <v>230</v>
      </c>
      <c r="W56" s="99"/>
      <c r="X56" s="99"/>
      <c r="Y56" s="99"/>
      <c r="Z56" s="99"/>
      <c r="AA56" s="99"/>
      <c r="AB56" s="99"/>
      <c r="AE56" s="99"/>
      <c r="AF56" s="99"/>
      <c r="AG56" s="99"/>
      <c r="AH56" s="99"/>
      <c r="AI56" s="99"/>
      <c r="AJ56" s="99"/>
      <c r="AM56" s="99"/>
      <c r="AN56" s="99"/>
      <c r="AO56" s="99"/>
      <c r="AP56" s="99"/>
      <c r="AQ56" s="99"/>
      <c r="AR56" s="99"/>
      <c r="AS56" s="99"/>
      <c r="AT56" s="99"/>
      <c r="AU56" s="99"/>
      <c r="AV56" s="99"/>
      <c r="AW56" s="99"/>
      <c r="AX56" s="99"/>
      <c r="BX56" s="80"/>
    </row>
    <row r="57" spans="1:87" ht="13.5" customHeight="1" x14ac:dyDescent="0.2">
      <c r="B57" s="4"/>
      <c r="C57" s="4"/>
      <c r="D57" s="165" t="str">
        <f t="shared" si="0"/>
        <v/>
      </c>
      <c r="F57" s="171"/>
      <c r="H57" s="67"/>
      <c r="I57" s="67"/>
      <c r="J57" s="172"/>
      <c r="W57" s="99"/>
      <c r="X57" s="99"/>
      <c r="Y57" s="99"/>
      <c r="Z57" s="99"/>
      <c r="AA57" s="99"/>
      <c r="AB57" s="99"/>
      <c r="AE57" s="99"/>
      <c r="AF57" s="99"/>
      <c r="AG57" s="99"/>
      <c r="AH57" s="99"/>
      <c r="AI57" s="99"/>
      <c r="AJ57" s="99"/>
      <c r="AM57" s="99"/>
      <c r="AN57" s="99"/>
      <c r="AO57" s="99"/>
      <c r="AP57" s="99"/>
      <c r="AQ57" s="99"/>
      <c r="AR57" s="99"/>
      <c r="AS57" s="99"/>
      <c r="AT57" s="99"/>
      <c r="AU57" s="99"/>
      <c r="AV57" s="99"/>
      <c r="AW57" s="99"/>
      <c r="AX57" s="99"/>
      <c r="BX57" s="80"/>
    </row>
    <row r="58" spans="1:87" ht="13.5" customHeight="1" x14ac:dyDescent="0.2">
      <c r="B58" s="4"/>
      <c r="C58" s="4"/>
      <c r="D58" s="165" t="str">
        <f t="shared" si="0"/>
        <v/>
      </c>
      <c r="F58" s="123"/>
      <c r="H58" s="67"/>
      <c r="I58" s="67"/>
      <c r="W58" s="99"/>
      <c r="X58" s="99"/>
      <c r="Y58" s="99"/>
      <c r="Z58" s="99"/>
      <c r="AA58" s="99"/>
      <c r="AB58" s="99"/>
      <c r="AE58" s="99"/>
      <c r="AF58" s="99"/>
      <c r="AG58" s="99"/>
      <c r="AH58" s="99"/>
      <c r="AI58" s="99"/>
      <c r="AJ58" s="99"/>
      <c r="AM58" s="99"/>
      <c r="AN58" s="99"/>
      <c r="AO58" s="99"/>
      <c r="AP58" s="99"/>
      <c r="AQ58" s="99"/>
      <c r="AR58" s="99"/>
      <c r="AS58" s="99"/>
      <c r="AT58" s="99"/>
      <c r="AU58" s="99"/>
      <c r="AV58" s="99"/>
      <c r="AW58" s="99"/>
      <c r="AX58" s="99"/>
      <c r="BX58" s="80"/>
    </row>
    <row r="59" spans="1:87" ht="13.5" customHeight="1" thickBot="1" x14ac:dyDescent="0.25">
      <c r="B59" s="6"/>
      <c r="C59" s="6"/>
      <c r="D59" s="165" t="str">
        <f t="shared" si="0"/>
        <v/>
      </c>
      <c r="H59" s="67"/>
      <c r="I59" s="67"/>
      <c r="W59" s="99"/>
      <c r="X59" s="99"/>
      <c r="Y59" s="99"/>
      <c r="Z59" s="99"/>
      <c r="AA59" s="99"/>
      <c r="AB59" s="99"/>
      <c r="AE59" s="99"/>
      <c r="AF59" s="99"/>
      <c r="AG59" s="99"/>
      <c r="AH59" s="99"/>
      <c r="AI59" s="99"/>
      <c r="AJ59" s="99"/>
      <c r="AM59" s="99"/>
      <c r="AN59" s="99"/>
      <c r="AO59" s="99"/>
      <c r="AP59" s="99"/>
      <c r="AQ59" s="99"/>
      <c r="AR59" s="99"/>
      <c r="AS59" s="99"/>
      <c r="AT59" s="99"/>
      <c r="AU59" s="99"/>
      <c r="AV59" s="99"/>
      <c r="AW59" s="99"/>
      <c r="AX59" s="99"/>
      <c r="BX59" s="80"/>
    </row>
    <row r="60" spans="1:87" ht="13.5" customHeight="1" thickTop="1" x14ac:dyDescent="0.2">
      <c r="B60" s="91"/>
      <c r="H60" s="67"/>
      <c r="I60" s="67"/>
      <c r="W60" s="99"/>
      <c r="X60" s="99"/>
      <c r="Y60" s="99"/>
      <c r="Z60" s="99"/>
      <c r="AA60" s="99"/>
      <c r="AB60" s="99"/>
      <c r="AE60" s="99"/>
      <c r="AF60" s="99"/>
      <c r="AG60" s="99"/>
      <c r="AH60" s="99"/>
      <c r="AI60" s="99"/>
      <c r="AJ60" s="99"/>
      <c r="AM60" s="99"/>
      <c r="AN60" s="99"/>
      <c r="AO60" s="99"/>
      <c r="AP60" s="99"/>
      <c r="AQ60" s="99"/>
      <c r="AR60" s="99"/>
      <c r="AS60" s="99"/>
      <c r="AT60" s="99"/>
      <c r="AU60" s="99"/>
      <c r="AV60" s="99"/>
      <c r="AW60" s="99"/>
      <c r="AX60" s="99"/>
      <c r="BX60" s="80"/>
    </row>
    <row r="61" spans="1:87" ht="13.5" customHeight="1" x14ac:dyDescent="0.2">
      <c r="A61"/>
      <c r="B61" s="579" t="s">
        <v>235</v>
      </c>
      <c r="C61" s="522"/>
      <c r="D61" s="522"/>
      <c r="E61" s="522"/>
      <c r="V61" s="67"/>
      <c r="W61" s="67"/>
      <c r="X61" s="67"/>
      <c r="Y61" s="67"/>
      <c r="Z61" s="67"/>
      <c r="AA61" s="67"/>
      <c r="AB61" s="67"/>
      <c r="AD61" s="67"/>
      <c r="AE61" s="67"/>
      <c r="AF61" s="67"/>
      <c r="AG61" s="67"/>
      <c r="AH61" s="67"/>
      <c r="AI61" s="67"/>
      <c r="AJ61" s="67"/>
      <c r="AL61" s="67"/>
      <c r="AM61" s="67"/>
      <c r="AN61" s="67"/>
      <c r="AO61" s="67"/>
      <c r="AP61" s="67"/>
      <c r="AQ61" s="67"/>
      <c r="AR61" s="67"/>
      <c r="AS61" s="67"/>
      <c r="AT61" s="67"/>
      <c r="AU61" s="67"/>
      <c r="AV61" s="67"/>
      <c r="AW61" s="67"/>
      <c r="AX61" s="67"/>
      <c r="AY61" s="67"/>
      <c r="AZ61" s="80"/>
      <c r="BA61" s="144"/>
      <c r="BB61" s="80"/>
      <c r="BC61" s="144"/>
      <c r="BD61" s="144"/>
      <c r="BE61" s="144"/>
      <c r="BF61" s="144"/>
      <c r="BG61" s="67"/>
      <c r="BH61" s="80"/>
      <c r="BI61" s="144"/>
      <c r="BJ61" s="80"/>
      <c r="BK61" s="144"/>
      <c r="BL61" s="144"/>
      <c r="BM61" s="144"/>
      <c r="BN61" s="144"/>
      <c r="BO61" s="67"/>
      <c r="BP61" s="80"/>
      <c r="BQ61" s="144"/>
      <c r="BR61" s="80"/>
      <c r="BS61" s="144"/>
      <c r="BT61" s="144"/>
      <c r="BV61" s="144"/>
      <c r="BW61" s="80"/>
      <c r="BX61" s="67"/>
      <c r="BY61" s="67"/>
      <c r="CB61"/>
      <c r="CC61"/>
      <c r="CD61"/>
      <c r="CE61"/>
      <c r="CF61"/>
      <c r="CG61"/>
      <c r="CH61"/>
      <c r="CI61"/>
    </row>
    <row r="62" spans="1:87" ht="13.5" customHeight="1" x14ac:dyDescent="0.2">
      <c r="A62"/>
      <c r="B62" s="522"/>
      <c r="C62" s="522"/>
      <c r="D62" s="522"/>
      <c r="E62" s="522"/>
      <c r="V62" s="67"/>
      <c r="W62" s="67"/>
      <c r="X62" s="67"/>
      <c r="Y62" s="67"/>
      <c r="Z62" s="67"/>
      <c r="AA62" s="67"/>
      <c r="AB62" s="67"/>
      <c r="AD62" s="67"/>
      <c r="AE62" s="67"/>
      <c r="AF62" s="67"/>
      <c r="AG62" s="67"/>
      <c r="AH62" s="67"/>
      <c r="AI62" s="67"/>
      <c r="AJ62" s="67"/>
      <c r="AL62" s="67"/>
      <c r="AM62" s="67"/>
      <c r="AN62" s="67"/>
      <c r="AO62" s="67"/>
      <c r="AP62" s="67"/>
      <c r="AQ62" s="67"/>
      <c r="AR62" s="67"/>
      <c r="AS62" s="67"/>
      <c r="AT62" s="67"/>
      <c r="AU62" s="67"/>
      <c r="AV62" s="67"/>
      <c r="AW62" s="67"/>
      <c r="AX62" s="67"/>
      <c r="AY62" s="67"/>
      <c r="AZ62" s="80"/>
      <c r="BA62" s="144"/>
      <c r="BB62" s="80"/>
      <c r="BC62" s="144"/>
      <c r="BD62" s="144"/>
      <c r="BE62" s="144"/>
      <c r="BF62" s="144"/>
      <c r="BG62" s="67"/>
      <c r="BH62" s="80"/>
      <c r="BI62" s="144"/>
      <c r="BJ62" s="80"/>
      <c r="BK62" s="144"/>
      <c r="BL62" s="144"/>
      <c r="BM62" s="144"/>
      <c r="BN62" s="144"/>
      <c r="BO62" s="67"/>
      <c r="BP62" s="80"/>
      <c r="BQ62" s="144"/>
      <c r="BR62" s="80"/>
      <c r="BS62" s="144"/>
      <c r="BT62" s="144"/>
      <c r="BV62" s="144"/>
      <c r="BW62" s="80"/>
      <c r="BX62" s="67"/>
      <c r="BY62" s="67"/>
      <c r="CB62"/>
      <c r="CC62"/>
      <c r="CD62"/>
      <c r="CE62"/>
      <c r="CF62"/>
      <c r="CG62"/>
      <c r="CH62"/>
      <c r="CI62"/>
    </row>
    <row r="63" spans="1:87" ht="13.5" customHeight="1" x14ac:dyDescent="0.2">
      <c r="A63"/>
      <c r="B63" s="522"/>
      <c r="C63" s="522"/>
      <c r="D63" s="522"/>
      <c r="E63" s="522"/>
      <c r="V63" s="67"/>
      <c r="W63" s="67"/>
      <c r="X63" s="67"/>
      <c r="Y63" s="67"/>
      <c r="Z63" s="67"/>
      <c r="AA63" s="67"/>
      <c r="AB63" s="67"/>
      <c r="AD63" s="67"/>
      <c r="AE63" s="67"/>
      <c r="AF63" s="67"/>
      <c r="AG63" s="67"/>
      <c r="AH63" s="67"/>
      <c r="AI63" s="67"/>
      <c r="AJ63" s="67"/>
      <c r="AL63" s="67"/>
      <c r="AM63" s="67"/>
      <c r="AN63" s="67"/>
      <c r="AO63" s="67"/>
      <c r="AP63" s="67"/>
      <c r="AQ63" s="67"/>
      <c r="AR63" s="67"/>
      <c r="AS63" s="67"/>
      <c r="AT63" s="67"/>
      <c r="AU63" s="67"/>
      <c r="AV63" s="67"/>
      <c r="AW63" s="67"/>
      <c r="AX63" s="67"/>
      <c r="AY63" s="67"/>
      <c r="AZ63" s="80"/>
      <c r="BA63" s="144"/>
      <c r="BB63" s="80"/>
      <c r="BC63" s="144"/>
      <c r="BD63" s="144"/>
      <c r="BE63" s="144"/>
      <c r="BF63" s="144"/>
      <c r="BG63" s="67"/>
      <c r="BH63" s="80"/>
      <c r="BI63" s="144"/>
      <c r="BJ63" s="80"/>
      <c r="BK63" s="144"/>
      <c r="BL63" s="144"/>
      <c r="BM63" s="144"/>
      <c r="BN63" s="144"/>
      <c r="BO63" s="67"/>
      <c r="BP63" s="80"/>
      <c r="BQ63" s="144"/>
      <c r="BR63" s="80"/>
      <c r="BS63" s="144"/>
      <c r="BT63" s="144"/>
      <c r="BV63" s="144"/>
      <c r="BW63" s="80"/>
      <c r="BX63" s="67"/>
      <c r="BY63" s="67"/>
      <c r="CB63"/>
      <c r="CC63"/>
      <c r="CD63"/>
      <c r="CE63"/>
      <c r="CF63"/>
      <c r="CG63"/>
      <c r="CH63"/>
      <c r="CI63"/>
    </row>
    <row r="64" spans="1:87" ht="13.5" customHeight="1" x14ac:dyDescent="0.2">
      <c r="A64"/>
      <c r="B64" s="522"/>
      <c r="C64" s="522"/>
      <c r="D64" s="522"/>
      <c r="E64" s="522"/>
      <c r="V64" s="67"/>
      <c r="W64" s="67"/>
      <c r="X64" s="67"/>
      <c r="Y64" s="67"/>
      <c r="Z64" s="67"/>
      <c r="AA64" s="67"/>
      <c r="AB64" s="67"/>
      <c r="AD64" s="67"/>
      <c r="AE64" s="67"/>
      <c r="AF64" s="67"/>
      <c r="AG64" s="67"/>
      <c r="AH64" s="67"/>
      <c r="AI64" s="67"/>
      <c r="AJ64" s="67"/>
      <c r="AL64" s="67"/>
      <c r="AM64" s="67"/>
      <c r="AN64" s="67"/>
      <c r="AO64" s="67"/>
      <c r="AP64" s="67"/>
      <c r="AQ64" s="67"/>
      <c r="AR64" s="67"/>
      <c r="AS64" s="67"/>
      <c r="AT64" s="67"/>
      <c r="AU64" s="67"/>
      <c r="AV64" s="67"/>
      <c r="AW64" s="67"/>
      <c r="AX64" s="67"/>
      <c r="AY64" s="67"/>
      <c r="AZ64" s="80"/>
      <c r="BA64" s="144"/>
      <c r="BB64" s="80"/>
      <c r="BC64" s="144"/>
      <c r="BD64" s="144"/>
      <c r="BE64" s="144"/>
      <c r="BF64" s="144"/>
      <c r="BG64" s="67"/>
      <c r="BH64" s="80"/>
      <c r="BI64" s="144"/>
      <c r="BJ64" s="80"/>
      <c r="BK64" s="144"/>
      <c r="BL64" s="144"/>
      <c r="BM64" s="144"/>
      <c r="BN64" s="144"/>
      <c r="BO64" s="67"/>
      <c r="BP64" s="80"/>
      <c r="BQ64" s="144"/>
      <c r="BR64" s="80"/>
      <c r="BS64" s="144"/>
      <c r="BT64" s="144"/>
      <c r="BV64" s="144"/>
      <c r="BW64" s="80"/>
      <c r="BX64" s="67"/>
      <c r="BY64" s="67"/>
      <c r="CB64"/>
      <c r="CC64"/>
      <c r="CD64"/>
      <c r="CE64"/>
      <c r="CF64"/>
      <c r="CG64"/>
      <c r="CH64"/>
      <c r="CI64"/>
    </row>
    <row r="65" spans="1:91" ht="13.5" customHeight="1" thickBot="1" x14ac:dyDescent="0.25">
      <c r="B65" s="380" t="s">
        <v>236</v>
      </c>
      <c r="C65" s="452"/>
      <c r="D65" s="23" t="str">
        <f>IF(ISERR(LN(2)/(-SLOPE(D39:D59,B39:B59))),"",(LN(2)/(-SLOPE(D39:D59,B39:B59))))</f>
        <v/>
      </c>
      <c r="E65" s="104" t="s">
        <v>146</v>
      </c>
      <c r="H65" s="67"/>
      <c r="I65" s="67"/>
      <c r="W65" s="99"/>
      <c r="X65" s="99"/>
      <c r="Y65" s="99"/>
      <c r="Z65" s="67"/>
      <c r="AA65" s="99"/>
      <c r="AB65" s="99"/>
      <c r="AE65" s="99"/>
      <c r="AF65" s="99"/>
      <c r="AG65" s="99"/>
      <c r="AH65" s="67"/>
      <c r="AI65" s="99"/>
      <c r="AJ65" s="99"/>
      <c r="AM65" s="99"/>
      <c r="AN65" s="99"/>
      <c r="AO65" s="99"/>
      <c r="AP65" s="67"/>
      <c r="AQ65" s="99"/>
      <c r="AR65" s="99"/>
      <c r="AS65" s="99"/>
      <c r="AT65" s="99"/>
      <c r="AU65" s="99"/>
      <c r="AV65" s="99"/>
      <c r="AW65" s="99"/>
      <c r="AX65" s="99"/>
      <c r="BX65" s="80"/>
    </row>
    <row r="66" spans="1:91" ht="13.5" customHeight="1" thickTop="1" thickBot="1" x14ac:dyDescent="0.25">
      <c r="B66" s="91"/>
      <c r="C66" s="173"/>
      <c r="G66" s="507" t="s">
        <v>117</v>
      </c>
      <c r="H66" s="580"/>
      <c r="I66" s="2"/>
      <c r="W66" s="99"/>
      <c r="X66" s="99"/>
      <c r="Y66" s="99"/>
      <c r="Z66" s="67"/>
      <c r="AA66" s="99"/>
      <c r="AB66" s="99"/>
      <c r="AE66" s="99"/>
      <c r="AF66" s="99"/>
      <c r="AG66" s="99"/>
      <c r="AH66" s="67"/>
      <c r="AI66" s="99"/>
      <c r="AJ66" s="99"/>
      <c r="AM66" s="99"/>
      <c r="AN66" s="99"/>
      <c r="AO66" s="99"/>
      <c r="AP66" s="67"/>
      <c r="AQ66" s="99"/>
      <c r="AR66" s="99"/>
      <c r="AS66" s="99"/>
      <c r="AT66" s="99"/>
      <c r="AU66" s="99"/>
      <c r="AV66" s="99"/>
      <c r="AW66" s="99"/>
      <c r="AX66" s="99"/>
      <c r="BX66" s="80"/>
    </row>
    <row r="67" spans="1:91" ht="13.5" customHeight="1" thickTop="1" x14ac:dyDescent="0.2">
      <c r="B67" s="91"/>
      <c r="C67" s="123"/>
      <c r="G67" s="79" t="s">
        <v>120</v>
      </c>
      <c r="H67" s="115"/>
      <c r="I67" s="115"/>
      <c r="Q67" s="99"/>
      <c r="R67" s="99"/>
      <c r="S67" s="99"/>
      <c r="T67" s="99"/>
      <c r="U67" s="67"/>
      <c r="V67" s="67"/>
      <c r="W67" s="99"/>
      <c r="X67" s="99"/>
      <c r="Y67" s="99"/>
      <c r="Z67" s="99"/>
      <c r="AA67" s="99"/>
      <c r="AB67" s="99"/>
      <c r="AC67" s="67"/>
      <c r="AD67" s="67"/>
      <c r="AE67" s="99"/>
      <c r="AF67" s="99"/>
      <c r="AG67" s="99"/>
      <c r="AH67" s="99"/>
      <c r="AI67" s="99"/>
      <c r="AJ67" s="99"/>
      <c r="AK67" s="67"/>
      <c r="AL67" s="67"/>
      <c r="AM67" s="99"/>
      <c r="AN67" s="99"/>
      <c r="AO67" s="99"/>
      <c r="AP67" s="99"/>
      <c r="AQ67" s="99"/>
      <c r="AR67" s="99"/>
      <c r="AS67" s="99"/>
      <c r="AT67" s="99"/>
      <c r="AU67" s="143"/>
      <c r="AV67" s="99"/>
      <c r="AW67" s="143"/>
      <c r="AX67" s="143"/>
      <c r="AY67" s="143"/>
      <c r="AZ67" s="143"/>
      <c r="BA67" s="99"/>
      <c r="BD67" s="99"/>
      <c r="BG67" s="143"/>
      <c r="BH67" s="143"/>
      <c r="BI67" s="99"/>
      <c r="BL67" s="99"/>
      <c r="BO67" s="143"/>
      <c r="BP67" s="143"/>
      <c r="BR67" s="143"/>
      <c r="BT67" s="80"/>
      <c r="BV67" s="80"/>
      <c r="BW67" s="80"/>
      <c r="BX67" s="80"/>
      <c r="CA67" s="99"/>
      <c r="CB67" s="99"/>
      <c r="CC67" s="99"/>
      <c r="CD67" s="99"/>
      <c r="CE67" s="99"/>
      <c r="CF67" s="99"/>
      <c r="CI67"/>
    </row>
    <row r="68" spans="1:91" ht="13.5" customHeight="1" thickBot="1" x14ac:dyDescent="0.25">
      <c r="B68" s="91"/>
      <c r="C68" s="40" t="s">
        <v>237</v>
      </c>
      <c r="Q68" s="99"/>
      <c r="R68" s="99"/>
      <c r="S68" s="99"/>
      <c r="T68" s="99"/>
      <c r="U68" s="67"/>
      <c r="V68" s="67"/>
      <c r="W68" s="99"/>
      <c r="X68" s="99"/>
      <c r="Y68" s="99"/>
      <c r="Z68" s="99"/>
      <c r="AA68" s="99"/>
      <c r="AB68" s="99"/>
      <c r="AC68" s="67"/>
      <c r="AD68" s="67"/>
      <c r="AE68" s="99"/>
      <c r="AF68" s="99"/>
      <c r="AG68" s="99"/>
      <c r="AH68" s="99"/>
      <c r="AI68" s="99"/>
      <c r="AJ68" s="99"/>
      <c r="AK68" s="67"/>
      <c r="AL68" s="67"/>
      <c r="AM68" s="99"/>
      <c r="AN68" s="99"/>
      <c r="AO68" s="99"/>
      <c r="AP68" s="99"/>
      <c r="AQ68" s="99"/>
      <c r="AR68" s="99"/>
      <c r="AS68" s="99"/>
      <c r="AT68" s="99"/>
      <c r="AU68" s="143"/>
      <c r="AV68" s="99"/>
      <c r="AW68" s="143"/>
      <c r="AX68" s="143"/>
      <c r="AY68" s="143"/>
      <c r="AZ68" s="143"/>
      <c r="BA68" s="99"/>
      <c r="BD68" s="99"/>
      <c r="BG68" s="143"/>
      <c r="BH68" s="143"/>
      <c r="BI68" s="99"/>
      <c r="BL68" s="99"/>
      <c r="BO68" s="143"/>
      <c r="BP68" s="143"/>
      <c r="BR68" s="143"/>
      <c r="BT68" s="80"/>
      <c r="BV68" s="80"/>
      <c r="BW68" s="80"/>
      <c r="BX68" s="80"/>
      <c r="CA68" s="99"/>
      <c r="CB68" s="99"/>
      <c r="CC68" s="99"/>
      <c r="CD68" s="99"/>
      <c r="CE68" s="99"/>
      <c r="CF68" s="99"/>
      <c r="CI68"/>
    </row>
    <row r="69" spans="1:91" ht="103.5" customHeight="1" thickTop="1" thickBot="1" x14ac:dyDescent="0.25">
      <c r="B69" s="91"/>
      <c r="C69" s="607" t="s">
        <v>238</v>
      </c>
      <c r="D69" s="608"/>
      <c r="E69" s="609"/>
      <c r="F69" s="174" t="str">
        <f>IF(NOT(ISNUMBER(F70)),"-",IF(F70=AJ87,AH84,IF(F70=AN87,AL84,IF(F70=AR87,AP84,IF(F70=AV87,AT84,IF(F70=AZ87,AX84,"-"))))))</f>
        <v>-</v>
      </c>
      <c r="Q69" s="99"/>
      <c r="R69" s="99"/>
      <c r="S69" s="99"/>
      <c r="T69" s="99"/>
      <c r="U69" s="67"/>
      <c r="V69" s="67"/>
      <c r="W69" s="99"/>
      <c r="X69" s="99"/>
      <c r="Y69" s="99"/>
      <c r="Z69" s="99"/>
      <c r="AA69" s="99"/>
      <c r="AB69" s="99"/>
      <c r="AC69" s="67"/>
      <c r="AD69" s="67"/>
      <c r="AE69" s="99"/>
      <c r="AF69" s="99"/>
      <c r="AG69" s="99"/>
      <c r="AH69" s="99"/>
      <c r="AI69" s="99"/>
      <c r="AJ69" s="99"/>
      <c r="AK69" s="67"/>
      <c r="AL69" s="67"/>
      <c r="AM69" s="99"/>
      <c r="AN69" s="99"/>
      <c r="AO69" s="99"/>
      <c r="AP69" s="99"/>
      <c r="AQ69" s="99"/>
      <c r="AR69" s="99"/>
      <c r="AS69" s="80"/>
      <c r="AT69" s="80"/>
      <c r="AU69" s="144"/>
      <c r="AV69" s="80"/>
      <c r="AW69" s="144"/>
      <c r="AX69" s="144"/>
      <c r="AY69" s="144"/>
      <c r="AZ69" s="144"/>
      <c r="BA69" s="80"/>
      <c r="BB69" s="80"/>
      <c r="BC69" s="144"/>
      <c r="BD69" s="80"/>
      <c r="BE69" s="144"/>
      <c r="BF69" s="144"/>
      <c r="BG69" s="144"/>
      <c r="BH69" s="144"/>
      <c r="BI69" s="80"/>
      <c r="BJ69" s="80"/>
      <c r="BK69" s="144"/>
      <c r="BL69" s="80"/>
      <c r="BM69" s="144"/>
      <c r="BN69" s="144"/>
      <c r="BO69" s="144"/>
      <c r="BP69" s="144"/>
      <c r="BQ69" s="144"/>
      <c r="BR69" s="144"/>
      <c r="BS69" s="144"/>
      <c r="BT69" s="80"/>
      <c r="BV69" s="80"/>
      <c r="BW69" s="80"/>
      <c r="BX69" s="80"/>
      <c r="CA69" s="99"/>
      <c r="CB69" s="99"/>
      <c r="CC69" s="99"/>
      <c r="CD69" s="99"/>
      <c r="CE69" s="99"/>
      <c r="CF69"/>
      <c r="CG69"/>
      <c r="CH69"/>
      <c r="CI69"/>
    </row>
    <row r="70" spans="1:91" ht="13.5" customHeight="1" thickTop="1" x14ac:dyDescent="0.2">
      <c r="C70" s="610" t="s">
        <v>152</v>
      </c>
      <c r="D70" s="611"/>
      <c r="E70" s="612"/>
      <c r="F70" s="175" t="str">
        <f>IF(NOT(AND(ISNUMBER(ffp),ISNUMBER(F14),ISNUMBER(F13))),"-",IF(MAX(AX87,BB87,BF87,BJ87,BN87,BR87)&gt;0,MAX(AX87,BB87,BF87,BJ87,BN87,BR87),"-"))</f>
        <v>-</v>
      </c>
      <c r="Q70" s="99"/>
      <c r="R70" s="99"/>
      <c r="S70" s="99"/>
      <c r="T70" s="99"/>
      <c r="U70" s="67"/>
      <c r="V70" s="67"/>
      <c r="W70" s="99"/>
      <c r="X70" s="99"/>
      <c r="Y70" s="99"/>
      <c r="Z70" s="99"/>
      <c r="AA70" s="99"/>
      <c r="AB70" s="99"/>
      <c r="AC70" s="67"/>
      <c r="AD70" s="67"/>
      <c r="AE70" s="99"/>
      <c r="AF70" s="99"/>
      <c r="AG70" s="99"/>
      <c r="AH70" s="99"/>
      <c r="AI70" s="99"/>
      <c r="AJ70" s="99"/>
      <c r="AK70" s="67"/>
      <c r="AL70" s="67"/>
      <c r="AM70" s="99"/>
      <c r="AN70" s="99"/>
      <c r="AO70" s="99"/>
      <c r="AP70" s="99"/>
      <c r="AQ70" s="99"/>
      <c r="AR70" s="99"/>
      <c r="AS70" s="80"/>
      <c r="AT70" s="80"/>
      <c r="AU70" s="144"/>
      <c r="AV70" s="80"/>
      <c r="AW70" s="144"/>
      <c r="AX70" s="144"/>
      <c r="AY70" s="144"/>
      <c r="AZ70" s="144"/>
      <c r="BA70" s="80"/>
      <c r="BB70" s="80"/>
      <c r="BC70" s="144"/>
      <c r="BD70" s="80"/>
      <c r="BE70" s="144"/>
      <c r="BF70" s="144"/>
      <c r="BG70" s="144"/>
      <c r="BH70" s="144"/>
      <c r="BI70" s="80"/>
      <c r="BJ70" s="80"/>
      <c r="BK70" s="144"/>
      <c r="BL70" s="80"/>
      <c r="BM70" s="144"/>
      <c r="BN70" s="144"/>
      <c r="BO70" s="144"/>
      <c r="BP70" s="144"/>
      <c r="BQ70" s="144"/>
      <c r="BR70" s="144"/>
      <c r="BS70" s="144"/>
      <c r="BT70" s="80"/>
      <c r="BV70" s="80"/>
      <c r="BW70" s="80"/>
      <c r="BX70" s="80"/>
      <c r="CA70" s="99"/>
      <c r="CB70" s="99"/>
      <c r="CC70" s="99"/>
      <c r="CD70" s="99"/>
      <c r="CE70" s="99"/>
      <c r="CF70"/>
      <c r="CG70"/>
      <c r="CH70"/>
      <c r="CI70"/>
    </row>
    <row r="71" spans="1:91" ht="13.5" customHeight="1" thickBot="1" x14ac:dyDescent="0.25">
      <c r="C71" s="573" t="s">
        <v>239</v>
      </c>
      <c r="D71" s="574"/>
      <c r="E71" s="575"/>
      <c r="F71" s="176" t="str">
        <f>IF(NOT(ISNUMBER(ffp)),"-",IF(F70=AX87,AX88,IF(F70=BB87,BB88,IF(F70=BF87,BF88,IF(F70=BJ87,BJ88,IF(F70=BN87,BN88,BR88))))))</f>
        <v>-</v>
      </c>
      <c r="Q71" s="99"/>
      <c r="R71" s="99"/>
      <c r="S71" s="99"/>
      <c r="T71" s="99"/>
      <c r="U71" s="67"/>
      <c r="V71" s="67"/>
      <c r="W71" s="99"/>
      <c r="X71" s="99"/>
      <c r="Y71" s="99"/>
      <c r="Z71" s="99"/>
      <c r="AA71" s="99"/>
      <c r="AB71" s="99"/>
      <c r="AC71" s="67"/>
      <c r="AD71" s="67"/>
      <c r="AE71" s="99"/>
      <c r="AF71" s="99"/>
      <c r="AG71" s="99"/>
      <c r="AH71" s="99"/>
      <c r="AI71" s="99"/>
      <c r="AJ71" s="99"/>
      <c r="AK71" s="67"/>
      <c r="AL71" s="67"/>
      <c r="AM71" s="99"/>
      <c r="AN71" s="99"/>
      <c r="AO71" s="99"/>
      <c r="AP71" s="99"/>
      <c r="AQ71" s="99"/>
      <c r="AR71" s="99"/>
      <c r="AS71" s="80"/>
      <c r="AT71" s="80"/>
      <c r="AU71" s="144"/>
      <c r="AV71" s="80"/>
      <c r="AW71" s="144"/>
      <c r="AX71" s="144"/>
      <c r="AY71" s="144"/>
      <c r="AZ71" s="144"/>
      <c r="BA71" s="80"/>
      <c r="BB71" s="80"/>
      <c r="BC71" s="144"/>
      <c r="BD71" s="80"/>
      <c r="BE71" s="144"/>
      <c r="BF71" s="144"/>
      <c r="BG71" s="144"/>
      <c r="BH71" s="144"/>
      <c r="BI71" s="80"/>
      <c r="BJ71" s="80"/>
      <c r="BK71" s="144"/>
      <c r="BL71" s="80"/>
      <c r="BM71" s="144"/>
      <c r="BN71" s="144"/>
      <c r="BO71" s="144"/>
      <c r="BP71" s="144"/>
      <c r="BQ71" s="144"/>
      <c r="BR71" s="144"/>
      <c r="BS71" s="144"/>
      <c r="BT71" s="80"/>
      <c r="BV71" s="80"/>
      <c r="BW71" s="80"/>
      <c r="BX71" s="80"/>
      <c r="CA71" s="99"/>
      <c r="CB71" s="99"/>
      <c r="CC71" s="99"/>
      <c r="CD71" s="99"/>
      <c r="CE71" s="99"/>
      <c r="CF71"/>
      <c r="CG71"/>
      <c r="CH71"/>
      <c r="CI71"/>
    </row>
    <row r="72" spans="1:91" ht="13.5" customHeight="1" thickTop="1" x14ac:dyDescent="0.2">
      <c r="C72" s="10" t="s">
        <v>129</v>
      </c>
      <c r="D72" s="177"/>
      <c r="E72" s="177"/>
      <c r="F72" s="177"/>
      <c r="G72" s="177"/>
      <c r="H72" s="178"/>
      <c r="I72" s="179"/>
      <c r="Q72" s="99"/>
      <c r="R72" s="99"/>
      <c r="S72" s="99"/>
      <c r="T72" s="99"/>
      <c r="U72" s="67"/>
      <c r="V72" s="67"/>
      <c r="W72" s="99"/>
      <c r="X72" s="99"/>
      <c r="Y72" s="99"/>
      <c r="Z72" s="99"/>
      <c r="AA72" s="99"/>
      <c r="AB72" s="99"/>
      <c r="AC72" s="67"/>
      <c r="AD72" s="67"/>
      <c r="AE72" s="99"/>
      <c r="AF72" s="99"/>
      <c r="AG72" s="99"/>
      <c r="AH72" s="99"/>
      <c r="AI72" s="99"/>
      <c r="AJ72" s="99"/>
      <c r="AK72" s="67"/>
      <c r="AL72" s="67"/>
      <c r="AM72" s="99"/>
      <c r="AN72" s="99"/>
      <c r="AO72" s="99"/>
      <c r="AP72" s="99"/>
      <c r="AQ72" s="99"/>
      <c r="AR72" s="99"/>
      <c r="AS72" s="99"/>
      <c r="AT72" s="99"/>
      <c r="AU72" s="143"/>
      <c r="AV72" s="99"/>
      <c r="AW72" s="143"/>
      <c r="AX72" s="143"/>
      <c r="AY72" s="143"/>
      <c r="AZ72" s="143"/>
      <c r="BA72" s="99"/>
      <c r="BD72" s="99"/>
      <c r="BG72" s="143"/>
      <c r="BH72" s="143"/>
      <c r="BI72" s="99"/>
      <c r="BL72" s="99"/>
      <c r="BO72" s="143"/>
      <c r="BP72" s="143"/>
      <c r="BR72" s="143"/>
      <c r="BT72" s="80"/>
      <c r="BV72" s="80"/>
      <c r="BW72" s="80"/>
      <c r="BX72" s="80"/>
      <c r="CA72" s="99"/>
      <c r="CB72" s="99"/>
      <c r="CC72" s="99"/>
      <c r="CD72" s="99"/>
      <c r="CE72" s="99"/>
      <c r="CF72" s="99"/>
      <c r="CI72"/>
    </row>
    <row r="73" spans="1:91" ht="13.5" customHeight="1" x14ac:dyDescent="0.2">
      <c r="H73" s="67"/>
      <c r="I73" s="67"/>
      <c r="W73" s="99"/>
      <c r="X73" s="99"/>
      <c r="Y73" s="99"/>
      <c r="Z73" s="67"/>
      <c r="AA73" s="99"/>
      <c r="AB73" s="99"/>
      <c r="AE73" s="99"/>
      <c r="AF73" s="99"/>
      <c r="AG73" s="99"/>
      <c r="AH73" s="67"/>
      <c r="AI73" s="99"/>
      <c r="AJ73" s="99"/>
      <c r="AM73" s="99"/>
      <c r="AN73" s="99"/>
      <c r="AO73" s="99"/>
      <c r="AP73" s="67"/>
      <c r="AQ73" s="99"/>
      <c r="AR73" s="99"/>
      <c r="AS73" s="99"/>
      <c r="AT73" s="99"/>
      <c r="AU73" s="99"/>
      <c r="AV73" s="99"/>
      <c r="AW73" s="99"/>
      <c r="AX73" s="99"/>
      <c r="BX73" s="80"/>
    </row>
    <row r="74" spans="1:91" s="67" customFormat="1" ht="27" customHeight="1" x14ac:dyDescent="0.2">
      <c r="A74" s="180"/>
      <c r="B74" s="181" t="s">
        <v>240</v>
      </c>
      <c r="C74" s="182"/>
      <c r="D74" s="182"/>
      <c r="E74" s="182"/>
      <c r="F74" s="182"/>
      <c r="G74" s="182"/>
      <c r="H74" s="182"/>
      <c r="I74" s="182"/>
      <c r="J74" s="182"/>
      <c r="K74" s="182"/>
      <c r="T74" s="183"/>
      <c r="U74" s="183"/>
      <c r="V74" s="99"/>
      <c r="W74"/>
      <c r="X74"/>
      <c r="Y74"/>
      <c r="AA74"/>
      <c r="AB74"/>
      <c r="AC74" s="183"/>
      <c r="AD74" s="99"/>
      <c r="AE74"/>
      <c r="AF74"/>
      <c r="AG74"/>
      <c r="AI74"/>
      <c r="AJ74"/>
      <c r="AK74" s="183"/>
      <c r="AL74" s="99"/>
      <c r="AM74"/>
      <c r="AN74"/>
      <c r="AO74"/>
      <c r="AQ74"/>
      <c r="AR74"/>
      <c r="AS74"/>
      <c r="AT74"/>
      <c r="AU74"/>
      <c r="AV74"/>
      <c r="AW74"/>
      <c r="AX74"/>
      <c r="AY74" s="99"/>
      <c r="AZ74" s="99"/>
      <c r="BA74" s="143"/>
      <c r="BB74" s="99"/>
      <c r="BC74" s="143"/>
      <c r="BD74" s="143"/>
      <c r="BE74" s="143"/>
      <c r="BF74" s="143"/>
      <c r="BG74" s="99"/>
      <c r="BH74" s="99"/>
      <c r="BI74" s="143"/>
      <c r="BJ74" s="99"/>
      <c r="BK74" s="143"/>
      <c r="BL74" s="143"/>
      <c r="BM74" s="143"/>
      <c r="BN74" s="143"/>
      <c r="BO74" s="99"/>
      <c r="BP74" s="99"/>
      <c r="BQ74" s="143"/>
      <c r="BR74" s="99"/>
      <c r="BS74" s="143"/>
      <c r="BT74" s="143"/>
      <c r="BU74" s="80"/>
      <c r="BV74" s="143"/>
      <c r="BW74" s="99"/>
      <c r="BX74" s="99"/>
      <c r="BY74" s="80"/>
      <c r="BZ74" s="80"/>
      <c r="CA74" s="80"/>
      <c r="CB74" s="80"/>
      <c r="CC74" s="80"/>
      <c r="CD74" s="80"/>
      <c r="CE74" s="80"/>
      <c r="CF74" s="80"/>
      <c r="CI74" s="99"/>
      <c r="CJ74" s="99"/>
      <c r="CK74" s="99"/>
      <c r="CL74" s="99"/>
      <c r="CM74" s="99"/>
    </row>
    <row r="75" spans="1:91" x14ac:dyDescent="0.2">
      <c r="B75" s="100"/>
      <c r="C75" s="100"/>
      <c r="T75" s="184"/>
      <c r="U75" s="184"/>
      <c r="V75" s="99"/>
      <c r="Z75" s="67"/>
      <c r="AC75" s="184"/>
      <c r="AD75" s="99"/>
      <c r="AH75" s="67"/>
      <c r="AK75" s="184"/>
      <c r="AL75" s="99"/>
      <c r="AP75" s="67"/>
      <c r="CG75"/>
      <c r="CH75"/>
      <c r="CJ75" s="99"/>
      <c r="CK75" s="99"/>
      <c r="CL75" s="99"/>
      <c r="CM75" s="99"/>
    </row>
    <row r="76" spans="1:91" x14ac:dyDescent="0.2">
      <c r="B76" s="92"/>
      <c r="C76" s="92"/>
      <c r="T76" s="177"/>
      <c r="U76" s="177"/>
      <c r="V76" s="99"/>
      <c r="Z76" s="67"/>
      <c r="AC76" s="177"/>
      <c r="AD76" s="99"/>
      <c r="AH76" s="67"/>
      <c r="AK76" s="177"/>
      <c r="AL76" s="99"/>
      <c r="AP76" s="67"/>
      <c r="CG76"/>
      <c r="CH76"/>
      <c r="CJ76" s="99"/>
      <c r="CK76" s="99"/>
      <c r="CL76" s="99"/>
      <c r="CM76" s="99"/>
    </row>
    <row r="77" spans="1:91" x14ac:dyDescent="0.2">
      <c r="B77" s="92"/>
      <c r="C77" s="92"/>
      <c r="D77" s="92"/>
      <c r="E77" s="92"/>
      <c r="F77" s="92"/>
      <c r="V77" s="99"/>
      <c r="Z77" s="67"/>
      <c r="AD77" s="99"/>
      <c r="AH77" s="67"/>
      <c r="AL77" s="99"/>
      <c r="AP77" s="67"/>
      <c r="CG77"/>
      <c r="CH77"/>
      <c r="CJ77" s="99"/>
      <c r="CK77" s="99"/>
      <c r="CL77" s="99"/>
      <c r="CM77" s="99"/>
    </row>
    <row r="78" spans="1:91" x14ac:dyDescent="0.2">
      <c r="D78" s="92"/>
      <c r="E78" s="92"/>
      <c r="F78" s="92"/>
      <c r="V78" s="99"/>
      <c r="AD78" s="99"/>
      <c r="AL78" s="99"/>
      <c r="CG78"/>
      <c r="CH78"/>
      <c r="CJ78" s="99"/>
      <c r="CK78" s="99"/>
      <c r="CL78" s="99"/>
      <c r="CM78" s="99"/>
    </row>
    <row r="79" spans="1:91" x14ac:dyDescent="0.2">
      <c r="V79" s="99"/>
      <c r="AD79" s="99"/>
      <c r="AL79" s="99"/>
      <c r="CG79"/>
      <c r="CH79"/>
      <c r="CJ79" s="99"/>
      <c r="CK79" s="99"/>
      <c r="CL79" s="99"/>
      <c r="CM79" s="99"/>
    </row>
    <row r="80" spans="1:91" x14ac:dyDescent="0.2">
      <c r="V80" s="99"/>
      <c r="AD80" s="99"/>
      <c r="AL80" s="99"/>
      <c r="CG80"/>
      <c r="CH80"/>
      <c r="CJ80" s="99"/>
      <c r="CK80" s="99"/>
      <c r="CL80" s="99"/>
      <c r="CM80" s="99"/>
    </row>
    <row r="81" spans="2:93" x14ac:dyDescent="0.2">
      <c r="V81" s="99"/>
      <c r="AD81" s="99"/>
      <c r="AL81" s="99"/>
      <c r="CH81"/>
      <c r="CJ81" s="99"/>
      <c r="CK81" s="99"/>
      <c r="CL81" s="99"/>
      <c r="CM81" s="99"/>
    </row>
    <row r="82" spans="2:93" x14ac:dyDescent="0.2">
      <c r="V82" s="185"/>
      <c r="AD82" s="185"/>
      <c r="AL82" s="185"/>
      <c r="CJ82" s="99"/>
      <c r="CK82" s="99"/>
      <c r="CL82" s="99"/>
      <c r="CM82" s="99"/>
    </row>
    <row r="83" spans="2:93" x14ac:dyDescent="0.2">
      <c r="CJ83" s="99"/>
      <c r="CK83" s="99"/>
      <c r="CL83" s="99"/>
      <c r="CM83" s="99"/>
    </row>
    <row r="84" spans="2:93" x14ac:dyDescent="0.2">
      <c r="AV84" s="79" t="str">
        <f>_xlfn.CONCAT("1回目散布から",F22,"日")</f>
        <v>1回目散布から21日</v>
      </c>
      <c r="AZ84" s="79" t="str">
        <f>_xlfn.CONCAT("1回目散布の止水期間終了から",F22,"日")</f>
        <v>1回目散布の止水期間終了から21日</v>
      </c>
      <c r="BD84" s="79" t="str">
        <f>_xlfn.CONCAT("2回目散布から",F22,"日")</f>
        <v>2回目散布から21日</v>
      </c>
      <c r="BH84" s="79" t="str">
        <f>_xlfn.CONCAT("2回目散布の止水期間終了から",F22,"日")</f>
        <v>2回目散布の止水期間終了から21日</v>
      </c>
      <c r="BL84" s="79" t="str">
        <f>_xlfn.CONCAT("3回目散布から",F22,"日")</f>
        <v>3回目散布から21日</v>
      </c>
      <c r="BP84" s="79" t="str">
        <f>_xlfn.CONCAT("3回目散布の止水期間終了から",F22,"日")</f>
        <v>3回目散布の止水期間終了から21日</v>
      </c>
      <c r="CJ84" s="99"/>
      <c r="CK84" s="99"/>
      <c r="CL84" s="99"/>
      <c r="CM84" s="99"/>
    </row>
    <row r="85" spans="2:93" x14ac:dyDescent="0.2">
      <c r="AT85" s="186"/>
      <c r="AV85" s="44" t="s">
        <v>241</v>
      </c>
      <c r="AW85" s="87" t="s">
        <v>242</v>
      </c>
      <c r="AX85" s="187">
        <f>IF(ISNUMBER($F$22),VLOOKUP($F$22-1,$U$100:$AX$250,28),"-")</f>
        <v>0</v>
      </c>
      <c r="AZ85" s="44" t="s">
        <v>241</v>
      </c>
      <c r="BA85" s="87" t="s">
        <v>242</v>
      </c>
      <c r="BB85" s="187" t="str">
        <f>IFERROR(VLOOKUP($F$22+$F$21-1,$U$100:$BB$250,32),"-")</f>
        <v>-</v>
      </c>
      <c r="BD85" s="44" t="s">
        <v>241</v>
      </c>
      <c r="BE85" s="87" t="s">
        <v>242</v>
      </c>
      <c r="BF85" s="187" t="str">
        <f ca="1">IF(ISNUMBER($F$22),VLOOKUP($F$22-1+$F$16,$U$100:$BF$250,36),"-")</f>
        <v/>
      </c>
      <c r="BH85" s="44" t="s">
        <v>241</v>
      </c>
      <c r="BI85" s="87" t="s">
        <v>242</v>
      </c>
      <c r="BJ85" s="187" t="str">
        <f>IFERROR(VLOOKUP($F$22+$F$21-1+$F$16,$U$100:$BJ$250,40),"-")</f>
        <v>-</v>
      </c>
      <c r="BL85" s="44" t="s">
        <v>241</v>
      </c>
      <c r="BM85" s="87" t="s">
        <v>242</v>
      </c>
      <c r="BN85" s="187" t="str">
        <f ca="1">IF(ISNUMBER($F$22),VLOOKUP($F$22-1+$F$17,$U$100:$BN$250,44),"-")</f>
        <v/>
      </c>
      <c r="BP85" s="44" t="s">
        <v>241</v>
      </c>
      <c r="BQ85" s="87" t="s">
        <v>242</v>
      </c>
      <c r="BR85" s="187" t="str">
        <f>IFERROR(VLOOKUP($F$22+$F$21-1+$F$17,$U$100:$BR$250,48),"-")</f>
        <v>-</v>
      </c>
      <c r="CJ85" s="99"/>
      <c r="CK85" s="99"/>
      <c r="CL85" s="99"/>
      <c r="CM85" s="99"/>
    </row>
    <row r="86" spans="2:93" x14ac:dyDescent="0.2">
      <c r="AV86" s="44" t="s">
        <v>243</v>
      </c>
      <c r="AW86" s="188" t="s">
        <v>244</v>
      </c>
      <c r="AX86" s="187" t="str">
        <f xml:space="preserve"> IF(ISNUMBER($F$22),VLOOKUP($F$22-1,$U$100:$AX$250,29),"-")</f>
        <v>-</v>
      </c>
      <c r="AZ86" s="44" t="s">
        <v>243</v>
      </c>
      <c r="BA86" s="188" t="s">
        <v>244</v>
      </c>
      <c r="BB86" s="187" t="str">
        <f>IFERROR(VLOOKUP($F$22+$F$21-1,$U$100:$BB$250,33),"-")</f>
        <v>-</v>
      </c>
      <c r="BD86" s="44" t="s">
        <v>243</v>
      </c>
      <c r="BE86" s="188" t="s">
        <v>244</v>
      </c>
      <c r="BF86" s="187" t="str">
        <f ca="1">IF(ISNUMBER($F$22),VLOOKUP($F$22-1+$F$16,$U$100:$BF$250,37),"-")</f>
        <v/>
      </c>
      <c r="BH86" s="44" t="s">
        <v>243</v>
      </c>
      <c r="BI86" s="188" t="s">
        <v>244</v>
      </c>
      <c r="BJ86" s="187" t="str">
        <f>IFERROR(VLOOKUP($F$22+$F$21-1+$F$16,$U$100:$BJ$250,41),"-")</f>
        <v>-</v>
      </c>
      <c r="BL86" s="44" t="s">
        <v>243</v>
      </c>
      <c r="BM86" s="188" t="s">
        <v>244</v>
      </c>
      <c r="BN86" s="187" t="str">
        <f ca="1">IF(ISNUMBER($F$22),VLOOKUP($F$22-1+$F$17,$U$100:$BN$250,45),"-")</f>
        <v/>
      </c>
      <c r="BP86" s="44" t="s">
        <v>243</v>
      </c>
      <c r="BQ86" s="188" t="s">
        <v>244</v>
      </c>
      <c r="BR86" s="187" t="str">
        <f>IFERROR(VLOOKUP($F$22+$F$21-1+$F$17,$U$100:$BR$250,49),"-")</f>
        <v>-</v>
      </c>
      <c r="CJ86" s="99"/>
      <c r="CK86" s="99"/>
      <c r="CL86" s="99"/>
      <c r="CM86" s="99"/>
    </row>
    <row r="87" spans="2:93" x14ac:dyDescent="0.2">
      <c r="AV87" s="27" t="s">
        <v>152</v>
      </c>
      <c r="AW87" s="27"/>
      <c r="AX87" s="189" t="str">
        <f>IF(ISNUMBER($F$22),VLOOKUP($F$22-1,$U$100:$AX$250,30),"-")</f>
        <v/>
      </c>
      <c r="AZ87" s="27" t="s">
        <v>152</v>
      </c>
      <c r="BA87" s="27"/>
      <c r="BB87" s="189" t="str">
        <f>IFERROR(VLOOKUP($F$22+$F$21-1,$U$100:$BB$250,34),"-")</f>
        <v>-</v>
      </c>
      <c r="BD87" s="27" t="s">
        <v>152</v>
      </c>
      <c r="BE87" s="27"/>
      <c r="BF87" s="189" t="str">
        <f ca="1">IF(ISNUMBER($F$22),VLOOKUP($F$22-1+$F$16,$U$100:$BF$250,38),"-")</f>
        <v/>
      </c>
      <c r="BH87" s="27" t="s">
        <v>152</v>
      </c>
      <c r="BI87" s="27"/>
      <c r="BJ87" s="189" t="str">
        <f>IFERROR(VLOOKUP($F$22+$F$21-1+$F$16,$U$100:$BJ$250,42),"-")</f>
        <v>-</v>
      </c>
      <c r="BL87" s="27" t="s">
        <v>152</v>
      </c>
      <c r="BM87" s="27"/>
      <c r="BN87" s="189" t="str">
        <f ca="1">IF(ISNUMBER($F$22),VLOOKUP($F$22-1+$F$17,$U$100:$BN$250,46),"-")</f>
        <v/>
      </c>
      <c r="BP87" s="27" t="s">
        <v>152</v>
      </c>
      <c r="BQ87" s="27"/>
      <c r="BR87" s="189" t="str">
        <f>IFERROR(VLOOKUP($F$22+$F$21-1+$F$17,$U$100:$BR$250,50),"-")</f>
        <v>-</v>
      </c>
      <c r="CJ87" s="99"/>
      <c r="CK87" s="99"/>
      <c r="CL87" s="99"/>
      <c r="CM87" s="99"/>
    </row>
    <row r="88" spans="2:93" x14ac:dyDescent="0.2">
      <c r="AV88" s="27" t="s">
        <v>245</v>
      </c>
      <c r="AW88" s="27"/>
      <c r="AX88" s="23" t="str">
        <f>IF(ISNUMBER(AX87),IF(ISBLANK(ffp),"-",IF(k=0,"分解を考慮せず",AX87*EXP(-0.17*k))),"-")</f>
        <v>-</v>
      </c>
      <c r="AZ88" s="27" t="s">
        <v>245</v>
      </c>
      <c r="BA88" s="27"/>
      <c r="BB88" s="23" t="str">
        <f>IFERROR(IF(ISBLANK(ffp),"-",IF(k=0,"分解を考慮せず",BB87*EXP(-0.17*k))),"-")</f>
        <v>分解を考慮せず</v>
      </c>
      <c r="BD88" s="27" t="s">
        <v>245</v>
      </c>
      <c r="BE88" s="27"/>
      <c r="BF88" s="23" t="str">
        <f ca="1">IF(ISNUMBER(BF87),IF(ISBLANK(ffp),"-",IF(k=0,"分解を考慮せず",BF87*EXP(-0.17*k))),"-")</f>
        <v>-</v>
      </c>
      <c r="BH88" s="27" t="s">
        <v>245</v>
      </c>
      <c r="BI88" s="27"/>
      <c r="BJ88" s="23" t="str">
        <f>IF(ISNUMBER(BJ87),IF(ISBLANK(ffp),"-",IF(k=0,"分解を考慮せず",BJ87*EXP(-0.17*k))),"-")</f>
        <v>-</v>
      </c>
      <c r="BL88" s="27" t="s">
        <v>245</v>
      </c>
      <c r="BM88" s="27"/>
      <c r="BN88" s="23" t="str">
        <f ca="1">IF(ISNUMBER(BN87),IF(ISBLANK(ffp),"-",IF(k=0,"分解を考慮せず",BN87*EXP(-0.17*k))),"-")</f>
        <v>-</v>
      </c>
      <c r="BP88" s="27" t="s">
        <v>245</v>
      </c>
      <c r="BQ88" s="27"/>
      <c r="BR88" s="23" t="str">
        <f>IF(ISNUMBER(BR87),IF(ISBLANK(ffp),"-",IF(k=0,"分解を考慮せず",BR87*EXP(-0.17*k))),"-")</f>
        <v>-</v>
      </c>
      <c r="CJ88" s="99"/>
      <c r="CK88" s="99"/>
      <c r="CL88" s="99"/>
      <c r="CM88" s="99"/>
    </row>
    <row r="89" spans="2:93" x14ac:dyDescent="0.2">
      <c r="AV89" s="79"/>
      <c r="AW89" s="99"/>
      <c r="AX89" s="143"/>
      <c r="AZ89" s="79"/>
      <c r="BB89" s="143"/>
      <c r="BD89" s="79"/>
      <c r="BE89" s="99"/>
      <c r="BH89" s="79"/>
      <c r="BJ89" s="143"/>
      <c r="BL89" s="79"/>
      <c r="BM89" s="99"/>
      <c r="BP89" s="79"/>
      <c r="BR89" s="143"/>
      <c r="BT89" s="99"/>
      <c r="BU89" s="99"/>
      <c r="BV89" s="80"/>
      <c r="BW89" s="80"/>
      <c r="BX89" s="80"/>
      <c r="CD89" s="99"/>
      <c r="CE89" s="99"/>
      <c r="CF89" s="99"/>
      <c r="CJ89" s="99"/>
    </row>
    <row r="90" spans="2:93" x14ac:dyDescent="0.2">
      <c r="AV90" s="99"/>
      <c r="AW90" s="99"/>
      <c r="AX90" s="143"/>
      <c r="BB90" s="143"/>
      <c r="BD90" s="99"/>
      <c r="BE90" s="99"/>
      <c r="BJ90" s="143"/>
      <c r="BL90" s="99"/>
      <c r="BM90" s="99"/>
      <c r="BR90" s="143"/>
      <c r="BT90" s="99"/>
      <c r="BU90" s="99"/>
      <c r="BV90" s="80"/>
      <c r="BW90" s="80"/>
      <c r="BX90" s="80"/>
      <c r="CD90" s="99"/>
      <c r="CE90" s="99"/>
      <c r="CF90" s="99"/>
      <c r="CJ90" s="99"/>
    </row>
    <row r="91" spans="2:93" x14ac:dyDescent="0.2">
      <c r="AV91" s="21"/>
      <c r="AX91" s="190"/>
      <c r="AY91"/>
      <c r="AZ91" s="21"/>
      <c r="BB91" s="190"/>
      <c r="BD91" s="21"/>
      <c r="BF91" s="190"/>
      <c r="BG91"/>
      <c r="BH91" s="21"/>
      <c r="BJ91" s="190"/>
      <c r="BL91" s="21"/>
      <c r="BN91" s="190"/>
      <c r="BO91"/>
      <c r="BP91" s="21"/>
      <c r="BR91" s="190"/>
      <c r="BT91" s="99"/>
      <c r="BU91" s="99"/>
      <c r="BV91" s="80"/>
      <c r="BW91" s="80"/>
      <c r="BX91" s="80"/>
      <c r="CD91" s="99"/>
      <c r="CE91" s="99"/>
      <c r="CF91" s="99"/>
      <c r="CJ91" s="99"/>
    </row>
    <row r="92" spans="2:93" x14ac:dyDescent="0.2">
      <c r="AV92" s="21"/>
      <c r="AX92" s="191"/>
      <c r="AY92"/>
      <c r="AZ92" s="21"/>
      <c r="BB92" s="191"/>
      <c r="BD92" s="21"/>
      <c r="BF92" s="191"/>
      <c r="BG92"/>
      <c r="BH92" s="21"/>
      <c r="BJ92" s="191"/>
      <c r="BL92" s="21"/>
      <c r="BN92" s="191"/>
      <c r="BO92"/>
      <c r="BP92" s="21"/>
      <c r="BR92" s="191"/>
      <c r="BT92" s="99"/>
      <c r="BU92" s="99"/>
      <c r="BV92" s="80"/>
      <c r="BW92" s="80"/>
      <c r="BX92" s="80"/>
      <c r="CD92" s="99"/>
      <c r="CE92" s="99"/>
      <c r="CF92" s="99"/>
      <c r="CJ92" s="99"/>
    </row>
    <row r="93" spans="2:93" ht="13.5" thickBot="1" x14ac:dyDescent="0.25">
      <c r="B93" s="605"/>
      <c r="C93" s="605"/>
      <c r="D93" s="192"/>
      <c r="E93" s="99"/>
      <c r="F93" s="99"/>
      <c r="G93" s="99"/>
      <c r="H93" s="99"/>
      <c r="I93" s="99"/>
      <c r="J93" s="99"/>
      <c r="K93" s="99"/>
      <c r="L93" s="99"/>
      <c r="M93" s="99"/>
      <c r="N93" s="99"/>
      <c r="O93" s="99"/>
      <c r="P93" s="99"/>
      <c r="Q93" s="99"/>
      <c r="R93" s="99"/>
      <c r="S93" s="99"/>
      <c r="T93" s="99"/>
      <c r="AV93" s="21"/>
      <c r="AX93" s="190"/>
      <c r="AY93"/>
      <c r="AZ93" s="193"/>
      <c r="BB93" s="190"/>
      <c r="BC93" s="190"/>
      <c r="BD93" s="21"/>
      <c r="BF93" s="190"/>
      <c r="BG93"/>
      <c r="BH93" s="193"/>
      <c r="BJ93" s="190"/>
      <c r="BK93" s="190"/>
      <c r="BL93" s="21"/>
      <c r="BN93" s="190"/>
      <c r="BO93"/>
      <c r="BP93" s="193"/>
      <c r="BR93" s="190"/>
      <c r="BS93" s="190"/>
      <c r="BT93"/>
      <c r="BU93"/>
      <c r="BV93" s="80"/>
      <c r="BW93" s="80" t="s">
        <v>246</v>
      </c>
      <c r="BX93" s="80"/>
      <c r="CD93" s="99"/>
      <c r="CE93" s="99"/>
      <c r="CF93" s="99"/>
      <c r="CJ93" s="99"/>
    </row>
    <row r="94" spans="2:93" ht="27" customHeight="1" thickTop="1" x14ac:dyDescent="0.2">
      <c r="B94" s="599"/>
      <c r="C94" s="600"/>
      <c r="D94" s="601"/>
      <c r="E94" s="599" t="s">
        <v>247</v>
      </c>
      <c r="F94" s="600"/>
      <c r="G94" s="600"/>
      <c r="H94" s="599" t="s">
        <v>248</v>
      </c>
      <c r="I94" s="600"/>
      <c r="J94" s="600"/>
      <c r="K94" s="599" t="s">
        <v>249</v>
      </c>
      <c r="L94" s="600"/>
      <c r="M94" s="600"/>
      <c r="N94" s="599" t="s">
        <v>250</v>
      </c>
      <c r="O94" s="600"/>
      <c r="P94" s="600"/>
      <c r="Q94" s="599" t="s">
        <v>251</v>
      </c>
      <c r="R94" s="600"/>
      <c r="S94" s="600"/>
      <c r="T94" s="602" t="s">
        <v>252</v>
      </c>
      <c r="U94" s="194"/>
      <c r="V94" s="194"/>
      <c r="W94" s="194"/>
      <c r="X94" s="194"/>
      <c r="Y94" s="194"/>
      <c r="Z94" s="194"/>
      <c r="AA94" s="194"/>
      <c r="AB94" s="194"/>
      <c r="AC94" s="194"/>
      <c r="AD94" s="194"/>
      <c r="AE94" s="194"/>
      <c r="AF94" s="194"/>
      <c r="AG94" s="194"/>
      <c r="AH94" s="194"/>
      <c r="AI94" s="194"/>
      <c r="AJ94" s="194"/>
      <c r="AK94" s="194"/>
      <c r="AL94" s="194"/>
      <c r="AM94" s="194"/>
      <c r="AN94" s="194"/>
      <c r="AO94" s="194"/>
      <c r="AP94" s="194"/>
      <c r="AQ94" s="194"/>
      <c r="AR94" s="194"/>
      <c r="AS94" s="194"/>
      <c r="AT94" s="194"/>
      <c r="AU94" s="194"/>
      <c r="AV94" s="145"/>
      <c r="AX94" s="195"/>
      <c r="AY94"/>
      <c r="AZ94" s="196"/>
      <c r="BB94" s="195"/>
      <c r="BC94" s="190"/>
      <c r="BD94" s="145"/>
      <c r="BF94" s="195"/>
      <c r="BG94"/>
      <c r="BH94" s="196"/>
      <c r="BJ94" s="195"/>
      <c r="BK94" s="190"/>
      <c r="BL94" s="145"/>
      <c r="BN94" s="195"/>
      <c r="BO94"/>
      <c r="BP94" s="196"/>
      <c r="BR94" s="195"/>
      <c r="BS94" s="190"/>
      <c r="BT94"/>
      <c r="BU94" s="581" t="s">
        <v>253</v>
      </c>
      <c r="BV94" s="582"/>
      <c r="BW94" s="582"/>
      <c r="BX94" s="582"/>
      <c r="BY94" s="583"/>
      <c r="BZ94"/>
      <c r="CA94" s="199">
        <v>21</v>
      </c>
      <c r="CB94" s="200"/>
      <c r="CC94" s="201"/>
      <c r="CD94" s="197"/>
      <c r="CE94" s="199">
        <f>F22</f>
        <v>21</v>
      </c>
      <c r="CF94" s="200"/>
      <c r="CG94" s="201"/>
      <c r="CH94" s="197"/>
      <c r="CI94" s="202"/>
      <c r="CJ94" s="99"/>
      <c r="CK94" s="99"/>
      <c r="CL94" s="99"/>
      <c r="CM94" s="99"/>
      <c r="CN94" s="99"/>
      <c r="CO94" s="99"/>
    </row>
    <row r="95" spans="2:93" ht="13.5" customHeight="1" x14ac:dyDescent="0.2">
      <c r="B95" s="584" t="s">
        <v>254</v>
      </c>
      <c r="C95" s="587" t="s">
        <v>255</v>
      </c>
      <c r="D95" s="590" t="s">
        <v>256</v>
      </c>
      <c r="E95" s="593" t="s">
        <v>257</v>
      </c>
      <c r="F95" s="596" t="s">
        <v>258</v>
      </c>
      <c r="G95" s="596" t="s">
        <v>259</v>
      </c>
      <c r="H95" s="593" t="s">
        <v>257</v>
      </c>
      <c r="I95" s="596" t="s">
        <v>258</v>
      </c>
      <c r="J95" s="596" t="s">
        <v>259</v>
      </c>
      <c r="K95" s="593" t="s">
        <v>257</v>
      </c>
      <c r="L95" s="596" t="s">
        <v>258</v>
      </c>
      <c r="M95" s="596" t="s">
        <v>259</v>
      </c>
      <c r="N95" s="593" t="s">
        <v>257</v>
      </c>
      <c r="O95" s="596" t="s">
        <v>258</v>
      </c>
      <c r="P95" s="596" t="s">
        <v>259</v>
      </c>
      <c r="Q95" s="593" t="s">
        <v>257</v>
      </c>
      <c r="R95" s="596" t="s">
        <v>258</v>
      </c>
      <c r="S95" s="596" t="s">
        <v>259</v>
      </c>
      <c r="T95" s="603"/>
      <c r="U95" s="194"/>
      <c r="V95" s="194"/>
      <c r="W95" s="194"/>
      <c r="X95" s="194"/>
      <c r="Y95" s="194"/>
      <c r="Z95" s="194"/>
      <c r="AA95" s="194"/>
      <c r="AB95" s="194"/>
      <c r="AC95" s="194"/>
      <c r="AD95" s="194"/>
      <c r="AE95" s="194"/>
      <c r="AF95" s="194"/>
      <c r="AG95" s="194"/>
      <c r="AH95" s="194"/>
      <c r="AI95" s="194"/>
      <c r="AJ95" s="194"/>
      <c r="AK95" s="194"/>
      <c r="AL95" s="194"/>
      <c r="AM95" s="194"/>
      <c r="AN95" s="194"/>
      <c r="AO95" s="194"/>
      <c r="AP95" s="194"/>
      <c r="AQ95" s="194"/>
      <c r="AR95" s="194"/>
      <c r="AS95" s="194"/>
      <c r="AT95" s="194"/>
      <c r="AU95" s="194"/>
      <c r="AV95" s="99"/>
      <c r="AW95" s="99"/>
      <c r="AX95" s="143"/>
      <c r="AZ95" s="143"/>
      <c r="BB95" s="143"/>
      <c r="BC95" s="190"/>
      <c r="BD95" s="99"/>
      <c r="BE95" s="99"/>
      <c r="BH95" s="143"/>
      <c r="BJ95" s="143"/>
      <c r="BK95" s="190"/>
      <c r="BL95" s="99"/>
      <c r="BM95" s="99"/>
      <c r="BP95" s="143"/>
      <c r="BR95" s="143"/>
      <c r="BS95" s="190"/>
      <c r="BT95"/>
      <c r="BU95" s="204" t="s">
        <v>260</v>
      </c>
      <c r="BV95" s="203" t="s">
        <v>261</v>
      </c>
      <c r="BW95" s="31" t="s">
        <v>262</v>
      </c>
      <c r="BX95" s="31" t="s">
        <v>263</v>
      </c>
      <c r="BY95" s="205" t="s">
        <v>264</v>
      </c>
      <c r="BZ95"/>
      <c r="CA95" s="206" t="s">
        <v>265</v>
      </c>
      <c r="CB95" s="71" t="s">
        <v>266</v>
      </c>
      <c r="CC95" s="71"/>
      <c r="CD95" s="207"/>
      <c r="CE95" s="206" t="s">
        <v>265</v>
      </c>
      <c r="CF95" s="71" t="s">
        <v>266</v>
      </c>
      <c r="CG95" s="71"/>
      <c r="CH95" s="207"/>
      <c r="CI95" s="202"/>
      <c r="CJ95" s="99"/>
      <c r="CK95" s="99"/>
      <c r="CL95" s="99"/>
      <c r="CM95" s="99"/>
      <c r="CN95" s="99"/>
      <c r="CO95" s="99"/>
    </row>
    <row r="96" spans="2:93" ht="13.5" customHeight="1" x14ac:dyDescent="0.2">
      <c r="B96" s="585"/>
      <c r="C96" s="588"/>
      <c r="D96" s="591"/>
      <c r="E96" s="594"/>
      <c r="F96" s="597"/>
      <c r="G96" s="597"/>
      <c r="H96" s="594"/>
      <c r="I96" s="597"/>
      <c r="J96" s="597"/>
      <c r="K96" s="594"/>
      <c r="L96" s="597"/>
      <c r="M96" s="597"/>
      <c r="N96" s="594"/>
      <c r="O96" s="597"/>
      <c r="P96" s="597"/>
      <c r="Q96" s="594"/>
      <c r="R96" s="597"/>
      <c r="S96" s="597"/>
      <c r="T96" s="603"/>
      <c r="U96" s="194"/>
      <c r="V96" s="194"/>
      <c r="W96" s="194"/>
      <c r="X96" s="194"/>
      <c r="Y96" s="194"/>
      <c r="Z96" s="194"/>
      <c r="AA96" s="194"/>
      <c r="AB96" s="194"/>
      <c r="AC96" s="194"/>
      <c r="AD96" s="194"/>
      <c r="AE96" s="194"/>
      <c r="AF96" s="194"/>
      <c r="AG96" s="194"/>
      <c r="AH96" s="194"/>
      <c r="AI96" s="194"/>
      <c r="AJ96" s="194"/>
      <c r="AK96" s="194"/>
      <c r="AL96" s="194"/>
      <c r="AM96" s="194"/>
      <c r="AN96" s="194"/>
      <c r="AO96" s="194"/>
      <c r="AP96" s="194"/>
      <c r="AQ96" s="194"/>
      <c r="AR96" s="194"/>
      <c r="AS96" s="194"/>
      <c r="AT96" s="194"/>
      <c r="AU96" s="194"/>
      <c r="AV96" s="99"/>
      <c r="AW96" s="99"/>
      <c r="AX96" s="143"/>
      <c r="AZ96" s="143"/>
      <c r="BB96" s="143"/>
      <c r="BC96" s="191"/>
      <c r="BD96" s="99"/>
      <c r="BE96" s="99"/>
      <c r="BH96" s="143"/>
      <c r="BJ96" s="143"/>
      <c r="BK96" s="191"/>
      <c r="BL96" s="99"/>
      <c r="BM96" s="99"/>
      <c r="BP96" s="143"/>
      <c r="BR96" s="143"/>
      <c r="BS96" s="191"/>
      <c r="BT96"/>
      <c r="BU96" s="210"/>
      <c r="BV96" s="208"/>
      <c r="BW96" s="24"/>
      <c r="BX96" s="24"/>
      <c r="BY96" s="209"/>
      <c r="BZ96"/>
      <c r="CA96" s="206" t="str">
        <f>IF(CB96&gt;0,VLOOKUP(CB96,CB100:CC250,2,FALSE),"-")</f>
        <v>-</v>
      </c>
      <c r="CB96" s="71">
        <f>MAX(CB100:CB250)</f>
        <v>0</v>
      </c>
      <c r="CC96" s="71"/>
      <c r="CD96" s="207"/>
      <c r="CE96" s="206" t="str">
        <f ca="1">IF(CF96&gt;0,VLOOKUP(CF96,CF100:CG250,2,FALSE),"-")</f>
        <v>-</v>
      </c>
      <c r="CF96" s="71">
        <f ca="1">MAX(CF100:CF250)</f>
        <v>0</v>
      </c>
      <c r="CG96" s="71"/>
      <c r="CH96" s="207"/>
      <c r="CI96" s="202"/>
      <c r="CJ96" s="99"/>
      <c r="CK96" s="99"/>
      <c r="CL96" s="99"/>
      <c r="CM96" s="99"/>
      <c r="CN96" s="99"/>
      <c r="CO96" s="99"/>
    </row>
    <row r="97" spans="2:93" ht="13.5" customHeight="1" x14ac:dyDescent="0.2">
      <c r="B97" s="585"/>
      <c r="C97" s="588"/>
      <c r="D97" s="591"/>
      <c r="E97" s="594"/>
      <c r="F97" s="597"/>
      <c r="G97" s="597"/>
      <c r="H97" s="594"/>
      <c r="I97" s="597"/>
      <c r="J97" s="597"/>
      <c r="K97" s="594"/>
      <c r="L97" s="597"/>
      <c r="M97" s="597"/>
      <c r="N97" s="594"/>
      <c r="O97" s="597"/>
      <c r="P97" s="597"/>
      <c r="Q97" s="594"/>
      <c r="R97" s="597"/>
      <c r="S97" s="597"/>
      <c r="T97" s="603"/>
      <c r="U97" s="194"/>
      <c r="V97" s="194"/>
      <c r="W97" s="194"/>
      <c r="X97" s="194"/>
      <c r="Y97" s="194"/>
      <c r="Z97" s="194"/>
      <c r="AA97" s="194" t="s">
        <v>267</v>
      </c>
      <c r="AB97" s="194" t="s">
        <v>268</v>
      </c>
      <c r="AC97" s="194"/>
      <c r="AD97" s="194"/>
      <c r="AE97" s="194"/>
      <c r="AF97" s="194"/>
      <c r="AG97" s="194"/>
      <c r="AH97" s="194"/>
      <c r="AI97" s="194" t="s">
        <v>267</v>
      </c>
      <c r="AJ97" s="194" t="s">
        <v>268</v>
      </c>
      <c r="AK97" s="194"/>
      <c r="AL97" s="194"/>
      <c r="AM97" s="194"/>
      <c r="AN97" s="194"/>
      <c r="AO97" s="194"/>
      <c r="AP97" s="194"/>
      <c r="AQ97" s="194" t="s">
        <v>267</v>
      </c>
      <c r="AR97" s="194" t="s">
        <v>268</v>
      </c>
      <c r="AS97" s="194"/>
      <c r="AT97" s="194"/>
      <c r="AU97" s="194"/>
      <c r="AV97" s="605" t="s">
        <v>269</v>
      </c>
      <c r="AW97" s="605" t="s">
        <v>270</v>
      </c>
      <c r="AX97" s="605" t="s">
        <v>271</v>
      </c>
      <c r="AY97"/>
      <c r="AZ97" s="605" t="s">
        <v>272</v>
      </c>
      <c r="BA97" s="605" t="s">
        <v>273</v>
      </c>
      <c r="BB97" s="605" t="s">
        <v>274</v>
      </c>
      <c r="BC97" s="190"/>
      <c r="BD97" s="605" t="s">
        <v>269</v>
      </c>
      <c r="BE97" s="605" t="s">
        <v>270</v>
      </c>
      <c r="BF97" s="605" t="s">
        <v>271</v>
      </c>
      <c r="BG97"/>
      <c r="BH97" s="605" t="s">
        <v>272</v>
      </c>
      <c r="BI97" s="605" t="s">
        <v>273</v>
      </c>
      <c r="BJ97" s="605" t="s">
        <v>274</v>
      </c>
      <c r="BK97" s="190"/>
      <c r="BL97" s="605" t="s">
        <v>269</v>
      </c>
      <c r="BM97" s="605" t="s">
        <v>270</v>
      </c>
      <c r="BN97" s="605" t="s">
        <v>271</v>
      </c>
      <c r="BO97"/>
      <c r="BP97" s="605" t="s">
        <v>272</v>
      </c>
      <c r="BQ97" s="605" t="s">
        <v>273</v>
      </c>
      <c r="BR97" s="605" t="s">
        <v>274</v>
      </c>
      <c r="BS97" s="190"/>
      <c r="BT97"/>
      <c r="BU97" s="210"/>
      <c r="BV97" s="208"/>
      <c r="BW97" s="24"/>
      <c r="BX97" s="24"/>
      <c r="BY97" s="209"/>
      <c r="BZ97"/>
      <c r="CA97" s="211" t="str">
        <f>CA96</f>
        <v>-</v>
      </c>
      <c r="CB97" s="212">
        <f>IF(ISNUMBER(CB96),ROUND(CB96,IF($I$66="",4,$I$66)),"-")</f>
        <v>0</v>
      </c>
      <c r="CC97" s="212"/>
      <c r="CD97" s="213"/>
      <c r="CE97" s="211" t="str">
        <f ca="1">CE96</f>
        <v>-</v>
      </c>
      <c r="CF97" s="212">
        <f ca="1">IF(ISNUMBER(CF96),ROUND(CF96,IF($I$66="",4,$I$66)),"-")</f>
        <v>0</v>
      </c>
      <c r="CG97" s="212"/>
      <c r="CH97" s="213"/>
      <c r="CI97" s="202"/>
      <c r="CJ97" s="99"/>
      <c r="CK97" s="99"/>
      <c r="CL97" s="99"/>
      <c r="CM97" s="99"/>
      <c r="CN97" s="99"/>
      <c r="CO97" s="99"/>
    </row>
    <row r="98" spans="2:93" ht="13.5" customHeight="1" x14ac:dyDescent="0.2">
      <c r="B98" s="585"/>
      <c r="C98" s="588"/>
      <c r="D98" s="591"/>
      <c r="E98" s="594"/>
      <c r="F98" s="597"/>
      <c r="G98" s="597"/>
      <c r="H98" s="594"/>
      <c r="I98" s="597"/>
      <c r="J98" s="597"/>
      <c r="K98" s="594"/>
      <c r="L98" s="597"/>
      <c r="M98" s="597"/>
      <c r="N98" s="594"/>
      <c r="O98" s="597"/>
      <c r="P98" s="597"/>
      <c r="Q98" s="594"/>
      <c r="R98" s="597"/>
      <c r="S98" s="597"/>
      <c r="T98" s="603"/>
      <c r="U98" s="214" t="s">
        <v>275</v>
      </c>
      <c r="V98" s="214" t="s">
        <v>276</v>
      </c>
      <c r="W98" s="214" t="s">
        <v>277</v>
      </c>
      <c r="X98" s="214" t="s">
        <v>278</v>
      </c>
      <c r="Y98" s="214" t="s">
        <v>279</v>
      </c>
      <c r="Z98" s="214" t="s">
        <v>280</v>
      </c>
      <c r="AA98" s="214" t="s">
        <v>281</v>
      </c>
      <c r="AB98" s="214" t="s">
        <v>281</v>
      </c>
      <c r="AC98" s="215" t="s">
        <v>275</v>
      </c>
      <c r="AD98" s="215" t="s">
        <v>276</v>
      </c>
      <c r="AE98" s="215" t="s">
        <v>277</v>
      </c>
      <c r="AF98" s="215" t="s">
        <v>278</v>
      </c>
      <c r="AG98" s="215" t="s">
        <v>279</v>
      </c>
      <c r="AH98" s="215" t="s">
        <v>280</v>
      </c>
      <c r="AI98" s="215" t="s">
        <v>281</v>
      </c>
      <c r="AJ98" s="215" t="s">
        <v>281</v>
      </c>
      <c r="AK98" s="216" t="s">
        <v>275</v>
      </c>
      <c r="AL98" s="216" t="s">
        <v>276</v>
      </c>
      <c r="AM98" s="216" t="s">
        <v>277</v>
      </c>
      <c r="AN98" s="216" t="s">
        <v>278</v>
      </c>
      <c r="AO98" s="216" t="s">
        <v>279</v>
      </c>
      <c r="AP98" s="216" t="s">
        <v>280</v>
      </c>
      <c r="AQ98" s="216" t="s">
        <v>281</v>
      </c>
      <c r="AR98" s="216" t="s">
        <v>281</v>
      </c>
      <c r="AS98" s="194" t="s">
        <v>282</v>
      </c>
      <c r="AT98" s="194" t="s">
        <v>283</v>
      </c>
      <c r="AU98" s="194" t="s">
        <v>284</v>
      </c>
      <c r="AV98" s="605"/>
      <c r="AW98" s="605"/>
      <c r="AX98" s="605"/>
      <c r="AY98"/>
      <c r="AZ98" s="605"/>
      <c r="BA98" s="605"/>
      <c r="BB98" s="605"/>
      <c r="BC98" s="190"/>
      <c r="BD98" s="605"/>
      <c r="BE98" s="605"/>
      <c r="BF98" s="605"/>
      <c r="BG98"/>
      <c r="BH98" s="605"/>
      <c r="BI98" s="605"/>
      <c r="BJ98" s="605"/>
      <c r="BK98" s="190"/>
      <c r="BL98" s="605"/>
      <c r="BM98" s="605"/>
      <c r="BN98" s="605"/>
      <c r="BO98"/>
      <c r="BP98" s="605"/>
      <c r="BQ98" s="605"/>
      <c r="BR98" s="605"/>
      <c r="BS98" s="190"/>
      <c r="BT98"/>
      <c r="BU98" s="210"/>
      <c r="BV98" s="208"/>
      <c r="BW98" s="24"/>
      <c r="BX98" s="24"/>
      <c r="BY98" s="209"/>
      <c r="BZ98"/>
      <c r="CA98" s="206"/>
      <c r="CB98" s="71"/>
      <c r="CC98" s="71"/>
      <c r="CD98" s="207"/>
      <c r="CE98" s="206"/>
      <c r="CF98" s="71"/>
      <c r="CG98" s="71"/>
      <c r="CH98" s="207"/>
      <c r="CI98" s="202"/>
      <c r="CJ98" s="99"/>
      <c r="CK98" s="99"/>
      <c r="CL98" s="99"/>
      <c r="CM98" s="99"/>
      <c r="CN98" s="99"/>
      <c r="CO98" s="99"/>
    </row>
    <row r="99" spans="2:93" ht="13.5" customHeight="1" thickBot="1" x14ac:dyDescent="0.25">
      <c r="B99" s="586"/>
      <c r="C99" s="589"/>
      <c r="D99" s="592"/>
      <c r="E99" s="595"/>
      <c r="F99" s="598"/>
      <c r="G99" s="598"/>
      <c r="H99" s="595"/>
      <c r="I99" s="598"/>
      <c r="J99" s="598"/>
      <c r="K99" s="595"/>
      <c r="L99" s="598"/>
      <c r="M99" s="598"/>
      <c r="N99" s="595"/>
      <c r="O99" s="598"/>
      <c r="P99" s="598"/>
      <c r="Q99" s="595"/>
      <c r="R99" s="598"/>
      <c r="S99" s="598"/>
      <c r="T99" s="604"/>
      <c r="U99" s="219"/>
      <c r="V99" s="220" t="str">
        <f>IF(ISNUMBER($F$14),IF(B99&lt;($F$16-$F$15)*$F$14,INT(B99/($F$16-$F$15))+1,V97),"-")</f>
        <v>-</v>
      </c>
      <c r="W99" s="221">
        <v>0</v>
      </c>
      <c r="X99" s="221">
        <v>0</v>
      </c>
      <c r="Y99" s="221">
        <f>W99-X99</f>
        <v>0</v>
      </c>
      <c r="Z99" s="219"/>
      <c r="AA99" s="219"/>
      <c r="AB99" s="219"/>
      <c r="AC99" s="222"/>
      <c r="AD99" s="223" t="str">
        <f>IFERROR(IF($F$14-1&gt;0,IF(B99&lt;($F$16-$F$15)*($F$14-1),INT(B99/($F$16-$F$15))+1,AD97),"-"),"-")</f>
        <v>-</v>
      </c>
      <c r="AE99" s="224">
        <v>0</v>
      </c>
      <c r="AF99" s="224">
        <v>0</v>
      </c>
      <c r="AG99" s="224">
        <f>AE99-AF99</f>
        <v>0</v>
      </c>
      <c r="AH99" s="222"/>
      <c r="AI99" s="222"/>
      <c r="AJ99" s="222"/>
      <c r="AK99" s="225"/>
      <c r="AL99" s="226" t="str">
        <f>IFERROR(IF($F$14-2&gt;0,IF(B99&lt;($F$16-$F$15)*($F$14-2),INT(B99/($F$16-$F$15))+1,AL97),"-"),"-")</f>
        <v>-</v>
      </c>
      <c r="AM99" s="227">
        <v>0</v>
      </c>
      <c r="AN99" s="227">
        <v>0</v>
      </c>
      <c r="AO99" s="227">
        <f>AM99-AN99</f>
        <v>0</v>
      </c>
      <c r="AP99" s="225"/>
      <c r="AQ99" s="225"/>
      <c r="AR99" s="225"/>
      <c r="AV99" s="228"/>
      <c r="AX99" s="190"/>
      <c r="AY99"/>
      <c r="AZ99" s="190"/>
      <c r="BA99" s="190"/>
      <c r="BB99" s="190"/>
      <c r="BC99" s="190"/>
      <c r="BD99" s="228"/>
      <c r="BE99"/>
      <c r="BF99" s="190"/>
      <c r="BG99"/>
      <c r="BH99" s="190"/>
      <c r="BI99" s="190"/>
      <c r="BJ99" s="190"/>
      <c r="BK99" s="190"/>
      <c r="BL99" s="228"/>
      <c r="BM99"/>
      <c r="BN99" s="190"/>
      <c r="BO99"/>
      <c r="BP99" s="190"/>
      <c r="BQ99" s="190"/>
      <c r="BR99" s="190"/>
      <c r="BS99" s="190"/>
      <c r="BT99"/>
      <c r="BU99" s="229"/>
      <c r="BV99" s="217"/>
      <c r="BW99" s="230"/>
      <c r="BX99" s="230"/>
      <c r="BY99" s="218"/>
      <c r="BZ99"/>
      <c r="CA99" s="231" t="s">
        <v>285</v>
      </c>
      <c r="CB99" s="232" t="s">
        <v>286</v>
      </c>
      <c r="CC99" s="233" t="s">
        <v>287</v>
      </c>
      <c r="CD99" s="234" t="s">
        <v>288</v>
      </c>
      <c r="CE99" s="231" t="s">
        <v>285</v>
      </c>
      <c r="CF99" s="232" t="s">
        <v>286</v>
      </c>
      <c r="CG99" s="233" t="s">
        <v>287</v>
      </c>
      <c r="CH99" s="234" t="s">
        <v>288</v>
      </c>
      <c r="CI99" s="202"/>
      <c r="CJ99" s="99"/>
      <c r="CK99" s="99"/>
      <c r="CL99" s="99"/>
      <c r="CM99" s="99"/>
      <c r="CN99" s="99"/>
      <c r="CO99" s="99"/>
    </row>
    <row r="100" spans="2:93" ht="13.5" customHeight="1" thickTop="1" x14ac:dyDescent="0.2">
      <c r="B100" s="235">
        <v>0</v>
      </c>
      <c r="C100" s="236" t="str">
        <f t="shared" ref="C100:C163" si="1">IF(ISERROR(VLOOKUP(B100,$B$39:$C$73,2,0)),"",VLOOKUP(B100,$B$39:$C$73,2,0))</f>
        <v/>
      </c>
      <c r="D100" s="237" t="str">
        <f>IF(ISNUMBER(C100),C100,"-")</f>
        <v>-</v>
      </c>
      <c r="E100" s="238" t="str">
        <f>IF(ISNUMBER($F$14),IF(ISNUMBER(AA100),AA100,""),"")</f>
        <v/>
      </c>
      <c r="F100" s="239" t="str">
        <f>IF(OR($F$14=2,$F$14=3),IF(($F$16-$F$15)&gt;B100," ",VLOOKUP((B100-($F$16-$F$15)),$AC$100:$AI$250,7,FALSE)),"")</f>
        <v/>
      </c>
      <c r="G100" s="239" t="str">
        <f>IF($F$14=3,IF(($F$16-$F$15)*2&gt;B100," ",VLOOKUP((B100-($F$16-$F$15)*2),$AK$100:$AQ$250,7,FALSE)),"")</f>
        <v/>
      </c>
      <c r="H100" s="240" t="str">
        <f>IF(E100&lt;&gt;"",IF($B100&lt;$F$21,"",IF(ISNUMBER(F100),IF(ISNUMBER(I100),(E100*30*50*ffp),""),(E100*30*50*ffp))),"")</f>
        <v/>
      </c>
      <c r="I100" s="241" t="str">
        <f t="shared" ref="I100:I131" si="2">IFERROR(IF(F100&lt;&gt;"",IF($B100&lt;$F$21+$F$16,"",IF(ISNUMBER(G100),IF(ISNUMBER(J100),(F100*30*50*ffp),""),(F100*30*50*ffp))),""),"")</f>
        <v/>
      </c>
      <c r="J100" s="241" t="str">
        <f t="shared" ref="J100:J131" si="3">IFERROR(IF(G100&lt;&gt;"",IF($B100&lt;$F$21+$F$17,"",(G100*30*50*ffp)),""),"")</f>
        <v/>
      </c>
      <c r="K100" s="242" t="str">
        <f t="shared" ref="K100:K131" si="4">IF(E100&lt;&gt;"",((E100*20*50*ffp)/Klevee),"")</f>
        <v/>
      </c>
      <c r="L100" s="241" t="str">
        <f t="shared" ref="L100:L131" si="5">IF(ISNUMBER(F100),((F100*20*50*ffp)/Klevee),"")</f>
        <v/>
      </c>
      <c r="M100" s="241" t="str">
        <f t="shared" ref="M100:M131" si="6">IF(ISNUMBER(G100),((G100*20*50*ffp)/Klevee),"")</f>
        <v/>
      </c>
      <c r="N100" s="242" t="str">
        <f t="shared" ref="N100:N131" si="7">IF(AND(ISNUMBER(I),ISNUMBER($F$14),ISNUMBER($F$20)),IF($B100=0,I*($J$40/100)*$J$42*1,""),"-")</f>
        <v>-</v>
      </c>
      <c r="O100" s="241" t="str">
        <f t="shared" ref="O100:O131" si="8">IF(ISNUMBER($F$14),IF($F$14&gt;1,IF($B100=0+$F$16,I*($J$40/100)*$J$42*1,""),""),"-")</f>
        <v>-</v>
      </c>
      <c r="P100" s="241" t="str">
        <f t="shared" ref="P100:P131" si="9">IF(ISNUMBER($F$14),IF($F$14&gt;2,IF($B100=0+$F$17,I*($J$40/100)*$J$42*1,""),""),"-")</f>
        <v>-</v>
      </c>
      <c r="Q100" s="243" t="str">
        <f t="shared" ref="Q100:Q131" si="10">IF(AND(ISNUMBER(I),ISNUMBER($F$14),ISNUMBER($F$20)),IF($B100=0,I*(dt/100)*$J$45*1,""),"-")</f>
        <v>-</v>
      </c>
      <c r="R100" s="244" t="str">
        <f t="shared" ref="R100:R131" si="11">IF(ISNUMBER($F$14),IF($F$14&gt;1,IF($B100=0+$F$16,I*(dt/100)*$J$45*1,""),""),"-")</f>
        <v>-</v>
      </c>
      <c r="S100" s="245" t="str">
        <f t="shared" ref="S100:S131" si="12">IF(ISNUMBER($F$14),IF($F$14&gt;2,IF($B100=0+$F$17,I*(dt/100)*$J$45*1,""),""),"-")</f>
        <v>-</v>
      </c>
      <c r="T100" s="246" t="str">
        <f t="shared" ref="T100:T163" si="13">IF(SUM(H100:S100)=0,"",SUM(H100:S100))</f>
        <v/>
      </c>
      <c r="U100" s="247">
        <f t="shared" ref="U100:U163" si="14">B100</f>
        <v>0</v>
      </c>
      <c r="V100" s="248" t="str">
        <f>IF(ISNUMBER($F$14),IF(B100&lt;($F$16-$F$15)*$F$14,INT(B100/($F$16-$F$15))+1,V98),"-")</f>
        <v>-</v>
      </c>
      <c r="W100" s="247" t="str">
        <f>IF(ISNUMBER($F$14),IF(B100&lt;$F$14*($F$16-$F$15),B100-INT(B100/($F$16-$F$15))*($F$16-$F$15)+1,W99+1),"-")</f>
        <v>-</v>
      </c>
      <c r="X100" s="247" t="str">
        <f t="shared" ref="X100:X163" si="15">IFERROR(IF($F$21=0,0,IF(V100=V99,IF(B100-(V100-1)*($F$16-$F$15)&lt;$F$21,X99+1,X99),1)),"-")</f>
        <v>-</v>
      </c>
      <c r="Y100" s="247" t="str">
        <f t="shared" ref="Y100:Y163" si="16">IFERROR(W100-X100,"-")</f>
        <v>-</v>
      </c>
      <c r="Z100" s="249">
        <f>IF(Y100&gt;0,0.1,0.04)</f>
        <v>0.1</v>
      </c>
      <c r="AA100" s="250" t="str">
        <f>IFERROR(IF(V99=1,D100*EXP(-(0.04*X99+0.1*Y99)),IF(V99=2,D100*EXP(-(0.04*($F$21+X99)+0.1*(($F$16-$F$15)-$F$21+Y99))),D100*EXP(-(0.04*($F$21*2+X99)+0.1*((($F$16-$F$15)-$F$21)*2-Y99))))),"-")</f>
        <v>-</v>
      </c>
      <c r="AB100" s="250" t="str">
        <f t="shared" ref="AB100:AB114" si="17">IFERROR(IF(V100=1,D100*EXP(-(0.04*X100+0.1*Y100)),IF(V100=2,D100*EXP(-(0.04*($F$21+X100)+0.1*(($F$16-$F$15)-$F$21+Y100))),D100*EXP(-(0.04*($F$21*2+X100)+0.1*((($F$16-$F$15)-$F$21)*2-Y100))))),"-")</f>
        <v>-</v>
      </c>
      <c r="AC100" s="247">
        <f>B100</f>
        <v>0</v>
      </c>
      <c r="AD100" s="248" t="str">
        <f t="shared" ref="AD100:AD163" si="18">IFERROR(IF($F$14-1&gt;0,IF(B100&lt;($F$16-$F$15)*($F$14-1),INT(B100/($F$16-$F$15))+1,AD98),"-"),"-")</f>
        <v>-</v>
      </c>
      <c r="AE100" s="247" t="str">
        <f>IFERROR(IF($F$14-1&gt;0,IF(B100&lt;($F$14-1)*($F$16-$F$15),B100-INT(B100/($F$16-$F$15))*($F$16-$F$15)+1,AE99+1),"-"),"-")</f>
        <v>-</v>
      </c>
      <c r="AF100" s="247" t="str">
        <f t="shared" ref="AF100:AF163" si="19">IFERROR(IF($F$21=0,0,IF(AD100=AD99,IF(B100-(AD100-1)*($F$16-$F$15)&lt;$F$21,AF99+1,AF99),1)),"-")</f>
        <v>-</v>
      </c>
      <c r="AG100" s="247" t="str">
        <f t="shared" ref="AG100:AG163" si="20">IFERROR(AE100-AF100,"-")</f>
        <v>-</v>
      </c>
      <c r="AH100" s="249">
        <f>IF(AG100&gt;0,0.1,0.04)</f>
        <v>0.1</v>
      </c>
      <c r="AI100" s="250" t="str">
        <f t="shared" ref="AI100:AI114" si="21">IFERROR(IF(AD99=1,D100*EXP(-(0.04*AF99+0.1*AG99)),IF(AD99=2,D100*EXP(-(0.04*($F$21+AF99)+0.1*(($F$16-$F$15)-$F$21+AG99))),D100*EXP(-(0.04*($F$21*2+AF99)+0.1*((($F$16-$F$15)-$F$21)*2-AG99))))),"-")</f>
        <v>-</v>
      </c>
      <c r="AJ100" s="250" t="str">
        <f>IFERROR(IF(AD100=1,D100*EXP(-(0.04*AF100+0.1*AG100)),IF(AD100=2,D100*EXP(-(0.04*($F$21+AF100)+0.1*(($F$16-$F$15)-$F$21+AG100))),D100*EXP(-(0.04*($F$21*2+AF100)+0.1*((($F$16-$F$15)-$F$21)*2-AG100))))),"-")</f>
        <v>-</v>
      </c>
      <c r="AK100" s="247">
        <f>B100</f>
        <v>0</v>
      </c>
      <c r="AL100" s="248" t="str">
        <f t="shared" ref="AL100:AL163" si="22">IFERROR(IF($F$14-2&gt;0,IF(B100&lt;($F$16-$F$15)*($F$14-2),INT(B100/($F$16-$F$15))+1,AL98),"-"),"-")</f>
        <v>-</v>
      </c>
      <c r="AM100" s="247" t="str">
        <f>IFERROR(IF($F$14-2&gt;0,IF(B100&lt;($F$14-2)*($F$16-$F$15),B100-INT(B100/($F$16-$F$15))*($F$16-$F$15)+1,AM99+1),"-"),"-")</f>
        <v>-</v>
      </c>
      <c r="AN100" s="247" t="str">
        <f>IFERROR(IF($F$21=0,0,IF(AL100=AL99,IF(B100-(AL100-1)*($F$16-$F$15)&lt;$F$21,AN99+1,AN99),1)),"-")</f>
        <v>-</v>
      </c>
      <c r="AO100" s="247" t="str">
        <f t="shared" ref="AO100:AO163" si="23">IFERROR(AM100-AN100,"-")</f>
        <v>-</v>
      </c>
      <c r="AP100" s="249">
        <f>IF(AO100&gt;0,0.1,0.04)</f>
        <v>0.1</v>
      </c>
      <c r="AQ100" s="250" t="str">
        <f>IFERROR(IF(AL99=1,D100*EXP(-(0.04*AN99+0.1*AO99)),IF(AL99=2,D100*EXP(-(0.04*($F$21+AN99)+0.1*(($F$16-$F$15)-$F$21+AO99))),D100*EXP(-(0.04*($F$21*2+AN99)+0.1*((($F$16-$F$15)-$F$21)*2-AO99))))),"-")</f>
        <v>-</v>
      </c>
      <c r="AR100" s="250" t="str">
        <f>IFERROR(IF(AL100=1,D100*EXP(-(0.04*AN100+0.1*AO100)),IF(AL100=2,D100*EXP(-(0.04*($F$21+AN100)+0.1*(($F$16-$F$15)-$F$21+AO100))),D100*EXP(-(0.04*($F$21*2+AN100)+0.1*((($F$16-$F$15)-$F$21)*2-AO100))))),"-")</f>
        <v>-</v>
      </c>
      <c r="AS100" s="250">
        <f t="shared" ref="AS100:AS163" si="24">SUM(H100:J100)</f>
        <v>0</v>
      </c>
      <c r="AT100" s="250">
        <f t="shared" ref="AT100:AT163" si="25">SUM(K100:M100)</f>
        <v>0</v>
      </c>
      <c r="AU100" s="250">
        <f t="shared" ref="AU100:AU163" si="26">SUM(N100:S100)</f>
        <v>0</v>
      </c>
      <c r="AV100" s="251">
        <f>IF($B100&lt;$F$22,SUM($T$100:$T100),"")</f>
        <v>0</v>
      </c>
      <c r="AW100" s="251" t="str">
        <f>IF(ISNUMBER(Koc),IF(ISNUMBER(AV100),AV100*(Koc*(Ocse/100)*Pse*Vse)/(Koc*(Ocse/100)*Pse*Vse+1*86400*($B100+1)),""),"-")</f>
        <v>-</v>
      </c>
      <c r="AX100" s="251" t="str">
        <f>IF(ISNUMBER(AW100),IF(ISNUMBER(AV100),(AV100-AW100)/(3*86400*($B100+1))*1000,""),"")</f>
        <v/>
      </c>
      <c r="AY100" s="252"/>
      <c r="AZ100" s="251" t="str">
        <f ca="1">IF(ISNUMBER(OFFSET(AV100,-$F$21,0)),SUM(OFFSET($T$100,$F$21,0):$T100),"")</f>
        <v/>
      </c>
      <c r="BA100" s="251" t="str">
        <f t="shared" ref="BA100:BA131" ca="1" si="27">IF(ISNUMBER(OFFSET(AV100,-$F$21,0)),AZ100*(Koc*(Ocse/100)*Pse*Vse)/(Koc*(Ocse/100)*Pse*Vse+1*86400*($B100+1)),"")</f>
        <v/>
      </c>
      <c r="BB100" s="251" t="str">
        <f ca="1">IF(ISNUMBER(AZ100),(AZ100-BA100)/(3*86400*(OFFSET($B100,-$F$21,0)+1))*1000,"")</f>
        <v/>
      </c>
      <c r="BC100" s="253"/>
      <c r="BD100" s="251" t="str">
        <f ca="1">IFERROR(IF(OR(ISNUMBER(I),ISNUMBER($F$14)),IF(AND($B100&gt;=($F$16-$F$15),$B100&lt;$F$22+($F$16-$F$15)),SUM(OFFSET($T$100,($F$16-$F$15),0):$T100),""),""),"")</f>
        <v/>
      </c>
      <c r="BE100" s="251" t="str">
        <f ca="1">IF(ISNUMBER(BD100),BD100*(Koc*(Ocse/100)*Pse*Vse)/(Koc*(Ocse/100)*Pse*Vse+1*86400*($B100+1)),"")</f>
        <v/>
      </c>
      <c r="BF100" s="251" t="str">
        <f ca="1">IF(ISNUMBER(BD100),(BD100-BE100)/(3*86400*($B100-($F$16-$F$15)+1))*1000,"")</f>
        <v/>
      </c>
      <c r="BG100" s="252"/>
      <c r="BH100" s="253" t="str">
        <f ca="1">IF(ISNUMBER(OFFSET(BD100,-$F$21,0)),SUM(OFFSET($T$100,($F$16-$F$15+$F$21),0):$T100),"")</f>
        <v/>
      </c>
      <c r="BI100" s="253" t="str">
        <f t="shared" ref="BI100:BI131" ca="1" si="28">IF(ISNUMBER(OFFSET(BD100,-$F$21,0)),BH100*(Koc*(Ocse/100)*Pse*Vse)/(Koc*(Ocse/100)*Pse*Vse+1*86400*($B100+1)),"")</f>
        <v/>
      </c>
      <c r="BJ100" s="253" t="str">
        <f ca="1">IF(ISNUMBER(BH100),(BH100-BI100)/(3*86400*((OFFSET($B100,-$F$21,0)-($F$16-$F$15)+1)))*1000,"")</f>
        <v/>
      </c>
      <c r="BK100" s="253"/>
      <c r="BL100" s="251" t="str">
        <f ca="1">IFERROR(IF(OR(ISNUMBER(I),ISNUMBER($F$14)),IF(AND($B100&gt;=($F$17-$F$15),$B100&lt;$F$22+($F$17-$F$15)),SUM(OFFSET($T$100,($F$17-$F$15),0):$T100),""),""),"")</f>
        <v/>
      </c>
      <c r="BM100" s="251" t="str">
        <f t="shared" ref="BM100:BM131" ca="1" si="29">IF(ISNUMBER(BL100),BL100*(Koc*(Ocse/100)*Pse*Vse)/(Koc*(Ocse/100)*Pse*Vse+1*86400*($B100+1)),"")</f>
        <v/>
      </c>
      <c r="BN100" s="251" t="str">
        <f ca="1">IF(ISNUMBER(BL100),(BL100-BM100)/(3*86400*($B100-($F$17-$F$15)+1))*1000,"")</f>
        <v/>
      </c>
      <c r="BO100" s="252"/>
      <c r="BP100" s="251" t="str">
        <f ca="1">IF(ISNUMBER(OFFSET(BL100,-$F$21,0)),SUM(OFFSET($T$100,($F$17-$F$15+$F$21),0):$T100),"")</f>
        <v/>
      </c>
      <c r="BQ100" s="251" t="str">
        <f ca="1">IF(ISNUMBER(OFFSET(BL100,-$F$21,0)),BP100*(Koc*(Ocse/100)*Pse*Vse)/(Koc*(Ocse/100)*Pse*Vse+1*86400*($B100+1)),"")</f>
        <v/>
      </c>
      <c r="BR100" s="251" t="str">
        <f ca="1">IF(ISNUMBER(BP100),(BP100-BQ100)/(3*86400*(OFFSET($B100,-$F$21,0)-($F$17-$F$15)+1))*1000,"")</f>
        <v/>
      </c>
      <c r="BS100" s="253"/>
      <c r="BT100"/>
      <c r="BU100" s="254" t="str">
        <f>IF(B39&lt;&gt;"",B39,"")</f>
        <v/>
      </c>
      <c r="BV100" s="255">
        <v>0</v>
      </c>
      <c r="BW100" s="256"/>
      <c r="BX100" s="256"/>
      <c r="BY100" s="257"/>
      <c r="BZ100"/>
      <c r="CA100" s="258" t="str">
        <f t="shared" ref="CA100:CA131" si="30">IFERROR(IF($B100&lt;$CA$94,T100*(Koc*(Ocse/100)*Pse*Vse)/(Koc*(Ocse/100)*Pse*Vse+1*86400*$CA$94),""),"-")</f>
        <v>-</v>
      </c>
      <c r="CB100" s="33" t="str">
        <f t="shared" ref="CB100:CB163" si="31">IF(ISNUMBER(T100),IF($B100&lt;$CA$94,(T100-CA100)/(3*86400)*1000,""),"-")</f>
        <v>-</v>
      </c>
      <c r="CC100" s="33" t="str">
        <f t="shared" ref="CC100:CC120" si="32">$B100&amp;"-"&amp;$B100+1</f>
        <v>0-1</v>
      </c>
      <c r="CD100" s="259" t="str">
        <f t="shared" ref="CD100:CD163" si="33">IF(CC100=CA$96,CB$96,"")</f>
        <v/>
      </c>
      <c r="CE100" s="260" t="str">
        <f t="shared" ref="CE100:CE131" si="34">IFERROR(IF($B100&lt;$CE$94,T100*(Koc*(Ocse/100)*Pse*Vse)/(Koc*(Ocse/100)*Pse*Vse+1*86400*$CE$94),""),"-")</f>
        <v>-</v>
      </c>
      <c r="CF100" s="33" t="str">
        <f t="shared" ref="CF100:CF131" ca="1" si="35">IFERROR(IF($B100&lt;$CE$94,IF(NOT(ISNUMBER(ffp)),"-",IF($F$70=$AX$87,AX100,IF($F$70=$BB$87,OFFSET(BB100,$F$21,0),IF($F$70=$BF$87,OFFSET(BF100,$F$16,0),IF($F$70=$BJ$87,OFFSET(BJ100,$F$16+$F$21,0),IF($F$70=$BN$87,OFFSET(BN100,$F$17,0),OFFSET(BR100,$F$17+$F$21,0))))))),""),"-")</f>
        <v>-</v>
      </c>
      <c r="CG100" s="33" t="str">
        <f t="shared" ref="CG100:CG163" si="36">IF($B100&lt;$CE$94,$B100&amp;"-"&amp;$B100+1,"")</f>
        <v>0-1</v>
      </c>
      <c r="CH100" s="261" t="str">
        <f t="shared" ref="CH100:CH163" ca="1" si="37">IF(CG100=CE$96,CF$96,"")</f>
        <v/>
      </c>
      <c r="CI100" s="202"/>
      <c r="CJ100" s="99"/>
      <c r="CK100" s="99"/>
      <c r="CL100" s="99"/>
      <c r="CM100" s="99"/>
      <c r="CN100" s="99"/>
      <c r="CO100" s="99"/>
    </row>
    <row r="101" spans="2:93" ht="13.5" customHeight="1" x14ac:dyDescent="0.2">
      <c r="B101" s="262">
        <v>1</v>
      </c>
      <c r="C101" s="236" t="str">
        <f t="shared" si="1"/>
        <v/>
      </c>
      <c r="D101" s="237" t="str">
        <f>IFERROR(IF(B101&lt;$F$22,IF(ISNUMBER($D$65),IF(MAX($BU$101:$BU$120)&lt;B101, "", IF(B101=VLOOKUP(B101, $BU$101:$BU$120,1,1), C101,D100-INDEX($BY$101:$BY$120, MATCH(VLOOKUP(B101, $BU$101:$BU$120,1,1), $BU$101:$BU$120)+1, 1))),D100-VLOOKUP(MAX($BU$101:$BU$120),$BU$101:$BY$120,5)),""),"-")</f>
        <v>-</v>
      </c>
      <c r="E101" s="263" t="str">
        <f t="shared" ref="E101:E164" si="38">IF(ISNUMBER($F$14),IF(ISNUMBER(AA101),AA101,""),"")</f>
        <v/>
      </c>
      <c r="F101" s="264" t="str">
        <f t="shared" ref="F101:F164" si="39">IF(OR($F$14=2,$F$14=3),IF(($F$16-$F$15)&gt;B101," ",VLOOKUP((B101-($F$16-$F$15)),$AC$100:$AI$250,7,FALSE)),"")</f>
        <v/>
      </c>
      <c r="G101" s="264" t="str">
        <f t="shared" ref="G101:G164" si="40">IF($F$14=3,IF(($F$16-$F$15)*2&gt;B101," ",VLOOKUP((B101-($F$16-$F$15)*2),$AK$100:$AQ$250,7,FALSE)),"")</f>
        <v/>
      </c>
      <c r="H101" s="240" t="str">
        <f t="shared" ref="H101:H131" si="41">IF(E101&lt;&gt;"",IF($B101&lt;$F$21,"",IF(ISNUMBER(F101),IF(ISNUMBER(I101),(E101*30*50*ffp),""),(E101*30*50*ffp))),"")</f>
        <v/>
      </c>
      <c r="I101" s="265" t="str">
        <f t="shared" si="2"/>
        <v/>
      </c>
      <c r="J101" s="265" t="str">
        <f t="shared" si="3"/>
        <v/>
      </c>
      <c r="K101" s="240" t="str">
        <f t="shared" si="4"/>
        <v/>
      </c>
      <c r="L101" s="265" t="str">
        <f t="shared" si="5"/>
        <v/>
      </c>
      <c r="M101" s="265" t="str">
        <f t="shared" si="6"/>
        <v/>
      </c>
      <c r="N101" s="240" t="str">
        <f t="shared" si="7"/>
        <v>-</v>
      </c>
      <c r="O101" s="265" t="str">
        <f t="shared" si="8"/>
        <v>-</v>
      </c>
      <c r="P101" s="265" t="str">
        <f t="shared" si="9"/>
        <v>-</v>
      </c>
      <c r="Q101" s="266" t="str">
        <f t="shared" si="10"/>
        <v>-</v>
      </c>
      <c r="R101" s="267" t="str">
        <f t="shared" si="11"/>
        <v>-</v>
      </c>
      <c r="S101" s="268" t="str">
        <f t="shared" si="12"/>
        <v>-</v>
      </c>
      <c r="T101" s="269" t="str">
        <f t="shared" si="13"/>
        <v/>
      </c>
      <c r="U101" s="221">
        <f t="shared" si="14"/>
        <v>1</v>
      </c>
      <c r="V101" s="220" t="str">
        <f t="shared" ref="V101:V164" si="42">IF(ISNUMBER($F$14),IF(B101&lt;($F$16-$F$15)*$F$14,INT(B101/($F$16-$F$15))+1,V99),"-")</f>
        <v>-</v>
      </c>
      <c r="W101" s="221" t="str">
        <f t="shared" ref="W101:W164" si="43">IF(ISNUMBER($F$14),IF(B101&lt;$F$14*($F$16-$F$15),B101-INT(B101/($F$16-$F$15))*($F$16-$F$15)+1,W100+1),"-")</f>
        <v>-</v>
      </c>
      <c r="X101" s="221" t="str">
        <f t="shared" si="15"/>
        <v>-</v>
      </c>
      <c r="Y101" s="221" t="str">
        <f t="shared" si="16"/>
        <v>-</v>
      </c>
      <c r="Z101" s="270">
        <f t="shared" ref="Z101:Z164" si="44">IF(Y101&gt;0,0.1,0.04)</f>
        <v>0.1</v>
      </c>
      <c r="AA101" s="271" t="str">
        <f>IFERROR(IF(V100=1,D101*EXP(-(0.04*X100+0.1*Y100)),IF(V100=2,D101*EXP(-(0.04*($F$21+X100)+0.1*(($F$16-$F$15)-$F$21+Y100))),D101*EXP(-(0.04*($F$21*2+X100)+0.1*((($F$16-$F$15)-$F$21)*2-Y100))))),"-")</f>
        <v>-</v>
      </c>
      <c r="AB101" s="271" t="str">
        <f t="shared" si="17"/>
        <v>-</v>
      </c>
      <c r="AC101" s="224">
        <f t="shared" ref="AC101:AC164" si="45">B101</f>
        <v>1</v>
      </c>
      <c r="AD101" s="223" t="str">
        <f t="shared" si="18"/>
        <v>-</v>
      </c>
      <c r="AE101" s="224" t="str">
        <f t="shared" ref="AE101:AE164" si="46">IFERROR(IF($F$14-1&gt;0,IF(B101&lt;($F$14-1)*($F$16-$F$15),B101-INT(B101/($F$16-$F$15))*($F$16-$F$15)+1,AE100+1),"-"),"-")</f>
        <v>-</v>
      </c>
      <c r="AF101" s="224" t="str">
        <f t="shared" si="19"/>
        <v>-</v>
      </c>
      <c r="AG101" s="224" t="str">
        <f t="shared" si="20"/>
        <v>-</v>
      </c>
      <c r="AH101" s="272">
        <f t="shared" ref="AH101:AH164" si="47">IF(AG101&gt;0,0.1,0.04)</f>
        <v>0.1</v>
      </c>
      <c r="AI101" s="271" t="str">
        <f t="shared" si="21"/>
        <v>-</v>
      </c>
      <c r="AJ101" s="271" t="str">
        <f t="shared" ref="AJ101:AJ112" si="48">IFERROR(IF(AD101=1,D101*EXP(-(0.04*AF101+0.1*AG101)),IF(AD101=2,D101*EXP(-(0.04*($F$21+AF101)+0.1*(($F$16-$F$15)-$F$21+AG101))),D101*EXP(-(0.04*($F$21*2+AF101)+0.1*((($F$16-$F$15)-$F$21)*2-AG101))))),"-")</f>
        <v>-</v>
      </c>
      <c r="AK101" s="227">
        <f t="shared" ref="AK101:AK164" si="49">B101</f>
        <v>1</v>
      </c>
      <c r="AL101" s="226" t="str">
        <f t="shared" si="22"/>
        <v>-</v>
      </c>
      <c r="AM101" s="227" t="str">
        <f t="shared" ref="AM101:AM164" si="50">IFERROR(IF($F$14-2&gt;0,IF(B101&lt;($F$14-2)*($F$16-$F$15),B101-INT(B101/($F$16-$F$15))*($F$16-$F$15)+1,AM100+1),"-"),"-")</f>
        <v>-</v>
      </c>
      <c r="AN101" s="227" t="str">
        <f t="shared" ref="AN101:AN164" si="51">IFERROR(IF($F$21=0,0,IF(AL101=AL100,IF(B101-(AL101-1)*($F$16-$F$15)&lt;$F$21,AN100+1,AN100),1)),"-")</f>
        <v>-</v>
      </c>
      <c r="AO101" s="227" t="str">
        <f t="shared" si="23"/>
        <v>-</v>
      </c>
      <c r="AP101" s="273">
        <f t="shared" ref="AP101:AP164" si="52">IF(AO101&gt;0,0.1,0.04)</f>
        <v>0.1</v>
      </c>
      <c r="AQ101" s="271" t="str">
        <f t="shared" ref="AQ101:AQ113" si="53">IFERROR(IF(AL100=1,D101*EXP(-(0.04*AN100+0.1*AO100)),IF(AL100=2,D101*EXP(-(0.04*($F$21+AN100)+0.1*(($F$16-$F$15)-$F$21+AO100))),D101*EXP(-(0.04*($F$21*2+AN100)+0.1*((($F$16-$F$15)-$F$21)*2-AO100))))),"-")</f>
        <v>-</v>
      </c>
      <c r="AR101" s="271" t="str">
        <f t="shared" ref="AR101:AR113" si="54">IFERROR(IF(AL101=1,D101*EXP(-(0.04*AN101+0.1*AO101)),IF(AL101=2,D101*EXP(-(0.04*($F$21+AN101)+0.1*(($F$16-$F$15)-$F$21+AO101))),D101*EXP(-(0.04*($F$21*2+AN101)+0.1*((($F$16-$F$15)-$F$21)*2-AO101))))),"-")</f>
        <v>-</v>
      </c>
      <c r="AS101" s="274">
        <f t="shared" si="24"/>
        <v>0</v>
      </c>
      <c r="AT101" s="274">
        <f t="shared" si="25"/>
        <v>0</v>
      </c>
      <c r="AU101" s="274">
        <f t="shared" si="26"/>
        <v>0</v>
      </c>
      <c r="AV101" s="275">
        <f>IF($B101&lt;$F$22,SUM($T$100:$T101),"")</f>
        <v>0</v>
      </c>
      <c r="AW101" s="275" t="str">
        <f t="shared" ref="AW101:AW131" si="55">IF(ISNUMBER(Koc),IF(ISNUMBER(AV101),AV101*(Koc*(Ocse/100)*Pse*Vse)/(Koc*(Ocse/100)*Pse*Vse+1*86400*($B101+1)),""),"-")</f>
        <v>-</v>
      </c>
      <c r="AX101" s="275" t="str">
        <f t="shared" ref="AX101:AX164" si="56">IF(ISNUMBER(AW101),IF(ISNUMBER(AV101),(AV101-AW101)/(3*86400*($B101+1))*1000,""),"")</f>
        <v/>
      </c>
      <c r="AY101"/>
      <c r="AZ101" s="275" t="str">
        <f ca="1">IF(ISNUMBER(OFFSET(AV101,-$F$21,0)),SUM(OFFSET($T$100,$F$21,0):$T101),"")</f>
        <v/>
      </c>
      <c r="BA101" s="275" t="str">
        <f t="shared" ca="1" si="27"/>
        <v/>
      </c>
      <c r="BB101" s="275" t="str">
        <f t="shared" ref="BB101:BB119" ca="1" si="57">IF(ISNUMBER(AZ101),(AZ101-BA101)/(3*86400*(OFFSET($B101,-$F$21,0)+1))*1000,"")</f>
        <v/>
      </c>
      <c r="BC101" s="190"/>
      <c r="BD101" s="275" t="str">
        <f ca="1">IFERROR(IF(OR(ISNUMBER(I),ISNUMBER($F$14)),IF(AND($B101&gt;=($F$16-$F$15),$B101&lt;$F$22+($F$16-$F$15)),SUM(OFFSET($T$100,($F$16-$F$15),0):$T101),""),""),"")</f>
        <v/>
      </c>
      <c r="BE101" s="275" t="str">
        <f t="shared" ref="BE101:BE164" ca="1" si="58">IF(ISNUMBER(BD101),BD101*(Koc*(Ocse/100)*Pse*Vse)/(Koc*(Ocse/100)*Pse*Vse+1*86400*($B101+1)),"")</f>
        <v/>
      </c>
      <c r="BF101" s="275" t="str">
        <f t="shared" ref="BF101:BF164" ca="1" si="59">IF(ISNUMBER(BD101),(BD101-BE101)/(3*86400*($B101-($F$16-$F$15)+1))*1000,"")</f>
        <v/>
      </c>
      <c r="BG101"/>
      <c r="BH101" s="190" t="str">
        <f ca="1">IF(ISNUMBER(OFFSET(BD101,-$F$21,0)),SUM(OFFSET($T$100,($F$16-$F$15+$F$21),0):$T101),"")</f>
        <v/>
      </c>
      <c r="BI101" s="190" t="str">
        <f t="shared" ca="1" si="28"/>
        <v/>
      </c>
      <c r="BJ101" s="190" t="str">
        <f t="shared" ref="BJ101:BJ164" ca="1" si="60">IF(ISNUMBER(BH101),(BH101-BI101)/(3*86400*((OFFSET($B101,-$F$21,0)-($F$16-$F$15)+1)))*1000,"")</f>
        <v/>
      </c>
      <c r="BK101" s="190"/>
      <c r="BL101" s="275" t="str">
        <f ca="1">IFERROR(IF(OR(ISNUMBER(I),ISNUMBER($F$14)),IF(AND($B101&gt;=($F$17-$F$15),$B101&lt;$F$22+($F$17-$F$15)),SUM(OFFSET($T$100,($F$17-$F$15),0):$T101),""),""),"")</f>
        <v/>
      </c>
      <c r="BM101" s="275" t="str">
        <f t="shared" ca="1" si="29"/>
        <v/>
      </c>
      <c r="BN101" s="275" t="str">
        <f t="shared" ref="BN101:BN164" ca="1" si="61">IF(ISNUMBER(BL101),(BL101-BM101)/(3*86400*($B101-($F$17-$F$15)+1))*1000,"")</f>
        <v/>
      </c>
      <c r="BO101"/>
      <c r="BP101" s="275" t="str">
        <f ca="1">IF(ISNUMBER(OFFSET(BL101,-$F$21,0)),SUM(OFFSET($T$100,($F$17-$F$15+$F$21),0):$T101),"")</f>
        <v/>
      </c>
      <c r="BQ101" s="275" t="str">
        <f t="shared" ref="BQ101:BQ131" ca="1" si="62">IF(ISNUMBER(OFFSET(BL101,-$F$21,0)),BP101*(Koc*(Ocse/100)*Pse*Vse)/(Koc*(Ocse/100)*Pse*Vse+1*86400*($B101+1)),"")</f>
        <v/>
      </c>
      <c r="BR101" s="275" t="str">
        <f t="shared" ref="BR101:BR164" ca="1" si="63">IF(ISNUMBER(BP101),(BP101-BQ101)/(3*86400*(OFFSET($B101,-$F$21,0)-($F$17-$F$15)+1))*1000,"")</f>
        <v/>
      </c>
      <c r="BS101" s="190"/>
      <c r="BT101"/>
      <c r="BU101" s="276" t="str">
        <f t="shared" ref="BU101:BU120" si="64">IF(B40&lt;&gt;"",B40,"end")</f>
        <v>end</v>
      </c>
      <c r="BV101" s="277">
        <v>1</v>
      </c>
      <c r="BW101" s="278">
        <f>IF(BU101&lt;&gt;"",MIN(BU100:BU101),"")</f>
        <v>0</v>
      </c>
      <c r="BX101" s="278">
        <f>IF(BU101&lt;&gt;"",MAX(BU100:BU101),"")</f>
        <v>0</v>
      </c>
      <c r="BY101" s="279" t="str">
        <f t="shared" ref="BY101:BY120" si="65">IF(B40&lt;&gt;"",(C39-C40)/(B40-B39),"")</f>
        <v/>
      </c>
      <c r="BZ101"/>
      <c r="CA101" s="280" t="str">
        <f t="shared" si="30"/>
        <v>-</v>
      </c>
      <c r="CB101" s="71" t="str">
        <f t="shared" si="31"/>
        <v>-</v>
      </c>
      <c r="CC101" s="33" t="str">
        <f t="shared" si="32"/>
        <v>1-2</v>
      </c>
      <c r="CD101" s="259" t="str">
        <f t="shared" si="33"/>
        <v/>
      </c>
      <c r="CE101" s="280" t="str">
        <f t="shared" si="34"/>
        <v>-</v>
      </c>
      <c r="CF101" s="71" t="str">
        <f t="shared" ca="1" si="35"/>
        <v>-</v>
      </c>
      <c r="CG101" s="33" t="str">
        <f t="shared" si="36"/>
        <v>1-2</v>
      </c>
      <c r="CH101" s="261" t="str">
        <f t="shared" ca="1" si="37"/>
        <v/>
      </c>
      <c r="CI101" s="202"/>
      <c r="CJ101" s="99"/>
      <c r="CK101" s="99"/>
      <c r="CL101" s="99"/>
      <c r="CM101" s="99"/>
      <c r="CN101" s="99"/>
      <c r="CO101" s="99"/>
    </row>
    <row r="102" spans="2:93" ht="13.5" customHeight="1" x14ac:dyDescent="0.2">
      <c r="B102" s="262">
        <v>2</v>
      </c>
      <c r="C102" s="237" t="str">
        <f t="shared" si="1"/>
        <v/>
      </c>
      <c r="D102" s="237" t="str">
        <f t="shared" ref="D102:D165" si="66">IFERROR(IF(B102&lt;$F$22,IF(ISNUMBER($D$65),IF(MAX($BU$101:$BU$120)&lt;B102, "", IF(B102=VLOOKUP(B102, $BU$101:$BU$120,1,1), C102,D101-INDEX($BY$101:$BY$120, MATCH(VLOOKUP(B102, $BU$101:$BU$120,1,1), $BU$101:$BU$120)+1, 1))),D101-VLOOKUP(MAX($BU$101:$BU$120),$BU$101:$BY$120,5)),""),"-")</f>
        <v>-</v>
      </c>
      <c r="E102" s="263" t="str">
        <f t="shared" si="38"/>
        <v/>
      </c>
      <c r="F102" s="264" t="str">
        <f t="shared" si="39"/>
        <v/>
      </c>
      <c r="G102" s="264" t="str">
        <f t="shared" si="40"/>
        <v/>
      </c>
      <c r="H102" s="240" t="str">
        <f t="shared" si="41"/>
        <v/>
      </c>
      <c r="I102" s="265" t="str">
        <f t="shared" si="2"/>
        <v/>
      </c>
      <c r="J102" s="265" t="str">
        <f t="shared" si="3"/>
        <v/>
      </c>
      <c r="K102" s="240" t="str">
        <f t="shared" si="4"/>
        <v/>
      </c>
      <c r="L102" s="265" t="str">
        <f t="shared" si="5"/>
        <v/>
      </c>
      <c r="M102" s="265" t="str">
        <f t="shared" si="6"/>
        <v/>
      </c>
      <c r="N102" s="240" t="str">
        <f t="shared" si="7"/>
        <v>-</v>
      </c>
      <c r="O102" s="265" t="str">
        <f t="shared" si="8"/>
        <v>-</v>
      </c>
      <c r="P102" s="265" t="str">
        <f t="shared" si="9"/>
        <v>-</v>
      </c>
      <c r="Q102" s="266" t="str">
        <f t="shared" si="10"/>
        <v>-</v>
      </c>
      <c r="R102" s="267" t="str">
        <f t="shared" si="11"/>
        <v>-</v>
      </c>
      <c r="S102" s="268" t="str">
        <f t="shared" si="12"/>
        <v>-</v>
      </c>
      <c r="T102" s="269" t="str">
        <f t="shared" si="13"/>
        <v/>
      </c>
      <c r="U102" s="221">
        <f t="shared" si="14"/>
        <v>2</v>
      </c>
      <c r="V102" s="220" t="str">
        <f t="shared" si="42"/>
        <v>-</v>
      </c>
      <c r="W102" s="221" t="str">
        <f t="shared" si="43"/>
        <v>-</v>
      </c>
      <c r="X102" s="221" t="str">
        <f t="shared" si="15"/>
        <v>-</v>
      </c>
      <c r="Y102" s="221" t="str">
        <f t="shared" si="16"/>
        <v>-</v>
      </c>
      <c r="Z102" s="270">
        <f t="shared" si="44"/>
        <v>0.1</v>
      </c>
      <c r="AA102" s="271" t="str">
        <f t="shared" ref="AA102:AA114" si="67">IFERROR(IF(V101=1,D102*EXP(-(0.04*X101+0.1*Y101)),IF(V101=2,D102*EXP(-(0.04*($F$21+X101)+0.1*(($F$16-$F$15)-$F$21+Y101))),D102*EXP(-(0.04*($F$21*2+X101)+0.1*((($F$16-$F$15)-$F$21)*2-Y101))))),"-")</f>
        <v>-</v>
      </c>
      <c r="AB102" s="271" t="str">
        <f t="shared" si="17"/>
        <v>-</v>
      </c>
      <c r="AC102" s="224">
        <f t="shared" si="45"/>
        <v>2</v>
      </c>
      <c r="AD102" s="223" t="str">
        <f t="shared" si="18"/>
        <v>-</v>
      </c>
      <c r="AE102" s="224" t="str">
        <f t="shared" si="46"/>
        <v>-</v>
      </c>
      <c r="AF102" s="224" t="str">
        <f t="shared" si="19"/>
        <v>-</v>
      </c>
      <c r="AG102" s="224" t="str">
        <f t="shared" si="20"/>
        <v>-</v>
      </c>
      <c r="AH102" s="272">
        <f t="shared" si="47"/>
        <v>0.1</v>
      </c>
      <c r="AI102" s="271" t="str">
        <f t="shared" si="21"/>
        <v>-</v>
      </c>
      <c r="AJ102" s="271" t="str">
        <f t="shared" si="48"/>
        <v>-</v>
      </c>
      <c r="AK102" s="227">
        <f t="shared" si="49"/>
        <v>2</v>
      </c>
      <c r="AL102" s="226" t="str">
        <f t="shared" si="22"/>
        <v>-</v>
      </c>
      <c r="AM102" s="227" t="str">
        <f t="shared" si="50"/>
        <v>-</v>
      </c>
      <c r="AN102" s="227" t="str">
        <f t="shared" si="51"/>
        <v>-</v>
      </c>
      <c r="AO102" s="227" t="str">
        <f t="shared" si="23"/>
        <v>-</v>
      </c>
      <c r="AP102" s="273">
        <f t="shared" si="52"/>
        <v>0.1</v>
      </c>
      <c r="AQ102" s="271" t="str">
        <f t="shared" si="53"/>
        <v>-</v>
      </c>
      <c r="AR102" s="271" t="str">
        <f t="shared" si="54"/>
        <v>-</v>
      </c>
      <c r="AS102" s="274">
        <f t="shared" si="24"/>
        <v>0</v>
      </c>
      <c r="AT102" s="274">
        <f t="shared" si="25"/>
        <v>0</v>
      </c>
      <c r="AU102" s="274">
        <f t="shared" si="26"/>
        <v>0</v>
      </c>
      <c r="AV102" s="275">
        <f>IF($B102&lt;$F$22,SUM($T$100:$T102),"")</f>
        <v>0</v>
      </c>
      <c r="AW102" s="275" t="str">
        <f t="shared" si="55"/>
        <v>-</v>
      </c>
      <c r="AX102" s="275" t="str">
        <f t="shared" si="56"/>
        <v/>
      </c>
      <c r="AY102"/>
      <c r="AZ102" s="275" t="str">
        <f ca="1">IF(ISNUMBER(OFFSET(AV102,-$F$21,0)),SUM(OFFSET($T$100,$F$21,0):$T102),"")</f>
        <v/>
      </c>
      <c r="BA102" s="275" t="str">
        <f t="shared" ca="1" si="27"/>
        <v/>
      </c>
      <c r="BB102" s="275" t="str">
        <f t="shared" ca="1" si="57"/>
        <v/>
      </c>
      <c r="BC102" s="190"/>
      <c r="BD102" s="275" t="str">
        <f ca="1">IFERROR(IF(OR(ISNUMBER(I),ISNUMBER($F$14)),IF(AND($B102&gt;=($F$16-$F$15),$B102&lt;$F$22+($F$16-$F$15)),SUM(OFFSET($T$100,($F$16-$F$15),0):$T102),""),""),"")</f>
        <v/>
      </c>
      <c r="BE102" s="275" t="str">
        <f t="shared" ca="1" si="58"/>
        <v/>
      </c>
      <c r="BF102" s="275" t="str">
        <f t="shared" ca="1" si="59"/>
        <v/>
      </c>
      <c r="BG102"/>
      <c r="BH102" s="190" t="str">
        <f ca="1">IF(ISNUMBER(OFFSET(BD102,-$F$21,0)),SUM(OFFSET($T$100,($F$16-$F$15+$F$21),0):$T102),"")</f>
        <v/>
      </c>
      <c r="BI102" s="190" t="str">
        <f t="shared" ca="1" si="28"/>
        <v/>
      </c>
      <c r="BJ102" s="190" t="str">
        <f t="shared" ca="1" si="60"/>
        <v/>
      </c>
      <c r="BK102" s="190"/>
      <c r="BL102" s="275" t="str">
        <f ca="1">IFERROR(IF(OR(ISNUMBER(I),ISNUMBER($F$14)),IF(AND($B102&gt;=($F$17-$F$15),$B102&lt;$F$22+($F$17-$F$15)),SUM(OFFSET($T$100,($F$17-$F$15),0):$T102),""),""),"")</f>
        <v/>
      </c>
      <c r="BM102" s="275" t="str">
        <f t="shared" ca="1" si="29"/>
        <v/>
      </c>
      <c r="BN102" s="275" t="str">
        <f t="shared" ca="1" si="61"/>
        <v/>
      </c>
      <c r="BO102"/>
      <c r="BP102" s="275" t="str">
        <f ca="1">IF(ISNUMBER(OFFSET(BL102,-$F$21,0)),SUM(OFFSET($T$100,($F$17-$F$15+$F$21),0):$T102),"")</f>
        <v/>
      </c>
      <c r="BQ102" s="275" t="str">
        <f t="shared" ca="1" si="62"/>
        <v/>
      </c>
      <c r="BR102" s="275" t="str">
        <f t="shared" ca="1" si="63"/>
        <v/>
      </c>
      <c r="BS102" s="190"/>
      <c r="BT102"/>
      <c r="BU102" s="276" t="str">
        <f t="shared" si="64"/>
        <v>end</v>
      </c>
      <c r="BV102" s="277">
        <v>2</v>
      </c>
      <c r="BW102" s="278">
        <f>IF(BU102&lt;&gt;"",MIN(BU101:BU102),"")</f>
        <v>0</v>
      </c>
      <c r="BX102" s="278">
        <f>IF(BU102&lt;&gt;"",MAX(BU101:BU102),"")</f>
        <v>0</v>
      </c>
      <c r="BY102" s="279" t="str">
        <f t="shared" si="65"/>
        <v/>
      </c>
      <c r="BZ102"/>
      <c r="CA102" s="280" t="str">
        <f t="shared" si="30"/>
        <v>-</v>
      </c>
      <c r="CB102" s="71" t="str">
        <f t="shared" si="31"/>
        <v>-</v>
      </c>
      <c r="CC102" s="33" t="str">
        <f t="shared" si="32"/>
        <v>2-3</v>
      </c>
      <c r="CD102" s="259" t="str">
        <f t="shared" si="33"/>
        <v/>
      </c>
      <c r="CE102" s="280" t="str">
        <f t="shared" si="34"/>
        <v>-</v>
      </c>
      <c r="CF102" s="71" t="str">
        <f t="shared" ca="1" si="35"/>
        <v>-</v>
      </c>
      <c r="CG102" s="33" t="str">
        <f t="shared" si="36"/>
        <v>2-3</v>
      </c>
      <c r="CH102" s="261" t="str">
        <f t="shared" ca="1" si="37"/>
        <v/>
      </c>
      <c r="CI102" s="202"/>
      <c r="CJ102" s="99"/>
      <c r="CK102" s="99"/>
      <c r="CL102" s="99"/>
      <c r="CM102" s="99"/>
      <c r="CN102" s="99"/>
      <c r="CO102" s="99"/>
    </row>
    <row r="103" spans="2:93" ht="13.5" customHeight="1" x14ac:dyDescent="0.2">
      <c r="B103" s="262">
        <v>3</v>
      </c>
      <c r="C103" s="236" t="str">
        <f t="shared" si="1"/>
        <v/>
      </c>
      <c r="D103" s="237" t="str">
        <f t="shared" si="66"/>
        <v>-</v>
      </c>
      <c r="E103" s="263" t="str">
        <f t="shared" si="38"/>
        <v/>
      </c>
      <c r="F103" s="264" t="str">
        <f t="shared" si="39"/>
        <v/>
      </c>
      <c r="G103" s="264" t="str">
        <f t="shared" si="40"/>
        <v/>
      </c>
      <c r="H103" s="240" t="str">
        <f t="shared" si="41"/>
        <v/>
      </c>
      <c r="I103" s="265" t="str">
        <f t="shared" si="2"/>
        <v/>
      </c>
      <c r="J103" s="265" t="str">
        <f t="shared" si="3"/>
        <v/>
      </c>
      <c r="K103" s="240" t="str">
        <f t="shared" si="4"/>
        <v/>
      </c>
      <c r="L103" s="265" t="str">
        <f t="shared" si="5"/>
        <v/>
      </c>
      <c r="M103" s="265" t="str">
        <f t="shared" si="6"/>
        <v/>
      </c>
      <c r="N103" s="240" t="str">
        <f t="shared" si="7"/>
        <v>-</v>
      </c>
      <c r="O103" s="265" t="str">
        <f t="shared" si="8"/>
        <v>-</v>
      </c>
      <c r="P103" s="265" t="str">
        <f t="shared" si="9"/>
        <v>-</v>
      </c>
      <c r="Q103" s="266" t="str">
        <f t="shared" si="10"/>
        <v>-</v>
      </c>
      <c r="R103" s="267" t="str">
        <f t="shared" si="11"/>
        <v>-</v>
      </c>
      <c r="S103" s="268" t="str">
        <f t="shared" si="12"/>
        <v>-</v>
      </c>
      <c r="T103" s="269" t="str">
        <f t="shared" si="13"/>
        <v/>
      </c>
      <c r="U103" s="221">
        <f t="shared" si="14"/>
        <v>3</v>
      </c>
      <c r="V103" s="220" t="str">
        <f t="shared" si="42"/>
        <v>-</v>
      </c>
      <c r="W103" s="221" t="str">
        <f t="shared" si="43"/>
        <v>-</v>
      </c>
      <c r="X103" s="221" t="str">
        <f t="shared" si="15"/>
        <v>-</v>
      </c>
      <c r="Y103" s="221" t="str">
        <f t="shared" si="16"/>
        <v>-</v>
      </c>
      <c r="Z103" s="270">
        <f t="shared" si="44"/>
        <v>0.1</v>
      </c>
      <c r="AA103" s="271" t="str">
        <f t="shared" si="67"/>
        <v>-</v>
      </c>
      <c r="AB103" s="271" t="str">
        <f t="shared" si="17"/>
        <v>-</v>
      </c>
      <c r="AC103" s="224">
        <f t="shared" si="45"/>
        <v>3</v>
      </c>
      <c r="AD103" s="223" t="str">
        <f t="shared" si="18"/>
        <v>-</v>
      </c>
      <c r="AE103" s="224" t="str">
        <f t="shared" si="46"/>
        <v>-</v>
      </c>
      <c r="AF103" s="224" t="str">
        <f t="shared" si="19"/>
        <v>-</v>
      </c>
      <c r="AG103" s="224" t="str">
        <f t="shared" si="20"/>
        <v>-</v>
      </c>
      <c r="AH103" s="272">
        <f t="shared" si="47"/>
        <v>0.1</v>
      </c>
      <c r="AI103" s="271" t="str">
        <f t="shared" si="21"/>
        <v>-</v>
      </c>
      <c r="AJ103" s="271" t="str">
        <f t="shared" si="48"/>
        <v>-</v>
      </c>
      <c r="AK103" s="227">
        <f t="shared" si="49"/>
        <v>3</v>
      </c>
      <c r="AL103" s="226" t="str">
        <f t="shared" si="22"/>
        <v>-</v>
      </c>
      <c r="AM103" s="227" t="str">
        <f t="shared" si="50"/>
        <v>-</v>
      </c>
      <c r="AN103" s="227" t="str">
        <f t="shared" si="51"/>
        <v>-</v>
      </c>
      <c r="AO103" s="227" t="str">
        <f t="shared" si="23"/>
        <v>-</v>
      </c>
      <c r="AP103" s="273">
        <f t="shared" si="52"/>
        <v>0.1</v>
      </c>
      <c r="AQ103" s="271" t="str">
        <f t="shared" si="53"/>
        <v>-</v>
      </c>
      <c r="AR103" s="271" t="str">
        <f t="shared" si="54"/>
        <v>-</v>
      </c>
      <c r="AS103" s="274">
        <f t="shared" si="24"/>
        <v>0</v>
      </c>
      <c r="AT103" s="274">
        <f t="shared" si="25"/>
        <v>0</v>
      </c>
      <c r="AU103" s="274">
        <f t="shared" si="26"/>
        <v>0</v>
      </c>
      <c r="AV103" s="275">
        <f>IF($B103&lt;$F$22,SUM($T$100:$T103),"")</f>
        <v>0</v>
      </c>
      <c r="AW103" s="275" t="str">
        <f t="shared" si="55"/>
        <v>-</v>
      </c>
      <c r="AX103" s="275" t="str">
        <f t="shared" si="56"/>
        <v/>
      </c>
      <c r="AY103"/>
      <c r="AZ103" s="275" t="str">
        <f ca="1">IF(ISNUMBER(OFFSET(AV103,-$F$21,0)),SUM(OFFSET($T$100,$F$21,0):$T103),"")</f>
        <v/>
      </c>
      <c r="BA103" s="275" t="str">
        <f t="shared" ca="1" si="27"/>
        <v/>
      </c>
      <c r="BB103" s="275" t="str">
        <f t="shared" ca="1" si="57"/>
        <v/>
      </c>
      <c r="BC103" s="190"/>
      <c r="BD103" s="275" t="str">
        <f ca="1">IFERROR(IF(OR(ISNUMBER(I),ISNUMBER($F$14)),IF(AND($B103&gt;=($F$16-$F$15),$B103&lt;$F$22+($F$16-$F$15)),SUM(OFFSET($T$100,($F$16-$F$15),0):$T103),""),""),"")</f>
        <v/>
      </c>
      <c r="BE103" s="275" t="str">
        <f t="shared" ca="1" si="58"/>
        <v/>
      </c>
      <c r="BF103" s="275" t="str">
        <f t="shared" ca="1" si="59"/>
        <v/>
      </c>
      <c r="BG103"/>
      <c r="BH103" s="190" t="str">
        <f ca="1">IF(ISNUMBER(OFFSET(BD103,-$F$21,0)),SUM(OFFSET($T$100,($F$16-$F$15+$F$21),0):$T103),"")</f>
        <v/>
      </c>
      <c r="BI103" s="190" t="str">
        <f t="shared" ca="1" si="28"/>
        <v/>
      </c>
      <c r="BJ103" s="190" t="str">
        <f t="shared" ca="1" si="60"/>
        <v/>
      </c>
      <c r="BK103" s="190"/>
      <c r="BL103" s="275" t="str">
        <f ca="1">IFERROR(IF(OR(ISNUMBER(I),ISNUMBER($F$14)),IF(AND($B103&gt;=($F$17-$F$15),$B103&lt;$F$22+($F$17-$F$15)),SUM(OFFSET($T$100,($F$17-$F$15),0):$T103),""),""),"")</f>
        <v/>
      </c>
      <c r="BM103" s="275" t="str">
        <f t="shared" ca="1" si="29"/>
        <v/>
      </c>
      <c r="BN103" s="275" t="str">
        <f t="shared" ca="1" si="61"/>
        <v/>
      </c>
      <c r="BO103"/>
      <c r="BP103" s="275" t="str">
        <f ca="1">IF(ISNUMBER(OFFSET(BL103,-$F$21,0)),SUM(OFFSET($T$100,($F$17-$F$15+$F$21),0):$T103),"")</f>
        <v/>
      </c>
      <c r="BQ103" s="275" t="str">
        <f t="shared" ca="1" si="62"/>
        <v/>
      </c>
      <c r="BR103" s="275" t="str">
        <f t="shared" ca="1" si="63"/>
        <v/>
      </c>
      <c r="BS103" s="190"/>
      <c r="BT103"/>
      <c r="BU103" s="276" t="str">
        <f t="shared" si="64"/>
        <v>end</v>
      </c>
      <c r="BV103" s="277">
        <v>3</v>
      </c>
      <c r="BW103" s="278">
        <f>IF(BU103&lt;&gt;"",MIN(BU102:BU103),"")</f>
        <v>0</v>
      </c>
      <c r="BX103" s="278">
        <f>IF(BU103&lt;&gt;"",MAX(BU102:BU103),"")</f>
        <v>0</v>
      </c>
      <c r="BY103" s="279" t="str">
        <f t="shared" si="65"/>
        <v/>
      </c>
      <c r="BZ103"/>
      <c r="CA103" s="280" t="str">
        <f t="shared" si="30"/>
        <v>-</v>
      </c>
      <c r="CB103" s="71" t="str">
        <f t="shared" si="31"/>
        <v>-</v>
      </c>
      <c r="CC103" s="33" t="str">
        <f t="shared" si="32"/>
        <v>3-4</v>
      </c>
      <c r="CD103" s="259" t="str">
        <f t="shared" si="33"/>
        <v/>
      </c>
      <c r="CE103" s="280" t="str">
        <f t="shared" si="34"/>
        <v>-</v>
      </c>
      <c r="CF103" s="71" t="str">
        <f t="shared" ca="1" si="35"/>
        <v>-</v>
      </c>
      <c r="CG103" s="33" t="str">
        <f t="shared" si="36"/>
        <v>3-4</v>
      </c>
      <c r="CH103" s="261" t="str">
        <f t="shared" ca="1" si="37"/>
        <v/>
      </c>
      <c r="CI103" s="202"/>
      <c r="CJ103" s="99"/>
      <c r="CK103" s="99"/>
      <c r="CL103" s="99"/>
      <c r="CM103" s="99"/>
      <c r="CN103" s="99"/>
      <c r="CO103" s="99"/>
    </row>
    <row r="104" spans="2:93" ht="13.5" customHeight="1" x14ac:dyDescent="0.2">
      <c r="B104" s="262">
        <v>4</v>
      </c>
      <c r="C104" s="237" t="str">
        <f t="shared" si="1"/>
        <v/>
      </c>
      <c r="D104" s="237" t="str">
        <f t="shared" si="66"/>
        <v>-</v>
      </c>
      <c r="E104" s="263" t="str">
        <f t="shared" si="38"/>
        <v/>
      </c>
      <c r="F104" s="264" t="str">
        <f t="shared" si="39"/>
        <v/>
      </c>
      <c r="G104" s="264" t="str">
        <f t="shared" si="40"/>
        <v/>
      </c>
      <c r="H104" s="240" t="str">
        <f t="shared" si="41"/>
        <v/>
      </c>
      <c r="I104" s="265" t="str">
        <f t="shared" si="2"/>
        <v/>
      </c>
      <c r="J104" s="265" t="str">
        <f t="shared" si="3"/>
        <v/>
      </c>
      <c r="K104" s="240" t="str">
        <f t="shared" si="4"/>
        <v/>
      </c>
      <c r="L104" s="265" t="str">
        <f t="shared" si="5"/>
        <v/>
      </c>
      <c r="M104" s="265" t="str">
        <f t="shared" si="6"/>
        <v/>
      </c>
      <c r="N104" s="240" t="str">
        <f t="shared" si="7"/>
        <v>-</v>
      </c>
      <c r="O104" s="265" t="str">
        <f t="shared" si="8"/>
        <v>-</v>
      </c>
      <c r="P104" s="265" t="str">
        <f t="shared" si="9"/>
        <v>-</v>
      </c>
      <c r="Q104" s="266" t="str">
        <f t="shared" si="10"/>
        <v>-</v>
      </c>
      <c r="R104" s="267" t="str">
        <f t="shared" si="11"/>
        <v>-</v>
      </c>
      <c r="S104" s="268" t="str">
        <f t="shared" si="12"/>
        <v>-</v>
      </c>
      <c r="T104" s="269" t="str">
        <f t="shared" si="13"/>
        <v/>
      </c>
      <c r="U104" s="221">
        <f t="shared" si="14"/>
        <v>4</v>
      </c>
      <c r="V104" s="220" t="str">
        <f t="shared" si="42"/>
        <v>-</v>
      </c>
      <c r="W104" s="221" t="str">
        <f t="shared" si="43"/>
        <v>-</v>
      </c>
      <c r="X104" s="221" t="str">
        <f t="shared" si="15"/>
        <v>-</v>
      </c>
      <c r="Y104" s="221" t="str">
        <f t="shared" si="16"/>
        <v>-</v>
      </c>
      <c r="Z104" s="270">
        <f t="shared" si="44"/>
        <v>0.1</v>
      </c>
      <c r="AA104" s="271" t="str">
        <f t="shared" si="67"/>
        <v>-</v>
      </c>
      <c r="AB104" s="271" t="str">
        <f t="shared" si="17"/>
        <v>-</v>
      </c>
      <c r="AC104" s="224">
        <f t="shared" si="45"/>
        <v>4</v>
      </c>
      <c r="AD104" s="223" t="str">
        <f t="shared" si="18"/>
        <v>-</v>
      </c>
      <c r="AE104" s="224" t="str">
        <f t="shared" si="46"/>
        <v>-</v>
      </c>
      <c r="AF104" s="224" t="str">
        <f t="shared" si="19"/>
        <v>-</v>
      </c>
      <c r="AG104" s="224" t="str">
        <f t="shared" si="20"/>
        <v>-</v>
      </c>
      <c r="AH104" s="272">
        <f t="shared" si="47"/>
        <v>0.1</v>
      </c>
      <c r="AI104" s="271" t="str">
        <f t="shared" si="21"/>
        <v>-</v>
      </c>
      <c r="AJ104" s="271" t="str">
        <f t="shared" si="48"/>
        <v>-</v>
      </c>
      <c r="AK104" s="227">
        <f t="shared" si="49"/>
        <v>4</v>
      </c>
      <c r="AL104" s="226" t="str">
        <f t="shared" si="22"/>
        <v>-</v>
      </c>
      <c r="AM104" s="227" t="str">
        <f t="shared" si="50"/>
        <v>-</v>
      </c>
      <c r="AN104" s="227" t="str">
        <f t="shared" si="51"/>
        <v>-</v>
      </c>
      <c r="AO104" s="227" t="str">
        <f t="shared" si="23"/>
        <v>-</v>
      </c>
      <c r="AP104" s="273">
        <f t="shared" si="52"/>
        <v>0.1</v>
      </c>
      <c r="AQ104" s="271" t="str">
        <f t="shared" si="53"/>
        <v>-</v>
      </c>
      <c r="AR104" s="271" t="str">
        <f t="shared" si="54"/>
        <v>-</v>
      </c>
      <c r="AS104" s="274">
        <f t="shared" si="24"/>
        <v>0</v>
      </c>
      <c r="AT104" s="274">
        <f t="shared" si="25"/>
        <v>0</v>
      </c>
      <c r="AU104" s="274">
        <f t="shared" si="26"/>
        <v>0</v>
      </c>
      <c r="AV104" s="275">
        <f>IF($B104&lt;$F$22,SUM($T$100:$T104),"")</f>
        <v>0</v>
      </c>
      <c r="AW104" s="275" t="str">
        <f t="shared" si="55"/>
        <v>-</v>
      </c>
      <c r="AX104" s="275" t="str">
        <f t="shared" si="56"/>
        <v/>
      </c>
      <c r="AY104"/>
      <c r="AZ104" s="275" t="str">
        <f ca="1">IF(ISNUMBER(OFFSET(AV104,-$F$21,0)),SUM(OFFSET($T$100,$F$21,0):$T104),"")</f>
        <v/>
      </c>
      <c r="BA104" s="275" t="str">
        <f t="shared" ca="1" si="27"/>
        <v/>
      </c>
      <c r="BB104" s="275" t="str">
        <f t="shared" ca="1" si="57"/>
        <v/>
      </c>
      <c r="BC104" s="190"/>
      <c r="BD104" s="275" t="str">
        <f ca="1">IFERROR(IF(OR(ISNUMBER(I),ISNUMBER($F$14)),IF(AND($B104&gt;=($F$16-$F$15),$B104&lt;$F$22+($F$16-$F$15)),SUM(OFFSET($T$100,($F$16-$F$15),0):$T104),""),""),"")</f>
        <v/>
      </c>
      <c r="BE104" s="275" t="str">
        <f t="shared" ca="1" si="58"/>
        <v/>
      </c>
      <c r="BF104" s="275" t="str">
        <f t="shared" ca="1" si="59"/>
        <v/>
      </c>
      <c r="BG104"/>
      <c r="BH104" s="190" t="str">
        <f ca="1">IF(ISNUMBER(OFFSET(BD104,-$F$21,0)),SUM(OFFSET($T$100,($F$16-$F$15+$F$21),0):$T104),"")</f>
        <v/>
      </c>
      <c r="BI104" s="190" t="str">
        <f t="shared" ca="1" si="28"/>
        <v/>
      </c>
      <c r="BJ104" s="190" t="str">
        <f t="shared" ca="1" si="60"/>
        <v/>
      </c>
      <c r="BK104" s="190"/>
      <c r="BL104" s="275" t="str">
        <f ca="1">IFERROR(IF(OR(ISNUMBER(I),ISNUMBER($F$14)),IF(AND($B104&gt;=($F$17-$F$15),$B104&lt;$F$22+($F$17-$F$15)),SUM(OFFSET($T$100,($F$17-$F$15),0):$T104),""),""),"")</f>
        <v/>
      </c>
      <c r="BM104" s="275" t="str">
        <f t="shared" ca="1" si="29"/>
        <v/>
      </c>
      <c r="BN104" s="275" t="str">
        <f t="shared" ca="1" si="61"/>
        <v/>
      </c>
      <c r="BO104"/>
      <c r="BP104" s="275" t="str">
        <f ca="1">IF(ISNUMBER(OFFSET(BL104,-$F$21,0)),SUM(OFFSET($T$100,($F$17-$F$15+$F$21),0):$T104),"")</f>
        <v/>
      </c>
      <c r="BQ104" s="275" t="str">
        <f t="shared" ca="1" si="62"/>
        <v/>
      </c>
      <c r="BR104" s="275" t="str">
        <f t="shared" ca="1" si="63"/>
        <v/>
      </c>
      <c r="BS104" s="190"/>
      <c r="BT104"/>
      <c r="BU104" s="276" t="str">
        <f t="shared" si="64"/>
        <v>end</v>
      </c>
      <c r="BV104" s="277">
        <v>4</v>
      </c>
      <c r="BW104" s="278">
        <f>IF(BU104&lt;&gt;"",MIN(BU103:BU104),"")</f>
        <v>0</v>
      </c>
      <c r="BX104" s="278">
        <f>IF(BU104&lt;&gt;"",MAX(BU103:BU104),"")</f>
        <v>0</v>
      </c>
      <c r="BY104" s="279" t="str">
        <f t="shared" si="65"/>
        <v/>
      </c>
      <c r="BZ104"/>
      <c r="CA104" s="281" t="str">
        <f t="shared" si="30"/>
        <v>-</v>
      </c>
      <c r="CB104" s="31" t="str">
        <f t="shared" si="31"/>
        <v>-</v>
      </c>
      <c r="CC104" s="24" t="str">
        <f t="shared" si="32"/>
        <v>4-5</v>
      </c>
      <c r="CD104" s="282" t="str">
        <f t="shared" si="33"/>
        <v/>
      </c>
      <c r="CE104" s="281" t="str">
        <f t="shared" si="34"/>
        <v>-</v>
      </c>
      <c r="CF104" s="31" t="str">
        <f t="shared" ca="1" si="35"/>
        <v>-</v>
      </c>
      <c r="CG104" s="24" t="str">
        <f t="shared" si="36"/>
        <v>4-5</v>
      </c>
      <c r="CH104" s="283" t="str">
        <f t="shared" ca="1" si="37"/>
        <v/>
      </c>
      <c r="CI104" s="202"/>
      <c r="CJ104" s="99"/>
      <c r="CK104" s="99"/>
      <c r="CL104" s="99"/>
      <c r="CM104" s="99"/>
      <c r="CN104" s="99"/>
      <c r="CO104" s="99"/>
    </row>
    <row r="105" spans="2:93" ht="13.5" customHeight="1" x14ac:dyDescent="0.2">
      <c r="B105" s="262">
        <v>5</v>
      </c>
      <c r="C105" s="237" t="str">
        <f t="shared" si="1"/>
        <v/>
      </c>
      <c r="D105" s="237" t="str">
        <f t="shared" si="66"/>
        <v>-</v>
      </c>
      <c r="E105" s="263" t="str">
        <f t="shared" si="38"/>
        <v/>
      </c>
      <c r="F105" s="264" t="str">
        <f t="shared" si="39"/>
        <v/>
      </c>
      <c r="G105" s="264" t="str">
        <f t="shared" si="40"/>
        <v/>
      </c>
      <c r="H105" s="240" t="str">
        <f t="shared" si="41"/>
        <v/>
      </c>
      <c r="I105" s="265" t="str">
        <f t="shared" si="2"/>
        <v/>
      </c>
      <c r="J105" s="265" t="str">
        <f t="shared" si="3"/>
        <v/>
      </c>
      <c r="K105" s="240" t="str">
        <f t="shared" si="4"/>
        <v/>
      </c>
      <c r="L105" s="265" t="str">
        <f t="shared" si="5"/>
        <v/>
      </c>
      <c r="M105" s="265" t="str">
        <f t="shared" si="6"/>
        <v/>
      </c>
      <c r="N105" s="240" t="str">
        <f t="shared" si="7"/>
        <v>-</v>
      </c>
      <c r="O105" s="265" t="str">
        <f t="shared" si="8"/>
        <v>-</v>
      </c>
      <c r="P105" s="265" t="str">
        <f t="shared" si="9"/>
        <v>-</v>
      </c>
      <c r="Q105" s="266" t="str">
        <f t="shared" si="10"/>
        <v>-</v>
      </c>
      <c r="R105" s="267" t="str">
        <f t="shared" si="11"/>
        <v>-</v>
      </c>
      <c r="S105" s="268" t="str">
        <f t="shared" si="12"/>
        <v>-</v>
      </c>
      <c r="T105" s="269" t="str">
        <f>IF(SUM(H105:S105)=0,"",SUM(H105:S105))</f>
        <v/>
      </c>
      <c r="U105" s="221">
        <f t="shared" si="14"/>
        <v>5</v>
      </c>
      <c r="V105" s="220" t="str">
        <f t="shared" si="42"/>
        <v>-</v>
      </c>
      <c r="W105" s="221" t="str">
        <f t="shared" si="43"/>
        <v>-</v>
      </c>
      <c r="X105" s="221" t="str">
        <f t="shared" si="15"/>
        <v>-</v>
      </c>
      <c r="Y105" s="221" t="str">
        <f t="shared" si="16"/>
        <v>-</v>
      </c>
      <c r="Z105" s="270">
        <f t="shared" si="44"/>
        <v>0.1</v>
      </c>
      <c r="AA105" s="271" t="str">
        <f t="shared" si="67"/>
        <v>-</v>
      </c>
      <c r="AB105" s="271" t="str">
        <f t="shared" si="17"/>
        <v>-</v>
      </c>
      <c r="AC105" s="224">
        <f t="shared" si="45"/>
        <v>5</v>
      </c>
      <c r="AD105" s="223" t="str">
        <f t="shared" si="18"/>
        <v>-</v>
      </c>
      <c r="AE105" s="224" t="str">
        <f t="shared" si="46"/>
        <v>-</v>
      </c>
      <c r="AF105" s="224" t="str">
        <f t="shared" si="19"/>
        <v>-</v>
      </c>
      <c r="AG105" s="224" t="str">
        <f t="shared" si="20"/>
        <v>-</v>
      </c>
      <c r="AH105" s="272">
        <f t="shared" si="47"/>
        <v>0.1</v>
      </c>
      <c r="AI105" s="271" t="str">
        <f t="shared" si="21"/>
        <v>-</v>
      </c>
      <c r="AJ105" s="271" t="str">
        <f t="shared" si="48"/>
        <v>-</v>
      </c>
      <c r="AK105" s="227">
        <f t="shared" si="49"/>
        <v>5</v>
      </c>
      <c r="AL105" s="226" t="str">
        <f t="shared" si="22"/>
        <v>-</v>
      </c>
      <c r="AM105" s="227" t="str">
        <f t="shared" si="50"/>
        <v>-</v>
      </c>
      <c r="AN105" s="227" t="str">
        <f t="shared" si="51"/>
        <v>-</v>
      </c>
      <c r="AO105" s="227" t="str">
        <f t="shared" si="23"/>
        <v>-</v>
      </c>
      <c r="AP105" s="273">
        <f t="shared" si="52"/>
        <v>0.1</v>
      </c>
      <c r="AQ105" s="271" t="str">
        <f t="shared" si="53"/>
        <v>-</v>
      </c>
      <c r="AR105" s="271" t="str">
        <f t="shared" si="54"/>
        <v>-</v>
      </c>
      <c r="AS105" s="274">
        <f t="shared" si="24"/>
        <v>0</v>
      </c>
      <c r="AT105" s="274">
        <f t="shared" si="25"/>
        <v>0</v>
      </c>
      <c r="AU105" s="274">
        <f t="shared" si="26"/>
        <v>0</v>
      </c>
      <c r="AV105" s="275">
        <f>IF($B105&lt;$F$22,SUM($T$100:$T105),"")</f>
        <v>0</v>
      </c>
      <c r="AW105" s="275" t="str">
        <f t="shared" si="55"/>
        <v>-</v>
      </c>
      <c r="AX105" s="275" t="str">
        <f t="shared" si="56"/>
        <v/>
      </c>
      <c r="AY105"/>
      <c r="AZ105" s="275" t="str">
        <f ca="1">IF(ISNUMBER(OFFSET(AV105,-$F$21,0)),SUM(OFFSET($T$100,$F$21,0):$T105),"")</f>
        <v/>
      </c>
      <c r="BA105" s="275" t="str">
        <f t="shared" ca="1" si="27"/>
        <v/>
      </c>
      <c r="BB105" s="275" t="str">
        <f t="shared" ca="1" si="57"/>
        <v/>
      </c>
      <c r="BC105" s="190"/>
      <c r="BD105" s="275" t="str">
        <f ca="1">IFERROR(IF(OR(ISNUMBER(I),ISNUMBER($F$14)),IF(AND($B105&gt;=($F$16-$F$15),$B105&lt;$F$22+($F$16-$F$15)),SUM(OFFSET($T$100,($F$16-$F$15),0):$T105),""),""),"")</f>
        <v/>
      </c>
      <c r="BE105" s="275" t="str">
        <f t="shared" ca="1" si="58"/>
        <v/>
      </c>
      <c r="BF105" s="275" t="str">
        <f t="shared" ca="1" si="59"/>
        <v/>
      </c>
      <c r="BG105"/>
      <c r="BH105" s="190" t="str">
        <f ca="1">IF(ISNUMBER(OFFSET(BD105,-$F$21,0)),SUM(OFFSET($T$100,($F$16-$F$15+$F$21),0):$T105),"")</f>
        <v/>
      </c>
      <c r="BI105" s="190" t="str">
        <f t="shared" ca="1" si="28"/>
        <v/>
      </c>
      <c r="BJ105" s="190" t="str">
        <f t="shared" ca="1" si="60"/>
        <v/>
      </c>
      <c r="BK105" s="190"/>
      <c r="BL105" s="275" t="str">
        <f ca="1">IFERROR(IF(OR(ISNUMBER(I),ISNUMBER($F$14)),IF(AND($B105&gt;=($F$17-$F$15),$B105&lt;$F$22+($F$17-$F$15)),SUM(OFFSET($T$100,($F$17-$F$15),0):$T105),""),""),"")</f>
        <v/>
      </c>
      <c r="BM105" s="275" t="str">
        <f t="shared" ca="1" si="29"/>
        <v/>
      </c>
      <c r="BN105" s="275" t="str">
        <f t="shared" ca="1" si="61"/>
        <v/>
      </c>
      <c r="BO105"/>
      <c r="BP105" s="275" t="str">
        <f ca="1">IF(ISNUMBER(OFFSET(BL105,-$F$21,0)),SUM(OFFSET($T$100,($F$17-$F$15+$F$21),0):$T105),"")</f>
        <v/>
      </c>
      <c r="BQ105" s="275" t="str">
        <f t="shared" ca="1" si="62"/>
        <v/>
      </c>
      <c r="BR105" s="275" t="str">
        <f t="shared" ca="1" si="63"/>
        <v/>
      </c>
      <c r="BS105" s="190"/>
      <c r="BT105"/>
      <c r="BU105" s="276" t="str">
        <f t="shared" si="64"/>
        <v>end</v>
      </c>
      <c r="BV105" s="277">
        <v>5</v>
      </c>
      <c r="BW105" s="278">
        <f>IF(BU105&lt;&gt;"",MIN(BU104:BU105),"")</f>
        <v>0</v>
      </c>
      <c r="BX105" s="278">
        <f>IF(BU105&lt;&gt;"",MAX(BU104:BU105),"")</f>
        <v>0</v>
      </c>
      <c r="BY105" s="279" t="str">
        <f t="shared" si="65"/>
        <v/>
      </c>
      <c r="BZ105"/>
      <c r="CA105" s="284" t="str">
        <f t="shared" si="30"/>
        <v>-</v>
      </c>
      <c r="CB105" s="285" t="str">
        <f t="shared" si="31"/>
        <v>-</v>
      </c>
      <c r="CC105" s="285" t="str">
        <f t="shared" si="32"/>
        <v>5-6</v>
      </c>
      <c r="CD105" s="286" t="str">
        <f t="shared" si="33"/>
        <v/>
      </c>
      <c r="CE105" s="287" t="str">
        <f t="shared" si="34"/>
        <v>-</v>
      </c>
      <c r="CF105" s="285" t="str">
        <f t="shared" ca="1" si="35"/>
        <v>-</v>
      </c>
      <c r="CG105" s="285" t="str">
        <f t="shared" si="36"/>
        <v>5-6</v>
      </c>
      <c r="CH105" s="288" t="str">
        <f t="shared" ca="1" si="37"/>
        <v/>
      </c>
      <c r="CJ105" s="99"/>
      <c r="CK105" s="99"/>
      <c r="CL105" s="99"/>
      <c r="CM105" s="99"/>
      <c r="CN105" s="99"/>
      <c r="CO105" s="99"/>
    </row>
    <row r="106" spans="2:93" ht="13.5" customHeight="1" x14ac:dyDescent="0.2">
      <c r="B106" s="262">
        <v>6</v>
      </c>
      <c r="C106" s="237" t="str">
        <f t="shared" si="1"/>
        <v/>
      </c>
      <c r="D106" s="237" t="str">
        <f t="shared" si="66"/>
        <v>-</v>
      </c>
      <c r="E106" s="263" t="str">
        <f t="shared" si="38"/>
        <v/>
      </c>
      <c r="F106" s="264" t="str">
        <f t="shared" si="39"/>
        <v/>
      </c>
      <c r="G106" s="264" t="str">
        <f t="shared" si="40"/>
        <v/>
      </c>
      <c r="H106" s="240" t="str">
        <f t="shared" si="41"/>
        <v/>
      </c>
      <c r="I106" s="265" t="str">
        <f t="shared" si="2"/>
        <v/>
      </c>
      <c r="J106" s="265" t="str">
        <f t="shared" si="3"/>
        <v/>
      </c>
      <c r="K106" s="240" t="str">
        <f t="shared" si="4"/>
        <v/>
      </c>
      <c r="L106" s="265" t="str">
        <f t="shared" si="5"/>
        <v/>
      </c>
      <c r="M106" s="265" t="str">
        <f t="shared" si="6"/>
        <v/>
      </c>
      <c r="N106" s="240" t="str">
        <f t="shared" si="7"/>
        <v>-</v>
      </c>
      <c r="O106" s="265" t="str">
        <f t="shared" si="8"/>
        <v>-</v>
      </c>
      <c r="P106" s="265" t="str">
        <f t="shared" si="9"/>
        <v>-</v>
      </c>
      <c r="Q106" s="266" t="str">
        <f t="shared" si="10"/>
        <v>-</v>
      </c>
      <c r="R106" s="267" t="str">
        <f t="shared" si="11"/>
        <v>-</v>
      </c>
      <c r="S106" s="268" t="str">
        <f t="shared" si="12"/>
        <v>-</v>
      </c>
      <c r="T106" s="269" t="str">
        <f t="shared" si="13"/>
        <v/>
      </c>
      <c r="U106" s="221">
        <f t="shared" si="14"/>
        <v>6</v>
      </c>
      <c r="V106" s="220" t="str">
        <f t="shared" si="42"/>
        <v>-</v>
      </c>
      <c r="W106" s="221" t="str">
        <f t="shared" si="43"/>
        <v>-</v>
      </c>
      <c r="X106" s="221" t="str">
        <f t="shared" si="15"/>
        <v>-</v>
      </c>
      <c r="Y106" s="221" t="str">
        <f t="shared" si="16"/>
        <v>-</v>
      </c>
      <c r="Z106" s="270">
        <f t="shared" si="44"/>
        <v>0.1</v>
      </c>
      <c r="AA106" s="271" t="str">
        <f t="shared" si="67"/>
        <v>-</v>
      </c>
      <c r="AB106" s="271" t="str">
        <f t="shared" si="17"/>
        <v>-</v>
      </c>
      <c r="AC106" s="224">
        <f t="shared" si="45"/>
        <v>6</v>
      </c>
      <c r="AD106" s="223" t="str">
        <f t="shared" si="18"/>
        <v>-</v>
      </c>
      <c r="AE106" s="224" t="str">
        <f t="shared" si="46"/>
        <v>-</v>
      </c>
      <c r="AF106" s="224" t="str">
        <f t="shared" si="19"/>
        <v>-</v>
      </c>
      <c r="AG106" s="224" t="str">
        <f t="shared" si="20"/>
        <v>-</v>
      </c>
      <c r="AH106" s="272">
        <f t="shared" si="47"/>
        <v>0.1</v>
      </c>
      <c r="AI106" s="271" t="str">
        <f t="shared" si="21"/>
        <v>-</v>
      </c>
      <c r="AJ106" s="271" t="str">
        <f t="shared" si="48"/>
        <v>-</v>
      </c>
      <c r="AK106" s="227">
        <f t="shared" si="49"/>
        <v>6</v>
      </c>
      <c r="AL106" s="226" t="str">
        <f t="shared" si="22"/>
        <v>-</v>
      </c>
      <c r="AM106" s="227" t="str">
        <f t="shared" si="50"/>
        <v>-</v>
      </c>
      <c r="AN106" s="227" t="str">
        <f t="shared" si="51"/>
        <v>-</v>
      </c>
      <c r="AO106" s="227" t="str">
        <f t="shared" si="23"/>
        <v>-</v>
      </c>
      <c r="AP106" s="273">
        <f t="shared" si="52"/>
        <v>0.1</v>
      </c>
      <c r="AQ106" s="271" t="str">
        <f t="shared" si="53"/>
        <v>-</v>
      </c>
      <c r="AR106" s="271" t="str">
        <f t="shared" si="54"/>
        <v>-</v>
      </c>
      <c r="AS106" s="274">
        <f t="shared" si="24"/>
        <v>0</v>
      </c>
      <c r="AT106" s="274">
        <f t="shared" si="25"/>
        <v>0</v>
      </c>
      <c r="AU106" s="274">
        <f t="shared" si="26"/>
        <v>0</v>
      </c>
      <c r="AV106" s="275">
        <f>IF($B106&lt;$F$22,SUM($T$100:$T106),"")</f>
        <v>0</v>
      </c>
      <c r="AW106" s="275" t="str">
        <f t="shared" si="55"/>
        <v>-</v>
      </c>
      <c r="AX106" s="275" t="str">
        <f t="shared" si="56"/>
        <v/>
      </c>
      <c r="AY106"/>
      <c r="AZ106" s="275" t="str">
        <f ca="1">IF(ISNUMBER(OFFSET(AV106,-$F$21,0)),SUM(OFFSET($T$100,$F$21,0):$T106),"")</f>
        <v/>
      </c>
      <c r="BA106" s="275" t="str">
        <f t="shared" ca="1" si="27"/>
        <v/>
      </c>
      <c r="BB106" s="275" t="str">
        <f t="shared" ca="1" si="57"/>
        <v/>
      </c>
      <c r="BC106" s="190"/>
      <c r="BD106" s="275" t="str">
        <f ca="1">IFERROR(IF(OR(ISNUMBER(I),ISNUMBER($F$14)),IF(AND($B106&gt;=($F$16-$F$15),$B106&lt;$F$22+($F$16-$F$15)),SUM(OFFSET($T$100,($F$16-$F$15),0):$T106),""),""),"")</f>
        <v/>
      </c>
      <c r="BE106" s="275" t="str">
        <f t="shared" ca="1" si="58"/>
        <v/>
      </c>
      <c r="BF106" s="275" t="str">
        <f t="shared" ca="1" si="59"/>
        <v/>
      </c>
      <c r="BG106"/>
      <c r="BH106" s="190" t="str">
        <f ca="1">IF(ISNUMBER(OFFSET(BD106,-$F$21,0)),SUM(OFFSET($T$100,($F$16-$F$15+$F$21),0):$T106),"")</f>
        <v/>
      </c>
      <c r="BI106" s="190" t="str">
        <f t="shared" ca="1" si="28"/>
        <v/>
      </c>
      <c r="BJ106" s="190" t="str">
        <f t="shared" ca="1" si="60"/>
        <v/>
      </c>
      <c r="BK106" s="190"/>
      <c r="BL106" s="275" t="str">
        <f ca="1">IFERROR(IF(OR(ISNUMBER(I),ISNUMBER($F$14)),IF(AND($B106&gt;=($F$17-$F$15),$B106&lt;$F$22+($F$17-$F$15)),SUM(OFFSET($T$100,($F$17-$F$15),0):$T106),""),""),"")</f>
        <v/>
      </c>
      <c r="BM106" s="275" t="str">
        <f t="shared" ca="1" si="29"/>
        <v/>
      </c>
      <c r="BN106" s="275" t="str">
        <f t="shared" ca="1" si="61"/>
        <v/>
      </c>
      <c r="BO106"/>
      <c r="BP106" s="275" t="str">
        <f ca="1">IF(ISNUMBER(OFFSET(BL106,-$F$21,0)),SUM(OFFSET($T$100,($F$17-$F$15+$F$21),0):$T106),"")</f>
        <v/>
      </c>
      <c r="BQ106" s="275" t="str">
        <f t="shared" ca="1" si="62"/>
        <v/>
      </c>
      <c r="BR106" s="275" t="str">
        <f t="shared" ca="1" si="63"/>
        <v/>
      </c>
      <c r="BS106" s="190"/>
      <c r="BT106"/>
      <c r="BU106" s="276" t="str">
        <f t="shared" si="64"/>
        <v>end</v>
      </c>
      <c r="BV106" s="277">
        <v>6</v>
      </c>
      <c r="BW106" s="278" t="str">
        <f>IF(AND(BU106="end",BU105="end"), "", IF(BU106&lt;&gt;"",MIN(BU105:BU106),""))</f>
        <v/>
      </c>
      <c r="BX106" s="278" t="str">
        <f>IF(AND(BU106="end",BU105="end"), "", IF(BU106&lt;&gt;"",MAX(BU105:BU106),""))</f>
        <v/>
      </c>
      <c r="BY106" s="279" t="str">
        <f t="shared" si="65"/>
        <v/>
      </c>
      <c r="BZ106"/>
      <c r="CA106" s="284" t="str">
        <f t="shared" si="30"/>
        <v>-</v>
      </c>
      <c r="CB106" s="285" t="str">
        <f t="shared" si="31"/>
        <v>-</v>
      </c>
      <c r="CC106" s="285" t="str">
        <f t="shared" si="32"/>
        <v>6-7</v>
      </c>
      <c r="CD106" s="286" t="str">
        <f t="shared" si="33"/>
        <v/>
      </c>
      <c r="CE106" s="287" t="str">
        <f t="shared" si="34"/>
        <v>-</v>
      </c>
      <c r="CF106" s="285" t="str">
        <f t="shared" ca="1" si="35"/>
        <v>-</v>
      </c>
      <c r="CG106" s="285" t="str">
        <f t="shared" si="36"/>
        <v>6-7</v>
      </c>
      <c r="CH106" s="288" t="str">
        <f t="shared" ca="1" si="37"/>
        <v/>
      </c>
      <c r="CJ106" s="99"/>
      <c r="CK106" s="99"/>
      <c r="CL106" s="99"/>
      <c r="CM106" s="99"/>
      <c r="CN106" s="99"/>
      <c r="CO106" s="99"/>
    </row>
    <row r="107" spans="2:93" ht="13.5" customHeight="1" x14ac:dyDescent="0.2">
      <c r="B107" s="262">
        <v>7</v>
      </c>
      <c r="C107" s="236" t="str">
        <f t="shared" si="1"/>
        <v/>
      </c>
      <c r="D107" s="237" t="str">
        <f t="shared" si="66"/>
        <v>-</v>
      </c>
      <c r="E107" s="263" t="str">
        <f t="shared" si="38"/>
        <v/>
      </c>
      <c r="F107" s="264" t="str">
        <f t="shared" si="39"/>
        <v/>
      </c>
      <c r="G107" s="264" t="str">
        <f t="shared" si="40"/>
        <v/>
      </c>
      <c r="H107" s="240" t="str">
        <f t="shared" si="41"/>
        <v/>
      </c>
      <c r="I107" s="265" t="str">
        <f t="shared" si="2"/>
        <v/>
      </c>
      <c r="J107" s="265" t="str">
        <f t="shared" si="3"/>
        <v/>
      </c>
      <c r="K107" s="240" t="str">
        <f t="shared" si="4"/>
        <v/>
      </c>
      <c r="L107" s="265" t="str">
        <f t="shared" si="5"/>
        <v/>
      </c>
      <c r="M107" s="265" t="str">
        <f t="shared" si="6"/>
        <v/>
      </c>
      <c r="N107" s="240" t="str">
        <f t="shared" si="7"/>
        <v>-</v>
      </c>
      <c r="O107" s="265" t="str">
        <f t="shared" si="8"/>
        <v>-</v>
      </c>
      <c r="P107" s="265" t="str">
        <f t="shared" si="9"/>
        <v>-</v>
      </c>
      <c r="Q107" s="266" t="str">
        <f t="shared" si="10"/>
        <v>-</v>
      </c>
      <c r="R107" s="267" t="str">
        <f t="shared" si="11"/>
        <v>-</v>
      </c>
      <c r="S107" s="268" t="str">
        <f t="shared" si="12"/>
        <v>-</v>
      </c>
      <c r="T107" s="269" t="str">
        <f t="shared" si="13"/>
        <v/>
      </c>
      <c r="U107" s="221">
        <f t="shared" si="14"/>
        <v>7</v>
      </c>
      <c r="V107" s="220" t="str">
        <f t="shared" si="42"/>
        <v>-</v>
      </c>
      <c r="W107" s="221" t="str">
        <f t="shared" si="43"/>
        <v>-</v>
      </c>
      <c r="X107" s="221" t="str">
        <f t="shared" si="15"/>
        <v>-</v>
      </c>
      <c r="Y107" s="221" t="str">
        <f t="shared" si="16"/>
        <v>-</v>
      </c>
      <c r="Z107" s="270">
        <f t="shared" si="44"/>
        <v>0.1</v>
      </c>
      <c r="AA107" s="271" t="str">
        <f t="shared" si="67"/>
        <v>-</v>
      </c>
      <c r="AB107" s="271" t="str">
        <f t="shared" si="17"/>
        <v>-</v>
      </c>
      <c r="AC107" s="224">
        <f t="shared" si="45"/>
        <v>7</v>
      </c>
      <c r="AD107" s="223" t="str">
        <f t="shared" si="18"/>
        <v>-</v>
      </c>
      <c r="AE107" s="224" t="str">
        <f t="shared" si="46"/>
        <v>-</v>
      </c>
      <c r="AF107" s="224" t="str">
        <f t="shared" si="19"/>
        <v>-</v>
      </c>
      <c r="AG107" s="224" t="str">
        <f t="shared" si="20"/>
        <v>-</v>
      </c>
      <c r="AH107" s="272">
        <f t="shared" si="47"/>
        <v>0.1</v>
      </c>
      <c r="AI107" s="271" t="str">
        <f t="shared" si="21"/>
        <v>-</v>
      </c>
      <c r="AJ107" s="271" t="str">
        <f t="shared" si="48"/>
        <v>-</v>
      </c>
      <c r="AK107" s="227">
        <f t="shared" si="49"/>
        <v>7</v>
      </c>
      <c r="AL107" s="226" t="str">
        <f t="shared" si="22"/>
        <v>-</v>
      </c>
      <c r="AM107" s="227" t="str">
        <f t="shared" si="50"/>
        <v>-</v>
      </c>
      <c r="AN107" s="227" t="str">
        <f t="shared" si="51"/>
        <v>-</v>
      </c>
      <c r="AO107" s="227" t="str">
        <f t="shared" si="23"/>
        <v>-</v>
      </c>
      <c r="AP107" s="273">
        <f t="shared" si="52"/>
        <v>0.1</v>
      </c>
      <c r="AQ107" s="271" t="str">
        <f t="shared" si="53"/>
        <v>-</v>
      </c>
      <c r="AR107" s="271" t="str">
        <f t="shared" si="54"/>
        <v>-</v>
      </c>
      <c r="AS107" s="274">
        <f t="shared" si="24"/>
        <v>0</v>
      </c>
      <c r="AT107" s="274">
        <f t="shared" si="25"/>
        <v>0</v>
      </c>
      <c r="AU107" s="274">
        <f t="shared" si="26"/>
        <v>0</v>
      </c>
      <c r="AV107" s="275">
        <f>IF($B107&lt;$F$22,SUM($T$100:$T107),"")</f>
        <v>0</v>
      </c>
      <c r="AW107" s="275" t="str">
        <f t="shared" si="55"/>
        <v>-</v>
      </c>
      <c r="AX107" s="275" t="str">
        <f t="shared" si="56"/>
        <v/>
      </c>
      <c r="AY107"/>
      <c r="AZ107" s="275" t="str">
        <f ca="1">IF(ISNUMBER(OFFSET(AV107,-$F$21,0)),SUM(OFFSET($T$100,$F$21,0):$T107),"")</f>
        <v/>
      </c>
      <c r="BA107" s="275" t="str">
        <f t="shared" ca="1" si="27"/>
        <v/>
      </c>
      <c r="BB107" s="275" t="str">
        <f t="shared" ca="1" si="57"/>
        <v/>
      </c>
      <c r="BC107" s="190"/>
      <c r="BD107" s="275" t="str">
        <f ca="1">IFERROR(IF(OR(ISNUMBER(I),ISNUMBER($F$14)),IF(AND($B107&gt;=($F$16-$F$15),$B107&lt;$F$22+($F$16-$F$15)),SUM(OFFSET($T$100,($F$16-$F$15),0):$T107),""),""),"")</f>
        <v/>
      </c>
      <c r="BE107" s="275" t="str">
        <f t="shared" ca="1" si="58"/>
        <v/>
      </c>
      <c r="BF107" s="275" t="str">
        <f t="shared" ca="1" si="59"/>
        <v/>
      </c>
      <c r="BG107"/>
      <c r="BH107" s="190" t="str">
        <f ca="1">IF(ISNUMBER(OFFSET(BD107,-$F$21,0)),SUM(OFFSET($T$100,($F$16-$F$15+$F$21),0):$T107),"")</f>
        <v/>
      </c>
      <c r="BI107" s="190" t="str">
        <f t="shared" ca="1" si="28"/>
        <v/>
      </c>
      <c r="BJ107" s="190" t="str">
        <f t="shared" ca="1" si="60"/>
        <v/>
      </c>
      <c r="BK107" s="190"/>
      <c r="BL107" s="275" t="str">
        <f ca="1">IFERROR(IF(OR(ISNUMBER(I),ISNUMBER($F$14)),IF(AND($B107&gt;=($F$17-$F$15),$B107&lt;$F$22+($F$17-$F$15)),SUM(OFFSET($T$100,($F$17-$F$15),0):$T107),""),""),"")</f>
        <v/>
      </c>
      <c r="BM107" s="275" t="str">
        <f t="shared" ca="1" si="29"/>
        <v/>
      </c>
      <c r="BN107" s="275" t="str">
        <f t="shared" ca="1" si="61"/>
        <v/>
      </c>
      <c r="BO107"/>
      <c r="BP107" s="275" t="str">
        <f ca="1">IF(ISNUMBER(OFFSET(BL107,-$F$21,0)),SUM(OFFSET($T$100,($F$17-$F$15+$F$21),0):$T107),"")</f>
        <v/>
      </c>
      <c r="BQ107" s="275" t="str">
        <f t="shared" ca="1" si="62"/>
        <v/>
      </c>
      <c r="BR107" s="275" t="str">
        <f t="shared" ca="1" si="63"/>
        <v/>
      </c>
      <c r="BS107" s="190"/>
      <c r="BT107"/>
      <c r="BU107" s="276" t="str">
        <f t="shared" si="64"/>
        <v>end</v>
      </c>
      <c r="BV107" s="277">
        <v>7</v>
      </c>
      <c r="BW107" s="278" t="str">
        <f>IF(AND(BU107="end",BU106="end"), "", IF(BU107&lt;&gt;"",MIN(BU106:BU107),""))</f>
        <v/>
      </c>
      <c r="BX107" s="278" t="str">
        <f t="shared" ref="BX107:BX120" si="68">IF(AND(BU107="end",BU106="end"), "", IF(BU107&lt;&gt;"",MAX(BU106:BU107),""))</f>
        <v/>
      </c>
      <c r="BY107" s="279" t="str">
        <f t="shared" si="65"/>
        <v/>
      </c>
      <c r="BZ107"/>
      <c r="CA107" s="284" t="str">
        <f t="shared" si="30"/>
        <v>-</v>
      </c>
      <c r="CB107" s="285" t="str">
        <f t="shared" si="31"/>
        <v>-</v>
      </c>
      <c r="CC107" s="285" t="str">
        <f t="shared" si="32"/>
        <v>7-8</v>
      </c>
      <c r="CD107" s="286" t="str">
        <f t="shared" si="33"/>
        <v/>
      </c>
      <c r="CE107" s="287" t="str">
        <f t="shared" si="34"/>
        <v>-</v>
      </c>
      <c r="CF107" s="285" t="str">
        <f t="shared" ca="1" si="35"/>
        <v>-</v>
      </c>
      <c r="CG107" s="285" t="str">
        <f t="shared" si="36"/>
        <v>7-8</v>
      </c>
      <c r="CH107" s="288" t="str">
        <f t="shared" ca="1" si="37"/>
        <v/>
      </c>
      <c r="CJ107" s="99"/>
      <c r="CK107" s="99"/>
      <c r="CL107" s="99"/>
      <c r="CM107" s="99"/>
      <c r="CN107" s="99"/>
      <c r="CO107" s="99"/>
    </row>
    <row r="108" spans="2:93" ht="13.5" customHeight="1" x14ac:dyDescent="0.2">
      <c r="B108" s="262">
        <v>8</v>
      </c>
      <c r="C108" s="237" t="str">
        <f t="shared" si="1"/>
        <v/>
      </c>
      <c r="D108" s="237" t="str">
        <f t="shared" si="66"/>
        <v>-</v>
      </c>
      <c r="E108" s="263" t="str">
        <f t="shared" si="38"/>
        <v/>
      </c>
      <c r="F108" s="264" t="str">
        <f t="shared" si="39"/>
        <v/>
      </c>
      <c r="G108" s="264" t="str">
        <f t="shared" si="40"/>
        <v/>
      </c>
      <c r="H108" s="240" t="str">
        <f t="shared" si="41"/>
        <v/>
      </c>
      <c r="I108" s="265" t="str">
        <f t="shared" si="2"/>
        <v/>
      </c>
      <c r="J108" s="265" t="str">
        <f t="shared" si="3"/>
        <v/>
      </c>
      <c r="K108" s="240" t="str">
        <f t="shared" si="4"/>
        <v/>
      </c>
      <c r="L108" s="265" t="str">
        <f t="shared" si="5"/>
        <v/>
      </c>
      <c r="M108" s="265" t="str">
        <f t="shared" si="6"/>
        <v/>
      </c>
      <c r="N108" s="240" t="str">
        <f t="shared" si="7"/>
        <v>-</v>
      </c>
      <c r="O108" s="265" t="str">
        <f t="shared" si="8"/>
        <v>-</v>
      </c>
      <c r="P108" s="265" t="str">
        <f t="shared" si="9"/>
        <v>-</v>
      </c>
      <c r="Q108" s="266" t="str">
        <f t="shared" si="10"/>
        <v>-</v>
      </c>
      <c r="R108" s="267" t="str">
        <f t="shared" si="11"/>
        <v>-</v>
      </c>
      <c r="S108" s="268" t="str">
        <f t="shared" si="12"/>
        <v>-</v>
      </c>
      <c r="T108" s="269" t="str">
        <f t="shared" si="13"/>
        <v/>
      </c>
      <c r="U108" s="221">
        <f t="shared" si="14"/>
        <v>8</v>
      </c>
      <c r="V108" s="220" t="str">
        <f t="shared" si="42"/>
        <v>-</v>
      </c>
      <c r="W108" s="221" t="str">
        <f t="shared" si="43"/>
        <v>-</v>
      </c>
      <c r="X108" s="221" t="str">
        <f t="shared" si="15"/>
        <v>-</v>
      </c>
      <c r="Y108" s="221" t="str">
        <f t="shared" si="16"/>
        <v>-</v>
      </c>
      <c r="Z108" s="270">
        <f t="shared" si="44"/>
        <v>0.1</v>
      </c>
      <c r="AA108" s="271" t="str">
        <f t="shared" si="67"/>
        <v>-</v>
      </c>
      <c r="AB108" s="271" t="str">
        <f t="shared" si="17"/>
        <v>-</v>
      </c>
      <c r="AC108" s="224">
        <f t="shared" si="45"/>
        <v>8</v>
      </c>
      <c r="AD108" s="223" t="str">
        <f t="shared" si="18"/>
        <v>-</v>
      </c>
      <c r="AE108" s="224" t="str">
        <f t="shared" si="46"/>
        <v>-</v>
      </c>
      <c r="AF108" s="224" t="str">
        <f t="shared" si="19"/>
        <v>-</v>
      </c>
      <c r="AG108" s="224" t="str">
        <f t="shared" si="20"/>
        <v>-</v>
      </c>
      <c r="AH108" s="272">
        <f t="shared" si="47"/>
        <v>0.1</v>
      </c>
      <c r="AI108" s="271" t="str">
        <f t="shared" si="21"/>
        <v>-</v>
      </c>
      <c r="AJ108" s="271" t="str">
        <f t="shared" si="48"/>
        <v>-</v>
      </c>
      <c r="AK108" s="227">
        <f t="shared" si="49"/>
        <v>8</v>
      </c>
      <c r="AL108" s="226" t="str">
        <f t="shared" si="22"/>
        <v>-</v>
      </c>
      <c r="AM108" s="227" t="str">
        <f t="shared" si="50"/>
        <v>-</v>
      </c>
      <c r="AN108" s="227" t="str">
        <f t="shared" si="51"/>
        <v>-</v>
      </c>
      <c r="AO108" s="227" t="str">
        <f t="shared" si="23"/>
        <v>-</v>
      </c>
      <c r="AP108" s="273">
        <f t="shared" si="52"/>
        <v>0.1</v>
      </c>
      <c r="AQ108" s="271" t="str">
        <f t="shared" si="53"/>
        <v>-</v>
      </c>
      <c r="AR108" s="271" t="str">
        <f t="shared" si="54"/>
        <v>-</v>
      </c>
      <c r="AS108" s="274">
        <f t="shared" si="24"/>
        <v>0</v>
      </c>
      <c r="AT108" s="274">
        <f t="shared" si="25"/>
        <v>0</v>
      </c>
      <c r="AU108" s="274">
        <f t="shared" si="26"/>
        <v>0</v>
      </c>
      <c r="AV108" s="275">
        <f>IF($B108&lt;$F$22,SUM($T$100:$T108),"")</f>
        <v>0</v>
      </c>
      <c r="AW108" s="275" t="str">
        <f t="shared" si="55"/>
        <v>-</v>
      </c>
      <c r="AX108" s="275" t="str">
        <f t="shared" si="56"/>
        <v/>
      </c>
      <c r="AY108"/>
      <c r="AZ108" s="275" t="str">
        <f ca="1">IF(ISNUMBER(OFFSET(AV108,-$F$21,0)),SUM(OFFSET($T$100,$F$21,0):$T108),"")</f>
        <v/>
      </c>
      <c r="BA108" s="275" t="str">
        <f t="shared" ca="1" si="27"/>
        <v/>
      </c>
      <c r="BB108" s="275" t="str">
        <f t="shared" ca="1" si="57"/>
        <v/>
      </c>
      <c r="BC108" s="190"/>
      <c r="BD108" s="275" t="str">
        <f ca="1">IFERROR(IF(OR(ISNUMBER(I),ISNUMBER($F$14)),IF(AND($B108&gt;=($F$16-$F$15),$B108&lt;$F$22+($F$16-$F$15)),SUM(OFFSET($T$100,($F$16-$F$15),0):$T108),""),""),"")</f>
        <v/>
      </c>
      <c r="BE108" s="275" t="str">
        <f t="shared" ca="1" si="58"/>
        <v/>
      </c>
      <c r="BF108" s="275" t="str">
        <f t="shared" ca="1" si="59"/>
        <v/>
      </c>
      <c r="BG108"/>
      <c r="BH108" s="190" t="str">
        <f ca="1">IF(ISNUMBER(OFFSET(BD108,-$F$21,0)),SUM(OFFSET($T$100,($F$16-$F$15+$F$21),0):$T108),"")</f>
        <v/>
      </c>
      <c r="BI108" s="190" t="str">
        <f t="shared" ca="1" si="28"/>
        <v/>
      </c>
      <c r="BJ108" s="190" t="str">
        <f t="shared" ca="1" si="60"/>
        <v/>
      </c>
      <c r="BK108" s="190"/>
      <c r="BL108" s="275" t="str">
        <f ca="1">IFERROR(IF(OR(ISNUMBER(I),ISNUMBER($F$14)),IF(AND($B108&gt;=($F$17-$F$15),$B108&lt;$F$22+($F$17-$F$15)),SUM(OFFSET($T$100,($F$17-$F$15),0):$T108),""),""),"")</f>
        <v/>
      </c>
      <c r="BM108" s="275" t="str">
        <f t="shared" ca="1" si="29"/>
        <v/>
      </c>
      <c r="BN108" s="275" t="str">
        <f t="shared" ca="1" si="61"/>
        <v/>
      </c>
      <c r="BO108"/>
      <c r="BP108" s="275" t="str">
        <f ca="1">IF(ISNUMBER(OFFSET(BL108,-$F$21,0)),SUM(OFFSET($T$100,($F$17-$F$15+$F$21),0):$T108),"")</f>
        <v/>
      </c>
      <c r="BQ108" s="275" t="str">
        <f t="shared" ca="1" si="62"/>
        <v/>
      </c>
      <c r="BR108" s="275" t="str">
        <f t="shared" ca="1" si="63"/>
        <v/>
      </c>
      <c r="BS108" s="190"/>
      <c r="BT108"/>
      <c r="BU108" s="276" t="str">
        <f t="shared" si="64"/>
        <v>end</v>
      </c>
      <c r="BV108" s="277">
        <v>8</v>
      </c>
      <c r="BW108" s="278" t="str">
        <f t="shared" ref="BW108:BW120" si="69">IF(AND(BU108="end",BU107="end"), "", IF(BU108&lt;&gt;"",MIN(BU107:BU108),""))</f>
        <v/>
      </c>
      <c r="BX108" s="278" t="str">
        <f t="shared" si="68"/>
        <v/>
      </c>
      <c r="BY108" s="279" t="str">
        <f t="shared" si="65"/>
        <v/>
      </c>
      <c r="BZ108"/>
      <c r="CA108" s="284" t="str">
        <f t="shared" si="30"/>
        <v>-</v>
      </c>
      <c r="CB108" s="285" t="str">
        <f t="shared" si="31"/>
        <v>-</v>
      </c>
      <c r="CC108" s="285" t="str">
        <f t="shared" si="32"/>
        <v>8-9</v>
      </c>
      <c r="CD108" s="286" t="str">
        <f t="shared" si="33"/>
        <v/>
      </c>
      <c r="CE108" s="287" t="str">
        <f t="shared" si="34"/>
        <v>-</v>
      </c>
      <c r="CF108" s="285" t="str">
        <f t="shared" ca="1" si="35"/>
        <v>-</v>
      </c>
      <c r="CG108" s="285" t="str">
        <f t="shared" si="36"/>
        <v>8-9</v>
      </c>
      <c r="CH108" s="288" t="str">
        <f t="shared" ca="1" si="37"/>
        <v/>
      </c>
      <c r="CJ108" s="99"/>
      <c r="CK108" s="99"/>
      <c r="CL108" s="99"/>
      <c r="CM108" s="99"/>
      <c r="CN108" s="99"/>
      <c r="CO108" s="99"/>
    </row>
    <row r="109" spans="2:93" ht="13.5" customHeight="1" x14ac:dyDescent="0.2">
      <c r="B109" s="262">
        <v>9</v>
      </c>
      <c r="C109" s="237" t="str">
        <f t="shared" si="1"/>
        <v/>
      </c>
      <c r="D109" s="237" t="str">
        <f t="shared" si="66"/>
        <v>-</v>
      </c>
      <c r="E109" s="263" t="str">
        <f t="shared" si="38"/>
        <v/>
      </c>
      <c r="F109" s="264" t="str">
        <f t="shared" si="39"/>
        <v/>
      </c>
      <c r="G109" s="264" t="str">
        <f t="shared" si="40"/>
        <v/>
      </c>
      <c r="H109" s="240" t="str">
        <f t="shared" si="41"/>
        <v/>
      </c>
      <c r="I109" s="265" t="str">
        <f t="shared" si="2"/>
        <v/>
      </c>
      <c r="J109" s="265" t="str">
        <f t="shared" si="3"/>
        <v/>
      </c>
      <c r="K109" s="240" t="str">
        <f t="shared" si="4"/>
        <v/>
      </c>
      <c r="L109" s="265" t="str">
        <f t="shared" si="5"/>
        <v/>
      </c>
      <c r="M109" s="265" t="str">
        <f t="shared" si="6"/>
        <v/>
      </c>
      <c r="N109" s="240" t="str">
        <f t="shared" si="7"/>
        <v>-</v>
      </c>
      <c r="O109" s="265" t="str">
        <f t="shared" si="8"/>
        <v>-</v>
      </c>
      <c r="P109" s="265" t="str">
        <f t="shared" si="9"/>
        <v>-</v>
      </c>
      <c r="Q109" s="266" t="str">
        <f t="shared" si="10"/>
        <v>-</v>
      </c>
      <c r="R109" s="267" t="str">
        <f t="shared" si="11"/>
        <v>-</v>
      </c>
      <c r="S109" s="268" t="str">
        <f t="shared" si="12"/>
        <v>-</v>
      </c>
      <c r="T109" s="269" t="str">
        <f t="shared" si="13"/>
        <v/>
      </c>
      <c r="U109" s="221">
        <f t="shared" si="14"/>
        <v>9</v>
      </c>
      <c r="V109" s="220" t="str">
        <f t="shared" si="42"/>
        <v>-</v>
      </c>
      <c r="W109" s="221" t="str">
        <f t="shared" si="43"/>
        <v>-</v>
      </c>
      <c r="X109" s="221" t="str">
        <f t="shared" si="15"/>
        <v>-</v>
      </c>
      <c r="Y109" s="221" t="str">
        <f t="shared" si="16"/>
        <v>-</v>
      </c>
      <c r="Z109" s="270">
        <f t="shared" si="44"/>
        <v>0.1</v>
      </c>
      <c r="AA109" s="271" t="str">
        <f t="shared" si="67"/>
        <v>-</v>
      </c>
      <c r="AB109" s="271" t="str">
        <f t="shared" si="17"/>
        <v>-</v>
      </c>
      <c r="AC109" s="224">
        <f t="shared" si="45"/>
        <v>9</v>
      </c>
      <c r="AD109" s="223" t="str">
        <f t="shared" si="18"/>
        <v>-</v>
      </c>
      <c r="AE109" s="224" t="str">
        <f t="shared" si="46"/>
        <v>-</v>
      </c>
      <c r="AF109" s="224" t="str">
        <f t="shared" si="19"/>
        <v>-</v>
      </c>
      <c r="AG109" s="224" t="str">
        <f t="shared" si="20"/>
        <v>-</v>
      </c>
      <c r="AH109" s="272">
        <f t="shared" si="47"/>
        <v>0.1</v>
      </c>
      <c r="AI109" s="271" t="str">
        <f t="shared" si="21"/>
        <v>-</v>
      </c>
      <c r="AJ109" s="271" t="str">
        <f t="shared" si="48"/>
        <v>-</v>
      </c>
      <c r="AK109" s="227">
        <f t="shared" si="49"/>
        <v>9</v>
      </c>
      <c r="AL109" s="226" t="str">
        <f t="shared" si="22"/>
        <v>-</v>
      </c>
      <c r="AM109" s="227" t="str">
        <f t="shared" si="50"/>
        <v>-</v>
      </c>
      <c r="AN109" s="227" t="str">
        <f t="shared" si="51"/>
        <v>-</v>
      </c>
      <c r="AO109" s="227" t="str">
        <f t="shared" si="23"/>
        <v>-</v>
      </c>
      <c r="AP109" s="273">
        <f t="shared" si="52"/>
        <v>0.1</v>
      </c>
      <c r="AQ109" s="271" t="str">
        <f t="shared" si="53"/>
        <v>-</v>
      </c>
      <c r="AR109" s="271" t="str">
        <f t="shared" si="54"/>
        <v>-</v>
      </c>
      <c r="AS109" s="274">
        <f t="shared" si="24"/>
        <v>0</v>
      </c>
      <c r="AT109" s="274">
        <f t="shared" si="25"/>
        <v>0</v>
      </c>
      <c r="AU109" s="274">
        <f t="shared" si="26"/>
        <v>0</v>
      </c>
      <c r="AV109" s="275">
        <f>IF($B109&lt;$F$22,SUM($T$100:$T109),"")</f>
        <v>0</v>
      </c>
      <c r="AW109" s="275" t="str">
        <f t="shared" si="55"/>
        <v>-</v>
      </c>
      <c r="AX109" s="275" t="str">
        <f t="shared" si="56"/>
        <v/>
      </c>
      <c r="AY109"/>
      <c r="AZ109" s="275" t="str">
        <f ca="1">IF(ISNUMBER(OFFSET(AV109,-$F$21,0)),SUM(OFFSET($T$100,$F$21,0):$T109),"")</f>
        <v/>
      </c>
      <c r="BA109" s="275" t="str">
        <f t="shared" ca="1" si="27"/>
        <v/>
      </c>
      <c r="BB109" s="275" t="str">
        <f t="shared" ca="1" si="57"/>
        <v/>
      </c>
      <c r="BC109" s="190"/>
      <c r="BD109" s="275" t="str">
        <f ca="1">IFERROR(IF(OR(ISNUMBER(I),ISNUMBER($F$14)),IF(AND($B109&gt;=($F$16-$F$15),$B109&lt;$F$22+($F$16-$F$15)),SUM(OFFSET($T$100,($F$16-$F$15),0):$T109),""),""),"")</f>
        <v/>
      </c>
      <c r="BE109" s="275" t="str">
        <f t="shared" ca="1" si="58"/>
        <v/>
      </c>
      <c r="BF109" s="275" t="str">
        <f t="shared" ca="1" si="59"/>
        <v/>
      </c>
      <c r="BG109"/>
      <c r="BH109" s="190" t="str">
        <f ca="1">IF(ISNUMBER(OFFSET(BD109,-$F$21,0)),SUM(OFFSET($T$100,($F$16-$F$15+$F$21),0):$T109),"")</f>
        <v/>
      </c>
      <c r="BI109" s="190" t="str">
        <f t="shared" ca="1" si="28"/>
        <v/>
      </c>
      <c r="BJ109" s="190" t="str">
        <f t="shared" ca="1" si="60"/>
        <v/>
      </c>
      <c r="BK109" s="190"/>
      <c r="BL109" s="275" t="str">
        <f ca="1">IFERROR(IF(OR(ISNUMBER(I),ISNUMBER($F$14)),IF(AND($B109&gt;=($F$17-$F$15),$B109&lt;$F$22+($F$17-$F$15)),SUM(OFFSET($T$100,($F$17-$F$15),0):$T109),""),""),"")</f>
        <v/>
      </c>
      <c r="BM109" s="275" t="str">
        <f t="shared" ca="1" si="29"/>
        <v/>
      </c>
      <c r="BN109" s="275" t="str">
        <f t="shared" ca="1" si="61"/>
        <v/>
      </c>
      <c r="BO109"/>
      <c r="BP109" s="275" t="str">
        <f ca="1">IF(ISNUMBER(OFFSET(BL109,-$F$21,0)),SUM(OFFSET($T$100,($F$17-$F$15+$F$21),0):$T109),"")</f>
        <v/>
      </c>
      <c r="BQ109" s="275" t="str">
        <f t="shared" ca="1" si="62"/>
        <v/>
      </c>
      <c r="BR109" s="275" t="str">
        <f t="shared" ca="1" si="63"/>
        <v/>
      </c>
      <c r="BS109" s="190"/>
      <c r="BT109"/>
      <c r="BU109" s="276" t="str">
        <f t="shared" si="64"/>
        <v>end</v>
      </c>
      <c r="BV109" s="277">
        <v>9</v>
      </c>
      <c r="BW109" s="278" t="str">
        <f t="shared" si="69"/>
        <v/>
      </c>
      <c r="BX109" s="278" t="str">
        <f t="shared" si="68"/>
        <v/>
      </c>
      <c r="BY109" s="279" t="str">
        <f t="shared" si="65"/>
        <v/>
      </c>
      <c r="BZ109"/>
      <c r="CA109" s="284" t="str">
        <f t="shared" si="30"/>
        <v>-</v>
      </c>
      <c r="CB109" s="285" t="str">
        <f t="shared" si="31"/>
        <v>-</v>
      </c>
      <c r="CC109" s="285" t="str">
        <f t="shared" si="32"/>
        <v>9-10</v>
      </c>
      <c r="CD109" s="286" t="str">
        <f t="shared" si="33"/>
        <v/>
      </c>
      <c r="CE109" s="287" t="str">
        <f t="shared" si="34"/>
        <v>-</v>
      </c>
      <c r="CF109" s="285" t="str">
        <f t="shared" ca="1" si="35"/>
        <v>-</v>
      </c>
      <c r="CG109" s="285" t="str">
        <f t="shared" si="36"/>
        <v>9-10</v>
      </c>
      <c r="CH109" s="288" t="str">
        <f t="shared" ca="1" si="37"/>
        <v/>
      </c>
      <c r="CJ109" s="99"/>
      <c r="CK109" s="99"/>
      <c r="CL109" s="99"/>
      <c r="CM109" s="99"/>
      <c r="CN109" s="99"/>
      <c r="CO109" s="99"/>
    </row>
    <row r="110" spans="2:93" ht="13.5" customHeight="1" x14ac:dyDescent="0.2">
      <c r="B110" s="262">
        <v>10</v>
      </c>
      <c r="C110" s="237" t="str">
        <f t="shared" si="1"/>
        <v/>
      </c>
      <c r="D110" s="237" t="str">
        <f t="shared" si="66"/>
        <v>-</v>
      </c>
      <c r="E110" s="263" t="str">
        <f t="shared" si="38"/>
        <v/>
      </c>
      <c r="F110" s="264" t="str">
        <f t="shared" si="39"/>
        <v/>
      </c>
      <c r="G110" s="264" t="str">
        <f t="shared" si="40"/>
        <v/>
      </c>
      <c r="H110" s="240" t="str">
        <f t="shared" si="41"/>
        <v/>
      </c>
      <c r="I110" s="265" t="str">
        <f t="shared" si="2"/>
        <v/>
      </c>
      <c r="J110" s="265" t="str">
        <f t="shared" si="3"/>
        <v/>
      </c>
      <c r="K110" s="240" t="str">
        <f t="shared" si="4"/>
        <v/>
      </c>
      <c r="L110" s="265" t="str">
        <f t="shared" si="5"/>
        <v/>
      </c>
      <c r="M110" s="265" t="str">
        <f t="shared" si="6"/>
        <v/>
      </c>
      <c r="N110" s="240" t="str">
        <f t="shared" si="7"/>
        <v>-</v>
      </c>
      <c r="O110" s="265" t="str">
        <f t="shared" si="8"/>
        <v>-</v>
      </c>
      <c r="P110" s="265" t="str">
        <f t="shared" si="9"/>
        <v>-</v>
      </c>
      <c r="Q110" s="266" t="str">
        <f t="shared" si="10"/>
        <v>-</v>
      </c>
      <c r="R110" s="267" t="str">
        <f t="shared" si="11"/>
        <v>-</v>
      </c>
      <c r="S110" s="268" t="str">
        <f t="shared" si="12"/>
        <v>-</v>
      </c>
      <c r="T110" s="269" t="str">
        <f t="shared" si="13"/>
        <v/>
      </c>
      <c r="U110" s="221">
        <f t="shared" si="14"/>
        <v>10</v>
      </c>
      <c r="V110" s="220" t="str">
        <f t="shared" si="42"/>
        <v>-</v>
      </c>
      <c r="W110" s="221" t="str">
        <f t="shared" si="43"/>
        <v>-</v>
      </c>
      <c r="X110" s="221" t="str">
        <f t="shared" si="15"/>
        <v>-</v>
      </c>
      <c r="Y110" s="221" t="str">
        <f t="shared" si="16"/>
        <v>-</v>
      </c>
      <c r="Z110" s="270">
        <f t="shared" si="44"/>
        <v>0.1</v>
      </c>
      <c r="AA110" s="271" t="str">
        <f t="shared" si="67"/>
        <v>-</v>
      </c>
      <c r="AB110" s="271" t="str">
        <f t="shared" si="17"/>
        <v>-</v>
      </c>
      <c r="AC110" s="224">
        <f t="shared" si="45"/>
        <v>10</v>
      </c>
      <c r="AD110" s="223" t="str">
        <f t="shared" si="18"/>
        <v>-</v>
      </c>
      <c r="AE110" s="224" t="str">
        <f t="shared" si="46"/>
        <v>-</v>
      </c>
      <c r="AF110" s="224" t="str">
        <f t="shared" si="19"/>
        <v>-</v>
      </c>
      <c r="AG110" s="224" t="str">
        <f t="shared" si="20"/>
        <v>-</v>
      </c>
      <c r="AH110" s="272">
        <f t="shared" si="47"/>
        <v>0.1</v>
      </c>
      <c r="AI110" s="271" t="str">
        <f t="shared" si="21"/>
        <v>-</v>
      </c>
      <c r="AJ110" s="271" t="str">
        <f t="shared" si="48"/>
        <v>-</v>
      </c>
      <c r="AK110" s="227">
        <f t="shared" si="49"/>
        <v>10</v>
      </c>
      <c r="AL110" s="226" t="str">
        <f t="shared" si="22"/>
        <v>-</v>
      </c>
      <c r="AM110" s="227" t="str">
        <f t="shared" si="50"/>
        <v>-</v>
      </c>
      <c r="AN110" s="227" t="str">
        <f t="shared" si="51"/>
        <v>-</v>
      </c>
      <c r="AO110" s="227" t="str">
        <f t="shared" si="23"/>
        <v>-</v>
      </c>
      <c r="AP110" s="273">
        <f t="shared" si="52"/>
        <v>0.1</v>
      </c>
      <c r="AQ110" s="271" t="str">
        <f t="shared" si="53"/>
        <v>-</v>
      </c>
      <c r="AR110" s="271" t="str">
        <f t="shared" si="54"/>
        <v>-</v>
      </c>
      <c r="AS110" s="274">
        <f t="shared" si="24"/>
        <v>0</v>
      </c>
      <c r="AT110" s="274">
        <f t="shared" si="25"/>
        <v>0</v>
      </c>
      <c r="AU110" s="274">
        <f t="shared" si="26"/>
        <v>0</v>
      </c>
      <c r="AV110" s="275">
        <f>IF($B110&lt;$F$22,SUM($T$100:$T110),"")</f>
        <v>0</v>
      </c>
      <c r="AW110" s="275" t="str">
        <f t="shared" si="55"/>
        <v>-</v>
      </c>
      <c r="AX110" s="275" t="str">
        <f t="shared" si="56"/>
        <v/>
      </c>
      <c r="AY110"/>
      <c r="AZ110" s="275" t="str">
        <f ca="1">IF(ISNUMBER(OFFSET(AV110,-$F$21,0)),SUM(OFFSET($T$100,$F$21,0):$T110),"")</f>
        <v/>
      </c>
      <c r="BA110" s="275" t="str">
        <f t="shared" ca="1" si="27"/>
        <v/>
      </c>
      <c r="BB110" s="275" t="str">
        <f t="shared" ca="1" si="57"/>
        <v/>
      </c>
      <c r="BC110" s="190"/>
      <c r="BD110" s="275" t="str">
        <f ca="1">IFERROR(IF(OR(ISNUMBER(I),ISNUMBER($F$14)),IF(AND($B110&gt;=($F$16-$F$15),$B110&lt;$F$22+($F$16-$F$15)),SUM(OFFSET($T$100,($F$16-$F$15),0):$T110),""),""),"")</f>
        <v/>
      </c>
      <c r="BE110" s="275" t="str">
        <f t="shared" ca="1" si="58"/>
        <v/>
      </c>
      <c r="BF110" s="275" t="str">
        <f t="shared" ca="1" si="59"/>
        <v/>
      </c>
      <c r="BG110"/>
      <c r="BH110" s="190" t="str">
        <f ca="1">IF(ISNUMBER(OFFSET(BD110,-$F$21,0)),SUM(OFFSET($T$100,($F$16-$F$15+$F$21),0):$T110),"")</f>
        <v/>
      </c>
      <c r="BI110" s="190" t="str">
        <f t="shared" ca="1" si="28"/>
        <v/>
      </c>
      <c r="BJ110" s="190" t="str">
        <f t="shared" ca="1" si="60"/>
        <v/>
      </c>
      <c r="BK110" s="190"/>
      <c r="BL110" s="275" t="str">
        <f ca="1">IFERROR(IF(OR(ISNUMBER(I),ISNUMBER($F$14)),IF(AND($B110&gt;=($F$17-$F$15),$B110&lt;$F$22+($F$17-$F$15)),SUM(OFFSET($T$100,($F$17-$F$15),0):$T110),""),""),"")</f>
        <v/>
      </c>
      <c r="BM110" s="275" t="str">
        <f t="shared" ca="1" si="29"/>
        <v/>
      </c>
      <c r="BN110" s="275" t="str">
        <f t="shared" ca="1" si="61"/>
        <v/>
      </c>
      <c r="BO110"/>
      <c r="BP110" s="275" t="str">
        <f ca="1">IF(ISNUMBER(OFFSET(BL110,-$F$21,0)),SUM(OFFSET($T$100,($F$17-$F$15+$F$21),0):$T110),"")</f>
        <v/>
      </c>
      <c r="BQ110" s="275" t="str">
        <f t="shared" ca="1" si="62"/>
        <v/>
      </c>
      <c r="BR110" s="275" t="str">
        <f t="shared" ca="1" si="63"/>
        <v/>
      </c>
      <c r="BS110" s="190"/>
      <c r="BT110"/>
      <c r="BU110" s="276" t="str">
        <f t="shared" si="64"/>
        <v>end</v>
      </c>
      <c r="BV110" s="277">
        <v>10</v>
      </c>
      <c r="BW110" s="278" t="str">
        <f t="shared" si="69"/>
        <v/>
      </c>
      <c r="BX110" s="278" t="str">
        <f t="shared" si="68"/>
        <v/>
      </c>
      <c r="BY110" s="279" t="str">
        <f t="shared" si="65"/>
        <v/>
      </c>
      <c r="BZ110"/>
      <c r="CA110" s="284" t="str">
        <f t="shared" si="30"/>
        <v>-</v>
      </c>
      <c r="CB110" s="285" t="str">
        <f t="shared" si="31"/>
        <v>-</v>
      </c>
      <c r="CC110" s="285" t="str">
        <f t="shared" si="32"/>
        <v>10-11</v>
      </c>
      <c r="CD110" s="286" t="str">
        <f t="shared" si="33"/>
        <v/>
      </c>
      <c r="CE110" s="287" t="str">
        <f t="shared" si="34"/>
        <v>-</v>
      </c>
      <c r="CF110" s="285" t="str">
        <f t="shared" ca="1" si="35"/>
        <v>-</v>
      </c>
      <c r="CG110" s="285" t="str">
        <f t="shared" si="36"/>
        <v>10-11</v>
      </c>
      <c r="CH110" s="288" t="str">
        <f t="shared" ca="1" si="37"/>
        <v/>
      </c>
      <c r="CJ110" s="99"/>
      <c r="CK110" s="99"/>
      <c r="CL110" s="99"/>
      <c r="CM110" s="99"/>
      <c r="CN110" s="99"/>
      <c r="CO110" s="99"/>
    </row>
    <row r="111" spans="2:93" ht="13.5" customHeight="1" x14ac:dyDescent="0.2">
      <c r="B111" s="262">
        <v>11</v>
      </c>
      <c r="C111" s="237" t="str">
        <f t="shared" si="1"/>
        <v/>
      </c>
      <c r="D111" s="237" t="str">
        <f t="shared" si="66"/>
        <v>-</v>
      </c>
      <c r="E111" s="263" t="str">
        <f t="shared" si="38"/>
        <v/>
      </c>
      <c r="F111" s="264" t="str">
        <f t="shared" si="39"/>
        <v/>
      </c>
      <c r="G111" s="264" t="str">
        <f t="shared" si="40"/>
        <v/>
      </c>
      <c r="H111" s="240" t="str">
        <f t="shared" si="41"/>
        <v/>
      </c>
      <c r="I111" s="265" t="str">
        <f t="shared" si="2"/>
        <v/>
      </c>
      <c r="J111" s="265" t="str">
        <f t="shared" si="3"/>
        <v/>
      </c>
      <c r="K111" s="240" t="str">
        <f t="shared" si="4"/>
        <v/>
      </c>
      <c r="L111" s="265" t="str">
        <f t="shared" si="5"/>
        <v/>
      </c>
      <c r="M111" s="265" t="str">
        <f t="shared" si="6"/>
        <v/>
      </c>
      <c r="N111" s="240" t="str">
        <f t="shared" si="7"/>
        <v>-</v>
      </c>
      <c r="O111" s="265" t="str">
        <f t="shared" si="8"/>
        <v>-</v>
      </c>
      <c r="P111" s="265" t="str">
        <f t="shared" si="9"/>
        <v>-</v>
      </c>
      <c r="Q111" s="266" t="str">
        <f t="shared" si="10"/>
        <v>-</v>
      </c>
      <c r="R111" s="267" t="str">
        <f t="shared" si="11"/>
        <v>-</v>
      </c>
      <c r="S111" s="268" t="str">
        <f t="shared" si="12"/>
        <v>-</v>
      </c>
      <c r="T111" s="269" t="str">
        <f t="shared" si="13"/>
        <v/>
      </c>
      <c r="U111" s="221">
        <f t="shared" si="14"/>
        <v>11</v>
      </c>
      <c r="V111" s="220" t="str">
        <f t="shared" si="42"/>
        <v>-</v>
      </c>
      <c r="W111" s="221" t="str">
        <f t="shared" si="43"/>
        <v>-</v>
      </c>
      <c r="X111" s="221" t="str">
        <f t="shared" si="15"/>
        <v>-</v>
      </c>
      <c r="Y111" s="221" t="str">
        <f t="shared" si="16"/>
        <v>-</v>
      </c>
      <c r="Z111" s="270">
        <f t="shared" si="44"/>
        <v>0.1</v>
      </c>
      <c r="AA111" s="271" t="str">
        <f t="shared" si="67"/>
        <v>-</v>
      </c>
      <c r="AB111" s="271" t="str">
        <f t="shared" si="17"/>
        <v>-</v>
      </c>
      <c r="AC111" s="224">
        <f t="shared" si="45"/>
        <v>11</v>
      </c>
      <c r="AD111" s="223" t="str">
        <f t="shared" si="18"/>
        <v>-</v>
      </c>
      <c r="AE111" s="224" t="str">
        <f t="shared" si="46"/>
        <v>-</v>
      </c>
      <c r="AF111" s="224" t="str">
        <f t="shared" si="19"/>
        <v>-</v>
      </c>
      <c r="AG111" s="224" t="str">
        <f t="shared" si="20"/>
        <v>-</v>
      </c>
      <c r="AH111" s="272">
        <f t="shared" si="47"/>
        <v>0.1</v>
      </c>
      <c r="AI111" s="271" t="str">
        <f t="shared" si="21"/>
        <v>-</v>
      </c>
      <c r="AJ111" s="271" t="str">
        <f t="shared" si="48"/>
        <v>-</v>
      </c>
      <c r="AK111" s="227">
        <f t="shared" si="49"/>
        <v>11</v>
      </c>
      <c r="AL111" s="226" t="str">
        <f t="shared" si="22"/>
        <v>-</v>
      </c>
      <c r="AM111" s="227" t="str">
        <f t="shared" si="50"/>
        <v>-</v>
      </c>
      <c r="AN111" s="227" t="str">
        <f t="shared" si="51"/>
        <v>-</v>
      </c>
      <c r="AO111" s="227" t="str">
        <f t="shared" si="23"/>
        <v>-</v>
      </c>
      <c r="AP111" s="273">
        <f t="shared" si="52"/>
        <v>0.1</v>
      </c>
      <c r="AQ111" s="271" t="str">
        <f t="shared" si="53"/>
        <v>-</v>
      </c>
      <c r="AR111" s="271" t="str">
        <f t="shared" si="54"/>
        <v>-</v>
      </c>
      <c r="AS111" s="274">
        <f t="shared" si="24"/>
        <v>0</v>
      </c>
      <c r="AT111" s="274">
        <f t="shared" si="25"/>
        <v>0</v>
      </c>
      <c r="AU111" s="274">
        <f t="shared" si="26"/>
        <v>0</v>
      </c>
      <c r="AV111" s="275">
        <f>IF($B111&lt;$F$22,SUM($T$100:$T111),"")</f>
        <v>0</v>
      </c>
      <c r="AW111" s="275" t="str">
        <f t="shared" si="55"/>
        <v>-</v>
      </c>
      <c r="AX111" s="275" t="str">
        <f t="shared" si="56"/>
        <v/>
      </c>
      <c r="AY111"/>
      <c r="AZ111" s="275" t="str">
        <f ca="1">IF(ISNUMBER(OFFSET(AV111,-$F$21,0)),SUM(OFFSET($T$100,$F$21,0):$T111),"")</f>
        <v/>
      </c>
      <c r="BA111" s="275" t="str">
        <f t="shared" ca="1" si="27"/>
        <v/>
      </c>
      <c r="BB111" s="275" t="str">
        <f t="shared" ca="1" si="57"/>
        <v/>
      </c>
      <c r="BC111" s="190"/>
      <c r="BD111" s="275" t="str">
        <f ca="1">IFERROR(IF(OR(ISNUMBER(I),ISNUMBER($F$14)),IF(AND($B111&gt;=($F$16-$F$15),$B111&lt;$F$22+($F$16-$F$15)),SUM(OFFSET($T$100,($F$16-$F$15),0):$T111),""),""),"")</f>
        <v/>
      </c>
      <c r="BE111" s="275" t="str">
        <f t="shared" ca="1" si="58"/>
        <v/>
      </c>
      <c r="BF111" s="275" t="str">
        <f t="shared" ca="1" si="59"/>
        <v/>
      </c>
      <c r="BG111"/>
      <c r="BH111" s="190" t="str">
        <f ca="1">IF(ISNUMBER(OFFSET(BD111,-$F$21,0)),SUM(OFFSET($T$100,($F$16-$F$15+$F$21),0):$T111),"")</f>
        <v/>
      </c>
      <c r="BI111" s="190" t="str">
        <f t="shared" ca="1" si="28"/>
        <v/>
      </c>
      <c r="BJ111" s="190" t="str">
        <f t="shared" ca="1" si="60"/>
        <v/>
      </c>
      <c r="BK111" s="190"/>
      <c r="BL111" s="275" t="str">
        <f ca="1">IFERROR(IF(OR(ISNUMBER(I),ISNUMBER($F$14)),IF(AND($B111&gt;=($F$17-$F$15),$B111&lt;$F$22+($F$17-$F$15)),SUM(OFFSET($T$100,($F$17-$F$15),0):$T111),""),""),"")</f>
        <v/>
      </c>
      <c r="BM111" s="275" t="str">
        <f t="shared" ca="1" si="29"/>
        <v/>
      </c>
      <c r="BN111" s="275" t="str">
        <f t="shared" ca="1" si="61"/>
        <v/>
      </c>
      <c r="BO111"/>
      <c r="BP111" s="275" t="str">
        <f ca="1">IF(ISNUMBER(OFFSET(BL111,-$F$21,0)),SUM(OFFSET($T$100,($F$17-$F$15+$F$21),0):$T111),"")</f>
        <v/>
      </c>
      <c r="BQ111" s="275" t="str">
        <f t="shared" ca="1" si="62"/>
        <v/>
      </c>
      <c r="BR111" s="275" t="str">
        <f t="shared" ca="1" si="63"/>
        <v/>
      </c>
      <c r="BS111" s="190"/>
      <c r="BT111"/>
      <c r="BU111" s="276" t="str">
        <f t="shared" si="64"/>
        <v>end</v>
      </c>
      <c r="BV111" s="277">
        <v>11</v>
      </c>
      <c r="BW111" s="278" t="str">
        <f t="shared" si="69"/>
        <v/>
      </c>
      <c r="BX111" s="278" t="str">
        <f t="shared" si="68"/>
        <v/>
      </c>
      <c r="BY111" s="279" t="str">
        <f t="shared" si="65"/>
        <v/>
      </c>
      <c r="BZ111"/>
      <c r="CA111" s="284" t="str">
        <f t="shared" si="30"/>
        <v>-</v>
      </c>
      <c r="CB111" s="285" t="str">
        <f t="shared" si="31"/>
        <v>-</v>
      </c>
      <c r="CC111" s="285" t="str">
        <f t="shared" si="32"/>
        <v>11-12</v>
      </c>
      <c r="CD111" s="286" t="str">
        <f t="shared" si="33"/>
        <v/>
      </c>
      <c r="CE111" s="287" t="str">
        <f t="shared" si="34"/>
        <v>-</v>
      </c>
      <c r="CF111" s="285" t="str">
        <f t="shared" ca="1" si="35"/>
        <v>-</v>
      </c>
      <c r="CG111" s="285" t="str">
        <f t="shared" si="36"/>
        <v>11-12</v>
      </c>
      <c r="CH111" s="288" t="str">
        <f t="shared" ca="1" si="37"/>
        <v/>
      </c>
      <c r="CJ111" s="99"/>
      <c r="CK111" s="99"/>
      <c r="CL111" s="99"/>
      <c r="CM111" s="99"/>
      <c r="CN111" s="99"/>
      <c r="CO111" s="99"/>
    </row>
    <row r="112" spans="2:93" ht="13.5" customHeight="1" x14ac:dyDescent="0.2">
      <c r="B112" s="262">
        <v>12</v>
      </c>
      <c r="C112" s="237" t="str">
        <f t="shared" si="1"/>
        <v/>
      </c>
      <c r="D112" s="237" t="str">
        <f t="shared" si="66"/>
        <v>-</v>
      </c>
      <c r="E112" s="263" t="str">
        <f t="shared" si="38"/>
        <v/>
      </c>
      <c r="F112" s="264" t="str">
        <f t="shared" si="39"/>
        <v/>
      </c>
      <c r="G112" s="264" t="str">
        <f t="shared" si="40"/>
        <v/>
      </c>
      <c r="H112" s="240" t="str">
        <f t="shared" si="41"/>
        <v/>
      </c>
      <c r="I112" s="265" t="str">
        <f t="shared" si="2"/>
        <v/>
      </c>
      <c r="J112" s="265" t="str">
        <f t="shared" si="3"/>
        <v/>
      </c>
      <c r="K112" s="240" t="str">
        <f t="shared" si="4"/>
        <v/>
      </c>
      <c r="L112" s="265" t="str">
        <f t="shared" si="5"/>
        <v/>
      </c>
      <c r="M112" s="265" t="str">
        <f t="shared" si="6"/>
        <v/>
      </c>
      <c r="N112" s="240" t="str">
        <f t="shared" si="7"/>
        <v>-</v>
      </c>
      <c r="O112" s="265" t="str">
        <f t="shared" si="8"/>
        <v>-</v>
      </c>
      <c r="P112" s="265" t="str">
        <f t="shared" si="9"/>
        <v>-</v>
      </c>
      <c r="Q112" s="266" t="str">
        <f t="shared" si="10"/>
        <v>-</v>
      </c>
      <c r="R112" s="267" t="str">
        <f t="shared" si="11"/>
        <v>-</v>
      </c>
      <c r="S112" s="268" t="str">
        <f t="shared" si="12"/>
        <v>-</v>
      </c>
      <c r="T112" s="269" t="str">
        <f t="shared" si="13"/>
        <v/>
      </c>
      <c r="U112" s="221">
        <f t="shared" si="14"/>
        <v>12</v>
      </c>
      <c r="V112" s="220" t="str">
        <f t="shared" si="42"/>
        <v>-</v>
      </c>
      <c r="W112" s="221" t="str">
        <f t="shared" si="43"/>
        <v>-</v>
      </c>
      <c r="X112" s="221" t="str">
        <f t="shared" si="15"/>
        <v>-</v>
      </c>
      <c r="Y112" s="221" t="str">
        <f t="shared" si="16"/>
        <v>-</v>
      </c>
      <c r="Z112" s="270">
        <f t="shared" si="44"/>
        <v>0.1</v>
      </c>
      <c r="AA112" s="271" t="str">
        <f t="shared" si="67"/>
        <v>-</v>
      </c>
      <c r="AB112" s="271" t="str">
        <f t="shared" si="17"/>
        <v>-</v>
      </c>
      <c r="AC112" s="224">
        <f t="shared" si="45"/>
        <v>12</v>
      </c>
      <c r="AD112" s="223" t="str">
        <f t="shared" si="18"/>
        <v>-</v>
      </c>
      <c r="AE112" s="224" t="str">
        <f t="shared" si="46"/>
        <v>-</v>
      </c>
      <c r="AF112" s="224" t="str">
        <f t="shared" si="19"/>
        <v>-</v>
      </c>
      <c r="AG112" s="224" t="str">
        <f t="shared" si="20"/>
        <v>-</v>
      </c>
      <c r="AH112" s="272">
        <f t="shared" si="47"/>
        <v>0.1</v>
      </c>
      <c r="AI112" s="271" t="str">
        <f t="shared" si="21"/>
        <v>-</v>
      </c>
      <c r="AJ112" s="271" t="str">
        <f t="shared" si="48"/>
        <v>-</v>
      </c>
      <c r="AK112" s="227">
        <f t="shared" si="49"/>
        <v>12</v>
      </c>
      <c r="AL112" s="226" t="str">
        <f t="shared" si="22"/>
        <v>-</v>
      </c>
      <c r="AM112" s="227" t="str">
        <f t="shared" si="50"/>
        <v>-</v>
      </c>
      <c r="AN112" s="227" t="str">
        <f t="shared" si="51"/>
        <v>-</v>
      </c>
      <c r="AO112" s="227" t="str">
        <f t="shared" si="23"/>
        <v>-</v>
      </c>
      <c r="AP112" s="273">
        <f t="shared" si="52"/>
        <v>0.1</v>
      </c>
      <c r="AQ112" s="271" t="str">
        <f t="shared" si="53"/>
        <v>-</v>
      </c>
      <c r="AR112" s="271" t="str">
        <f t="shared" si="54"/>
        <v>-</v>
      </c>
      <c r="AS112" s="274">
        <f t="shared" si="24"/>
        <v>0</v>
      </c>
      <c r="AT112" s="274">
        <f t="shared" si="25"/>
        <v>0</v>
      </c>
      <c r="AU112" s="274">
        <f t="shared" si="26"/>
        <v>0</v>
      </c>
      <c r="AV112" s="275">
        <f>IF($B112&lt;$F$22,SUM($T$100:$T112),"")</f>
        <v>0</v>
      </c>
      <c r="AW112" s="275" t="str">
        <f t="shared" si="55"/>
        <v>-</v>
      </c>
      <c r="AX112" s="275" t="str">
        <f t="shared" si="56"/>
        <v/>
      </c>
      <c r="AY112"/>
      <c r="AZ112" s="275" t="str">
        <f ca="1">IF(ISNUMBER(OFFSET(AV112,-$F$21,0)),SUM(OFFSET($T$100,$F$21,0):$T112),"")</f>
        <v/>
      </c>
      <c r="BA112" s="275" t="str">
        <f t="shared" ca="1" si="27"/>
        <v/>
      </c>
      <c r="BB112" s="275" t="str">
        <f t="shared" ca="1" si="57"/>
        <v/>
      </c>
      <c r="BC112" s="190"/>
      <c r="BD112" s="275" t="str">
        <f ca="1">IFERROR(IF(OR(ISNUMBER(I),ISNUMBER($F$14)),IF(AND($B112&gt;=($F$16-$F$15),$B112&lt;$F$22+($F$16-$F$15)),SUM(OFFSET($T$100,($F$16-$F$15),0):$T112),""),""),"")</f>
        <v/>
      </c>
      <c r="BE112" s="275" t="str">
        <f t="shared" ca="1" si="58"/>
        <v/>
      </c>
      <c r="BF112" s="275" t="str">
        <f t="shared" ca="1" si="59"/>
        <v/>
      </c>
      <c r="BG112"/>
      <c r="BH112" s="190" t="str">
        <f ca="1">IF(ISNUMBER(OFFSET(BD112,-$F$21,0)),SUM(OFFSET($T$100,($F$16-$F$15+$F$21),0):$T112),"")</f>
        <v/>
      </c>
      <c r="BI112" s="190" t="str">
        <f t="shared" ca="1" si="28"/>
        <v/>
      </c>
      <c r="BJ112" s="190" t="str">
        <f t="shared" ca="1" si="60"/>
        <v/>
      </c>
      <c r="BK112" s="190"/>
      <c r="BL112" s="275" t="str">
        <f ca="1">IFERROR(IF(OR(ISNUMBER(I),ISNUMBER($F$14)),IF(AND($B112&gt;=($F$17-$F$15),$B112&lt;$F$22+($F$17-$F$15)),SUM(OFFSET($T$100,($F$17-$F$15),0):$T112),""),""),"")</f>
        <v/>
      </c>
      <c r="BM112" s="275" t="str">
        <f t="shared" ca="1" si="29"/>
        <v/>
      </c>
      <c r="BN112" s="275" t="str">
        <f t="shared" ca="1" si="61"/>
        <v/>
      </c>
      <c r="BO112"/>
      <c r="BP112" s="275" t="str">
        <f ca="1">IF(ISNUMBER(OFFSET(BL112,-$F$21,0)),SUM(OFFSET($T$100,($F$17-$F$15+$F$21),0):$T112),"")</f>
        <v/>
      </c>
      <c r="BQ112" s="275" t="str">
        <f t="shared" ca="1" si="62"/>
        <v/>
      </c>
      <c r="BR112" s="275" t="str">
        <f t="shared" ca="1" si="63"/>
        <v/>
      </c>
      <c r="BS112" s="190"/>
      <c r="BT112"/>
      <c r="BU112" s="276" t="str">
        <f t="shared" si="64"/>
        <v>end</v>
      </c>
      <c r="BV112" s="277">
        <v>12</v>
      </c>
      <c r="BW112" s="278" t="str">
        <f t="shared" si="69"/>
        <v/>
      </c>
      <c r="BX112" s="278" t="str">
        <f t="shared" si="68"/>
        <v/>
      </c>
      <c r="BY112" s="279" t="str">
        <f t="shared" si="65"/>
        <v/>
      </c>
      <c r="BZ112"/>
      <c r="CA112" s="284" t="str">
        <f t="shared" si="30"/>
        <v>-</v>
      </c>
      <c r="CB112" s="285" t="str">
        <f t="shared" si="31"/>
        <v>-</v>
      </c>
      <c r="CC112" s="285" t="str">
        <f t="shared" si="32"/>
        <v>12-13</v>
      </c>
      <c r="CD112" s="286" t="str">
        <f t="shared" si="33"/>
        <v/>
      </c>
      <c r="CE112" s="287" t="str">
        <f t="shared" si="34"/>
        <v>-</v>
      </c>
      <c r="CF112" s="285" t="str">
        <f t="shared" ca="1" si="35"/>
        <v>-</v>
      </c>
      <c r="CG112" s="285" t="str">
        <f t="shared" si="36"/>
        <v>12-13</v>
      </c>
      <c r="CH112" s="288" t="str">
        <f t="shared" ca="1" si="37"/>
        <v/>
      </c>
      <c r="CJ112" s="99"/>
      <c r="CK112" s="99"/>
      <c r="CL112" s="99"/>
      <c r="CM112" s="99"/>
      <c r="CN112" s="99"/>
      <c r="CO112" s="99"/>
    </row>
    <row r="113" spans="2:93" ht="13.5" customHeight="1" x14ac:dyDescent="0.2">
      <c r="B113" s="262">
        <v>13</v>
      </c>
      <c r="C113" s="237" t="str">
        <f t="shared" si="1"/>
        <v/>
      </c>
      <c r="D113" s="237" t="str">
        <f t="shared" si="66"/>
        <v>-</v>
      </c>
      <c r="E113" s="263" t="str">
        <f t="shared" si="38"/>
        <v/>
      </c>
      <c r="F113" s="289" t="str">
        <f t="shared" si="39"/>
        <v/>
      </c>
      <c r="G113" s="264" t="str">
        <f t="shared" si="40"/>
        <v/>
      </c>
      <c r="H113" s="240" t="str">
        <f>IF(E113&lt;&gt;"",IF($B113&lt;$F$21,"",IF(ISNUMBER(F113),IF(ISNUMBER(I113),(E113*30*50*ffp),""),(E113*30*50*ffp))),"")</f>
        <v/>
      </c>
      <c r="I113" s="265" t="str">
        <f t="shared" si="2"/>
        <v/>
      </c>
      <c r="J113" s="265" t="str">
        <f t="shared" si="3"/>
        <v/>
      </c>
      <c r="K113" s="240" t="str">
        <f t="shared" si="4"/>
        <v/>
      </c>
      <c r="L113" s="265" t="str">
        <f t="shared" si="5"/>
        <v/>
      </c>
      <c r="M113" s="265" t="str">
        <f t="shared" si="6"/>
        <v/>
      </c>
      <c r="N113" s="240" t="str">
        <f t="shared" si="7"/>
        <v>-</v>
      </c>
      <c r="O113" s="265" t="str">
        <f t="shared" si="8"/>
        <v>-</v>
      </c>
      <c r="P113" s="265" t="str">
        <f t="shared" si="9"/>
        <v>-</v>
      </c>
      <c r="Q113" s="266" t="str">
        <f t="shared" si="10"/>
        <v>-</v>
      </c>
      <c r="R113" s="267" t="str">
        <f t="shared" si="11"/>
        <v>-</v>
      </c>
      <c r="S113" s="268" t="str">
        <f t="shared" si="12"/>
        <v>-</v>
      </c>
      <c r="T113" s="269" t="str">
        <f t="shared" si="13"/>
        <v/>
      </c>
      <c r="U113" s="221">
        <f t="shared" si="14"/>
        <v>13</v>
      </c>
      <c r="V113" s="220" t="str">
        <f t="shared" si="42"/>
        <v>-</v>
      </c>
      <c r="W113" s="221" t="str">
        <f t="shared" si="43"/>
        <v>-</v>
      </c>
      <c r="X113" s="221" t="str">
        <f t="shared" si="15"/>
        <v>-</v>
      </c>
      <c r="Y113" s="221" t="str">
        <f t="shared" si="16"/>
        <v>-</v>
      </c>
      <c r="Z113" s="270">
        <f t="shared" si="44"/>
        <v>0.1</v>
      </c>
      <c r="AA113" s="271" t="str">
        <f t="shared" si="67"/>
        <v>-</v>
      </c>
      <c r="AB113" s="271" t="str">
        <f t="shared" si="17"/>
        <v>-</v>
      </c>
      <c r="AC113" s="224">
        <f t="shared" si="45"/>
        <v>13</v>
      </c>
      <c r="AD113" s="223" t="str">
        <f t="shared" si="18"/>
        <v>-</v>
      </c>
      <c r="AE113" s="224" t="str">
        <f t="shared" si="46"/>
        <v>-</v>
      </c>
      <c r="AF113" s="224" t="str">
        <f t="shared" si="19"/>
        <v>-</v>
      </c>
      <c r="AG113" s="224" t="str">
        <f t="shared" si="20"/>
        <v>-</v>
      </c>
      <c r="AH113" s="272">
        <f t="shared" si="47"/>
        <v>0.1</v>
      </c>
      <c r="AI113" s="271" t="str">
        <f t="shared" si="21"/>
        <v>-</v>
      </c>
      <c r="AJ113" s="271" t="str">
        <f>IFERROR(IF(AD113=1,D113*EXP(-(0.04*AF113+0.1*AG113)),IF(AD113=2,D113*EXP(-(0.04*($F$21+AF113)+0.1*(($F$16-$F$15)-$F$21+AG113))),D113*EXP(-(0.04*($F$21*2+AF113)+0.1*((($F$16-$F$15)-$F$21)*2-AG113))))),"-")</f>
        <v>-</v>
      </c>
      <c r="AK113" s="227">
        <f t="shared" si="49"/>
        <v>13</v>
      </c>
      <c r="AL113" s="226" t="str">
        <f t="shared" si="22"/>
        <v>-</v>
      </c>
      <c r="AM113" s="227" t="str">
        <f t="shared" si="50"/>
        <v>-</v>
      </c>
      <c r="AN113" s="227" t="str">
        <f t="shared" si="51"/>
        <v>-</v>
      </c>
      <c r="AO113" s="227" t="str">
        <f t="shared" si="23"/>
        <v>-</v>
      </c>
      <c r="AP113" s="273">
        <f t="shared" si="52"/>
        <v>0.1</v>
      </c>
      <c r="AQ113" s="271" t="str">
        <f t="shared" si="53"/>
        <v>-</v>
      </c>
      <c r="AR113" s="271" t="str">
        <f t="shared" si="54"/>
        <v>-</v>
      </c>
      <c r="AS113" s="274">
        <f t="shared" si="24"/>
        <v>0</v>
      </c>
      <c r="AT113" s="274">
        <f t="shared" si="25"/>
        <v>0</v>
      </c>
      <c r="AU113" s="274">
        <f t="shared" si="26"/>
        <v>0</v>
      </c>
      <c r="AV113" s="275">
        <f>IF($B113&lt;$F$22,SUM($T$100:$T113),"")</f>
        <v>0</v>
      </c>
      <c r="AW113" s="275" t="str">
        <f t="shared" si="55"/>
        <v>-</v>
      </c>
      <c r="AX113" s="275" t="str">
        <f t="shared" si="56"/>
        <v/>
      </c>
      <c r="AY113"/>
      <c r="AZ113" s="275" t="str">
        <f ca="1">IF(ISNUMBER(OFFSET(AV113,-$F$21,0)),SUM(OFFSET($T$100,$F$21,0):$T113),"")</f>
        <v/>
      </c>
      <c r="BA113" s="275" t="str">
        <f t="shared" ca="1" si="27"/>
        <v/>
      </c>
      <c r="BB113" s="275" t="str">
        <f t="shared" ca="1" si="57"/>
        <v/>
      </c>
      <c r="BC113" s="190"/>
      <c r="BD113" s="275" t="str">
        <f ca="1">IFERROR(IF(OR(ISNUMBER(I),ISNUMBER($F$14)),IF(AND($B113&gt;=($F$16-$F$15),$B113&lt;$F$22+($F$16-$F$15)),SUM(OFFSET($T$100,($F$16-$F$15),0):$T113),""),""),"")</f>
        <v/>
      </c>
      <c r="BE113" s="275" t="str">
        <f t="shared" ca="1" si="58"/>
        <v/>
      </c>
      <c r="BF113" s="275" t="str">
        <f t="shared" ca="1" si="59"/>
        <v/>
      </c>
      <c r="BG113"/>
      <c r="BH113" s="190" t="str">
        <f ca="1">IF(ISNUMBER(OFFSET(BD113,-$F$21,0)),SUM(OFFSET($T$100,($F$16-$F$15+$F$21),0):$T113),"")</f>
        <v/>
      </c>
      <c r="BI113" s="190" t="str">
        <f t="shared" ca="1" si="28"/>
        <v/>
      </c>
      <c r="BJ113" s="190" t="str">
        <f t="shared" ca="1" si="60"/>
        <v/>
      </c>
      <c r="BK113" s="190"/>
      <c r="BL113" s="275" t="str">
        <f ca="1">IFERROR(IF(OR(ISNUMBER(I),ISNUMBER($F$14)),IF(AND($B113&gt;=($F$17-$F$15),$B113&lt;$F$22+($F$17-$F$15)),SUM(OFFSET($T$100,($F$17-$F$15),0):$T113),""),""),"")</f>
        <v/>
      </c>
      <c r="BM113" s="275" t="str">
        <f t="shared" ca="1" si="29"/>
        <v/>
      </c>
      <c r="BN113" s="275" t="str">
        <f t="shared" ca="1" si="61"/>
        <v/>
      </c>
      <c r="BO113"/>
      <c r="BP113" s="275" t="str">
        <f ca="1">IF(ISNUMBER(OFFSET(BL113,-$F$21,0)),SUM(OFFSET($T$100,($F$17-$F$15+$F$21),0):$T113),"")</f>
        <v/>
      </c>
      <c r="BQ113" s="275" t="str">
        <f t="shared" ca="1" si="62"/>
        <v/>
      </c>
      <c r="BR113" s="275" t="str">
        <f t="shared" ca="1" si="63"/>
        <v/>
      </c>
      <c r="BS113" s="190"/>
      <c r="BT113"/>
      <c r="BU113" s="276" t="str">
        <f t="shared" si="64"/>
        <v>end</v>
      </c>
      <c r="BV113" s="277">
        <v>13</v>
      </c>
      <c r="BW113" s="278" t="str">
        <f t="shared" si="69"/>
        <v/>
      </c>
      <c r="BX113" s="278" t="str">
        <f t="shared" si="68"/>
        <v/>
      </c>
      <c r="BY113" s="279" t="str">
        <f t="shared" si="65"/>
        <v/>
      </c>
      <c r="BZ113"/>
      <c r="CA113" s="284" t="str">
        <f t="shared" si="30"/>
        <v>-</v>
      </c>
      <c r="CB113" s="285" t="str">
        <f t="shared" si="31"/>
        <v>-</v>
      </c>
      <c r="CC113" s="285" t="str">
        <f t="shared" si="32"/>
        <v>13-14</v>
      </c>
      <c r="CD113" s="286" t="str">
        <f t="shared" si="33"/>
        <v/>
      </c>
      <c r="CE113" s="287" t="str">
        <f t="shared" si="34"/>
        <v>-</v>
      </c>
      <c r="CF113" s="285" t="str">
        <f t="shared" ca="1" si="35"/>
        <v>-</v>
      </c>
      <c r="CG113" s="285" t="str">
        <f t="shared" si="36"/>
        <v>13-14</v>
      </c>
      <c r="CH113" s="288" t="str">
        <f t="shared" ca="1" si="37"/>
        <v/>
      </c>
      <c r="CJ113" s="99"/>
      <c r="CK113" s="99"/>
      <c r="CL113" s="99"/>
      <c r="CM113" s="99"/>
      <c r="CN113" s="99"/>
      <c r="CO113" s="99"/>
    </row>
    <row r="114" spans="2:93" ht="13.5" customHeight="1" x14ac:dyDescent="0.2">
      <c r="B114" s="262">
        <v>14</v>
      </c>
      <c r="C114" s="236" t="str">
        <f t="shared" si="1"/>
        <v/>
      </c>
      <c r="D114" s="237" t="str">
        <f t="shared" si="66"/>
        <v>-</v>
      </c>
      <c r="E114" s="290" t="str">
        <f t="shared" si="38"/>
        <v/>
      </c>
      <c r="F114" s="264" t="str">
        <f t="shared" si="39"/>
        <v/>
      </c>
      <c r="G114" s="291" t="str">
        <f t="shared" si="40"/>
        <v/>
      </c>
      <c r="H114" s="240" t="str">
        <f>IF(E114&lt;&gt;"",IF($B114&lt;$F$21,"",IF(ISNUMBER(F114),IF(ISNUMBER(I114),(E114*30*50*ffp),""),(E114*30*50*ffp))),"")</f>
        <v/>
      </c>
      <c r="I114" s="265" t="str">
        <f t="shared" si="2"/>
        <v/>
      </c>
      <c r="J114" s="265" t="str">
        <f t="shared" si="3"/>
        <v/>
      </c>
      <c r="K114" s="240" t="str">
        <f t="shared" si="4"/>
        <v/>
      </c>
      <c r="L114" s="265" t="str">
        <f t="shared" si="5"/>
        <v/>
      </c>
      <c r="M114" s="265" t="str">
        <f t="shared" si="6"/>
        <v/>
      </c>
      <c r="N114" s="240" t="str">
        <f t="shared" si="7"/>
        <v>-</v>
      </c>
      <c r="O114" s="265" t="str">
        <f t="shared" si="8"/>
        <v>-</v>
      </c>
      <c r="P114" s="265" t="str">
        <f t="shared" si="9"/>
        <v>-</v>
      </c>
      <c r="Q114" s="266" t="str">
        <f t="shared" si="10"/>
        <v>-</v>
      </c>
      <c r="R114" s="267" t="str">
        <f t="shared" si="11"/>
        <v>-</v>
      </c>
      <c r="S114" s="268" t="str">
        <f t="shared" si="12"/>
        <v>-</v>
      </c>
      <c r="T114" s="269" t="str">
        <f t="shared" si="13"/>
        <v/>
      </c>
      <c r="U114" s="221">
        <f t="shared" si="14"/>
        <v>14</v>
      </c>
      <c r="V114" s="220" t="str">
        <f t="shared" si="42"/>
        <v>-</v>
      </c>
      <c r="W114" s="221" t="str">
        <f t="shared" si="43"/>
        <v>-</v>
      </c>
      <c r="X114" s="221" t="str">
        <f t="shared" si="15"/>
        <v>-</v>
      </c>
      <c r="Y114" s="221" t="str">
        <f t="shared" si="16"/>
        <v>-</v>
      </c>
      <c r="Z114" s="270">
        <f t="shared" si="44"/>
        <v>0.1</v>
      </c>
      <c r="AA114" s="271" t="str">
        <f t="shared" si="67"/>
        <v>-</v>
      </c>
      <c r="AB114" s="292" t="str">
        <f t="shared" si="17"/>
        <v>-</v>
      </c>
      <c r="AC114" s="224">
        <f t="shared" si="45"/>
        <v>14</v>
      </c>
      <c r="AD114" s="223" t="str">
        <f t="shared" si="18"/>
        <v>-</v>
      </c>
      <c r="AE114" s="224" t="str">
        <f t="shared" si="46"/>
        <v>-</v>
      </c>
      <c r="AF114" s="224" t="str">
        <f t="shared" si="19"/>
        <v>-</v>
      </c>
      <c r="AG114" s="224" t="str">
        <f t="shared" si="20"/>
        <v>-</v>
      </c>
      <c r="AH114" s="272">
        <f t="shared" si="47"/>
        <v>0.1</v>
      </c>
      <c r="AI114" s="271" t="str">
        <f t="shared" si="21"/>
        <v>-</v>
      </c>
      <c r="AJ114" s="292" t="str">
        <f>IFERROR(IF(AD114=1,D114*EXP(-(0.04*AF114+0.1*AG114)),IF(AD114=2,D114*EXP(-(0.04*($F$21+AF114)+0.1*(($F$16-$F$15)-$F$21+AG114))),D114*EXP(-(0.04*($F$21*2+AF114)+0.1*((($F$16-$F$15)-$F$21)*2-AG114))))),"-")</f>
        <v>-</v>
      </c>
      <c r="AK114" s="227">
        <f t="shared" si="49"/>
        <v>14</v>
      </c>
      <c r="AL114" s="226" t="str">
        <f t="shared" si="22"/>
        <v>-</v>
      </c>
      <c r="AM114" s="227" t="str">
        <f t="shared" si="50"/>
        <v>-</v>
      </c>
      <c r="AN114" s="227" t="str">
        <f t="shared" si="51"/>
        <v>-</v>
      </c>
      <c r="AO114" s="227" t="str">
        <f t="shared" si="23"/>
        <v>-</v>
      </c>
      <c r="AP114" s="273">
        <f t="shared" si="52"/>
        <v>0.1</v>
      </c>
      <c r="AQ114" s="271" t="str">
        <f>IFERROR(IF(AL113=1,D114*EXP(-(0.04*AN113+0.1*AO113)),IF(AL113=2,D114*EXP(-(0.04*($F$21+AN113)+0.1*(($F$16-$F$15)-$F$21+AO113))),D114*EXP(-(0.04*($F$21*2+AN113)+0.1*((($F$16-$F$15)-$F$21)*2-AO113))))),"-")</f>
        <v>-</v>
      </c>
      <c r="AR114" s="292" t="str">
        <f>IFERROR(IF(AL114=1,D114*EXP(-(0.04*AN114+0.1*AO114)),IF(AL114=2,D114*EXP(-(0.04*($F$21+AN114)+0.1*(($F$16-$F$15)-$F$21+AO114))),D114*EXP(-(0.04*($F$21*2+AN114)+0.1*((($F$16-$F$15)-$F$21)*2-AO114))))),"-")</f>
        <v>-</v>
      </c>
      <c r="AS114" s="274">
        <f t="shared" si="24"/>
        <v>0</v>
      </c>
      <c r="AT114" s="274">
        <f t="shared" si="25"/>
        <v>0</v>
      </c>
      <c r="AU114" s="274">
        <f t="shared" si="26"/>
        <v>0</v>
      </c>
      <c r="AV114" s="275">
        <f>IF($B114&lt;$F$22,SUM($T$100:$T114),"")</f>
        <v>0</v>
      </c>
      <c r="AW114" s="275" t="str">
        <f t="shared" si="55"/>
        <v>-</v>
      </c>
      <c r="AX114" s="275" t="str">
        <f t="shared" si="56"/>
        <v/>
      </c>
      <c r="AY114"/>
      <c r="AZ114" s="275" t="str">
        <f ca="1">IF(ISNUMBER(OFFSET(AV114,-$F$21,0)),SUM(OFFSET($T$100,$F$21,0):$T114),"")</f>
        <v/>
      </c>
      <c r="BA114" s="275" t="str">
        <f t="shared" ca="1" si="27"/>
        <v/>
      </c>
      <c r="BB114" s="275" t="str">
        <f t="shared" ca="1" si="57"/>
        <v/>
      </c>
      <c r="BC114" s="190"/>
      <c r="BD114" s="275" t="str">
        <f ca="1">IFERROR(IF(OR(ISNUMBER(I),ISNUMBER($F$14)),IF(AND($B114&gt;=($F$16-$F$15),$B114&lt;$F$22+($F$16-$F$15)),SUM(OFFSET($T$100,($F$16-$F$15),0):$T114),""),""),"")</f>
        <v/>
      </c>
      <c r="BE114" s="275" t="str">
        <f t="shared" ca="1" si="58"/>
        <v/>
      </c>
      <c r="BF114" s="275" t="str">
        <f ca="1">IF(ISNUMBER(BD114),(BD114-BE114)/(3*86400*($B114-($F$16-$F$15)+1))*1000,"")</f>
        <v/>
      </c>
      <c r="BG114"/>
      <c r="BH114" s="190" t="str">
        <f ca="1">IF(ISNUMBER(OFFSET(BD114,-$F$21,0)),SUM(OFFSET($T$100,($F$16-$F$15+$F$21),0):$T114),"")</f>
        <v/>
      </c>
      <c r="BI114" s="190" t="str">
        <f t="shared" ca="1" si="28"/>
        <v/>
      </c>
      <c r="BJ114" s="190" t="str">
        <f t="shared" ca="1" si="60"/>
        <v/>
      </c>
      <c r="BK114" s="190"/>
      <c r="BL114" s="275" t="str">
        <f ca="1">IFERROR(IF(OR(ISNUMBER(I),ISNUMBER($F$14)),IF(AND($B114&gt;=($F$17-$F$15),$B114&lt;$F$22+($F$17-$F$15)),SUM(OFFSET($T$100,($F$17-$F$15),0):$T114),""),""),"")</f>
        <v/>
      </c>
      <c r="BM114" s="275" t="str">
        <f t="shared" ca="1" si="29"/>
        <v/>
      </c>
      <c r="BN114" s="275" t="str">
        <f t="shared" ca="1" si="61"/>
        <v/>
      </c>
      <c r="BO114"/>
      <c r="BP114" s="275" t="str">
        <f ca="1">IF(ISNUMBER(OFFSET(BL114,-$F$21,0)),SUM(OFFSET($T$100,($F$17-$F$15+$F$21),0):$T114),"")</f>
        <v/>
      </c>
      <c r="BQ114" s="275" t="str">
        <f t="shared" ca="1" si="62"/>
        <v/>
      </c>
      <c r="BR114" s="275" t="str">
        <f t="shared" ca="1" si="63"/>
        <v/>
      </c>
      <c r="BS114" s="190"/>
      <c r="BT114"/>
      <c r="BU114" s="276" t="str">
        <f t="shared" si="64"/>
        <v>end</v>
      </c>
      <c r="BV114" s="277">
        <v>14</v>
      </c>
      <c r="BW114" s="278" t="str">
        <f t="shared" si="69"/>
        <v/>
      </c>
      <c r="BX114" s="278" t="str">
        <f t="shared" si="68"/>
        <v/>
      </c>
      <c r="BY114" s="279" t="str">
        <f t="shared" si="65"/>
        <v/>
      </c>
      <c r="BZ114"/>
      <c r="CA114" s="284" t="str">
        <f t="shared" si="30"/>
        <v>-</v>
      </c>
      <c r="CB114" s="285" t="str">
        <f t="shared" si="31"/>
        <v>-</v>
      </c>
      <c r="CC114" s="285" t="str">
        <f t="shared" si="32"/>
        <v>14-15</v>
      </c>
      <c r="CD114" s="286" t="str">
        <f t="shared" si="33"/>
        <v/>
      </c>
      <c r="CE114" s="287" t="str">
        <f t="shared" si="34"/>
        <v>-</v>
      </c>
      <c r="CF114" s="285" t="str">
        <f t="shared" ca="1" si="35"/>
        <v>-</v>
      </c>
      <c r="CG114" s="285" t="str">
        <f t="shared" si="36"/>
        <v>14-15</v>
      </c>
      <c r="CH114" s="288" t="str">
        <f t="shared" ca="1" si="37"/>
        <v/>
      </c>
      <c r="CJ114" s="99"/>
      <c r="CK114" s="99"/>
      <c r="CL114" s="99"/>
      <c r="CM114" s="99"/>
      <c r="CN114" s="99"/>
      <c r="CO114" s="99"/>
    </row>
    <row r="115" spans="2:93" ht="13.5" customHeight="1" x14ac:dyDescent="0.2">
      <c r="B115" s="293">
        <v>15</v>
      </c>
      <c r="C115" s="237" t="str">
        <f t="shared" si="1"/>
        <v/>
      </c>
      <c r="D115" s="237" t="str">
        <f t="shared" si="66"/>
        <v>-</v>
      </c>
      <c r="E115" s="290" t="str">
        <f t="shared" si="38"/>
        <v/>
      </c>
      <c r="F115" s="264" t="str">
        <f t="shared" si="39"/>
        <v/>
      </c>
      <c r="G115" s="291" t="str">
        <f t="shared" si="40"/>
        <v/>
      </c>
      <c r="H115" s="240" t="str">
        <f t="shared" si="41"/>
        <v/>
      </c>
      <c r="I115" s="265" t="str">
        <f t="shared" si="2"/>
        <v/>
      </c>
      <c r="J115" s="265" t="str">
        <f t="shared" si="3"/>
        <v/>
      </c>
      <c r="K115" s="240" t="str">
        <f t="shared" si="4"/>
        <v/>
      </c>
      <c r="L115" s="265" t="str">
        <f t="shared" si="5"/>
        <v/>
      </c>
      <c r="M115" s="265" t="str">
        <f t="shared" si="6"/>
        <v/>
      </c>
      <c r="N115" s="240" t="str">
        <f t="shared" si="7"/>
        <v>-</v>
      </c>
      <c r="O115" s="265" t="str">
        <f t="shared" si="8"/>
        <v>-</v>
      </c>
      <c r="P115" s="265" t="str">
        <f t="shared" si="9"/>
        <v>-</v>
      </c>
      <c r="Q115" s="266" t="str">
        <f t="shared" si="10"/>
        <v>-</v>
      </c>
      <c r="R115" s="267" t="str">
        <f t="shared" si="11"/>
        <v>-</v>
      </c>
      <c r="S115" s="268" t="str">
        <f t="shared" si="12"/>
        <v>-</v>
      </c>
      <c r="T115" s="269" t="str">
        <f t="shared" si="13"/>
        <v/>
      </c>
      <c r="U115" s="221">
        <f t="shared" si="14"/>
        <v>15</v>
      </c>
      <c r="V115" s="220" t="str">
        <f t="shared" si="42"/>
        <v>-</v>
      </c>
      <c r="W115" s="221" t="str">
        <f t="shared" si="43"/>
        <v>-</v>
      </c>
      <c r="X115" s="221" t="str">
        <f t="shared" si="15"/>
        <v>-</v>
      </c>
      <c r="Y115" s="221" t="str">
        <f t="shared" si="16"/>
        <v>-</v>
      </c>
      <c r="Z115" s="270">
        <f t="shared" si="44"/>
        <v>0.1</v>
      </c>
      <c r="AA115" s="292" t="str">
        <f>IFERROR(IF(V114=1,AA100*EXP(-(LN(2)/$D$65+0.04)*X114)*EXP(-(LN(2)/$D$65+0.1)*Y114),IF(V114=2,AA100*EXP(-(LN(2)/$D$65+0.04)*(VLOOKUP(($F$16-$F$15)-1,U99:Y114,4,FALSE)))*EXP(-(LN(2)/$D$65+0.1)*(VLOOKUP(($F$16-$F$15)-1,U99:Y114,5,FALSE)))*EXP(-(LN(2)/$D$65+0.04)*X114)*EXP(-(LN(2)/$D$65+0.1)*Y114),AA100*EXP(-(LN(2)/$D$65+0.04)*(VLOOKUP(($F$16-$F$15)-1,U99:Y114,4,FALSE)))*EXP(-(LN(2)/$D$65+0.1)*(VLOOKUP(($F$16-$F$15)-1,U99:Y114,5,FALSE)))*EXP(-(LN(2)/$D$65+0.04)*(VLOOKUP(($F$16-$F$15)*2-1,U99:Y114,4,FALSE)))*EXP(-(LN(2)/$D$65+0.1)*(VLOOKUP(($F$16-$F$15)*2-1,U99:Y114,5,FALSE)))*EXP(-(LN(2)/$D$65+0.04)*X114)*EXP(-(LN(2)/$D$65+0.1)*Y114))),"-")</f>
        <v>-</v>
      </c>
      <c r="AB115" s="271" t="str">
        <f>IFERROR(IF(V115=1,AB$100*EXP(-(LN(2)/$D$65+0.04)*X115)*EXP(-(LN(2)/$D$65+0.1)*Y115),IF(V115=2,AB$100*EXP(-(LN(2)/$D$65+0.04)*(VLOOKUP(($F$16-$F$15)-1,U$100:Y115,4,FALSE)))*EXP(-(LN(2)/$D$65+0.1)*(VLOOKUP(($F$16-$F$15)-1,U$100:Y115,5,FALSE)))*EXP(-(LN(2)/$D$65+0.04)*X115)*EXP(-(LN(2)/$D$65+0.1)*Y115),IF(V115=3,AB$100*EXP(-(LN(2)/$D$65+0.04)*(VLOOKUP(($F$16-$F$15)-1,U$100:Y115,4,FALSE)))*EXP(-(LN(2)/$D$65+0.1)*(VLOOKUP(($F$16-$F$15)-1,U$100:Y115,5,FALSE)))*EXP(-(LN(2)/$D$65+0.04)*(VLOOKUP(($F$16-$F$15)*2-1,U$100:Y115,4,FALSE)))*EXP(-(LN(2)/$D$65+0.1)*(VLOOKUP(($F$16-$F$15)*2-1,U$100:Y115,5,FALSE)))*EXP(-(LN(2)/$D$65+0.04)*X115)*EXP(-(LN(2)/$D$65+0.1)*Y115),"-"))),"-")</f>
        <v>-</v>
      </c>
      <c r="AC115" s="224">
        <f t="shared" si="45"/>
        <v>15</v>
      </c>
      <c r="AD115" s="223" t="str">
        <f t="shared" si="18"/>
        <v>-</v>
      </c>
      <c r="AE115" s="224" t="str">
        <f t="shared" si="46"/>
        <v>-</v>
      </c>
      <c r="AF115" s="224" t="str">
        <f t="shared" si="19"/>
        <v>-</v>
      </c>
      <c r="AG115" s="224" t="str">
        <f t="shared" si="20"/>
        <v>-</v>
      </c>
      <c r="AH115" s="272">
        <f t="shared" si="47"/>
        <v>0.1</v>
      </c>
      <c r="AI115" s="292" t="str">
        <f>IFERROR(IF(AD114=1,AI100*EXP(-(LN(2)/$D$65+0.04)*AF114)*EXP(-(LN(2)/$D$65+0.1)*AG114),IF(AD114=2,AI100*EXP(-(LN(2)/$D$65+0.04)*(VLOOKUP(($F$16-$F$15)-1,AC99:AG114,4,FALSE)))*EXP(-(LN(2)/$D$65+0.1)*(VLOOKUP(($F$16-$F$15)-1,AC99:AG114,5,FALSE)))*EXP(-(LN(2)/$D$65+0.04)*AF114)*EXP(-(LN(2)/$D$65+0.1)*AG114),AI100*EXP(-(LN(2)/$D$65+0.04)*(VLOOKUP(($F$16-$F$15)-1,AC99:AG114,4,FALSE)))*EXP(-(LN(2)/$D$65+0.1)*(VLOOKUP(($F$16-$F$15)-1,AC99:AG114,5,FALSE)))*EXP(-(LN(2)/$D$65+0.04)*(VLOOKUP(($F$16-$F$15)*2-1,AC99:AG114,4,FALSE)))*EXP(-(LN(2)/$D$65+0.1)*(VLOOKUP(($F$16-$F$15)*2-1,AC99:AG114,5,FALSE)))*EXP(-(LN(2)/$D$65+0.04)*AF114)*EXP(-(LN(2)/$D$65+0.1)*AG114))),"-")</f>
        <v>-</v>
      </c>
      <c r="AJ115" s="271" t="str">
        <f>IFERROR(IF(AD115=1,AJ$100*EXP(-(LN(2)/$D$65+0.04)*AF115)*EXP(-(LN(2)/$D$65+0.1)*AG115),IF(AD115=2,AJ$100*EXP(-(LN(2)/$D$65+0.04)*(VLOOKUP(($F$16-$F$15)-1,AC$100:AG115,4,FALSE)))*EXP(-(LN(2)/$D$65+0.1)*(VLOOKUP(($F$16-$F$15)-1,AC$100:AG115,5,FALSE)))*EXP(-(LN(2)/$D$65+0.04)*AF115)*EXP(-(LN(2)/$D$65+0.1)*AG115),IF(AD115=3,AJ$100*EXP(-(LN(2)/$D$65+0.04)*(VLOOKUP(($F$16-$F$15)-1,AC$100:AG115,4,FALSE)))*EXP(-(LN(2)/$D$65+0.1)*(VLOOKUP(($F$16-$F$15)-1,AC$100:AG115,5,FALSE)))*EXP(-(LN(2)/$D$65+0.04)*(VLOOKUP(($F$16-$F$15)*2-1,AC$100:AG115,4,FALSE)))*EXP(-(LN(2)/$D$65+0.1)*(VLOOKUP(($F$16-$F$15)*2-1,AC$100:AG115,5,FALSE)))*EXP(-(LN(2)/$D$65+0.04)*AF115)*EXP(-(LN(2)/$D$65+0.1)*AG115),"-"))),"-")</f>
        <v>-</v>
      </c>
      <c r="AK115" s="227">
        <f t="shared" si="49"/>
        <v>15</v>
      </c>
      <c r="AL115" s="226" t="str">
        <f t="shared" si="22"/>
        <v>-</v>
      </c>
      <c r="AM115" s="227" t="str">
        <f t="shared" si="50"/>
        <v>-</v>
      </c>
      <c r="AN115" s="227" t="str">
        <f t="shared" si="51"/>
        <v>-</v>
      </c>
      <c r="AO115" s="227" t="str">
        <f t="shared" si="23"/>
        <v>-</v>
      </c>
      <c r="AP115" s="273">
        <f t="shared" si="52"/>
        <v>0.1</v>
      </c>
      <c r="AQ115" s="292" t="str">
        <f>IFERROR(IF(AL114=1,AQ100*EXP(-(LN(2)/$D$65+0.04)*AN114)*EXP(-(LN(2)/$D$65+0.1)*AO114),IF(AL114=2,AQ100*EXP(-(LN(2)/$D$65+0.04)*(VLOOKUP(($F$16-$F$15)-1,AK99:AO114,4,FALSE)))*EXP(-(LN(2)/$D$65+0.1)*(VLOOKUP(($F$16-$F$15)-1,AK99:AO114,5,FALSE)))*EXP(-(LN(2)/$D$65+0.04)*AN114)*EXP(-(LN(2)/$D$65+0.1)*AO114),AQ100*EXP(-(LN(2)/$D$65+0.04)*(VLOOKUP(($F$16-$F$15)-1,AK99:AO114,4,FALSE)))*EXP(-(LN(2)/$D$65+0.1)*(VLOOKUP(($F$16-$F$15)-1,AK99:AO114,5,FALSE)))*EXP(-(LN(2)/$D$65+0.04)*(VLOOKUP(($F$16-$F$15)*2-1,AK99:AO114,4,FALSE)))*EXP(-(LN(2)/$D$65+0.1)*(VLOOKUP(($F$16-$F$15)*2-1,AK99:AO114,5,FALSE)))*EXP(-(LN(2)/$D$65+0.04)*AN114)*EXP(-(LN(2)/$D$65+0.1)*AO114))),"-")</f>
        <v>-</v>
      </c>
      <c r="AR115" s="271" t="str">
        <f>IFERROR(IF(AL115=1,AR$100*EXP(-(LN(2)/$D$65+0.04)*AN115)*EXP(-(LN(2)/$D$65+0.1)*AO115),IF(AL115=2,AR$100*EXP(-(LN(2)/$D$65+0.04)*(VLOOKUP(($F$16-$F$15)-1,AK$100:AO115,4,FALSE)))*EXP(-(LN(2)/$D$65+0.1)*(VLOOKUP(($F$16-$F$15)-1,AK$100:AO115,5,FALSE)))*EXP(-(LN(2)/$D$65+0.04)*AN115)*EXP(-(LN(2)/$D$65+0.1)*AO115),IF(AL115=3,AR$100*EXP(-(LN(2)/$D$65+0.04)*(VLOOKUP(($F$16-$F$15)-1,AK$100:AO115,4,FALSE)))*EXP(-(LN(2)/$D$65+0.1)*(VLOOKUP(($F$16-$F$15)-1,AK$100:AO115,5,FALSE)))*EXP(-(LN(2)/$D$65+0.04)*(VLOOKUP(($F$16-$F$15)*2-1,AK$100:AO115,4,FALSE)))*EXP(-(LN(2)/$D$65+0.1)*(VLOOKUP(($F$16-$F$15)*2-1,AK$100:AO115,5,FALSE)))*EXP(-(LN(2)/$D$65+0.04)*AN115)*EXP(-(LN(2)/$D$65+0.1)*AO115),"-"))),"-")</f>
        <v>-</v>
      </c>
      <c r="AS115" s="294">
        <f t="shared" si="24"/>
        <v>0</v>
      </c>
      <c r="AT115" s="294">
        <f t="shared" si="25"/>
        <v>0</v>
      </c>
      <c r="AU115" s="294">
        <f t="shared" si="26"/>
        <v>0</v>
      </c>
      <c r="AV115" s="275">
        <f>IF($B115&lt;$F$22,SUM($T$100:$T115),"")</f>
        <v>0</v>
      </c>
      <c r="AW115" s="275" t="str">
        <f t="shared" si="55"/>
        <v>-</v>
      </c>
      <c r="AX115" s="275" t="str">
        <f t="shared" si="56"/>
        <v/>
      </c>
      <c r="AY115"/>
      <c r="AZ115" s="275" t="str">
        <f ca="1">IF(ISNUMBER(OFFSET(AV115,-$F$21,0)),SUM(OFFSET($T$100,$F$21,0):$T115),"")</f>
        <v/>
      </c>
      <c r="BA115" s="275" t="str">
        <f t="shared" ca="1" si="27"/>
        <v/>
      </c>
      <c r="BB115" s="275" t="str">
        <f t="shared" ca="1" si="57"/>
        <v/>
      </c>
      <c r="BC115" s="190"/>
      <c r="BD115" s="275" t="str">
        <f ca="1">IFERROR(IF(OR(ISNUMBER(I),ISNUMBER($F$14)),IF(AND($B115&gt;=($F$16-$F$15),$B115&lt;$F$22+($F$16-$F$15)),SUM(OFFSET($T$100,($F$16-$F$15),0):$T115),""),""),"")</f>
        <v/>
      </c>
      <c r="BE115" s="275" t="str">
        <f t="shared" ca="1" si="58"/>
        <v/>
      </c>
      <c r="BF115" s="275" t="str">
        <f t="shared" ca="1" si="59"/>
        <v/>
      </c>
      <c r="BG115"/>
      <c r="BH115" s="190" t="str">
        <f ca="1">IF(ISNUMBER(OFFSET(BD115,-$F$21,0)),SUM(OFFSET($T$100,($F$16-$F$15+$F$21),0):$T115),"")</f>
        <v/>
      </c>
      <c r="BI115" s="190" t="str">
        <f t="shared" ca="1" si="28"/>
        <v/>
      </c>
      <c r="BJ115" s="190" t="str">
        <f t="shared" ca="1" si="60"/>
        <v/>
      </c>
      <c r="BK115" s="190"/>
      <c r="BL115" s="275" t="str">
        <f ca="1">IFERROR(IF(OR(ISNUMBER(I),ISNUMBER($F$14)),IF(AND($B115&gt;=($F$17-$F$15),$B115&lt;$F$22+($F$17-$F$15)),SUM(OFFSET($T$100,($F$17-$F$15),0):$T115),""),""),"")</f>
        <v/>
      </c>
      <c r="BM115" s="275" t="str">
        <f t="shared" ca="1" si="29"/>
        <v/>
      </c>
      <c r="BN115" s="275" t="str">
        <f t="shared" ca="1" si="61"/>
        <v/>
      </c>
      <c r="BO115"/>
      <c r="BP115" s="275" t="str">
        <f ca="1">IF(ISNUMBER(OFFSET(BL115,-$F$21,0)),SUM(OFFSET($T$100,($F$17-$F$15+$F$21),0):$T115),"")</f>
        <v/>
      </c>
      <c r="BQ115" s="275" t="str">
        <f t="shared" ca="1" si="62"/>
        <v/>
      </c>
      <c r="BR115" s="275" t="str">
        <f t="shared" ca="1" si="63"/>
        <v/>
      </c>
      <c r="BS115" s="190"/>
      <c r="BT115"/>
      <c r="BU115" s="276" t="str">
        <f t="shared" si="64"/>
        <v>end</v>
      </c>
      <c r="BV115" s="277">
        <v>15</v>
      </c>
      <c r="BW115" s="278" t="str">
        <f>IF(AND(BU115="end",BU114="end"), "", IF(BU115&lt;&gt;"",MIN(BU114:BU115),""))</f>
        <v/>
      </c>
      <c r="BX115" s="278" t="str">
        <f>IF(AND(BU115="end",BU114="end"), "", IF(BU115&lt;&gt;"",MAX(BU114:BU115),""))</f>
        <v/>
      </c>
      <c r="BY115" s="279" t="str">
        <f t="shared" si="65"/>
        <v/>
      </c>
      <c r="BZ115"/>
      <c r="CA115" s="258" t="str">
        <f t="shared" si="30"/>
        <v>-</v>
      </c>
      <c r="CB115" s="33" t="str">
        <f t="shared" si="31"/>
        <v>-</v>
      </c>
      <c r="CC115" s="33" t="str">
        <f t="shared" si="32"/>
        <v>15-16</v>
      </c>
      <c r="CD115" s="261" t="str">
        <f t="shared" si="33"/>
        <v/>
      </c>
      <c r="CE115" s="258" t="str">
        <f t="shared" si="34"/>
        <v>-</v>
      </c>
      <c r="CF115" s="33" t="str">
        <f t="shared" ca="1" si="35"/>
        <v>-</v>
      </c>
      <c r="CG115" s="33" t="str">
        <f t="shared" si="36"/>
        <v>15-16</v>
      </c>
      <c r="CH115" s="261" t="str">
        <f t="shared" ca="1" si="37"/>
        <v/>
      </c>
      <c r="CI115" s="202"/>
      <c r="CJ115" s="99"/>
      <c r="CK115" s="99"/>
      <c r="CL115" s="99"/>
      <c r="CM115" s="99"/>
      <c r="CN115" s="99"/>
      <c r="CO115" s="99"/>
    </row>
    <row r="116" spans="2:93" ht="13.5" customHeight="1" x14ac:dyDescent="0.2">
      <c r="B116" s="262">
        <v>16</v>
      </c>
      <c r="C116" s="237" t="str">
        <f t="shared" si="1"/>
        <v/>
      </c>
      <c r="D116" s="237" t="str">
        <f t="shared" si="66"/>
        <v>-</v>
      </c>
      <c r="E116" s="290" t="str">
        <f t="shared" si="38"/>
        <v/>
      </c>
      <c r="F116" s="264" t="str">
        <f t="shared" si="39"/>
        <v/>
      </c>
      <c r="G116" s="291" t="str">
        <f t="shared" si="40"/>
        <v/>
      </c>
      <c r="H116" s="240" t="str">
        <f t="shared" si="41"/>
        <v/>
      </c>
      <c r="I116" s="265" t="str">
        <f t="shared" si="2"/>
        <v/>
      </c>
      <c r="J116" s="265" t="str">
        <f t="shared" si="3"/>
        <v/>
      </c>
      <c r="K116" s="240" t="str">
        <f t="shared" si="4"/>
        <v/>
      </c>
      <c r="L116" s="265" t="str">
        <f t="shared" si="5"/>
        <v/>
      </c>
      <c r="M116" s="265" t="str">
        <f t="shared" si="6"/>
        <v/>
      </c>
      <c r="N116" s="240" t="str">
        <f t="shared" si="7"/>
        <v>-</v>
      </c>
      <c r="O116" s="265" t="str">
        <f t="shared" si="8"/>
        <v>-</v>
      </c>
      <c r="P116" s="265" t="str">
        <f t="shared" si="9"/>
        <v>-</v>
      </c>
      <c r="Q116" s="266" t="str">
        <f t="shared" si="10"/>
        <v>-</v>
      </c>
      <c r="R116" s="267" t="str">
        <f t="shared" si="11"/>
        <v>-</v>
      </c>
      <c r="S116" s="268" t="str">
        <f t="shared" si="12"/>
        <v>-</v>
      </c>
      <c r="T116" s="269" t="str">
        <f t="shared" si="13"/>
        <v/>
      </c>
      <c r="U116" s="221">
        <f t="shared" si="14"/>
        <v>16</v>
      </c>
      <c r="V116" s="220" t="str">
        <f t="shared" si="42"/>
        <v>-</v>
      </c>
      <c r="W116" s="221" t="str">
        <f t="shared" si="43"/>
        <v>-</v>
      </c>
      <c r="X116" s="221" t="str">
        <f t="shared" si="15"/>
        <v>-</v>
      </c>
      <c r="Y116" s="221" t="str">
        <f t="shared" si="16"/>
        <v>-</v>
      </c>
      <c r="Z116" s="270">
        <f t="shared" si="44"/>
        <v>0.1</v>
      </c>
      <c r="AA116" s="271" t="str">
        <f>IFERROR(IF(V115=1,AA$100*EXP(-(LN(2)/$D$65+0.04)*X115)*EXP(-(LN(2)/$D$65+0.1)*Y115),IF(V115=2,AA$100*EXP(-(LN(2)/$D$65+0.04)*(VLOOKUP(($F$16-$F$15)-1,U$99:Y115,4,FALSE)))*EXP(-(LN(2)/$D$65+0.1)*(VLOOKUP(($F$16-$F$15)-1,U$99:Y115,5,FALSE)))*EXP(-(LN(2)/$D$65+0.04)*X115)*EXP(-(LN(2)/$D$65+0.1)*Y115),IF(V115=3,AA$100*EXP(-(LN(2)/$D$65+0.04)*(VLOOKUP(($F$16-$F$15)-1,U$99:Y115,4,FALSE)))*EXP(-(LN(2)/$D$65+0.1)*(VLOOKUP(($F$16-$F$15)-1,U$99:Y115,5,FALSE)))*EXP(-(LN(2)/$D$65+0.04)*(VLOOKUP(($F$16-$F$15)*2-1,U$99:Y115,4,FALSE)))*EXP(-(LN(2)/$D$65+0.1)*(VLOOKUP(($F$16-$F$15)*2-1,U$99:Y115,5,FALSE)))*EXP(-(LN(2)/$D$65+0.04)*X115)*EXP(-(LN(2)/$D$65+0.1)*Y115),"-"))),"-")</f>
        <v>-</v>
      </c>
      <c r="AB116" s="271" t="str">
        <f>IFERROR(IF(V116=1,AB$100*EXP(-(LN(2)/$D$65+0.04)*X116)*EXP(-(LN(2)/$D$65+0.1)*Y116),IF(V116=2,AB$100*EXP(-(LN(2)/$D$65+0.04)*(VLOOKUP(($F$16-$F$15)-1,U$100:Y116,4,FALSE)))*EXP(-(LN(2)/$D$65+0.1)*(VLOOKUP(($F$16-$F$15)-1,U$100:Y116,5,FALSE)))*EXP(-(LN(2)/$D$65+0.04)*X116)*EXP(-(LN(2)/$D$65+0.1)*Y116),IF(V116=3,AB$100*EXP(-(LN(2)/$D$65+0.04)*(VLOOKUP(($F$16-$F$15)-1,U$100:Y116,4,FALSE)))*EXP(-(LN(2)/$D$65+0.1)*(VLOOKUP(($F$16-$F$15)-1,U$100:Y116,5,FALSE)))*EXP(-(LN(2)/$D$65+0.04)*(VLOOKUP(($F$16-$F$15)*2-1,U$100:Y116,4,FALSE)))*EXP(-(LN(2)/$D$65+0.1)*(VLOOKUP(($F$16-$F$15)*2-1,U$100:Y116,5,FALSE)))*EXP(-(LN(2)/$D$65+0.04)*X116)*EXP(-(LN(2)/$D$65+0.1)*Y116),"-"))),"-")</f>
        <v>-</v>
      </c>
      <c r="AC116" s="224">
        <f t="shared" si="45"/>
        <v>16</v>
      </c>
      <c r="AD116" s="223" t="str">
        <f t="shared" si="18"/>
        <v>-</v>
      </c>
      <c r="AE116" s="224" t="str">
        <f t="shared" si="46"/>
        <v>-</v>
      </c>
      <c r="AF116" s="224" t="str">
        <f t="shared" si="19"/>
        <v>-</v>
      </c>
      <c r="AG116" s="224" t="str">
        <f t="shared" si="20"/>
        <v>-</v>
      </c>
      <c r="AH116" s="272">
        <f t="shared" si="47"/>
        <v>0.1</v>
      </c>
      <c r="AI116" s="271" t="str">
        <f>IFERROR(IF(AD115=1,AI$100*EXP(-(LN(2)/$D$65+0.04)*AF115)*EXP(-(LN(2)/$D$65+0.1)*AG115),IF(AD115=2,AI$100*EXP(-(LN(2)/$D$65+0.04)*(VLOOKUP(($F$16-$F$15)-1,AC$99:AG115,4,FALSE)))*EXP(-(LN(2)/$D$65+0.1)*(VLOOKUP(($F$16-$F$15)-1,AC$99:AG115,5,FALSE)))*EXP(-(LN(2)/$D$65+0.04)*AF115)*EXP(-(LN(2)/$D$65+0.1)*AG115),IF(AD115=3,AI$100*EXP(-(LN(2)/$D$65+0.04)*(VLOOKUP(($F$16-$F$15)-1,AC$99:AG115,4,FALSE)))*EXP(-(LN(2)/$D$65+0.1)*(VLOOKUP(($F$16-$F$15)-1,AC$99:AG115,5,FALSE)))*EXP(-(LN(2)/$D$65+0.04)*(VLOOKUP(($F$16-$F$15)*2-1,AC$99:AG115,4,FALSE)))*EXP(-(LN(2)/$D$65+0.1)*(VLOOKUP(($F$16-$F$15)*2-1,AC$99:AG115,5,FALSE)))*EXP(-(LN(2)/$D$65+0.04)*AF115)*EXP(-(LN(2)/$D$65+0.1)*AG115),"-"))),"-")</f>
        <v>-</v>
      </c>
      <c r="AJ116" s="271" t="str">
        <f>IFERROR(IF(AD116=1,AJ$100*EXP(-(LN(2)/$D$65+0.04)*AF116)*EXP(-(LN(2)/$D$65+0.1)*AG116),IF(AD116=2,AJ$100*EXP(-(LN(2)/$D$65+0.04)*(VLOOKUP(($F$16-$F$15)-1,AC$100:AG116,4,FALSE)))*EXP(-(LN(2)/$D$65+0.1)*(VLOOKUP(($F$16-$F$15)-1,AC$100:AG116,5,FALSE)))*EXP(-(LN(2)/$D$65+0.04)*AF116)*EXP(-(LN(2)/$D$65+0.1)*AG116),IF(AD116=3,AJ$100*EXP(-(LN(2)/$D$65+0.04)*(VLOOKUP(($F$16-$F$15)-1,AC$100:AG116,4,FALSE)))*EXP(-(LN(2)/$D$65+0.1)*(VLOOKUP(($F$16-$F$15)-1,AC$100:AG116,5,FALSE)))*EXP(-(LN(2)/$D$65+0.04)*(VLOOKUP(($F$16-$F$15)*2-1,AC$100:AG116,4,FALSE)))*EXP(-(LN(2)/$D$65+0.1)*(VLOOKUP(($F$16-$F$15)*2-1,AC$100:AG116,5,FALSE)))*EXP(-(LN(2)/$D$65+0.04)*AF116)*EXP(-(LN(2)/$D$65+0.1)*AG116),"-"))),"-")</f>
        <v>-</v>
      </c>
      <c r="AK116" s="227">
        <f t="shared" si="49"/>
        <v>16</v>
      </c>
      <c r="AL116" s="226" t="str">
        <f t="shared" si="22"/>
        <v>-</v>
      </c>
      <c r="AM116" s="227" t="str">
        <f t="shared" si="50"/>
        <v>-</v>
      </c>
      <c r="AN116" s="227" t="str">
        <f t="shared" si="51"/>
        <v>-</v>
      </c>
      <c r="AO116" s="227" t="str">
        <f t="shared" si="23"/>
        <v>-</v>
      </c>
      <c r="AP116" s="273">
        <f t="shared" si="52"/>
        <v>0.1</v>
      </c>
      <c r="AQ116" s="271" t="str">
        <f>IFERROR(IF(AL115=1,AQ$100*EXP(-(LN(2)/$D$65+0.04)*AN115)*EXP(-(LN(2)/$D$65+0.1)*AO115),IF(AL115=2,AQ$100*EXP(-(LN(2)/$D$65+0.04)*(VLOOKUP(($F$16-$F$15)-1,AK$99:AO115,4,FALSE)))*EXP(-(LN(2)/$D$65+0.1)*(VLOOKUP(($F$16-$F$15)-1,AK$99:AO115,5,FALSE)))*EXP(-(LN(2)/$D$65+0.04)*AN115)*EXP(-(LN(2)/$D$65+0.1)*AO115),IF(AL115=3,AQ$100*EXP(-(LN(2)/$D$65+0.04)*(VLOOKUP(($F$16-$F$15)-1,AK$99:AO115,4,FALSE)))*EXP(-(LN(2)/$D$65+0.1)*(VLOOKUP(($F$16-$F$15)-1,AK$99:AO115,5,FALSE)))*EXP(-(LN(2)/$D$65+0.04)*(VLOOKUP(($F$16-$F$15)*2-1,AK$99:AO115,4,FALSE)))*EXP(-(LN(2)/$D$65+0.1)*(VLOOKUP(($F$16-$F$15)*2-1,AK$99:AO115,5,FALSE)))*EXP(-(LN(2)/$D$65+0.04)*AN115)*EXP(-(LN(2)/$D$65+0.1)*AO115),"-"))),"-")</f>
        <v>-</v>
      </c>
      <c r="AR116" s="271" t="str">
        <f>IFERROR(IF(AL116=1,AR$100*EXP(-(LN(2)/$D$65+0.04)*AN116)*EXP(-(LN(2)/$D$65+0.1)*AO116),IF(AL116=2,AR$100*EXP(-(LN(2)/$D$65+0.04)*(VLOOKUP(($F$16-$F$15)-1,AK$100:AO116,4,FALSE)))*EXP(-(LN(2)/$D$65+0.1)*(VLOOKUP(($F$16-$F$15)-1,AK$100:AO116,5,FALSE)))*EXP(-(LN(2)/$D$65+0.04)*AN116)*EXP(-(LN(2)/$D$65+0.1)*AO116),IF(AL116=3,AR$100*EXP(-(LN(2)/$D$65+0.04)*(VLOOKUP(($F$16-$F$15)-1,AK$100:AO116,4,FALSE)))*EXP(-(LN(2)/$D$65+0.1)*(VLOOKUP(($F$16-$F$15)-1,AK$100:AO116,5,FALSE)))*EXP(-(LN(2)/$D$65+0.04)*(VLOOKUP(($F$16-$F$15)*2-1,AK$100:AO116,4,FALSE)))*EXP(-(LN(2)/$D$65+0.1)*(VLOOKUP(($F$16-$F$15)*2-1,AK$100:AO116,5,FALSE)))*EXP(-(LN(2)/$D$65+0.04)*AN116)*EXP(-(LN(2)/$D$65+0.1)*AO116),"-"))),"-")</f>
        <v>-</v>
      </c>
      <c r="AS116" s="274">
        <f t="shared" si="24"/>
        <v>0</v>
      </c>
      <c r="AT116" s="274">
        <f t="shared" si="25"/>
        <v>0</v>
      </c>
      <c r="AU116" s="274">
        <f t="shared" si="26"/>
        <v>0</v>
      </c>
      <c r="AV116" s="275">
        <f>IF($B116&lt;$F$22,SUM($T$100:$T116),"")</f>
        <v>0</v>
      </c>
      <c r="AW116" s="275" t="str">
        <f t="shared" si="55"/>
        <v>-</v>
      </c>
      <c r="AX116" s="275" t="str">
        <f t="shared" si="56"/>
        <v/>
      </c>
      <c r="AY116"/>
      <c r="AZ116" s="275" t="str">
        <f ca="1">IF(ISNUMBER(OFFSET(AV116,-$F$21,0)),SUM(OFFSET($T$100,$F$21,0):$T116),"")</f>
        <v/>
      </c>
      <c r="BA116" s="275" t="str">
        <f t="shared" ca="1" si="27"/>
        <v/>
      </c>
      <c r="BB116" s="275" t="str">
        <f t="shared" ca="1" si="57"/>
        <v/>
      </c>
      <c r="BC116" s="190"/>
      <c r="BD116" s="275" t="str">
        <f ca="1">IFERROR(IF(OR(ISNUMBER(I),ISNUMBER($F$14)),IF(AND($B116&gt;=($F$16-$F$15),$B116&lt;$F$22+($F$16-$F$15)),SUM(OFFSET($T$100,($F$16-$F$15),0):$T116),""),""),"")</f>
        <v/>
      </c>
      <c r="BE116" s="275" t="str">
        <f t="shared" ca="1" si="58"/>
        <v/>
      </c>
      <c r="BF116" s="275" t="str">
        <f t="shared" ca="1" si="59"/>
        <v/>
      </c>
      <c r="BG116"/>
      <c r="BH116" s="190" t="str">
        <f ca="1">IF(ISNUMBER(OFFSET(BD116,-$F$21,0)),SUM(OFFSET($T$100,($F$16-$F$15+$F$21),0):$T116),"")</f>
        <v/>
      </c>
      <c r="BI116" s="190" t="str">
        <f t="shared" ca="1" si="28"/>
        <v/>
      </c>
      <c r="BJ116" s="190" t="str">
        <f t="shared" ca="1" si="60"/>
        <v/>
      </c>
      <c r="BK116" s="190"/>
      <c r="BL116" s="275" t="str">
        <f ca="1">IFERROR(IF(OR(ISNUMBER(I),ISNUMBER($F$14)),IF(AND($B116&gt;=($F$17-$F$15),$B116&lt;$F$22+($F$17-$F$15)),SUM(OFFSET($T$100,($F$17-$F$15),0):$T116),""),""),"")</f>
        <v/>
      </c>
      <c r="BM116" s="275" t="str">
        <f t="shared" ca="1" si="29"/>
        <v/>
      </c>
      <c r="BN116" s="275" t="str">
        <f t="shared" ca="1" si="61"/>
        <v/>
      </c>
      <c r="BO116"/>
      <c r="BP116" s="275" t="str">
        <f ca="1">IF(ISNUMBER(OFFSET(BL116,-$F$21,0)),SUM(OFFSET($T$100,($F$17-$F$15+$F$21),0):$T116),"")</f>
        <v/>
      </c>
      <c r="BQ116" s="275" t="str">
        <f t="shared" ca="1" si="62"/>
        <v/>
      </c>
      <c r="BR116" s="275" t="str">
        <f t="shared" ca="1" si="63"/>
        <v/>
      </c>
      <c r="BS116" s="190"/>
      <c r="BT116"/>
      <c r="BU116" s="276" t="str">
        <f t="shared" si="64"/>
        <v>end</v>
      </c>
      <c r="BV116" s="277">
        <v>16</v>
      </c>
      <c r="BW116" s="278" t="str">
        <f t="shared" si="69"/>
        <v/>
      </c>
      <c r="BX116" s="278" t="str">
        <f t="shared" si="68"/>
        <v/>
      </c>
      <c r="BY116" s="279" t="str">
        <f t="shared" si="65"/>
        <v/>
      </c>
      <c r="BZ116"/>
      <c r="CA116" s="280" t="str">
        <f t="shared" si="30"/>
        <v>-</v>
      </c>
      <c r="CB116" s="71" t="str">
        <f t="shared" si="31"/>
        <v>-</v>
      </c>
      <c r="CC116" s="33" t="str">
        <f t="shared" si="32"/>
        <v>16-17</v>
      </c>
      <c r="CD116" s="261" t="str">
        <f t="shared" si="33"/>
        <v/>
      </c>
      <c r="CE116" s="280" t="str">
        <f t="shared" si="34"/>
        <v>-</v>
      </c>
      <c r="CF116" s="71" t="str">
        <f t="shared" ca="1" si="35"/>
        <v>-</v>
      </c>
      <c r="CG116" s="33" t="str">
        <f t="shared" si="36"/>
        <v>16-17</v>
      </c>
      <c r="CH116" s="261" t="str">
        <f t="shared" ca="1" si="37"/>
        <v/>
      </c>
      <c r="CI116" s="202"/>
      <c r="CJ116" s="99"/>
      <c r="CK116" s="99"/>
      <c r="CL116" s="99"/>
      <c r="CM116" s="99"/>
      <c r="CN116" s="99"/>
      <c r="CO116" s="99"/>
    </row>
    <row r="117" spans="2:93" ht="13.5" customHeight="1" x14ac:dyDescent="0.2">
      <c r="B117" s="262">
        <v>17</v>
      </c>
      <c r="C117" s="237" t="str">
        <f t="shared" si="1"/>
        <v/>
      </c>
      <c r="D117" s="237" t="str">
        <f t="shared" si="66"/>
        <v>-</v>
      </c>
      <c r="E117" s="290" t="str">
        <f t="shared" si="38"/>
        <v/>
      </c>
      <c r="F117" s="264" t="str">
        <f t="shared" si="39"/>
        <v/>
      </c>
      <c r="G117" s="291" t="str">
        <f t="shared" si="40"/>
        <v/>
      </c>
      <c r="H117" s="240" t="str">
        <f t="shared" si="41"/>
        <v/>
      </c>
      <c r="I117" s="265" t="str">
        <f t="shared" si="2"/>
        <v/>
      </c>
      <c r="J117" s="265" t="str">
        <f t="shared" si="3"/>
        <v/>
      </c>
      <c r="K117" s="240" t="str">
        <f t="shared" si="4"/>
        <v/>
      </c>
      <c r="L117" s="265" t="str">
        <f t="shared" si="5"/>
        <v/>
      </c>
      <c r="M117" s="265" t="str">
        <f t="shared" si="6"/>
        <v/>
      </c>
      <c r="N117" s="240" t="str">
        <f t="shared" si="7"/>
        <v>-</v>
      </c>
      <c r="O117" s="265" t="str">
        <f t="shared" si="8"/>
        <v>-</v>
      </c>
      <c r="P117" s="265" t="str">
        <f t="shared" si="9"/>
        <v>-</v>
      </c>
      <c r="Q117" s="266" t="str">
        <f t="shared" si="10"/>
        <v>-</v>
      </c>
      <c r="R117" s="267" t="str">
        <f t="shared" si="11"/>
        <v>-</v>
      </c>
      <c r="S117" s="268" t="str">
        <f t="shared" si="12"/>
        <v>-</v>
      </c>
      <c r="T117" s="269" t="str">
        <f t="shared" si="13"/>
        <v/>
      </c>
      <c r="U117" s="221">
        <f t="shared" si="14"/>
        <v>17</v>
      </c>
      <c r="V117" s="220" t="str">
        <f t="shared" si="42"/>
        <v>-</v>
      </c>
      <c r="W117" s="221" t="str">
        <f t="shared" si="43"/>
        <v>-</v>
      </c>
      <c r="X117" s="221" t="str">
        <f t="shared" si="15"/>
        <v>-</v>
      </c>
      <c r="Y117" s="221" t="str">
        <f t="shared" si="16"/>
        <v>-</v>
      </c>
      <c r="Z117" s="270">
        <f t="shared" si="44"/>
        <v>0.1</v>
      </c>
      <c r="AA117" s="271" t="str">
        <f>IFERROR(IF(V116=1,AA$100*EXP(-(LN(2)/$D$65+0.04)*X116)*EXP(-(LN(2)/$D$65+0.1)*Y116),IF(V116=2,AA$100*EXP(-(LN(2)/$D$65+0.04)*(VLOOKUP(($F$16-$F$15)-1,U$99:Y116,4,FALSE)))*EXP(-(LN(2)/$D$65+0.1)*(VLOOKUP(($F$16-$F$15)-1,U$99:Y116,5,FALSE)))*EXP(-(LN(2)/$D$65+0.04)*X116)*EXP(-(LN(2)/$D$65+0.1)*Y116),IF(V116=3,AA$100*EXP(-(LN(2)/$D$65+0.04)*(VLOOKUP(($F$16-$F$15)-1,U$99:Y116,4,FALSE)))*EXP(-(LN(2)/$D$65+0.1)*(VLOOKUP(($F$16-$F$15)-1,U$99:Y116,5,FALSE)))*EXP(-(LN(2)/$D$65+0.04)*(VLOOKUP(($F$16-$F$15)*2-1,U$99:Y116,4,FALSE)))*EXP(-(LN(2)/$D$65+0.1)*(VLOOKUP(($F$16-$F$15)*2-1,U$99:Y116,5,FALSE)))*EXP(-(LN(2)/$D$65+0.04)*X116)*EXP(-(LN(2)/$D$65+0.1)*Y116),"-"))),"-")</f>
        <v>-</v>
      </c>
      <c r="AB117" s="271" t="str">
        <f>IFERROR(IF(V117=1,AB$100*EXP(-(LN(2)/$D$65+0.04)*X117)*EXP(-(LN(2)/$D$65+0.1)*Y117),IF(V117=2,AB$100*EXP(-(LN(2)/$D$65+0.04)*(VLOOKUP(($F$16-$F$15)-1,U$100:Y117,4,FALSE)))*EXP(-(LN(2)/$D$65+0.1)*(VLOOKUP(($F$16-$F$15)-1,U$100:Y117,5,FALSE)))*EXP(-(LN(2)/$D$65+0.04)*X117)*EXP(-(LN(2)/$D$65+0.1)*Y117),IF(V117=3,AB$100*EXP(-(LN(2)/$D$65+0.04)*(VLOOKUP(($F$16-$F$15)-1,U$100:Y117,4,FALSE)))*EXP(-(LN(2)/$D$65+0.1)*(VLOOKUP(($F$16-$F$15)-1,U$100:Y117,5,FALSE)))*EXP(-(LN(2)/$D$65+0.04)*(VLOOKUP(($F$16-$F$15)*2-1,U$100:Y117,4,FALSE)))*EXP(-(LN(2)/$D$65+0.1)*(VLOOKUP(($F$16-$F$15)*2-1,U$100:Y117,5,FALSE)))*EXP(-(LN(2)/$D$65+0.04)*X117)*EXP(-(LN(2)/$D$65+0.1)*Y117),"-"))),"-")</f>
        <v>-</v>
      </c>
      <c r="AC117" s="224">
        <f t="shared" si="45"/>
        <v>17</v>
      </c>
      <c r="AD117" s="223" t="str">
        <f t="shared" si="18"/>
        <v>-</v>
      </c>
      <c r="AE117" s="224" t="str">
        <f t="shared" si="46"/>
        <v>-</v>
      </c>
      <c r="AF117" s="224" t="str">
        <f t="shared" si="19"/>
        <v>-</v>
      </c>
      <c r="AG117" s="224" t="str">
        <f t="shared" si="20"/>
        <v>-</v>
      </c>
      <c r="AH117" s="272">
        <f t="shared" si="47"/>
        <v>0.1</v>
      </c>
      <c r="AI117" s="271" t="str">
        <f>IFERROR(IF(AD116=1,AI$100*EXP(-(LN(2)/$D$65+0.04)*AF116)*EXP(-(LN(2)/$D$65+0.1)*AG116),IF(AD116=2,AI$100*EXP(-(LN(2)/$D$65+0.04)*(VLOOKUP(($F$16-$F$15)-1,AC$99:AG116,4,FALSE)))*EXP(-(LN(2)/$D$65+0.1)*(VLOOKUP(($F$16-$F$15)-1,AC$99:AG116,5,FALSE)))*EXP(-(LN(2)/$D$65+0.04)*AF116)*EXP(-(LN(2)/$D$65+0.1)*AG116),IF(AD116=3,AI$100*EXP(-(LN(2)/$D$65+0.04)*(VLOOKUP(($F$16-$F$15)-1,AC$99:AG116,4,FALSE)))*EXP(-(LN(2)/$D$65+0.1)*(VLOOKUP(($F$16-$F$15)-1,AC$99:AG116,5,FALSE)))*EXP(-(LN(2)/$D$65+0.04)*(VLOOKUP(($F$16-$F$15)*2-1,AC$99:AG116,4,FALSE)))*EXP(-(LN(2)/$D$65+0.1)*(VLOOKUP(($F$16-$F$15)*2-1,AC$99:AG116,5,FALSE)))*EXP(-(LN(2)/$D$65+0.04)*AF116)*EXP(-(LN(2)/$D$65+0.1)*AG116),"-"))),"-")</f>
        <v>-</v>
      </c>
      <c r="AJ117" s="271" t="str">
        <f>IFERROR(IF(AD117=1,AJ$100*EXP(-(LN(2)/$D$65+0.04)*AF117)*EXP(-(LN(2)/$D$65+0.1)*AG117),IF(AD117=2,AJ$100*EXP(-(LN(2)/$D$65+0.04)*(VLOOKUP(($F$16-$F$15)-1,AC$100:AG117,4,FALSE)))*EXP(-(LN(2)/$D$65+0.1)*(VLOOKUP(($F$16-$F$15)-1,AC$100:AG117,5,FALSE)))*EXP(-(LN(2)/$D$65+0.04)*AF117)*EXP(-(LN(2)/$D$65+0.1)*AG117),IF(AD117=3,AJ$100*EXP(-(LN(2)/$D$65+0.04)*(VLOOKUP(($F$16-$F$15)-1,AC$100:AG117,4,FALSE)))*EXP(-(LN(2)/$D$65+0.1)*(VLOOKUP(($F$16-$F$15)-1,AC$100:AG117,5,FALSE)))*EXP(-(LN(2)/$D$65+0.04)*(VLOOKUP(($F$16-$F$15)*2-1,AC$100:AG117,4,FALSE)))*EXP(-(LN(2)/$D$65+0.1)*(VLOOKUP(($F$16-$F$15)*2-1,AC$100:AG117,5,FALSE)))*EXP(-(LN(2)/$D$65+0.04)*AF117)*EXP(-(LN(2)/$D$65+0.1)*AG117),"-"))),"-")</f>
        <v>-</v>
      </c>
      <c r="AK117" s="227">
        <f t="shared" si="49"/>
        <v>17</v>
      </c>
      <c r="AL117" s="226" t="str">
        <f t="shared" si="22"/>
        <v>-</v>
      </c>
      <c r="AM117" s="227" t="str">
        <f t="shared" si="50"/>
        <v>-</v>
      </c>
      <c r="AN117" s="227" t="str">
        <f t="shared" si="51"/>
        <v>-</v>
      </c>
      <c r="AO117" s="227" t="str">
        <f t="shared" si="23"/>
        <v>-</v>
      </c>
      <c r="AP117" s="273">
        <f t="shared" si="52"/>
        <v>0.1</v>
      </c>
      <c r="AQ117" s="271" t="str">
        <f>IFERROR(IF(AL116=1,AQ$100*EXP(-(LN(2)/$D$65+0.04)*AN116)*EXP(-(LN(2)/$D$65+0.1)*AO116),IF(AL116=2,AQ$100*EXP(-(LN(2)/$D$65+0.04)*(VLOOKUP(($F$16-$F$15)-1,AK$99:AO116,4,FALSE)))*EXP(-(LN(2)/$D$65+0.1)*(VLOOKUP(($F$16-$F$15)-1,AK$99:AO116,5,FALSE)))*EXP(-(LN(2)/$D$65+0.04)*AN116)*EXP(-(LN(2)/$D$65+0.1)*AO116),IF(AL116=3,AQ$100*EXP(-(LN(2)/$D$65+0.04)*(VLOOKUP(($F$16-$F$15)-1,AK$99:AO116,4,FALSE)))*EXP(-(LN(2)/$D$65+0.1)*(VLOOKUP(($F$16-$F$15)-1,AK$99:AO116,5,FALSE)))*EXP(-(LN(2)/$D$65+0.04)*(VLOOKUP(($F$16-$F$15)*2-1,AK$99:AO116,4,FALSE)))*EXP(-(LN(2)/$D$65+0.1)*(VLOOKUP(($F$16-$F$15)*2-1,AK$99:AO116,5,FALSE)))*EXP(-(LN(2)/$D$65+0.04)*AN116)*EXP(-(LN(2)/$D$65+0.1)*AO116),"-"))),"-")</f>
        <v>-</v>
      </c>
      <c r="AR117" s="271" t="str">
        <f>IFERROR(IF(AL117=1,AR$100*EXP(-(LN(2)/$D$65+0.04)*AN117)*EXP(-(LN(2)/$D$65+0.1)*AO117),IF(AL117=2,AR$100*EXP(-(LN(2)/$D$65+0.04)*(VLOOKUP(($F$16-$F$15)-1,AK$100:AO117,4,FALSE)))*EXP(-(LN(2)/$D$65+0.1)*(VLOOKUP(($F$16-$F$15)-1,AK$100:AO117,5,FALSE)))*EXP(-(LN(2)/$D$65+0.04)*AN117)*EXP(-(LN(2)/$D$65+0.1)*AO117),IF(AL117=3,AR$100*EXP(-(LN(2)/$D$65+0.04)*(VLOOKUP(($F$16-$F$15)-1,AK$100:AO117,4,FALSE)))*EXP(-(LN(2)/$D$65+0.1)*(VLOOKUP(($F$16-$F$15)-1,AK$100:AO117,5,FALSE)))*EXP(-(LN(2)/$D$65+0.04)*(VLOOKUP(($F$16-$F$15)*2-1,AK$100:AO117,4,FALSE)))*EXP(-(LN(2)/$D$65+0.1)*(VLOOKUP(($F$16-$F$15)*2-1,AK$100:AO117,5,FALSE)))*EXP(-(LN(2)/$D$65+0.04)*AN117)*EXP(-(LN(2)/$D$65+0.1)*AO117),"-"))),"-")</f>
        <v>-</v>
      </c>
      <c r="AS117" s="274">
        <f t="shared" si="24"/>
        <v>0</v>
      </c>
      <c r="AT117" s="274">
        <f t="shared" si="25"/>
        <v>0</v>
      </c>
      <c r="AU117" s="274">
        <f t="shared" si="26"/>
        <v>0</v>
      </c>
      <c r="AV117" s="275">
        <f>IF($B117&lt;$F$22,SUM($T$100:$T117),"")</f>
        <v>0</v>
      </c>
      <c r="AW117" s="275" t="str">
        <f t="shared" si="55"/>
        <v>-</v>
      </c>
      <c r="AX117" s="275" t="str">
        <f t="shared" si="56"/>
        <v/>
      </c>
      <c r="AY117"/>
      <c r="AZ117" s="275" t="str">
        <f ca="1">IF(ISNUMBER(OFFSET(AV117,-$F$21,0)),SUM(OFFSET($T$100,$F$21,0):$T117),"")</f>
        <v/>
      </c>
      <c r="BA117" s="275" t="str">
        <f t="shared" ca="1" si="27"/>
        <v/>
      </c>
      <c r="BB117" s="275" t="str">
        <f t="shared" ca="1" si="57"/>
        <v/>
      </c>
      <c r="BC117" s="190"/>
      <c r="BD117" s="275" t="str">
        <f ca="1">IFERROR(IF(OR(ISNUMBER(I),ISNUMBER($F$14)),IF(AND($B117&gt;=($F$16-$F$15),$B117&lt;$F$22+($F$16-$F$15)),SUM(OFFSET($T$100,($F$16-$F$15),0):$T117),""),""),"")</f>
        <v/>
      </c>
      <c r="BE117" s="275" t="str">
        <f t="shared" ca="1" si="58"/>
        <v/>
      </c>
      <c r="BF117" s="275" t="str">
        <f t="shared" ca="1" si="59"/>
        <v/>
      </c>
      <c r="BG117"/>
      <c r="BH117" s="190" t="str">
        <f ca="1">IF(ISNUMBER(OFFSET(BD117,-$F$21,0)),SUM(OFFSET($T$100,($F$16-$F$15+$F$21),0):$T117),"")</f>
        <v/>
      </c>
      <c r="BI117" s="190" t="str">
        <f t="shared" ca="1" si="28"/>
        <v/>
      </c>
      <c r="BJ117" s="190" t="str">
        <f t="shared" ca="1" si="60"/>
        <v/>
      </c>
      <c r="BK117" s="190"/>
      <c r="BL117" s="275" t="str">
        <f ca="1">IFERROR(IF(OR(ISNUMBER(I),ISNUMBER($F$14)),IF(AND($B117&gt;=($F$17-$F$15),$B117&lt;$F$22+($F$17-$F$15)),SUM(OFFSET($T$100,($F$17-$F$15),0):$T117),""),""),"")</f>
        <v/>
      </c>
      <c r="BM117" s="275" t="str">
        <f t="shared" ca="1" si="29"/>
        <v/>
      </c>
      <c r="BN117" s="275" t="str">
        <f t="shared" ca="1" si="61"/>
        <v/>
      </c>
      <c r="BO117"/>
      <c r="BP117" s="275" t="str">
        <f ca="1">IF(ISNUMBER(OFFSET(BL117,-$F$21,0)),SUM(OFFSET($T$100,($F$17-$F$15+$F$21),0):$T117),"")</f>
        <v/>
      </c>
      <c r="BQ117" s="275" t="str">
        <f t="shared" ca="1" si="62"/>
        <v/>
      </c>
      <c r="BR117" s="275" t="str">
        <f t="shared" ca="1" si="63"/>
        <v/>
      </c>
      <c r="BS117" s="190"/>
      <c r="BT117"/>
      <c r="BU117" s="276" t="str">
        <f t="shared" si="64"/>
        <v>end</v>
      </c>
      <c r="BV117" s="277">
        <v>17</v>
      </c>
      <c r="BW117" s="278" t="str">
        <f t="shared" si="69"/>
        <v/>
      </c>
      <c r="BX117" s="278" t="str">
        <f t="shared" si="68"/>
        <v/>
      </c>
      <c r="BY117" s="279" t="str">
        <f t="shared" si="65"/>
        <v/>
      </c>
      <c r="BZ117"/>
      <c r="CA117" s="280" t="str">
        <f t="shared" si="30"/>
        <v>-</v>
      </c>
      <c r="CB117" s="71" t="str">
        <f t="shared" si="31"/>
        <v>-</v>
      </c>
      <c r="CC117" s="33" t="str">
        <f t="shared" si="32"/>
        <v>17-18</v>
      </c>
      <c r="CD117" s="261" t="str">
        <f t="shared" si="33"/>
        <v/>
      </c>
      <c r="CE117" s="280" t="str">
        <f t="shared" si="34"/>
        <v>-</v>
      </c>
      <c r="CF117" s="71" t="str">
        <f t="shared" ca="1" si="35"/>
        <v>-</v>
      </c>
      <c r="CG117" s="33" t="str">
        <f t="shared" si="36"/>
        <v>17-18</v>
      </c>
      <c r="CH117" s="261" t="str">
        <f t="shared" ca="1" si="37"/>
        <v/>
      </c>
      <c r="CI117" s="202"/>
      <c r="CJ117" s="99"/>
      <c r="CK117" s="99"/>
      <c r="CL117" s="99"/>
      <c r="CM117" s="99"/>
      <c r="CN117" s="99"/>
      <c r="CO117" s="99"/>
    </row>
    <row r="118" spans="2:93" ht="13.5" customHeight="1" x14ac:dyDescent="0.2">
      <c r="B118" s="262">
        <v>18</v>
      </c>
      <c r="C118" s="237" t="str">
        <f t="shared" si="1"/>
        <v/>
      </c>
      <c r="D118" s="237" t="str">
        <f t="shared" si="66"/>
        <v>-</v>
      </c>
      <c r="E118" s="290" t="str">
        <f t="shared" si="38"/>
        <v/>
      </c>
      <c r="F118" s="264" t="str">
        <f t="shared" si="39"/>
        <v/>
      </c>
      <c r="G118" s="291" t="str">
        <f t="shared" si="40"/>
        <v/>
      </c>
      <c r="H118" s="240" t="str">
        <f t="shared" si="41"/>
        <v/>
      </c>
      <c r="I118" s="265" t="str">
        <f t="shared" si="2"/>
        <v/>
      </c>
      <c r="J118" s="265" t="str">
        <f t="shared" si="3"/>
        <v/>
      </c>
      <c r="K118" s="240" t="str">
        <f t="shared" si="4"/>
        <v/>
      </c>
      <c r="L118" s="265" t="str">
        <f t="shared" si="5"/>
        <v/>
      </c>
      <c r="M118" s="265" t="str">
        <f t="shared" si="6"/>
        <v/>
      </c>
      <c r="N118" s="240" t="str">
        <f t="shared" si="7"/>
        <v>-</v>
      </c>
      <c r="O118" s="265" t="str">
        <f t="shared" si="8"/>
        <v>-</v>
      </c>
      <c r="P118" s="265" t="str">
        <f t="shared" si="9"/>
        <v>-</v>
      </c>
      <c r="Q118" s="266" t="str">
        <f t="shared" si="10"/>
        <v>-</v>
      </c>
      <c r="R118" s="267" t="str">
        <f t="shared" si="11"/>
        <v>-</v>
      </c>
      <c r="S118" s="268" t="str">
        <f t="shared" si="12"/>
        <v>-</v>
      </c>
      <c r="T118" s="269" t="str">
        <f t="shared" si="13"/>
        <v/>
      </c>
      <c r="U118" s="221">
        <f t="shared" si="14"/>
        <v>18</v>
      </c>
      <c r="V118" s="220" t="str">
        <f t="shared" si="42"/>
        <v>-</v>
      </c>
      <c r="W118" s="221" t="str">
        <f t="shared" si="43"/>
        <v>-</v>
      </c>
      <c r="X118" s="221" t="str">
        <f t="shared" si="15"/>
        <v>-</v>
      </c>
      <c r="Y118" s="221" t="str">
        <f t="shared" si="16"/>
        <v>-</v>
      </c>
      <c r="Z118" s="270">
        <f t="shared" si="44"/>
        <v>0.1</v>
      </c>
      <c r="AA118" s="271" t="str">
        <f>IFERROR(IF(V117=1,AA$100*EXP(-(LN(2)/$D$65+0.04)*X117)*EXP(-(LN(2)/$D$65+0.1)*Y117),IF(V117=2,AA$100*EXP(-(LN(2)/$D$65+0.04)*(VLOOKUP(($F$16-$F$15)-1,U$99:Y117,4,FALSE)))*EXP(-(LN(2)/$D$65+0.1)*(VLOOKUP(($F$16-$F$15)-1,U$99:Y117,5,FALSE)))*EXP(-(LN(2)/$D$65+0.04)*X117)*EXP(-(LN(2)/$D$65+0.1)*Y117),IF(V117=3,AA$100*EXP(-(LN(2)/$D$65+0.04)*(VLOOKUP(($F$16-$F$15)-1,U$99:Y117,4,FALSE)))*EXP(-(LN(2)/$D$65+0.1)*(VLOOKUP(($F$16-$F$15)-1,U$99:Y117,5,FALSE)))*EXP(-(LN(2)/$D$65+0.04)*(VLOOKUP(($F$16-$F$15)*2-1,U$99:Y117,4,FALSE)))*EXP(-(LN(2)/$D$65+0.1)*(VLOOKUP(($F$16-$F$15)*2-1,U$99:Y117,5,FALSE)))*EXP(-(LN(2)/$D$65+0.04)*X117)*EXP(-(LN(2)/$D$65+0.1)*Y117),"-"))),"-")</f>
        <v>-</v>
      </c>
      <c r="AB118" s="271" t="str">
        <f>IFERROR(IF(V118=1,AB$100*EXP(-(LN(2)/$D$65+0.04)*X118)*EXP(-(LN(2)/$D$65+0.1)*Y118),IF(V118=2,AB$100*EXP(-(LN(2)/$D$65+0.04)*(VLOOKUP(($F$16-$F$15)-1,U$100:Y118,4,FALSE)))*EXP(-(LN(2)/$D$65+0.1)*(VLOOKUP(($F$16-$F$15)-1,U$100:Y118,5,FALSE)))*EXP(-(LN(2)/$D$65+0.04)*X118)*EXP(-(LN(2)/$D$65+0.1)*Y118),IF(V118=3,AB$100*EXP(-(LN(2)/$D$65+0.04)*(VLOOKUP(($F$16-$F$15)-1,U$100:Y118,4,FALSE)))*EXP(-(LN(2)/$D$65+0.1)*(VLOOKUP(($F$16-$F$15)-1,U$100:Y118,5,FALSE)))*EXP(-(LN(2)/$D$65+0.04)*(VLOOKUP(($F$16-$F$15)*2-1,U$100:Y118,4,FALSE)))*EXP(-(LN(2)/$D$65+0.1)*(VLOOKUP(($F$16-$F$15)*2-1,U$100:Y118,5,FALSE)))*EXP(-(LN(2)/$D$65+0.04)*X118)*EXP(-(LN(2)/$D$65+0.1)*Y118),"-"))),"-")</f>
        <v>-</v>
      </c>
      <c r="AC118" s="224">
        <f t="shared" si="45"/>
        <v>18</v>
      </c>
      <c r="AD118" s="223" t="str">
        <f t="shared" si="18"/>
        <v>-</v>
      </c>
      <c r="AE118" s="224" t="str">
        <f t="shared" si="46"/>
        <v>-</v>
      </c>
      <c r="AF118" s="224" t="str">
        <f t="shared" si="19"/>
        <v>-</v>
      </c>
      <c r="AG118" s="224" t="str">
        <f t="shared" si="20"/>
        <v>-</v>
      </c>
      <c r="AH118" s="272">
        <f t="shared" si="47"/>
        <v>0.1</v>
      </c>
      <c r="AI118" s="271" t="str">
        <f>IFERROR(IF(AD117=1,AI$100*EXP(-(LN(2)/$D$65+0.04)*AF117)*EXP(-(LN(2)/$D$65+0.1)*AG117),IF(AD117=2,AI$100*EXP(-(LN(2)/$D$65+0.04)*(VLOOKUP(($F$16-$F$15)-1,AC$99:AG117,4,FALSE)))*EXP(-(LN(2)/$D$65+0.1)*(VLOOKUP(($F$16-$F$15)-1,AC$99:AG117,5,FALSE)))*EXP(-(LN(2)/$D$65+0.04)*AF117)*EXP(-(LN(2)/$D$65+0.1)*AG117),IF(AD117=3,AI$100*EXP(-(LN(2)/$D$65+0.04)*(VLOOKUP(($F$16-$F$15)-1,AC$99:AG117,4,FALSE)))*EXP(-(LN(2)/$D$65+0.1)*(VLOOKUP(($F$16-$F$15)-1,AC$99:AG117,5,FALSE)))*EXP(-(LN(2)/$D$65+0.04)*(VLOOKUP(($F$16-$F$15)*2-1,AC$99:AG117,4,FALSE)))*EXP(-(LN(2)/$D$65+0.1)*(VLOOKUP(($F$16-$F$15)*2-1,AC$99:AG117,5,FALSE)))*EXP(-(LN(2)/$D$65+0.04)*AF117)*EXP(-(LN(2)/$D$65+0.1)*AG117),"-"))),"-")</f>
        <v>-</v>
      </c>
      <c r="AJ118" s="271" t="str">
        <f>IFERROR(IF(AD118=1,AJ$100*EXP(-(LN(2)/$D$65+0.04)*AF118)*EXP(-(LN(2)/$D$65+0.1)*AG118),IF(AD118=2,AJ$100*EXP(-(LN(2)/$D$65+0.04)*(VLOOKUP(($F$16-$F$15)-1,AC$100:AG118,4,FALSE)))*EXP(-(LN(2)/$D$65+0.1)*(VLOOKUP(($F$16-$F$15)-1,AC$100:AG118,5,FALSE)))*EXP(-(LN(2)/$D$65+0.04)*AF118)*EXP(-(LN(2)/$D$65+0.1)*AG118),IF(AD118=3,AJ$100*EXP(-(LN(2)/$D$65+0.04)*(VLOOKUP(($F$16-$F$15)-1,AC$100:AG118,4,FALSE)))*EXP(-(LN(2)/$D$65+0.1)*(VLOOKUP(($F$16-$F$15)-1,AC$100:AG118,5,FALSE)))*EXP(-(LN(2)/$D$65+0.04)*(VLOOKUP(($F$16-$F$15)*2-1,AC$100:AG118,4,FALSE)))*EXP(-(LN(2)/$D$65+0.1)*(VLOOKUP(($F$16-$F$15)*2-1,AC$100:AG118,5,FALSE)))*EXP(-(LN(2)/$D$65+0.04)*AF118)*EXP(-(LN(2)/$D$65+0.1)*AG118),"-"))),"-")</f>
        <v>-</v>
      </c>
      <c r="AK118" s="227">
        <f t="shared" si="49"/>
        <v>18</v>
      </c>
      <c r="AL118" s="226" t="str">
        <f t="shared" si="22"/>
        <v>-</v>
      </c>
      <c r="AM118" s="227" t="str">
        <f t="shared" si="50"/>
        <v>-</v>
      </c>
      <c r="AN118" s="227" t="str">
        <f t="shared" si="51"/>
        <v>-</v>
      </c>
      <c r="AO118" s="227" t="str">
        <f t="shared" si="23"/>
        <v>-</v>
      </c>
      <c r="AP118" s="273">
        <f t="shared" si="52"/>
        <v>0.1</v>
      </c>
      <c r="AQ118" s="271" t="str">
        <f>IFERROR(IF(AL117=1,AQ$100*EXP(-(LN(2)/$D$65+0.04)*AN117)*EXP(-(LN(2)/$D$65+0.1)*AO117),IF(AL117=2,AQ$100*EXP(-(LN(2)/$D$65+0.04)*(VLOOKUP(($F$16-$F$15)-1,AK$99:AO117,4,FALSE)))*EXP(-(LN(2)/$D$65+0.1)*(VLOOKUP(($F$16-$F$15)-1,AK$99:AO117,5,FALSE)))*EXP(-(LN(2)/$D$65+0.04)*AN117)*EXP(-(LN(2)/$D$65+0.1)*AO117),IF(AL117=3,AQ$100*EXP(-(LN(2)/$D$65+0.04)*(VLOOKUP(($F$16-$F$15)-1,AK$99:AO117,4,FALSE)))*EXP(-(LN(2)/$D$65+0.1)*(VLOOKUP(($F$16-$F$15)-1,AK$99:AO117,5,FALSE)))*EXP(-(LN(2)/$D$65+0.04)*(VLOOKUP(($F$16-$F$15)*2-1,AK$99:AO117,4,FALSE)))*EXP(-(LN(2)/$D$65+0.1)*(VLOOKUP(($F$16-$F$15)*2-1,AK$99:AO117,5,FALSE)))*EXP(-(LN(2)/$D$65+0.04)*AN117)*EXP(-(LN(2)/$D$65+0.1)*AO117),"-"))),"-")</f>
        <v>-</v>
      </c>
      <c r="AR118" s="271" t="str">
        <f>IFERROR(IF(AL118=1,AR$100*EXP(-(LN(2)/$D$65+0.04)*AN118)*EXP(-(LN(2)/$D$65+0.1)*AO118),IF(AL118=2,AR$100*EXP(-(LN(2)/$D$65+0.04)*(VLOOKUP(($F$16-$F$15)-1,AK$100:AO118,4,FALSE)))*EXP(-(LN(2)/$D$65+0.1)*(VLOOKUP(($F$16-$F$15)-1,AK$100:AO118,5,FALSE)))*EXP(-(LN(2)/$D$65+0.04)*AN118)*EXP(-(LN(2)/$D$65+0.1)*AO118),IF(AL118=3,AR$100*EXP(-(LN(2)/$D$65+0.04)*(VLOOKUP(($F$16-$F$15)-1,AK$100:AO118,4,FALSE)))*EXP(-(LN(2)/$D$65+0.1)*(VLOOKUP(($F$16-$F$15)-1,AK$100:AO118,5,FALSE)))*EXP(-(LN(2)/$D$65+0.04)*(VLOOKUP(($F$16-$F$15)*2-1,AK$100:AO118,4,FALSE)))*EXP(-(LN(2)/$D$65+0.1)*(VLOOKUP(($F$16-$F$15)*2-1,AK$100:AO118,5,FALSE)))*EXP(-(LN(2)/$D$65+0.04)*AN118)*EXP(-(LN(2)/$D$65+0.1)*AO118),"-"))),"-")</f>
        <v>-</v>
      </c>
      <c r="AS118" s="274">
        <f t="shared" si="24"/>
        <v>0</v>
      </c>
      <c r="AT118" s="274">
        <f t="shared" si="25"/>
        <v>0</v>
      </c>
      <c r="AU118" s="274">
        <f t="shared" si="26"/>
        <v>0</v>
      </c>
      <c r="AV118" s="275">
        <f>IF($B118&lt;$F$22,SUM($T$100:$T118),"")</f>
        <v>0</v>
      </c>
      <c r="AW118" s="275" t="str">
        <f t="shared" si="55"/>
        <v>-</v>
      </c>
      <c r="AX118" s="275" t="str">
        <f t="shared" si="56"/>
        <v/>
      </c>
      <c r="AY118"/>
      <c r="AZ118" s="275" t="str">
        <f ca="1">IF(ISNUMBER(OFFSET(AV118,-$F$21,0)),SUM(OFFSET($T$100,$F$21,0):$T118),"")</f>
        <v/>
      </c>
      <c r="BA118" s="275" t="str">
        <f t="shared" ca="1" si="27"/>
        <v/>
      </c>
      <c r="BB118" s="275" t="str">
        <f t="shared" ca="1" si="57"/>
        <v/>
      </c>
      <c r="BC118" s="190"/>
      <c r="BD118" s="275" t="str">
        <f ca="1">IFERROR(IF(OR(ISNUMBER(I),ISNUMBER($F$14)),IF(AND($B118&gt;=($F$16-$F$15),$B118&lt;$F$22+($F$16-$F$15)),SUM(OFFSET($T$100,($F$16-$F$15),0):$T118),""),""),"")</f>
        <v/>
      </c>
      <c r="BE118" s="275" t="str">
        <f t="shared" ca="1" si="58"/>
        <v/>
      </c>
      <c r="BF118" s="275" t="str">
        <f t="shared" ca="1" si="59"/>
        <v/>
      </c>
      <c r="BG118"/>
      <c r="BH118" s="190" t="str">
        <f ca="1">IF(ISNUMBER(OFFSET(BD118,-$F$21,0)),SUM(OFFSET($T$100,($F$16-$F$15+$F$21),0):$T118),"")</f>
        <v/>
      </c>
      <c r="BI118" s="190" t="str">
        <f t="shared" ca="1" si="28"/>
        <v/>
      </c>
      <c r="BJ118" s="190" t="str">
        <f t="shared" ca="1" si="60"/>
        <v/>
      </c>
      <c r="BK118" s="190"/>
      <c r="BL118" s="275" t="str">
        <f ca="1">IFERROR(IF(OR(ISNUMBER(I),ISNUMBER($F$14)),IF(AND($B118&gt;=($F$17-$F$15),$B118&lt;$F$22+($F$17-$F$15)),SUM(OFFSET($T$100,($F$17-$F$15),0):$T118),""),""),"")</f>
        <v/>
      </c>
      <c r="BM118" s="275" t="str">
        <f t="shared" ca="1" si="29"/>
        <v/>
      </c>
      <c r="BN118" s="275" t="str">
        <f t="shared" ca="1" si="61"/>
        <v/>
      </c>
      <c r="BO118"/>
      <c r="BP118" s="275" t="str">
        <f ca="1">IF(ISNUMBER(OFFSET(BL118,-$F$21,0)),SUM(OFFSET($T$100,($F$17-$F$15+$F$21),0):$T118),"")</f>
        <v/>
      </c>
      <c r="BQ118" s="275" t="str">
        <f t="shared" ca="1" si="62"/>
        <v/>
      </c>
      <c r="BR118" s="275" t="str">
        <f t="shared" ca="1" si="63"/>
        <v/>
      </c>
      <c r="BS118" s="190"/>
      <c r="BT118"/>
      <c r="BU118" s="276" t="str">
        <f t="shared" si="64"/>
        <v>end</v>
      </c>
      <c r="BV118" s="277">
        <v>18</v>
      </c>
      <c r="BW118" s="278" t="str">
        <f t="shared" si="69"/>
        <v/>
      </c>
      <c r="BX118" s="278" t="str">
        <f t="shared" si="68"/>
        <v/>
      </c>
      <c r="BY118" s="279" t="str">
        <f t="shared" si="65"/>
        <v/>
      </c>
      <c r="BZ118"/>
      <c r="CA118" s="280" t="str">
        <f t="shared" si="30"/>
        <v>-</v>
      </c>
      <c r="CB118" s="71" t="str">
        <f t="shared" si="31"/>
        <v>-</v>
      </c>
      <c r="CC118" s="33" t="str">
        <f t="shared" si="32"/>
        <v>18-19</v>
      </c>
      <c r="CD118" s="261" t="str">
        <f t="shared" si="33"/>
        <v/>
      </c>
      <c r="CE118" s="280" t="str">
        <f t="shared" si="34"/>
        <v>-</v>
      </c>
      <c r="CF118" s="71" t="str">
        <f t="shared" ca="1" si="35"/>
        <v>-</v>
      </c>
      <c r="CG118" s="33" t="str">
        <f t="shared" si="36"/>
        <v>18-19</v>
      </c>
      <c r="CH118" s="261" t="str">
        <f t="shared" ca="1" si="37"/>
        <v/>
      </c>
      <c r="CI118" s="202"/>
      <c r="CJ118" s="99"/>
      <c r="CK118" s="99"/>
      <c r="CL118" s="99"/>
      <c r="CM118" s="99"/>
      <c r="CN118" s="99"/>
      <c r="CO118" s="99"/>
    </row>
    <row r="119" spans="2:93" ht="13.5" customHeight="1" x14ac:dyDescent="0.2">
      <c r="B119" s="262">
        <v>19</v>
      </c>
      <c r="C119" s="237" t="str">
        <f t="shared" si="1"/>
        <v/>
      </c>
      <c r="D119" s="237" t="str">
        <f t="shared" si="66"/>
        <v>-</v>
      </c>
      <c r="E119" s="290" t="str">
        <f t="shared" si="38"/>
        <v/>
      </c>
      <c r="F119" s="264" t="str">
        <f t="shared" si="39"/>
        <v/>
      </c>
      <c r="G119" s="291" t="str">
        <f t="shared" si="40"/>
        <v/>
      </c>
      <c r="H119" s="240" t="str">
        <f t="shared" si="41"/>
        <v/>
      </c>
      <c r="I119" s="265" t="str">
        <f t="shared" si="2"/>
        <v/>
      </c>
      <c r="J119" s="265" t="str">
        <f t="shared" si="3"/>
        <v/>
      </c>
      <c r="K119" s="240" t="str">
        <f t="shared" si="4"/>
        <v/>
      </c>
      <c r="L119" s="265" t="str">
        <f t="shared" si="5"/>
        <v/>
      </c>
      <c r="M119" s="265" t="str">
        <f t="shared" si="6"/>
        <v/>
      </c>
      <c r="N119" s="240" t="str">
        <f t="shared" si="7"/>
        <v>-</v>
      </c>
      <c r="O119" s="265" t="str">
        <f t="shared" si="8"/>
        <v>-</v>
      </c>
      <c r="P119" s="265" t="str">
        <f t="shared" si="9"/>
        <v>-</v>
      </c>
      <c r="Q119" s="266" t="str">
        <f t="shared" si="10"/>
        <v>-</v>
      </c>
      <c r="R119" s="267" t="str">
        <f t="shared" si="11"/>
        <v>-</v>
      </c>
      <c r="S119" s="268" t="str">
        <f t="shared" si="12"/>
        <v>-</v>
      </c>
      <c r="T119" s="269" t="str">
        <f t="shared" si="13"/>
        <v/>
      </c>
      <c r="U119" s="221">
        <f t="shared" si="14"/>
        <v>19</v>
      </c>
      <c r="V119" s="220" t="str">
        <f t="shared" si="42"/>
        <v>-</v>
      </c>
      <c r="W119" s="221" t="str">
        <f t="shared" si="43"/>
        <v>-</v>
      </c>
      <c r="X119" s="221" t="str">
        <f t="shared" si="15"/>
        <v>-</v>
      </c>
      <c r="Y119" s="221" t="str">
        <f t="shared" si="16"/>
        <v>-</v>
      </c>
      <c r="Z119" s="270">
        <f t="shared" si="44"/>
        <v>0.1</v>
      </c>
      <c r="AA119" s="271" t="str">
        <f>IFERROR(IF(V118=1,AA$100*EXP(-(LN(2)/$D$65+0.04)*X118)*EXP(-(LN(2)/$D$65+0.1)*Y118),IF(V118=2,AA$100*EXP(-(LN(2)/$D$65+0.04)*(VLOOKUP(($F$16-$F$15)-1,U$99:Y118,4,FALSE)))*EXP(-(LN(2)/$D$65+0.1)*(VLOOKUP(($F$16-$F$15)-1,U$99:Y118,5,FALSE)))*EXP(-(LN(2)/$D$65+0.04)*X118)*EXP(-(LN(2)/$D$65+0.1)*Y118),IF(V118=3,AA$100*EXP(-(LN(2)/$D$65+0.04)*(VLOOKUP(($F$16-$F$15)-1,U$99:Y118,4,FALSE)))*EXP(-(LN(2)/$D$65+0.1)*(VLOOKUP(($F$16-$F$15)-1,U$99:Y118,5,FALSE)))*EXP(-(LN(2)/$D$65+0.04)*(VLOOKUP(($F$16-$F$15)*2-1,U$99:Y118,4,FALSE)))*EXP(-(LN(2)/$D$65+0.1)*(VLOOKUP(($F$16-$F$15)*2-1,U$99:Y118,5,FALSE)))*EXP(-(LN(2)/$D$65+0.04)*X118)*EXP(-(LN(2)/$D$65+0.1)*Y118),"-"))),"-")</f>
        <v>-</v>
      </c>
      <c r="AB119" s="271" t="str">
        <f>IFERROR(IF(V119=1,AB$100*EXP(-(LN(2)/$D$65+0.04)*X119)*EXP(-(LN(2)/$D$65+0.1)*Y119),IF(V119=2,AB$100*EXP(-(LN(2)/$D$65+0.04)*(VLOOKUP(($F$16-$F$15)-1,U$100:Y119,4,FALSE)))*EXP(-(LN(2)/$D$65+0.1)*(VLOOKUP(($F$16-$F$15)-1,U$100:Y119,5,FALSE)))*EXP(-(LN(2)/$D$65+0.04)*X119)*EXP(-(LN(2)/$D$65+0.1)*Y119),IF(V119=3,AB$100*EXP(-(LN(2)/$D$65+0.04)*(VLOOKUP(($F$16-$F$15)-1,U$100:Y119,4,FALSE)))*EXP(-(LN(2)/$D$65+0.1)*(VLOOKUP(($F$16-$F$15)-1,U$100:Y119,5,FALSE)))*EXP(-(LN(2)/$D$65+0.04)*(VLOOKUP(($F$16-$F$15)*2-1,U$100:Y119,4,FALSE)))*EXP(-(LN(2)/$D$65+0.1)*(VLOOKUP(($F$16-$F$15)*2-1,U$100:Y119,5,FALSE)))*EXP(-(LN(2)/$D$65+0.04)*X119)*EXP(-(LN(2)/$D$65+0.1)*Y119),"-"))),"-")</f>
        <v>-</v>
      </c>
      <c r="AC119" s="224">
        <f t="shared" si="45"/>
        <v>19</v>
      </c>
      <c r="AD119" s="223" t="str">
        <f t="shared" si="18"/>
        <v>-</v>
      </c>
      <c r="AE119" s="224" t="str">
        <f t="shared" si="46"/>
        <v>-</v>
      </c>
      <c r="AF119" s="224" t="str">
        <f t="shared" si="19"/>
        <v>-</v>
      </c>
      <c r="AG119" s="224" t="str">
        <f t="shared" si="20"/>
        <v>-</v>
      </c>
      <c r="AH119" s="272">
        <f t="shared" si="47"/>
        <v>0.1</v>
      </c>
      <c r="AI119" s="271" t="str">
        <f>IFERROR(IF(AD118=1,AI$100*EXP(-(LN(2)/$D$65+0.04)*AF118)*EXP(-(LN(2)/$D$65+0.1)*AG118),IF(AD118=2,AI$100*EXP(-(LN(2)/$D$65+0.04)*(VLOOKUP(($F$16-$F$15)-1,AC$99:AG118,4,FALSE)))*EXP(-(LN(2)/$D$65+0.1)*(VLOOKUP(($F$16-$F$15)-1,AC$99:AG118,5,FALSE)))*EXP(-(LN(2)/$D$65+0.04)*AF118)*EXP(-(LN(2)/$D$65+0.1)*AG118),IF(AD118=3,AI$100*EXP(-(LN(2)/$D$65+0.04)*(VLOOKUP(($F$16-$F$15)-1,AC$99:AG118,4,FALSE)))*EXP(-(LN(2)/$D$65+0.1)*(VLOOKUP(($F$16-$F$15)-1,AC$99:AG118,5,FALSE)))*EXP(-(LN(2)/$D$65+0.04)*(VLOOKUP(($F$16-$F$15)*2-1,AC$99:AG118,4,FALSE)))*EXP(-(LN(2)/$D$65+0.1)*(VLOOKUP(($F$16-$F$15)*2-1,AC$99:AG118,5,FALSE)))*EXP(-(LN(2)/$D$65+0.04)*AF118)*EXP(-(LN(2)/$D$65+0.1)*AG118),"-"))),"-")</f>
        <v>-</v>
      </c>
      <c r="AJ119" s="271" t="str">
        <f>IFERROR(IF(AD119=1,AJ$100*EXP(-(LN(2)/$D$65+0.04)*AF119)*EXP(-(LN(2)/$D$65+0.1)*AG119),IF(AD119=2,AJ$100*EXP(-(LN(2)/$D$65+0.04)*(VLOOKUP(($F$16-$F$15)-1,AC$100:AG119,4,FALSE)))*EXP(-(LN(2)/$D$65+0.1)*(VLOOKUP(($F$16-$F$15)-1,AC$100:AG119,5,FALSE)))*EXP(-(LN(2)/$D$65+0.04)*AF119)*EXP(-(LN(2)/$D$65+0.1)*AG119),IF(AD119=3,AJ$100*EXP(-(LN(2)/$D$65+0.04)*(VLOOKUP(($F$16-$F$15)-1,AC$100:AG119,4,FALSE)))*EXP(-(LN(2)/$D$65+0.1)*(VLOOKUP(($F$16-$F$15)-1,AC$100:AG119,5,FALSE)))*EXP(-(LN(2)/$D$65+0.04)*(VLOOKUP(($F$16-$F$15)*2-1,AC$100:AG119,4,FALSE)))*EXP(-(LN(2)/$D$65+0.1)*(VLOOKUP(($F$16-$F$15)*2-1,AC$100:AG119,5,FALSE)))*EXP(-(LN(2)/$D$65+0.04)*AF119)*EXP(-(LN(2)/$D$65+0.1)*AG119),"-"))),"-")</f>
        <v>-</v>
      </c>
      <c r="AK119" s="227">
        <f t="shared" si="49"/>
        <v>19</v>
      </c>
      <c r="AL119" s="226" t="str">
        <f t="shared" si="22"/>
        <v>-</v>
      </c>
      <c r="AM119" s="227" t="str">
        <f t="shared" si="50"/>
        <v>-</v>
      </c>
      <c r="AN119" s="227" t="str">
        <f t="shared" si="51"/>
        <v>-</v>
      </c>
      <c r="AO119" s="227" t="str">
        <f t="shared" si="23"/>
        <v>-</v>
      </c>
      <c r="AP119" s="273">
        <f t="shared" si="52"/>
        <v>0.1</v>
      </c>
      <c r="AQ119" s="271" t="str">
        <f>IFERROR(IF(AL118=1,AQ$100*EXP(-(LN(2)/$D$65+0.04)*AN118)*EXP(-(LN(2)/$D$65+0.1)*AO118),IF(AL118=2,AQ$100*EXP(-(LN(2)/$D$65+0.04)*(VLOOKUP(($F$16-$F$15)-1,AK$99:AO118,4,FALSE)))*EXP(-(LN(2)/$D$65+0.1)*(VLOOKUP(($F$16-$F$15)-1,AK$99:AO118,5,FALSE)))*EXP(-(LN(2)/$D$65+0.04)*AN118)*EXP(-(LN(2)/$D$65+0.1)*AO118),IF(AL118=3,AQ$100*EXP(-(LN(2)/$D$65+0.04)*(VLOOKUP(($F$16-$F$15)-1,AK$99:AO118,4,FALSE)))*EXP(-(LN(2)/$D$65+0.1)*(VLOOKUP(($F$16-$F$15)-1,AK$99:AO118,5,FALSE)))*EXP(-(LN(2)/$D$65+0.04)*(VLOOKUP(($F$16-$F$15)*2-1,AK$99:AO118,4,FALSE)))*EXP(-(LN(2)/$D$65+0.1)*(VLOOKUP(($F$16-$F$15)*2-1,AK$99:AO118,5,FALSE)))*EXP(-(LN(2)/$D$65+0.04)*AN118)*EXP(-(LN(2)/$D$65+0.1)*AO118),"-"))),"-")</f>
        <v>-</v>
      </c>
      <c r="AR119" s="271" t="str">
        <f>IFERROR(IF(AL119=1,AR$100*EXP(-(LN(2)/$D$65+0.04)*AN119)*EXP(-(LN(2)/$D$65+0.1)*AO119),IF(AL119=2,AR$100*EXP(-(LN(2)/$D$65+0.04)*(VLOOKUP(($F$16-$F$15)-1,AK$100:AO119,4,FALSE)))*EXP(-(LN(2)/$D$65+0.1)*(VLOOKUP(($F$16-$F$15)-1,AK$100:AO119,5,FALSE)))*EXP(-(LN(2)/$D$65+0.04)*AN119)*EXP(-(LN(2)/$D$65+0.1)*AO119),IF(AL119=3,AR$100*EXP(-(LN(2)/$D$65+0.04)*(VLOOKUP(($F$16-$F$15)-1,AK$100:AO119,4,FALSE)))*EXP(-(LN(2)/$D$65+0.1)*(VLOOKUP(($F$16-$F$15)-1,AK$100:AO119,5,FALSE)))*EXP(-(LN(2)/$D$65+0.04)*(VLOOKUP(($F$16-$F$15)*2-1,AK$100:AO119,4,FALSE)))*EXP(-(LN(2)/$D$65+0.1)*(VLOOKUP(($F$16-$F$15)*2-1,AK$100:AO119,5,FALSE)))*EXP(-(LN(2)/$D$65+0.04)*AN119)*EXP(-(LN(2)/$D$65+0.1)*AO119),"-"))),"-")</f>
        <v>-</v>
      </c>
      <c r="AS119" s="274">
        <f t="shared" si="24"/>
        <v>0</v>
      </c>
      <c r="AT119" s="274">
        <f t="shared" si="25"/>
        <v>0</v>
      </c>
      <c r="AU119" s="274">
        <f t="shared" si="26"/>
        <v>0</v>
      </c>
      <c r="AV119" s="275">
        <f>IF($B119&lt;$F$22,SUM($T$100:$T119),"")</f>
        <v>0</v>
      </c>
      <c r="AW119" s="275" t="str">
        <f t="shared" si="55"/>
        <v>-</v>
      </c>
      <c r="AX119" s="275" t="str">
        <f t="shared" si="56"/>
        <v/>
      </c>
      <c r="AY119"/>
      <c r="AZ119" s="275" t="str">
        <f ca="1">IF(ISNUMBER(OFFSET(AV119,-$F$21,0)),SUM(OFFSET($T$100,$F$21,0):$T119),"")</f>
        <v/>
      </c>
      <c r="BA119" s="275" t="str">
        <f t="shared" ca="1" si="27"/>
        <v/>
      </c>
      <c r="BB119" s="275" t="str">
        <f t="shared" ca="1" si="57"/>
        <v/>
      </c>
      <c r="BC119" s="190"/>
      <c r="BD119" s="275" t="str">
        <f ca="1">IFERROR(IF(OR(ISNUMBER(I),ISNUMBER($F$14)),IF(AND($B119&gt;=($F$16-$F$15),$B119&lt;$F$22+($F$16-$F$15)),SUM(OFFSET($T$100,($F$16-$F$15),0):$T119),""),""),"")</f>
        <v/>
      </c>
      <c r="BE119" s="275" t="str">
        <f t="shared" ca="1" si="58"/>
        <v/>
      </c>
      <c r="BF119" s="275" t="str">
        <f t="shared" ca="1" si="59"/>
        <v/>
      </c>
      <c r="BG119"/>
      <c r="BH119" s="190" t="str">
        <f ca="1">IF(ISNUMBER(OFFSET(BD119,-$F$21,0)),SUM(OFFSET($T$100,($F$16-$F$15+$F$21),0):$T119),"")</f>
        <v/>
      </c>
      <c r="BI119" s="190" t="str">
        <f t="shared" ca="1" si="28"/>
        <v/>
      </c>
      <c r="BJ119" s="190" t="str">
        <f t="shared" ca="1" si="60"/>
        <v/>
      </c>
      <c r="BK119" s="190"/>
      <c r="BL119" s="275" t="str">
        <f ca="1">IFERROR(IF(OR(ISNUMBER(I),ISNUMBER($F$14)),IF(AND($B119&gt;=($F$17-$F$15),$B119&lt;$F$22+($F$17-$F$15)),SUM(OFFSET($T$100,($F$17-$F$15),0):$T119),""),""),"")</f>
        <v/>
      </c>
      <c r="BM119" s="275" t="str">
        <f t="shared" ca="1" si="29"/>
        <v/>
      </c>
      <c r="BN119" s="275" t="str">
        <f t="shared" ca="1" si="61"/>
        <v/>
      </c>
      <c r="BO119"/>
      <c r="BP119" s="275" t="str">
        <f ca="1">IF(ISNUMBER(OFFSET(BL119,-$F$21,0)),SUM(OFFSET($T$100,($F$17-$F$15+$F$21),0):$T119),"")</f>
        <v/>
      </c>
      <c r="BQ119" s="275" t="str">
        <f t="shared" ca="1" si="62"/>
        <v/>
      </c>
      <c r="BR119" s="275" t="str">
        <f t="shared" ca="1" si="63"/>
        <v/>
      </c>
      <c r="BS119" s="190"/>
      <c r="BT119"/>
      <c r="BU119" s="276" t="str">
        <f t="shared" si="64"/>
        <v>end</v>
      </c>
      <c r="BV119" s="277">
        <v>19</v>
      </c>
      <c r="BW119" s="278" t="str">
        <f t="shared" si="69"/>
        <v/>
      </c>
      <c r="BX119" s="278" t="str">
        <f t="shared" si="68"/>
        <v/>
      </c>
      <c r="BY119" s="279" t="str">
        <f t="shared" si="65"/>
        <v/>
      </c>
      <c r="BZ119"/>
      <c r="CA119" s="280" t="str">
        <f t="shared" si="30"/>
        <v>-</v>
      </c>
      <c r="CB119" s="71" t="str">
        <f t="shared" si="31"/>
        <v>-</v>
      </c>
      <c r="CC119" s="33" t="str">
        <f t="shared" si="32"/>
        <v>19-20</v>
      </c>
      <c r="CD119" s="261" t="str">
        <f t="shared" si="33"/>
        <v/>
      </c>
      <c r="CE119" s="280" t="str">
        <f t="shared" si="34"/>
        <v>-</v>
      </c>
      <c r="CF119" s="71" t="str">
        <f t="shared" ca="1" si="35"/>
        <v>-</v>
      </c>
      <c r="CG119" s="33" t="str">
        <f t="shared" si="36"/>
        <v>19-20</v>
      </c>
      <c r="CH119" s="261" t="str">
        <f t="shared" ca="1" si="37"/>
        <v/>
      </c>
      <c r="CI119" s="202"/>
      <c r="CJ119" s="99"/>
      <c r="CK119" s="99"/>
      <c r="CL119" s="99"/>
      <c r="CM119" s="99"/>
      <c r="CN119" s="99"/>
      <c r="CO119" s="99"/>
    </row>
    <row r="120" spans="2:93" ht="13.5" customHeight="1" x14ac:dyDescent="0.2">
      <c r="B120" s="262">
        <v>20</v>
      </c>
      <c r="C120" s="237" t="str">
        <f t="shared" si="1"/>
        <v/>
      </c>
      <c r="D120" s="237" t="str">
        <f t="shared" si="66"/>
        <v>-</v>
      </c>
      <c r="E120" s="290" t="str">
        <f t="shared" si="38"/>
        <v/>
      </c>
      <c r="F120" s="264" t="str">
        <f t="shared" si="39"/>
        <v/>
      </c>
      <c r="G120" s="291" t="str">
        <f t="shared" si="40"/>
        <v/>
      </c>
      <c r="H120" s="240" t="str">
        <f t="shared" si="41"/>
        <v/>
      </c>
      <c r="I120" s="265" t="str">
        <f t="shared" si="2"/>
        <v/>
      </c>
      <c r="J120" s="265" t="str">
        <f t="shared" si="3"/>
        <v/>
      </c>
      <c r="K120" s="240" t="str">
        <f t="shared" si="4"/>
        <v/>
      </c>
      <c r="L120" s="265" t="str">
        <f t="shared" si="5"/>
        <v/>
      </c>
      <c r="M120" s="265" t="str">
        <f t="shared" si="6"/>
        <v/>
      </c>
      <c r="N120" s="240" t="str">
        <f t="shared" si="7"/>
        <v>-</v>
      </c>
      <c r="O120" s="265" t="str">
        <f t="shared" si="8"/>
        <v>-</v>
      </c>
      <c r="P120" s="265" t="str">
        <f t="shared" si="9"/>
        <v>-</v>
      </c>
      <c r="Q120" s="266" t="str">
        <f t="shared" si="10"/>
        <v>-</v>
      </c>
      <c r="R120" s="267" t="str">
        <f t="shared" si="11"/>
        <v>-</v>
      </c>
      <c r="S120" s="268" t="str">
        <f t="shared" si="12"/>
        <v>-</v>
      </c>
      <c r="T120" s="269" t="str">
        <f t="shared" si="13"/>
        <v/>
      </c>
      <c r="U120" s="221">
        <f t="shared" si="14"/>
        <v>20</v>
      </c>
      <c r="V120" s="220" t="str">
        <f t="shared" si="42"/>
        <v>-</v>
      </c>
      <c r="W120" s="221" t="str">
        <f t="shared" si="43"/>
        <v>-</v>
      </c>
      <c r="X120" s="221" t="str">
        <f t="shared" si="15"/>
        <v>-</v>
      </c>
      <c r="Y120" s="221" t="str">
        <f t="shared" si="16"/>
        <v>-</v>
      </c>
      <c r="Z120" s="270">
        <f t="shared" si="44"/>
        <v>0.1</v>
      </c>
      <c r="AA120" s="271" t="str">
        <f>IFERROR(IF(V119=1,AA$100*EXP(-(LN(2)/$D$65+0.04)*X119)*EXP(-(LN(2)/$D$65+0.1)*Y119),IF(V119=2,AA$100*EXP(-(LN(2)/$D$65+0.04)*(VLOOKUP(($F$16-$F$15)-1,U$99:Y119,4,FALSE)))*EXP(-(LN(2)/$D$65+0.1)*(VLOOKUP(($F$16-$F$15)-1,U$99:Y119,5,FALSE)))*EXP(-(LN(2)/$D$65+0.04)*X119)*EXP(-(LN(2)/$D$65+0.1)*Y119),IF(V119=3,AA$100*EXP(-(LN(2)/$D$65+0.04)*(VLOOKUP(($F$16-$F$15)-1,U$99:Y119,4,FALSE)))*EXP(-(LN(2)/$D$65+0.1)*(VLOOKUP(($F$16-$F$15)-1,U$99:Y119,5,FALSE)))*EXP(-(LN(2)/$D$65+0.04)*(VLOOKUP(($F$16-$F$15)*2-1,U$99:Y119,4,FALSE)))*EXP(-(LN(2)/$D$65+0.1)*(VLOOKUP(($F$16-$F$15)*2-1,U$99:Y119,5,FALSE)))*EXP(-(LN(2)/$D$65+0.04)*X119)*EXP(-(LN(2)/$D$65+0.1)*Y119),"-"))),"-")</f>
        <v>-</v>
      </c>
      <c r="AB120" s="271" t="str">
        <f>IFERROR(IF(V120=1,AB$100*EXP(-(LN(2)/$D$65+0.04)*X120)*EXP(-(LN(2)/$D$65+0.1)*Y120),IF(V120=2,AB$100*EXP(-(LN(2)/$D$65+0.04)*(VLOOKUP(($F$16-$F$15)-1,U$100:Y120,4,FALSE)))*EXP(-(LN(2)/$D$65+0.1)*(VLOOKUP(($F$16-$F$15)-1,U$100:Y120,5,FALSE)))*EXP(-(LN(2)/$D$65+0.04)*X120)*EXP(-(LN(2)/$D$65+0.1)*Y120),IF(V120=3,AB$100*EXP(-(LN(2)/$D$65+0.04)*(VLOOKUP(($F$16-$F$15)-1,U$100:Y120,4,FALSE)))*EXP(-(LN(2)/$D$65+0.1)*(VLOOKUP(($F$16-$F$15)-1,U$100:Y120,5,FALSE)))*EXP(-(LN(2)/$D$65+0.04)*(VLOOKUP(($F$16-$F$15)*2-1,U$100:Y120,4,FALSE)))*EXP(-(LN(2)/$D$65+0.1)*(VLOOKUP(($F$16-$F$15)*2-1,U$100:Y120,5,FALSE)))*EXP(-(LN(2)/$D$65+0.04)*X120)*EXP(-(LN(2)/$D$65+0.1)*Y120),"-"))),"-")</f>
        <v>-</v>
      </c>
      <c r="AC120" s="224">
        <f t="shared" si="45"/>
        <v>20</v>
      </c>
      <c r="AD120" s="223" t="str">
        <f t="shared" si="18"/>
        <v>-</v>
      </c>
      <c r="AE120" s="224" t="str">
        <f t="shared" si="46"/>
        <v>-</v>
      </c>
      <c r="AF120" s="224" t="str">
        <f t="shared" si="19"/>
        <v>-</v>
      </c>
      <c r="AG120" s="224" t="str">
        <f t="shared" si="20"/>
        <v>-</v>
      </c>
      <c r="AH120" s="272">
        <f t="shared" si="47"/>
        <v>0.1</v>
      </c>
      <c r="AI120" s="271" t="str">
        <f>IFERROR(IF(AD119=1,AI$100*EXP(-(LN(2)/$D$65+0.04)*AF119)*EXP(-(LN(2)/$D$65+0.1)*AG119),IF(AD119=2,AI$100*EXP(-(LN(2)/$D$65+0.04)*(VLOOKUP(($F$16-$F$15)-1,AC$99:AG119,4,FALSE)))*EXP(-(LN(2)/$D$65+0.1)*(VLOOKUP(($F$16-$F$15)-1,AC$99:AG119,5,FALSE)))*EXP(-(LN(2)/$D$65+0.04)*AF119)*EXP(-(LN(2)/$D$65+0.1)*AG119),IF(AD119=3,AI$100*EXP(-(LN(2)/$D$65+0.04)*(VLOOKUP(($F$16-$F$15)-1,AC$99:AG119,4,FALSE)))*EXP(-(LN(2)/$D$65+0.1)*(VLOOKUP(($F$16-$F$15)-1,AC$99:AG119,5,FALSE)))*EXP(-(LN(2)/$D$65+0.04)*(VLOOKUP(($F$16-$F$15)*2-1,AC$99:AG119,4,FALSE)))*EXP(-(LN(2)/$D$65+0.1)*(VLOOKUP(($F$16-$F$15)*2-1,AC$99:AG119,5,FALSE)))*EXP(-(LN(2)/$D$65+0.04)*AF119)*EXP(-(LN(2)/$D$65+0.1)*AG119),"-"))),"-")</f>
        <v>-</v>
      </c>
      <c r="AJ120" s="271" t="str">
        <f>IFERROR(IF(AD120=1,AJ$100*EXP(-(LN(2)/$D$65+0.04)*AF120)*EXP(-(LN(2)/$D$65+0.1)*AG120),IF(AD120=2,AJ$100*EXP(-(LN(2)/$D$65+0.04)*(VLOOKUP(($F$16-$F$15)-1,AC$100:AG120,4,FALSE)))*EXP(-(LN(2)/$D$65+0.1)*(VLOOKUP(($F$16-$F$15)-1,AC$100:AG120,5,FALSE)))*EXP(-(LN(2)/$D$65+0.04)*AF120)*EXP(-(LN(2)/$D$65+0.1)*AG120),IF(AD120=3,AJ$100*EXP(-(LN(2)/$D$65+0.04)*(VLOOKUP(($F$16-$F$15)-1,AC$100:AG120,4,FALSE)))*EXP(-(LN(2)/$D$65+0.1)*(VLOOKUP(($F$16-$F$15)-1,AC$100:AG120,5,FALSE)))*EXP(-(LN(2)/$D$65+0.04)*(VLOOKUP(($F$16-$F$15)*2-1,AC$100:AG120,4,FALSE)))*EXP(-(LN(2)/$D$65+0.1)*(VLOOKUP(($F$16-$F$15)*2-1,AC$100:AG120,5,FALSE)))*EXP(-(LN(2)/$D$65+0.04)*AF120)*EXP(-(LN(2)/$D$65+0.1)*AG120),"-"))),"-")</f>
        <v>-</v>
      </c>
      <c r="AK120" s="227">
        <f t="shared" si="49"/>
        <v>20</v>
      </c>
      <c r="AL120" s="226" t="str">
        <f t="shared" si="22"/>
        <v>-</v>
      </c>
      <c r="AM120" s="227" t="str">
        <f t="shared" si="50"/>
        <v>-</v>
      </c>
      <c r="AN120" s="227" t="str">
        <f t="shared" si="51"/>
        <v>-</v>
      </c>
      <c r="AO120" s="227" t="str">
        <f t="shared" si="23"/>
        <v>-</v>
      </c>
      <c r="AP120" s="273">
        <f t="shared" si="52"/>
        <v>0.1</v>
      </c>
      <c r="AQ120" s="271" t="str">
        <f>IFERROR(IF(AL119=1,AQ$100*EXP(-(LN(2)/$D$65+0.04)*AN119)*EXP(-(LN(2)/$D$65+0.1)*AO119),IF(AL119=2,AQ$100*EXP(-(LN(2)/$D$65+0.04)*(VLOOKUP(($F$16-$F$15)-1,AK$99:AO119,4,FALSE)))*EXP(-(LN(2)/$D$65+0.1)*(VLOOKUP(($F$16-$F$15)-1,AK$99:AO119,5,FALSE)))*EXP(-(LN(2)/$D$65+0.04)*AN119)*EXP(-(LN(2)/$D$65+0.1)*AO119),IF(AL119=3,AQ$100*EXP(-(LN(2)/$D$65+0.04)*(VLOOKUP(($F$16-$F$15)-1,AK$99:AO119,4,FALSE)))*EXP(-(LN(2)/$D$65+0.1)*(VLOOKUP(($F$16-$F$15)-1,AK$99:AO119,5,FALSE)))*EXP(-(LN(2)/$D$65+0.04)*(VLOOKUP(($F$16-$F$15)*2-1,AK$99:AO119,4,FALSE)))*EXP(-(LN(2)/$D$65+0.1)*(VLOOKUP(($F$16-$F$15)*2-1,AK$99:AO119,5,FALSE)))*EXP(-(LN(2)/$D$65+0.04)*AN119)*EXP(-(LN(2)/$D$65+0.1)*AO119),"-"))),"-")</f>
        <v>-</v>
      </c>
      <c r="AR120" s="271" t="str">
        <f>IFERROR(IF(AL120=1,AR$100*EXP(-(LN(2)/$D$65+0.04)*AN120)*EXP(-(LN(2)/$D$65+0.1)*AO120),IF(AL120=2,AR$100*EXP(-(LN(2)/$D$65+0.04)*(VLOOKUP(($F$16-$F$15)-1,AK$100:AO120,4,FALSE)))*EXP(-(LN(2)/$D$65+0.1)*(VLOOKUP(($F$16-$F$15)-1,AK$100:AO120,5,FALSE)))*EXP(-(LN(2)/$D$65+0.04)*AN120)*EXP(-(LN(2)/$D$65+0.1)*AO120),IF(AL120=3,AR$100*EXP(-(LN(2)/$D$65+0.04)*(VLOOKUP(($F$16-$F$15)-1,AK$100:AO120,4,FALSE)))*EXP(-(LN(2)/$D$65+0.1)*(VLOOKUP(($F$16-$F$15)-1,AK$100:AO120,5,FALSE)))*EXP(-(LN(2)/$D$65+0.04)*(VLOOKUP(($F$16-$F$15)*2-1,AK$100:AO120,4,FALSE)))*EXP(-(LN(2)/$D$65+0.1)*(VLOOKUP(($F$16-$F$15)*2-1,AK$100:AO120,5,FALSE)))*EXP(-(LN(2)/$D$65+0.04)*AN120)*EXP(-(LN(2)/$D$65+0.1)*AO120),"-"))),"-")</f>
        <v>-</v>
      </c>
      <c r="AS120" s="274">
        <f t="shared" si="24"/>
        <v>0</v>
      </c>
      <c r="AT120" s="274">
        <f t="shared" si="25"/>
        <v>0</v>
      </c>
      <c r="AU120" s="274">
        <f t="shared" si="26"/>
        <v>0</v>
      </c>
      <c r="AV120" s="253">
        <f>IF($B120&lt;$F$22,SUM($T$100:$T120),"")</f>
        <v>0</v>
      </c>
      <c r="AW120" s="253" t="str">
        <f t="shared" si="55"/>
        <v>-</v>
      </c>
      <c r="AX120" s="253" t="str">
        <f t="shared" si="56"/>
        <v/>
      </c>
      <c r="AY120" s="295"/>
      <c r="AZ120" s="253" t="str">
        <f ca="1">IF(ISNUMBER(OFFSET(AV120,-$F$21,0)),SUM(OFFSET($T$100,$F$21,0):$T120),"")</f>
        <v/>
      </c>
      <c r="BA120" s="253" t="str">
        <f t="shared" ca="1" si="27"/>
        <v/>
      </c>
      <c r="BB120" s="253" t="str">
        <f ca="1">IF(ISNUMBER(AZ120),(AZ120-BA120)/(3*86400*(OFFSET($B120,-$F$21,0)+1))*1000,"")</f>
        <v/>
      </c>
      <c r="BC120" s="253"/>
      <c r="BD120" s="253" t="str">
        <f ca="1">IFERROR(IF(OR(ISNUMBER(I),ISNUMBER($F$14)),IF(AND($B120&gt;=($F$16-$F$15),$B120&lt;$F$22+($F$16-$F$15)),SUM(OFFSET($T$100,($F$16-$F$15),0):$T120),""),""),"")</f>
        <v/>
      </c>
      <c r="BE120" s="253" t="str">
        <f t="shared" ca="1" si="58"/>
        <v/>
      </c>
      <c r="BF120" s="253" t="str">
        <f t="shared" ca="1" si="59"/>
        <v/>
      </c>
      <c r="BG120" s="295"/>
      <c r="BH120" s="253" t="str">
        <f ca="1">IF(ISNUMBER(OFFSET(BD120,-$F$21,0)),SUM(OFFSET($T$100,($F$16-$F$15+$F$21),0):$T120),"")</f>
        <v/>
      </c>
      <c r="BI120" s="253" t="str">
        <f t="shared" ca="1" si="28"/>
        <v/>
      </c>
      <c r="BJ120" s="253" t="str">
        <f t="shared" ca="1" si="60"/>
        <v/>
      </c>
      <c r="BK120" s="253"/>
      <c r="BL120" s="253" t="str">
        <f ca="1">IFERROR(IF(OR(ISNUMBER(I),ISNUMBER($F$14)),IF(AND($B120&gt;=($F$17-$F$15),$B120&lt;$F$22+($F$17-$F$15)),SUM(OFFSET($T$100,($F$17-$F$15),0):$T120),""),""),"")</f>
        <v/>
      </c>
      <c r="BM120" s="253" t="str">
        <f t="shared" ca="1" si="29"/>
        <v/>
      </c>
      <c r="BN120" s="253" t="str">
        <f t="shared" ca="1" si="61"/>
        <v/>
      </c>
      <c r="BO120" s="295"/>
      <c r="BP120" s="253" t="str">
        <f ca="1">IF(ISNUMBER(OFFSET(BL120,-$F$21,0)),SUM(OFFSET($T$100,($F$17-$F$15+$F$21),0):$T120),"")</f>
        <v/>
      </c>
      <c r="BQ120" s="253" t="str">
        <f t="shared" ca="1" si="62"/>
        <v/>
      </c>
      <c r="BR120" s="253" t="str">
        <f t="shared" ca="1" si="63"/>
        <v/>
      </c>
      <c r="BS120" s="253"/>
      <c r="BT120" s="296"/>
      <c r="BU120" s="297" t="str">
        <f t="shared" si="64"/>
        <v>end</v>
      </c>
      <c r="BV120" s="277">
        <v>20</v>
      </c>
      <c r="BW120" s="298" t="str">
        <f t="shared" si="69"/>
        <v/>
      </c>
      <c r="BX120" s="298" t="str">
        <f t="shared" si="68"/>
        <v/>
      </c>
      <c r="BY120" s="299" t="str">
        <f t="shared" si="65"/>
        <v/>
      </c>
      <c r="BZ120" s="67"/>
      <c r="CA120" s="280" t="str">
        <f t="shared" si="30"/>
        <v>-</v>
      </c>
      <c r="CB120" s="71" t="str">
        <f t="shared" si="31"/>
        <v>-</v>
      </c>
      <c r="CC120" s="33" t="str">
        <f t="shared" si="32"/>
        <v>20-21</v>
      </c>
      <c r="CD120" s="261" t="str">
        <f t="shared" si="33"/>
        <v/>
      </c>
      <c r="CE120" s="280" t="str">
        <f t="shared" si="34"/>
        <v>-</v>
      </c>
      <c r="CF120" s="71" t="str">
        <f t="shared" ca="1" si="35"/>
        <v>-</v>
      </c>
      <c r="CG120" s="33" t="str">
        <f t="shared" si="36"/>
        <v>20-21</v>
      </c>
      <c r="CH120" s="261" t="str">
        <f t="shared" ca="1" si="37"/>
        <v/>
      </c>
      <c r="CI120" s="202"/>
      <c r="CJ120" s="99"/>
      <c r="CK120" s="99"/>
      <c r="CL120" s="99"/>
      <c r="CM120" s="99"/>
      <c r="CN120" s="99"/>
      <c r="CO120" s="99"/>
    </row>
    <row r="121" spans="2:93" ht="13.5" customHeight="1" x14ac:dyDescent="0.2">
      <c r="B121" s="262">
        <v>21</v>
      </c>
      <c r="C121" s="237" t="str">
        <f t="shared" si="1"/>
        <v/>
      </c>
      <c r="D121" s="237" t="str">
        <f>IFERROR(IF(B121&lt;$F$22,IF(ISNUMBER($D$65),IF(MAX($BU$101:$BU$120)&lt;B121, "", IF(B121=VLOOKUP(B121, $BU$101:$BU$120,1,1), C121,D120-INDEX($BY$101:$BY$120, MATCH(VLOOKUP(B121, $BU$101:$BU$120,1,1), $BU$101:$BU$120)+1, 1))),D120-VLOOKUP(MAX($BU$101:$BU$120),$BU$101:$BY$120,5)),""),"-")</f>
        <v/>
      </c>
      <c r="E121" s="290" t="str">
        <f t="shared" si="38"/>
        <v/>
      </c>
      <c r="F121" s="264" t="str">
        <f t="shared" si="39"/>
        <v/>
      </c>
      <c r="G121" s="291" t="str">
        <f t="shared" si="40"/>
        <v/>
      </c>
      <c r="H121" s="240" t="str">
        <f t="shared" si="41"/>
        <v/>
      </c>
      <c r="I121" s="265" t="str">
        <f t="shared" si="2"/>
        <v/>
      </c>
      <c r="J121" s="265" t="str">
        <f t="shared" si="3"/>
        <v/>
      </c>
      <c r="K121" s="240" t="str">
        <f t="shared" si="4"/>
        <v/>
      </c>
      <c r="L121" s="265" t="str">
        <f t="shared" si="5"/>
        <v/>
      </c>
      <c r="M121" s="265" t="str">
        <f t="shared" si="6"/>
        <v/>
      </c>
      <c r="N121" s="240" t="str">
        <f t="shared" si="7"/>
        <v>-</v>
      </c>
      <c r="O121" s="265" t="str">
        <f t="shared" si="8"/>
        <v>-</v>
      </c>
      <c r="P121" s="265" t="str">
        <f t="shared" si="9"/>
        <v>-</v>
      </c>
      <c r="Q121" s="266" t="str">
        <f t="shared" si="10"/>
        <v>-</v>
      </c>
      <c r="R121" s="267" t="str">
        <f t="shared" si="11"/>
        <v>-</v>
      </c>
      <c r="S121" s="268" t="str">
        <f t="shared" si="12"/>
        <v>-</v>
      </c>
      <c r="T121" s="269" t="str">
        <f t="shared" si="13"/>
        <v/>
      </c>
      <c r="U121" s="221">
        <f t="shared" si="14"/>
        <v>21</v>
      </c>
      <c r="V121" s="220" t="str">
        <f t="shared" si="42"/>
        <v>-</v>
      </c>
      <c r="W121" s="221" t="str">
        <f t="shared" si="43"/>
        <v>-</v>
      </c>
      <c r="X121" s="221" t="str">
        <f t="shared" si="15"/>
        <v>-</v>
      </c>
      <c r="Y121" s="221" t="str">
        <f t="shared" si="16"/>
        <v>-</v>
      </c>
      <c r="Z121" s="270">
        <f t="shared" si="44"/>
        <v>0.1</v>
      </c>
      <c r="AA121" s="271" t="str">
        <f>IFERROR(IF(V120=1,AA$100*EXP(-(LN(2)/$D$65+0.04)*X120)*EXP(-(LN(2)/$D$65+0.1)*Y120),IF(V120=2,AA$100*EXP(-(LN(2)/$D$65+0.04)*(VLOOKUP(($F$16-$F$15)-1,U$99:Y120,4,FALSE)))*EXP(-(LN(2)/$D$65+0.1)*(VLOOKUP(($F$16-$F$15)-1,U$99:Y120,5,FALSE)))*EXP(-(LN(2)/$D$65+0.04)*X120)*EXP(-(LN(2)/$D$65+0.1)*Y120),IF(V120=3,AA$100*EXP(-(LN(2)/$D$65+0.04)*(VLOOKUP(($F$16-$F$15)-1,U$99:Y120,4,FALSE)))*EXP(-(LN(2)/$D$65+0.1)*(VLOOKUP(($F$16-$F$15)-1,U$99:Y120,5,FALSE)))*EXP(-(LN(2)/$D$65+0.04)*(VLOOKUP(($F$16-$F$15)*2-1,U$99:Y120,4,FALSE)))*EXP(-(LN(2)/$D$65+0.1)*(VLOOKUP(($F$16-$F$15)*2-1,U$99:Y120,5,FALSE)))*EXP(-(LN(2)/$D$65+0.04)*X120)*EXP(-(LN(2)/$D$65+0.1)*Y120),"-"))),"-")</f>
        <v>-</v>
      </c>
      <c r="AB121" s="271" t="str">
        <f>IFERROR(IF(V121=1,AB$100*EXP(-(LN(2)/$D$65+0.04)*X121)*EXP(-(LN(2)/$D$65+0.1)*Y121),IF(V121=2,AB$100*EXP(-(LN(2)/$D$65+0.04)*(VLOOKUP(($F$16-$F$15)-1,U$100:Y121,4,FALSE)))*EXP(-(LN(2)/$D$65+0.1)*(VLOOKUP(($F$16-$F$15)-1,U$100:Y121,5,FALSE)))*EXP(-(LN(2)/$D$65+0.04)*X121)*EXP(-(LN(2)/$D$65+0.1)*Y121),IF(V121=3,AB$100*EXP(-(LN(2)/$D$65+0.04)*(VLOOKUP(($F$16-$F$15)-1,U$100:Y121,4,FALSE)))*EXP(-(LN(2)/$D$65+0.1)*(VLOOKUP(($F$16-$F$15)-1,U$100:Y121,5,FALSE)))*EXP(-(LN(2)/$D$65+0.04)*(VLOOKUP(($F$16-$F$15)*2-1,U$100:Y121,4,FALSE)))*EXP(-(LN(2)/$D$65+0.1)*(VLOOKUP(($F$16-$F$15)*2-1,U$100:Y121,5,FALSE)))*EXP(-(LN(2)/$D$65+0.04)*X121)*EXP(-(LN(2)/$D$65+0.1)*Y121),"-"))),"-")</f>
        <v>-</v>
      </c>
      <c r="AC121" s="224">
        <f t="shared" si="45"/>
        <v>21</v>
      </c>
      <c r="AD121" s="223" t="str">
        <f t="shared" si="18"/>
        <v>-</v>
      </c>
      <c r="AE121" s="224" t="str">
        <f t="shared" si="46"/>
        <v>-</v>
      </c>
      <c r="AF121" s="224" t="str">
        <f t="shared" si="19"/>
        <v>-</v>
      </c>
      <c r="AG121" s="224" t="str">
        <f t="shared" si="20"/>
        <v>-</v>
      </c>
      <c r="AH121" s="272">
        <f t="shared" si="47"/>
        <v>0.1</v>
      </c>
      <c r="AI121" s="271" t="str">
        <f>IFERROR(IF(AD120=1,AI$100*EXP(-(LN(2)/$D$65+0.04)*AF120)*EXP(-(LN(2)/$D$65+0.1)*AG120),IF(AD120=2,AI$100*EXP(-(LN(2)/$D$65+0.04)*(VLOOKUP(($F$16-$F$15)-1,AC$99:AG120,4,FALSE)))*EXP(-(LN(2)/$D$65+0.1)*(VLOOKUP(($F$16-$F$15)-1,AC$99:AG120,5,FALSE)))*EXP(-(LN(2)/$D$65+0.04)*AF120)*EXP(-(LN(2)/$D$65+0.1)*AG120),IF(AD120=3,AI$100*EXP(-(LN(2)/$D$65+0.04)*(VLOOKUP(($F$16-$F$15)-1,AC$99:AG120,4,FALSE)))*EXP(-(LN(2)/$D$65+0.1)*(VLOOKUP(($F$16-$F$15)-1,AC$99:AG120,5,FALSE)))*EXP(-(LN(2)/$D$65+0.04)*(VLOOKUP(($F$16-$F$15)*2-1,AC$99:AG120,4,FALSE)))*EXP(-(LN(2)/$D$65+0.1)*(VLOOKUP(($F$16-$F$15)*2-1,AC$99:AG120,5,FALSE)))*EXP(-(LN(2)/$D$65+0.04)*AF120)*EXP(-(LN(2)/$D$65+0.1)*AG120),"-"))),"-")</f>
        <v>-</v>
      </c>
      <c r="AJ121" s="271" t="str">
        <f>IFERROR(IF(AD121=1,AJ$100*EXP(-(LN(2)/$D$65+0.04)*AF121)*EXP(-(LN(2)/$D$65+0.1)*AG121),IF(AD121=2,AJ$100*EXP(-(LN(2)/$D$65+0.04)*(VLOOKUP(($F$16-$F$15)-1,AC$100:AG121,4,FALSE)))*EXP(-(LN(2)/$D$65+0.1)*(VLOOKUP(($F$16-$F$15)-1,AC$100:AG121,5,FALSE)))*EXP(-(LN(2)/$D$65+0.04)*AF121)*EXP(-(LN(2)/$D$65+0.1)*AG121),IF(AD121=3,AJ$100*EXP(-(LN(2)/$D$65+0.04)*(VLOOKUP(($F$16-$F$15)-1,AC$100:AG121,4,FALSE)))*EXP(-(LN(2)/$D$65+0.1)*(VLOOKUP(($F$16-$F$15)-1,AC$100:AG121,5,FALSE)))*EXP(-(LN(2)/$D$65+0.04)*(VLOOKUP(($F$16-$F$15)*2-1,AC$100:AG121,4,FALSE)))*EXP(-(LN(2)/$D$65+0.1)*(VLOOKUP(($F$16-$F$15)*2-1,AC$100:AG121,5,FALSE)))*EXP(-(LN(2)/$D$65+0.04)*AF121)*EXP(-(LN(2)/$D$65+0.1)*AG121),"-"))),"-")</f>
        <v>-</v>
      </c>
      <c r="AK121" s="227">
        <f t="shared" si="49"/>
        <v>21</v>
      </c>
      <c r="AL121" s="226" t="str">
        <f t="shared" si="22"/>
        <v>-</v>
      </c>
      <c r="AM121" s="227" t="str">
        <f t="shared" si="50"/>
        <v>-</v>
      </c>
      <c r="AN121" s="227" t="str">
        <f t="shared" si="51"/>
        <v>-</v>
      </c>
      <c r="AO121" s="227" t="str">
        <f t="shared" si="23"/>
        <v>-</v>
      </c>
      <c r="AP121" s="273">
        <f t="shared" si="52"/>
        <v>0.1</v>
      </c>
      <c r="AQ121" s="271" t="str">
        <f>IFERROR(IF(AL120=1,AQ$100*EXP(-(LN(2)/$D$65+0.04)*AN120)*EXP(-(LN(2)/$D$65+0.1)*AO120),IF(AL120=2,AQ$100*EXP(-(LN(2)/$D$65+0.04)*(VLOOKUP(($F$16-$F$15)-1,AK$99:AO120,4,FALSE)))*EXP(-(LN(2)/$D$65+0.1)*(VLOOKUP(($F$16-$F$15)-1,AK$99:AO120,5,FALSE)))*EXP(-(LN(2)/$D$65+0.04)*AN120)*EXP(-(LN(2)/$D$65+0.1)*AO120),IF(AL120=3,AQ$100*EXP(-(LN(2)/$D$65+0.04)*(VLOOKUP(($F$16-$F$15)-1,AK$99:AO120,4,FALSE)))*EXP(-(LN(2)/$D$65+0.1)*(VLOOKUP(($F$16-$F$15)-1,AK$99:AO120,5,FALSE)))*EXP(-(LN(2)/$D$65+0.04)*(VLOOKUP(($F$16-$F$15)*2-1,AK$99:AO120,4,FALSE)))*EXP(-(LN(2)/$D$65+0.1)*(VLOOKUP(($F$16-$F$15)*2-1,AK$99:AO120,5,FALSE)))*EXP(-(LN(2)/$D$65+0.04)*AN120)*EXP(-(LN(2)/$D$65+0.1)*AO120),"-"))),"-")</f>
        <v>-</v>
      </c>
      <c r="AR121" s="271" t="str">
        <f>IFERROR(IF(AL121=1,AR$100*EXP(-(LN(2)/$D$65+0.04)*AN121)*EXP(-(LN(2)/$D$65+0.1)*AO121),IF(AL121=2,AR$100*EXP(-(LN(2)/$D$65+0.04)*(VLOOKUP(($F$16-$F$15)-1,AK$100:AO121,4,FALSE)))*EXP(-(LN(2)/$D$65+0.1)*(VLOOKUP(($F$16-$F$15)-1,AK$100:AO121,5,FALSE)))*EXP(-(LN(2)/$D$65+0.04)*AN121)*EXP(-(LN(2)/$D$65+0.1)*AO121),IF(AL121=3,AR$100*EXP(-(LN(2)/$D$65+0.04)*(VLOOKUP(($F$16-$F$15)-1,AK$100:AO121,4,FALSE)))*EXP(-(LN(2)/$D$65+0.1)*(VLOOKUP(($F$16-$F$15)-1,AK$100:AO121,5,FALSE)))*EXP(-(LN(2)/$D$65+0.04)*(VLOOKUP(($F$16-$F$15)*2-1,AK$100:AO121,4,FALSE)))*EXP(-(LN(2)/$D$65+0.1)*(VLOOKUP(($F$16-$F$15)*2-1,AK$100:AO121,5,FALSE)))*EXP(-(LN(2)/$D$65+0.04)*AN121)*EXP(-(LN(2)/$D$65+0.1)*AO121),"-"))),"-")</f>
        <v>-</v>
      </c>
      <c r="AS121" s="274">
        <f t="shared" si="24"/>
        <v>0</v>
      </c>
      <c r="AT121" s="274">
        <f t="shared" si="25"/>
        <v>0</v>
      </c>
      <c r="AU121" s="274">
        <f t="shared" si="26"/>
        <v>0</v>
      </c>
      <c r="AV121" s="190" t="str">
        <f>IF($B121&lt;$F$22,SUM($T$100:$T121),"")</f>
        <v/>
      </c>
      <c r="AW121" s="190" t="str">
        <f t="shared" si="55"/>
        <v>-</v>
      </c>
      <c r="AX121" s="190" t="str">
        <f t="shared" si="56"/>
        <v/>
      </c>
      <c r="AY121"/>
      <c r="AZ121" s="190" t="str">
        <f ca="1">IF(ISNUMBER(OFFSET(AV121,-$F$21,0)),SUM(OFFSET($T$100,$F$21,0):$T121),"")</f>
        <v/>
      </c>
      <c r="BA121" s="190" t="str">
        <f t="shared" ca="1" si="27"/>
        <v/>
      </c>
      <c r="BB121" s="190" t="str">
        <f t="shared" ref="BB121:BB184" ca="1" si="70">IF(ISNUMBER(AZ121),(AZ121-BA121)/(3*86400*(OFFSET($B121,-$F$21,0)+1))*1000,"")</f>
        <v/>
      </c>
      <c r="BC121" s="190"/>
      <c r="BD121" s="190" t="str">
        <f ca="1">IFERROR(IF(OR(ISNUMBER(I),ISNUMBER($F$14)),IF(AND($B121&gt;=($F$16-$F$15),$B121&lt;$F$22+($F$16-$F$15)),SUM(OFFSET($T$100,($F$16-$F$15),0):$T121),""),""),"")</f>
        <v/>
      </c>
      <c r="BE121" s="190" t="str">
        <f t="shared" ca="1" si="58"/>
        <v/>
      </c>
      <c r="BF121" s="190" t="str">
        <f t="shared" ca="1" si="59"/>
        <v/>
      </c>
      <c r="BG121"/>
      <c r="BH121" s="190" t="str">
        <f ca="1">IF(ISNUMBER(OFFSET(BD121,-$F$21,0)),SUM(OFFSET($T$100,($F$16-$F$15+$F$21),0):$T121),"")</f>
        <v/>
      </c>
      <c r="BI121" s="190" t="str">
        <f t="shared" ca="1" si="28"/>
        <v/>
      </c>
      <c r="BJ121" s="190" t="str">
        <f t="shared" ca="1" si="60"/>
        <v/>
      </c>
      <c r="BK121" s="190"/>
      <c r="BL121" s="190" t="str">
        <f ca="1">IFERROR(IF(OR(ISNUMBER(I),ISNUMBER($F$14)),IF(AND($B121&gt;=($F$17-$F$15),$B121&lt;$F$22+($F$17-$F$15)),SUM(OFFSET($T$100,($F$17-$F$15),0):$T121),""),""),"")</f>
        <v/>
      </c>
      <c r="BM121" s="190" t="str">
        <f t="shared" ca="1" si="29"/>
        <v/>
      </c>
      <c r="BN121" s="190" t="str">
        <f t="shared" ca="1" si="61"/>
        <v/>
      </c>
      <c r="BO121"/>
      <c r="BP121" s="190" t="str">
        <f ca="1">IF(ISNUMBER(OFFSET(BL121,-$F$21,0)),SUM(OFFSET($T$100,($F$17-$F$15+$F$21),0):$T121),"")</f>
        <v/>
      </c>
      <c r="BQ121" s="190" t="str">
        <f t="shared" ca="1" si="62"/>
        <v/>
      </c>
      <c r="BR121" s="190" t="str">
        <f t="shared" ca="1" si="63"/>
        <v/>
      </c>
      <c r="BS121" s="190"/>
      <c r="BT121"/>
      <c r="BU121" s="300" t="s">
        <v>289</v>
      </c>
      <c r="BV121" s="301"/>
      <c r="BW121" s="300"/>
      <c r="BX121" s="300"/>
      <c r="BY121" s="300"/>
      <c r="BZ121" s="302"/>
      <c r="CA121" s="280" t="str">
        <f t="shared" si="30"/>
        <v/>
      </c>
      <c r="CB121" s="71" t="str">
        <f t="shared" si="31"/>
        <v>-</v>
      </c>
      <c r="CC121" s="33"/>
      <c r="CD121" s="261" t="str">
        <f t="shared" si="33"/>
        <v/>
      </c>
      <c r="CE121" s="280" t="str">
        <f t="shared" si="34"/>
        <v/>
      </c>
      <c r="CF121" s="71" t="str">
        <f t="shared" ca="1" si="35"/>
        <v/>
      </c>
      <c r="CG121" s="33" t="str">
        <f t="shared" si="36"/>
        <v/>
      </c>
      <c r="CH121" s="261" t="str">
        <f t="shared" ca="1" si="37"/>
        <v/>
      </c>
      <c r="CI121" s="202"/>
      <c r="CJ121" s="99"/>
      <c r="CK121" s="99"/>
      <c r="CL121" s="99"/>
      <c r="CM121" s="99"/>
      <c r="CN121" s="99"/>
      <c r="CO121" s="99"/>
    </row>
    <row r="122" spans="2:93" ht="13.5" customHeight="1" x14ac:dyDescent="0.2">
      <c r="B122" s="262">
        <v>22</v>
      </c>
      <c r="C122" s="237" t="str">
        <f t="shared" si="1"/>
        <v/>
      </c>
      <c r="D122" s="237" t="str">
        <f t="shared" si="66"/>
        <v/>
      </c>
      <c r="E122" s="290" t="str">
        <f t="shared" si="38"/>
        <v/>
      </c>
      <c r="F122" s="264" t="str">
        <f t="shared" si="39"/>
        <v/>
      </c>
      <c r="G122" s="291" t="str">
        <f t="shared" si="40"/>
        <v/>
      </c>
      <c r="H122" s="240" t="str">
        <f t="shared" si="41"/>
        <v/>
      </c>
      <c r="I122" s="265" t="str">
        <f t="shared" si="2"/>
        <v/>
      </c>
      <c r="J122" s="265" t="str">
        <f t="shared" si="3"/>
        <v/>
      </c>
      <c r="K122" s="240" t="str">
        <f t="shared" si="4"/>
        <v/>
      </c>
      <c r="L122" s="265" t="str">
        <f t="shared" si="5"/>
        <v/>
      </c>
      <c r="M122" s="265" t="str">
        <f t="shared" si="6"/>
        <v/>
      </c>
      <c r="N122" s="240" t="str">
        <f t="shared" si="7"/>
        <v>-</v>
      </c>
      <c r="O122" s="265" t="str">
        <f t="shared" si="8"/>
        <v>-</v>
      </c>
      <c r="P122" s="265" t="str">
        <f t="shared" si="9"/>
        <v>-</v>
      </c>
      <c r="Q122" s="266" t="str">
        <f t="shared" si="10"/>
        <v>-</v>
      </c>
      <c r="R122" s="267" t="str">
        <f t="shared" si="11"/>
        <v>-</v>
      </c>
      <c r="S122" s="268" t="str">
        <f t="shared" si="12"/>
        <v>-</v>
      </c>
      <c r="T122" s="269" t="str">
        <f t="shared" si="13"/>
        <v/>
      </c>
      <c r="U122" s="221">
        <f t="shared" si="14"/>
        <v>22</v>
      </c>
      <c r="V122" s="220" t="str">
        <f t="shared" si="42"/>
        <v>-</v>
      </c>
      <c r="W122" s="221" t="str">
        <f t="shared" si="43"/>
        <v>-</v>
      </c>
      <c r="X122" s="221" t="str">
        <f t="shared" si="15"/>
        <v>-</v>
      </c>
      <c r="Y122" s="221" t="str">
        <f t="shared" si="16"/>
        <v>-</v>
      </c>
      <c r="Z122" s="270">
        <f t="shared" si="44"/>
        <v>0.1</v>
      </c>
      <c r="AA122" s="271" t="str">
        <f>IFERROR(IF(V121=1,AA$100*EXP(-(LN(2)/$D$65+0.04)*X121)*EXP(-(LN(2)/$D$65+0.1)*Y121),IF(V121=2,AA$100*EXP(-(LN(2)/$D$65+0.04)*(VLOOKUP(($F$16-$F$15)-1,U$99:Y121,4,FALSE)))*EXP(-(LN(2)/$D$65+0.1)*(VLOOKUP(($F$16-$F$15)-1,U$99:Y121,5,FALSE)))*EXP(-(LN(2)/$D$65+0.04)*X121)*EXP(-(LN(2)/$D$65+0.1)*Y121),IF(V121=3,AA$100*EXP(-(LN(2)/$D$65+0.04)*(VLOOKUP(($F$16-$F$15)-1,U$99:Y121,4,FALSE)))*EXP(-(LN(2)/$D$65+0.1)*(VLOOKUP(($F$16-$F$15)-1,U$99:Y121,5,FALSE)))*EXP(-(LN(2)/$D$65+0.04)*(VLOOKUP(($F$16-$F$15)*2-1,U$99:Y121,4,FALSE)))*EXP(-(LN(2)/$D$65+0.1)*(VLOOKUP(($F$16-$F$15)*2-1,U$99:Y121,5,FALSE)))*EXP(-(LN(2)/$D$65+0.04)*X121)*EXP(-(LN(2)/$D$65+0.1)*Y121),"-"))),"-")</f>
        <v>-</v>
      </c>
      <c r="AB122" s="271" t="str">
        <f>IFERROR(IF(V122=1,AB$100*EXP(-(LN(2)/$D$65+0.04)*X122)*EXP(-(LN(2)/$D$65+0.1)*Y122),IF(V122=2,AB$100*EXP(-(LN(2)/$D$65+0.04)*(VLOOKUP(($F$16-$F$15)-1,U$100:Y122,4,FALSE)))*EXP(-(LN(2)/$D$65+0.1)*(VLOOKUP(($F$16-$F$15)-1,U$100:Y122,5,FALSE)))*EXP(-(LN(2)/$D$65+0.04)*X122)*EXP(-(LN(2)/$D$65+0.1)*Y122),IF(V122=3,AB$100*EXP(-(LN(2)/$D$65+0.04)*(VLOOKUP(($F$16-$F$15)-1,U$100:Y122,4,FALSE)))*EXP(-(LN(2)/$D$65+0.1)*(VLOOKUP(($F$16-$F$15)-1,U$100:Y122,5,FALSE)))*EXP(-(LN(2)/$D$65+0.04)*(VLOOKUP(($F$16-$F$15)*2-1,U$100:Y122,4,FALSE)))*EXP(-(LN(2)/$D$65+0.1)*(VLOOKUP(($F$16-$F$15)*2-1,U$100:Y122,5,FALSE)))*EXP(-(LN(2)/$D$65+0.04)*X122)*EXP(-(LN(2)/$D$65+0.1)*Y122),"-"))),"-")</f>
        <v>-</v>
      </c>
      <c r="AC122" s="224">
        <f t="shared" si="45"/>
        <v>22</v>
      </c>
      <c r="AD122" s="223" t="str">
        <f t="shared" si="18"/>
        <v>-</v>
      </c>
      <c r="AE122" s="224" t="str">
        <f t="shared" si="46"/>
        <v>-</v>
      </c>
      <c r="AF122" s="224" t="str">
        <f t="shared" si="19"/>
        <v>-</v>
      </c>
      <c r="AG122" s="224" t="str">
        <f t="shared" si="20"/>
        <v>-</v>
      </c>
      <c r="AH122" s="272">
        <f t="shared" si="47"/>
        <v>0.1</v>
      </c>
      <c r="AI122" s="271" t="str">
        <f>IFERROR(IF(AD121=1,AI$100*EXP(-(LN(2)/$D$65+0.04)*AF121)*EXP(-(LN(2)/$D$65+0.1)*AG121),IF(AD121=2,AI$100*EXP(-(LN(2)/$D$65+0.04)*(VLOOKUP(($F$16-$F$15)-1,AC$99:AG121,4,FALSE)))*EXP(-(LN(2)/$D$65+0.1)*(VLOOKUP(($F$16-$F$15)-1,AC$99:AG121,5,FALSE)))*EXP(-(LN(2)/$D$65+0.04)*AF121)*EXP(-(LN(2)/$D$65+0.1)*AG121),IF(AD121=3,AI$100*EXP(-(LN(2)/$D$65+0.04)*(VLOOKUP(($F$16-$F$15)-1,AC$99:AG121,4,FALSE)))*EXP(-(LN(2)/$D$65+0.1)*(VLOOKUP(($F$16-$F$15)-1,AC$99:AG121,5,FALSE)))*EXP(-(LN(2)/$D$65+0.04)*(VLOOKUP(($F$16-$F$15)*2-1,AC$99:AG121,4,FALSE)))*EXP(-(LN(2)/$D$65+0.1)*(VLOOKUP(($F$16-$F$15)*2-1,AC$99:AG121,5,FALSE)))*EXP(-(LN(2)/$D$65+0.04)*AF121)*EXP(-(LN(2)/$D$65+0.1)*AG121),"-"))),"-")</f>
        <v>-</v>
      </c>
      <c r="AJ122" s="271" t="str">
        <f>IFERROR(IF(AD122=1,AJ$100*EXP(-(LN(2)/$D$65+0.04)*AF122)*EXP(-(LN(2)/$D$65+0.1)*AG122),IF(AD122=2,AJ$100*EXP(-(LN(2)/$D$65+0.04)*(VLOOKUP(($F$16-$F$15)-1,AC$100:AG122,4,FALSE)))*EXP(-(LN(2)/$D$65+0.1)*(VLOOKUP(($F$16-$F$15)-1,AC$100:AG122,5,FALSE)))*EXP(-(LN(2)/$D$65+0.04)*AF122)*EXP(-(LN(2)/$D$65+0.1)*AG122),IF(AD122=3,AJ$100*EXP(-(LN(2)/$D$65+0.04)*(VLOOKUP(($F$16-$F$15)-1,AC$100:AG122,4,FALSE)))*EXP(-(LN(2)/$D$65+0.1)*(VLOOKUP(($F$16-$F$15)-1,AC$100:AG122,5,FALSE)))*EXP(-(LN(2)/$D$65+0.04)*(VLOOKUP(($F$16-$F$15)*2-1,AC$100:AG122,4,FALSE)))*EXP(-(LN(2)/$D$65+0.1)*(VLOOKUP(($F$16-$F$15)*2-1,AC$100:AG122,5,FALSE)))*EXP(-(LN(2)/$D$65+0.04)*AF122)*EXP(-(LN(2)/$D$65+0.1)*AG122),"-"))),"-")</f>
        <v>-</v>
      </c>
      <c r="AK122" s="227">
        <f t="shared" si="49"/>
        <v>22</v>
      </c>
      <c r="AL122" s="226" t="str">
        <f t="shared" si="22"/>
        <v>-</v>
      </c>
      <c r="AM122" s="227" t="str">
        <f t="shared" si="50"/>
        <v>-</v>
      </c>
      <c r="AN122" s="227" t="str">
        <f t="shared" si="51"/>
        <v>-</v>
      </c>
      <c r="AO122" s="227" t="str">
        <f t="shared" si="23"/>
        <v>-</v>
      </c>
      <c r="AP122" s="273">
        <f t="shared" si="52"/>
        <v>0.1</v>
      </c>
      <c r="AQ122" s="271" t="str">
        <f>IFERROR(IF(AL121=1,AQ$100*EXP(-(LN(2)/$D$65+0.04)*AN121)*EXP(-(LN(2)/$D$65+0.1)*AO121),IF(AL121=2,AQ$100*EXP(-(LN(2)/$D$65+0.04)*(VLOOKUP(($F$16-$F$15)-1,AK$99:AO121,4,FALSE)))*EXP(-(LN(2)/$D$65+0.1)*(VLOOKUP(($F$16-$F$15)-1,AK$99:AO121,5,FALSE)))*EXP(-(LN(2)/$D$65+0.04)*AN121)*EXP(-(LN(2)/$D$65+0.1)*AO121),IF(AL121=3,AQ$100*EXP(-(LN(2)/$D$65+0.04)*(VLOOKUP(($F$16-$F$15)-1,AK$99:AO121,4,FALSE)))*EXP(-(LN(2)/$D$65+0.1)*(VLOOKUP(($F$16-$F$15)-1,AK$99:AO121,5,FALSE)))*EXP(-(LN(2)/$D$65+0.04)*(VLOOKUP(($F$16-$F$15)*2-1,AK$99:AO121,4,FALSE)))*EXP(-(LN(2)/$D$65+0.1)*(VLOOKUP(($F$16-$F$15)*2-1,AK$99:AO121,5,FALSE)))*EXP(-(LN(2)/$D$65+0.04)*AN121)*EXP(-(LN(2)/$D$65+0.1)*AO121),"-"))),"-")</f>
        <v>-</v>
      </c>
      <c r="AR122" s="271" t="str">
        <f>IFERROR(IF(AL122=1,AR$100*EXP(-(LN(2)/$D$65+0.04)*AN122)*EXP(-(LN(2)/$D$65+0.1)*AO122),IF(AL122=2,AR$100*EXP(-(LN(2)/$D$65+0.04)*(VLOOKUP(($F$16-$F$15)-1,AK$100:AO122,4,FALSE)))*EXP(-(LN(2)/$D$65+0.1)*(VLOOKUP(($F$16-$F$15)-1,AK$100:AO122,5,FALSE)))*EXP(-(LN(2)/$D$65+0.04)*AN122)*EXP(-(LN(2)/$D$65+0.1)*AO122),IF(AL122=3,AR$100*EXP(-(LN(2)/$D$65+0.04)*(VLOOKUP(($F$16-$F$15)-1,AK$100:AO122,4,FALSE)))*EXP(-(LN(2)/$D$65+0.1)*(VLOOKUP(($F$16-$F$15)-1,AK$100:AO122,5,FALSE)))*EXP(-(LN(2)/$D$65+0.04)*(VLOOKUP(($F$16-$F$15)*2-1,AK$100:AO122,4,FALSE)))*EXP(-(LN(2)/$D$65+0.1)*(VLOOKUP(($F$16-$F$15)*2-1,AK$100:AO122,5,FALSE)))*EXP(-(LN(2)/$D$65+0.04)*AN122)*EXP(-(LN(2)/$D$65+0.1)*AO122),"-"))),"-")</f>
        <v>-</v>
      </c>
      <c r="AS122" s="274">
        <f t="shared" si="24"/>
        <v>0</v>
      </c>
      <c r="AT122" s="274">
        <f t="shared" si="25"/>
        <v>0</v>
      </c>
      <c r="AU122" s="274">
        <f t="shared" si="26"/>
        <v>0</v>
      </c>
      <c r="AV122" s="190" t="str">
        <f>IF($B122&lt;$F$22,SUM($T$100:$T122),"")</f>
        <v/>
      </c>
      <c r="AW122" s="190" t="str">
        <f t="shared" si="55"/>
        <v>-</v>
      </c>
      <c r="AX122" s="190" t="str">
        <f t="shared" si="56"/>
        <v/>
      </c>
      <c r="AY122"/>
      <c r="AZ122" s="190" t="str">
        <f ca="1">IF(ISNUMBER(OFFSET(AV122,-$F$21,0)),SUM(OFFSET($T$100,$F$21,0):$T122),"")</f>
        <v/>
      </c>
      <c r="BA122" s="190" t="str">
        <f t="shared" ca="1" si="27"/>
        <v/>
      </c>
      <c r="BB122" s="190" t="str">
        <f t="shared" ca="1" si="70"/>
        <v/>
      </c>
      <c r="BC122" s="190"/>
      <c r="BD122" s="190" t="str">
        <f ca="1">IFERROR(IF(OR(ISNUMBER(I),ISNUMBER($F$14)),IF(AND($B122&gt;=($F$16-$F$15),$B122&lt;$F$22+($F$16-$F$15)),SUM(OFFSET($T$100,($F$16-$F$15),0):$T122),""),""),"")</f>
        <v/>
      </c>
      <c r="BE122" s="190" t="str">
        <f t="shared" ca="1" si="58"/>
        <v/>
      </c>
      <c r="BF122" s="190" t="str">
        <f t="shared" ca="1" si="59"/>
        <v/>
      </c>
      <c r="BG122"/>
      <c r="BH122" s="190" t="str">
        <f ca="1">IF(ISNUMBER(OFFSET(BD122,-$F$21,0)),SUM(OFFSET($T$100,($F$16-$F$15+$F$21),0):$T122),"")</f>
        <v/>
      </c>
      <c r="BI122" s="190" t="str">
        <f t="shared" ca="1" si="28"/>
        <v/>
      </c>
      <c r="BJ122" s="190" t="str">
        <f t="shared" ca="1" si="60"/>
        <v/>
      </c>
      <c r="BK122" s="190"/>
      <c r="BL122" s="190" t="str">
        <f ca="1">IFERROR(IF(OR(ISNUMBER(I),ISNUMBER($F$14)),IF(AND($B122&gt;=($F$17-$F$15),$B122&lt;$F$22+($F$17-$F$15)),SUM(OFFSET($T$100,($F$17-$F$15),0):$T122),""),""),"")</f>
        <v/>
      </c>
      <c r="BM122" s="190" t="str">
        <f t="shared" ca="1" si="29"/>
        <v/>
      </c>
      <c r="BN122" s="190" t="str">
        <f t="shared" ca="1" si="61"/>
        <v/>
      </c>
      <c r="BO122"/>
      <c r="BP122" s="190" t="str">
        <f ca="1">IF(ISNUMBER(OFFSET(BL122,-$F$21,0)),SUM(OFFSET($T$100,($F$17-$F$15+$F$21),0):$T122),"")</f>
        <v/>
      </c>
      <c r="BQ122" s="190" t="str">
        <f t="shared" ca="1" si="62"/>
        <v/>
      </c>
      <c r="BR122" s="190" t="str">
        <f t="shared" ca="1" si="63"/>
        <v/>
      </c>
      <c r="BS122" s="190"/>
      <c r="BT122"/>
      <c r="BU122" s="185"/>
      <c r="BV122" s="303"/>
      <c r="BW122" s="185"/>
      <c r="BX122" s="185"/>
      <c r="BY122" s="185"/>
      <c r="BZ122" s="302"/>
      <c r="CA122" s="280" t="str">
        <f t="shared" si="30"/>
        <v/>
      </c>
      <c r="CB122" s="71" t="str">
        <f t="shared" si="31"/>
        <v>-</v>
      </c>
      <c r="CC122" s="33"/>
      <c r="CD122" s="261" t="str">
        <f t="shared" si="33"/>
        <v/>
      </c>
      <c r="CE122" s="280" t="str">
        <f t="shared" si="34"/>
        <v/>
      </c>
      <c r="CF122" s="71" t="str">
        <f t="shared" ca="1" si="35"/>
        <v/>
      </c>
      <c r="CG122" s="33" t="str">
        <f t="shared" si="36"/>
        <v/>
      </c>
      <c r="CH122" s="261" t="str">
        <f t="shared" ca="1" si="37"/>
        <v/>
      </c>
      <c r="CI122" s="202"/>
      <c r="CJ122" s="99"/>
      <c r="CK122" s="99"/>
      <c r="CL122" s="99"/>
      <c r="CM122" s="99"/>
      <c r="CN122" s="99"/>
      <c r="CO122" s="99"/>
    </row>
    <row r="123" spans="2:93" ht="13.5" customHeight="1" x14ac:dyDescent="0.2">
      <c r="B123" s="262">
        <v>23</v>
      </c>
      <c r="C123" s="237" t="str">
        <f t="shared" si="1"/>
        <v/>
      </c>
      <c r="D123" s="237" t="str">
        <f t="shared" si="66"/>
        <v/>
      </c>
      <c r="E123" s="290" t="str">
        <f t="shared" si="38"/>
        <v/>
      </c>
      <c r="F123" s="264" t="str">
        <f t="shared" si="39"/>
        <v/>
      </c>
      <c r="G123" s="291" t="str">
        <f t="shared" si="40"/>
        <v/>
      </c>
      <c r="H123" s="240" t="str">
        <f t="shared" si="41"/>
        <v/>
      </c>
      <c r="I123" s="265" t="str">
        <f t="shared" si="2"/>
        <v/>
      </c>
      <c r="J123" s="265" t="str">
        <f t="shared" si="3"/>
        <v/>
      </c>
      <c r="K123" s="240" t="str">
        <f t="shared" si="4"/>
        <v/>
      </c>
      <c r="L123" s="265" t="str">
        <f t="shared" si="5"/>
        <v/>
      </c>
      <c r="M123" s="265" t="str">
        <f t="shared" si="6"/>
        <v/>
      </c>
      <c r="N123" s="240" t="str">
        <f t="shared" si="7"/>
        <v>-</v>
      </c>
      <c r="O123" s="265" t="str">
        <f t="shared" si="8"/>
        <v>-</v>
      </c>
      <c r="P123" s="265" t="str">
        <f t="shared" si="9"/>
        <v>-</v>
      </c>
      <c r="Q123" s="266" t="str">
        <f t="shared" si="10"/>
        <v>-</v>
      </c>
      <c r="R123" s="267" t="str">
        <f t="shared" si="11"/>
        <v>-</v>
      </c>
      <c r="S123" s="268" t="str">
        <f t="shared" si="12"/>
        <v>-</v>
      </c>
      <c r="T123" s="269" t="str">
        <f t="shared" si="13"/>
        <v/>
      </c>
      <c r="U123" s="221">
        <f t="shared" si="14"/>
        <v>23</v>
      </c>
      <c r="V123" s="220" t="str">
        <f t="shared" si="42"/>
        <v>-</v>
      </c>
      <c r="W123" s="221" t="str">
        <f t="shared" si="43"/>
        <v>-</v>
      </c>
      <c r="X123" s="221" t="str">
        <f t="shared" si="15"/>
        <v>-</v>
      </c>
      <c r="Y123" s="221" t="str">
        <f t="shared" si="16"/>
        <v>-</v>
      </c>
      <c r="Z123" s="270">
        <f t="shared" si="44"/>
        <v>0.1</v>
      </c>
      <c r="AA123" s="271" t="str">
        <f>IFERROR(IF(V122=1,AA$100*EXP(-(LN(2)/$D$65+0.04)*X122)*EXP(-(LN(2)/$D$65+0.1)*Y122),IF(V122=2,AA$100*EXP(-(LN(2)/$D$65+0.04)*(VLOOKUP(($F$16-$F$15)-1,U$99:Y122,4,FALSE)))*EXP(-(LN(2)/$D$65+0.1)*(VLOOKUP(($F$16-$F$15)-1,U$99:Y122,5,FALSE)))*EXP(-(LN(2)/$D$65+0.04)*X122)*EXP(-(LN(2)/$D$65+0.1)*Y122),IF(V122=3,AA$100*EXP(-(LN(2)/$D$65+0.04)*(VLOOKUP(($F$16-$F$15)-1,U$99:Y122,4,FALSE)))*EXP(-(LN(2)/$D$65+0.1)*(VLOOKUP(($F$16-$F$15)-1,U$99:Y122,5,FALSE)))*EXP(-(LN(2)/$D$65+0.04)*(VLOOKUP(($F$16-$F$15)*2-1,U$99:Y122,4,FALSE)))*EXP(-(LN(2)/$D$65+0.1)*(VLOOKUP(($F$16-$F$15)*2-1,U$99:Y122,5,FALSE)))*EXP(-(LN(2)/$D$65+0.04)*X122)*EXP(-(LN(2)/$D$65+0.1)*Y122),"-"))),"-")</f>
        <v>-</v>
      </c>
      <c r="AB123" s="271" t="str">
        <f>IFERROR(IF(V123=1,AB$100*EXP(-(LN(2)/$D$65+0.04)*X123)*EXP(-(LN(2)/$D$65+0.1)*Y123),IF(V123=2,AB$100*EXP(-(LN(2)/$D$65+0.04)*(VLOOKUP(($F$16-$F$15)-1,U$100:Y123,4,FALSE)))*EXP(-(LN(2)/$D$65+0.1)*(VLOOKUP(($F$16-$F$15)-1,U$100:Y123,5,FALSE)))*EXP(-(LN(2)/$D$65+0.04)*X123)*EXP(-(LN(2)/$D$65+0.1)*Y123),IF(V123=3,AB$100*EXP(-(LN(2)/$D$65+0.04)*(VLOOKUP(($F$16-$F$15)-1,U$100:Y123,4,FALSE)))*EXP(-(LN(2)/$D$65+0.1)*(VLOOKUP(($F$16-$F$15)-1,U$100:Y123,5,FALSE)))*EXP(-(LN(2)/$D$65+0.04)*(VLOOKUP(($F$16-$F$15)*2-1,U$100:Y123,4,FALSE)))*EXP(-(LN(2)/$D$65+0.1)*(VLOOKUP(($F$16-$F$15)*2-1,U$100:Y123,5,FALSE)))*EXP(-(LN(2)/$D$65+0.04)*X123)*EXP(-(LN(2)/$D$65+0.1)*Y123),"-"))),"-")</f>
        <v>-</v>
      </c>
      <c r="AC123" s="224">
        <f t="shared" si="45"/>
        <v>23</v>
      </c>
      <c r="AD123" s="223" t="str">
        <f t="shared" si="18"/>
        <v>-</v>
      </c>
      <c r="AE123" s="224" t="str">
        <f t="shared" si="46"/>
        <v>-</v>
      </c>
      <c r="AF123" s="224" t="str">
        <f t="shared" si="19"/>
        <v>-</v>
      </c>
      <c r="AG123" s="224" t="str">
        <f t="shared" si="20"/>
        <v>-</v>
      </c>
      <c r="AH123" s="272">
        <f t="shared" si="47"/>
        <v>0.1</v>
      </c>
      <c r="AI123" s="271" t="str">
        <f>IFERROR(IF(AD122=1,AI$100*EXP(-(LN(2)/$D$65+0.04)*AF122)*EXP(-(LN(2)/$D$65+0.1)*AG122),IF(AD122=2,AI$100*EXP(-(LN(2)/$D$65+0.04)*(VLOOKUP(($F$16-$F$15)-1,AC$99:AG122,4,FALSE)))*EXP(-(LN(2)/$D$65+0.1)*(VLOOKUP(($F$16-$F$15)-1,AC$99:AG122,5,FALSE)))*EXP(-(LN(2)/$D$65+0.04)*AF122)*EXP(-(LN(2)/$D$65+0.1)*AG122),IF(AD122=3,AI$100*EXP(-(LN(2)/$D$65+0.04)*(VLOOKUP(($F$16-$F$15)-1,AC$99:AG122,4,FALSE)))*EXP(-(LN(2)/$D$65+0.1)*(VLOOKUP(($F$16-$F$15)-1,AC$99:AG122,5,FALSE)))*EXP(-(LN(2)/$D$65+0.04)*(VLOOKUP(($F$16-$F$15)*2-1,AC$99:AG122,4,FALSE)))*EXP(-(LN(2)/$D$65+0.1)*(VLOOKUP(($F$16-$F$15)*2-1,AC$99:AG122,5,FALSE)))*EXP(-(LN(2)/$D$65+0.04)*AF122)*EXP(-(LN(2)/$D$65+0.1)*AG122),"-"))),"-")</f>
        <v>-</v>
      </c>
      <c r="AJ123" s="271" t="str">
        <f>IFERROR(IF(AD123=1,AJ$100*EXP(-(LN(2)/$D$65+0.04)*AF123)*EXP(-(LN(2)/$D$65+0.1)*AG123),IF(AD123=2,AJ$100*EXP(-(LN(2)/$D$65+0.04)*(VLOOKUP(($F$16-$F$15)-1,AC$100:AG123,4,FALSE)))*EXP(-(LN(2)/$D$65+0.1)*(VLOOKUP(($F$16-$F$15)-1,AC$100:AG123,5,FALSE)))*EXP(-(LN(2)/$D$65+0.04)*AF123)*EXP(-(LN(2)/$D$65+0.1)*AG123),IF(AD123=3,AJ$100*EXP(-(LN(2)/$D$65+0.04)*(VLOOKUP(($F$16-$F$15)-1,AC$100:AG123,4,FALSE)))*EXP(-(LN(2)/$D$65+0.1)*(VLOOKUP(($F$16-$F$15)-1,AC$100:AG123,5,FALSE)))*EXP(-(LN(2)/$D$65+0.04)*(VLOOKUP(($F$16-$F$15)*2-1,AC$100:AG123,4,FALSE)))*EXP(-(LN(2)/$D$65+0.1)*(VLOOKUP(($F$16-$F$15)*2-1,AC$100:AG123,5,FALSE)))*EXP(-(LN(2)/$D$65+0.04)*AF123)*EXP(-(LN(2)/$D$65+0.1)*AG123),"-"))),"-")</f>
        <v>-</v>
      </c>
      <c r="AK123" s="227">
        <f t="shared" si="49"/>
        <v>23</v>
      </c>
      <c r="AL123" s="226" t="str">
        <f t="shared" si="22"/>
        <v>-</v>
      </c>
      <c r="AM123" s="227" t="str">
        <f t="shared" si="50"/>
        <v>-</v>
      </c>
      <c r="AN123" s="227" t="str">
        <f t="shared" si="51"/>
        <v>-</v>
      </c>
      <c r="AO123" s="227" t="str">
        <f t="shared" si="23"/>
        <v>-</v>
      </c>
      <c r="AP123" s="273">
        <f t="shared" si="52"/>
        <v>0.1</v>
      </c>
      <c r="AQ123" s="271" t="str">
        <f>IFERROR(IF(AL122=1,AQ$100*EXP(-(LN(2)/$D$65+0.04)*AN122)*EXP(-(LN(2)/$D$65+0.1)*AO122),IF(AL122=2,AQ$100*EXP(-(LN(2)/$D$65+0.04)*(VLOOKUP(($F$16-$F$15)-1,AK$99:AO122,4,FALSE)))*EXP(-(LN(2)/$D$65+0.1)*(VLOOKUP(($F$16-$F$15)-1,AK$99:AO122,5,FALSE)))*EXP(-(LN(2)/$D$65+0.04)*AN122)*EXP(-(LN(2)/$D$65+0.1)*AO122),IF(AL122=3,AQ$100*EXP(-(LN(2)/$D$65+0.04)*(VLOOKUP(($F$16-$F$15)-1,AK$99:AO122,4,FALSE)))*EXP(-(LN(2)/$D$65+0.1)*(VLOOKUP(($F$16-$F$15)-1,AK$99:AO122,5,FALSE)))*EXP(-(LN(2)/$D$65+0.04)*(VLOOKUP(($F$16-$F$15)*2-1,AK$99:AO122,4,FALSE)))*EXP(-(LN(2)/$D$65+0.1)*(VLOOKUP(($F$16-$F$15)*2-1,AK$99:AO122,5,FALSE)))*EXP(-(LN(2)/$D$65+0.04)*AN122)*EXP(-(LN(2)/$D$65+0.1)*AO122),"-"))),"-")</f>
        <v>-</v>
      </c>
      <c r="AR123" s="271" t="str">
        <f>IFERROR(IF(AL123=1,AR$100*EXP(-(LN(2)/$D$65+0.04)*AN123)*EXP(-(LN(2)/$D$65+0.1)*AO123),IF(AL123=2,AR$100*EXP(-(LN(2)/$D$65+0.04)*(VLOOKUP(($F$16-$F$15)-1,AK$100:AO123,4,FALSE)))*EXP(-(LN(2)/$D$65+0.1)*(VLOOKUP(($F$16-$F$15)-1,AK$100:AO123,5,FALSE)))*EXP(-(LN(2)/$D$65+0.04)*AN123)*EXP(-(LN(2)/$D$65+0.1)*AO123),IF(AL123=3,AR$100*EXP(-(LN(2)/$D$65+0.04)*(VLOOKUP(($F$16-$F$15)-1,AK$100:AO123,4,FALSE)))*EXP(-(LN(2)/$D$65+0.1)*(VLOOKUP(($F$16-$F$15)-1,AK$100:AO123,5,FALSE)))*EXP(-(LN(2)/$D$65+0.04)*(VLOOKUP(($F$16-$F$15)*2-1,AK$100:AO123,4,FALSE)))*EXP(-(LN(2)/$D$65+0.1)*(VLOOKUP(($F$16-$F$15)*2-1,AK$100:AO123,5,FALSE)))*EXP(-(LN(2)/$D$65+0.04)*AN123)*EXP(-(LN(2)/$D$65+0.1)*AO123),"-"))),"-")</f>
        <v>-</v>
      </c>
      <c r="AS123" s="274">
        <f t="shared" si="24"/>
        <v>0</v>
      </c>
      <c r="AT123" s="274">
        <f t="shared" si="25"/>
        <v>0</v>
      </c>
      <c r="AU123" s="274">
        <f t="shared" si="26"/>
        <v>0</v>
      </c>
      <c r="AV123" s="190" t="str">
        <f>IF($B123&lt;$F$22,SUM($T$100:$T123),"")</f>
        <v/>
      </c>
      <c r="AW123" s="190" t="str">
        <f t="shared" si="55"/>
        <v>-</v>
      </c>
      <c r="AX123" s="190" t="str">
        <f t="shared" si="56"/>
        <v/>
      </c>
      <c r="AY123"/>
      <c r="AZ123" s="190" t="str">
        <f ca="1">IF(ISNUMBER(OFFSET(AV123,-$F$21,0)),SUM(OFFSET($T$100,$F$21,0):$T123),"")</f>
        <v/>
      </c>
      <c r="BA123" s="190" t="str">
        <f t="shared" ca="1" si="27"/>
        <v/>
      </c>
      <c r="BB123" s="190" t="str">
        <f t="shared" ca="1" si="70"/>
        <v/>
      </c>
      <c r="BC123" s="190"/>
      <c r="BD123" s="190" t="str">
        <f ca="1">IFERROR(IF(OR(ISNUMBER(I),ISNUMBER($F$14)),IF(AND($B123&gt;=($F$16-$F$15),$B123&lt;$F$22+($F$16-$F$15)),SUM(OFFSET($T$100,($F$16-$F$15),0):$T123),""),""),"")</f>
        <v/>
      </c>
      <c r="BE123" s="190" t="str">
        <f t="shared" ca="1" si="58"/>
        <v/>
      </c>
      <c r="BF123" s="190" t="str">
        <f t="shared" ca="1" si="59"/>
        <v/>
      </c>
      <c r="BG123"/>
      <c r="BH123" s="190" t="str">
        <f ca="1">IF(ISNUMBER(OFFSET(BD123,-$F$21,0)),SUM(OFFSET($T$100,($F$16-$F$15+$F$21),0):$T123),"")</f>
        <v/>
      </c>
      <c r="BI123" s="190" t="str">
        <f t="shared" ca="1" si="28"/>
        <v/>
      </c>
      <c r="BJ123" s="190" t="str">
        <f t="shared" ca="1" si="60"/>
        <v/>
      </c>
      <c r="BK123" s="190"/>
      <c r="BL123" s="190" t="str">
        <f ca="1">IFERROR(IF(OR(ISNUMBER(I),ISNUMBER($F$14)),IF(AND($B123&gt;=($F$17-$F$15),$B123&lt;$F$22+($F$17-$F$15)),SUM(OFFSET($T$100,($F$17-$F$15),0):$T123),""),""),"")</f>
        <v/>
      </c>
      <c r="BM123" s="190" t="str">
        <f t="shared" ca="1" si="29"/>
        <v/>
      </c>
      <c r="BN123" s="190" t="str">
        <f t="shared" ca="1" si="61"/>
        <v/>
      </c>
      <c r="BO123"/>
      <c r="BP123" s="190" t="str">
        <f ca="1">IF(ISNUMBER(OFFSET(BL123,-$F$21,0)),SUM(OFFSET($T$100,($F$17-$F$15+$F$21),0):$T123),"")</f>
        <v/>
      </c>
      <c r="BQ123" s="190" t="str">
        <f t="shared" ca="1" si="62"/>
        <v/>
      </c>
      <c r="BR123" s="190" t="str">
        <f t="shared" ca="1" si="63"/>
        <v/>
      </c>
      <c r="BS123" s="190"/>
      <c r="BT123"/>
      <c r="BU123" s="185"/>
      <c r="BV123" s="304"/>
      <c r="BW123" s="185"/>
      <c r="BX123" s="185"/>
      <c r="BY123" s="185"/>
      <c r="BZ123"/>
      <c r="CA123" s="280" t="str">
        <f t="shared" si="30"/>
        <v/>
      </c>
      <c r="CB123" s="71" t="str">
        <f t="shared" si="31"/>
        <v>-</v>
      </c>
      <c r="CC123" s="33"/>
      <c r="CD123" s="261" t="str">
        <f t="shared" si="33"/>
        <v/>
      </c>
      <c r="CE123" s="280" t="str">
        <f t="shared" si="34"/>
        <v/>
      </c>
      <c r="CF123" s="71" t="str">
        <f t="shared" ca="1" si="35"/>
        <v/>
      </c>
      <c r="CG123" s="33" t="str">
        <f t="shared" si="36"/>
        <v/>
      </c>
      <c r="CH123" s="261" t="str">
        <f t="shared" ca="1" si="37"/>
        <v/>
      </c>
      <c r="CI123" s="202"/>
      <c r="CJ123" s="99"/>
      <c r="CK123" s="99"/>
      <c r="CL123" s="99"/>
      <c r="CM123" s="99"/>
      <c r="CN123" s="99"/>
      <c r="CO123" s="99"/>
    </row>
    <row r="124" spans="2:93" ht="13.5" customHeight="1" x14ac:dyDescent="0.2">
      <c r="B124" s="262">
        <v>24</v>
      </c>
      <c r="C124" s="237" t="str">
        <f t="shared" si="1"/>
        <v/>
      </c>
      <c r="D124" s="237" t="str">
        <f t="shared" si="66"/>
        <v/>
      </c>
      <c r="E124" s="290" t="str">
        <f t="shared" si="38"/>
        <v/>
      </c>
      <c r="F124" s="264" t="str">
        <f t="shared" si="39"/>
        <v/>
      </c>
      <c r="G124" s="291" t="str">
        <f t="shared" si="40"/>
        <v/>
      </c>
      <c r="H124" s="240" t="str">
        <f t="shared" si="41"/>
        <v/>
      </c>
      <c r="I124" s="265" t="str">
        <f t="shared" si="2"/>
        <v/>
      </c>
      <c r="J124" s="265" t="str">
        <f t="shared" si="3"/>
        <v/>
      </c>
      <c r="K124" s="240" t="str">
        <f t="shared" si="4"/>
        <v/>
      </c>
      <c r="L124" s="265" t="str">
        <f t="shared" si="5"/>
        <v/>
      </c>
      <c r="M124" s="265" t="str">
        <f t="shared" si="6"/>
        <v/>
      </c>
      <c r="N124" s="240" t="str">
        <f t="shared" si="7"/>
        <v>-</v>
      </c>
      <c r="O124" s="265" t="str">
        <f t="shared" si="8"/>
        <v>-</v>
      </c>
      <c r="P124" s="265" t="str">
        <f t="shared" si="9"/>
        <v>-</v>
      </c>
      <c r="Q124" s="266" t="str">
        <f t="shared" si="10"/>
        <v>-</v>
      </c>
      <c r="R124" s="267" t="str">
        <f t="shared" si="11"/>
        <v>-</v>
      </c>
      <c r="S124" s="268" t="str">
        <f t="shared" si="12"/>
        <v>-</v>
      </c>
      <c r="T124" s="269" t="str">
        <f t="shared" si="13"/>
        <v/>
      </c>
      <c r="U124" s="221">
        <f t="shared" si="14"/>
        <v>24</v>
      </c>
      <c r="V124" s="220" t="str">
        <f t="shared" si="42"/>
        <v>-</v>
      </c>
      <c r="W124" s="221" t="str">
        <f t="shared" si="43"/>
        <v>-</v>
      </c>
      <c r="X124" s="221" t="str">
        <f t="shared" si="15"/>
        <v>-</v>
      </c>
      <c r="Y124" s="221" t="str">
        <f t="shared" si="16"/>
        <v>-</v>
      </c>
      <c r="Z124" s="270">
        <f t="shared" si="44"/>
        <v>0.1</v>
      </c>
      <c r="AA124" s="271" t="str">
        <f>IFERROR(IF(V123=1,AA$100*EXP(-(LN(2)/$D$65+0.04)*X123)*EXP(-(LN(2)/$D$65+0.1)*Y123),IF(V123=2,AA$100*EXP(-(LN(2)/$D$65+0.04)*(VLOOKUP(($F$16-$F$15)-1,U$99:Y123,4,FALSE)))*EXP(-(LN(2)/$D$65+0.1)*(VLOOKUP(($F$16-$F$15)-1,U$99:Y123,5,FALSE)))*EXP(-(LN(2)/$D$65+0.04)*X123)*EXP(-(LN(2)/$D$65+0.1)*Y123),IF(V123=3,AA$100*EXP(-(LN(2)/$D$65+0.04)*(VLOOKUP(($F$16-$F$15)-1,U$99:Y123,4,FALSE)))*EXP(-(LN(2)/$D$65+0.1)*(VLOOKUP(($F$16-$F$15)-1,U$99:Y123,5,FALSE)))*EXP(-(LN(2)/$D$65+0.04)*(VLOOKUP(($F$16-$F$15)*2-1,U$99:Y123,4,FALSE)))*EXP(-(LN(2)/$D$65+0.1)*(VLOOKUP(($F$16-$F$15)*2-1,U$99:Y123,5,FALSE)))*EXP(-(LN(2)/$D$65+0.04)*X123)*EXP(-(LN(2)/$D$65+0.1)*Y123),"-"))),"-")</f>
        <v>-</v>
      </c>
      <c r="AB124" s="271" t="str">
        <f>IFERROR(IF(V124=1,AB$100*EXP(-(LN(2)/$D$65+0.04)*X124)*EXP(-(LN(2)/$D$65+0.1)*Y124),IF(V124=2,AB$100*EXP(-(LN(2)/$D$65+0.04)*(VLOOKUP(($F$16-$F$15)-1,U$100:Y124,4,FALSE)))*EXP(-(LN(2)/$D$65+0.1)*(VLOOKUP(($F$16-$F$15)-1,U$100:Y124,5,FALSE)))*EXP(-(LN(2)/$D$65+0.04)*X124)*EXP(-(LN(2)/$D$65+0.1)*Y124),IF(V124=3,AB$100*EXP(-(LN(2)/$D$65+0.04)*(VLOOKUP(($F$16-$F$15)-1,U$100:Y124,4,FALSE)))*EXP(-(LN(2)/$D$65+0.1)*(VLOOKUP(($F$16-$F$15)-1,U$100:Y124,5,FALSE)))*EXP(-(LN(2)/$D$65+0.04)*(VLOOKUP(($F$16-$F$15)*2-1,U$100:Y124,4,FALSE)))*EXP(-(LN(2)/$D$65+0.1)*(VLOOKUP(($F$16-$F$15)*2-1,U$100:Y124,5,FALSE)))*EXP(-(LN(2)/$D$65+0.04)*X124)*EXP(-(LN(2)/$D$65+0.1)*Y124),"-"))),"-")</f>
        <v>-</v>
      </c>
      <c r="AC124" s="224">
        <f t="shared" si="45"/>
        <v>24</v>
      </c>
      <c r="AD124" s="223" t="str">
        <f t="shared" si="18"/>
        <v>-</v>
      </c>
      <c r="AE124" s="224" t="str">
        <f t="shared" si="46"/>
        <v>-</v>
      </c>
      <c r="AF124" s="224" t="str">
        <f t="shared" si="19"/>
        <v>-</v>
      </c>
      <c r="AG124" s="224" t="str">
        <f t="shared" si="20"/>
        <v>-</v>
      </c>
      <c r="AH124" s="272">
        <f t="shared" si="47"/>
        <v>0.1</v>
      </c>
      <c r="AI124" s="271" t="str">
        <f>IFERROR(IF(AD123=1,AI$100*EXP(-(LN(2)/$D$65+0.04)*AF123)*EXP(-(LN(2)/$D$65+0.1)*AG123),IF(AD123=2,AI$100*EXP(-(LN(2)/$D$65+0.04)*(VLOOKUP(($F$16-$F$15)-1,AC$99:AG123,4,FALSE)))*EXP(-(LN(2)/$D$65+0.1)*(VLOOKUP(($F$16-$F$15)-1,AC$99:AG123,5,FALSE)))*EXP(-(LN(2)/$D$65+0.04)*AF123)*EXP(-(LN(2)/$D$65+0.1)*AG123),IF(AD123=3,AI$100*EXP(-(LN(2)/$D$65+0.04)*(VLOOKUP(($F$16-$F$15)-1,AC$99:AG123,4,FALSE)))*EXP(-(LN(2)/$D$65+0.1)*(VLOOKUP(($F$16-$F$15)-1,AC$99:AG123,5,FALSE)))*EXP(-(LN(2)/$D$65+0.04)*(VLOOKUP(($F$16-$F$15)*2-1,AC$99:AG123,4,FALSE)))*EXP(-(LN(2)/$D$65+0.1)*(VLOOKUP(($F$16-$F$15)*2-1,AC$99:AG123,5,FALSE)))*EXP(-(LN(2)/$D$65+0.04)*AF123)*EXP(-(LN(2)/$D$65+0.1)*AG123),"-"))),"-")</f>
        <v>-</v>
      </c>
      <c r="AJ124" s="271" t="str">
        <f>IFERROR(IF(AD124=1,AJ$100*EXP(-(LN(2)/$D$65+0.04)*AF124)*EXP(-(LN(2)/$D$65+0.1)*AG124),IF(AD124=2,AJ$100*EXP(-(LN(2)/$D$65+0.04)*(VLOOKUP(($F$16-$F$15)-1,AC$100:AG124,4,FALSE)))*EXP(-(LN(2)/$D$65+0.1)*(VLOOKUP(($F$16-$F$15)-1,AC$100:AG124,5,FALSE)))*EXP(-(LN(2)/$D$65+0.04)*AF124)*EXP(-(LN(2)/$D$65+0.1)*AG124),IF(AD124=3,AJ$100*EXP(-(LN(2)/$D$65+0.04)*(VLOOKUP(($F$16-$F$15)-1,AC$100:AG124,4,FALSE)))*EXP(-(LN(2)/$D$65+0.1)*(VLOOKUP(($F$16-$F$15)-1,AC$100:AG124,5,FALSE)))*EXP(-(LN(2)/$D$65+0.04)*(VLOOKUP(($F$16-$F$15)*2-1,AC$100:AG124,4,FALSE)))*EXP(-(LN(2)/$D$65+0.1)*(VLOOKUP(($F$16-$F$15)*2-1,AC$100:AG124,5,FALSE)))*EXP(-(LN(2)/$D$65+0.04)*AF124)*EXP(-(LN(2)/$D$65+0.1)*AG124),"-"))),"-")</f>
        <v>-</v>
      </c>
      <c r="AK124" s="227">
        <f t="shared" si="49"/>
        <v>24</v>
      </c>
      <c r="AL124" s="226" t="str">
        <f t="shared" si="22"/>
        <v>-</v>
      </c>
      <c r="AM124" s="227" t="str">
        <f t="shared" si="50"/>
        <v>-</v>
      </c>
      <c r="AN124" s="227" t="str">
        <f t="shared" si="51"/>
        <v>-</v>
      </c>
      <c r="AO124" s="227" t="str">
        <f t="shared" si="23"/>
        <v>-</v>
      </c>
      <c r="AP124" s="273">
        <f t="shared" si="52"/>
        <v>0.1</v>
      </c>
      <c r="AQ124" s="271" t="str">
        <f>IFERROR(IF(AL123=1,AQ$100*EXP(-(LN(2)/$D$65+0.04)*AN123)*EXP(-(LN(2)/$D$65+0.1)*AO123),IF(AL123=2,AQ$100*EXP(-(LN(2)/$D$65+0.04)*(VLOOKUP(($F$16-$F$15)-1,AK$99:AO123,4,FALSE)))*EXP(-(LN(2)/$D$65+0.1)*(VLOOKUP(($F$16-$F$15)-1,AK$99:AO123,5,FALSE)))*EXP(-(LN(2)/$D$65+0.04)*AN123)*EXP(-(LN(2)/$D$65+0.1)*AO123),IF(AL123=3,AQ$100*EXP(-(LN(2)/$D$65+0.04)*(VLOOKUP(($F$16-$F$15)-1,AK$99:AO123,4,FALSE)))*EXP(-(LN(2)/$D$65+0.1)*(VLOOKUP(($F$16-$F$15)-1,AK$99:AO123,5,FALSE)))*EXP(-(LN(2)/$D$65+0.04)*(VLOOKUP(($F$16-$F$15)*2-1,AK$99:AO123,4,FALSE)))*EXP(-(LN(2)/$D$65+0.1)*(VLOOKUP(($F$16-$F$15)*2-1,AK$99:AO123,5,FALSE)))*EXP(-(LN(2)/$D$65+0.04)*AN123)*EXP(-(LN(2)/$D$65+0.1)*AO123),"-"))),"-")</f>
        <v>-</v>
      </c>
      <c r="AR124" s="271" t="str">
        <f>IFERROR(IF(AL124=1,AR$100*EXP(-(LN(2)/$D$65+0.04)*AN124)*EXP(-(LN(2)/$D$65+0.1)*AO124),IF(AL124=2,AR$100*EXP(-(LN(2)/$D$65+0.04)*(VLOOKUP(($F$16-$F$15)-1,AK$100:AO124,4,FALSE)))*EXP(-(LN(2)/$D$65+0.1)*(VLOOKUP(($F$16-$F$15)-1,AK$100:AO124,5,FALSE)))*EXP(-(LN(2)/$D$65+0.04)*AN124)*EXP(-(LN(2)/$D$65+0.1)*AO124),IF(AL124=3,AR$100*EXP(-(LN(2)/$D$65+0.04)*(VLOOKUP(($F$16-$F$15)-1,AK$100:AO124,4,FALSE)))*EXP(-(LN(2)/$D$65+0.1)*(VLOOKUP(($F$16-$F$15)-1,AK$100:AO124,5,FALSE)))*EXP(-(LN(2)/$D$65+0.04)*(VLOOKUP(($F$16-$F$15)*2-1,AK$100:AO124,4,FALSE)))*EXP(-(LN(2)/$D$65+0.1)*(VLOOKUP(($F$16-$F$15)*2-1,AK$100:AO124,5,FALSE)))*EXP(-(LN(2)/$D$65+0.04)*AN124)*EXP(-(LN(2)/$D$65+0.1)*AO124),"-"))),"-")</f>
        <v>-</v>
      </c>
      <c r="AS124" s="274">
        <f t="shared" si="24"/>
        <v>0</v>
      </c>
      <c r="AT124" s="274">
        <f t="shared" si="25"/>
        <v>0</v>
      </c>
      <c r="AU124" s="274">
        <f t="shared" si="26"/>
        <v>0</v>
      </c>
      <c r="AV124" s="190" t="str">
        <f>IF($B124&lt;$F$22,SUM($T$100:$T124),"")</f>
        <v/>
      </c>
      <c r="AW124" s="190" t="str">
        <f t="shared" si="55"/>
        <v>-</v>
      </c>
      <c r="AX124" s="190" t="str">
        <f t="shared" si="56"/>
        <v/>
      </c>
      <c r="AY124"/>
      <c r="AZ124" s="190" t="str">
        <f ca="1">IF(ISNUMBER(OFFSET(AV124,-$F$21,0)),SUM(OFFSET($T$100,$F$21,0):$T124),"")</f>
        <v/>
      </c>
      <c r="BA124" s="190" t="str">
        <f t="shared" ca="1" si="27"/>
        <v/>
      </c>
      <c r="BB124" s="190" t="str">
        <f t="shared" ca="1" si="70"/>
        <v/>
      </c>
      <c r="BC124" s="190"/>
      <c r="BD124" s="190" t="str">
        <f ca="1">IFERROR(IF(OR(ISNUMBER(I),ISNUMBER($F$14)),IF(AND($B124&gt;=($F$16-$F$15),$B124&lt;$F$22+($F$16-$F$15)),SUM(OFFSET($T$100,($F$16-$F$15),0):$T124),""),""),"")</f>
        <v/>
      </c>
      <c r="BE124" s="190" t="str">
        <f t="shared" ca="1" si="58"/>
        <v/>
      </c>
      <c r="BF124" s="190" t="str">
        <f t="shared" ca="1" si="59"/>
        <v/>
      </c>
      <c r="BG124"/>
      <c r="BH124" s="190" t="str">
        <f ca="1">IF(ISNUMBER(OFFSET(BD124,-$F$21,0)),SUM(OFFSET($T$100,($F$16-$F$15+$F$21),0):$T124),"")</f>
        <v/>
      </c>
      <c r="BI124" s="190" t="str">
        <f t="shared" ca="1" si="28"/>
        <v/>
      </c>
      <c r="BJ124" s="190" t="str">
        <f t="shared" ca="1" si="60"/>
        <v/>
      </c>
      <c r="BK124" s="190"/>
      <c r="BL124" s="190" t="str">
        <f ca="1">IFERROR(IF(OR(ISNUMBER(I),ISNUMBER($F$14)),IF(AND($B124&gt;=($F$17-$F$15),$B124&lt;$F$22+($F$17-$F$15)),SUM(OFFSET($T$100,($F$17-$F$15),0):$T124),""),""),"")</f>
        <v/>
      </c>
      <c r="BM124" s="190" t="str">
        <f t="shared" ca="1" si="29"/>
        <v/>
      </c>
      <c r="BN124" s="190" t="str">
        <f t="shared" ca="1" si="61"/>
        <v/>
      </c>
      <c r="BO124"/>
      <c r="BP124" s="190" t="str">
        <f ca="1">IF(ISNUMBER(OFFSET(BL124,-$F$21,0)),SUM(OFFSET($T$100,($F$17-$F$15+$F$21),0):$T124),"")</f>
        <v/>
      </c>
      <c r="BQ124" s="190" t="str">
        <f t="shared" ca="1" si="62"/>
        <v/>
      </c>
      <c r="BR124" s="190" t="str">
        <f t="shared" ca="1" si="63"/>
        <v/>
      </c>
      <c r="BS124" s="190"/>
      <c r="BT124"/>
      <c r="BU124" s="185"/>
      <c r="BV124" s="184"/>
      <c r="BW124" s="185"/>
      <c r="BX124" s="185"/>
      <c r="BY124" s="185"/>
      <c r="BZ124"/>
      <c r="CA124" s="280" t="str">
        <f t="shared" si="30"/>
        <v/>
      </c>
      <c r="CB124" s="71" t="str">
        <f t="shared" si="31"/>
        <v>-</v>
      </c>
      <c r="CC124" s="33"/>
      <c r="CD124" s="261" t="str">
        <f t="shared" si="33"/>
        <v/>
      </c>
      <c r="CE124" s="280" t="str">
        <f t="shared" si="34"/>
        <v/>
      </c>
      <c r="CF124" s="71" t="str">
        <f t="shared" ca="1" si="35"/>
        <v/>
      </c>
      <c r="CG124" s="33" t="str">
        <f t="shared" si="36"/>
        <v/>
      </c>
      <c r="CH124" s="261" t="str">
        <f t="shared" ca="1" si="37"/>
        <v/>
      </c>
      <c r="CI124" s="202"/>
      <c r="CJ124" s="99"/>
      <c r="CK124" s="99"/>
      <c r="CL124" s="99"/>
      <c r="CM124" s="99"/>
      <c r="CN124" s="99"/>
      <c r="CO124" s="99"/>
    </row>
    <row r="125" spans="2:93" ht="13.5" customHeight="1" x14ac:dyDescent="0.2">
      <c r="B125" s="262">
        <v>25</v>
      </c>
      <c r="C125" s="237" t="str">
        <f t="shared" si="1"/>
        <v/>
      </c>
      <c r="D125" s="237" t="str">
        <f t="shared" si="66"/>
        <v/>
      </c>
      <c r="E125" s="290" t="str">
        <f t="shared" si="38"/>
        <v/>
      </c>
      <c r="F125" s="264" t="str">
        <f t="shared" si="39"/>
        <v/>
      </c>
      <c r="G125" s="291" t="str">
        <f t="shared" si="40"/>
        <v/>
      </c>
      <c r="H125" s="240" t="str">
        <f t="shared" si="41"/>
        <v/>
      </c>
      <c r="I125" s="265" t="str">
        <f t="shared" si="2"/>
        <v/>
      </c>
      <c r="J125" s="265" t="str">
        <f t="shared" si="3"/>
        <v/>
      </c>
      <c r="K125" s="240" t="str">
        <f t="shared" si="4"/>
        <v/>
      </c>
      <c r="L125" s="265" t="str">
        <f t="shared" si="5"/>
        <v/>
      </c>
      <c r="M125" s="265" t="str">
        <f t="shared" si="6"/>
        <v/>
      </c>
      <c r="N125" s="240" t="str">
        <f t="shared" si="7"/>
        <v>-</v>
      </c>
      <c r="O125" s="265" t="str">
        <f t="shared" si="8"/>
        <v>-</v>
      </c>
      <c r="P125" s="265" t="str">
        <f t="shared" si="9"/>
        <v>-</v>
      </c>
      <c r="Q125" s="266" t="str">
        <f t="shared" si="10"/>
        <v>-</v>
      </c>
      <c r="R125" s="267" t="str">
        <f t="shared" si="11"/>
        <v>-</v>
      </c>
      <c r="S125" s="268" t="str">
        <f t="shared" si="12"/>
        <v>-</v>
      </c>
      <c r="T125" s="269" t="str">
        <f t="shared" si="13"/>
        <v/>
      </c>
      <c r="U125" s="221">
        <f t="shared" si="14"/>
        <v>25</v>
      </c>
      <c r="V125" s="220" t="str">
        <f t="shared" si="42"/>
        <v>-</v>
      </c>
      <c r="W125" s="221" t="str">
        <f t="shared" si="43"/>
        <v>-</v>
      </c>
      <c r="X125" s="221" t="str">
        <f t="shared" si="15"/>
        <v>-</v>
      </c>
      <c r="Y125" s="221" t="str">
        <f t="shared" si="16"/>
        <v>-</v>
      </c>
      <c r="Z125" s="270">
        <f t="shared" si="44"/>
        <v>0.1</v>
      </c>
      <c r="AA125" s="271" t="str">
        <f>IFERROR(IF(V124=1,AA$100*EXP(-(LN(2)/$D$65+0.04)*X124)*EXP(-(LN(2)/$D$65+0.1)*Y124),IF(V124=2,AA$100*EXP(-(LN(2)/$D$65+0.04)*(VLOOKUP(($F$16-$F$15)-1,U$99:Y124,4,FALSE)))*EXP(-(LN(2)/$D$65+0.1)*(VLOOKUP(($F$16-$F$15)-1,U$99:Y124,5,FALSE)))*EXP(-(LN(2)/$D$65+0.04)*X124)*EXP(-(LN(2)/$D$65+0.1)*Y124),IF(V124=3,AA$100*EXP(-(LN(2)/$D$65+0.04)*(VLOOKUP(($F$16-$F$15)-1,U$99:Y124,4,FALSE)))*EXP(-(LN(2)/$D$65+0.1)*(VLOOKUP(($F$16-$F$15)-1,U$99:Y124,5,FALSE)))*EXP(-(LN(2)/$D$65+0.04)*(VLOOKUP(($F$16-$F$15)*2-1,U$99:Y124,4,FALSE)))*EXP(-(LN(2)/$D$65+0.1)*(VLOOKUP(($F$16-$F$15)*2-1,U$99:Y124,5,FALSE)))*EXP(-(LN(2)/$D$65+0.04)*X124)*EXP(-(LN(2)/$D$65+0.1)*Y124),"-"))),"-")</f>
        <v>-</v>
      </c>
      <c r="AB125" s="271" t="str">
        <f>IFERROR(IF(V125=1,AB$100*EXP(-(LN(2)/$D$65+0.04)*X125)*EXP(-(LN(2)/$D$65+0.1)*Y125),IF(V125=2,AB$100*EXP(-(LN(2)/$D$65+0.04)*(VLOOKUP(($F$16-$F$15)-1,U$100:Y125,4,FALSE)))*EXP(-(LN(2)/$D$65+0.1)*(VLOOKUP(($F$16-$F$15)-1,U$100:Y125,5,FALSE)))*EXP(-(LN(2)/$D$65+0.04)*X125)*EXP(-(LN(2)/$D$65+0.1)*Y125),IF(V125=3,AB$100*EXP(-(LN(2)/$D$65+0.04)*(VLOOKUP(($F$16-$F$15)-1,U$100:Y125,4,FALSE)))*EXP(-(LN(2)/$D$65+0.1)*(VLOOKUP(($F$16-$F$15)-1,U$100:Y125,5,FALSE)))*EXP(-(LN(2)/$D$65+0.04)*(VLOOKUP(($F$16-$F$15)*2-1,U$100:Y125,4,FALSE)))*EXP(-(LN(2)/$D$65+0.1)*(VLOOKUP(($F$16-$F$15)*2-1,U$100:Y125,5,FALSE)))*EXP(-(LN(2)/$D$65+0.04)*X125)*EXP(-(LN(2)/$D$65+0.1)*Y125),"-"))),"-")</f>
        <v>-</v>
      </c>
      <c r="AC125" s="224">
        <f t="shared" si="45"/>
        <v>25</v>
      </c>
      <c r="AD125" s="223" t="str">
        <f t="shared" si="18"/>
        <v>-</v>
      </c>
      <c r="AE125" s="224" t="str">
        <f t="shared" si="46"/>
        <v>-</v>
      </c>
      <c r="AF125" s="224" t="str">
        <f t="shared" si="19"/>
        <v>-</v>
      </c>
      <c r="AG125" s="224" t="str">
        <f t="shared" si="20"/>
        <v>-</v>
      </c>
      <c r="AH125" s="272">
        <f t="shared" si="47"/>
        <v>0.1</v>
      </c>
      <c r="AI125" s="271" t="str">
        <f>IFERROR(IF(AD124=1,AI$100*EXP(-(LN(2)/$D$65+0.04)*AF124)*EXP(-(LN(2)/$D$65+0.1)*AG124),IF(AD124=2,AI$100*EXP(-(LN(2)/$D$65+0.04)*(VLOOKUP(($F$16-$F$15)-1,AC$99:AG124,4,FALSE)))*EXP(-(LN(2)/$D$65+0.1)*(VLOOKUP(($F$16-$F$15)-1,AC$99:AG124,5,FALSE)))*EXP(-(LN(2)/$D$65+0.04)*AF124)*EXP(-(LN(2)/$D$65+0.1)*AG124),IF(AD124=3,AI$100*EXP(-(LN(2)/$D$65+0.04)*(VLOOKUP(($F$16-$F$15)-1,AC$99:AG124,4,FALSE)))*EXP(-(LN(2)/$D$65+0.1)*(VLOOKUP(($F$16-$F$15)-1,AC$99:AG124,5,FALSE)))*EXP(-(LN(2)/$D$65+0.04)*(VLOOKUP(($F$16-$F$15)*2-1,AC$99:AG124,4,FALSE)))*EXP(-(LN(2)/$D$65+0.1)*(VLOOKUP(($F$16-$F$15)*2-1,AC$99:AG124,5,FALSE)))*EXP(-(LN(2)/$D$65+0.04)*AF124)*EXP(-(LN(2)/$D$65+0.1)*AG124),"-"))),"-")</f>
        <v>-</v>
      </c>
      <c r="AJ125" s="271" t="str">
        <f>IFERROR(IF(AD125=1,AJ$100*EXP(-(LN(2)/$D$65+0.04)*AF125)*EXP(-(LN(2)/$D$65+0.1)*AG125),IF(AD125=2,AJ$100*EXP(-(LN(2)/$D$65+0.04)*(VLOOKUP(($F$16-$F$15)-1,AC$100:AG125,4,FALSE)))*EXP(-(LN(2)/$D$65+0.1)*(VLOOKUP(($F$16-$F$15)-1,AC$100:AG125,5,FALSE)))*EXP(-(LN(2)/$D$65+0.04)*AF125)*EXP(-(LN(2)/$D$65+0.1)*AG125),IF(AD125=3,AJ$100*EXP(-(LN(2)/$D$65+0.04)*(VLOOKUP(($F$16-$F$15)-1,AC$100:AG125,4,FALSE)))*EXP(-(LN(2)/$D$65+0.1)*(VLOOKUP(($F$16-$F$15)-1,AC$100:AG125,5,FALSE)))*EXP(-(LN(2)/$D$65+0.04)*(VLOOKUP(($F$16-$F$15)*2-1,AC$100:AG125,4,FALSE)))*EXP(-(LN(2)/$D$65+0.1)*(VLOOKUP(($F$16-$F$15)*2-1,AC$100:AG125,5,FALSE)))*EXP(-(LN(2)/$D$65+0.04)*AF125)*EXP(-(LN(2)/$D$65+0.1)*AG125),"-"))),"-")</f>
        <v>-</v>
      </c>
      <c r="AK125" s="227">
        <f t="shared" si="49"/>
        <v>25</v>
      </c>
      <c r="AL125" s="226" t="str">
        <f t="shared" si="22"/>
        <v>-</v>
      </c>
      <c r="AM125" s="227" t="str">
        <f t="shared" si="50"/>
        <v>-</v>
      </c>
      <c r="AN125" s="227" t="str">
        <f t="shared" si="51"/>
        <v>-</v>
      </c>
      <c r="AO125" s="227" t="str">
        <f t="shared" si="23"/>
        <v>-</v>
      </c>
      <c r="AP125" s="273">
        <f t="shared" si="52"/>
        <v>0.1</v>
      </c>
      <c r="AQ125" s="271" t="str">
        <f>IFERROR(IF(AL124=1,AQ$100*EXP(-(LN(2)/$D$65+0.04)*AN124)*EXP(-(LN(2)/$D$65+0.1)*AO124),IF(AL124=2,AQ$100*EXP(-(LN(2)/$D$65+0.04)*(VLOOKUP(($F$16-$F$15)-1,AK$99:AO124,4,FALSE)))*EXP(-(LN(2)/$D$65+0.1)*(VLOOKUP(($F$16-$F$15)-1,AK$99:AO124,5,FALSE)))*EXP(-(LN(2)/$D$65+0.04)*AN124)*EXP(-(LN(2)/$D$65+0.1)*AO124),IF(AL124=3,AQ$100*EXP(-(LN(2)/$D$65+0.04)*(VLOOKUP(($F$16-$F$15)-1,AK$99:AO124,4,FALSE)))*EXP(-(LN(2)/$D$65+0.1)*(VLOOKUP(($F$16-$F$15)-1,AK$99:AO124,5,FALSE)))*EXP(-(LN(2)/$D$65+0.04)*(VLOOKUP(($F$16-$F$15)*2-1,AK$99:AO124,4,FALSE)))*EXP(-(LN(2)/$D$65+0.1)*(VLOOKUP(($F$16-$F$15)*2-1,AK$99:AO124,5,FALSE)))*EXP(-(LN(2)/$D$65+0.04)*AN124)*EXP(-(LN(2)/$D$65+0.1)*AO124),"-"))),"-")</f>
        <v>-</v>
      </c>
      <c r="AR125" s="271" t="str">
        <f>IFERROR(IF(AL125=1,AR$100*EXP(-(LN(2)/$D$65+0.04)*AN125)*EXP(-(LN(2)/$D$65+0.1)*AO125),IF(AL125=2,AR$100*EXP(-(LN(2)/$D$65+0.04)*(VLOOKUP(($F$16-$F$15)-1,AK$100:AO125,4,FALSE)))*EXP(-(LN(2)/$D$65+0.1)*(VLOOKUP(($F$16-$F$15)-1,AK$100:AO125,5,FALSE)))*EXP(-(LN(2)/$D$65+0.04)*AN125)*EXP(-(LN(2)/$D$65+0.1)*AO125),IF(AL125=3,AR$100*EXP(-(LN(2)/$D$65+0.04)*(VLOOKUP(($F$16-$F$15)-1,AK$100:AO125,4,FALSE)))*EXP(-(LN(2)/$D$65+0.1)*(VLOOKUP(($F$16-$F$15)-1,AK$100:AO125,5,FALSE)))*EXP(-(LN(2)/$D$65+0.04)*(VLOOKUP(($F$16-$F$15)*2-1,AK$100:AO125,4,FALSE)))*EXP(-(LN(2)/$D$65+0.1)*(VLOOKUP(($F$16-$F$15)*2-1,AK$100:AO125,5,FALSE)))*EXP(-(LN(2)/$D$65+0.04)*AN125)*EXP(-(LN(2)/$D$65+0.1)*AO125),"-"))),"-")</f>
        <v>-</v>
      </c>
      <c r="AS125" s="274">
        <f t="shared" si="24"/>
        <v>0</v>
      </c>
      <c r="AT125" s="274">
        <f t="shared" si="25"/>
        <v>0</v>
      </c>
      <c r="AU125" s="274">
        <f t="shared" si="26"/>
        <v>0</v>
      </c>
      <c r="AV125" s="190" t="str">
        <f>IF($B125&lt;$F$22,SUM($T$100:$T125),"")</f>
        <v/>
      </c>
      <c r="AW125" s="190" t="str">
        <f t="shared" si="55"/>
        <v>-</v>
      </c>
      <c r="AX125" s="190" t="str">
        <f t="shared" si="56"/>
        <v/>
      </c>
      <c r="AY125"/>
      <c r="AZ125" s="190" t="str">
        <f ca="1">IF(ISNUMBER(OFFSET(AV125,-$F$21,0)),SUM(OFFSET($T$100,$F$21,0):$T125),"")</f>
        <v/>
      </c>
      <c r="BA125" s="190" t="str">
        <f t="shared" ca="1" si="27"/>
        <v/>
      </c>
      <c r="BB125" s="190" t="str">
        <f t="shared" ca="1" si="70"/>
        <v/>
      </c>
      <c r="BC125" s="190"/>
      <c r="BD125" s="190" t="str">
        <f ca="1">IFERROR(IF(OR(ISNUMBER(I),ISNUMBER($F$14)),IF(AND($B125&gt;=($F$16-$F$15),$B125&lt;$F$22+($F$16-$F$15)),SUM(OFFSET($T$100,($F$16-$F$15),0):$T125),""),""),"")</f>
        <v/>
      </c>
      <c r="BE125" s="190" t="str">
        <f t="shared" ca="1" si="58"/>
        <v/>
      </c>
      <c r="BF125" s="190" t="str">
        <f t="shared" ca="1" si="59"/>
        <v/>
      </c>
      <c r="BG125"/>
      <c r="BH125" s="190" t="str">
        <f ca="1">IF(ISNUMBER(OFFSET(BD125,-$F$21,0)),SUM(OFFSET($T$100,($F$16-$F$15+$F$21),0):$T125),"")</f>
        <v/>
      </c>
      <c r="BI125" s="190" t="str">
        <f t="shared" ca="1" si="28"/>
        <v/>
      </c>
      <c r="BJ125" s="190" t="str">
        <f t="shared" ca="1" si="60"/>
        <v/>
      </c>
      <c r="BK125" s="190"/>
      <c r="BL125" s="190" t="str">
        <f ca="1">IFERROR(IF(OR(ISNUMBER(I),ISNUMBER($F$14)),IF(AND($B125&gt;=($F$17-$F$15),$B125&lt;$F$22+($F$17-$F$15)),SUM(OFFSET($T$100,($F$17-$F$15),0):$T125),""),""),"")</f>
        <v/>
      </c>
      <c r="BM125" s="190" t="str">
        <f t="shared" ca="1" si="29"/>
        <v/>
      </c>
      <c r="BN125" s="190" t="str">
        <f t="shared" ca="1" si="61"/>
        <v/>
      </c>
      <c r="BO125"/>
      <c r="BP125" s="190" t="str">
        <f ca="1">IF(ISNUMBER(OFFSET(BL125,-$F$21,0)),SUM(OFFSET($T$100,($F$17-$F$15+$F$21),0):$T125),"")</f>
        <v/>
      </c>
      <c r="BQ125" s="190" t="str">
        <f t="shared" ca="1" si="62"/>
        <v/>
      </c>
      <c r="BR125" s="190" t="str">
        <f t="shared" ca="1" si="63"/>
        <v/>
      </c>
      <c r="BS125" s="190"/>
      <c r="BT125"/>
      <c r="BU125" s="185"/>
      <c r="BV125" s="177"/>
      <c r="BW125" s="185"/>
      <c r="BX125" s="185"/>
      <c r="BY125" s="185"/>
      <c r="BZ125"/>
      <c r="CA125" s="280" t="str">
        <f t="shared" si="30"/>
        <v/>
      </c>
      <c r="CB125" s="71" t="str">
        <f t="shared" si="31"/>
        <v>-</v>
      </c>
      <c r="CC125" s="33"/>
      <c r="CD125" s="261" t="str">
        <f t="shared" si="33"/>
        <v/>
      </c>
      <c r="CE125" s="280" t="str">
        <f t="shared" si="34"/>
        <v/>
      </c>
      <c r="CF125" s="71" t="str">
        <f t="shared" ca="1" si="35"/>
        <v/>
      </c>
      <c r="CG125" s="33" t="str">
        <f t="shared" si="36"/>
        <v/>
      </c>
      <c r="CH125" s="261" t="str">
        <f t="shared" ca="1" si="37"/>
        <v/>
      </c>
      <c r="CI125" s="202"/>
      <c r="CJ125" s="99"/>
      <c r="CK125" s="99"/>
      <c r="CL125" s="99"/>
      <c r="CM125" s="99"/>
      <c r="CN125" s="99"/>
      <c r="CO125" s="99"/>
    </row>
    <row r="126" spans="2:93" ht="13.5" customHeight="1" x14ac:dyDescent="0.2">
      <c r="B126" s="262">
        <v>26</v>
      </c>
      <c r="C126" s="237" t="str">
        <f t="shared" si="1"/>
        <v/>
      </c>
      <c r="D126" s="237" t="str">
        <f t="shared" si="66"/>
        <v/>
      </c>
      <c r="E126" s="290" t="str">
        <f t="shared" si="38"/>
        <v/>
      </c>
      <c r="F126" s="264" t="str">
        <f t="shared" si="39"/>
        <v/>
      </c>
      <c r="G126" s="291" t="str">
        <f t="shared" si="40"/>
        <v/>
      </c>
      <c r="H126" s="240" t="str">
        <f t="shared" si="41"/>
        <v/>
      </c>
      <c r="I126" s="265" t="str">
        <f t="shared" si="2"/>
        <v/>
      </c>
      <c r="J126" s="265" t="str">
        <f t="shared" si="3"/>
        <v/>
      </c>
      <c r="K126" s="240" t="str">
        <f t="shared" si="4"/>
        <v/>
      </c>
      <c r="L126" s="265" t="str">
        <f t="shared" si="5"/>
        <v/>
      </c>
      <c r="M126" s="265" t="str">
        <f t="shared" si="6"/>
        <v/>
      </c>
      <c r="N126" s="240" t="str">
        <f t="shared" si="7"/>
        <v>-</v>
      </c>
      <c r="O126" s="265" t="str">
        <f t="shared" si="8"/>
        <v>-</v>
      </c>
      <c r="P126" s="265" t="str">
        <f t="shared" si="9"/>
        <v>-</v>
      </c>
      <c r="Q126" s="266" t="str">
        <f t="shared" si="10"/>
        <v>-</v>
      </c>
      <c r="R126" s="267" t="str">
        <f t="shared" si="11"/>
        <v>-</v>
      </c>
      <c r="S126" s="268" t="str">
        <f t="shared" si="12"/>
        <v>-</v>
      </c>
      <c r="T126" s="269" t="str">
        <f t="shared" si="13"/>
        <v/>
      </c>
      <c r="U126" s="221">
        <f t="shared" si="14"/>
        <v>26</v>
      </c>
      <c r="V126" s="220" t="str">
        <f t="shared" si="42"/>
        <v>-</v>
      </c>
      <c r="W126" s="221" t="str">
        <f t="shared" si="43"/>
        <v>-</v>
      </c>
      <c r="X126" s="221" t="str">
        <f t="shared" si="15"/>
        <v>-</v>
      </c>
      <c r="Y126" s="221" t="str">
        <f t="shared" si="16"/>
        <v>-</v>
      </c>
      <c r="Z126" s="270">
        <f t="shared" si="44"/>
        <v>0.1</v>
      </c>
      <c r="AA126" s="271" t="str">
        <f>IFERROR(IF(V125=1,AA$100*EXP(-(LN(2)/$D$65+0.04)*X125)*EXP(-(LN(2)/$D$65+0.1)*Y125),IF(V125=2,AA$100*EXP(-(LN(2)/$D$65+0.04)*(VLOOKUP(($F$16-$F$15)-1,U$99:Y125,4,FALSE)))*EXP(-(LN(2)/$D$65+0.1)*(VLOOKUP(($F$16-$F$15)-1,U$99:Y125,5,FALSE)))*EXP(-(LN(2)/$D$65+0.04)*X125)*EXP(-(LN(2)/$D$65+0.1)*Y125),IF(V125=3,AA$100*EXP(-(LN(2)/$D$65+0.04)*(VLOOKUP(($F$16-$F$15)-1,U$99:Y125,4,FALSE)))*EXP(-(LN(2)/$D$65+0.1)*(VLOOKUP(($F$16-$F$15)-1,U$99:Y125,5,FALSE)))*EXP(-(LN(2)/$D$65+0.04)*(VLOOKUP(($F$16-$F$15)*2-1,U$99:Y125,4,FALSE)))*EXP(-(LN(2)/$D$65+0.1)*(VLOOKUP(($F$16-$F$15)*2-1,U$99:Y125,5,FALSE)))*EXP(-(LN(2)/$D$65+0.04)*X125)*EXP(-(LN(2)/$D$65+0.1)*Y125),"-"))),"-")</f>
        <v>-</v>
      </c>
      <c r="AB126" s="271" t="str">
        <f>IFERROR(IF(V126=1,AB$100*EXP(-(LN(2)/$D$65+0.04)*X126)*EXP(-(LN(2)/$D$65+0.1)*Y126),IF(V126=2,AB$100*EXP(-(LN(2)/$D$65+0.04)*(VLOOKUP(($F$16-$F$15)-1,U$100:Y126,4,FALSE)))*EXP(-(LN(2)/$D$65+0.1)*(VLOOKUP(($F$16-$F$15)-1,U$100:Y126,5,FALSE)))*EXP(-(LN(2)/$D$65+0.04)*X126)*EXP(-(LN(2)/$D$65+0.1)*Y126),IF(V126=3,AB$100*EXP(-(LN(2)/$D$65+0.04)*(VLOOKUP(($F$16-$F$15)-1,U$100:Y126,4,FALSE)))*EXP(-(LN(2)/$D$65+0.1)*(VLOOKUP(($F$16-$F$15)-1,U$100:Y126,5,FALSE)))*EXP(-(LN(2)/$D$65+0.04)*(VLOOKUP(($F$16-$F$15)*2-1,U$100:Y126,4,FALSE)))*EXP(-(LN(2)/$D$65+0.1)*(VLOOKUP(($F$16-$F$15)*2-1,U$100:Y126,5,FALSE)))*EXP(-(LN(2)/$D$65+0.04)*X126)*EXP(-(LN(2)/$D$65+0.1)*Y126),"-"))),"-")</f>
        <v>-</v>
      </c>
      <c r="AC126" s="224">
        <f t="shared" si="45"/>
        <v>26</v>
      </c>
      <c r="AD126" s="223" t="str">
        <f t="shared" si="18"/>
        <v>-</v>
      </c>
      <c r="AE126" s="224" t="str">
        <f t="shared" si="46"/>
        <v>-</v>
      </c>
      <c r="AF126" s="224" t="str">
        <f t="shared" si="19"/>
        <v>-</v>
      </c>
      <c r="AG126" s="224" t="str">
        <f t="shared" si="20"/>
        <v>-</v>
      </c>
      <c r="AH126" s="272">
        <f t="shared" si="47"/>
        <v>0.1</v>
      </c>
      <c r="AI126" s="271" t="str">
        <f>IFERROR(IF(AD125=1,AI$100*EXP(-(LN(2)/$D$65+0.04)*AF125)*EXP(-(LN(2)/$D$65+0.1)*AG125),IF(AD125=2,AI$100*EXP(-(LN(2)/$D$65+0.04)*(VLOOKUP(($F$16-$F$15)-1,AC$99:AG125,4,FALSE)))*EXP(-(LN(2)/$D$65+0.1)*(VLOOKUP(($F$16-$F$15)-1,AC$99:AG125,5,FALSE)))*EXP(-(LN(2)/$D$65+0.04)*AF125)*EXP(-(LN(2)/$D$65+0.1)*AG125),IF(AD125=3,AI$100*EXP(-(LN(2)/$D$65+0.04)*(VLOOKUP(($F$16-$F$15)-1,AC$99:AG125,4,FALSE)))*EXP(-(LN(2)/$D$65+0.1)*(VLOOKUP(($F$16-$F$15)-1,AC$99:AG125,5,FALSE)))*EXP(-(LN(2)/$D$65+0.04)*(VLOOKUP(($F$16-$F$15)*2-1,AC$99:AG125,4,FALSE)))*EXP(-(LN(2)/$D$65+0.1)*(VLOOKUP(($F$16-$F$15)*2-1,AC$99:AG125,5,FALSE)))*EXP(-(LN(2)/$D$65+0.04)*AF125)*EXP(-(LN(2)/$D$65+0.1)*AG125),"-"))),"-")</f>
        <v>-</v>
      </c>
      <c r="AJ126" s="271" t="str">
        <f>IFERROR(IF(AD126=1,AJ$100*EXP(-(LN(2)/$D$65+0.04)*AF126)*EXP(-(LN(2)/$D$65+0.1)*AG126),IF(AD126=2,AJ$100*EXP(-(LN(2)/$D$65+0.04)*(VLOOKUP(($F$16-$F$15)-1,AC$100:AG126,4,FALSE)))*EXP(-(LN(2)/$D$65+0.1)*(VLOOKUP(($F$16-$F$15)-1,AC$100:AG126,5,FALSE)))*EXP(-(LN(2)/$D$65+0.04)*AF126)*EXP(-(LN(2)/$D$65+0.1)*AG126),IF(AD126=3,AJ$100*EXP(-(LN(2)/$D$65+0.04)*(VLOOKUP(($F$16-$F$15)-1,AC$100:AG126,4,FALSE)))*EXP(-(LN(2)/$D$65+0.1)*(VLOOKUP(($F$16-$F$15)-1,AC$100:AG126,5,FALSE)))*EXP(-(LN(2)/$D$65+0.04)*(VLOOKUP(($F$16-$F$15)*2-1,AC$100:AG126,4,FALSE)))*EXP(-(LN(2)/$D$65+0.1)*(VLOOKUP(($F$16-$F$15)*2-1,AC$100:AG126,5,FALSE)))*EXP(-(LN(2)/$D$65+0.04)*AF126)*EXP(-(LN(2)/$D$65+0.1)*AG126),"-"))),"-")</f>
        <v>-</v>
      </c>
      <c r="AK126" s="227">
        <f t="shared" si="49"/>
        <v>26</v>
      </c>
      <c r="AL126" s="226" t="str">
        <f t="shared" si="22"/>
        <v>-</v>
      </c>
      <c r="AM126" s="227" t="str">
        <f t="shared" si="50"/>
        <v>-</v>
      </c>
      <c r="AN126" s="227" t="str">
        <f t="shared" si="51"/>
        <v>-</v>
      </c>
      <c r="AO126" s="227" t="str">
        <f t="shared" si="23"/>
        <v>-</v>
      </c>
      <c r="AP126" s="273">
        <f t="shared" si="52"/>
        <v>0.1</v>
      </c>
      <c r="AQ126" s="271" t="str">
        <f>IFERROR(IF(AL125=1,AQ$100*EXP(-(LN(2)/$D$65+0.04)*AN125)*EXP(-(LN(2)/$D$65+0.1)*AO125),IF(AL125=2,AQ$100*EXP(-(LN(2)/$D$65+0.04)*(VLOOKUP(($F$16-$F$15)-1,AK$99:AO125,4,FALSE)))*EXP(-(LN(2)/$D$65+0.1)*(VLOOKUP(($F$16-$F$15)-1,AK$99:AO125,5,FALSE)))*EXP(-(LN(2)/$D$65+0.04)*AN125)*EXP(-(LN(2)/$D$65+0.1)*AO125),IF(AL125=3,AQ$100*EXP(-(LN(2)/$D$65+0.04)*(VLOOKUP(($F$16-$F$15)-1,AK$99:AO125,4,FALSE)))*EXP(-(LN(2)/$D$65+0.1)*(VLOOKUP(($F$16-$F$15)-1,AK$99:AO125,5,FALSE)))*EXP(-(LN(2)/$D$65+0.04)*(VLOOKUP(($F$16-$F$15)*2-1,AK$99:AO125,4,FALSE)))*EXP(-(LN(2)/$D$65+0.1)*(VLOOKUP(($F$16-$F$15)*2-1,AK$99:AO125,5,FALSE)))*EXP(-(LN(2)/$D$65+0.04)*AN125)*EXP(-(LN(2)/$D$65+0.1)*AO125),"-"))),"-")</f>
        <v>-</v>
      </c>
      <c r="AR126" s="271" t="str">
        <f>IFERROR(IF(AL126=1,AR$100*EXP(-(LN(2)/$D$65+0.04)*AN126)*EXP(-(LN(2)/$D$65+0.1)*AO126),IF(AL126=2,AR$100*EXP(-(LN(2)/$D$65+0.04)*(VLOOKUP(($F$16-$F$15)-1,AK$100:AO126,4,FALSE)))*EXP(-(LN(2)/$D$65+0.1)*(VLOOKUP(($F$16-$F$15)-1,AK$100:AO126,5,FALSE)))*EXP(-(LN(2)/$D$65+0.04)*AN126)*EXP(-(LN(2)/$D$65+0.1)*AO126),IF(AL126=3,AR$100*EXP(-(LN(2)/$D$65+0.04)*(VLOOKUP(($F$16-$F$15)-1,AK$100:AO126,4,FALSE)))*EXP(-(LN(2)/$D$65+0.1)*(VLOOKUP(($F$16-$F$15)-1,AK$100:AO126,5,FALSE)))*EXP(-(LN(2)/$D$65+0.04)*(VLOOKUP(($F$16-$F$15)*2-1,AK$100:AO126,4,FALSE)))*EXP(-(LN(2)/$D$65+0.1)*(VLOOKUP(($F$16-$F$15)*2-1,AK$100:AO126,5,FALSE)))*EXP(-(LN(2)/$D$65+0.04)*AN126)*EXP(-(LN(2)/$D$65+0.1)*AO126),"-"))),"-")</f>
        <v>-</v>
      </c>
      <c r="AS126" s="274">
        <f t="shared" si="24"/>
        <v>0</v>
      </c>
      <c r="AT126" s="274">
        <f t="shared" si="25"/>
        <v>0</v>
      </c>
      <c r="AU126" s="274">
        <f t="shared" si="26"/>
        <v>0</v>
      </c>
      <c r="AV126" s="190" t="str">
        <f>IF($B126&lt;$F$22,SUM($T$100:$T126),"")</f>
        <v/>
      </c>
      <c r="AW126" s="190" t="str">
        <f t="shared" si="55"/>
        <v>-</v>
      </c>
      <c r="AX126" s="190" t="str">
        <f t="shared" si="56"/>
        <v/>
      </c>
      <c r="AY126"/>
      <c r="AZ126" s="190" t="str">
        <f ca="1">IF(ISNUMBER(OFFSET(AV126,-$F$21,0)),SUM(OFFSET($T$100,$F$21,0):$T126),"")</f>
        <v/>
      </c>
      <c r="BA126" s="190" t="str">
        <f t="shared" ca="1" si="27"/>
        <v/>
      </c>
      <c r="BB126" s="190" t="str">
        <f t="shared" ca="1" si="70"/>
        <v/>
      </c>
      <c r="BC126" s="190"/>
      <c r="BD126" s="190" t="str">
        <f ca="1">IFERROR(IF(OR(ISNUMBER(I),ISNUMBER($F$14)),IF(AND($B126&gt;=($F$16-$F$15),$B126&lt;$F$22+($F$16-$F$15)),SUM(OFFSET($T$100,($F$16-$F$15),0):$T126),""),""),"")</f>
        <v/>
      </c>
      <c r="BE126" s="190" t="str">
        <f t="shared" ca="1" si="58"/>
        <v/>
      </c>
      <c r="BF126" s="190" t="str">
        <f t="shared" ca="1" si="59"/>
        <v/>
      </c>
      <c r="BG126"/>
      <c r="BH126" s="190" t="str">
        <f ca="1">IF(ISNUMBER(OFFSET(BD126,-$F$21,0)),SUM(OFFSET($T$100,($F$16-$F$15+$F$21),0):$T126),"")</f>
        <v/>
      </c>
      <c r="BI126" s="190" t="str">
        <f t="shared" ca="1" si="28"/>
        <v/>
      </c>
      <c r="BJ126" s="190" t="str">
        <f t="shared" ca="1" si="60"/>
        <v/>
      </c>
      <c r="BK126" s="190"/>
      <c r="BL126" s="190" t="str">
        <f ca="1">IFERROR(IF(OR(ISNUMBER(I),ISNUMBER($F$14)),IF(AND($B126&gt;=($F$17-$F$15),$B126&lt;$F$22+($F$17-$F$15)),SUM(OFFSET($T$100,($F$17-$F$15),0):$T126),""),""),"")</f>
        <v/>
      </c>
      <c r="BM126" s="190" t="str">
        <f t="shared" ca="1" si="29"/>
        <v/>
      </c>
      <c r="BN126" s="190" t="str">
        <f t="shared" ca="1" si="61"/>
        <v/>
      </c>
      <c r="BO126"/>
      <c r="BP126" s="190" t="str">
        <f ca="1">IF(ISNUMBER(OFFSET(BL126,-$F$21,0)),SUM(OFFSET($T$100,($F$17-$F$15+$F$21),0):$T126),"")</f>
        <v/>
      </c>
      <c r="BQ126" s="190" t="str">
        <f t="shared" ca="1" si="62"/>
        <v/>
      </c>
      <c r="BR126" s="190" t="str">
        <f t="shared" ca="1" si="63"/>
        <v/>
      </c>
      <c r="BS126" s="190"/>
      <c r="BT126"/>
      <c r="BU126" s="185"/>
      <c r="BV126"/>
      <c r="BW126" s="185" t="str">
        <f>IF(BU126&lt;&gt;"",MIN(BU125:BU126),"")</f>
        <v/>
      </c>
      <c r="BX126" s="185" t="str">
        <f>IF(BU126&lt;&gt;"",MAX(BU125:BU126),"")</f>
        <v/>
      </c>
      <c r="BY126" s="185" t="str">
        <f>IF(B76&lt;&gt;"",(C75-C76)/(B76-B75),"")</f>
        <v/>
      </c>
      <c r="BZ126"/>
      <c r="CA126" s="280" t="str">
        <f t="shared" si="30"/>
        <v/>
      </c>
      <c r="CB126" s="71" t="str">
        <f t="shared" si="31"/>
        <v>-</v>
      </c>
      <c r="CC126" s="33"/>
      <c r="CD126" s="261" t="str">
        <f t="shared" si="33"/>
        <v/>
      </c>
      <c r="CE126" s="280" t="str">
        <f t="shared" si="34"/>
        <v/>
      </c>
      <c r="CF126" s="71" t="str">
        <f t="shared" ca="1" si="35"/>
        <v/>
      </c>
      <c r="CG126" s="33" t="str">
        <f t="shared" si="36"/>
        <v/>
      </c>
      <c r="CH126" s="261" t="str">
        <f t="shared" ca="1" si="37"/>
        <v/>
      </c>
      <c r="CI126" s="202"/>
      <c r="CJ126" s="99"/>
      <c r="CK126" s="99"/>
      <c r="CL126" s="99"/>
      <c r="CM126" s="99"/>
      <c r="CN126" s="99"/>
      <c r="CO126" s="99"/>
    </row>
    <row r="127" spans="2:93" ht="13.5" customHeight="1" x14ac:dyDescent="0.2">
      <c r="B127" s="262">
        <v>27</v>
      </c>
      <c r="C127" s="237" t="str">
        <f t="shared" si="1"/>
        <v/>
      </c>
      <c r="D127" s="237" t="str">
        <f t="shared" si="66"/>
        <v/>
      </c>
      <c r="E127" s="290" t="str">
        <f t="shared" si="38"/>
        <v/>
      </c>
      <c r="F127" s="264" t="str">
        <f t="shared" si="39"/>
        <v/>
      </c>
      <c r="G127" s="305" t="str">
        <f t="shared" si="40"/>
        <v/>
      </c>
      <c r="H127" s="240" t="str">
        <f t="shared" si="41"/>
        <v/>
      </c>
      <c r="I127" s="265" t="str">
        <f t="shared" si="2"/>
        <v/>
      </c>
      <c r="J127" s="265" t="str">
        <f t="shared" si="3"/>
        <v/>
      </c>
      <c r="K127" s="240" t="str">
        <f t="shared" si="4"/>
        <v/>
      </c>
      <c r="L127" s="265" t="str">
        <f t="shared" si="5"/>
        <v/>
      </c>
      <c r="M127" s="265" t="str">
        <f t="shared" si="6"/>
        <v/>
      </c>
      <c r="N127" s="240" t="str">
        <f t="shared" si="7"/>
        <v>-</v>
      </c>
      <c r="O127" s="265" t="str">
        <f t="shared" si="8"/>
        <v>-</v>
      </c>
      <c r="P127" s="265" t="str">
        <f t="shared" si="9"/>
        <v>-</v>
      </c>
      <c r="Q127" s="266" t="str">
        <f t="shared" si="10"/>
        <v>-</v>
      </c>
      <c r="R127" s="267" t="str">
        <f t="shared" si="11"/>
        <v>-</v>
      </c>
      <c r="S127" s="268" t="str">
        <f t="shared" si="12"/>
        <v>-</v>
      </c>
      <c r="T127" s="269" t="str">
        <f t="shared" si="13"/>
        <v/>
      </c>
      <c r="U127" s="221">
        <f t="shared" si="14"/>
        <v>27</v>
      </c>
      <c r="V127" s="220" t="str">
        <f t="shared" si="42"/>
        <v>-</v>
      </c>
      <c r="W127" s="221" t="str">
        <f t="shared" si="43"/>
        <v>-</v>
      </c>
      <c r="X127" s="221" t="str">
        <f t="shared" si="15"/>
        <v>-</v>
      </c>
      <c r="Y127" s="221" t="str">
        <f t="shared" si="16"/>
        <v>-</v>
      </c>
      <c r="Z127" s="270">
        <f t="shared" si="44"/>
        <v>0.1</v>
      </c>
      <c r="AA127" s="271" t="str">
        <f>IFERROR(IF(V126=1,AA$100*EXP(-(LN(2)/$D$65+0.04)*X126)*EXP(-(LN(2)/$D$65+0.1)*Y126),IF(V126=2,AA$100*EXP(-(LN(2)/$D$65+0.04)*(VLOOKUP(($F$16-$F$15)-1,U$99:Y126,4,FALSE)))*EXP(-(LN(2)/$D$65+0.1)*(VLOOKUP(($F$16-$F$15)-1,U$99:Y126,5,FALSE)))*EXP(-(LN(2)/$D$65+0.04)*X126)*EXP(-(LN(2)/$D$65+0.1)*Y126),IF(V126=3,AA$100*EXP(-(LN(2)/$D$65+0.04)*(VLOOKUP(($F$16-$F$15)-1,U$99:Y126,4,FALSE)))*EXP(-(LN(2)/$D$65+0.1)*(VLOOKUP(($F$16-$F$15)-1,U$99:Y126,5,FALSE)))*EXP(-(LN(2)/$D$65+0.04)*(VLOOKUP(($F$16-$F$15)*2-1,U$99:Y126,4,FALSE)))*EXP(-(LN(2)/$D$65+0.1)*(VLOOKUP(($F$16-$F$15)*2-1,U$99:Y126,5,FALSE)))*EXP(-(LN(2)/$D$65+0.04)*X126)*EXP(-(LN(2)/$D$65+0.1)*Y126),"-"))),"-")</f>
        <v>-</v>
      </c>
      <c r="AB127" s="271" t="str">
        <f>IFERROR(IF(V127=1,AB$100*EXP(-(LN(2)/$D$65+0.04)*X127)*EXP(-(LN(2)/$D$65+0.1)*Y127),IF(V127=2,AB$100*EXP(-(LN(2)/$D$65+0.04)*(VLOOKUP(($F$16-$F$15)-1,U$100:Y127,4,FALSE)))*EXP(-(LN(2)/$D$65+0.1)*(VLOOKUP(($F$16-$F$15)-1,U$100:Y127,5,FALSE)))*EXP(-(LN(2)/$D$65+0.04)*X127)*EXP(-(LN(2)/$D$65+0.1)*Y127),IF(V127=3,AB$100*EXP(-(LN(2)/$D$65+0.04)*(VLOOKUP(($F$16-$F$15)-1,U$100:Y127,4,FALSE)))*EXP(-(LN(2)/$D$65+0.1)*(VLOOKUP(($F$16-$F$15)-1,U$100:Y127,5,FALSE)))*EXP(-(LN(2)/$D$65+0.04)*(VLOOKUP(($F$16-$F$15)*2-1,U$100:Y127,4,FALSE)))*EXP(-(LN(2)/$D$65+0.1)*(VLOOKUP(($F$16-$F$15)*2-1,U$100:Y127,5,FALSE)))*EXP(-(LN(2)/$D$65+0.04)*X127)*EXP(-(LN(2)/$D$65+0.1)*Y127),"-"))),"-")</f>
        <v>-</v>
      </c>
      <c r="AC127" s="224">
        <f t="shared" si="45"/>
        <v>27</v>
      </c>
      <c r="AD127" s="223" t="str">
        <f t="shared" si="18"/>
        <v>-</v>
      </c>
      <c r="AE127" s="224" t="str">
        <f t="shared" si="46"/>
        <v>-</v>
      </c>
      <c r="AF127" s="224" t="str">
        <f t="shared" si="19"/>
        <v>-</v>
      </c>
      <c r="AG127" s="224" t="str">
        <f t="shared" si="20"/>
        <v>-</v>
      </c>
      <c r="AH127" s="272">
        <f t="shared" si="47"/>
        <v>0.1</v>
      </c>
      <c r="AI127" s="271" t="str">
        <f>IFERROR(IF(AD126=1,AI$100*EXP(-(LN(2)/$D$65+0.04)*AF126)*EXP(-(LN(2)/$D$65+0.1)*AG126),IF(AD126=2,AI$100*EXP(-(LN(2)/$D$65+0.04)*(VLOOKUP(($F$16-$F$15)-1,AC$99:AG126,4,FALSE)))*EXP(-(LN(2)/$D$65+0.1)*(VLOOKUP(($F$16-$F$15)-1,AC$99:AG126,5,FALSE)))*EXP(-(LN(2)/$D$65+0.04)*AF126)*EXP(-(LN(2)/$D$65+0.1)*AG126),IF(AD126=3,AI$100*EXP(-(LN(2)/$D$65+0.04)*(VLOOKUP(($F$16-$F$15)-1,AC$99:AG126,4,FALSE)))*EXP(-(LN(2)/$D$65+0.1)*(VLOOKUP(($F$16-$F$15)-1,AC$99:AG126,5,FALSE)))*EXP(-(LN(2)/$D$65+0.04)*(VLOOKUP(($F$16-$F$15)*2-1,AC$99:AG126,4,FALSE)))*EXP(-(LN(2)/$D$65+0.1)*(VLOOKUP(($F$16-$F$15)*2-1,AC$99:AG126,5,FALSE)))*EXP(-(LN(2)/$D$65+0.04)*AF126)*EXP(-(LN(2)/$D$65+0.1)*AG126),"-"))),"-")</f>
        <v>-</v>
      </c>
      <c r="AJ127" s="271" t="str">
        <f>IFERROR(IF(AD127=1,AJ$100*EXP(-(LN(2)/$D$65+0.04)*AF127)*EXP(-(LN(2)/$D$65+0.1)*AG127),IF(AD127=2,AJ$100*EXP(-(LN(2)/$D$65+0.04)*(VLOOKUP(($F$16-$F$15)-1,AC$100:AG127,4,FALSE)))*EXP(-(LN(2)/$D$65+0.1)*(VLOOKUP(($F$16-$F$15)-1,AC$100:AG127,5,FALSE)))*EXP(-(LN(2)/$D$65+0.04)*AF127)*EXP(-(LN(2)/$D$65+0.1)*AG127),IF(AD127=3,AJ$100*EXP(-(LN(2)/$D$65+0.04)*(VLOOKUP(($F$16-$F$15)-1,AC$100:AG127,4,FALSE)))*EXP(-(LN(2)/$D$65+0.1)*(VLOOKUP(($F$16-$F$15)-1,AC$100:AG127,5,FALSE)))*EXP(-(LN(2)/$D$65+0.04)*(VLOOKUP(($F$16-$F$15)*2-1,AC$100:AG127,4,FALSE)))*EXP(-(LN(2)/$D$65+0.1)*(VLOOKUP(($F$16-$F$15)*2-1,AC$100:AG127,5,FALSE)))*EXP(-(LN(2)/$D$65+0.04)*AF127)*EXP(-(LN(2)/$D$65+0.1)*AG127),"-"))),"-")</f>
        <v>-</v>
      </c>
      <c r="AK127" s="227">
        <f t="shared" si="49"/>
        <v>27</v>
      </c>
      <c r="AL127" s="226" t="str">
        <f t="shared" si="22"/>
        <v>-</v>
      </c>
      <c r="AM127" s="227" t="str">
        <f t="shared" si="50"/>
        <v>-</v>
      </c>
      <c r="AN127" s="227" t="str">
        <f t="shared" si="51"/>
        <v>-</v>
      </c>
      <c r="AO127" s="227" t="str">
        <f t="shared" si="23"/>
        <v>-</v>
      </c>
      <c r="AP127" s="273">
        <f t="shared" si="52"/>
        <v>0.1</v>
      </c>
      <c r="AQ127" s="271" t="str">
        <f>IFERROR(IF(AL126=1,AQ$100*EXP(-(LN(2)/$D$65+0.04)*AN126)*EXP(-(LN(2)/$D$65+0.1)*AO126),IF(AL126=2,AQ$100*EXP(-(LN(2)/$D$65+0.04)*(VLOOKUP(($F$16-$F$15)-1,AK$99:AO126,4,FALSE)))*EXP(-(LN(2)/$D$65+0.1)*(VLOOKUP(($F$16-$F$15)-1,AK$99:AO126,5,FALSE)))*EXP(-(LN(2)/$D$65+0.04)*AN126)*EXP(-(LN(2)/$D$65+0.1)*AO126),IF(AL126=3,AQ$100*EXP(-(LN(2)/$D$65+0.04)*(VLOOKUP(($F$16-$F$15)-1,AK$99:AO126,4,FALSE)))*EXP(-(LN(2)/$D$65+0.1)*(VLOOKUP(($F$16-$F$15)-1,AK$99:AO126,5,FALSE)))*EXP(-(LN(2)/$D$65+0.04)*(VLOOKUP(($F$16-$F$15)*2-1,AK$99:AO126,4,FALSE)))*EXP(-(LN(2)/$D$65+0.1)*(VLOOKUP(($F$16-$F$15)*2-1,AK$99:AO126,5,FALSE)))*EXP(-(LN(2)/$D$65+0.04)*AN126)*EXP(-(LN(2)/$D$65+0.1)*AO126),"-"))),"-")</f>
        <v>-</v>
      </c>
      <c r="AR127" s="271" t="str">
        <f>IFERROR(IF(AL127=1,AR$100*EXP(-(LN(2)/$D$65+0.04)*AN127)*EXP(-(LN(2)/$D$65+0.1)*AO127),IF(AL127=2,AR$100*EXP(-(LN(2)/$D$65+0.04)*(VLOOKUP(($F$16-$F$15)-1,AK$100:AO127,4,FALSE)))*EXP(-(LN(2)/$D$65+0.1)*(VLOOKUP(($F$16-$F$15)-1,AK$100:AO127,5,FALSE)))*EXP(-(LN(2)/$D$65+0.04)*AN127)*EXP(-(LN(2)/$D$65+0.1)*AO127),IF(AL127=3,AR$100*EXP(-(LN(2)/$D$65+0.04)*(VLOOKUP(($F$16-$F$15)-1,AK$100:AO127,4,FALSE)))*EXP(-(LN(2)/$D$65+0.1)*(VLOOKUP(($F$16-$F$15)-1,AK$100:AO127,5,FALSE)))*EXP(-(LN(2)/$D$65+0.04)*(VLOOKUP(($F$16-$F$15)*2-1,AK$100:AO127,4,FALSE)))*EXP(-(LN(2)/$D$65+0.1)*(VLOOKUP(($F$16-$F$15)*2-1,AK$100:AO127,5,FALSE)))*EXP(-(LN(2)/$D$65+0.04)*AN127)*EXP(-(LN(2)/$D$65+0.1)*AO127),"-"))),"-")</f>
        <v>-</v>
      </c>
      <c r="AS127" s="274">
        <f t="shared" si="24"/>
        <v>0</v>
      </c>
      <c r="AT127" s="274">
        <f t="shared" si="25"/>
        <v>0</v>
      </c>
      <c r="AU127" s="274">
        <f t="shared" si="26"/>
        <v>0</v>
      </c>
      <c r="AV127" s="190" t="str">
        <f>IF($B127&lt;$F$22,SUM($T$100:$T127),"")</f>
        <v/>
      </c>
      <c r="AW127" s="190" t="str">
        <f t="shared" si="55"/>
        <v>-</v>
      </c>
      <c r="AX127" s="190" t="str">
        <f t="shared" si="56"/>
        <v/>
      </c>
      <c r="AY127"/>
      <c r="AZ127" s="190" t="str">
        <f ca="1">IF(ISNUMBER(OFFSET(AV127,-$F$21,0)),SUM(OFFSET($T$100,$F$21,0):$T127),"")</f>
        <v/>
      </c>
      <c r="BA127" s="190" t="str">
        <f t="shared" ca="1" si="27"/>
        <v/>
      </c>
      <c r="BB127" s="190" t="str">
        <f t="shared" ca="1" si="70"/>
        <v/>
      </c>
      <c r="BC127" s="190"/>
      <c r="BD127" s="190" t="str">
        <f ca="1">IFERROR(IF(OR(ISNUMBER(I),ISNUMBER($F$14)),IF(AND($B127&gt;=($F$16-$F$15),$B127&lt;$F$22+($F$16-$F$15)),SUM(OFFSET($T$100,($F$16-$F$15),0):$T127),""),""),"")</f>
        <v/>
      </c>
      <c r="BE127" s="190" t="str">
        <f t="shared" ca="1" si="58"/>
        <v/>
      </c>
      <c r="BF127" s="190" t="str">
        <f t="shared" ca="1" si="59"/>
        <v/>
      </c>
      <c r="BG127"/>
      <c r="BH127" s="190" t="str">
        <f ca="1">IF(ISNUMBER(OFFSET(BD127,-$F$21,0)),SUM(OFFSET($T$100,($F$16-$F$15+$F$21),0):$T127),"")</f>
        <v/>
      </c>
      <c r="BI127" s="190" t="str">
        <f t="shared" ca="1" si="28"/>
        <v/>
      </c>
      <c r="BJ127" s="190" t="str">
        <f t="shared" ca="1" si="60"/>
        <v/>
      </c>
      <c r="BK127" s="190"/>
      <c r="BL127" s="190" t="str">
        <f ca="1">IFERROR(IF(OR(ISNUMBER(I),ISNUMBER($F$14)),IF(AND($B127&gt;=($F$17-$F$15),$B127&lt;$F$22+($F$17-$F$15)),SUM(OFFSET($T$100,($F$17-$F$15),0):$T127),""),""),"")</f>
        <v/>
      </c>
      <c r="BM127" s="190" t="str">
        <f t="shared" ca="1" si="29"/>
        <v/>
      </c>
      <c r="BN127" s="190" t="str">
        <f t="shared" ca="1" si="61"/>
        <v/>
      </c>
      <c r="BO127"/>
      <c r="BP127" s="190" t="str">
        <f ca="1">IF(ISNUMBER(OFFSET(BL127,-$F$21,0)),SUM(OFFSET($T$100,($F$17-$F$15+$F$21),0):$T127),"")</f>
        <v/>
      </c>
      <c r="BQ127" s="190" t="str">
        <f t="shared" ca="1" si="62"/>
        <v/>
      </c>
      <c r="BR127" s="190" t="str">
        <f t="shared" ca="1" si="63"/>
        <v/>
      </c>
      <c r="BS127" s="190"/>
      <c r="BT127"/>
      <c r="BU127"/>
      <c r="BV127"/>
      <c r="BY127" s="99"/>
      <c r="BZ127" s="99"/>
      <c r="CA127" s="280" t="str">
        <f t="shared" si="30"/>
        <v/>
      </c>
      <c r="CB127" s="71" t="str">
        <f t="shared" si="31"/>
        <v>-</v>
      </c>
      <c r="CC127" s="33"/>
      <c r="CD127" s="261" t="str">
        <f t="shared" si="33"/>
        <v/>
      </c>
      <c r="CE127" s="280" t="str">
        <f t="shared" si="34"/>
        <v/>
      </c>
      <c r="CF127" s="71" t="str">
        <f t="shared" ca="1" si="35"/>
        <v/>
      </c>
      <c r="CG127" s="33" t="str">
        <f t="shared" si="36"/>
        <v/>
      </c>
      <c r="CH127" s="261" t="str">
        <f t="shared" ca="1" si="37"/>
        <v/>
      </c>
      <c r="CI127" s="202"/>
      <c r="CJ127" s="99"/>
      <c r="CK127" s="99"/>
      <c r="CL127" s="99"/>
      <c r="CM127" s="99"/>
      <c r="CN127" s="99"/>
      <c r="CO127" s="99"/>
    </row>
    <row r="128" spans="2:93" ht="13.5" customHeight="1" x14ac:dyDescent="0.2">
      <c r="B128" s="262">
        <v>28</v>
      </c>
      <c r="C128" s="237" t="str">
        <f t="shared" si="1"/>
        <v/>
      </c>
      <c r="D128" s="237" t="str">
        <f t="shared" si="66"/>
        <v/>
      </c>
      <c r="E128" s="290" t="str">
        <f t="shared" si="38"/>
        <v/>
      </c>
      <c r="F128" s="264" t="str">
        <f t="shared" si="39"/>
        <v/>
      </c>
      <c r="G128" s="306" t="str">
        <f t="shared" si="40"/>
        <v/>
      </c>
      <c r="H128" s="240" t="str">
        <f t="shared" si="41"/>
        <v/>
      </c>
      <c r="I128" s="265" t="str">
        <f t="shared" si="2"/>
        <v/>
      </c>
      <c r="J128" s="265" t="str">
        <f t="shared" si="3"/>
        <v/>
      </c>
      <c r="K128" s="240" t="str">
        <f t="shared" si="4"/>
        <v/>
      </c>
      <c r="L128" s="265" t="str">
        <f t="shared" si="5"/>
        <v/>
      </c>
      <c r="M128" s="265" t="str">
        <f t="shared" si="6"/>
        <v/>
      </c>
      <c r="N128" s="240" t="str">
        <f t="shared" si="7"/>
        <v>-</v>
      </c>
      <c r="O128" s="265" t="str">
        <f t="shared" si="8"/>
        <v>-</v>
      </c>
      <c r="P128" s="265" t="str">
        <f t="shared" si="9"/>
        <v>-</v>
      </c>
      <c r="Q128" s="266" t="str">
        <f t="shared" si="10"/>
        <v>-</v>
      </c>
      <c r="R128" s="267" t="str">
        <f t="shared" si="11"/>
        <v>-</v>
      </c>
      <c r="S128" s="268" t="str">
        <f t="shared" si="12"/>
        <v>-</v>
      </c>
      <c r="T128" s="269" t="str">
        <f t="shared" si="13"/>
        <v/>
      </c>
      <c r="U128" s="221">
        <f t="shared" si="14"/>
        <v>28</v>
      </c>
      <c r="V128" s="220" t="str">
        <f t="shared" si="42"/>
        <v>-</v>
      </c>
      <c r="W128" s="221" t="str">
        <f t="shared" si="43"/>
        <v>-</v>
      </c>
      <c r="X128" s="221" t="str">
        <f t="shared" si="15"/>
        <v>-</v>
      </c>
      <c r="Y128" s="221" t="str">
        <f t="shared" si="16"/>
        <v>-</v>
      </c>
      <c r="Z128" s="270">
        <f t="shared" si="44"/>
        <v>0.1</v>
      </c>
      <c r="AA128" s="271" t="str">
        <f>IFERROR(IF(V127=1,AA$100*EXP(-(LN(2)/$D$65+0.04)*X127)*EXP(-(LN(2)/$D$65+0.1)*Y127),IF(V127=2,AA$100*EXP(-(LN(2)/$D$65+0.04)*(VLOOKUP(($F$16-$F$15)-1,U$99:Y127,4,FALSE)))*EXP(-(LN(2)/$D$65+0.1)*(VLOOKUP(($F$16-$F$15)-1,U$99:Y127,5,FALSE)))*EXP(-(LN(2)/$D$65+0.04)*X127)*EXP(-(LN(2)/$D$65+0.1)*Y127),IF(V127=3,AA$100*EXP(-(LN(2)/$D$65+0.04)*(VLOOKUP(($F$16-$F$15)-1,U$99:Y127,4,FALSE)))*EXP(-(LN(2)/$D$65+0.1)*(VLOOKUP(($F$16-$F$15)-1,U$99:Y127,5,FALSE)))*EXP(-(LN(2)/$D$65+0.04)*(VLOOKUP(($F$16-$F$15)*2-1,U$99:Y127,4,FALSE)))*EXP(-(LN(2)/$D$65+0.1)*(VLOOKUP(($F$16-$F$15)*2-1,U$99:Y127,5,FALSE)))*EXP(-(LN(2)/$D$65+0.04)*X127)*EXP(-(LN(2)/$D$65+0.1)*Y127),"-"))),"-")</f>
        <v>-</v>
      </c>
      <c r="AB128" s="271" t="str">
        <f>IFERROR(IF(V128=1,AB$100*EXP(-(LN(2)/$D$65+0.04)*X128)*EXP(-(LN(2)/$D$65+0.1)*Y128),IF(V128=2,AB$100*EXP(-(LN(2)/$D$65+0.04)*(VLOOKUP(($F$16-$F$15)-1,U$100:Y128,4,FALSE)))*EXP(-(LN(2)/$D$65+0.1)*(VLOOKUP(($F$16-$F$15)-1,U$100:Y128,5,FALSE)))*EXP(-(LN(2)/$D$65+0.04)*X128)*EXP(-(LN(2)/$D$65+0.1)*Y128),IF(V128=3,AB$100*EXP(-(LN(2)/$D$65+0.04)*(VLOOKUP(($F$16-$F$15)-1,U$100:Y128,4,FALSE)))*EXP(-(LN(2)/$D$65+0.1)*(VLOOKUP(($F$16-$F$15)-1,U$100:Y128,5,FALSE)))*EXP(-(LN(2)/$D$65+0.04)*(VLOOKUP(($F$16-$F$15)*2-1,U$100:Y128,4,FALSE)))*EXP(-(LN(2)/$D$65+0.1)*(VLOOKUP(($F$16-$F$15)*2-1,U$100:Y128,5,FALSE)))*EXP(-(LN(2)/$D$65+0.04)*X128)*EXP(-(LN(2)/$D$65+0.1)*Y128),"-"))),"-")</f>
        <v>-</v>
      </c>
      <c r="AC128" s="224">
        <f t="shared" si="45"/>
        <v>28</v>
      </c>
      <c r="AD128" s="223" t="str">
        <f t="shared" si="18"/>
        <v>-</v>
      </c>
      <c r="AE128" s="224" t="str">
        <f t="shared" si="46"/>
        <v>-</v>
      </c>
      <c r="AF128" s="224" t="str">
        <f t="shared" si="19"/>
        <v>-</v>
      </c>
      <c r="AG128" s="224" t="str">
        <f t="shared" si="20"/>
        <v>-</v>
      </c>
      <c r="AH128" s="272">
        <f t="shared" si="47"/>
        <v>0.1</v>
      </c>
      <c r="AI128" s="271" t="str">
        <f>IFERROR(IF(AD127=1,AI$100*EXP(-(LN(2)/$D$65+0.04)*AF127)*EXP(-(LN(2)/$D$65+0.1)*AG127),IF(AD127=2,AI$100*EXP(-(LN(2)/$D$65+0.04)*(VLOOKUP(($F$16-$F$15)-1,AC$99:AG127,4,FALSE)))*EXP(-(LN(2)/$D$65+0.1)*(VLOOKUP(($F$16-$F$15)-1,AC$99:AG127,5,FALSE)))*EXP(-(LN(2)/$D$65+0.04)*AF127)*EXP(-(LN(2)/$D$65+0.1)*AG127),IF(AD127=3,AI$100*EXP(-(LN(2)/$D$65+0.04)*(VLOOKUP(($F$16-$F$15)-1,AC$99:AG127,4,FALSE)))*EXP(-(LN(2)/$D$65+0.1)*(VLOOKUP(($F$16-$F$15)-1,AC$99:AG127,5,FALSE)))*EXP(-(LN(2)/$D$65+0.04)*(VLOOKUP(($F$16-$F$15)*2-1,AC$99:AG127,4,FALSE)))*EXP(-(LN(2)/$D$65+0.1)*(VLOOKUP(($F$16-$F$15)*2-1,AC$99:AG127,5,FALSE)))*EXP(-(LN(2)/$D$65+0.04)*AF127)*EXP(-(LN(2)/$D$65+0.1)*AG127),"-"))),"-")</f>
        <v>-</v>
      </c>
      <c r="AJ128" s="271" t="str">
        <f>IFERROR(IF(AD128=1,AJ$100*EXP(-(LN(2)/$D$65+0.04)*AF128)*EXP(-(LN(2)/$D$65+0.1)*AG128),IF(AD128=2,AJ$100*EXP(-(LN(2)/$D$65+0.04)*(VLOOKUP(($F$16-$F$15)-1,AC$100:AG128,4,FALSE)))*EXP(-(LN(2)/$D$65+0.1)*(VLOOKUP(($F$16-$F$15)-1,AC$100:AG128,5,FALSE)))*EXP(-(LN(2)/$D$65+0.04)*AF128)*EXP(-(LN(2)/$D$65+0.1)*AG128),IF(AD128=3,AJ$100*EXP(-(LN(2)/$D$65+0.04)*(VLOOKUP(($F$16-$F$15)-1,AC$100:AG128,4,FALSE)))*EXP(-(LN(2)/$D$65+0.1)*(VLOOKUP(($F$16-$F$15)-1,AC$100:AG128,5,FALSE)))*EXP(-(LN(2)/$D$65+0.04)*(VLOOKUP(($F$16-$F$15)*2-1,AC$100:AG128,4,FALSE)))*EXP(-(LN(2)/$D$65+0.1)*(VLOOKUP(($F$16-$F$15)*2-1,AC$100:AG128,5,FALSE)))*EXP(-(LN(2)/$D$65+0.04)*AF128)*EXP(-(LN(2)/$D$65+0.1)*AG128),"-"))),"-")</f>
        <v>-</v>
      </c>
      <c r="AK128" s="227">
        <f t="shared" si="49"/>
        <v>28</v>
      </c>
      <c r="AL128" s="226" t="str">
        <f t="shared" si="22"/>
        <v>-</v>
      </c>
      <c r="AM128" s="227" t="str">
        <f t="shared" si="50"/>
        <v>-</v>
      </c>
      <c r="AN128" s="227" t="str">
        <f t="shared" si="51"/>
        <v>-</v>
      </c>
      <c r="AO128" s="227" t="str">
        <f t="shared" si="23"/>
        <v>-</v>
      </c>
      <c r="AP128" s="273">
        <f t="shared" si="52"/>
        <v>0.1</v>
      </c>
      <c r="AQ128" s="271" t="str">
        <f>IFERROR(IF(AL127=1,AQ$100*EXP(-(LN(2)/$D$65+0.04)*AN127)*EXP(-(LN(2)/$D$65+0.1)*AO127),IF(AL127=2,AQ$100*EXP(-(LN(2)/$D$65+0.04)*(VLOOKUP(($F$16-$F$15)-1,AK$99:AO127,4,FALSE)))*EXP(-(LN(2)/$D$65+0.1)*(VLOOKUP(($F$16-$F$15)-1,AK$99:AO127,5,FALSE)))*EXP(-(LN(2)/$D$65+0.04)*AN127)*EXP(-(LN(2)/$D$65+0.1)*AO127),IF(AL127=3,AQ$100*EXP(-(LN(2)/$D$65+0.04)*(VLOOKUP(($F$16-$F$15)-1,AK$99:AO127,4,FALSE)))*EXP(-(LN(2)/$D$65+0.1)*(VLOOKUP(($F$16-$F$15)-1,AK$99:AO127,5,FALSE)))*EXP(-(LN(2)/$D$65+0.04)*(VLOOKUP(($F$16-$F$15)*2-1,AK$99:AO127,4,FALSE)))*EXP(-(LN(2)/$D$65+0.1)*(VLOOKUP(($F$16-$F$15)*2-1,AK$99:AO127,5,FALSE)))*EXP(-(LN(2)/$D$65+0.04)*AN127)*EXP(-(LN(2)/$D$65+0.1)*AO127),"-"))),"-")</f>
        <v>-</v>
      </c>
      <c r="AR128" s="271" t="str">
        <f>IFERROR(IF(AL128=1,AR$100*EXP(-(LN(2)/$D$65+0.04)*AN128)*EXP(-(LN(2)/$D$65+0.1)*AO128),IF(AL128=2,AR$100*EXP(-(LN(2)/$D$65+0.04)*(VLOOKUP(($F$16-$F$15)-1,AK$100:AO128,4,FALSE)))*EXP(-(LN(2)/$D$65+0.1)*(VLOOKUP(($F$16-$F$15)-1,AK$100:AO128,5,FALSE)))*EXP(-(LN(2)/$D$65+0.04)*AN128)*EXP(-(LN(2)/$D$65+0.1)*AO128),IF(AL128=3,AR$100*EXP(-(LN(2)/$D$65+0.04)*(VLOOKUP(($F$16-$F$15)-1,AK$100:AO128,4,FALSE)))*EXP(-(LN(2)/$D$65+0.1)*(VLOOKUP(($F$16-$F$15)-1,AK$100:AO128,5,FALSE)))*EXP(-(LN(2)/$D$65+0.04)*(VLOOKUP(($F$16-$F$15)*2-1,AK$100:AO128,4,FALSE)))*EXP(-(LN(2)/$D$65+0.1)*(VLOOKUP(($F$16-$F$15)*2-1,AK$100:AO128,5,FALSE)))*EXP(-(LN(2)/$D$65+0.04)*AN128)*EXP(-(LN(2)/$D$65+0.1)*AO128),"-"))),"-")</f>
        <v>-</v>
      </c>
      <c r="AS128" s="274">
        <f t="shared" si="24"/>
        <v>0</v>
      </c>
      <c r="AT128" s="274">
        <f t="shared" si="25"/>
        <v>0</v>
      </c>
      <c r="AU128" s="274">
        <f t="shared" si="26"/>
        <v>0</v>
      </c>
      <c r="AV128" s="190" t="str">
        <f>IF($B128&lt;$F$22,SUM($T$100:$T128),"")</f>
        <v/>
      </c>
      <c r="AW128" s="190" t="str">
        <f t="shared" si="55"/>
        <v>-</v>
      </c>
      <c r="AX128" s="190" t="str">
        <f t="shared" si="56"/>
        <v/>
      </c>
      <c r="AY128"/>
      <c r="AZ128" s="190" t="str">
        <f ca="1">IF(ISNUMBER(OFFSET(AV128,-$F$21,0)),SUM(OFFSET($T$100,$F$21,0):$T128),"")</f>
        <v/>
      </c>
      <c r="BA128" s="190" t="str">
        <f t="shared" ca="1" si="27"/>
        <v/>
      </c>
      <c r="BB128" s="190" t="str">
        <f t="shared" ca="1" si="70"/>
        <v/>
      </c>
      <c r="BC128" s="190"/>
      <c r="BD128" s="190" t="str">
        <f ca="1">IFERROR(IF(OR(ISNUMBER(I),ISNUMBER($F$14)),IF(AND($B128&gt;=($F$16-$F$15),$B128&lt;$F$22+($F$16-$F$15)),SUM(OFFSET($T$100,($F$16-$F$15),0):$T128),""),""),"")</f>
        <v/>
      </c>
      <c r="BE128" s="190" t="str">
        <f t="shared" ca="1" si="58"/>
        <v/>
      </c>
      <c r="BF128" s="190" t="str">
        <f t="shared" ca="1" si="59"/>
        <v/>
      </c>
      <c r="BG128"/>
      <c r="BH128" s="190" t="str">
        <f ca="1">IF(ISNUMBER(OFFSET(BD128,-$F$21,0)),SUM(OFFSET($T$100,($F$16-$F$15+$F$21),0):$T128),"")</f>
        <v/>
      </c>
      <c r="BI128" s="190" t="str">
        <f t="shared" ca="1" si="28"/>
        <v/>
      </c>
      <c r="BJ128" s="190" t="str">
        <f t="shared" ca="1" si="60"/>
        <v/>
      </c>
      <c r="BK128" s="190"/>
      <c r="BL128" s="190" t="str">
        <f ca="1">IFERROR(IF(OR(ISNUMBER(I),ISNUMBER($F$14)),IF(AND($B128&gt;=($F$17-$F$15),$B128&lt;$F$22+($F$17-$F$15)),SUM(OFFSET($T$100,($F$17-$F$15),0):$T128),""),""),"")</f>
        <v/>
      </c>
      <c r="BM128" s="190" t="str">
        <f t="shared" ca="1" si="29"/>
        <v/>
      </c>
      <c r="BN128" s="190" t="str">
        <f t="shared" ca="1" si="61"/>
        <v/>
      </c>
      <c r="BO128"/>
      <c r="BP128" s="190" t="str">
        <f ca="1">IF(ISNUMBER(OFFSET(BL128,-$F$21,0)),SUM(OFFSET($T$100,($F$17-$F$15+$F$21),0):$T128),"")</f>
        <v/>
      </c>
      <c r="BQ128" s="190" t="str">
        <f t="shared" ca="1" si="62"/>
        <v/>
      </c>
      <c r="BR128" s="190" t="str">
        <f t="shared" ca="1" si="63"/>
        <v/>
      </c>
      <c r="BS128" s="190"/>
      <c r="BT128"/>
      <c r="BU128"/>
      <c r="BV128"/>
      <c r="BY128" s="99"/>
      <c r="BZ128" s="99"/>
      <c r="CA128" s="280" t="str">
        <f t="shared" si="30"/>
        <v/>
      </c>
      <c r="CB128" s="71" t="str">
        <f t="shared" si="31"/>
        <v>-</v>
      </c>
      <c r="CC128" s="33"/>
      <c r="CD128" s="261" t="str">
        <f t="shared" si="33"/>
        <v/>
      </c>
      <c r="CE128" s="280" t="str">
        <f t="shared" si="34"/>
        <v/>
      </c>
      <c r="CF128" s="71" t="str">
        <f t="shared" ca="1" si="35"/>
        <v/>
      </c>
      <c r="CG128" s="33" t="str">
        <f t="shared" si="36"/>
        <v/>
      </c>
      <c r="CH128" s="261" t="str">
        <f t="shared" ca="1" si="37"/>
        <v/>
      </c>
      <c r="CI128" s="202"/>
      <c r="CJ128" s="99"/>
      <c r="CK128" s="99"/>
      <c r="CL128" s="99"/>
      <c r="CM128" s="99"/>
      <c r="CN128" s="99"/>
      <c r="CO128" s="99"/>
    </row>
    <row r="129" spans="2:93" ht="13.5" customHeight="1" x14ac:dyDescent="0.2">
      <c r="B129" s="262">
        <v>29</v>
      </c>
      <c r="C129" s="237" t="str">
        <f t="shared" si="1"/>
        <v/>
      </c>
      <c r="D129" s="237" t="str">
        <f t="shared" si="66"/>
        <v/>
      </c>
      <c r="E129" s="290" t="str">
        <f t="shared" si="38"/>
        <v/>
      </c>
      <c r="F129" s="264" t="str">
        <f t="shared" si="39"/>
        <v/>
      </c>
      <c r="G129" s="291" t="str">
        <f t="shared" si="40"/>
        <v/>
      </c>
      <c r="H129" s="240" t="str">
        <f t="shared" si="41"/>
        <v/>
      </c>
      <c r="I129" s="265" t="str">
        <f t="shared" si="2"/>
        <v/>
      </c>
      <c r="J129" s="265" t="str">
        <f t="shared" si="3"/>
        <v/>
      </c>
      <c r="K129" s="240" t="str">
        <f t="shared" si="4"/>
        <v/>
      </c>
      <c r="L129" s="265" t="str">
        <f t="shared" si="5"/>
        <v/>
      </c>
      <c r="M129" s="265" t="str">
        <f t="shared" si="6"/>
        <v/>
      </c>
      <c r="N129" s="240" t="str">
        <f t="shared" si="7"/>
        <v>-</v>
      </c>
      <c r="O129" s="265" t="str">
        <f t="shared" si="8"/>
        <v>-</v>
      </c>
      <c r="P129" s="265" t="str">
        <f t="shared" si="9"/>
        <v>-</v>
      </c>
      <c r="Q129" s="266" t="str">
        <f t="shared" si="10"/>
        <v>-</v>
      </c>
      <c r="R129" s="267" t="str">
        <f t="shared" si="11"/>
        <v>-</v>
      </c>
      <c r="S129" s="268" t="str">
        <f t="shared" si="12"/>
        <v>-</v>
      </c>
      <c r="T129" s="269" t="str">
        <f t="shared" si="13"/>
        <v/>
      </c>
      <c r="U129" s="221">
        <f t="shared" si="14"/>
        <v>29</v>
      </c>
      <c r="V129" s="220" t="str">
        <f t="shared" si="42"/>
        <v>-</v>
      </c>
      <c r="W129" s="221" t="str">
        <f t="shared" si="43"/>
        <v>-</v>
      </c>
      <c r="X129" s="221" t="str">
        <f t="shared" si="15"/>
        <v>-</v>
      </c>
      <c r="Y129" s="221" t="str">
        <f t="shared" si="16"/>
        <v>-</v>
      </c>
      <c r="Z129" s="270">
        <f t="shared" si="44"/>
        <v>0.1</v>
      </c>
      <c r="AA129" s="271" t="str">
        <f>IFERROR(IF(V128=1,AA$100*EXP(-(LN(2)/$D$65+0.04)*X128)*EXP(-(LN(2)/$D$65+0.1)*Y128),IF(V128=2,AA$100*EXP(-(LN(2)/$D$65+0.04)*(VLOOKUP(($F$16-$F$15)-1,U$99:Y128,4,FALSE)))*EXP(-(LN(2)/$D$65+0.1)*(VLOOKUP(($F$16-$F$15)-1,U$99:Y128,5,FALSE)))*EXP(-(LN(2)/$D$65+0.04)*X128)*EXP(-(LN(2)/$D$65+0.1)*Y128),IF(V128=3,AA$100*EXP(-(LN(2)/$D$65+0.04)*(VLOOKUP(($F$16-$F$15)-1,U$99:Y128,4,FALSE)))*EXP(-(LN(2)/$D$65+0.1)*(VLOOKUP(($F$16-$F$15)-1,U$99:Y128,5,FALSE)))*EXP(-(LN(2)/$D$65+0.04)*(VLOOKUP(($F$16-$F$15)*2-1,U$99:Y128,4,FALSE)))*EXP(-(LN(2)/$D$65+0.1)*(VLOOKUP(($F$16-$F$15)*2-1,U$99:Y128,5,FALSE)))*EXP(-(LN(2)/$D$65+0.04)*X128)*EXP(-(LN(2)/$D$65+0.1)*Y128),"-"))),"-")</f>
        <v>-</v>
      </c>
      <c r="AB129" s="271" t="str">
        <f>IFERROR(IF(V129=1,AB$100*EXP(-(LN(2)/$D$65+0.04)*X129)*EXP(-(LN(2)/$D$65+0.1)*Y129),IF(V129=2,AB$100*EXP(-(LN(2)/$D$65+0.04)*(VLOOKUP(($F$16-$F$15)-1,U$100:Y129,4,FALSE)))*EXP(-(LN(2)/$D$65+0.1)*(VLOOKUP(($F$16-$F$15)-1,U$100:Y129,5,FALSE)))*EXP(-(LN(2)/$D$65+0.04)*X129)*EXP(-(LN(2)/$D$65+0.1)*Y129),IF(V129=3,AB$100*EXP(-(LN(2)/$D$65+0.04)*(VLOOKUP(($F$16-$F$15)-1,U$100:Y129,4,FALSE)))*EXP(-(LN(2)/$D$65+0.1)*(VLOOKUP(($F$16-$F$15)-1,U$100:Y129,5,FALSE)))*EXP(-(LN(2)/$D$65+0.04)*(VLOOKUP(($F$16-$F$15)*2-1,U$100:Y129,4,FALSE)))*EXP(-(LN(2)/$D$65+0.1)*(VLOOKUP(($F$16-$F$15)*2-1,U$100:Y129,5,FALSE)))*EXP(-(LN(2)/$D$65+0.04)*X129)*EXP(-(LN(2)/$D$65+0.1)*Y129),"-"))),"-")</f>
        <v>-</v>
      </c>
      <c r="AC129" s="224">
        <f t="shared" si="45"/>
        <v>29</v>
      </c>
      <c r="AD129" s="223" t="str">
        <f t="shared" si="18"/>
        <v>-</v>
      </c>
      <c r="AE129" s="224" t="str">
        <f t="shared" si="46"/>
        <v>-</v>
      </c>
      <c r="AF129" s="224" t="str">
        <f t="shared" si="19"/>
        <v>-</v>
      </c>
      <c r="AG129" s="224" t="str">
        <f t="shared" si="20"/>
        <v>-</v>
      </c>
      <c r="AH129" s="272">
        <f t="shared" si="47"/>
        <v>0.1</v>
      </c>
      <c r="AI129" s="271" t="str">
        <f>IFERROR(IF(AD128=1,AI$100*EXP(-(LN(2)/$D$65+0.04)*AF128)*EXP(-(LN(2)/$D$65+0.1)*AG128),IF(AD128=2,AI$100*EXP(-(LN(2)/$D$65+0.04)*(VLOOKUP(($F$16-$F$15)-1,AC$99:AG128,4,FALSE)))*EXP(-(LN(2)/$D$65+0.1)*(VLOOKUP(($F$16-$F$15)-1,AC$99:AG128,5,FALSE)))*EXP(-(LN(2)/$D$65+0.04)*AF128)*EXP(-(LN(2)/$D$65+0.1)*AG128),IF(AD128=3,AI$100*EXP(-(LN(2)/$D$65+0.04)*(VLOOKUP(($F$16-$F$15)-1,AC$99:AG128,4,FALSE)))*EXP(-(LN(2)/$D$65+0.1)*(VLOOKUP(($F$16-$F$15)-1,AC$99:AG128,5,FALSE)))*EXP(-(LN(2)/$D$65+0.04)*(VLOOKUP(($F$16-$F$15)*2-1,AC$99:AG128,4,FALSE)))*EXP(-(LN(2)/$D$65+0.1)*(VLOOKUP(($F$16-$F$15)*2-1,AC$99:AG128,5,FALSE)))*EXP(-(LN(2)/$D$65+0.04)*AF128)*EXP(-(LN(2)/$D$65+0.1)*AG128),"-"))),"-")</f>
        <v>-</v>
      </c>
      <c r="AJ129" s="271" t="str">
        <f>IFERROR(IF(AD129=1,AJ$100*EXP(-(LN(2)/$D$65+0.04)*AF129)*EXP(-(LN(2)/$D$65+0.1)*AG129),IF(AD129=2,AJ$100*EXP(-(LN(2)/$D$65+0.04)*(VLOOKUP(($F$16-$F$15)-1,AC$100:AG129,4,FALSE)))*EXP(-(LN(2)/$D$65+0.1)*(VLOOKUP(($F$16-$F$15)-1,AC$100:AG129,5,FALSE)))*EXP(-(LN(2)/$D$65+0.04)*AF129)*EXP(-(LN(2)/$D$65+0.1)*AG129),IF(AD129=3,AJ$100*EXP(-(LN(2)/$D$65+0.04)*(VLOOKUP(($F$16-$F$15)-1,AC$100:AG129,4,FALSE)))*EXP(-(LN(2)/$D$65+0.1)*(VLOOKUP(($F$16-$F$15)-1,AC$100:AG129,5,FALSE)))*EXP(-(LN(2)/$D$65+0.04)*(VLOOKUP(($F$16-$F$15)*2-1,AC$100:AG129,4,FALSE)))*EXP(-(LN(2)/$D$65+0.1)*(VLOOKUP(($F$16-$F$15)*2-1,AC$100:AG129,5,FALSE)))*EXP(-(LN(2)/$D$65+0.04)*AF129)*EXP(-(LN(2)/$D$65+0.1)*AG129),"-"))),"-")</f>
        <v>-</v>
      </c>
      <c r="AK129" s="227">
        <f t="shared" si="49"/>
        <v>29</v>
      </c>
      <c r="AL129" s="226" t="str">
        <f t="shared" si="22"/>
        <v>-</v>
      </c>
      <c r="AM129" s="227" t="str">
        <f t="shared" si="50"/>
        <v>-</v>
      </c>
      <c r="AN129" s="227" t="str">
        <f t="shared" si="51"/>
        <v>-</v>
      </c>
      <c r="AO129" s="227" t="str">
        <f t="shared" si="23"/>
        <v>-</v>
      </c>
      <c r="AP129" s="273">
        <f t="shared" si="52"/>
        <v>0.1</v>
      </c>
      <c r="AQ129" s="271" t="str">
        <f>IFERROR(IF(AL128=1,AQ$100*EXP(-(LN(2)/$D$65+0.04)*AN128)*EXP(-(LN(2)/$D$65+0.1)*AO128),IF(AL128=2,AQ$100*EXP(-(LN(2)/$D$65+0.04)*(VLOOKUP(($F$16-$F$15)-1,AK$99:AO128,4,FALSE)))*EXP(-(LN(2)/$D$65+0.1)*(VLOOKUP(($F$16-$F$15)-1,AK$99:AO128,5,FALSE)))*EXP(-(LN(2)/$D$65+0.04)*AN128)*EXP(-(LN(2)/$D$65+0.1)*AO128),IF(AL128=3,AQ$100*EXP(-(LN(2)/$D$65+0.04)*(VLOOKUP(($F$16-$F$15)-1,AK$99:AO128,4,FALSE)))*EXP(-(LN(2)/$D$65+0.1)*(VLOOKUP(($F$16-$F$15)-1,AK$99:AO128,5,FALSE)))*EXP(-(LN(2)/$D$65+0.04)*(VLOOKUP(($F$16-$F$15)*2-1,AK$99:AO128,4,FALSE)))*EXP(-(LN(2)/$D$65+0.1)*(VLOOKUP(($F$16-$F$15)*2-1,AK$99:AO128,5,FALSE)))*EXP(-(LN(2)/$D$65+0.04)*AN128)*EXP(-(LN(2)/$D$65+0.1)*AO128),"-"))),"-")</f>
        <v>-</v>
      </c>
      <c r="AR129" s="271" t="str">
        <f>IFERROR(IF(AL129=1,AR$100*EXP(-(LN(2)/$D$65+0.04)*AN129)*EXP(-(LN(2)/$D$65+0.1)*AO129),IF(AL129=2,AR$100*EXP(-(LN(2)/$D$65+0.04)*(VLOOKUP(($F$16-$F$15)-1,AK$100:AO129,4,FALSE)))*EXP(-(LN(2)/$D$65+0.1)*(VLOOKUP(($F$16-$F$15)-1,AK$100:AO129,5,FALSE)))*EXP(-(LN(2)/$D$65+0.04)*AN129)*EXP(-(LN(2)/$D$65+0.1)*AO129),IF(AL129=3,AR$100*EXP(-(LN(2)/$D$65+0.04)*(VLOOKUP(($F$16-$F$15)-1,AK$100:AO129,4,FALSE)))*EXP(-(LN(2)/$D$65+0.1)*(VLOOKUP(($F$16-$F$15)-1,AK$100:AO129,5,FALSE)))*EXP(-(LN(2)/$D$65+0.04)*(VLOOKUP(($F$16-$F$15)*2-1,AK$100:AO129,4,FALSE)))*EXP(-(LN(2)/$D$65+0.1)*(VLOOKUP(($F$16-$F$15)*2-1,AK$100:AO129,5,FALSE)))*EXP(-(LN(2)/$D$65+0.04)*AN129)*EXP(-(LN(2)/$D$65+0.1)*AO129),"-"))),"-")</f>
        <v>-</v>
      </c>
      <c r="AS129" s="274">
        <f t="shared" si="24"/>
        <v>0</v>
      </c>
      <c r="AT129" s="274">
        <f t="shared" si="25"/>
        <v>0</v>
      </c>
      <c r="AU129" s="274">
        <f t="shared" si="26"/>
        <v>0</v>
      </c>
      <c r="AV129" s="190" t="str">
        <f>IF($B129&lt;$F$22,SUM($T$100:$T129),"")</f>
        <v/>
      </c>
      <c r="AW129" s="190" t="str">
        <f t="shared" si="55"/>
        <v>-</v>
      </c>
      <c r="AX129" s="190" t="str">
        <f t="shared" si="56"/>
        <v/>
      </c>
      <c r="AY129"/>
      <c r="AZ129" s="190" t="str">
        <f ca="1">IF(ISNUMBER(OFFSET(AV129,-$F$21,0)),SUM(OFFSET($T$100,$F$21,0):$T129),"")</f>
        <v/>
      </c>
      <c r="BA129" s="190" t="str">
        <f t="shared" ca="1" si="27"/>
        <v/>
      </c>
      <c r="BB129" s="190" t="str">
        <f t="shared" ca="1" si="70"/>
        <v/>
      </c>
      <c r="BC129" s="190"/>
      <c r="BD129" s="190" t="str">
        <f ca="1">IFERROR(IF(OR(ISNUMBER(I),ISNUMBER($F$14)),IF(AND($B129&gt;=($F$16-$F$15),$B129&lt;$F$22+($F$16-$F$15)),SUM(OFFSET($T$100,($F$16-$F$15),0):$T129),""),""),"")</f>
        <v/>
      </c>
      <c r="BE129" s="190" t="str">
        <f t="shared" ca="1" si="58"/>
        <v/>
      </c>
      <c r="BF129" s="190" t="str">
        <f t="shared" ca="1" si="59"/>
        <v/>
      </c>
      <c r="BG129"/>
      <c r="BH129" s="190" t="str">
        <f ca="1">IF(ISNUMBER(OFFSET(BD129,-$F$21,0)),SUM(OFFSET($T$100,($F$16-$F$15+$F$21),0):$T129),"")</f>
        <v/>
      </c>
      <c r="BI129" s="190" t="str">
        <f t="shared" ca="1" si="28"/>
        <v/>
      </c>
      <c r="BJ129" s="190" t="str">
        <f t="shared" ca="1" si="60"/>
        <v/>
      </c>
      <c r="BK129" s="190"/>
      <c r="BL129" s="190" t="str">
        <f ca="1">IFERROR(IF(OR(ISNUMBER(I),ISNUMBER($F$14)),IF(AND($B129&gt;=($F$17-$F$15),$B129&lt;$F$22+($F$17-$F$15)),SUM(OFFSET($T$100,($F$17-$F$15),0):$T129),""),""),"")</f>
        <v/>
      </c>
      <c r="BM129" s="190" t="str">
        <f t="shared" ca="1" si="29"/>
        <v/>
      </c>
      <c r="BN129" s="190" t="str">
        <f t="shared" ca="1" si="61"/>
        <v/>
      </c>
      <c r="BO129"/>
      <c r="BP129" s="190" t="str">
        <f ca="1">IF(ISNUMBER(OFFSET(BL129,-$F$21,0)),SUM(OFFSET($T$100,($F$17-$F$15+$F$21),0):$T129),"")</f>
        <v/>
      </c>
      <c r="BQ129" s="190" t="str">
        <f t="shared" ca="1" si="62"/>
        <v/>
      </c>
      <c r="BR129" s="190" t="str">
        <f t="shared" ca="1" si="63"/>
        <v/>
      </c>
      <c r="BS129" s="190"/>
      <c r="BT129"/>
      <c r="BU129"/>
      <c r="BV129"/>
      <c r="BY129" s="99"/>
      <c r="BZ129" s="99"/>
      <c r="CA129" s="280" t="str">
        <f t="shared" si="30"/>
        <v/>
      </c>
      <c r="CB129" s="71" t="str">
        <f t="shared" si="31"/>
        <v>-</v>
      </c>
      <c r="CC129" s="33"/>
      <c r="CD129" s="261" t="str">
        <f t="shared" si="33"/>
        <v/>
      </c>
      <c r="CE129" s="280" t="str">
        <f t="shared" si="34"/>
        <v/>
      </c>
      <c r="CF129" s="71" t="str">
        <f t="shared" ca="1" si="35"/>
        <v/>
      </c>
      <c r="CG129" s="33" t="str">
        <f t="shared" si="36"/>
        <v/>
      </c>
      <c r="CH129" s="261" t="str">
        <f t="shared" ca="1" si="37"/>
        <v/>
      </c>
      <c r="CI129" s="202"/>
      <c r="CJ129" s="99"/>
      <c r="CK129" s="99"/>
      <c r="CL129" s="99"/>
      <c r="CM129" s="99"/>
      <c r="CN129" s="99"/>
      <c r="CO129" s="99"/>
    </row>
    <row r="130" spans="2:93" ht="13.5" customHeight="1" x14ac:dyDescent="0.2">
      <c r="B130" s="262">
        <v>30</v>
      </c>
      <c r="C130" s="237" t="str">
        <f t="shared" si="1"/>
        <v/>
      </c>
      <c r="D130" s="237" t="str">
        <f t="shared" si="66"/>
        <v/>
      </c>
      <c r="E130" s="290" t="str">
        <f t="shared" si="38"/>
        <v/>
      </c>
      <c r="F130" s="264" t="str">
        <f t="shared" si="39"/>
        <v/>
      </c>
      <c r="G130" s="291" t="str">
        <f t="shared" si="40"/>
        <v/>
      </c>
      <c r="H130" s="240" t="str">
        <f t="shared" si="41"/>
        <v/>
      </c>
      <c r="I130" s="265" t="str">
        <f t="shared" si="2"/>
        <v/>
      </c>
      <c r="J130" s="265" t="str">
        <f t="shared" si="3"/>
        <v/>
      </c>
      <c r="K130" s="240" t="str">
        <f t="shared" si="4"/>
        <v/>
      </c>
      <c r="L130" s="265" t="str">
        <f t="shared" si="5"/>
        <v/>
      </c>
      <c r="M130" s="265" t="str">
        <f t="shared" si="6"/>
        <v/>
      </c>
      <c r="N130" s="240" t="str">
        <f t="shared" si="7"/>
        <v>-</v>
      </c>
      <c r="O130" s="265" t="str">
        <f t="shared" si="8"/>
        <v>-</v>
      </c>
      <c r="P130" s="265" t="str">
        <f t="shared" si="9"/>
        <v>-</v>
      </c>
      <c r="Q130" s="266" t="str">
        <f t="shared" si="10"/>
        <v>-</v>
      </c>
      <c r="R130" s="267" t="str">
        <f t="shared" si="11"/>
        <v>-</v>
      </c>
      <c r="S130" s="268" t="str">
        <f t="shared" si="12"/>
        <v>-</v>
      </c>
      <c r="T130" s="269" t="str">
        <f t="shared" si="13"/>
        <v/>
      </c>
      <c r="U130" s="221">
        <f t="shared" si="14"/>
        <v>30</v>
      </c>
      <c r="V130" s="220" t="str">
        <f t="shared" si="42"/>
        <v>-</v>
      </c>
      <c r="W130" s="221" t="str">
        <f t="shared" si="43"/>
        <v>-</v>
      </c>
      <c r="X130" s="221" t="str">
        <f t="shared" si="15"/>
        <v>-</v>
      </c>
      <c r="Y130" s="221" t="str">
        <f t="shared" si="16"/>
        <v>-</v>
      </c>
      <c r="Z130" s="270">
        <f t="shared" si="44"/>
        <v>0.1</v>
      </c>
      <c r="AA130" s="271" t="str">
        <f>IFERROR(IF(V129=1,AA$100*EXP(-(LN(2)/$D$65+0.04)*X129)*EXP(-(LN(2)/$D$65+0.1)*Y129),IF(V129=2,AA$100*EXP(-(LN(2)/$D$65+0.04)*(VLOOKUP(($F$16-$F$15)-1,U$99:Y129,4,FALSE)))*EXP(-(LN(2)/$D$65+0.1)*(VLOOKUP(($F$16-$F$15)-1,U$99:Y129,5,FALSE)))*EXP(-(LN(2)/$D$65+0.04)*X129)*EXP(-(LN(2)/$D$65+0.1)*Y129),IF(V129=3,AA$100*EXP(-(LN(2)/$D$65+0.04)*(VLOOKUP(($F$16-$F$15)-1,U$99:Y129,4,FALSE)))*EXP(-(LN(2)/$D$65+0.1)*(VLOOKUP(($F$16-$F$15)-1,U$99:Y129,5,FALSE)))*EXP(-(LN(2)/$D$65+0.04)*(VLOOKUP(($F$16-$F$15)*2-1,U$99:Y129,4,FALSE)))*EXP(-(LN(2)/$D$65+0.1)*(VLOOKUP(($F$16-$F$15)*2-1,U$99:Y129,5,FALSE)))*EXP(-(LN(2)/$D$65+0.04)*X129)*EXP(-(LN(2)/$D$65+0.1)*Y129),"-"))),"-")</f>
        <v>-</v>
      </c>
      <c r="AB130" s="271" t="str">
        <f>IFERROR(IF(V130=1,AB$100*EXP(-(LN(2)/$D$65+0.04)*X130)*EXP(-(LN(2)/$D$65+0.1)*Y130),IF(V130=2,AB$100*EXP(-(LN(2)/$D$65+0.04)*(VLOOKUP(($F$16-$F$15)-1,U$100:Y130,4,FALSE)))*EXP(-(LN(2)/$D$65+0.1)*(VLOOKUP(($F$16-$F$15)-1,U$100:Y130,5,FALSE)))*EXP(-(LN(2)/$D$65+0.04)*X130)*EXP(-(LN(2)/$D$65+0.1)*Y130),IF(V130=3,AB$100*EXP(-(LN(2)/$D$65+0.04)*(VLOOKUP(($F$16-$F$15)-1,U$100:Y130,4,FALSE)))*EXP(-(LN(2)/$D$65+0.1)*(VLOOKUP(($F$16-$F$15)-1,U$100:Y130,5,FALSE)))*EXP(-(LN(2)/$D$65+0.04)*(VLOOKUP(($F$16-$F$15)*2-1,U$100:Y130,4,FALSE)))*EXP(-(LN(2)/$D$65+0.1)*(VLOOKUP(($F$16-$F$15)*2-1,U$100:Y130,5,FALSE)))*EXP(-(LN(2)/$D$65+0.04)*X130)*EXP(-(LN(2)/$D$65+0.1)*Y130),"-"))),"-")</f>
        <v>-</v>
      </c>
      <c r="AC130" s="224">
        <f t="shared" si="45"/>
        <v>30</v>
      </c>
      <c r="AD130" s="223" t="str">
        <f t="shared" si="18"/>
        <v>-</v>
      </c>
      <c r="AE130" s="224" t="str">
        <f t="shared" si="46"/>
        <v>-</v>
      </c>
      <c r="AF130" s="224" t="str">
        <f t="shared" si="19"/>
        <v>-</v>
      </c>
      <c r="AG130" s="224" t="str">
        <f t="shared" si="20"/>
        <v>-</v>
      </c>
      <c r="AH130" s="272">
        <f t="shared" si="47"/>
        <v>0.1</v>
      </c>
      <c r="AI130" s="271" t="str">
        <f>IFERROR(IF(AD129=1,AI$100*EXP(-(LN(2)/$D$65+0.04)*AF129)*EXP(-(LN(2)/$D$65+0.1)*AG129),IF(AD129=2,AI$100*EXP(-(LN(2)/$D$65+0.04)*(VLOOKUP(($F$16-$F$15)-1,AC$99:AG129,4,FALSE)))*EXP(-(LN(2)/$D$65+0.1)*(VLOOKUP(($F$16-$F$15)-1,AC$99:AG129,5,FALSE)))*EXP(-(LN(2)/$D$65+0.04)*AF129)*EXP(-(LN(2)/$D$65+0.1)*AG129),IF(AD129=3,AI$100*EXP(-(LN(2)/$D$65+0.04)*(VLOOKUP(($F$16-$F$15)-1,AC$99:AG129,4,FALSE)))*EXP(-(LN(2)/$D$65+0.1)*(VLOOKUP(($F$16-$F$15)-1,AC$99:AG129,5,FALSE)))*EXP(-(LN(2)/$D$65+0.04)*(VLOOKUP(($F$16-$F$15)*2-1,AC$99:AG129,4,FALSE)))*EXP(-(LN(2)/$D$65+0.1)*(VLOOKUP(($F$16-$F$15)*2-1,AC$99:AG129,5,FALSE)))*EXP(-(LN(2)/$D$65+0.04)*AF129)*EXP(-(LN(2)/$D$65+0.1)*AG129),"-"))),"-")</f>
        <v>-</v>
      </c>
      <c r="AJ130" s="271" t="str">
        <f>IFERROR(IF(AD130=1,AJ$100*EXP(-(LN(2)/$D$65+0.04)*AF130)*EXP(-(LN(2)/$D$65+0.1)*AG130),IF(AD130=2,AJ$100*EXP(-(LN(2)/$D$65+0.04)*(VLOOKUP(($F$16-$F$15)-1,AC$100:AG130,4,FALSE)))*EXP(-(LN(2)/$D$65+0.1)*(VLOOKUP(($F$16-$F$15)-1,AC$100:AG130,5,FALSE)))*EXP(-(LN(2)/$D$65+0.04)*AF130)*EXP(-(LN(2)/$D$65+0.1)*AG130),IF(AD130=3,AJ$100*EXP(-(LN(2)/$D$65+0.04)*(VLOOKUP(($F$16-$F$15)-1,AC$100:AG130,4,FALSE)))*EXP(-(LN(2)/$D$65+0.1)*(VLOOKUP(($F$16-$F$15)-1,AC$100:AG130,5,FALSE)))*EXP(-(LN(2)/$D$65+0.04)*(VLOOKUP(($F$16-$F$15)*2-1,AC$100:AG130,4,FALSE)))*EXP(-(LN(2)/$D$65+0.1)*(VLOOKUP(($F$16-$F$15)*2-1,AC$100:AG130,5,FALSE)))*EXP(-(LN(2)/$D$65+0.04)*AF130)*EXP(-(LN(2)/$D$65+0.1)*AG130),"-"))),"-")</f>
        <v>-</v>
      </c>
      <c r="AK130" s="227">
        <f t="shared" si="49"/>
        <v>30</v>
      </c>
      <c r="AL130" s="226" t="str">
        <f t="shared" si="22"/>
        <v>-</v>
      </c>
      <c r="AM130" s="227" t="str">
        <f t="shared" si="50"/>
        <v>-</v>
      </c>
      <c r="AN130" s="227" t="str">
        <f t="shared" si="51"/>
        <v>-</v>
      </c>
      <c r="AO130" s="227" t="str">
        <f t="shared" si="23"/>
        <v>-</v>
      </c>
      <c r="AP130" s="273">
        <f t="shared" si="52"/>
        <v>0.1</v>
      </c>
      <c r="AQ130" s="271" t="str">
        <f>IFERROR(IF(AL129=1,AQ$100*EXP(-(LN(2)/$D$65+0.04)*AN129)*EXP(-(LN(2)/$D$65+0.1)*AO129),IF(AL129=2,AQ$100*EXP(-(LN(2)/$D$65+0.04)*(VLOOKUP(($F$16-$F$15)-1,AK$99:AO129,4,FALSE)))*EXP(-(LN(2)/$D$65+0.1)*(VLOOKUP(($F$16-$F$15)-1,AK$99:AO129,5,FALSE)))*EXP(-(LN(2)/$D$65+0.04)*AN129)*EXP(-(LN(2)/$D$65+0.1)*AO129),IF(AL129=3,AQ$100*EXP(-(LN(2)/$D$65+0.04)*(VLOOKUP(($F$16-$F$15)-1,AK$99:AO129,4,FALSE)))*EXP(-(LN(2)/$D$65+0.1)*(VLOOKUP(($F$16-$F$15)-1,AK$99:AO129,5,FALSE)))*EXP(-(LN(2)/$D$65+0.04)*(VLOOKUP(($F$16-$F$15)*2-1,AK$99:AO129,4,FALSE)))*EXP(-(LN(2)/$D$65+0.1)*(VLOOKUP(($F$16-$F$15)*2-1,AK$99:AO129,5,FALSE)))*EXP(-(LN(2)/$D$65+0.04)*AN129)*EXP(-(LN(2)/$D$65+0.1)*AO129),"-"))),"-")</f>
        <v>-</v>
      </c>
      <c r="AR130" s="271" t="str">
        <f>IFERROR(IF(AL130=1,AR$100*EXP(-(LN(2)/$D$65+0.04)*AN130)*EXP(-(LN(2)/$D$65+0.1)*AO130),IF(AL130=2,AR$100*EXP(-(LN(2)/$D$65+0.04)*(VLOOKUP(($F$16-$F$15)-1,AK$100:AO130,4,FALSE)))*EXP(-(LN(2)/$D$65+0.1)*(VLOOKUP(($F$16-$F$15)-1,AK$100:AO130,5,FALSE)))*EXP(-(LN(2)/$D$65+0.04)*AN130)*EXP(-(LN(2)/$D$65+0.1)*AO130),IF(AL130=3,AR$100*EXP(-(LN(2)/$D$65+0.04)*(VLOOKUP(($F$16-$F$15)-1,AK$100:AO130,4,FALSE)))*EXP(-(LN(2)/$D$65+0.1)*(VLOOKUP(($F$16-$F$15)-1,AK$100:AO130,5,FALSE)))*EXP(-(LN(2)/$D$65+0.04)*(VLOOKUP(($F$16-$F$15)*2-1,AK$100:AO130,4,FALSE)))*EXP(-(LN(2)/$D$65+0.1)*(VLOOKUP(($F$16-$F$15)*2-1,AK$100:AO130,5,FALSE)))*EXP(-(LN(2)/$D$65+0.04)*AN130)*EXP(-(LN(2)/$D$65+0.1)*AO130),"-"))),"-")</f>
        <v>-</v>
      </c>
      <c r="AS130" s="274">
        <f t="shared" si="24"/>
        <v>0</v>
      </c>
      <c r="AT130" s="274">
        <f t="shared" si="25"/>
        <v>0</v>
      </c>
      <c r="AU130" s="274">
        <f t="shared" si="26"/>
        <v>0</v>
      </c>
      <c r="AV130" s="190" t="str">
        <f>IF($B130&lt;$F$22,SUM($T$100:$T130),"")</f>
        <v/>
      </c>
      <c r="AW130" s="190" t="str">
        <f t="shared" si="55"/>
        <v>-</v>
      </c>
      <c r="AX130" s="190" t="str">
        <f t="shared" si="56"/>
        <v/>
      </c>
      <c r="AY130"/>
      <c r="AZ130" s="190" t="str">
        <f ca="1">IF(ISNUMBER(OFFSET(AV130,-$F$21,0)),SUM(OFFSET($T$100,$F$21,0):$T130),"")</f>
        <v/>
      </c>
      <c r="BA130" s="190" t="str">
        <f t="shared" ca="1" si="27"/>
        <v/>
      </c>
      <c r="BB130" s="190" t="str">
        <f t="shared" ca="1" si="70"/>
        <v/>
      </c>
      <c r="BC130" s="190"/>
      <c r="BD130" s="190" t="str">
        <f ca="1">IFERROR(IF(OR(ISNUMBER(I),ISNUMBER($F$14)),IF(AND($B130&gt;=($F$16-$F$15),$B130&lt;$F$22+($F$16-$F$15)),SUM(OFFSET($T$100,($F$16-$F$15),0):$T130),""),""),"")</f>
        <v/>
      </c>
      <c r="BE130" s="190" t="str">
        <f t="shared" ca="1" si="58"/>
        <v/>
      </c>
      <c r="BF130" s="190" t="str">
        <f t="shared" ca="1" si="59"/>
        <v/>
      </c>
      <c r="BG130"/>
      <c r="BH130" s="190" t="str">
        <f ca="1">IF(ISNUMBER(OFFSET(BD130,-$F$21,0)),SUM(OFFSET($T$100,($F$16-$F$15+$F$21),0):$T130),"")</f>
        <v/>
      </c>
      <c r="BI130" s="190" t="str">
        <f t="shared" ca="1" si="28"/>
        <v/>
      </c>
      <c r="BJ130" s="190" t="str">
        <f t="shared" ca="1" si="60"/>
        <v/>
      </c>
      <c r="BK130" s="190"/>
      <c r="BL130" s="190" t="str">
        <f ca="1">IFERROR(IF(OR(ISNUMBER(I),ISNUMBER($F$14)),IF(AND($B130&gt;=($F$17-$F$15),$B130&lt;$F$22+($F$17-$F$15)),SUM(OFFSET($T$100,($F$17-$F$15),0):$T130),""),""),"")</f>
        <v/>
      </c>
      <c r="BM130" s="190" t="str">
        <f t="shared" ca="1" si="29"/>
        <v/>
      </c>
      <c r="BN130" s="190" t="str">
        <f t="shared" ca="1" si="61"/>
        <v/>
      </c>
      <c r="BO130"/>
      <c r="BP130" s="190" t="str">
        <f ca="1">IF(ISNUMBER(OFFSET(BL130,-$F$21,0)),SUM(OFFSET($T$100,($F$17-$F$15+$F$21),0):$T130),"")</f>
        <v/>
      </c>
      <c r="BQ130" s="190" t="str">
        <f t="shared" ca="1" si="62"/>
        <v/>
      </c>
      <c r="BR130" s="190" t="str">
        <f t="shared" ca="1" si="63"/>
        <v/>
      </c>
      <c r="BS130" s="190"/>
      <c r="BT130"/>
      <c r="BU130"/>
      <c r="BV130"/>
      <c r="BY130" s="99"/>
      <c r="BZ130" s="99"/>
      <c r="CA130" s="280" t="str">
        <f t="shared" si="30"/>
        <v/>
      </c>
      <c r="CB130" s="71" t="str">
        <f t="shared" si="31"/>
        <v>-</v>
      </c>
      <c r="CC130" s="33"/>
      <c r="CD130" s="261" t="str">
        <f t="shared" si="33"/>
        <v/>
      </c>
      <c r="CE130" s="280" t="str">
        <f t="shared" si="34"/>
        <v/>
      </c>
      <c r="CF130" s="71" t="str">
        <f t="shared" ca="1" si="35"/>
        <v/>
      </c>
      <c r="CG130" s="33" t="str">
        <f t="shared" si="36"/>
        <v/>
      </c>
      <c r="CH130" s="261" t="str">
        <f t="shared" ca="1" si="37"/>
        <v/>
      </c>
      <c r="CI130" s="202"/>
      <c r="CJ130" s="99"/>
      <c r="CK130" s="99"/>
      <c r="CL130" s="99"/>
      <c r="CM130" s="99"/>
      <c r="CN130" s="99"/>
      <c r="CO130" s="99"/>
    </row>
    <row r="131" spans="2:93" ht="13.5" customHeight="1" x14ac:dyDescent="0.2">
      <c r="B131" s="262">
        <v>31</v>
      </c>
      <c r="C131" s="237" t="str">
        <f t="shared" si="1"/>
        <v/>
      </c>
      <c r="D131" s="237" t="str">
        <f t="shared" si="66"/>
        <v/>
      </c>
      <c r="E131" s="290" t="str">
        <f t="shared" si="38"/>
        <v/>
      </c>
      <c r="F131" s="264" t="str">
        <f t="shared" si="39"/>
        <v/>
      </c>
      <c r="G131" s="291" t="str">
        <f t="shared" si="40"/>
        <v/>
      </c>
      <c r="H131" s="240" t="str">
        <f t="shared" si="41"/>
        <v/>
      </c>
      <c r="I131" s="265" t="str">
        <f t="shared" si="2"/>
        <v/>
      </c>
      <c r="J131" s="265" t="str">
        <f t="shared" si="3"/>
        <v/>
      </c>
      <c r="K131" s="240" t="str">
        <f t="shared" si="4"/>
        <v/>
      </c>
      <c r="L131" s="265" t="str">
        <f t="shared" si="5"/>
        <v/>
      </c>
      <c r="M131" s="265" t="str">
        <f t="shared" si="6"/>
        <v/>
      </c>
      <c r="N131" s="240" t="str">
        <f t="shared" si="7"/>
        <v>-</v>
      </c>
      <c r="O131" s="265" t="str">
        <f t="shared" si="8"/>
        <v>-</v>
      </c>
      <c r="P131" s="265" t="str">
        <f t="shared" si="9"/>
        <v>-</v>
      </c>
      <c r="Q131" s="266" t="str">
        <f t="shared" si="10"/>
        <v>-</v>
      </c>
      <c r="R131" s="267" t="str">
        <f t="shared" si="11"/>
        <v>-</v>
      </c>
      <c r="S131" s="268" t="str">
        <f t="shared" si="12"/>
        <v>-</v>
      </c>
      <c r="T131" s="269" t="str">
        <f t="shared" si="13"/>
        <v/>
      </c>
      <c r="U131" s="221">
        <f t="shared" si="14"/>
        <v>31</v>
      </c>
      <c r="V131" s="220" t="str">
        <f t="shared" si="42"/>
        <v>-</v>
      </c>
      <c r="W131" s="221" t="str">
        <f t="shared" si="43"/>
        <v>-</v>
      </c>
      <c r="X131" s="221" t="str">
        <f t="shared" si="15"/>
        <v>-</v>
      </c>
      <c r="Y131" s="221" t="str">
        <f t="shared" si="16"/>
        <v>-</v>
      </c>
      <c r="Z131" s="270">
        <f t="shared" si="44"/>
        <v>0.1</v>
      </c>
      <c r="AA131" s="271" t="str">
        <f>IFERROR(IF(V130=1,AA$100*EXP(-(LN(2)/$D$65+0.04)*X130)*EXP(-(LN(2)/$D$65+0.1)*Y130),IF(V130=2,AA$100*EXP(-(LN(2)/$D$65+0.04)*(VLOOKUP(($F$16-$F$15)-1,U$99:Y130,4,FALSE)))*EXP(-(LN(2)/$D$65+0.1)*(VLOOKUP(($F$16-$F$15)-1,U$99:Y130,5,FALSE)))*EXP(-(LN(2)/$D$65+0.04)*X130)*EXP(-(LN(2)/$D$65+0.1)*Y130),IF(V130=3,AA$100*EXP(-(LN(2)/$D$65+0.04)*(VLOOKUP(($F$16-$F$15)-1,U$99:Y130,4,FALSE)))*EXP(-(LN(2)/$D$65+0.1)*(VLOOKUP(($F$16-$F$15)-1,U$99:Y130,5,FALSE)))*EXP(-(LN(2)/$D$65+0.04)*(VLOOKUP(($F$16-$F$15)*2-1,U$99:Y130,4,FALSE)))*EXP(-(LN(2)/$D$65+0.1)*(VLOOKUP(($F$16-$F$15)*2-1,U$99:Y130,5,FALSE)))*EXP(-(LN(2)/$D$65+0.04)*X130)*EXP(-(LN(2)/$D$65+0.1)*Y130),"-"))),"-")</f>
        <v>-</v>
      </c>
      <c r="AB131" s="271" t="str">
        <f>IFERROR(IF(V131=1,AB$100*EXP(-(LN(2)/$D$65+0.04)*X131)*EXP(-(LN(2)/$D$65+0.1)*Y131),IF(V131=2,AB$100*EXP(-(LN(2)/$D$65+0.04)*(VLOOKUP(($F$16-$F$15)-1,U$100:Y131,4,FALSE)))*EXP(-(LN(2)/$D$65+0.1)*(VLOOKUP(($F$16-$F$15)-1,U$100:Y131,5,FALSE)))*EXP(-(LN(2)/$D$65+0.04)*X131)*EXP(-(LN(2)/$D$65+0.1)*Y131),IF(V131=3,AB$100*EXP(-(LN(2)/$D$65+0.04)*(VLOOKUP(($F$16-$F$15)-1,U$100:Y131,4,FALSE)))*EXP(-(LN(2)/$D$65+0.1)*(VLOOKUP(($F$16-$F$15)-1,U$100:Y131,5,FALSE)))*EXP(-(LN(2)/$D$65+0.04)*(VLOOKUP(($F$16-$F$15)*2-1,U$100:Y131,4,FALSE)))*EXP(-(LN(2)/$D$65+0.1)*(VLOOKUP(($F$16-$F$15)*2-1,U$100:Y131,5,FALSE)))*EXP(-(LN(2)/$D$65+0.04)*X131)*EXP(-(LN(2)/$D$65+0.1)*Y131),"-"))),"-")</f>
        <v>-</v>
      </c>
      <c r="AC131" s="224">
        <f t="shared" si="45"/>
        <v>31</v>
      </c>
      <c r="AD131" s="223" t="str">
        <f t="shared" si="18"/>
        <v>-</v>
      </c>
      <c r="AE131" s="224" t="str">
        <f t="shared" si="46"/>
        <v>-</v>
      </c>
      <c r="AF131" s="224" t="str">
        <f t="shared" si="19"/>
        <v>-</v>
      </c>
      <c r="AG131" s="224" t="str">
        <f t="shared" si="20"/>
        <v>-</v>
      </c>
      <c r="AH131" s="272">
        <f t="shared" si="47"/>
        <v>0.1</v>
      </c>
      <c r="AI131" s="271" t="str">
        <f>IFERROR(IF(AD130=1,AI$100*EXP(-(LN(2)/$D$65+0.04)*AF130)*EXP(-(LN(2)/$D$65+0.1)*AG130),IF(AD130=2,AI$100*EXP(-(LN(2)/$D$65+0.04)*(VLOOKUP(($F$16-$F$15)-1,AC$99:AG130,4,FALSE)))*EXP(-(LN(2)/$D$65+0.1)*(VLOOKUP(($F$16-$F$15)-1,AC$99:AG130,5,FALSE)))*EXP(-(LN(2)/$D$65+0.04)*AF130)*EXP(-(LN(2)/$D$65+0.1)*AG130),IF(AD130=3,AI$100*EXP(-(LN(2)/$D$65+0.04)*(VLOOKUP(($F$16-$F$15)-1,AC$99:AG130,4,FALSE)))*EXP(-(LN(2)/$D$65+0.1)*(VLOOKUP(($F$16-$F$15)-1,AC$99:AG130,5,FALSE)))*EXP(-(LN(2)/$D$65+0.04)*(VLOOKUP(($F$16-$F$15)*2-1,AC$99:AG130,4,FALSE)))*EXP(-(LN(2)/$D$65+0.1)*(VLOOKUP(($F$16-$F$15)*2-1,AC$99:AG130,5,FALSE)))*EXP(-(LN(2)/$D$65+0.04)*AF130)*EXP(-(LN(2)/$D$65+0.1)*AG130),"-"))),"-")</f>
        <v>-</v>
      </c>
      <c r="AJ131" s="271" t="str">
        <f>IFERROR(IF(AD131=1,AJ$100*EXP(-(LN(2)/$D$65+0.04)*AF131)*EXP(-(LN(2)/$D$65+0.1)*AG131),IF(AD131=2,AJ$100*EXP(-(LN(2)/$D$65+0.04)*(VLOOKUP(($F$16-$F$15)-1,AC$100:AG131,4,FALSE)))*EXP(-(LN(2)/$D$65+0.1)*(VLOOKUP(($F$16-$F$15)-1,AC$100:AG131,5,FALSE)))*EXP(-(LN(2)/$D$65+0.04)*AF131)*EXP(-(LN(2)/$D$65+0.1)*AG131),IF(AD131=3,AJ$100*EXP(-(LN(2)/$D$65+0.04)*(VLOOKUP(($F$16-$F$15)-1,AC$100:AG131,4,FALSE)))*EXP(-(LN(2)/$D$65+0.1)*(VLOOKUP(($F$16-$F$15)-1,AC$100:AG131,5,FALSE)))*EXP(-(LN(2)/$D$65+0.04)*(VLOOKUP(($F$16-$F$15)*2-1,AC$100:AG131,4,FALSE)))*EXP(-(LN(2)/$D$65+0.1)*(VLOOKUP(($F$16-$F$15)*2-1,AC$100:AG131,5,FALSE)))*EXP(-(LN(2)/$D$65+0.04)*AF131)*EXP(-(LN(2)/$D$65+0.1)*AG131),"-"))),"-")</f>
        <v>-</v>
      </c>
      <c r="AK131" s="227">
        <f t="shared" si="49"/>
        <v>31</v>
      </c>
      <c r="AL131" s="226" t="str">
        <f t="shared" si="22"/>
        <v>-</v>
      </c>
      <c r="AM131" s="227" t="str">
        <f t="shared" si="50"/>
        <v>-</v>
      </c>
      <c r="AN131" s="227" t="str">
        <f t="shared" si="51"/>
        <v>-</v>
      </c>
      <c r="AO131" s="227" t="str">
        <f t="shared" si="23"/>
        <v>-</v>
      </c>
      <c r="AP131" s="273">
        <f t="shared" si="52"/>
        <v>0.1</v>
      </c>
      <c r="AQ131" s="271" t="str">
        <f>IFERROR(IF(AL130=1,AQ$100*EXP(-(LN(2)/$D$65+0.04)*AN130)*EXP(-(LN(2)/$D$65+0.1)*AO130),IF(AL130=2,AQ$100*EXP(-(LN(2)/$D$65+0.04)*(VLOOKUP(($F$16-$F$15)-1,AK$99:AO130,4,FALSE)))*EXP(-(LN(2)/$D$65+0.1)*(VLOOKUP(($F$16-$F$15)-1,AK$99:AO130,5,FALSE)))*EXP(-(LN(2)/$D$65+0.04)*AN130)*EXP(-(LN(2)/$D$65+0.1)*AO130),IF(AL130=3,AQ$100*EXP(-(LN(2)/$D$65+0.04)*(VLOOKUP(($F$16-$F$15)-1,AK$99:AO130,4,FALSE)))*EXP(-(LN(2)/$D$65+0.1)*(VLOOKUP(($F$16-$F$15)-1,AK$99:AO130,5,FALSE)))*EXP(-(LN(2)/$D$65+0.04)*(VLOOKUP(($F$16-$F$15)*2-1,AK$99:AO130,4,FALSE)))*EXP(-(LN(2)/$D$65+0.1)*(VLOOKUP(($F$16-$F$15)*2-1,AK$99:AO130,5,FALSE)))*EXP(-(LN(2)/$D$65+0.04)*AN130)*EXP(-(LN(2)/$D$65+0.1)*AO130),"-"))),"-")</f>
        <v>-</v>
      </c>
      <c r="AR131" s="271" t="str">
        <f>IFERROR(IF(AL131=1,AR$100*EXP(-(LN(2)/$D$65+0.04)*AN131)*EXP(-(LN(2)/$D$65+0.1)*AO131),IF(AL131=2,AR$100*EXP(-(LN(2)/$D$65+0.04)*(VLOOKUP(($F$16-$F$15)-1,AK$100:AO131,4,FALSE)))*EXP(-(LN(2)/$D$65+0.1)*(VLOOKUP(($F$16-$F$15)-1,AK$100:AO131,5,FALSE)))*EXP(-(LN(2)/$D$65+0.04)*AN131)*EXP(-(LN(2)/$D$65+0.1)*AO131),IF(AL131=3,AR$100*EXP(-(LN(2)/$D$65+0.04)*(VLOOKUP(($F$16-$F$15)-1,AK$100:AO131,4,FALSE)))*EXP(-(LN(2)/$D$65+0.1)*(VLOOKUP(($F$16-$F$15)-1,AK$100:AO131,5,FALSE)))*EXP(-(LN(2)/$D$65+0.04)*(VLOOKUP(($F$16-$F$15)*2-1,AK$100:AO131,4,FALSE)))*EXP(-(LN(2)/$D$65+0.1)*(VLOOKUP(($F$16-$F$15)*2-1,AK$100:AO131,5,FALSE)))*EXP(-(LN(2)/$D$65+0.04)*AN131)*EXP(-(LN(2)/$D$65+0.1)*AO131),"-"))),"-")</f>
        <v>-</v>
      </c>
      <c r="AS131" s="274">
        <f t="shared" si="24"/>
        <v>0</v>
      </c>
      <c r="AT131" s="274">
        <f t="shared" si="25"/>
        <v>0</v>
      </c>
      <c r="AU131" s="274">
        <f t="shared" si="26"/>
        <v>0</v>
      </c>
      <c r="AV131" s="190" t="str">
        <f>IF($B131&lt;$F$22,SUM($T$100:$T131),"")</f>
        <v/>
      </c>
      <c r="AW131" s="190" t="str">
        <f t="shared" si="55"/>
        <v>-</v>
      </c>
      <c r="AX131" s="190" t="str">
        <f t="shared" si="56"/>
        <v/>
      </c>
      <c r="AY131"/>
      <c r="AZ131" s="190" t="str">
        <f ca="1">IF(ISNUMBER(OFFSET(AV131,-$F$21,0)),SUM(OFFSET($T$100,$F$21,0):$T131),"")</f>
        <v/>
      </c>
      <c r="BA131" s="190" t="str">
        <f t="shared" ca="1" si="27"/>
        <v/>
      </c>
      <c r="BB131" s="190" t="str">
        <f t="shared" ca="1" si="70"/>
        <v/>
      </c>
      <c r="BC131" s="190"/>
      <c r="BD131" s="190" t="str">
        <f ca="1">IFERROR(IF(OR(ISNUMBER(I),ISNUMBER($F$14)),IF(AND($B131&gt;=($F$16-$F$15),$B131&lt;$F$22+($F$16-$F$15)),SUM(OFFSET($T$100,($F$16-$F$15),0):$T131),""),""),"")</f>
        <v/>
      </c>
      <c r="BE131" s="190" t="str">
        <f t="shared" ca="1" si="58"/>
        <v/>
      </c>
      <c r="BF131" s="190" t="str">
        <f t="shared" ca="1" si="59"/>
        <v/>
      </c>
      <c r="BG131"/>
      <c r="BH131" s="190" t="str">
        <f ca="1">IF(ISNUMBER(OFFSET(BD131,-$F$21,0)),SUM(OFFSET($T$100,($F$16-$F$15+$F$21),0):$T131),"")</f>
        <v/>
      </c>
      <c r="BI131" s="190" t="str">
        <f t="shared" ca="1" si="28"/>
        <v/>
      </c>
      <c r="BJ131" s="190" t="str">
        <f t="shared" ca="1" si="60"/>
        <v/>
      </c>
      <c r="BK131" s="190"/>
      <c r="BL131" s="190" t="str">
        <f ca="1">IFERROR(IF(OR(ISNUMBER(I),ISNUMBER($F$14)),IF(AND($B131&gt;=($F$17-$F$15),$B131&lt;$F$22+($F$17-$F$15)),SUM(OFFSET($T$100,($F$17-$F$15),0):$T131),""),""),"")</f>
        <v/>
      </c>
      <c r="BM131" s="190" t="str">
        <f t="shared" ca="1" si="29"/>
        <v/>
      </c>
      <c r="BN131" s="190" t="str">
        <f t="shared" ca="1" si="61"/>
        <v/>
      </c>
      <c r="BO131"/>
      <c r="BP131" s="190" t="str">
        <f ca="1">IF(ISNUMBER(OFFSET(BL131,-$F$21,0)),SUM(OFFSET($T$100,($F$17-$F$15+$F$21),0):$T131),"")</f>
        <v/>
      </c>
      <c r="BQ131" s="190" t="str">
        <f t="shared" ca="1" si="62"/>
        <v/>
      </c>
      <c r="BR131" s="190" t="str">
        <f t="shared" ca="1" si="63"/>
        <v/>
      </c>
      <c r="BS131" s="190"/>
      <c r="BT131"/>
      <c r="BU131"/>
      <c r="BV131"/>
      <c r="BY131" s="99"/>
      <c r="BZ131" s="99"/>
      <c r="CA131" s="280" t="str">
        <f t="shared" si="30"/>
        <v/>
      </c>
      <c r="CB131" s="71" t="str">
        <f t="shared" si="31"/>
        <v>-</v>
      </c>
      <c r="CC131" s="33"/>
      <c r="CD131" s="261" t="str">
        <f t="shared" si="33"/>
        <v/>
      </c>
      <c r="CE131" s="280" t="str">
        <f t="shared" si="34"/>
        <v/>
      </c>
      <c r="CF131" s="71" t="str">
        <f t="shared" ca="1" si="35"/>
        <v/>
      </c>
      <c r="CG131" s="33" t="str">
        <f t="shared" si="36"/>
        <v/>
      </c>
      <c r="CH131" s="261" t="str">
        <f t="shared" ca="1" si="37"/>
        <v/>
      </c>
      <c r="CI131" s="202"/>
      <c r="CJ131" s="99"/>
      <c r="CK131" s="99"/>
      <c r="CL131" s="99"/>
      <c r="CM131" s="99"/>
      <c r="CN131" s="99"/>
      <c r="CO131" s="99"/>
    </row>
    <row r="132" spans="2:93" ht="13.5" customHeight="1" x14ac:dyDescent="0.2">
      <c r="B132" s="262">
        <v>32</v>
      </c>
      <c r="C132" s="237" t="str">
        <f t="shared" si="1"/>
        <v/>
      </c>
      <c r="D132" s="237" t="str">
        <f t="shared" si="66"/>
        <v/>
      </c>
      <c r="E132" s="290" t="str">
        <f t="shared" si="38"/>
        <v/>
      </c>
      <c r="F132" s="264" t="str">
        <f t="shared" si="39"/>
        <v/>
      </c>
      <c r="G132" s="291" t="str">
        <f t="shared" si="40"/>
        <v/>
      </c>
      <c r="H132" s="240" t="str">
        <f t="shared" ref="H132:H163" si="71">IF(E132&lt;&gt;"",IF($B132&lt;$F$21,"",IF(ISNUMBER(F132),IF(ISNUMBER(I132),(E132*30*50*ffp),""),(E132*30*50*ffp))),"")</f>
        <v/>
      </c>
      <c r="I132" s="265" t="str">
        <f t="shared" ref="I132:I163" si="72">IFERROR(IF(F132&lt;&gt;"",IF($B132&lt;$F$21+$F$16,"",IF(ISNUMBER(G132),IF(ISNUMBER(J132),(F132*30*50*ffp),""),(F132*30*50*ffp))),""),"")</f>
        <v/>
      </c>
      <c r="J132" s="265" t="str">
        <f t="shared" ref="J132:J163" si="73">IFERROR(IF(G132&lt;&gt;"",IF($B132&lt;$F$21+$F$17,"",(G132*30*50*ffp)),""),"")</f>
        <v/>
      </c>
      <c r="K132" s="240" t="str">
        <f t="shared" ref="K132:K163" si="74">IF(E132&lt;&gt;"",((E132*20*50*ffp)/Klevee),"")</f>
        <v/>
      </c>
      <c r="L132" s="265" t="str">
        <f t="shared" ref="L132:L163" si="75">IF(ISNUMBER(F132),((F132*20*50*ffp)/Klevee),"")</f>
        <v/>
      </c>
      <c r="M132" s="265" t="str">
        <f t="shared" ref="M132:M163" si="76">IF(ISNUMBER(G132),((G132*20*50*ffp)/Klevee),"")</f>
        <v/>
      </c>
      <c r="N132" s="240" t="str">
        <f t="shared" ref="N132:N163" si="77">IF(AND(ISNUMBER(I),ISNUMBER($F$14),ISNUMBER($F$20)),IF($B132=0,I*($J$40/100)*$J$42*1,""),"-")</f>
        <v>-</v>
      </c>
      <c r="O132" s="265" t="str">
        <f t="shared" ref="O132:O163" si="78">IF(ISNUMBER($F$14),IF($F$14&gt;1,IF($B132=0+$F$16,I*($J$40/100)*$J$42*1,""),""),"-")</f>
        <v>-</v>
      </c>
      <c r="P132" s="265" t="str">
        <f t="shared" ref="P132:P163" si="79">IF(ISNUMBER($F$14),IF($F$14&gt;2,IF($B132=0+$F$17,I*($J$40/100)*$J$42*1,""),""),"-")</f>
        <v>-</v>
      </c>
      <c r="Q132" s="266" t="str">
        <f t="shared" ref="Q132:Q163" si="80">IF(AND(ISNUMBER(I),ISNUMBER($F$14),ISNUMBER($F$20)),IF($B132=0,I*(dt/100)*$J$45*1,""),"-")</f>
        <v>-</v>
      </c>
      <c r="R132" s="267" t="str">
        <f t="shared" ref="R132:R163" si="81">IF(ISNUMBER($F$14),IF($F$14&gt;1,IF($B132=0+$F$16,I*(dt/100)*$J$45*1,""),""),"-")</f>
        <v>-</v>
      </c>
      <c r="S132" s="268" t="str">
        <f t="shared" ref="S132:S163" si="82">IF(ISNUMBER($F$14),IF($F$14&gt;2,IF($B132=0+$F$17,I*(dt/100)*$J$45*1,""),""),"-")</f>
        <v>-</v>
      </c>
      <c r="T132" s="269" t="str">
        <f t="shared" si="13"/>
        <v/>
      </c>
      <c r="U132" s="221">
        <f t="shared" si="14"/>
        <v>32</v>
      </c>
      <c r="V132" s="220" t="str">
        <f t="shared" si="42"/>
        <v>-</v>
      </c>
      <c r="W132" s="221" t="str">
        <f t="shared" si="43"/>
        <v>-</v>
      </c>
      <c r="X132" s="221" t="str">
        <f t="shared" si="15"/>
        <v>-</v>
      </c>
      <c r="Y132" s="221" t="str">
        <f t="shared" si="16"/>
        <v>-</v>
      </c>
      <c r="Z132" s="270">
        <f t="shared" si="44"/>
        <v>0.1</v>
      </c>
      <c r="AA132" s="271" t="str">
        <f>IFERROR(IF(V131=1,AA$100*EXP(-(LN(2)/$D$65+0.04)*X131)*EXP(-(LN(2)/$D$65+0.1)*Y131),IF(V131=2,AA$100*EXP(-(LN(2)/$D$65+0.04)*(VLOOKUP(($F$16-$F$15)-1,U$99:Y131,4,FALSE)))*EXP(-(LN(2)/$D$65+0.1)*(VLOOKUP(($F$16-$F$15)-1,U$99:Y131,5,FALSE)))*EXP(-(LN(2)/$D$65+0.04)*X131)*EXP(-(LN(2)/$D$65+0.1)*Y131),IF(V131=3,AA$100*EXP(-(LN(2)/$D$65+0.04)*(VLOOKUP(($F$16-$F$15)-1,U$99:Y131,4,FALSE)))*EXP(-(LN(2)/$D$65+0.1)*(VLOOKUP(($F$16-$F$15)-1,U$99:Y131,5,FALSE)))*EXP(-(LN(2)/$D$65+0.04)*(VLOOKUP(($F$16-$F$15)*2-1,U$99:Y131,4,FALSE)))*EXP(-(LN(2)/$D$65+0.1)*(VLOOKUP(($F$16-$F$15)*2-1,U$99:Y131,5,FALSE)))*EXP(-(LN(2)/$D$65+0.04)*X131)*EXP(-(LN(2)/$D$65+0.1)*Y131),"-"))),"-")</f>
        <v>-</v>
      </c>
      <c r="AB132" s="271" t="str">
        <f>IFERROR(IF(V132=1,AB$100*EXP(-(LN(2)/$D$65+0.04)*X132)*EXP(-(LN(2)/$D$65+0.1)*Y132),IF(V132=2,AB$100*EXP(-(LN(2)/$D$65+0.04)*(VLOOKUP(($F$16-$F$15)-1,U$100:Y132,4,FALSE)))*EXP(-(LN(2)/$D$65+0.1)*(VLOOKUP(($F$16-$F$15)-1,U$100:Y132,5,FALSE)))*EXP(-(LN(2)/$D$65+0.04)*X132)*EXP(-(LN(2)/$D$65+0.1)*Y132),IF(V132=3,AB$100*EXP(-(LN(2)/$D$65+0.04)*(VLOOKUP(($F$16-$F$15)-1,U$100:Y132,4,FALSE)))*EXP(-(LN(2)/$D$65+0.1)*(VLOOKUP(($F$16-$F$15)-1,U$100:Y132,5,FALSE)))*EXP(-(LN(2)/$D$65+0.04)*(VLOOKUP(($F$16-$F$15)*2-1,U$100:Y132,4,FALSE)))*EXP(-(LN(2)/$D$65+0.1)*(VLOOKUP(($F$16-$F$15)*2-1,U$100:Y132,5,FALSE)))*EXP(-(LN(2)/$D$65+0.04)*X132)*EXP(-(LN(2)/$D$65+0.1)*Y132),"-"))),"-")</f>
        <v>-</v>
      </c>
      <c r="AC132" s="224">
        <f t="shared" si="45"/>
        <v>32</v>
      </c>
      <c r="AD132" s="223" t="str">
        <f t="shared" si="18"/>
        <v>-</v>
      </c>
      <c r="AE132" s="224" t="str">
        <f t="shared" si="46"/>
        <v>-</v>
      </c>
      <c r="AF132" s="224" t="str">
        <f t="shared" si="19"/>
        <v>-</v>
      </c>
      <c r="AG132" s="224" t="str">
        <f t="shared" si="20"/>
        <v>-</v>
      </c>
      <c r="AH132" s="272">
        <f t="shared" si="47"/>
        <v>0.1</v>
      </c>
      <c r="AI132" s="271" t="str">
        <f>IFERROR(IF(AD131=1,AI$100*EXP(-(LN(2)/$D$65+0.04)*AF131)*EXP(-(LN(2)/$D$65+0.1)*AG131),IF(AD131=2,AI$100*EXP(-(LN(2)/$D$65+0.04)*(VLOOKUP(($F$16-$F$15)-1,AC$99:AG131,4,FALSE)))*EXP(-(LN(2)/$D$65+0.1)*(VLOOKUP(($F$16-$F$15)-1,AC$99:AG131,5,FALSE)))*EXP(-(LN(2)/$D$65+0.04)*AF131)*EXP(-(LN(2)/$D$65+0.1)*AG131),IF(AD131=3,AI$100*EXP(-(LN(2)/$D$65+0.04)*(VLOOKUP(($F$16-$F$15)-1,AC$99:AG131,4,FALSE)))*EXP(-(LN(2)/$D$65+0.1)*(VLOOKUP(($F$16-$F$15)-1,AC$99:AG131,5,FALSE)))*EXP(-(LN(2)/$D$65+0.04)*(VLOOKUP(($F$16-$F$15)*2-1,AC$99:AG131,4,FALSE)))*EXP(-(LN(2)/$D$65+0.1)*(VLOOKUP(($F$16-$F$15)*2-1,AC$99:AG131,5,FALSE)))*EXP(-(LN(2)/$D$65+0.04)*AF131)*EXP(-(LN(2)/$D$65+0.1)*AG131),"-"))),"-")</f>
        <v>-</v>
      </c>
      <c r="AJ132" s="271" t="str">
        <f>IFERROR(IF(AD132=1,AJ$100*EXP(-(LN(2)/$D$65+0.04)*AF132)*EXP(-(LN(2)/$D$65+0.1)*AG132),IF(AD132=2,AJ$100*EXP(-(LN(2)/$D$65+0.04)*(VLOOKUP(($F$16-$F$15)-1,AC$100:AG132,4,FALSE)))*EXP(-(LN(2)/$D$65+0.1)*(VLOOKUP(($F$16-$F$15)-1,AC$100:AG132,5,FALSE)))*EXP(-(LN(2)/$D$65+0.04)*AF132)*EXP(-(LN(2)/$D$65+0.1)*AG132),IF(AD132=3,AJ$100*EXP(-(LN(2)/$D$65+0.04)*(VLOOKUP(($F$16-$F$15)-1,AC$100:AG132,4,FALSE)))*EXP(-(LN(2)/$D$65+0.1)*(VLOOKUP(($F$16-$F$15)-1,AC$100:AG132,5,FALSE)))*EXP(-(LN(2)/$D$65+0.04)*(VLOOKUP(($F$16-$F$15)*2-1,AC$100:AG132,4,FALSE)))*EXP(-(LN(2)/$D$65+0.1)*(VLOOKUP(($F$16-$F$15)*2-1,AC$100:AG132,5,FALSE)))*EXP(-(LN(2)/$D$65+0.04)*AF132)*EXP(-(LN(2)/$D$65+0.1)*AG132),"-"))),"-")</f>
        <v>-</v>
      </c>
      <c r="AK132" s="227">
        <f t="shared" si="49"/>
        <v>32</v>
      </c>
      <c r="AL132" s="226" t="str">
        <f t="shared" si="22"/>
        <v>-</v>
      </c>
      <c r="AM132" s="227" t="str">
        <f t="shared" si="50"/>
        <v>-</v>
      </c>
      <c r="AN132" s="227" t="str">
        <f t="shared" si="51"/>
        <v>-</v>
      </c>
      <c r="AO132" s="227" t="str">
        <f t="shared" si="23"/>
        <v>-</v>
      </c>
      <c r="AP132" s="273">
        <f t="shared" si="52"/>
        <v>0.1</v>
      </c>
      <c r="AQ132" s="271" t="str">
        <f>IFERROR(IF(AL131=1,AQ$100*EXP(-(LN(2)/$D$65+0.04)*AN131)*EXP(-(LN(2)/$D$65+0.1)*AO131),IF(AL131=2,AQ$100*EXP(-(LN(2)/$D$65+0.04)*(VLOOKUP(($F$16-$F$15)-1,AK$99:AO131,4,FALSE)))*EXP(-(LN(2)/$D$65+0.1)*(VLOOKUP(($F$16-$F$15)-1,AK$99:AO131,5,FALSE)))*EXP(-(LN(2)/$D$65+0.04)*AN131)*EXP(-(LN(2)/$D$65+0.1)*AO131),IF(AL131=3,AQ$100*EXP(-(LN(2)/$D$65+0.04)*(VLOOKUP(($F$16-$F$15)-1,AK$99:AO131,4,FALSE)))*EXP(-(LN(2)/$D$65+0.1)*(VLOOKUP(($F$16-$F$15)-1,AK$99:AO131,5,FALSE)))*EXP(-(LN(2)/$D$65+0.04)*(VLOOKUP(($F$16-$F$15)*2-1,AK$99:AO131,4,FALSE)))*EXP(-(LN(2)/$D$65+0.1)*(VLOOKUP(($F$16-$F$15)*2-1,AK$99:AO131,5,FALSE)))*EXP(-(LN(2)/$D$65+0.04)*AN131)*EXP(-(LN(2)/$D$65+0.1)*AO131),"-"))),"-")</f>
        <v>-</v>
      </c>
      <c r="AR132" s="271" t="str">
        <f>IFERROR(IF(AL132=1,AR$100*EXP(-(LN(2)/$D$65+0.04)*AN132)*EXP(-(LN(2)/$D$65+0.1)*AO132),IF(AL132=2,AR$100*EXP(-(LN(2)/$D$65+0.04)*(VLOOKUP(($F$16-$F$15)-1,AK$100:AO132,4,FALSE)))*EXP(-(LN(2)/$D$65+0.1)*(VLOOKUP(($F$16-$F$15)-1,AK$100:AO132,5,FALSE)))*EXP(-(LN(2)/$D$65+0.04)*AN132)*EXP(-(LN(2)/$D$65+0.1)*AO132),IF(AL132=3,AR$100*EXP(-(LN(2)/$D$65+0.04)*(VLOOKUP(($F$16-$F$15)-1,AK$100:AO132,4,FALSE)))*EXP(-(LN(2)/$D$65+0.1)*(VLOOKUP(($F$16-$F$15)-1,AK$100:AO132,5,FALSE)))*EXP(-(LN(2)/$D$65+0.04)*(VLOOKUP(($F$16-$F$15)*2-1,AK$100:AO132,4,FALSE)))*EXP(-(LN(2)/$D$65+0.1)*(VLOOKUP(($F$16-$F$15)*2-1,AK$100:AO132,5,FALSE)))*EXP(-(LN(2)/$D$65+0.04)*AN132)*EXP(-(LN(2)/$D$65+0.1)*AO132),"-"))),"-")</f>
        <v>-</v>
      </c>
      <c r="AS132" s="274">
        <f t="shared" si="24"/>
        <v>0</v>
      </c>
      <c r="AT132" s="274">
        <f t="shared" si="25"/>
        <v>0</v>
      </c>
      <c r="AU132" s="274">
        <f t="shared" si="26"/>
        <v>0</v>
      </c>
      <c r="AV132" s="190" t="str">
        <f>IF($B132&lt;$F$22,SUM($T$100:$T132),"")</f>
        <v/>
      </c>
      <c r="AW132" s="190" t="str">
        <f t="shared" ref="AW132:AW163" si="83">IF(ISNUMBER(Koc),IF(ISNUMBER(AV132),AV132*(Koc*(Ocse/100)*Pse*Vse)/(Koc*(Ocse/100)*Pse*Vse+1*86400*($B132+1)),""),"-")</f>
        <v>-</v>
      </c>
      <c r="AX132" s="190" t="str">
        <f t="shared" si="56"/>
        <v/>
      </c>
      <c r="AY132"/>
      <c r="AZ132" s="190" t="str">
        <f ca="1">IF(ISNUMBER(OFFSET(AV132,-$F$21,0)),SUM(OFFSET($T$100,$F$21,0):$T132),"")</f>
        <v/>
      </c>
      <c r="BA132" s="190" t="str">
        <f t="shared" ref="BA132:BA163" ca="1" si="84">IF(ISNUMBER(OFFSET(AV132,-$F$21,0)),AZ132*(Koc*(Ocse/100)*Pse*Vse)/(Koc*(Ocse/100)*Pse*Vse+1*86400*($B132+1)),"")</f>
        <v/>
      </c>
      <c r="BB132" s="190" t="str">
        <f t="shared" ca="1" si="70"/>
        <v/>
      </c>
      <c r="BC132" s="190"/>
      <c r="BD132" s="190" t="str">
        <f ca="1">IFERROR(IF(OR(ISNUMBER(I),ISNUMBER($F$14)),IF(AND($B132&gt;=($F$16-$F$15),$B132&lt;$F$22+($F$16-$F$15)),SUM(OFFSET($T$100,($F$16-$F$15),0):$T132),""),""),"")</f>
        <v/>
      </c>
      <c r="BE132" s="190" t="str">
        <f t="shared" ca="1" si="58"/>
        <v/>
      </c>
      <c r="BF132" s="190" t="str">
        <f t="shared" ca="1" si="59"/>
        <v/>
      </c>
      <c r="BG132"/>
      <c r="BH132" s="190" t="str">
        <f ca="1">IF(ISNUMBER(OFFSET(BD132,-$F$21,0)),SUM(OFFSET($T$100,($F$16-$F$15+$F$21),0):$T132),"")</f>
        <v/>
      </c>
      <c r="BI132" s="190" t="str">
        <f t="shared" ref="BI132:BI163" ca="1" si="85">IF(ISNUMBER(OFFSET(BD132,-$F$21,0)),BH132*(Koc*(Ocse/100)*Pse*Vse)/(Koc*(Ocse/100)*Pse*Vse+1*86400*($B132+1)),"")</f>
        <v/>
      </c>
      <c r="BJ132" s="190" t="str">
        <f t="shared" ca="1" si="60"/>
        <v/>
      </c>
      <c r="BK132" s="190"/>
      <c r="BL132" s="190" t="str">
        <f ca="1">IFERROR(IF(OR(ISNUMBER(I),ISNUMBER($F$14)),IF(AND($B132&gt;=($F$17-$F$15),$B132&lt;$F$22+($F$17-$F$15)),SUM(OFFSET($T$100,($F$17-$F$15),0):$T132),""),""),"")</f>
        <v/>
      </c>
      <c r="BM132" s="190" t="str">
        <f t="shared" ref="BM132:BM163" ca="1" si="86">IF(ISNUMBER(BL132),BL132*(Koc*(Ocse/100)*Pse*Vse)/(Koc*(Ocse/100)*Pse*Vse+1*86400*($B132+1)),"")</f>
        <v/>
      </c>
      <c r="BN132" s="190" t="str">
        <f t="shared" ca="1" si="61"/>
        <v/>
      </c>
      <c r="BO132"/>
      <c r="BP132" s="190" t="str">
        <f ca="1">IF(ISNUMBER(OFFSET(BL132,-$F$21,0)),SUM(OFFSET($T$100,($F$17-$F$15+$F$21),0):$T132),"")</f>
        <v/>
      </c>
      <c r="BQ132" s="190" t="str">
        <f t="shared" ref="BQ132:BQ163" ca="1" si="87">IF(ISNUMBER(OFFSET(BL132,-$F$21,0)),BP132*(Koc*(Ocse/100)*Pse*Vse)/(Koc*(Ocse/100)*Pse*Vse+1*86400*($B132+1)),"")</f>
        <v/>
      </c>
      <c r="BR132" s="190" t="str">
        <f t="shared" ca="1" si="63"/>
        <v/>
      </c>
      <c r="BS132" s="190"/>
      <c r="BT132"/>
      <c r="BU132"/>
      <c r="BV132"/>
      <c r="BY132" s="99"/>
      <c r="BZ132" s="99"/>
      <c r="CA132" s="280" t="str">
        <f t="shared" ref="CA132:CA163" si="88">IFERROR(IF($B132&lt;$CA$94,T132*(Koc*(Ocse/100)*Pse*Vse)/(Koc*(Ocse/100)*Pse*Vse+1*86400*$CA$94),""),"-")</f>
        <v/>
      </c>
      <c r="CB132" s="71" t="str">
        <f t="shared" si="31"/>
        <v>-</v>
      </c>
      <c r="CC132" s="33"/>
      <c r="CD132" s="261" t="str">
        <f t="shared" si="33"/>
        <v/>
      </c>
      <c r="CE132" s="280" t="str">
        <f t="shared" ref="CE132:CE163" si="89">IFERROR(IF($B132&lt;$CE$94,T132*(Koc*(Ocse/100)*Pse*Vse)/(Koc*(Ocse/100)*Pse*Vse+1*86400*$CE$94),""),"-")</f>
        <v/>
      </c>
      <c r="CF132" s="71" t="str">
        <f t="shared" ref="CF132:CF163" ca="1" si="90">IFERROR(IF($B132&lt;$CE$94,IF(NOT(ISNUMBER(ffp)),"-",IF($F$70=$AX$87,AX132,IF($F$70=$BB$87,OFFSET(BB132,$F$21,0),IF($F$70=$BF$87,OFFSET(BF132,$F$16,0),IF($F$70=$BJ$87,OFFSET(BJ132,$F$16+$F$21,0),IF($F$70=$BN$87,OFFSET(BN132,$F$17,0),OFFSET(BR132,$F$17+$F$21,0))))))),""),"-")</f>
        <v/>
      </c>
      <c r="CG132" s="33" t="str">
        <f t="shared" si="36"/>
        <v/>
      </c>
      <c r="CH132" s="261" t="str">
        <f t="shared" ca="1" si="37"/>
        <v/>
      </c>
      <c r="CI132" s="202"/>
      <c r="CJ132" s="99"/>
      <c r="CK132" s="99"/>
      <c r="CL132" s="99"/>
      <c r="CM132" s="99"/>
      <c r="CN132" s="99"/>
      <c r="CO132" s="99"/>
    </row>
    <row r="133" spans="2:93" ht="13.5" customHeight="1" x14ac:dyDescent="0.2">
      <c r="B133" s="262">
        <v>33</v>
      </c>
      <c r="C133" s="237" t="str">
        <f t="shared" si="1"/>
        <v/>
      </c>
      <c r="D133" s="237" t="str">
        <f t="shared" si="66"/>
        <v/>
      </c>
      <c r="E133" s="290" t="str">
        <f t="shared" si="38"/>
        <v/>
      </c>
      <c r="F133" s="264" t="str">
        <f t="shared" si="39"/>
        <v/>
      </c>
      <c r="G133" s="291" t="str">
        <f t="shared" si="40"/>
        <v/>
      </c>
      <c r="H133" s="240" t="str">
        <f t="shared" si="71"/>
        <v/>
      </c>
      <c r="I133" s="265" t="str">
        <f t="shared" si="72"/>
        <v/>
      </c>
      <c r="J133" s="265" t="str">
        <f t="shared" si="73"/>
        <v/>
      </c>
      <c r="K133" s="240" t="str">
        <f t="shared" si="74"/>
        <v/>
      </c>
      <c r="L133" s="265" t="str">
        <f t="shared" si="75"/>
        <v/>
      </c>
      <c r="M133" s="265" t="str">
        <f t="shared" si="76"/>
        <v/>
      </c>
      <c r="N133" s="240" t="str">
        <f t="shared" si="77"/>
        <v>-</v>
      </c>
      <c r="O133" s="265" t="str">
        <f t="shared" si="78"/>
        <v>-</v>
      </c>
      <c r="P133" s="265" t="str">
        <f t="shared" si="79"/>
        <v>-</v>
      </c>
      <c r="Q133" s="266" t="str">
        <f t="shared" si="80"/>
        <v>-</v>
      </c>
      <c r="R133" s="267" t="str">
        <f t="shared" si="81"/>
        <v>-</v>
      </c>
      <c r="S133" s="268" t="str">
        <f t="shared" si="82"/>
        <v>-</v>
      </c>
      <c r="T133" s="269" t="str">
        <f t="shared" si="13"/>
        <v/>
      </c>
      <c r="U133" s="221">
        <f t="shared" si="14"/>
        <v>33</v>
      </c>
      <c r="V133" s="220" t="str">
        <f t="shared" si="42"/>
        <v>-</v>
      </c>
      <c r="W133" s="221" t="str">
        <f t="shared" si="43"/>
        <v>-</v>
      </c>
      <c r="X133" s="221" t="str">
        <f t="shared" si="15"/>
        <v>-</v>
      </c>
      <c r="Y133" s="221" t="str">
        <f t="shared" si="16"/>
        <v>-</v>
      </c>
      <c r="Z133" s="270">
        <f t="shared" si="44"/>
        <v>0.1</v>
      </c>
      <c r="AA133" s="271" t="str">
        <f>IFERROR(IF(V132=1,AA$100*EXP(-(LN(2)/$D$65+0.04)*X132)*EXP(-(LN(2)/$D$65+0.1)*Y132),IF(V132=2,AA$100*EXP(-(LN(2)/$D$65+0.04)*(VLOOKUP(($F$16-$F$15)-1,U$99:Y132,4,FALSE)))*EXP(-(LN(2)/$D$65+0.1)*(VLOOKUP(($F$16-$F$15)-1,U$99:Y132,5,FALSE)))*EXP(-(LN(2)/$D$65+0.04)*X132)*EXP(-(LN(2)/$D$65+0.1)*Y132),IF(V132=3,AA$100*EXP(-(LN(2)/$D$65+0.04)*(VLOOKUP(($F$16-$F$15)-1,U$99:Y132,4,FALSE)))*EXP(-(LN(2)/$D$65+0.1)*(VLOOKUP(($F$16-$F$15)-1,U$99:Y132,5,FALSE)))*EXP(-(LN(2)/$D$65+0.04)*(VLOOKUP(($F$16-$F$15)*2-1,U$99:Y132,4,FALSE)))*EXP(-(LN(2)/$D$65+0.1)*(VLOOKUP(($F$16-$F$15)*2-1,U$99:Y132,5,FALSE)))*EXP(-(LN(2)/$D$65+0.04)*X132)*EXP(-(LN(2)/$D$65+0.1)*Y132),"-"))),"-")</f>
        <v>-</v>
      </c>
      <c r="AB133" s="271" t="str">
        <f>IFERROR(IF(V133=1,AB$100*EXP(-(LN(2)/$D$65+0.04)*X133)*EXP(-(LN(2)/$D$65+0.1)*Y133),IF(V133=2,AB$100*EXP(-(LN(2)/$D$65+0.04)*(VLOOKUP(($F$16-$F$15)-1,U$100:Y133,4,FALSE)))*EXP(-(LN(2)/$D$65+0.1)*(VLOOKUP(($F$16-$F$15)-1,U$100:Y133,5,FALSE)))*EXP(-(LN(2)/$D$65+0.04)*X133)*EXP(-(LN(2)/$D$65+0.1)*Y133),IF(V133=3,AB$100*EXP(-(LN(2)/$D$65+0.04)*(VLOOKUP(($F$16-$F$15)-1,U$100:Y133,4,FALSE)))*EXP(-(LN(2)/$D$65+0.1)*(VLOOKUP(($F$16-$F$15)-1,U$100:Y133,5,FALSE)))*EXP(-(LN(2)/$D$65+0.04)*(VLOOKUP(($F$16-$F$15)*2-1,U$100:Y133,4,FALSE)))*EXP(-(LN(2)/$D$65+0.1)*(VLOOKUP(($F$16-$F$15)*2-1,U$100:Y133,5,FALSE)))*EXP(-(LN(2)/$D$65+0.04)*X133)*EXP(-(LN(2)/$D$65+0.1)*Y133),"-"))),"-")</f>
        <v>-</v>
      </c>
      <c r="AC133" s="224">
        <f t="shared" si="45"/>
        <v>33</v>
      </c>
      <c r="AD133" s="223" t="str">
        <f t="shared" si="18"/>
        <v>-</v>
      </c>
      <c r="AE133" s="224" t="str">
        <f t="shared" si="46"/>
        <v>-</v>
      </c>
      <c r="AF133" s="224" t="str">
        <f t="shared" si="19"/>
        <v>-</v>
      </c>
      <c r="AG133" s="224" t="str">
        <f t="shared" si="20"/>
        <v>-</v>
      </c>
      <c r="AH133" s="272">
        <f t="shared" si="47"/>
        <v>0.1</v>
      </c>
      <c r="AI133" s="271" t="str">
        <f>IFERROR(IF(AD132=1,AI$100*EXP(-(LN(2)/$D$65+0.04)*AF132)*EXP(-(LN(2)/$D$65+0.1)*AG132),IF(AD132=2,AI$100*EXP(-(LN(2)/$D$65+0.04)*(VLOOKUP(($F$16-$F$15)-1,AC$99:AG132,4,FALSE)))*EXP(-(LN(2)/$D$65+0.1)*(VLOOKUP(($F$16-$F$15)-1,AC$99:AG132,5,FALSE)))*EXP(-(LN(2)/$D$65+0.04)*AF132)*EXP(-(LN(2)/$D$65+0.1)*AG132),IF(AD132=3,AI$100*EXP(-(LN(2)/$D$65+0.04)*(VLOOKUP(($F$16-$F$15)-1,AC$99:AG132,4,FALSE)))*EXP(-(LN(2)/$D$65+0.1)*(VLOOKUP(($F$16-$F$15)-1,AC$99:AG132,5,FALSE)))*EXP(-(LN(2)/$D$65+0.04)*(VLOOKUP(($F$16-$F$15)*2-1,AC$99:AG132,4,FALSE)))*EXP(-(LN(2)/$D$65+0.1)*(VLOOKUP(($F$16-$F$15)*2-1,AC$99:AG132,5,FALSE)))*EXP(-(LN(2)/$D$65+0.04)*AF132)*EXP(-(LN(2)/$D$65+0.1)*AG132),"-"))),"-")</f>
        <v>-</v>
      </c>
      <c r="AJ133" s="271" t="str">
        <f>IFERROR(IF(AD133=1,AJ$100*EXP(-(LN(2)/$D$65+0.04)*AF133)*EXP(-(LN(2)/$D$65+0.1)*AG133),IF(AD133=2,AJ$100*EXP(-(LN(2)/$D$65+0.04)*(VLOOKUP(($F$16-$F$15)-1,AC$100:AG133,4,FALSE)))*EXP(-(LN(2)/$D$65+0.1)*(VLOOKUP(($F$16-$F$15)-1,AC$100:AG133,5,FALSE)))*EXP(-(LN(2)/$D$65+0.04)*AF133)*EXP(-(LN(2)/$D$65+0.1)*AG133),IF(AD133=3,AJ$100*EXP(-(LN(2)/$D$65+0.04)*(VLOOKUP(($F$16-$F$15)-1,AC$100:AG133,4,FALSE)))*EXP(-(LN(2)/$D$65+0.1)*(VLOOKUP(($F$16-$F$15)-1,AC$100:AG133,5,FALSE)))*EXP(-(LN(2)/$D$65+0.04)*(VLOOKUP(($F$16-$F$15)*2-1,AC$100:AG133,4,FALSE)))*EXP(-(LN(2)/$D$65+0.1)*(VLOOKUP(($F$16-$F$15)*2-1,AC$100:AG133,5,FALSE)))*EXP(-(LN(2)/$D$65+0.04)*AF133)*EXP(-(LN(2)/$D$65+0.1)*AG133),"-"))),"-")</f>
        <v>-</v>
      </c>
      <c r="AK133" s="227">
        <f t="shared" si="49"/>
        <v>33</v>
      </c>
      <c r="AL133" s="226" t="str">
        <f t="shared" si="22"/>
        <v>-</v>
      </c>
      <c r="AM133" s="227" t="str">
        <f t="shared" si="50"/>
        <v>-</v>
      </c>
      <c r="AN133" s="227" t="str">
        <f t="shared" si="51"/>
        <v>-</v>
      </c>
      <c r="AO133" s="227" t="str">
        <f t="shared" si="23"/>
        <v>-</v>
      </c>
      <c r="AP133" s="273">
        <f t="shared" si="52"/>
        <v>0.1</v>
      </c>
      <c r="AQ133" s="271" t="str">
        <f>IFERROR(IF(AL132=1,AQ$100*EXP(-(LN(2)/$D$65+0.04)*AN132)*EXP(-(LN(2)/$D$65+0.1)*AO132),IF(AL132=2,AQ$100*EXP(-(LN(2)/$D$65+0.04)*(VLOOKUP(($F$16-$F$15)-1,AK$99:AO132,4,FALSE)))*EXP(-(LN(2)/$D$65+0.1)*(VLOOKUP(($F$16-$F$15)-1,AK$99:AO132,5,FALSE)))*EXP(-(LN(2)/$D$65+0.04)*AN132)*EXP(-(LN(2)/$D$65+0.1)*AO132),IF(AL132=3,AQ$100*EXP(-(LN(2)/$D$65+0.04)*(VLOOKUP(($F$16-$F$15)-1,AK$99:AO132,4,FALSE)))*EXP(-(LN(2)/$D$65+0.1)*(VLOOKUP(($F$16-$F$15)-1,AK$99:AO132,5,FALSE)))*EXP(-(LN(2)/$D$65+0.04)*(VLOOKUP(($F$16-$F$15)*2-1,AK$99:AO132,4,FALSE)))*EXP(-(LN(2)/$D$65+0.1)*(VLOOKUP(($F$16-$F$15)*2-1,AK$99:AO132,5,FALSE)))*EXP(-(LN(2)/$D$65+0.04)*AN132)*EXP(-(LN(2)/$D$65+0.1)*AO132),"-"))),"-")</f>
        <v>-</v>
      </c>
      <c r="AR133" s="271" t="str">
        <f>IFERROR(IF(AL133=1,AR$100*EXP(-(LN(2)/$D$65+0.04)*AN133)*EXP(-(LN(2)/$D$65+0.1)*AO133),IF(AL133=2,AR$100*EXP(-(LN(2)/$D$65+0.04)*(VLOOKUP(($F$16-$F$15)-1,AK$100:AO133,4,FALSE)))*EXP(-(LN(2)/$D$65+0.1)*(VLOOKUP(($F$16-$F$15)-1,AK$100:AO133,5,FALSE)))*EXP(-(LN(2)/$D$65+0.04)*AN133)*EXP(-(LN(2)/$D$65+0.1)*AO133),IF(AL133=3,AR$100*EXP(-(LN(2)/$D$65+0.04)*(VLOOKUP(($F$16-$F$15)-1,AK$100:AO133,4,FALSE)))*EXP(-(LN(2)/$D$65+0.1)*(VLOOKUP(($F$16-$F$15)-1,AK$100:AO133,5,FALSE)))*EXP(-(LN(2)/$D$65+0.04)*(VLOOKUP(($F$16-$F$15)*2-1,AK$100:AO133,4,FALSE)))*EXP(-(LN(2)/$D$65+0.1)*(VLOOKUP(($F$16-$F$15)*2-1,AK$100:AO133,5,FALSE)))*EXP(-(LN(2)/$D$65+0.04)*AN133)*EXP(-(LN(2)/$D$65+0.1)*AO133),"-"))),"-")</f>
        <v>-</v>
      </c>
      <c r="AS133" s="274">
        <f t="shared" si="24"/>
        <v>0</v>
      </c>
      <c r="AT133" s="274">
        <f t="shared" si="25"/>
        <v>0</v>
      </c>
      <c r="AU133" s="274">
        <f t="shared" si="26"/>
        <v>0</v>
      </c>
      <c r="AV133" s="190" t="str">
        <f>IF($B133&lt;$F$22,SUM($T$100:$T133),"")</f>
        <v/>
      </c>
      <c r="AW133" s="190" t="str">
        <f t="shared" si="83"/>
        <v>-</v>
      </c>
      <c r="AX133" s="190" t="str">
        <f t="shared" si="56"/>
        <v/>
      </c>
      <c r="AY133"/>
      <c r="AZ133" s="190" t="str">
        <f ca="1">IF(ISNUMBER(OFFSET(AV133,-$F$21,0)),SUM(OFFSET($T$100,$F$21,0):$T133),"")</f>
        <v/>
      </c>
      <c r="BA133" s="190" t="str">
        <f t="shared" ca="1" si="84"/>
        <v/>
      </c>
      <c r="BB133" s="190" t="str">
        <f t="shared" ca="1" si="70"/>
        <v/>
      </c>
      <c r="BC133" s="190"/>
      <c r="BD133" s="190" t="str">
        <f ca="1">IFERROR(IF(OR(ISNUMBER(I),ISNUMBER($F$14)),IF(AND($B133&gt;=($F$16-$F$15),$B133&lt;$F$22+($F$16-$F$15)),SUM(OFFSET($T$100,($F$16-$F$15),0):$T133),""),""),"")</f>
        <v/>
      </c>
      <c r="BE133" s="190" t="str">
        <f t="shared" ca="1" si="58"/>
        <v/>
      </c>
      <c r="BF133" s="190" t="str">
        <f t="shared" ca="1" si="59"/>
        <v/>
      </c>
      <c r="BG133"/>
      <c r="BH133" s="190" t="str">
        <f ca="1">IF(ISNUMBER(OFFSET(BD133,-$F$21,0)),SUM(OFFSET($T$100,($F$16-$F$15+$F$21),0):$T133),"")</f>
        <v/>
      </c>
      <c r="BI133" s="190" t="str">
        <f t="shared" ca="1" si="85"/>
        <v/>
      </c>
      <c r="BJ133" s="190" t="str">
        <f t="shared" ca="1" si="60"/>
        <v/>
      </c>
      <c r="BK133" s="190"/>
      <c r="BL133" s="190" t="str">
        <f ca="1">IFERROR(IF(OR(ISNUMBER(I),ISNUMBER($F$14)),IF(AND($B133&gt;=($F$17-$F$15),$B133&lt;$F$22+($F$17-$F$15)),SUM(OFFSET($T$100,($F$17-$F$15),0):$T133),""),""),"")</f>
        <v/>
      </c>
      <c r="BM133" s="190" t="str">
        <f t="shared" ca="1" si="86"/>
        <v/>
      </c>
      <c r="BN133" s="190" t="str">
        <f t="shared" ca="1" si="61"/>
        <v/>
      </c>
      <c r="BO133"/>
      <c r="BP133" s="190" t="str">
        <f ca="1">IF(ISNUMBER(OFFSET(BL133,-$F$21,0)),SUM(OFFSET($T$100,($F$17-$F$15+$F$21),0):$T133),"")</f>
        <v/>
      </c>
      <c r="BQ133" s="190" t="str">
        <f t="shared" ca="1" si="87"/>
        <v/>
      </c>
      <c r="BR133" s="190" t="str">
        <f t="shared" ca="1" si="63"/>
        <v/>
      </c>
      <c r="BS133" s="190"/>
      <c r="BT133"/>
      <c r="BU133"/>
      <c r="BV133"/>
      <c r="BY133" s="99"/>
      <c r="BZ133" s="99"/>
      <c r="CA133" s="280" t="str">
        <f t="shared" si="88"/>
        <v/>
      </c>
      <c r="CB133" s="71" t="str">
        <f t="shared" si="31"/>
        <v>-</v>
      </c>
      <c r="CC133" s="33"/>
      <c r="CD133" s="261" t="str">
        <f t="shared" si="33"/>
        <v/>
      </c>
      <c r="CE133" s="280" t="str">
        <f t="shared" si="89"/>
        <v/>
      </c>
      <c r="CF133" s="71" t="str">
        <f t="shared" ca="1" si="90"/>
        <v/>
      </c>
      <c r="CG133" s="33" t="str">
        <f t="shared" si="36"/>
        <v/>
      </c>
      <c r="CH133" s="261" t="str">
        <f t="shared" ca="1" si="37"/>
        <v/>
      </c>
      <c r="CI133" s="202"/>
      <c r="CJ133" s="99"/>
      <c r="CK133" s="99"/>
      <c r="CL133" s="99"/>
      <c r="CM133" s="99"/>
      <c r="CN133" s="99"/>
      <c r="CO133" s="99"/>
    </row>
    <row r="134" spans="2:93" ht="13.5" customHeight="1" x14ac:dyDescent="0.2">
      <c r="B134" s="262">
        <v>34</v>
      </c>
      <c r="C134" s="237" t="str">
        <f t="shared" si="1"/>
        <v/>
      </c>
      <c r="D134" s="237" t="str">
        <f t="shared" si="66"/>
        <v/>
      </c>
      <c r="E134" s="290" t="str">
        <f t="shared" si="38"/>
        <v/>
      </c>
      <c r="F134" s="264" t="str">
        <f t="shared" si="39"/>
        <v/>
      </c>
      <c r="G134" s="291" t="str">
        <f t="shared" si="40"/>
        <v/>
      </c>
      <c r="H134" s="240" t="str">
        <f t="shared" si="71"/>
        <v/>
      </c>
      <c r="I134" s="265" t="str">
        <f t="shared" si="72"/>
        <v/>
      </c>
      <c r="J134" s="265" t="str">
        <f t="shared" si="73"/>
        <v/>
      </c>
      <c r="K134" s="240" t="str">
        <f t="shared" si="74"/>
        <v/>
      </c>
      <c r="L134" s="265" t="str">
        <f t="shared" si="75"/>
        <v/>
      </c>
      <c r="M134" s="265" t="str">
        <f t="shared" si="76"/>
        <v/>
      </c>
      <c r="N134" s="240" t="str">
        <f t="shared" si="77"/>
        <v>-</v>
      </c>
      <c r="O134" s="265" t="str">
        <f t="shared" si="78"/>
        <v>-</v>
      </c>
      <c r="P134" s="265" t="str">
        <f t="shared" si="79"/>
        <v>-</v>
      </c>
      <c r="Q134" s="266" t="str">
        <f t="shared" si="80"/>
        <v>-</v>
      </c>
      <c r="R134" s="267" t="str">
        <f t="shared" si="81"/>
        <v>-</v>
      </c>
      <c r="S134" s="268" t="str">
        <f t="shared" si="82"/>
        <v>-</v>
      </c>
      <c r="T134" s="269" t="str">
        <f t="shared" si="13"/>
        <v/>
      </c>
      <c r="U134" s="221">
        <f t="shared" si="14"/>
        <v>34</v>
      </c>
      <c r="V134" s="220" t="str">
        <f t="shared" si="42"/>
        <v>-</v>
      </c>
      <c r="W134" s="221" t="str">
        <f t="shared" si="43"/>
        <v>-</v>
      </c>
      <c r="X134" s="221" t="str">
        <f t="shared" si="15"/>
        <v>-</v>
      </c>
      <c r="Y134" s="221" t="str">
        <f t="shared" si="16"/>
        <v>-</v>
      </c>
      <c r="Z134" s="270">
        <f t="shared" si="44"/>
        <v>0.1</v>
      </c>
      <c r="AA134" s="271" t="str">
        <f>IFERROR(IF(V133=1,AA$100*EXP(-(LN(2)/$D$65+0.04)*X133)*EXP(-(LN(2)/$D$65+0.1)*Y133),IF(V133=2,AA$100*EXP(-(LN(2)/$D$65+0.04)*(VLOOKUP(($F$16-$F$15)-1,U$99:Y133,4,FALSE)))*EXP(-(LN(2)/$D$65+0.1)*(VLOOKUP(($F$16-$F$15)-1,U$99:Y133,5,FALSE)))*EXP(-(LN(2)/$D$65+0.04)*X133)*EXP(-(LN(2)/$D$65+0.1)*Y133),IF(V133=3,AA$100*EXP(-(LN(2)/$D$65+0.04)*(VLOOKUP(($F$16-$F$15)-1,U$99:Y133,4,FALSE)))*EXP(-(LN(2)/$D$65+0.1)*(VLOOKUP(($F$16-$F$15)-1,U$99:Y133,5,FALSE)))*EXP(-(LN(2)/$D$65+0.04)*(VLOOKUP(($F$16-$F$15)*2-1,U$99:Y133,4,FALSE)))*EXP(-(LN(2)/$D$65+0.1)*(VLOOKUP(($F$16-$F$15)*2-1,U$99:Y133,5,FALSE)))*EXP(-(LN(2)/$D$65+0.04)*X133)*EXP(-(LN(2)/$D$65+0.1)*Y133),"-"))),"-")</f>
        <v>-</v>
      </c>
      <c r="AB134" s="271" t="str">
        <f>IFERROR(IF(V134=1,AB$100*EXP(-(LN(2)/$D$65+0.04)*X134)*EXP(-(LN(2)/$D$65+0.1)*Y134),IF(V134=2,AB$100*EXP(-(LN(2)/$D$65+0.04)*(VLOOKUP(($F$16-$F$15)-1,U$100:Y134,4,FALSE)))*EXP(-(LN(2)/$D$65+0.1)*(VLOOKUP(($F$16-$F$15)-1,U$100:Y134,5,FALSE)))*EXP(-(LN(2)/$D$65+0.04)*X134)*EXP(-(LN(2)/$D$65+0.1)*Y134),IF(V134=3,AB$100*EXP(-(LN(2)/$D$65+0.04)*(VLOOKUP(($F$16-$F$15)-1,U$100:Y134,4,FALSE)))*EXP(-(LN(2)/$D$65+0.1)*(VLOOKUP(($F$16-$F$15)-1,U$100:Y134,5,FALSE)))*EXP(-(LN(2)/$D$65+0.04)*(VLOOKUP(($F$16-$F$15)*2-1,U$100:Y134,4,FALSE)))*EXP(-(LN(2)/$D$65+0.1)*(VLOOKUP(($F$16-$F$15)*2-1,U$100:Y134,5,FALSE)))*EXP(-(LN(2)/$D$65+0.04)*X134)*EXP(-(LN(2)/$D$65+0.1)*Y134),"-"))),"-")</f>
        <v>-</v>
      </c>
      <c r="AC134" s="224">
        <f t="shared" si="45"/>
        <v>34</v>
      </c>
      <c r="AD134" s="223" t="str">
        <f t="shared" si="18"/>
        <v>-</v>
      </c>
      <c r="AE134" s="224" t="str">
        <f t="shared" si="46"/>
        <v>-</v>
      </c>
      <c r="AF134" s="224" t="str">
        <f t="shared" si="19"/>
        <v>-</v>
      </c>
      <c r="AG134" s="224" t="str">
        <f t="shared" si="20"/>
        <v>-</v>
      </c>
      <c r="AH134" s="272">
        <f t="shared" si="47"/>
        <v>0.1</v>
      </c>
      <c r="AI134" s="271" t="str">
        <f>IFERROR(IF(AD133=1,AI$100*EXP(-(LN(2)/$D$65+0.04)*AF133)*EXP(-(LN(2)/$D$65+0.1)*AG133),IF(AD133=2,AI$100*EXP(-(LN(2)/$D$65+0.04)*(VLOOKUP(($F$16-$F$15)-1,AC$99:AG133,4,FALSE)))*EXP(-(LN(2)/$D$65+0.1)*(VLOOKUP(($F$16-$F$15)-1,AC$99:AG133,5,FALSE)))*EXP(-(LN(2)/$D$65+0.04)*AF133)*EXP(-(LN(2)/$D$65+0.1)*AG133),IF(AD133=3,AI$100*EXP(-(LN(2)/$D$65+0.04)*(VLOOKUP(($F$16-$F$15)-1,AC$99:AG133,4,FALSE)))*EXP(-(LN(2)/$D$65+0.1)*(VLOOKUP(($F$16-$F$15)-1,AC$99:AG133,5,FALSE)))*EXP(-(LN(2)/$D$65+0.04)*(VLOOKUP(($F$16-$F$15)*2-1,AC$99:AG133,4,FALSE)))*EXP(-(LN(2)/$D$65+0.1)*(VLOOKUP(($F$16-$F$15)*2-1,AC$99:AG133,5,FALSE)))*EXP(-(LN(2)/$D$65+0.04)*AF133)*EXP(-(LN(2)/$D$65+0.1)*AG133),"-"))),"-")</f>
        <v>-</v>
      </c>
      <c r="AJ134" s="271" t="str">
        <f>IFERROR(IF(AD134=1,AJ$100*EXP(-(LN(2)/$D$65+0.04)*AF134)*EXP(-(LN(2)/$D$65+0.1)*AG134),IF(AD134=2,AJ$100*EXP(-(LN(2)/$D$65+0.04)*(VLOOKUP(($F$16-$F$15)-1,AC$100:AG134,4,FALSE)))*EXP(-(LN(2)/$D$65+0.1)*(VLOOKUP(($F$16-$F$15)-1,AC$100:AG134,5,FALSE)))*EXP(-(LN(2)/$D$65+0.04)*AF134)*EXP(-(LN(2)/$D$65+0.1)*AG134),IF(AD134=3,AJ$100*EXP(-(LN(2)/$D$65+0.04)*(VLOOKUP(($F$16-$F$15)-1,AC$100:AG134,4,FALSE)))*EXP(-(LN(2)/$D$65+0.1)*(VLOOKUP(($F$16-$F$15)-1,AC$100:AG134,5,FALSE)))*EXP(-(LN(2)/$D$65+0.04)*(VLOOKUP(($F$16-$F$15)*2-1,AC$100:AG134,4,FALSE)))*EXP(-(LN(2)/$D$65+0.1)*(VLOOKUP(($F$16-$F$15)*2-1,AC$100:AG134,5,FALSE)))*EXP(-(LN(2)/$D$65+0.04)*AF134)*EXP(-(LN(2)/$D$65+0.1)*AG134),"-"))),"-")</f>
        <v>-</v>
      </c>
      <c r="AK134" s="227">
        <f t="shared" si="49"/>
        <v>34</v>
      </c>
      <c r="AL134" s="226" t="str">
        <f t="shared" si="22"/>
        <v>-</v>
      </c>
      <c r="AM134" s="227" t="str">
        <f t="shared" si="50"/>
        <v>-</v>
      </c>
      <c r="AN134" s="227" t="str">
        <f t="shared" si="51"/>
        <v>-</v>
      </c>
      <c r="AO134" s="227" t="str">
        <f t="shared" si="23"/>
        <v>-</v>
      </c>
      <c r="AP134" s="273">
        <f t="shared" si="52"/>
        <v>0.1</v>
      </c>
      <c r="AQ134" s="271" t="str">
        <f>IFERROR(IF(AL133=1,AQ$100*EXP(-(LN(2)/$D$65+0.04)*AN133)*EXP(-(LN(2)/$D$65+0.1)*AO133),IF(AL133=2,AQ$100*EXP(-(LN(2)/$D$65+0.04)*(VLOOKUP(($F$16-$F$15)-1,AK$99:AO133,4,FALSE)))*EXP(-(LN(2)/$D$65+0.1)*(VLOOKUP(($F$16-$F$15)-1,AK$99:AO133,5,FALSE)))*EXP(-(LN(2)/$D$65+0.04)*AN133)*EXP(-(LN(2)/$D$65+0.1)*AO133),IF(AL133=3,AQ$100*EXP(-(LN(2)/$D$65+0.04)*(VLOOKUP(($F$16-$F$15)-1,AK$99:AO133,4,FALSE)))*EXP(-(LN(2)/$D$65+0.1)*(VLOOKUP(($F$16-$F$15)-1,AK$99:AO133,5,FALSE)))*EXP(-(LN(2)/$D$65+0.04)*(VLOOKUP(($F$16-$F$15)*2-1,AK$99:AO133,4,FALSE)))*EXP(-(LN(2)/$D$65+0.1)*(VLOOKUP(($F$16-$F$15)*2-1,AK$99:AO133,5,FALSE)))*EXP(-(LN(2)/$D$65+0.04)*AN133)*EXP(-(LN(2)/$D$65+0.1)*AO133),"-"))),"-")</f>
        <v>-</v>
      </c>
      <c r="AR134" s="271" t="str">
        <f>IFERROR(IF(AL134=1,AR$100*EXP(-(LN(2)/$D$65+0.04)*AN134)*EXP(-(LN(2)/$D$65+0.1)*AO134),IF(AL134=2,AR$100*EXP(-(LN(2)/$D$65+0.04)*(VLOOKUP(($F$16-$F$15)-1,AK$100:AO134,4,FALSE)))*EXP(-(LN(2)/$D$65+0.1)*(VLOOKUP(($F$16-$F$15)-1,AK$100:AO134,5,FALSE)))*EXP(-(LN(2)/$D$65+0.04)*AN134)*EXP(-(LN(2)/$D$65+0.1)*AO134),IF(AL134=3,AR$100*EXP(-(LN(2)/$D$65+0.04)*(VLOOKUP(($F$16-$F$15)-1,AK$100:AO134,4,FALSE)))*EXP(-(LN(2)/$D$65+0.1)*(VLOOKUP(($F$16-$F$15)-1,AK$100:AO134,5,FALSE)))*EXP(-(LN(2)/$D$65+0.04)*(VLOOKUP(($F$16-$F$15)*2-1,AK$100:AO134,4,FALSE)))*EXP(-(LN(2)/$D$65+0.1)*(VLOOKUP(($F$16-$F$15)*2-1,AK$100:AO134,5,FALSE)))*EXP(-(LN(2)/$D$65+0.04)*AN134)*EXP(-(LN(2)/$D$65+0.1)*AO134),"-"))),"-")</f>
        <v>-</v>
      </c>
      <c r="AS134" s="274">
        <f t="shared" si="24"/>
        <v>0</v>
      </c>
      <c r="AT134" s="274">
        <f t="shared" si="25"/>
        <v>0</v>
      </c>
      <c r="AU134" s="274">
        <f t="shared" si="26"/>
        <v>0</v>
      </c>
      <c r="AV134" s="190" t="str">
        <f>IF($B134&lt;$F$22,SUM($T$100:$T134),"")</f>
        <v/>
      </c>
      <c r="AW134" s="190" t="str">
        <f t="shared" si="83"/>
        <v>-</v>
      </c>
      <c r="AX134" s="190" t="str">
        <f t="shared" si="56"/>
        <v/>
      </c>
      <c r="AY134"/>
      <c r="AZ134" s="190" t="str">
        <f ca="1">IF(ISNUMBER(OFFSET(AV134,-$F$21,0)),SUM(OFFSET($T$100,$F$21,0):$T134),"")</f>
        <v/>
      </c>
      <c r="BA134" s="190" t="str">
        <f t="shared" ca="1" si="84"/>
        <v/>
      </c>
      <c r="BB134" s="190" t="str">
        <f t="shared" ca="1" si="70"/>
        <v/>
      </c>
      <c r="BC134" s="190"/>
      <c r="BD134" s="190" t="str">
        <f ca="1">IFERROR(IF(OR(ISNUMBER(I),ISNUMBER($F$14)),IF(AND($B134&gt;=($F$16-$F$15),$B134&lt;$F$22+($F$16-$F$15)),SUM(OFFSET($T$100,($F$16-$F$15),0):$T134),""),""),"")</f>
        <v/>
      </c>
      <c r="BE134" s="190" t="str">
        <f t="shared" ca="1" si="58"/>
        <v/>
      </c>
      <c r="BF134" s="190" t="str">
        <f t="shared" ca="1" si="59"/>
        <v/>
      </c>
      <c r="BG134"/>
      <c r="BH134" s="190" t="str">
        <f ca="1">IF(ISNUMBER(OFFSET(BD134,-$F$21,0)),SUM(OFFSET($T$100,($F$16-$F$15+$F$21),0):$T134),"")</f>
        <v/>
      </c>
      <c r="BI134" s="190" t="str">
        <f t="shared" ca="1" si="85"/>
        <v/>
      </c>
      <c r="BJ134" s="190" t="str">
        <f t="shared" ca="1" si="60"/>
        <v/>
      </c>
      <c r="BK134" s="190"/>
      <c r="BL134" s="190" t="str">
        <f ca="1">IFERROR(IF(OR(ISNUMBER(I),ISNUMBER($F$14)),IF(AND($B134&gt;=($F$17-$F$15),$B134&lt;$F$22+($F$17-$F$15)),SUM(OFFSET($T$100,($F$17-$F$15),0):$T134),""),""),"")</f>
        <v/>
      </c>
      <c r="BM134" s="190" t="str">
        <f t="shared" ca="1" si="86"/>
        <v/>
      </c>
      <c r="BN134" s="190" t="str">
        <f t="shared" ca="1" si="61"/>
        <v/>
      </c>
      <c r="BO134"/>
      <c r="BP134" s="190" t="str">
        <f ca="1">IF(ISNUMBER(OFFSET(BL134,-$F$21,0)),SUM(OFFSET($T$100,($F$17-$F$15+$F$21),0):$T134),"")</f>
        <v/>
      </c>
      <c r="BQ134" s="190" t="str">
        <f t="shared" ca="1" si="87"/>
        <v/>
      </c>
      <c r="BR134" s="190" t="str">
        <f t="shared" ca="1" si="63"/>
        <v/>
      </c>
      <c r="BS134" s="190"/>
      <c r="BT134"/>
      <c r="BU134"/>
      <c r="BV134"/>
      <c r="BY134" s="99"/>
      <c r="BZ134" s="99"/>
      <c r="CA134" s="280" t="str">
        <f t="shared" si="88"/>
        <v/>
      </c>
      <c r="CB134" s="71" t="str">
        <f t="shared" si="31"/>
        <v>-</v>
      </c>
      <c r="CC134" s="33"/>
      <c r="CD134" s="261" t="str">
        <f t="shared" si="33"/>
        <v/>
      </c>
      <c r="CE134" s="280" t="str">
        <f t="shared" si="89"/>
        <v/>
      </c>
      <c r="CF134" s="71" t="str">
        <f t="shared" ca="1" si="90"/>
        <v/>
      </c>
      <c r="CG134" s="33" t="str">
        <f t="shared" si="36"/>
        <v/>
      </c>
      <c r="CH134" s="261" t="str">
        <f t="shared" ca="1" si="37"/>
        <v/>
      </c>
      <c r="CI134" s="202"/>
      <c r="CJ134" s="99"/>
      <c r="CK134" s="99"/>
      <c r="CL134" s="99"/>
      <c r="CM134" s="99"/>
      <c r="CN134" s="99"/>
      <c r="CO134" s="99"/>
    </row>
    <row r="135" spans="2:93" ht="13.5" customHeight="1" x14ac:dyDescent="0.2">
      <c r="B135" s="262">
        <v>35</v>
      </c>
      <c r="C135" s="237" t="str">
        <f t="shared" si="1"/>
        <v/>
      </c>
      <c r="D135" s="237" t="str">
        <f t="shared" si="66"/>
        <v/>
      </c>
      <c r="E135" s="290" t="str">
        <f t="shared" si="38"/>
        <v/>
      </c>
      <c r="F135" s="264" t="str">
        <f t="shared" si="39"/>
        <v/>
      </c>
      <c r="G135" s="291" t="str">
        <f t="shared" si="40"/>
        <v/>
      </c>
      <c r="H135" s="240" t="str">
        <f t="shared" si="71"/>
        <v/>
      </c>
      <c r="I135" s="265" t="str">
        <f t="shared" si="72"/>
        <v/>
      </c>
      <c r="J135" s="265" t="str">
        <f t="shared" si="73"/>
        <v/>
      </c>
      <c r="K135" s="240" t="str">
        <f t="shared" si="74"/>
        <v/>
      </c>
      <c r="L135" s="265" t="str">
        <f t="shared" si="75"/>
        <v/>
      </c>
      <c r="M135" s="265" t="str">
        <f t="shared" si="76"/>
        <v/>
      </c>
      <c r="N135" s="240" t="str">
        <f t="shared" si="77"/>
        <v>-</v>
      </c>
      <c r="O135" s="265" t="str">
        <f t="shared" si="78"/>
        <v>-</v>
      </c>
      <c r="P135" s="265" t="str">
        <f t="shared" si="79"/>
        <v>-</v>
      </c>
      <c r="Q135" s="266" t="str">
        <f t="shared" si="80"/>
        <v>-</v>
      </c>
      <c r="R135" s="267" t="str">
        <f t="shared" si="81"/>
        <v>-</v>
      </c>
      <c r="S135" s="268" t="str">
        <f t="shared" si="82"/>
        <v>-</v>
      </c>
      <c r="T135" s="269" t="str">
        <f t="shared" si="13"/>
        <v/>
      </c>
      <c r="U135" s="221">
        <f t="shared" si="14"/>
        <v>35</v>
      </c>
      <c r="V135" s="220" t="str">
        <f t="shared" si="42"/>
        <v>-</v>
      </c>
      <c r="W135" s="221" t="str">
        <f t="shared" si="43"/>
        <v>-</v>
      </c>
      <c r="X135" s="221" t="str">
        <f t="shared" si="15"/>
        <v>-</v>
      </c>
      <c r="Y135" s="221" t="str">
        <f t="shared" si="16"/>
        <v>-</v>
      </c>
      <c r="Z135" s="270">
        <f t="shared" si="44"/>
        <v>0.1</v>
      </c>
      <c r="AA135" s="271" t="str">
        <f>IFERROR(IF(V134=1,AA$100*EXP(-(LN(2)/$D$65+0.04)*X134)*EXP(-(LN(2)/$D$65+0.1)*Y134),IF(V134=2,AA$100*EXP(-(LN(2)/$D$65+0.04)*(VLOOKUP(($F$16-$F$15)-1,U$99:Y134,4,FALSE)))*EXP(-(LN(2)/$D$65+0.1)*(VLOOKUP(($F$16-$F$15)-1,U$99:Y134,5,FALSE)))*EXP(-(LN(2)/$D$65+0.04)*X134)*EXP(-(LN(2)/$D$65+0.1)*Y134),IF(V134=3,AA$100*EXP(-(LN(2)/$D$65+0.04)*(VLOOKUP(($F$16-$F$15)-1,U$99:Y134,4,FALSE)))*EXP(-(LN(2)/$D$65+0.1)*(VLOOKUP(($F$16-$F$15)-1,U$99:Y134,5,FALSE)))*EXP(-(LN(2)/$D$65+0.04)*(VLOOKUP(($F$16-$F$15)*2-1,U$99:Y134,4,FALSE)))*EXP(-(LN(2)/$D$65+0.1)*(VLOOKUP(($F$16-$F$15)*2-1,U$99:Y134,5,FALSE)))*EXP(-(LN(2)/$D$65+0.04)*X134)*EXP(-(LN(2)/$D$65+0.1)*Y134),"-"))),"-")</f>
        <v>-</v>
      </c>
      <c r="AB135" s="271" t="str">
        <f>IFERROR(IF(V135=1,AB$100*EXP(-(LN(2)/$D$65+0.04)*X135)*EXP(-(LN(2)/$D$65+0.1)*Y135),IF(V135=2,AB$100*EXP(-(LN(2)/$D$65+0.04)*(VLOOKUP(($F$16-$F$15)-1,U$100:Y135,4,FALSE)))*EXP(-(LN(2)/$D$65+0.1)*(VLOOKUP(($F$16-$F$15)-1,U$100:Y135,5,FALSE)))*EXP(-(LN(2)/$D$65+0.04)*X135)*EXP(-(LN(2)/$D$65+0.1)*Y135),IF(V135=3,AB$100*EXP(-(LN(2)/$D$65+0.04)*(VLOOKUP(($F$16-$F$15)-1,U$100:Y135,4,FALSE)))*EXP(-(LN(2)/$D$65+0.1)*(VLOOKUP(($F$16-$F$15)-1,U$100:Y135,5,FALSE)))*EXP(-(LN(2)/$D$65+0.04)*(VLOOKUP(($F$16-$F$15)*2-1,U$100:Y135,4,FALSE)))*EXP(-(LN(2)/$D$65+0.1)*(VLOOKUP(($F$16-$F$15)*2-1,U$100:Y135,5,FALSE)))*EXP(-(LN(2)/$D$65+0.04)*X135)*EXP(-(LN(2)/$D$65+0.1)*Y135),"-"))),"-")</f>
        <v>-</v>
      </c>
      <c r="AC135" s="224">
        <f t="shared" si="45"/>
        <v>35</v>
      </c>
      <c r="AD135" s="223" t="str">
        <f t="shared" si="18"/>
        <v>-</v>
      </c>
      <c r="AE135" s="224" t="str">
        <f t="shared" si="46"/>
        <v>-</v>
      </c>
      <c r="AF135" s="224" t="str">
        <f t="shared" si="19"/>
        <v>-</v>
      </c>
      <c r="AG135" s="224" t="str">
        <f t="shared" si="20"/>
        <v>-</v>
      </c>
      <c r="AH135" s="272">
        <f t="shared" si="47"/>
        <v>0.1</v>
      </c>
      <c r="AI135" s="271" t="str">
        <f>IFERROR(IF(AD134=1,AI$100*EXP(-(LN(2)/$D$65+0.04)*AF134)*EXP(-(LN(2)/$D$65+0.1)*AG134),IF(AD134=2,AI$100*EXP(-(LN(2)/$D$65+0.04)*(VLOOKUP(($F$16-$F$15)-1,AC$99:AG134,4,FALSE)))*EXP(-(LN(2)/$D$65+0.1)*(VLOOKUP(($F$16-$F$15)-1,AC$99:AG134,5,FALSE)))*EXP(-(LN(2)/$D$65+0.04)*AF134)*EXP(-(LN(2)/$D$65+0.1)*AG134),IF(AD134=3,AI$100*EXP(-(LN(2)/$D$65+0.04)*(VLOOKUP(($F$16-$F$15)-1,AC$99:AG134,4,FALSE)))*EXP(-(LN(2)/$D$65+0.1)*(VLOOKUP(($F$16-$F$15)-1,AC$99:AG134,5,FALSE)))*EXP(-(LN(2)/$D$65+0.04)*(VLOOKUP(($F$16-$F$15)*2-1,AC$99:AG134,4,FALSE)))*EXP(-(LN(2)/$D$65+0.1)*(VLOOKUP(($F$16-$F$15)*2-1,AC$99:AG134,5,FALSE)))*EXP(-(LN(2)/$D$65+0.04)*AF134)*EXP(-(LN(2)/$D$65+0.1)*AG134),"-"))),"-")</f>
        <v>-</v>
      </c>
      <c r="AJ135" s="271" t="str">
        <f>IFERROR(IF(AD135=1,AJ$100*EXP(-(LN(2)/$D$65+0.04)*AF135)*EXP(-(LN(2)/$D$65+0.1)*AG135),IF(AD135=2,AJ$100*EXP(-(LN(2)/$D$65+0.04)*(VLOOKUP(($F$16-$F$15)-1,AC$100:AG135,4,FALSE)))*EXP(-(LN(2)/$D$65+0.1)*(VLOOKUP(($F$16-$F$15)-1,AC$100:AG135,5,FALSE)))*EXP(-(LN(2)/$D$65+0.04)*AF135)*EXP(-(LN(2)/$D$65+0.1)*AG135),IF(AD135=3,AJ$100*EXP(-(LN(2)/$D$65+0.04)*(VLOOKUP(($F$16-$F$15)-1,AC$100:AG135,4,FALSE)))*EXP(-(LN(2)/$D$65+0.1)*(VLOOKUP(($F$16-$F$15)-1,AC$100:AG135,5,FALSE)))*EXP(-(LN(2)/$D$65+0.04)*(VLOOKUP(($F$16-$F$15)*2-1,AC$100:AG135,4,FALSE)))*EXP(-(LN(2)/$D$65+0.1)*(VLOOKUP(($F$16-$F$15)*2-1,AC$100:AG135,5,FALSE)))*EXP(-(LN(2)/$D$65+0.04)*AF135)*EXP(-(LN(2)/$D$65+0.1)*AG135),"-"))),"-")</f>
        <v>-</v>
      </c>
      <c r="AK135" s="227">
        <f t="shared" si="49"/>
        <v>35</v>
      </c>
      <c r="AL135" s="226" t="str">
        <f t="shared" si="22"/>
        <v>-</v>
      </c>
      <c r="AM135" s="227" t="str">
        <f t="shared" si="50"/>
        <v>-</v>
      </c>
      <c r="AN135" s="227" t="str">
        <f t="shared" si="51"/>
        <v>-</v>
      </c>
      <c r="AO135" s="227" t="str">
        <f t="shared" si="23"/>
        <v>-</v>
      </c>
      <c r="AP135" s="273">
        <f t="shared" si="52"/>
        <v>0.1</v>
      </c>
      <c r="AQ135" s="271" t="str">
        <f>IFERROR(IF(AL134=1,AQ$100*EXP(-(LN(2)/$D$65+0.04)*AN134)*EXP(-(LN(2)/$D$65+0.1)*AO134),IF(AL134=2,AQ$100*EXP(-(LN(2)/$D$65+0.04)*(VLOOKUP(($F$16-$F$15)-1,AK$99:AO134,4,FALSE)))*EXP(-(LN(2)/$D$65+0.1)*(VLOOKUP(($F$16-$F$15)-1,AK$99:AO134,5,FALSE)))*EXP(-(LN(2)/$D$65+0.04)*AN134)*EXP(-(LN(2)/$D$65+0.1)*AO134),IF(AL134=3,AQ$100*EXP(-(LN(2)/$D$65+0.04)*(VLOOKUP(($F$16-$F$15)-1,AK$99:AO134,4,FALSE)))*EXP(-(LN(2)/$D$65+0.1)*(VLOOKUP(($F$16-$F$15)-1,AK$99:AO134,5,FALSE)))*EXP(-(LN(2)/$D$65+0.04)*(VLOOKUP(($F$16-$F$15)*2-1,AK$99:AO134,4,FALSE)))*EXP(-(LN(2)/$D$65+0.1)*(VLOOKUP(($F$16-$F$15)*2-1,AK$99:AO134,5,FALSE)))*EXP(-(LN(2)/$D$65+0.04)*AN134)*EXP(-(LN(2)/$D$65+0.1)*AO134),"-"))),"-")</f>
        <v>-</v>
      </c>
      <c r="AR135" s="271" t="str">
        <f>IFERROR(IF(AL135=1,AR$100*EXP(-(LN(2)/$D$65+0.04)*AN135)*EXP(-(LN(2)/$D$65+0.1)*AO135),IF(AL135=2,AR$100*EXP(-(LN(2)/$D$65+0.04)*(VLOOKUP(($F$16-$F$15)-1,AK$100:AO135,4,FALSE)))*EXP(-(LN(2)/$D$65+0.1)*(VLOOKUP(($F$16-$F$15)-1,AK$100:AO135,5,FALSE)))*EXP(-(LN(2)/$D$65+0.04)*AN135)*EXP(-(LN(2)/$D$65+0.1)*AO135),IF(AL135=3,AR$100*EXP(-(LN(2)/$D$65+0.04)*(VLOOKUP(($F$16-$F$15)-1,AK$100:AO135,4,FALSE)))*EXP(-(LN(2)/$D$65+0.1)*(VLOOKUP(($F$16-$F$15)-1,AK$100:AO135,5,FALSE)))*EXP(-(LN(2)/$D$65+0.04)*(VLOOKUP(($F$16-$F$15)*2-1,AK$100:AO135,4,FALSE)))*EXP(-(LN(2)/$D$65+0.1)*(VLOOKUP(($F$16-$F$15)*2-1,AK$100:AO135,5,FALSE)))*EXP(-(LN(2)/$D$65+0.04)*AN135)*EXP(-(LN(2)/$D$65+0.1)*AO135),"-"))),"-")</f>
        <v>-</v>
      </c>
      <c r="AS135" s="274">
        <f t="shared" si="24"/>
        <v>0</v>
      </c>
      <c r="AT135" s="274">
        <f t="shared" si="25"/>
        <v>0</v>
      </c>
      <c r="AU135" s="274">
        <f t="shared" si="26"/>
        <v>0</v>
      </c>
      <c r="AV135" s="190" t="str">
        <f>IF($B135&lt;$F$22,SUM($T$100:$T135),"")</f>
        <v/>
      </c>
      <c r="AW135" s="190" t="str">
        <f t="shared" si="83"/>
        <v>-</v>
      </c>
      <c r="AX135" s="190" t="str">
        <f t="shared" si="56"/>
        <v/>
      </c>
      <c r="AY135"/>
      <c r="AZ135" s="190" t="str">
        <f ca="1">IF(ISNUMBER(OFFSET(AV135,-$F$21,0)),SUM(OFFSET($T$100,$F$21,0):$T135),"")</f>
        <v/>
      </c>
      <c r="BA135" s="190" t="str">
        <f t="shared" ca="1" si="84"/>
        <v/>
      </c>
      <c r="BB135" s="190" t="str">
        <f t="shared" ca="1" si="70"/>
        <v/>
      </c>
      <c r="BC135" s="190"/>
      <c r="BD135" s="190" t="str">
        <f ca="1">IFERROR(IF(OR(ISNUMBER(I),ISNUMBER($F$14)),IF(AND($B135&gt;=($F$16-$F$15),$B135&lt;$F$22+($F$16-$F$15)),SUM(OFFSET($T$100,($F$16-$F$15),0):$T135),""),""),"")</f>
        <v/>
      </c>
      <c r="BE135" s="190" t="str">
        <f t="shared" ca="1" si="58"/>
        <v/>
      </c>
      <c r="BF135" s="190" t="str">
        <f t="shared" ca="1" si="59"/>
        <v/>
      </c>
      <c r="BG135"/>
      <c r="BH135" s="190" t="str">
        <f ca="1">IF(ISNUMBER(OFFSET(BD135,-$F$21,0)),SUM(OFFSET($T$100,($F$16-$F$15+$F$21),0):$T135),"")</f>
        <v/>
      </c>
      <c r="BI135" s="190" t="str">
        <f t="shared" ca="1" si="85"/>
        <v/>
      </c>
      <c r="BJ135" s="190" t="str">
        <f t="shared" ca="1" si="60"/>
        <v/>
      </c>
      <c r="BK135" s="190"/>
      <c r="BL135" s="190" t="str">
        <f ca="1">IFERROR(IF(OR(ISNUMBER(I),ISNUMBER($F$14)),IF(AND($B135&gt;=($F$17-$F$15),$B135&lt;$F$22+($F$17-$F$15)),SUM(OFFSET($T$100,($F$17-$F$15),0):$T135),""),""),"")</f>
        <v/>
      </c>
      <c r="BM135" s="190" t="str">
        <f t="shared" ca="1" si="86"/>
        <v/>
      </c>
      <c r="BN135" s="190" t="str">
        <f t="shared" ca="1" si="61"/>
        <v/>
      </c>
      <c r="BO135"/>
      <c r="BP135" s="190" t="str">
        <f ca="1">IF(ISNUMBER(OFFSET(BL135,-$F$21,0)),SUM(OFFSET($T$100,($F$17-$F$15+$F$21),0):$T135),"")</f>
        <v/>
      </c>
      <c r="BQ135" s="190" t="str">
        <f t="shared" ca="1" si="87"/>
        <v/>
      </c>
      <c r="BR135" s="190" t="str">
        <f t="shared" ca="1" si="63"/>
        <v/>
      </c>
      <c r="BS135" s="190"/>
      <c r="BT135"/>
      <c r="BU135"/>
      <c r="BV135"/>
      <c r="BY135" s="99"/>
      <c r="BZ135" s="99"/>
      <c r="CA135" s="280" t="str">
        <f t="shared" si="88"/>
        <v/>
      </c>
      <c r="CB135" s="71" t="str">
        <f t="shared" si="31"/>
        <v>-</v>
      </c>
      <c r="CC135" s="33"/>
      <c r="CD135" s="261" t="str">
        <f t="shared" si="33"/>
        <v/>
      </c>
      <c r="CE135" s="280" t="str">
        <f t="shared" si="89"/>
        <v/>
      </c>
      <c r="CF135" s="71" t="str">
        <f t="shared" ca="1" si="90"/>
        <v/>
      </c>
      <c r="CG135" s="33" t="str">
        <f t="shared" si="36"/>
        <v/>
      </c>
      <c r="CH135" s="261" t="str">
        <f t="shared" ca="1" si="37"/>
        <v/>
      </c>
      <c r="CI135" s="202"/>
      <c r="CJ135" s="99"/>
      <c r="CK135" s="99"/>
      <c r="CL135" s="99"/>
      <c r="CM135" s="99"/>
      <c r="CN135" s="99"/>
      <c r="CO135" s="99"/>
    </row>
    <row r="136" spans="2:93" ht="13.5" customHeight="1" x14ac:dyDescent="0.2">
      <c r="B136" s="262">
        <v>36</v>
      </c>
      <c r="C136" s="237" t="str">
        <f t="shared" si="1"/>
        <v/>
      </c>
      <c r="D136" s="237" t="str">
        <f t="shared" si="66"/>
        <v/>
      </c>
      <c r="E136" s="290" t="str">
        <f t="shared" si="38"/>
        <v/>
      </c>
      <c r="F136" s="264" t="str">
        <f t="shared" si="39"/>
        <v/>
      </c>
      <c r="G136" s="291" t="str">
        <f t="shared" si="40"/>
        <v/>
      </c>
      <c r="H136" s="240" t="str">
        <f t="shared" si="71"/>
        <v/>
      </c>
      <c r="I136" s="265" t="str">
        <f t="shared" si="72"/>
        <v/>
      </c>
      <c r="J136" s="265" t="str">
        <f t="shared" si="73"/>
        <v/>
      </c>
      <c r="K136" s="240" t="str">
        <f t="shared" si="74"/>
        <v/>
      </c>
      <c r="L136" s="265" t="str">
        <f t="shared" si="75"/>
        <v/>
      </c>
      <c r="M136" s="265" t="str">
        <f t="shared" si="76"/>
        <v/>
      </c>
      <c r="N136" s="240" t="str">
        <f t="shared" si="77"/>
        <v>-</v>
      </c>
      <c r="O136" s="265" t="str">
        <f t="shared" si="78"/>
        <v>-</v>
      </c>
      <c r="P136" s="265" t="str">
        <f t="shared" si="79"/>
        <v>-</v>
      </c>
      <c r="Q136" s="266" t="str">
        <f t="shared" si="80"/>
        <v>-</v>
      </c>
      <c r="R136" s="267" t="str">
        <f t="shared" si="81"/>
        <v>-</v>
      </c>
      <c r="S136" s="268" t="str">
        <f t="shared" si="82"/>
        <v>-</v>
      </c>
      <c r="T136" s="269" t="str">
        <f t="shared" si="13"/>
        <v/>
      </c>
      <c r="U136" s="221">
        <f t="shared" si="14"/>
        <v>36</v>
      </c>
      <c r="V136" s="220" t="str">
        <f t="shared" si="42"/>
        <v>-</v>
      </c>
      <c r="W136" s="221" t="str">
        <f t="shared" si="43"/>
        <v>-</v>
      </c>
      <c r="X136" s="221" t="str">
        <f t="shared" si="15"/>
        <v>-</v>
      </c>
      <c r="Y136" s="221" t="str">
        <f t="shared" si="16"/>
        <v>-</v>
      </c>
      <c r="Z136" s="270">
        <f t="shared" si="44"/>
        <v>0.1</v>
      </c>
      <c r="AA136" s="271" t="str">
        <f>IFERROR(IF(V135=1,AA$100*EXP(-(LN(2)/$D$65+0.04)*X135)*EXP(-(LN(2)/$D$65+0.1)*Y135),IF(V135=2,AA$100*EXP(-(LN(2)/$D$65+0.04)*(VLOOKUP(($F$16-$F$15)-1,U$99:Y135,4,FALSE)))*EXP(-(LN(2)/$D$65+0.1)*(VLOOKUP(($F$16-$F$15)-1,U$99:Y135,5,FALSE)))*EXP(-(LN(2)/$D$65+0.04)*X135)*EXP(-(LN(2)/$D$65+0.1)*Y135),IF(V135=3,AA$100*EXP(-(LN(2)/$D$65+0.04)*(VLOOKUP(($F$16-$F$15)-1,U$99:Y135,4,FALSE)))*EXP(-(LN(2)/$D$65+0.1)*(VLOOKUP(($F$16-$F$15)-1,U$99:Y135,5,FALSE)))*EXP(-(LN(2)/$D$65+0.04)*(VLOOKUP(($F$16-$F$15)*2-1,U$99:Y135,4,FALSE)))*EXP(-(LN(2)/$D$65+0.1)*(VLOOKUP(($F$16-$F$15)*2-1,U$99:Y135,5,FALSE)))*EXP(-(LN(2)/$D$65+0.04)*X135)*EXP(-(LN(2)/$D$65+0.1)*Y135),"-"))),"-")</f>
        <v>-</v>
      </c>
      <c r="AB136" s="271" t="str">
        <f>IFERROR(IF(V136=1,AB$100*EXP(-(LN(2)/$D$65+0.04)*X136)*EXP(-(LN(2)/$D$65+0.1)*Y136),IF(V136=2,AB$100*EXP(-(LN(2)/$D$65+0.04)*(VLOOKUP(($F$16-$F$15)-1,U$100:Y136,4,FALSE)))*EXP(-(LN(2)/$D$65+0.1)*(VLOOKUP(($F$16-$F$15)-1,U$100:Y136,5,FALSE)))*EXP(-(LN(2)/$D$65+0.04)*X136)*EXP(-(LN(2)/$D$65+0.1)*Y136),IF(V136=3,AB$100*EXP(-(LN(2)/$D$65+0.04)*(VLOOKUP(($F$16-$F$15)-1,U$100:Y136,4,FALSE)))*EXP(-(LN(2)/$D$65+0.1)*(VLOOKUP(($F$16-$F$15)-1,U$100:Y136,5,FALSE)))*EXP(-(LN(2)/$D$65+0.04)*(VLOOKUP(($F$16-$F$15)*2-1,U$100:Y136,4,FALSE)))*EXP(-(LN(2)/$D$65+0.1)*(VLOOKUP(($F$16-$F$15)*2-1,U$100:Y136,5,FALSE)))*EXP(-(LN(2)/$D$65+0.04)*X136)*EXP(-(LN(2)/$D$65+0.1)*Y136),"-"))),"-")</f>
        <v>-</v>
      </c>
      <c r="AC136" s="224">
        <f t="shared" si="45"/>
        <v>36</v>
      </c>
      <c r="AD136" s="223" t="str">
        <f t="shared" si="18"/>
        <v>-</v>
      </c>
      <c r="AE136" s="224" t="str">
        <f t="shared" si="46"/>
        <v>-</v>
      </c>
      <c r="AF136" s="224" t="str">
        <f t="shared" si="19"/>
        <v>-</v>
      </c>
      <c r="AG136" s="224" t="str">
        <f t="shared" si="20"/>
        <v>-</v>
      </c>
      <c r="AH136" s="272">
        <f t="shared" si="47"/>
        <v>0.1</v>
      </c>
      <c r="AI136" s="271" t="str">
        <f>IFERROR(IF(AD135=1,AI$100*EXP(-(LN(2)/$D$65+0.04)*AF135)*EXP(-(LN(2)/$D$65+0.1)*AG135),IF(AD135=2,AI$100*EXP(-(LN(2)/$D$65+0.04)*(VLOOKUP(($F$16-$F$15)-1,AC$99:AG135,4,FALSE)))*EXP(-(LN(2)/$D$65+0.1)*(VLOOKUP(($F$16-$F$15)-1,AC$99:AG135,5,FALSE)))*EXP(-(LN(2)/$D$65+0.04)*AF135)*EXP(-(LN(2)/$D$65+0.1)*AG135),IF(AD135=3,AI$100*EXP(-(LN(2)/$D$65+0.04)*(VLOOKUP(($F$16-$F$15)-1,AC$99:AG135,4,FALSE)))*EXP(-(LN(2)/$D$65+0.1)*(VLOOKUP(($F$16-$F$15)-1,AC$99:AG135,5,FALSE)))*EXP(-(LN(2)/$D$65+0.04)*(VLOOKUP(($F$16-$F$15)*2-1,AC$99:AG135,4,FALSE)))*EXP(-(LN(2)/$D$65+0.1)*(VLOOKUP(($F$16-$F$15)*2-1,AC$99:AG135,5,FALSE)))*EXP(-(LN(2)/$D$65+0.04)*AF135)*EXP(-(LN(2)/$D$65+0.1)*AG135),"-"))),"-")</f>
        <v>-</v>
      </c>
      <c r="AJ136" s="271" t="str">
        <f>IFERROR(IF(AD136=1,AJ$100*EXP(-(LN(2)/$D$65+0.04)*AF136)*EXP(-(LN(2)/$D$65+0.1)*AG136),IF(AD136=2,AJ$100*EXP(-(LN(2)/$D$65+0.04)*(VLOOKUP(($F$16-$F$15)-1,AC$100:AG136,4,FALSE)))*EXP(-(LN(2)/$D$65+0.1)*(VLOOKUP(($F$16-$F$15)-1,AC$100:AG136,5,FALSE)))*EXP(-(LN(2)/$D$65+0.04)*AF136)*EXP(-(LN(2)/$D$65+0.1)*AG136),IF(AD136=3,AJ$100*EXP(-(LN(2)/$D$65+0.04)*(VLOOKUP(($F$16-$F$15)-1,AC$100:AG136,4,FALSE)))*EXP(-(LN(2)/$D$65+0.1)*(VLOOKUP(($F$16-$F$15)-1,AC$100:AG136,5,FALSE)))*EXP(-(LN(2)/$D$65+0.04)*(VLOOKUP(($F$16-$F$15)*2-1,AC$100:AG136,4,FALSE)))*EXP(-(LN(2)/$D$65+0.1)*(VLOOKUP(($F$16-$F$15)*2-1,AC$100:AG136,5,FALSE)))*EXP(-(LN(2)/$D$65+0.04)*AF136)*EXP(-(LN(2)/$D$65+0.1)*AG136),"-"))),"-")</f>
        <v>-</v>
      </c>
      <c r="AK136" s="227">
        <f t="shared" si="49"/>
        <v>36</v>
      </c>
      <c r="AL136" s="226" t="str">
        <f t="shared" si="22"/>
        <v>-</v>
      </c>
      <c r="AM136" s="227" t="str">
        <f t="shared" si="50"/>
        <v>-</v>
      </c>
      <c r="AN136" s="227" t="str">
        <f t="shared" si="51"/>
        <v>-</v>
      </c>
      <c r="AO136" s="227" t="str">
        <f t="shared" si="23"/>
        <v>-</v>
      </c>
      <c r="AP136" s="273">
        <f t="shared" si="52"/>
        <v>0.1</v>
      </c>
      <c r="AQ136" s="271" t="str">
        <f>IFERROR(IF(AL135=1,AQ$100*EXP(-(LN(2)/$D$65+0.04)*AN135)*EXP(-(LN(2)/$D$65+0.1)*AO135),IF(AL135=2,AQ$100*EXP(-(LN(2)/$D$65+0.04)*(VLOOKUP(($F$16-$F$15)-1,AK$99:AO135,4,FALSE)))*EXP(-(LN(2)/$D$65+0.1)*(VLOOKUP(($F$16-$F$15)-1,AK$99:AO135,5,FALSE)))*EXP(-(LN(2)/$D$65+0.04)*AN135)*EXP(-(LN(2)/$D$65+0.1)*AO135),IF(AL135=3,AQ$100*EXP(-(LN(2)/$D$65+0.04)*(VLOOKUP(($F$16-$F$15)-1,AK$99:AO135,4,FALSE)))*EXP(-(LN(2)/$D$65+0.1)*(VLOOKUP(($F$16-$F$15)-1,AK$99:AO135,5,FALSE)))*EXP(-(LN(2)/$D$65+0.04)*(VLOOKUP(($F$16-$F$15)*2-1,AK$99:AO135,4,FALSE)))*EXP(-(LN(2)/$D$65+0.1)*(VLOOKUP(($F$16-$F$15)*2-1,AK$99:AO135,5,FALSE)))*EXP(-(LN(2)/$D$65+0.04)*AN135)*EXP(-(LN(2)/$D$65+0.1)*AO135),"-"))),"-")</f>
        <v>-</v>
      </c>
      <c r="AR136" s="271" t="str">
        <f>IFERROR(IF(AL136=1,AR$100*EXP(-(LN(2)/$D$65+0.04)*AN136)*EXP(-(LN(2)/$D$65+0.1)*AO136),IF(AL136=2,AR$100*EXP(-(LN(2)/$D$65+0.04)*(VLOOKUP(($F$16-$F$15)-1,AK$100:AO136,4,FALSE)))*EXP(-(LN(2)/$D$65+0.1)*(VLOOKUP(($F$16-$F$15)-1,AK$100:AO136,5,FALSE)))*EXP(-(LN(2)/$D$65+0.04)*AN136)*EXP(-(LN(2)/$D$65+0.1)*AO136),IF(AL136=3,AR$100*EXP(-(LN(2)/$D$65+0.04)*(VLOOKUP(($F$16-$F$15)-1,AK$100:AO136,4,FALSE)))*EXP(-(LN(2)/$D$65+0.1)*(VLOOKUP(($F$16-$F$15)-1,AK$100:AO136,5,FALSE)))*EXP(-(LN(2)/$D$65+0.04)*(VLOOKUP(($F$16-$F$15)*2-1,AK$100:AO136,4,FALSE)))*EXP(-(LN(2)/$D$65+0.1)*(VLOOKUP(($F$16-$F$15)*2-1,AK$100:AO136,5,FALSE)))*EXP(-(LN(2)/$D$65+0.04)*AN136)*EXP(-(LN(2)/$D$65+0.1)*AO136),"-"))),"-")</f>
        <v>-</v>
      </c>
      <c r="AS136" s="274">
        <f t="shared" si="24"/>
        <v>0</v>
      </c>
      <c r="AT136" s="274">
        <f t="shared" si="25"/>
        <v>0</v>
      </c>
      <c r="AU136" s="274">
        <f t="shared" si="26"/>
        <v>0</v>
      </c>
      <c r="AV136" s="190" t="str">
        <f>IF($B136&lt;$F$22,SUM($T$100:$T136),"")</f>
        <v/>
      </c>
      <c r="AW136" s="190" t="str">
        <f t="shared" si="83"/>
        <v>-</v>
      </c>
      <c r="AX136" s="190" t="str">
        <f t="shared" si="56"/>
        <v/>
      </c>
      <c r="AY136"/>
      <c r="AZ136" s="190" t="str">
        <f ca="1">IF(ISNUMBER(OFFSET(AV136,-$F$21,0)),SUM(OFFSET($T$100,$F$21,0):$T136),"")</f>
        <v/>
      </c>
      <c r="BA136" s="190" t="str">
        <f t="shared" ca="1" si="84"/>
        <v/>
      </c>
      <c r="BB136" s="190" t="str">
        <f t="shared" ca="1" si="70"/>
        <v/>
      </c>
      <c r="BC136" s="190"/>
      <c r="BD136" s="190" t="str">
        <f ca="1">IFERROR(IF(OR(ISNUMBER(I),ISNUMBER($F$14)),IF(AND($B136&gt;=($F$16-$F$15),$B136&lt;$F$22+($F$16-$F$15)),SUM(OFFSET($T$100,($F$16-$F$15),0):$T136),""),""),"")</f>
        <v/>
      </c>
      <c r="BE136" s="190" t="str">
        <f t="shared" ca="1" si="58"/>
        <v/>
      </c>
      <c r="BF136" s="190" t="str">
        <f t="shared" ca="1" si="59"/>
        <v/>
      </c>
      <c r="BG136"/>
      <c r="BH136" s="190" t="str">
        <f ca="1">IF(ISNUMBER(OFFSET(BD136,-$F$21,0)),SUM(OFFSET($T$100,($F$16-$F$15+$F$21),0):$T136),"")</f>
        <v/>
      </c>
      <c r="BI136" s="190" t="str">
        <f t="shared" ca="1" si="85"/>
        <v/>
      </c>
      <c r="BJ136" s="190" t="str">
        <f t="shared" ca="1" si="60"/>
        <v/>
      </c>
      <c r="BK136" s="190"/>
      <c r="BL136" s="190" t="str">
        <f ca="1">IFERROR(IF(OR(ISNUMBER(I),ISNUMBER($F$14)),IF(AND($B136&gt;=($F$17-$F$15),$B136&lt;$F$22+($F$17-$F$15)),SUM(OFFSET($T$100,($F$17-$F$15),0):$T136),""),""),"")</f>
        <v/>
      </c>
      <c r="BM136" s="190" t="str">
        <f t="shared" ca="1" si="86"/>
        <v/>
      </c>
      <c r="BN136" s="190" t="str">
        <f t="shared" ca="1" si="61"/>
        <v/>
      </c>
      <c r="BO136"/>
      <c r="BP136" s="190" t="str">
        <f ca="1">IF(ISNUMBER(OFFSET(BL136,-$F$21,0)),SUM(OFFSET($T$100,($F$17-$F$15+$F$21),0):$T136),"")</f>
        <v/>
      </c>
      <c r="BQ136" s="190" t="str">
        <f t="shared" ca="1" si="87"/>
        <v/>
      </c>
      <c r="BR136" s="190" t="str">
        <f t="shared" ca="1" si="63"/>
        <v/>
      </c>
      <c r="BS136" s="190"/>
      <c r="BT136"/>
      <c r="BU136"/>
      <c r="BV136"/>
      <c r="BY136" s="99"/>
      <c r="BZ136" s="99"/>
      <c r="CA136" s="280" t="str">
        <f t="shared" si="88"/>
        <v/>
      </c>
      <c r="CB136" s="71" t="str">
        <f t="shared" si="31"/>
        <v>-</v>
      </c>
      <c r="CC136" s="33"/>
      <c r="CD136" s="261" t="str">
        <f t="shared" si="33"/>
        <v/>
      </c>
      <c r="CE136" s="280" t="str">
        <f t="shared" si="89"/>
        <v/>
      </c>
      <c r="CF136" s="71" t="str">
        <f t="shared" ca="1" si="90"/>
        <v/>
      </c>
      <c r="CG136" s="33" t="str">
        <f t="shared" si="36"/>
        <v/>
      </c>
      <c r="CH136" s="261" t="str">
        <f t="shared" ca="1" si="37"/>
        <v/>
      </c>
      <c r="CI136" s="202"/>
      <c r="CJ136" s="99"/>
      <c r="CK136" s="99"/>
      <c r="CL136" s="99"/>
      <c r="CM136" s="99"/>
      <c r="CN136" s="99"/>
      <c r="CO136" s="99"/>
    </row>
    <row r="137" spans="2:93" ht="13.5" customHeight="1" x14ac:dyDescent="0.2">
      <c r="B137" s="262">
        <v>37</v>
      </c>
      <c r="C137" s="237" t="str">
        <f t="shared" si="1"/>
        <v/>
      </c>
      <c r="D137" s="237" t="str">
        <f t="shared" si="66"/>
        <v/>
      </c>
      <c r="E137" s="290" t="str">
        <f t="shared" si="38"/>
        <v/>
      </c>
      <c r="F137" s="264" t="str">
        <f t="shared" si="39"/>
        <v/>
      </c>
      <c r="G137" s="291" t="str">
        <f t="shared" si="40"/>
        <v/>
      </c>
      <c r="H137" s="240" t="str">
        <f t="shared" si="71"/>
        <v/>
      </c>
      <c r="I137" s="265" t="str">
        <f t="shared" si="72"/>
        <v/>
      </c>
      <c r="J137" s="265" t="str">
        <f t="shared" si="73"/>
        <v/>
      </c>
      <c r="K137" s="240" t="str">
        <f t="shared" si="74"/>
        <v/>
      </c>
      <c r="L137" s="265" t="str">
        <f t="shared" si="75"/>
        <v/>
      </c>
      <c r="M137" s="265" t="str">
        <f t="shared" si="76"/>
        <v/>
      </c>
      <c r="N137" s="240" t="str">
        <f t="shared" si="77"/>
        <v>-</v>
      </c>
      <c r="O137" s="265" t="str">
        <f t="shared" si="78"/>
        <v>-</v>
      </c>
      <c r="P137" s="265" t="str">
        <f t="shared" si="79"/>
        <v>-</v>
      </c>
      <c r="Q137" s="266" t="str">
        <f t="shared" si="80"/>
        <v>-</v>
      </c>
      <c r="R137" s="267" t="str">
        <f t="shared" si="81"/>
        <v>-</v>
      </c>
      <c r="S137" s="268" t="str">
        <f t="shared" si="82"/>
        <v>-</v>
      </c>
      <c r="T137" s="269" t="str">
        <f t="shared" si="13"/>
        <v/>
      </c>
      <c r="U137" s="221">
        <f t="shared" si="14"/>
        <v>37</v>
      </c>
      <c r="V137" s="220" t="str">
        <f t="shared" si="42"/>
        <v>-</v>
      </c>
      <c r="W137" s="221" t="str">
        <f t="shared" si="43"/>
        <v>-</v>
      </c>
      <c r="X137" s="221" t="str">
        <f t="shared" si="15"/>
        <v>-</v>
      </c>
      <c r="Y137" s="221" t="str">
        <f t="shared" si="16"/>
        <v>-</v>
      </c>
      <c r="Z137" s="270">
        <f t="shared" si="44"/>
        <v>0.1</v>
      </c>
      <c r="AA137" s="271" t="str">
        <f>IFERROR(IF(V136=1,AA$100*EXP(-(LN(2)/$D$65+0.04)*X136)*EXP(-(LN(2)/$D$65+0.1)*Y136),IF(V136=2,AA$100*EXP(-(LN(2)/$D$65+0.04)*(VLOOKUP(($F$16-$F$15)-1,U$99:Y136,4,FALSE)))*EXP(-(LN(2)/$D$65+0.1)*(VLOOKUP(($F$16-$F$15)-1,U$99:Y136,5,FALSE)))*EXP(-(LN(2)/$D$65+0.04)*X136)*EXP(-(LN(2)/$D$65+0.1)*Y136),IF(V136=3,AA$100*EXP(-(LN(2)/$D$65+0.04)*(VLOOKUP(($F$16-$F$15)-1,U$99:Y136,4,FALSE)))*EXP(-(LN(2)/$D$65+0.1)*(VLOOKUP(($F$16-$F$15)-1,U$99:Y136,5,FALSE)))*EXP(-(LN(2)/$D$65+0.04)*(VLOOKUP(($F$16-$F$15)*2-1,U$99:Y136,4,FALSE)))*EXP(-(LN(2)/$D$65+0.1)*(VLOOKUP(($F$16-$F$15)*2-1,U$99:Y136,5,FALSE)))*EXP(-(LN(2)/$D$65+0.04)*X136)*EXP(-(LN(2)/$D$65+0.1)*Y136),"-"))),"-")</f>
        <v>-</v>
      </c>
      <c r="AB137" s="271" t="str">
        <f>IFERROR(IF(V137=1,AB$100*EXP(-(LN(2)/$D$65+0.04)*X137)*EXP(-(LN(2)/$D$65+0.1)*Y137),IF(V137=2,AB$100*EXP(-(LN(2)/$D$65+0.04)*(VLOOKUP(($F$16-$F$15)-1,U$100:Y137,4,FALSE)))*EXP(-(LN(2)/$D$65+0.1)*(VLOOKUP(($F$16-$F$15)-1,U$100:Y137,5,FALSE)))*EXP(-(LN(2)/$D$65+0.04)*X137)*EXP(-(LN(2)/$D$65+0.1)*Y137),IF(V137=3,AB$100*EXP(-(LN(2)/$D$65+0.04)*(VLOOKUP(($F$16-$F$15)-1,U$100:Y137,4,FALSE)))*EXP(-(LN(2)/$D$65+0.1)*(VLOOKUP(($F$16-$F$15)-1,U$100:Y137,5,FALSE)))*EXP(-(LN(2)/$D$65+0.04)*(VLOOKUP(($F$16-$F$15)*2-1,U$100:Y137,4,FALSE)))*EXP(-(LN(2)/$D$65+0.1)*(VLOOKUP(($F$16-$F$15)*2-1,U$100:Y137,5,FALSE)))*EXP(-(LN(2)/$D$65+0.04)*X137)*EXP(-(LN(2)/$D$65+0.1)*Y137),"-"))),"-")</f>
        <v>-</v>
      </c>
      <c r="AC137" s="224">
        <f t="shared" si="45"/>
        <v>37</v>
      </c>
      <c r="AD137" s="223" t="str">
        <f t="shared" si="18"/>
        <v>-</v>
      </c>
      <c r="AE137" s="224" t="str">
        <f t="shared" si="46"/>
        <v>-</v>
      </c>
      <c r="AF137" s="224" t="str">
        <f t="shared" si="19"/>
        <v>-</v>
      </c>
      <c r="AG137" s="224" t="str">
        <f t="shared" si="20"/>
        <v>-</v>
      </c>
      <c r="AH137" s="272">
        <f t="shared" si="47"/>
        <v>0.1</v>
      </c>
      <c r="AI137" s="271" t="str">
        <f>IFERROR(IF(AD136=1,AI$100*EXP(-(LN(2)/$D$65+0.04)*AF136)*EXP(-(LN(2)/$D$65+0.1)*AG136),IF(AD136=2,AI$100*EXP(-(LN(2)/$D$65+0.04)*(VLOOKUP(($F$16-$F$15)-1,AC$99:AG136,4,FALSE)))*EXP(-(LN(2)/$D$65+0.1)*(VLOOKUP(($F$16-$F$15)-1,AC$99:AG136,5,FALSE)))*EXP(-(LN(2)/$D$65+0.04)*AF136)*EXP(-(LN(2)/$D$65+0.1)*AG136),IF(AD136=3,AI$100*EXP(-(LN(2)/$D$65+0.04)*(VLOOKUP(($F$16-$F$15)-1,AC$99:AG136,4,FALSE)))*EXP(-(LN(2)/$D$65+0.1)*(VLOOKUP(($F$16-$F$15)-1,AC$99:AG136,5,FALSE)))*EXP(-(LN(2)/$D$65+0.04)*(VLOOKUP(($F$16-$F$15)*2-1,AC$99:AG136,4,FALSE)))*EXP(-(LN(2)/$D$65+0.1)*(VLOOKUP(($F$16-$F$15)*2-1,AC$99:AG136,5,FALSE)))*EXP(-(LN(2)/$D$65+0.04)*AF136)*EXP(-(LN(2)/$D$65+0.1)*AG136),"-"))),"-")</f>
        <v>-</v>
      </c>
      <c r="AJ137" s="271" t="str">
        <f>IFERROR(IF(AD137=1,AJ$100*EXP(-(LN(2)/$D$65+0.04)*AF137)*EXP(-(LN(2)/$D$65+0.1)*AG137),IF(AD137=2,AJ$100*EXP(-(LN(2)/$D$65+0.04)*(VLOOKUP(($F$16-$F$15)-1,AC$100:AG137,4,FALSE)))*EXP(-(LN(2)/$D$65+0.1)*(VLOOKUP(($F$16-$F$15)-1,AC$100:AG137,5,FALSE)))*EXP(-(LN(2)/$D$65+0.04)*AF137)*EXP(-(LN(2)/$D$65+0.1)*AG137),IF(AD137=3,AJ$100*EXP(-(LN(2)/$D$65+0.04)*(VLOOKUP(($F$16-$F$15)-1,AC$100:AG137,4,FALSE)))*EXP(-(LN(2)/$D$65+0.1)*(VLOOKUP(($F$16-$F$15)-1,AC$100:AG137,5,FALSE)))*EXP(-(LN(2)/$D$65+0.04)*(VLOOKUP(($F$16-$F$15)*2-1,AC$100:AG137,4,FALSE)))*EXP(-(LN(2)/$D$65+0.1)*(VLOOKUP(($F$16-$F$15)*2-1,AC$100:AG137,5,FALSE)))*EXP(-(LN(2)/$D$65+0.04)*AF137)*EXP(-(LN(2)/$D$65+0.1)*AG137),"-"))),"-")</f>
        <v>-</v>
      </c>
      <c r="AK137" s="227">
        <f t="shared" si="49"/>
        <v>37</v>
      </c>
      <c r="AL137" s="226" t="str">
        <f t="shared" si="22"/>
        <v>-</v>
      </c>
      <c r="AM137" s="227" t="str">
        <f t="shared" si="50"/>
        <v>-</v>
      </c>
      <c r="AN137" s="227" t="str">
        <f t="shared" si="51"/>
        <v>-</v>
      </c>
      <c r="AO137" s="227" t="str">
        <f t="shared" si="23"/>
        <v>-</v>
      </c>
      <c r="AP137" s="273">
        <f t="shared" si="52"/>
        <v>0.1</v>
      </c>
      <c r="AQ137" s="271" t="str">
        <f>IFERROR(IF(AL136=1,AQ$100*EXP(-(LN(2)/$D$65+0.04)*AN136)*EXP(-(LN(2)/$D$65+0.1)*AO136),IF(AL136=2,AQ$100*EXP(-(LN(2)/$D$65+0.04)*(VLOOKUP(($F$16-$F$15)-1,AK$99:AO136,4,FALSE)))*EXP(-(LN(2)/$D$65+0.1)*(VLOOKUP(($F$16-$F$15)-1,AK$99:AO136,5,FALSE)))*EXP(-(LN(2)/$D$65+0.04)*AN136)*EXP(-(LN(2)/$D$65+0.1)*AO136),IF(AL136=3,AQ$100*EXP(-(LN(2)/$D$65+0.04)*(VLOOKUP(($F$16-$F$15)-1,AK$99:AO136,4,FALSE)))*EXP(-(LN(2)/$D$65+0.1)*(VLOOKUP(($F$16-$F$15)-1,AK$99:AO136,5,FALSE)))*EXP(-(LN(2)/$D$65+0.04)*(VLOOKUP(($F$16-$F$15)*2-1,AK$99:AO136,4,FALSE)))*EXP(-(LN(2)/$D$65+0.1)*(VLOOKUP(($F$16-$F$15)*2-1,AK$99:AO136,5,FALSE)))*EXP(-(LN(2)/$D$65+0.04)*AN136)*EXP(-(LN(2)/$D$65+0.1)*AO136),"-"))),"-")</f>
        <v>-</v>
      </c>
      <c r="AR137" s="271" t="str">
        <f>IFERROR(IF(AL137=1,AR$100*EXP(-(LN(2)/$D$65+0.04)*AN137)*EXP(-(LN(2)/$D$65+0.1)*AO137),IF(AL137=2,AR$100*EXP(-(LN(2)/$D$65+0.04)*(VLOOKUP(($F$16-$F$15)-1,AK$100:AO137,4,FALSE)))*EXP(-(LN(2)/$D$65+0.1)*(VLOOKUP(($F$16-$F$15)-1,AK$100:AO137,5,FALSE)))*EXP(-(LN(2)/$D$65+0.04)*AN137)*EXP(-(LN(2)/$D$65+0.1)*AO137),IF(AL137=3,AR$100*EXP(-(LN(2)/$D$65+0.04)*(VLOOKUP(($F$16-$F$15)-1,AK$100:AO137,4,FALSE)))*EXP(-(LN(2)/$D$65+0.1)*(VLOOKUP(($F$16-$F$15)-1,AK$100:AO137,5,FALSE)))*EXP(-(LN(2)/$D$65+0.04)*(VLOOKUP(($F$16-$F$15)*2-1,AK$100:AO137,4,FALSE)))*EXP(-(LN(2)/$D$65+0.1)*(VLOOKUP(($F$16-$F$15)*2-1,AK$100:AO137,5,FALSE)))*EXP(-(LN(2)/$D$65+0.04)*AN137)*EXP(-(LN(2)/$D$65+0.1)*AO137),"-"))),"-")</f>
        <v>-</v>
      </c>
      <c r="AS137" s="274">
        <f t="shared" si="24"/>
        <v>0</v>
      </c>
      <c r="AT137" s="274">
        <f t="shared" si="25"/>
        <v>0</v>
      </c>
      <c r="AU137" s="274">
        <f t="shared" si="26"/>
        <v>0</v>
      </c>
      <c r="AV137" s="190" t="str">
        <f>IF($B137&lt;$F$22,SUM($T$100:$T137),"")</f>
        <v/>
      </c>
      <c r="AW137" s="190" t="str">
        <f t="shared" si="83"/>
        <v>-</v>
      </c>
      <c r="AX137" s="190" t="str">
        <f t="shared" si="56"/>
        <v/>
      </c>
      <c r="AY137"/>
      <c r="AZ137" s="190" t="str">
        <f ca="1">IF(ISNUMBER(OFFSET(AV137,-$F$21,0)),SUM(OFFSET($T$100,$F$21,0):$T137),"")</f>
        <v/>
      </c>
      <c r="BA137" s="190" t="str">
        <f t="shared" ca="1" si="84"/>
        <v/>
      </c>
      <c r="BB137" s="190" t="str">
        <f t="shared" ca="1" si="70"/>
        <v/>
      </c>
      <c r="BC137" s="190"/>
      <c r="BD137" s="190" t="str">
        <f ca="1">IFERROR(IF(OR(ISNUMBER(I),ISNUMBER($F$14)),IF(AND($B137&gt;=($F$16-$F$15),$B137&lt;$F$22+($F$16-$F$15)),SUM(OFFSET($T$100,($F$16-$F$15),0):$T137),""),""),"")</f>
        <v/>
      </c>
      <c r="BE137" s="190" t="str">
        <f t="shared" ca="1" si="58"/>
        <v/>
      </c>
      <c r="BF137" s="190" t="str">
        <f t="shared" ca="1" si="59"/>
        <v/>
      </c>
      <c r="BG137"/>
      <c r="BH137" s="190" t="str">
        <f ca="1">IF(ISNUMBER(OFFSET(BD137,-$F$21,0)),SUM(OFFSET($T$100,($F$16-$F$15+$F$21),0):$T137),"")</f>
        <v/>
      </c>
      <c r="BI137" s="190" t="str">
        <f t="shared" ca="1" si="85"/>
        <v/>
      </c>
      <c r="BJ137" s="190" t="str">
        <f t="shared" ca="1" si="60"/>
        <v/>
      </c>
      <c r="BK137" s="190"/>
      <c r="BL137" s="190" t="str">
        <f ca="1">IFERROR(IF(OR(ISNUMBER(I),ISNUMBER($F$14)),IF(AND($B137&gt;=($F$17-$F$15),$B137&lt;$F$22+($F$17-$F$15)),SUM(OFFSET($T$100,($F$17-$F$15),0):$T137),""),""),"")</f>
        <v/>
      </c>
      <c r="BM137" s="190" t="str">
        <f t="shared" ca="1" si="86"/>
        <v/>
      </c>
      <c r="BN137" s="190" t="str">
        <f t="shared" ca="1" si="61"/>
        <v/>
      </c>
      <c r="BO137"/>
      <c r="BP137" s="190" t="str">
        <f ca="1">IF(ISNUMBER(OFFSET(BL137,-$F$21,0)),SUM(OFFSET($T$100,($F$17-$F$15+$F$21),0):$T137),"")</f>
        <v/>
      </c>
      <c r="BQ137" s="190" t="str">
        <f t="shared" ca="1" si="87"/>
        <v/>
      </c>
      <c r="BR137" s="190" t="str">
        <f t="shared" ca="1" si="63"/>
        <v/>
      </c>
      <c r="BS137" s="190"/>
      <c r="BT137"/>
      <c r="BU137"/>
      <c r="BV137"/>
      <c r="BY137" s="99"/>
      <c r="BZ137" s="99"/>
      <c r="CA137" s="280" t="str">
        <f t="shared" si="88"/>
        <v/>
      </c>
      <c r="CB137" s="71" t="str">
        <f t="shared" si="31"/>
        <v>-</v>
      </c>
      <c r="CC137" s="33"/>
      <c r="CD137" s="261" t="str">
        <f t="shared" si="33"/>
        <v/>
      </c>
      <c r="CE137" s="280" t="str">
        <f t="shared" si="89"/>
        <v/>
      </c>
      <c r="CF137" s="71" t="str">
        <f t="shared" ca="1" si="90"/>
        <v/>
      </c>
      <c r="CG137" s="33" t="str">
        <f t="shared" si="36"/>
        <v/>
      </c>
      <c r="CH137" s="261" t="str">
        <f t="shared" ca="1" si="37"/>
        <v/>
      </c>
      <c r="CI137" s="202"/>
      <c r="CJ137" s="99"/>
      <c r="CK137" s="99"/>
      <c r="CL137" s="99"/>
      <c r="CM137" s="99"/>
      <c r="CN137" s="99"/>
      <c r="CO137" s="99"/>
    </row>
    <row r="138" spans="2:93" ht="13.5" customHeight="1" x14ac:dyDescent="0.2">
      <c r="B138" s="262">
        <v>38</v>
      </c>
      <c r="C138" s="237" t="str">
        <f t="shared" si="1"/>
        <v/>
      </c>
      <c r="D138" s="237" t="str">
        <f t="shared" si="66"/>
        <v/>
      </c>
      <c r="E138" s="290" t="str">
        <f t="shared" si="38"/>
        <v/>
      </c>
      <c r="F138" s="264" t="str">
        <f t="shared" si="39"/>
        <v/>
      </c>
      <c r="G138" s="291" t="str">
        <f t="shared" si="40"/>
        <v/>
      </c>
      <c r="H138" s="240" t="str">
        <f t="shared" si="71"/>
        <v/>
      </c>
      <c r="I138" s="265" t="str">
        <f t="shared" si="72"/>
        <v/>
      </c>
      <c r="J138" s="265" t="str">
        <f t="shared" si="73"/>
        <v/>
      </c>
      <c r="K138" s="240" t="str">
        <f t="shared" si="74"/>
        <v/>
      </c>
      <c r="L138" s="265" t="str">
        <f t="shared" si="75"/>
        <v/>
      </c>
      <c r="M138" s="265" t="str">
        <f t="shared" si="76"/>
        <v/>
      </c>
      <c r="N138" s="240" t="str">
        <f t="shared" si="77"/>
        <v>-</v>
      </c>
      <c r="O138" s="265" t="str">
        <f t="shared" si="78"/>
        <v>-</v>
      </c>
      <c r="P138" s="265" t="str">
        <f t="shared" si="79"/>
        <v>-</v>
      </c>
      <c r="Q138" s="266" t="str">
        <f t="shared" si="80"/>
        <v>-</v>
      </c>
      <c r="R138" s="267" t="str">
        <f t="shared" si="81"/>
        <v>-</v>
      </c>
      <c r="S138" s="268" t="str">
        <f t="shared" si="82"/>
        <v>-</v>
      </c>
      <c r="T138" s="269" t="str">
        <f t="shared" si="13"/>
        <v/>
      </c>
      <c r="U138" s="221">
        <f t="shared" si="14"/>
        <v>38</v>
      </c>
      <c r="V138" s="220" t="str">
        <f t="shared" si="42"/>
        <v>-</v>
      </c>
      <c r="W138" s="221" t="str">
        <f t="shared" si="43"/>
        <v>-</v>
      </c>
      <c r="X138" s="221" t="str">
        <f t="shared" si="15"/>
        <v>-</v>
      </c>
      <c r="Y138" s="221" t="str">
        <f t="shared" si="16"/>
        <v>-</v>
      </c>
      <c r="Z138" s="270">
        <f t="shared" si="44"/>
        <v>0.1</v>
      </c>
      <c r="AA138" s="271" t="str">
        <f>IFERROR(IF(V137=1,AA$100*EXP(-(LN(2)/$D$65+0.04)*X137)*EXP(-(LN(2)/$D$65+0.1)*Y137),IF(V137=2,AA$100*EXP(-(LN(2)/$D$65+0.04)*(VLOOKUP(($F$16-$F$15)-1,U$99:Y137,4,FALSE)))*EXP(-(LN(2)/$D$65+0.1)*(VLOOKUP(($F$16-$F$15)-1,U$99:Y137,5,FALSE)))*EXP(-(LN(2)/$D$65+0.04)*X137)*EXP(-(LN(2)/$D$65+0.1)*Y137),IF(V137=3,AA$100*EXP(-(LN(2)/$D$65+0.04)*(VLOOKUP(($F$16-$F$15)-1,U$99:Y137,4,FALSE)))*EXP(-(LN(2)/$D$65+0.1)*(VLOOKUP(($F$16-$F$15)-1,U$99:Y137,5,FALSE)))*EXP(-(LN(2)/$D$65+0.04)*(VLOOKUP(($F$16-$F$15)*2-1,U$99:Y137,4,FALSE)))*EXP(-(LN(2)/$D$65+0.1)*(VLOOKUP(($F$16-$F$15)*2-1,U$99:Y137,5,FALSE)))*EXP(-(LN(2)/$D$65+0.04)*X137)*EXP(-(LN(2)/$D$65+0.1)*Y137),"-"))),"-")</f>
        <v>-</v>
      </c>
      <c r="AB138" s="271" t="str">
        <f>IFERROR(IF(V138=1,AB$100*EXP(-(LN(2)/$D$65+0.04)*X138)*EXP(-(LN(2)/$D$65+0.1)*Y138),IF(V138=2,AB$100*EXP(-(LN(2)/$D$65+0.04)*(VLOOKUP(($F$16-$F$15)-1,U$100:Y138,4,FALSE)))*EXP(-(LN(2)/$D$65+0.1)*(VLOOKUP(($F$16-$F$15)-1,U$100:Y138,5,FALSE)))*EXP(-(LN(2)/$D$65+0.04)*X138)*EXP(-(LN(2)/$D$65+0.1)*Y138),IF(V138=3,AB$100*EXP(-(LN(2)/$D$65+0.04)*(VLOOKUP(($F$16-$F$15)-1,U$100:Y138,4,FALSE)))*EXP(-(LN(2)/$D$65+0.1)*(VLOOKUP(($F$16-$F$15)-1,U$100:Y138,5,FALSE)))*EXP(-(LN(2)/$D$65+0.04)*(VLOOKUP(($F$16-$F$15)*2-1,U$100:Y138,4,FALSE)))*EXP(-(LN(2)/$D$65+0.1)*(VLOOKUP(($F$16-$F$15)*2-1,U$100:Y138,5,FALSE)))*EXP(-(LN(2)/$D$65+0.04)*X138)*EXP(-(LN(2)/$D$65+0.1)*Y138),"-"))),"-")</f>
        <v>-</v>
      </c>
      <c r="AC138" s="224">
        <f t="shared" si="45"/>
        <v>38</v>
      </c>
      <c r="AD138" s="223" t="str">
        <f t="shared" si="18"/>
        <v>-</v>
      </c>
      <c r="AE138" s="224" t="str">
        <f t="shared" si="46"/>
        <v>-</v>
      </c>
      <c r="AF138" s="224" t="str">
        <f t="shared" si="19"/>
        <v>-</v>
      </c>
      <c r="AG138" s="224" t="str">
        <f t="shared" si="20"/>
        <v>-</v>
      </c>
      <c r="AH138" s="272">
        <f t="shared" si="47"/>
        <v>0.1</v>
      </c>
      <c r="AI138" s="271" t="str">
        <f>IFERROR(IF(AD137=1,AI$100*EXP(-(LN(2)/$D$65+0.04)*AF137)*EXP(-(LN(2)/$D$65+0.1)*AG137),IF(AD137=2,AI$100*EXP(-(LN(2)/$D$65+0.04)*(VLOOKUP(($F$16-$F$15)-1,AC$99:AG137,4,FALSE)))*EXP(-(LN(2)/$D$65+0.1)*(VLOOKUP(($F$16-$F$15)-1,AC$99:AG137,5,FALSE)))*EXP(-(LN(2)/$D$65+0.04)*AF137)*EXP(-(LN(2)/$D$65+0.1)*AG137),IF(AD137=3,AI$100*EXP(-(LN(2)/$D$65+0.04)*(VLOOKUP(($F$16-$F$15)-1,AC$99:AG137,4,FALSE)))*EXP(-(LN(2)/$D$65+0.1)*(VLOOKUP(($F$16-$F$15)-1,AC$99:AG137,5,FALSE)))*EXP(-(LN(2)/$D$65+0.04)*(VLOOKUP(($F$16-$F$15)*2-1,AC$99:AG137,4,FALSE)))*EXP(-(LN(2)/$D$65+0.1)*(VLOOKUP(($F$16-$F$15)*2-1,AC$99:AG137,5,FALSE)))*EXP(-(LN(2)/$D$65+0.04)*AF137)*EXP(-(LN(2)/$D$65+0.1)*AG137),"-"))),"-")</f>
        <v>-</v>
      </c>
      <c r="AJ138" s="271" t="str">
        <f>IFERROR(IF(AD138=1,AJ$100*EXP(-(LN(2)/$D$65+0.04)*AF138)*EXP(-(LN(2)/$D$65+0.1)*AG138),IF(AD138=2,AJ$100*EXP(-(LN(2)/$D$65+0.04)*(VLOOKUP(($F$16-$F$15)-1,AC$100:AG138,4,FALSE)))*EXP(-(LN(2)/$D$65+0.1)*(VLOOKUP(($F$16-$F$15)-1,AC$100:AG138,5,FALSE)))*EXP(-(LN(2)/$D$65+0.04)*AF138)*EXP(-(LN(2)/$D$65+0.1)*AG138),IF(AD138=3,AJ$100*EXP(-(LN(2)/$D$65+0.04)*(VLOOKUP(($F$16-$F$15)-1,AC$100:AG138,4,FALSE)))*EXP(-(LN(2)/$D$65+0.1)*(VLOOKUP(($F$16-$F$15)-1,AC$100:AG138,5,FALSE)))*EXP(-(LN(2)/$D$65+0.04)*(VLOOKUP(($F$16-$F$15)*2-1,AC$100:AG138,4,FALSE)))*EXP(-(LN(2)/$D$65+0.1)*(VLOOKUP(($F$16-$F$15)*2-1,AC$100:AG138,5,FALSE)))*EXP(-(LN(2)/$D$65+0.04)*AF138)*EXP(-(LN(2)/$D$65+0.1)*AG138),"-"))),"-")</f>
        <v>-</v>
      </c>
      <c r="AK138" s="227">
        <f t="shared" si="49"/>
        <v>38</v>
      </c>
      <c r="AL138" s="226" t="str">
        <f t="shared" si="22"/>
        <v>-</v>
      </c>
      <c r="AM138" s="227" t="str">
        <f t="shared" si="50"/>
        <v>-</v>
      </c>
      <c r="AN138" s="227" t="str">
        <f t="shared" si="51"/>
        <v>-</v>
      </c>
      <c r="AO138" s="227" t="str">
        <f t="shared" si="23"/>
        <v>-</v>
      </c>
      <c r="AP138" s="273">
        <f t="shared" si="52"/>
        <v>0.1</v>
      </c>
      <c r="AQ138" s="271" t="str">
        <f>IFERROR(IF(AL137=1,AQ$100*EXP(-(LN(2)/$D$65+0.04)*AN137)*EXP(-(LN(2)/$D$65+0.1)*AO137),IF(AL137=2,AQ$100*EXP(-(LN(2)/$D$65+0.04)*(VLOOKUP(($F$16-$F$15)-1,AK$99:AO137,4,FALSE)))*EXP(-(LN(2)/$D$65+0.1)*(VLOOKUP(($F$16-$F$15)-1,AK$99:AO137,5,FALSE)))*EXP(-(LN(2)/$D$65+0.04)*AN137)*EXP(-(LN(2)/$D$65+0.1)*AO137),IF(AL137=3,AQ$100*EXP(-(LN(2)/$D$65+0.04)*(VLOOKUP(($F$16-$F$15)-1,AK$99:AO137,4,FALSE)))*EXP(-(LN(2)/$D$65+0.1)*(VLOOKUP(($F$16-$F$15)-1,AK$99:AO137,5,FALSE)))*EXP(-(LN(2)/$D$65+0.04)*(VLOOKUP(($F$16-$F$15)*2-1,AK$99:AO137,4,FALSE)))*EXP(-(LN(2)/$D$65+0.1)*(VLOOKUP(($F$16-$F$15)*2-1,AK$99:AO137,5,FALSE)))*EXP(-(LN(2)/$D$65+0.04)*AN137)*EXP(-(LN(2)/$D$65+0.1)*AO137),"-"))),"-")</f>
        <v>-</v>
      </c>
      <c r="AR138" s="271" t="str">
        <f>IFERROR(IF(AL138=1,AR$100*EXP(-(LN(2)/$D$65+0.04)*AN138)*EXP(-(LN(2)/$D$65+0.1)*AO138),IF(AL138=2,AR$100*EXP(-(LN(2)/$D$65+0.04)*(VLOOKUP(($F$16-$F$15)-1,AK$100:AO138,4,FALSE)))*EXP(-(LN(2)/$D$65+0.1)*(VLOOKUP(($F$16-$F$15)-1,AK$100:AO138,5,FALSE)))*EXP(-(LN(2)/$D$65+0.04)*AN138)*EXP(-(LN(2)/$D$65+0.1)*AO138),IF(AL138=3,AR$100*EXP(-(LN(2)/$D$65+0.04)*(VLOOKUP(($F$16-$F$15)-1,AK$100:AO138,4,FALSE)))*EXP(-(LN(2)/$D$65+0.1)*(VLOOKUP(($F$16-$F$15)-1,AK$100:AO138,5,FALSE)))*EXP(-(LN(2)/$D$65+0.04)*(VLOOKUP(($F$16-$F$15)*2-1,AK$100:AO138,4,FALSE)))*EXP(-(LN(2)/$D$65+0.1)*(VLOOKUP(($F$16-$F$15)*2-1,AK$100:AO138,5,FALSE)))*EXP(-(LN(2)/$D$65+0.04)*AN138)*EXP(-(LN(2)/$D$65+0.1)*AO138),"-"))),"-")</f>
        <v>-</v>
      </c>
      <c r="AS138" s="274">
        <f t="shared" si="24"/>
        <v>0</v>
      </c>
      <c r="AT138" s="274">
        <f t="shared" si="25"/>
        <v>0</v>
      </c>
      <c r="AU138" s="274">
        <f t="shared" si="26"/>
        <v>0</v>
      </c>
      <c r="AV138" s="190" t="str">
        <f>IF($B138&lt;$F$22,SUM($T$100:$T138),"")</f>
        <v/>
      </c>
      <c r="AW138" s="190" t="str">
        <f t="shared" si="83"/>
        <v>-</v>
      </c>
      <c r="AX138" s="190" t="str">
        <f t="shared" si="56"/>
        <v/>
      </c>
      <c r="AY138"/>
      <c r="AZ138" s="190" t="str">
        <f ca="1">IF(ISNUMBER(OFFSET(AV138,-$F$21,0)),SUM(OFFSET($T$100,$F$21,0):$T138),"")</f>
        <v/>
      </c>
      <c r="BA138" s="190" t="str">
        <f t="shared" ca="1" si="84"/>
        <v/>
      </c>
      <c r="BB138" s="190" t="str">
        <f t="shared" ca="1" si="70"/>
        <v/>
      </c>
      <c r="BC138" s="190"/>
      <c r="BD138" s="190" t="str">
        <f ca="1">IFERROR(IF(OR(ISNUMBER(I),ISNUMBER($F$14)),IF(AND($B138&gt;=($F$16-$F$15),$B138&lt;$F$22+($F$16-$F$15)),SUM(OFFSET($T$100,($F$16-$F$15),0):$T138),""),""),"")</f>
        <v/>
      </c>
      <c r="BE138" s="190" t="str">
        <f t="shared" ca="1" si="58"/>
        <v/>
      </c>
      <c r="BF138" s="190" t="str">
        <f t="shared" ca="1" si="59"/>
        <v/>
      </c>
      <c r="BG138"/>
      <c r="BH138" s="190" t="str">
        <f ca="1">IF(ISNUMBER(OFFSET(BD138,-$F$21,0)),SUM(OFFSET($T$100,($F$16-$F$15+$F$21),0):$T138),"")</f>
        <v/>
      </c>
      <c r="BI138" s="190" t="str">
        <f t="shared" ca="1" si="85"/>
        <v/>
      </c>
      <c r="BJ138" s="190" t="str">
        <f t="shared" ca="1" si="60"/>
        <v/>
      </c>
      <c r="BK138" s="190"/>
      <c r="BL138" s="190" t="str">
        <f ca="1">IFERROR(IF(OR(ISNUMBER(I),ISNUMBER($F$14)),IF(AND($B138&gt;=($F$17-$F$15),$B138&lt;$F$22+($F$17-$F$15)),SUM(OFFSET($T$100,($F$17-$F$15),0):$T138),""),""),"")</f>
        <v/>
      </c>
      <c r="BM138" s="190" t="str">
        <f t="shared" ca="1" si="86"/>
        <v/>
      </c>
      <c r="BN138" s="190" t="str">
        <f t="shared" ca="1" si="61"/>
        <v/>
      </c>
      <c r="BO138"/>
      <c r="BP138" s="190" t="str">
        <f ca="1">IF(ISNUMBER(OFFSET(BL138,-$F$21,0)),SUM(OFFSET($T$100,($F$17-$F$15+$F$21),0):$T138),"")</f>
        <v/>
      </c>
      <c r="BQ138" s="190" t="str">
        <f t="shared" ca="1" si="87"/>
        <v/>
      </c>
      <c r="BR138" s="190" t="str">
        <f t="shared" ca="1" si="63"/>
        <v/>
      </c>
      <c r="BS138" s="190"/>
      <c r="BT138"/>
      <c r="BU138"/>
      <c r="BV138"/>
      <c r="BY138" s="99"/>
      <c r="BZ138" s="99"/>
      <c r="CA138" s="280" t="str">
        <f t="shared" si="88"/>
        <v/>
      </c>
      <c r="CB138" s="71" t="str">
        <f t="shared" si="31"/>
        <v>-</v>
      </c>
      <c r="CC138" s="33"/>
      <c r="CD138" s="261" t="str">
        <f t="shared" si="33"/>
        <v/>
      </c>
      <c r="CE138" s="280" t="str">
        <f t="shared" si="89"/>
        <v/>
      </c>
      <c r="CF138" s="71" t="str">
        <f t="shared" ca="1" si="90"/>
        <v/>
      </c>
      <c r="CG138" s="33" t="str">
        <f t="shared" si="36"/>
        <v/>
      </c>
      <c r="CH138" s="261" t="str">
        <f t="shared" ca="1" si="37"/>
        <v/>
      </c>
      <c r="CI138" s="202"/>
      <c r="CJ138" s="99"/>
      <c r="CK138" s="99"/>
      <c r="CL138" s="99"/>
      <c r="CM138" s="99"/>
      <c r="CN138" s="99"/>
      <c r="CO138" s="99"/>
    </row>
    <row r="139" spans="2:93" ht="13.5" customHeight="1" x14ac:dyDescent="0.2">
      <c r="B139" s="262">
        <v>39</v>
      </c>
      <c r="C139" s="237" t="str">
        <f t="shared" si="1"/>
        <v/>
      </c>
      <c r="D139" s="237" t="str">
        <f t="shared" si="66"/>
        <v/>
      </c>
      <c r="E139" s="290" t="str">
        <f t="shared" si="38"/>
        <v/>
      </c>
      <c r="F139" s="264" t="str">
        <f t="shared" si="39"/>
        <v/>
      </c>
      <c r="G139" s="291" t="str">
        <f t="shared" si="40"/>
        <v/>
      </c>
      <c r="H139" s="240" t="str">
        <f t="shared" si="71"/>
        <v/>
      </c>
      <c r="I139" s="265" t="str">
        <f t="shared" si="72"/>
        <v/>
      </c>
      <c r="J139" s="265" t="str">
        <f t="shared" si="73"/>
        <v/>
      </c>
      <c r="K139" s="240" t="str">
        <f t="shared" si="74"/>
        <v/>
      </c>
      <c r="L139" s="265" t="str">
        <f t="shared" si="75"/>
        <v/>
      </c>
      <c r="M139" s="265" t="str">
        <f t="shared" si="76"/>
        <v/>
      </c>
      <c r="N139" s="240" t="str">
        <f t="shared" si="77"/>
        <v>-</v>
      </c>
      <c r="O139" s="265" t="str">
        <f t="shared" si="78"/>
        <v>-</v>
      </c>
      <c r="P139" s="265" t="str">
        <f t="shared" si="79"/>
        <v>-</v>
      </c>
      <c r="Q139" s="266" t="str">
        <f t="shared" si="80"/>
        <v>-</v>
      </c>
      <c r="R139" s="267" t="str">
        <f t="shared" si="81"/>
        <v>-</v>
      </c>
      <c r="S139" s="268" t="str">
        <f t="shared" si="82"/>
        <v>-</v>
      </c>
      <c r="T139" s="269" t="str">
        <f t="shared" si="13"/>
        <v/>
      </c>
      <c r="U139" s="221">
        <f t="shared" si="14"/>
        <v>39</v>
      </c>
      <c r="V139" s="220" t="str">
        <f t="shared" si="42"/>
        <v>-</v>
      </c>
      <c r="W139" s="221" t="str">
        <f t="shared" si="43"/>
        <v>-</v>
      </c>
      <c r="X139" s="221" t="str">
        <f t="shared" si="15"/>
        <v>-</v>
      </c>
      <c r="Y139" s="221" t="str">
        <f t="shared" si="16"/>
        <v>-</v>
      </c>
      <c r="Z139" s="270">
        <f t="shared" si="44"/>
        <v>0.1</v>
      </c>
      <c r="AA139" s="271" t="str">
        <f>IFERROR(IF(V138=1,AA$100*EXP(-(LN(2)/$D$65+0.04)*X138)*EXP(-(LN(2)/$D$65+0.1)*Y138),IF(V138=2,AA$100*EXP(-(LN(2)/$D$65+0.04)*(VLOOKUP(($F$16-$F$15)-1,U$99:Y138,4,FALSE)))*EXP(-(LN(2)/$D$65+0.1)*(VLOOKUP(($F$16-$F$15)-1,U$99:Y138,5,FALSE)))*EXP(-(LN(2)/$D$65+0.04)*X138)*EXP(-(LN(2)/$D$65+0.1)*Y138),IF(V138=3,AA$100*EXP(-(LN(2)/$D$65+0.04)*(VLOOKUP(($F$16-$F$15)-1,U$99:Y138,4,FALSE)))*EXP(-(LN(2)/$D$65+0.1)*(VLOOKUP(($F$16-$F$15)-1,U$99:Y138,5,FALSE)))*EXP(-(LN(2)/$D$65+0.04)*(VLOOKUP(($F$16-$F$15)*2-1,U$99:Y138,4,FALSE)))*EXP(-(LN(2)/$D$65+0.1)*(VLOOKUP(($F$16-$F$15)*2-1,U$99:Y138,5,FALSE)))*EXP(-(LN(2)/$D$65+0.04)*X138)*EXP(-(LN(2)/$D$65+0.1)*Y138),"-"))),"-")</f>
        <v>-</v>
      </c>
      <c r="AB139" s="271" t="str">
        <f>IFERROR(IF(V139=1,AB$100*EXP(-(LN(2)/$D$65+0.04)*X139)*EXP(-(LN(2)/$D$65+0.1)*Y139),IF(V139=2,AB$100*EXP(-(LN(2)/$D$65+0.04)*(VLOOKUP(($F$16-$F$15)-1,U$100:Y139,4,FALSE)))*EXP(-(LN(2)/$D$65+0.1)*(VLOOKUP(($F$16-$F$15)-1,U$100:Y139,5,FALSE)))*EXP(-(LN(2)/$D$65+0.04)*X139)*EXP(-(LN(2)/$D$65+0.1)*Y139),IF(V139=3,AB$100*EXP(-(LN(2)/$D$65+0.04)*(VLOOKUP(($F$16-$F$15)-1,U$100:Y139,4,FALSE)))*EXP(-(LN(2)/$D$65+0.1)*(VLOOKUP(($F$16-$F$15)-1,U$100:Y139,5,FALSE)))*EXP(-(LN(2)/$D$65+0.04)*(VLOOKUP(($F$16-$F$15)*2-1,U$100:Y139,4,FALSE)))*EXP(-(LN(2)/$D$65+0.1)*(VLOOKUP(($F$16-$F$15)*2-1,U$100:Y139,5,FALSE)))*EXP(-(LN(2)/$D$65+0.04)*X139)*EXP(-(LN(2)/$D$65+0.1)*Y139),"-"))),"-")</f>
        <v>-</v>
      </c>
      <c r="AC139" s="224">
        <f t="shared" si="45"/>
        <v>39</v>
      </c>
      <c r="AD139" s="223" t="str">
        <f t="shared" si="18"/>
        <v>-</v>
      </c>
      <c r="AE139" s="224" t="str">
        <f t="shared" si="46"/>
        <v>-</v>
      </c>
      <c r="AF139" s="224" t="str">
        <f t="shared" si="19"/>
        <v>-</v>
      </c>
      <c r="AG139" s="224" t="str">
        <f t="shared" si="20"/>
        <v>-</v>
      </c>
      <c r="AH139" s="272">
        <f t="shared" si="47"/>
        <v>0.1</v>
      </c>
      <c r="AI139" s="271" t="str">
        <f>IFERROR(IF(AD138=1,AI$100*EXP(-(LN(2)/$D$65+0.04)*AF138)*EXP(-(LN(2)/$D$65+0.1)*AG138),IF(AD138=2,AI$100*EXP(-(LN(2)/$D$65+0.04)*(VLOOKUP(($F$16-$F$15)-1,AC$99:AG138,4,FALSE)))*EXP(-(LN(2)/$D$65+0.1)*(VLOOKUP(($F$16-$F$15)-1,AC$99:AG138,5,FALSE)))*EXP(-(LN(2)/$D$65+0.04)*AF138)*EXP(-(LN(2)/$D$65+0.1)*AG138),IF(AD138=3,AI$100*EXP(-(LN(2)/$D$65+0.04)*(VLOOKUP(($F$16-$F$15)-1,AC$99:AG138,4,FALSE)))*EXP(-(LN(2)/$D$65+0.1)*(VLOOKUP(($F$16-$F$15)-1,AC$99:AG138,5,FALSE)))*EXP(-(LN(2)/$D$65+0.04)*(VLOOKUP(($F$16-$F$15)*2-1,AC$99:AG138,4,FALSE)))*EXP(-(LN(2)/$D$65+0.1)*(VLOOKUP(($F$16-$F$15)*2-1,AC$99:AG138,5,FALSE)))*EXP(-(LN(2)/$D$65+0.04)*AF138)*EXP(-(LN(2)/$D$65+0.1)*AG138),"-"))),"-")</f>
        <v>-</v>
      </c>
      <c r="AJ139" s="271" t="str">
        <f>IFERROR(IF(AD139=1,AJ$100*EXP(-(LN(2)/$D$65+0.04)*AF139)*EXP(-(LN(2)/$D$65+0.1)*AG139),IF(AD139=2,AJ$100*EXP(-(LN(2)/$D$65+0.04)*(VLOOKUP(($F$16-$F$15)-1,AC$100:AG139,4,FALSE)))*EXP(-(LN(2)/$D$65+0.1)*(VLOOKUP(($F$16-$F$15)-1,AC$100:AG139,5,FALSE)))*EXP(-(LN(2)/$D$65+0.04)*AF139)*EXP(-(LN(2)/$D$65+0.1)*AG139),IF(AD139=3,AJ$100*EXP(-(LN(2)/$D$65+0.04)*(VLOOKUP(($F$16-$F$15)-1,AC$100:AG139,4,FALSE)))*EXP(-(LN(2)/$D$65+0.1)*(VLOOKUP(($F$16-$F$15)-1,AC$100:AG139,5,FALSE)))*EXP(-(LN(2)/$D$65+0.04)*(VLOOKUP(($F$16-$F$15)*2-1,AC$100:AG139,4,FALSE)))*EXP(-(LN(2)/$D$65+0.1)*(VLOOKUP(($F$16-$F$15)*2-1,AC$100:AG139,5,FALSE)))*EXP(-(LN(2)/$D$65+0.04)*AF139)*EXP(-(LN(2)/$D$65+0.1)*AG139),"-"))),"-")</f>
        <v>-</v>
      </c>
      <c r="AK139" s="227">
        <f t="shared" si="49"/>
        <v>39</v>
      </c>
      <c r="AL139" s="226" t="str">
        <f t="shared" si="22"/>
        <v>-</v>
      </c>
      <c r="AM139" s="227" t="str">
        <f t="shared" si="50"/>
        <v>-</v>
      </c>
      <c r="AN139" s="227" t="str">
        <f t="shared" si="51"/>
        <v>-</v>
      </c>
      <c r="AO139" s="227" t="str">
        <f t="shared" si="23"/>
        <v>-</v>
      </c>
      <c r="AP139" s="273">
        <f t="shared" si="52"/>
        <v>0.1</v>
      </c>
      <c r="AQ139" s="271" t="str">
        <f>IFERROR(IF(AL138=1,AQ$100*EXP(-(LN(2)/$D$65+0.04)*AN138)*EXP(-(LN(2)/$D$65+0.1)*AO138),IF(AL138=2,AQ$100*EXP(-(LN(2)/$D$65+0.04)*(VLOOKUP(($F$16-$F$15)-1,AK$99:AO138,4,FALSE)))*EXP(-(LN(2)/$D$65+0.1)*(VLOOKUP(($F$16-$F$15)-1,AK$99:AO138,5,FALSE)))*EXP(-(LN(2)/$D$65+0.04)*AN138)*EXP(-(LN(2)/$D$65+0.1)*AO138),IF(AL138=3,AQ$100*EXP(-(LN(2)/$D$65+0.04)*(VLOOKUP(($F$16-$F$15)-1,AK$99:AO138,4,FALSE)))*EXP(-(LN(2)/$D$65+0.1)*(VLOOKUP(($F$16-$F$15)-1,AK$99:AO138,5,FALSE)))*EXP(-(LN(2)/$D$65+0.04)*(VLOOKUP(($F$16-$F$15)*2-1,AK$99:AO138,4,FALSE)))*EXP(-(LN(2)/$D$65+0.1)*(VLOOKUP(($F$16-$F$15)*2-1,AK$99:AO138,5,FALSE)))*EXP(-(LN(2)/$D$65+0.04)*AN138)*EXP(-(LN(2)/$D$65+0.1)*AO138),"-"))),"-")</f>
        <v>-</v>
      </c>
      <c r="AR139" s="271" t="str">
        <f>IFERROR(IF(AL139=1,AR$100*EXP(-(LN(2)/$D$65+0.04)*AN139)*EXP(-(LN(2)/$D$65+0.1)*AO139),IF(AL139=2,AR$100*EXP(-(LN(2)/$D$65+0.04)*(VLOOKUP(($F$16-$F$15)-1,AK$100:AO139,4,FALSE)))*EXP(-(LN(2)/$D$65+0.1)*(VLOOKUP(($F$16-$F$15)-1,AK$100:AO139,5,FALSE)))*EXP(-(LN(2)/$D$65+0.04)*AN139)*EXP(-(LN(2)/$D$65+0.1)*AO139),IF(AL139=3,AR$100*EXP(-(LN(2)/$D$65+0.04)*(VLOOKUP(($F$16-$F$15)-1,AK$100:AO139,4,FALSE)))*EXP(-(LN(2)/$D$65+0.1)*(VLOOKUP(($F$16-$F$15)-1,AK$100:AO139,5,FALSE)))*EXP(-(LN(2)/$D$65+0.04)*(VLOOKUP(($F$16-$F$15)*2-1,AK$100:AO139,4,FALSE)))*EXP(-(LN(2)/$D$65+0.1)*(VLOOKUP(($F$16-$F$15)*2-1,AK$100:AO139,5,FALSE)))*EXP(-(LN(2)/$D$65+0.04)*AN139)*EXP(-(LN(2)/$D$65+0.1)*AO139),"-"))),"-")</f>
        <v>-</v>
      </c>
      <c r="AS139" s="274">
        <f t="shared" si="24"/>
        <v>0</v>
      </c>
      <c r="AT139" s="274">
        <f t="shared" si="25"/>
        <v>0</v>
      </c>
      <c r="AU139" s="274">
        <f t="shared" si="26"/>
        <v>0</v>
      </c>
      <c r="AV139" s="190" t="str">
        <f>IF($B139&lt;$F$22,SUM($T$100:$T139),"")</f>
        <v/>
      </c>
      <c r="AW139" s="190" t="str">
        <f t="shared" si="83"/>
        <v>-</v>
      </c>
      <c r="AX139" s="190" t="str">
        <f t="shared" si="56"/>
        <v/>
      </c>
      <c r="AY139"/>
      <c r="AZ139" s="190" t="str">
        <f ca="1">IF(ISNUMBER(OFFSET(AV139,-$F$21,0)),SUM(OFFSET($T$100,$F$21,0):$T139),"")</f>
        <v/>
      </c>
      <c r="BA139" s="190" t="str">
        <f t="shared" ca="1" si="84"/>
        <v/>
      </c>
      <c r="BB139" s="190" t="str">
        <f t="shared" ca="1" si="70"/>
        <v/>
      </c>
      <c r="BC139" s="190"/>
      <c r="BD139" s="190" t="str">
        <f ca="1">IFERROR(IF(OR(ISNUMBER(I),ISNUMBER($F$14)),IF(AND($B139&gt;=($F$16-$F$15),$B139&lt;$F$22+($F$16-$F$15)),SUM(OFFSET($T$100,($F$16-$F$15),0):$T139),""),""),"")</f>
        <v/>
      </c>
      <c r="BE139" s="190" t="str">
        <f t="shared" ca="1" si="58"/>
        <v/>
      </c>
      <c r="BF139" s="190" t="str">
        <f t="shared" ca="1" si="59"/>
        <v/>
      </c>
      <c r="BG139"/>
      <c r="BH139" s="190" t="str">
        <f ca="1">IF(ISNUMBER(OFFSET(BD139,-$F$21,0)),SUM(OFFSET($T$100,($F$16-$F$15+$F$21),0):$T139),"")</f>
        <v/>
      </c>
      <c r="BI139" s="190" t="str">
        <f t="shared" ca="1" si="85"/>
        <v/>
      </c>
      <c r="BJ139" s="190" t="str">
        <f t="shared" ca="1" si="60"/>
        <v/>
      </c>
      <c r="BK139" s="190"/>
      <c r="BL139" s="190" t="str">
        <f ca="1">IFERROR(IF(OR(ISNUMBER(I),ISNUMBER($F$14)),IF(AND($B139&gt;=($F$17-$F$15),$B139&lt;$F$22+($F$17-$F$15)),SUM(OFFSET($T$100,($F$17-$F$15),0):$T139),""),""),"")</f>
        <v/>
      </c>
      <c r="BM139" s="190" t="str">
        <f t="shared" ca="1" si="86"/>
        <v/>
      </c>
      <c r="BN139" s="190" t="str">
        <f t="shared" ca="1" si="61"/>
        <v/>
      </c>
      <c r="BO139"/>
      <c r="BP139" s="190" t="str">
        <f ca="1">IF(ISNUMBER(OFFSET(BL139,-$F$21,0)),SUM(OFFSET($T$100,($F$17-$F$15+$F$21),0):$T139),"")</f>
        <v/>
      </c>
      <c r="BQ139" s="190" t="str">
        <f t="shared" ca="1" si="87"/>
        <v/>
      </c>
      <c r="BR139" s="190" t="str">
        <f t="shared" ca="1" si="63"/>
        <v/>
      </c>
      <c r="BS139" s="190"/>
      <c r="BT139"/>
      <c r="BU139"/>
      <c r="BV139"/>
      <c r="BY139" s="99"/>
      <c r="BZ139" s="99"/>
      <c r="CA139" s="280" t="str">
        <f t="shared" si="88"/>
        <v/>
      </c>
      <c r="CB139" s="71" t="str">
        <f t="shared" si="31"/>
        <v>-</v>
      </c>
      <c r="CC139" s="33"/>
      <c r="CD139" s="261" t="str">
        <f t="shared" si="33"/>
        <v/>
      </c>
      <c r="CE139" s="280" t="str">
        <f t="shared" si="89"/>
        <v/>
      </c>
      <c r="CF139" s="71" t="str">
        <f t="shared" ca="1" si="90"/>
        <v/>
      </c>
      <c r="CG139" s="33" t="str">
        <f t="shared" si="36"/>
        <v/>
      </c>
      <c r="CH139" s="261" t="str">
        <f t="shared" ca="1" si="37"/>
        <v/>
      </c>
      <c r="CI139" s="202"/>
      <c r="CJ139" s="99"/>
      <c r="CK139" s="99"/>
      <c r="CL139" s="99"/>
      <c r="CM139" s="99"/>
      <c r="CN139" s="99"/>
      <c r="CO139" s="99"/>
    </row>
    <row r="140" spans="2:93" ht="13.5" customHeight="1" x14ac:dyDescent="0.2">
      <c r="B140" s="262">
        <v>40</v>
      </c>
      <c r="C140" s="237" t="str">
        <f t="shared" si="1"/>
        <v/>
      </c>
      <c r="D140" s="237" t="str">
        <f t="shared" si="66"/>
        <v/>
      </c>
      <c r="E140" s="290" t="str">
        <f t="shared" si="38"/>
        <v/>
      </c>
      <c r="F140" s="264" t="str">
        <f t="shared" si="39"/>
        <v/>
      </c>
      <c r="G140" s="291" t="str">
        <f t="shared" si="40"/>
        <v/>
      </c>
      <c r="H140" s="240" t="str">
        <f t="shared" si="71"/>
        <v/>
      </c>
      <c r="I140" s="265" t="str">
        <f t="shared" si="72"/>
        <v/>
      </c>
      <c r="J140" s="265" t="str">
        <f t="shared" si="73"/>
        <v/>
      </c>
      <c r="K140" s="240" t="str">
        <f t="shared" si="74"/>
        <v/>
      </c>
      <c r="L140" s="265" t="str">
        <f t="shared" si="75"/>
        <v/>
      </c>
      <c r="M140" s="265" t="str">
        <f t="shared" si="76"/>
        <v/>
      </c>
      <c r="N140" s="240" t="str">
        <f t="shared" si="77"/>
        <v>-</v>
      </c>
      <c r="O140" s="265" t="str">
        <f t="shared" si="78"/>
        <v>-</v>
      </c>
      <c r="P140" s="265" t="str">
        <f t="shared" si="79"/>
        <v>-</v>
      </c>
      <c r="Q140" s="266" t="str">
        <f t="shared" si="80"/>
        <v>-</v>
      </c>
      <c r="R140" s="267" t="str">
        <f t="shared" si="81"/>
        <v>-</v>
      </c>
      <c r="S140" s="268" t="str">
        <f t="shared" si="82"/>
        <v>-</v>
      </c>
      <c r="T140" s="269" t="str">
        <f t="shared" si="13"/>
        <v/>
      </c>
      <c r="U140" s="221">
        <f t="shared" si="14"/>
        <v>40</v>
      </c>
      <c r="V140" s="220" t="str">
        <f t="shared" si="42"/>
        <v>-</v>
      </c>
      <c r="W140" s="221" t="str">
        <f t="shared" si="43"/>
        <v>-</v>
      </c>
      <c r="X140" s="221" t="str">
        <f t="shared" si="15"/>
        <v>-</v>
      </c>
      <c r="Y140" s="221" t="str">
        <f t="shared" si="16"/>
        <v>-</v>
      </c>
      <c r="Z140" s="270">
        <f t="shared" si="44"/>
        <v>0.1</v>
      </c>
      <c r="AA140" s="271" t="str">
        <f>IFERROR(IF(V139=1,AA$100*EXP(-(LN(2)/$D$65+0.04)*X139)*EXP(-(LN(2)/$D$65+0.1)*Y139),IF(V139=2,AA$100*EXP(-(LN(2)/$D$65+0.04)*(VLOOKUP(($F$16-$F$15)-1,U$99:Y139,4,FALSE)))*EXP(-(LN(2)/$D$65+0.1)*(VLOOKUP(($F$16-$F$15)-1,U$99:Y139,5,FALSE)))*EXP(-(LN(2)/$D$65+0.04)*X139)*EXP(-(LN(2)/$D$65+0.1)*Y139),IF(V139=3,AA$100*EXP(-(LN(2)/$D$65+0.04)*(VLOOKUP(($F$16-$F$15)-1,U$99:Y139,4,FALSE)))*EXP(-(LN(2)/$D$65+0.1)*(VLOOKUP(($F$16-$F$15)-1,U$99:Y139,5,FALSE)))*EXP(-(LN(2)/$D$65+0.04)*(VLOOKUP(($F$16-$F$15)*2-1,U$99:Y139,4,FALSE)))*EXP(-(LN(2)/$D$65+0.1)*(VLOOKUP(($F$16-$F$15)*2-1,U$99:Y139,5,FALSE)))*EXP(-(LN(2)/$D$65+0.04)*X139)*EXP(-(LN(2)/$D$65+0.1)*Y139),"-"))),"-")</f>
        <v>-</v>
      </c>
      <c r="AB140" s="271" t="str">
        <f>IFERROR(IF(V140=1,AB$100*EXP(-(LN(2)/$D$65+0.04)*X140)*EXP(-(LN(2)/$D$65+0.1)*Y140),IF(V140=2,AB$100*EXP(-(LN(2)/$D$65+0.04)*(VLOOKUP(($F$16-$F$15)-1,U$100:Y140,4,FALSE)))*EXP(-(LN(2)/$D$65+0.1)*(VLOOKUP(($F$16-$F$15)-1,U$100:Y140,5,FALSE)))*EXP(-(LN(2)/$D$65+0.04)*X140)*EXP(-(LN(2)/$D$65+0.1)*Y140),IF(V140=3,AB$100*EXP(-(LN(2)/$D$65+0.04)*(VLOOKUP(($F$16-$F$15)-1,U$100:Y140,4,FALSE)))*EXP(-(LN(2)/$D$65+0.1)*(VLOOKUP(($F$16-$F$15)-1,U$100:Y140,5,FALSE)))*EXP(-(LN(2)/$D$65+0.04)*(VLOOKUP(($F$16-$F$15)*2-1,U$100:Y140,4,FALSE)))*EXP(-(LN(2)/$D$65+0.1)*(VLOOKUP(($F$16-$F$15)*2-1,U$100:Y140,5,FALSE)))*EXP(-(LN(2)/$D$65+0.04)*X140)*EXP(-(LN(2)/$D$65+0.1)*Y140),"-"))),"-")</f>
        <v>-</v>
      </c>
      <c r="AC140" s="224">
        <f t="shared" si="45"/>
        <v>40</v>
      </c>
      <c r="AD140" s="223" t="str">
        <f t="shared" si="18"/>
        <v>-</v>
      </c>
      <c r="AE140" s="224" t="str">
        <f t="shared" si="46"/>
        <v>-</v>
      </c>
      <c r="AF140" s="224" t="str">
        <f t="shared" si="19"/>
        <v>-</v>
      </c>
      <c r="AG140" s="224" t="str">
        <f t="shared" si="20"/>
        <v>-</v>
      </c>
      <c r="AH140" s="272">
        <f t="shared" si="47"/>
        <v>0.1</v>
      </c>
      <c r="AI140" s="271" t="str">
        <f>IFERROR(IF(AD139=1,AI$100*EXP(-(LN(2)/$D$65+0.04)*AF139)*EXP(-(LN(2)/$D$65+0.1)*AG139),IF(AD139=2,AI$100*EXP(-(LN(2)/$D$65+0.04)*(VLOOKUP(($F$16-$F$15)-1,AC$99:AG139,4,FALSE)))*EXP(-(LN(2)/$D$65+0.1)*(VLOOKUP(($F$16-$F$15)-1,AC$99:AG139,5,FALSE)))*EXP(-(LN(2)/$D$65+0.04)*AF139)*EXP(-(LN(2)/$D$65+0.1)*AG139),IF(AD139=3,AI$100*EXP(-(LN(2)/$D$65+0.04)*(VLOOKUP(($F$16-$F$15)-1,AC$99:AG139,4,FALSE)))*EXP(-(LN(2)/$D$65+0.1)*(VLOOKUP(($F$16-$F$15)-1,AC$99:AG139,5,FALSE)))*EXP(-(LN(2)/$D$65+0.04)*(VLOOKUP(($F$16-$F$15)*2-1,AC$99:AG139,4,FALSE)))*EXP(-(LN(2)/$D$65+0.1)*(VLOOKUP(($F$16-$F$15)*2-1,AC$99:AG139,5,FALSE)))*EXP(-(LN(2)/$D$65+0.04)*AF139)*EXP(-(LN(2)/$D$65+0.1)*AG139),"-"))),"-")</f>
        <v>-</v>
      </c>
      <c r="AJ140" s="271" t="str">
        <f>IFERROR(IF(AD140=1,AJ$100*EXP(-(LN(2)/$D$65+0.04)*AF140)*EXP(-(LN(2)/$D$65+0.1)*AG140),IF(AD140=2,AJ$100*EXP(-(LN(2)/$D$65+0.04)*(VLOOKUP(($F$16-$F$15)-1,AC$100:AG140,4,FALSE)))*EXP(-(LN(2)/$D$65+0.1)*(VLOOKUP(($F$16-$F$15)-1,AC$100:AG140,5,FALSE)))*EXP(-(LN(2)/$D$65+0.04)*AF140)*EXP(-(LN(2)/$D$65+0.1)*AG140),IF(AD140=3,AJ$100*EXP(-(LN(2)/$D$65+0.04)*(VLOOKUP(($F$16-$F$15)-1,AC$100:AG140,4,FALSE)))*EXP(-(LN(2)/$D$65+0.1)*(VLOOKUP(($F$16-$F$15)-1,AC$100:AG140,5,FALSE)))*EXP(-(LN(2)/$D$65+0.04)*(VLOOKUP(($F$16-$F$15)*2-1,AC$100:AG140,4,FALSE)))*EXP(-(LN(2)/$D$65+0.1)*(VLOOKUP(($F$16-$F$15)*2-1,AC$100:AG140,5,FALSE)))*EXP(-(LN(2)/$D$65+0.04)*AF140)*EXP(-(LN(2)/$D$65+0.1)*AG140),"-"))),"-")</f>
        <v>-</v>
      </c>
      <c r="AK140" s="227">
        <f t="shared" si="49"/>
        <v>40</v>
      </c>
      <c r="AL140" s="226" t="str">
        <f t="shared" si="22"/>
        <v>-</v>
      </c>
      <c r="AM140" s="227" t="str">
        <f t="shared" si="50"/>
        <v>-</v>
      </c>
      <c r="AN140" s="227" t="str">
        <f t="shared" si="51"/>
        <v>-</v>
      </c>
      <c r="AO140" s="227" t="str">
        <f t="shared" si="23"/>
        <v>-</v>
      </c>
      <c r="AP140" s="273">
        <f t="shared" si="52"/>
        <v>0.1</v>
      </c>
      <c r="AQ140" s="271" t="str">
        <f>IFERROR(IF(AL139=1,AQ$100*EXP(-(LN(2)/$D$65+0.04)*AN139)*EXP(-(LN(2)/$D$65+0.1)*AO139),IF(AL139=2,AQ$100*EXP(-(LN(2)/$D$65+0.04)*(VLOOKUP(($F$16-$F$15)-1,AK$99:AO139,4,FALSE)))*EXP(-(LN(2)/$D$65+0.1)*(VLOOKUP(($F$16-$F$15)-1,AK$99:AO139,5,FALSE)))*EXP(-(LN(2)/$D$65+0.04)*AN139)*EXP(-(LN(2)/$D$65+0.1)*AO139),IF(AL139=3,AQ$100*EXP(-(LN(2)/$D$65+0.04)*(VLOOKUP(($F$16-$F$15)-1,AK$99:AO139,4,FALSE)))*EXP(-(LN(2)/$D$65+0.1)*(VLOOKUP(($F$16-$F$15)-1,AK$99:AO139,5,FALSE)))*EXP(-(LN(2)/$D$65+0.04)*(VLOOKUP(($F$16-$F$15)*2-1,AK$99:AO139,4,FALSE)))*EXP(-(LN(2)/$D$65+0.1)*(VLOOKUP(($F$16-$F$15)*2-1,AK$99:AO139,5,FALSE)))*EXP(-(LN(2)/$D$65+0.04)*AN139)*EXP(-(LN(2)/$D$65+0.1)*AO139),"-"))),"-")</f>
        <v>-</v>
      </c>
      <c r="AR140" s="271" t="str">
        <f>IFERROR(IF(AL140=1,AR$100*EXP(-(LN(2)/$D$65+0.04)*AN140)*EXP(-(LN(2)/$D$65+0.1)*AO140),IF(AL140=2,AR$100*EXP(-(LN(2)/$D$65+0.04)*(VLOOKUP(($F$16-$F$15)-1,AK$100:AO140,4,FALSE)))*EXP(-(LN(2)/$D$65+0.1)*(VLOOKUP(($F$16-$F$15)-1,AK$100:AO140,5,FALSE)))*EXP(-(LN(2)/$D$65+0.04)*AN140)*EXP(-(LN(2)/$D$65+0.1)*AO140),IF(AL140=3,AR$100*EXP(-(LN(2)/$D$65+0.04)*(VLOOKUP(($F$16-$F$15)-1,AK$100:AO140,4,FALSE)))*EXP(-(LN(2)/$D$65+0.1)*(VLOOKUP(($F$16-$F$15)-1,AK$100:AO140,5,FALSE)))*EXP(-(LN(2)/$D$65+0.04)*(VLOOKUP(($F$16-$F$15)*2-1,AK$100:AO140,4,FALSE)))*EXP(-(LN(2)/$D$65+0.1)*(VLOOKUP(($F$16-$F$15)*2-1,AK$100:AO140,5,FALSE)))*EXP(-(LN(2)/$D$65+0.04)*AN140)*EXP(-(LN(2)/$D$65+0.1)*AO140),"-"))),"-")</f>
        <v>-</v>
      </c>
      <c r="AS140" s="274">
        <f t="shared" si="24"/>
        <v>0</v>
      </c>
      <c r="AT140" s="274">
        <f t="shared" si="25"/>
        <v>0</v>
      </c>
      <c r="AU140" s="274">
        <f t="shared" si="26"/>
        <v>0</v>
      </c>
      <c r="AV140" s="190" t="str">
        <f>IF($B140&lt;$F$22,SUM($T$100:$T140),"")</f>
        <v/>
      </c>
      <c r="AW140" s="190" t="str">
        <f t="shared" si="83"/>
        <v>-</v>
      </c>
      <c r="AX140" s="190" t="str">
        <f t="shared" si="56"/>
        <v/>
      </c>
      <c r="AY140"/>
      <c r="AZ140" s="190" t="str">
        <f ca="1">IF(ISNUMBER(OFFSET(AV140,-$F$21,0)),SUM(OFFSET($T$100,$F$21,0):$T140),"")</f>
        <v/>
      </c>
      <c r="BA140" s="190" t="str">
        <f t="shared" ca="1" si="84"/>
        <v/>
      </c>
      <c r="BB140" s="190" t="str">
        <f t="shared" ca="1" si="70"/>
        <v/>
      </c>
      <c r="BC140" s="190"/>
      <c r="BD140" s="190" t="str">
        <f ca="1">IFERROR(IF(OR(ISNUMBER(I),ISNUMBER($F$14)),IF(AND($B140&gt;=($F$16-$F$15),$B140&lt;$F$22+($F$16-$F$15)),SUM(OFFSET($T$100,($F$16-$F$15),0):$T140),""),""),"")</f>
        <v/>
      </c>
      <c r="BE140" s="190" t="str">
        <f t="shared" ca="1" si="58"/>
        <v/>
      </c>
      <c r="BF140" s="190" t="str">
        <f t="shared" ca="1" si="59"/>
        <v/>
      </c>
      <c r="BG140"/>
      <c r="BH140" s="190" t="str">
        <f ca="1">IF(ISNUMBER(OFFSET(BD140,-$F$21,0)),SUM(OFFSET($T$100,($F$16-$F$15+$F$21),0):$T140),"")</f>
        <v/>
      </c>
      <c r="BI140" s="190" t="str">
        <f t="shared" ca="1" si="85"/>
        <v/>
      </c>
      <c r="BJ140" s="190" t="str">
        <f t="shared" ca="1" si="60"/>
        <v/>
      </c>
      <c r="BK140" s="190"/>
      <c r="BL140" s="190" t="str">
        <f ca="1">IFERROR(IF(OR(ISNUMBER(I),ISNUMBER($F$14)),IF(AND($B140&gt;=($F$17-$F$15),$B140&lt;$F$22+($F$17-$F$15)),SUM(OFFSET($T$100,($F$17-$F$15),0):$T140),""),""),"")</f>
        <v/>
      </c>
      <c r="BM140" s="190" t="str">
        <f t="shared" ca="1" si="86"/>
        <v/>
      </c>
      <c r="BN140" s="190" t="str">
        <f t="shared" ca="1" si="61"/>
        <v/>
      </c>
      <c r="BO140"/>
      <c r="BP140" s="190" t="str">
        <f ca="1">IF(ISNUMBER(OFFSET(BL140,-$F$21,0)),SUM(OFFSET($T$100,($F$17-$F$15+$F$21),0):$T140),"")</f>
        <v/>
      </c>
      <c r="BQ140" s="190" t="str">
        <f t="shared" ca="1" si="87"/>
        <v/>
      </c>
      <c r="BR140" s="190" t="str">
        <f t="shared" ca="1" si="63"/>
        <v/>
      </c>
      <c r="BS140" s="190"/>
      <c r="BT140"/>
      <c r="BU140"/>
      <c r="BV140"/>
      <c r="BY140" s="99"/>
      <c r="BZ140" s="99"/>
      <c r="CA140" s="280" t="str">
        <f t="shared" si="88"/>
        <v/>
      </c>
      <c r="CB140" s="71" t="str">
        <f t="shared" si="31"/>
        <v>-</v>
      </c>
      <c r="CC140" s="33"/>
      <c r="CD140" s="261" t="str">
        <f t="shared" si="33"/>
        <v/>
      </c>
      <c r="CE140" s="280" t="str">
        <f t="shared" si="89"/>
        <v/>
      </c>
      <c r="CF140" s="71" t="str">
        <f t="shared" ca="1" si="90"/>
        <v/>
      </c>
      <c r="CG140" s="33" t="str">
        <f t="shared" si="36"/>
        <v/>
      </c>
      <c r="CH140" s="261" t="str">
        <f t="shared" ca="1" si="37"/>
        <v/>
      </c>
      <c r="CI140" s="202"/>
      <c r="CJ140" s="99"/>
      <c r="CK140" s="99"/>
      <c r="CL140" s="99"/>
      <c r="CM140" s="99"/>
      <c r="CN140" s="99"/>
      <c r="CO140" s="99"/>
    </row>
    <row r="141" spans="2:93" ht="13.5" customHeight="1" x14ac:dyDescent="0.2">
      <c r="B141" s="262">
        <v>41</v>
      </c>
      <c r="C141" s="237" t="str">
        <f t="shared" si="1"/>
        <v/>
      </c>
      <c r="D141" s="237" t="str">
        <f t="shared" si="66"/>
        <v/>
      </c>
      <c r="E141" s="290" t="str">
        <f t="shared" si="38"/>
        <v/>
      </c>
      <c r="F141" s="264" t="str">
        <f t="shared" si="39"/>
        <v/>
      </c>
      <c r="G141" s="291" t="str">
        <f t="shared" si="40"/>
        <v/>
      </c>
      <c r="H141" s="240" t="str">
        <f t="shared" si="71"/>
        <v/>
      </c>
      <c r="I141" s="265" t="str">
        <f t="shared" si="72"/>
        <v/>
      </c>
      <c r="J141" s="265" t="str">
        <f t="shared" si="73"/>
        <v/>
      </c>
      <c r="K141" s="240" t="str">
        <f t="shared" si="74"/>
        <v/>
      </c>
      <c r="L141" s="265" t="str">
        <f t="shared" si="75"/>
        <v/>
      </c>
      <c r="M141" s="265" t="str">
        <f t="shared" si="76"/>
        <v/>
      </c>
      <c r="N141" s="240" t="str">
        <f t="shared" si="77"/>
        <v>-</v>
      </c>
      <c r="O141" s="265" t="str">
        <f t="shared" si="78"/>
        <v>-</v>
      </c>
      <c r="P141" s="265" t="str">
        <f t="shared" si="79"/>
        <v>-</v>
      </c>
      <c r="Q141" s="266" t="str">
        <f t="shared" si="80"/>
        <v>-</v>
      </c>
      <c r="R141" s="267" t="str">
        <f t="shared" si="81"/>
        <v>-</v>
      </c>
      <c r="S141" s="268" t="str">
        <f t="shared" si="82"/>
        <v>-</v>
      </c>
      <c r="T141" s="269" t="str">
        <f t="shared" si="13"/>
        <v/>
      </c>
      <c r="U141" s="221">
        <f t="shared" si="14"/>
        <v>41</v>
      </c>
      <c r="V141" s="220" t="str">
        <f t="shared" si="42"/>
        <v>-</v>
      </c>
      <c r="W141" s="221" t="str">
        <f t="shared" si="43"/>
        <v>-</v>
      </c>
      <c r="X141" s="221" t="str">
        <f t="shared" si="15"/>
        <v>-</v>
      </c>
      <c r="Y141" s="221" t="str">
        <f t="shared" si="16"/>
        <v>-</v>
      </c>
      <c r="Z141" s="270">
        <f t="shared" si="44"/>
        <v>0.1</v>
      </c>
      <c r="AA141" s="271" t="str">
        <f>IFERROR(IF(V140=1,AA$100*EXP(-(LN(2)/$D$65+0.04)*X140)*EXP(-(LN(2)/$D$65+0.1)*Y140),IF(V140=2,AA$100*EXP(-(LN(2)/$D$65+0.04)*(VLOOKUP(($F$16-$F$15)-1,U$99:Y140,4,FALSE)))*EXP(-(LN(2)/$D$65+0.1)*(VLOOKUP(($F$16-$F$15)-1,U$99:Y140,5,FALSE)))*EXP(-(LN(2)/$D$65+0.04)*X140)*EXP(-(LN(2)/$D$65+0.1)*Y140),IF(V140=3,AA$100*EXP(-(LN(2)/$D$65+0.04)*(VLOOKUP(($F$16-$F$15)-1,U$99:Y140,4,FALSE)))*EXP(-(LN(2)/$D$65+0.1)*(VLOOKUP(($F$16-$F$15)-1,U$99:Y140,5,FALSE)))*EXP(-(LN(2)/$D$65+0.04)*(VLOOKUP(($F$16-$F$15)*2-1,U$99:Y140,4,FALSE)))*EXP(-(LN(2)/$D$65+0.1)*(VLOOKUP(($F$16-$F$15)*2-1,U$99:Y140,5,FALSE)))*EXP(-(LN(2)/$D$65+0.04)*X140)*EXP(-(LN(2)/$D$65+0.1)*Y140),"-"))),"-")</f>
        <v>-</v>
      </c>
      <c r="AB141" s="271" t="str">
        <f>IFERROR(IF(V141=1,AB$100*EXP(-(LN(2)/$D$65+0.04)*X141)*EXP(-(LN(2)/$D$65+0.1)*Y141),IF(V141=2,AB$100*EXP(-(LN(2)/$D$65+0.04)*(VLOOKUP(($F$16-$F$15)-1,U$100:Y141,4,FALSE)))*EXP(-(LN(2)/$D$65+0.1)*(VLOOKUP(($F$16-$F$15)-1,U$100:Y141,5,FALSE)))*EXP(-(LN(2)/$D$65+0.04)*X141)*EXP(-(LN(2)/$D$65+0.1)*Y141),IF(V141=3,AB$100*EXP(-(LN(2)/$D$65+0.04)*(VLOOKUP(($F$16-$F$15)-1,U$100:Y141,4,FALSE)))*EXP(-(LN(2)/$D$65+0.1)*(VLOOKUP(($F$16-$F$15)-1,U$100:Y141,5,FALSE)))*EXP(-(LN(2)/$D$65+0.04)*(VLOOKUP(($F$16-$F$15)*2-1,U$100:Y141,4,FALSE)))*EXP(-(LN(2)/$D$65+0.1)*(VLOOKUP(($F$16-$F$15)*2-1,U$100:Y141,5,FALSE)))*EXP(-(LN(2)/$D$65+0.04)*X141)*EXP(-(LN(2)/$D$65+0.1)*Y141),"-"))),"-")</f>
        <v>-</v>
      </c>
      <c r="AC141" s="224">
        <f t="shared" si="45"/>
        <v>41</v>
      </c>
      <c r="AD141" s="223" t="str">
        <f t="shared" si="18"/>
        <v>-</v>
      </c>
      <c r="AE141" s="224" t="str">
        <f t="shared" si="46"/>
        <v>-</v>
      </c>
      <c r="AF141" s="224" t="str">
        <f t="shared" si="19"/>
        <v>-</v>
      </c>
      <c r="AG141" s="224" t="str">
        <f t="shared" si="20"/>
        <v>-</v>
      </c>
      <c r="AH141" s="272">
        <f t="shared" si="47"/>
        <v>0.1</v>
      </c>
      <c r="AI141" s="271" t="str">
        <f>IFERROR(IF(AD140=1,AI$100*EXP(-(LN(2)/$D$65+0.04)*AF140)*EXP(-(LN(2)/$D$65+0.1)*AG140),IF(AD140=2,AI$100*EXP(-(LN(2)/$D$65+0.04)*(VLOOKUP(($F$16-$F$15)-1,AC$99:AG140,4,FALSE)))*EXP(-(LN(2)/$D$65+0.1)*(VLOOKUP(($F$16-$F$15)-1,AC$99:AG140,5,FALSE)))*EXP(-(LN(2)/$D$65+0.04)*AF140)*EXP(-(LN(2)/$D$65+0.1)*AG140),IF(AD140=3,AI$100*EXP(-(LN(2)/$D$65+0.04)*(VLOOKUP(($F$16-$F$15)-1,AC$99:AG140,4,FALSE)))*EXP(-(LN(2)/$D$65+0.1)*(VLOOKUP(($F$16-$F$15)-1,AC$99:AG140,5,FALSE)))*EXP(-(LN(2)/$D$65+0.04)*(VLOOKUP(($F$16-$F$15)*2-1,AC$99:AG140,4,FALSE)))*EXP(-(LN(2)/$D$65+0.1)*(VLOOKUP(($F$16-$F$15)*2-1,AC$99:AG140,5,FALSE)))*EXP(-(LN(2)/$D$65+0.04)*AF140)*EXP(-(LN(2)/$D$65+0.1)*AG140),"-"))),"-")</f>
        <v>-</v>
      </c>
      <c r="AJ141" s="271" t="str">
        <f>IFERROR(IF(AD141=1,AJ$100*EXP(-(LN(2)/$D$65+0.04)*AF141)*EXP(-(LN(2)/$D$65+0.1)*AG141),IF(AD141=2,AJ$100*EXP(-(LN(2)/$D$65+0.04)*(VLOOKUP(($F$16-$F$15)-1,AC$100:AG141,4,FALSE)))*EXP(-(LN(2)/$D$65+0.1)*(VLOOKUP(($F$16-$F$15)-1,AC$100:AG141,5,FALSE)))*EXP(-(LN(2)/$D$65+0.04)*AF141)*EXP(-(LN(2)/$D$65+0.1)*AG141),IF(AD141=3,AJ$100*EXP(-(LN(2)/$D$65+0.04)*(VLOOKUP(($F$16-$F$15)-1,AC$100:AG141,4,FALSE)))*EXP(-(LN(2)/$D$65+0.1)*(VLOOKUP(($F$16-$F$15)-1,AC$100:AG141,5,FALSE)))*EXP(-(LN(2)/$D$65+0.04)*(VLOOKUP(($F$16-$F$15)*2-1,AC$100:AG141,4,FALSE)))*EXP(-(LN(2)/$D$65+0.1)*(VLOOKUP(($F$16-$F$15)*2-1,AC$100:AG141,5,FALSE)))*EXP(-(LN(2)/$D$65+0.04)*AF141)*EXP(-(LN(2)/$D$65+0.1)*AG141),"-"))),"-")</f>
        <v>-</v>
      </c>
      <c r="AK141" s="227">
        <f t="shared" si="49"/>
        <v>41</v>
      </c>
      <c r="AL141" s="226" t="str">
        <f t="shared" si="22"/>
        <v>-</v>
      </c>
      <c r="AM141" s="227" t="str">
        <f t="shared" si="50"/>
        <v>-</v>
      </c>
      <c r="AN141" s="227" t="str">
        <f t="shared" si="51"/>
        <v>-</v>
      </c>
      <c r="AO141" s="227" t="str">
        <f t="shared" si="23"/>
        <v>-</v>
      </c>
      <c r="AP141" s="273">
        <f t="shared" si="52"/>
        <v>0.1</v>
      </c>
      <c r="AQ141" s="271" t="str">
        <f>IFERROR(IF(AL140=1,AQ$100*EXP(-(LN(2)/$D$65+0.04)*AN140)*EXP(-(LN(2)/$D$65+0.1)*AO140),IF(AL140=2,AQ$100*EXP(-(LN(2)/$D$65+0.04)*(VLOOKUP(($F$16-$F$15)-1,AK$99:AO140,4,FALSE)))*EXP(-(LN(2)/$D$65+0.1)*(VLOOKUP(($F$16-$F$15)-1,AK$99:AO140,5,FALSE)))*EXP(-(LN(2)/$D$65+0.04)*AN140)*EXP(-(LN(2)/$D$65+0.1)*AO140),IF(AL140=3,AQ$100*EXP(-(LN(2)/$D$65+0.04)*(VLOOKUP(($F$16-$F$15)-1,AK$99:AO140,4,FALSE)))*EXP(-(LN(2)/$D$65+0.1)*(VLOOKUP(($F$16-$F$15)-1,AK$99:AO140,5,FALSE)))*EXP(-(LN(2)/$D$65+0.04)*(VLOOKUP(($F$16-$F$15)*2-1,AK$99:AO140,4,FALSE)))*EXP(-(LN(2)/$D$65+0.1)*(VLOOKUP(($F$16-$F$15)*2-1,AK$99:AO140,5,FALSE)))*EXP(-(LN(2)/$D$65+0.04)*AN140)*EXP(-(LN(2)/$D$65+0.1)*AO140),"-"))),"-")</f>
        <v>-</v>
      </c>
      <c r="AR141" s="271" t="str">
        <f>IFERROR(IF(AL141=1,AR$100*EXP(-(LN(2)/$D$65+0.04)*AN141)*EXP(-(LN(2)/$D$65+0.1)*AO141),IF(AL141=2,AR$100*EXP(-(LN(2)/$D$65+0.04)*(VLOOKUP(($F$16-$F$15)-1,AK$100:AO141,4,FALSE)))*EXP(-(LN(2)/$D$65+0.1)*(VLOOKUP(($F$16-$F$15)-1,AK$100:AO141,5,FALSE)))*EXP(-(LN(2)/$D$65+0.04)*AN141)*EXP(-(LN(2)/$D$65+0.1)*AO141),IF(AL141=3,AR$100*EXP(-(LN(2)/$D$65+0.04)*(VLOOKUP(($F$16-$F$15)-1,AK$100:AO141,4,FALSE)))*EXP(-(LN(2)/$D$65+0.1)*(VLOOKUP(($F$16-$F$15)-1,AK$100:AO141,5,FALSE)))*EXP(-(LN(2)/$D$65+0.04)*(VLOOKUP(($F$16-$F$15)*2-1,AK$100:AO141,4,FALSE)))*EXP(-(LN(2)/$D$65+0.1)*(VLOOKUP(($F$16-$F$15)*2-1,AK$100:AO141,5,FALSE)))*EXP(-(LN(2)/$D$65+0.04)*AN141)*EXP(-(LN(2)/$D$65+0.1)*AO141),"-"))),"-")</f>
        <v>-</v>
      </c>
      <c r="AS141" s="274">
        <f t="shared" si="24"/>
        <v>0</v>
      </c>
      <c r="AT141" s="274">
        <f t="shared" si="25"/>
        <v>0</v>
      </c>
      <c r="AU141" s="274">
        <f t="shared" si="26"/>
        <v>0</v>
      </c>
      <c r="AV141" s="190" t="str">
        <f>IF($B141&lt;$F$22,SUM($T$100:$T141),"")</f>
        <v/>
      </c>
      <c r="AW141" s="190" t="str">
        <f t="shared" si="83"/>
        <v>-</v>
      </c>
      <c r="AX141" s="190" t="str">
        <f t="shared" si="56"/>
        <v/>
      </c>
      <c r="AY141"/>
      <c r="AZ141" s="190" t="str">
        <f ca="1">IF(ISNUMBER(OFFSET(AV141,-$F$21,0)),SUM(OFFSET($T$100,$F$21,0):$T141),"")</f>
        <v/>
      </c>
      <c r="BA141" s="190" t="str">
        <f t="shared" ca="1" si="84"/>
        <v/>
      </c>
      <c r="BB141" s="190" t="str">
        <f t="shared" ca="1" si="70"/>
        <v/>
      </c>
      <c r="BC141" s="190"/>
      <c r="BD141" s="190" t="str">
        <f ca="1">IFERROR(IF(OR(ISNUMBER(I),ISNUMBER($F$14)),IF(AND($B141&gt;=($F$16-$F$15),$B141&lt;$F$22+($F$16-$F$15)),SUM(OFFSET($T$100,($F$16-$F$15),0):$T141),""),""),"")</f>
        <v/>
      </c>
      <c r="BE141" s="190" t="str">
        <f t="shared" ca="1" si="58"/>
        <v/>
      </c>
      <c r="BF141" s="190" t="str">
        <f t="shared" ca="1" si="59"/>
        <v/>
      </c>
      <c r="BG141"/>
      <c r="BH141" s="190" t="str">
        <f ca="1">IF(ISNUMBER(OFFSET(BD141,-$F$21,0)),SUM(OFFSET($T$100,($F$16-$F$15+$F$21),0):$T141),"")</f>
        <v/>
      </c>
      <c r="BI141" s="190" t="str">
        <f t="shared" ca="1" si="85"/>
        <v/>
      </c>
      <c r="BJ141" s="190" t="str">
        <f t="shared" ca="1" si="60"/>
        <v/>
      </c>
      <c r="BK141" s="190"/>
      <c r="BL141" s="190" t="str">
        <f ca="1">IFERROR(IF(OR(ISNUMBER(I),ISNUMBER($F$14)),IF(AND($B141&gt;=($F$17-$F$15),$B141&lt;$F$22+($F$17-$F$15)),SUM(OFFSET($T$100,($F$17-$F$15),0):$T141),""),""),"")</f>
        <v/>
      </c>
      <c r="BM141" s="190" t="str">
        <f t="shared" ca="1" si="86"/>
        <v/>
      </c>
      <c r="BN141" s="190" t="str">
        <f t="shared" ca="1" si="61"/>
        <v/>
      </c>
      <c r="BO141"/>
      <c r="BP141" s="190" t="str">
        <f ca="1">IF(ISNUMBER(OFFSET(BL141,-$F$21,0)),SUM(OFFSET($T$100,($F$17-$F$15+$F$21),0):$T141),"")</f>
        <v/>
      </c>
      <c r="BQ141" s="190" t="str">
        <f t="shared" ca="1" si="87"/>
        <v/>
      </c>
      <c r="BR141" s="190" t="str">
        <f t="shared" ca="1" si="63"/>
        <v/>
      </c>
      <c r="BS141" s="190"/>
      <c r="BT141"/>
      <c r="BU141"/>
      <c r="BV141"/>
      <c r="BY141" s="99"/>
      <c r="BZ141" s="99"/>
      <c r="CA141" s="280" t="str">
        <f t="shared" si="88"/>
        <v/>
      </c>
      <c r="CB141" s="71" t="str">
        <f t="shared" si="31"/>
        <v>-</v>
      </c>
      <c r="CC141" s="33"/>
      <c r="CD141" s="261" t="str">
        <f t="shared" si="33"/>
        <v/>
      </c>
      <c r="CE141" s="280" t="str">
        <f t="shared" si="89"/>
        <v/>
      </c>
      <c r="CF141" s="71" t="str">
        <f t="shared" ca="1" si="90"/>
        <v/>
      </c>
      <c r="CG141" s="33" t="str">
        <f t="shared" si="36"/>
        <v/>
      </c>
      <c r="CH141" s="261" t="str">
        <f t="shared" ca="1" si="37"/>
        <v/>
      </c>
      <c r="CI141" s="202"/>
      <c r="CJ141" s="99"/>
      <c r="CK141" s="99"/>
      <c r="CL141" s="99"/>
      <c r="CM141" s="99"/>
      <c r="CN141" s="99"/>
      <c r="CO141" s="99"/>
    </row>
    <row r="142" spans="2:93" ht="13.5" customHeight="1" x14ac:dyDescent="0.2">
      <c r="B142" s="262">
        <v>42</v>
      </c>
      <c r="C142" s="237" t="str">
        <f t="shared" si="1"/>
        <v/>
      </c>
      <c r="D142" s="237" t="str">
        <f t="shared" si="66"/>
        <v/>
      </c>
      <c r="E142" s="290" t="str">
        <f t="shared" si="38"/>
        <v/>
      </c>
      <c r="F142" s="264" t="str">
        <f t="shared" si="39"/>
        <v/>
      </c>
      <c r="G142" s="291" t="str">
        <f t="shared" si="40"/>
        <v/>
      </c>
      <c r="H142" s="240" t="str">
        <f t="shared" si="71"/>
        <v/>
      </c>
      <c r="I142" s="265" t="str">
        <f t="shared" si="72"/>
        <v/>
      </c>
      <c r="J142" s="265" t="str">
        <f t="shared" si="73"/>
        <v/>
      </c>
      <c r="K142" s="240" t="str">
        <f t="shared" si="74"/>
        <v/>
      </c>
      <c r="L142" s="265" t="str">
        <f t="shared" si="75"/>
        <v/>
      </c>
      <c r="M142" s="265" t="str">
        <f t="shared" si="76"/>
        <v/>
      </c>
      <c r="N142" s="240" t="str">
        <f t="shared" si="77"/>
        <v>-</v>
      </c>
      <c r="O142" s="265" t="str">
        <f t="shared" si="78"/>
        <v>-</v>
      </c>
      <c r="P142" s="265" t="str">
        <f t="shared" si="79"/>
        <v>-</v>
      </c>
      <c r="Q142" s="266" t="str">
        <f t="shared" si="80"/>
        <v>-</v>
      </c>
      <c r="R142" s="267" t="str">
        <f t="shared" si="81"/>
        <v>-</v>
      </c>
      <c r="S142" s="268" t="str">
        <f t="shared" si="82"/>
        <v>-</v>
      </c>
      <c r="T142" s="269" t="str">
        <f t="shared" si="13"/>
        <v/>
      </c>
      <c r="U142" s="221">
        <f t="shared" si="14"/>
        <v>42</v>
      </c>
      <c r="V142" s="220" t="str">
        <f t="shared" si="42"/>
        <v>-</v>
      </c>
      <c r="W142" s="221" t="str">
        <f t="shared" si="43"/>
        <v>-</v>
      </c>
      <c r="X142" s="221" t="str">
        <f t="shared" si="15"/>
        <v>-</v>
      </c>
      <c r="Y142" s="221" t="str">
        <f t="shared" si="16"/>
        <v>-</v>
      </c>
      <c r="Z142" s="270">
        <f t="shared" si="44"/>
        <v>0.1</v>
      </c>
      <c r="AA142" s="271" t="str">
        <f>IFERROR(IF(V141=1,AA$100*EXP(-(LN(2)/$D$65+0.04)*X141)*EXP(-(LN(2)/$D$65+0.1)*Y141),IF(V141=2,AA$100*EXP(-(LN(2)/$D$65+0.04)*(VLOOKUP(($F$16-$F$15)-1,U$99:Y141,4,FALSE)))*EXP(-(LN(2)/$D$65+0.1)*(VLOOKUP(($F$16-$F$15)-1,U$99:Y141,5,FALSE)))*EXP(-(LN(2)/$D$65+0.04)*X141)*EXP(-(LN(2)/$D$65+0.1)*Y141),IF(V141=3,AA$100*EXP(-(LN(2)/$D$65+0.04)*(VLOOKUP(($F$16-$F$15)-1,U$99:Y141,4,FALSE)))*EXP(-(LN(2)/$D$65+0.1)*(VLOOKUP(($F$16-$F$15)-1,U$99:Y141,5,FALSE)))*EXP(-(LN(2)/$D$65+0.04)*(VLOOKUP(($F$16-$F$15)*2-1,U$99:Y141,4,FALSE)))*EXP(-(LN(2)/$D$65+0.1)*(VLOOKUP(($F$16-$F$15)*2-1,U$99:Y141,5,FALSE)))*EXP(-(LN(2)/$D$65+0.04)*X141)*EXP(-(LN(2)/$D$65+0.1)*Y141),"-"))),"-")</f>
        <v>-</v>
      </c>
      <c r="AB142" s="271" t="str">
        <f>IFERROR(IF(V142=1,AB$100*EXP(-(LN(2)/$D$65+0.04)*X142)*EXP(-(LN(2)/$D$65+0.1)*Y142),IF(V142=2,AB$100*EXP(-(LN(2)/$D$65+0.04)*(VLOOKUP(($F$16-$F$15)-1,U$100:Y142,4,FALSE)))*EXP(-(LN(2)/$D$65+0.1)*(VLOOKUP(($F$16-$F$15)-1,U$100:Y142,5,FALSE)))*EXP(-(LN(2)/$D$65+0.04)*X142)*EXP(-(LN(2)/$D$65+0.1)*Y142),IF(V142=3,AB$100*EXP(-(LN(2)/$D$65+0.04)*(VLOOKUP(($F$16-$F$15)-1,U$100:Y142,4,FALSE)))*EXP(-(LN(2)/$D$65+0.1)*(VLOOKUP(($F$16-$F$15)-1,U$100:Y142,5,FALSE)))*EXP(-(LN(2)/$D$65+0.04)*(VLOOKUP(($F$16-$F$15)*2-1,U$100:Y142,4,FALSE)))*EXP(-(LN(2)/$D$65+0.1)*(VLOOKUP(($F$16-$F$15)*2-1,U$100:Y142,5,FALSE)))*EXP(-(LN(2)/$D$65+0.04)*X142)*EXP(-(LN(2)/$D$65+0.1)*Y142),"-"))),"-")</f>
        <v>-</v>
      </c>
      <c r="AC142" s="224">
        <f t="shared" si="45"/>
        <v>42</v>
      </c>
      <c r="AD142" s="223" t="str">
        <f t="shared" si="18"/>
        <v>-</v>
      </c>
      <c r="AE142" s="224" t="str">
        <f t="shared" si="46"/>
        <v>-</v>
      </c>
      <c r="AF142" s="224" t="str">
        <f t="shared" si="19"/>
        <v>-</v>
      </c>
      <c r="AG142" s="224" t="str">
        <f t="shared" si="20"/>
        <v>-</v>
      </c>
      <c r="AH142" s="272">
        <f t="shared" si="47"/>
        <v>0.1</v>
      </c>
      <c r="AI142" s="271" t="str">
        <f>IFERROR(IF(AD141=1,AI$100*EXP(-(LN(2)/$D$65+0.04)*AF141)*EXP(-(LN(2)/$D$65+0.1)*AG141),IF(AD141=2,AI$100*EXP(-(LN(2)/$D$65+0.04)*(VLOOKUP(($F$16-$F$15)-1,AC$99:AG141,4,FALSE)))*EXP(-(LN(2)/$D$65+0.1)*(VLOOKUP(($F$16-$F$15)-1,AC$99:AG141,5,FALSE)))*EXP(-(LN(2)/$D$65+0.04)*AF141)*EXP(-(LN(2)/$D$65+0.1)*AG141),IF(AD141=3,AI$100*EXP(-(LN(2)/$D$65+0.04)*(VLOOKUP(($F$16-$F$15)-1,AC$99:AG141,4,FALSE)))*EXP(-(LN(2)/$D$65+0.1)*(VLOOKUP(($F$16-$F$15)-1,AC$99:AG141,5,FALSE)))*EXP(-(LN(2)/$D$65+0.04)*(VLOOKUP(($F$16-$F$15)*2-1,AC$99:AG141,4,FALSE)))*EXP(-(LN(2)/$D$65+0.1)*(VLOOKUP(($F$16-$F$15)*2-1,AC$99:AG141,5,FALSE)))*EXP(-(LN(2)/$D$65+0.04)*AF141)*EXP(-(LN(2)/$D$65+0.1)*AG141),"-"))),"-")</f>
        <v>-</v>
      </c>
      <c r="AJ142" s="271" t="str">
        <f>IFERROR(IF(AD142=1,AJ$100*EXP(-(LN(2)/$D$65+0.04)*AF142)*EXP(-(LN(2)/$D$65+0.1)*AG142),IF(AD142=2,AJ$100*EXP(-(LN(2)/$D$65+0.04)*(VLOOKUP(($F$16-$F$15)-1,AC$100:AG142,4,FALSE)))*EXP(-(LN(2)/$D$65+0.1)*(VLOOKUP(($F$16-$F$15)-1,AC$100:AG142,5,FALSE)))*EXP(-(LN(2)/$D$65+0.04)*AF142)*EXP(-(LN(2)/$D$65+0.1)*AG142),IF(AD142=3,AJ$100*EXP(-(LN(2)/$D$65+0.04)*(VLOOKUP(($F$16-$F$15)-1,AC$100:AG142,4,FALSE)))*EXP(-(LN(2)/$D$65+0.1)*(VLOOKUP(($F$16-$F$15)-1,AC$100:AG142,5,FALSE)))*EXP(-(LN(2)/$D$65+0.04)*(VLOOKUP(($F$16-$F$15)*2-1,AC$100:AG142,4,FALSE)))*EXP(-(LN(2)/$D$65+0.1)*(VLOOKUP(($F$16-$F$15)*2-1,AC$100:AG142,5,FALSE)))*EXP(-(LN(2)/$D$65+0.04)*AF142)*EXP(-(LN(2)/$D$65+0.1)*AG142),"-"))),"-")</f>
        <v>-</v>
      </c>
      <c r="AK142" s="227">
        <f t="shared" si="49"/>
        <v>42</v>
      </c>
      <c r="AL142" s="226" t="str">
        <f t="shared" si="22"/>
        <v>-</v>
      </c>
      <c r="AM142" s="227" t="str">
        <f t="shared" si="50"/>
        <v>-</v>
      </c>
      <c r="AN142" s="227" t="str">
        <f t="shared" si="51"/>
        <v>-</v>
      </c>
      <c r="AO142" s="227" t="str">
        <f t="shared" si="23"/>
        <v>-</v>
      </c>
      <c r="AP142" s="273">
        <f t="shared" si="52"/>
        <v>0.1</v>
      </c>
      <c r="AQ142" s="271" t="str">
        <f>IFERROR(IF(AL141=1,AQ$100*EXP(-(LN(2)/$D$65+0.04)*AN141)*EXP(-(LN(2)/$D$65+0.1)*AO141),IF(AL141=2,AQ$100*EXP(-(LN(2)/$D$65+0.04)*(VLOOKUP(($F$16-$F$15)-1,AK$99:AO141,4,FALSE)))*EXP(-(LN(2)/$D$65+0.1)*(VLOOKUP(($F$16-$F$15)-1,AK$99:AO141,5,FALSE)))*EXP(-(LN(2)/$D$65+0.04)*AN141)*EXP(-(LN(2)/$D$65+0.1)*AO141),IF(AL141=3,AQ$100*EXP(-(LN(2)/$D$65+0.04)*(VLOOKUP(($F$16-$F$15)-1,AK$99:AO141,4,FALSE)))*EXP(-(LN(2)/$D$65+0.1)*(VLOOKUP(($F$16-$F$15)-1,AK$99:AO141,5,FALSE)))*EXP(-(LN(2)/$D$65+0.04)*(VLOOKUP(($F$16-$F$15)*2-1,AK$99:AO141,4,FALSE)))*EXP(-(LN(2)/$D$65+0.1)*(VLOOKUP(($F$16-$F$15)*2-1,AK$99:AO141,5,FALSE)))*EXP(-(LN(2)/$D$65+0.04)*AN141)*EXP(-(LN(2)/$D$65+0.1)*AO141),"-"))),"-")</f>
        <v>-</v>
      </c>
      <c r="AR142" s="271" t="str">
        <f>IFERROR(IF(AL142=1,AR$100*EXP(-(LN(2)/$D$65+0.04)*AN142)*EXP(-(LN(2)/$D$65+0.1)*AO142),IF(AL142=2,AR$100*EXP(-(LN(2)/$D$65+0.04)*(VLOOKUP(($F$16-$F$15)-1,AK$100:AO142,4,FALSE)))*EXP(-(LN(2)/$D$65+0.1)*(VLOOKUP(($F$16-$F$15)-1,AK$100:AO142,5,FALSE)))*EXP(-(LN(2)/$D$65+0.04)*AN142)*EXP(-(LN(2)/$D$65+0.1)*AO142),IF(AL142=3,AR$100*EXP(-(LN(2)/$D$65+0.04)*(VLOOKUP(($F$16-$F$15)-1,AK$100:AO142,4,FALSE)))*EXP(-(LN(2)/$D$65+0.1)*(VLOOKUP(($F$16-$F$15)-1,AK$100:AO142,5,FALSE)))*EXP(-(LN(2)/$D$65+0.04)*(VLOOKUP(($F$16-$F$15)*2-1,AK$100:AO142,4,FALSE)))*EXP(-(LN(2)/$D$65+0.1)*(VLOOKUP(($F$16-$F$15)*2-1,AK$100:AO142,5,FALSE)))*EXP(-(LN(2)/$D$65+0.04)*AN142)*EXP(-(LN(2)/$D$65+0.1)*AO142),"-"))),"-")</f>
        <v>-</v>
      </c>
      <c r="AS142" s="274">
        <f t="shared" si="24"/>
        <v>0</v>
      </c>
      <c r="AT142" s="274">
        <f t="shared" si="25"/>
        <v>0</v>
      </c>
      <c r="AU142" s="274">
        <f t="shared" si="26"/>
        <v>0</v>
      </c>
      <c r="AV142" s="190" t="str">
        <f>IF($B142&lt;$F$22,SUM($T$100:$T142),"")</f>
        <v/>
      </c>
      <c r="AW142" s="190" t="str">
        <f t="shared" si="83"/>
        <v>-</v>
      </c>
      <c r="AX142" s="190" t="str">
        <f t="shared" si="56"/>
        <v/>
      </c>
      <c r="AY142"/>
      <c r="AZ142" s="190" t="str">
        <f ca="1">IF(ISNUMBER(OFFSET(AV142,-$F$21,0)),SUM(OFFSET($T$100,$F$21,0):$T142),"")</f>
        <v/>
      </c>
      <c r="BA142" s="190" t="str">
        <f t="shared" ca="1" si="84"/>
        <v/>
      </c>
      <c r="BB142" s="190" t="str">
        <f t="shared" ca="1" si="70"/>
        <v/>
      </c>
      <c r="BC142" s="190"/>
      <c r="BD142" s="190" t="str">
        <f ca="1">IFERROR(IF(OR(ISNUMBER(I),ISNUMBER($F$14)),IF(AND($B142&gt;=($F$16-$F$15),$B142&lt;$F$22+($F$16-$F$15)),SUM(OFFSET($T$100,($F$16-$F$15),0):$T142),""),""),"")</f>
        <v/>
      </c>
      <c r="BE142" s="190" t="str">
        <f t="shared" ca="1" si="58"/>
        <v/>
      </c>
      <c r="BF142" s="190" t="str">
        <f t="shared" ca="1" si="59"/>
        <v/>
      </c>
      <c r="BG142"/>
      <c r="BH142" s="190" t="str">
        <f ca="1">IF(ISNUMBER(OFFSET(BD142,-$F$21,0)),SUM(OFFSET($T$100,($F$16-$F$15+$F$21),0):$T142),"")</f>
        <v/>
      </c>
      <c r="BI142" s="190" t="str">
        <f t="shared" ca="1" si="85"/>
        <v/>
      </c>
      <c r="BJ142" s="190" t="str">
        <f t="shared" ca="1" si="60"/>
        <v/>
      </c>
      <c r="BK142" s="190"/>
      <c r="BL142" s="190" t="str">
        <f ca="1">IFERROR(IF(OR(ISNUMBER(I),ISNUMBER($F$14)),IF(AND($B142&gt;=($F$17-$F$15),$B142&lt;$F$22+($F$17-$F$15)),SUM(OFFSET($T$100,($F$17-$F$15),0):$T142),""),""),"")</f>
        <v/>
      </c>
      <c r="BM142" s="190" t="str">
        <f t="shared" ca="1" si="86"/>
        <v/>
      </c>
      <c r="BN142" s="190" t="str">
        <f t="shared" ca="1" si="61"/>
        <v/>
      </c>
      <c r="BO142"/>
      <c r="BP142" s="190" t="str">
        <f ca="1">IF(ISNUMBER(OFFSET(BL142,-$F$21,0)),SUM(OFFSET($T$100,($F$17-$F$15+$F$21),0):$T142),"")</f>
        <v/>
      </c>
      <c r="BQ142" s="190" t="str">
        <f t="shared" ca="1" si="87"/>
        <v/>
      </c>
      <c r="BR142" s="190" t="str">
        <f t="shared" ca="1" si="63"/>
        <v/>
      </c>
      <c r="BS142" s="190"/>
      <c r="BT142"/>
      <c r="BU142"/>
      <c r="BV142"/>
      <c r="BY142" s="99"/>
      <c r="BZ142" s="99"/>
      <c r="CA142" s="280" t="str">
        <f t="shared" si="88"/>
        <v/>
      </c>
      <c r="CB142" s="71" t="str">
        <f t="shared" si="31"/>
        <v>-</v>
      </c>
      <c r="CC142" s="33"/>
      <c r="CD142" s="261" t="str">
        <f t="shared" si="33"/>
        <v/>
      </c>
      <c r="CE142" s="280" t="str">
        <f t="shared" si="89"/>
        <v/>
      </c>
      <c r="CF142" s="71" t="str">
        <f t="shared" ca="1" si="90"/>
        <v/>
      </c>
      <c r="CG142" s="33" t="str">
        <f t="shared" si="36"/>
        <v/>
      </c>
      <c r="CH142" s="261" t="str">
        <f t="shared" ca="1" si="37"/>
        <v/>
      </c>
      <c r="CI142" s="202"/>
      <c r="CJ142" s="99"/>
      <c r="CK142" s="99"/>
      <c r="CL142" s="99"/>
      <c r="CM142" s="99"/>
      <c r="CN142" s="99"/>
      <c r="CO142" s="99"/>
    </row>
    <row r="143" spans="2:93" ht="13.5" customHeight="1" x14ac:dyDescent="0.2">
      <c r="B143" s="262">
        <v>43</v>
      </c>
      <c r="C143" s="237" t="str">
        <f t="shared" si="1"/>
        <v/>
      </c>
      <c r="D143" s="237" t="str">
        <f t="shared" si="66"/>
        <v/>
      </c>
      <c r="E143" s="290" t="str">
        <f t="shared" si="38"/>
        <v/>
      </c>
      <c r="F143" s="264" t="str">
        <f t="shared" si="39"/>
        <v/>
      </c>
      <c r="G143" s="291" t="str">
        <f t="shared" si="40"/>
        <v/>
      </c>
      <c r="H143" s="240" t="str">
        <f t="shared" si="71"/>
        <v/>
      </c>
      <c r="I143" s="265" t="str">
        <f t="shared" si="72"/>
        <v/>
      </c>
      <c r="J143" s="265" t="str">
        <f t="shared" si="73"/>
        <v/>
      </c>
      <c r="K143" s="240" t="str">
        <f t="shared" si="74"/>
        <v/>
      </c>
      <c r="L143" s="265" t="str">
        <f t="shared" si="75"/>
        <v/>
      </c>
      <c r="M143" s="265" t="str">
        <f t="shared" si="76"/>
        <v/>
      </c>
      <c r="N143" s="240" t="str">
        <f t="shared" si="77"/>
        <v>-</v>
      </c>
      <c r="O143" s="265" t="str">
        <f t="shared" si="78"/>
        <v>-</v>
      </c>
      <c r="P143" s="265" t="str">
        <f t="shared" si="79"/>
        <v>-</v>
      </c>
      <c r="Q143" s="266" t="str">
        <f t="shared" si="80"/>
        <v>-</v>
      </c>
      <c r="R143" s="267" t="str">
        <f t="shared" si="81"/>
        <v>-</v>
      </c>
      <c r="S143" s="268" t="str">
        <f t="shared" si="82"/>
        <v>-</v>
      </c>
      <c r="T143" s="269" t="str">
        <f t="shared" si="13"/>
        <v/>
      </c>
      <c r="U143" s="221">
        <f t="shared" si="14"/>
        <v>43</v>
      </c>
      <c r="V143" s="220" t="str">
        <f t="shared" si="42"/>
        <v>-</v>
      </c>
      <c r="W143" s="221" t="str">
        <f t="shared" si="43"/>
        <v>-</v>
      </c>
      <c r="X143" s="221" t="str">
        <f t="shared" si="15"/>
        <v>-</v>
      </c>
      <c r="Y143" s="221" t="str">
        <f t="shared" si="16"/>
        <v>-</v>
      </c>
      <c r="Z143" s="270">
        <f t="shared" si="44"/>
        <v>0.1</v>
      </c>
      <c r="AA143" s="271" t="str">
        <f>IFERROR(IF(V142=1,AA$100*EXP(-(LN(2)/$D$65+0.04)*X142)*EXP(-(LN(2)/$D$65+0.1)*Y142),IF(V142=2,AA$100*EXP(-(LN(2)/$D$65+0.04)*(VLOOKUP(($F$16-$F$15)-1,U$99:Y142,4,FALSE)))*EXP(-(LN(2)/$D$65+0.1)*(VLOOKUP(($F$16-$F$15)-1,U$99:Y142,5,FALSE)))*EXP(-(LN(2)/$D$65+0.04)*X142)*EXP(-(LN(2)/$D$65+0.1)*Y142),IF(V142=3,AA$100*EXP(-(LN(2)/$D$65+0.04)*(VLOOKUP(($F$16-$F$15)-1,U$99:Y142,4,FALSE)))*EXP(-(LN(2)/$D$65+0.1)*(VLOOKUP(($F$16-$F$15)-1,U$99:Y142,5,FALSE)))*EXP(-(LN(2)/$D$65+0.04)*(VLOOKUP(($F$16-$F$15)*2-1,U$99:Y142,4,FALSE)))*EXP(-(LN(2)/$D$65+0.1)*(VLOOKUP(($F$16-$F$15)*2-1,U$99:Y142,5,FALSE)))*EXP(-(LN(2)/$D$65+0.04)*X142)*EXP(-(LN(2)/$D$65+0.1)*Y142),"-"))),"-")</f>
        <v>-</v>
      </c>
      <c r="AB143" s="271" t="str">
        <f>IFERROR(IF(V143=1,AB$100*EXP(-(LN(2)/$D$65+0.04)*X143)*EXP(-(LN(2)/$D$65+0.1)*Y143),IF(V143=2,AB$100*EXP(-(LN(2)/$D$65+0.04)*(VLOOKUP(($F$16-$F$15)-1,U$100:Y143,4,FALSE)))*EXP(-(LN(2)/$D$65+0.1)*(VLOOKUP(($F$16-$F$15)-1,U$100:Y143,5,FALSE)))*EXP(-(LN(2)/$D$65+0.04)*X143)*EXP(-(LN(2)/$D$65+0.1)*Y143),IF(V143=3,AB$100*EXP(-(LN(2)/$D$65+0.04)*(VLOOKUP(($F$16-$F$15)-1,U$100:Y143,4,FALSE)))*EXP(-(LN(2)/$D$65+0.1)*(VLOOKUP(($F$16-$F$15)-1,U$100:Y143,5,FALSE)))*EXP(-(LN(2)/$D$65+0.04)*(VLOOKUP(($F$16-$F$15)*2-1,U$100:Y143,4,FALSE)))*EXP(-(LN(2)/$D$65+0.1)*(VLOOKUP(($F$16-$F$15)*2-1,U$100:Y143,5,FALSE)))*EXP(-(LN(2)/$D$65+0.04)*X143)*EXP(-(LN(2)/$D$65+0.1)*Y143),"-"))),"-")</f>
        <v>-</v>
      </c>
      <c r="AC143" s="224">
        <f t="shared" si="45"/>
        <v>43</v>
      </c>
      <c r="AD143" s="223" t="str">
        <f t="shared" si="18"/>
        <v>-</v>
      </c>
      <c r="AE143" s="224" t="str">
        <f t="shared" si="46"/>
        <v>-</v>
      </c>
      <c r="AF143" s="224" t="str">
        <f t="shared" si="19"/>
        <v>-</v>
      </c>
      <c r="AG143" s="224" t="str">
        <f t="shared" si="20"/>
        <v>-</v>
      </c>
      <c r="AH143" s="272">
        <f t="shared" si="47"/>
        <v>0.1</v>
      </c>
      <c r="AI143" s="271" t="str">
        <f>IFERROR(IF(AD142=1,AI$100*EXP(-(LN(2)/$D$65+0.04)*AF142)*EXP(-(LN(2)/$D$65+0.1)*AG142),IF(AD142=2,AI$100*EXP(-(LN(2)/$D$65+0.04)*(VLOOKUP(($F$16-$F$15)-1,AC$99:AG142,4,FALSE)))*EXP(-(LN(2)/$D$65+0.1)*(VLOOKUP(($F$16-$F$15)-1,AC$99:AG142,5,FALSE)))*EXP(-(LN(2)/$D$65+0.04)*AF142)*EXP(-(LN(2)/$D$65+0.1)*AG142),IF(AD142=3,AI$100*EXP(-(LN(2)/$D$65+0.04)*(VLOOKUP(($F$16-$F$15)-1,AC$99:AG142,4,FALSE)))*EXP(-(LN(2)/$D$65+0.1)*(VLOOKUP(($F$16-$F$15)-1,AC$99:AG142,5,FALSE)))*EXP(-(LN(2)/$D$65+0.04)*(VLOOKUP(($F$16-$F$15)*2-1,AC$99:AG142,4,FALSE)))*EXP(-(LN(2)/$D$65+0.1)*(VLOOKUP(($F$16-$F$15)*2-1,AC$99:AG142,5,FALSE)))*EXP(-(LN(2)/$D$65+0.04)*AF142)*EXP(-(LN(2)/$D$65+0.1)*AG142),"-"))),"-")</f>
        <v>-</v>
      </c>
      <c r="AJ143" s="271" t="str">
        <f>IFERROR(IF(AD143=1,AJ$100*EXP(-(LN(2)/$D$65+0.04)*AF143)*EXP(-(LN(2)/$D$65+0.1)*AG143),IF(AD143=2,AJ$100*EXP(-(LN(2)/$D$65+0.04)*(VLOOKUP(($F$16-$F$15)-1,AC$100:AG143,4,FALSE)))*EXP(-(LN(2)/$D$65+0.1)*(VLOOKUP(($F$16-$F$15)-1,AC$100:AG143,5,FALSE)))*EXP(-(LN(2)/$D$65+0.04)*AF143)*EXP(-(LN(2)/$D$65+0.1)*AG143),IF(AD143=3,AJ$100*EXP(-(LN(2)/$D$65+0.04)*(VLOOKUP(($F$16-$F$15)-1,AC$100:AG143,4,FALSE)))*EXP(-(LN(2)/$D$65+0.1)*(VLOOKUP(($F$16-$F$15)-1,AC$100:AG143,5,FALSE)))*EXP(-(LN(2)/$D$65+0.04)*(VLOOKUP(($F$16-$F$15)*2-1,AC$100:AG143,4,FALSE)))*EXP(-(LN(2)/$D$65+0.1)*(VLOOKUP(($F$16-$F$15)*2-1,AC$100:AG143,5,FALSE)))*EXP(-(LN(2)/$D$65+0.04)*AF143)*EXP(-(LN(2)/$D$65+0.1)*AG143),"-"))),"-")</f>
        <v>-</v>
      </c>
      <c r="AK143" s="227">
        <f t="shared" si="49"/>
        <v>43</v>
      </c>
      <c r="AL143" s="226" t="str">
        <f t="shared" si="22"/>
        <v>-</v>
      </c>
      <c r="AM143" s="227" t="str">
        <f t="shared" si="50"/>
        <v>-</v>
      </c>
      <c r="AN143" s="227" t="str">
        <f t="shared" si="51"/>
        <v>-</v>
      </c>
      <c r="AO143" s="227" t="str">
        <f t="shared" si="23"/>
        <v>-</v>
      </c>
      <c r="AP143" s="273">
        <f t="shared" si="52"/>
        <v>0.1</v>
      </c>
      <c r="AQ143" s="271" t="str">
        <f>IFERROR(IF(AL142=1,AQ$100*EXP(-(LN(2)/$D$65+0.04)*AN142)*EXP(-(LN(2)/$D$65+0.1)*AO142),IF(AL142=2,AQ$100*EXP(-(LN(2)/$D$65+0.04)*(VLOOKUP(($F$16-$F$15)-1,AK$99:AO142,4,FALSE)))*EXP(-(LN(2)/$D$65+0.1)*(VLOOKUP(($F$16-$F$15)-1,AK$99:AO142,5,FALSE)))*EXP(-(LN(2)/$D$65+0.04)*AN142)*EXP(-(LN(2)/$D$65+0.1)*AO142),IF(AL142=3,AQ$100*EXP(-(LN(2)/$D$65+0.04)*(VLOOKUP(($F$16-$F$15)-1,AK$99:AO142,4,FALSE)))*EXP(-(LN(2)/$D$65+0.1)*(VLOOKUP(($F$16-$F$15)-1,AK$99:AO142,5,FALSE)))*EXP(-(LN(2)/$D$65+0.04)*(VLOOKUP(($F$16-$F$15)*2-1,AK$99:AO142,4,FALSE)))*EXP(-(LN(2)/$D$65+0.1)*(VLOOKUP(($F$16-$F$15)*2-1,AK$99:AO142,5,FALSE)))*EXP(-(LN(2)/$D$65+0.04)*AN142)*EXP(-(LN(2)/$D$65+0.1)*AO142),"-"))),"-")</f>
        <v>-</v>
      </c>
      <c r="AR143" s="271" t="str">
        <f>IFERROR(IF(AL143=1,AR$100*EXP(-(LN(2)/$D$65+0.04)*AN143)*EXP(-(LN(2)/$D$65+0.1)*AO143),IF(AL143=2,AR$100*EXP(-(LN(2)/$D$65+0.04)*(VLOOKUP(($F$16-$F$15)-1,AK$100:AO143,4,FALSE)))*EXP(-(LN(2)/$D$65+0.1)*(VLOOKUP(($F$16-$F$15)-1,AK$100:AO143,5,FALSE)))*EXP(-(LN(2)/$D$65+0.04)*AN143)*EXP(-(LN(2)/$D$65+0.1)*AO143),IF(AL143=3,AR$100*EXP(-(LN(2)/$D$65+0.04)*(VLOOKUP(($F$16-$F$15)-1,AK$100:AO143,4,FALSE)))*EXP(-(LN(2)/$D$65+0.1)*(VLOOKUP(($F$16-$F$15)-1,AK$100:AO143,5,FALSE)))*EXP(-(LN(2)/$D$65+0.04)*(VLOOKUP(($F$16-$F$15)*2-1,AK$100:AO143,4,FALSE)))*EXP(-(LN(2)/$D$65+0.1)*(VLOOKUP(($F$16-$F$15)*2-1,AK$100:AO143,5,FALSE)))*EXP(-(LN(2)/$D$65+0.04)*AN143)*EXP(-(LN(2)/$D$65+0.1)*AO143),"-"))),"-")</f>
        <v>-</v>
      </c>
      <c r="AS143" s="274">
        <f t="shared" si="24"/>
        <v>0</v>
      </c>
      <c r="AT143" s="274">
        <f t="shared" si="25"/>
        <v>0</v>
      </c>
      <c r="AU143" s="274">
        <f t="shared" si="26"/>
        <v>0</v>
      </c>
      <c r="AV143" s="190" t="str">
        <f>IF($B143&lt;$F$22,SUM($T$100:$T143),"")</f>
        <v/>
      </c>
      <c r="AW143" s="190" t="str">
        <f t="shared" si="83"/>
        <v>-</v>
      </c>
      <c r="AX143" s="190" t="str">
        <f t="shared" si="56"/>
        <v/>
      </c>
      <c r="AY143"/>
      <c r="AZ143" s="190" t="str">
        <f ca="1">IF(ISNUMBER(OFFSET(AV143,-$F$21,0)),SUM(OFFSET($T$100,$F$21,0):$T143),"")</f>
        <v/>
      </c>
      <c r="BA143" s="190" t="str">
        <f t="shared" ca="1" si="84"/>
        <v/>
      </c>
      <c r="BB143" s="190" t="str">
        <f t="shared" ca="1" si="70"/>
        <v/>
      </c>
      <c r="BC143" s="190"/>
      <c r="BD143" s="190" t="str">
        <f ca="1">IFERROR(IF(OR(ISNUMBER(I),ISNUMBER($F$14)),IF(AND($B143&gt;=($F$16-$F$15),$B143&lt;$F$22+($F$16-$F$15)),SUM(OFFSET($T$100,($F$16-$F$15),0):$T143),""),""),"")</f>
        <v/>
      </c>
      <c r="BE143" s="190" t="str">
        <f t="shared" ca="1" si="58"/>
        <v/>
      </c>
      <c r="BF143" s="190" t="str">
        <f t="shared" ca="1" si="59"/>
        <v/>
      </c>
      <c r="BG143"/>
      <c r="BH143" s="190" t="str">
        <f ca="1">IF(ISNUMBER(OFFSET(BD143,-$F$21,0)),SUM(OFFSET($T$100,($F$16-$F$15+$F$21),0):$T143),"")</f>
        <v/>
      </c>
      <c r="BI143" s="190" t="str">
        <f t="shared" ca="1" si="85"/>
        <v/>
      </c>
      <c r="BJ143" s="190" t="str">
        <f t="shared" ca="1" si="60"/>
        <v/>
      </c>
      <c r="BK143" s="190"/>
      <c r="BL143" s="190" t="str">
        <f ca="1">IFERROR(IF(OR(ISNUMBER(I),ISNUMBER($F$14)),IF(AND($B143&gt;=($F$17-$F$15),$B143&lt;$F$22+($F$17-$F$15)),SUM(OFFSET($T$100,($F$17-$F$15),0):$T143),""),""),"")</f>
        <v/>
      </c>
      <c r="BM143" s="190" t="str">
        <f t="shared" ca="1" si="86"/>
        <v/>
      </c>
      <c r="BN143" s="190" t="str">
        <f t="shared" ca="1" si="61"/>
        <v/>
      </c>
      <c r="BO143"/>
      <c r="BP143" s="190" t="str">
        <f ca="1">IF(ISNUMBER(OFFSET(BL143,-$F$21,0)),SUM(OFFSET($T$100,($F$17-$F$15+$F$21),0):$T143),"")</f>
        <v/>
      </c>
      <c r="BQ143" s="190" t="str">
        <f t="shared" ca="1" si="87"/>
        <v/>
      </c>
      <c r="BR143" s="190" t="str">
        <f t="shared" ca="1" si="63"/>
        <v/>
      </c>
      <c r="BS143" s="190"/>
      <c r="BT143"/>
      <c r="BU143"/>
      <c r="BV143"/>
      <c r="BY143" s="99"/>
      <c r="BZ143" s="99"/>
      <c r="CA143" s="280" t="str">
        <f t="shared" si="88"/>
        <v/>
      </c>
      <c r="CB143" s="71" t="str">
        <f t="shared" si="31"/>
        <v>-</v>
      </c>
      <c r="CC143" s="33"/>
      <c r="CD143" s="261" t="str">
        <f t="shared" si="33"/>
        <v/>
      </c>
      <c r="CE143" s="280" t="str">
        <f t="shared" si="89"/>
        <v/>
      </c>
      <c r="CF143" s="71" t="str">
        <f t="shared" ca="1" si="90"/>
        <v/>
      </c>
      <c r="CG143" s="33" t="str">
        <f t="shared" si="36"/>
        <v/>
      </c>
      <c r="CH143" s="261" t="str">
        <f t="shared" ca="1" si="37"/>
        <v/>
      </c>
      <c r="CI143" s="202"/>
      <c r="CJ143" s="99"/>
      <c r="CK143" s="99"/>
      <c r="CL143" s="99"/>
      <c r="CM143" s="99"/>
      <c r="CN143" s="99"/>
      <c r="CO143" s="99"/>
    </row>
    <row r="144" spans="2:93" ht="13.5" customHeight="1" x14ac:dyDescent="0.2">
      <c r="B144" s="262">
        <v>44</v>
      </c>
      <c r="C144" s="237" t="str">
        <f t="shared" si="1"/>
        <v/>
      </c>
      <c r="D144" s="237" t="str">
        <f t="shared" si="66"/>
        <v/>
      </c>
      <c r="E144" s="290" t="str">
        <f t="shared" si="38"/>
        <v/>
      </c>
      <c r="F144" s="264" t="str">
        <f t="shared" si="39"/>
        <v/>
      </c>
      <c r="G144" s="291" t="str">
        <f t="shared" si="40"/>
        <v/>
      </c>
      <c r="H144" s="240" t="str">
        <f t="shared" si="71"/>
        <v/>
      </c>
      <c r="I144" s="265" t="str">
        <f t="shared" si="72"/>
        <v/>
      </c>
      <c r="J144" s="265" t="str">
        <f t="shared" si="73"/>
        <v/>
      </c>
      <c r="K144" s="240" t="str">
        <f t="shared" si="74"/>
        <v/>
      </c>
      <c r="L144" s="265" t="str">
        <f t="shared" si="75"/>
        <v/>
      </c>
      <c r="M144" s="265" t="str">
        <f t="shared" si="76"/>
        <v/>
      </c>
      <c r="N144" s="240" t="str">
        <f t="shared" si="77"/>
        <v>-</v>
      </c>
      <c r="O144" s="265" t="str">
        <f t="shared" si="78"/>
        <v>-</v>
      </c>
      <c r="P144" s="265" t="str">
        <f t="shared" si="79"/>
        <v>-</v>
      </c>
      <c r="Q144" s="266" t="str">
        <f t="shared" si="80"/>
        <v>-</v>
      </c>
      <c r="R144" s="267" t="str">
        <f t="shared" si="81"/>
        <v>-</v>
      </c>
      <c r="S144" s="268" t="str">
        <f t="shared" si="82"/>
        <v>-</v>
      </c>
      <c r="T144" s="269" t="str">
        <f t="shared" si="13"/>
        <v/>
      </c>
      <c r="U144" s="221">
        <f t="shared" si="14"/>
        <v>44</v>
      </c>
      <c r="V144" s="220" t="str">
        <f t="shared" si="42"/>
        <v>-</v>
      </c>
      <c r="W144" s="221" t="str">
        <f t="shared" si="43"/>
        <v>-</v>
      </c>
      <c r="X144" s="221" t="str">
        <f t="shared" si="15"/>
        <v>-</v>
      </c>
      <c r="Y144" s="221" t="str">
        <f t="shared" si="16"/>
        <v>-</v>
      </c>
      <c r="Z144" s="270">
        <f t="shared" si="44"/>
        <v>0.1</v>
      </c>
      <c r="AA144" s="271" t="str">
        <f>IFERROR(IF(V143=1,AA$100*EXP(-(LN(2)/$D$65+0.04)*X143)*EXP(-(LN(2)/$D$65+0.1)*Y143),IF(V143=2,AA$100*EXP(-(LN(2)/$D$65+0.04)*(VLOOKUP(($F$16-$F$15)-1,U$99:Y143,4,FALSE)))*EXP(-(LN(2)/$D$65+0.1)*(VLOOKUP(($F$16-$F$15)-1,U$99:Y143,5,FALSE)))*EXP(-(LN(2)/$D$65+0.04)*X143)*EXP(-(LN(2)/$D$65+0.1)*Y143),IF(V143=3,AA$100*EXP(-(LN(2)/$D$65+0.04)*(VLOOKUP(($F$16-$F$15)-1,U$99:Y143,4,FALSE)))*EXP(-(LN(2)/$D$65+0.1)*(VLOOKUP(($F$16-$F$15)-1,U$99:Y143,5,FALSE)))*EXP(-(LN(2)/$D$65+0.04)*(VLOOKUP(($F$16-$F$15)*2-1,U$99:Y143,4,FALSE)))*EXP(-(LN(2)/$D$65+0.1)*(VLOOKUP(($F$16-$F$15)*2-1,U$99:Y143,5,FALSE)))*EXP(-(LN(2)/$D$65+0.04)*X143)*EXP(-(LN(2)/$D$65+0.1)*Y143),"-"))),"-")</f>
        <v>-</v>
      </c>
      <c r="AB144" s="271" t="str">
        <f>IFERROR(IF(V144=1,AB$100*EXP(-(LN(2)/$D$65+0.04)*X144)*EXP(-(LN(2)/$D$65+0.1)*Y144),IF(V144=2,AB$100*EXP(-(LN(2)/$D$65+0.04)*(VLOOKUP(($F$16-$F$15)-1,U$100:Y144,4,FALSE)))*EXP(-(LN(2)/$D$65+0.1)*(VLOOKUP(($F$16-$F$15)-1,U$100:Y144,5,FALSE)))*EXP(-(LN(2)/$D$65+0.04)*X144)*EXP(-(LN(2)/$D$65+0.1)*Y144),IF(V144=3,AB$100*EXP(-(LN(2)/$D$65+0.04)*(VLOOKUP(($F$16-$F$15)-1,U$100:Y144,4,FALSE)))*EXP(-(LN(2)/$D$65+0.1)*(VLOOKUP(($F$16-$F$15)-1,U$100:Y144,5,FALSE)))*EXP(-(LN(2)/$D$65+0.04)*(VLOOKUP(($F$16-$F$15)*2-1,U$100:Y144,4,FALSE)))*EXP(-(LN(2)/$D$65+0.1)*(VLOOKUP(($F$16-$F$15)*2-1,U$100:Y144,5,FALSE)))*EXP(-(LN(2)/$D$65+0.04)*X144)*EXP(-(LN(2)/$D$65+0.1)*Y144),"-"))),"-")</f>
        <v>-</v>
      </c>
      <c r="AC144" s="224">
        <f t="shared" si="45"/>
        <v>44</v>
      </c>
      <c r="AD144" s="223" t="str">
        <f t="shared" si="18"/>
        <v>-</v>
      </c>
      <c r="AE144" s="224" t="str">
        <f t="shared" si="46"/>
        <v>-</v>
      </c>
      <c r="AF144" s="224" t="str">
        <f t="shared" si="19"/>
        <v>-</v>
      </c>
      <c r="AG144" s="224" t="str">
        <f t="shared" si="20"/>
        <v>-</v>
      </c>
      <c r="AH144" s="272">
        <f t="shared" si="47"/>
        <v>0.1</v>
      </c>
      <c r="AI144" s="271" t="str">
        <f>IFERROR(IF(AD143=1,AI$100*EXP(-(LN(2)/$D$65+0.04)*AF143)*EXP(-(LN(2)/$D$65+0.1)*AG143),IF(AD143=2,AI$100*EXP(-(LN(2)/$D$65+0.04)*(VLOOKUP(($F$16-$F$15)-1,AC$99:AG143,4,FALSE)))*EXP(-(LN(2)/$D$65+0.1)*(VLOOKUP(($F$16-$F$15)-1,AC$99:AG143,5,FALSE)))*EXP(-(LN(2)/$D$65+0.04)*AF143)*EXP(-(LN(2)/$D$65+0.1)*AG143),IF(AD143=3,AI$100*EXP(-(LN(2)/$D$65+0.04)*(VLOOKUP(($F$16-$F$15)-1,AC$99:AG143,4,FALSE)))*EXP(-(LN(2)/$D$65+0.1)*(VLOOKUP(($F$16-$F$15)-1,AC$99:AG143,5,FALSE)))*EXP(-(LN(2)/$D$65+0.04)*(VLOOKUP(($F$16-$F$15)*2-1,AC$99:AG143,4,FALSE)))*EXP(-(LN(2)/$D$65+0.1)*(VLOOKUP(($F$16-$F$15)*2-1,AC$99:AG143,5,FALSE)))*EXP(-(LN(2)/$D$65+0.04)*AF143)*EXP(-(LN(2)/$D$65+0.1)*AG143),"-"))),"-")</f>
        <v>-</v>
      </c>
      <c r="AJ144" s="271" t="str">
        <f>IFERROR(IF(AD144=1,AJ$100*EXP(-(LN(2)/$D$65+0.04)*AF144)*EXP(-(LN(2)/$D$65+0.1)*AG144),IF(AD144=2,AJ$100*EXP(-(LN(2)/$D$65+0.04)*(VLOOKUP(($F$16-$F$15)-1,AC$100:AG144,4,FALSE)))*EXP(-(LN(2)/$D$65+0.1)*(VLOOKUP(($F$16-$F$15)-1,AC$100:AG144,5,FALSE)))*EXP(-(LN(2)/$D$65+0.04)*AF144)*EXP(-(LN(2)/$D$65+0.1)*AG144),IF(AD144=3,AJ$100*EXP(-(LN(2)/$D$65+0.04)*(VLOOKUP(($F$16-$F$15)-1,AC$100:AG144,4,FALSE)))*EXP(-(LN(2)/$D$65+0.1)*(VLOOKUP(($F$16-$F$15)-1,AC$100:AG144,5,FALSE)))*EXP(-(LN(2)/$D$65+0.04)*(VLOOKUP(($F$16-$F$15)*2-1,AC$100:AG144,4,FALSE)))*EXP(-(LN(2)/$D$65+0.1)*(VLOOKUP(($F$16-$F$15)*2-1,AC$100:AG144,5,FALSE)))*EXP(-(LN(2)/$D$65+0.04)*AF144)*EXP(-(LN(2)/$D$65+0.1)*AG144),"-"))),"-")</f>
        <v>-</v>
      </c>
      <c r="AK144" s="227">
        <f t="shared" si="49"/>
        <v>44</v>
      </c>
      <c r="AL144" s="226" t="str">
        <f t="shared" si="22"/>
        <v>-</v>
      </c>
      <c r="AM144" s="227" t="str">
        <f t="shared" si="50"/>
        <v>-</v>
      </c>
      <c r="AN144" s="227" t="str">
        <f t="shared" si="51"/>
        <v>-</v>
      </c>
      <c r="AO144" s="227" t="str">
        <f t="shared" si="23"/>
        <v>-</v>
      </c>
      <c r="AP144" s="273">
        <f t="shared" si="52"/>
        <v>0.1</v>
      </c>
      <c r="AQ144" s="271" t="str">
        <f>IFERROR(IF(AL143=1,AQ$100*EXP(-(LN(2)/$D$65+0.04)*AN143)*EXP(-(LN(2)/$D$65+0.1)*AO143),IF(AL143=2,AQ$100*EXP(-(LN(2)/$D$65+0.04)*(VLOOKUP(($F$16-$F$15)-1,AK$99:AO143,4,FALSE)))*EXP(-(LN(2)/$D$65+0.1)*(VLOOKUP(($F$16-$F$15)-1,AK$99:AO143,5,FALSE)))*EXP(-(LN(2)/$D$65+0.04)*AN143)*EXP(-(LN(2)/$D$65+0.1)*AO143),IF(AL143=3,AQ$100*EXP(-(LN(2)/$D$65+0.04)*(VLOOKUP(($F$16-$F$15)-1,AK$99:AO143,4,FALSE)))*EXP(-(LN(2)/$D$65+0.1)*(VLOOKUP(($F$16-$F$15)-1,AK$99:AO143,5,FALSE)))*EXP(-(LN(2)/$D$65+0.04)*(VLOOKUP(($F$16-$F$15)*2-1,AK$99:AO143,4,FALSE)))*EXP(-(LN(2)/$D$65+0.1)*(VLOOKUP(($F$16-$F$15)*2-1,AK$99:AO143,5,FALSE)))*EXP(-(LN(2)/$D$65+0.04)*AN143)*EXP(-(LN(2)/$D$65+0.1)*AO143),"-"))),"-")</f>
        <v>-</v>
      </c>
      <c r="AR144" s="271" t="str">
        <f>IFERROR(IF(AL144=1,AR$100*EXP(-(LN(2)/$D$65+0.04)*AN144)*EXP(-(LN(2)/$D$65+0.1)*AO144),IF(AL144=2,AR$100*EXP(-(LN(2)/$D$65+0.04)*(VLOOKUP(($F$16-$F$15)-1,AK$100:AO144,4,FALSE)))*EXP(-(LN(2)/$D$65+0.1)*(VLOOKUP(($F$16-$F$15)-1,AK$100:AO144,5,FALSE)))*EXP(-(LN(2)/$D$65+0.04)*AN144)*EXP(-(LN(2)/$D$65+0.1)*AO144),IF(AL144=3,AR$100*EXP(-(LN(2)/$D$65+0.04)*(VLOOKUP(($F$16-$F$15)-1,AK$100:AO144,4,FALSE)))*EXP(-(LN(2)/$D$65+0.1)*(VLOOKUP(($F$16-$F$15)-1,AK$100:AO144,5,FALSE)))*EXP(-(LN(2)/$D$65+0.04)*(VLOOKUP(($F$16-$F$15)*2-1,AK$100:AO144,4,FALSE)))*EXP(-(LN(2)/$D$65+0.1)*(VLOOKUP(($F$16-$F$15)*2-1,AK$100:AO144,5,FALSE)))*EXP(-(LN(2)/$D$65+0.04)*AN144)*EXP(-(LN(2)/$D$65+0.1)*AO144),"-"))),"-")</f>
        <v>-</v>
      </c>
      <c r="AS144" s="274">
        <f t="shared" si="24"/>
        <v>0</v>
      </c>
      <c r="AT144" s="274">
        <f t="shared" si="25"/>
        <v>0</v>
      </c>
      <c r="AU144" s="274">
        <f t="shared" si="26"/>
        <v>0</v>
      </c>
      <c r="AV144" s="190" t="str">
        <f>IF($B144&lt;$F$22,SUM($T$100:$T144),"")</f>
        <v/>
      </c>
      <c r="AW144" s="190" t="str">
        <f t="shared" si="83"/>
        <v>-</v>
      </c>
      <c r="AX144" s="190" t="str">
        <f t="shared" si="56"/>
        <v/>
      </c>
      <c r="AY144"/>
      <c r="AZ144" s="190" t="str">
        <f ca="1">IF(ISNUMBER(OFFSET(AV144,-$F$21,0)),SUM(OFFSET($T$100,$F$21,0):$T144),"")</f>
        <v/>
      </c>
      <c r="BA144" s="190" t="str">
        <f t="shared" ca="1" si="84"/>
        <v/>
      </c>
      <c r="BB144" s="190" t="str">
        <f t="shared" ca="1" si="70"/>
        <v/>
      </c>
      <c r="BC144" s="190"/>
      <c r="BD144" s="190" t="str">
        <f ca="1">IFERROR(IF(OR(ISNUMBER(I),ISNUMBER($F$14)),IF(AND($B144&gt;=($F$16-$F$15),$B144&lt;$F$22+($F$16-$F$15)),SUM(OFFSET($T$100,($F$16-$F$15),0):$T144),""),""),"")</f>
        <v/>
      </c>
      <c r="BE144" s="190" t="str">
        <f t="shared" ca="1" si="58"/>
        <v/>
      </c>
      <c r="BF144" s="190" t="str">
        <f t="shared" ca="1" si="59"/>
        <v/>
      </c>
      <c r="BG144"/>
      <c r="BH144" s="190" t="str">
        <f ca="1">IF(ISNUMBER(OFFSET(BD144,-$F$21,0)),SUM(OFFSET($T$100,($F$16-$F$15+$F$21),0):$T144),"")</f>
        <v/>
      </c>
      <c r="BI144" s="190" t="str">
        <f t="shared" ca="1" si="85"/>
        <v/>
      </c>
      <c r="BJ144" s="190" t="str">
        <f t="shared" ca="1" si="60"/>
        <v/>
      </c>
      <c r="BK144" s="190"/>
      <c r="BL144" s="190" t="str">
        <f ca="1">IFERROR(IF(OR(ISNUMBER(I),ISNUMBER($F$14)),IF(AND($B144&gt;=($F$17-$F$15),$B144&lt;$F$22+($F$17-$F$15)),SUM(OFFSET($T$100,($F$17-$F$15),0):$T144),""),""),"")</f>
        <v/>
      </c>
      <c r="BM144" s="190" t="str">
        <f t="shared" ca="1" si="86"/>
        <v/>
      </c>
      <c r="BN144" s="190" t="str">
        <f t="shared" ca="1" si="61"/>
        <v/>
      </c>
      <c r="BO144"/>
      <c r="BP144" s="190" t="str">
        <f ca="1">IF(ISNUMBER(OFFSET(BL144,-$F$21,0)),SUM(OFFSET($T$100,($F$17-$F$15+$F$21),0):$T144),"")</f>
        <v/>
      </c>
      <c r="BQ144" s="190" t="str">
        <f t="shared" ca="1" si="87"/>
        <v/>
      </c>
      <c r="BR144" s="190" t="str">
        <f t="shared" ca="1" si="63"/>
        <v/>
      </c>
      <c r="BS144" s="190"/>
      <c r="BT144"/>
      <c r="BU144"/>
      <c r="BV144"/>
      <c r="BY144" s="99"/>
      <c r="BZ144" s="99"/>
      <c r="CA144" s="280" t="str">
        <f t="shared" si="88"/>
        <v/>
      </c>
      <c r="CB144" s="71" t="str">
        <f t="shared" si="31"/>
        <v>-</v>
      </c>
      <c r="CC144" s="33"/>
      <c r="CD144" s="261" t="str">
        <f t="shared" si="33"/>
        <v/>
      </c>
      <c r="CE144" s="280" t="str">
        <f t="shared" si="89"/>
        <v/>
      </c>
      <c r="CF144" s="71" t="str">
        <f t="shared" ca="1" si="90"/>
        <v/>
      </c>
      <c r="CG144" s="33" t="str">
        <f t="shared" si="36"/>
        <v/>
      </c>
      <c r="CH144" s="261" t="str">
        <f t="shared" ca="1" si="37"/>
        <v/>
      </c>
      <c r="CI144" s="202"/>
      <c r="CJ144" s="99"/>
      <c r="CK144" s="99"/>
      <c r="CL144" s="99"/>
      <c r="CM144" s="99"/>
      <c r="CN144" s="99"/>
      <c r="CO144" s="99"/>
    </row>
    <row r="145" spans="2:93" ht="13.5" customHeight="1" x14ac:dyDescent="0.2">
      <c r="B145" s="262">
        <v>45</v>
      </c>
      <c r="C145" s="237" t="str">
        <f t="shared" si="1"/>
        <v/>
      </c>
      <c r="D145" s="237" t="str">
        <f t="shared" si="66"/>
        <v/>
      </c>
      <c r="E145" s="290" t="str">
        <f t="shared" si="38"/>
        <v/>
      </c>
      <c r="F145" s="264" t="str">
        <f t="shared" si="39"/>
        <v/>
      </c>
      <c r="G145" s="291" t="str">
        <f t="shared" si="40"/>
        <v/>
      </c>
      <c r="H145" s="240" t="str">
        <f t="shared" si="71"/>
        <v/>
      </c>
      <c r="I145" s="265" t="str">
        <f t="shared" si="72"/>
        <v/>
      </c>
      <c r="J145" s="265" t="str">
        <f t="shared" si="73"/>
        <v/>
      </c>
      <c r="K145" s="240" t="str">
        <f t="shared" si="74"/>
        <v/>
      </c>
      <c r="L145" s="265" t="str">
        <f t="shared" si="75"/>
        <v/>
      </c>
      <c r="M145" s="265" t="str">
        <f t="shared" si="76"/>
        <v/>
      </c>
      <c r="N145" s="240" t="str">
        <f t="shared" si="77"/>
        <v>-</v>
      </c>
      <c r="O145" s="265" t="str">
        <f t="shared" si="78"/>
        <v>-</v>
      </c>
      <c r="P145" s="265" t="str">
        <f t="shared" si="79"/>
        <v>-</v>
      </c>
      <c r="Q145" s="266" t="str">
        <f t="shared" si="80"/>
        <v>-</v>
      </c>
      <c r="R145" s="267" t="str">
        <f t="shared" si="81"/>
        <v>-</v>
      </c>
      <c r="S145" s="268" t="str">
        <f t="shared" si="82"/>
        <v>-</v>
      </c>
      <c r="T145" s="269" t="str">
        <f t="shared" si="13"/>
        <v/>
      </c>
      <c r="U145" s="221">
        <f t="shared" si="14"/>
        <v>45</v>
      </c>
      <c r="V145" s="220" t="str">
        <f t="shared" si="42"/>
        <v>-</v>
      </c>
      <c r="W145" s="221" t="str">
        <f t="shared" si="43"/>
        <v>-</v>
      </c>
      <c r="X145" s="221" t="str">
        <f t="shared" si="15"/>
        <v>-</v>
      </c>
      <c r="Y145" s="221" t="str">
        <f t="shared" si="16"/>
        <v>-</v>
      </c>
      <c r="Z145" s="270">
        <f t="shared" si="44"/>
        <v>0.1</v>
      </c>
      <c r="AA145" s="271" t="str">
        <f>IFERROR(IF(V144=1,AA$100*EXP(-(LN(2)/$D$65+0.04)*X144)*EXP(-(LN(2)/$D$65+0.1)*Y144),IF(V144=2,AA$100*EXP(-(LN(2)/$D$65+0.04)*(VLOOKUP(($F$16-$F$15)-1,U$99:Y144,4,FALSE)))*EXP(-(LN(2)/$D$65+0.1)*(VLOOKUP(($F$16-$F$15)-1,U$99:Y144,5,FALSE)))*EXP(-(LN(2)/$D$65+0.04)*X144)*EXP(-(LN(2)/$D$65+0.1)*Y144),IF(V144=3,AA$100*EXP(-(LN(2)/$D$65+0.04)*(VLOOKUP(($F$16-$F$15)-1,U$99:Y144,4,FALSE)))*EXP(-(LN(2)/$D$65+0.1)*(VLOOKUP(($F$16-$F$15)-1,U$99:Y144,5,FALSE)))*EXP(-(LN(2)/$D$65+0.04)*(VLOOKUP(($F$16-$F$15)*2-1,U$99:Y144,4,FALSE)))*EXP(-(LN(2)/$D$65+0.1)*(VLOOKUP(($F$16-$F$15)*2-1,U$99:Y144,5,FALSE)))*EXP(-(LN(2)/$D$65+0.04)*X144)*EXP(-(LN(2)/$D$65+0.1)*Y144),"-"))),"-")</f>
        <v>-</v>
      </c>
      <c r="AB145" s="271" t="str">
        <f>IFERROR(IF(V145=1,AB$100*EXP(-(LN(2)/$D$65+0.04)*X145)*EXP(-(LN(2)/$D$65+0.1)*Y145),IF(V145=2,AB$100*EXP(-(LN(2)/$D$65+0.04)*(VLOOKUP(($F$16-$F$15)-1,U$100:Y145,4,FALSE)))*EXP(-(LN(2)/$D$65+0.1)*(VLOOKUP(($F$16-$F$15)-1,U$100:Y145,5,FALSE)))*EXP(-(LN(2)/$D$65+0.04)*X145)*EXP(-(LN(2)/$D$65+0.1)*Y145),IF(V145=3,AB$100*EXP(-(LN(2)/$D$65+0.04)*(VLOOKUP(($F$16-$F$15)-1,U$100:Y145,4,FALSE)))*EXP(-(LN(2)/$D$65+0.1)*(VLOOKUP(($F$16-$F$15)-1,U$100:Y145,5,FALSE)))*EXP(-(LN(2)/$D$65+0.04)*(VLOOKUP(($F$16-$F$15)*2-1,U$100:Y145,4,FALSE)))*EXP(-(LN(2)/$D$65+0.1)*(VLOOKUP(($F$16-$F$15)*2-1,U$100:Y145,5,FALSE)))*EXP(-(LN(2)/$D$65+0.04)*X145)*EXP(-(LN(2)/$D$65+0.1)*Y145),"-"))),"-")</f>
        <v>-</v>
      </c>
      <c r="AC145" s="224">
        <f t="shared" si="45"/>
        <v>45</v>
      </c>
      <c r="AD145" s="223" t="str">
        <f t="shared" si="18"/>
        <v>-</v>
      </c>
      <c r="AE145" s="224" t="str">
        <f t="shared" si="46"/>
        <v>-</v>
      </c>
      <c r="AF145" s="224" t="str">
        <f t="shared" si="19"/>
        <v>-</v>
      </c>
      <c r="AG145" s="224" t="str">
        <f t="shared" si="20"/>
        <v>-</v>
      </c>
      <c r="AH145" s="272">
        <f t="shared" si="47"/>
        <v>0.1</v>
      </c>
      <c r="AI145" s="271" t="str">
        <f>IFERROR(IF(AD144=1,AI$100*EXP(-(LN(2)/$D$65+0.04)*AF144)*EXP(-(LN(2)/$D$65+0.1)*AG144),IF(AD144=2,AI$100*EXP(-(LN(2)/$D$65+0.04)*(VLOOKUP(($F$16-$F$15)-1,AC$99:AG144,4,FALSE)))*EXP(-(LN(2)/$D$65+0.1)*(VLOOKUP(($F$16-$F$15)-1,AC$99:AG144,5,FALSE)))*EXP(-(LN(2)/$D$65+0.04)*AF144)*EXP(-(LN(2)/$D$65+0.1)*AG144),IF(AD144=3,AI$100*EXP(-(LN(2)/$D$65+0.04)*(VLOOKUP(($F$16-$F$15)-1,AC$99:AG144,4,FALSE)))*EXP(-(LN(2)/$D$65+0.1)*(VLOOKUP(($F$16-$F$15)-1,AC$99:AG144,5,FALSE)))*EXP(-(LN(2)/$D$65+0.04)*(VLOOKUP(($F$16-$F$15)*2-1,AC$99:AG144,4,FALSE)))*EXP(-(LN(2)/$D$65+0.1)*(VLOOKUP(($F$16-$F$15)*2-1,AC$99:AG144,5,FALSE)))*EXP(-(LN(2)/$D$65+0.04)*AF144)*EXP(-(LN(2)/$D$65+0.1)*AG144),"-"))),"-")</f>
        <v>-</v>
      </c>
      <c r="AJ145" s="271" t="str">
        <f>IFERROR(IF(AD145=1,AJ$100*EXP(-(LN(2)/$D$65+0.04)*AF145)*EXP(-(LN(2)/$D$65+0.1)*AG145),IF(AD145=2,AJ$100*EXP(-(LN(2)/$D$65+0.04)*(VLOOKUP(($F$16-$F$15)-1,AC$100:AG145,4,FALSE)))*EXP(-(LN(2)/$D$65+0.1)*(VLOOKUP(($F$16-$F$15)-1,AC$100:AG145,5,FALSE)))*EXP(-(LN(2)/$D$65+0.04)*AF145)*EXP(-(LN(2)/$D$65+0.1)*AG145),IF(AD145=3,AJ$100*EXP(-(LN(2)/$D$65+0.04)*(VLOOKUP(($F$16-$F$15)-1,AC$100:AG145,4,FALSE)))*EXP(-(LN(2)/$D$65+0.1)*(VLOOKUP(($F$16-$F$15)-1,AC$100:AG145,5,FALSE)))*EXP(-(LN(2)/$D$65+0.04)*(VLOOKUP(($F$16-$F$15)*2-1,AC$100:AG145,4,FALSE)))*EXP(-(LN(2)/$D$65+0.1)*(VLOOKUP(($F$16-$F$15)*2-1,AC$100:AG145,5,FALSE)))*EXP(-(LN(2)/$D$65+0.04)*AF145)*EXP(-(LN(2)/$D$65+0.1)*AG145),"-"))),"-")</f>
        <v>-</v>
      </c>
      <c r="AK145" s="227">
        <f t="shared" si="49"/>
        <v>45</v>
      </c>
      <c r="AL145" s="226" t="str">
        <f t="shared" si="22"/>
        <v>-</v>
      </c>
      <c r="AM145" s="227" t="str">
        <f t="shared" si="50"/>
        <v>-</v>
      </c>
      <c r="AN145" s="227" t="str">
        <f t="shared" si="51"/>
        <v>-</v>
      </c>
      <c r="AO145" s="227" t="str">
        <f t="shared" si="23"/>
        <v>-</v>
      </c>
      <c r="AP145" s="273">
        <f t="shared" si="52"/>
        <v>0.1</v>
      </c>
      <c r="AQ145" s="271" t="str">
        <f>IFERROR(IF(AL144=1,AQ$100*EXP(-(LN(2)/$D$65+0.04)*AN144)*EXP(-(LN(2)/$D$65+0.1)*AO144),IF(AL144=2,AQ$100*EXP(-(LN(2)/$D$65+0.04)*(VLOOKUP(($F$16-$F$15)-1,AK$99:AO144,4,FALSE)))*EXP(-(LN(2)/$D$65+0.1)*(VLOOKUP(($F$16-$F$15)-1,AK$99:AO144,5,FALSE)))*EXP(-(LN(2)/$D$65+0.04)*AN144)*EXP(-(LN(2)/$D$65+0.1)*AO144),IF(AL144=3,AQ$100*EXP(-(LN(2)/$D$65+0.04)*(VLOOKUP(($F$16-$F$15)-1,AK$99:AO144,4,FALSE)))*EXP(-(LN(2)/$D$65+0.1)*(VLOOKUP(($F$16-$F$15)-1,AK$99:AO144,5,FALSE)))*EXP(-(LN(2)/$D$65+0.04)*(VLOOKUP(($F$16-$F$15)*2-1,AK$99:AO144,4,FALSE)))*EXP(-(LN(2)/$D$65+0.1)*(VLOOKUP(($F$16-$F$15)*2-1,AK$99:AO144,5,FALSE)))*EXP(-(LN(2)/$D$65+0.04)*AN144)*EXP(-(LN(2)/$D$65+0.1)*AO144),"-"))),"-")</f>
        <v>-</v>
      </c>
      <c r="AR145" s="271" t="str">
        <f>IFERROR(IF(AL145=1,AR$100*EXP(-(LN(2)/$D$65+0.04)*AN145)*EXP(-(LN(2)/$D$65+0.1)*AO145),IF(AL145=2,AR$100*EXP(-(LN(2)/$D$65+0.04)*(VLOOKUP(($F$16-$F$15)-1,AK$100:AO145,4,FALSE)))*EXP(-(LN(2)/$D$65+0.1)*(VLOOKUP(($F$16-$F$15)-1,AK$100:AO145,5,FALSE)))*EXP(-(LN(2)/$D$65+0.04)*AN145)*EXP(-(LN(2)/$D$65+0.1)*AO145),IF(AL145=3,AR$100*EXP(-(LN(2)/$D$65+0.04)*(VLOOKUP(($F$16-$F$15)-1,AK$100:AO145,4,FALSE)))*EXP(-(LN(2)/$D$65+0.1)*(VLOOKUP(($F$16-$F$15)-1,AK$100:AO145,5,FALSE)))*EXP(-(LN(2)/$D$65+0.04)*(VLOOKUP(($F$16-$F$15)*2-1,AK$100:AO145,4,FALSE)))*EXP(-(LN(2)/$D$65+0.1)*(VLOOKUP(($F$16-$F$15)*2-1,AK$100:AO145,5,FALSE)))*EXP(-(LN(2)/$D$65+0.04)*AN145)*EXP(-(LN(2)/$D$65+0.1)*AO145),"-"))),"-")</f>
        <v>-</v>
      </c>
      <c r="AS145" s="274">
        <f t="shared" si="24"/>
        <v>0</v>
      </c>
      <c r="AT145" s="274">
        <f t="shared" si="25"/>
        <v>0</v>
      </c>
      <c r="AU145" s="274">
        <f t="shared" si="26"/>
        <v>0</v>
      </c>
      <c r="AV145" s="190" t="str">
        <f>IF($B145&lt;$F$22,SUM($T$100:$T145),"")</f>
        <v/>
      </c>
      <c r="AW145" s="190" t="str">
        <f t="shared" si="83"/>
        <v>-</v>
      </c>
      <c r="AX145" s="190" t="str">
        <f t="shared" si="56"/>
        <v/>
      </c>
      <c r="AY145"/>
      <c r="AZ145" s="190" t="str">
        <f ca="1">IF(ISNUMBER(OFFSET(AV145,-$F$21,0)),SUM(OFFSET($T$100,$F$21,0):$T145),"")</f>
        <v/>
      </c>
      <c r="BA145" s="190" t="str">
        <f t="shared" ca="1" si="84"/>
        <v/>
      </c>
      <c r="BB145" s="190" t="str">
        <f t="shared" ca="1" si="70"/>
        <v/>
      </c>
      <c r="BC145" s="190"/>
      <c r="BD145" s="190" t="str">
        <f ca="1">IFERROR(IF(OR(ISNUMBER(I),ISNUMBER($F$14)),IF(AND($B145&gt;=($F$16-$F$15),$B145&lt;$F$22+($F$16-$F$15)),SUM(OFFSET($T$100,($F$16-$F$15),0):$T145),""),""),"")</f>
        <v/>
      </c>
      <c r="BE145" s="190" t="str">
        <f t="shared" ca="1" si="58"/>
        <v/>
      </c>
      <c r="BF145" s="190" t="str">
        <f t="shared" ca="1" si="59"/>
        <v/>
      </c>
      <c r="BG145"/>
      <c r="BH145" s="190" t="str">
        <f ca="1">IF(ISNUMBER(OFFSET(BD145,-$F$21,0)),SUM(OFFSET($T$100,($F$16-$F$15+$F$21),0):$T145),"")</f>
        <v/>
      </c>
      <c r="BI145" s="190" t="str">
        <f t="shared" ca="1" si="85"/>
        <v/>
      </c>
      <c r="BJ145" s="190" t="str">
        <f t="shared" ca="1" si="60"/>
        <v/>
      </c>
      <c r="BK145" s="190"/>
      <c r="BL145" s="190" t="str">
        <f ca="1">IFERROR(IF(OR(ISNUMBER(I),ISNUMBER($F$14)),IF(AND($B145&gt;=($F$17-$F$15),$B145&lt;$F$22+($F$17-$F$15)),SUM(OFFSET($T$100,($F$17-$F$15),0):$T145),""),""),"")</f>
        <v/>
      </c>
      <c r="BM145" s="190" t="str">
        <f t="shared" ca="1" si="86"/>
        <v/>
      </c>
      <c r="BN145" s="190" t="str">
        <f t="shared" ca="1" si="61"/>
        <v/>
      </c>
      <c r="BO145"/>
      <c r="BP145" s="190" t="str">
        <f ca="1">IF(ISNUMBER(OFFSET(BL145,-$F$21,0)),SUM(OFFSET($T$100,($F$17-$F$15+$F$21),0):$T145),"")</f>
        <v/>
      </c>
      <c r="BQ145" s="190" t="str">
        <f t="shared" ca="1" si="87"/>
        <v/>
      </c>
      <c r="BR145" s="190" t="str">
        <f t="shared" ca="1" si="63"/>
        <v/>
      </c>
      <c r="BS145" s="190"/>
      <c r="BT145"/>
      <c r="BU145"/>
      <c r="BV145"/>
      <c r="BY145" s="99"/>
      <c r="BZ145" s="99"/>
      <c r="CA145" s="280" t="str">
        <f t="shared" si="88"/>
        <v/>
      </c>
      <c r="CB145" s="71" t="str">
        <f t="shared" si="31"/>
        <v>-</v>
      </c>
      <c r="CC145" s="33"/>
      <c r="CD145" s="261" t="str">
        <f t="shared" si="33"/>
        <v/>
      </c>
      <c r="CE145" s="280" t="str">
        <f t="shared" si="89"/>
        <v/>
      </c>
      <c r="CF145" s="71" t="str">
        <f t="shared" ca="1" si="90"/>
        <v/>
      </c>
      <c r="CG145" s="33" t="str">
        <f t="shared" si="36"/>
        <v/>
      </c>
      <c r="CH145" s="261" t="str">
        <f t="shared" ca="1" si="37"/>
        <v/>
      </c>
      <c r="CI145" s="202"/>
      <c r="CJ145" s="99"/>
      <c r="CK145" s="99"/>
      <c r="CL145" s="99"/>
      <c r="CM145" s="99"/>
      <c r="CN145" s="99"/>
      <c r="CO145" s="99"/>
    </row>
    <row r="146" spans="2:93" ht="13.5" customHeight="1" x14ac:dyDescent="0.2">
      <c r="B146" s="262">
        <v>46</v>
      </c>
      <c r="C146" s="237" t="str">
        <f t="shared" si="1"/>
        <v/>
      </c>
      <c r="D146" s="237" t="str">
        <f t="shared" si="66"/>
        <v/>
      </c>
      <c r="E146" s="290" t="str">
        <f t="shared" si="38"/>
        <v/>
      </c>
      <c r="F146" s="264" t="str">
        <f t="shared" si="39"/>
        <v/>
      </c>
      <c r="G146" s="291" t="str">
        <f t="shared" si="40"/>
        <v/>
      </c>
      <c r="H146" s="240" t="str">
        <f t="shared" si="71"/>
        <v/>
      </c>
      <c r="I146" s="265" t="str">
        <f t="shared" si="72"/>
        <v/>
      </c>
      <c r="J146" s="265" t="str">
        <f t="shared" si="73"/>
        <v/>
      </c>
      <c r="K146" s="240" t="str">
        <f t="shared" si="74"/>
        <v/>
      </c>
      <c r="L146" s="265" t="str">
        <f t="shared" si="75"/>
        <v/>
      </c>
      <c r="M146" s="265" t="str">
        <f t="shared" si="76"/>
        <v/>
      </c>
      <c r="N146" s="240" t="str">
        <f t="shared" si="77"/>
        <v>-</v>
      </c>
      <c r="O146" s="265" t="str">
        <f t="shared" si="78"/>
        <v>-</v>
      </c>
      <c r="P146" s="265" t="str">
        <f t="shared" si="79"/>
        <v>-</v>
      </c>
      <c r="Q146" s="266" t="str">
        <f t="shared" si="80"/>
        <v>-</v>
      </c>
      <c r="R146" s="267" t="str">
        <f t="shared" si="81"/>
        <v>-</v>
      </c>
      <c r="S146" s="268" t="str">
        <f t="shared" si="82"/>
        <v>-</v>
      </c>
      <c r="T146" s="269" t="str">
        <f t="shared" si="13"/>
        <v/>
      </c>
      <c r="U146" s="221">
        <f t="shared" si="14"/>
        <v>46</v>
      </c>
      <c r="V146" s="220" t="str">
        <f t="shared" si="42"/>
        <v>-</v>
      </c>
      <c r="W146" s="221" t="str">
        <f t="shared" si="43"/>
        <v>-</v>
      </c>
      <c r="X146" s="221" t="str">
        <f t="shared" si="15"/>
        <v>-</v>
      </c>
      <c r="Y146" s="221" t="str">
        <f t="shared" si="16"/>
        <v>-</v>
      </c>
      <c r="Z146" s="270">
        <f t="shared" si="44"/>
        <v>0.1</v>
      </c>
      <c r="AA146" s="271" t="str">
        <f>IFERROR(IF(V145=1,AA$100*EXP(-(LN(2)/$D$65+0.04)*X145)*EXP(-(LN(2)/$D$65+0.1)*Y145),IF(V145=2,AA$100*EXP(-(LN(2)/$D$65+0.04)*(VLOOKUP(($F$16-$F$15)-1,U$99:Y145,4,FALSE)))*EXP(-(LN(2)/$D$65+0.1)*(VLOOKUP(($F$16-$F$15)-1,U$99:Y145,5,FALSE)))*EXP(-(LN(2)/$D$65+0.04)*X145)*EXP(-(LN(2)/$D$65+0.1)*Y145),IF(V145=3,AA$100*EXP(-(LN(2)/$D$65+0.04)*(VLOOKUP(($F$16-$F$15)-1,U$99:Y145,4,FALSE)))*EXP(-(LN(2)/$D$65+0.1)*(VLOOKUP(($F$16-$F$15)-1,U$99:Y145,5,FALSE)))*EXP(-(LN(2)/$D$65+0.04)*(VLOOKUP(($F$16-$F$15)*2-1,U$99:Y145,4,FALSE)))*EXP(-(LN(2)/$D$65+0.1)*(VLOOKUP(($F$16-$F$15)*2-1,U$99:Y145,5,FALSE)))*EXP(-(LN(2)/$D$65+0.04)*X145)*EXP(-(LN(2)/$D$65+0.1)*Y145),"-"))),"-")</f>
        <v>-</v>
      </c>
      <c r="AB146" s="271" t="str">
        <f>IFERROR(IF(V146=1,AB$100*EXP(-(LN(2)/$D$65+0.04)*X146)*EXP(-(LN(2)/$D$65+0.1)*Y146),IF(V146=2,AB$100*EXP(-(LN(2)/$D$65+0.04)*(VLOOKUP(($F$16-$F$15)-1,U$100:Y146,4,FALSE)))*EXP(-(LN(2)/$D$65+0.1)*(VLOOKUP(($F$16-$F$15)-1,U$100:Y146,5,FALSE)))*EXP(-(LN(2)/$D$65+0.04)*X146)*EXP(-(LN(2)/$D$65+0.1)*Y146),IF(V146=3,AB$100*EXP(-(LN(2)/$D$65+0.04)*(VLOOKUP(($F$16-$F$15)-1,U$100:Y146,4,FALSE)))*EXP(-(LN(2)/$D$65+0.1)*(VLOOKUP(($F$16-$F$15)-1,U$100:Y146,5,FALSE)))*EXP(-(LN(2)/$D$65+0.04)*(VLOOKUP(($F$16-$F$15)*2-1,U$100:Y146,4,FALSE)))*EXP(-(LN(2)/$D$65+0.1)*(VLOOKUP(($F$16-$F$15)*2-1,U$100:Y146,5,FALSE)))*EXP(-(LN(2)/$D$65+0.04)*X146)*EXP(-(LN(2)/$D$65+0.1)*Y146),"-"))),"-")</f>
        <v>-</v>
      </c>
      <c r="AC146" s="224">
        <f t="shared" si="45"/>
        <v>46</v>
      </c>
      <c r="AD146" s="223" t="str">
        <f t="shared" si="18"/>
        <v>-</v>
      </c>
      <c r="AE146" s="224" t="str">
        <f t="shared" si="46"/>
        <v>-</v>
      </c>
      <c r="AF146" s="224" t="str">
        <f t="shared" si="19"/>
        <v>-</v>
      </c>
      <c r="AG146" s="224" t="str">
        <f t="shared" si="20"/>
        <v>-</v>
      </c>
      <c r="AH146" s="272">
        <f t="shared" si="47"/>
        <v>0.1</v>
      </c>
      <c r="AI146" s="271" t="str">
        <f>IFERROR(IF(AD145=1,AI$100*EXP(-(LN(2)/$D$65+0.04)*AF145)*EXP(-(LN(2)/$D$65+0.1)*AG145),IF(AD145=2,AI$100*EXP(-(LN(2)/$D$65+0.04)*(VLOOKUP(($F$16-$F$15)-1,AC$99:AG145,4,FALSE)))*EXP(-(LN(2)/$D$65+0.1)*(VLOOKUP(($F$16-$F$15)-1,AC$99:AG145,5,FALSE)))*EXP(-(LN(2)/$D$65+0.04)*AF145)*EXP(-(LN(2)/$D$65+0.1)*AG145),IF(AD145=3,AI$100*EXP(-(LN(2)/$D$65+0.04)*(VLOOKUP(($F$16-$F$15)-1,AC$99:AG145,4,FALSE)))*EXP(-(LN(2)/$D$65+0.1)*(VLOOKUP(($F$16-$F$15)-1,AC$99:AG145,5,FALSE)))*EXP(-(LN(2)/$D$65+0.04)*(VLOOKUP(($F$16-$F$15)*2-1,AC$99:AG145,4,FALSE)))*EXP(-(LN(2)/$D$65+0.1)*(VLOOKUP(($F$16-$F$15)*2-1,AC$99:AG145,5,FALSE)))*EXP(-(LN(2)/$D$65+0.04)*AF145)*EXP(-(LN(2)/$D$65+0.1)*AG145),"-"))),"-")</f>
        <v>-</v>
      </c>
      <c r="AJ146" s="271" t="str">
        <f>IFERROR(IF(AD146=1,AJ$100*EXP(-(LN(2)/$D$65+0.04)*AF146)*EXP(-(LN(2)/$D$65+0.1)*AG146),IF(AD146=2,AJ$100*EXP(-(LN(2)/$D$65+0.04)*(VLOOKUP(($F$16-$F$15)-1,AC$100:AG146,4,FALSE)))*EXP(-(LN(2)/$D$65+0.1)*(VLOOKUP(($F$16-$F$15)-1,AC$100:AG146,5,FALSE)))*EXP(-(LN(2)/$D$65+0.04)*AF146)*EXP(-(LN(2)/$D$65+0.1)*AG146),IF(AD146=3,AJ$100*EXP(-(LN(2)/$D$65+0.04)*(VLOOKUP(($F$16-$F$15)-1,AC$100:AG146,4,FALSE)))*EXP(-(LN(2)/$D$65+0.1)*(VLOOKUP(($F$16-$F$15)-1,AC$100:AG146,5,FALSE)))*EXP(-(LN(2)/$D$65+0.04)*(VLOOKUP(($F$16-$F$15)*2-1,AC$100:AG146,4,FALSE)))*EXP(-(LN(2)/$D$65+0.1)*(VLOOKUP(($F$16-$F$15)*2-1,AC$100:AG146,5,FALSE)))*EXP(-(LN(2)/$D$65+0.04)*AF146)*EXP(-(LN(2)/$D$65+0.1)*AG146),"-"))),"-")</f>
        <v>-</v>
      </c>
      <c r="AK146" s="227">
        <f t="shared" si="49"/>
        <v>46</v>
      </c>
      <c r="AL146" s="226" t="str">
        <f t="shared" si="22"/>
        <v>-</v>
      </c>
      <c r="AM146" s="227" t="str">
        <f t="shared" si="50"/>
        <v>-</v>
      </c>
      <c r="AN146" s="227" t="str">
        <f t="shared" si="51"/>
        <v>-</v>
      </c>
      <c r="AO146" s="227" t="str">
        <f t="shared" si="23"/>
        <v>-</v>
      </c>
      <c r="AP146" s="273">
        <f t="shared" si="52"/>
        <v>0.1</v>
      </c>
      <c r="AQ146" s="271" t="str">
        <f>IFERROR(IF(AL145=1,AQ$100*EXP(-(LN(2)/$D$65+0.04)*AN145)*EXP(-(LN(2)/$D$65+0.1)*AO145),IF(AL145=2,AQ$100*EXP(-(LN(2)/$D$65+0.04)*(VLOOKUP(($F$16-$F$15)-1,AK$99:AO145,4,FALSE)))*EXP(-(LN(2)/$D$65+0.1)*(VLOOKUP(($F$16-$F$15)-1,AK$99:AO145,5,FALSE)))*EXP(-(LN(2)/$D$65+0.04)*AN145)*EXP(-(LN(2)/$D$65+0.1)*AO145),IF(AL145=3,AQ$100*EXP(-(LN(2)/$D$65+0.04)*(VLOOKUP(($F$16-$F$15)-1,AK$99:AO145,4,FALSE)))*EXP(-(LN(2)/$D$65+0.1)*(VLOOKUP(($F$16-$F$15)-1,AK$99:AO145,5,FALSE)))*EXP(-(LN(2)/$D$65+0.04)*(VLOOKUP(($F$16-$F$15)*2-1,AK$99:AO145,4,FALSE)))*EXP(-(LN(2)/$D$65+0.1)*(VLOOKUP(($F$16-$F$15)*2-1,AK$99:AO145,5,FALSE)))*EXP(-(LN(2)/$D$65+0.04)*AN145)*EXP(-(LN(2)/$D$65+0.1)*AO145),"-"))),"-")</f>
        <v>-</v>
      </c>
      <c r="AR146" s="271" t="str">
        <f>IFERROR(IF(AL146=1,AR$100*EXP(-(LN(2)/$D$65+0.04)*AN146)*EXP(-(LN(2)/$D$65+0.1)*AO146),IF(AL146=2,AR$100*EXP(-(LN(2)/$D$65+0.04)*(VLOOKUP(($F$16-$F$15)-1,AK$100:AO146,4,FALSE)))*EXP(-(LN(2)/$D$65+0.1)*(VLOOKUP(($F$16-$F$15)-1,AK$100:AO146,5,FALSE)))*EXP(-(LN(2)/$D$65+0.04)*AN146)*EXP(-(LN(2)/$D$65+0.1)*AO146),IF(AL146=3,AR$100*EXP(-(LN(2)/$D$65+0.04)*(VLOOKUP(($F$16-$F$15)-1,AK$100:AO146,4,FALSE)))*EXP(-(LN(2)/$D$65+0.1)*(VLOOKUP(($F$16-$F$15)-1,AK$100:AO146,5,FALSE)))*EXP(-(LN(2)/$D$65+0.04)*(VLOOKUP(($F$16-$F$15)*2-1,AK$100:AO146,4,FALSE)))*EXP(-(LN(2)/$D$65+0.1)*(VLOOKUP(($F$16-$F$15)*2-1,AK$100:AO146,5,FALSE)))*EXP(-(LN(2)/$D$65+0.04)*AN146)*EXP(-(LN(2)/$D$65+0.1)*AO146),"-"))),"-")</f>
        <v>-</v>
      </c>
      <c r="AS146" s="274">
        <f t="shared" si="24"/>
        <v>0</v>
      </c>
      <c r="AT146" s="274">
        <f t="shared" si="25"/>
        <v>0</v>
      </c>
      <c r="AU146" s="274">
        <f t="shared" si="26"/>
        <v>0</v>
      </c>
      <c r="AV146" s="190" t="str">
        <f>IF($B146&lt;$F$22,SUM($T$100:$T146),"")</f>
        <v/>
      </c>
      <c r="AW146" s="190" t="str">
        <f t="shared" si="83"/>
        <v>-</v>
      </c>
      <c r="AX146" s="190" t="str">
        <f t="shared" si="56"/>
        <v/>
      </c>
      <c r="AY146"/>
      <c r="AZ146" s="190" t="str">
        <f ca="1">IF(ISNUMBER(OFFSET(AV146,-$F$21,0)),SUM(OFFSET($T$100,$F$21,0):$T146),"")</f>
        <v/>
      </c>
      <c r="BA146" s="190" t="str">
        <f t="shared" ca="1" si="84"/>
        <v/>
      </c>
      <c r="BB146" s="190" t="str">
        <f t="shared" ca="1" si="70"/>
        <v/>
      </c>
      <c r="BC146" s="190"/>
      <c r="BD146" s="190" t="str">
        <f ca="1">IFERROR(IF(OR(ISNUMBER(I),ISNUMBER($F$14)),IF(AND($B146&gt;=($F$16-$F$15),$B146&lt;$F$22+($F$16-$F$15)),SUM(OFFSET($T$100,($F$16-$F$15),0):$T146),""),""),"")</f>
        <v/>
      </c>
      <c r="BE146" s="190" t="str">
        <f t="shared" ca="1" si="58"/>
        <v/>
      </c>
      <c r="BF146" s="190" t="str">
        <f t="shared" ca="1" si="59"/>
        <v/>
      </c>
      <c r="BG146"/>
      <c r="BH146" s="190" t="str">
        <f ca="1">IF(ISNUMBER(OFFSET(BD146,-$F$21,0)),SUM(OFFSET($T$100,($F$16-$F$15+$F$21),0):$T146),"")</f>
        <v/>
      </c>
      <c r="BI146" s="190" t="str">
        <f t="shared" ca="1" si="85"/>
        <v/>
      </c>
      <c r="BJ146" s="190" t="str">
        <f t="shared" ca="1" si="60"/>
        <v/>
      </c>
      <c r="BK146" s="190"/>
      <c r="BL146" s="190" t="str">
        <f ca="1">IFERROR(IF(OR(ISNUMBER(I),ISNUMBER($F$14)),IF(AND($B146&gt;=($F$17-$F$15),$B146&lt;$F$22+($F$17-$F$15)),SUM(OFFSET($T$100,($F$17-$F$15),0):$T146),""),""),"")</f>
        <v/>
      </c>
      <c r="BM146" s="190" t="str">
        <f t="shared" ca="1" si="86"/>
        <v/>
      </c>
      <c r="BN146" s="190" t="str">
        <f t="shared" ca="1" si="61"/>
        <v/>
      </c>
      <c r="BO146"/>
      <c r="BP146" s="190" t="str">
        <f ca="1">IF(ISNUMBER(OFFSET(BL146,-$F$21,0)),SUM(OFFSET($T$100,($F$17-$F$15+$F$21),0):$T146),"")</f>
        <v/>
      </c>
      <c r="BQ146" s="190" t="str">
        <f t="shared" ca="1" si="87"/>
        <v/>
      </c>
      <c r="BR146" s="190" t="str">
        <f t="shared" ca="1" si="63"/>
        <v/>
      </c>
      <c r="BS146" s="190"/>
      <c r="BT146"/>
      <c r="BU146"/>
      <c r="BV146"/>
      <c r="BY146" s="99"/>
      <c r="BZ146" s="99"/>
      <c r="CA146" s="280" t="str">
        <f t="shared" si="88"/>
        <v/>
      </c>
      <c r="CB146" s="71" t="str">
        <f t="shared" si="31"/>
        <v>-</v>
      </c>
      <c r="CC146" s="33"/>
      <c r="CD146" s="261" t="str">
        <f t="shared" si="33"/>
        <v/>
      </c>
      <c r="CE146" s="280" t="str">
        <f t="shared" si="89"/>
        <v/>
      </c>
      <c r="CF146" s="71" t="str">
        <f t="shared" ca="1" si="90"/>
        <v/>
      </c>
      <c r="CG146" s="33" t="str">
        <f t="shared" si="36"/>
        <v/>
      </c>
      <c r="CH146" s="261" t="str">
        <f t="shared" ca="1" si="37"/>
        <v/>
      </c>
      <c r="CI146" s="202"/>
      <c r="CJ146" s="99"/>
      <c r="CK146" s="99"/>
      <c r="CL146" s="99"/>
      <c r="CM146" s="99"/>
      <c r="CN146" s="99"/>
      <c r="CO146" s="99"/>
    </row>
    <row r="147" spans="2:93" ht="13.5" customHeight="1" x14ac:dyDescent="0.2">
      <c r="B147" s="262">
        <v>47</v>
      </c>
      <c r="C147" s="237" t="str">
        <f t="shared" si="1"/>
        <v/>
      </c>
      <c r="D147" s="237" t="str">
        <f t="shared" si="66"/>
        <v/>
      </c>
      <c r="E147" s="290" t="str">
        <f t="shared" si="38"/>
        <v/>
      </c>
      <c r="F147" s="264" t="str">
        <f t="shared" si="39"/>
        <v/>
      </c>
      <c r="G147" s="291" t="str">
        <f t="shared" si="40"/>
        <v/>
      </c>
      <c r="H147" s="240" t="str">
        <f t="shared" si="71"/>
        <v/>
      </c>
      <c r="I147" s="265" t="str">
        <f t="shared" si="72"/>
        <v/>
      </c>
      <c r="J147" s="265" t="str">
        <f t="shared" si="73"/>
        <v/>
      </c>
      <c r="K147" s="240" t="str">
        <f t="shared" si="74"/>
        <v/>
      </c>
      <c r="L147" s="265" t="str">
        <f t="shared" si="75"/>
        <v/>
      </c>
      <c r="M147" s="265" t="str">
        <f t="shared" si="76"/>
        <v/>
      </c>
      <c r="N147" s="240" t="str">
        <f t="shared" si="77"/>
        <v>-</v>
      </c>
      <c r="O147" s="265" t="str">
        <f t="shared" si="78"/>
        <v>-</v>
      </c>
      <c r="P147" s="265" t="str">
        <f t="shared" si="79"/>
        <v>-</v>
      </c>
      <c r="Q147" s="266" t="str">
        <f t="shared" si="80"/>
        <v>-</v>
      </c>
      <c r="R147" s="267" t="str">
        <f t="shared" si="81"/>
        <v>-</v>
      </c>
      <c r="S147" s="268" t="str">
        <f t="shared" si="82"/>
        <v>-</v>
      </c>
      <c r="T147" s="269" t="str">
        <f t="shared" si="13"/>
        <v/>
      </c>
      <c r="U147" s="221">
        <f t="shared" si="14"/>
        <v>47</v>
      </c>
      <c r="V147" s="220" t="str">
        <f t="shared" si="42"/>
        <v>-</v>
      </c>
      <c r="W147" s="221" t="str">
        <f t="shared" si="43"/>
        <v>-</v>
      </c>
      <c r="X147" s="221" t="str">
        <f t="shared" si="15"/>
        <v>-</v>
      </c>
      <c r="Y147" s="221" t="str">
        <f t="shared" si="16"/>
        <v>-</v>
      </c>
      <c r="Z147" s="270">
        <f t="shared" si="44"/>
        <v>0.1</v>
      </c>
      <c r="AA147" s="271" t="str">
        <f>IFERROR(IF(V146=1,AA$100*EXP(-(LN(2)/$D$65+0.04)*X146)*EXP(-(LN(2)/$D$65+0.1)*Y146),IF(V146=2,AA$100*EXP(-(LN(2)/$D$65+0.04)*(VLOOKUP(($F$16-$F$15)-1,U$99:Y146,4,FALSE)))*EXP(-(LN(2)/$D$65+0.1)*(VLOOKUP(($F$16-$F$15)-1,U$99:Y146,5,FALSE)))*EXP(-(LN(2)/$D$65+0.04)*X146)*EXP(-(LN(2)/$D$65+0.1)*Y146),IF(V146=3,AA$100*EXP(-(LN(2)/$D$65+0.04)*(VLOOKUP(($F$16-$F$15)-1,U$99:Y146,4,FALSE)))*EXP(-(LN(2)/$D$65+0.1)*(VLOOKUP(($F$16-$F$15)-1,U$99:Y146,5,FALSE)))*EXP(-(LN(2)/$D$65+0.04)*(VLOOKUP(($F$16-$F$15)*2-1,U$99:Y146,4,FALSE)))*EXP(-(LN(2)/$D$65+0.1)*(VLOOKUP(($F$16-$F$15)*2-1,U$99:Y146,5,FALSE)))*EXP(-(LN(2)/$D$65+0.04)*X146)*EXP(-(LN(2)/$D$65+0.1)*Y146),"-"))),"-")</f>
        <v>-</v>
      </c>
      <c r="AB147" s="271" t="str">
        <f>IFERROR(IF(V147=1,AB$100*EXP(-(LN(2)/$D$65+0.04)*X147)*EXP(-(LN(2)/$D$65+0.1)*Y147),IF(V147=2,AB$100*EXP(-(LN(2)/$D$65+0.04)*(VLOOKUP(($F$16-$F$15)-1,U$100:Y147,4,FALSE)))*EXP(-(LN(2)/$D$65+0.1)*(VLOOKUP(($F$16-$F$15)-1,U$100:Y147,5,FALSE)))*EXP(-(LN(2)/$D$65+0.04)*X147)*EXP(-(LN(2)/$D$65+0.1)*Y147),IF(V147=3,AB$100*EXP(-(LN(2)/$D$65+0.04)*(VLOOKUP(($F$16-$F$15)-1,U$100:Y147,4,FALSE)))*EXP(-(LN(2)/$D$65+0.1)*(VLOOKUP(($F$16-$F$15)-1,U$100:Y147,5,FALSE)))*EXP(-(LN(2)/$D$65+0.04)*(VLOOKUP(($F$16-$F$15)*2-1,U$100:Y147,4,FALSE)))*EXP(-(LN(2)/$D$65+0.1)*(VLOOKUP(($F$16-$F$15)*2-1,U$100:Y147,5,FALSE)))*EXP(-(LN(2)/$D$65+0.04)*X147)*EXP(-(LN(2)/$D$65+0.1)*Y147),"-"))),"-")</f>
        <v>-</v>
      </c>
      <c r="AC147" s="224">
        <f t="shared" si="45"/>
        <v>47</v>
      </c>
      <c r="AD147" s="223" t="str">
        <f t="shared" si="18"/>
        <v>-</v>
      </c>
      <c r="AE147" s="224" t="str">
        <f t="shared" si="46"/>
        <v>-</v>
      </c>
      <c r="AF147" s="224" t="str">
        <f t="shared" si="19"/>
        <v>-</v>
      </c>
      <c r="AG147" s="224" t="str">
        <f t="shared" si="20"/>
        <v>-</v>
      </c>
      <c r="AH147" s="272">
        <f t="shared" si="47"/>
        <v>0.1</v>
      </c>
      <c r="AI147" s="271" t="str">
        <f>IFERROR(IF(AD146=1,AI$100*EXP(-(LN(2)/$D$65+0.04)*AF146)*EXP(-(LN(2)/$D$65+0.1)*AG146),IF(AD146=2,AI$100*EXP(-(LN(2)/$D$65+0.04)*(VLOOKUP(($F$16-$F$15)-1,AC$99:AG146,4,FALSE)))*EXP(-(LN(2)/$D$65+0.1)*(VLOOKUP(($F$16-$F$15)-1,AC$99:AG146,5,FALSE)))*EXP(-(LN(2)/$D$65+0.04)*AF146)*EXP(-(LN(2)/$D$65+0.1)*AG146),IF(AD146=3,AI$100*EXP(-(LN(2)/$D$65+0.04)*(VLOOKUP(($F$16-$F$15)-1,AC$99:AG146,4,FALSE)))*EXP(-(LN(2)/$D$65+0.1)*(VLOOKUP(($F$16-$F$15)-1,AC$99:AG146,5,FALSE)))*EXP(-(LN(2)/$D$65+0.04)*(VLOOKUP(($F$16-$F$15)*2-1,AC$99:AG146,4,FALSE)))*EXP(-(LN(2)/$D$65+0.1)*(VLOOKUP(($F$16-$F$15)*2-1,AC$99:AG146,5,FALSE)))*EXP(-(LN(2)/$D$65+0.04)*AF146)*EXP(-(LN(2)/$D$65+0.1)*AG146),"-"))),"-")</f>
        <v>-</v>
      </c>
      <c r="AJ147" s="271" t="str">
        <f>IFERROR(IF(AD147=1,AJ$100*EXP(-(LN(2)/$D$65+0.04)*AF147)*EXP(-(LN(2)/$D$65+0.1)*AG147),IF(AD147=2,AJ$100*EXP(-(LN(2)/$D$65+0.04)*(VLOOKUP(($F$16-$F$15)-1,AC$100:AG147,4,FALSE)))*EXP(-(LN(2)/$D$65+0.1)*(VLOOKUP(($F$16-$F$15)-1,AC$100:AG147,5,FALSE)))*EXP(-(LN(2)/$D$65+0.04)*AF147)*EXP(-(LN(2)/$D$65+0.1)*AG147),IF(AD147=3,AJ$100*EXP(-(LN(2)/$D$65+0.04)*(VLOOKUP(($F$16-$F$15)-1,AC$100:AG147,4,FALSE)))*EXP(-(LN(2)/$D$65+0.1)*(VLOOKUP(($F$16-$F$15)-1,AC$100:AG147,5,FALSE)))*EXP(-(LN(2)/$D$65+0.04)*(VLOOKUP(($F$16-$F$15)*2-1,AC$100:AG147,4,FALSE)))*EXP(-(LN(2)/$D$65+0.1)*(VLOOKUP(($F$16-$F$15)*2-1,AC$100:AG147,5,FALSE)))*EXP(-(LN(2)/$D$65+0.04)*AF147)*EXP(-(LN(2)/$D$65+0.1)*AG147),"-"))),"-")</f>
        <v>-</v>
      </c>
      <c r="AK147" s="227">
        <f t="shared" si="49"/>
        <v>47</v>
      </c>
      <c r="AL147" s="226" t="str">
        <f t="shared" si="22"/>
        <v>-</v>
      </c>
      <c r="AM147" s="227" t="str">
        <f t="shared" si="50"/>
        <v>-</v>
      </c>
      <c r="AN147" s="227" t="str">
        <f t="shared" si="51"/>
        <v>-</v>
      </c>
      <c r="AO147" s="227" t="str">
        <f t="shared" si="23"/>
        <v>-</v>
      </c>
      <c r="AP147" s="273">
        <f t="shared" si="52"/>
        <v>0.1</v>
      </c>
      <c r="AQ147" s="271" t="str">
        <f>IFERROR(IF(AL146=1,AQ$100*EXP(-(LN(2)/$D$65+0.04)*AN146)*EXP(-(LN(2)/$D$65+0.1)*AO146),IF(AL146=2,AQ$100*EXP(-(LN(2)/$D$65+0.04)*(VLOOKUP(($F$16-$F$15)-1,AK$99:AO146,4,FALSE)))*EXP(-(LN(2)/$D$65+0.1)*(VLOOKUP(($F$16-$F$15)-1,AK$99:AO146,5,FALSE)))*EXP(-(LN(2)/$D$65+0.04)*AN146)*EXP(-(LN(2)/$D$65+0.1)*AO146),IF(AL146=3,AQ$100*EXP(-(LN(2)/$D$65+0.04)*(VLOOKUP(($F$16-$F$15)-1,AK$99:AO146,4,FALSE)))*EXP(-(LN(2)/$D$65+0.1)*(VLOOKUP(($F$16-$F$15)-1,AK$99:AO146,5,FALSE)))*EXP(-(LN(2)/$D$65+0.04)*(VLOOKUP(($F$16-$F$15)*2-1,AK$99:AO146,4,FALSE)))*EXP(-(LN(2)/$D$65+0.1)*(VLOOKUP(($F$16-$F$15)*2-1,AK$99:AO146,5,FALSE)))*EXP(-(LN(2)/$D$65+0.04)*AN146)*EXP(-(LN(2)/$D$65+0.1)*AO146),"-"))),"-")</f>
        <v>-</v>
      </c>
      <c r="AR147" s="271" t="str">
        <f>IFERROR(IF(AL147=1,AR$100*EXP(-(LN(2)/$D$65+0.04)*AN147)*EXP(-(LN(2)/$D$65+0.1)*AO147),IF(AL147=2,AR$100*EXP(-(LN(2)/$D$65+0.04)*(VLOOKUP(($F$16-$F$15)-1,AK$100:AO147,4,FALSE)))*EXP(-(LN(2)/$D$65+0.1)*(VLOOKUP(($F$16-$F$15)-1,AK$100:AO147,5,FALSE)))*EXP(-(LN(2)/$D$65+0.04)*AN147)*EXP(-(LN(2)/$D$65+0.1)*AO147),IF(AL147=3,AR$100*EXP(-(LN(2)/$D$65+0.04)*(VLOOKUP(($F$16-$F$15)-1,AK$100:AO147,4,FALSE)))*EXP(-(LN(2)/$D$65+0.1)*(VLOOKUP(($F$16-$F$15)-1,AK$100:AO147,5,FALSE)))*EXP(-(LN(2)/$D$65+0.04)*(VLOOKUP(($F$16-$F$15)*2-1,AK$100:AO147,4,FALSE)))*EXP(-(LN(2)/$D$65+0.1)*(VLOOKUP(($F$16-$F$15)*2-1,AK$100:AO147,5,FALSE)))*EXP(-(LN(2)/$D$65+0.04)*AN147)*EXP(-(LN(2)/$D$65+0.1)*AO147),"-"))),"-")</f>
        <v>-</v>
      </c>
      <c r="AS147" s="274">
        <f t="shared" si="24"/>
        <v>0</v>
      </c>
      <c r="AT147" s="274">
        <f t="shared" si="25"/>
        <v>0</v>
      </c>
      <c r="AU147" s="274">
        <f t="shared" si="26"/>
        <v>0</v>
      </c>
      <c r="AV147" s="190" t="str">
        <f>IF($B147&lt;$F$22,SUM($T$100:$T147),"")</f>
        <v/>
      </c>
      <c r="AW147" s="190" t="str">
        <f t="shared" si="83"/>
        <v>-</v>
      </c>
      <c r="AX147" s="190" t="str">
        <f t="shared" si="56"/>
        <v/>
      </c>
      <c r="AY147"/>
      <c r="AZ147" s="190" t="str">
        <f ca="1">IF(ISNUMBER(OFFSET(AV147,-$F$21,0)),SUM(OFFSET($T$100,$F$21,0):$T147),"")</f>
        <v/>
      </c>
      <c r="BA147" s="190" t="str">
        <f t="shared" ca="1" si="84"/>
        <v/>
      </c>
      <c r="BB147" s="190" t="str">
        <f t="shared" ca="1" si="70"/>
        <v/>
      </c>
      <c r="BC147" s="190"/>
      <c r="BD147" s="190" t="str">
        <f ca="1">IFERROR(IF(OR(ISNUMBER(I),ISNUMBER($F$14)),IF(AND($B147&gt;=($F$16-$F$15),$B147&lt;$F$22+($F$16-$F$15)),SUM(OFFSET($T$100,($F$16-$F$15),0):$T147),""),""),"")</f>
        <v/>
      </c>
      <c r="BE147" s="190" t="str">
        <f t="shared" ca="1" si="58"/>
        <v/>
      </c>
      <c r="BF147" s="190" t="str">
        <f t="shared" ca="1" si="59"/>
        <v/>
      </c>
      <c r="BG147"/>
      <c r="BH147" s="190" t="str">
        <f ca="1">IF(ISNUMBER(OFFSET(BD147,-$F$21,0)),SUM(OFFSET($T$100,($F$16-$F$15+$F$21),0):$T147),"")</f>
        <v/>
      </c>
      <c r="BI147" s="190" t="str">
        <f t="shared" ca="1" si="85"/>
        <v/>
      </c>
      <c r="BJ147" s="190" t="str">
        <f t="shared" ca="1" si="60"/>
        <v/>
      </c>
      <c r="BK147" s="190"/>
      <c r="BL147" s="190" t="str">
        <f ca="1">IFERROR(IF(OR(ISNUMBER(I),ISNUMBER($F$14)),IF(AND($B147&gt;=($F$17-$F$15),$B147&lt;$F$22+($F$17-$F$15)),SUM(OFFSET($T$100,($F$17-$F$15),0):$T147),""),""),"")</f>
        <v/>
      </c>
      <c r="BM147" s="190" t="str">
        <f t="shared" ca="1" si="86"/>
        <v/>
      </c>
      <c r="BN147" s="190" t="str">
        <f t="shared" ca="1" si="61"/>
        <v/>
      </c>
      <c r="BO147"/>
      <c r="BP147" s="190" t="str">
        <f ca="1">IF(ISNUMBER(OFFSET(BL147,-$F$21,0)),SUM(OFFSET($T$100,($F$17-$F$15+$F$21),0):$T147),"")</f>
        <v/>
      </c>
      <c r="BQ147" s="190" t="str">
        <f t="shared" ca="1" si="87"/>
        <v/>
      </c>
      <c r="BR147" s="190" t="str">
        <f t="shared" ca="1" si="63"/>
        <v/>
      </c>
      <c r="BS147" s="190"/>
      <c r="BT147"/>
      <c r="BU147"/>
      <c r="BV147"/>
      <c r="BY147" s="99"/>
      <c r="BZ147" s="99"/>
      <c r="CA147" s="280" t="str">
        <f t="shared" si="88"/>
        <v/>
      </c>
      <c r="CB147" s="71" t="str">
        <f t="shared" si="31"/>
        <v>-</v>
      </c>
      <c r="CC147" s="33"/>
      <c r="CD147" s="261" t="str">
        <f t="shared" si="33"/>
        <v/>
      </c>
      <c r="CE147" s="280" t="str">
        <f t="shared" si="89"/>
        <v/>
      </c>
      <c r="CF147" s="71" t="str">
        <f t="shared" ca="1" si="90"/>
        <v/>
      </c>
      <c r="CG147" s="33" t="str">
        <f t="shared" si="36"/>
        <v/>
      </c>
      <c r="CH147" s="261" t="str">
        <f t="shared" ca="1" si="37"/>
        <v/>
      </c>
      <c r="CI147" s="202"/>
      <c r="CJ147" s="99"/>
      <c r="CK147" s="99"/>
      <c r="CL147" s="99"/>
      <c r="CM147" s="99"/>
      <c r="CN147" s="99"/>
      <c r="CO147" s="99"/>
    </row>
    <row r="148" spans="2:93" ht="13.5" customHeight="1" x14ac:dyDescent="0.2">
      <c r="B148" s="262">
        <v>48</v>
      </c>
      <c r="C148" s="237" t="str">
        <f t="shared" si="1"/>
        <v/>
      </c>
      <c r="D148" s="237" t="str">
        <f t="shared" si="66"/>
        <v/>
      </c>
      <c r="E148" s="290" t="str">
        <f t="shared" si="38"/>
        <v/>
      </c>
      <c r="F148" s="264" t="str">
        <f t="shared" si="39"/>
        <v/>
      </c>
      <c r="G148" s="291" t="str">
        <f t="shared" si="40"/>
        <v/>
      </c>
      <c r="H148" s="240" t="str">
        <f t="shared" si="71"/>
        <v/>
      </c>
      <c r="I148" s="265" t="str">
        <f t="shared" si="72"/>
        <v/>
      </c>
      <c r="J148" s="265" t="str">
        <f t="shared" si="73"/>
        <v/>
      </c>
      <c r="K148" s="240" t="str">
        <f t="shared" si="74"/>
        <v/>
      </c>
      <c r="L148" s="265" t="str">
        <f t="shared" si="75"/>
        <v/>
      </c>
      <c r="M148" s="265" t="str">
        <f t="shared" si="76"/>
        <v/>
      </c>
      <c r="N148" s="240" t="str">
        <f t="shared" si="77"/>
        <v>-</v>
      </c>
      <c r="O148" s="265" t="str">
        <f t="shared" si="78"/>
        <v>-</v>
      </c>
      <c r="P148" s="265" t="str">
        <f t="shared" si="79"/>
        <v>-</v>
      </c>
      <c r="Q148" s="266" t="str">
        <f t="shared" si="80"/>
        <v>-</v>
      </c>
      <c r="R148" s="267" t="str">
        <f t="shared" si="81"/>
        <v>-</v>
      </c>
      <c r="S148" s="268" t="str">
        <f t="shared" si="82"/>
        <v>-</v>
      </c>
      <c r="T148" s="269" t="str">
        <f t="shared" si="13"/>
        <v/>
      </c>
      <c r="U148" s="221">
        <f t="shared" si="14"/>
        <v>48</v>
      </c>
      <c r="V148" s="220" t="str">
        <f t="shared" si="42"/>
        <v>-</v>
      </c>
      <c r="W148" s="221" t="str">
        <f t="shared" si="43"/>
        <v>-</v>
      </c>
      <c r="X148" s="221" t="str">
        <f t="shared" si="15"/>
        <v>-</v>
      </c>
      <c r="Y148" s="221" t="str">
        <f t="shared" si="16"/>
        <v>-</v>
      </c>
      <c r="Z148" s="270">
        <f t="shared" si="44"/>
        <v>0.1</v>
      </c>
      <c r="AA148" s="271" t="str">
        <f>IFERROR(IF(V147=1,AA$100*EXP(-(LN(2)/$D$65+0.04)*X147)*EXP(-(LN(2)/$D$65+0.1)*Y147),IF(V147=2,AA$100*EXP(-(LN(2)/$D$65+0.04)*(VLOOKUP(($F$16-$F$15)-1,U$99:Y147,4,FALSE)))*EXP(-(LN(2)/$D$65+0.1)*(VLOOKUP(($F$16-$F$15)-1,U$99:Y147,5,FALSE)))*EXP(-(LN(2)/$D$65+0.04)*X147)*EXP(-(LN(2)/$D$65+0.1)*Y147),IF(V147=3,AA$100*EXP(-(LN(2)/$D$65+0.04)*(VLOOKUP(($F$16-$F$15)-1,U$99:Y147,4,FALSE)))*EXP(-(LN(2)/$D$65+0.1)*(VLOOKUP(($F$16-$F$15)-1,U$99:Y147,5,FALSE)))*EXP(-(LN(2)/$D$65+0.04)*(VLOOKUP(($F$16-$F$15)*2-1,U$99:Y147,4,FALSE)))*EXP(-(LN(2)/$D$65+0.1)*(VLOOKUP(($F$16-$F$15)*2-1,U$99:Y147,5,FALSE)))*EXP(-(LN(2)/$D$65+0.04)*X147)*EXP(-(LN(2)/$D$65+0.1)*Y147),"-"))),"-")</f>
        <v>-</v>
      </c>
      <c r="AB148" s="271" t="str">
        <f>IFERROR(IF(V148=1,AB$100*EXP(-(LN(2)/$D$65+0.04)*X148)*EXP(-(LN(2)/$D$65+0.1)*Y148),IF(V148=2,AB$100*EXP(-(LN(2)/$D$65+0.04)*(VLOOKUP(($F$16-$F$15)-1,U$100:Y148,4,FALSE)))*EXP(-(LN(2)/$D$65+0.1)*(VLOOKUP(($F$16-$F$15)-1,U$100:Y148,5,FALSE)))*EXP(-(LN(2)/$D$65+0.04)*X148)*EXP(-(LN(2)/$D$65+0.1)*Y148),IF(V148=3,AB$100*EXP(-(LN(2)/$D$65+0.04)*(VLOOKUP(($F$16-$F$15)-1,U$100:Y148,4,FALSE)))*EXP(-(LN(2)/$D$65+0.1)*(VLOOKUP(($F$16-$F$15)-1,U$100:Y148,5,FALSE)))*EXP(-(LN(2)/$D$65+0.04)*(VLOOKUP(($F$16-$F$15)*2-1,U$100:Y148,4,FALSE)))*EXP(-(LN(2)/$D$65+0.1)*(VLOOKUP(($F$16-$F$15)*2-1,U$100:Y148,5,FALSE)))*EXP(-(LN(2)/$D$65+0.04)*X148)*EXP(-(LN(2)/$D$65+0.1)*Y148),"-"))),"-")</f>
        <v>-</v>
      </c>
      <c r="AC148" s="224">
        <f t="shared" si="45"/>
        <v>48</v>
      </c>
      <c r="AD148" s="223" t="str">
        <f t="shared" si="18"/>
        <v>-</v>
      </c>
      <c r="AE148" s="224" t="str">
        <f t="shared" si="46"/>
        <v>-</v>
      </c>
      <c r="AF148" s="224" t="str">
        <f t="shared" si="19"/>
        <v>-</v>
      </c>
      <c r="AG148" s="224" t="str">
        <f t="shared" si="20"/>
        <v>-</v>
      </c>
      <c r="AH148" s="272">
        <f t="shared" si="47"/>
        <v>0.1</v>
      </c>
      <c r="AI148" s="271" t="str">
        <f>IFERROR(IF(AD147=1,AI$100*EXP(-(LN(2)/$D$65+0.04)*AF147)*EXP(-(LN(2)/$D$65+0.1)*AG147),IF(AD147=2,AI$100*EXP(-(LN(2)/$D$65+0.04)*(VLOOKUP(($F$16-$F$15)-1,AC$99:AG147,4,FALSE)))*EXP(-(LN(2)/$D$65+0.1)*(VLOOKUP(($F$16-$F$15)-1,AC$99:AG147,5,FALSE)))*EXP(-(LN(2)/$D$65+0.04)*AF147)*EXP(-(LN(2)/$D$65+0.1)*AG147),IF(AD147=3,AI$100*EXP(-(LN(2)/$D$65+0.04)*(VLOOKUP(($F$16-$F$15)-1,AC$99:AG147,4,FALSE)))*EXP(-(LN(2)/$D$65+0.1)*(VLOOKUP(($F$16-$F$15)-1,AC$99:AG147,5,FALSE)))*EXP(-(LN(2)/$D$65+0.04)*(VLOOKUP(($F$16-$F$15)*2-1,AC$99:AG147,4,FALSE)))*EXP(-(LN(2)/$D$65+0.1)*(VLOOKUP(($F$16-$F$15)*2-1,AC$99:AG147,5,FALSE)))*EXP(-(LN(2)/$D$65+0.04)*AF147)*EXP(-(LN(2)/$D$65+0.1)*AG147),"-"))),"-")</f>
        <v>-</v>
      </c>
      <c r="AJ148" s="271" t="str">
        <f>IFERROR(IF(AD148=1,AJ$100*EXP(-(LN(2)/$D$65+0.04)*AF148)*EXP(-(LN(2)/$D$65+0.1)*AG148),IF(AD148=2,AJ$100*EXP(-(LN(2)/$D$65+0.04)*(VLOOKUP(($F$16-$F$15)-1,AC$100:AG148,4,FALSE)))*EXP(-(LN(2)/$D$65+0.1)*(VLOOKUP(($F$16-$F$15)-1,AC$100:AG148,5,FALSE)))*EXP(-(LN(2)/$D$65+0.04)*AF148)*EXP(-(LN(2)/$D$65+0.1)*AG148),IF(AD148=3,AJ$100*EXP(-(LN(2)/$D$65+0.04)*(VLOOKUP(($F$16-$F$15)-1,AC$100:AG148,4,FALSE)))*EXP(-(LN(2)/$D$65+0.1)*(VLOOKUP(($F$16-$F$15)-1,AC$100:AG148,5,FALSE)))*EXP(-(LN(2)/$D$65+0.04)*(VLOOKUP(($F$16-$F$15)*2-1,AC$100:AG148,4,FALSE)))*EXP(-(LN(2)/$D$65+0.1)*(VLOOKUP(($F$16-$F$15)*2-1,AC$100:AG148,5,FALSE)))*EXP(-(LN(2)/$D$65+0.04)*AF148)*EXP(-(LN(2)/$D$65+0.1)*AG148),"-"))),"-")</f>
        <v>-</v>
      </c>
      <c r="AK148" s="227">
        <f t="shared" si="49"/>
        <v>48</v>
      </c>
      <c r="AL148" s="226" t="str">
        <f t="shared" si="22"/>
        <v>-</v>
      </c>
      <c r="AM148" s="227" t="str">
        <f t="shared" si="50"/>
        <v>-</v>
      </c>
      <c r="AN148" s="227" t="str">
        <f t="shared" si="51"/>
        <v>-</v>
      </c>
      <c r="AO148" s="227" t="str">
        <f t="shared" si="23"/>
        <v>-</v>
      </c>
      <c r="AP148" s="273">
        <f t="shared" si="52"/>
        <v>0.1</v>
      </c>
      <c r="AQ148" s="271" t="str">
        <f>IFERROR(IF(AL147=1,AQ$100*EXP(-(LN(2)/$D$65+0.04)*AN147)*EXP(-(LN(2)/$D$65+0.1)*AO147),IF(AL147=2,AQ$100*EXP(-(LN(2)/$D$65+0.04)*(VLOOKUP(($F$16-$F$15)-1,AK$99:AO147,4,FALSE)))*EXP(-(LN(2)/$D$65+0.1)*(VLOOKUP(($F$16-$F$15)-1,AK$99:AO147,5,FALSE)))*EXP(-(LN(2)/$D$65+0.04)*AN147)*EXP(-(LN(2)/$D$65+0.1)*AO147),IF(AL147=3,AQ$100*EXP(-(LN(2)/$D$65+0.04)*(VLOOKUP(($F$16-$F$15)-1,AK$99:AO147,4,FALSE)))*EXP(-(LN(2)/$D$65+0.1)*(VLOOKUP(($F$16-$F$15)-1,AK$99:AO147,5,FALSE)))*EXP(-(LN(2)/$D$65+0.04)*(VLOOKUP(($F$16-$F$15)*2-1,AK$99:AO147,4,FALSE)))*EXP(-(LN(2)/$D$65+0.1)*(VLOOKUP(($F$16-$F$15)*2-1,AK$99:AO147,5,FALSE)))*EXP(-(LN(2)/$D$65+0.04)*AN147)*EXP(-(LN(2)/$D$65+0.1)*AO147),"-"))),"-")</f>
        <v>-</v>
      </c>
      <c r="AR148" s="271" t="str">
        <f>IFERROR(IF(AL148=1,AR$100*EXP(-(LN(2)/$D$65+0.04)*AN148)*EXP(-(LN(2)/$D$65+0.1)*AO148),IF(AL148=2,AR$100*EXP(-(LN(2)/$D$65+0.04)*(VLOOKUP(($F$16-$F$15)-1,AK$100:AO148,4,FALSE)))*EXP(-(LN(2)/$D$65+0.1)*(VLOOKUP(($F$16-$F$15)-1,AK$100:AO148,5,FALSE)))*EXP(-(LN(2)/$D$65+0.04)*AN148)*EXP(-(LN(2)/$D$65+0.1)*AO148),IF(AL148=3,AR$100*EXP(-(LN(2)/$D$65+0.04)*(VLOOKUP(($F$16-$F$15)-1,AK$100:AO148,4,FALSE)))*EXP(-(LN(2)/$D$65+0.1)*(VLOOKUP(($F$16-$F$15)-1,AK$100:AO148,5,FALSE)))*EXP(-(LN(2)/$D$65+0.04)*(VLOOKUP(($F$16-$F$15)*2-1,AK$100:AO148,4,FALSE)))*EXP(-(LN(2)/$D$65+0.1)*(VLOOKUP(($F$16-$F$15)*2-1,AK$100:AO148,5,FALSE)))*EXP(-(LN(2)/$D$65+0.04)*AN148)*EXP(-(LN(2)/$D$65+0.1)*AO148),"-"))),"-")</f>
        <v>-</v>
      </c>
      <c r="AS148" s="274">
        <f t="shared" si="24"/>
        <v>0</v>
      </c>
      <c r="AT148" s="274">
        <f t="shared" si="25"/>
        <v>0</v>
      </c>
      <c r="AU148" s="274">
        <f t="shared" si="26"/>
        <v>0</v>
      </c>
      <c r="AV148" s="190" t="str">
        <f>IF($B148&lt;$F$22,SUM($T$100:$T148),"")</f>
        <v/>
      </c>
      <c r="AW148" s="190" t="str">
        <f t="shared" si="83"/>
        <v>-</v>
      </c>
      <c r="AX148" s="190" t="str">
        <f t="shared" si="56"/>
        <v/>
      </c>
      <c r="AY148"/>
      <c r="AZ148" s="190" t="str">
        <f ca="1">IF(ISNUMBER(OFFSET(AV148,-$F$21,0)),SUM(OFFSET($T$100,$F$21,0):$T148),"")</f>
        <v/>
      </c>
      <c r="BA148" s="190" t="str">
        <f t="shared" ca="1" si="84"/>
        <v/>
      </c>
      <c r="BB148" s="190" t="str">
        <f t="shared" ca="1" si="70"/>
        <v/>
      </c>
      <c r="BC148" s="190"/>
      <c r="BD148" s="190" t="str">
        <f ca="1">IFERROR(IF(OR(ISNUMBER(I),ISNUMBER($F$14)),IF(AND($B148&gt;=($F$16-$F$15),$B148&lt;$F$22+($F$16-$F$15)),SUM(OFFSET($T$100,($F$16-$F$15),0):$T148),""),""),"")</f>
        <v/>
      </c>
      <c r="BE148" s="190" t="str">
        <f t="shared" ca="1" si="58"/>
        <v/>
      </c>
      <c r="BF148" s="190" t="str">
        <f t="shared" ca="1" si="59"/>
        <v/>
      </c>
      <c r="BG148"/>
      <c r="BH148" s="190" t="str">
        <f ca="1">IF(ISNUMBER(OFFSET(BD148,-$F$21,0)),SUM(OFFSET($T$100,($F$16-$F$15+$F$21),0):$T148),"")</f>
        <v/>
      </c>
      <c r="BI148" s="190" t="str">
        <f t="shared" ca="1" si="85"/>
        <v/>
      </c>
      <c r="BJ148" s="190" t="str">
        <f t="shared" ca="1" si="60"/>
        <v/>
      </c>
      <c r="BK148" s="190"/>
      <c r="BL148" s="190" t="str">
        <f ca="1">IFERROR(IF(OR(ISNUMBER(I),ISNUMBER($F$14)),IF(AND($B148&gt;=($F$17-$F$15),$B148&lt;$F$22+($F$17-$F$15)),SUM(OFFSET($T$100,($F$17-$F$15),0):$T148),""),""),"")</f>
        <v/>
      </c>
      <c r="BM148" s="190" t="str">
        <f t="shared" ca="1" si="86"/>
        <v/>
      </c>
      <c r="BN148" s="190" t="str">
        <f t="shared" ca="1" si="61"/>
        <v/>
      </c>
      <c r="BO148"/>
      <c r="BP148" s="190" t="str">
        <f ca="1">IF(ISNUMBER(OFFSET(BL148,-$F$21,0)),SUM(OFFSET($T$100,($F$17-$F$15+$F$21),0):$T148),"")</f>
        <v/>
      </c>
      <c r="BQ148" s="190" t="str">
        <f t="shared" ca="1" si="87"/>
        <v/>
      </c>
      <c r="BR148" s="190" t="str">
        <f t="shared" ca="1" si="63"/>
        <v/>
      </c>
      <c r="BS148" s="190"/>
      <c r="BT148"/>
      <c r="BU148"/>
      <c r="BV148"/>
      <c r="BY148" s="99"/>
      <c r="BZ148" s="99"/>
      <c r="CA148" s="280" t="str">
        <f t="shared" si="88"/>
        <v/>
      </c>
      <c r="CB148" s="71" t="str">
        <f t="shared" si="31"/>
        <v>-</v>
      </c>
      <c r="CC148" s="33"/>
      <c r="CD148" s="261" t="str">
        <f t="shared" si="33"/>
        <v/>
      </c>
      <c r="CE148" s="280" t="str">
        <f t="shared" si="89"/>
        <v/>
      </c>
      <c r="CF148" s="71" t="str">
        <f t="shared" ca="1" si="90"/>
        <v/>
      </c>
      <c r="CG148" s="33" t="str">
        <f t="shared" si="36"/>
        <v/>
      </c>
      <c r="CH148" s="261" t="str">
        <f t="shared" ca="1" si="37"/>
        <v/>
      </c>
      <c r="CI148" s="202"/>
      <c r="CJ148" s="99"/>
      <c r="CK148" s="99"/>
      <c r="CL148" s="99"/>
      <c r="CM148" s="99"/>
      <c r="CN148" s="99"/>
      <c r="CO148" s="99"/>
    </row>
    <row r="149" spans="2:93" ht="13.5" customHeight="1" x14ac:dyDescent="0.2">
      <c r="B149" s="262">
        <v>49</v>
      </c>
      <c r="C149" s="237" t="str">
        <f t="shared" si="1"/>
        <v/>
      </c>
      <c r="D149" s="237" t="str">
        <f t="shared" si="66"/>
        <v/>
      </c>
      <c r="E149" s="290" t="str">
        <f t="shared" si="38"/>
        <v/>
      </c>
      <c r="F149" s="264" t="str">
        <f t="shared" si="39"/>
        <v/>
      </c>
      <c r="G149" s="291" t="str">
        <f t="shared" si="40"/>
        <v/>
      </c>
      <c r="H149" s="240" t="str">
        <f t="shared" si="71"/>
        <v/>
      </c>
      <c r="I149" s="265" t="str">
        <f t="shared" si="72"/>
        <v/>
      </c>
      <c r="J149" s="265" t="str">
        <f t="shared" si="73"/>
        <v/>
      </c>
      <c r="K149" s="240" t="str">
        <f t="shared" si="74"/>
        <v/>
      </c>
      <c r="L149" s="265" t="str">
        <f t="shared" si="75"/>
        <v/>
      </c>
      <c r="M149" s="265" t="str">
        <f t="shared" si="76"/>
        <v/>
      </c>
      <c r="N149" s="240" t="str">
        <f t="shared" si="77"/>
        <v>-</v>
      </c>
      <c r="O149" s="265" t="str">
        <f t="shared" si="78"/>
        <v>-</v>
      </c>
      <c r="P149" s="265" t="str">
        <f t="shared" si="79"/>
        <v>-</v>
      </c>
      <c r="Q149" s="266" t="str">
        <f t="shared" si="80"/>
        <v>-</v>
      </c>
      <c r="R149" s="267" t="str">
        <f t="shared" si="81"/>
        <v>-</v>
      </c>
      <c r="S149" s="268" t="str">
        <f t="shared" si="82"/>
        <v>-</v>
      </c>
      <c r="T149" s="269" t="str">
        <f t="shared" si="13"/>
        <v/>
      </c>
      <c r="U149" s="221">
        <f t="shared" si="14"/>
        <v>49</v>
      </c>
      <c r="V149" s="220" t="str">
        <f t="shared" si="42"/>
        <v>-</v>
      </c>
      <c r="W149" s="221" t="str">
        <f t="shared" si="43"/>
        <v>-</v>
      </c>
      <c r="X149" s="221" t="str">
        <f t="shared" si="15"/>
        <v>-</v>
      </c>
      <c r="Y149" s="221" t="str">
        <f t="shared" si="16"/>
        <v>-</v>
      </c>
      <c r="Z149" s="270">
        <f t="shared" si="44"/>
        <v>0.1</v>
      </c>
      <c r="AA149" s="271" t="str">
        <f>IFERROR(IF(V148=1,AA$100*EXP(-(LN(2)/$D$65+0.04)*X148)*EXP(-(LN(2)/$D$65+0.1)*Y148),IF(V148=2,AA$100*EXP(-(LN(2)/$D$65+0.04)*(VLOOKUP(($F$16-$F$15)-1,U$99:Y148,4,FALSE)))*EXP(-(LN(2)/$D$65+0.1)*(VLOOKUP(($F$16-$F$15)-1,U$99:Y148,5,FALSE)))*EXP(-(LN(2)/$D$65+0.04)*X148)*EXP(-(LN(2)/$D$65+0.1)*Y148),IF(V148=3,AA$100*EXP(-(LN(2)/$D$65+0.04)*(VLOOKUP(($F$16-$F$15)-1,U$99:Y148,4,FALSE)))*EXP(-(LN(2)/$D$65+0.1)*(VLOOKUP(($F$16-$F$15)-1,U$99:Y148,5,FALSE)))*EXP(-(LN(2)/$D$65+0.04)*(VLOOKUP(($F$16-$F$15)*2-1,U$99:Y148,4,FALSE)))*EXP(-(LN(2)/$D$65+0.1)*(VLOOKUP(($F$16-$F$15)*2-1,U$99:Y148,5,FALSE)))*EXP(-(LN(2)/$D$65+0.04)*X148)*EXP(-(LN(2)/$D$65+0.1)*Y148),"-"))),"-")</f>
        <v>-</v>
      </c>
      <c r="AB149" s="271" t="str">
        <f>IFERROR(IF(V149=1,AB$100*EXP(-(LN(2)/$D$65+0.04)*X149)*EXP(-(LN(2)/$D$65+0.1)*Y149),IF(V149=2,AB$100*EXP(-(LN(2)/$D$65+0.04)*(VLOOKUP(($F$16-$F$15)-1,U$100:Y149,4,FALSE)))*EXP(-(LN(2)/$D$65+0.1)*(VLOOKUP(($F$16-$F$15)-1,U$100:Y149,5,FALSE)))*EXP(-(LN(2)/$D$65+0.04)*X149)*EXP(-(LN(2)/$D$65+0.1)*Y149),IF(V149=3,AB$100*EXP(-(LN(2)/$D$65+0.04)*(VLOOKUP(($F$16-$F$15)-1,U$100:Y149,4,FALSE)))*EXP(-(LN(2)/$D$65+0.1)*(VLOOKUP(($F$16-$F$15)-1,U$100:Y149,5,FALSE)))*EXP(-(LN(2)/$D$65+0.04)*(VLOOKUP(($F$16-$F$15)*2-1,U$100:Y149,4,FALSE)))*EXP(-(LN(2)/$D$65+0.1)*(VLOOKUP(($F$16-$F$15)*2-1,U$100:Y149,5,FALSE)))*EXP(-(LN(2)/$D$65+0.04)*X149)*EXP(-(LN(2)/$D$65+0.1)*Y149),"-"))),"-")</f>
        <v>-</v>
      </c>
      <c r="AC149" s="224">
        <f t="shared" si="45"/>
        <v>49</v>
      </c>
      <c r="AD149" s="223" t="str">
        <f t="shared" si="18"/>
        <v>-</v>
      </c>
      <c r="AE149" s="224" t="str">
        <f t="shared" si="46"/>
        <v>-</v>
      </c>
      <c r="AF149" s="224" t="str">
        <f t="shared" si="19"/>
        <v>-</v>
      </c>
      <c r="AG149" s="224" t="str">
        <f t="shared" si="20"/>
        <v>-</v>
      </c>
      <c r="AH149" s="272">
        <f t="shared" si="47"/>
        <v>0.1</v>
      </c>
      <c r="AI149" s="271" t="str">
        <f>IFERROR(IF(AD148=1,AI$100*EXP(-(LN(2)/$D$65+0.04)*AF148)*EXP(-(LN(2)/$D$65+0.1)*AG148),IF(AD148=2,AI$100*EXP(-(LN(2)/$D$65+0.04)*(VLOOKUP(($F$16-$F$15)-1,AC$99:AG148,4,FALSE)))*EXP(-(LN(2)/$D$65+0.1)*(VLOOKUP(($F$16-$F$15)-1,AC$99:AG148,5,FALSE)))*EXP(-(LN(2)/$D$65+0.04)*AF148)*EXP(-(LN(2)/$D$65+0.1)*AG148),IF(AD148=3,AI$100*EXP(-(LN(2)/$D$65+0.04)*(VLOOKUP(($F$16-$F$15)-1,AC$99:AG148,4,FALSE)))*EXP(-(LN(2)/$D$65+0.1)*(VLOOKUP(($F$16-$F$15)-1,AC$99:AG148,5,FALSE)))*EXP(-(LN(2)/$D$65+0.04)*(VLOOKUP(($F$16-$F$15)*2-1,AC$99:AG148,4,FALSE)))*EXP(-(LN(2)/$D$65+0.1)*(VLOOKUP(($F$16-$F$15)*2-1,AC$99:AG148,5,FALSE)))*EXP(-(LN(2)/$D$65+0.04)*AF148)*EXP(-(LN(2)/$D$65+0.1)*AG148),"-"))),"-")</f>
        <v>-</v>
      </c>
      <c r="AJ149" s="271" t="str">
        <f>IFERROR(IF(AD149=1,AJ$100*EXP(-(LN(2)/$D$65+0.04)*AF149)*EXP(-(LN(2)/$D$65+0.1)*AG149),IF(AD149=2,AJ$100*EXP(-(LN(2)/$D$65+0.04)*(VLOOKUP(($F$16-$F$15)-1,AC$100:AG149,4,FALSE)))*EXP(-(LN(2)/$D$65+0.1)*(VLOOKUP(($F$16-$F$15)-1,AC$100:AG149,5,FALSE)))*EXP(-(LN(2)/$D$65+0.04)*AF149)*EXP(-(LN(2)/$D$65+0.1)*AG149),IF(AD149=3,AJ$100*EXP(-(LN(2)/$D$65+0.04)*(VLOOKUP(($F$16-$F$15)-1,AC$100:AG149,4,FALSE)))*EXP(-(LN(2)/$D$65+0.1)*(VLOOKUP(($F$16-$F$15)-1,AC$100:AG149,5,FALSE)))*EXP(-(LN(2)/$D$65+0.04)*(VLOOKUP(($F$16-$F$15)*2-1,AC$100:AG149,4,FALSE)))*EXP(-(LN(2)/$D$65+0.1)*(VLOOKUP(($F$16-$F$15)*2-1,AC$100:AG149,5,FALSE)))*EXP(-(LN(2)/$D$65+0.04)*AF149)*EXP(-(LN(2)/$D$65+0.1)*AG149),"-"))),"-")</f>
        <v>-</v>
      </c>
      <c r="AK149" s="227">
        <f t="shared" si="49"/>
        <v>49</v>
      </c>
      <c r="AL149" s="226" t="str">
        <f t="shared" si="22"/>
        <v>-</v>
      </c>
      <c r="AM149" s="227" t="str">
        <f t="shared" si="50"/>
        <v>-</v>
      </c>
      <c r="AN149" s="227" t="str">
        <f t="shared" si="51"/>
        <v>-</v>
      </c>
      <c r="AO149" s="227" t="str">
        <f t="shared" si="23"/>
        <v>-</v>
      </c>
      <c r="AP149" s="273">
        <f t="shared" si="52"/>
        <v>0.1</v>
      </c>
      <c r="AQ149" s="271" t="str">
        <f>IFERROR(IF(AL148=1,AQ$100*EXP(-(LN(2)/$D$65+0.04)*AN148)*EXP(-(LN(2)/$D$65+0.1)*AO148),IF(AL148=2,AQ$100*EXP(-(LN(2)/$D$65+0.04)*(VLOOKUP(($F$16-$F$15)-1,AK$99:AO148,4,FALSE)))*EXP(-(LN(2)/$D$65+0.1)*(VLOOKUP(($F$16-$F$15)-1,AK$99:AO148,5,FALSE)))*EXP(-(LN(2)/$D$65+0.04)*AN148)*EXP(-(LN(2)/$D$65+0.1)*AO148),IF(AL148=3,AQ$100*EXP(-(LN(2)/$D$65+0.04)*(VLOOKUP(($F$16-$F$15)-1,AK$99:AO148,4,FALSE)))*EXP(-(LN(2)/$D$65+0.1)*(VLOOKUP(($F$16-$F$15)-1,AK$99:AO148,5,FALSE)))*EXP(-(LN(2)/$D$65+0.04)*(VLOOKUP(($F$16-$F$15)*2-1,AK$99:AO148,4,FALSE)))*EXP(-(LN(2)/$D$65+0.1)*(VLOOKUP(($F$16-$F$15)*2-1,AK$99:AO148,5,FALSE)))*EXP(-(LN(2)/$D$65+0.04)*AN148)*EXP(-(LN(2)/$D$65+0.1)*AO148),"-"))),"-")</f>
        <v>-</v>
      </c>
      <c r="AR149" s="271" t="str">
        <f>IFERROR(IF(AL149=1,AR$100*EXP(-(LN(2)/$D$65+0.04)*AN149)*EXP(-(LN(2)/$D$65+0.1)*AO149),IF(AL149=2,AR$100*EXP(-(LN(2)/$D$65+0.04)*(VLOOKUP(($F$16-$F$15)-1,AK$100:AO149,4,FALSE)))*EXP(-(LN(2)/$D$65+0.1)*(VLOOKUP(($F$16-$F$15)-1,AK$100:AO149,5,FALSE)))*EXP(-(LN(2)/$D$65+0.04)*AN149)*EXP(-(LN(2)/$D$65+0.1)*AO149),IF(AL149=3,AR$100*EXP(-(LN(2)/$D$65+0.04)*(VLOOKUP(($F$16-$F$15)-1,AK$100:AO149,4,FALSE)))*EXP(-(LN(2)/$D$65+0.1)*(VLOOKUP(($F$16-$F$15)-1,AK$100:AO149,5,FALSE)))*EXP(-(LN(2)/$D$65+0.04)*(VLOOKUP(($F$16-$F$15)*2-1,AK$100:AO149,4,FALSE)))*EXP(-(LN(2)/$D$65+0.1)*(VLOOKUP(($F$16-$F$15)*2-1,AK$100:AO149,5,FALSE)))*EXP(-(LN(2)/$D$65+0.04)*AN149)*EXP(-(LN(2)/$D$65+0.1)*AO149),"-"))),"-")</f>
        <v>-</v>
      </c>
      <c r="AS149" s="274">
        <f t="shared" si="24"/>
        <v>0</v>
      </c>
      <c r="AT149" s="274">
        <f t="shared" si="25"/>
        <v>0</v>
      </c>
      <c r="AU149" s="274">
        <f t="shared" si="26"/>
        <v>0</v>
      </c>
      <c r="AV149" s="190" t="str">
        <f>IF($B149&lt;$F$22,SUM($T$100:$T149),"")</f>
        <v/>
      </c>
      <c r="AW149" s="190" t="str">
        <f t="shared" si="83"/>
        <v>-</v>
      </c>
      <c r="AX149" s="190" t="str">
        <f t="shared" si="56"/>
        <v/>
      </c>
      <c r="AY149"/>
      <c r="AZ149" s="190" t="str">
        <f ca="1">IF(ISNUMBER(OFFSET(AV149,-$F$21,0)),SUM(OFFSET($T$100,$F$21,0):$T149),"")</f>
        <v/>
      </c>
      <c r="BA149" s="190" t="str">
        <f t="shared" ca="1" si="84"/>
        <v/>
      </c>
      <c r="BB149" s="190" t="str">
        <f t="shared" ca="1" si="70"/>
        <v/>
      </c>
      <c r="BC149" s="190"/>
      <c r="BD149" s="190" t="str">
        <f ca="1">IFERROR(IF(OR(ISNUMBER(I),ISNUMBER($F$14)),IF(AND($B149&gt;=($F$16-$F$15),$B149&lt;$F$22+($F$16-$F$15)),SUM(OFFSET($T$100,($F$16-$F$15),0):$T149),""),""),"")</f>
        <v/>
      </c>
      <c r="BE149" s="190" t="str">
        <f t="shared" ca="1" si="58"/>
        <v/>
      </c>
      <c r="BF149" s="190" t="str">
        <f t="shared" ca="1" si="59"/>
        <v/>
      </c>
      <c r="BG149"/>
      <c r="BH149" s="190" t="str">
        <f ca="1">IF(ISNUMBER(OFFSET(BD149,-$F$21,0)),SUM(OFFSET($T$100,($F$16-$F$15+$F$21),0):$T149),"")</f>
        <v/>
      </c>
      <c r="BI149" s="190" t="str">
        <f t="shared" ca="1" si="85"/>
        <v/>
      </c>
      <c r="BJ149" s="190" t="str">
        <f t="shared" ca="1" si="60"/>
        <v/>
      </c>
      <c r="BK149" s="190"/>
      <c r="BL149" s="190" t="str">
        <f ca="1">IFERROR(IF(OR(ISNUMBER(I),ISNUMBER($F$14)),IF(AND($B149&gt;=($F$17-$F$15),$B149&lt;$F$22+($F$17-$F$15)),SUM(OFFSET($T$100,($F$17-$F$15),0):$T149),""),""),"")</f>
        <v/>
      </c>
      <c r="BM149" s="190" t="str">
        <f t="shared" ca="1" si="86"/>
        <v/>
      </c>
      <c r="BN149" s="190" t="str">
        <f t="shared" ca="1" si="61"/>
        <v/>
      </c>
      <c r="BO149"/>
      <c r="BP149" s="190" t="str">
        <f ca="1">IF(ISNUMBER(OFFSET(BL149,-$F$21,0)),SUM(OFFSET($T$100,($F$17-$F$15+$F$21),0):$T149),"")</f>
        <v/>
      </c>
      <c r="BQ149" s="190" t="str">
        <f t="shared" ca="1" si="87"/>
        <v/>
      </c>
      <c r="BR149" s="190" t="str">
        <f t="shared" ca="1" si="63"/>
        <v/>
      </c>
      <c r="BS149" s="190"/>
      <c r="BT149"/>
      <c r="BU149"/>
      <c r="BV149"/>
      <c r="BY149" s="99"/>
      <c r="BZ149" s="99"/>
      <c r="CA149" s="280" t="str">
        <f t="shared" si="88"/>
        <v/>
      </c>
      <c r="CB149" s="71" t="str">
        <f t="shared" si="31"/>
        <v>-</v>
      </c>
      <c r="CC149" s="33"/>
      <c r="CD149" s="261" t="str">
        <f t="shared" si="33"/>
        <v/>
      </c>
      <c r="CE149" s="280" t="str">
        <f t="shared" si="89"/>
        <v/>
      </c>
      <c r="CF149" s="71" t="str">
        <f t="shared" ca="1" si="90"/>
        <v/>
      </c>
      <c r="CG149" s="33" t="str">
        <f t="shared" si="36"/>
        <v/>
      </c>
      <c r="CH149" s="261" t="str">
        <f t="shared" ca="1" si="37"/>
        <v/>
      </c>
      <c r="CI149" s="202"/>
      <c r="CJ149" s="99"/>
      <c r="CK149" s="99"/>
      <c r="CL149" s="99"/>
      <c r="CM149" s="99"/>
      <c r="CN149" s="99"/>
      <c r="CO149" s="99"/>
    </row>
    <row r="150" spans="2:93" ht="13.5" customHeight="1" x14ac:dyDescent="0.2">
      <c r="B150" s="262">
        <v>50</v>
      </c>
      <c r="C150" s="237" t="str">
        <f t="shared" si="1"/>
        <v/>
      </c>
      <c r="D150" s="237" t="str">
        <f t="shared" si="66"/>
        <v/>
      </c>
      <c r="E150" s="290" t="str">
        <f t="shared" si="38"/>
        <v/>
      </c>
      <c r="F150" s="264" t="str">
        <f t="shared" si="39"/>
        <v/>
      </c>
      <c r="G150" s="291" t="str">
        <f t="shared" si="40"/>
        <v/>
      </c>
      <c r="H150" s="240" t="str">
        <f t="shared" si="71"/>
        <v/>
      </c>
      <c r="I150" s="265" t="str">
        <f t="shared" si="72"/>
        <v/>
      </c>
      <c r="J150" s="265" t="str">
        <f t="shared" si="73"/>
        <v/>
      </c>
      <c r="K150" s="240" t="str">
        <f t="shared" si="74"/>
        <v/>
      </c>
      <c r="L150" s="265" t="str">
        <f t="shared" si="75"/>
        <v/>
      </c>
      <c r="M150" s="265" t="str">
        <f t="shared" si="76"/>
        <v/>
      </c>
      <c r="N150" s="240" t="str">
        <f t="shared" si="77"/>
        <v>-</v>
      </c>
      <c r="O150" s="265" t="str">
        <f t="shared" si="78"/>
        <v>-</v>
      </c>
      <c r="P150" s="265" t="str">
        <f t="shared" si="79"/>
        <v>-</v>
      </c>
      <c r="Q150" s="266" t="str">
        <f t="shared" si="80"/>
        <v>-</v>
      </c>
      <c r="R150" s="267" t="str">
        <f t="shared" si="81"/>
        <v>-</v>
      </c>
      <c r="S150" s="268" t="str">
        <f t="shared" si="82"/>
        <v>-</v>
      </c>
      <c r="T150" s="269" t="str">
        <f t="shared" si="13"/>
        <v/>
      </c>
      <c r="U150" s="221">
        <f t="shared" si="14"/>
        <v>50</v>
      </c>
      <c r="V150" s="220" t="str">
        <f t="shared" si="42"/>
        <v>-</v>
      </c>
      <c r="W150" s="221" t="str">
        <f t="shared" si="43"/>
        <v>-</v>
      </c>
      <c r="X150" s="221" t="str">
        <f t="shared" si="15"/>
        <v>-</v>
      </c>
      <c r="Y150" s="221" t="str">
        <f t="shared" si="16"/>
        <v>-</v>
      </c>
      <c r="Z150" s="270">
        <f t="shared" si="44"/>
        <v>0.1</v>
      </c>
      <c r="AA150" s="271" t="str">
        <f>IFERROR(IF(V149=1,AA$100*EXP(-(LN(2)/$D$65+0.04)*X149)*EXP(-(LN(2)/$D$65+0.1)*Y149),IF(V149=2,AA$100*EXP(-(LN(2)/$D$65+0.04)*(VLOOKUP(($F$16-$F$15)-1,U$99:Y149,4,FALSE)))*EXP(-(LN(2)/$D$65+0.1)*(VLOOKUP(($F$16-$F$15)-1,U$99:Y149,5,FALSE)))*EXP(-(LN(2)/$D$65+0.04)*X149)*EXP(-(LN(2)/$D$65+0.1)*Y149),IF(V149=3,AA$100*EXP(-(LN(2)/$D$65+0.04)*(VLOOKUP(($F$16-$F$15)-1,U$99:Y149,4,FALSE)))*EXP(-(LN(2)/$D$65+0.1)*(VLOOKUP(($F$16-$F$15)-1,U$99:Y149,5,FALSE)))*EXP(-(LN(2)/$D$65+0.04)*(VLOOKUP(($F$16-$F$15)*2-1,U$99:Y149,4,FALSE)))*EXP(-(LN(2)/$D$65+0.1)*(VLOOKUP(($F$16-$F$15)*2-1,U$99:Y149,5,FALSE)))*EXP(-(LN(2)/$D$65+0.04)*X149)*EXP(-(LN(2)/$D$65+0.1)*Y149),"-"))),"-")</f>
        <v>-</v>
      </c>
      <c r="AB150" s="271" t="str">
        <f>IFERROR(IF(V150=1,AB$100*EXP(-(LN(2)/$D$65+0.04)*X150)*EXP(-(LN(2)/$D$65+0.1)*Y150),IF(V150=2,AB$100*EXP(-(LN(2)/$D$65+0.04)*(VLOOKUP(($F$16-$F$15)-1,U$100:Y150,4,FALSE)))*EXP(-(LN(2)/$D$65+0.1)*(VLOOKUP(($F$16-$F$15)-1,U$100:Y150,5,FALSE)))*EXP(-(LN(2)/$D$65+0.04)*X150)*EXP(-(LN(2)/$D$65+0.1)*Y150),IF(V150=3,AB$100*EXP(-(LN(2)/$D$65+0.04)*(VLOOKUP(($F$16-$F$15)-1,U$100:Y150,4,FALSE)))*EXP(-(LN(2)/$D$65+0.1)*(VLOOKUP(($F$16-$F$15)-1,U$100:Y150,5,FALSE)))*EXP(-(LN(2)/$D$65+0.04)*(VLOOKUP(($F$16-$F$15)*2-1,U$100:Y150,4,FALSE)))*EXP(-(LN(2)/$D$65+0.1)*(VLOOKUP(($F$16-$F$15)*2-1,U$100:Y150,5,FALSE)))*EXP(-(LN(2)/$D$65+0.04)*X150)*EXP(-(LN(2)/$D$65+0.1)*Y150),"-"))),"-")</f>
        <v>-</v>
      </c>
      <c r="AC150" s="224">
        <f t="shared" si="45"/>
        <v>50</v>
      </c>
      <c r="AD150" s="223" t="str">
        <f t="shared" si="18"/>
        <v>-</v>
      </c>
      <c r="AE150" s="224" t="str">
        <f t="shared" si="46"/>
        <v>-</v>
      </c>
      <c r="AF150" s="224" t="str">
        <f t="shared" si="19"/>
        <v>-</v>
      </c>
      <c r="AG150" s="224" t="str">
        <f t="shared" si="20"/>
        <v>-</v>
      </c>
      <c r="AH150" s="272">
        <f t="shared" si="47"/>
        <v>0.1</v>
      </c>
      <c r="AI150" s="271" t="str">
        <f>IFERROR(IF(AD149=1,AI$100*EXP(-(LN(2)/$D$65+0.04)*AF149)*EXP(-(LN(2)/$D$65+0.1)*AG149),IF(AD149=2,AI$100*EXP(-(LN(2)/$D$65+0.04)*(VLOOKUP(($F$16-$F$15)-1,AC$99:AG149,4,FALSE)))*EXP(-(LN(2)/$D$65+0.1)*(VLOOKUP(($F$16-$F$15)-1,AC$99:AG149,5,FALSE)))*EXP(-(LN(2)/$D$65+0.04)*AF149)*EXP(-(LN(2)/$D$65+0.1)*AG149),IF(AD149=3,AI$100*EXP(-(LN(2)/$D$65+0.04)*(VLOOKUP(($F$16-$F$15)-1,AC$99:AG149,4,FALSE)))*EXP(-(LN(2)/$D$65+0.1)*(VLOOKUP(($F$16-$F$15)-1,AC$99:AG149,5,FALSE)))*EXP(-(LN(2)/$D$65+0.04)*(VLOOKUP(($F$16-$F$15)*2-1,AC$99:AG149,4,FALSE)))*EXP(-(LN(2)/$D$65+0.1)*(VLOOKUP(($F$16-$F$15)*2-1,AC$99:AG149,5,FALSE)))*EXP(-(LN(2)/$D$65+0.04)*AF149)*EXP(-(LN(2)/$D$65+0.1)*AG149),"-"))),"-")</f>
        <v>-</v>
      </c>
      <c r="AJ150" s="271" t="str">
        <f>IFERROR(IF(AD150=1,AJ$100*EXP(-(LN(2)/$D$65+0.04)*AF150)*EXP(-(LN(2)/$D$65+0.1)*AG150),IF(AD150=2,AJ$100*EXP(-(LN(2)/$D$65+0.04)*(VLOOKUP(($F$16-$F$15)-1,AC$100:AG150,4,FALSE)))*EXP(-(LN(2)/$D$65+0.1)*(VLOOKUP(($F$16-$F$15)-1,AC$100:AG150,5,FALSE)))*EXP(-(LN(2)/$D$65+0.04)*AF150)*EXP(-(LN(2)/$D$65+0.1)*AG150),IF(AD150=3,AJ$100*EXP(-(LN(2)/$D$65+0.04)*(VLOOKUP(($F$16-$F$15)-1,AC$100:AG150,4,FALSE)))*EXP(-(LN(2)/$D$65+0.1)*(VLOOKUP(($F$16-$F$15)-1,AC$100:AG150,5,FALSE)))*EXP(-(LN(2)/$D$65+0.04)*(VLOOKUP(($F$16-$F$15)*2-1,AC$100:AG150,4,FALSE)))*EXP(-(LN(2)/$D$65+0.1)*(VLOOKUP(($F$16-$F$15)*2-1,AC$100:AG150,5,FALSE)))*EXP(-(LN(2)/$D$65+0.04)*AF150)*EXP(-(LN(2)/$D$65+0.1)*AG150),"-"))),"-")</f>
        <v>-</v>
      </c>
      <c r="AK150" s="227">
        <f t="shared" si="49"/>
        <v>50</v>
      </c>
      <c r="AL150" s="226" t="str">
        <f t="shared" si="22"/>
        <v>-</v>
      </c>
      <c r="AM150" s="227" t="str">
        <f t="shared" si="50"/>
        <v>-</v>
      </c>
      <c r="AN150" s="227" t="str">
        <f t="shared" si="51"/>
        <v>-</v>
      </c>
      <c r="AO150" s="227" t="str">
        <f t="shared" si="23"/>
        <v>-</v>
      </c>
      <c r="AP150" s="273">
        <f t="shared" si="52"/>
        <v>0.1</v>
      </c>
      <c r="AQ150" s="271" t="str">
        <f>IFERROR(IF(AL149=1,AQ$100*EXP(-(LN(2)/$D$65+0.04)*AN149)*EXP(-(LN(2)/$D$65+0.1)*AO149),IF(AL149=2,AQ$100*EXP(-(LN(2)/$D$65+0.04)*(VLOOKUP(($F$16-$F$15)-1,AK$99:AO149,4,FALSE)))*EXP(-(LN(2)/$D$65+0.1)*(VLOOKUP(($F$16-$F$15)-1,AK$99:AO149,5,FALSE)))*EXP(-(LN(2)/$D$65+0.04)*AN149)*EXP(-(LN(2)/$D$65+0.1)*AO149),IF(AL149=3,AQ$100*EXP(-(LN(2)/$D$65+0.04)*(VLOOKUP(($F$16-$F$15)-1,AK$99:AO149,4,FALSE)))*EXP(-(LN(2)/$D$65+0.1)*(VLOOKUP(($F$16-$F$15)-1,AK$99:AO149,5,FALSE)))*EXP(-(LN(2)/$D$65+0.04)*(VLOOKUP(($F$16-$F$15)*2-1,AK$99:AO149,4,FALSE)))*EXP(-(LN(2)/$D$65+0.1)*(VLOOKUP(($F$16-$F$15)*2-1,AK$99:AO149,5,FALSE)))*EXP(-(LN(2)/$D$65+0.04)*AN149)*EXP(-(LN(2)/$D$65+0.1)*AO149),"-"))),"-")</f>
        <v>-</v>
      </c>
      <c r="AR150" s="271" t="str">
        <f>IFERROR(IF(AL150=1,AR$100*EXP(-(LN(2)/$D$65+0.04)*AN150)*EXP(-(LN(2)/$D$65+0.1)*AO150),IF(AL150=2,AR$100*EXP(-(LN(2)/$D$65+0.04)*(VLOOKUP(($F$16-$F$15)-1,AK$100:AO150,4,FALSE)))*EXP(-(LN(2)/$D$65+0.1)*(VLOOKUP(($F$16-$F$15)-1,AK$100:AO150,5,FALSE)))*EXP(-(LN(2)/$D$65+0.04)*AN150)*EXP(-(LN(2)/$D$65+0.1)*AO150),IF(AL150=3,AR$100*EXP(-(LN(2)/$D$65+0.04)*(VLOOKUP(($F$16-$F$15)-1,AK$100:AO150,4,FALSE)))*EXP(-(LN(2)/$D$65+0.1)*(VLOOKUP(($F$16-$F$15)-1,AK$100:AO150,5,FALSE)))*EXP(-(LN(2)/$D$65+0.04)*(VLOOKUP(($F$16-$F$15)*2-1,AK$100:AO150,4,FALSE)))*EXP(-(LN(2)/$D$65+0.1)*(VLOOKUP(($F$16-$F$15)*2-1,AK$100:AO150,5,FALSE)))*EXP(-(LN(2)/$D$65+0.04)*AN150)*EXP(-(LN(2)/$D$65+0.1)*AO150),"-"))),"-")</f>
        <v>-</v>
      </c>
      <c r="AS150" s="274">
        <f t="shared" si="24"/>
        <v>0</v>
      </c>
      <c r="AT150" s="274">
        <f t="shared" si="25"/>
        <v>0</v>
      </c>
      <c r="AU150" s="274">
        <f t="shared" si="26"/>
        <v>0</v>
      </c>
      <c r="AV150" s="190" t="str">
        <f>IF($B150&lt;$F$22,SUM($T$100:$T150),"")</f>
        <v/>
      </c>
      <c r="AW150" s="190" t="str">
        <f t="shared" si="83"/>
        <v>-</v>
      </c>
      <c r="AX150" s="190" t="str">
        <f t="shared" si="56"/>
        <v/>
      </c>
      <c r="AY150"/>
      <c r="AZ150" s="190" t="str">
        <f ca="1">IF(ISNUMBER(OFFSET(AV150,-$F$21,0)),SUM(OFFSET($T$100,$F$21,0):$T150),"")</f>
        <v/>
      </c>
      <c r="BA150" s="190" t="str">
        <f t="shared" ca="1" si="84"/>
        <v/>
      </c>
      <c r="BB150" s="190" t="str">
        <f t="shared" ca="1" si="70"/>
        <v/>
      </c>
      <c r="BC150" s="190"/>
      <c r="BD150" s="190" t="str">
        <f ca="1">IFERROR(IF(OR(ISNUMBER(I),ISNUMBER($F$14)),IF(AND($B150&gt;=($F$16-$F$15),$B150&lt;$F$22+($F$16-$F$15)),SUM(OFFSET($T$100,($F$16-$F$15),0):$T150),""),""),"")</f>
        <v/>
      </c>
      <c r="BE150" s="190" t="str">
        <f t="shared" ca="1" si="58"/>
        <v/>
      </c>
      <c r="BF150" s="190" t="str">
        <f t="shared" ca="1" si="59"/>
        <v/>
      </c>
      <c r="BG150"/>
      <c r="BH150" s="190" t="str">
        <f ca="1">IF(ISNUMBER(OFFSET(BD150,-$F$21,0)),SUM(OFFSET($T$100,($F$16-$F$15+$F$21),0):$T150),"")</f>
        <v/>
      </c>
      <c r="BI150" s="190" t="str">
        <f t="shared" ca="1" si="85"/>
        <v/>
      </c>
      <c r="BJ150" s="190" t="str">
        <f t="shared" ca="1" si="60"/>
        <v/>
      </c>
      <c r="BK150" s="190"/>
      <c r="BL150" s="190" t="str">
        <f ca="1">IFERROR(IF(OR(ISNUMBER(I),ISNUMBER($F$14)),IF(AND($B150&gt;=($F$17-$F$15),$B150&lt;$F$22+($F$17-$F$15)),SUM(OFFSET($T$100,($F$17-$F$15),0):$T150),""),""),"")</f>
        <v/>
      </c>
      <c r="BM150" s="190" t="str">
        <f t="shared" ca="1" si="86"/>
        <v/>
      </c>
      <c r="BN150" s="190" t="str">
        <f t="shared" ca="1" si="61"/>
        <v/>
      </c>
      <c r="BO150"/>
      <c r="BP150" s="190" t="str">
        <f ca="1">IF(ISNUMBER(OFFSET(BL150,-$F$21,0)),SUM(OFFSET($T$100,($F$17-$F$15+$F$21),0):$T150),"")</f>
        <v/>
      </c>
      <c r="BQ150" s="190" t="str">
        <f t="shared" ca="1" si="87"/>
        <v/>
      </c>
      <c r="BR150" s="190" t="str">
        <f t="shared" ca="1" si="63"/>
        <v/>
      </c>
      <c r="BS150" s="190"/>
      <c r="BT150"/>
      <c r="BU150"/>
      <c r="BV150"/>
      <c r="BY150" s="99"/>
      <c r="BZ150" s="99"/>
      <c r="CA150" s="280" t="str">
        <f t="shared" si="88"/>
        <v/>
      </c>
      <c r="CB150" s="71" t="str">
        <f t="shared" si="31"/>
        <v>-</v>
      </c>
      <c r="CC150" s="33"/>
      <c r="CD150" s="261" t="str">
        <f t="shared" si="33"/>
        <v/>
      </c>
      <c r="CE150" s="280" t="str">
        <f t="shared" si="89"/>
        <v/>
      </c>
      <c r="CF150" s="71" t="str">
        <f t="shared" ca="1" si="90"/>
        <v/>
      </c>
      <c r="CG150" s="33" t="str">
        <f t="shared" si="36"/>
        <v/>
      </c>
      <c r="CH150" s="261" t="str">
        <f t="shared" ca="1" si="37"/>
        <v/>
      </c>
      <c r="CI150" s="202"/>
      <c r="CJ150" s="99"/>
      <c r="CK150" s="99"/>
      <c r="CL150" s="99"/>
      <c r="CM150" s="99"/>
      <c r="CN150" s="99"/>
      <c r="CO150" s="99"/>
    </row>
    <row r="151" spans="2:93" ht="13.5" customHeight="1" x14ac:dyDescent="0.2">
      <c r="B151" s="262">
        <v>51</v>
      </c>
      <c r="C151" s="237" t="str">
        <f t="shared" si="1"/>
        <v/>
      </c>
      <c r="D151" s="237" t="str">
        <f t="shared" si="66"/>
        <v/>
      </c>
      <c r="E151" s="290" t="str">
        <f t="shared" si="38"/>
        <v/>
      </c>
      <c r="F151" s="264" t="str">
        <f t="shared" si="39"/>
        <v/>
      </c>
      <c r="G151" s="291" t="str">
        <f t="shared" si="40"/>
        <v/>
      </c>
      <c r="H151" s="240" t="str">
        <f t="shared" si="71"/>
        <v/>
      </c>
      <c r="I151" s="265" t="str">
        <f t="shared" si="72"/>
        <v/>
      </c>
      <c r="J151" s="265" t="str">
        <f t="shared" si="73"/>
        <v/>
      </c>
      <c r="K151" s="240" t="str">
        <f t="shared" si="74"/>
        <v/>
      </c>
      <c r="L151" s="265" t="str">
        <f t="shared" si="75"/>
        <v/>
      </c>
      <c r="M151" s="265" t="str">
        <f t="shared" si="76"/>
        <v/>
      </c>
      <c r="N151" s="240" t="str">
        <f t="shared" si="77"/>
        <v>-</v>
      </c>
      <c r="O151" s="265" t="str">
        <f t="shared" si="78"/>
        <v>-</v>
      </c>
      <c r="P151" s="265" t="str">
        <f t="shared" si="79"/>
        <v>-</v>
      </c>
      <c r="Q151" s="266" t="str">
        <f t="shared" si="80"/>
        <v>-</v>
      </c>
      <c r="R151" s="267" t="str">
        <f t="shared" si="81"/>
        <v>-</v>
      </c>
      <c r="S151" s="268" t="str">
        <f t="shared" si="82"/>
        <v>-</v>
      </c>
      <c r="T151" s="269" t="str">
        <f t="shared" si="13"/>
        <v/>
      </c>
      <c r="U151" s="221">
        <f t="shared" si="14"/>
        <v>51</v>
      </c>
      <c r="V151" s="220" t="str">
        <f t="shared" si="42"/>
        <v>-</v>
      </c>
      <c r="W151" s="221" t="str">
        <f t="shared" si="43"/>
        <v>-</v>
      </c>
      <c r="X151" s="221" t="str">
        <f t="shared" si="15"/>
        <v>-</v>
      </c>
      <c r="Y151" s="221" t="str">
        <f t="shared" si="16"/>
        <v>-</v>
      </c>
      <c r="Z151" s="270">
        <f t="shared" si="44"/>
        <v>0.1</v>
      </c>
      <c r="AA151" s="271" t="str">
        <f>IFERROR(IF(V150=1,AA$100*EXP(-(LN(2)/$D$65+0.04)*X150)*EXP(-(LN(2)/$D$65+0.1)*Y150),IF(V150=2,AA$100*EXP(-(LN(2)/$D$65+0.04)*(VLOOKUP(($F$16-$F$15)-1,U$99:Y150,4,FALSE)))*EXP(-(LN(2)/$D$65+0.1)*(VLOOKUP(($F$16-$F$15)-1,U$99:Y150,5,FALSE)))*EXP(-(LN(2)/$D$65+0.04)*X150)*EXP(-(LN(2)/$D$65+0.1)*Y150),IF(V150=3,AA$100*EXP(-(LN(2)/$D$65+0.04)*(VLOOKUP(($F$16-$F$15)-1,U$99:Y150,4,FALSE)))*EXP(-(LN(2)/$D$65+0.1)*(VLOOKUP(($F$16-$F$15)-1,U$99:Y150,5,FALSE)))*EXP(-(LN(2)/$D$65+0.04)*(VLOOKUP(($F$16-$F$15)*2-1,U$99:Y150,4,FALSE)))*EXP(-(LN(2)/$D$65+0.1)*(VLOOKUP(($F$16-$F$15)*2-1,U$99:Y150,5,FALSE)))*EXP(-(LN(2)/$D$65+0.04)*X150)*EXP(-(LN(2)/$D$65+0.1)*Y150),"-"))),"-")</f>
        <v>-</v>
      </c>
      <c r="AB151" s="271" t="str">
        <f>IFERROR(IF(V151=1,AB$100*EXP(-(LN(2)/$D$65+0.04)*X151)*EXP(-(LN(2)/$D$65+0.1)*Y151),IF(V151=2,AB$100*EXP(-(LN(2)/$D$65+0.04)*(VLOOKUP(($F$16-$F$15)-1,U$100:Y151,4,FALSE)))*EXP(-(LN(2)/$D$65+0.1)*(VLOOKUP(($F$16-$F$15)-1,U$100:Y151,5,FALSE)))*EXP(-(LN(2)/$D$65+0.04)*X151)*EXP(-(LN(2)/$D$65+0.1)*Y151),IF(V151=3,AB$100*EXP(-(LN(2)/$D$65+0.04)*(VLOOKUP(($F$16-$F$15)-1,U$100:Y151,4,FALSE)))*EXP(-(LN(2)/$D$65+0.1)*(VLOOKUP(($F$16-$F$15)-1,U$100:Y151,5,FALSE)))*EXP(-(LN(2)/$D$65+0.04)*(VLOOKUP(($F$16-$F$15)*2-1,U$100:Y151,4,FALSE)))*EXP(-(LN(2)/$D$65+0.1)*(VLOOKUP(($F$16-$F$15)*2-1,U$100:Y151,5,FALSE)))*EXP(-(LN(2)/$D$65+0.04)*X151)*EXP(-(LN(2)/$D$65+0.1)*Y151),"-"))),"-")</f>
        <v>-</v>
      </c>
      <c r="AC151" s="224">
        <f t="shared" si="45"/>
        <v>51</v>
      </c>
      <c r="AD151" s="223" t="str">
        <f t="shared" si="18"/>
        <v>-</v>
      </c>
      <c r="AE151" s="224" t="str">
        <f t="shared" si="46"/>
        <v>-</v>
      </c>
      <c r="AF151" s="224" t="str">
        <f t="shared" si="19"/>
        <v>-</v>
      </c>
      <c r="AG151" s="224" t="str">
        <f t="shared" si="20"/>
        <v>-</v>
      </c>
      <c r="AH151" s="272">
        <f t="shared" si="47"/>
        <v>0.1</v>
      </c>
      <c r="AI151" s="271" t="str">
        <f>IFERROR(IF(AD150=1,AI$100*EXP(-(LN(2)/$D$65+0.04)*AF150)*EXP(-(LN(2)/$D$65+0.1)*AG150),IF(AD150=2,AI$100*EXP(-(LN(2)/$D$65+0.04)*(VLOOKUP(($F$16-$F$15)-1,AC$99:AG150,4,FALSE)))*EXP(-(LN(2)/$D$65+0.1)*(VLOOKUP(($F$16-$F$15)-1,AC$99:AG150,5,FALSE)))*EXP(-(LN(2)/$D$65+0.04)*AF150)*EXP(-(LN(2)/$D$65+0.1)*AG150),IF(AD150=3,AI$100*EXP(-(LN(2)/$D$65+0.04)*(VLOOKUP(($F$16-$F$15)-1,AC$99:AG150,4,FALSE)))*EXP(-(LN(2)/$D$65+0.1)*(VLOOKUP(($F$16-$F$15)-1,AC$99:AG150,5,FALSE)))*EXP(-(LN(2)/$D$65+0.04)*(VLOOKUP(($F$16-$F$15)*2-1,AC$99:AG150,4,FALSE)))*EXP(-(LN(2)/$D$65+0.1)*(VLOOKUP(($F$16-$F$15)*2-1,AC$99:AG150,5,FALSE)))*EXP(-(LN(2)/$D$65+0.04)*AF150)*EXP(-(LN(2)/$D$65+0.1)*AG150),"-"))),"-")</f>
        <v>-</v>
      </c>
      <c r="AJ151" s="271" t="str">
        <f>IFERROR(IF(AD151=1,AJ$100*EXP(-(LN(2)/$D$65+0.04)*AF151)*EXP(-(LN(2)/$D$65+0.1)*AG151),IF(AD151=2,AJ$100*EXP(-(LN(2)/$D$65+0.04)*(VLOOKUP(($F$16-$F$15)-1,AC$100:AG151,4,FALSE)))*EXP(-(LN(2)/$D$65+0.1)*(VLOOKUP(($F$16-$F$15)-1,AC$100:AG151,5,FALSE)))*EXP(-(LN(2)/$D$65+0.04)*AF151)*EXP(-(LN(2)/$D$65+0.1)*AG151),IF(AD151=3,AJ$100*EXP(-(LN(2)/$D$65+0.04)*(VLOOKUP(($F$16-$F$15)-1,AC$100:AG151,4,FALSE)))*EXP(-(LN(2)/$D$65+0.1)*(VLOOKUP(($F$16-$F$15)-1,AC$100:AG151,5,FALSE)))*EXP(-(LN(2)/$D$65+0.04)*(VLOOKUP(($F$16-$F$15)*2-1,AC$100:AG151,4,FALSE)))*EXP(-(LN(2)/$D$65+0.1)*(VLOOKUP(($F$16-$F$15)*2-1,AC$100:AG151,5,FALSE)))*EXP(-(LN(2)/$D$65+0.04)*AF151)*EXP(-(LN(2)/$D$65+0.1)*AG151),"-"))),"-")</f>
        <v>-</v>
      </c>
      <c r="AK151" s="227">
        <f t="shared" si="49"/>
        <v>51</v>
      </c>
      <c r="AL151" s="226" t="str">
        <f t="shared" si="22"/>
        <v>-</v>
      </c>
      <c r="AM151" s="227" t="str">
        <f t="shared" si="50"/>
        <v>-</v>
      </c>
      <c r="AN151" s="227" t="str">
        <f t="shared" si="51"/>
        <v>-</v>
      </c>
      <c r="AO151" s="227" t="str">
        <f t="shared" si="23"/>
        <v>-</v>
      </c>
      <c r="AP151" s="273">
        <f t="shared" si="52"/>
        <v>0.1</v>
      </c>
      <c r="AQ151" s="271" t="str">
        <f>IFERROR(IF(AL150=1,AQ$100*EXP(-(LN(2)/$D$65+0.04)*AN150)*EXP(-(LN(2)/$D$65+0.1)*AO150),IF(AL150=2,AQ$100*EXP(-(LN(2)/$D$65+0.04)*(VLOOKUP(($F$16-$F$15)-1,AK$99:AO150,4,FALSE)))*EXP(-(LN(2)/$D$65+0.1)*(VLOOKUP(($F$16-$F$15)-1,AK$99:AO150,5,FALSE)))*EXP(-(LN(2)/$D$65+0.04)*AN150)*EXP(-(LN(2)/$D$65+0.1)*AO150),IF(AL150=3,AQ$100*EXP(-(LN(2)/$D$65+0.04)*(VLOOKUP(($F$16-$F$15)-1,AK$99:AO150,4,FALSE)))*EXP(-(LN(2)/$D$65+0.1)*(VLOOKUP(($F$16-$F$15)-1,AK$99:AO150,5,FALSE)))*EXP(-(LN(2)/$D$65+0.04)*(VLOOKUP(($F$16-$F$15)*2-1,AK$99:AO150,4,FALSE)))*EXP(-(LN(2)/$D$65+0.1)*(VLOOKUP(($F$16-$F$15)*2-1,AK$99:AO150,5,FALSE)))*EXP(-(LN(2)/$D$65+0.04)*AN150)*EXP(-(LN(2)/$D$65+0.1)*AO150),"-"))),"-")</f>
        <v>-</v>
      </c>
      <c r="AR151" s="271" t="str">
        <f>IFERROR(IF(AL151=1,AR$100*EXP(-(LN(2)/$D$65+0.04)*AN151)*EXP(-(LN(2)/$D$65+0.1)*AO151),IF(AL151=2,AR$100*EXP(-(LN(2)/$D$65+0.04)*(VLOOKUP(($F$16-$F$15)-1,AK$100:AO151,4,FALSE)))*EXP(-(LN(2)/$D$65+0.1)*(VLOOKUP(($F$16-$F$15)-1,AK$100:AO151,5,FALSE)))*EXP(-(LN(2)/$D$65+0.04)*AN151)*EXP(-(LN(2)/$D$65+0.1)*AO151),IF(AL151=3,AR$100*EXP(-(LN(2)/$D$65+0.04)*(VLOOKUP(($F$16-$F$15)-1,AK$100:AO151,4,FALSE)))*EXP(-(LN(2)/$D$65+0.1)*(VLOOKUP(($F$16-$F$15)-1,AK$100:AO151,5,FALSE)))*EXP(-(LN(2)/$D$65+0.04)*(VLOOKUP(($F$16-$F$15)*2-1,AK$100:AO151,4,FALSE)))*EXP(-(LN(2)/$D$65+0.1)*(VLOOKUP(($F$16-$F$15)*2-1,AK$100:AO151,5,FALSE)))*EXP(-(LN(2)/$D$65+0.04)*AN151)*EXP(-(LN(2)/$D$65+0.1)*AO151),"-"))),"-")</f>
        <v>-</v>
      </c>
      <c r="AS151" s="274">
        <f t="shared" si="24"/>
        <v>0</v>
      </c>
      <c r="AT151" s="274">
        <f t="shared" si="25"/>
        <v>0</v>
      </c>
      <c r="AU151" s="274">
        <f t="shared" si="26"/>
        <v>0</v>
      </c>
      <c r="AV151" s="190" t="str">
        <f>IF($B151&lt;$F$22,SUM($T$100:$T151),"")</f>
        <v/>
      </c>
      <c r="AW151" s="190" t="str">
        <f t="shared" si="83"/>
        <v>-</v>
      </c>
      <c r="AX151" s="190" t="str">
        <f t="shared" si="56"/>
        <v/>
      </c>
      <c r="AY151"/>
      <c r="AZ151" s="190" t="str">
        <f ca="1">IF(ISNUMBER(OFFSET(AV151,-$F$21,0)),SUM(OFFSET($T$100,$F$21,0):$T151),"")</f>
        <v/>
      </c>
      <c r="BA151" s="190" t="str">
        <f t="shared" ca="1" si="84"/>
        <v/>
      </c>
      <c r="BB151" s="190" t="str">
        <f t="shared" ca="1" si="70"/>
        <v/>
      </c>
      <c r="BC151" s="190"/>
      <c r="BD151" s="190" t="str">
        <f ca="1">IFERROR(IF(OR(ISNUMBER(I),ISNUMBER($F$14)),IF(AND($B151&gt;=($F$16-$F$15),$B151&lt;$F$22+($F$16-$F$15)),SUM(OFFSET($T$100,($F$16-$F$15),0):$T151),""),""),"")</f>
        <v/>
      </c>
      <c r="BE151" s="190" t="str">
        <f t="shared" ca="1" si="58"/>
        <v/>
      </c>
      <c r="BF151" s="190" t="str">
        <f t="shared" ca="1" si="59"/>
        <v/>
      </c>
      <c r="BG151"/>
      <c r="BH151" s="190" t="str">
        <f ca="1">IF(ISNUMBER(OFFSET(BD151,-$F$21,0)),SUM(OFFSET($T$100,($F$16-$F$15+$F$21),0):$T151),"")</f>
        <v/>
      </c>
      <c r="BI151" s="190" t="str">
        <f t="shared" ca="1" si="85"/>
        <v/>
      </c>
      <c r="BJ151" s="190" t="str">
        <f t="shared" ca="1" si="60"/>
        <v/>
      </c>
      <c r="BK151" s="190"/>
      <c r="BL151" s="190" t="str">
        <f ca="1">IFERROR(IF(OR(ISNUMBER(I),ISNUMBER($F$14)),IF(AND($B151&gt;=($F$17-$F$15),$B151&lt;$F$22+($F$17-$F$15)),SUM(OFFSET($T$100,($F$17-$F$15),0):$T151),""),""),"")</f>
        <v/>
      </c>
      <c r="BM151" s="190" t="str">
        <f t="shared" ca="1" si="86"/>
        <v/>
      </c>
      <c r="BN151" s="190" t="str">
        <f t="shared" ca="1" si="61"/>
        <v/>
      </c>
      <c r="BO151"/>
      <c r="BP151" s="190" t="str">
        <f ca="1">IF(ISNUMBER(OFFSET(BL151,-$F$21,0)),SUM(OFFSET($T$100,($F$17-$F$15+$F$21),0):$T151),"")</f>
        <v/>
      </c>
      <c r="BQ151" s="190" t="str">
        <f t="shared" ca="1" si="87"/>
        <v/>
      </c>
      <c r="BR151" s="190" t="str">
        <f t="shared" ca="1" si="63"/>
        <v/>
      </c>
      <c r="BS151" s="190"/>
      <c r="BT151"/>
      <c r="BU151"/>
      <c r="BV151"/>
      <c r="BY151" s="99"/>
      <c r="BZ151" s="99"/>
      <c r="CA151" s="280" t="str">
        <f t="shared" si="88"/>
        <v/>
      </c>
      <c r="CB151" s="71" t="str">
        <f t="shared" si="31"/>
        <v>-</v>
      </c>
      <c r="CC151" s="33"/>
      <c r="CD151" s="261" t="str">
        <f t="shared" si="33"/>
        <v/>
      </c>
      <c r="CE151" s="280" t="str">
        <f t="shared" si="89"/>
        <v/>
      </c>
      <c r="CF151" s="71" t="str">
        <f t="shared" ca="1" si="90"/>
        <v/>
      </c>
      <c r="CG151" s="33" t="str">
        <f t="shared" si="36"/>
        <v/>
      </c>
      <c r="CH151" s="261" t="str">
        <f t="shared" ca="1" si="37"/>
        <v/>
      </c>
      <c r="CI151" s="202"/>
      <c r="CJ151" s="99"/>
      <c r="CK151" s="99"/>
      <c r="CL151" s="99"/>
      <c r="CM151" s="99"/>
      <c r="CN151" s="99"/>
      <c r="CO151" s="99"/>
    </row>
    <row r="152" spans="2:93" ht="13.5" customHeight="1" x14ac:dyDescent="0.2">
      <c r="B152" s="262">
        <v>52</v>
      </c>
      <c r="C152" s="237" t="str">
        <f t="shared" si="1"/>
        <v/>
      </c>
      <c r="D152" s="237" t="str">
        <f t="shared" si="66"/>
        <v/>
      </c>
      <c r="E152" s="290" t="str">
        <f t="shared" si="38"/>
        <v/>
      </c>
      <c r="F152" s="264" t="str">
        <f t="shared" si="39"/>
        <v/>
      </c>
      <c r="G152" s="291" t="str">
        <f t="shared" si="40"/>
        <v/>
      </c>
      <c r="H152" s="240" t="str">
        <f t="shared" si="71"/>
        <v/>
      </c>
      <c r="I152" s="265" t="str">
        <f t="shared" si="72"/>
        <v/>
      </c>
      <c r="J152" s="265" t="str">
        <f t="shared" si="73"/>
        <v/>
      </c>
      <c r="K152" s="240" t="str">
        <f t="shared" si="74"/>
        <v/>
      </c>
      <c r="L152" s="265" t="str">
        <f t="shared" si="75"/>
        <v/>
      </c>
      <c r="M152" s="265" t="str">
        <f t="shared" si="76"/>
        <v/>
      </c>
      <c r="N152" s="240" t="str">
        <f t="shared" si="77"/>
        <v>-</v>
      </c>
      <c r="O152" s="265" t="str">
        <f t="shared" si="78"/>
        <v>-</v>
      </c>
      <c r="P152" s="265" t="str">
        <f t="shared" si="79"/>
        <v>-</v>
      </c>
      <c r="Q152" s="266" t="str">
        <f t="shared" si="80"/>
        <v>-</v>
      </c>
      <c r="R152" s="267" t="str">
        <f t="shared" si="81"/>
        <v>-</v>
      </c>
      <c r="S152" s="268" t="str">
        <f t="shared" si="82"/>
        <v>-</v>
      </c>
      <c r="T152" s="269" t="str">
        <f t="shared" si="13"/>
        <v/>
      </c>
      <c r="U152" s="221">
        <f t="shared" si="14"/>
        <v>52</v>
      </c>
      <c r="V152" s="220" t="str">
        <f t="shared" si="42"/>
        <v>-</v>
      </c>
      <c r="W152" s="221" t="str">
        <f t="shared" si="43"/>
        <v>-</v>
      </c>
      <c r="X152" s="221" t="str">
        <f t="shared" si="15"/>
        <v>-</v>
      </c>
      <c r="Y152" s="221" t="str">
        <f t="shared" si="16"/>
        <v>-</v>
      </c>
      <c r="Z152" s="270">
        <f t="shared" si="44"/>
        <v>0.1</v>
      </c>
      <c r="AA152" s="271" t="str">
        <f>IFERROR(IF(V151=1,AA$100*EXP(-(LN(2)/$D$65+0.04)*X151)*EXP(-(LN(2)/$D$65+0.1)*Y151),IF(V151=2,AA$100*EXP(-(LN(2)/$D$65+0.04)*(VLOOKUP(($F$16-$F$15)-1,U$99:Y151,4,FALSE)))*EXP(-(LN(2)/$D$65+0.1)*(VLOOKUP(($F$16-$F$15)-1,U$99:Y151,5,FALSE)))*EXP(-(LN(2)/$D$65+0.04)*X151)*EXP(-(LN(2)/$D$65+0.1)*Y151),IF(V151=3,AA$100*EXP(-(LN(2)/$D$65+0.04)*(VLOOKUP(($F$16-$F$15)-1,U$99:Y151,4,FALSE)))*EXP(-(LN(2)/$D$65+0.1)*(VLOOKUP(($F$16-$F$15)-1,U$99:Y151,5,FALSE)))*EXP(-(LN(2)/$D$65+0.04)*(VLOOKUP(($F$16-$F$15)*2-1,U$99:Y151,4,FALSE)))*EXP(-(LN(2)/$D$65+0.1)*(VLOOKUP(($F$16-$F$15)*2-1,U$99:Y151,5,FALSE)))*EXP(-(LN(2)/$D$65+0.04)*X151)*EXP(-(LN(2)/$D$65+0.1)*Y151),"-"))),"-")</f>
        <v>-</v>
      </c>
      <c r="AB152" s="271" t="str">
        <f>IFERROR(IF(V152=1,AB$100*EXP(-(LN(2)/$D$65+0.04)*X152)*EXP(-(LN(2)/$D$65+0.1)*Y152),IF(V152=2,AB$100*EXP(-(LN(2)/$D$65+0.04)*(VLOOKUP(($F$16-$F$15)-1,U$100:Y152,4,FALSE)))*EXP(-(LN(2)/$D$65+0.1)*(VLOOKUP(($F$16-$F$15)-1,U$100:Y152,5,FALSE)))*EXP(-(LN(2)/$D$65+0.04)*X152)*EXP(-(LN(2)/$D$65+0.1)*Y152),IF(V152=3,AB$100*EXP(-(LN(2)/$D$65+0.04)*(VLOOKUP(($F$16-$F$15)-1,U$100:Y152,4,FALSE)))*EXP(-(LN(2)/$D$65+0.1)*(VLOOKUP(($F$16-$F$15)-1,U$100:Y152,5,FALSE)))*EXP(-(LN(2)/$D$65+0.04)*(VLOOKUP(($F$16-$F$15)*2-1,U$100:Y152,4,FALSE)))*EXP(-(LN(2)/$D$65+0.1)*(VLOOKUP(($F$16-$F$15)*2-1,U$100:Y152,5,FALSE)))*EXP(-(LN(2)/$D$65+0.04)*X152)*EXP(-(LN(2)/$D$65+0.1)*Y152),"-"))),"-")</f>
        <v>-</v>
      </c>
      <c r="AC152" s="224">
        <f t="shared" si="45"/>
        <v>52</v>
      </c>
      <c r="AD152" s="223" t="str">
        <f t="shared" si="18"/>
        <v>-</v>
      </c>
      <c r="AE152" s="224" t="str">
        <f t="shared" si="46"/>
        <v>-</v>
      </c>
      <c r="AF152" s="224" t="str">
        <f t="shared" si="19"/>
        <v>-</v>
      </c>
      <c r="AG152" s="224" t="str">
        <f t="shared" si="20"/>
        <v>-</v>
      </c>
      <c r="AH152" s="272">
        <f t="shared" si="47"/>
        <v>0.1</v>
      </c>
      <c r="AI152" s="271" t="str">
        <f>IFERROR(IF(AD151=1,AI$100*EXP(-(LN(2)/$D$65+0.04)*AF151)*EXP(-(LN(2)/$D$65+0.1)*AG151),IF(AD151=2,AI$100*EXP(-(LN(2)/$D$65+0.04)*(VLOOKUP(($F$16-$F$15)-1,AC$99:AG151,4,FALSE)))*EXP(-(LN(2)/$D$65+0.1)*(VLOOKUP(($F$16-$F$15)-1,AC$99:AG151,5,FALSE)))*EXP(-(LN(2)/$D$65+0.04)*AF151)*EXP(-(LN(2)/$D$65+0.1)*AG151),IF(AD151=3,AI$100*EXP(-(LN(2)/$D$65+0.04)*(VLOOKUP(($F$16-$F$15)-1,AC$99:AG151,4,FALSE)))*EXP(-(LN(2)/$D$65+0.1)*(VLOOKUP(($F$16-$F$15)-1,AC$99:AG151,5,FALSE)))*EXP(-(LN(2)/$D$65+0.04)*(VLOOKUP(($F$16-$F$15)*2-1,AC$99:AG151,4,FALSE)))*EXP(-(LN(2)/$D$65+0.1)*(VLOOKUP(($F$16-$F$15)*2-1,AC$99:AG151,5,FALSE)))*EXP(-(LN(2)/$D$65+0.04)*AF151)*EXP(-(LN(2)/$D$65+0.1)*AG151),"-"))),"-")</f>
        <v>-</v>
      </c>
      <c r="AJ152" s="271" t="str">
        <f>IFERROR(IF(AD152=1,AJ$100*EXP(-(LN(2)/$D$65+0.04)*AF152)*EXP(-(LN(2)/$D$65+0.1)*AG152),IF(AD152=2,AJ$100*EXP(-(LN(2)/$D$65+0.04)*(VLOOKUP(($F$16-$F$15)-1,AC$100:AG152,4,FALSE)))*EXP(-(LN(2)/$D$65+0.1)*(VLOOKUP(($F$16-$F$15)-1,AC$100:AG152,5,FALSE)))*EXP(-(LN(2)/$D$65+0.04)*AF152)*EXP(-(LN(2)/$D$65+0.1)*AG152),IF(AD152=3,AJ$100*EXP(-(LN(2)/$D$65+0.04)*(VLOOKUP(($F$16-$F$15)-1,AC$100:AG152,4,FALSE)))*EXP(-(LN(2)/$D$65+0.1)*(VLOOKUP(($F$16-$F$15)-1,AC$100:AG152,5,FALSE)))*EXP(-(LN(2)/$D$65+0.04)*(VLOOKUP(($F$16-$F$15)*2-1,AC$100:AG152,4,FALSE)))*EXP(-(LN(2)/$D$65+0.1)*(VLOOKUP(($F$16-$F$15)*2-1,AC$100:AG152,5,FALSE)))*EXP(-(LN(2)/$D$65+0.04)*AF152)*EXP(-(LN(2)/$D$65+0.1)*AG152),"-"))),"-")</f>
        <v>-</v>
      </c>
      <c r="AK152" s="227">
        <f t="shared" si="49"/>
        <v>52</v>
      </c>
      <c r="AL152" s="226" t="str">
        <f t="shared" si="22"/>
        <v>-</v>
      </c>
      <c r="AM152" s="227" t="str">
        <f t="shared" si="50"/>
        <v>-</v>
      </c>
      <c r="AN152" s="227" t="str">
        <f t="shared" si="51"/>
        <v>-</v>
      </c>
      <c r="AO152" s="227" t="str">
        <f t="shared" si="23"/>
        <v>-</v>
      </c>
      <c r="AP152" s="273">
        <f t="shared" si="52"/>
        <v>0.1</v>
      </c>
      <c r="AQ152" s="271" t="str">
        <f>IFERROR(IF(AL151=1,AQ$100*EXP(-(LN(2)/$D$65+0.04)*AN151)*EXP(-(LN(2)/$D$65+0.1)*AO151),IF(AL151=2,AQ$100*EXP(-(LN(2)/$D$65+0.04)*(VLOOKUP(($F$16-$F$15)-1,AK$99:AO151,4,FALSE)))*EXP(-(LN(2)/$D$65+0.1)*(VLOOKUP(($F$16-$F$15)-1,AK$99:AO151,5,FALSE)))*EXP(-(LN(2)/$D$65+0.04)*AN151)*EXP(-(LN(2)/$D$65+0.1)*AO151),IF(AL151=3,AQ$100*EXP(-(LN(2)/$D$65+0.04)*(VLOOKUP(($F$16-$F$15)-1,AK$99:AO151,4,FALSE)))*EXP(-(LN(2)/$D$65+0.1)*(VLOOKUP(($F$16-$F$15)-1,AK$99:AO151,5,FALSE)))*EXP(-(LN(2)/$D$65+0.04)*(VLOOKUP(($F$16-$F$15)*2-1,AK$99:AO151,4,FALSE)))*EXP(-(LN(2)/$D$65+0.1)*(VLOOKUP(($F$16-$F$15)*2-1,AK$99:AO151,5,FALSE)))*EXP(-(LN(2)/$D$65+0.04)*AN151)*EXP(-(LN(2)/$D$65+0.1)*AO151),"-"))),"-")</f>
        <v>-</v>
      </c>
      <c r="AR152" s="271" t="str">
        <f>IFERROR(IF(AL152=1,AR$100*EXP(-(LN(2)/$D$65+0.04)*AN152)*EXP(-(LN(2)/$D$65+0.1)*AO152),IF(AL152=2,AR$100*EXP(-(LN(2)/$D$65+0.04)*(VLOOKUP(($F$16-$F$15)-1,AK$100:AO152,4,FALSE)))*EXP(-(LN(2)/$D$65+0.1)*(VLOOKUP(($F$16-$F$15)-1,AK$100:AO152,5,FALSE)))*EXP(-(LN(2)/$D$65+0.04)*AN152)*EXP(-(LN(2)/$D$65+0.1)*AO152),IF(AL152=3,AR$100*EXP(-(LN(2)/$D$65+0.04)*(VLOOKUP(($F$16-$F$15)-1,AK$100:AO152,4,FALSE)))*EXP(-(LN(2)/$D$65+0.1)*(VLOOKUP(($F$16-$F$15)-1,AK$100:AO152,5,FALSE)))*EXP(-(LN(2)/$D$65+0.04)*(VLOOKUP(($F$16-$F$15)*2-1,AK$100:AO152,4,FALSE)))*EXP(-(LN(2)/$D$65+0.1)*(VLOOKUP(($F$16-$F$15)*2-1,AK$100:AO152,5,FALSE)))*EXP(-(LN(2)/$D$65+0.04)*AN152)*EXP(-(LN(2)/$D$65+0.1)*AO152),"-"))),"-")</f>
        <v>-</v>
      </c>
      <c r="AS152" s="274">
        <f t="shared" si="24"/>
        <v>0</v>
      </c>
      <c r="AT152" s="274">
        <f t="shared" si="25"/>
        <v>0</v>
      </c>
      <c r="AU152" s="274">
        <f t="shared" si="26"/>
        <v>0</v>
      </c>
      <c r="AV152" s="190" t="str">
        <f>IF($B152&lt;$F$22,SUM($T$100:$T152),"")</f>
        <v/>
      </c>
      <c r="AW152" s="190" t="str">
        <f t="shared" si="83"/>
        <v>-</v>
      </c>
      <c r="AX152" s="190" t="str">
        <f t="shared" si="56"/>
        <v/>
      </c>
      <c r="AY152"/>
      <c r="AZ152" s="190" t="str">
        <f ca="1">IF(ISNUMBER(OFFSET(AV152,-$F$21,0)),SUM(OFFSET($T$100,$F$21,0):$T152),"")</f>
        <v/>
      </c>
      <c r="BA152" s="190" t="str">
        <f t="shared" ca="1" si="84"/>
        <v/>
      </c>
      <c r="BB152" s="190" t="str">
        <f t="shared" ca="1" si="70"/>
        <v/>
      </c>
      <c r="BC152" s="190"/>
      <c r="BD152" s="190" t="str">
        <f ca="1">IFERROR(IF(OR(ISNUMBER(I),ISNUMBER($F$14)),IF(AND($B152&gt;=($F$16-$F$15),$B152&lt;$F$22+($F$16-$F$15)),SUM(OFFSET($T$100,($F$16-$F$15),0):$T152),""),""),"")</f>
        <v/>
      </c>
      <c r="BE152" s="190" t="str">
        <f t="shared" ca="1" si="58"/>
        <v/>
      </c>
      <c r="BF152" s="190" t="str">
        <f t="shared" ca="1" si="59"/>
        <v/>
      </c>
      <c r="BG152"/>
      <c r="BH152" s="190" t="str">
        <f ca="1">IF(ISNUMBER(OFFSET(BD152,-$F$21,0)),SUM(OFFSET($T$100,($F$16-$F$15+$F$21),0):$T152),"")</f>
        <v/>
      </c>
      <c r="BI152" s="190" t="str">
        <f t="shared" ca="1" si="85"/>
        <v/>
      </c>
      <c r="BJ152" s="190" t="str">
        <f t="shared" ca="1" si="60"/>
        <v/>
      </c>
      <c r="BK152" s="190"/>
      <c r="BL152" s="190" t="str">
        <f ca="1">IFERROR(IF(OR(ISNUMBER(I),ISNUMBER($F$14)),IF(AND($B152&gt;=($F$17-$F$15),$B152&lt;$F$22+($F$17-$F$15)),SUM(OFFSET($T$100,($F$17-$F$15),0):$T152),""),""),"")</f>
        <v/>
      </c>
      <c r="BM152" s="190" t="str">
        <f t="shared" ca="1" si="86"/>
        <v/>
      </c>
      <c r="BN152" s="190" t="str">
        <f t="shared" ca="1" si="61"/>
        <v/>
      </c>
      <c r="BO152"/>
      <c r="BP152" s="190" t="str">
        <f ca="1">IF(ISNUMBER(OFFSET(BL152,-$F$21,0)),SUM(OFFSET($T$100,($F$17-$F$15+$F$21),0):$T152),"")</f>
        <v/>
      </c>
      <c r="BQ152" s="190" t="str">
        <f t="shared" ca="1" si="87"/>
        <v/>
      </c>
      <c r="BR152" s="190" t="str">
        <f t="shared" ca="1" si="63"/>
        <v/>
      </c>
      <c r="BS152" s="190"/>
      <c r="BT152"/>
      <c r="BU152"/>
      <c r="BV152"/>
      <c r="BY152" s="99"/>
      <c r="BZ152" s="99"/>
      <c r="CA152" s="280" t="str">
        <f t="shared" si="88"/>
        <v/>
      </c>
      <c r="CB152" s="71" t="str">
        <f t="shared" si="31"/>
        <v>-</v>
      </c>
      <c r="CC152" s="33"/>
      <c r="CD152" s="261" t="str">
        <f t="shared" si="33"/>
        <v/>
      </c>
      <c r="CE152" s="280" t="str">
        <f t="shared" si="89"/>
        <v/>
      </c>
      <c r="CF152" s="71" t="str">
        <f t="shared" ca="1" si="90"/>
        <v/>
      </c>
      <c r="CG152" s="33" t="str">
        <f t="shared" si="36"/>
        <v/>
      </c>
      <c r="CH152" s="261" t="str">
        <f t="shared" ca="1" si="37"/>
        <v/>
      </c>
      <c r="CI152" s="202"/>
      <c r="CJ152" s="99"/>
      <c r="CK152" s="99"/>
      <c r="CL152" s="99"/>
      <c r="CM152" s="99"/>
      <c r="CN152" s="99"/>
      <c r="CO152" s="99"/>
    </row>
    <row r="153" spans="2:93" ht="13.5" customHeight="1" x14ac:dyDescent="0.2">
      <c r="B153" s="262">
        <v>53</v>
      </c>
      <c r="C153" s="237" t="str">
        <f t="shared" si="1"/>
        <v/>
      </c>
      <c r="D153" s="237" t="str">
        <f t="shared" si="66"/>
        <v/>
      </c>
      <c r="E153" s="290" t="str">
        <f t="shared" si="38"/>
        <v/>
      </c>
      <c r="F153" s="264" t="str">
        <f t="shared" si="39"/>
        <v/>
      </c>
      <c r="G153" s="291" t="str">
        <f t="shared" si="40"/>
        <v/>
      </c>
      <c r="H153" s="240" t="str">
        <f t="shared" si="71"/>
        <v/>
      </c>
      <c r="I153" s="265" t="str">
        <f t="shared" si="72"/>
        <v/>
      </c>
      <c r="J153" s="265" t="str">
        <f t="shared" si="73"/>
        <v/>
      </c>
      <c r="K153" s="240" t="str">
        <f t="shared" si="74"/>
        <v/>
      </c>
      <c r="L153" s="265" t="str">
        <f t="shared" si="75"/>
        <v/>
      </c>
      <c r="M153" s="265" t="str">
        <f t="shared" si="76"/>
        <v/>
      </c>
      <c r="N153" s="240" t="str">
        <f t="shared" si="77"/>
        <v>-</v>
      </c>
      <c r="O153" s="265" t="str">
        <f t="shared" si="78"/>
        <v>-</v>
      </c>
      <c r="P153" s="265" t="str">
        <f t="shared" si="79"/>
        <v>-</v>
      </c>
      <c r="Q153" s="266" t="str">
        <f t="shared" si="80"/>
        <v>-</v>
      </c>
      <c r="R153" s="267" t="str">
        <f t="shared" si="81"/>
        <v>-</v>
      </c>
      <c r="S153" s="268" t="str">
        <f t="shared" si="82"/>
        <v>-</v>
      </c>
      <c r="T153" s="269" t="str">
        <f t="shared" si="13"/>
        <v/>
      </c>
      <c r="U153" s="221">
        <f t="shared" si="14"/>
        <v>53</v>
      </c>
      <c r="V153" s="220" t="str">
        <f t="shared" si="42"/>
        <v>-</v>
      </c>
      <c r="W153" s="221" t="str">
        <f t="shared" si="43"/>
        <v>-</v>
      </c>
      <c r="X153" s="221" t="str">
        <f t="shared" si="15"/>
        <v>-</v>
      </c>
      <c r="Y153" s="221" t="str">
        <f t="shared" si="16"/>
        <v>-</v>
      </c>
      <c r="Z153" s="270">
        <f t="shared" si="44"/>
        <v>0.1</v>
      </c>
      <c r="AA153" s="271" t="str">
        <f>IFERROR(IF(V152=1,AA$100*EXP(-(LN(2)/$D$65+0.04)*X152)*EXP(-(LN(2)/$D$65+0.1)*Y152),IF(V152=2,AA$100*EXP(-(LN(2)/$D$65+0.04)*(VLOOKUP(($F$16-$F$15)-1,U$99:Y152,4,FALSE)))*EXP(-(LN(2)/$D$65+0.1)*(VLOOKUP(($F$16-$F$15)-1,U$99:Y152,5,FALSE)))*EXP(-(LN(2)/$D$65+0.04)*X152)*EXP(-(LN(2)/$D$65+0.1)*Y152),IF(V152=3,AA$100*EXP(-(LN(2)/$D$65+0.04)*(VLOOKUP(($F$16-$F$15)-1,U$99:Y152,4,FALSE)))*EXP(-(LN(2)/$D$65+0.1)*(VLOOKUP(($F$16-$F$15)-1,U$99:Y152,5,FALSE)))*EXP(-(LN(2)/$D$65+0.04)*(VLOOKUP(($F$16-$F$15)*2-1,U$99:Y152,4,FALSE)))*EXP(-(LN(2)/$D$65+0.1)*(VLOOKUP(($F$16-$F$15)*2-1,U$99:Y152,5,FALSE)))*EXP(-(LN(2)/$D$65+0.04)*X152)*EXP(-(LN(2)/$D$65+0.1)*Y152),"-"))),"-")</f>
        <v>-</v>
      </c>
      <c r="AB153" s="271" t="str">
        <f>IFERROR(IF(V153=1,AB$100*EXP(-(LN(2)/$D$65+0.04)*X153)*EXP(-(LN(2)/$D$65+0.1)*Y153),IF(V153=2,AB$100*EXP(-(LN(2)/$D$65+0.04)*(VLOOKUP(($F$16-$F$15)-1,U$100:Y153,4,FALSE)))*EXP(-(LN(2)/$D$65+0.1)*(VLOOKUP(($F$16-$F$15)-1,U$100:Y153,5,FALSE)))*EXP(-(LN(2)/$D$65+0.04)*X153)*EXP(-(LN(2)/$D$65+0.1)*Y153),IF(V153=3,AB$100*EXP(-(LN(2)/$D$65+0.04)*(VLOOKUP(($F$16-$F$15)-1,U$100:Y153,4,FALSE)))*EXP(-(LN(2)/$D$65+0.1)*(VLOOKUP(($F$16-$F$15)-1,U$100:Y153,5,FALSE)))*EXP(-(LN(2)/$D$65+0.04)*(VLOOKUP(($F$16-$F$15)*2-1,U$100:Y153,4,FALSE)))*EXP(-(LN(2)/$D$65+0.1)*(VLOOKUP(($F$16-$F$15)*2-1,U$100:Y153,5,FALSE)))*EXP(-(LN(2)/$D$65+0.04)*X153)*EXP(-(LN(2)/$D$65+0.1)*Y153),"-"))),"-")</f>
        <v>-</v>
      </c>
      <c r="AC153" s="224">
        <f t="shared" si="45"/>
        <v>53</v>
      </c>
      <c r="AD153" s="223" t="str">
        <f t="shared" si="18"/>
        <v>-</v>
      </c>
      <c r="AE153" s="224" t="str">
        <f t="shared" si="46"/>
        <v>-</v>
      </c>
      <c r="AF153" s="224" t="str">
        <f t="shared" si="19"/>
        <v>-</v>
      </c>
      <c r="AG153" s="224" t="str">
        <f t="shared" si="20"/>
        <v>-</v>
      </c>
      <c r="AH153" s="272">
        <f t="shared" si="47"/>
        <v>0.1</v>
      </c>
      <c r="AI153" s="271" t="str">
        <f>IFERROR(IF(AD152=1,AI$100*EXP(-(LN(2)/$D$65+0.04)*AF152)*EXP(-(LN(2)/$D$65+0.1)*AG152),IF(AD152=2,AI$100*EXP(-(LN(2)/$D$65+0.04)*(VLOOKUP(($F$16-$F$15)-1,AC$99:AG152,4,FALSE)))*EXP(-(LN(2)/$D$65+0.1)*(VLOOKUP(($F$16-$F$15)-1,AC$99:AG152,5,FALSE)))*EXP(-(LN(2)/$D$65+0.04)*AF152)*EXP(-(LN(2)/$D$65+0.1)*AG152),IF(AD152=3,AI$100*EXP(-(LN(2)/$D$65+0.04)*(VLOOKUP(($F$16-$F$15)-1,AC$99:AG152,4,FALSE)))*EXP(-(LN(2)/$D$65+0.1)*(VLOOKUP(($F$16-$F$15)-1,AC$99:AG152,5,FALSE)))*EXP(-(LN(2)/$D$65+0.04)*(VLOOKUP(($F$16-$F$15)*2-1,AC$99:AG152,4,FALSE)))*EXP(-(LN(2)/$D$65+0.1)*(VLOOKUP(($F$16-$F$15)*2-1,AC$99:AG152,5,FALSE)))*EXP(-(LN(2)/$D$65+0.04)*AF152)*EXP(-(LN(2)/$D$65+0.1)*AG152),"-"))),"-")</f>
        <v>-</v>
      </c>
      <c r="AJ153" s="271" t="str">
        <f>IFERROR(IF(AD153=1,AJ$100*EXP(-(LN(2)/$D$65+0.04)*AF153)*EXP(-(LN(2)/$D$65+0.1)*AG153),IF(AD153=2,AJ$100*EXP(-(LN(2)/$D$65+0.04)*(VLOOKUP(($F$16-$F$15)-1,AC$100:AG153,4,FALSE)))*EXP(-(LN(2)/$D$65+0.1)*(VLOOKUP(($F$16-$F$15)-1,AC$100:AG153,5,FALSE)))*EXP(-(LN(2)/$D$65+0.04)*AF153)*EXP(-(LN(2)/$D$65+0.1)*AG153),IF(AD153=3,AJ$100*EXP(-(LN(2)/$D$65+0.04)*(VLOOKUP(($F$16-$F$15)-1,AC$100:AG153,4,FALSE)))*EXP(-(LN(2)/$D$65+0.1)*(VLOOKUP(($F$16-$F$15)-1,AC$100:AG153,5,FALSE)))*EXP(-(LN(2)/$D$65+0.04)*(VLOOKUP(($F$16-$F$15)*2-1,AC$100:AG153,4,FALSE)))*EXP(-(LN(2)/$D$65+0.1)*(VLOOKUP(($F$16-$F$15)*2-1,AC$100:AG153,5,FALSE)))*EXP(-(LN(2)/$D$65+0.04)*AF153)*EXP(-(LN(2)/$D$65+0.1)*AG153),"-"))),"-")</f>
        <v>-</v>
      </c>
      <c r="AK153" s="227">
        <f t="shared" si="49"/>
        <v>53</v>
      </c>
      <c r="AL153" s="226" t="str">
        <f t="shared" si="22"/>
        <v>-</v>
      </c>
      <c r="AM153" s="227" t="str">
        <f t="shared" si="50"/>
        <v>-</v>
      </c>
      <c r="AN153" s="227" t="str">
        <f t="shared" si="51"/>
        <v>-</v>
      </c>
      <c r="AO153" s="227" t="str">
        <f t="shared" si="23"/>
        <v>-</v>
      </c>
      <c r="AP153" s="273">
        <f t="shared" si="52"/>
        <v>0.1</v>
      </c>
      <c r="AQ153" s="271" t="str">
        <f>IFERROR(IF(AL152=1,AQ$100*EXP(-(LN(2)/$D$65+0.04)*AN152)*EXP(-(LN(2)/$D$65+0.1)*AO152),IF(AL152=2,AQ$100*EXP(-(LN(2)/$D$65+0.04)*(VLOOKUP(($F$16-$F$15)-1,AK$99:AO152,4,FALSE)))*EXP(-(LN(2)/$D$65+0.1)*(VLOOKUP(($F$16-$F$15)-1,AK$99:AO152,5,FALSE)))*EXP(-(LN(2)/$D$65+0.04)*AN152)*EXP(-(LN(2)/$D$65+0.1)*AO152),IF(AL152=3,AQ$100*EXP(-(LN(2)/$D$65+0.04)*(VLOOKUP(($F$16-$F$15)-1,AK$99:AO152,4,FALSE)))*EXP(-(LN(2)/$D$65+0.1)*(VLOOKUP(($F$16-$F$15)-1,AK$99:AO152,5,FALSE)))*EXP(-(LN(2)/$D$65+0.04)*(VLOOKUP(($F$16-$F$15)*2-1,AK$99:AO152,4,FALSE)))*EXP(-(LN(2)/$D$65+0.1)*(VLOOKUP(($F$16-$F$15)*2-1,AK$99:AO152,5,FALSE)))*EXP(-(LN(2)/$D$65+0.04)*AN152)*EXP(-(LN(2)/$D$65+0.1)*AO152),"-"))),"-")</f>
        <v>-</v>
      </c>
      <c r="AR153" s="271" t="str">
        <f>IFERROR(IF(AL153=1,AR$100*EXP(-(LN(2)/$D$65+0.04)*AN153)*EXP(-(LN(2)/$D$65+0.1)*AO153),IF(AL153=2,AR$100*EXP(-(LN(2)/$D$65+0.04)*(VLOOKUP(($F$16-$F$15)-1,AK$100:AO153,4,FALSE)))*EXP(-(LN(2)/$D$65+0.1)*(VLOOKUP(($F$16-$F$15)-1,AK$100:AO153,5,FALSE)))*EXP(-(LN(2)/$D$65+0.04)*AN153)*EXP(-(LN(2)/$D$65+0.1)*AO153),IF(AL153=3,AR$100*EXP(-(LN(2)/$D$65+0.04)*(VLOOKUP(($F$16-$F$15)-1,AK$100:AO153,4,FALSE)))*EXP(-(LN(2)/$D$65+0.1)*(VLOOKUP(($F$16-$F$15)-1,AK$100:AO153,5,FALSE)))*EXP(-(LN(2)/$D$65+0.04)*(VLOOKUP(($F$16-$F$15)*2-1,AK$100:AO153,4,FALSE)))*EXP(-(LN(2)/$D$65+0.1)*(VLOOKUP(($F$16-$F$15)*2-1,AK$100:AO153,5,FALSE)))*EXP(-(LN(2)/$D$65+0.04)*AN153)*EXP(-(LN(2)/$D$65+0.1)*AO153),"-"))),"-")</f>
        <v>-</v>
      </c>
      <c r="AS153" s="274">
        <f t="shared" si="24"/>
        <v>0</v>
      </c>
      <c r="AT153" s="274">
        <f t="shared" si="25"/>
        <v>0</v>
      </c>
      <c r="AU153" s="274">
        <f t="shared" si="26"/>
        <v>0</v>
      </c>
      <c r="AV153" s="190" t="str">
        <f>IF($B153&lt;$F$22,SUM($T$100:$T153),"")</f>
        <v/>
      </c>
      <c r="AW153" s="190" t="str">
        <f t="shared" si="83"/>
        <v>-</v>
      </c>
      <c r="AX153" s="190" t="str">
        <f t="shared" si="56"/>
        <v/>
      </c>
      <c r="AY153"/>
      <c r="AZ153" s="190" t="str">
        <f ca="1">IF(ISNUMBER(OFFSET(AV153,-$F$21,0)),SUM(OFFSET($T$100,$F$21,0):$T153),"")</f>
        <v/>
      </c>
      <c r="BA153" s="190" t="str">
        <f t="shared" ca="1" si="84"/>
        <v/>
      </c>
      <c r="BB153" s="190" t="str">
        <f t="shared" ca="1" si="70"/>
        <v/>
      </c>
      <c r="BC153" s="190"/>
      <c r="BD153" s="190" t="str">
        <f ca="1">IFERROR(IF(OR(ISNUMBER(I),ISNUMBER($F$14)),IF(AND($B153&gt;=($F$16-$F$15),$B153&lt;$F$22+($F$16-$F$15)),SUM(OFFSET($T$100,($F$16-$F$15),0):$T153),""),""),"")</f>
        <v/>
      </c>
      <c r="BE153" s="190" t="str">
        <f t="shared" ca="1" si="58"/>
        <v/>
      </c>
      <c r="BF153" s="190" t="str">
        <f t="shared" ca="1" si="59"/>
        <v/>
      </c>
      <c r="BG153"/>
      <c r="BH153" s="190" t="str">
        <f ca="1">IF(ISNUMBER(OFFSET(BD153,-$F$21,0)),SUM(OFFSET($T$100,($F$16-$F$15+$F$21),0):$T153),"")</f>
        <v/>
      </c>
      <c r="BI153" s="190" t="str">
        <f t="shared" ca="1" si="85"/>
        <v/>
      </c>
      <c r="BJ153" s="190" t="str">
        <f t="shared" ca="1" si="60"/>
        <v/>
      </c>
      <c r="BK153" s="190"/>
      <c r="BL153" s="190" t="str">
        <f ca="1">IFERROR(IF(OR(ISNUMBER(I),ISNUMBER($F$14)),IF(AND($B153&gt;=($F$17-$F$15),$B153&lt;$F$22+($F$17-$F$15)),SUM(OFFSET($T$100,($F$17-$F$15),0):$T153),""),""),"")</f>
        <v/>
      </c>
      <c r="BM153" s="190" t="str">
        <f t="shared" ca="1" si="86"/>
        <v/>
      </c>
      <c r="BN153" s="190" t="str">
        <f t="shared" ca="1" si="61"/>
        <v/>
      </c>
      <c r="BO153"/>
      <c r="BP153" s="190" t="str">
        <f ca="1">IF(ISNUMBER(OFFSET(BL153,-$F$21,0)),SUM(OFFSET($T$100,($F$17-$F$15+$F$21),0):$T153),"")</f>
        <v/>
      </c>
      <c r="BQ153" s="190" t="str">
        <f t="shared" ca="1" si="87"/>
        <v/>
      </c>
      <c r="BR153" s="190" t="str">
        <f t="shared" ca="1" si="63"/>
        <v/>
      </c>
      <c r="BS153" s="190"/>
      <c r="BT153"/>
      <c r="BU153"/>
      <c r="BV153"/>
      <c r="BY153" s="99"/>
      <c r="BZ153" s="99"/>
      <c r="CA153" s="280" t="str">
        <f t="shared" si="88"/>
        <v/>
      </c>
      <c r="CB153" s="71" t="str">
        <f t="shared" si="31"/>
        <v>-</v>
      </c>
      <c r="CC153" s="33"/>
      <c r="CD153" s="261" t="str">
        <f t="shared" si="33"/>
        <v/>
      </c>
      <c r="CE153" s="280" t="str">
        <f t="shared" si="89"/>
        <v/>
      </c>
      <c r="CF153" s="71" t="str">
        <f t="shared" ca="1" si="90"/>
        <v/>
      </c>
      <c r="CG153" s="33" t="str">
        <f t="shared" si="36"/>
        <v/>
      </c>
      <c r="CH153" s="261" t="str">
        <f t="shared" ca="1" si="37"/>
        <v/>
      </c>
      <c r="CI153" s="202"/>
      <c r="CJ153" s="99"/>
      <c r="CK153" s="99"/>
      <c r="CL153" s="99"/>
      <c r="CM153" s="99"/>
      <c r="CN153" s="99"/>
      <c r="CO153" s="99"/>
    </row>
    <row r="154" spans="2:93" ht="13.5" customHeight="1" x14ac:dyDescent="0.2">
      <c r="B154" s="262">
        <v>54</v>
      </c>
      <c r="C154" s="237" t="str">
        <f t="shared" si="1"/>
        <v/>
      </c>
      <c r="D154" s="237" t="str">
        <f t="shared" si="66"/>
        <v/>
      </c>
      <c r="E154" s="290" t="str">
        <f t="shared" si="38"/>
        <v/>
      </c>
      <c r="F154" s="264" t="str">
        <f t="shared" si="39"/>
        <v/>
      </c>
      <c r="G154" s="291" t="str">
        <f t="shared" si="40"/>
        <v/>
      </c>
      <c r="H154" s="240" t="str">
        <f t="shared" si="71"/>
        <v/>
      </c>
      <c r="I154" s="265" t="str">
        <f t="shared" si="72"/>
        <v/>
      </c>
      <c r="J154" s="265" t="str">
        <f t="shared" si="73"/>
        <v/>
      </c>
      <c r="K154" s="240" t="str">
        <f t="shared" si="74"/>
        <v/>
      </c>
      <c r="L154" s="265" t="str">
        <f t="shared" si="75"/>
        <v/>
      </c>
      <c r="M154" s="265" t="str">
        <f t="shared" si="76"/>
        <v/>
      </c>
      <c r="N154" s="240" t="str">
        <f t="shared" si="77"/>
        <v>-</v>
      </c>
      <c r="O154" s="265" t="str">
        <f t="shared" si="78"/>
        <v>-</v>
      </c>
      <c r="P154" s="265" t="str">
        <f t="shared" si="79"/>
        <v>-</v>
      </c>
      <c r="Q154" s="266" t="str">
        <f t="shared" si="80"/>
        <v>-</v>
      </c>
      <c r="R154" s="267" t="str">
        <f t="shared" si="81"/>
        <v>-</v>
      </c>
      <c r="S154" s="268" t="str">
        <f t="shared" si="82"/>
        <v>-</v>
      </c>
      <c r="T154" s="269" t="str">
        <f t="shared" si="13"/>
        <v/>
      </c>
      <c r="U154" s="221">
        <f t="shared" si="14"/>
        <v>54</v>
      </c>
      <c r="V154" s="220" t="str">
        <f t="shared" si="42"/>
        <v>-</v>
      </c>
      <c r="W154" s="221" t="str">
        <f t="shared" si="43"/>
        <v>-</v>
      </c>
      <c r="X154" s="221" t="str">
        <f t="shared" si="15"/>
        <v>-</v>
      </c>
      <c r="Y154" s="221" t="str">
        <f t="shared" si="16"/>
        <v>-</v>
      </c>
      <c r="Z154" s="270">
        <f t="shared" si="44"/>
        <v>0.1</v>
      </c>
      <c r="AA154" s="271" t="str">
        <f>IFERROR(IF(V153=1,AA$100*EXP(-(LN(2)/$D$65+0.04)*X153)*EXP(-(LN(2)/$D$65+0.1)*Y153),IF(V153=2,AA$100*EXP(-(LN(2)/$D$65+0.04)*(VLOOKUP(($F$16-$F$15)-1,U$99:Y153,4,FALSE)))*EXP(-(LN(2)/$D$65+0.1)*(VLOOKUP(($F$16-$F$15)-1,U$99:Y153,5,FALSE)))*EXP(-(LN(2)/$D$65+0.04)*X153)*EXP(-(LN(2)/$D$65+0.1)*Y153),IF(V153=3,AA$100*EXP(-(LN(2)/$D$65+0.04)*(VLOOKUP(($F$16-$F$15)-1,U$99:Y153,4,FALSE)))*EXP(-(LN(2)/$D$65+0.1)*(VLOOKUP(($F$16-$F$15)-1,U$99:Y153,5,FALSE)))*EXP(-(LN(2)/$D$65+0.04)*(VLOOKUP(($F$16-$F$15)*2-1,U$99:Y153,4,FALSE)))*EXP(-(LN(2)/$D$65+0.1)*(VLOOKUP(($F$16-$F$15)*2-1,U$99:Y153,5,FALSE)))*EXP(-(LN(2)/$D$65+0.04)*X153)*EXP(-(LN(2)/$D$65+0.1)*Y153),"-"))),"-")</f>
        <v>-</v>
      </c>
      <c r="AB154" s="271" t="str">
        <f>IFERROR(IF(V154=1,AB$100*EXP(-(LN(2)/$D$65+0.04)*X154)*EXP(-(LN(2)/$D$65+0.1)*Y154),IF(V154=2,AB$100*EXP(-(LN(2)/$D$65+0.04)*(VLOOKUP(($F$16-$F$15)-1,U$100:Y154,4,FALSE)))*EXP(-(LN(2)/$D$65+0.1)*(VLOOKUP(($F$16-$F$15)-1,U$100:Y154,5,FALSE)))*EXP(-(LN(2)/$D$65+0.04)*X154)*EXP(-(LN(2)/$D$65+0.1)*Y154),IF(V154=3,AB$100*EXP(-(LN(2)/$D$65+0.04)*(VLOOKUP(($F$16-$F$15)-1,U$100:Y154,4,FALSE)))*EXP(-(LN(2)/$D$65+0.1)*(VLOOKUP(($F$16-$F$15)-1,U$100:Y154,5,FALSE)))*EXP(-(LN(2)/$D$65+0.04)*(VLOOKUP(($F$16-$F$15)*2-1,U$100:Y154,4,FALSE)))*EXP(-(LN(2)/$D$65+0.1)*(VLOOKUP(($F$16-$F$15)*2-1,U$100:Y154,5,FALSE)))*EXP(-(LN(2)/$D$65+0.04)*X154)*EXP(-(LN(2)/$D$65+0.1)*Y154),"-"))),"-")</f>
        <v>-</v>
      </c>
      <c r="AC154" s="224">
        <f t="shared" si="45"/>
        <v>54</v>
      </c>
      <c r="AD154" s="223" t="str">
        <f t="shared" si="18"/>
        <v>-</v>
      </c>
      <c r="AE154" s="224" t="str">
        <f t="shared" si="46"/>
        <v>-</v>
      </c>
      <c r="AF154" s="224" t="str">
        <f t="shared" si="19"/>
        <v>-</v>
      </c>
      <c r="AG154" s="224" t="str">
        <f t="shared" si="20"/>
        <v>-</v>
      </c>
      <c r="AH154" s="272">
        <f t="shared" si="47"/>
        <v>0.1</v>
      </c>
      <c r="AI154" s="271" t="str">
        <f>IFERROR(IF(AD153=1,AI$100*EXP(-(LN(2)/$D$65+0.04)*AF153)*EXP(-(LN(2)/$D$65+0.1)*AG153),IF(AD153=2,AI$100*EXP(-(LN(2)/$D$65+0.04)*(VLOOKUP(($F$16-$F$15)-1,AC$99:AG153,4,FALSE)))*EXP(-(LN(2)/$D$65+0.1)*(VLOOKUP(($F$16-$F$15)-1,AC$99:AG153,5,FALSE)))*EXP(-(LN(2)/$D$65+0.04)*AF153)*EXP(-(LN(2)/$D$65+0.1)*AG153),IF(AD153=3,AI$100*EXP(-(LN(2)/$D$65+0.04)*(VLOOKUP(($F$16-$F$15)-1,AC$99:AG153,4,FALSE)))*EXP(-(LN(2)/$D$65+0.1)*(VLOOKUP(($F$16-$F$15)-1,AC$99:AG153,5,FALSE)))*EXP(-(LN(2)/$D$65+0.04)*(VLOOKUP(($F$16-$F$15)*2-1,AC$99:AG153,4,FALSE)))*EXP(-(LN(2)/$D$65+0.1)*(VLOOKUP(($F$16-$F$15)*2-1,AC$99:AG153,5,FALSE)))*EXP(-(LN(2)/$D$65+0.04)*AF153)*EXP(-(LN(2)/$D$65+0.1)*AG153),"-"))),"-")</f>
        <v>-</v>
      </c>
      <c r="AJ154" s="271" t="str">
        <f>IFERROR(IF(AD154=1,AJ$100*EXP(-(LN(2)/$D$65+0.04)*AF154)*EXP(-(LN(2)/$D$65+0.1)*AG154),IF(AD154=2,AJ$100*EXP(-(LN(2)/$D$65+0.04)*(VLOOKUP(($F$16-$F$15)-1,AC$100:AG154,4,FALSE)))*EXP(-(LN(2)/$D$65+0.1)*(VLOOKUP(($F$16-$F$15)-1,AC$100:AG154,5,FALSE)))*EXP(-(LN(2)/$D$65+0.04)*AF154)*EXP(-(LN(2)/$D$65+0.1)*AG154),IF(AD154=3,AJ$100*EXP(-(LN(2)/$D$65+0.04)*(VLOOKUP(($F$16-$F$15)-1,AC$100:AG154,4,FALSE)))*EXP(-(LN(2)/$D$65+0.1)*(VLOOKUP(($F$16-$F$15)-1,AC$100:AG154,5,FALSE)))*EXP(-(LN(2)/$D$65+0.04)*(VLOOKUP(($F$16-$F$15)*2-1,AC$100:AG154,4,FALSE)))*EXP(-(LN(2)/$D$65+0.1)*(VLOOKUP(($F$16-$F$15)*2-1,AC$100:AG154,5,FALSE)))*EXP(-(LN(2)/$D$65+0.04)*AF154)*EXP(-(LN(2)/$D$65+0.1)*AG154),"-"))),"-")</f>
        <v>-</v>
      </c>
      <c r="AK154" s="227">
        <f t="shared" si="49"/>
        <v>54</v>
      </c>
      <c r="AL154" s="226" t="str">
        <f t="shared" si="22"/>
        <v>-</v>
      </c>
      <c r="AM154" s="227" t="str">
        <f t="shared" si="50"/>
        <v>-</v>
      </c>
      <c r="AN154" s="227" t="str">
        <f t="shared" si="51"/>
        <v>-</v>
      </c>
      <c r="AO154" s="227" t="str">
        <f t="shared" si="23"/>
        <v>-</v>
      </c>
      <c r="AP154" s="273">
        <f t="shared" si="52"/>
        <v>0.1</v>
      </c>
      <c r="AQ154" s="271" t="str">
        <f>IFERROR(IF(AL153=1,AQ$100*EXP(-(LN(2)/$D$65+0.04)*AN153)*EXP(-(LN(2)/$D$65+0.1)*AO153),IF(AL153=2,AQ$100*EXP(-(LN(2)/$D$65+0.04)*(VLOOKUP(($F$16-$F$15)-1,AK$99:AO153,4,FALSE)))*EXP(-(LN(2)/$D$65+0.1)*(VLOOKUP(($F$16-$F$15)-1,AK$99:AO153,5,FALSE)))*EXP(-(LN(2)/$D$65+0.04)*AN153)*EXP(-(LN(2)/$D$65+0.1)*AO153),IF(AL153=3,AQ$100*EXP(-(LN(2)/$D$65+0.04)*(VLOOKUP(($F$16-$F$15)-1,AK$99:AO153,4,FALSE)))*EXP(-(LN(2)/$D$65+0.1)*(VLOOKUP(($F$16-$F$15)-1,AK$99:AO153,5,FALSE)))*EXP(-(LN(2)/$D$65+0.04)*(VLOOKUP(($F$16-$F$15)*2-1,AK$99:AO153,4,FALSE)))*EXP(-(LN(2)/$D$65+0.1)*(VLOOKUP(($F$16-$F$15)*2-1,AK$99:AO153,5,FALSE)))*EXP(-(LN(2)/$D$65+0.04)*AN153)*EXP(-(LN(2)/$D$65+0.1)*AO153),"-"))),"-")</f>
        <v>-</v>
      </c>
      <c r="AR154" s="271" t="str">
        <f>IFERROR(IF(AL154=1,AR$100*EXP(-(LN(2)/$D$65+0.04)*AN154)*EXP(-(LN(2)/$D$65+0.1)*AO154),IF(AL154=2,AR$100*EXP(-(LN(2)/$D$65+0.04)*(VLOOKUP(($F$16-$F$15)-1,AK$100:AO154,4,FALSE)))*EXP(-(LN(2)/$D$65+0.1)*(VLOOKUP(($F$16-$F$15)-1,AK$100:AO154,5,FALSE)))*EXP(-(LN(2)/$D$65+0.04)*AN154)*EXP(-(LN(2)/$D$65+0.1)*AO154),IF(AL154=3,AR$100*EXP(-(LN(2)/$D$65+0.04)*(VLOOKUP(($F$16-$F$15)-1,AK$100:AO154,4,FALSE)))*EXP(-(LN(2)/$D$65+0.1)*(VLOOKUP(($F$16-$F$15)-1,AK$100:AO154,5,FALSE)))*EXP(-(LN(2)/$D$65+0.04)*(VLOOKUP(($F$16-$F$15)*2-1,AK$100:AO154,4,FALSE)))*EXP(-(LN(2)/$D$65+0.1)*(VLOOKUP(($F$16-$F$15)*2-1,AK$100:AO154,5,FALSE)))*EXP(-(LN(2)/$D$65+0.04)*AN154)*EXP(-(LN(2)/$D$65+0.1)*AO154),"-"))),"-")</f>
        <v>-</v>
      </c>
      <c r="AS154" s="274">
        <f t="shared" si="24"/>
        <v>0</v>
      </c>
      <c r="AT154" s="274">
        <f t="shared" si="25"/>
        <v>0</v>
      </c>
      <c r="AU154" s="274">
        <f t="shared" si="26"/>
        <v>0</v>
      </c>
      <c r="AV154" s="190" t="str">
        <f>IF($B154&lt;$F$22,SUM($T$100:$T154),"")</f>
        <v/>
      </c>
      <c r="AW154" s="190" t="str">
        <f t="shared" si="83"/>
        <v>-</v>
      </c>
      <c r="AX154" s="190" t="str">
        <f t="shared" si="56"/>
        <v/>
      </c>
      <c r="AY154"/>
      <c r="AZ154" s="190" t="str">
        <f ca="1">IF(ISNUMBER(OFFSET(AV154,-$F$21,0)),SUM(OFFSET($T$100,$F$21,0):$T154),"")</f>
        <v/>
      </c>
      <c r="BA154" s="190" t="str">
        <f t="shared" ca="1" si="84"/>
        <v/>
      </c>
      <c r="BB154" s="190" t="str">
        <f t="shared" ca="1" si="70"/>
        <v/>
      </c>
      <c r="BC154" s="190"/>
      <c r="BD154" s="190" t="str">
        <f ca="1">IFERROR(IF(OR(ISNUMBER(I),ISNUMBER($F$14)),IF(AND($B154&gt;=($F$16-$F$15),$B154&lt;$F$22+($F$16-$F$15)),SUM(OFFSET($T$100,($F$16-$F$15),0):$T154),""),""),"")</f>
        <v/>
      </c>
      <c r="BE154" s="190" t="str">
        <f t="shared" ca="1" si="58"/>
        <v/>
      </c>
      <c r="BF154" s="190" t="str">
        <f t="shared" ca="1" si="59"/>
        <v/>
      </c>
      <c r="BG154"/>
      <c r="BH154" s="190" t="str">
        <f ca="1">IF(ISNUMBER(OFFSET(BD154,-$F$21,0)),SUM(OFFSET($T$100,($F$16-$F$15+$F$21),0):$T154),"")</f>
        <v/>
      </c>
      <c r="BI154" s="190" t="str">
        <f t="shared" ca="1" si="85"/>
        <v/>
      </c>
      <c r="BJ154" s="190" t="str">
        <f t="shared" ca="1" si="60"/>
        <v/>
      </c>
      <c r="BK154" s="190"/>
      <c r="BL154" s="190" t="str">
        <f ca="1">IFERROR(IF(OR(ISNUMBER(I),ISNUMBER($F$14)),IF(AND($B154&gt;=($F$17-$F$15),$B154&lt;$F$22+($F$17-$F$15)),SUM(OFFSET($T$100,($F$17-$F$15),0):$T154),""),""),"")</f>
        <v/>
      </c>
      <c r="BM154" s="190" t="str">
        <f t="shared" ca="1" si="86"/>
        <v/>
      </c>
      <c r="BN154" s="190" t="str">
        <f t="shared" ca="1" si="61"/>
        <v/>
      </c>
      <c r="BO154"/>
      <c r="BP154" s="190" t="str">
        <f ca="1">IF(ISNUMBER(OFFSET(BL154,-$F$21,0)),SUM(OFFSET($T$100,($F$17-$F$15+$F$21),0):$T154),"")</f>
        <v/>
      </c>
      <c r="BQ154" s="190" t="str">
        <f t="shared" ca="1" si="87"/>
        <v/>
      </c>
      <c r="BR154" s="190" t="str">
        <f t="shared" ca="1" si="63"/>
        <v/>
      </c>
      <c r="BS154" s="190"/>
      <c r="BT154"/>
      <c r="BU154"/>
      <c r="BV154"/>
      <c r="BY154" s="99"/>
      <c r="BZ154" s="99"/>
      <c r="CA154" s="280" t="str">
        <f t="shared" si="88"/>
        <v/>
      </c>
      <c r="CB154" s="71" t="str">
        <f t="shared" si="31"/>
        <v>-</v>
      </c>
      <c r="CC154" s="33"/>
      <c r="CD154" s="261" t="str">
        <f t="shared" si="33"/>
        <v/>
      </c>
      <c r="CE154" s="280" t="str">
        <f t="shared" si="89"/>
        <v/>
      </c>
      <c r="CF154" s="71" t="str">
        <f t="shared" ca="1" si="90"/>
        <v/>
      </c>
      <c r="CG154" s="33" t="str">
        <f t="shared" si="36"/>
        <v/>
      </c>
      <c r="CH154" s="261" t="str">
        <f t="shared" ca="1" si="37"/>
        <v/>
      </c>
      <c r="CI154" s="202"/>
      <c r="CJ154" s="99"/>
      <c r="CK154" s="99"/>
      <c r="CL154" s="99"/>
      <c r="CM154" s="99"/>
      <c r="CN154" s="99"/>
      <c r="CO154" s="99"/>
    </row>
    <row r="155" spans="2:93" ht="13.5" customHeight="1" x14ac:dyDescent="0.2">
      <c r="B155" s="262">
        <v>55</v>
      </c>
      <c r="C155" s="237" t="str">
        <f t="shared" si="1"/>
        <v/>
      </c>
      <c r="D155" s="237" t="str">
        <f t="shared" si="66"/>
        <v/>
      </c>
      <c r="E155" s="290" t="str">
        <f t="shared" si="38"/>
        <v/>
      </c>
      <c r="F155" s="264" t="str">
        <f t="shared" si="39"/>
        <v/>
      </c>
      <c r="G155" s="291" t="str">
        <f t="shared" si="40"/>
        <v/>
      </c>
      <c r="H155" s="240" t="str">
        <f t="shared" si="71"/>
        <v/>
      </c>
      <c r="I155" s="265" t="str">
        <f t="shared" si="72"/>
        <v/>
      </c>
      <c r="J155" s="265" t="str">
        <f t="shared" si="73"/>
        <v/>
      </c>
      <c r="K155" s="240" t="str">
        <f t="shared" si="74"/>
        <v/>
      </c>
      <c r="L155" s="265" t="str">
        <f t="shared" si="75"/>
        <v/>
      </c>
      <c r="M155" s="265" t="str">
        <f t="shared" si="76"/>
        <v/>
      </c>
      <c r="N155" s="240" t="str">
        <f t="shared" si="77"/>
        <v>-</v>
      </c>
      <c r="O155" s="265" t="str">
        <f t="shared" si="78"/>
        <v>-</v>
      </c>
      <c r="P155" s="265" t="str">
        <f t="shared" si="79"/>
        <v>-</v>
      </c>
      <c r="Q155" s="266" t="str">
        <f t="shared" si="80"/>
        <v>-</v>
      </c>
      <c r="R155" s="267" t="str">
        <f t="shared" si="81"/>
        <v>-</v>
      </c>
      <c r="S155" s="268" t="str">
        <f t="shared" si="82"/>
        <v>-</v>
      </c>
      <c r="T155" s="269" t="str">
        <f t="shared" si="13"/>
        <v/>
      </c>
      <c r="U155" s="221">
        <f t="shared" si="14"/>
        <v>55</v>
      </c>
      <c r="V155" s="220" t="str">
        <f t="shared" si="42"/>
        <v>-</v>
      </c>
      <c r="W155" s="221" t="str">
        <f t="shared" si="43"/>
        <v>-</v>
      </c>
      <c r="X155" s="221" t="str">
        <f t="shared" si="15"/>
        <v>-</v>
      </c>
      <c r="Y155" s="221" t="str">
        <f t="shared" si="16"/>
        <v>-</v>
      </c>
      <c r="Z155" s="270">
        <f t="shared" si="44"/>
        <v>0.1</v>
      </c>
      <c r="AA155" s="271" t="str">
        <f>IFERROR(IF(V154=1,AA$100*EXP(-(LN(2)/$D$65+0.04)*X154)*EXP(-(LN(2)/$D$65+0.1)*Y154),IF(V154=2,AA$100*EXP(-(LN(2)/$D$65+0.04)*(VLOOKUP(($F$16-$F$15)-1,U$99:Y154,4,FALSE)))*EXP(-(LN(2)/$D$65+0.1)*(VLOOKUP(($F$16-$F$15)-1,U$99:Y154,5,FALSE)))*EXP(-(LN(2)/$D$65+0.04)*X154)*EXP(-(LN(2)/$D$65+0.1)*Y154),IF(V154=3,AA$100*EXP(-(LN(2)/$D$65+0.04)*(VLOOKUP(($F$16-$F$15)-1,U$99:Y154,4,FALSE)))*EXP(-(LN(2)/$D$65+0.1)*(VLOOKUP(($F$16-$F$15)-1,U$99:Y154,5,FALSE)))*EXP(-(LN(2)/$D$65+0.04)*(VLOOKUP(($F$16-$F$15)*2-1,U$99:Y154,4,FALSE)))*EXP(-(LN(2)/$D$65+0.1)*(VLOOKUP(($F$16-$F$15)*2-1,U$99:Y154,5,FALSE)))*EXP(-(LN(2)/$D$65+0.04)*X154)*EXP(-(LN(2)/$D$65+0.1)*Y154),"-"))),"-")</f>
        <v>-</v>
      </c>
      <c r="AB155" s="271" t="str">
        <f>IFERROR(IF(V155=1,AB$100*EXP(-(LN(2)/$D$65+0.04)*X155)*EXP(-(LN(2)/$D$65+0.1)*Y155),IF(V155=2,AB$100*EXP(-(LN(2)/$D$65+0.04)*(VLOOKUP(($F$16-$F$15)-1,U$100:Y155,4,FALSE)))*EXP(-(LN(2)/$D$65+0.1)*(VLOOKUP(($F$16-$F$15)-1,U$100:Y155,5,FALSE)))*EXP(-(LN(2)/$D$65+0.04)*X155)*EXP(-(LN(2)/$D$65+0.1)*Y155),IF(V155=3,AB$100*EXP(-(LN(2)/$D$65+0.04)*(VLOOKUP(($F$16-$F$15)-1,U$100:Y155,4,FALSE)))*EXP(-(LN(2)/$D$65+0.1)*(VLOOKUP(($F$16-$F$15)-1,U$100:Y155,5,FALSE)))*EXP(-(LN(2)/$D$65+0.04)*(VLOOKUP(($F$16-$F$15)*2-1,U$100:Y155,4,FALSE)))*EXP(-(LN(2)/$D$65+0.1)*(VLOOKUP(($F$16-$F$15)*2-1,U$100:Y155,5,FALSE)))*EXP(-(LN(2)/$D$65+0.04)*X155)*EXP(-(LN(2)/$D$65+0.1)*Y155),"-"))),"-")</f>
        <v>-</v>
      </c>
      <c r="AC155" s="224">
        <f t="shared" si="45"/>
        <v>55</v>
      </c>
      <c r="AD155" s="223" t="str">
        <f t="shared" si="18"/>
        <v>-</v>
      </c>
      <c r="AE155" s="224" t="str">
        <f t="shared" si="46"/>
        <v>-</v>
      </c>
      <c r="AF155" s="224" t="str">
        <f t="shared" si="19"/>
        <v>-</v>
      </c>
      <c r="AG155" s="224" t="str">
        <f t="shared" si="20"/>
        <v>-</v>
      </c>
      <c r="AH155" s="272">
        <f t="shared" si="47"/>
        <v>0.1</v>
      </c>
      <c r="AI155" s="271" t="str">
        <f>IFERROR(IF(AD154=1,AI$100*EXP(-(LN(2)/$D$65+0.04)*AF154)*EXP(-(LN(2)/$D$65+0.1)*AG154),IF(AD154=2,AI$100*EXP(-(LN(2)/$D$65+0.04)*(VLOOKUP(($F$16-$F$15)-1,AC$99:AG154,4,FALSE)))*EXP(-(LN(2)/$D$65+0.1)*(VLOOKUP(($F$16-$F$15)-1,AC$99:AG154,5,FALSE)))*EXP(-(LN(2)/$D$65+0.04)*AF154)*EXP(-(LN(2)/$D$65+0.1)*AG154),IF(AD154=3,AI$100*EXP(-(LN(2)/$D$65+0.04)*(VLOOKUP(($F$16-$F$15)-1,AC$99:AG154,4,FALSE)))*EXP(-(LN(2)/$D$65+0.1)*(VLOOKUP(($F$16-$F$15)-1,AC$99:AG154,5,FALSE)))*EXP(-(LN(2)/$D$65+0.04)*(VLOOKUP(($F$16-$F$15)*2-1,AC$99:AG154,4,FALSE)))*EXP(-(LN(2)/$D$65+0.1)*(VLOOKUP(($F$16-$F$15)*2-1,AC$99:AG154,5,FALSE)))*EXP(-(LN(2)/$D$65+0.04)*AF154)*EXP(-(LN(2)/$D$65+0.1)*AG154),"-"))),"-")</f>
        <v>-</v>
      </c>
      <c r="AJ155" s="271" t="str">
        <f>IFERROR(IF(AD155=1,AJ$100*EXP(-(LN(2)/$D$65+0.04)*AF155)*EXP(-(LN(2)/$D$65+0.1)*AG155),IF(AD155=2,AJ$100*EXP(-(LN(2)/$D$65+0.04)*(VLOOKUP(($F$16-$F$15)-1,AC$100:AG155,4,FALSE)))*EXP(-(LN(2)/$D$65+0.1)*(VLOOKUP(($F$16-$F$15)-1,AC$100:AG155,5,FALSE)))*EXP(-(LN(2)/$D$65+0.04)*AF155)*EXP(-(LN(2)/$D$65+0.1)*AG155),IF(AD155=3,AJ$100*EXP(-(LN(2)/$D$65+0.04)*(VLOOKUP(($F$16-$F$15)-1,AC$100:AG155,4,FALSE)))*EXP(-(LN(2)/$D$65+0.1)*(VLOOKUP(($F$16-$F$15)-1,AC$100:AG155,5,FALSE)))*EXP(-(LN(2)/$D$65+0.04)*(VLOOKUP(($F$16-$F$15)*2-1,AC$100:AG155,4,FALSE)))*EXP(-(LN(2)/$D$65+0.1)*(VLOOKUP(($F$16-$F$15)*2-1,AC$100:AG155,5,FALSE)))*EXP(-(LN(2)/$D$65+0.04)*AF155)*EXP(-(LN(2)/$D$65+0.1)*AG155),"-"))),"-")</f>
        <v>-</v>
      </c>
      <c r="AK155" s="227">
        <f t="shared" si="49"/>
        <v>55</v>
      </c>
      <c r="AL155" s="226" t="str">
        <f t="shared" si="22"/>
        <v>-</v>
      </c>
      <c r="AM155" s="227" t="str">
        <f t="shared" si="50"/>
        <v>-</v>
      </c>
      <c r="AN155" s="227" t="str">
        <f t="shared" si="51"/>
        <v>-</v>
      </c>
      <c r="AO155" s="227" t="str">
        <f t="shared" si="23"/>
        <v>-</v>
      </c>
      <c r="AP155" s="273">
        <f t="shared" si="52"/>
        <v>0.1</v>
      </c>
      <c r="AQ155" s="271" t="str">
        <f>IFERROR(IF(AL154=1,AQ$100*EXP(-(LN(2)/$D$65+0.04)*AN154)*EXP(-(LN(2)/$D$65+0.1)*AO154),IF(AL154=2,AQ$100*EXP(-(LN(2)/$D$65+0.04)*(VLOOKUP(($F$16-$F$15)-1,AK$99:AO154,4,FALSE)))*EXP(-(LN(2)/$D$65+0.1)*(VLOOKUP(($F$16-$F$15)-1,AK$99:AO154,5,FALSE)))*EXP(-(LN(2)/$D$65+0.04)*AN154)*EXP(-(LN(2)/$D$65+0.1)*AO154),IF(AL154=3,AQ$100*EXP(-(LN(2)/$D$65+0.04)*(VLOOKUP(($F$16-$F$15)-1,AK$99:AO154,4,FALSE)))*EXP(-(LN(2)/$D$65+0.1)*(VLOOKUP(($F$16-$F$15)-1,AK$99:AO154,5,FALSE)))*EXP(-(LN(2)/$D$65+0.04)*(VLOOKUP(($F$16-$F$15)*2-1,AK$99:AO154,4,FALSE)))*EXP(-(LN(2)/$D$65+0.1)*(VLOOKUP(($F$16-$F$15)*2-1,AK$99:AO154,5,FALSE)))*EXP(-(LN(2)/$D$65+0.04)*AN154)*EXP(-(LN(2)/$D$65+0.1)*AO154),"-"))),"-")</f>
        <v>-</v>
      </c>
      <c r="AR155" s="271" t="str">
        <f>IFERROR(IF(AL155=1,AR$100*EXP(-(LN(2)/$D$65+0.04)*AN155)*EXP(-(LN(2)/$D$65+0.1)*AO155),IF(AL155=2,AR$100*EXP(-(LN(2)/$D$65+0.04)*(VLOOKUP(($F$16-$F$15)-1,AK$100:AO155,4,FALSE)))*EXP(-(LN(2)/$D$65+0.1)*(VLOOKUP(($F$16-$F$15)-1,AK$100:AO155,5,FALSE)))*EXP(-(LN(2)/$D$65+0.04)*AN155)*EXP(-(LN(2)/$D$65+0.1)*AO155),IF(AL155=3,AR$100*EXP(-(LN(2)/$D$65+0.04)*(VLOOKUP(($F$16-$F$15)-1,AK$100:AO155,4,FALSE)))*EXP(-(LN(2)/$D$65+0.1)*(VLOOKUP(($F$16-$F$15)-1,AK$100:AO155,5,FALSE)))*EXP(-(LN(2)/$D$65+0.04)*(VLOOKUP(($F$16-$F$15)*2-1,AK$100:AO155,4,FALSE)))*EXP(-(LN(2)/$D$65+0.1)*(VLOOKUP(($F$16-$F$15)*2-1,AK$100:AO155,5,FALSE)))*EXP(-(LN(2)/$D$65+0.04)*AN155)*EXP(-(LN(2)/$D$65+0.1)*AO155),"-"))),"-")</f>
        <v>-</v>
      </c>
      <c r="AS155" s="274">
        <f t="shared" si="24"/>
        <v>0</v>
      </c>
      <c r="AT155" s="274">
        <f t="shared" si="25"/>
        <v>0</v>
      </c>
      <c r="AU155" s="274">
        <f t="shared" si="26"/>
        <v>0</v>
      </c>
      <c r="AV155" s="190" t="str">
        <f>IF($B155&lt;$F$22,SUM($T$100:$T155),"")</f>
        <v/>
      </c>
      <c r="AW155" s="190" t="str">
        <f t="shared" si="83"/>
        <v>-</v>
      </c>
      <c r="AX155" s="190" t="str">
        <f t="shared" si="56"/>
        <v/>
      </c>
      <c r="AY155"/>
      <c r="AZ155" s="190" t="str">
        <f ca="1">IF(ISNUMBER(OFFSET(AV155,-$F$21,0)),SUM(OFFSET($T$100,$F$21,0):$T155),"")</f>
        <v/>
      </c>
      <c r="BA155" s="190" t="str">
        <f t="shared" ca="1" si="84"/>
        <v/>
      </c>
      <c r="BB155" s="190" t="str">
        <f t="shared" ca="1" si="70"/>
        <v/>
      </c>
      <c r="BC155" s="190"/>
      <c r="BD155" s="190" t="str">
        <f ca="1">IFERROR(IF(OR(ISNUMBER(I),ISNUMBER($F$14)),IF(AND($B155&gt;=($F$16-$F$15),$B155&lt;$F$22+($F$16-$F$15)),SUM(OFFSET($T$100,($F$16-$F$15),0):$T155),""),""),"")</f>
        <v/>
      </c>
      <c r="BE155" s="190" t="str">
        <f t="shared" ca="1" si="58"/>
        <v/>
      </c>
      <c r="BF155" s="190" t="str">
        <f t="shared" ca="1" si="59"/>
        <v/>
      </c>
      <c r="BG155"/>
      <c r="BH155" s="190" t="str">
        <f ca="1">IF(ISNUMBER(OFFSET(BD155,-$F$21,0)),SUM(OFFSET($T$100,($F$16-$F$15+$F$21),0):$T155),"")</f>
        <v/>
      </c>
      <c r="BI155" s="190" t="str">
        <f t="shared" ca="1" si="85"/>
        <v/>
      </c>
      <c r="BJ155" s="190" t="str">
        <f t="shared" ca="1" si="60"/>
        <v/>
      </c>
      <c r="BK155" s="190"/>
      <c r="BL155" s="190" t="str">
        <f ca="1">IFERROR(IF(OR(ISNUMBER(I),ISNUMBER($F$14)),IF(AND($B155&gt;=($F$17-$F$15),$B155&lt;$F$22+($F$17-$F$15)),SUM(OFFSET($T$100,($F$17-$F$15),0):$T155),""),""),"")</f>
        <v/>
      </c>
      <c r="BM155" s="190" t="str">
        <f t="shared" ca="1" si="86"/>
        <v/>
      </c>
      <c r="BN155" s="190" t="str">
        <f t="shared" ca="1" si="61"/>
        <v/>
      </c>
      <c r="BO155"/>
      <c r="BP155" s="190" t="str">
        <f ca="1">IF(ISNUMBER(OFFSET(BL155,-$F$21,0)),SUM(OFFSET($T$100,($F$17-$F$15+$F$21),0):$T155),"")</f>
        <v/>
      </c>
      <c r="BQ155" s="190" t="str">
        <f t="shared" ca="1" si="87"/>
        <v/>
      </c>
      <c r="BR155" s="190" t="str">
        <f t="shared" ca="1" si="63"/>
        <v/>
      </c>
      <c r="BS155" s="190"/>
      <c r="BT155"/>
      <c r="BU155"/>
      <c r="BV155"/>
      <c r="BY155" s="99"/>
      <c r="BZ155" s="99"/>
      <c r="CA155" s="280" t="str">
        <f t="shared" si="88"/>
        <v/>
      </c>
      <c r="CB155" s="71" t="str">
        <f t="shared" si="31"/>
        <v>-</v>
      </c>
      <c r="CC155" s="33"/>
      <c r="CD155" s="261" t="str">
        <f t="shared" si="33"/>
        <v/>
      </c>
      <c r="CE155" s="280" t="str">
        <f t="shared" si="89"/>
        <v/>
      </c>
      <c r="CF155" s="71" t="str">
        <f t="shared" ca="1" si="90"/>
        <v/>
      </c>
      <c r="CG155" s="33" t="str">
        <f t="shared" si="36"/>
        <v/>
      </c>
      <c r="CH155" s="261" t="str">
        <f t="shared" ca="1" si="37"/>
        <v/>
      </c>
      <c r="CI155" s="202"/>
      <c r="CJ155" s="99"/>
      <c r="CK155" s="99"/>
      <c r="CL155" s="99"/>
      <c r="CM155" s="99"/>
      <c r="CN155" s="99"/>
      <c r="CO155" s="99"/>
    </row>
    <row r="156" spans="2:93" ht="13.5" customHeight="1" x14ac:dyDescent="0.2">
      <c r="B156" s="262">
        <v>56</v>
      </c>
      <c r="C156" s="237" t="str">
        <f t="shared" si="1"/>
        <v/>
      </c>
      <c r="D156" s="237" t="str">
        <f t="shared" si="66"/>
        <v/>
      </c>
      <c r="E156" s="290" t="str">
        <f t="shared" si="38"/>
        <v/>
      </c>
      <c r="F156" s="264" t="str">
        <f t="shared" si="39"/>
        <v/>
      </c>
      <c r="G156" s="291" t="str">
        <f t="shared" si="40"/>
        <v/>
      </c>
      <c r="H156" s="240" t="str">
        <f t="shared" si="71"/>
        <v/>
      </c>
      <c r="I156" s="265" t="str">
        <f t="shared" si="72"/>
        <v/>
      </c>
      <c r="J156" s="265" t="str">
        <f t="shared" si="73"/>
        <v/>
      </c>
      <c r="K156" s="240" t="str">
        <f t="shared" si="74"/>
        <v/>
      </c>
      <c r="L156" s="265" t="str">
        <f t="shared" si="75"/>
        <v/>
      </c>
      <c r="M156" s="265" t="str">
        <f t="shared" si="76"/>
        <v/>
      </c>
      <c r="N156" s="240" t="str">
        <f t="shared" si="77"/>
        <v>-</v>
      </c>
      <c r="O156" s="265" t="str">
        <f t="shared" si="78"/>
        <v>-</v>
      </c>
      <c r="P156" s="265" t="str">
        <f t="shared" si="79"/>
        <v>-</v>
      </c>
      <c r="Q156" s="266" t="str">
        <f t="shared" si="80"/>
        <v>-</v>
      </c>
      <c r="R156" s="267" t="str">
        <f t="shared" si="81"/>
        <v>-</v>
      </c>
      <c r="S156" s="268" t="str">
        <f t="shared" si="82"/>
        <v>-</v>
      </c>
      <c r="T156" s="269" t="str">
        <f t="shared" si="13"/>
        <v/>
      </c>
      <c r="U156" s="221">
        <f t="shared" si="14"/>
        <v>56</v>
      </c>
      <c r="V156" s="220" t="str">
        <f t="shared" si="42"/>
        <v>-</v>
      </c>
      <c r="W156" s="221" t="str">
        <f t="shared" si="43"/>
        <v>-</v>
      </c>
      <c r="X156" s="221" t="str">
        <f t="shared" si="15"/>
        <v>-</v>
      </c>
      <c r="Y156" s="221" t="str">
        <f t="shared" si="16"/>
        <v>-</v>
      </c>
      <c r="Z156" s="270">
        <f t="shared" si="44"/>
        <v>0.1</v>
      </c>
      <c r="AA156" s="271" t="str">
        <f>IFERROR(IF(V155=1,AA$100*EXP(-(LN(2)/$D$65+0.04)*X155)*EXP(-(LN(2)/$D$65+0.1)*Y155),IF(V155=2,AA$100*EXP(-(LN(2)/$D$65+0.04)*(VLOOKUP(($F$16-$F$15)-1,U$99:Y155,4,FALSE)))*EXP(-(LN(2)/$D$65+0.1)*(VLOOKUP(($F$16-$F$15)-1,U$99:Y155,5,FALSE)))*EXP(-(LN(2)/$D$65+0.04)*X155)*EXP(-(LN(2)/$D$65+0.1)*Y155),IF(V155=3,AA$100*EXP(-(LN(2)/$D$65+0.04)*(VLOOKUP(($F$16-$F$15)-1,U$99:Y155,4,FALSE)))*EXP(-(LN(2)/$D$65+0.1)*(VLOOKUP(($F$16-$F$15)-1,U$99:Y155,5,FALSE)))*EXP(-(LN(2)/$D$65+0.04)*(VLOOKUP(($F$16-$F$15)*2-1,U$99:Y155,4,FALSE)))*EXP(-(LN(2)/$D$65+0.1)*(VLOOKUP(($F$16-$F$15)*2-1,U$99:Y155,5,FALSE)))*EXP(-(LN(2)/$D$65+0.04)*X155)*EXP(-(LN(2)/$D$65+0.1)*Y155),"-"))),"-")</f>
        <v>-</v>
      </c>
      <c r="AB156" s="271" t="str">
        <f>IFERROR(IF(V156=1,AB$100*EXP(-(LN(2)/$D$65+0.04)*X156)*EXP(-(LN(2)/$D$65+0.1)*Y156),IF(V156=2,AB$100*EXP(-(LN(2)/$D$65+0.04)*(VLOOKUP(($F$16-$F$15)-1,U$100:Y156,4,FALSE)))*EXP(-(LN(2)/$D$65+0.1)*(VLOOKUP(($F$16-$F$15)-1,U$100:Y156,5,FALSE)))*EXP(-(LN(2)/$D$65+0.04)*X156)*EXP(-(LN(2)/$D$65+0.1)*Y156),IF(V156=3,AB$100*EXP(-(LN(2)/$D$65+0.04)*(VLOOKUP(($F$16-$F$15)-1,U$100:Y156,4,FALSE)))*EXP(-(LN(2)/$D$65+0.1)*(VLOOKUP(($F$16-$F$15)-1,U$100:Y156,5,FALSE)))*EXP(-(LN(2)/$D$65+0.04)*(VLOOKUP(($F$16-$F$15)*2-1,U$100:Y156,4,FALSE)))*EXP(-(LN(2)/$D$65+0.1)*(VLOOKUP(($F$16-$F$15)*2-1,U$100:Y156,5,FALSE)))*EXP(-(LN(2)/$D$65+0.04)*X156)*EXP(-(LN(2)/$D$65+0.1)*Y156),"-"))),"-")</f>
        <v>-</v>
      </c>
      <c r="AC156" s="224">
        <f t="shared" si="45"/>
        <v>56</v>
      </c>
      <c r="AD156" s="223" t="str">
        <f t="shared" si="18"/>
        <v>-</v>
      </c>
      <c r="AE156" s="224" t="str">
        <f t="shared" si="46"/>
        <v>-</v>
      </c>
      <c r="AF156" s="224" t="str">
        <f t="shared" si="19"/>
        <v>-</v>
      </c>
      <c r="AG156" s="224" t="str">
        <f t="shared" si="20"/>
        <v>-</v>
      </c>
      <c r="AH156" s="272">
        <f t="shared" si="47"/>
        <v>0.1</v>
      </c>
      <c r="AI156" s="271" t="str">
        <f>IFERROR(IF(AD155=1,AI$100*EXP(-(LN(2)/$D$65+0.04)*AF155)*EXP(-(LN(2)/$D$65+0.1)*AG155),IF(AD155=2,AI$100*EXP(-(LN(2)/$D$65+0.04)*(VLOOKUP(($F$16-$F$15)-1,AC$99:AG155,4,FALSE)))*EXP(-(LN(2)/$D$65+0.1)*(VLOOKUP(($F$16-$F$15)-1,AC$99:AG155,5,FALSE)))*EXP(-(LN(2)/$D$65+0.04)*AF155)*EXP(-(LN(2)/$D$65+0.1)*AG155),IF(AD155=3,AI$100*EXP(-(LN(2)/$D$65+0.04)*(VLOOKUP(($F$16-$F$15)-1,AC$99:AG155,4,FALSE)))*EXP(-(LN(2)/$D$65+0.1)*(VLOOKUP(($F$16-$F$15)-1,AC$99:AG155,5,FALSE)))*EXP(-(LN(2)/$D$65+0.04)*(VLOOKUP(($F$16-$F$15)*2-1,AC$99:AG155,4,FALSE)))*EXP(-(LN(2)/$D$65+0.1)*(VLOOKUP(($F$16-$F$15)*2-1,AC$99:AG155,5,FALSE)))*EXP(-(LN(2)/$D$65+0.04)*AF155)*EXP(-(LN(2)/$D$65+0.1)*AG155),"-"))),"-")</f>
        <v>-</v>
      </c>
      <c r="AJ156" s="271" t="str">
        <f>IFERROR(IF(AD156=1,AJ$100*EXP(-(LN(2)/$D$65+0.04)*AF156)*EXP(-(LN(2)/$D$65+0.1)*AG156),IF(AD156=2,AJ$100*EXP(-(LN(2)/$D$65+0.04)*(VLOOKUP(($F$16-$F$15)-1,AC$100:AG156,4,FALSE)))*EXP(-(LN(2)/$D$65+0.1)*(VLOOKUP(($F$16-$F$15)-1,AC$100:AG156,5,FALSE)))*EXP(-(LN(2)/$D$65+0.04)*AF156)*EXP(-(LN(2)/$D$65+0.1)*AG156),IF(AD156=3,AJ$100*EXP(-(LN(2)/$D$65+0.04)*(VLOOKUP(($F$16-$F$15)-1,AC$100:AG156,4,FALSE)))*EXP(-(LN(2)/$D$65+0.1)*(VLOOKUP(($F$16-$F$15)-1,AC$100:AG156,5,FALSE)))*EXP(-(LN(2)/$D$65+0.04)*(VLOOKUP(($F$16-$F$15)*2-1,AC$100:AG156,4,FALSE)))*EXP(-(LN(2)/$D$65+0.1)*(VLOOKUP(($F$16-$F$15)*2-1,AC$100:AG156,5,FALSE)))*EXP(-(LN(2)/$D$65+0.04)*AF156)*EXP(-(LN(2)/$D$65+0.1)*AG156),"-"))),"-")</f>
        <v>-</v>
      </c>
      <c r="AK156" s="227">
        <f t="shared" si="49"/>
        <v>56</v>
      </c>
      <c r="AL156" s="226" t="str">
        <f t="shared" si="22"/>
        <v>-</v>
      </c>
      <c r="AM156" s="227" t="str">
        <f t="shared" si="50"/>
        <v>-</v>
      </c>
      <c r="AN156" s="227" t="str">
        <f t="shared" si="51"/>
        <v>-</v>
      </c>
      <c r="AO156" s="227" t="str">
        <f t="shared" si="23"/>
        <v>-</v>
      </c>
      <c r="AP156" s="273">
        <f t="shared" si="52"/>
        <v>0.1</v>
      </c>
      <c r="AQ156" s="271" t="str">
        <f>IFERROR(IF(AL155=1,AQ$100*EXP(-(LN(2)/$D$65+0.04)*AN155)*EXP(-(LN(2)/$D$65+0.1)*AO155),IF(AL155=2,AQ$100*EXP(-(LN(2)/$D$65+0.04)*(VLOOKUP(($F$16-$F$15)-1,AK$99:AO155,4,FALSE)))*EXP(-(LN(2)/$D$65+0.1)*(VLOOKUP(($F$16-$F$15)-1,AK$99:AO155,5,FALSE)))*EXP(-(LN(2)/$D$65+0.04)*AN155)*EXP(-(LN(2)/$D$65+0.1)*AO155),IF(AL155=3,AQ$100*EXP(-(LN(2)/$D$65+0.04)*(VLOOKUP(($F$16-$F$15)-1,AK$99:AO155,4,FALSE)))*EXP(-(LN(2)/$D$65+0.1)*(VLOOKUP(($F$16-$F$15)-1,AK$99:AO155,5,FALSE)))*EXP(-(LN(2)/$D$65+0.04)*(VLOOKUP(($F$16-$F$15)*2-1,AK$99:AO155,4,FALSE)))*EXP(-(LN(2)/$D$65+0.1)*(VLOOKUP(($F$16-$F$15)*2-1,AK$99:AO155,5,FALSE)))*EXP(-(LN(2)/$D$65+0.04)*AN155)*EXP(-(LN(2)/$D$65+0.1)*AO155),"-"))),"-")</f>
        <v>-</v>
      </c>
      <c r="AR156" s="271" t="str">
        <f>IFERROR(IF(AL156=1,AR$100*EXP(-(LN(2)/$D$65+0.04)*AN156)*EXP(-(LN(2)/$D$65+0.1)*AO156),IF(AL156=2,AR$100*EXP(-(LN(2)/$D$65+0.04)*(VLOOKUP(($F$16-$F$15)-1,AK$100:AO156,4,FALSE)))*EXP(-(LN(2)/$D$65+0.1)*(VLOOKUP(($F$16-$F$15)-1,AK$100:AO156,5,FALSE)))*EXP(-(LN(2)/$D$65+0.04)*AN156)*EXP(-(LN(2)/$D$65+0.1)*AO156),IF(AL156=3,AR$100*EXP(-(LN(2)/$D$65+0.04)*(VLOOKUP(($F$16-$F$15)-1,AK$100:AO156,4,FALSE)))*EXP(-(LN(2)/$D$65+0.1)*(VLOOKUP(($F$16-$F$15)-1,AK$100:AO156,5,FALSE)))*EXP(-(LN(2)/$D$65+0.04)*(VLOOKUP(($F$16-$F$15)*2-1,AK$100:AO156,4,FALSE)))*EXP(-(LN(2)/$D$65+0.1)*(VLOOKUP(($F$16-$F$15)*2-1,AK$100:AO156,5,FALSE)))*EXP(-(LN(2)/$D$65+0.04)*AN156)*EXP(-(LN(2)/$D$65+0.1)*AO156),"-"))),"-")</f>
        <v>-</v>
      </c>
      <c r="AS156" s="274">
        <f t="shared" si="24"/>
        <v>0</v>
      </c>
      <c r="AT156" s="274">
        <f t="shared" si="25"/>
        <v>0</v>
      </c>
      <c r="AU156" s="274">
        <f t="shared" si="26"/>
        <v>0</v>
      </c>
      <c r="AV156" s="190" t="str">
        <f>IF($B156&lt;$F$22,SUM($T$100:$T156),"")</f>
        <v/>
      </c>
      <c r="AW156" s="190" t="str">
        <f t="shared" si="83"/>
        <v>-</v>
      </c>
      <c r="AX156" s="190" t="str">
        <f t="shared" si="56"/>
        <v/>
      </c>
      <c r="AY156"/>
      <c r="AZ156" s="190" t="str">
        <f ca="1">IF(ISNUMBER(OFFSET(AV156,-$F$21,0)),SUM(OFFSET($T$100,$F$21,0):$T156),"")</f>
        <v/>
      </c>
      <c r="BA156" s="190" t="str">
        <f t="shared" ca="1" si="84"/>
        <v/>
      </c>
      <c r="BB156" s="190" t="str">
        <f t="shared" ca="1" si="70"/>
        <v/>
      </c>
      <c r="BC156" s="190"/>
      <c r="BD156" s="190" t="str">
        <f ca="1">IFERROR(IF(OR(ISNUMBER(I),ISNUMBER($F$14)),IF(AND($B156&gt;=($F$16-$F$15),$B156&lt;$F$22+($F$16-$F$15)),SUM(OFFSET($T$100,($F$16-$F$15),0):$T156),""),""),"")</f>
        <v/>
      </c>
      <c r="BE156" s="190" t="str">
        <f t="shared" ca="1" si="58"/>
        <v/>
      </c>
      <c r="BF156" s="190" t="str">
        <f t="shared" ca="1" si="59"/>
        <v/>
      </c>
      <c r="BG156"/>
      <c r="BH156" s="190" t="str">
        <f ca="1">IF(ISNUMBER(OFFSET(BD156,-$F$21,0)),SUM(OFFSET($T$100,($F$16-$F$15+$F$21),0):$T156),"")</f>
        <v/>
      </c>
      <c r="BI156" s="190" t="str">
        <f t="shared" ca="1" si="85"/>
        <v/>
      </c>
      <c r="BJ156" s="190" t="str">
        <f t="shared" ca="1" si="60"/>
        <v/>
      </c>
      <c r="BK156" s="190"/>
      <c r="BL156" s="190" t="str">
        <f ca="1">IFERROR(IF(OR(ISNUMBER(I),ISNUMBER($F$14)),IF(AND($B156&gt;=($F$17-$F$15),$B156&lt;$F$22+($F$17-$F$15)),SUM(OFFSET($T$100,($F$17-$F$15),0):$T156),""),""),"")</f>
        <v/>
      </c>
      <c r="BM156" s="190" t="str">
        <f t="shared" ca="1" si="86"/>
        <v/>
      </c>
      <c r="BN156" s="190" t="str">
        <f t="shared" ca="1" si="61"/>
        <v/>
      </c>
      <c r="BO156"/>
      <c r="BP156" s="190" t="str">
        <f ca="1">IF(ISNUMBER(OFFSET(BL156,-$F$21,0)),SUM(OFFSET($T$100,($F$17-$F$15+$F$21),0):$T156),"")</f>
        <v/>
      </c>
      <c r="BQ156" s="190" t="str">
        <f t="shared" ca="1" si="87"/>
        <v/>
      </c>
      <c r="BR156" s="190" t="str">
        <f t="shared" ca="1" si="63"/>
        <v/>
      </c>
      <c r="BS156" s="190"/>
      <c r="BT156"/>
      <c r="BU156"/>
      <c r="BV156"/>
      <c r="BY156" s="99"/>
      <c r="BZ156" s="99"/>
      <c r="CA156" s="280" t="str">
        <f t="shared" si="88"/>
        <v/>
      </c>
      <c r="CB156" s="71" t="str">
        <f t="shared" si="31"/>
        <v>-</v>
      </c>
      <c r="CC156" s="33"/>
      <c r="CD156" s="261" t="str">
        <f t="shared" si="33"/>
        <v/>
      </c>
      <c r="CE156" s="280" t="str">
        <f t="shared" si="89"/>
        <v/>
      </c>
      <c r="CF156" s="71" t="str">
        <f t="shared" ca="1" si="90"/>
        <v/>
      </c>
      <c r="CG156" s="33" t="str">
        <f t="shared" si="36"/>
        <v/>
      </c>
      <c r="CH156" s="261" t="str">
        <f t="shared" ca="1" si="37"/>
        <v/>
      </c>
      <c r="CI156" s="202"/>
      <c r="CJ156" s="99"/>
      <c r="CK156" s="99"/>
      <c r="CL156" s="99"/>
      <c r="CM156" s="99"/>
      <c r="CN156" s="99"/>
      <c r="CO156" s="99"/>
    </row>
    <row r="157" spans="2:93" ht="13.5" customHeight="1" x14ac:dyDescent="0.2">
      <c r="B157" s="262">
        <v>57</v>
      </c>
      <c r="C157" s="237" t="str">
        <f t="shared" si="1"/>
        <v/>
      </c>
      <c r="D157" s="237" t="str">
        <f t="shared" si="66"/>
        <v/>
      </c>
      <c r="E157" s="290" t="str">
        <f t="shared" si="38"/>
        <v/>
      </c>
      <c r="F157" s="264" t="str">
        <f t="shared" si="39"/>
        <v/>
      </c>
      <c r="G157" s="291" t="str">
        <f t="shared" si="40"/>
        <v/>
      </c>
      <c r="H157" s="240" t="str">
        <f t="shared" si="71"/>
        <v/>
      </c>
      <c r="I157" s="265" t="str">
        <f t="shared" si="72"/>
        <v/>
      </c>
      <c r="J157" s="265" t="str">
        <f t="shared" si="73"/>
        <v/>
      </c>
      <c r="K157" s="240" t="str">
        <f t="shared" si="74"/>
        <v/>
      </c>
      <c r="L157" s="265" t="str">
        <f t="shared" si="75"/>
        <v/>
      </c>
      <c r="M157" s="265" t="str">
        <f t="shared" si="76"/>
        <v/>
      </c>
      <c r="N157" s="240" t="str">
        <f t="shared" si="77"/>
        <v>-</v>
      </c>
      <c r="O157" s="265" t="str">
        <f t="shared" si="78"/>
        <v>-</v>
      </c>
      <c r="P157" s="265" t="str">
        <f t="shared" si="79"/>
        <v>-</v>
      </c>
      <c r="Q157" s="266" t="str">
        <f t="shared" si="80"/>
        <v>-</v>
      </c>
      <c r="R157" s="267" t="str">
        <f t="shared" si="81"/>
        <v>-</v>
      </c>
      <c r="S157" s="268" t="str">
        <f t="shared" si="82"/>
        <v>-</v>
      </c>
      <c r="T157" s="269" t="str">
        <f t="shared" si="13"/>
        <v/>
      </c>
      <c r="U157" s="221">
        <f t="shared" si="14"/>
        <v>57</v>
      </c>
      <c r="V157" s="220" t="str">
        <f t="shared" si="42"/>
        <v>-</v>
      </c>
      <c r="W157" s="221" t="str">
        <f t="shared" si="43"/>
        <v>-</v>
      </c>
      <c r="X157" s="221" t="str">
        <f t="shared" si="15"/>
        <v>-</v>
      </c>
      <c r="Y157" s="221" t="str">
        <f t="shared" si="16"/>
        <v>-</v>
      </c>
      <c r="Z157" s="270">
        <f t="shared" si="44"/>
        <v>0.1</v>
      </c>
      <c r="AA157" s="271" t="str">
        <f>IFERROR(IF(V156=1,AA$100*EXP(-(LN(2)/$D$65+0.04)*X156)*EXP(-(LN(2)/$D$65+0.1)*Y156),IF(V156=2,AA$100*EXP(-(LN(2)/$D$65+0.04)*(VLOOKUP(($F$16-$F$15)-1,U$99:Y156,4,FALSE)))*EXP(-(LN(2)/$D$65+0.1)*(VLOOKUP(($F$16-$F$15)-1,U$99:Y156,5,FALSE)))*EXP(-(LN(2)/$D$65+0.04)*X156)*EXP(-(LN(2)/$D$65+0.1)*Y156),IF(V156=3,AA$100*EXP(-(LN(2)/$D$65+0.04)*(VLOOKUP(($F$16-$F$15)-1,U$99:Y156,4,FALSE)))*EXP(-(LN(2)/$D$65+0.1)*(VLOOKUP(($F$16-$F$15)-1,U$99:Y156,5,FALSE)))*EXP(-(LN(2)/$D$65+0.04)*(VLOOKUP(($F$16-$F$15)*2-1,U$99:Y156,4,FALSE)))*EXP(-(LN(2)/$D$65+0.1)*(VLOOKUP(($F$16-$F$15)*2-1,U$99:Y156,5,FALSE)))*EXP(-(LN(2)/$D$65+0.04)*X156)*EXP(-(LN(2)/$D$65+0.1)*Y156),"-"))),"-")</f>
        <v>-</v>
      </c>
      <c r="AB157" s="271" t="str">
        <f>IFERROR(IF(V157=1,AB$100*EXP(-(LN(2)/$D$65+0.04)*X157)*EXP(-(LN(2)/$D$65+0.1)*Y157),IF(V157=2,AB$100*EXP(-(LN(2)/$D$65+0.04)*(VLOOKUP(($F$16-$F$15)-1,U$100:Y157,4,FALSE)))*EXP(-(LN(2)/$D$65+0.1)*(VLOOKUP(($F$16-$F$15)-1,U$100:Y157,5,FALSE)))*EXP(-(LN(2)/$D$65+0.04)*X157)*EXP(-(LN(2)/$D$65+0.1)*Y157),IF(V157=3,AB$100*EXP(-(LN(2)/$D$65+0.04)*(VLOOKUP(($F$16-$F$15)-1,U$100:Y157,4,FALSE)))*EXP(-(LN(2)/$D$65+0.1)*(VLOOKUP(($F$16-$F$15)-1,U$100:Y157,5,FALSE)))*EXP(-(LN(2)/$D$65+0.04)*(VLOOKUP(($F$16-$F$15)*2-1,U$100:Y157,4,FALSE)))*EXP(-(LN(2)/$D$65+0.1)*(VLOOKUP(($F$16-$F$15)*2-1,U$100:Y157,5,FALSE)))*EXP(-(LN(2)/$D$65+0.04)*X157)*EXP(-(LN(2)/$D$65+0.1)*Y157),"-"))),"-")</f>
        <v>-</v>
      </c>
      <c r="AC157" s="224">
        <f t="shared" si="45"/>
        <v>57</v>
      </c>
      <c r="AD157" s="223" t="str">
        <f t="shared" si="18"/>
        <v>-</v>
      </c>
      <c r="AE157" s="224" t="str">
        <f t="shared" si="46"/>
        <v>-</v>
      </c>
      <c r="AF157" s="224" t="str">
        <f t="shared" si="19"/>
        <v>-</v>
      </c>
      <c r="AG157" s="224" t="str">
        <f t="shared" si="20"/>
        <v>-</v>
      </c>
      <c r="AH157" s="272">
        <f t="shared" si="47"/>
        <v>0.1</v>
      </c>
      <c r="AI157" s="271" t="str">
        <f>IFERROR(IF(AD156=1,AI$100*EXP(-(LN(2)/$D$65+0.04)*AF156)*EXP(-(LN(2)/$D$65+0.1)*AG156),IF(AD156=2,AI$100*EXP(-(LN(2)/$D$65+0.04)*(VLOOKUP(($F$16-$F$15)-1,AC$99:AG156,4,FALSE)))*EXP(-(LN(2)/$D$65+0.1)*(VLOOKUP(($F$16-$F$15)-1,AC$99:AG156,5,FALSE)))*EXP(-(LN(2)/$D$65+0.04)*AF156)*EXP(-(LN(2)/$D$65+0.1)*AG156),IF(AD156=3,AI$100*EXP(-(LN(2)/$D$65+0.04)*(VLOOKUP(($F$16-$F$15)-1,AC$99:AG156,4,FALSE)))*EXP(-(LN(2)/$D$65+0.1)*(VLOOKUP(($F$16-$F$15)-1,AC$99:AG156,5,FALSE)))*EXP(-(LN(2)/$D$65+0.04)*(VLOOKUP(($F$16-$F$15)*2-1,AC$99:AG156,4,FALSE)))*EXP(-(LN(2)/$D$65+0.1)*(VLOOKUP(($F$16-$F$15)*2-1,AC$99:AG156,5,FALSE)))*EXP(-(LN(2)/$D$65+0.04)*AF156)*EXP(-(LN(2)/$D$65+0.1)*AG156),"-"))),"-")</f>
        <v>-</v>
      </c>
      <c r="AJ157" s="271" t="str">
        <f>IFERROR(IF(AD157=1,AJ$100*EXP(-(LN(2)/$D$65+0.04)*AF157)*EXP(-(LN(2)/$D$65+0.1)*AG157),IF(AD157=2,AJ$100*EXP(-(LN(2)/$D$65+0.04)*(VLOOKUP(($F$16-$F$15)-1,AC$100:AG157,4,FALSE)))*EXP(-(LN(2)/$D$65+0.1)*(VLOOKUP(($F$16-$F$15)-1,AC$100:AG157,5,FALSE)))*EXP(-(LN(2)/$D$65+0.04)*AF157)*EXP(-(LN(2)/$D$65+0.1)*AG157),IF(AD157=3,AJ$100*EXP(-(LN(2)/$D$65+0.04)*(VLOOKUP(($F$16-$F$15)-1,AC$100:AG157,4,FALSE)))*EXP(-(LN(2)/$D$65+0.1)*(VLOOKUP(($F$16-$F$15)-1,AC$100:AG157,5,FALSE)))*EXP(-(LN(2)/$D$65+0.04)*(VLOOKUP(($F$16-$F$15)*2-1,AC$100:AG157,4,FALSE)))*EXP(-(LN(2)/$D$65+0.1)*(VLOOKUP(($F$16-$F$15)*2-1,AC$100:AG157,5,FALSE)))*EXP(-(LN(2)/$D$65+0.04)*AF157)*EXP(-(LN(2)/$D$65+0.1)*AG157),"-"))),"-")</f>
        <v>-</v>
      </c>
      <c r="AK157" s="227">
        <f t="shared" si="49"/>
        <v>57</v>
      </c>
      <c r="AL157" s="226" t="str">
        <f t="shared" si="22"/>
        <v>-</v>
      </c>
      <c r="AM157" s="227" t="str">
        <f t="shared" si="50"/>
        <v>-</v>
      </c>
      <c r="AN157" s="227" t="str">
        <f t="shared" si="51"/>
        <v>-</v>
      </c>
      <c r="AO157" s="227" t="str">
        <f t="shared" si="23"/>
        <v>-</v>
      </c>
      <c r="AP157" s="273">
        <f t="shared" si="52"/>
        <v>0.1</v>
      </c>
      <c r="AQ157" s="271" t="str">
        <f>IFERROR(IF(AL156=1,AQ$100*EXP(-(LN(2)/$D$65+0.04)*AN156)*EXP(-(LN(2)/$D$65+0.1)*AO156),IF(AL156=2,AQ$100*EXP(-(LN(2)/$D$65+0.04)*(VLOOKUP(($F$16-$F$15)-1,AK$99:AO156,4,FALSE)))*EXP(-(LN(2)/$D$65+0.1)*(VLOOKUP(($F$16-$F$15)-1,AK$99:AO156,5,FALSE)))*EXP(-(LN(2)/$D$65+0.04)*AN156)*EXP(-(LN(2)/$D$65+0.1)*AO156),IF(AL156=3,AQ$100*EXP(-(LN(2)/$D$65+0.04)*(VLOOKUP(($F$16-$F$15)-1,AK$99:AO156,4,FALSE)))*EXP(-(LN(2)/$D$65+0.1)*(VLOOKUP(($F$16-$F$15)-1,AK$99:AO156,5,FALSE)))*EXP(-(LN(2)/$D$65+0.04)*(VLOOKUP(($F$16-$F$15)*2-1,AK$99:AO156,4,FALSE)))*EXP(-(LN(2)/$D$65+0.1)*(VLOOKUP(($F$16-$F$15)*2-1,AK$99:AO156,5,FALSE)))*EXP(-(LN(2)/$D$65+0.04)*AN156)*EXP(-(LN(2)/$D$65+0.1)*AO156),"-"))),"-")</f>
        <v>-</v>
      </c>
      <c r="AR157" s="271" t="str">
        <f>IFERROR(IF(AL157=1,AR$100*EXP(-(LN(2)/$D$65+0.04)*AN157)*EXP(-(LN(2)/$D$65+0.1)*AO157),IF(AL157=2,AR$100*EXP(-(LN(2)/$D$65+0.04)*(VLOOKUP(($F$16-$F$15)-1,AK$100:AO157,4,FALSE)))*EXP(-(LN(2)/$D$65+0.1)*(VLOOKUP(($F$16-$F$15)-1,AK$100:AO157,5,FALSE)))*EXP(-(LN(2)/$D$65+0.04)*AN157)*EXP(-(LN(2)/$D$65+0.1)*AO157),IF(AL157=3,AR$100*EXP(-(LN(2)/$D$65+0.04)*(VLOOKUP(($F$16-$F$15)-1,AK$100:AO157,4,FALSE)))*EXP(-(LN(2)/$D$65+0.1)*(VLOOKUP(($F$16-$F$15)-1,AK$100:AO157,5,FALSE)))*EXP(-(LN(2)/$D$65+0.04)*(VLOOKUP(($F$16-$F$15)*2-1,AK$100:AO157,4,FALSE)))*EXP(-(LN(2)/$D$65+0.1)*(VLOOKUP(($F$16-$F$15)*2-1,AK$100:AO157,5,FALSE)))*EXP(-(LN(2)/$D$65+0.04)*AN157)*EXP(-(LN(2)/$D$65+0.1)*AO157),"-"))),"-")</f>
        <v>-</v>
      </c>
      <c r="AS157" s="274">
        <f t="shared" si="24"/>
        <v>0</v>
      </c>
      <c r="AT157" s="274">
        <f t="shared" si="25"/>
        <v>0</v>
      </c>
      <c r="AU157" s="274">
        <f t="shared" si="26"/>
        <v>0</v>
      </c>
      <c r="AV157" s="190" t="str">
        <f>IF($B157&lt;$F$22,SUM($T$100:$T157),"")</f>
        <v/>
      </c>
      <c r="AW157" s="190" t="str">
        <f t="shared" si="83"/>
        <v>-</v>
      </c>
      <c r="AX157" s="190" t="str">
        <f t="shared" si="56"/>
        <v/>
      </c>
      <c r="AY157"/>
      <c r="AZ157" s="190" t="str">
        <f ca="1">IF(ISNUMBER(OFFSET(AV157,-$F$21,0)),SUM(OFFSET($T$100,$F$21,0):$T157),"")</f>
        <v/>
      </c>
      <c r="BA157" s="190" t="str">
        <f t="shared" ca="1" si="84"/>
        <v/>
      </c>
      <c r="BB157" s="190" t="str">
        <f t="shared" ca="1" si="70"/>
        <v/>
      </c>
      <c r="BC157" s="190"/>
      <c r="BD157" s="190" t="str">
        <f ca="1">IFERROR(IF(OR(ISNUMBER(I),ISNUMBER($F$14)),IF(AND($B157&gt;=($F$16-$F$15),$B157&lt;$F$22+($F$16-$F$15)),SUM(OFFSET($T$100,($F$16-$F$15),0):$T157),""),""),"")</f>
        <v/>
      </c>
      <c r="BE157" s="190" t="str">
        <f t="shared" ca="1" si="58"/>
        <v/>
      </c>
      <c r="BF157" s="190" t="str">
        <f t="shared" ca="1" si="59"/>
        <v/>
      </c>
      <c r="BG157"/>
      <c r="BH157" s="190" t="str">
        <f ca="1">IF(ISNUMBER(OFFSET(BD157,-$F$21,0)),SUM(OFFSET($T$100,($F$16-$F$15+$F$21),0):$T157),"")</f>
        <v/>
      </c>
      <c r="BI157" s="190" t="str">
        <f t="shared" ca="1" si="85"/>
        <v/>
      </c>
      <c r="BJ157" s="190" t="str">
        <f t="shared" ca="1" si="60"/>
        <v/>
      </c>
      <c r="BK157" s="190"/>
      <c r="BL157" s="190" t="str">
        <f ca="1">IFERROR(IF(OR(ISNUMBER(I),ISNUMBER($F$14)),IF(AND($B157&gt;=($F$17-$F$15),$B157&lt;$F$22+($F$17-$F$15)),SUM(OFFSET($T$100,($F$17-$F$15),0):$T157),""),""),"")</f>
        <v/>
      </c>
      <c r="BM157" s="190" t="str">
        <f t="shared" ca="1" si="86"/>
        <v/>
      </c>
      <c r="BN157" s="190" t="str">
        <f t="shared" ca="1" si="61"/>
        <v/>
      </c>
      <c r="BO157"/>
      <c r="BP157" s="190" t="str">
        <f ca="1">IF(ISNUMBER(OFFSET(BL157,-$F$21,0)),SUM(OFFSET($T$100,($F$17-$F$15+$F$21),0):$T157),"")</f>
        <v/>
      </c>
      <c r="BQ157" s="190" t="str">
        <f t="shared" ca="1" si="87"/>
        <v/>
      </c>
      <c r="BR157" s="190" t="str">
        <f t="shared" ca="1" si="63"/>
        <v/>
      </c>
      <c r="BS157" s="190"/>
      <c r="BT157"/>
      <c r="BU157"/>
      <c r="BV157"/>
      <c r="BY157" s="99"/>
      <c r="BZ157" s="99"/>
      <c r="CA157" s="280" t="str">
        <f t="shared" si="88"/>
        <v/>
      </c>
      <c r="CB157" s="71" t="str">
        <f t="shared" si="31"/>
        <v>-</v>
      </c>
      <c r="CC157" s="33"/>
      <c r="CD157" s="261" t="str">
        <f t="shared" si="33"/>
        <v/>
      </c>
      <c r="CE157" s="280" t="str">
        <f t="shared" si="89"/>
        <v/>
      </c>
      <c r="CF157" s="71" t="str">
        <f t="shared" ca="1" si="90"/>
        <v/>
      </c>
      <c r="CG157" s="33" t="str">
        <f t="shared" si="36"/>
        <v/>
      </c>
      <c r="CH157" s="261" t="str">
        <f t="shared" ca="1" si="37"/>
        <v/>
      </c>
      <c r="CI157" s="202"/>
      <c r="CJ157" s="99"/>
      <c r="CK157" s="99"/>
      <c r="CL157" s="99"/>
      <c r="CM157" s="99"/>
      <c r="CN157" s="99"/>
      <c r="CO157" s="99"/>
    </row>
    <row r="158" spans="2:93" ht="13.5" customHeight="1" x14ac:dyDescent="0.2">
      <c r="B158" s="262">
        <v>58</v>
      </c>
      <c r="C158" s="237" t="str">
        <f t="shared" si="1"/>
        <v/>
      </c>
      <c r="D158" s="237" t="str">
        <f t="shared" si="66"/>
        <v/>
      </c>
      <c r="E158" s="290" t="str">
        <f t="shared" si="38"/>
        <v/>
      </c>
      <c r="F158" s="264" t="str">
        <f t="shared" si="39"/>
        <v/>
      </c>
      <c r="G158" s="291" t="str">
        <f t="shared" si="40"/>
        <v/>
      </c>
      <c r="H158" s="240" t="str">
        <f t="shared" si="71"/>
        <v/>
      </c>
      <c r="I158" s="265" t="str">
        <f t="shared" si="72"/>
        <v/>
      </c>
      <c r="J158" s="265" t="str">
        <f t="shared" si="73"/>
        <v/>
      </c>
      <c r="K158" s="240" t="str">
        <f t="shared" si="74"/>
        <v/>
      </c>
      <c r="L158" s="265" t="str">
        <f t="shared" si="75"/>
        <v/>
      </c>
      <c r="M158" s="265" t="str">
        <f t="shared" si="76"/>
        <v/>
      </c>
      <c r="N158" s="240" t="str">
        <f t="shared" si="77"/>
        <v>-</v>
      </c>
      <c r="O158" s="265" t="str">
        <f t="shared" si="78"/>
        <v>-</v>
      </c>
      <c r="P158" s="265" t="str">
        <f t="shared" si="79"/>
        <v>-</v>
      </c>
      <c r="Q158" s="266" t="str">
        <f t="shared" si="80"/>
        <v>-</v>
      </c>
      <c r="R158" s="267" t="str">
        <f t="shared" si="81"/>
        <v>-</v>
      </c>
      <c r="S158" s="268" t="str">
        <f t="shared" si="82"/>
        <v>-</v>
      </c>
      <c r="T158" s="269" t="str">
        <f t="shared" si="13"/>
        <v/>
      </c>
      <c r="U158" s="221">
        <f t="shared" si="14"/>
        <v>58</v>
      </c>
      <c r="V158" s="220" t="str">
        <f t="shared" si="42"/>
        <v>-</v>
      </c>
      <c r="W158" s="221" t="str">
        <f t="shared" si="43"/>
        <v>-</v>
      </c>
      <c r="X158" s="221" t="str">
        <f t="shared" si="15"/>
        <v>-</v>
      </c>
      <c r="Y158" s="221" t="str">
        <f t="shared" si="16"/>
        <v>-</v>
      </c>
      <c r="Z158" s="270">
        <f t="shared" si="44"/>
        <v>0.1</v>
      </c>
      <c r="AA158" s="271" t="str">
        <f>IFERROR(IF(V157=1,AA$100*EXP(-(LN(2)/$D$65+0.04)*X157)*EXP(-(LN(2)/$D$65+0.1)*Y157),IF(V157=2,AA$100*EXP(-(LN(2)/$D$65+0.04)*(VLOOKUP(($F$16-$F$15)-1,U$99:Y157,4,FALSE)))*EXP(-(LN(2)/$D$65+0.1)*(VLOOKUP(($F$16-$F$15)-1,U$99:Y157,5,FALSE)))*EXP(-(LN(2)/$D$65+0.04)*X157)*EXP(-(LN(2)/$D$65+0.1)*Y157),IF(V157=3,AA$100*EXP(-(LN(2)/$D$65+0.04)*(VLOOKUP(($F$16-$F$15)-1,U$99:Y157,4,FALSE)))*EXP(-(LN(2)/$D$65+0.1)*(VLOOKUP(($F$16-$F$15)-1,U$99:Y157,5,FALSE)))*EXP(-(LN(2)/$D$65+0.04)*(VLOOKUP(($F$16-$F$15)*2-1,U$99:Y157,4,FALSE)))*EXP(-(LN(2)/$D$65+0.1)*(VLOOKUP(($F$16-$F$15)*2-1,U$99:Y157,5,FALSE)))*EXP(-(LN(2)/$D$65+0.04)*X157)*EXP(-(LN(2)/$D$65+0.1)*Y157),"-"))),"-")</f>
        <v>-</v>
      </c>
      <c r="AB158" s="271" t="str">
        <f>IFERROR(IF(V158=1,AB$100*EXP(-(LN(2)/$D$65+0.04)*X158)*EXP(-(LN(2)/$D$65+0.1)*Y158),IF(V158=2,AB$100*EXP(-(LN(2)/$D$65+0.04)*(VLOOKUP(($F$16-$F$15)-1,U$100:Y158,4,FALSE)))*EXP(-(LN(2)/$D$65+0.1)*(VLOOKUP(($F$16-$F$15)-1,U$100:Y158,5,FALSE)))*EXP(-(LN(2)/$D$65+0.04)*X158)*EXP(-(LN(2)/$D$65+0.1)*Y158),IF(V158=3,AB$100*EXP(-(LN(2)/$D$65+0.04)*(VLOOKUP(($F$16-$F$15)-1,U$100:Y158,4,FALSE)))*EXP(-(LN(2)/$D$65+0.1)*(VLOOKUP(($F$16-$F$15)-1,U$100:Y158,5,FALSE)))*EXP(-(LN(2)/$D$65+0.04)*(VLOOKUP(($F$16-$F$15)*2-1,U$100:Y158,4,FALSE)))*EXP(-(LN(2)/$D$65+0.1)*(VLOOKUP(($F$16-$F$15)*2-1,U$100:Y158,5,FALSE)))*EXP(-(LN(2)/$D$65+0.04)*X158)*EXP(-(LN(2)/$D$65+0.1)*Y158),"-"))),"-")</f>
        <v>-</v>
      </c>
      <c r="AC158" s="224">
        <f t="shared" si="45"/>
        <v>58</v>
      </c>
      <c r="AD158" s="223" t="str">
        <f t="shared" si="18"/>
        <v>-</v>
      </c>
      <c r="AE158" s="224" t="str">
        <f t="shared" si="46"/>
        <v>-</v>
      </c>
      <c r="AF158" s="224" t="str">
        <f t="shared" si="19"/>
        <v>-</v>
      </c>
      <c r="AG158" s="224" t="str">
        <f t="shared" si="20"/>
        <v>-</v>
      </c>
      <c r="AH158" s="272">
        <f t="shared" si="47"/>
        <v>0.1</v>
      </c>
      <c r="AI158" s="271" t="str">
        <f>IFERROR(IF(AD157=1,AI$100*EXP(-(LN(2)/$D$65+0.04)*AF157)*EXP(-(LN(2)/$D$65+0.1)*AG157),IF(AD157=2,AI$100*EXP(-(LN(2)/$D$65+0.04)*(VLOOKUP(($F$16-$F$15)-1,AC$99:AG157,4,FALSE)))*EXP(-(LN(2)/$D$65+0.1)*(VLOOKUP(($F$16-$F$15)-1,AC$99:AG157,5,FALSE)))*EXP(-(LN(2)/$D$65+0.04)*AF157)*EXP(-(LN(2)/$D$65+0.1)*AG157),IF(AD157=3,AI$100*EXP(-(LN(2)/$D$65+0.04)*(VLOOKUP(($F$16-$F$15)-1,AC$99:AG157,4,FALSE)))*EXP(-(LN(2)/$D$65+0.1)*(VLOOKUP(($F$16-$F$15)-1,AC$99:AG157,5,FALSE)))*EXP(-(LN(2)/$D$65+0.04)*(VLOOKUP(($F$16-$F$15)*2-1,AC$99:AG157,4,FALSE)))*EXP(-(LN(2)/$D$65+0.1)*(VLOOKUP(($F$16-$F$15)*2-1,AC$99:AG157,5,FALSE)))*EXP(-(LN(2)/$D$65+0.04)*AF157)*EXP(-(LN(2)/$D$65+0.1)*AG157),"-"))),"-")</f>
        <v>-</v>
      </c>
      <c r="AJ158" s="271" t="str">
        <f>IFERROR(IF(AD158=1,AJ$100*EXP(-(LN(2)/$D$65+0.04)*AF158)*EXP(-(LN(2)/$D$65+0.1)*AG158),IF(AD158=2,AJ$100*EXP(-(LN(2)/$D$65+0.04)*(VLOOKUP(($F$16-$F$15)-1,AC$100:AG158,4,FALSE)))*EXP(-(LN(2)/$D$65+0.1)*(VLOOKUP(($F$16-$F$15)-1,AC$100:AG158,5,FALSE)))*EXP(-(LN(2)/$D$65+0.04)*AF158)*EXP(-(LN(2)/$D$65+0.1)*AG158),IF(AD158=3,AJ$100*EXP(-(LN(2)/$D$65+0.04)*(VLOOKUP(($F$16-$F$15)-1,AC$100:AG158,4,FALSE)))*EXP(-(LN(2)/$D$65+0.1)*(VLOOKUP(($F$16-$F$15)-1,AC$100:AG158,5,FALSE)))*EXP(-(LN(2)/$D$65+0.04)*(VLOOKUP(($F$16-$F$15)*2-1,AC$100:AG158,4,FALSE)))*EXP(-(LN(2)/$D$65+0.1)*(VLOOKUP(($F$16-$F$15)*2-1,AC$100:AG158,5,FALSE)))*EXP(-(LN(2)/$D$65+0.04)*AF158)*EXP(-(LN(2)/$D$65+0.1)*AG158),"-"))),"-")</f>
        <v>-</v>
      </c>
      <c r="AK158" s="227">
        <f t="shared" si="49"/>
        <v>58</v>
      </c>
      <c r="AL158" s="226" t="str">
        <f t="shared" si="22"/>
        <v>-</v>
      </c>
      <c r="AM158" s="227" t="str">
        <f t="shared" si="50"/>
        <v>-</v>
      </c>
      <c r="AN158" s="227" t="str">
        <f t="shared" si="51"/>
        <v>-</v>
      </c>
      <c r="AO158" s="227" t="str">
        <f t="shared" si="23"/>
        <v>-</v>
      </c>
      <c r="AP158" s="273">
        <f t="shared" si="52"/>
        <v>0.1</v>
      </c>
      <c r="AQ158" s="271" t="str">
        <f>IFERROR(IF(AL157=1,AQ$100*EXP(-(LN(2)/$D$65+0.04)*AN157)*EXP(-(LN(2)/$D$65+0.1)*AO157),IF(AL157=2,AQ$100*EXP(-(LN(2)/$D$65+0.04)*(VLOOKUP(($F$16-$F$15)-1,AK$99:AO157,4,FALSE)))*EXP(-(LN(2)/$D$65+0.1)*(VLOOKUP(($F$16-$F$15)-1,AK$99:AO157,5,FALSE)))*EXP(-(LN(2)/$D$65+0.04)*AN157)*EXP(-(LN(2)/$D$65+0.1)*AO157),IF(AL157=3,AQ$100*EXP(-(LN(2)/$D$65+0.04)*(VLOOKUP(($F$16-$F$15)-1,AK$99:AO157,4,FALSE)))*EXP(-(LN(2)/$D$65+0.1)*(VLOOKUP(($F$16-$F$15)-1,AK$99:AO157,5,FALSE)))*EXP(-(LN(2)/$D$65+0.04)*(VLOOKUP(($F$16-$F$15)*2-1,AK$99:AO157,4,FALSE)))*EXP(-(LN(2)/$D$65+0.1)*(VLOOKUP(($F$16-$F$15)*2-1,AK$99:AO157,5,FALSE)))*EXP(-(LN(2)/$D$65+0.04)*AN157)*EXP(-(LN(2)/$D$65+0.1)*AO157),"-"))),"-")</f>
        <v>-</v>
      </c>
      <c r="AR158" s="271" t="str">
        <f>IFERROR(IF(AL158=1,AR$100*EXP(-(LN(2)/$D$65+0.04)*AN158)*EXP(-(LN(2)/$D$65+0.1)*AO158),IF(AL158=2,AR$100*EXP(-(LN(2)/$D$65+0.04)*(VLOOKUP(($F$16-$F$15)-1,AK$100:AO158,4,FALSE)))*EXP(-(LN(2)/$D$65+0.1)*(VLOOKUP(($F$16-$F$15)-1,AK$100:AO158,5,FALSE)))*EXP(-(LN(2)/$D$65+0.04)*AN158)*EXP(-(LN(2)/$D$65+0.1)*AO158),IF(AL158=3,AR$100*EXP(-(LN(2)/$D$65+0.04)*(VLOOKUP(($F$16-$F$15)-1,AK$100:AO158,4,FALSE)))*EXP(-(LN(2)/$D$65+0.1)*(VLOOKUP(($F$16-$F$15)-1,AK$100:AO158,5,FALSE)))*EXP(-(LN(2)/$D$65+0.04)*(VLOOKUP(($F$16-$F$15)*2-1,AK$100:AO158,4,FALSE)))*EXP(-(LN(2)/$D$65+0.1)*(VLOOKUP(($F$16-$F$15)*2-1,AK$100:AO158,5,FALSE)))*EXP(-(LN(2)/$D$65+0.04)*AN158)*EXP(-(LN(2)/$D$65+0.1)*AO158),"-"))),"-")</f>
        <v>-</v>
      </c>
      <c r="AS158" s="274">
        <f t="shared" si="24"/>
        <v>0</v>
      </c>
      <c r="AT158" s="274">
        <f t="shared" si="25"/>
        <v>0</v>
      </c>
      <c r="AU158" s="274">
        <f t="shared" si="26"/>
        <v>0</v>
      </c>
      <c r="AV158" s="190" t="str">
        <f>IF($B158&lt;$F$22,SUM($T$100:$T158),"")</f>
        <v/>
      </c>
      <c r="AW158" s="190" t="str">
        <f t="shared" si="83"/>
        <v>-</v>
      </c>
      <c r="AX158" s="190" t="str">
        <f t="shared" si="56"/>
        <v/>
      </c>
      <c r="AY158"/>
      <c r="AZ158" s="190" t="str">
        <f ca="1">IF(ISNUMBER(OFFSET(AV158,-$F$21,0)),SUM(OFFSET($T$100,$F$21,0):$T158),"")</f>
        <v/>
      </c>
      <c r="BA158" s="190" t="str">
        <f t="shared" ca="1" si="84"/>
        <v/>
      </c>
      <c r="BB158" s="190" t="str">
        <f t="shared" ca="1" si="70"/>
        <v/>
      </c>
      <c r="BC158" s="190"/>
      <c r="BD158" s="190" t="str">
        <f ca="1">IFERROR(IF(OR(ISNUMBER(I),ISNUMBER($F$14)),IF(AND($B158&gt;=($F$16-$F$15),$B158&lt;$F$22+($F$16-$F$15)),SUM(OFFSET($T$100,($F$16-$F$15),0):$T158),""),""),"")</f>
        <v/>
      </c>
      <c r="BE158" s="190" t="str">
        <f t="shared" ca="1" si="58"/>
        <v/>
      </c>
      <c r="BF158" s="190" t="str">
        <f t="shared" ca="1" si="59"/>
        <v/>
      </c>
      <c r="BG158"/>
      <c r="BH158" s="190" t="str">
        <f ca="1">IF(ISNUMBER(OFFSET(BD158,-$F$21,0)),SUM(OFFSET($T$100,($F$16-$F$15+$F$21),0):$T158),"")</f>
        <v/>
      </c>
      <c r="BI158" s="190" t="str">
        <f t="shared" ca="1" si="85"/>
        <v/>
      </c>
      <c r="BJ158" s="190" t="str">
        <f t="shared" ca="1" si="60"/>
        <v/>
      </c>
      <c r="BK158" s="190"/>
      <c r="BL158" s="190" t="str">
        <f ca="1">IFERROR(IF(OR(ISNUMBER(I),ISNUMBER($F$14)),IF(AND($B158&gt;=($F$17-$F$15),$B158&lt;$F$22+($F$17-$F$15)),SUM(OFFSET($T$100,($F$17-$F$15),0):$T158),""),""),"")</f>
        <v/>
      </c>
      <c r="BM158" s="190" t="str">
        <f t="shared" ca="1" si="86"/>
        <v/>
      </c>
      <c r="BN158" s="190" t="str">
        <f t="shared" ca="1" si="61"/>
        <v/>
      </c>
      <c r="BO158"/>
      <c r="BP158" s="190" t="str">
        <f ca="1">IF(ISNUMBER(OFFSET(BL158,-$F$21,0)),SUM(OFFSET($T$100,($F$17-$F$15+$F$21),0):$T158),"")</f>
        <v/>
      </c>
      <c r="BQ158" s="190" t="str">
        <f t="shared" ca="1" si="87"/>
        <v/>
      </c>
      <c r="BR158" s="190" t="str">
        <f t="shared" ca="1" si="63"/>
        <v/>
      </c>
      <c r="BS158" s="190"/>
      <c r="BT158"/>
      <c r="BU158"/>
      <c r="BV158"/>
      <c r="BY158" s="99"/>
      <c r="BZ158" s="99"/>
      <c r="CA158" s="280" t="str">
        <f t="shared" si="88"/>
        <v/>
      </c>
      <c r="CB158" s="71" t="str">
        <f t="shared" si="31"/>
        <v>-</v>
      </c>
      <c r="CC158" s="33"/>
      <c r="CD158" s="261" t="str">
        <f t="shared" si="33"/>
        <v/>
      </c>
      <c r="CE158" s="280" t="str">
        <f t="shared" si="89"/>
        <v/>
      </c>
      <c r="CF158" s="71" t="str">
        <f t="shared" ca="1" si="90"/>
        <v/>
      </c>
      <c r="CG158" s="33" t="str">
        <f t="shared" si="36"/>
        <v/>
      </c>
      <c r="CH158" s="261" t="str">
        <f t="shared" ca="1" si="37"/>
        <v/>
      </c>
      <c r="CI158" s="202"/>
      <c r="CJ158" s="99"/>
      <c r="CK158" s="99"/>
      <c r="CL158" s="99"/>
      <c r="CM158" s="99"/>
      <c r="CN158" s="99"/>
      <c r="CO158" s="99"/>
    </row>
    <row r="159" spans="2:93" ht="13.5" customHeight="1" x14ac:dyDescent="0.2">
      <c r="B159" s="262">
        <v>59</v>
      </c>
      <c r="C159" s="237" t="str">
        <f t="shared" si="1"/>
        <v/>
      </c>
      <c r="D159" s="237" t="str">
        <f t="shared" si="66"/>
        <v/>
      </c>
      <c r="E159" s="290" t="str">
        <f t="shared" si="38"/>
        <v/>
      </c>
      <c r="F159" s="264" t="str">
        <f t="shared" si="39"/>
        <v/>
      </c>
      <c r="G159" s="291" t="str">
        <f t="shared" si="40"/>
        <v/>
      </c>
      <c r="H159" s="240" t="str">
        <f t="shared" si="71"/>
        <v/>
      </c>
      <c r="I159" s="265" t="str">
        <f t="shared" si="72"/>
        <v/>
      </c>
      <c r="J159" s="265" t="str">
        <f t="shared" si="73"/>
        <v/>
      </c>
      <c r="K159" s="240" t="str">
        <f t="shared" si="74"/>
        <v/>
      </c>
      <c r="L159" s="265" t="str">
        <f t="shared" si="75"/>
        <v/>
      </c>
      <c r="M159" s="265" t="str">
        <f t="shared" si="76"/>
        <v/>
      </c>
      <c r="N159" s="240" t="str">
        <f t="shared" si="77"/>
        <v>-</v>
      </c>
      <c r="O159" s="265" t="str">
        <f t="shared" si="78"/>
        <v>-</v>
      </c>
      <c r="P159" s="265" t="str">
        <f t="shared" si="79"/>
        <v>-</v>
      </c>
      <c r="Q159" s="266" t="str">
        <f t="shared" si="80"/>
        <v>-</v>
      </c>
      <c r="R159" s="267" t="str">
        <f t="shared" si="81"/>
        <v>-</v>
      </c>
      <c r="S159" s="268" t="str">
        <f t="shared" si="82"/>
        <v>-</v>
      </c>
      <c r="T159" s="269" t="str">
        <f t="shared" si="13"/>
        <v/>
      </c>
      <c r="U159" s="221">
        <f t="shared" si="14"/>
        <v>59</v>
      </c>
      <c r="V159" s="220" t="str">
        <f t="shared" si="42"/>
        <v>-</v>
      </c>
      <c r="W159" s="221" t="str">
        <f t="shared" si="43"/>
        <v>-</v>
      </c>
      <c r="X159" s="221" t="str">
        <f t="shared" si="15"/>
        <v>-</v>
      </c>
      <c r="Y159" s="221" t="str">
        <f t="shared" si="16"/>
        <v>-</v>
      </c>
      <c r="Z159" s="270">
        <f t="shared" si="44"/>
        <v>0.1</v>
      </c>
      <c r="AA159" s="271" t="str">
        <f>IFERROR(IF(V158=1,AA$100*EXP(-(LN(2)/$D$65+0.04)*X158)*EXP(-(LN(2)/$D$65+0.1)*Y158),IF(V158=2,AA$100*EXP(-(LN(2)/$D$65+0.04)*(VLOOKUP(($F$16-$F$15)-1,U$99:Y158,4,FALSE)))*EXP(-(LN(2)/$D$65+0.1)*(VLOOKUP(($F$16-$F$15)-1,U$99:Y158,5,FALSE)))*EXP(-(LN(2)/$D$65+0.04)*X158)*EXP(-(LN(2)/$D$65+0.1)*Y158),IF(V158=3,AA$100*EXP(-(LN(2)/$D$65+0.04)*(VLOOKUP(($F$16-$F$15)-1,U$99:Y158,4,FALSE)))*EXP(-(LN(2)/$D$65+0.1)*(VLOOKUP(($F$16-$F$15)-1,U$99:Y158,5,FALSE)))*EXP(-(LN(2)/$D$65+0.04)*(VLOOKUP(($F$16-$F$15)*2-1,U$99:Y158,4,FALSE)))*EXP(-(LN(2)/$D$65+0.1)*(VLOOKUP(($F$16-$F$15)*2-1,U$99:Y158,5,FALSE)))*EXP(-(LN(2)/$D$65+0.04)*X158)*EXP(-(LN(2)/$D$65+0.1)*Y158),"-"))),"-")</f>
        <v>-</v>
      </c>
      <c r="AB159" s="271" t="str">
        <f>IFERROR(IF(V159=1,AB$100*EXP(-(LN(2)/$D$65+0.04)*X159)*EXP(-(LN(2)/$D$65+0.1)*Y159),IF(V159=2,AB$100*EXP(-(LN(2)/$D$65+0.04)*(VLOOKUP(($F$16-$F$15)-1,U$100:Y159,4,FALSE)))*EXP(-(LN(2)/$D$65+0.1)*(VLOOKUP(($F$16-$F$15)-1,U$100:Y159,5,FALSE)))*EXP(-(LN(2)/$D$65+0.04)*X159)*EXP(-(LN(2)/$D$65+0.1)*Y159),IF(V159=3,AB$100*EXP(-(LN(2)/$D$65+0.04)*(VLOOKUP(($F$16-$F$15)-1,U$100:Y159,4,FALSE)))*EXP(-(LN(2)/$D$65+0.1)*(VLOOKUP(($F$16-$F$15)-1,U$100:Y159,5,FALSE)))*EXP(-(LN(2)/$D$65+0.04)*(VLOOKUP(($F$16-$F$15)*2-1,U$100:Y159,4,FALSE)))*EXP(-(LN(2)/$D$65+0.1)*(VLOOKUP(($F$16-$F$15)*2-1,U$100:Y159,5,FALSE)))*EXP(-(LN(2)/$D$65+0.04)*X159)*EXP(-(LN(2)/$D$65+0.1)*Y159),"-"))),"-")</f>
        <v>-</v>
      </c>
      <c r="AC159" s="224">
        <f t="shared" si="45"/>
        <v>59</v>
      </c>
      <c r="AD159" s="223" t="str">
        <f t="shared" si="18"/>
        <v>-</v>
      </c>
      <c r="AE159" s="224" t="str">
        <f t="shared" si="46"/>
        <v>-</v>
      </c>
      <c r="AF159" s="224" t="str">
        <f t="shared" si="19"/>
        <v>-</v>
      </c>
      <c r="AG159" s="224" t="str">
        <f t="shared" si="20"/>
        <v>-</v>
      </c>
      <c r="AH159" s="272">
        <f t="shared" si="47"/>
        <v>0.1</v>
      </c>
      <c r="AI159" s="271" t="str">
        <f>IFERROR(IF(AD158=1,AI$100*EXP(-(LN(2)/$D$65+0.04)*AF158)*EXP(-(LN(2)/$D$65+0.1)*AG158),IF(AD158=2,AI$100*EXP(-(LN(2)/$D$65+0.04)*(VLOOKUP(($F$16-$F$15)-1,AC$99:AG158,4,FALSE)))*EXP(-(LN(2)/$D$65+0.1)*(VLOOKUP(($F$16-$F$15)-1,AC$99:AG158,5,FALSE)))*EXP(-(LN(2)/$D$65+0.04)*AF158)*EXP(-(LN(2)/$D$65+0.1)*AG158),IF(AD158=3,AI$100*EXP(-(LN(2)/$D$65+0.04)*(VLOOKUP(($F$16-$F$15)-1,AC$99:AG158,4,FALSE)))*EXP(-(LN(2)/$D$65+0.1)*(VLOOKUP(($F$16-$F$15)-1,AC$99:AG158,5,FALSE)))*EXP(-(LN(2)/$D$65+0.04)*(VLOOKUP(($F$16-$F$15)*2-1,AC$99:AG158,4,FALSE)))*EXP(-(LN(2)/$D$65+0.1)*(VLOOKUP(($F$16-$F$15)*2-1,AC$99:AG158,5,FALSE)))*EXP(-(LN(2)/$D$65+0.04)*AF158)*EXP(-(LN(2)/$D$65+0.1)*AG158),"-"))),"-")</f>
        <v>-</v>
      </c>
      <c r="AJ159" s="271" t="str">
        <f>IFERROR(IF(AD159=1,AJ$100*EXP(-(LN(2)/$D$65+0.04)*AF159)*EXP(-(LN(2)/$D$65+0.1)*AG159),IF(AD159=2,AJ$100*EXP(-(LN(2)/$D$65+0.04)*(VLOOKUP(($F$16-$F$15)-1,AC$100:AG159,4,FALSE)))*EXP(-(LN(2)/$D$65+0.1)*(VLOOKUP(($F$16-$F$15)-1,AC$100:AG159,5,FALSE)))*EXP(-(LN(2)/$D$65+0.04)*AF159)*EXP(-(LN(2)/$D$65+0.1)*AG159),IF(AD159=3,AJ$100*EXP(-(LN(2)/$D$65+0.04)*(VLOOKUP(($F$16-$F$15)-1,AC$100:AG159,4,FALSE)))*EXP(-(LN(2)/$D$65+0.1)*(VLOOKUP(($F$16-$F$15)-1,AC$100:AG159,5,FALSE)))*EXP(-(LN(2)/$D$65+0.04)*(VLOOKUP(($F$16-$F$15)*2-1,AC$100:AG159,4,FALSE)))*EXP(-(LN(2)/$D$65+0.1)*(VLOOKUP(($F$16-$F$15)*2-1,AC$100:AG159,5,FALSE)))*EXP(-(LN(2)/$D$65+0.04)*AF159)*EXP(-(LN(2)/$D$65+0.1)*AG159),"-"))),"-")</f>
        <v>-</v>
      </c>
      <c r="AK159" s="227">
        <f t="shared" si="49"/>
        <v>59</v>
      </c>
      <c r="AL159" s="226" t="str">
        <f t="shared" si="22"/>
        <v>-</v>
      </c>
      <c r="AM159" s="227" t="str">
        <f t="shared" si="50"/>
        <v>-</v>
      </c>
      <c r="AN159" s="227" t="str">
        <f t="shared" si="51"/>
        <v>-</v>
      </c>
      <c r="AO159" s="227" t="str">
        <f t="shared" si="23"/>
        <v>-</v>
      </c>
      <c r="AP159" s="273">
        <f t="shared" si="52"/>
        <v>0.1</v>
      </c>
      <c r="AQ159" s="271" t="str">
        <f>IFERROR(IF(AL158=1,AQ$100*EXP(-(LN(2)/$D$65+0.04)*AN158)*EXP(-(LN(2)/$D$65+0.1)*AO158),IF(AL158=2,AQ$100*EXP(-(LN(2)/$D$65+0.04)*(VLOOKUP(($F$16-$F$15)-1,AK$99:AO158,4,FALSE)))*EXP(-(LN(2)/$D$65+0.1)*(VLOOKUP(($F$16-$F$15)-1,AK$99:AO158,5,FALSE)))*EXP(-(LN(2)/$D$65+0.04)*AN158)*EXP(-(LN(2)/$D$65+0.1)*AO158),IF(AL158=3,AQ$100*EXP(-(LN(2)/$D$65+0.04)*(VLOOKUP(($F$16-$F$15)-1,AK$99:AO158,4,FALSE)))*EXP(-(LN(2)/$D$65+0.1)*(VLOOKUP(($F$16-$F$15)-1,AK$99:AO158,5,FALSE)))*EXP(-(LN(2)/$D$65+0.04)*(VLOOKUP(($F$16-$F$15)*2-1,AK$99:AO158,4,FALSE)))*EXP(-(LN(2)/$D$65+0.1)*(VLOOKUP(($F$16-$F$15)*2-1,AK$99:AO158,5,FALSE)))*EXP(-(LN(2)/$D$65+0.04)*AN158)*EXP(-(LN(2)/$D$65+0.1)*AO158),"-"))),"-")</f>
        <v>-</v>
      </c>
      <c r="AR159" s="271" t="str">
        <f>IFERROR(IF(AL159=1,AR$100*EXP(-(LN(2)/$D$65+0.04)*AN159)*EXP(-(LN(2)/$D$65+0.1)*AO159),IF(AL159=2,AR$100*EXP(-(LN(2)/$D$65+0.04)*(VLOOKUP(($F$16-$F$15)-1,AK$100:AO159,4,FALSE)))*EXP(-(LN(2)/$D$65+0.1)*(VLOOKUP(($F$16-$F$15)-1,AK$100:AO159,5,FALSE)))*EXP(-(LN(2)/$D$65+0.04)*AN159)*EXP(-(LN(2)/$D$65+0.1)*AO159),IF(AL159=3,AR$100*EXP(-(LN(2)/$D$65+0.04)*(VLOOKUP(($F$16-$F$15)-1,AK$100:AO159,4,FALSE)))*EXP(-(LN(2)/$D$65+0.1)*(VLOOKUP(($F$16-$F$15)-1,AK$100:AO159,5,FALSE)))*EXP(-(LN(2)/$D$65+0.04)*(VLOOKUP(($F$16-$F$15)*2-1,AK$100:AO159,4,FALSE)))*EXP(-(LN(2)/$D$65+0.1)*(VLOOKUP(($F$16-$F$15)*2-1,AK$100:AO159,5,FALSE)))*EXP(-(LN(2)/$D$65+0.04)*AN159)*EXP(-(LN(2)/$D$65+0.1)*AO159),"-"))),"-")</f>
        <v>-</v>
      </c>
      <c r="AS159" s="274">
        <f t="shared" si="24"/>
        <v>0</v>
      </c>
      <c r="AT159" s="274">
        <f t="shared" si="25"/>
        <v>0</v>
      </c>
      <c r="AU159" s="274">
        <f t="shared" si="26"/>
        <v>0</v>
      </c>
      <c r="AV159" s="190" t="str">
        <f>IF($B159&lt;$F$22,SUM($T$100:$T159),"")</f>
        <v/>
      </c>
      <c r="AW159" s="190" t="str">
        <f t="shared" si="83"/>
        <v>-</v>
      </c>
      <c r="AX159" s="190" t="str">
        <f t="shared" si="56"/>
        <v/>
      </c>
      <c r="AY159"/>
      <c r="AZ159" s="190" t="str">
        <f ca="1">IF(ISNUMBER(OFFSET(AV159,-$F$21,0)),SUM(OFFSET($T$100,$F$21,0):$T159),"")</f>
        <v/>
      </c>
      <c r="BA159" s="190" t="str">
        <f t="shared" ca="1" si="84"/>
        <v/>
      </c>
      <c r="BB159" s="190" t="str">
        <f t="shared" ca="1" si="70"/>
        <v/>
      </c>
      <c r="BC159" s="190"/>
      <c r="BD159" s="190" t="str">
        <f ca="1">IFERROR(IF(OR(ISNUMBER(I),ISNUMBER($F$14)),IF(AND($B159&gt;=($F$16-$F$15),$B159&lt;$F$22+($F$16-$F$15)),SUM(OFFSET($T$100,($F$16-$F$15),0):$T159),""),""),"")</f>
        <v/>
      </c>
      <c r="BE159" s="190" t="str">
        <f t="shared" ca="1" si="58"/>
        <v/>
      </c>
      <c r="BF159" s="190" t="str">
        <f t="shared" ca="1" si="59"/>
        <v/>
      </c>
      <c r="BG159"/>
      <c r="BH159" s="190" t="str">
        <f ca="1">IF(ISNUMBER(OFFSET(BD159,-$F$21,0)),SUM(OFFSET($T$100,($F$16-$F$15+$F$21),0):$T159),"")</f>
        <v/>
      </c>
      <c r="BI159" s="190" t="str">
        <f t="shared" ca="1" si="85"/>
        <v/>
      </c>
      <c r="BJ159" s="190" t="str">
        <f t="shared" ca="1" si="60"/>
        <v/>
      </c>
      <c r="BK159" s="190"/>
      <c r="BL159" s="190" t="str">
        <f ca="1">IFERROR(IF(OR(ISNUMBER(I),ISNUMBER($F$14)),IF(AND($B159&gt;=($F$17-$F$15),$B159&lt;$F$22+($F$17-$F$15)),SUM(OFFSET($T$100,($F$17-$F$15),0):$T159),""),""),"")</f>
        <v/>
      </c>
      <c r="BM159" s="190" t="str">
        <f t="shared" ca="1" si="86"/>
        <v/>
      </c>
      <c r="BN159" s="190" t="str">
        <f t="shared" ca="1" si="61"/>
        <v/>
      </c>
      <c r="BO159"/>
      <c r="BP159" s="190" t="str">
        <f ca="1">IF(ISNUMBER(OFFSET(BL159,-$F$21,0)),SUM(OFFSET($T$100,($F$17-$F$15+$F$21),0):$T159),"")</f>
        <v/>
      </c>
      <c r="BQ159" s="190" t="str">
        <f t="shared" ca="1" si="87"/>
        <v/>
      </c>
      <c r="BR159" s="190" t="str">
        <f t="shared" ca="1" si="63"/>
        <v/>
      </c>
      <c r="BS159" s="190"/>
      <c r="BT159"/>
      <c r="BU159"/>
      <c r="BV159"/>
      <c r="BY159" s="99"/>
      <c r="BZ159" s="99"/>
      <c r="CA159" s="280" t="str">
        <f t="shared" si="88"/>
        <v/>
      </c>
      <c r="CB159" s="71" t="str">
        <f t="shared" si="31"/>
        <v>-</v>
      </c>
      <c r="CC159" s="33"/>
      <c r="CD159" s="261" t="str">
        <f t="shared" si="33"/>
        <v/>
      </c>
      <c r="CE159" s="280" t="str">
        <f t="shared" si="89"/>
        <v/>
      </c>
      <c r="CF159" s="71" t="str">
        <f t="shared" ca="1" si="90"/>
        <v/>
      </c>
      <c r="CG159" s="33" t="str">
        <f t="shared" si="36"/>
        <v/>
      </c>
      <c r="CH159" s="261" t="str">
        <f t="shared" ca="1" si="37"/>
        <v/>
      </c>
      <c r="CI159" s="202"/>
      <c r="CJ159" s="99"/>
      <c r="CK159" s="99"/>
      <c r="CL159" s="99"/>
      <c r="CM159" s="99"/>
      <c r="CN159" s="99"/>
      <c r="CO159" s="99"/>
    </row>
    <row r="160" spans="2:93" ht="13.5" customHeight="1" x14ac:dyDescent="0.2">
      <c r="B160" s="262">
        <v>60</v>
      </c>
      <c r="C160" s="237" t="str">
        <f t="shared" si="1"/>
        <v/>
      </c>
      <c r="D160" s="237" t="str">
        <f t="shared" si="66"/>
        <v/>
      </c>
      <c r="E160" s="290" t="str">
        <f t="shared" si="38"/>
        <v/>
      </c>
      <c r="F160" s="264" t="str">
        <f t="shared" si="39"/>
        <v/>
      </c>
      <c r="G160" s="291" t="str">
        <f t="shared" si="40"/>
        <v/>
      </c>
      <c r="H160" s="240" t="str">
        <f t="shared" si="71"/>
        <v/>
      </c>
      <c r="I160" s="265" t="str">
        <f t="shared" si="72"/>
        <v/>
      </c>
      <c r="J160" s="265" t="str">
        <f t="shared" si="73"/>
        <v/>
      </c>
      <c r="K160" s="240" t="str">
        <f t="shared" si="74"/>
        <v/>
      </c>
      <c r="L160" s="265" t="str">
        <f t="shared" si="75"/>
        <v/>
      </c>
      <c r="M160" s="265" t="str">
        <f t="shared" si="76"/>
        <v/>
      </c>
      <c r="N160" s="240" t="str">
        <f t="shared" si="77"/>
        <v>-</v>
      </c>
      <c r="O160" s="265" t="str">
        <f t="shared" si="78"/>
        <v>-</v>
      </c>
      <c r="P160" s="265" t="str">
        <f t="shared" si="79"/>
        <v>-</v>
      </c>
      <c r="Q160" s="266" t="str">
        <f t="shared" si="80"/>
        <v>-</v>
      </c>
      <c r="R160" s="267" t="str">
        <f t="shared" si="81"/>
        <v>-</v>
      </c>
      <c r="S160" s="268" t="str">
        <f t="shared" si="82"/>
        <v>-</v>
      </c>
      <c r="T160" s="269" t="str">
        <f t="shared" si="13"/>
        <v/>
      </c>
      <c r="U160" s="221">
        <f t="shared" si="14"/>
        <v>60</v>
      </c>
      <c r="V160" s="220" t="str">
        <f t="shared" si="42"/>
        <v>-</v>
      </c>
      <c r="W160" s="221" t="str">
        <f t="shared" si="43"/>
        <v>-</v>
      </c>
      <c r="X160" s="221" t="str">
        <f t="shared" si="15"/>
        <v>-</v>
      </c>
      <c r="Y160" s="221" t="str">
        <f t="shared" si="16"/>
        <v>-</v>
      </c>
      <c r="Z160" s="270">
        <f t="shared" si="44"/>
        <v>0.1</v>
      </c>
      <c r="AA160" s="271" t="str">
        <f>IFERROR(IF(V159=1,AA$100*EXP(-(LN(2)/$D$65+0.04)*X159)*EXP(-(LN(2)/$D$65+0.1)*Y159),IF(V159=2,AA$100*EXP(-(LN(2)/$D$65+0.04)*(VLOOKUP(($F$16-$F$15)-1,U$99:Y159,4,FALSE)))*EXP(-(LN(2)/$D$65+0.1)*(VLOOKUP(($F$16-$F$15)-1,U$99:Y159,5,FALSE)))*EXP(-(LN(2)/$D$65+0.04)*X159)*EXP(-(LN(2)/$D$65+0.1)*Y159),IF(V159=3,AA$100*EXP(-(LN(2)/$D$65+0.04)*(VLOOKUP(($F$16-$F$15)-1,U$99:Y159,4,FALSE)))*EXP(-(LN(2)/$D$65+0.1)*(VLOOKUP(($F$16-$F$15)-1,U$99:Y159,5,FALSE)))*EXP(-(LN(2)/$D$65+0.04)*(VLOOKUP(($F$16-$F$15)*2-1,U$99:Y159,4,FALSE)))*EXP(-(LN(2)/$D$65+0.1)*(VLOOKUP(($F$16-$F$15)*2-1,U$99:Y159,5,FALSE)))*EXP(-(LN(2)/$D$65+0.04)*X159)*EXP(-(LN(2)/$D$65+0.1)*Y159),"-"))),"-")</f>
        <v>-</v>
      </c>
      <c r="AB160" s="271" t="str">
        <f>IFERROR(IF(V160=1,AB$100*EXP(-(LN(2)/$D$65+0.04)*X160)*EXP(-(LN(2)/$D$65+0.1)*Y160),IF(V160=2,AB$100*EXP(-(LN(2)/$D$65+0.04)*(VLOOKUP(($F$16-$F$15)-1,U$100:Y160,4,FALSE)))*EXP(-(LN(2)/$D$65+0.1)*(VLOOKUP(($F$16-$F$15)-1,U$100:Y160,5,FALSE)))*EXP(-(LN(2)/$D$65+0.04)*X160)*EXP(-(LN(2)/$D$65+0.1)*Y160),IF(V160=3,AB$100*EXP(-(LN(2)/$D$65+0.04)*(VLOOKUP(($F$16-$F$15)-1,U$100:Y160,4,FALSE)))*EXP(-(LN(2)/$D$65+0.1)*(VLOOKUP(($F$16-$F$15)-1,U$100:Y160,5,FALSE)))*EXP(-(LN(2)/$D$65+0.04)*(VLOOKUP(($F$16-$F$15)*2-1,U$100:Y160,4,FALSE)))*EXP(-(LN(2)/$D$65+0.1)*(VLOOKUP(($F$16-$F$15)*2-1,U$100:Y160,5,FALSE)))*EXP(-(LN(2)/$D$65+0.04)*X160)*EXP(-(LN(2)/$D$65+0.1)*Y160),"-"))),"-")</f>
        <v>-</v>
      </c>
      <c r="AC160" s="224">
        <f t="shared" si="45"/>
        <v>60</v>
      </c>
      <c r="AD160" s="223" t="str">
        <f t="shared" si="18"/>
        <v>-</v>
      </c>
      <c r="AE160" s="224" t="str">
        <f t="shared" si="46"/>
        <v>-</v>
      </c>
      <c r="AF160" s="224" t="str">
        <f t="shared" si="19"/>
        <v>-</v>
      </c>
      <c r="AG160" s="224" t="str">
        <f t="shared" si="20"/>
        <v>-</v>
      </c>
      <c r="AH160" s="272">
        <f t="shared" si="47"/>
        <v>0.1</v>
      </c>
      <c r="AI160" s="271" t="str">
        <f>IFERROR(IF(AD159=1,AI$100*EXP(-(LN(2)/$D$65+0.04)*AF159)*EXP(-(LN(2)/$D$65+0.1)*AG159),IF(AD159=2,AI$100*EXP(-(LN(2)/$D$65+0.04)*(VLOOKUP(($F$16-$F$15)-1,AC$99:AG159,4,FALSE)))*EXP(-(LN(2)/$D$65+0.1)*(VLOOKUP(($F$16-$F$15)-1,AC$99:AG159,5,FALSE)))*EXP(-(LN(2)/$D$65+0.04)*AF159)*EXP(-(LN(2)/$D$65+0.1)*AG159),IF(AD159=3,AI$100*EXP(-(LN(2)/$D$65+0.04)*(VLOOKUP(($F$16-$F$15)-1,AC$99:AG159,4,FALSE)))*EXP(-(LN(2)/$D$65+0.1)*(VLOOKUP(($F$16-$F$15)-1,AC$99:AG159,5,FALSE)))*EXP(-(LN(2)/$D$65+0.04)*(VLOOKUP(($F$16-$F$15)*2-1,AC$99:AG159,4,FALSE)))*EXP(-(LN(2)/$D$65+0.1)*(VLOOKUP(($F$16-$F$15)*2-1,AC$99:AG159,5,FALSE)))*EXP(-(LN(2)/$D$65+0.04)*AF159)*EXP(-(LN(2)/$D$65+0.1)*AG159),"-"))),"-")</f>
        <v>-</v>
      </c>
      <c r="AJ160" s="271" t="str">
        <f>IFERROR(IF(AD160=1,AJ$100*EXP(-(LN(2)/$D$65+0.04)*AF160)*EXP(-(LN(2)/$D$65+0.1)*AG160),IF(AD160=2,AJ$100*EXP(-(LN(2)/$D$65+0.04)*(VLOOKUP(($F$16-$F$15)-1,AC$100:AG160,4,FALSE)))*EXP(-(LN(2)/$D$65+0.1)*(VLOOKUP(($F$16-$F$15)-1,AC$100:AG160,5,FALSE)))*EXP(-(LN(2)/$D$65+0.04)*AF160)*EXP(-(LN(2)/$D$65+0.1)*AG160),IF(AD160=3,AJ$100*EXP(-(LN(2)/$D$65+0.04)*(VLOOKUP(($F$16-$F$15)-1,AC$100:AG160,4,FALSE)))*EXP(-(LN(2)/$D$65+0.1)*(VLOOKUP(($F$16-$F$15)-1,AC$100:AG160,5,FALSE)))*EXP(-(LN(2)/$D$65+0.04)*(VLOOKUP(($F$16-$F$15)*2-1,AC$100:AG160,4,FALSE)))*EXP(-(LN(2)/$D$65+0.1)*(VLOOKUP(($F$16-$F$15)*2-1,AC$100:AG160,5,FALSE)))*EXP(-(LN(2)/$D$65+0.04)*AF160)*EXP(-(LN(2)/$D$65+0.1)*AG160),"-"))),"-")</f>
        <v>-</v>
      </c>
      <c r="AK160" s="227">
        <f t="shared" si="49"/>
        <v>60</v>
      </c>
      <c r="AL160" s="226" t="str">
        <f t="shared" si="22"/>
        <v>-</v>
      </c>
      <c r="AM160" s="227" t="str">
        <f t="shared" si="50"/>
        <v>-</v>
      </c>
      <c r="AN160" s="227" t="str">
        <f t="shared" si="51"/>
        <v>-</v>
      </c>
      <c r="AO160" s="227" t="str">
        <f t="shared" si="23"/>
        <v>-</v>
      </c>
      <c r="AP160" s="273">
        <f t="shared" si="52"/>
        <v>0.1</v>
      </c>
      <c r="AQ160" s="271" t="str">
        <f>IFERROR(IF(AL159=1,AQ$100*EXP(-(LN(2)/$D$65+0.04)*AN159)*EXP(-(LN(2)/$D$65+0.1)*AO159),IF(AL159=2,AQ$100*EXP(-(LN(2)/$D$65+0.04)*(VLOOKUP(($F$16-$F$15)-1,AK$99:AO159,4,FALSE)))*EXP(-(LN(2)/$D$65+0.1)*(VLOOKUP(($F$16-$F$15)-1,AK$99:AO159,5,FALSE)))*EXP(-(LN(2)/$D$65+0.04)*AN159)*EXP(-(LN(2)/$D$65+0.1)*AO159),IF(AL159=3,AQ$100*EXP(-(LN(2)/$D$65+0.04)*(VLOOKUP(($F$16-$F$15)-1,AK$99:AO159,4,FALSE)))*EXP(-(LN(2)/$D$65+0.1)*(VLOOKUP(($F$16-$F$15)-1,AK$99:AO159,5,FALSE)))*EXP(-(LN(2)/$D$65+0.04)*(VLOOKUP(($F$16-$F$15)*2-1,AK$99:AO159,4,FALSE)))*EXP(-(LN(2)/$D$65+0.1)*(VLOOKUP(($F$16-$F$15)*2-1,AK$99:AO159,5,FALSE)))*EXP(-(LN(2)/$D$65+0.04)*AN159)*EXP(-(LN(2)/$D$65+0.1)*AO159),"-"))),"-")</f>
        <v>-</v>
      </c>
      <c r="AR160" s="271" t="str">
        <f>IFERROR(IF(AL160=1,AR$100*EXP(-(LN(2)/$D$65+0.04)*AN160)*EXP(-(LN(2)/$D$65+0.1)*AO160),IF(AL160=2,AR$100*EXP(-(LN(2)/$D$65+0.04)*(VLOOKUP(($F$16-$F$15)-1,AK$100:AO160,4,FALSE)))*EXP(-(LN(2)/$D$65+0.1)*(VLOOKUP(($F$16-$F$15)-1,AK$100:AO160,5,FALSE)))*EXP(-(LN(2)/$D$65+0.04)*AN160)*EXP(-(LN(2)/$D$65+0.1)*AO160),IF(AL160=3,AR$100*EXP(-(LN(2)/$D$65+0.04)*(VLOOKUP(($F$16-$F$15)-1,AK$100:AO160,4,FALSE)))*EXP(-(LN(2)/$D$65+0.1)*(VLOOKUP(($F$16-$F$15)-1,AK$100:AO160,5,FALSE)))*EXP(-(LN(2)/$D$65+0.04)*(VLOOKUP(($F$16-$F$15)*2-1,AK$100:AO160,4,FALSE)))*EXP(-(LN(2)/$D$65+0.1)*(VLOOKUP(($F$16-$F$15)*2-1,AK$100:AO160,5,FALSE)))*EXP(-(LN(2)/$D$65+0.04)*AN160)*EXP(-(LN(2)/$D$65+0.1)*AO160),"-"))),"-")</f>
        <v>-</v>
      </c>
      <c r="AS160" s="274">
        <f t="shared" si="24"/>
        <v>0</v>
      </c>
      <c r="AT160" s="274">
        <f t="shared" si="25"/>
        <v>0</v>
      </c>
      <c r="AU160" s="274">
        <f t="shared" si="26"/>
        <v>0</v>
      </c>
      <c r="AV160" s="190" t="str">
        <f>IF($B160&lt;$F$22,SUM($T$100:$T160),"")</f>
        <v/>
      </c>
      <c r="AW160" s="190" t="str">
        <f t="shared" si="83"/>
        <v>-</v>
      </c>
      <c r="AX160" s="190" t="str">
        <f t="shared" si="56"/>
        <v/>
      </c>
      <c r="AY160"/>
      <c r="AZ160" s="190" t="str">
        <f ca="1">IF(ISNUMBER(OFFSET(AV160,-$F$21,0)),SUM(OFFSET($T$100,$F$21,0):$T160),"")</f>
        <v/>
      </c>
      <c r="BA160" s="190" t="str">
        <f t="shared" ca="1" si="84"/>
        <v/>
      </c>
      <c r="BB160" s="190" t="str">
        <f t="shared" ca="1" si="70"/>
        <v/>
      </c>
      <c r="BC160" s="190"/>
      <c r="BD160" s="190" t="str">
        <f ca="1">IFERROR(IF(OR(ISNUMBER(I),ISNUMBER($F$14)),IF(AND($B160&gt;=($F$16-$F$15),$B160&lt;$F$22+($F$16-$F$15)),SUM(OFFSET($T$100,($F$16-$F$15),0):$T160),""),""),"")</f>
        <v/>
      </c>
      <c r="BE160" s="190" t="str">
        <f t="shared" ca="1" si="58"/>
        <v/>
      </c>
      <c r="BF160" s="190" t="str">
        <f t="shared" ca="1" si="59"/>
        <v/>
      </c>
      <c r="BG160"/>
      <c r="BH160" s="190" t="str">
        <f ca="1">IF(ISNUMBER(OFFSET(BD160,-$F$21,0)),SUM(OFFSET($T$100,($F$16-$F$15+$F$21),0):$T160),"")</f>
        <v/>
      </c>
      <c r="BI160" s="190" t="str">
        <f t="shared" ca="1" si="85"/>
        <v/>
      </c>
      <c r="BJ160" s="190" t="str">
        <f t="shared" ca="1" si="60"/>
        <v/>
      </c>
      <c r="BK160" s="190"/>
      <c r="BL160" s="190" t="str">
        <f ca="1">IFERROR(IF(OR(ISNUMBER(I),ISNUMBER($F$14)),IF(AND($B160&gt;=($F$17-$F$15),$B160&lt;$F$22+($F$17-$F$15)),SUM(OFFSET($T$100,($F$17-$F$15),0):$T160),""),""),"")</f>
        <v/>
      </c>
      <c r="BM160" s="190" t="str">
        <f t="shared" ca="1" si="86"/>
        <v/>
      </c>
      <c r="BN160" s="190" t="str">
        <f t="shared" ca="1" si="61"/>
        <v/>
      </c>
      <c r="BO160"/>
      <c r="BP160" s="190" t="str">
        <f ca="1">IF(ISNUMBER(OFFSET(BL160,-$F$21,0)),SUM(OFFSET($T$100,($F$17-$F$15+$F$21),0):$T160),"")</f>
        <v/>
      </c>
      <c r="BQ160" s="190" t="str">
        <f t="shared" ca="1" si="87"/>
        <v/>
      </c>
      <c r="BR160" s="190" t="str">
        <f t="shared" ca="1" si="63"/>
        <v/>
      </c>
      <c r="BS160" s="190"/>
      <c r="BT160"/>
      <c r="BU160"/>
      <c r="BV160"/>
      <c r="BY160" s="99"/>
      <c r="BZ160" s="99"/>
      <c r="CA160" s="280" t="str">
        <f t="shared" si="88"/>
        <v/>
      </c>
      <c r="CB160" s="71" t="str">
        <f t="shared" si="31"/>
        <v>-</v>
      </c>
      <c r="CC160" s="33"/>
      <c r="CD160" s="261" t="str">
        <f t="shared" si="33"/>
        <v/>
      </c>
      <c r="CE160" s="280" t="str">
        <f t="shared" si="89"/>
        <v/>
      </c>
      <c r="CF160" s="71" t="str">
        <f t="shared" ca="1" si="90"/>
        <v/>
      </c>
      <c r="CG160" s="33" t="str">
        <f t="shared" si="36"/>
        <v/>
      </c>
      <c r="CH160" s="261" t="str">
        <f t="shared" ca="1" si="37"/>
        <v/>
      </c>
      <c r="CI160" s="202"/>
      <c r="CJ160" s="99"/>
      <c r="CK160" s="99"/>
      <c r="CL160" s="99"/>
      <c r="CM160" s="99"/>
      <c r="CN160" s="99"/>
      <c r="CO160" s="99"/>
    </row>
    <row r="161" spans="2:93" ht="13.5" customHeight="1" x14ac:dyDescent="0.2">
      <c r="B161" s="262">
        <v>61</v>
      </c>
      <c r="C161" s="237" t="str">
        <f t="shared" si="1"/>
        <v/>
      </c>
      <c r="D161" s="237" t="str">
        <f t="shared" si="66"/>
        <v/>
      </c>
      <c r="E161" s="290" t="str">
        <f t="shared" si="38"/>
        <v/>
      </c>
      <c r="F161" s="264" t="str">
        <f t="shared" si="39"/>
        <v/>
      </c>
      <c r="G161" s="291" t="str">
        <f t="shared" si="40"/>
        <v/>
      </c>
      <c r="H161" s="240" t="str">
        <f t="shared" si="71"/>
        <v/>
      </c>
      <c r="I161" s="265" t="str">
        <f t="shared" si="72"/>
        <v/>
      </c>
      <c r="J161" s="265" t="str">
        <f t="shared" si="73"/>
        <v/>
      </c>
      <c r="K161" s="240" t="str">
        <f t="shared" si="74"/>
        <v/>
      </c>
      <c r="L161" s="265" t="str">
        <f t="shared" si="75"/>
        <v/>
      </c>
      <c r="M161" s="265" t="str">
        <f t="shared" si="76"/>
        <v/>
      </c>
      <c r="N161" s="240" t="str">
        <f t="shared" si="77"/>
        <v>-</v>
      </c>
      <c r="O161" s="265" t="str">
        <f t="shared" si="78"/>
        <v>-</v>
      </c>
      <c r="P161" s="265" t="str">
        <f t="shared" si="79"/>
        <v>-</v>
      </c>
      <c r="Q161" s="266" t="str">
        <f t="shared" si="80"/>
        <v>-</v>
      </c>
      <c r="R161" s="267" t="str">
        <f t="shared" si="81"/>
        <v>-</v>
      </c>
      <c r="S161" s="268" t="str">
        <f t="shared" si="82"/>
        <v>-</v>
      </c>
      <c r="T161" s="269" t="str">
        <f t="shared" si="13"/>
        <v/>
      </c>
      <c r="U161" s="221">
        <f t="shared" si="14"/>
        <v>61</v>
      </c>
      <c r="V161" s="220" t="str">
        <f t="shared" si="42"/>
        <v>-</v>
      </c>
      <c r="W161" s="221" t="str">
        <f t="shared" si="43"/>
        <v>-</v>
      </c>
      <c r="X161" s="221" t="str">
        <f t="shared" si="15"/>
        <v>-</v>
      </c>
      <c r="Y161" s="221" t="str">
        <f t="shared" si="16"/>
        <v>-</v>
      </c>
      <c r="Z161" s="270">
        <f t="shared" si="44"/>
        <v>0.1</v>
      </c>
      <c r="AA161" s="271" t="str">
        <f>IFERROR(IF(V160=1,AA$100*EXP(-(LN(2)/$D$65+0.04)*X160)*EXP(-(LN(2)/$D$65+0.1)*Y160),IF(V160=2,AA$100*EXP(-(LN(2)/$D$65+0.04)*(VLOOKUP(($F$16-$F$15)-1,U$99:Y160,4,FALSE)))*EXP(-(LN(2)/$D$65+0.1)*(VLOOKUP(($F$16-$F$15)-1,U$99:Y160,5,FALSE)))*EXP(-(LN(2)/$D$65+0.04)*X160)*EXP(-(LN(2)/$D$65+0.1)*Y160),IF(V160=3,AA$100*EXP(-(LN(2)/$D$65+0.04)*(VLOOKUP(($F$16-$F$15)-1,U$99:Y160,4,FALSE)))*EXP(-(LN(2)/$D$65+0.1)*(VLOOKUP(($F$16-$F$15)-1,U$99:Y160,5,FALSE)))*EXP(-(LN(2)/$D$65+0.04)*(VLOOKUP(($F$16-$F$15)*2-1,U$99:Y160,4,FALSE)))*EXP(-(LN(2)/$D$65+0.1)*(VLOOKUP(($F$16-$F$15)*2-1,U$99:Y160,5,FALSE)))*EXP(-(LN(2)/$D$65+0.04)*X160)*EXP(-(LN(2)/$D$65+0.1)*Y160),"-"))),"-")</f>
        <v>-</v>
      </c>
      <c r="AB161" s="271" t="str">
        <f>IFERROR(IF(V161=1,AB$100*EXP(-(LN(2)/$D$65+0.04)*X161)*EXP(-(LN(2)/$D$65+0.1)*Y161),IF(V161=2,AB$100*EXP(-(LN(2)/$D$65+0.04)*(VLOOKUP(($F$16-$F$15)-1,U$100:Y161,4,FALSE)))*EXP(-(LN(2)/$D$65+0.1)*(VLOOKUP(($F$16-$F$15)-1,U$100:Y161,5,FALSE)))*EXP(-(LN(2)/$D$65+0.04)*X161)*EXP(-(LN(2)/$D$65+0.1)*Y161),IF(V161=3,AB$100*EXP(-(LN(2)/$D$65+0.04)*(VLOOKUP(($F$16-$F$15)-1,U$100:Y161,4,FALSE)))*EXP(-(LN(2)/$D$65+0.1)*(VLOOKUP(($F$16-$F$15)-1,U$100:Y161,5,FALSE)))*EXP(-(LN(2)/$D$65+0.04)*(VLOOKUP(($F$16-$F$15)*2-1,U$100:Y161,4,FALSE)))*EXP(-(LN(2)/$D$65+0.1)*(VLOOKUP(($F$16-$F$15)*2-1,U$100:Y161,5,FALSE)))*EXP(-(LN(2)/$D$65+0.04)*X161)*EXP(-(LN(2)/$D$65+0.1)*Y161),"-"))),"-")</f>
        <v>-</v>
      </c>
      <c r="AC161" s="224">
        <f t="shared" si="45"/>
        <v>61</v>
      </c>
      <c r="AD161" s="223" t="str">
        <f t="shared" si="18"/>
        <v>-</v>
      </c>
      <c r="AE161" s="224" t="str">
        <f t="shared" si="46"/>
        <v>-</v>
      </c>
      <c r="AF161" s="224" t="str">
        <f t="shared" si="19"/>
        <v>-</v>
      </c>
      <c r="AG161" s="224" t="str">
        <f t="shared" si="20"/>
        <v>-</v>
      </c>
      <c r="AH161" s="272">
        <f t="shared" si="47"/>
        <v>0.1</v>
      </c>
      <c r="AI161" s="271" t="str">
        <f>IFERROR(IF(AD160=1,AI$100*EXP(-(LN(2)/$D$65+0.04)*AF160)*EXP(-(LN(2)/$D$65+0.1)*AG160),IF(AD160=2,AI$100*EXP(-(LN(2)/$D$65+0.04)*(VLOOKUP(($F$16-$F$15)-1,AC$99:AG160,4,FALSE)))*EXP(-(LN(2)/$D$65+0.1)*(VLOOKUP(($F$16-$F$15)-1,AC$99:AG160,5,FALSE)))*EXP(-(LN(2)/$D$65+0.04)*AF160)*EXP(-(LN(2)/$D$65+0.1)*AG160),IF(AD160=3,AI$100*EXP(-(LN(2)/$D$65+0.04)*(VLOOKUP(($F$16-$F$15)-1,AC$99:AG160,4,FALSE)))*EXP(-(LN(2)/$D$65+0.1)*(VLOOKUP(($F$16-$F$15)-1,AC$99:AG160,5,FALSE)))*EXP(-(LN(2)/$D$65+0.04)*(VLOOKUP(($F$16-$F$15)*2-1,AC$99:AG160,4,FALSE)))*EXP(-(LN(2)/$D$65+0.1)*(VLOOKUP(($F$16-$F$15)*2-1,AC$99:AG160,5,FALSE)))*EXP(-(LN(2)/$D$65+0.04)*AF160)*EXP(-(LN(2)/$D$65+0.1)*AG160),"-"))),"-")</f>
        <v>-</v>
      </c>
      <c r="AJ161" s="271" t="str">
        <f>IFERROR(IF(AD161=1,AJ$100*EXP(-(LN(2)/$D$65+0.04)*AF161)*EXP(-(LN(2)/$D$65+0.1)*AG161),IF(AD161=2,AJ$100*EXP(-(LN(2)/$D$65+0.04)*(VLOOKUP(($F$16-$F$15)-1,AC$100:AG161,4,FALSE)))*EXP(-(LN(2)/$D$65+0.1)*(VLOOKUP(($F$16-$F$15)-1,AC$100:AG161,5,FALSE)))*EXP(-(LN(2)/$D$65+0.04)*AF161)*EXP(-(LN(2)/$D$65+0.1)*AG161),IF(AD161=3,AJ$100*EXP(-(LN(2)/$D$65+0.04)*(VLOOKUP(($F$16-$F$15)-1,AC$100:AG161,4,FALSE)))*EXP(-(LN(2)/$D$65+0.1)*(VLOOKUP(($F$16-$F$15)-1,AC$100:AG161,5,FALSE)))*EXP(-(LN(2)/$D$65+0.04)*(VLOOKUP(($F$16-$F$15)*2-1,AC$100:AG161,4,FALSE)))*EXP(-(LN(2)/$D$65+0.1)*(VLOOKUP(($F$16-$F$15)*2-1,AC$100:AG161,5,FALSE)))*EXP(-(LN(2)/$D$65+0.04)*AF161)*EXP(-(LN(2)/$D$65+0.1)*AG161),"-"))),"-")</f>
        <v>-</v>
      </c>
      <c r="AK161" s="227">
        <f t="shared" si="49"/>
        <v>61</v>
      </c>
      <c r="AL161" s="226" t="str">
        <f t="shared" si="22"/>
        <v>-</v>
      </c>
      <c r="AM161" s="227" t="str">
        <f t="shared" si="50"/>
        <v>-</v>
      </c>
      <c r="AN161" s="227" t="str">
        <f t="shared" si="51"/>
        <v>-</v>
      </c>
      <c r="AO161" s="227" t="str">
        <f t="shared" si="23"/>
        <v>-</v>
      </c>
      <c r="AP161" s="273">
        <f t="shared" si="52"/>
        <v>0.1</v>
      </c>
      <c r="AQ161" s="271" t="str">
        <f>IFERROR(IF(AL160=1,AQ$100*EXP(-(LN(2)/$D$65+0.04)*AN160)*EXP(-(LN(2)/$D$65+0.1)*AO160),IF(AL160=2,AQ$100*EXP(-(LN(2)/$D$65+0.04)*(VLOOKUP(($F$16-$F$15)-1,AK$99:AO160,4,FALSE)))*EXP(-(LN(2)/$D$65+0.1)*(VLOOKUP(($F$16-$F$15)-1,AK$99:AO160,5,FALSE)))*EXP(-(LN(2)/$D$65+0.04)*AN160)*EXP(-(LN(2)/$D$65+0.1)*AO160),IF(AL160=3,AQ$100*EXP(-(LN(2)/$D$65+0.04)*(VLOOKUP(($F$16-$F$15)-1,AK$99:AO160,4,FALSE)))*EXP(-(LN(2)/$D$65+0.1)*(VLOOKUP(($F$16-$F$15)-1,AK$99:AO160,5,FALSE)))*EXP(-(LN(2)/$D$65+0.04)*(VLOOKUP(($F$16-$F$15)*2-1,AK$99:AO160,4,FALSE)))*EXP(-(LN(2)/$D$65+0.1)*(VLOOKUP(($F$16-$F$15)*2-1,AK$99:AO160,5,FALSE)))*EXP(-(LN(2)/$D$65+0.04)*AN160)*EXP(-(LN(2)/$D$65+0.1)*AO160),"-"))),"-")</f>
        <v>-</v>
      </c>
      <c r="AR161" s="271" t="str">
        <f>IFERROR(IF(AL161=1,AR$100*EXP(-(LN(2)/$D$65+0.04)*AN161)*EXP(-(LN(2)/$D$65+0.1)*AO161),IF(AL161=2,AR$100*EXP(-(LN(2)/$D$65+0.04)*(VLOOKUP(($F$16-$F$15)-1,AK$100:AO161,4,FALSE)))*EXP(-(LN(2)/$D$65+0.1)*(VLOOKUP(($F$16-$F$15)-1,AK$100:AO161,5,FALSE)))*EXP(-(LN(2)/$D$65+0.04)*AN161)*EXP(-(LN(2)/$D$65+0.1)*AO161),IF(AL161=3,AR$100*EXP(-(LN(2)/$D$65+0.04)*(VLOOKUP(($F$16-$F$15)-1,AK$100:AO161,4,FALSE)))*EXP(-(LN(2)/$D$65+0.1)*(VLOOKUP(($F$16-$F$15)-1,AK$100:AO161,5,FALSE)))*EXP(-(LN(2)/$D$65+0.04)*(VLOOKUP(($F$16-$F$15)*2-1,AK$100:AO161,4,FALSE)))*EXP(-(LN(2)/$D$65+0.1)*(VLOOKUP(($F$16-$F$15)*2-1,AK$100:AO161,5,FALSE)))*EXP(-(LN(2)/$D$65+0.04)*AN161)*EXP(-(LN(2)/$D$65+0.1)*AO161),"-"))),"-")</f>
        <v>-</v>
      </c>
      <c r="AS161" s="274">
        <f t="shared" si="24"/>
        <v>0</v>
      </c>
      <c r="AT161" s="274">
        <f t="shared" si="25"/>
        <v>0</v>
      </c>
      <c r="AU161" s="274">
        <f t="shared" si="26"/>
        <v>0</v>
      </c>
      <c r="AV161" s="190" t="str">
        <f>IF($B161&lt;$F$22,SUM($T$100:$T161),"")</f>
        <v/>
      </c>
      <c r="AW161" s="190" t="str">
        <f t="shared" si="83"/>
        <v>-</v>
      </c>
      <c r="AX161" s="190" t="str">
        <f t="shared" si="56"/>
        <v/>
      </c>
      <c r="AY161"/>
      <c r="AZ161" s="190" t="str">
        <f ca="1">IF(ISNUMBER(OFFSET(AV161,-$F$21,0)),SUM(OFFSET($T$100,$F$21,0):$T161),"")</f>
        <v/>
      </c>
      <c r="BA161" s="190" t="str">
        <f t="shared" ca="1" si="84"/>
        <v/>
      </c>
      <c r="BB161" s="190" t="str">
        <f t="shared" ca="1" si="70"/>
        <v/>
      </c>
      <c r="BC161" s="190"/>
      <c r="BD161" s="190" t="str">
        <f ca="1">IFERROR(IF(OR(ISNUMBER(I),ISNUMBER($F$14)),IF(AND($B161&gt;=($F$16-$F$15),$B161&lt;$F$22+($F$16-$F$15)),SUM(OFFSET($T$100,($F$16-$F$15),0):$T161),""),""),"")</f>
        <v/>
      </c>
      <c r="BE161" s="190" t="str">
        <f t="shared" ca="1" si="58"/>
        <v/>
      </c>
      <c r="BF161" s="190" t="str">
        <f t="shared" ca="1" si="59"/>
        <v/>
      </c>
      <c r="BG161"/>
      <c r="BH161" s="190" t="str">
        <f ca="1">IF(ISNUMBER(OFFSET(BD161,-$F$21,0)),SUM(OFFSET($T$100,($F$16-$F$15+$F$21),0):$T161),"")</f>
        <v/>
      </c>
      <c r="BI161" s="190" t="str">
        <f t="shared" ca="1" si="85"/>
        <v/>
      </c>
      <c r="BJ161" s="190" t="str">
        <f t="shared" ca="1" si="60"/>
        <v/>
      </c>
      <c r="BK161" s="190"/>
      <c r="BL161" s="190" t="str">
        <f ca="1">IFERROR(IF(OR(ISNUMBER(I),ISNUMBER($F$14)),IF(AND($B161&gt;=($F$17-$F$15),$B161&lt;$F$22+($F$17-$F$15)),SUM(OFFSET($T$100,($F$17-$F$15),0):$T161),""),""),"")</f>
        <v/>
      </c>
      <c r="BM161" s="190" t="str">
        <f t="shared" ca="1" si="86"/>
        <v/>
      </c>
      <c r="BN161" s="190" t="str">
        <f t="shared" ca="1" si="61"/>
        <v/>
      </c>
      <c r="BO161"/>
      <c r="BP161" s="190" t="str">
        <f ca="1">IF(ISNUMBER(OFFSET(BL161,-$F$21,0)),SUM(OFFSET($T$100,($F$17-$F$15+$F$21),0):$T161),"")</f>
        <v/>
      </c>
      <c r="BQ161" s="190" t="str">
        <f t="shared" ca="1" si="87"/>
        <v/>
      </c>
      <c r="BR161" s="190" t="str">
        <f t="shared" ca="1" si="63"/>
        <v/>
      </c>
      <c r="BS161" s="190"/>
      <c r="BT161"/>
      <c r="BU161"/>
      <c r="BV161"/>
      <c r="BY161" s="99"/>
      <c r="BZ161" s="99"/>
      <c r="CA161" s="280" t="str">
        <f t="shared" si="88"/>
        <v/>
      </c>
      <c r="CB161" s="71" t="str">
        <f t="shared" si="31"/>
        <v>-</v>
      </c>
      <c r="CC161" s="33"/>
      <c r="CD161" s="261" t="str">
        <f t="shared" si="33"/>
        <v/>
      </c>
      <c r="CE161" s="280" t="str">
        <f t="shared" si="89"/>
        <v/>
      </c>
      <c r="CF161" s="71" t="str">
        <f t="shared" ca="1" si="90"/>
        <v/>
      </c>
      <c r="CG161" s="33" t="str">
        <f t="shared" si="36"/>
        <v/>
      </c>
      <c r="CH161" s="261" t="str">
        <f t="shared" ca="1" si="37"/>
        <v/>
      </c>
      <c r="CI161" s="202"/>
      <c r="CJ161" s="99"/>
      <c r="CK161" s="99"/>
      <c r="CL161" s="99"/>
      <c r="CM161" s="99"/>
      <c r="CN161" s="99"/>
      <c r="CO161" s="99"/>
    </row>
    <row r="162" spans="2:93" ht="13.5" customHeight="1" x14ac:dyDescent="0.2">
      <c r="B162" s="262">
        <v>62</v>
      </c>
      <c r="C162" s="237" t="str">
        <f t="shared" si="1"/>
        <v/>
      </c>
      <c r="D162" s="237" t="str">
        <f t="shared" si="66"/>
        <v/>
      </c>
      <c r="E162" s="290" t="str">
        <f t="shared" si="38"/>
        <v/>
      </c>
      <c r="F162" s="264" t="str">
        <f t="shared" si="39"/>
        <v/>
      </c>
      <c r="G162" s="291" t="str">
        <f t="shared" si="40"/>
        <v/>
      </c>
      <c r="H162" s="240" t="str">
        <f t="shared" si="71"/>
        <v/>
      </c>
      <c r="I162" s="265" t="str">
        <f t="shared" si="72"/>
        <v/>
      </c>
      <c r="J162" s="265" t="str">
        <f t="shared" si="73"/>
        <v/>
      </c>
      <c r="K162" s="240" t="str">
        <f t="shared" si="74"/>
        <v/>
      </c>
      <c r="L162" s="265" t="str">
        <f t="shared" si="75"/>
        <v/>
      </c>
      <c r="M162" s="265" t="str">
        <f t="shared" si="76"/>
        <v/>
      </c>
      <c r="N162" s="240" t="str">
        <f t="shared" si="77"/>
        <v>-</v>
      </c>
      <c r="O162" s="265" t="str">
        <f t="shared" si="78"/>
        <v>-</v>
      </c>
      <c r="P162" s="265" t="str">
        <f t="shared" si="79"/>
        <v>-</v>
      </c>
      <c r="Q162" s="266" t="str">
        <f t="shared" si="80"/>
        <v>-</v>
      </c>
      <c r="R162" s="267" t="str">
        <f t="shared" si="81"/>
        <v>-</v>
      </c>
      <c r="S162" s="268" t="str">
        <f t="shared" si="82"/>
        <v>-</v>
      </c>
      <c r="T162" s="269" t="str">
        <f t="shared" si="13"/>
        <v/>
      </c>
      <c r="U162" s="221">
        <f t="shared" si="14"/>
        <v>62</v>
      </c>
      <c r="V162" s="220" t="str">
        <f t="shared" si="42"/>
        <v>-</v>
      </c>
      <c r="W162" s="221" t="str">
        <f t="shared" si="43"/>
        <v>-</v>
      </c>
      <c r="X162" s="221" t="str">
        <f t="shared" si="15"/>
        <v>-</v>
      </c>
      <c r="Y162" s="221" t="str">
        <f t="shared" si="16"/>
        <v>-</v>
      </c>
      <c r="Z162" s="270">
        <f t="shared" si="44"/>
        <v>0.1</v>
      </c>
      <c r="AA162" s="271" t="str">
        <f>IFERROR(IF(V161=1,AA$100*EXP(-(LN(2)/$D$65+0.04)*X161)*EXP(-(LN(2)/$D$65+0.1)*Y161),IF(V161=2,AA$100*EXP(-(LN(2)/$D$65+0.04)*(VLOOKUP(($F$16-$F$15)-1,U$99:Y161,4,FALSE)))*EXP(-(LN(2)/$D$65+0.1)*(VLOOKUP(($F$16-$F$15)-1,U$99:Y161,5,FALSE)))*EXP(-(LN(2)/$D$65+0.04)*X161)*EXP(-(LN(2)/$D$65+0.1)*Y161),IF(V161=3,AA$100*EXP(-(LN(2)/$D$65+0.04)*(VLOOKUP(($F$16-$F$15)-1,U$99:Y161,4,FALSE)))*EXP(-(LN(2)/$D$65+0.1)*(VLOOKUP(($F$16-$F$15)-1,U$99:Y161,5,FALSE)))*EXP(-(LN(2)/$D$65+0.04)*(VLOOKUP(($F$16-$F$15)*2-1,U$99:Y161,4,FALSE)))*EXP(-(LN(2)/$D$65+0.1)*(VLOOKUP(($F$16-$F$15)*2-1,U$99:Y161,5,FALSE)))*EXP(-(LN(2)/$D$65+0.04)*X161)*EXP(-(LN(2)/$D$65+0.1)*Y161),"-"))),"-")</f>
        <v>-</v>
      </c>
      <c r="AB162" s="271" t="str">
        <f>IFERROR(IF(V162=1,AB$100*EXP(-(LN(2)/$D$65+0.04)*X162)*EXP(-(LN(2)/$D$65+0.1)*Y162),IF(V162=2,AB$100*EXP(-(LN(2)/$D$65+0.04)*(VLOOKUP(($F$16-$F$15)-1,U$100:Y162,4,FALSE)))*EXP(-(LN(2)/$D$65+0.1)*(VLOOKUP(($F$16-$F$15)-1,U$100:Y162,5,FALSE)))*EXP(-(LN(2)/$D$65+0.04)*X162)*EXP(-(LN(2)/$D$65+0.1)*Y162),IF(V162=3,AB$100*EXP(-(LN(2)/$D$65+0.04)*(VLOOKUP(($F$16-$F$15)-1,U$100:Y162,4,FALSE)))*EXP(-(LN(2)/$D$65+0.1)*(VLOOKUP(($F$16-$F$15)-1,U$100:Y162,5,FALSE)))*EXP(-(LN(2)/$D$65+0.04)*(VLOOKUP(($F$16-$F$15)*2-1,U$100:Y162,4,FALSE)))*EXP(-(LN(2)/$D$65+0.1)*(VLOOKUP(($F$16-$F$15)*2-1,U$100:Y162,5,FALSE)))*EXP(-(LN(2)/$D$65+0.04)*X162)*EXP(-(LN(2)/$D$65+0.1)*Y162),"-"))),"-")</f>
        <v>-</v>
      </c>
      <c r="AC162" s="224">
        <f t="shared" si="45"/>
        <v>62</v>
      </c>
      <c r="AD162" s="223" t="str">
        <f t="shared" si="18"/>
        <v>-</v>
      </c>
      <c r="AE162" s="224" t="str">
        <f t="shared" si="46"/>
        <v>-</v>
      </c>
      <c r="AF162" s="224" t="str">
        <f t="shared" si="19"/>
        <v>-</v>
      </c>
      <c r="AG162" s="224" t="str">
        <f t="shared" si="20"/>
        <v>-</v>
      </c>
      <c r="AH162" s="272">
        <f t="shared" si="47"/>
        <v>0.1</v>
      </c>
      <c r="AI162" s="271" t="str">
        <f>IFERROR(IF(AD161=1,AI$100*EXP(-(LN(2)/$D$65+0.04)*AF161)*EXP(-(LN(2)/$D$65+0.1)*AG161),IF(AD161=2,AI$100*EXP(-(LN(2)/$D$65+0.04)*(VLOOKUP(($F$16-$F$15)-1,AC$99:AG161,4,FALSE)))*EXP(-(LN(2)/$D$65+0.1)*(VLOOKUP(($F$16-$F$15)-1,AC$99:AG161,5,FALSE)))*EXP(-(LN(2)/$D$65+0.04)*AF161)*EXP(-(LN(2)/$D$65+0.1)*AG161),IF(AD161=3,AI$100*EXP(-(LN(2)/$D$65+0.04)*(VLOOKUP(($F$16-$F$15)-1,AC$99:AG161,4,FALSE)))*EXP(-(LN(2)/$D$65+0.1)*(VLOOKUP(($F$16-$F$15)-1,AC$99:AG161,5,FALSE)))*EXP(-(LN(2)/$D$65+0.04)*(VLOOKUP(($F$16-$F$15)*2-1,AC$99:AG161,4,FALSE)))*EXP(-(LN(2)/$D$65+0.1)*(VLOOKUP(($F$16-$F$15)*2-1,AC$99:AG161,5,FALSE)))*EXP(-(LN(2)/$D$65+0.04)*AF161)*EXP(-(LN(2)/$D$65+0.1)*AG161),"-"))),"-")</f>
        <v>-</v>
      </c>
      <c r="AJ162" s="271" t="str">
        <f>IFERROR(IF(AD162=1,AJ$100*EXP(-(LN(2)/$D$65+0.04)*AF162)*EXP(-(LN(2)/$D$65+0.1)*AG162),IF(AD162=2,AJ$100*EXP(-(LN(2)/$D$65+0.04)*(VLOOKUP(($F$16-$F$15)-1,AC$100:AG162,4,FALSE)))*EXP(-(LN(2)/$D$65+0.1)*(VLOOKUP(($F$16-$F$15)-1,AC$100:AG162,5,FALSE)))*EXP(-(LN(2)/$D$65+0.04)*AF162)*EXP(-(LN(2)/$D$65+0.1)*AG162),IF(AD162=3,AJ$100*EXP(-(LN(2)/$D$65+0.04)*(VLOOKUP(($F$16-$F$15)-1,AC$100:AG162,4,FALSE)))*EXP(-(LN(2)/$D$65+0.1)*(VLOOKUP(($F$16-$F$15)-1,AC$100:AG162,5,FALSE)))*EXP(-(LN(2)/$D$65+0.04)*(VLOOKUP(($F$16-$F$15)*2-1,AC$100:AG162,4,FALSE)))*EXP(-(LN(2)/$D$65+0.1)*(VLOOKUP(($F$16-$F$15)*2-1,AC$100:AG162,5,FALSE)))*EXP(-(LN(2)/$D$65+0.04)*AF162)*EXP(-(LN(2)/$D$65+0.1)*AG162),"-"))),"-")</f>
        <v>-</v>
      </c>
      <c r="AK162" s="227">
        <f t="shared" si="49"/>
        <v>62</v>
      </c>
      <c r="AL162" s="226" t="str">
        <f t="shared" si="22"/>
        <v>-</v>
      </c>
      <c r="AM162" s="227" t="str">
        <f t="shared" si="50"/>
        <v>-</v>
      </c>
      <c r="AN162" s="227" t="str">
        <f t="shared" si="51"/>
        <v>-</v>
      </c>
      <c r="AO162" s="227" t="str">
        <f t="shared" si="23"/>
        <v>-</v>
      </c>
      <c r="AP162" s="273">
        <f t="shared" si="52"/>
        <v>0.1</v>
      </c>
      <c r="AQ162" s="271" t="str">
        <f>IFERROR(IF(AL161=1,AQ$100*EXP(-(LN(2)/$D$65+0.04)*AN161)*EXP(-(LN(2)/$D$65+0.1)*AO161),IF(AL161=2,AQ$100*EXP(-(LN(2)/$D$65+0.04)*(VLOOKUP(($F$16-$F$15)-1,AK$99:AO161,4,FALSE)))*EXP(-(LN(2)/$D$65+0.1)*(VLOOKUP(($F$16-$F$15)-1,AK$99:AO161,5,FALSE)))*EXP(-(LN(2)/$D$65+0.04)*AN161)*EXP(-(LN(2)/$D$65+0.1)*AO161),IF(AL161=3,AQ$100*EXP(-(LN(2)/$D$65+0.04)*(VLOOKUP(($F$16-$F$15)-1,AK$99:AO161,4,FALSE)))*EXP(-(LN(2)/$D$65+0.1)*(VLOOKUP(($F$16-$F$15)-1,AK$99:AO161,5,FALSE)))*EXP(-(LN(2)/$D$65+0.04)*(VLOOKUP(($F$16-$F$15)*2-1,AK$99:AO161,4,FALSE)))*EXP(-(LN(2)/$D$65+0.1)*(VLOOKUP(($F$16-$F$15)*2-1,AK$99:AO161,5,FALSE)))*EXP(-(LN(2)/$D$65+0.04)*AN161)*EXP(-(LN(2)/$D$65+0.1)*AO161),"-"))),"-")</f>
        <v>-</v>
      </c>
      <c r="AR162" s="271" t="str">
        <f>IFERROR(IF(AL162=1,AR$100*EXP(-(LN(2)/$D$65+0.04)*AN162)*EXP(-(LN(2)/$D$65+0.1)*AO162),IF(AL162=2,AR$100*EXP(-(LN(2)/$D$65+0.04)*(VLOOKUP(($F$16-$F$15)-1,AK$100:AO162,4,FALSE)))*EXP(-(LN(2)/$D$65+0.1)*(VLOOKUP(($F$16-$F$15)-1,AK$100:AO162,5,FALSE)))*EXP(-(LN(2)/$D$65+0.04)*AN162)*EXP(-(LN(2)/$D$65+0.1)*AO162),IF(AL162=3,AR$100*EXP(-(LN(2)/$D$65+0.04)*(VLOOKUP(($F$16-$F$15)-1,AK$100:AO162,4,FALSE)))*EXP(-(LN(2)/$D$65+0.1)*(VLOOKUP(($F$16-$F$15)-1,AK$100:AO162,5,FALSE)))*EXP(-(LN(2)/$D$65+0.04)*(VLOOKUP(($F$16-$F$15)*2-1,AK$100:AO162,4,FALSE)))*EXP(-(LN(2)/$D$65+0.1)*(VLOOKUP(($F$16-$F$15)*2-1,AK$100:AO162,5,FALSE)))*EXP(-(LN(2)/$D$65+0.04)*AN162)*EXP(-(LN(2)/$D$65+0.1)*AO162),"-"))),"-")</f>
        <v>-</v>
      </c>
      <c r="AS162" s="274">
        <f t="shared" si="24"/>
        <v>0</v>
      </c>
      <c r="AT162" s="274">
        <f t="shared" si="25"/>
        <v>0</v>
      </c>
      <c r="AU162" s="274">
        <f t="shared" si="26"/>
        <v>0</v>
      </c>
      <c r="AV162" s="190" t="str">
        <f>IF($B162&lt;$F$22,SUM($T$100:$T162),"")</f>
        <v/>
      </c>
      <c r="AW162" s="190" t="str">
        <f t="shared" si="83"/>
        <v>-</v>
      </c>
      <c r="AX162" s="190" t="str">
        <f t="shared" si="56"/>
        <v/>
      </c>
      <c r="AY162"/>
      <c r="AZ162" s="190" t="str">
        <f ca="1">IF(ISNUMBER(OFFSET(AV162,-$F$21,0)),SUM(OFFSET($T$100,$F$21,0):$T162),"")</f>
        <v/>
      </c>
      <c r="BA162" s="190" t="str">
        <f t="shared" ca="1" si="84"/>
        <v/>
      </c>
      <c r="BB162" s="190" t="str">
        <f t="shared" ca="1" si="70"/>
        <v/>
      </c>
      <c r="BC162" s="190"/>
      <c r="BD162" s="190" t="str">
        <f ca="1">IFERROR(IF(OR(ISNUMBER(I),ISNUMBER($F$14)),IF(AND($B162&gt;=($F$16-$F$15),$B162&lt;$F$22+($F$16-$F$15)),SUM(OFFSET($T$100,($F$16-$F$15),0):$T162),""),""),"")</f>
        <v/>
      </c>
      <c r="BE162" s="190" t="str">
        <f t="shared" ca="1" si="58"/>
        <v/>
      </c>
      <c r="BF162" s="190" t="str">
        <f t="shared" ca="1" si="59"/>
        <v/>
      </c>
      <c r="BG162"/>
      <c r="BH162" s="190" t="str">
        <f ca="1">IF(ISNUMBER(OFFSET(BD162,-$F$21,0)),SUM(OFFSET($T$100,($F$16-$F$15+$F$21),0):$T162),"")</f>
        <v/>
      </c>
      <c r="BI162" s="190" t="str">
        <f t="shared" ca="1" si="85"/>
        <v/>
      </c>
      <c r="BJ162" s="190" t="str">
        <f t="shared" ca="1" si="60"/>
        <v/>
      </c>
      <c r="BK162" s="190"/>
      <c r="BL162" s="190" t="str">
        <f ca="1">IFERROR(IF(OR(ISNUMBER(I),ISNUMBER($F$14)),IF(AND($B162&gt;=($F$17-$F$15),$B162&lt;$F$22+($F$17-$F$15)),SUM(OFFSET($T$100,($F$17-$F$15),0):$T162),""),""),"")</f>
        <v/>
      </c>
      <c r="BM162" s="190" t="str">
        <f t="shared" ca="1" si="86"/>
        <v/>
      </c>
      <c r="BN162" s="190" t="str">
        <f t="shared" ca="1" si="61"/>
        <v/>
      </c>
      <c r="BO162"/>
      <c r="BP162" s="190" t="str">
        <f ca="1">IF(ISNUMBER(OFFSET(BL162,-$F$21,0)),SUM(OFFSET($T$100,($F$17-$F$15+$F$21),0):$T162),"")</f>
        <v/>
      </c>
      <c r="BQ162" s="190" t="str">
        <f t="shared" ca="1" si="87"/>
        <v/>
      </c>
      <c r="BR162" s="190" t="str">
        <f t="shared" ca="1" si="63"/>
        <v/>
      </c>
      <c r="BS162" s="190"/>
      <c r="BT162"/>
      <c r="BU162"/>
      <c r="BV162"/>
      <c r="BY162" s="99"/>
      <c r="BZ162" s="99"/>
      <c r="CA162" s="280" t="str">
        <f t="shared" si="88"/>
        <v/>
      </c>
      <c r="CB162" s="71" t="str">
        <f t="shared" si="31"/>
        <v>-</v>
      </c>
      <c r="CC162" s="33"/>
      <c r="CD162" s="261" t="str">
        <f t="shared" si="33"/>
        <v/>
      </c>
      <c r="CE162" s="280" t="str">
        <f t="shared" si="89"/>
        <v/>
      </c>
      <c r="CF162" s="71" t="str">
        <f t="shared" ca="1" si="90"/>
        <v/>
      </c>
      <c r="CG162" s="33" t="str">
        <f t="shared" si="36"/>
        <v/>
      </c>
      <c r="CH162" s="261" t="str">
        <f t="shared" ca="1" si="37"/>
        <v/>
      </c>
      <c r="CI162" s="202"/>
      <c r="CJ162" s="99"/>
      <c r="CK162" s="99"/>
      <c r="CL162" s="99"/>
      <c r="CM162" s="99"/>
      <c r="CN162" s="99"/>
      <c r="CO162" s="99"/>
    </row>
    <row r="163" spans="2:93" ht="13.5" customHeight="1" x14ac:dyDescent="0.2">
      <c r="B163" s="262">
        <v>63</v>
      </c>
      <c r="C163" s="237" t="str">
        <f t="shared" si="1"/>
        <v/>
      </c>
      <c r="D163" s="237" t="str">
        <f t="shared" si="66"/>
        <v/>
      </c>
      <c r="E163" s="290" t="str">
        <f t="shared" si="38"/>
        <v/>
      </c>
      <c r="F163" s="264" t="str">
        <f t="shared" si="39"/>
        <v/>
      </c>
      <c r="G163" s="291" t="str">
        <f t="shared" si="40"/>
        <v/>
      </c>
      <c r="H163" s="240" t="str">
        <f t="shared" si="71"/>
        <v/>
      </c>
      <c r="I163" s="265" t="str">
        <f t="shared" si="72"/>
        <v/>
      </c>
      <c r="J163" s="265" t="str">
        <f t="shared" si="73"/>
        <v/>
      </c>
      <c r="K163" s="240" t="str">
        <f t="shared" si="74"/>
        <v/>
      </c>
      <c r="L163" s="265" t="str">
        <f t="shared" si="75"/>
        <v/>
      </c>
      <c r="M163" s="265" t="str">
        <f t="shared" si="76"/>
        <v/>
      </c>
      <c r="N163" s="240" t="str">
        <f t="shared" si="77"/>
        <v>-</v>
      </c>
      <c r="O163" s="265" t="str">
        <f t="shared" si="78"/>
        <v>-</v>
      </c>
      <c r="P163" s="265" t="str">
        <f t="shared" si="79"/>
        <v>-</v>
      </c>
      <c r="Q163" s="266" t="str">
        <f t="shared" si="80"/>
        <v>-</v>
      </c>
      <c r="R163" s="267" t="str">
        <f t="shared" si="81"/>
        <v>-</v>
      </c>
      <c r="S163" s="268" t="str">
        <f t="shared" si="82"/>
        <v>-</v>
      </c>
      <c r="T163" s="269" t="str">
        <f t="shared" si="13"/>
        <v/>
      </c>
      <c r="U163" s="221">
        <f t="shared" si="14"/>
        <v>63</v>
      </c>
      <c r="V163" s="220" t="str">
        <f t="shared" si="42"/>
        <v>-</v>
      </c>
      <c r="W163" s="221" t="str">
        <f t="shared" si="43"/>
        <v>-</v>
      </c>
      <c r="X163" s="221" t="str">
        <f t="shared" si="15"/>
        <v>-</v>
      </c>
      <c r="Y163" s="221" t="str">
        <f t="shared" si="16"/>
        <v>-</v>
      </c>
      <c r="Z163" s="270">
        <f t="shared" si="44"/>
        <v>0.1</v>
      </c>
      <c r="AA163" s="271" t="str">
        <f>IFERROR(IF(V162=1,AA$100*EXP(-(LN(2)/$D$65+0.04)*X162)*EXP(-(LN(2)/$D$65+0.1)*Y162),IF(V162=2,AA$100*EXP(-(LN(2)/$D$65+0.04)*(VLOOKUP(($F$16-$F$15)-1,U$99:Y162,4,FALSE)))*EXP(-(LN(2)/$D$65+0.1)*(VLOOKUP(($F$16-$F$15)-1,U$99:Y162,5,FALSE)))*EXP(-(LN(2)/$D$65+0.04)*X162)*EXP(-(LN(2)/$D$65+0.1)*Y162),IF(V162=3,AA$100*EXP(-(LN(2)/$D$65+0.04)*(VLOOKUP(($F$16-$F$15)-1,U$99:Y162,4,FALSE)))*EXP(-(LN(2)/$D$65+0.1)*(VLOOKUP(($F$16-$F$15)-1,U$99:Y162,5,FALSE)))*EXP(-(LN(2)/$D$65+0.04)*(VLOOKUP(($F$16-$F$15)*2-1,U$99:Y162,4,FALSE)))*EXP(-(LN(2)/$D$65+0.1)*(VLOOKUP(($F$16-$F$15)*2-1,U$99:Y162,5,FALSE)))*EXP(-(LN(2)/$D$65+0.04)*X162)*EXP(-(LN(2)/$D$65+0.1)*Y162),"-"))),"-")</f>
        <v>-</v>
      </c>
      <c r="AB163" s="271" t="str">
        <f>IFERROR(IF(V163=1,AB$100*EXP(-(LN(2)/$D$65+0.04)*X163)*EXP(-(LN(2)/$D$65+0.1)*Y163),IF(V163=2,AB$100*EXP(-(LN(2)/$D$65+0.04)*(VLOOKUP(($F$16-$F$15)-1,U$100:Y163,4,FALSE)))*EXP(-(LN(2)/$D$65+0.1)*(VLOOKUP(($F$16-$F$15)-1,U$100:Y163,5,FALSE)))*EXP(-(LN(2)/$D$65+0.04)*X163)*EXP(-(LN(2)/$D$65+0.1)*Y163),IF(V163=3,AB$100*EXP(-(LN(2)/$D$65+0.04)*(VLOOKUP(($F$16-$F$15)-1,U$100:Y163,4,FALSE)))*EXP(-(LN(2)/$D$65+0.1)*(VLOOKUP(($F$16-$F$15)-1,U$100:Y163,5,FALSE)))*EXP(-(LN(2)/$D$65+0.04)*(VLOOKUP(($F$16-$F$15)*2-1,U$100:Y163,4,FALSE)))*EXP(-(LN(2)/$D$65+0.1)*(VLOOKUP(($F$16-$F$15)*2-1,U$100:Y163,5,FALSE)))*EXP(-(LN(2)/$D$65+0.04)*X163)*EXP(-(LN(2)/$D$65+0.1)*Y163),"-"))),"-")</f>
        <v>-</v>
      </c>
      <c r="AC163" s="224">
        <f t="shared" si="45"/>
        <v>63</v>
      </c>
      <c r="AD163" s="223" t="str">
        <f t="shared" si="18"/>
        <v>-</v>
      </c>
      <c r="AE163" s="224" t="str">
        <f t="shared" si="46"/>
        <v>-</v>
      </c>
      <c r="AF163" s="224" t="str">
        <f t="shared" si="19"/>
        <v>-</v>
      </c>
      <c r="AG163" s="224" t="str">
        <f t="shared" si="20"/>
        <v>-</v>
      </c>
      <c r="AH163" s="272">
        <f t="shared" si="47"/>
        <v>0.1</v>
      </c>
      <c r="AI163" s="271" t="str">
        <f>IFERROR(IF(AD162=1,AI$100*EXP(-(LN(2)/$D$65+0.04)*AF162)*EXP(-(LN(2)/$D$65+0.1)*AG162),IF(AD162=2,AI$100*EXP(-(LN(2)/$D$65+0.04)*(VLOOKUP(($F$16-$F$15)-1,AC$99:AG162,4,FALSE)))*EXP(-(LN(2)/$D$65+0.1)*(VLOOKUP(($F$16-$F$15)-1,AC$99:AG162,5,FALSE)))*EXP(-(LN(2)/$D$65+0.04)*AF162)*EXP(-(LN(2)/$D$65+0.1)*AG162),IF(AD162=3,AI$100*EXP(-(LN(2)/$D$65+0.04)*(VLOOKUP(($F$16-$F$15)-1,AC$99:AG162,4,FALSE)))*EXP(-(LN(2)/$D$65+0.1)*(VLOOKUP(($F$16-$F$15)-1,AC$99:AG162,5,FALSE)))*EXP(-(LN(2)/$D$65+0.04)*(VLOOKUP(($F$16-$F$15)*2-1,AC$99:AG162,4,FALSE)))*EXP(-(LN(2)/$D$65+0.1)*(VLOOKUP(($F$16-$F$15)*2-1,AC$99:AG162,5,FALSE)))*EXP(-(LN(2)/$D$65+0.04)*AF162)*EXP(-(LN(2)/$D$65+0.1)*AG162),"-"))),"-")</f>
        <v>-</v>
      </c>
      <c r="AJ163" s="271" t="str">
        <f>IFERROR(IF(AD163=1,AJ$100*EXP(-(LN(2)/$D$65+0.04)*AF163)*EXP(-(LN(2)/$D$65+0.1)*AG163),IF(AD163=2,AJ$100*EXP(-(LN(2)/$D$65+0.04)*(VLOOKUP(($F$16-$F$15)-1,AC$100:AG163,4,FALSE)))*EXP(-(LN(2)/$D$65+0.1)*(VLOOKUP(($F$16-$F$15)-1,AC$100:AG163,5,FALSE)))*EXP(-(LN(2)/$D$65+0.04)*AF163)*EXP(-(LN(2)/$D$65+0.1)*AG163),IF(AD163=3,AJ$100*EXP(-(LN(2)/$D$65+0.04)*(VLOOKUP(($F$16-$F$15)-1,AC$100:AG163,4,FALSE)))*EXP(-(LN(2)/$D$65+0.1)*(VLOOKUP(($F$16-$F$15)-1,AC$100:AG163,5,FALSE)))*EXP(-(LN(2)/$D$65+0.04)*(VLOOKUP(($F$16-$F$15)*2-1,AC$100:AG163,4,FALSE)))*EXP(-(LN(2)/$D$65+0.1)*(VLOOKUP(($F$16-$F$15)*2-1,AC$100:AG163,5,FALSE)))*EXP(-(LN(2)/$D$65+0.04)*AF163)*EXP(-(LN(2)/$D$65+0.1)*AG163),"-"))),"-")</f>
        <v>-</v>
      </c>
      <c r="AK163" s="227">
        <f t="shared" si="49"/>
        <v>63</v>
      </c>
      <c r="AL163" s="226" t="str">
        <f t="shared" si="22"/>
        <v>-</v>
      </c>
      <c r="AM163" s="227" t="str">
        <f t="shared" si="50"/>
        <v>-</v>
      </c>
      <c r="AN163" s="227" t="str">
        <f t="shared" si="51"/>
        <v>-</v>
      </c>
      <c r="AO163" s="227" t="str">
        <f t="shared" si="23"/>
        <v>-</v>
      </c>
      <c r="AP163" s="273">
        <f t="shared" si="52"/>
        <v>0.1</v>
      </c>
      <c r="AQ163" s="271" t="str">
        <f>IFERROR(IF(AL162=1,AQ$100*EXP(-(LN(2)/$D$65+0.04)*AN162)*EXP(-(LN(2)/$D$65+0.1)*AO162),IF(AL162=2,AQ$100*EXP(-(LN(2)/$D$65+0.04)*(VLOOKUP(($F$16-$F$15)-1,AK$99:AO162,4,FALSE)))*EXP(-(LN(2)/$D$65+0.1)*(VLOOKUP(($F$16-$F$15)-1,AK$99:AO162,5,FALSE)))*EXP(-(LN(2)/$D$65+0.04)*AN162)*EXP(-(LN(2)/$D$65+0.1)*AO162),IF(AL162=3,AQ$100*EXP(-(LN(2)/$D$65+0.04)*(VLOOKUP(($F$16-$F$15)-1,AK$99:AO162,4,FALSE)))*EXP(-(LN(2)/$D$65+0.1)*(VLOOKUP(($F$16-$F$15)-1,AK$99:AO162,5,FALSE)))*EXP(-(LN(2)/$D$65+0.04)*(VLOOKUP(($F$16-$F$15)*2-1,AK$99:AO162,4,FALSE)))*EXP(-(LN(2)/$D$65+0.1)*(VLOOKUP(($F$16-$F$15)*2-1,AK$99:AO162,5,FALSE)))*EXP(-(LN(2)/$D$65+0.04)*AN162)*EXP(-(LN(2)/$D$65+0.1)*AO162),"-"))),"-")</f>
        <v>-</v>
      </c>
      <c r="AR163" s="271" t="str">
        <f>IFERROR(IF(AL163=1,AR$100*EXP(-(LN(2)/$D$65+0.04)*AN163)*EXP(-(LN(2)/$D$65+0.1)*AO163),IF(AL163=2,AR$100*EXP(-(LN(2)/$D$65+0.04)*(VLOOKUP(($F$16-$F$15)-1,AK$100:AO163,4,FALSE)))*EXP(-(LN(2)/$D$65+0.1)*(VLOOKUP(($F$16-$F$15)-1,AK$100:AO163,5,FALSE)))*EXP(-(LN(2)/$D$65+0.04)*AN163)*EXP(-(LN(2)/$D$65+0.1)*AO163),IF(AL163=3,AR$100*EXP(-(LN(2)/$D$65+0.04)*(VLOOKUP(($F$16-$F$15)-1,AK$100:AO163,4,FALSE)))*EXP(-(LN(2)/$D$65+0.1)*(VLOOKUP(($F$16-$F$15)-1,AK$100:AO163,5,FALSE)))*EXP(-(LN(2)/$D$65+0.04)*(VLOOKUP(($F$16-$F$15)*2-1,AK$100:AO163,4,FALSE)))*EXP(-(LN(2)/$D$65+0.1)*(VLOOKUP(($F$16-$F$15)*2-1,AK$100:AO163,5,FALSE)))*EXP(-(LN(2)/$D$65+0.04)*AN163)*EXP(-(LN(2)/$D$65+0.1)*AO163),"-"))),"-")</f>
        <v>-</v>
      </c>
      <c r="AS163" s="274">
        <f t="shared" si="24"/>
        <v>0</v>
      </c>
      <c r="AT163" s="274">
        <f t="shared" si="25"/>
        <v>0</v>
      </c>
      <c r="AU163" s="274">
        <f t="shared" si="26"/>
        <v>0</v>
      </c>
      <c r="AV163" s="190" t="str">
        <f>IF($B163&lt;$F$22,SUM($T$100:$T163),"")</f>
        <v/>
      </c>
      <c r="AW163" s="190" t="str">
        <f t="shared" si="83"/>
        <v>-</v>
      </c>
      <c r="AX163" s="190" t="str">
        <f t="shared" si="56"/>
        <v/>
      </c>
      <c r="AY163"/>
      <c r="AZ163" s="190" t="str">
        <f ca="1">IF(ISNUMBER(OFFSET(AV163,-$F$21,0)),SUM(OFFSET($T$100,$F$21,0):$T163),"")</f>
        <v/>
      </c>
      <c r="BA163" s="190" t="str">
        <f t="shared" ca="1" si="84"/>
        <v/>
      </c>
      <c r="BB163" s="190" t="str">
        <f t="shared" ca="1" si="70"/>
        <v/>
      </c>
      <c r="BC163" s="190"/>
      <c r="BD163" s="190" t="str">
        <f ca="1">IFERROR(IF(OR(ISNUMBER(I),ISNUMBER($F$14)),IF(AND($B163&gt;=($F$16-$F$15),$B163&lt;$F$22+($F$16-$F$15)),SUM(OFFSET($T$100,($F$16-$F$15),0):$T163),""),""),"")</f>
        <v/>
      </c>
      <c r="BE163" s="190" t="str">
        <f t="shared" ca="1" si="58"/>
        <v/>
      </c>
      <c r="BF163" s="190" t="str">
        <f t="shared" ca="1" si="59"/>
        <v/>
      </c>
      <c r="BG163"/>
      <c r="BH163" s="190" t="str">
        <f ca="1">IF(ISNUMBER(OFFSET(BD163,-$F$21,0)),SUM(OFFSET($T$100,($F$16-$F$15+$F$21),0):$T163),"")</f>
        <v/>
      </c>
      <c r="BI163" s="190" t="str">
        <f t="shared" ca="1" si="85"/>
        <v/>
      </c>
      <c r="BJ163" s="190" t="str">
        <f t="shared" ca="1" si="60"/>
        <v/>
      </c>
      <c r="BK163" s="190"/>
      <c r="BL163" s="190" t="str">
        <f ca="1">IFERROR(IF(OR(ISNUMBER(I),ISNUMBER($F$14)),IF(AND($B163&gt;=($F$17-$F$15),$B163&lt;$F$22+($F$17-$F$15)),SUM(OFFSET($T$100,($F$17-$F$15),0):$T163),""),""),"")</f>
        <v/>
      </c>
      <c r="BM163" s="190" t="str">
        <f t="shared" ca="1" si="86"/>
        <v/>
      </c>
      <c r="BN163" s="190" t="str">
        <f t="shared" ca="1" si="61"/>
        <v/>
      </c>
      <c r="BO163"/>
      <c r="BP163" s="190" t="str">
        <f ca="1">IF(ISNUMBER(OFFSET(BL163,-$F$21,0)),SUM(OFFSET($T$100,($F$17-$F$15+$F$21),0):$T163),"")</f>
        <v/>
      </c>
      <c r="BQ163" s="190" t="str">
        <f t="shared" ca="1" si="87"/>
        <v/>
      </c>
      <c r="BR163" s="190" t="str">
        <f t="shared" ca="1" si="63"/>
        <v/>
      </c>
      <c r="BS163" s="190"/>
      <c r="BT163"/>
      <c r="BU163"/>
      <c r="BV163"/>
      <c r="BY163" s="99"/>
      <c r="BZ163" s="99"/>
      <c r="CA163" s="280" t="str">
        <f t="shared" si="88"/>
        <v/>
      </c>
      <c r="CB163" s="71" t="str">
        <f t="shared" si="31"/>
        <v>-</v>
      </c>
      <c r="CC163" s="33"/>
      <c r="CD163" s="261" t="str">
        <f t="shared" si="33"/>
        <v/>
      </c>
      <c r="CE163" s="280" t="str">
        <f t="shared" si="89"/>
        <v/>
      </c>
      <c r="CF163" s="71" t="str">
        <f t="shared" ca="1" si="90"/>
        <v/>
      </c>
      <c r="CG163" s="33" t="str">
        <f t="shared" si="36"/>
        <v/>
      </c>
      <c r="CH163" s="261" t="str">
        <f t="shared" ca="1" si="37"/>
        <v/>
      </c>
      <c r="CI163" s="202"/>
      <c r="CJ163" s="99"/>
      <c r="CK163" s="99"/>
      <c r="CL163" s="99"/>
      <c r="CM163" s="99"/>
      <c r="CN163" s="99"/>
      <c r="CO163" s="99"/>
    </row>
    <row r="164" spans="2:93" ht="13.5" customHeight="1" x14ac:dyDescent="0.2">
      <c r="B164" s="262">
        <v>64</v>
      </c>
      <c r="C164" s="237" t="str">
        <f t="shared" ref="C164:C227" si="91">IF(ISERROR(VLOOKUP(B164,$B$39:$C$73,2,0)),"",VLOOKUP(B164,$B$39:$C$73,2,0))</f>
        <v/>
      </c>
      <c r="D164" s="237" t="str">
        <f t="shared" si="66"/>
        <v/>
      </c>
      <c r="E164" s="290" t="str">
        <f t="shared" si="38"/>
        <v/>
      </c>
      <c r="F164" s="264" t="str">
        <f t="shared" si="39"/>
        <v/>
      </c>
      <c r="G164" s="291" t="str">
        <f t="shared" si="40"/>
        <v/>
      </c>
      <c r="H164" s="240" t="str">
        <f t="shared" ref="H164:H195" si="92">IF(E164&lt;&gt;"",IF($B164&lt;$F$21,"",IF(ISNUMBER(F164),IF(ISNUMBER(I164),(E164*30*50*ffp),""),(E164*30*50*ffp))),"")</f>
        <v/>
      </c>
      <c r="I164" s="265" t="str">
        <f t="shared" ref="I164:I195" si="93">IFERROR(IF(F164&lt;&gt;"",IF($B164&lt;$F$21+$F$16,"",IF(ISNUMBER(G164),IF(ISNUMBER(J164),(F164*30*50*ffp),""),(F164*30*50*ffp))),""),"")</f>
        <v/>
      </c>
      <c r="J164" s="265" t="str">
        <f t="shared" ref="J164:J195" si="94">IFERROR(IF(G164&lt;&gt;"",IF($B164&lt;$F$21+$F$17,"",(G164*30*50*ffp)),""),"")</f>
        <v/>
      </c>
      <c r="K164" s="240" t="str">
        <f t="shared" ref="K164:K195" si="95">IF(E164&lt;&gt;"",((E164*20*50*ffp)/Klevee),"")</f>
        <v/>
      </c>
      <c r="L164" s="265" t="str">
        <f t="shared" ref="L164:L195" si="96">IF(ISNUMBER(F164),((F164*20*50*ffp)/Klevee),"")</f>
        <v/>
      </c>
      <c r="M164" s="265" t="str">
        <f t="shared" ref="M164:M195" si="97">IF(ISNUMBER(G164),((G164*20*50*ffp)/Klevee),"")</f>
        <v/>
      </c>
      <c r="N164" s="240" t="str">
        <f t="shared" ref="N164:N195" si="98">IF(AND(ISNUMBER(I),ISNUMBER($F$14),ISNUMBER($F$20)),IF($B164=0,I*($J$40/100)*$J$42*1,""),"-")</f>
        <v>-</v>
      </c>
      <c r="O164" s="265" t="str">
        <f t="shared" ref="O164:O195" si="99">IF(ISNUMBER($F$14),IF($F$14&gt;1,IF($B164=0+$F$16,I*($J$40/100)*$J$42*1,""),""),"-")</f>
        <v>-</v>
      </c>
      <c r="P164" s="265" t="str">
        <f t="shared" ref="P164:P195" si="100">IF(ISNUMBER($F$14),IF($F$14&gt;2,IF($B164=0+$F$17,I*($J$40/100)*$J$42*1,""),""),"-")</f>
        <v>-</v>
      </c>
      <c r="Q164" s="266" t="str">
        <f t="shared" ref="Q164:Q195" si="101">IF(AND(ISNUMBER(I),ISNUMBER($F$14),ISNUMBER($F$20)),IF($B164=0,I*(dt/100)*$J$45*1,""),"-")</f>
        <v>-</v>
      </c>
      <c r="R164" s="267" t="str">
        <f t="shared" ref="R164:R195" si="102">IF(ISNUMBER($F$14),IF($F$14&gt;1,IF($B164=0+$F$16,I*(dt/100)*$J$45*1,""),""),"-")</f>
        <v>-</v>
      </c>
      <c r="S164" s="268" t="str">
        <f t="shared" ref="S164:S195" si="103">IF(ISNUMBER($F$14),IF($F$14&gt;2,IF($B164=0+$F$17,I*(dt/100)*$J$45*1,""),""),"-")</f>
        <v>-</v>
      </c>
      <c r="T164" s="269" t="str">
        <f t="shared" ref="T164:T227" si="104">IF(SUM(H164:S164)=0,"",SUM(H164:S164))</f>
        <v/>
      </c>
      <c r="U164" s="221">
        <f t="shared" ref="U164:U227" si="105">B164</f>
        <v>64</v>
      </c>
      <c r="V164" s="220" t="str">
        <f t="shared" si="42"/>
        <v>-</v>
      </c>
      <c r="W164" s="221" t="str">
        <f t="shared" si="43"/>
        <v>-</v>
      </c>
      <c r="X164" s="221" t="str">
        <f t="shared" ref="X164:X227" si="106">IFERROR(IF($F$21=0,0,IF(V164=V163,IF(B164-(V164-1)*($F$16-$F$15)&lt;$F$21,X163+1,X163),1)),"-")</f>
        <v>-</v>
      </c>
      <c r="Y164" s="221" t="str">
        <f t="shared" ref="Y164:Y227" si="107">IFERROR(W164-X164,"-")</f>
        <v>-</v>
      </c>
      <c r="Z164" s="270">
        <f t="shared" si="44"/>
        <v>0.1</v>
      </c>
      <c r="AA164" s="271" t="str">
        <f>IFERROR(IF(V163=1,AA$100*EXP(-(LN(2)/$D$65+0.04)*X163)*EXP(-(LN(2)/$D$65+0.1)*Y163),IF(V163=2,AA$100*EXP(-(LN(2)/$D$65+0.04)*(VLOOKUP(($F$16-$F$15)-1,U$99:Y163,4,FALSE)))*EXP(-(LN(2)/$D$65+0.1)*(VLOOKUP(($F$16-$F$15)-1,U$99:Y163,5,FALSE)))*EXP(-(LN(2)/$D$65+0.04)*X163)*EXP(-(LN(2)/$D$65+0.1)*Y163),IF(V163=3,AA$100*EXP(-(LN(2)/$D$65+0.04)*(VLOOKUP(($F$16-$F$15)-1,U$99:Y163,4,FALSE)))*EXP(-(LN(2)/$D$65+0.1)*(VLOOKUP(($F$16-$F$15)-1,U$99:Y163,5,FALSE)))*EXP(-(LN(2)/$D$65+0.04)*(VLOOKUP(($F$16-$F$15)*2-1,U$99:Y163,4,FALSE)))*EXP(-(LN(2)/$D$65+0.1)*(VLOOKUP(($F$16-$F$15)*2-1,U$99:Y163,5,FALSE)))*EXP(-(LN(2)/$D$65+0.04)*X163)*EXP(-(LN(2)/$D$65+0.1)*Y163),"-"))),"-")</f>
        <v>-</v>
      </c>
      <c r="AB164" s="271" t="str">
        <f>IFERROR(IF(V164=1,AB$100*EXP(-(LN(2)/$D$65+0.04)*X164)*EXP(-(LN(2)/$D$65+0.1)*Y164),IF(V164=2,AB$100*EXP(-(LN(2)/$D$65+0.04)*(VLOOKUP(($F$16-$F$15)-1,U$100:Y164,4,FALSE)))*EXP(-(LN(2)/$D$65+0.1)*(VLOOKUP(($F$16-$F$15)-1,U$100:Y164,5,FALSE)))*EXP(-(LN(2)/$D$65+0.04)*X164)*EXP(-(LN(2)/$D$65+0.1)*Y164),IF(V164=3,AB$100*EXP(-(LN(2)/$D$65+0.04)*(VLOOKUP(($F$16-$F$15)-1,U$100:Y164,4,FALSE)))*EXP(-(LN(2)/$D$65+0.1)*(VLOOKUP(($F$16-$F$15)-1,U$100:Y164,5,FALSE)))*EXP(-(LN(2)/$D$65+0.04)*(VLOOKUP(($F$16-$F$15)*2-1,U$100:Y164,4,FALSE)))*EXP(-(LN(2)/$D$65+0.1)*(VLOOKUP(($F$16-$F$15)*2-1,U$100:Y164,5,FALSE)))*EXP(-(LN(2)/$D$65+0.04)*X164)*EXP(-(LN(2)/$D$65+0.1)*Y164),"-"))),"-")</f>
        <v>-</v>
      </c>
      <c r="AC164" s="224">
        <f t="shared" si="45"/>
        <v>64</v>
      </c>
      <c r="AD164" s="223" t="str">
        <f t="shared" ref="AD164:AD227" si="108">IFERROR(IF($F$14-1&gt;0,IF(B164&lt;($F$16-$F$15)*($F$14-1),INT(B164/($F$16-$F$15))+1,AD162),"-"),"-")</f>
        <v>-</v>
      </c>
      <c r="AE164" s="224" t="str">
        <f t="shared" si="46"/>
        <v>-</v>
      </c>
      <c r="AF164" s="224" t="str">
        <f t="shared" ref="AF164:AF227" si="109">IFERROR(IF($F$21=0,0,IF(AD164=AD163,IF(B164-(AD164-1)*($F$16-$F$15)&lt;$F$21,AF163+1,AF163),1)),"-")</f>
        <v>-</v>
      </c>
      <c r="AG164" s="224" t="str">
        <f t="shared" ref="AG164:AG227" si="110">IFERROR(AE164-AF164,"-")</f>
        <v>-</v>
      </c>
      <c r="AH164" s="272">
        <f t="shared" si="47"/>
        <v>0.1</v>
      </c>
      <c r="AI164" s="271" t="str">
        <f>IFERROR(IF(AD163=1,AI$100*EXP(-(LN(2)/$D$65+0.04)*AF163)*EXP(-(LN(2)/$D$65+0.1)*AG163),IF(AD163=2,AI$100*EXP(-(LN(2)/$D$65+0.04)*(VLOOKUP(($F$16-$F$15)-1,AC$99:AG163,4,FALSE)))*EXP(-(LN(2)/$D$65+0.1)*(VLOOKUP(($F$16-$F$15)-1,AC$99:AG163,5,FALSE)))*EXP(-(LN(2)/$D$65+0.04)*AF163)*EXP(-(LN(2)/$D$65+0.1)*AG163),IF(AD163=3,AI$100*EXP(-(LN(2)/$D$65+0.04)*(VLOOKUP(($F$16-$F$15)-1,AC$99:AG163,4,FALSE)))*EXP(-(LN(2)/$D$65+0.1)*(VLOOKUP(($F$16-$F$15)-1,AC$99:AG163,5,FALSE)))*EXP(-(LN(2)/$D$65+0.04)*(VLOOKUP(($F$16-$F$15)*2-1,AC$99:AG163,4,FALSE)))*EXP(-(LN(2)/$D$65+0.1)*(VLOOKUP(($F$16-$F$15)*2-1,AC$99:AG163,5,FALSE)))*EXP(-(LN(2)/$D$65+0.04)*AF163)*EXP(-(LN(2)/$D$65+0.1)*AG163),"-"))),"-")</f>
        <v>-</v>
      </c>
      <c r="AJ164" s="271" t="str">
        <f>IFERROR(IF(AD164=1,AJ$100*EXP(-(LN(2)/$D$65+0.04)*AF164)*EXP(-(LN(2)/$D$65+0.1)*AG164),IF(AD164=2,AJ$100*EXP(-(LN(2)/$D$65+0.04)*(VLOOKUP(($F$16-$F$15)-1,AC$100:AG164,4,FALSE)))*EXP(-(LN(2)/$D$65+0.1)*(VLOOKUP(($F$16-$F$15)-1,AC$100:AG164,5,FALSE)))*EXP(-(LN(2)/$D$65+0.04)*AF164)*EXP(-(LN(2)/$D$65+0.1)*AG164),IF(AD164=3,AJ$100*EXP(-(LN(2)/$D$65+0.04)*(VLOOKUP(($F$16-$F$15)-1,AC$100:AG164,4,FALSE)))*EXP(-(LN(2)/$D$65+0.1)*(VLOOKUP(($F$16-$F$15)-1,AC$100:AG164,5,FALSE)))*EXP(-(LN(2)/$D$65+0.04)*(VLOOKUP(($F$16-$F$15)*2-1,AC$100:AG164,4,FALSE)))*EXP(-(LN(2)/$D$65+0.1)*(VLOOKUP(($F$16-$F$15)*2-1,AC$100:AG164,5,FALSE)))*EXP(-(LN(2)/$D$65+0.04)*AF164)*EXP(-(LN(2)/$D$65+0.1)*AG164),"-"))),"-")</f>
        <v>-</v>
      </c>
      <c r="AK164" s="227">
        <f t="shared" si="49"/>
        <v>64</v>
      </c>
      <c r="AL164" s="226" t="str">
        <f t="shared" ref="AL164:AL227" si="111">IFERROR(IF($F$14-2&gt;0,IF(B164&lt;($F$16-$F$15)*($F$14-2),INT(B164/($F$16-$F$15))+1,AL162),"-"),"-")</f>
        <v>-</v>
      </c>
      <c r="AM164" s="227" t="str">
        <f t="shared" si="50"/>
        <v>-</v>
      </c>
      <c r="AN164" s="227" t="str">
        <f t="shared" si="51"/>
        <v>-</v>
      </c>
      <c r="AO164" s="227" t="str">
        <f t="shared" ref="AO164:AO227" si="112">IFERROR(AM164-AN164,"-")</f>
        <v>-</v>
      </c>
      <c r="AP164" s="273">
        <f t="shared" si="52"/>
        <v>0.1</v>
      </c>
      <c r="AQ164" s="271" t="str">
        <f>IFERROR(IF(AL163=1,AQ$100*EXP(-(LN(2)/$D$65+0.04)*AN163)*EXP(-(LN(2)/$D$65+0.1)*AO163),IF(AL163=2,AQ$100*EXP(-(LN(2)/$D$65+0.04)*(VLOOKUP(($F$16-$F$15)-1,AK$99:AO163,4,FALSE)))*EXP(-(LN(2)/$D$65+0.1)*(VLOOKUP(($F$16-$F$15)-1,AK$99:AO163,5,FALSE)))*EXP(-(LN(2)/$D$65+0.04)*AN163)*EXP(-(LN(2)/$D$65+0.1)*AO163),IF(AL163=3,AQ$100*EXP(-(LN(2)/$D$65+0.04)*(VLOOKUP(($F$16-$F$15)-1,AK$99:AO163,4,FALSE)))*EXP(-(LN(2)/$D$65+0.1)*(VLOOKUP(($F$16-$F$15)-1,AK$99:AO163,5,FALSE)))*EXP(-(LN(2)/$D$65+0.04)*(VLOOKUP(($F$16-$F$15)*2-1,AK$99:AO163,4,FALSE)))*EXP(-(LN(2)/$D$65+0.1)*(VLOOKUP(($F$16-$F$15)*2-1,AK$99:AO163,5,FALSE)))*EXP(-(LN(2)/$D$65+0.04)*AN163)*EXP(-(LN(2)/$D$65+0.1)*AO163),"-"))),"-")</f>
        <v>-</v>
      </c>
      <c r="AR164" s="271" t="str">
        <f>IFERROR(IF(AL164=1,AR$100*EXP(-(LN(2)/$D$65+0.04)*AN164)*EXP(-(LN(2)/$D$65+0.1)*AO164),IF(AL164=2,AR$100*EXP(-(LN(2)/$D$65+0.04)*(VLOOKUP(($F$16-$F$15)-1,AK$100:AO164,4,FALSE)))*EXP(-(LN(2)/$D$65+0.1)*(VLOOKUP(($F$16-$F$15)-1,AK$100:AO164,5,FALSE)))*EXP(-(LN(2)/$D$65+0.04)*AN164)*EXP(-(LN(2)/$D$65+0.1)*AO164),IF(AL164=3,AR$100*EXP(-(LN(2)/$D$65+0.04)*(VLOOKUP(($F$16-$F$15)-1,AK$100:AO164,4,FALSE)))*EXP(-(LN(2)/$D$65+0.1)*(VLOOKUP(($F$16-$F$15)-1,AK$100:AO164,5,FALSE)))*EXP(-(LN(2)/$D$65+0.04)*(VLOOKUP(($F$16-$F$15)*2-1,AK$100:AO164,4,FALSE)))*EXP(-(LN(2)/$D$65+0.1)*(VLOOKUP(($F$16-$F$15)*2-1,AK$100:AO164,5,FALSE)))*EXP(-(LN(2)/$D$65+0.04)*AN164)*EXP(-(LN(2)/$D$65+0.1)*AO164),"-"))),"-")</f>
        <v>-</v>
      </c>
      <c r="AS164" s="274">
        <f t="shared" ref="AS164:AS227" si="113">SUM(H164:J164)</f>
        <v>0</v>
      </c>
      <c r="AT164" s="274">
        <f t="shared" ref="AT164:AT227" si="114">SUM(K164:M164)</f>
        <v>0</v>
      </c>
      <c r="AU164" s="274">
        <f t="shared" ref="AU164:AU227" si="115">SUM(N164:S164)</f>
        <v>0</v>
      </c>
      <c r="AV164" s="190" t="str">
        <f>IF($B164&lt;$F$22,SUM($T$100:$T164),"")</f>
        <v/>
      </c>
      <c r="AW164" s="190" t="str">
        <f t="shared" ref="AW164:AW195" si="116">IF(ISNUMBER(Koc),IF(ISNUMBER(AV164),AV164*(Koc*(Ocse/100)*Pse*Vse)/(Koc*(Ocse/100)*Pse*Vse+1*86400*($B164+1)),""),"-")</f>
        <v>-</v>
      </c>
      <c r="AX164" s="190" t="str">
        <f t="shared" si="56"/>
        <v/>
      </c>
      <c r="AY164"/>
      <c r="AZ164" s="190" t="str">
        <f ca="1">IF(ISNUMBER(OFFSET(AV164,-$F$21,0)),SUM(OFFSET($T$100,$F$21,0):$T164),"")</f>
        <v/>
      </c>
      <c r="BA164" s="190" t="str">
        <f t="shared" ref="BA164:BA195" ca="1" si="117">IF(ISNUMBER(OFFSET(AV164,-$F$21,0)),AZ164*(Koc*(Ocse/100)*Pse*Vse)/(Koc*(Ocse/100)*Pse*Vse+1*86400*($B164+1)),"")</f>
        <v/>
      </c>
      <c r="BB164" s="190" t="str">
        <f t="shared" ca="1" si="70"/>
        <v/>
      </c>
      <c r="BC164" s="190"/>
      <c r="BD164" s="190" t="str">
        <f ca="1">IFERROR(IF(OR(ISNUMBER(I),ISNUMBER($F$14)),IF(AND($B164&gt;=($F$16-$F$15),$B164&lt;$F$22+($F$16-$F$15)),SUM(OFFSET($T$100,($F$16-$F$15),0):$T164),""),""),"")</f>
        <v/>
      </c>
      <c r="BE164" s="190" t="str">
        <f t="shared" ca="1" si="58"/>
        <v/>
      </c>
      <c r="BF164" s="190" t="str">
        <f t="shared" ca="1" si="59"/>
        <v/>
      </c>
      <c r="BG164"/>
      <c r="BH164" s="190" t="str">
        <f ca="1">IF(ISNUMBER(OFFSET(BD164,-$F$21,0)),SUM(OFFSET($T$100,($F$16-$F$15+$F$21),0):$T164),"")</f>
        <v/>
      </c>
      <c r="BI164" s="190" t="str">
        <f t="shared" ref="BI164:BI195" ca="1" si="118">IF(ISNUMBER(OFFSET(BD164,-$F$21,0)),BH164*(Koc*(Ocse/100)*Pse*Vse)/(Koc*(Ocse/100)*Pse*Vse+1*86400*($B164+1)),"")</f>
        <v/>
      </c>
      <c r="BJ164" s="190" t="str">
        <f t="shared" ca="1" si="60"/>
        <v/>
      </c>
      <c r="BK164" s="190"/>
      <c r="BL164" s="190" t="str">
        <f ca="1">IFERROR(IF(OR(ISNUMBER(I),ISNUMBER($F$14)),IF(AND($B164&gt;=($F$17-$F$15),$B164&lt;$F$22+($F$17-$F$15)),SUM(OFFSET($T$100,($F$17-$F$15),0):$T164),""),""),"")</f>
        <v/>
      </c>
      <c r="BM164" s="190" t="str">
        <f t="shared" ref="BM164:BM195" ca="1" si="119">IF(ISNUMBER(BL164),BL164*(Koc*(Ocse/100)*Pse*Vse)/(Koc*(Ocse/100)*Pse*Vse+1*86400*($B164+1)),"")</f>
        <v/>
      </c>
      <c r="BN164" s="190" t="str">
        <f t="shared" ca="1" si="61"/>
        <v/>
      </c>
      <c r="BO164"/>
      <c r="BP164" s="190" t="str">
        <f ca="1">IF(ISNUMBER(OFFSET(BL164,-$F$21,0)),SUM(OFFSET($T$100,($F$17-$F$15+$F$21),0):$T164),"")</f>
        <v/>
      </c>
      <c r="BQ164" s="190" t="str">
        <f t="shared" ref="BQ164:BQ195" ca="1" si="120">IF(ISNUMBER(OFFSET(BL164,-$F$21,0)),BP164*(Koc*(Ocse/100)*Pse*Vse)/(Koc*(Ocse/100)*Pse*Vse+1*86400*($B164+1)),"")</f>
        <v/>
      </c>
      <c r="BR164" s="190" t="str">
        <f t="shared" ca="1" si="63"/>
        <v/>
      </c>
      <c r="BS164" s="190"/>
      <c r="BT164"/>
      <c r="BU164"/>
      <c r="BV164"/>
      <c r="BY164" s="99"/>
      <c r="BZ164" s="99"/>
      <c r="CA164" s="280" t="str">
        <f t="shared" ref="CA164:CA195" si="121">IFERROR(IF($B164&lt;$CA$94,T164*(Koc*(Ocse/100)*Pse*Vse)/(Koc*(Ocse/100)*Pse*Vse+1*86400*$CA$94),""),"-")</f>
        <v/>
      </c>
      <c r="CB164" s="71" t="str">
        <f t="shared" ref="CB164:CB227" si="122">IF(ISNUMBER(T164),IF($B164&lt;$CA$94,(T164-CA164)/(3*86400)*1000,""),"-")</f>
        <v>-</v>
      </c>
      <c r="CC164" s="33"/>
      <c r="CD164" s="261" t="str">
        <f t="shared" ref="CD164:CD227" si="123">IF(CC164=CA$96,CB$96,"")</f>
        <v/>
      </c>
      <c r="CE164" s="280" t="str">
        <f t="shared" ref="CE164:CE195" si="124">IFERROR(IF($B164&lt;$CE$94,T164*(Koc*(Ocse/100)*Pse*Vse)/(Koc*(Ocse/100)*Pse*Vse+1*86400*$CE$94),""),"-")</f>
        <v/>
      </c>
      <c r="CF164" s="71" t="str">
        <f t="shared" ref="CF164:CF195" ca="1" si="125">IFERROR(IF($B164&lt;$CE$94,IF(NOT(ISNUMBER(ffp)),"-",IF($F$70=$AX$87,AX164,IF($F$70=$BB$87,OFFSET(BB164,$F$21,0),IF($F$70=$BF$87,OFFSET(BF164,$F$16,0),IF($F$70=$BJ$87,OFFSET(BJ164,$F$16+$F$21,0),IF($F$70=$BN$87,OFFSET(BN164,$F$17,0),OFFSET(BR164,$F$17+$F$21,0))))))),""),"-")</f>
        <v/>
      </c>
      <c r="CG164" s="33" t="str">
        <f t="shared" ref="CG164:CG227" si="126">IF($B164&lt;$CE$94,$B164&amp;"-"&amp;$B164+1,"")</f>
        <v/>
      </c>
      <c r="CH164" s="261" t="str">
        <f t="shared" ref="CH164:CH227" ca="1" si="127">IF(CG164=CE$96,CF$96,"")</f>
        <v/>
      </c>
      <c r="CI164" s="202"/>
      <c r="CJ164" s="99"/>
      <c r="CK164" s="99"/>
      <c r="CL164" s="99"/>
      <c r="CM164" s="99"/>
      <c r="CN164" s="99"/>
      <c r="CO164" s="99"/>
    </row>
    <row r="165" spans="2:93" ht="13.5" customHeight="1" x14ac:dyDescent="0.2">
      <c r="B165" s="262">
        <v>65</v>
      </c>
      <c r="C165" s="237" t="str">
        <f t="shared" si="91"/>
        <v/>
      </c>
      <c r="D165" s="237" t="str">
        <f t="shared" si="66"/>
        <v/>
      </c>
      <c r="E165" s="290" t="str">
        <f t="shared" ref="E165:E228" si="128">IF(ISNUMBER($F$14),IF(ISNUMBER(AA165),AA165,""),"")</f>
        <v/>
      </c>
      <c r="F165" s="264" t="str">
        <f t="shared" ref="F165:F228" si="129">IF(OR($F$14=2,$F$14=3),IF(($F$16-$F$15)&gt;B165," ",VLOOKUP((B165-($F$16-$F$15)),$AC$100:$AI$250,7,FALSE)),"")</f>
        <v/>
      </c>
      <c r="G165" s="291" t="str">
        <f t="shared" ref="G165:G228" si="130">IF($F$14=3,IF(($F$16-$F$15)*2&gt;B165," ",VLOOKUP((B165-($F$16-$F$15)*2),$AK$100:$AQ$250,7,FALSE)),"")</f>
        <v/>
      </c>
      <c r="H165" s="240" t="str">
        <f t="shared" si="92"/>
        <v/>
      </c>
      <c r="I165" s="265" t="str">
        <f t="shared" si="93"/>
        <v/>
      </c>
      <c r="J165" s="265" t="str">
        <f t="shared" si="94"/>
        <v/>
      </c>
      <c r="K165" s="240" t="str">
        <f t="shared" si="95"/>
        <v/>
      </c>
      <c r="L165" s="265" t="str">
        <f t="shared" si="96"/>
        <v/>
      </c>
      <c r="M165" s="265" t="str">
        <f t="shared" si="97"/>
        <v/>
      </c>
      <c r="N165" s="240" t="str">
        <f t="shared" si="98"/>
        <v>-</v>
      </c>
      <c r="O165" s="265" t="str">
        <f t="shared" si="99"/>
        <v>-</v>
      </c>
      <c r="P165" s="265" t="str">
        <f t="shared" si="100"/>
        <v>-</v>
      </c>
      <c r="Q165" s="266" t="str">
        <f t="shared" si="101"/>
        <v>-</v>
      </c>
      <c r="R165" s="267" t="str">
        <f t="shared" si="102"/>
        <v>-</v>
      </c>
      <c r="S165" s="268" t="str">
        <f t="shared" si="103"/>
        <v>-</v>
      </c>
      <c r="T165" s="269" t="str">
        <f t="shared" si="104"/>
        <v/>
      </c>
      <c r="U165" s="221">
        <f t="shared" si="105"/>
        <v>65</v>
      </c>
      <c r="V165" s="220" t="str">
        <f t="shared" ref="V165:V228" si="131">IF(ISNUMBER($F$14),IF(B165&lt;($F$16-$F$15)*$F$14,INT(B165/($F$16-$F$15))+1,V163),"-")</f>
        <v>-</v>
      </c>
      <c r="W165" s="221" t="str">
        <f t="shared" ref="W165:W228" si="132">IF(ISNUMBER($F$14),IF(B165&lt;$F$14*($F$16-$F$15),B165-INT(B165/($F$16-$F$15))*($F$16-$F$15)+1,W164+1),"-")</f>
        <v>-</v>
      </c>
      <c r="X165" s="221" t="str">
        <f t="shared" si="106"/>
        <v>-</v>
      </c>
      <c r="Y165" s="221" t="str">
        <f t="shared" si="107"/>
        <v>-</v>
      </c>
      <c r="Z165" s="270">
        <f t="shared" ref="Z165:Z228" si="133">IF(Y165&gt;0,0.1,0.04)</f>
        <v>0.1</v>
      </c>
      <c r="AA165" s="271" t="str">
        <f>IFERROR(IF(V164=1,AA$100*EXP(-(LN(2)/$D$65+0.04)*X164)*EXP(-(LN(2)/$D$65+0.1)*Y164),IF(V164=2,AA$100*EXP(-(LN(2)/$D$65+0.04)*(VLOOKUP(($F$16-$F$15)-1,U$99:Y164,4,FALSE)))*EXP(-(LN(2)/$D$65+0.1)*(VLOOKUP(($F$16-$F$15)-1,U$99:Y164,5,FALSE)))*EXP(-(LN(2)/$D$65+0.04)*X164)*EXP(-(LN(2)/$D$65+0.1)*Y164),IF(V164=3,AA$100*EXP(-(LN(2)/$D$65+0.04)*(VLOOKUP(($F$16-$F$15)-1,U$99:Y164,4,FALSE)))*EXP(-(LN(2)/$D$65+0.1)*(VLOOKUP(($F$16-$F$15)-1,U$99:Y164,5,FALSE)))*EXP(-(LN(2)/$D$65+0.04)*(VLOOKUP(($F$16-$F$15)*2-1,U$99:Y164,4,FALSE)))*EXP(-(LN(2)/$D$65+0.1)*(VLOOKUP(($F$16-$F$15)*2-1,U$99:Y164,5,FALSE)))*EXP(-(LN(2)/$D$65+0.04)*X164)*EXP(-(LN(2)/$D$65+0.1)*Y164),"-"))),"-")</f>
        <v>-</v>
      </c>
      <c r="AB165" s="271" t="str">
        <f>IFERROR(IF(V165=1,AB$100*EXP(-(LN(2)/$D$65+0.04)*X165)*EXP(-(LN(2)/$D$65+0.1)*Y165),IF(V165=2,AB$100*EXP(-(LN(2)/$D$65+0.04)*(VLOOKUP(($F$16-$F$15)-1,U$100:Y165,4,FALSE)))*EXP(-(LN(2)/$D$65+0.1)*(VLOOKUP(($F$16-$F$15)-1,U$100:Y165,5,FALSE)))*EXP(-(LN(2)/$D$65+0.04)*X165)*EXP(-(LN(2)/$D$65+0.1)*Y165),IF(V165=3,AB$100*EXP(-(LN(2)/$D$65+0.04)*(VLOOKUP(($F$16-$F$15)-1,U$100:Y165,4,FALSE)))*EXP(-(LN(2)/$D$65+0.1)*(VLOOKUP(($F$16-$F$15)-1,U$100:Y165,5,FALSE)))*EXP(-(LN(2)/$D$65+0.04)*(VLOOKUP(($F$16-$F$15)*2-1,U$100:Y165,4,FALSE)))*EXP(-(LN(2)/$D$65+0.1)*(VLOOKUP(($F$16-$F$15)*2-1,U$100:Y165,5,FALSE)))*EXP(-(LN(2)/$D$65+0.04)*X165)*EXP(-(LN(2)/$D$65+0.1)*Y165),"-"))),"-")</f>
        <v>-</v>
      </c>
      <c r="AC165" s="224">
        <f t="shared" ref="AC165:AC228" si="134">B165</f>
        <v>65</v>
      </c>
      <c r="AD165" s="223" t="str">
        <f t="shared" si="108"/>
        <v>-</v>
      </c>
      <c r="AE165" s="224" t="str">
        <f t="shared" ref="AE165:AE228" si="135">IFERROR(IF($F$14-1&gt;0,IF(B165&lt;($F$14-1)*($F$16-$F$15),B165-INT(B165/($F$16-$F$15))*($F$16-$F$15)+1,AE164+1),"-"),"-")</f>
        <v>-</v>
      </c>
      <c r="AF165" s="224" t="str">
        <f t="shared" si="109"/>
        <v>-</v>
      </c>
      <c r="AG165" s="224" t="str">
        <f t="shared" si="110"/>
        <v>-</v>
      </c>
      <c r="AH165" s="272">
        <f t="shared" ref="AH165:AH228" si="136">IF(AG165&gt;0,0.1,0.04)</f>
        <v>0.1</v>
      </c>
      <c r="AI165" s="271" t="str">
        <f>IFERROR(IF(AD164=1,AI$100*EXP(-(LN(2)/$D$65+0.04)*AF164)*EXP(-(LN(2)/$D$65+0.1)*AG164),IF(AD164=2,AI$100*EXP(-(LN(2)/$D$65+0.04)*(VLOOKUP(($F$16-$F$15)-1,AC$99:AG164,4,FALSE)))*EXP(-(LN(2)/$D$65+0.1)*(VLOOKUP(($F$16-$F$15)-1,AC$99:AG164,5,FALSE)))*EXP(-(LN(2)/$D$65+0.04)*AF164)*EXP(-(LN(2)/$D$65+0.1)*AG164),IF(AD164=3,AI$100*EXP(-(LN(2)/$D$65+0.04)*(VLOOKUP(($F$16-$F$15)-1,AC$99:AG164,4,FALSE)))*EXP(-(LN(2)/$D$65+0.1)*(VLOOKUP(($F$16-$F$15)-1,AC$99:AG164,5,FALSE)))*EXP(-(LN(2)/$D$65+0.04)*(VLOOKUP(($F$16-$F$15)*2-1,AC$99:AG164,4,FALSE)))*EXP(-(LN(2)/$D$65+0.1)*(VLOOKUP(($F$16-$F$15)*2-1,AC$99:AG164,5,FALSE)))*EXP(-(LN(2)/$D$65+0.04)*AF164)*EXP(-(LN(2)/$D$65+0.1)*AG164),"-"))),"-")</f>
        <v>-</v>
      </c>
      <c r="AJ165" s="271" t="str">
        <f>IFERROR(IF(AD165=1,AJ$100*EXP(-(LN(2)/$D$65+0.04)*AF165)*EXP(-(LN(2)/$D$65+0.1)*AG165),IF(AD165=2,AJ$100*EXP(-(LN(2)/$D$65+0.04)*(VLOOKUP(($F$16-$F$15)-1,AC$100:AG165,4,FALSE)))*EXP(-(LN(2)/$D$65+0.1)*(VLOOKUP(($F$16-$F$15)-1,AC$100:AG165,5,FALSE)))*EXP(-(LN(2)/$D$65+0.04)*AF165)*EXP(-(LN(2)/$D$65+0.1)*AG165),IF(AD165=3,AJ$100*EXP(-(LN(2)/$D$65+0.04)*(VLOOKUP(($F$16-$F$15)-1,AC$100:AG165,4,FALSE)))*EXP(-(LN(2)/$D$65+0.1)*(VLOOKUP(($F$16-$F$15)-1,AC$100:AG165,5,FALSE)))*EXP(-(LN(2)/$D$65+0.04)*(VLOOKUP(($F$16-$F$15)*2-1,AC$100:AG165,4,FALSE)))*EXP(-(LN(2)/$D$65+0.1)*(VLOOKUP(($F$16-$F$15)*2-1,AC$100:AG165,5,FALSE)))*EXP(-(LN(2)/$D$65+0.04)*AF165)*EXP(-(LN(2)/$D$65+0.1)*AG165),"-"))),"-")</f>
        <v>-</v>
      </c>
      <c r="AK165" s="227">
        <f t="shared" ref="AK165:AK228" si="137">B165</f>
        <v>65</v>
      </c>
      <c r="AL165" s="226" t="str">
        <f t="shared" si="111"/>
        <v>-</v>
      </c>
      <c r="AM165" s="227" t="str">
        <f t="shared" ref="AM165:AM228" si="138">IFERROR(IF($F$14-2&gt;0,IF(B165&lt;($F$14-2)*($F$16-$F$15),B165-INT(B165/($F$16-$F$15))*($F$16-$F$15)+1,AM164+1),"-"),"-")</f>
        <v>-</v>
      </c>
      <c r="AN165" s="227" t="str">
        <f t="shared" ref="AN165:AN228" si="139">IFERROR(IF($F$21=0,0,IF(AL165=AL164,IF(B165-(AL165-1)*($F$16-$F$15)&lt;$F$21,AN164+1,AN164),1)),"-")</f>
        <v>-</v>
      </c>
      <c r="AO165" s="227" t="str">
        <f t="shared" si="112"/>
        <v>-</v>
      </c>
      <c r="AP165" s="273">
        <f t="shared" ref="AP165:AP228" si="140">IF(AO165&gt;0,0.1,0.04)</f>
        <v>0.1</v>
      </c>
      <c r="AQ165" s="271" t="str">
        <f>IFERROR(IF(AL164=1,AQ$100*EXP(-(LN(2)/$D$65+0.04)*AN164)*EXP(-(LN(2)/$D$65+0.1)*AO164),IF(AL164=2,AQ$100*EXP(-(LN(2)/$D$65+0.04)*(VLOOKUP(($F$16-$F$15)-1,AK$99:AO164,4,FALSE)))*EXP(-(LN(2)/$D$65+0.1)*(VLOOKUP(($F$16-$F$15)-1,AK$99:AO164,5,FALSE)))*EXP(-(LN(2)/$D$65+0.04)*AN164)*EXP(-(LN(2)/$D$65+0.1)*AO164),IF(AL164=3,AQ$100*EXP(-(LN(2)/$D$65+0.04)*(VLOOKUP(($F$16-$F$15)-1,AK$99:AO164,4,FALSE)))*EXP(-(LN(2)/$D$65+0.1)*(VLOOKUP(($F$16-$F$15)-1,AK$99:AO164,5,FALSE)))*EXP(-(LN(2)/$D$65+0.04)*(VLOOKUP(($F$16-$F$15)*2-1,AK$99:AO164,4,FALSE)))*EXP(-(LN(2)/$D$65+0.1)*(VLOOKUP(($F$16-$F$15)*2-1,AK$99:AO164,5,FALSE)))*EXP(-(LN(2)/$D$65+0.04)*AN164)*EXP(-(LN(2)/$D$65+0.1)*AO164),"-"))),"-")</f>
        <v>-</v>
      </c>
      <c r="AR165" s="271" t="str">
        <f>IFERROR(IF(AL165=1,AR$100*EXP(-(LN(2)/$D$65+0.04)*AN165)*EXP(-(LN(2)/$D$65+0.1)*AO165),IF(AL165=2,AR$100*EXP(-(LN(2)/$D$65+0.04)*(VLOOKUP(($F$16-$F$15)-1,AK$100:AO165,4,FALSE)))*EXP(-(LN(2)/$D$65+0.1)*(VLOOKUP(($F$16-$F$15)-1,AK$100:AO165,5,FALSE)))*EXP(-(LN(2)/$D$65+0.04)*AN165)*EXP(-(LN(2)/$D$65+0.1)*AO165),IF(AL165=3,AR$100*EXP(-(LN(2)/$D$65+0.04)*(VLOOKUP(($F$16-$F$15)-1,AK$100:AO165,4,FALSE)))*EXP(-(LN(2)/$D$65+0.1)*(VLOOKUP(($F$16-$F$15)-1,AK$100:AO165,5,FALSE)))*EXP(-(LN(2)/$D$65+0.04)*(VLOOKUP(($F$16-$F$15)*2-1,AK$100:AO165,4,FALSE)))*EXP(-(LN(2)/$D$65+0.1)*(VLOOKUP(($F$16-$F$15)*2-1,AK$100:AO165,5,FALSE)))*EXP(-(LN(2)/$D$65+0.04)*AN165)*EXP(-(LN(2)/$D$65+0.1)*AO165),"-"))),"-")</f>
        <v>-</v>
      </c>
      <c r="AS165" s="274">
        <f t="shared" si="113"/>
        <v>0</v>
      </c>
      <c r="AT165" s="274">
        <f t="shared" si="114"/>
        <v>0</v>
      </c>
      <c r="AU165" s="274">
        <f t="shared" si="115"/>
        <v>0</v>
      </c>
      <c r="AV165" s="190" t="str">
        <f>IF($B165&lt;$F$22,SUM($T$100:$T165),"")</f>
        <v/>
      </c>
      <c r="AW165" s="190" t="str">
        <f t="shared" si="116"/>
        <v>-</v>
      </c>
      <c r="AX165" s="190" t="str">
        <f t="shared" ref="AX165:AX228" si="141">IF(ISNUMBER(AW165),IF(ISNUMBER(AV165),(AV165-AW165)/(3*86400*($B165+1))*1000,""),"")</f>
        <v/>
      </c>
      <c r="AY165"/>
      <c r="AZ165" s="190" t="str">
        <f ca="1">IF(ISNUMBER(OFFSET(AV165,-$F$21,0)),SUM(OFFSET($T$100,$F$21,0):$T165),"")</f>
        <v/>
      </c>
      <c r="BA165" s="190" t="str">
        <f t="shared" ca="1" si="117"/>
        <v/>
      </c>
      <c r="BB165" s="190" t="str">
        <f t="shared" ca="1" si="70"/>
        <v/>
      </c>
      <c r="BC165" s="190"/>
      <c r="BD165" s="190" t="str">
        <f ca="1">IFERROR(IF(OR(ISNUMBER(I),ISNUMBER($F$14)),IF(AND($B165&gt;=($F$16-$F$15),$B165&lt;$F$22+($F$16-$F$15)),SUM(OFFSET($T$100,($F$16-$F$15),0):$T165),""),""),"")</f>
        <v/>
      </c>
      <c r="BE165" s="190" t="str">
        <f t="shared" ref="BE165:BE228" ca="1" si="142">IF(ISNUMBER(BD165),BD165*(Koc*(Ocse/100)*Pse*Vse)/(Koc*(Ocse/100)*Pse*Vse+1*86400*($B165+1)),"")</f>
        <v/>
      </c>
      <c r="BF165" s="190" t="str">
        <f t="shared" ref="BF165:BF228" ca="1" si="143">IF(ISNUMBER(BD165),(BD165-BE165)/(3*86400*($B165-($F$16-$F$15)+1))*1000,"")</f>
        <v/>
      </c>
      <c r="BG165"/>
      <c r="BH165" s="190" t="str">
        <f ca="1">IF(ISNUMBER(OFFSET(BD165,-$F$21,0)),SUM(OFFSET($T$100,($F$16-$F$15+$F$21),0):$T165),"")</f>
        <v/>
      </c>
      <c r="BI165" s="190" t="str">
        <f t="shared" ca="1" si="118"/>
        <v/>
      </c>
      <c r="BJ165" s="190" t="str">
        <f t="shared" ref="BJ165:BJ228" ca="1" si="144">IF(ISNUMBER(BH165),(BH165-BI165)/(3*86400*((OFFSET($B165,-$F$21,0)-($F$16-$F$15)+1)))*1000,"")</f>
        <v/>
      </c>
      <c r="BK165" s="190"/>
      <c r="BL165" s="190" t="str">
        <f ca="1">IFERROR(IF(OR(ISNUMBER(I),ISNUMBER($F$14)),IF(AND($B165&gt;=($F$17-$F$15),$B165&lt;$F$22+($F$17-$F$15)),SUM(OFFSET($T$100,($F$17-$F$15),0):$T165),""),""),"")</f>
        <v/>
      </c>
      <c r="BM165" s="190" t="str">
        <f t="shared" ca="1" si="119"/>
        <v/>
      </c>
      <c r="BN165" s="190" t="str">
        <f t="shared" ref="BN165:BN228" ca="1" si="145">IF(ISNUMBER(BL165),(BL165-BM165)/(3*86400*($B165-($F$17-$F$15)+1))*1000,"")</f>
        <v/>
      </c>
      <c r="BO165"/>
      <c r="BP165" s="190" t="str">
        <f ca="1">IF(ISNUMBER(OFFSET(BL165,-$F$21,0)),SUM(OFFSET($T$100,($F$17-$F$15+$F$21),0):$T165),"")</f>
        <v/>
      </c>
      <c r="BQ165" s="190" t="str">
        <f t="shared" ca="1" si="120"/>
        <v/>
      </c>
      <c r="BR165" s="190" t="str">
        <f t="shared" ref="BR165:BR228" ca="1" si="146">IF(ISNUMBER(BP165),(BP165-BQ165)/(3*86400*(OFFSET($B165,-$F$21,0)-($F$17-$F$15)+1))*1000,"")</f>
        <v/>
      </c>
      <c r="BS165" s="190"/>
      <c r="BT165"/>
      <c r="BU165"/>
      <c r="BV165"/>
      <c r="BY165" s="99"/>
      <c r="BZ165" s="99"/>
      <c r="CA165" s="280" t="str">
        <f t="shared" si="121"/>
        <v/>
      </c>
      <c r="CB165" s="71" t="str">
        <f t="shared" si="122"/>
        <v>-</v>
      </c>
      <c r="CC165" s="33"/>
      <c r="CD165" s="261" t="str">
        <f t="shared" si="123"/>
        <v/>
      </c>
      <c r="CE165" s="280" t="str">
        <f t="shared" si="124"/>
        <v/>
      </c>
      <c r="CF165" s="71" t="str">
        <f t="shared" ca="1" si="125"/>
        <v/>
      </c>
      <c r="CG165" s="33" t="str">
        <f t="shared" si="126"/>
        <v/>
      </c>
      <c r="CH165" s="261" t="str">
        <f t="shared" ca="1" si="127"/>
        <v/>
      </c>
      <c r="CI165" s="202"/>
      <c r="CJ165" s="99"/>
      <c r="CK165" s="99"/>
      <c r="CL165" s="99"/>
      <c r="CM165" s="99"/>
      <c r="CN165" s="99"/>
      <c r="CO165" s="99"/>
    </row>
    <row r="166" spans="2:93" ht="13.5" customHeight="1" x14ac:dyDescent="0.2">
      <c r="B166" s="262">
        <v>66</v>
      </c>
      <c r="C166" s="237" t="str">
        <f t="shared" si="91"/>
        <v/>
      </c>
      <c r="D166" s="237" t="str">
        <f t="shared" ref="D166:D229" si="147">IFERROR(IF(B166&lt;$F$22,IF(ISNUMBER($D$65),IF(MAX($BU$101:$BU$120)&lt;B166, "", IF(B166=VLOOKUP(B166, $BU$101:$BU$120,1,1), C166,D165-INDEX($BY$101:$BY$120, MATCH(VLOOKUP(B166, $BU$101:$BU$120,1,1), $BU$101:$BU$120)+1, 1))),D165-VLOOKUP(MAX($BU$101:$BU$120),$BU$101:$BY$120,5)),""),"-")</f>
        <v/>
      </c>
      <c r="E166" s="290" t="str">
        <f t="shared" si="128"/>
        <v/>
      </c>
      <c r="F166" s="264" t="str">
        <f t="shared" si="129"/>
        <v/>
      </c>
      <c r="G166" s="291" t="str">
        <f t="shared" si="130"/>
        <v/>
      </c>
      <c r="H166" s="240" t="str">
        <f t="shared" si="92"/>
        <v/>
      </c>
      <c r="I166" s="265" t="str">
        <f t="shared" si="93"/>
        <v/>
      </c>
      <c r="J166" s="265" t="str">
        <f t="shared" si="94"/>
        <v/>
      </c>
      <c r="K166" s="240" t="str">
        <f t="shared" si="95"/>
        <v/>
      </c>
      <c r="L166" s="265" t="str">
        <f t="shared" si="96"/>
        <v/>
      </c>
      <c r="M166" s="265" t="str">
        <f t="shared" si="97"/>
        <v/>
      </c>
      <c r="N166" s="240" t="str">
        <f t="shared" si="98"/>
        <v>-</v>
      </c>
      <c r="O166" s="265" t="str">
        <f t="shared" si="99"/>
        <v>-</v>
      </c>
      <c r="P166" s="265" t="str">
        <f t="shared" si="100"/>
        <v>-</v>
      </c>
      <c r="Q166" s="266" t="str">
        <f t="shared" si="101"/>
        <v>-</v>
      </c>
      <c r="R166" s="267" t="str">
        <f t="shared" si="102"/>
        <v>-</v>
      </c>
      <c r="S166" s="268" t="str">
        <f t="shared" si="103"/>
        <v>-</v>
      </c>
      <c r="T166" s="269" t="str">
        <f t="shared" si="104"/>
        <v/>
      </c>
      <c r="U166" s="221">
        <f t="shared" si="105"/>
        <v>66</v>
      </c>
      <c r="V166" s="220" t="str">
        <f t="shared" si="131"/>
        <v>-</v>
      </c>
      <c r="W166" s="221" t="str">
        <f t="shared" si="132"/>
        <v>-</v>
      </c>
      <c r="X166" s="221" t="str">
        <f t="shared" si="106"/>
        <v>-</v>
      </c>
      <c r="Y166" s="221" t="str">
        <f t="shared" si="107"/>
        <v>-</v>
      </c>
      <c r="Z166" s="270">
        <f t="shared" si="133"/>
        <v>0.1</v>
      </c>
      <c r="AA166" s="271" t="str">
        <f>IFERROR(IF(V165=1,AA$100*EXP(-(LN(2)/$D$65+0.04)*X165)*EXP(-(LN(2)/$D$65+0.1)*Y165),IF(V165=2,AA$100*EXP(-(LN(2)/$D$65+0.04)*(VLOOKUP(($F$16-$F$15)-1,U$99:Y165,4,FALSE)))*EXP(-(LN(2)/$D$65+0.1)*(VLOOKUP(($F$16-$F$15)-1,U$99:Y165,5,FALSE)))*EXP(-(LN(2)/$D$65+0.04)*X165)*EXP(-(LN(2)/$D$65+0.1)*Y165),IF(V165=3,AA$100*EXP(-(LN(2)/$D$65+0.04)*(VLOOKUP(($F$16-$F$15)-1,U$99:Y165,4,FALSE)))*EXP(-(LN(2)/$D$65+0.1)*(VLOOKUP(($F$16-$F$15)-1,U$99:Y165,5,FALSE)))*EXP(-(LN(2)/$D$65+0.04)*(VLOOKUP(($F$16-$F$15)*2-1,U$99:Y165,4,FALSE)))*EXP(-(LN(2)/$D$65+0.1)*(VLOOKUP(($F$16-$F$15)*2-1,U$99:Y165,5,FALSE)))*EXP(-(LN(2)/$D$65+0.04)*X165)*EXP(-(LN(2)/$D$65+0.1)*Y165),"-"))),"-")</f>
        <v>-</v>
      </c>
      <c r="AB166" s="271" t="str">
        <f>IFERROR(IF(V166=1,AB$100*EXP(-(LN(2)/$D$65+0.04)*X166)*EXP(-(LN(2)/$D$65+0.1)*Y166),IF(V166=2,AB$100*EXP(-(LN(2)/$D$65+0.04)*(VLOOKUP(($F$16-$F$15)-1,U$100:Y166,4,FALSE)))*EXP(-(LN(2)/$D$65+0.1)*(VLOOKUP(($F$16-$F$15)-1,U$100:Y166,5,FALSE)))*EXP(-(LN(2)/$D$65+0.04)*X166)*EXP(-(LN(2)/$D$65+0.1)*Y166),IF(V166=3,AB$100*EXP(-(LN(2)/$D$65+0.04)*(VLOOKUP(($F$16-$F$15)-1,U$100:Y166,4,FALSE)))*EXP(-(LN(2)/$D$65+0.1)*(VLOOKUP(($F$16-$F$15)-1,U$100:Y166,5,FALSE)))*EXP(-(LN(2)/$D$65+0.04)*(VLOOKUP(($F$16-$F$15)*2-1,U$100:Y166,4,FALSE)))*EXP(-(LN(2)/$D$65+0.1)*(VLOOKUP(($F$16-$F$15)*2-1,U$100:Y166,5,FALSE)))*EXP(-(LN(2)/$D$65+0.04)*X166)*EXP(-(LN(2)/$D$65+0.1)*Y166),"-"))),"-")</f>
        <v>-</v>
      </c>
      <c r="AC166" s="224">
        <f t="shared" si="134"/>
        <v>66</v>
      </c>
      <c r="AD166" s="223" t="str">
        <f t="shared" si="108"/>
        <v>-</v>
      </c>
      <c r="AE166" s="224" t="str">
        <f t="shared" si="135"/>
        <v>-</v>
      </c>
      <c r="AF166" s="224" t="str">
        <f t="shared" si="109"/>
        <v>-</v>
      </c>
      <c r="AG166" s="224" t="str">
        <f t="shared" si="110"/>
        <v>-</v>
      </c>
      <c r="AH166" s="272">
        <f t="shared" si="136"/>
        <v>0.1</v>
      </c>
      <c r="AI166" s="271" t="str">
        <f>IFERROR(IF(AD165=1,AI$100*EXP(-(LN(2)/$D$65+0.04)*AF165)*EXP(-(LN(2)/$D$65+0.1)*AG165),IF(AD165=2,AI$100*EXP(-(LN(2)/$D$65+0.04)*(VLOOKUP(($F$16-$F$15)-1,AC$99:AG165,4,FALSE)))*EXP(-(LN(2)/$D$65+0.1)*(VLOOKUP(($F$16-$F$15)-1,AC$99:AG165,5,FALSE)))*EXP(-(LN(2)/$D$65+0.04)*AF165)*EXP(-(LN(2)/$D$65+0.1)*AG165),IF(AD165=3,AI$100*EXP(-(LN(2)/$D$65+0.04)*(VLOOKUP(($F$16-$F$15)-1,AC$99:AG165,4,FALSE)))*EXP(-(LN(2)/$D$65+0.1)*(VLOOKUP(($F$16-$F$15)-1,AC$99:AG165,5,FALSE)))*EXP(-(LN(2)/$D$65+0.04)*(VLOOKUP(($F$16-$F$15)*2-1,AC$99:AG165,4,FALSE)))*EXP(-(LN(2)/$D$65+0.1)*(VLOOKUP(($F$16-$F$15)*2-1,AC$99:AG165,5,FALSE)))*EXP(-(LN(2)/$D$65+0.04)*AF165)*EXP(-(LN(2)/$D$65+0.1)*AG165),"-"))),"-")</f>
        <v>-</v>
      </c>
      <c r="AJ166" s="271" t="str">
        <f>IFERROR(IF(AD166=1,AJ$100*EXP(-(LN(2)/$D$65+0.04)*AF166)*EXP(-(LN(2)/$D$65+0.1)*AG166),IF(AD166=2,AJ$100*EXP(-(LN(2)/$D$65+0.04)*(VLOOKUP(($F$16-$F$15)-1,AC$100:AG166,4,FALSE)))*EXP(-(LN(2)/$D$65+0.1)*(VLOOKUP(($F$16-$F$15)-1,AC$100:AG166,5,FALSE)))*EXP(-(LN(2)/$D$65+0.04)*AF166)*EXP(-(LN(2)/$D$65+0.1)*AG166),IF(AD166=3,AJ$100*EXP(-(LN(2)/$D$65+0.04)*(VLOOKUP(($F$16-$F$15)-1,AC$100:AG166,4,FALSE)))*EXP(-(LN(2)/$D$65+0.1)*(VLOOKUP(($F$16-$F$15)-1,AC$100:AG166,5,FALSE)))*EXP(-(LN(2)/$D$65+0.04)*(VLOOKUP(($F$16-$F$15)*2-1,AC$100:AG166,4,FALSE)))*EXP(-(LN(2)/$D$65+0.1)*(VLOOKUP(($F$16-$F$15)*2-1,AC$100:AG166,5,FALSE)))*EXP(-(LN(2)/$D$65+0.04)*AF166)*EXP(-(LN(2)/$D$65+0.1)*AG166),"-"))),"-")</f>
        <v>-</v>
      </c>
      <c r="AK166" s="227">
        <f t="shared" si="137"/>
        <v>66</v>
      </c>
      <c r="AL166" s="226" t="str">
        <f t="shared" si="111"/>
        <v>-</v>
      </c>
      <c r="AM166" s="227" t="str">
        <f t="shared" si="138"/>
        <v>-</v>
      </c>
      <c r="AN166" s="227" t="str">
        <f t="shared" si="139"/>
        <v>-</v>
      </c>
      <c r="AO166" s="227" t="str">
        <f t="shared" si="112"/>
        <v>-</v>
      </c>
      <c r="AP166" s="273">
        <f t="shared" si="140"/>
        <v>0.1</v>
      </c>
      <c r="AQ166" s="271" t="str">
        <f>IFERROR(IF(AL165=1,AQ$100*EXP(-(LN(2)/$D$65+0.04)*AN165)*EXP(-(LN(2)/$D$65+0.1)*AO165),IF(AL165=2,AQ$100*EXP(-(LN(2)/$D$65+0.04)*(VLOOKUP(($F$16-$F$15)-1,AK$99:AO165,4,FALSE)))*EXP(-(LN(2)/$D$65+0.1)*(VLOOKUP(($F$16-$F$15)-1,AK$99:AO165,5,FALSE)))*EXP(-(LN(2)/$D$65+0.04)*AN165)*EXP(-(LN(2)/$D$65+0.1)*AO165),IF(AL165=3,AQ$100*EXP(-(LN(2)/$D$65+0.04)*(VLOOKUP(($F$16-$F$15)-1,AK$99:AO165,4,FALSE)))*EXP(-(LN(2)/$D$65+0.1)*(VLOOKUP(($F$16-$F$15)-1,AK$99:AO165,5,FALSE)))*EXP(-(LN(2)/$D$65+0.04)*(VLOOKUP(($F$16-$F$15)*2-1,AK$99:AO165,4,FALSE)))*EXP(-(LN(2)/$D$65+0.1)*(VLOOKUP(($F$16-$F$15)*2-1,AK$99:AO165,5,FALSE)))*EXP(-(LN(2)/$D$65+0.04)*AN165)*EXP(-(LN(2)/$D$65+0.1)*AO165),"-"))),"-")</f>
        <v>-</v>
      </c>
      <c r="AR166" s="271" t="str">
        <f>IFERROR(IF(AL166=1,AR$100*EXP(-(LN(2)/$D$65+0.04)*AN166)*EXP(-(LN(2)/$D$65+0.1)*AO166),IF(AL166=2,AR$100*EXP(-(LN(2)/$D$65+0.04)*(VLOOKUP(($F$16-$F$15)-1,AK$100:AO166,4,FALSE)))*EXP(-(LN(2)/$D$65+0.1)*(VLOOKUP(($F$16-$F$15)-1,AK$100:AO166,5,FALSE)))*EXP(-(LN(2)/$D$65+0.04)*AN166)*EXP(-(LN(2)/$D$65+0.1)*AO166),IF(AL166=3,AR$100*EXP(-(LN(2)/$D$65+0.04)*(VLOOKUP(($F$16-$F$15)-1,AK$100:AO166,4,FALSE)))*EXP(-(LN(2)/$D$65+0.1)*(VLOOKUP(($F$16-$F$15)-1,AK$100:AO166,5,FALSE)))*EXP(-(LN(2)/$D$65+0.04)*(VLOOKUP(($F$16-$F$15)*2-1,AK$100:AO166,4,FALSE)))*EXP(-(LN(2)/$D$65+0.1)*(VLOOKUP(($F$16-$F$15)*2-1,AK$100:AO166,5,FALSE)))*EXP(-(LN(2)/$D$65+0.04)*AN166)*EXP(-(LN(2)/$D$65+0.1)*AO166),"-"))),"-")</f>
        <v>-</v>
      </c>
      <c r="AS166" s="274">
        <f t="shared" si="113"/>
        <v>0</v>
      </c>
      <c r="AT166" s="274">
        <f t="shared" si="114"/>
        <v>0</v>
      </c>
      <c r="AU166" s="274">
        <f t="shared" si="115"/>
        <v>0</v>
      </c>
      <c r="AV166" s="190" t="str">
        <f>IF($B166&lt;$F$22,SUM($T$100:$T166),"")</f>
        <v/>
      </c>
      <c r="AW166" s="190" t="str">
        <f t="shared" si="116"/>
        <v>-</v>
      </c>
      <c r="AX166" s="190" t="str">
        <f t="shared" si="141"/>
        <v/>
      </c>
      <c r="AY166"/>
      <c r="AZ166" s="190" t="str">
        <f ca="1">IF(ISNUMBER(OFFSET(AV166,-$F$21,0)),SUM(OFFSET($T$100,$F$21,0):$T166),"")</f>
        <v/>
      </c>
      <c r="BA166" s="190" t="str">
        <f t="shared" ca="1" si="117"/>
        <v/>
      </c>
      <c r="BB166" s="190" t="str">
        <f t="shared" ca="1" si="70"/>
        <v/>
      </c>
      <c r="BC166" s="190"/>
      <c r="BD166" s="190" t="str">
        <f ca="1">IFERROR(IF(OR(ISNUMBER(I),ISNUMBER($F$14)),IF(AND($B166&gt;=($F$16-$F$15),$B166&lt;$F$22+($F$16-$F$15)),SUM(OFFSET($T$100,($F$16-$F$15),0):$T166),""),""),"")</f>
        <v/>
      </c>
      <c r="BE166" s="190" t="str">
        <f t="shared" ca="1" si="142"/>
        <v/>
      </c>
      <c r="BF166" s="190" t="str">
        <f t="shared" ca="1" si="143"/>
        <v/>
      </c>
      <c r="BG166"/>
      <c r="BH166" s="190" t="str">
        <f ca="1">IF(ISNUMBER(OFFSET(BD166,-$F$21,0)),SUM(OFFSET($T$100,($F$16-$F$15+$F$21),0):$T166),"")</f>
        <v/>
      </c>
      <c r="BI166" s="190" t="str">
        <f t="shared" ca="1" si="118"/>
        <v/>
      </c>
      <c r="BJ166" s="190" t="str">
        <f t="shared" ca="1" si="144"/>
        <v/>
      </c>
      <c r="BK166" s="190"/>
      <c r="BL166" s="190" t="str">
        <f ca="1">IFERROR(IF(OR(ISNUMBER(I),ISNUMBER($F$14)),IF(AND($B166&gt;=($F$17-$F$15),$B166&lt;$F$22+($F$17-$F$15)),SUM(OFFSET($T$100,($F$17-$F$15),0):$T166),""),""),"")</f>
        <v/>
      </c>
      <c r="BM166" s="190" t="str">
        <f t="shared" ca="1" si="119"/>
        <v/>
      </c>
      <c r="BN166" s="190" t="str">
        <f t="shared" ca="1" si="145"/>
        <v/>
      </c>
      <c r="BO166"/>
      <c r="BP166" s="190" t="str">
        <f ca="1">IF(ISNUMBER(OFFSET(BL166,-$F$21,0)),SUM(OFFSET($T$100,($F$17-$F$15+$F$21),0):$T166),"")</f>
        <v/>
      </c>
      <c r="BQ166" s="190" t="str">
        <f t="shared" ca="1" si="120"/>
        <v/>
      </c>
      <c r="BR166" s="190" t="str">
        <f t="shared" ca="1" si="146"/>
        <v/>
      </c>
      <c r="BS166" s="190"/>
      <c r="BT166"/>
      <c r="BU166"/>
      <c r="BV166"/>
      <c r="BY166" s="99"/>
      <c r="BZ166" s="99"/>
      <c r="CA166" s="280" t="str">
        <f t="shared" si="121"/>
        <v/>
      </c>
      <c r="CB166" s="71" t="str">
        <f t="shared" si="122"/>
        <v>-</v>
      </c>
      <c r="CC166" s="33"/>
      <c r="CD166" s="261" t="str">
        <f t="shared" si="123"/>
        <v/>
      </c>
      <c r="CE166" s="280" t="str">
        <f t="shared" si="124"/>
        <v/>
      </c>
      <c r="CF166" s="71" t="str">
        <f t="shared" ca="1" si="125"/>
        <v/>
      </c>
      <c r="CG166" s="33" t="str">
        <f t="shared" si="126"/>
        <v/>
      </c>
      <c r="CH166" s="261" t="str">
        <f t="shared" ca="1" si="127"/>
        <v/>
      </c>
      <c r="CI166" s="202"/>
      <c r="CJ166" s="99"/>
      <c r="CK166" s="99"/>
      <c r="CL166" s="99"/>
      <c r="CM166" s="99"/>
      <c r="CN166" s="99"/>
      <c r="CO166" s="99"/>
    </row>
    <row r="167" spans="2:93" ht="13.5" customHeight="1" x14ac:dyDescent="0.2">
      <c r="B167" s="262">
        <v>67</v>
      </c>
      <c r="C167" s="237" t="str">
        <f t="shared" si="91"/>
        <v/>
      </c>
      <c r="D167" s="237" t="str">
        <f t="shared" si="147"/>
        <v/>
      </c>
      <c r="E167" s="290" t="str">
        <f t="shared" si="128"/>
        <v/>
      </c>
      <c r="F167" s="264" t="str">
        <f t="shared" si="129"/>
        <v/>
      </c>
      <c r="G167" s="291" t="str">
        <f t="shared" si="130"/>
        <v/>
      </c>
      <c r="H167" s="240" t="str">
        <f t="shared" si="92"/>
        <v/>
      </c>
      <c r="I167" s="265" t="str">
        <f t="shared" si="93"/>
        <v/>
      </c>
      <c r="J167" s="265" t="str">
        <f t="shared" si="94"/>
        <v/>
      </c>
      <c r="K167" s="240" t="str">
        <f t="shared" si="95"/>
        <v/>
      </c>
      <c r="L167" s="265" t="str">
        <f t="shared" si="96"/>
        <v/>
      </c>
      <c r="M167" s="265" t="str">
        <f t="shared" si="97"/>
        <v/>
      </c>
      <c r="N167" s="240" t="str">
        <f t="shared" si="98"/>
        <v>-</v>
      </c>
      <c r="O167" s="265" t="str">
        <f t="shared" si="99"/>
        <v>-</v>
      </c>
      <c r="P167" s="265" t="str">
        <f t="shared" si="100"/>
        <v>-</v>
      </c>
      <c r="Q167" s="266" t="str">
        <f t="shared" si="101"/>
        <v>-</v>
      </c>
      <c r="R167" s="267" t="str">
        <f t="shared" si="102"/>
        <v>-</v>
      </c>
      <c r="S167" s="268" t="str">
        <f t="shared" si="103"/>
        <v>-</v>
      </c>
      <c r="T167" s="269" t="str">
        <f t="shared" si="104"/>
        <v/>
      </c>
      <c r="U167" s="221">
        <f t="shared" si="105"/>
        <v>67</v>
      </c>
      <c r="V167" s="220" t="str">
        <f t="shared" si="131"/>
        <v>-</v>
      </c>
      <c r="W167" s="221" t="str">
        <f t="shared" si="132"/>
        <v>-</v>
      </c>
      <c r="X167" s="221" t="str">
        <f t="shared" si="106"/>
        <v>-</v>
      </c>
      <c r="Y167" s="221" t="str">
        <f t="shared" si="107"/>
        <v>-</v>
      </c>
      <c r="Z167" s="270">
        <f t="shared" si="133"/>
        <v>0.1</v>
      </c>
      <c r="AA167" s="271" t="str">
        <f>IFERROR(IF(V166=1,AA$100*EXP(-(LN(2)/$D$65+0.04)*X166)*EXP(-(LN(2)/$D$65+0.1)*Y166),IF(V166=2,AA$100*EXP(-(LN(2)/$D$65+0.04)*(VLOOKUP(($F$16-$F$15)-1,U$99:Y166,4,FALSE)))*EXP(-(LN(2)/$D$65+0.1)*(VLOOKUP(($F$16-$F$15)-1,U$99:Y166,5,FALSE)))*EXP(-(LN(2)/$D$65+0.04)*X166)*EXP(-(LN(2)/$D$65+0.1)*Y166),IF(V166=3,AA$100*EXP(-(LN(2)/$D$65+0.04)*(VLOOKUP(($F$16-$F$15)-1,U$99:Y166,4,FALSE)))*EXP(-(LN(2)/$D$65+0.1)*(VLOOKUP(($F$16-$F$15)-1,U$99:Y166,5,FALSE)))*EXP(-(LN(2)/$D$65+0.04)*(VLOOKUP(($F$16-$F$15)*2-1,U$99:Y166,4,FALSE)))*EXP(-(LN(2)/$D$65+0.1)*(VLOOKUP(($F$16-$F$15)*2-1,U$99:Y166,5,FALSE)))*EXP(-(LN(2)/$D$65+0.04)*X166)*EXP(-(LN(2)/$D$65+0.1)*Y166),"-"))),"-")</f>
        <v>-</v>
      </c>
      <c r="AB167" s="271" t="str">
        <f>IFERROR(IF(V167=1,AB$100*EXP(-(LN(2)/$D$65+0.04)*X167)*EXP(-(LN(2)/$D$65+0.1)*Y167),IF(V167=2,AB$100*EXP(-(LN(2)/$D$65+0.04)*(VLOOKUP(($F$16-$F$15)-1,U$100:Y167,4,FALSE)))*EXP(-(LN(2)/$D$65+0.1)*(VLOOKUP(($F$16-$F$15)-1,U$100:Y167,5,FALSE)))*EXP(-(LN(2)/$D$65+0.04)*X167)*EXP(-(LN(2)/$D$65+0.1)*Y167),IF(V167=3,AB$100*EXP(-(LN(2)/$D$65+0.04)*(VLOOKUP(($F$16-$F$15)-1,U$100:Y167,4,FALSE)))*EXP(-(LN(2)/$D$65+0.1)*(VLOOKUP(($F$16-$F$15)-1,U$100:Y167,5,FALSE)))*EXP(-(LN(2)/$D$65+0.04)*(VLOOKUP(($F$16-$F$15)*2-1,U$100:Y167,4,FALSE)))*EXP(-(LN(2)/$D$65+0.1)*(VLOOKUP(($F$16-$F$15)*2-1,U$100:Y167,5,FALSE)))*EXP(-(LN(2)/$D$65+0.04)*X167)*EXP(-(LN(2)/$D$65+0.1)*Y167),"-"))),"-")</f>
        <v>-</v>
      </c>
      <c r="AC167" s="224">
        <f t="shared" si="134"/>
        <v>67</v>
      </c>
      <c r="AD167" s="223" t="str">
        <f t="shared" si="108"/>
        <v>-</v>
      </c>
      <c r="AE167" s="224" t="str">
        <f t="shared" si="135"/>
        <v>-</v>
      </c>
      <c r="AF167" s="224" t="str">
        <f t="shared" si="109"/>
        <v>-</v>
      </c>
      <c r="AG167" s="224" t="str">
        <f t="shared" si="110"/>
        <v>-</v>
      </c>
      <c r="AH167" s="272">
        <f t="shared" si="136"/>
        <v>0.1</v>
      </c>
      <c r="AI167" s="271" t="str">
        <f>IFERROR(IF(AD166=1,AI$100*EXP(-(LN(2)/$D$65+0.04)*AF166)*EXP(-(LN(2)/$D$65+0.1)*AG166),IF(AD166=2,AI$100*EXP(-(LN(2)/$D$65+0.04)*(VLOOKUP(($F$16-$F$15)-1,AC$99:AG166,4,FALSE)))*EXP(-(LN(2)/$D$65+0.1)*(VLOOKUP(($F$16-$F$15)-1,AC$99:AG166,5,FALSE)))*EXP(-(LN(2)/$D$65+0.04)*AF166)*EXP(-(LN(2)/$D$65+0.1)*AG166),IF(AD166=3,AI$100*EXP(-(LN(2)/$D$65+0.04)*(VLOOKUP(($F$16-$F$15)-1,AC$99:AG166,4,FALSE)))*EXP(-(LN(2)/$D$65+0.1)*(VLOOKUP(($F$16-$F$15)-1,AC$99:AG166,5,FALSE)))*EXP(-(LN(2)/$D$65+0.04)*(VLOOKUP(($F$16-$F$15)*2-1,AC$99:AG166,4,FALSE)))*EXP(-(LN(2)/$D$65+0.1)*(VLOOKUP(($F$16-$F$15)*2-1,AC$99:AG166,5,FALSE)))*EXP(-(LN(2)/$D$65+0.04)*AF166)*EXP(-(LN(2)/$D$65+0.1)*AG166),"-"))),"-")</f>
        <v>-</v>
      </c>
      <c r="AJ167" s="271" t="str">
        <f>IFERROR(IF(AD167=1,AJ$100*EXP(-(LN(2)/$D$65+0.04)*AF167)*EXP(-(LN(2)/$D$65+0.1)*AG167),IF(AD167=2,AJ$100*EXP(-(LN(2)/$D$65+0.04)*(VLOOKUP(($F$16-$F$15)-1,AC$100:AG167,4,FALSE)))*EXP(-(LN(2)/$D$65+0.1)*(VLOOKUP(($F$16-$F$15)-1,AC$100:AG167,5,FALSE)))*EXP(-(LN(2)/$D$65+0.04)*AF167)*EXP(-(LN(2)/$D$65+0.1)*AG167),IF(AD167=3,AJ$100*EXP(-(LN(2)/$D$65+0.04)*(VLOOKUP(($F$16-$F$15)-1,AC$100:AG167,4,FALSE)))*EXP(-(LN(2)/$D$65+0.1)*(VLOOKUP(($F$16-$F$15)-1,AC$100:AG167,5,FALSE)))*EXP(-(LN(2)/$D$65+0.04)*(VLOOKUP(($F$16-$F$15)*2-1,AC$100:AG167,4,FALSE)))*EXP(-(LN(2)/$D$65+0.1)*(VLOOKUP(($F$16-$F$15)*2-1,AC$100:AG167,5,FALSE)))*EXP(-(LN(2)/$D$65+0.04)*AF167)*EXP(-(LN(2)/$D$65+0.1)*AG167),"-"))),"-")</f>
        <v>-</v>
      </c>
      <c r="AK167" s="227">
        <f t="shared" si="137"/>
        <v>67</v>
      </c>
      <c r="AL167" s="226" t="str">
        <f t="shared" si="111"/>
        <v>-</v>
      </c>
      <c r="AM167" s="227" t="str">
        <f t="shared" si="138"/>
        <v>-</v>
      </c>
      <c r="AN167" s="227" t="str">
        <f t="shared" si="139"/>
        <v>-</v>
      </c>
      <c r="AO167" s="227" t="str">
        <f t="shared" si="112"/>
        <v>-</v>
      </c>
      <c r="AP167" s="273">
        <f t="shared" si="140"/>
        <v>0.1</v>
      </c>
      <c r="AQ167" s="271" t="str">
        <f>IFERROR(IF(AL166=1,AQ$100*EXP(-(LN(2)/$D$65+0.04)*AN166)*EXP(-(LN(2)/$D$65+0.1)*AO166),IF(AL166=2,AQ$100*EXP(-(LN(2)/$D$65+0.04)*(VLOOKUP(($F$16-$F$15)-1,AK$99:AO166,4,FALSE)))*EXP(-(LN(2)/$D$65+0.1)*(VLOOKUP(($F$16-$F$15)-1,AK$99:AO166,5,FALSE)))*EXP(-(LN(2)/$D$65+0.04)*AN166)*EXP(-(LN(2)/$D$65+0.1)*AO166),IF(AL166=3,AQ$100*EXP(-(LN(2)/$D$65+0.04)*(VLOOKUP(($F$16-$F$15)-1,AK$99:AO166,4,FALSE)))*EXP(-(LN(2)/$D$65+0.1)*(VLOOKUP(($F$16-$F$15)-1,AK$99:AO166,5,FALSE)))*EXP(-(LN(2)/$D$65+0.04)*(VLOOKUP(($F$16-$F$15)*2-1,AK$99:AO166,4,FALSE)))*EXP(-(LN(2)/$D$65+0.1)*(VLOOKUP(($F$16-$F$15)*2-1,AK$99:AO166,5,FALSE)))*EXP(-(LN(2)/$D$65+0.04)*AN166)*EXP(-(LN(2)/$D$65+0.1)*AO166),"-"))),"-")</f>
        <v>-</v>
      </c>
      <c r="AR167" s="271" t="str">
        <f>IFERROR(IF(AL167=1,AR$100*EXP(-(LN(2)/$D$65+0.04)*AN167)*EXP(-(LN(2)/$D$65+0.1)*AO167),IF(AL167=2,AR$100*EXP(-(LN(2)/$D$65+0.04)*(VLOOKUP(($F$16-$F$15)-1,AK$100:AO167,4,FALSE)))*EXP(-(LN(2)/$D$65+0.1)*(VLOOKUP(($F$16-$F$15)-1,AK$100:AO167,5,FALSE)))*EXP(-(LN(2)/$D$65+0.04)*AN167)*EXP(-(LN(2)/$D$65+0.1)*AO167),IF(AL167=3,AR$100*EXP(-(LN(2)/$D$65+0.04)*(VLOOKUP(($F$16-$F$15)-1,AK$100:AO167,4,FALSE)))*EXP(-(LN(2)/$D$65+0.1)*(VLOOKUP(($F$16-$F$15)-1,AK$100:AO167,5,FALSE)))*EXP(-(LN(2)/$D$65+0.04)*(VLOOKUP(($F$16-$F$15)*2-1,AK$100:AO167,4,FALSE)))*EXP(-(LN(2)/$D$65+0.1)*(VLOOKUP(($F$16-$F$15)*2-1,AK$100:AO167,5,FALSE)))*EXP(-(LN(2)/$D$65+0.04)*AN167)*EXP(-(LN(2)/$D$65+0.1)*AO167),"-"))),"-")</f>
        <v>-</v>
      </c>
      <c r="AS167" s="274">
        <f t="shared" si="113"/>
        <v>0</v>
      </c>
      <c r="AT167" s="274">
        <f t="shared" si="114"/>
        <v>0</v>
      </c>
      <c r="AU167" s="274">
        <f t="shared" si="115"/>
        <v>0</v>
      </c>
      <c r="AV167" s="190" t="str">
        <f>IF($B167&lt;$F$22,SUM($T$100:$T167),"")</f>
        <v/>
      </c>
      <c r="AW167" s="190" t="str">
        <f t="shared" si="116"/>
        <v>-</v>
      </c>
      <c r="AX167" s="190" t="str">
        <f t="shared" si="141"/>
        <v/>
      </c>
      <c r="AY167"/>
      <c r="AZ167" s="190" t="str">
        <f ca="1">IF(ISNUMBER(OFFSET(AV167,-$F$21,0)),SUM(OFFSET($T$100,$F$21,0):$T167),"")</f>
        <v/>
      </c>
      <c r="BA167" s="190" t="str">
        <f t="shared" ca="1" si="117"/>
        <v/>
      </c>
      <c r="BB167" s="190" t="str">
        <f t="shared" ca="1" si="70"/>
        <v/>
      </c>
      <c r="BC167" s="190"/>
      <c r="BD167" s="190" t="str">
        <f ca="1">IFERROR(IF(OR(ISNUMBER(I),ISNUMBER($F$14)),IF(AND($B167&gt;=($F$16-$F$15),$B167&lt;$F$22+($F$16-$F$15)),SUM(OFFSET($T$100,($F$16-$F$15),0):$T167),""),""),"")</f>
        <v/>
      </c>
      <c r="BE167" s="190" t="str">
        <f t="shared" ca="1" si="142"/>
        <v/>
      </c>
      <c r="BF167" s="190" t="str">
        <f t="shared" ca="1" si="143"/>
        <v/>
      </c>
      <c r="BG167"/>
      <c r="BH167" s="190" t="str">
        <f ca="1">IF(ISNUMBER(OFFSET(BD167,-$F$21,0)),SUM(OFFSET($T$100,($F$16-$F$15+$F$21),0):$T167),"")</f>
        <v/>
      </c>
      <c r="BI167" s="190" t="str">
        <f t="shared" ca="1" si="118"/>
        <v/>
      </c>
      <c r="BJ167" s="190" t="str">
        <f t="shared" ca="1" si="144"/>
        <v/>
      </c>
      <c r="BK167" s="190"/>
      <c r="BL167" s="190" t="str">
        <f ca="1">IFERROR(IF(OR(ISNUMBER(I),ISNUMBER($F$14)),IF(AND($B167&gt;=($F$17-$F$15),$B167&lt;$F$22+($F$17-$F$15)),SUM(OFFSET($T$100,($F$17-$F$15),0):$T167),""),""),"")</f>
        <v/>
      </c>
      <c r="BM167" s="190" t="str">
        <f t="shared" ca="1" si="119"/>
        <v/>
      </c>
      <c r="BN167" s="190" t="str">
        <f t="shared" ca="1" si="145"/>
        <v/>
      </c>
      <c r="BO167"/>
      <c r="BP167" s="190" t="str">
        <f ca="1">IF(ISNUMBER(OFFSET(BL167,-$F$21,0)),SUM(OFFSET($T$100,($F$17-$F$15+$F$21),0):$T167),"")</f>
        <v/>
      </c>
      <c r="BQ167" s="190" t="str">
        <f t="shared" ca="1" si="120"/>
        <v/>
      </c>
      <c r="BR167" s="190" t="str">
        <f t="shared" ca="1" si="146"/>
        <v/>
      </c>
      <c r="BS167" s="190"/>
      <c r="BT167"/>
      <c r="BU167"/>
      <c r="BV167"/>
      <c r="BY167" s="99"/>
      <c r="BZ167" s="99"/>
      <c r="CA167" s="280" t="str">
        <f t="shared" si="121"/>
        <v/>
      </c>
      <c r="CB167" s="71" t="str">
        <f t="shared" si="122"/>
        <v>-</v>
      </c>
      <c r="CC167" s="33"/>
      <c r="CD167" s="261" t="str">
        <f t="shared" si="123"/>
        <v/>
      </c>
      <c r="CE167" s="280" t="str">
        <f t="shared" si="124"/>
        <v/>
      </c>
      <c r="CF167" s="71" t="str">
        <f t="shared" ca="1" si="125"/>
        <v/>
      </c>
      <c r="CG167" s="33" t="str">
        <f t="shared" si="126"/>
        <v/>
      </c>
      <c r="CH167" s="261" t="str">
        <f t="shared" ca="1" si="127"/>
        <v/>
      </c>
      <c r="CI167" s="202"/>
      <c r="CJ167" s="99"/>
      <c r="CK167" s="99"/>
      <c r="CL167" s="99"/>
      <c r="CM167" s="99"/>
      <c r="CN167" s="99"/>
      <c r="CO167" s="99"/>
    </row>
    <row r="168" spans="2:93" ht="13.5" customHeight="1" x14ac:dyDescent="0.2">
      <c r="B168" s="262">
        <v>68</v>
      </c>
      <c r="C168" s="237" t="str">
        <f t="shared" si="91"/>
        <v/>
      </c>
      <c r="D168" s="237" t="str">
        <f t="shared" si="147"/>
        <v/>
      </c>
      <c r="E168" s="290" t="str">
        <f t="shared" si="128"/>
        <v/>
      </c>
      <c r="F168" s="264" t="str">
        <f t="shared" si="129"/>
        <v/>
      </c>
      <c r="G168" s="291" t="str">
        <f t="shared" si="130"/>
        <v/>
      </c>
      <c r="H168" s="240" t="str">
        <f t="shared" si="92"/>
        <v/>
      </c>
      <c r="I168" s="265" t="str">
        <f t="shared" si="93"/>
        <v/>
      </c>
      <c r="J168" s="265" t="str">
        <f t="shared" si="94"/>
        <v/>
      </c>
      <c r="K168" s="240" t="str">
        <f t="shared" si="95"/>
        <v/>
      </c>
      <c r="L168" s="265" t="str">
        <f t="shared" si="96"/>
        <v/>
      </c>
      <c r="M168" s="265" t="str">
        <f t="shared" si="97"/>
        <v/>
      </c>
      <c r="N168" s="240" t="str">
        <f t="shared" si="98"/>
        <v>-</v>
      </c>
      <c r="O168" s="265" t="str">
        <f t="shared" si="99"/>
        <v>-</v>
      </c>
      <c r="P168" s="265" t="str">
        <f t="shared" si="100"/>
        <v>-</v>
      </c>
      <c r="Q168" s="266" t="str">
        <f t="shared" si="101"/>
        <v>-</v>
      </c>
      <c r="R168" s="267" t="str">
        <f t="shared" si="102"/>
        <v>-</v>
      </c>
      <c r="S168" s="268" t="str">
        <f t="shared" si="103"/>
        <v>-</v>
      </c>
      <c r="T168" s="269" t="str">
        <f t="shared" si="104"/>
        <v/>
      </c>
      <c r="U168" s="221">
        <f t="shared" si="105"/>
        <v>68</v>
      </c>
      <c r="V168" s="220" t="str">
        <f t="shared" si="131"/>
        <v>-</v>
      </c>
      <c r="W168" s="221" t="str">
        <f t="shared" si="132"/>
        <v>-</v>
      </c>
      <c r="X168" s="221" t="str">
        <f t="shared" si="106"/>
        <v>-</v>
      </c>
      <c r="Y168" s="221" t="str">
        <f t="shared" si="107"/>
        <v>-</v>
      </c>
      <c r="Z168" s="270">
        <f t="shared" si="133"/>
        <v>0.1</v>
      </c>
      <c r="AA168" s="271" t="str">
        <f>IFERROR(IF(V167=1,AA$100*EXP(-(LN(2)/$D$65+0.04)*X167)*EXP(-(LN(2)/$D$65+0.1)*Y167),IF(V167=2,AA$100*EXP(-(LN(2)/$D$65+0.04)*(VLOOKUP(($F$16-$F$15)-1,U$99:Y167,4,FALSE)))*EXP(-(LN(2)/$D$65+0.1)*(VLOOKUP(($F$16-$F$15)-1,U$99:Y167,5,FALSE)))*EXP(-(LN(2)/$D$65+0.04)*X167)*EXP(-(LN(2)/$D$65+0.1)*Y167),IF(V167=3,AA$100*EXP(-(LN(2)/$D$65+0.04)*(VLOOKUP(($F$16-$F$15)-1,U$99:Y167,4,FALSE)))*EXP(-(LN(2)/$D$65+0.1)*(VLOOKUP(($F$16-$F$15)-1,U$99:Y167,5,FALSE)))*EXP(-(LN(2)/$D$65+0.04)*(VLOOKUP(($F$16-$F$15)*2-1,U$99:Y167,4,FALSE)))*EXP(-(LN(2)/$D$65+0.1)*(VLOOKUP(($F$16-$F$15)*2-1,U$99:Y167,5,FALSE)))*EXP(-(LN(2)/$D$65+0.04)*X167)*EXP(-(LN(2)/$D$65+0.1)*Y167),"-"))),"-")</f>
        <v>-</v>
      </c>
      <c r="AB168" s="271" t="str">
        <f>IFERROR(IF(V168=1,AB$100*EXP(-(LN(2)/$D$65+0.04)*X168)*EXP(-(LN(2)/$D$65+0.1)*Y168),IF(V168=2,AB$100*EXP(-(LN(2)/$D$65+0.04)*(VLOOKUP(($F$16-$F$15)-1,U$100:Y168,4,FALSE)))*EXP(-(LN(2)/$D$65+0.1)*(VLOOKUP(($F$16-$F$15)-1,U$100:Y168,5,FALSE)))*EXP(-(LN(2)/$D$65+0.04)*X168)*EXP(-(LN(2)/$D$65+0.1)*Y168),IF(V168=3,AB$100*EXP(-(LN(2)/$D$65+0.04)*(VLOOKUP(($F$16-$F$15)-1,U$100:Y168,4,FALSE)))*EXP(-(LN(2)/$D$65+0.1)*(VLOOKUP(($F$16-$F$15)-1,U$100:Y168,5,FALSE)))*EXP(-(LN(2)/$D$65+0.04)*(VLOOKUP(($F$16-$F$15)*2-1,U$100:Y168,4,FALSE)))*EXP(-(LN(2)/$D$65+0.1)*(VLOOKUP(($F$16-$F$15)*2-1,U$100:Y168,5,FALSE)))*EXP(-(LN(2)/$D$65+0.04)*X168)*EXP(-(LN(2)/$D$65+0.1)*Y168),"-"))),"-")</f>
        <v>-</v>
      </c>
      <c r="AC168" s="224">
        <f t="shared" si="134"/>
        <v>68</v>
      </c>
      <c r="AD168" s="223" t="str">
        <f t="shared" si="108"/>
        <v>-</v>
      </c>
      <c r="AE168" s="224" t="str">
        <f t="shared" si="135"/>
        <v>-</v>
      </c>
      <c r="AF168" s="224" t="str">
        <f t="shared" si="109"/>
        <v>-</v>
      </c>
      <c r="AG168" s="224" t="str">
        <f t="shared" si="110"/>
        <v>-</v>
      </c>
      <c r="AH168" s="272">
        <f t="shared" si="136"/>
        <v>0.1</v>
      </c>
      <c r="AI168" s="271" t="str">
        <f>IFERROR(IF(AD167=1,AI$100*EXP(-(LN(2)/$D$65+0.04)*AF167)*EXP(-(LN(2)/$D$65+0.1)*AG167),IF(AD167=2,AI$100*EXP(-(LN(2)/$D$65+0.04)*(VLOOKUP(($F$16-$F$15)-1,AC$99:AG167,4,FALSE)))*EXP(-(LN(2)/$D$65+0.1)*(VLOOKUP(($F$16-$F$15)-1,AC$99:AG167,5,FALSE)))*EXP(-(LN(2)/$D$65+0.04)*AF167)*EXP(-(LN(2)/$D$65+0.1)*AG167),IF(AD167=3,AI$100*EXP(-(LN(2)/$D$65+0.04)*(VLOOKUP(($F$16-$F$15)-1,AC$99:AG167,4,FALSE)))*EXP(-(LN(2)/$D$65+0.1)*(VLOOKUP(($F$16-$F$15)-1,AC$99:AG167,5,FALSE)))*EXP(-(LN(2)/$D$65+0.04)*(VLOOKUP(($F$16-$F$15)*2-1,AC$99:AG167,4,FALSE)))*EXP(-(LN(2)/$D$65+0.1)*(VLOOKUP(($F$16-$F$15)*2-1,AC$99:AG167,5,FALSE)))*EXP(-(LN(2)/$D$65+0.04)*AF167)*EXP(-(LN(2)/$D$65+0.1)*AG167),"-"))),"-")</f>
        <v>-</v>
      </c>
      <c r="AJ168" s="271" t="str">
        <f>IFERROR(IF(AD168=1,AJ$100*EXP(-(LN(2)/$D$65+0.04)*AF168)*EXP(-(LN(2)/$D$65+0.1)*AG168),IF(AD168=2,AJ$100*EXP(-(LN(2)/$D$65+0.04)*(VLOOKUP(($F$16-$F$15)-1,AC$100:AG168,4,FALSE)))*EXP(-(LN(2)/$D$65+0.1)*(VLOOKUP(($F$16-$F$15)-1,AC$100:AG168,5,FALSE)))*EXP(-(LN(2)/$D$65+0.04)*AF168)*EXP(-(LN(2)/$D$65+0.1)*AG168),IF(AD168=3,AJ$100*EXP(-(LN(2)/$D$65+0.04)*(VLOOKUP(($F$16-$F$15)-1,AC$100:AG168,4,FALSE)))*EXP(-(LN(2)/$D$65+0.1)*(VLOOKUP(($F$16-$F$15)-1,AC$100:AG168,5,FALSE)))*EXP(-(LN(2)/$D$65+0.04)*(VLOOKUP(($F$16-$F$15)*2-1,AC$100:AG168,4,FALSE)))*EXP(-(LN(2)/$D$65+0.1)*(VLOOKUP(($F$16-$F$15)*2-1,AC$100:AG168,5,FALSE)))*EXP(-(LN(2)/$D$65+0.04)*AF168)*EXP(-(LN(2)/$D$65+0.1)*AG168),"-"))),"-")</f>
        <v>-</v>
      </c>
      <c r="AK168" s="227">
        <f t="shared" si="137"/>
        <v>68</v>
      </c>
      <c r="AL168" s="226" t="str">
        <f t="shared" si="111"/>
        <v>-</v>
      </c>
      <c r="AM168" s="227" t="str">
        <f t="shared" si="138"/>
        <v>-</v>
      </c>
      <c r="AN168" s="227" t="str">
        <f t="shared" si="139"/>
        <v>-</v>
      </c>
      <c r="AO168" s="227" t="str">
        <f t="shared" si="112"/>
        <v>-</v>
      </c>
      <c r="AP168" s="273">
        <f t="shared" si="140"/>
        <v>0.1</v>
      </c>
      <c r="AQ168" s="271" t="str">
        <f>IFERROR(IF(AL167=1,AQ$100*EXP(-(LN(2)/$D$65+0.04)*AN167)*EXP(-(LN(2)/$D$65+0.1)*AO167),IF(AL167=2,AQ$100*EXP(-(LN(2)/$D$65+0.04)*(VLOOKUP(($F$16-$F$15)-1,AK$99:AO167,4,FALSE)))*EXP(-(LN(2)/$D$65+0.1)*(VLOOKUP(($F$16-$F$15)-1,AK$99:AO167,5,FALSE)))*EXP(-(LN(2)/$D$65+0.04)*AN167)*EXP(-(LN(2)/$D$65+0.1)*AO167),IF(AL167=3,AQ$100*EXP(-(LN(2)/$D$65+0.04)*(VLOOKUP(($F$16-$F$15)-1,AK$99:AO167,4,FALSE)))*EXP(-(LN(2)/$D$65+0.1)*(VLOOKUP(($F$16-$F$15)-1,AK$99:AO167,5,FALSE)))*EXP(-(LN(2)/$D$65+0.04)*(VLOOKUP(($F$16-$F$15)*2-1,AK$99:AO167,4,FALSE)))*EXP(-(LN(2)/$D$65+0.1)*(VLOOKUP(($F$16-$F$15)*2-1,AK$99:AO167,5,FALSE)))*EXP(-(LN(2)/$D$65+0.04)*AN167)*EXP(-(LN(2)/$D$65+0.1)*AO167),"-"))),"-")</f>
        <v>-</v>
      </c>
      <c r="AR168" s="271" t="str">
        <f>IFERROR(IF(AL168=1,AR$100*EXP(-(LN(2)/$D$65+0.04)*AN168)*EXP(-(LN(2)/$D$65+0.1)*AO168),IF(AL168=2,AR$100*EXP(-(LN(2)/$D$65+0.04)*(VLOOKUP(($F$16-$F$15)-1,AK$100:AO168,4,FALSE)))*EXP(-(LN(2)/$D$65+0.1)*(VLOOKUP(($F$16-$F$15)-1,AK$100:AO168,5,FALSE)))*EXP(-(LN(2)/$D$65+0.04)*AN168)*EXP(-(LN(2)/$D$65+0.1)*AO168),IF(AL168=3,AR$100*EXP(-(LN(2)/$D$65+0.04)*(VLOOKUP(($F$16-$F$15)-1,AK$100:AO168,4,FALSE)))*EXP(-(LN(2)/$D$65+0.1)*(VLOOKUP(($F$16-$F$15)-1,AK$100:AO168,5,FALSE)))*EXP(-(LN(2)/$D$65+0.04)*(VLOOKUP(($F$16-$F$15)*2-1,AK$100:AO168,4,FALSE)))*EXP(-(LN(2)/$D$65+0.1)*(VLOOKUP(($F$16-$F$15)*2-1,AK$100:AO168,5,FALSE)))*EXP(-(LN(2)/$D$65+0.04)*AN168)*EXP(-(LN(2)/$D$65+0.1)*AO168),"-"))),"-")</f>
        <v>-</v>
      </c>
      <c r="AS168" s="274">
        <f t="shared" si="113"/>
        <v>0</v>
      </c>
      <c r="AT168" s="274">
        <f t="shared" si="114"/>
        <v>0</v>
      </c>
      <c r="AU168" s="274">
        <f t="shared" si="115"/>
        <v>0</v>
      </c>
      <c r="AV168" s="190" t="str">
        <f>IF($B168&lt;$F$22,SUM($T$100:$T168),"")</f>
        <v/>
      </c>
      <c r="AW168" s="190" t="str">
        <f t="shared" si="116"/>
        <v>-</v>
      </c>
      <c r="AX168" s="190" t="str">
        <f t="shared" si="141"/>
        <v/>
      </c>
      <c r="AY168"/>
      <c r="AZ168" s="190" t="str">
        <f ca="1">IF(ISNUMBER(OFFSET(AV168,-$F$21,0)),SUM(OFFSET($T$100,$F$21,0):$T168),"")</f>
        <v/>
      </c>
      <c r="BA168" s="190" t="str">
        <f t="shared" ca="1" si="117"/>
        <v/>
      </c>
      <c r="BB168" s="190" t="str">
        <f t="shared" ca="1" si="70"/>
        <v/>
      </c>
      <c r="BC168" s="190"/>
      <c r="BD168" s="190" t="str">
        <f ca="1">IFERROR(IF(OR(ISNUMBER(I),ISNUMBER($F$14)),IF(AND($B168&gt;=($F$16-$F$15),$B168&lt;$F$22+($F$16-$F$15)),SUM(OFFSET($T$100,($F$16-$F$15),0):$T168),""),""),"")</f>
        <v/>
      </c>
      <c r="BE168" s="190" t="str">
        <f t="shared" ca="1" si="142"/>
        <v/>
      </c>
      <c r="BF168" s="190" t="str">
        <f t="shared" ca="1" si="143"/>
        <v/>
      </c>
      <c r="BG168"/>
      <c r="BH168" s="190" t="str">
        <f ca="1">IF(ISNUMBER(OFFSET(BD168,-$F$21,0)),SUM(OFFSET($T$100,($F$16-$F$15+$F$21),0):$T168),"")</f>
        <v/>
      </c>
      <c r="BI168" s="190" t="str">
        <f t="shared" ca="1" si="118"/>
        <v/>
      </c>
      <c r="BJ168" s="190" t="str">
        <f t="shared" ca="1" si="144"/>
        <v/>
      </c>
      <c r="BK168" s="190"/>
      <c r="BL168" s="190" t="str">
        <f ca="1">IFERROR(IF(OR(ISNUMBER(I),ISNUMBER($F$14)),IF(AND($B168&gt;=($F$17-$F$15),$B168&lt;$F$22+($F$17-$F$15)),SUM(OFFSET($T$100,($F$17-$F$15),0):$T168),""),""),"")</f>
        <v/>
      </c>
      <c r="BM168" s="190" t="str">
        <f t="shared" ca="1" si="119"/>
        <v/>
      </c>
      <c r="BN168" s="190" t="str">
        <f t="shared" ca="1" si="145"/>
        <v/>
      </c>
      <c r="BO168"/>
      <c r="BP168" s="190" t="str">
        <f ca="1">IF(ISNUMBER(OFFSET(BL168,-$F$21,0)),SUM(OFFSET($T$100,($F$17-$F$15+$F$21),0):$T168),"")</f>
        <v/>
      </c>
      <c r="BQ168" s="190" t="str">
        <f t="shared" ca="1" si="120"/>
        <v/>
      </c>
      <c r="BR168" s="190" t="str">
        <f t="shared" ca="1" si="146"/>
        <v/>
      </c>
      <c r="BS168" s="190"/>
      <c r="BT168"/>
      <c r="BU168"/>
      <c r="BV168"/>
      <c r="BY168" s="99"/>
      <c r="BZ168" s="99"/>
      <c r="CA168" s="280" t="str">
        <f t="shared" si="121"/>
        <v/>
      </c>
      <c r="CB168" s="71" t="str">
        <f t="shared" si="122"/>
        <v>-</v>
      </c>
      <c r="CC168" s="33"/>
      <c r="CD168" s="261" t="str">
        <f t="shared" si="123"/>
        <v/>
      </c>
      <c r="CE168" s="280" t="str">
        <f t="shared" si="124"/>
        <v/>
      </c>
      <c r="CF168" s="71" t="str">
        <f t="shared" ca="1" si="125"/>
        <v/>
      </c>
      <c r="CG168" s="33" t="str">
        <f t="shared" si="126"/>
        <v/>
      </c>
      <c r="CH168" s="261" t="str">
        <f t="shared" ca="1" si="127"/>
        <v/>
      </c>
      <c r="CI168" s="202"/>
      <c r="CJ168" s="99"/>
      <c r="CK168" s="99"/>
      <c r="CL168" s="99"/>
      <c r="CM168" s="99"/>
      <c r="CN168" s="99"/>
      <c r="CO168" s="99"/>
    </row>
    <row r="169" spans="2:93" ht="13.5" customHeight="1" x14ac:dyDescent="0.2">
      <c r="B169" s="262">
        <v>69</v>
      </c>
      <c r="C169" s="237" t="str">
        <f t="shared" si="91"/>
        <v/>
      </c>
      <c r="D169" s="237" t="str">
        <f t="shared" si="147"/>
        <v/>
      </c>
      <c r="E169" s="290" t="str">
        <f t="shared" si="128"/>
        <v/>
      </c>
      <c r="F169" s="264" t="str">
        <f t="shared" si="129"/>
        <v/>
      </c>
      <c r="G169" s="291" t="str">
        <f t="shared" si="130"/>
        <v/>
      </c>
      <c r="H169" s="240" t="str">
        <f t="shared" si="92"/>
        <v/>
      </c>
      <c r="I169" s="265" t="str">
        <f t="shared" si="93"/>
        <v/>
      </c>
      <c r="J169" s="265" t="str">
        <f t="shared" si="94"/>
        <v/>
      </c>
      <c r="K169" s="240" t="str">
        <f t="shared" si="95"/>
        <v/>
      </c>
      <c r="L169" s="265" t="str">
        <f t="shared" si="96"/>
        <v/>
      </c>
      <c r="M169" s="265" t="str">
        <f t="shared" si="97"/>
        <v/>
      </c>
      <c r="N169" s="240" t="str">
        <f t="shared" si="98"/>
        <v>-</v>
      </c>
      <c r="O169" s="265" t="str">
        <f t="shared" si="99"/>
        <v>-</v>
      </c>
      <c r="P169" s="265" t="str">
        <f t="shared" si="100"/>
        <v>-</v>
      </c>
      <c r="Q169" s="266" t="str">
        <f t="shared" si="101"/>
        <v>-</v>
      </c>
      <c r="R169" s="267" t="str">
        <f t="shared" si="102"/>
        <v>-</v>
      </c>
      <c r="S169" s="268" t="str">
        <f t="shared" si="103"/>
        <v>-</v>
      </c>
      <c r="T169" s="269" t="str">
        <f t="shared" si="104"/>
        <v/>
      </c>
      <c r="U169" s="221">
        <f t="shared" si="105"/>
        <v>69</v>
      </c>
      <c r="V169" s="220" t="str">
        <f t="shared" si="131"/>
        <v>-</v>
      </c>
      <c r="W169" s="221" t="str">
        <f t="shared" si="132"/>
        <v>-</v>
      </c>
      <c r="X169" s="221" t="str">
        <f t="shared" si="106"/>
        <v>-</v>
      </c>
      <c r="Y169" s="221" t="str">
        <f t="shared" si="107"/>
        <v>-</v>
      </c>
      <c r="Z169" s="270">
        <f t="shared" si="133"/>
        <v>0.1</v>
      </c>
      <c r="AA169" s="271" t="str">
        <f>IFERROR(IF(V168=1,AA$100*EXP(-(LN(2)/$D$65+0.04)*X168)*EXP(-(LN(2)/$D$65+0.1)*Y168),IF(V168=2,AA$100*EXP(-(LN(2)/$D$65+0.04)*(VLOOKUP(($F$16-$F$15)-1,U$99:Y168,4,FALSE)))*EXP(-(LN(2)/$D$65+0.1)*(VLOOKUP(($F$16-$F$15)-1,U$99:Y168,5,FALSE)))*EXP(-(LN(2)/$D$65+0.04)*X168)*EXP(-(LN(2)/$D$65+0.1)*Y168),IF(V168=3,AA$100*EXP(-(LN(2)/$D$65+0.04)*(VLOOKUP(($F$16-$F$15)-1,U$99:Y168,4,FALSE)))*EXP(-(LN(2)/$D$65+0.1)*(VLOOKUP(($F$16-$F$15)-1,U$99:Y168,5,FALSE)))*EXP(-(LN(2)/$D$65+0.04)*(VLOOKUP(($F$16-$F$15)*2-1,U$99:Y168,4,FALSE)))*EXP(-(LN(2)/$D$65+0.1)*(VLOOKUP(($F$16-$F$15)*2-1,U$99:Y168,5,FALSE)))*EXP(-(LN(2)/$D$65+0.04)*X168)*EXP(-(LN(2)/$D$65+0.1)*Y168),"-"))),"-")</f>
        <v>-</v>
      </c>
      <c r="AB169" s="271" t="str">
        <f>IFERROR(IF(V169=1,AB$100*EXP(-(LN(2)/$D$65+0.04)*X169)*EXP(-(LN(2)/$D$65+0.1)*Y169),IF(V169=2,AB$100*EXP(-(LN(2)/$D$65+0.04)*(VLOOKUP(($F$16-$F$15)-1,U$100:Y169,4,FALSE)))*EXP(-(LN(2)/$D$65+0.1)*(VLOOKUP(($F$16-$F$15)-1,U$100:Y169,5,FALSE)))*EXP(-(LN(2)/$D$65+0.04)*X169)*EXP(-(LN(2)/$D$65+0.1)*Y169),IF(V169=3,AB$100*EXP(-(LN(2)/$D$65+0.04)*(VLOOKUP(($F$16-$F$15)-1,U$100:Y169,4,FALSE)))*EXP(-(LN(2)/$D$65+0.1)*(VLOOKUP(($F$16-$F$15)-1,U$100:Y169,5,FALSE)))*EXP(-(LN(2)/$D$65+0.04)*(VLOOKUP(($F$16-$F$15)*2-1,U$100:Y169,4,FALSE)))*EXP(-(LN(2)/$D$65+0.1)*(VLOOKUP(($F$16-$F$15)*2-1,U$100:Y169,5,FALSE)))*EXP(-(LN(2)/$D$65+0.04)*X169)*EXP(-(LN(2)/$D$65+0.1)*Y169),"-"))),"-")</f>
        <v>-</v>
      </c>
      <c r="AC169" s="224">
        <f t="shared" si="134"/>
        <v>69</v>
      </c>
      <c r="AD169" s="223" t="str">
        <f t="shared" si="108"/>
        <v>-</v>
      </c>
      <c r="AE169" s="224" t="str">
        <f t="shared" si="135"/>
        <v>-</v>
      </c>
      <c r="AF169" s="224" t="str">
        <f t="shared" si="109"/>
        <v>-</v>
      </c>
      <c r="AG169" s="224" t="str">
        <f t="shared" si="110"/>
        <v>-</v>
      </c>
      <c r="AH169" s="272">
        <f t="shared" si="136"/>
        <v>0.1</v>
      </c>
      <c r="AI169" s="271" t="str">
        <f>IFERROR(IF(AD168=1,AI$100*EXP(-(LN(2)/$D$65+0.04)*AF168)*EXP(-(LN(2)/$D$65+0.1)*AG168),IF(AD168=2,AI$100*EXP(-(LN(2)/$D$65+0.04)*(VLOOKUP(($F$16-$F$15)-1,AC$99:AG168,4,FALSE)))*EXP(-(LN(2)/$D$65+0.1)*(VLOOKUP(($F$16-$F$15)-1,AC$99:AG168,5,FALSE)))*EXP(-(LN(2)/$D$65+0.04)*AF168)*EXP(-(LN(2)/$D$65+0.1)*AG168),IF(AD168=3,AI$100*EXP(-(LN(2)/$D$65+0.04)*(VLOOKUP(($F$16-$F$15)-1,AC$99:AG168,4,FALSE)))*EXP(-(LN(2)/$D$65+0.1)*(VLOOKUP(($F$16-$F$15)-1,AC$99:AG168,5,FALSE)))*EXP(-(LN(2)/$D$65+0.04)*(VLOOKUP(($F$16-$F$15)*2-1,AC$99:AG168,4,FALSE)))*EXP(-(LN(2)/$D$65+0.1)*(VLOOKUP(($F$16-$F$15)*2-1,AC$99:AG168,5,FALSE)))*EXP(-(LN(2)/$D$65+0.04)*AF168)*EXP(-(LN(2)/$D$65+0.1)*AG168),"-"))),"-")</f>
        <v>-</v>
      </c>
      <c r="AJ169" s="271" t="str">
        <f>IFERROR(IF(AD169=1,AJ$100*EXP(-(LN(2)/$D$65+0.04)*AF169)*EXP(-(LN(2)/$D$65+0.1)*AG169),IF(AD169=2,AJ$100*EXP(-(LN(2)/$D$65+0.04)*(VLOOKUP(($F$16-$F$15)-1,AC$100:AG169,4,FALSE)))*EXP(-(LN(2)/$D$65+0.1)*(VLOOKUP(($F$16-$F$15)-1,AC$100:AG169,5,FALSE)))*EXP(-(LN(2)/$D$65+0.04)*AF169)*EXP(-(LN(2)/$D$65+0.1)*AG169),IF(AD169=3,AJ$100*EXP(-(LN(2)/$D$65+0.04)*(VLOOKUP(($F$16-$F$15)-1,AC$100:AG169,4,FALSE)))*EXP(-(LN(2)/$D$65+0.1)*(VLOOKUP(($F$16-$F$15)-1,AC$100:AG169,5,FALSE)))*EXP(-(LN(2)/$D$65+0.04)*(VLOOKUP(($F$16-$F$15)*2-1,AC$100:AG169,4,FALSE)))*EXP(-(LN(2)/$D$65+0.1)*(VLOOKUP(($F$16-$F$15)*2-1,AC$100:AG169,5,FALSE)))*EXP(-(LN(2)/$D$65+0.04)*AF169)*EXP(-(LN(2)/$D$65+0.1)*AG169),"-"))),"-")</f>
        <v>-</v>
      </c>
      <c r="AK169" s="227">
        <f t="shared" si="137"/>
        <v>69</v>
      </c>
      <c r="AL169" s="226" t="str">
        <f t="shared" si="111"/>
        <v>-</v>
      </c>
      <c r="AM169" s="227" t="str">
        <f t="shared" si="138"/>
        <v>-</v>
      </c>
      <c r="AN169" s="227" t="str">
        <f t="shared" si="139"/>
        <v>-</v>
      </c>
      <c r="AO169" s="227" t="str">
        <f t="shared" si="112"/>
        <v>-</v>
      </c>
      <c r="AP169" s="273">
        <f t="shared" si="140"/>
        <v>0.1</v>
      </c>
      <c r="AQ169" s="271" t="str">
        <f>IFERROR(IF(AL168=1,AQ$100*EXP(-(LN(2)/$D$65+0.04)*AN168)*EXP(-(LN(2)/$D$65+0.1)*AO168),IF(AL168=2,AQ$100*EXP(-(LN(2)/$D$65+0.04)*(VLOOKUP(($F$16-$F$15)-1,AK$99:AO168,4,FALSE)))*EXP(-(LN(2)/$D$65+0.1)*(VLOOKUP(($F$16-$F$15)-1,AK$99:AO168,5,FALSE)))*EXP(-(LN(2)/$D$65+0.04)*AN168)*EXP(-(LN(2)/$D$65+0.1)*AO168),IF(AL168=3,AQ$100*EXP(-(LN(2)/$D$65+0.04)*(VLOOKUP(($F$16-$F$15)-1,AK$99:AO168,4,FALSE)))*EXP(-(LN(2)/$D$65+0.1)*(VLOOKUP(($F$16-$F$15)-1,AK$99:AO168,5,FALSE)))*EXP(-(LN(2)/$D$65+0.04)*(VLOOKUP(($F$16-$F$15)*2-1,AK$99:AO168,4,FALSE)))*EXP(-(LN(2)/$D$65+0.1)*(VLOOKUP(($F$16-$F$15)*2-1,AK$99:AO168,5,FALSE)))*EXP(-(LN(2)/$D$65+0.04)*AN168)*EXP(-(LN(2)/$D$65+0.1)*AO168),"-"))),"-")</f>
        <v>-</v>
      </c>
      <c r="AR169" s="271" t="str">
        <f>IFERROR(IF(AL169=1,AR$100*EXP(-(LN(2)/$D$65+0.04)*AN169)*EXP(-(LN(2)/$D$65+0.1)*AO169),IF(AL169=2,AR$100*EXP(-(LN(2)/$D$65+0.04)*(VLOOKUP(($F$16-$F$15)-1,AK$100:AO169,4,FALSE)))*EXP(-(LN(2)/$D$65+0.1)*(VLOOKUP(($F$16-$F$15)-1,AK$100:AO169,5,FALSE)))*EXP(-(LN(2)/$D$65+0.04)*AN169)*EXP(-(LN(2)/$D$65+0.1)*AO169),IF(AL169=3,AR$100*EXP(-(LN(2)/$D$65+0.04)*(VLOOKUP(($F$16-$F$15)-1,AK$100:AO169,4,FALSE)))*EXP(-(LN(2)/$D$65+0.1)*(VLOOKUP(($F$16-$F$15)-1,AK$100:AO169,5,FALSE)))*EXP(-(LN(2)/$D$65+0.04)*(VLOOKUP(($F$16-$F$15)*2-1,AK$100:AO169,4,FALSE)))*EXP(-(LN(2)/$D$65+0.1)*(VLOOKUP(($F$16-$F$15)*2-1,AK$100:AO169,5,FALSE)))*EXP(-(LN(2)/$D$65+0.04)*AN169)*EXP(-(LN(2)/$D$65+0.1)*AO169),"-"))),"-")</f>
        <v>-</v>
      </c>
      <c r="AS169" s="274">
        <f t="shared" si="113"/>
        <v>0</v>
      </c>
      <c r="AT169" s="274">
        <f t="shared" si="114"/>
        <v>0</v>
      </c>
      <c r="AU169" s="274">
        <f t="shared" si="115"/>
        <v>0</v>
      </c>
      <c r="AV169" s="190" t="str">
        <f>IF($B169&lt;$F$22,SUM($T$100:$T169),"")</f>
        <v/>
      </c>
      <c r="AW169" s="190" t="str">
        <f t="shared" si="116"/>
        <v>-</v>
      </c>
      <c r="AX169" s="190" t="str">
        <f t="shared" si="141"/>
        <v/>
      </c>
      <c r="AY169"/>
      <c r="AZ169" s="190" t="str">
        <f ca="1">IF(ISNUMBER(OFFSET(AV169,-$F$21,0)),SUM(OFFSET($T$100,$F$21,0):$T169),"")</f>
        <v/>
      </c>
      <c r="BA169" s="190" t="str">
        <f t="shared" ca="1" si="117"/>
        <v/>
      </c>
      <c r="BB169" s="190" t="str">
        <f t="shared" ca="1" si="70"/>
        <v/>
      </c>
      <c r="BC169" s="190"/>
      <c r="BD169" s="190" t="str">
        <f ca="1">IFERROR(IF(OR(ISNUMBER(I),ISNUMBER($F$14)),IF(AND($B169&gt;=($F$16-$F$15),$B169&lt;$F$22+($F$16-$F$15)),SUM(OFFSET($T$100,($F$16-$F$15),0):$T169),""),""),"")</f>
        <v/>
      </c>
      <c r="BE169" s="190" t="str">
        <f t="shared" ca="1" si="142"/>
        <v/>
      </c>
      <c r="BF169" s="190" t="str">
        <f t="shared" ca="1" si="143"/>
        <v/>
      </c>
      <c r="BG169"/>
      <c r="BH169" s="190" t="str">
        <f ca="1">IF(ISNUMBER(OFFSET(BD169,-$F$21,0)),SUM(OFFSET($T$100,($F$16-$F$15+$F$21),0):$T169),"")</f>
        <v/>
      </c>
      <c r="BI169" s="190" t="str">
        <f t="shared" ca="1" si="118"/>
        <v/>
      </c>
      <c r="BJ169" s="190" t="str">
        <f t="shared" ca="1" si="144"/>
        <v/>
      </c>
      <c r="BK169" s="190"/>
      <c r="BL169" s="190" t="str">
        <f ca="1">IFERROR(IF(OR(ISNUMBER(I),ISNUMBER($F$14)),IF(AND($B169&gt;=($F$17-$F$15),$B169&lt;$F$22+($F$17-$F$15)),SUM(OFFSET($T$100,($F$17-$F$15),0):$T169),""),""),"")</f>
        <v/>
      </c>
      <c r="BM169" s="190" t="str">
        <f t="shared" ca="1" si="119"/>
        <v/>
      </c>
      <c r="BN169" s="190" t="str">
        <f t="shared" ca="1" si="145"/>
        <v/>
      </c>
      <c r="BO169"/>
      <c r="BP169" s="190" t="str">
        <f ca="1">IF(ISNUMBER(OFFSET(BL169,-$F$21,0)),SUM(OFFSET($T$100,($F$17-$F$15+$F$21),0):$T169),"")</f>
        <v/>
      </c>
      <c r="BQ169" s="190" t="str">
        <f t="shared" ca="1" si="120"/>
        <v/>
      </c>
      <c r="BR169" s="190" t="str">
        <f t="shared" ca="1" si="146"/>
        <v/>
      </c>
      <c r="BS169" s="190"/>
      <c r="BT169"/>
      <c r="BU169"/>
      <c r="BV169"/>
      <c r="BY169" s="99"/>
      <c r="BZ169" s="99"/>
      <c r="CA169" s="280" t="str">
        <f t="shared" si="121"/>
        <v/>
      </c>
      <c r="CB169" s="71" t="str">
        <f t="shared" si="122"/>
        <v>-</v>
      </c>
      <c r="CC169" s="33"/>
      <c r="CD169" s="261" t="str">
        <f t="shared" si="123"/>
        <v/>
      </c>
      <c r="CE169" s="280" t="str">
        <f t="shared" si="124"/>
        <v/>
      </c>
      <c r="CF169" s="71" t="str">
        <f t="shared" ca="1" si="125"/>
        <v/>
      </c>
      <c r="CG169" s="33" t="str">
        <f t="shared" si="126"/>
        <v/>
      </c>
      <c r="CH169" s="261" t="str">
        <f t="shared" ca="1" si="127"/>
        <v/>
      </c>
      <c r="CI169" s="202"/>
      <c r="CJ169" s="99"/>
      <c r="CK169" s="99"/>
      <c r="CL169" s="99"/>
      <c r="CM169" s="99"/>
      <c r="CN169" s="99"/>
      <c r="CO169" s="99"/>
    </row>
    <row r="170" spans="2:93" ht="13.5" customHeight="1" x14ac:dyDescent="0.2">
      <c r="B170" s="262">
        <v>70</v>
      </c>
      <c r="C170" s="237" t="str">
        <f t="shared" si="91"/>
        <v/>
      </c>
      <c r="D170" s="237" t="str">
        <f t="shared" si="147"/>
        <v/>
      </c>
      <c r="E170" s="290" t="str">
        <f t="shared" si="128"/>
        <v/>
      </c>
      <c r="F170" s="264" t="str">
        <f t="shared" si="129"/>
        <v/>
      </c>
      <c r="G170" s="291" t="str">
        <f t="shared" si="130"/>
        <v/>
      </c>
      <c r="H170" s="240" t="str">
        <f t="shared" si="92"/>
        <v/>
      </c>
      <c r="I170" s="265" t="str">
        <f t="shared" si="93"/>
        <v/>
      </c>
      <c r="J170" s="265" t="str">
        <f t="shared" si="94"/>
        <v/>
      </c>
      <c r="K170" s="240" t="str">
        <f t="shared" si="95"/>
        <v/>
      </c>
      <c r="L170" s="265" t="str">
        <f t="shared" si="96"/>
        <v/>
      </c>
      <c r="M170" s="265" t="str">
        <f t="shared" si="97"/>
        <v/>
      </c>
      <c r="N170" s="240" t="str">
        <f t="shared" si="98"/>
        <v>-</v>
      </c>
      <c r="O170" s="265" t="str">
        <f t="shared" si="99"/>
        <v>-</v>
      </c>
      <c r="P170" s="265" t="str">
        <f t="shared" si="100"/>
        <v>-</v>
      </c>
      <c r="Q170" s="266" t="str">
        <f t="shared" si="101"/>
        <v>-</v>
      </c>
      <c r="R170" s="267" t="str">
        <f t="shared" si="102"/>
        <v>-</v>
      </c>
      <c r="S170" s="268" t="str">
        <f t="shared" si="103"/>
        <v>-</v>
      </c>
      <c r="T170" s="269" t="str">
        <f t="shared" si="104"/>
        <v/>
      </c>
      <c r="U170" s="221">
        <f t="shared" si="105"/>
        <v>70</v>
      </c>
      <c r="V170" s="220" t="str">
        <f t="shared" si="131"/>
        <v>-</v>
      </c>
      <c r="W170" s="221" t="str">
        <f t="shared" si="132"/>
        <v>-</v>
      </c>
      <c r="X170" s="221" t="str">
        <f t="shared" si="106"/>
        <v>-</v>
      </c>
      <c r="Y170" s="221" t="str">
        <f t="shared" si="107"/>
        <v>-</v>
      </c>
      <c r="Z170" s="270">
        <f t="shared" si="133"/>
        <v>0.1</v>
      </c>
      <c r="AA170" s="271" t="str">
        <f>IFERROR(IF(V169=1,AA$100*EXP(-(LN(2)/$D$65+0.04)*X169)*EXP(-(LN(2)/$D$65+0.1)*Y169),IF(V169=2,AA$100*EXP(-(LN(2)/$D$65+0.04)*(VLOOKUP(($F$16-$F$15)-1,U$99:Y169,4,FALSE)))*EXP(-(LN(2)/$D$65+0.1)*(VLOOKUP(($F$16-$F$15)-1,U$99:Y169,5,FALSE)))*EXP(-(LN(2)/$D$65+0.04)*X169)*EXP(-(LN(2)/$D$65+0.1)*Y169),IF(V169=3,AA$100*EXP(-(LN(2)/$D$65+0.04)*(VLOOKUP(($F$16-$F$15)-1,U$99:Y169,4,FALSE)))*EXP(-(LN(2)/$D$65+0.1)*(VLOOKUP(($F$16-$F$15)-1,U$99:Y169,5,FALSE)))*EXP(-(LN(2)/$D$65+0.04)*(VLOOKUP(($F$16-$F$15)*2-1,U$99:Y169,4,FALSE)))*EXP(-(LN(2)/$D$65+0.1)*(VLOOKUP(($F$16-$F$15)*2-1,U$99:Y169,5,FALSE)))*EXP(-(LN(2)/$D$65+0.04)*X169)*EXP(-(LN(2)/$D$65+0.1)*Y169),"-"))),"-")</f>
        <v>-</v>
      </c>
      <c r="AB170" s="271" t="str">
        <f>IFERROR(IF(V170=1,AB$100*EXP(-(LN(2)/$D$65+0.04)*X170)*EXP(-(LN(2)/$D$65+0.1)*Y170),IF(V170=2,AB$100*EXP(-(LN(2)/$D$65+0.04)*(VLOOKUP(($F$16-$F$15)-1,U$100:Y170,4,FALSE)))*EXP(-(LN(2)/$D$65+0.1)*(VLOOKUP(($F$16-$F$15)-1,U$100:Y170,5,FALSE)))*EXP(-(LN(2)/$D$65+0.04)*X170)*EXP(-(LN(2)/$D$65+0.1)*Y170),IF(V170=3,AB$100*EXP(-(LN(2)/$D$65+0.04)*(VLOOKUP(($F$16-$F$15)-1,U$100:Y170,4,FALSE)))*EXP(-(LN(2)/$D$65+0.1)*(VLOOKUP(($F$16-$F$15)-1,U$100:Y170,5,FALSE)))*EXP(-(LN(2)/$D$65+0.04)*(VLOOKUP(($F$16-$F$15)*2-1,U$100:Y170,4,FALSE)))*EXP(-(LN(2)/$D$65+0.1)*(VLOOKUP(($F$16-$F$15)*2-1,U$100:Y170,5,FALSE)))*EXP(-(LN(2)/$D$65+0.04)*X170)*EXP(-(LN(2)/$D$65+0.1)*Y170),"-"))),"-")</f>
        <v>-</v>
      </c>
      <c r="AC170" s="224">
        <f t="shared" si="134"/>
        <v>70</v>
      </c>
      <c r="AD170" s="223" t="str">
        <f t="shared" si="108"/>
        <v>-</v>
      </c>
      <c r="AE170" s="224" t="str">
        <f t="shared" si="135"/>
        <v>-</v>
      </c>
      <c r="AF170" s="224" t="str">
        <f t="shared" si="109"/>
        <v>-</v>
      </c>
      <c r="AG170" s="224" t="str">
        <f t="shared" si="110"/>
        <v>-</v>
      </c>
      <c r="AH170" s="272">
        <f t="shared" si="136"/>
        <v>0.1</v>
      </c>
      <c r="AI170" s="271" t="str">
        <f>IFERROR(IF(AD169=1,AI$100*EXP(-(LN(2)/$D$65+0.04)*AF169)*EXP(-(LN(2)/$D$65+0.1)*AG169),IF(AD169=2,AI$100*EXP(-(LN(2)/$D$65+0.04)*(VLOOKUP(($F$16-$F$15)-1,AC$99:AG169,4,FALSE)))*EXP(-(LN(2)/$D$65+0.1)*(VLOOKUP(($F$16-$F$15)-1,AC$99:AG169,5,FALSE)))*EXP(-(LN(2)/$D$65+0.04)*AF169)*EXP(-(LN(2)/$D$65+0.1)*AG169),IF(AD169=3,AI$100*EXP(-(LN(2)/$D$65+0.04)*(VLOOKUP(($F$16-$F$15)-1,AC$99:AG169,4,FALSE)))*EXP(-(LN(2)/$D$65+0.1)*(VLOOKUP(($F$16-$F$15)-1,AC$99:AG169,5,FALSE)))*EXP(-(LN(2)/$D$65+0.04)*(VLOOKUP(($F$16-$F$15)*2-1,AC$99:AG169,4,FALSE)))*EXP(-(LN(2)/$D$65+0.1)*(VLOOKUP(($F$16-$F$15)*2-1,AC$99:AG169,5,FALSE)))*EXP(-(LN(2)/$D$65+0.04)*AF169)*EXP(-(LN(2)/$D$65+0.1)*AG169),"-"))),"-")</f>
        <v>-</v>
      </c>
      <c r="AJ170" s="271" t="str">
        <f>IFERROR(IF(AD170=1,AJ$100*EXP(-(LN(2)/$D$65+0.04)*AF170)*EXP(-(LN(2)/$D$65+0.1)*AG170),IF(AD170=2,AJ$100*EXP(-(LN(2)/$D$65+0.04)*(VLOOKUP(($F$16-$F$15)-1,AC$100:AG170,4,FALSE)))*EXP(-(LN(2)/$D$65+0.1)*(VLOOKUP(($F$16-$F$15)-1,AC$100:AG170,5,FALSE)))*EXP(-(LN(2)/$D$65+0.04)*AF170)*EXP(-(LN(2)/$D$65+0.1)*AG170),IF(AD170=3,AJ$100*EXP(-(LN(2)/$D$65+0.04)*(VLOOKUP(($F$16-$F$15)-1,AC$100:AG170,4,FALSE)))*EXP(-(LN(2)/$D$65+0.1)*(VLOOKUP(($F$16-$F$15)-1,AC$100:AG170,5,FALSE)))*EXP(-(LN(2)/$D$65+0.04)*(VLOOKUP(($F$16-$F$15)*2-1,AC$100:AG170,4,FALSE)))*EXP(-(LN(2)/$D$65+0.1)*(VLOOKUP(($F$16-$F$15)*2-1,AC$100:AG170,5,FALSE)))*EXP(-(LN(2)/$D$65+0.04)*AF170)*EXP(-(LN(2)/$D$65+0.1)*AG170),"-"))),"-")</f>
        <v>-</v>
      </c>
      <c r="AK170" s="227">
        <f t="shared" si="137"/>
        <v>70</v>
      </c>
      <c r="AL170" s="226" t="str">
        <f t="shared" si="111"/>
        <v>-</v>
      </c>
      <c r="AM170" s="227" t="str">
        <f t="shared" si="138"/>
        <v>-</v>
      </c>
      <c r="AN170" s="227" t="str">
        <f t="shared" si="139"/>
        <v>-</v>
      </c>
      <c r="AO170" s="227" t="str">
        <f t="shared" si="112"/>
        <v>-</v>
      </c>
      <c r="AP170" s="273">
        <f t="shared" si="140"/>
        <v>0.1</v>
      </c>
      <c r="AQ170" s="271" t="str">
        <f>IFERROR(IF(AL169=1,AQ$100*EXP(-(LN(2)/$D$65+0.04)*AN169)*EXP(-(LN(2)/$D$65+0.1)*AO169),IF(AL169=2,AQ$100*EXP(-(LN(2)/$D$65+0.04)*(VLOOKUP(($F$16-$F$15)-1,AK$99:AO169,4,FALSE)))*EXP(-(LN(2)/$D$65+0.1)*(VLOOKUP(($F$16-$F$15)-1,AK$99:AO169,5,FALSE)))*EXP(-(LN(2)/$D$65+0.04)*AN169)*EXP(-(LN(2)/$D$65+0.1)*AO169),IF(AL169=3,AQ$100*EXP(-(LN(2)/$D$65+0.04)*(VLOOKUP(($F$16-$F$15)-1,AK$99:AO169,4,FALSE)))*EXP(-(LN(2)/$D$65+0.1)*(VLOOKUP(($F$16-$F$15)-1,AK$99:AO169,5,FALSE)))*EXP(-(LN(2)/$D$65+0.04)*(VLOOKUP(($F$16-$F$15)*2-1,AK$99:AO169,4,FALSE)))*EXP(-(LN(2)/$D$65+0.1)*(VLOOKUP(($F$16-$F$15)*2-1,AK$99:AO169,5,FALSE)))*EXP(-(LN(2)/$D$65+0.04)*AN169)*EXP(-(LN(2)/$D$65+0.1)*AO169),"-"))),"-")</f>
        <v>-</v>
      </c>
      <c r="AR170" s="271" t="str">
        <f>IFERROR(IF(AL170=1,AR$100*EXP(-(LN(2)/$D$65+0.04)*AN170)*EXP(-(LN(2)/$D$65+0.1)*AO170),IF(AL170=2,AR$100*EXP(-(LN(2)/$D$65+0.04)*(VLOOKUP(($F$16-$F$15)-1,AK$100:AO170,4,FALSE)))*EXP(-(LN(2)/$D$65+0.1)*(VLOOKUP(($F$16-$F$15)-1,AK$100:AO170,5,FALSE)))*EXP(-(LN(2)/$D$65+0.04)*AN170)*EXP(-(LN(2)/$D$65+0.1)*AO170),IF(AL170=3,AR$100*EXP(-(LN(2)/$D$65+0.04)*(VLOOKUP(($F$16-$F$15)-1,AK$100:AO170,4,FALSE)))*EXP(-(LN(2)/$D$65+0.1)*(VLOOKUP(($F$16-$F$15)-1,AK$100:AO170,5,FALSE)))*EXP(-(LN(2)/$D$65+0.04)*(VLOOKUP(($F$16-$F$15)*2-1,AK$100:AO170,4,FALSE)))*EXP(-(LN(2)/$D$65+0.1)*(VLOOKUP(($F$16-$F$15)*2-1,AK$100:AO170,5,FALSE)))*EXP(-(LN(2)/$D$65+0.04)*AN170)*EXP(-(LN(2)/$D$65+0.1)*AO170),"-"))),"-")</f>
        <v>-</v>
      </c>
      <c r="AS170" s="274">
        <f t="shared" si="113"/>
        <v>0</v>
      </c>
      <c r="AT170" s="274">
        <f t="shared" si="114"/>
        <v>0</v>
      </c>
      <c r="AU170" s="274">
        <f t="shared" si="115"/>
        <v>0</v>
      </c>
      <c r="AV170" s="190" t="str">
        <f>IF($B170&lt;$F$22,SUM($T$100:$T170),"")</f>
        <v/>
      </c>
      <c r="AW170" s="190" t="str">
        <f t="shared" si="116"/>
        <v>-</v>
      </c>
      <c r="AX170" s="190" t="str">
        <f t="shared" si="141"/>
        <v/>
      </c>
      <c r="AY170"/>
      <c r="AZ170" s="190" t="str">
        <f ca="1">IF(ISNUMBER(OFFSET(AV170,-$F$21,0)),SUM(OFFSET($T$100,$F$21,0):$T170),"")</f>
        <v/>
      </c>
      <c r="BA170" s="190" t="str">
        <f t="shared" ca="1" si="117"/>
        <v/>
      </c>
      <c r="BB170" s="190" t="str">
        <f t="shared" ca="1" si="70"/>
        <v/>
      </c>
      <c r="BC170" s="190"/>
      <c r="BD170" s="190" t="str">
        <f ca="1">IFERROR(IF(OR(ISNUMBER(I),ISNUMBER($F$14)),IF(AND($B170&gt;=($F$16-$F$15),$B170&lt;$F$22+($F$16-$F$15)),SUM(OFFSET($T$100,($F$16-$F$15),0):$T170),""),""),"")</f>
        <v/>
      </c>
      <c r="BE170" s="190" t="str">
        <f t="shared" ca="1" si="142"/>
        <v/>
      </c>
      <c r="BF170" s="190" t="str">
        <f t="shared" ca="1" si="143"/>
        <v/>
      </c>
      <c r="BG170"/>
      <c r="BH170" s="190" t="str">
        <f ca="1">IF(ISNUMBER(OFFSET(BD170,-$F$21,0)),SUM(OFFSET($T$100,($F$16-$F$15+$F$21),0):$T170),"")</f>
        <v/>
      </c>
      <c r="BI170" s="190" t="str">
        <f t="shared" ca="1" si="118"/>
        <v/>
      </c>
      <c r="BJ170" s="190" t="str">
        <f t="shared" ca="1" si="144"/>
        <v/>
      </c>
      <c r="BK170" s="190"/>
      <c r="BL170" s="190" t="str">
        <f ca="1">IFERROR(IF(OR(ISNUMBER(I),ISNUMBER($F$14)),IF(AND($B170&gt;=($F$17-$F$15),$B170&lt;$F$22+($F$17-$F$15)),SUM(OFFSET($T$100,($F$17-$F$15),0):$T170),""),""),"")</f>
        <v/>
      </c>
      <c r="BM170" s="190" t="str">
        <f t="shared" ca="1" si="119"/>
        <v/>
      </c>
      <c r="BN170" s="190" t="str">
        <f t="shared" ca="1" si="145"/>
        <v/>
      </c>
      <c r="BO170"/>
      <c r="BP170" s="190" t="str">
        <f ca="1">IF(ISNUMBER(OFFSET(BL170,-$F$21,0)),SUM(OFFSET($T$100,($F$17-$F$15+$F$21),0):$T170),"")</f>
        <v/>
      </c>
      <c r="BQ170" s="190" t="str">
        <f t="shared" ca="1" si="120"/>
        <v/>
      </c>
      <c r="BR170" s="190" t="str">
        <f t="shared" ca="1" si="146"/>
        <v/>
      </c>
      <c r="BS170" s="190"/>
      <c r="BT170"/>
      <c r="BU170"/>
      <c r="BV170"/>
      <c r="BY170" s="99"/>
      <c r="BZ170" s="99"/>
      <c r="CA170" s="280" t="str">
        <f t="shared" si="121"/>
        <v/>
      </c>
      <c r="CB170" s="71" t="str">
        <f t="shared" si="122"/>
        <v>-</v>
      </c>
      <c r="CC170" s="33"/>
      <c r="CD170" s="261" t="str">
        <f t="shared" si="123"/>
        <v/>
      </c>
      <c r="CE170" s="280" t="str">
        <f t="shared" si="124"/>
        <v/>
      </c>
      <c r="CF170" s="71" t="str">
        <f t="shared" ca="1" si="125"/>
        <v/>
      </c>
      <c r="CG170" s="33" t="str">
        <f t="shared" si="126"/>
        <v/>
      </c>
      <c r="CH170" s="261" t="str">
        <f t="shared" ca="1" si="127"/>
        <v/>
      </c>
      <c r="CI170" s="202"/>
      <c r="CJ170" s="99"/>
      <c r="CK170" s="99"/>
      <c r="CL170" s="99"/>
      <c r="CM170" s="99"/>
      <c r="CN170" s="99"/>
      <c r="CO170" s="99"/>
    </row>
    <row r="171" spans="2:93" ht="13.5" customHeight="1" x14ac:dyDescent="0.2">
      <c r="B171" s="262">
        <v>71</v>
      </c>
      <c r="C171" s="237" t="str">
        <f t="shared" si="91"/>
        <v/>
      </c>
      <c r="D171" s="237" t="str">
        <f t="shared" si="147"/>
        <v/>
      </c>
      <c r="E171" s="290" t="str">
        <f t="shared" si="128"/>
        <v/>
      </c>
      <c r="F171" s="264" t="str">
        <f t="shared" si="129"/>
        <v/>
      </c>
      <c r="G171" s="291" t="str">
        <f t="shared" si="130"/>
        <v/>
      </c>
      <c r="H171" s="240" t="str">
        <f t="shared" si="92"/>
        <v/>
      </c>
      <c r="I171" s="265" t="str">
        <f t="shared" si="93"/>
        <v/>
      </c>
      <c r="J171" s="265" t="str">
        <f t="shared" si="94"/>
        <v/>
      </c>
      <c r="K171" s="240" t="str">
        <f t="shared" si="95"/>
        <v/>
      </c>
      <c r="L171" s="265" t="str">
        <f t="shared" si="96"/>
        <v/>
      </c>
      <c r="M171" s="265" t="str">
        <f t="shared" si="97"/>
        <v/>
      </c>
      <c r="N171" s="240" t="str">
        <f t="shared" si="98"/>
        <v>-</v>
      </c>
      <c r="O171" s="265" t="str">
        <f t="shared" si="99"/>
        <v>-</v>
      </c>
      <c r="P171" s="265" t="str">
        <f t="shared" si="100"/>
        <v>-</v>
      </c>
      <c r="Q171" s="266" t="str">
        <f t="shared" si="101"/>
        <v>-</v>
      </c>
      <c r="R171" s="267" t="str">
        <f t="shared" si="102"/>
        <v>-</v>
      </c>
      <c r="S171" s="268" t="str">
        <f t="shared" si="103"/>
        <v>-</v>
      </c>
      <c r="T171" s="269" t="str">
        <f t="shared" si="104"/>
        <v/>
      </c>
      <c r="U171" s="221">
        <f t="shared" si="105"/>
        <v>71</v>
      </c>
      <c r="V171" s="220" t="str">
        <f t="shared" si="131"/>
        <v>-</v>
      </c>
      <c r="W171" s="221" t="str">
        <f t="shared" si="132"/>
        <v>-</v>
      </c>
      <c r="X171" s="221" t="str">
        <f t="shared" si="106"/>
        <v>-</v>
      </c>
      <c r="Y171" s="221" t="str">
        <f t="shared" si="107"/>
        <v>-</v>
      </c>
      <c r="Z171" s="270">
        <f t="shared" si="133"/>
        <v>0.1</v>
      </c>
      <c r="AA171" s="271" t="str">
        <f>IFERROR(IF(V170=1,AA$100*EXP(-(LN(2)/$D$65+0.04)*X170)*EXP(-(LN(2)/$D$65+0.1)*Y170),IF(V170=2,AA$100*EXP(-(LN(2)/$D$65+0.04)*(VLOOKUP(($F$16-$F$15)-1,U$99:Y170,4,FALSE)))*EXP(-(LN(2)/$D$65+0.1)*(VLOOKUP(($F$16-$F$15)-1,U$99:Y170,5,FALSE)))*EXP(-(LN(2)/$D$65+0.04)*X170)*EXP(-(LN(2)/$D$65+0.1)*Y170),IF(V170=3,AA$100*EXP(-(LN(2)/$D$65+0.04)*(VLOOKUP(($F$16-$F$15)-1,U$99:Y170,4,FALSE)))*EXP(-(LN(2)/$D$65+0.1)*(VLOOKUP(($F$16-$F$15)-1,U$99:Y170,5,FALSE)))*EXP(-(LN(2)/$D$65+0.04)*(VLOOKUP(($F$16-$F$15)*2-1,U$99:Y170,4,FALSE)))*EXP(-(LN(2)/$D$65+0.1)*(VLOOKUP(($F$16-$F$15)*2-1,U$99:Y170,5,FALSE)))*EXP(-(LN(2)/$D$65+0.04)*X170)*EXP(-(LN(2)/$D$65+0.1)*Y170),"-"))),"-")</f>
        <v>-</v>
      </c>
      <c r="AB171" s="271" t="str">
        <f>IFERROR(IF(V171=1,AB$100*EXP(-(LN(2)/$D$65+0.04)*X171)*EXP(-(LN(2)/$D$65+0.1)*Y171),IF(V171=2,AB$100*EXP(-(LN(2)/$D$65+0.04)*(VLOOKUP(($F$16-$F$15)-1,U$100:Y171,4,FALSE)))*EXP(-(LN(2)/$D$65+0.1)*(VLOOKUP(($F$16-$F$15)-1,U$100:Y171,5,FALSE)))*EXP(-(LN(2)/$D$65+0.04)*X171)*EXP(-(LN(2)/$D$65+0.1)*Y171),IF(V171=3,AB$100*EXP(-(LN(2)/$D$65+0.04)*(VLOOKUP(($F$16-$F$15)-1,U$100:Y171,4,FALSE)))*EXP(-(LN(2)/$D$65+0.1)*(VLOOKUP(($F$16-$F$15)-1,U$100:Y171,5,FALSE)))*EXP(-(LN(2)/$D$65+0.04)*(VLOOKUP(($F$16-$F$15)*2-1,U$100:Y171,4,FALSE)))*EXP(-(LN(2)/$D$65+0.1)*(VLOOKUP(($F$16-$F$15)*2-1,U$100:Y171,5,FALSE)))*EXP(-(LN(2)/$D$65+0.04)*X171)*EXP(-(LN(2)/$D$65+0.1)*Y171),"-"))),"-")</f>
        <v>-</v>
      </c>
      <c r="AC171" s="224">
        <f t="shared" si="134"/>
        <v>71</v>
      </c>
      <c r="AD171" s="223" t="str">
        <f t="shared" si="108"/>
        <v>-</v>
      </c>
      <c r="AE171" s="224" t="str">
        <f t="shared" si="135"/>
        <v>-</v>
      </c>
      <c r="AF171" s="224" t="str">
        <f t="shared" si="109"/>
        <v>-</v>
      </c>
      <c r="AG171" s="224" t="str">
        <f t="shared" si="110"/>
        <v>-</v>
      </c>
      <c r="AH171" s="272">
        <f t="shared" si="136"/>
        <v>0.1</v>
      </c>
      <c r="AI171" s="271" t="str">
        <f>IFERROR(IF(AD170=1,AI$100*EXP(-(LN(2)/$D$65+0.04)*AF170)*EXP(-(LN(2)/$D$65+0.1)*AG170),IF(AD170=2,AI$100*EXP(-(LN(2)/$D$65+0.04)*(VLOOKUP(($F$16-$F$15)-1,AC$99:AG170,4,FALSE)))*EXP(-(LN(2)/$D$65+0.1)*(VLOOKUP(($F$16-$F$15)-1,AC$99:AG170,5,FALSE)))*EXP(-(LN(2)/$D$65+0.04)*AF170)*EXP(-(LN(2)/$D$65+0.1)*AG170),IF(AD170=3,AI$100*EXP(-(LN(2)/$D$65+0.04)*(VLOOKUP(($F$16-$F$15)-1,AC$99:AG170,4,FALSE)))*EXP(-(LN(2)/$D$65+0.1)*(VLOOKUP(($F$16-$F$15)-1,AC$99:AG170,5,FALSE)))*EXP(-(LN(2)/$D$65+0.04)*(VLOOKUP(($F$16-$F$15)*2-1,AC$99:AG170,4,FALSE)))*EXP(-(LN(2)/$D$65+0.1)*(VLOOKUP(($F$16-$F$15)*2-1,AC$99:AG170,5,FALSE)))*EXP(-(LN(2)/$D$65+0.04)*AF170)*EXP(-(LN(2)/$D$65+0.1)*AG170),"-"))),"-")</f>
        <v>-</v>
      </c>
      <c r="AJ171" s="271" t="str">
        <f>IFERROR(IF(AD171=1,AJ$100*EXP(-(LN(2)/$D$65+0.04)*AF171)*EXP(-(LN(2)/$D$65+0.1)*AG171),IF(AD171=2,AJ$100*EXP(-(LN(2)/$D$65+0.04)*(VLOOKUP(($F$16-$F$15)-1,AC$100:AG171,4,FALSE)))*EXP(-(LN(2)/$D$65+0.1)*(VLOOKUP(($F$16-$F$15)-1,AC$100:AG171,5,FALSE)))*EXP(-(LN(2)/$D$65+0.04)*AF171)*EXP(-(LN(2)/$D$65+0.1)*AG171),IF(AD171=3,AJ$100*EXP(-(LN(2)/$D$65+0.04)*(VLOOKUP(($F$16-$F$15)-1,AC$100:AG171,4,FALSE)))*EXP(-(LN(2)/$D$65+0.1)*(VLOOKUP(($F$16-$F$15)-1,AC$100:AG171,5,FALSE)))*EXP(-(LN(2)/$D$65+0.04)*(VLOOKUP(($F$16-$F$15)*2-1,AC$100:AG171,4,FALSE)))*EXP(-(LN(2)/$D$65+0.1)*(VLOOKUP(($F$16-$F$15)*2-1,AC$100:AG171,5,FALSE)))*EXP(-(LN(2)/$D$65+0.04)*AF171)*EXP(-(LN(2)/$D$65+0.1)*AG171),"-"))),"-")</f>
        <v>-</v>
      </c>
      <c r="AK171" s="227">
        <f t="shared" si="137"/>
        <v>71</v>
      </c>
      <c r="AL171" s="226" t="str">
        <f t="shared" si="111"/>
        <v>-</v>
      </c>
      <c r="AM171" s="227" t="str">
        <f t="shared" si="138"/>
        <v>-</v>
      </c>
      <c r="AN171" s="227" t="str">
        <f t="shared" si="139"/>
        <v>-</v>
      </c>
      <c r="AO171" s="227" t="str">
        <f t="shared" si="112"/>
        <v>-</v>
      </c>
      <c r="AP171" s="273">
        <f t="shared" si="140"/>
        <v>0.1</v>
      </c>
      <c r="AQ171" s="271" t="str">
        <f>IFERROR(IF(AL170=1,AQ$100*EXP(-(LN(2)/$D$65+0.04)*AN170)*EXP(-(LN(2)/$D$65+0.1)*AO170),IF(AL170=2,AQ$100*EXP(-(LN(2)/$D$65+0.04)*(VLOOKUP(($F$16-$F$15)-1,AK$99:AO170,4,FALSE)))*EXP(-(LN(2)/$D$65+0.1)*(VLOOKUP(($F$16-$F$15)-1,AK$99:AO170,5,FALSE)))*EXP(-(LN(2)/$D$65+0.04)*AN170)*EXP(-(LN(2)/$D$65+0.1)*AO170),IF(AL170=3,AQ$100*EXP(-(LN(2)/$D$65+0.04)*(VLOOKUP(($F$16-$F$15)-1,AK$99:AO170,4,FALSE)))*EXP(-(LN(2)/$D$65+0.1)*(VLOOKUP(($F$16-$F$15)-1,AK$99:AO170,5,FALSE)))*EXP(-(LN(2)/$D$65+0.04)*(VLOOKUP(($F$16-$F$15)*2-1,AK$99:AO170,4,FALSE)))*EXP(-(LN(2)/$D$65+0.1)*(VLOOKUP(($F$16-$F$15)*2-1,AK$99:AO170,5,FALSE)))*EXP(-(LN(2)/$D$65+0.04)*AN170)*EXP(-(LN(2)/$D$65+0.1)*AO170),"-"))),"-")</f>
        <v>-</v>
      </c>
      <c r="AR171" s="271" t="str">
        <f>IFERROR(IF(AL171=1,AR$100*EXP(-(LN(2)/$D$65+0.04)*AN171)*EXP(-(LN(2)/$D$65+0.1)*AO171),IF(AL171=2,AR$100*EXP(-(LN(2)/$D$65+0.04)*(VLOOKUP(($F$16-$F$15)-1,AK$100:AO171,4,FALSE)))*EXP(-(LN(2)/$D$65+0.1)*(VLOOKUP(($F$16-$F$15)-1,AK$100:AO171,5,FALSE)))*EXP(-(LN(2)/$D$65+0.04)*AN171)*EXP(-(LN(2)/$D$65+0.1)*AO171),IF(AL171=3,AR$100*EXP(-(LN(2)/$D$65+0.04)*(VLOOKUP(($F$16-$F$15)-1,AK$100:AO171,4,FALSE)))*EXP(-(LN(2)/$D$65+0.1)*(VLOOKUP(($F$16-$F$15)-1,AK$100:AO171,5,FALSE)))*EXP(-(LN(2)/$D$65+0.04)*(VLOOKUP(($F$16-$F$15)*2-1,AK$100:AO171,4,FALSE)))*EXP(-(LN(2)/$D$65+0.1)*(VLOOKUP(($F$16-$F$15)*2-1,AK$100:AO171,5,FALSE)))*EXP(-(LN(2)/$D$65+0.04)*AN171)*EXP(-(LN(2)/$D$65+0.1)*AO171),"-"))),"-")</f>
        <v>-</v>
      </c>
      <c r="AS171" s="274">
        <f t="shared" si="113"/>
        <v>0</v>
      </c>
      <c r="AT171" s="274">
        <f t="shared" si="114"/>
        <v>0</v>
      </c>
      <c r="AU171" s="274">
        <f t="shared" si="115"/>
        <v>0</v>
      </c>
      <c r="AV171" s="190" t="str">
        <f>IF($B171&lt;$F$22,SUM($T$100:$T171),"")</f>
        <v/>
      </c>
      <c r="AW171" s="190" t="str">
        <f t="shared" si="116"/>
        <v>-</v>
      </c>
      <c r="AX171" s="190" t="str">
        <f t="shared" si="141"/>
        <v/>
      </c>
      <c r="AY171"/>
      <c r="AZ171" s="190" t="str">
        <f ca="1">IF(ISNUMBER(OFFSET(AV171,-$F$21,0)),SUM(OFFSET($T$100,$F$21,0):$T171),"")</f>
        <v/>
      </c>
      <c r="BA171" s="190" t="str">
        <f t="shared" ca="1" si="117"/>
        <v/>
      </c>
      <c r="BB171" s="190" t="str">
        <f t="shared" ca="1" si="70"/>
        <v/>
      </c>
      <c r="BC171" s="190"/>
      <c r="BD171" s="190" t="str">
        <f ca="1">IFERROR(IF(OR(ISNUMBER(I),ISNUMBER($F$14)),IF(AND($B171&gt;=($F$16-$F$15),$B171&lt;$F$22+($F$16-$F$15)),SUM(OFFSET($T$100,($F$16-$F$15),0):$T171),""),""),"")</f>
        <v/>
      </c>
      <c r="BE171" s="190" t="str">
        <f t="shared" ca="1" si="142"/>
        <v/>
      </c>
      <c r="BF171" s="190" t="str">
        <f t="shared" ca="1" si="143"/>
        <v/>
      </c>
      <c r="BG171"/>
      <c r="BH171" s="190" t="str">
        <f ca="1">IF(ISNUMBER(OFFSET(BD171,-$F$21,0)),SUM(OFFSET($T$100,($F$16-$F$15+$F$21),0):$T171),"")</f>
        <v/>
      </c>
      <c r="BI171" s="190" t="str">
        <f t="shared" ca="1" si="118"/>
        <v/>
      </c>
      <c r="BJ171" s="190" t="str">
        <f t="shared" ca="1" si="144"/>
        <v/>
      </c>
      <c r="BK171" s="190"/>
      <c r="BL171" s="190" t="str">
        <f ca="1">IFERROR(IF(OR(ISNUMBER(I),ISNUMBER($F$14)),IF(AND($B171&gt;=($F$17-$F$15),$B171&lt;$F$22+($F$17-$F$15)),SUM(OFFSET($T$100,($F$17-$F$15),0):$T171),""),""),"")</f>
        <v/>
      </c>
      <c r="BM171" s="190" t="str">
        <f t="shared" ca="1" si="119"/>
        <v/>
      </c>
      <c r="BN171" s="190" t="str">
        <f t="shared" ca="1" si="145"/>
        <v/>
      </c>
      <c r="BO171"/>
      <c r="BP171" s="190" t="str">
        <f ca="1">IF(ISNUMBER(OFFSET(BL171,-$F$21,0)),SUM(OFFSET($T$100,($F$17-$F$15+$F$21),0):$T171),"")</f>
        <v/>
      </c>
      <c r="BQ171" s="190" t="str">
        <f t="shared" ca="1" si="120"/>
        <v/>
      </c>
      <c r="BR171" s="190" t="str">
        <f t="shared" ca="1" si="146"/>
        <v/>
      </c>
      <c r="BS171" s="190"/>
      <c r="BT171"/>
      <c r="BU171"/>
      <c r="BV171"/>
      <c r="BY171" s="99"/>
      <c r="BZ171" s="99"/>
      <c r="CA171" s="280" t="str">
        <f t="shared" si="121"/>
        <v/>
      </c>
      <c r="CB171" s="71" t="str">
        <f t="shared" si="122"/>
        <v>-</v>
      </c>
      <c r="CC171" s="33"/>
      <c r="CD171" s="261" t="str">
        <f t="shared" si="123"/>
        <v/>
      </c>
      <c r="CE171" s="280" t="str">
        <f t="shared" si="124"/>
        <v/>
      </c>
      <c r="CF171" s="71" t="str">
        <f t="shared" ca="1" si="125"/>
        <v/>
      </c>
      <c r="CG171" s="33" t="str">
        <f t="shared" si="126"/>
        <v/>
      </c>
      <c r="CH171" s="261" t="str">
        <f t="shared" ca="1" si="127"/>
        <v/>
      </c>
      <c r="CI171" s="202"/>
      <c r="CJ171" s="99"/>
      <c r="CK171" s="99"/>
      <c r="CL171" s="99"/>
      <c r="CM171" s="99"/>
      <c r="CN171" s="99"/>
      <c r="CO171" s="99"/>
    </row>
    <row r="172" spans="2:93" ht="13.5" customHeight="1" x14ac:dyDescent="0.2">
      <c r="B172" s="262">
        <v>72</v>
      </c>
      <c r="C172" s="237" t="str">
        <f t="shared" si="91"/>
        <v/>
      </c>
      <c r="D172" s="237" t="str">
        <f t="shared" si="147"/>
        <v/>
      </c>
      <c r="E172" s="290" t="str">
        <f t="shared" si="128"/>
        <v/>
      </c>
      <c r="F172" s="264" t="str">
        <f t="shared" si="129"/>
        <v/>
      </c>
      <c r="G172" s="291" t="str">
        <f t="shared" si="130"/>
        <v/>
      </c>
      <c r="H172" s="240" t="str">
        <f t="shared" si="92"/>
        <v/>
      </c>
      <c r="I172" s="265" t="str">
        <f t="shared" si="93"/>
        <v/>
      </c>
      <c r="J172" s="265" t="str">
        <f t="shared" si="94"/>
        <v/>
      </c>
      <c r="K172" s="240" t="str">
        <f t="shared" si="95"/>
        <v/>
      </c>
      <c r="L172" s="265" t="str">
        <f t="shared" si="96"/>
        <v/>
      </c>
      <c r="M172" s="265" t="str">
        <f t="shared" si="97"/>
        <v/>
      </c>
      <c r="N172" s="240" t="str">
        <f t="shared" si="98"/>
        <v>-</v>
      </c>
      <c r="O172" s="265" t="str">
        <f t="shared" si="99"/>
        <v>-</v>
      </c>
      <c r="P172" s="265" t="str">
        <f t="shared" si="100"/>
        <v>-</v>
      </c>
      <c r="Q172" s="266" t="str">
        <f t="shared" si="101"/>
        <v>-</v>
      </c>
      <c r="R172" s="267" t="str">
        <f t="shared" si="102"/>
        <v>-</v>
      </c>
      <c r="S172" s="268" t="str">
        <f t="shared" si="103"/>
        <v>-</v>
      </c>
      <c r="T172" s="269" t="str">
        <f t="shared" si="104"/>
        <v/>
      </c>
      <c r="U172" s="221">
        <f t="shared" si="105"/>
        <v>72</v>
      </c>
      <c r="V172" s="220" t="str">
        <f t="shared" si="131"/>
        <v>-</v>
      </c>
      <c r="W172" s="221" t="str">
        <f t="shared" si="132"/>
        <v>-</v>
      </c>
      <c r="X172" s="221" t="str">
        <f t="shared" si="106"/>
        <v>-</v>
      </c>
      <c r="Y172" s="221" t="str">
        <f t="shared" si="107"/>
        <v>-</v>
      </c>
      <c r="Z172" s="270">
        <f t="shared" si="133"/>
        <v>0.1</v>
      </c>
      <c r="AA172" s="271" t="str">
        <f>IFERROR(IF(V171=1,AA$100*EXP(-(LN(2)/$D$65+0.04)*X171)*EXP(-(LN(2)/$D$65+0.1)*Y171),IF(V171=2,AA$100*EXP(-(LN(2)/$D$65+0.04)*(VLOOKUP(($F$16-$F$15)-1,U$99:Y171,4,FALSE)))*EXP(-(LN(2)/$D$65+0.1)*(VLOOKUP(($F$16-$F$15)-1,U$99:Y171,5,FALSE)))*EXP(-(LN(2)/$D$65+0.04)*X171)*EXP(-(LN(2)/$D$65+0.1)*Y171),IF(V171=3,AA$100*EXP(-(LN(2)/$D$65+0.04)*(VLOOKUP(($F$16-$F$15)-1,U$99:Y171,4,FALSE)))*EXP(-(LN(2)/$D$65+0.1)*(VLOOKUP(($F$16-$F$15)-1,U$99:Y171,5,FALSE)))*EXP(-(LN(2)/$D$65+0.04)*(VLOOKUP(($F$16-$F$15)*2-1,U$99:Y171,4,FALSE)))*EXP(-(LN(2)/$D$65+0.1)*(VLOOKUP(($F$16-$F$15)*2-1,U$99:Y171,5,FALSE)))*EXP(-(LN(2)/$D$65+0.04)*X171)*EXP(-(LN(2)/$D$65+0.1)*Y171),"-"))),"-")</f>
        <v>-</v>
      </c>
      <c r="AB172" s="271" t="str">
        <f>IFERROR(IF(V172=1,AB$100*EXP(-(LN(2)/$D$65+0.04)*X172)*EXP(-(LN(2)/$D$65+0.1)*Y172),IF(V172=2,AB$100*EXP(-(LN(2)/$D$65+0.04)*(VLOOKUP(($F$16-$F$15)-1,U$100:Y172,4,FALSE)))*EXP(-(LN(2)/$D$65+0.1)*(VLOOKUP(($F$16-$F$15)-1,U$100:Y172,5,FALSE)))*EXP(-(LN(2)/$D$65+0.04)*X172)*EXP(-(LN(2)/$D$65+0.1)*Y172),IF(V172=3,AB$100*EXP(-(LN(2)/$D$65+0.04)*(VLOOKUP(($F$16-$F$15)-1,U$100:Y172,4,FALSE)))*EXP(-(LN(2)/$D$65+0.1)*(VLOOKUP(($F$16-$F$15)-1,U$100:Y172,5,FALSE)))*EXP(-(LN(2)/$D$65+0.04)*(VLOOKUP(($F$16-$F$15)*2-1,U$100:Y172,4,FALSE)))*EXP(-(LN(2)/$D$65+0.1)*(VLOOKUP(($F$16-$F$15)*2-1,U$100:Y172,5,FALSE)))*EXP(-(LN(2)/$D$65+0.04)*X172)*EXP(-(LN(2)/$D$65+0.1)*Y172),"-"))),"-")</f>
        <v>-</v>
      </c>
      <c r="AC172" s="224">
        <f t="shared" si="134"/>
        <v>72</v>
      </c>
      <c r="AD172" s="223" t="str">
        <f t="shared" si="108"/>
        <v>-</v>
      </c>
      <c r="AE172" s="224" t="str">
        <f t="shared" si="135"/>
        <v>-</v>
      </c>
      <c r="AF172" s="224" t="str">
        <f t="shared" si="109"/>
        <v>-</v>
      </c>
      <c r="AG172" s="224" t="str">
        <f t="shared" si="110"/>
        <v>-</v>
      </c>
      <c r="AH172" s="272">
        <f t="shared" si="136"/>
        <v>0.1</v>
      </c>
      <c r="AI172" s="271" t="str">
        <f>IFERROR(IF(AD171=1,AI$100*EXP(-(LN(2)/$D$65+0.04)*AF171)*EXP(-(LN(2)/$D$65+0.1)*AG171),IF(AD171=2,AI$100*EXP(-(LN(2)/$D$65+0.04)*(VLOOKUP(($F$16-$F$15)-1,AC$99:AG171,4,FALSE)))*EXP(-(LN(2)/$D$65+0.1)*(VLOOKUP(($F$16-$F$15)-1,AC$99:AG171,5,FALSE)))*EXP(-(LN(2)/$D$65+0.04)*AF171)*EXP(-(LN(2)/$D$65+0.1)*AG171),IF(AD171=3,AI$100*EXP(-(LN(2)/$D$65+0.04)*(VLOOKUP(($F$16-$F$15)-1,AC$99:AG171,4,FALSE)))*EXP(-(LN(2)/$D$65+0.1)*(VLOOKUP(($F$16-$F$15)-1,AC$99:AG171,5,FALSE)))*EXP(-(LN(2)/$D$65+0.04)*(VLOOKUP(($F$16-$F$15)*2-1,AC$99:AG171,4,FALSE)))*EXP(-(LN(2)/$D$65+0.1)*(VLOOKUP(($F$16-$F$15)*2-1,AC$99:AG171,5,FALSE)))*EXP(-(LN(2)/$D$65+0.04)*AF171)*EXP(-(LN(2)/$D$65+0.1)*AG171),"-"))),"-")</f>
        <v>-</v>
      </c>
      <c r="AJ172" s="271" t="str">
        <f>IFERROR(IF(AD172=1,AJ$100*EXP(-(LN(2)/$D$65+0.04)*AF172)*EXP(-(LN(2)/$D$65+0.1)*AG172),IF(AD172=2,AJ$100*EXP(-(LN(2)/$D$65+0.04)*(VLOOKUP(($F$16-$F$15)-1,AC$100:AG172,4,FALSE)))*EXP(-(LN(2)/$D$65+0.1)*(VLOOKUP(($F$16-$F$15)-1,AC$100:AG172,5,FALSE)))*EXP(-(LN(2)/$D$65+0.04)*AF172)*EXP(-(LN(2)/$D$65+0.1)*AG172),IF(AD172=3,AJ$100*EXP(-(LN(2)/$D$65+0.04)*(VLOOKUP(($F$16-$F$15)-1,AC$100:AG172,4,FALSE)))*EXP(-(LN(2)/$D$65+0.1)*(VLOOKUP(($F$16-$F$15)-1,AC$100:AG172,5,FALSE)))*EXP(-(LN(2)/$D$65+0.04)*(VLOOKUP(($F$16-$F$15)*2-1,AC$100:AG172,4,FALSE)))*EXP(-(LN(2)/$D$65+0.1)*(VLOOKUP(($F$16-$F$15)*2-1,AC$100:AG172,5,FALSE)))*EXP(-(LN(2)/$D$65+0.04)*AF172)*EXP(-(LN(2)/$D$65+0.1)*AG172),"-"))),"-")</f>
        <v>-</v>
      </c>
      <c r="AK172" s="227">
        <f t="shared" si="137"/>
        <v>72</v>
      </c>
      <c r="AL172" s="226" t="str">
        <f t="shared" si="111"/>
        <v>-</v>
      </c>
      <c r="AM172" s="227" t="str">
        <f t="shared" si="138"/>
        <v>-</v>
      </c>
      <c r="AN172" s="227" t="str">
        <f t="shared" si="139"/>
        <v>-</v>
      </c>
      <c r="AO172" s="227" t="str">
        <f t="shared" si="112"/>
        <v>-</v>
      </c>
      <c r="AP172" s="273">
        <f t="shared" si="140"/>
        <v>0.1</v>
      </c>
      <c r="AQ172" s="271" t="str">
        <f>IFERROR(IF(AL171=1,AQ$100*EXP(-(LN(2)/$D$65+0.04)*AN171)*EXP(-(LN(2)/$D$65+0.1)*AO171),IF(AL171=2,AQ$100*EXP(-(LN(2)/$D$65+0.04)*(VLOOKUP(($F$16-$F$15)-1,AK$99:AO171,4,FALSE)))*EXP(-(LN(2)/$D$65+0.1)*(VLOOKUP(($F$16-$F$15)-1,AK$99:AO171,5,FALSE)))*EXP(-(LN(2)/$D$65+0.04)*AN171)*EXP(-(LN(2)/$D$65+0.1)*AO171),IF(AL171=3,AQ$100*EXP(-(LN(2)/$D$65+0.04)*(VLOOKUP(($F$16-$F$15)-1,AK$99:AO171,4,FALSE)))*EXP(-(LN(2)/$D$65+0.1)*(VLOOKUP(($F$16-$F$15)-1,AK$99:AO171,5,FALSE)))*EXP(-(LN(2)/$D$65+0.04)*(VLOOKUP(($F$16-$F$15)*2-1,AK$99:AO171,4,FALSE)))*EXP(-(LN(2)/$D$65+0.1)*(VLOOKUP(($F$16-$F$15)*2-1,AK$99:AO171,5,FALSE)))*EXP(-(LN(2)/$D$65+0.04)*AN171)*EXP(-(LN(2)/$D$65+0.1)*AO171),"-"))),"-")</f>
        <v>-</v>
      </c>
      <c r="AR172" s="271" t="str">
        <f>IFERROR(IF(AL172=1,AR$100*EXP(-(LN(2)/$D$65+0.04)*AN172)*EXP(-(LN(2)/$D$65+0.1)*AO172),IF(AL172=2,AR$100*EXP(-(LN(2)/$D$65+0.04)*(VLOOKUP(($F$16-$F$15)-1,AK$100:AO172,4,FALSE)))*EXP(-(LN(2)/$D$65+0.1)*(VLOOKUP(($F$16-$F$15)-1,AK$100:AO172,5,FALSE)))*EXP(-(LN(2)/$D$65+0.04)*AN172)*EXP(-(LN(2)/$D$65+0.1)*AO172),IF(AL172=3,AR$100*EXP(-(LN(2)/$D$65+0.04)*(VLOOKUP(($F$16-$F$15)-1,AK$100:AO172,4,FALSE)))*EXP(-(LN(2)/$D$65+0.1)*(VLOOKUP(($F$16-$F$15)-1,AK$100:AO172,5,FALSE)))*EXP(-(LN(2)/$D$65+0.04)*(VLOOKUP(($F$16-$F$15)*2-1,AK$100:AO172,4,FALSE)))*EXP(-(LN(2)/$D$65+0.1)*(VLOOKUP(($F$16-$F$15)*2-1,AK$100:AO172,5,FALSE)))*EXP(-(LN(2)/$D$65+0.04)*AN172)*EXP(-(LN(2)/$D$65+0.1)*AO172),"-"))),"-")</f>
        <v>-</v>
      </c>
      <c r="AS172" s="274">
        <f t="shared" si="113"/>
        <v>0</v>
      </c>
      <c r="AT172" s="274">
        <f t="shared" si="114"/>
        <v>0</v>
      </c>
      <c r="AU172" s="274">
        <f t="shared" si="115"/>
        <v>0</v>
      </c>
      <c r="AV172" s="190" t="str">
        <f>IF($B172&lt;$F$22,SUM($T$100:$T172),"")</f>
        <v/>
      </c>
      <c r="AW172" s="190" t="str">
        <f t="shared" si="116"/>
        <v>-</v>
      </c>
      <c r="AX172" s="190" t="str">
        <f t="shared" si="141"/>
        <v/>
      </c>
      <c r="AY172"/>
      <c r="AZ172" s="190" t="str">
        <f ca="1">IF(ISNUMBER(OFFSET(AV172,-$F$21,0)),SUM(OFFSET($T$100,$F$21,0):$T172),"")</f>
        <v/>
      </c>
      <c r="BA172" s="190" t="str">
        <f t="shared" ca="1" si="117"/>
        <v/>
      </c>
      <c r="BB172" s="190" t="str">
        <f t="shared" ca="1" si="70"/>
        <v/>
      </c>
      <c r="BC172" s="190"/>
      <c r="BD172" s="190" t="str">
        <f ca="1">IFERROR(IF(OR(ISNUMBER(I),ISNUMBER($F$14)),IF(AND($B172&gt;=($F$16-$F$15),$B172&lt;$F$22+($F$16-$F$15)),SUM(OFFSET($T$100,($F$16-$F$15),0):$T172),""),""),"")</f>
        <v/>
      </c>
      <c r="BE172" s="190" t="str">
        <f t="shared" ca="1" si="142"/>
        <v/>
      </c>
      <c r="BF172" s="190" t="str">
        <f t="shared" ca="1" si="143"/>
        <v/>
      </c>
      <c r="BG172"/>
      <c r="BH172" s="190" t="str">
        <f ca="1">IF(ISNUMBER(OFFSET(BD172,-$F$21,0)),SUM(OFFSET($T$100,($F$16-$F$15+$F$21),0):$T172),"")</f>
        <v/>
      </c>
      <c r="BI172" s="190" t="str">
        <f t="shared" ca="1" si="118"/>
        <v/>
      </c>
      <c r="BJ172" s="190" t="str">
        <f t="shared" ca="1" si="144"/>
        <v/>
      </c>
      <c r="BK172" s="190"/>
      <c r="BL172" s="190" t="str">
        <f ca="1">IFERROR(IF(OR(ISNUMBER(I),ISNUMBER($F$14)),IF(AND($B172&gt;=($F$17-$F$15),$B172&lt;$F$22+($F$17-$F$15)),SUM(OFFSET($T$100,($F$17-$F$15),0):$T172),""),""),"")</f>
        <v/>
      </c>
      <c r="BM172" s="190" t="str">
        <f t="shared" ca="1" si="119"/>
        <v/>
      </c>
      <c r="BN172" s="190" t="str">
        <f t="shared" ca="1" si="145"/>
        <v/>
      </c>
      <c r="BO172"/>
      <c r="BP172" s="190" t="str">
        <f ca="1">IF(ISNUMBER(OFFSET(BL172,-$F$21,0)),SUM(OFFSET($T$100,($F$17-$F$15+$F$21),0):$T172),"")</f>
        <v/>
      </c>
      <c r="BQ172" s="190" t="str">
        <f t="shared" ca="1" si="120"/>
        <v/>
      </c>
      <c r="BR172" s="190" t="str">
        <f t="shared" ca="1" si="146"/>
        <v/>
      </c>
      <c r="BS172" s="190"/>
      <c r="BT172"/>
      <c r="BU172"/>
      <c r="BV172"/>
      <c r="BY172" s="99"/>
      <c r="BZ172" s="99"/>
      <c r="CA172" s="280" t="str">
        <f t="shared" si="121"/>
        <v/>
      </c>
      <c r="CB172" s="71" t="str">
        <f t="shared" si="122"/>
        <v>-</v>
      </c>
      <c r="CC172" s="33"/>
      <c r="CD172" s="261" t="str">
        <f t="shared" si="123"/>
        <v/>
      </c>
      <c r="CE172" s="280" t="str">
        <f t="shared" si="124"/>
        <v/>
      </c>
      <c r="CF172" s="71" t="str">
        <f t="shared" ca="1" si="125"/>
        <v/>
      </c>
      <c r="CG172" s="33" t="str">
        <f t="shared" si="126"/>
        <v/>
      </c>
      <c r="CH172" s="261" t="str">
        <f t="shared" ca="1" si="127"/>
        <v/>
      </c>
      <c r="CI172" s="202"/>
      <c r="CJ172" s="99"/>
      <c r="CK172" s="99"/>
      <c r="CL172" s="99"/>
      <c r="CM172" s="99"/>
      <c r="CN172" s="99"/>
      <c r="CO172" s="99"/>
    </row>
    <row r="173" spans="2:93" ht="13.5" customHeight="1" x14ac:dyDescent="0.2">
      <c r="B173" s="262">
        <v>73</v>
      </c>
      <c r="C173" s="237" t="str">
        <f t="shared" si="91"/>
        <v/>
      </c>
      <c r="D173" s="237" t="str">
        <f t="shared" si="147"/>
        <v/>
      </c>
      <c r="E173" s="290" t="str">
        <f t="shared" si="128"/>
        <v/>
      </c>
      <c r="F173" s="264" t="str">
        <f t="shared" si="129"/>
        <v/>
      </c>
      <c r="G173" s="291" t="str">
        <f t="shared" si="130"/>
        <v/>
      </c>
      <c r="H173" s="240" t="str">
        <f t="shared" si="92"/>
        <v/>
      </c>
      <c r="I173" s="265" t="str">
        <f t="shared" si="93"/>
        <v/>
      </c>
      <c r="J173" s="265" t="str">
        <f t="shared" si="94"/>
        <v/>
      </c>
      <c r="K173" s="240" t="str">
        <f t="shared" si="95"/>
        <v/>
      </c>
      <c r="L173" s="265" t="str">
        <f t="shared" si="96"/>
        <v/>
      </c>
      <c r="M173" s="265" t="str">
        <f t="shared" si="97"/>
        <v/>
      </c>
      <c r="N173" s="240" t="str">
        <f t="shared" si="98"/>
        <v>-</v>
      </c>
      <c r="O173" s="265" t="str">
        <f t="shared" si="99"/>
        <v>-</v>
      </c>
      <c r="P173" s="265" t="str">
        <f t="shared" si="100"/>
        <v>-</v>
      </c>
      <c r="Q173" s="266" t="str">
        <f t="shared" si="101"/>
        <v>-</v>
      </c>
      <c r="R173" s="267" t="str">
        <f t="shared" si="102"/>
        <v>-</v>
      </c>
      <c r="S173" s="268" t="str">
        <f t="shared" si="103"/>
        <v>-</v>
      </c>
      <c r="T173" s="269" t="str">
        <f t="shared" si="104"/>
        <v/>
      </c>
      <c r="U173" s="221">
        <f t="shared" si="105"/>
        <v>73</v>
      </c>
      <c r="V173" s="220" t="str">
        <f t="shared" si="131"/>
        <v>-</v>
      </c>
      <c r="W173" s="221" t="str">
        <f t="shared" si="132"/>
        <v>-</v>
      </c>
      <c r="X173" s="221" t="str">
        <f t="shared" si="106"/>
        <v>-</v>
      </c>
      <c r="Y173" s="221" t="str">
        <f t="shared" si="107"/>
        <v>-</v>
      </c>
      <c r="Z173" s="270">
        <f t="shared" si="133"/>
        <v>0.1</v>
      </c>
      <c r="AA173" s="271" t="str">
        <f>IFERROR(IF(V172=1,AA$100*EXP(-(LN(2)/$D$65+0.04)*X172)*EXP(-(LN(2)/$D$65+0.1)*Y172),IF(V172=2,AA$100*EXP(-(LN(2)/$D$65+0.04)*(VLOOKUP(($F$16-$F$15)-1,U$99:Y172,4,FALSE)))*EXP(-(LN(2)/$D$65+0.1)*(VLOOKUP(($F$16-$F$15)-1,U$99:Y172,5,FALSE)))*EXP(-(LN(2)/$D$65+0.04)*X172)*EXP(-(LN(2)/$D$65+0.1)*Y172),IF(V172=3,AA$100*EXP(-(LN(2)/$D$65+0.04)*(VLOOKUP(($F$16-$F$15)-1,U$99:Y172,4,FALSE)))*EXP(-(LN(2)/$D$65+0.1)*(VLOOKUP(($F$16-$F$15)-1,U$99:Y172,5,FALSE)))*EXP(-(LN(2)/$D$65+0.04)*(VLOOKUP(($F$16-$F$15)*2-1,U$99:Y172,4,FALSE)))*EXP(-(LN(2)/$D$65+0.1)*(VLOOKUP(($F$16-$F$15)*2-1,U$99:Y172,5,FALSE)))*EXP(-(LN(2)/$D$65+0.04)*X172)*EXP(-(LN(2)/$D$65+0.1)*Y172),"-"))),"-")</f>
        <v>-</v>
      </c>
      <c r="AB173" s="271" t="str">
        <f>IFERROR(IF(V173=1,AB$100*EXP(-(LN(2)/$D$65+0.04)*X173)*EXP(-(LN(2)/$D$65+0.1)*Y173),IF(V173=2,AB$100*EXP(-(LN(2)/$D$65+0.04)*(VLOOKUP(($F$16-$F$15)-1,U$100:Y173,4,FALSE)))*EXP(-(LN(2)/$D$65+0.1)*(VLOOKUP(($F$16-$F$15)-1,U$100:Y173,5,FALSE)))*EXP(-(LN(2)/$D$65+0.04)*X173)*EXP(-(LN(2)/$D$65+0.1)*Y173),IF(V173=3,AB$100*EXP(-(LN(2)/$D$65+0.04)*(VLOOKUP(($F$16-$F$15)-1,U$100:Y173,4,FALSE)))*EXP(-(LN(2)/$D$65+0.1)*(VLOOKUP(($F$16-$F$15)-1,U$100:Y173,5,FALSE)))*EXP(-(LN(2)/$D$65+0.04)*(VLOOKUP(($F$16-$F$15)*2-1,U$100:Y173,4,FALSE)))*EXP(-(LN(2)/$D$65+0.1)*(VLOOKUP(($F$16-$F$15)*2-1,U$100:Y173,5,FALSE)))*EXP(-(LN(2)/$D$65+0.04)*X173)*EXP(-(LN(2)/$D$65+0.1)*Y173),"-"))),"-")</f>
        <v>-</v>
      </c>
      <c r="AC173" s="224">
        <f t="shared" si="134"/>
        <v>73</v>
      </c>
      <c r="AD173" s="223" t="str">
        <f t="shared" si="108"/>
        <v>-</v>
      </c>
      <c r="AE173" s="224" t="str">
        <f t="shared" si="135"/>
        <v>-</v>
      </c>
      <c r="AF173" s="224" t="str">
        <f t="shared" si="109"/>
        <v>-</v>
      </c>
      <c r="AG173" s="224" t="str">
        <f t="shared" si="110"/>
        <v>-</v>
      </c>
      <c r="AH173" s="272">
        <f t="shared" si="136"/>
        <v>0.1</v>
      </c>
      <c r="AI173" s="271" t="str">
        <f>IFERROR(IF(AD172=1,AI$100*EXP(-(LN(2)/$D$65+0.04)*AF172)*EXP(-(LN(2)/$D$65+0.1)*AG172),IF(AD172=2,AI$100*EXP(-(LN(2)/$D$65+0.04)*(VLOOKUP(($F$16-$F$15)-1,AC$99:AG172,4,FALSE)))*EXP(-(LN(2)/$D$65+0.1)*(VLOOKUP(($F$16-$F$15)-1,AC$99:AG172,5,FALSE)))*EXP(-(LN(2)/$D$65+0.04)*AF172)*EXP(-(LN(2)/$D$65+0.1)*AG172),IF(AD172=3,AI$100*EXP(-(LN(2)/$D$65+0.04)*(VLOOKUP(($F$16-$F$15)-1,AC$99:AG172,4,FALSE)))*EXP(-(LN(2)/$D$65+0.1)*(VLOOKUP(($F$16-$F$15)-1,AC$99:AG172,5,FALSE)))*EXP(-(LN(2)/$D$65+0.04)*(VLOOKUP(($F$16-$F$15)*2-1,AC$99:AG172,4,FALSE)))*EXP(-(LN(2)/$D$65+0.1)*(VLOOKUP(($F$16-$F$15)*2-1,AC$99:AG172,5,FALSE)))*EXP(-(LN(2)/$D$65+0.04)*AF172)*EXP(-(LN(2)/$D$65+0.1)*AG172),"-"))),"-")</f>
        <v>-</v>
      </c>
      <c r="AJ173" s="271" t="str">
        <f>IFERROR(IF(AD173=1,AJ$100*EXP(-(LN(2)/$D$65+0.04)*AF173)*EXP(-(LN(2)/$D$65+0.1)*AG173),IF(AD173=2,AJ$100*EXP(-(LN(2)/$D$65+0.04)*(VLOOKUP(($F$16-$F$15)-1,AC$100:AG173,4,FALSE)))*EXP(-(LN(2)/$D$65+0.1)*(VLOOKUP(($F$16-$F$15)-1,AC$100:AG173,5,FALSE)))*EXP(-(LN(2)/$D$65+0.04)*AF173)*EXP(-(LN(2)/$D$65+0.1)*AG173),IF(AD173=3,AJ$100*EXP(-(LN(2)/$D$65+0.04)*(VLOOKUP(($F$16-$F$15)-1,AC$100:AG173,4,FALSE)))*EXP(-(LN(2)/$D$65+0.1)*(VLOOKUP(($F$16-$F$15)-1,AC$100:AG173,5,FALSE)))*EXP(-(LN(2)/$D$65+0.04)*(VLOOKUP(($F$16-$F$15)*2-1,AC$100:AG173,4,FALSE)))*EXP(-(LN(2)/$D$65+0.1)*(VLOOKUP(($F$16-$F$15)*2-1,AC$100:AG173,5,FALSE)))*EXP(-(LN(2)/$D$65+0.04)*AF173)*EXP(-(LN(2)/$D$65+0.1)*AG173),"-"))),"-")</f>
        <v>-</v>
      </c>
      <c r="AK173" s="227">
        <f t="shared" si="137"/>
        <v>73</v>
      </c>
      <c r="AL173" s="226" t="str">
        <f t="shared" si="111"/>
        <v>-</v>
      </c>
      <c r="AM173" s="227" t="str">
        <f t="shared" si="138"/>
        <v>-</v>
      </c>
      <c r="AN173" s="227" t="str">
        <f t="shared" si="139"/>
        <v>-</v>
      </c>
      <c r="AO173" s="227" t="str">
        <f t="shared" si="112"/>
        <v>-</v>
      </c>
      <c r="AP173" s="273">
        <f t="shared" si="140"/>
        <v>0.1</v>
      </c>
      <c r="AQ173" s="271" t="str">
        <f>IFERROR(IF(AL172=1,AQ$100*EXP(-(LN(2)/$D$65+0.04)*AN172)*EXP(-(LN(2)/$D$65+0.1)*AO172),IF(AL172=2,AQ$100*EXP(-(LN(2)/$D$65+0.04)*(VLOOKUP(($F$16-$F$15)-1,AK$99:AO172,4,FALSE)))*EXP(-(LN(2)/$D$65+0.1)*(VLOOKUP(($F$16-$F$15)-1,AK$99:AO172,5,FALSE)))*EXP(-(LN(2)/$D$65+0.04)*AN172)*EXP(-(LN(2)/$D$65+0.1)*AO172),IF(AL172=3,AQ$100*EXP(-(LN(2)/$D$65+0.04)*(VLOOKUP(($F$16-$F$15)-1,AK$99:AO172,4,FALSE)))*EXP(-(LN(2)/$D$65+0.1)*(VLOOKUP(($F$16-$F$15)-1,AK$99:AO172,5,FALSE)))*EXP(-(LN(2)/$D$65+0.04)*(VLOOKUP(($F$16-$F$15)*2-1,AK$99:AO172,4,FALSE)))*EXP(-(LN(2)/$D$65+0.1)*(VLOOKUP(($F$16-$F$15)*2-1,AK$99:AO172,5,FALSE)))*EXP(-(LN(2)/$D$65+0.04)*AN172)*EXP(-(LN(2)/$D$65+0.1)*AO172),"-"))),"-")</f>
        <v>-</v>
      </c>
      <c r="AR173" s="271" t="str">
        <f>IFERROR(IF(AL173=1,AR$100*EXP(-(LN(2)/$D$65+0.04)*AN173)*EXP(-(LN(2)/$D$65+0.1)*AO173),IF(AL173=2,AR$100*EXP(-(LN(2)/$D$65+0.04)*(VLOOKUP(($F$16-$F$15)-1,AK$100:AO173,4,FALSE)))*EXP(-(LN(2)/$D$65+0.1)*(VLOOKUP(($F$16-$F$15)-1,AK$100:AO173,5,FALSE)))*EXP(-(LN(2)/$D$65+0.04)*AN173)*EXP(-(LN(2)/$D$65+0.1)*AO173),IF(AL173=3,AR$100*EXP(-(LN(2)/$D$65+0.04)*(VLOOKUP(($F$16-$F$15)-1,AK$100:AO173,4,FALSE)))*EXP(-(LN(2)/$D$65+0.1)*(VLOOKUP(($F$16-$F$15)-1,AK$100:AO173,5,FALSE)))*EXP(-(LN(2)/$D$65+0.04)*(VLOOKUP(($F$16-$F$15)*2-1,AK$100:AO173,4,FALSE)))*EXP(-(LN(2)/$D$65+0.1)*(VLOOKUP(($F$16-$F$15)*2-1,AK$100:AO173,5,FALSE)))*EXP(-(LN(2)/$D$65+0.04)*AN173)*EXP(-(LN(2)/$D$65+0.1)*AO173),"-"))),"-")</f>
        <v>-</v>
      </c>
      <c r="AS173" s="274">
        <f t="shared" si="113"/>
        <v>0</v>
      </c>
      <c r="AT173" s="274">
        <f t="shared" si="114"/>
        <v>0</v>
      </c>
      <c r="AU173" s="274">
        <f t="shared" si="115"/>
        <v>0</v>
      </c>
      <c r="AV173" s="190" t="str">
        <f>IF($B173&lt;$F$22,SUM($T$100:$T173),"")</f>
        <v/>
      </c>
      <c r="AW173" s="190" t="str">
        <f t="shared" si="116"/>
        <v>-</v>
      </c>
      <c r="AX173" s="190" t="str">
        <f t="shared" si="141"/>
        <v/>
      </c>
      <c r="AY173"/>
      <c r="AZ173" s="190" t="str">
        <f ca="1">IF(ISNUMBER(OFFSET(AV173,-$F$21,0)),SUM(OFFSET($T$100,$F$21,0):$T173),"")</f>
        <v/>
      </c>
      <c r="BA173" s="190" t="str">
        <f t="shared" ca="1" si="117"/>
        <v/>
      </c>
      <c r="BB173" s="190" t="str">
        <f t="shared" ca="1" si="70"/>
        <v/>
      </c>
      <c r="BC173" s="190"/>
      <c r="BD173" s="190" t="str">
        <f ca="1">IFERROR(IF(OR(ISNUMBER(I),ISNUMBER($F$14)),IF(AND($B173&gt;=($F$16-$F$15),$B173&lt;$F$22+($F$16-$F$15)),SUM(OFFSET($T$100,($F$16-$F$15),0):$T173),""),""),"")</f>
        <v/>
      </c>
      <c r="BE173" s="190" t="str">
        <f t="shared" ca="1" si="142"/>
        <v/>
      </c>
      <c r="BF173" s="190" t="str">
        <f t="shared" ca="1" si="143"/>
        <v/>
      </c>
      <c r="BG173"/>
      <c r="BH173" s="190" t="str">
        <f ca="1">IF(ISNUMBER(OFFSET(BD173,-$F$21,0)),SUM(OFFSET($T$100,($F$16-$F$15+$F$21),0):$T173),"")</f>
        <v/>
      </c>
      <c r="BI173" s="190" t="str">
        <f t="shared" ca="1" si="118"/>
        <v/>
      </c>
      <c r="BJ173" s="190" t="str">
        <f t="shared" ca="1" si="144"/>
        <v/>
      </c>
      <c r="BK173" s="190"/>
      <c r="BL173" s="190" t="str">
        <f ca="1">IFERROR(IF(OR(ISNUMBER(I),ISNUMBER($F$14)),IF(AND($B173&gt;=($F$17-$F$15),$B173&lt;$F$22+($F$17-$F$15)),SUM(OFFSET($T$100,($F$17-$F$15),0):$T173),""),""),"")</f>
        <v/>
      </c>
      <c r="BM173" s="190" t="str">
        <f t="shared" ca="1" si="119"/>
        <v/>
      </c>
      <c r="BN173" s="190" t="str">
        <f t="shared" ca="1" si="145"/>
        <v/>
      </c>
      <c r="BO173"/>
      <c r="BP173" s="190" t="str">
        <f ca="1">IF(ISNUMBER(OFFSET(BL173,-$F$21,0)),SUM(OFFSET($T$100,($F$17-$F$15+$F$21),0):$T173),"")</f>
        <v/>
      </c>
      <c r="BQ173" s="190" t="str">
        <f t="shared" ca="1" si="120"/>
        <v/>
      </c>
      <c r="BR173" s="190" t="str">
        <f t="shared" ca="1" si="146"/>
        <v/>
      </c>
      <c r="BS173" s="190"/>
      <c r="BT173"/>
      <c r="BU173"/>
      <c r="BV173"/>
      <c r="BY173" s="99"/>
      <c r="BZ173" s="99"/>
      <c r="CA173" s="280" t="str">
        <f t="shared" si="121"/>
        <v/>
      </c>
      <c r="CB173" s="71" t="str">
        <f t="shared" si="122"/>
        <v>-</v>
      </c>
      <c r="CC173" s="33"/>
      <c r="CD173" s="261" t="str">
        <f t="shared" si="123"/>
        <v/>
      </c>
      <c r="CE173" s="280" t="str">
        <f t="shared" si="124"/>
        <v/>
      </c>
      <c r="CF173" s="71" t="str">
        <f t="shared" ca="1" si="125"/>
        <v/>
      </c>
      <c r="CG173" s="33" t="str">
        <f t="shared" si="126"/>
        <v/>
      </c>
      <c r="CH173" s="261" t="str">
        <f t="shared" ca="1" si="127"/>
        <v/>
      </c>
      <c r="CI173" s="202"/>
      <c r="CJ173" s="99"/>
      <c r="CK173" s="99"/>
      <c r="CL173" s="99"/>
      <c r="CM173" s="99"/>
      <c r="CN173" s="99"/>
      <c r="CO173" s="99"/>
    </row>
    <row r="174" spans="2:93" ht="13.5" customHeight="1" x14ac:dyDescent="0.2">
      <c r="B174" s="262">
        <v>74</v>
      </c>
      <c r="C174" s="237" t="str">
        <f t="shared" si="91"/>
        <v/>
      </c>
      <c r="D174" s="237" t="str">
        <f t="shared" si="147"/>
        <v/>
      </c>
      <c r="E174" s="290" t="str">
        <f t="shared" si="128"/>
        <v/>
      </c>
      <c r="F174" s="264" t="str">
        <f t="shared" si="129"/>
        <v/>
      </c>
      <c r="G174" s="291" t="str">
        <f t="shared" si="130"/>
        <v/>
      </c>
      <c r="H174" s="240" t="str">
        <f t="shared" si="92"/>
        <v/>
      </c>
      <c r="I174" s="265" t="str">
        <f t="shared" si="93"/>
        <v/>
      </c>
      <c r="J174" s="265" t="str">
        <f t="shared" si="94"/>
        <v/>
      </c>
      <c r="K174" s="240" t="str">
        <f t="shared" si="95"/>
        <v/>
      </c>
      <c r="L174" s="265" t="str">
        <f t="shared" si="96"/>
        <v/>
      </c>
      <c r="M174" s="265" t="str">
        <f t="shared" si="97"/>
        <v/>
      </c>
      <c r="N174" s="240" t="str">
        <f t="shared" si="98"/>
        <v>-</v>
      </c>
      <c r="O174" s="265" t="str">
        <f t="shared" si="99"/>
        <v>-</v>
      </c>
      <c r="P174" s="265" t="str">
        <f t="shared" si="100"/>
        <v>-</v>
      </c>
      <c r="Q174" s="266" t="str">
        <f t="shared" si="101"/>
        <v>-</v>
      </c>
      <c r="R174" s="267" t="str">
        <f t="shared" si="102"/>
        <v>-</v>
      </c>
      <c r="S174" s="268" t="str">
        <f t="shared" si="103"/>
        <v>-</v>
      </c>
      <c r="T174" s="269" t="str">
        <f t="shared" si="104"/>
        <v/>
      </c>
      <c r="U174" s="221">
        <f t="shared" si="105"/>
        <v>74</v>
      </c>
      <c r="V174" s="220" t="str">
        <f t="shared" si="131"/>
        <v>-</v>
      </c>
      <c r="W174" s="221" t="str">
        <f t="shared" si="132"/>
        <v>-</v>
      </c>
      <c r="X174" s="221" t="str">
        <f t="shared" si="106"/>
        <v>-</v>
      </c>
      <c r="Y174" s="221" t="str">
        <f t="shared" si="107"/>
        <v>-</v>
      </c>
      <c r="Z174" s="270">
        <f t="shared" si="133"/>
        <v>0.1</v>
      </c>
      <c r="AA174" s="271" t="str">
        <f>IFERROR(IF(V173=1,AA$100*EXP(-(LN(2)/$D$65+0.04)*X173)*EXP(-(LN(2)/$D$65+0.1)*Y173),IF(V173=2,AA$100*EXP(-(LN(2)/$D$65+0.04)*(VLOOKUP(($F$16-$F$15)-1,U$99:Y173,4,FALSE)))*EXP(-(LN(2)/$D$65+0.1)*(VLOOKUP(($F$16-$F$15)-1,U$99:Y173,5,FALSE)))*EXP(-(LN(2)/$D$65+0.04)*X173)*EXP(-(LN(2)/$D$65+0.1)*Y173),IF(V173=3,AA$100*EXP(-(LN(2)/$D$65+0.04)*(VLOOKUP(($F$16-$F$15)-1,U$99:Y173,4,FALSE)))*EXP(-(LN(2)/$D$65+0.1)*(VLOOKUP(($F$16-$F$15)-1,U$99:Y173,5,FALSE)))*EXP(-(LN(2)/$D$65+0.04)*(VLOOKUP(($F$16-$F$15)*2-1,U$99:Y173,4,FALSE)))*EXP(-(LN(2)/$D$65+0.1)*(VLOOKUP(($F$16-$F$15)*2-1,U$99:Y173,5,FALSE)))*EXP(-(LN(2)/$D$65+0.04)*X173)*EXP(-(LN(2)/$D$65+0.1)*Y173),"-"))),"-")</f>
        <v>-</v>
      </c>
      <c r="AB174" s="271" t="str">
        <f>IFERROR(IF(V174=1,AB$100*EXP(-(LN(2)/$D$65+0.04)*X174)*EXP(-(LN(2)/$D$65+0.1)*Y174),IF(V174=2,AB$100*EXP(-(LN(2)/$D$65+0.04)*(VLOOKUP(($F$16-$F$15)-1,U$100:Y174,4,FALSE)))*EXP(-(LN(2)/$D$65+0.1)*(VLOOKUP(($F$16-$F$15)-1,U$100:Y174,5,FALSE)))*EXP(-(LN(2)/$D$65+0.04)*X174)*EXP(-(LN(2)/$D$65+0.1)*Y174),IF(V174=3,AB$100*EXP(-(LN(2)/$D$65+0.04)*(VLOOKUP(($F$16-$F$15)-1,U$100:Y174,4,FALSE)))*EXP(-(LN(2)/$D$65+0.1)*(VLOOKUP(($F$16-$F$15)-1,U$100:Y174,5,FALSE)))*EXP(-(LN(2)/$D$65+0.04)*(VLOOKUP(($F$16-$F$15)*2-1,U$100:Y174,4,FALSE)))*EXP(-(LN(2)/$D$65+0.1)*(VLOOKUP(($F$16-$F$15)*2-1,U$100:Y174,5,FALSE)))*EXP(-(LN(2)/$D$65+0.04)*X174)*EXP(-(LN(2)/$D$65+0.1)*Y174),"-"))),"-")</f>
        <v>-</v>
      </c>
      <c r="AC174" s="224">
        <f t="shared" si="134"/>
        <v>74</v>
      </c>
      <c r="AD174" s="223" t="str">
        <f t="shared" si="108"/>
        <v>-</v>
      </c>
      <c r="AE174" s="224" t="str">
        <f t="shared" si="135"/>
        <v>-</v>
      </c>
      <c r="AF174" s="224" t="str">
        <f t="shared" si="109"/>
        <v>-</v>
      </c>
      <c r="AG174" s="224" t="str">
        <f t="shared" si="110"/>
        <v>-</v>
      </c>
      <c r="AH174" s="272">
        <f t="shared" si="136"/>
        <v>0.1</v>
      </c>
      <c r="AI174" s="271" t="str">
        <f>IFERROR(IF(AD173=1,AI$100*EXP(-(LN(2)/$D$65+0.04)*AF173)*EXP(-(LN(2)/$D$65+0.1)*AG173),IF(AD173=2,AI$100*EXP(-(LN(2)/$D$65+0.04)*(VLOOKUP(($F$16-$F$15)-1,AC$99:AG173,4,FALSE)))*EXP(-(LN(2)/$D$65+0.1)*(VLOOKUP(($F$16-$F$15)-1,AC$99:AG173,5,FALSE)))*EXP(-(LN(2)/$D$65+0.04)*AF173)*EXP(-(LN(2)/$D$65+0.1)*AG173),IF(AD173=3,AI$100*EXP(-(LN(2)/$D$65+0.04)*(VLOOKUP(($F$16-$F$15)-1,AC$99:AG173,4,FALSE)))*EXP(-(LN(2)/$D$65+0.1)*(VLOOKUP(($F$16-$F$15)-1,AC$99:AG173,5,FALSE)))*EXP(-(LN(2)/$D$65+0.04)*(VLOOKUP(($F$16-$F$15)*2-1,AC$99:AG173,4,FALSE)))*EXP(-(LN(2)/$D$65+0.1)*(VLOOKUP(($F$16-$F$15)*2-1,AC$99:AG173,5,FALSE)))*EXP(-(LN(2)/$D$65+0.04)*AF173)*EXP(-(LN(2)/$D$65+0.1)*AG173),"-"))),"-")</f>
        <v>-</v>
      </c>
      <c r="AJ174" s="271" t="str">
        <f>IFERROR(IF(AD174=1,AJ$100*EXP(-(LN(2)/$D$65+0.04)*AF174)*EXP(-(LN(2)/$D$65+0.1)*AG174),IF(AD174=2,AJ$100*EXP(-(LN(2)/$D$65+0.04)*(VLOOKUP(($F$16-$F$15)-1,AC$100:AG174,4,FALSE)))*EXP(-(LN(2)/$D$65+0.1)*(VLOOKUP(($F$16-$F$15)-1,AC$100:AG174,5,FALSE)))*EXP(-(LN(2)/$D$65+0.04)*AF174)*EXP(-(LN(2)/$D$65+0.1)*AG174),IF(AD174=3,AJ$100*EXP(-(LN(2)/$D$65+0.04)*(VLOOKUP(($F$16-$F$15)-1,AC$100:AG174,4,FALSE)))*EXP(-(LN(2)/$D$65+0.1)*(VLOOKUP(($F$16-$F$15)-1,AC$100:AG174,5,FALSE)))*EXP(-(LN(2)/$D$65+0.04)*(VLOOKUP(($F$16-$F$15)*2-1,AC$100:AG174,4,FALSE)))*EXP(-(LN(2)/$D$65+0.1)*(VLOOKUP(($F$16-$F$15)*2-1,AC$100:AG174,5,FALSE)))*EXP(-(LN(2)/$D$65+0.04)*AF174)*EXP(-(LN(2)/$D$65+0.1)*AG174),"-"))),"-")</f>
        <v>-</v>
      </c>
      <c r="AK174" s="227">
        <f t="shared" si="137"/>
        <v>74</v>
      </c>
      <c r="AL174" s="226" t="str">
        <f t="shared" si="111"/>
        <v>-</v>
      </c>
      <c r="AM174" s="227" t="str">
        <f t="shared" si="138"/>
        <v>-</v>
      </c>
      <c r="AN174" s="227" t="str">
        <f t="shared" si="139"/>
        <v>-</v>
      </c>
      <c r="AO174" s="227" t="str">
        <f t="shared" si="112"/>
        <v>-</v>
      </c>
      <c r="AP174" s="273">
        <f t="shared" si="140"/>
        <v>0.1</v>
      </c>
      <c r="AQ174" s="271" t="str">
        <f>IFERROR(IF(AL173=1,AQ$100*EXP(-(LN(2)/$D$65+0.04)*AN173)*EXP(-(LN(2)/$D$65+0.1)*AO173),IF(AL173=2,AQ$100*EXP(-(LN(2)/$D$65+0.04)*(VLOOKUP(($F$16-$F$15)-1,AK$99:AO173,4,FALSE)))*EXP(-(LN(2)/$D$65+0.1)*(VLOOKUP(($F$16-$F$15)-1,AK$99:AO173,5,FALSE)))*EXP(-(LN(2)/$D$65+0.04)*AN173)*EXP(-(LN(2)/$D$65+0.1)*AO173),IF(AL173=3,AQ$100*EXP(-(LN(2)/$D$65+0.04)*(VLOOKUP(($F$16-$F$15)-1,AK$99:AO173,4,FALSE)))*EXP(-(LN(2)/$D$65+0.1)*(VLOOKUP(($F$16-$F$15)-1,AK$99:AO173,5,FALSE)))*EXP(-(LN(2)/$D$65+0.04)*(VLOOKUP(($F$16-$F$15)*2-1,AK$99:AO173,4,FALSE)))*EXP(-(LN(2)/$D$65+0.1)*(VLOOKUP(($F$16-$F$15)*2-1,AK$99:AO173,5,FALSE)))*EXP(-(LN(2)/$D$65+0.04)*AN173)*EXP(-(LN(2)/$D$65+0.1)*AO173),"-"))),"-")</f>
        <v>-</v>
      </c>
      <c r="AR174" s="271" t="str">
        <f>IFERROR(IF(AL174=1,AR$100*EXP(-(LN(2)/$D$65+0.04)*AN174)*EXP(-(LN(2)/$D$65+0.1)*AO174),IF(AL174=2,AR$100*EXP(-(LN(2)/$D$65+0.04)*(VLOOKUP(($F$16-$F$15)-1,AK$100:AO174,4,FALSE)))*EXP(-(LN(2)/$D$65+0.1)*(VLOOKUP(($F$16-$F$15)-1,AK$100:AO174,5,FALSE)))*EXP(-(LN(2)/$D$65+0.04)*AN174)*EXP(-(LN(2)/$D$65+0.1)*AO174),IF(AL174=3,AR$100*EXP(-(LN(2)/$D$65+0.04)*(VLOOKUP(($F$16-$F$15)-1,AK$100:AO174,4,FALSE)))*EXP(-(LN(2)/$D$65+0.1)*(VLOOKUP(($F$16-$F$15)-1,AK$100:AO174,5,FALSE)))*EXP(-(LN(2)/$D$65+0.04)*(VLOOKUP(($F$16-$F$15)*2-1,AK$100:AO174,4,FALSE)))*EXP(-(LN(2)/$D$65+0.1)*(VLOOKUP(($F$16-$F$15)*2-1,AK$100:AO174,5,FALSE)))*EXP(-(LN(2)/$D$65+0.04)*AN174)*EXP(-(LN(2)/$D$65+0.1)*AO174),"-"))),"-")</f>
        <v>-</v>
      </c>
      <c r="AS174" s="274">
        <f t="shared" si="113"/>
        <v>0</v>
      </c>
      <c r="AT174" s="274">
        <f t="shared" si="114"/>
        <v>0</v>
      </c>
      <c r="AU174" s="274">
        <f t="shared" si="115"/>
        <v>0</v>
      </c>
      <c r="AV174" s="190" t="str">
        <f>IF($B174&lt;$F$22,SUM($T$100:$T174),"")</f>
        <v/>
      </c>
      <c r="AW174" s="190" t="str">
        <f t="shared" si="116"/>
        <v>-</v>
      </c>
      <c r="AX174" s="190" t="str">
        <f t="shared" si="141"/>
        <v/>
      </c>
      <c r="AY174"/>
      <c r="AZ174" s="190" t="str">
        <f ca="1">IF(ISNUMBER(OFFSET(AV174,-$F$21,0)),SUM(OFFSET($T$100,$F$21,0):$T174),"")</f>
        <v/>
      </c>
      <c r="BA174" s="190" t="str">
        <f t="shared" ca="1" si="117"/>
        <v/>
      </c>
      <c r="BB174" s="190" t="str">
        <f t="shared" ca="1" si="70"/>
        <v/>
      </c>
      <c r="BC174" s="190"/>
      <c r="BD174" s="190" t="str">
        <f ca="1">IFERROR(IF(OR(ISNUMBER(I),ISNUMBER($F$14)),IF(AND($B174&gt;=($F$16-$F$15),$B174&lt;$F$22+($F$16-$F$15)),SUM(OFFSET($T$100,($F$16-$F$15),0):$T174),""),""),"")</f>
        <v/>
      </c>
      <c r="BE174" s="190" t="str">
        <f t="shared" ca="1" si="142"/>
        <v/>
      </c>
      <c r="BF174" s="190" t="str">
        <f t="shared" ca="1" si="143"/>
        <v/>
      </c>
      <c r="BG174"/>
      <c r="BH174" s="190" t="str">
        <f ca="1">IF(ISNUMBER(OFFSET(BD174,-$F$21,0)),SUM(OFFSET($T$100,($F$16-$F$15+$F$21),0):$T174),"")</f>
        <v/>
      </c>
      <c r="BI174" s="190" t="str">
        <f t="shared" ca="1" si="118"/>
        <v/>
      </c>
      <c r="BJ174" s="190" t="str">
        <f t="shared" ca="1" si="144"/>
        <v/>
      </c>
      <c r="BK174" s="190"/>
      <c r="BL174" s="190" t="str">
        <f ca="1">IFERROR(IF(OR(ISNUMBER(I),ISNUMBER($F$14)),IF(AND($B174&gt;=($F$17-$F$15),$B174&lt;$F$22+($F$17-$F$15)),SUM(OFFSET($T$100,($F$17-$F$15),0):$T174),""),""),"")</f>
        <v/>
      </c>
      <c r="BM174" s="190" t="str">
        <f t="shared" ca="1" si="119"/>
        <v/>
      </c>
      <c r="BN174" s="190" t="str">
        <f t="shared" ca="1" si="145"/>
        <v/>
      </c>
      <c r="BO174"/>
      <c r="BP174" s="190" t="str">
        <f ca="1">IF(ISNUMBER(OFFSET(BL174,-$F$21,0)),SUM(OFFSET($T$100,($F$17-$F$15+$F$21),0):$T174),"")</f>
        <v/>
      </c>
      <c r="BQ174" s="190" t="str">
        <f t="shared" ca="1" si="120"/>
        <v/>
      </c>
      <c r="BR174" s="190" t="str">
        <f t="shared" ca="1" si="146"/>
        <v/>
      </c>
      <c r="BS174" s="190"/>
      <c r="BT174"/>
      <c r="BU174"/>
      <c r="BV174"/>
      <c r="BY174" s="99"/>
      <c r="BZ174" s="99"/>
      <c r="CA174" s="280" t="str">
        <f t="shared" si="121"/>
        <v/>
      </c>
      <c r="CB174" s="71" t="str">
        <f t="shared" si="122"/>
        <v>-</v>
      </c>
      <c r="CC174" s="33"/>
      <c r="CD174" s="261" t="str">
        <f t="shared" si="123"/>
        <v/>
      </c>
      <c r="CE174" s="280" t="str">
        <f t="shared" si="124"/>
        <v/>
      </c>
      <c r="CF174" s="71" t="str">
        <f t="shared" ca="1" si="125"/>
        <v/>
      </c>
      <c r="CG174" s="33" t="str">
        <f t="shared" si="126"/>
        <v/>
      </c>
      <c r="CH174" s="261" t="str">
        <f t="shared" ca="1" si="127"/>
        <v/>
      </c>
      <c r="CI174" s="202"/>
      <c r="CJ174" s="99"/>
      <c r="CK174" s="99"/>
      <c r="CL174" s="99"/>
      <c r="CM174" s="99"/>
      <c r="CN174" s="99"/>
      <c r="CO174" s="99"/>
    </row>
    <row r="175" spans="2:93" ht="13.5" customHeight="1" x14ac:dyDescent="0.2">
      <c r="B175" s="262">
        <v>75</v>
      </c>
      <c r="C175" s="237" t="str">
        <f t="shared" si="91"/>
        <v/>
      </c>
      <c r="D175" s="237" t="str">
        <f t="shared" si="147"/>
        <v/>
      </c>
      <c r="E175" s="290" t="str">
        <f t="shared" si="128"/>
        <v/>
      </c>
      <c r="F175" s="264" t="str">
        <f t="shared" si="129"/>
        <v/>
      </c>
      <c r="G175" s="291" t="str">
        <f t="shared" si="130"/>
        <v/>
      </c>
      <c r="H175" s="240" t="str">
        <f t="shared" si="92"/>
        <v/>
      </c>
      <c r="I175" s="265" t="str">
        <f t="shared" si="93"/>
        <v/>
      </c>
      <c r="J175" s="265" t="str">
        <f t="shared" si="94"/>
        <v/>
      </c>
      <c r="K175" s="240" t="str">
        <f t="shared" si="95"/>
        <v/>
      </c>
      <c r="L175" s="265" t="str">
        <f t="shared" si="96"/>
        <v/>
      </c>
      <c r="M175" s="265" t="str">
        <f t="shared" si="97"/>
        <v/>
      </c>
      <c r="N175" s="240" t="str">
        <f t="shared" si="98"/>
        <v>-</v>
      </c>
      <c r="O175" s="265" t="str">
        <f t="shared" si="99"/>
        <v>-</v>
      </c>
      <c r="P175" s="265" t="str">
        <f t="shared" si="100"/>
        <v>-</v>
      </c>
      <c r="Q175" s="266" t="str">
        <f t="shared" si="101"/>
        <v>-</v>
      </c>
      <c r="R175" s="267" t="str">
        <f t="shared" si="102"/>
        <v>-</v>
      </c>
      <c r="S175" s="268" t="str">
        <f t="shared" si="103"/>
        <v>-</v>
      </c>
      <c r="T175" s="269" t="str">
        <f t="shared" si="104"/>
        <v/>
      </c>
      <c r="U175" s="221">
        <f t="shared" si="105"/>
        <v>75</v>
      </c>
      <c r="V175" s="220" t="str">
        <f t="shared" si="131"/>
        <v>-</v>
      </c>
      <c r="W175" s="221" t="str">
        <f t="shared" si="132"/>
        <v>-</v>
      </c>
      <c r="X175" s="221" t="str">
        <f t="shared" si="106"/>
        <v>-</v>
      </c>
      <c r="Y175" s="221" t="str">
        <f t="shared" si="107"/>
        <v>-</v>
      </c>
      <c r="Z175" s="270">
        <f t="shared" si="133"/>
        <v>0.1</v>
      </c>
      <c r="AA175" s="271" t="str">
        <f>IFERROR(IF(V174=1,AA$100*EXP(-(LN(2)/$D$65+0.04)*X174)*EXP(-(LN(2)/$D$65+0.1)*Y174),IF(V174=2,AA$100*EXP(-(LN(2)/$D$65+0.04)*(VLOOKUP(($F$16-$F$15)-1,U$99:Y174,4,FALSE)))*EXP(-(LN(2)/$D$65+0.1)*(VLOOKUP(($F$16-$F$15)-1,U$99:Y174,5,FALSE)))*EXP(-(LN(2)/$D$65+0.04)*X174)*EXP(-(LN(2)/$D$65+0.1)*Y174),IF(V174=3,AA$100*EXP(-(LN(2)/$D$65+0.04)*(VLOOKUP(($F$16-$F$15)-1,U$99:Y174,4,FALSE)))*EXP(-(LN(2)/$D$65+0.1)*(VLOOKUP(($F$16-$F$15)-1,U$99:Y174,5,FALSE)))*EXP(-(LN(2)/$D$65+0.04)*(VLOOKUP(($F$16-$F$15)*2-1,U$99:Y174,4,FALSE)))*EXP(-(LN(2)/$D$65+0.1)*(VLOOKUP(($F$16-$F$15)*2-1,U$99:Y174,5,FALSE)))*EXP(-(LN(2)/$D$65+0.04)*X174)*EXP(-(LN(2)/$D$65+0.1)*Y174),"-"))),"-")</f>
        <v>-</v>
      </c>
      <c r="AB175" s="271" t="str">
        <f>IFERROR(IF(V175=1,AB$100*EXP(-(LN(2)/$D$65+0.04)*X175)*EXP(-(LN(2)/$D$65+0.1)*Y175),IF(V175=2,AB$100*EXP(-(LN(2)/$D$65+0.04)*(VLOOKUP(($F$16-$F$15)-1,U$100:Y175,4,FALSE)))*EXP(-(LN(2)/$D$65+0.1)*(VLOOKUP(($F$16-$F$15)-1,U$100:Y175,5,FALSE)))*EXP(-(LN(2)/$D$65+0.04)*X175)*EXP(-(LN(2)/$D$65+0.1)*Y175),IF(V175=3,AB$100*EXP(-(LN(2)/$D$65+0.04)*(VLOOKUP(($F$16-$F$15)-1,U$100:Y175,4,FALSE)))*EXP(-(LN(2)/$D$65+0.1)*(VLOOKUP(($F$16-$F$15)-1,U$100:Y175,5,FALSE)))*EXP(-(LN(2)/$D$65+0.04)*(VLOOKUP(($F$16-$F$15)*2-1,U$100:Y175,4,FALSE)))*EXP(-(LN(2)/$D$65+0.1)*(VLOOKUP(($F$16-$F$15)*2-1,U$100:Y175,5,FALSE)))*EXP(-(LN(2)/$D$65+0.04)*X175)*EXP(-(LN(2)/$D$65+0.1)*Y175),"-"))),"-")</f>
        <v>-</v>
      </c>
      <c r="AC175" s="224">
        <f t="shared" si="134"/>
        <v>75</v>
      </c>
      <c r="AD175" s="223" t="str">
        <f t="shared" si="108"/>
        <v>-</v>
      </c>
      <c r="AE175" s="224" t="str">
        <f t="shared" si="135"/>
        <v>-</v>
      </c>
      <c r="AF175" s="224" t="str">
        <f t="shared" si="109"/>
        <v>-</v>
      </c>
      <c r="AG175" s="224" t="str">
        <f t="shared" si="110"/>
        <v>-</v>
      </c>
      <c r="AH175" s="272">
        <f t="shared" si="136"/>
        <v>0.1</v>
      </c>
      <c r="AI175" s="271" t="str">
        <f>IFERROR(IF(AD174=1,AI$100*EXP(-(LN(2)/$D$65+0.04)*AF174)*EXP(-(LN(2)/$D$65+0.1)*AG174),IF(AD174=2,AI$100*EXP(-(LN(2)/$D$65+0.04)*(VLOOKUP(($F$16-$F$15)-1,AC$99:AG174,4,FALSE)))*EXP(-(LN(2)/$D$65+0.1)*(VLOOKUP(($F$16-$F$15)-1,AC$99:AG174,5,FALSE)))*EXP(-(LN(2)/$D$65+0.04)*AF174)*EXP(-(LN(2)/$D$65+0.1)*AG174),IF(AD174=3,AI$100*EXP(-(LN(2)/$D$65+0.04)*(VLOOKUP(($F$16-$F$15)-1,AC$99:AG174,4,FALSE)))*EXP(-(LN(2)/$D$65+0.1)*(VLOOKUP(($F$16-$F$15)-1,AC$99:AG174,5,FALSE)))*EXP(-(LN(2)/$D$65+0.04)*(VLOOKUP(($F$16-$F$15)*2-1,AC$99:AG174,4,FALSE)))*EXP(-(LN(2)/$D$65+0.1)*(VLOOKUP(($F$16-$F$15)*2-1,AC$99:AG174,5,FALSE)))*EXP(-(LN(2)/$D$65+0.04)*AF174)*EXP(-(LN(2)/$D$65+0.1)*AG174),"-"))),"-")</f>
        <v>-</v>
      </c>
      <c r="AJ175" s="271" t="str">
        <f>IFERROR(IF(AD175=1,AJ$100*EXP(-(LN(2)/$D$65+0.04)*AF175)*EXP(-(LN(2)/$D$65+0.1)*AG175),IF(AD175=2,AJ$100*EXP(-(LN(2)/$D$65+0.04)*(VLOOKUP(($F$16-$F$15)-1,AC$100:AG175,4,FALSE)))*EXP(-(LN(2)/$D$65+0.1)*(VLOOKUP(($F$16-$F$15)-1,AC$100:AG175,5,FALSE)))*EXP(-(LN(2)/$D$65+0.04)*AF175)*EXP(-(LN(2)/$D$65+0.1)*AG175),IF(AD175=3,AJ$100*EXP(-(LN(2)/$D$65+0.04)*(VLOOKUP(($F$16-$F$15)-1,AC$100:AG175,4,FALSE)))*EXP(-(LN(2)/$D$65+0.1)*(VLOOKUP(($F$16-$F$15)-1,AC$100:AG175,5,FALSE)))*EXP(-(LN(2)/$D$65+0.04)*(VLOOKUP(($F$16-$F$15)*2-1,AC$100:AG175,4,FALSE)))*EXP(-(LN(2)/$D$65+0.1)*(VLOOKUP(($F$16-$F$15)*2-1,AC$100:AG175,5,FALSE)))*EXP(-(LN(2)/$D$65+0.04)*AF175)*EXP(-(LN(2)/$D$65+0.1)*AG175),"-"))),"-")</f>
        <v>-</v>
      </c>
      <c r="AK175" s="227">
        <f t="shared" si="137"/>
        <v>75</v>
      </c>
      <c r="AL175" s="226" t="str">
        <f t="shared" si="111"/>
        <v>-</v>
      </c>
      <c r="AM175" s="227" t="str">
        <f t="shared" si="138"/>
        <v>-</v>
      </c>
      <c r="AN175" s="227" t="str">
        <f t="shared" si="139"/>
        <v>-</v>
      </c>
      <c r="AO175" s="227" t="str">
        <f t="shared" si="112"/>
        <v>-</v>
      </c>
      <c r="AP175" s="273">
        <f t="shared" si="140"/>
        <v>0.1</v>
      </c>
      <c r="AQ175" s="271" t="str">
        <f>IFERROR(IF(AL174=1,AQ$100*EXP(-(LN(2)/$D$65+0.04)*AN174)*EXP(-(LN(2)/$D$65+0.1)*AO174),IF(AL174=2,AQ$100*EXP(-(LN(2)/$D$65+0.04)*(VLOOKUP(($F$16-$F$15)-1,AK$99:AO174,4,FALSE)))*EXP(-(LN(2)/$D$65+0.1)*(VLOOKUP(($F$16-$F$15)-1,AK$99:AO174,5,FALSE)))*EXP(-(LN(2)/$D$65+0.04)*AN174)*EXP(-(LN(2)/$D$65+0.1)*AO174),IF(AL174=3,AQ$100*EXP(-(LN(2)/$D$65+0.04)*(VLOOKUP(($F$16-$F$15)-1,AK$99:AO174,4,FALSE)))*EXP(-(LN(2)/$D$65+0.1)*(VLOOKUP(($F$16-$F$15)-1,AK$99:AO174,5,FALSE)))*EXP(-(LN(2)/$D$65+0.04)*(VLOOKUP(($F$16-$F$15)*2-1,AK$99:AO174,4,FALSE)))*EXP(-(LN(2)/$D$65+0.1)*(VLOOKUP(($F$16-$F$15)*2-1,AK$99:AO174,5,FALSE)))*EXP(-(LN(2)/$D$65+0.04)*AN174)*EXP(-(LN(2)/$D$65+0.1)*AO174),"-"))),"-")</f>
        <v>-</v>
      </c>
      <c r="AR175" s="271" t="str">
        <f>IFERROR(IF(AL175=1,AR$100*EXP(-(LN(2)/$D$65+0.04)*AN175)*EXP(-(LN(2)/$D$65+0.1)*AO175),IF(AL175=2,AR$100*EXP(-(LN(2)/$D$65+0.04)*(VLOOKUP(($F$16-$F$15)-1,AK$100:AO175,4,FALSE)))*EXP(-(LN(2)/$D$65+0.1)*(VLOOKUP(($F$16-$F$15)-1,AK$100:AO175,5,FALSE)))*EXP(-(LN(2)/$D$65+0.04)*AN175)*EXP(-(LN(2)/$D$65+0.1)*AO175),IF(AL175=3,AR$100*EXP(-(LN(2)/$D$65+0.04)*(VLOOKUP(($F$16-$F$15)-1,AK$100:AO175,4,FALSE)))*EXP(-(LN(2)/$D$65+0.1)*(VLOOKUP(($F$16-$F$15)-1,AK$100:AO175,5,FALSE)))*EXP(-(LN(2)/$D$65+0.04)*(VLOOKUP(($F$16-$F$15)*2-1,AK$100:AO175,4,FALSE)))*EXP(-(LN(2)/$D$65+0.1)*(VLOOKUP(($F$16-$F$15)*2-1,AK$100:AO175,5,FALSE)))*EXP(-(LN(2)/$D$65+0.04)*AN175)*EXP(-(LN(2)/$D$65+0.1)*AO175),"-"))),"-")</f>
        <v>-</v>
      </c>
      <c r="AS175" s="274">
        <f t="shared" si="113"/>
        <v>0</v>
      </c>
      <c r="AT175" s="274">
        <f t="shared" si="114"/>
        <v>0</v>
      </c>
      <c r="AU175" s="274">
        <f t="shared" si="115"/>
        <v>0</v>
      </c>
      <c r="AV175" s="190" t="str">
        <f>IF($B175&lt;$F$22,SUM($T$100:$T175),"")</f>
        <v/>
      </c>
      <c r="AW175" s="190" t="str">
        <f t="shared" si="116"/>
        <v>-</v>
      </c>
      <c r="AX175" s="190" t="str">
        <f t="shared" si="141"/>
        <v/>
      </c>
      <c r="AY175"/>
      <c r="AZ175" s="190" t="str">
        <f ca="1">IF(ISNUMBER(OFFSET(AV175,-$F$21,0)),SUM(OFFSET($T$100,$F$21,0):$T175),"")</f>
        <v/>
      </c>
      <c r="BA175" s="190" t="str">
        <f t="shared" ca="1" si="117"/>
        <v/>
      </c>
      <c r="BB175" s="190" t="str">
        <f t="shared" ca="1" si="70"/>
        <v/>
      </c>
      <c r="BC175" s="190"/>
      <c r="BD175" s="190" t="str">
        <f ca="1">IFERROR(IF(OR(ISNUMBER(I),ISNUMBER($F$14)),IF(AND($B175&gt;=($F$16-$F$15),$B175&lt;$F$22+($F$16-$F$15)),SUM(OFFSET($T$100,($F$16-$F$15),0):$T175),""),""),"")</f>
        <v/>
      </c>
      <c r="BE175" s="190" t="str">
        <f t="shared" ca="1" si="142"/>
        <v/>
      </c>
      <c r="BF175" s="190" t="str">
        <f t="shared" ca="1" si="143"/>
        <v/>
      </c>
      <c r="BG175"/>
      <c r="BH175" s="190" t="str">
        <f ca="1">IF(ISNUMBER(OFFSET(BD175,-$F$21,0)),SUM(OFFSET($T$100,($F$16-$F$15+$F$21),0):$T175),"")</f>
        <v/>
      </c>
      <c r="BI175" s="190" t="str">
        <f t="shared" ca="1" si="118"/>
        <v/>
      </c>
      <c r="BJ175" s="190" t="str">
        <f t="shared" ca="1" si="144"/>
        <v/>
      </c>
      <c r="BK175" s="190"/>
      <c r="BL175" s="190" t="str">
        <f ca="1">IFERROR(IF(OR(ISNUMBER(I),ISNUMBER($F$14)),IF(AND($B175&gt;=($F$17-$F$15),$B175&lt;$F$22+($F$17-$F$15)),SUM(OFFSET($T$100,($F$17-$F$15),0):$T175),""),""),"")</f>
        <v/>
      </c>
      <c r="BM175" s="190" t="str">
        <f t="shared" ca="1" si="119"/>
        <v/>
      </c>
      <c r="BN175" s="190" t="str">
        <f t="shared" ca="1" si="145"/>
        <v/>
      </c>
      <c r="BO175"/>
      <c r="BP175" s="190" t="str">
        <f ca="1">IF(ISNUMBER(OFFSET(BL175,-$F$21,0)),SUM(OFFSET($T$100,($F$17-$F$15+$F$21),0):$T175),"")</f>
        <v/>
      </c>
      <c r="BQ175" s="190" t="str">
        <f t="shared" ca="1" si="120"/>
        <v/>
      </c>
      <c r="BR175" s="190" t="str">
        <f t="shared" ca="1" si="146"/>
        <v/>
      </c>
      <c r="BS175" s="190"/>
      <c r="BT175"/>
      <c r="BU175"/>
      <c r="BV175"/>
      <c r="BY175" s="99"/>
      <c r="BZ175" s="99"/>
      <c r="CA175" s="280" t="str">
        <f t="shared" si="121"/>
        <v/>
      </c>
      <c r="CB175" s="71" t="str">
        <f t="shared" si="122"/>
        <v>-</v>
      </c>
      <c r="CC175" s="33"/>
      <c r="CD175" s="261" t="str">
        <f t="shared" si="123"/>
        <v/>
      </c>
      <c r="CE175" s="280" t="str">
        <f t="shared" si="124"/>
        <v/>
      </c>
      <c r="CF175" s="71" t="str">
        <f t="shared" ca="1" si="125"/>
        <v/>
      </c>
      <c r="CG175" s="33" t="str">
        <f t="shared" si="126"/>
        <v/>
      </c>
      <c r="CH175" s="261" t="str">
        <f t="shared" ca="1" si="127"/>
        <v/>
      </c>
      <c r="CI175" s="202"/>
      <c r="CJ175" s="99"/>
      <c r="CK175" s="99"/>
      <c r="CL175" s="99"/>
      <c r="CM175" s="99"/>
      <c r="CN175" s="99"/>
      <c r="CO175" s="99"/>
    </row>
    <row r="176" spans="2:93" ht="13.5" customHeight="1" x14ac:dyDescent="0.2">
      <c r="B176" s="262">
        <v>76</v>
      </c>
      <c r="C176" s="237" t="str">
        <f t="shared" si="91"/>
        <v/>
      </c>
      <c r="D176" s="237" t="str">
        <f t="shared" si="147"/>
        <v/>
      </c>
      <c r="E176" s="290" t="str">
        <f t="shared" si="128"/>
        <v/>
      </c>
      <c r="F176" s="264" t="str">
        <f t="shared" si="129"/>
        <v/>
      </c>
      <c r="G176" s="291" t="str">
        <f t="shared" si="130"/>
        <v/>
      </c>
      <c r="H176" s="240" t="str">
        <f t="shared" si="92"/>
        <v/>
      </c>
      <c r="I176" s="265" t="str">
        <f t="shared" si="93"/>
        <v/>
      </c>
      <c r="J176" s="265" t="str">
        <f t="shared" si="94"/>
        <v/>
      </c>
      <c r="K176" s="240" t="str">
        <f t="shared" si="95"/>
        <v/>
      </c>
      <c r="L176" s="265" t="str">
        <f t="shared" si="96"/>
        <v/>
      </c>
      <c r="M176" s="265" t="str">
        <f t="shared" si="97"/>
        <v/>
      </c>
      <c r="N176" s="240" t="str">
        <f t="shared" si="98"/>
        <v>-</v>
      </c>
      <c r="O176" s="265" t="str">
        <f t="shared" si="99"/>
        <v>-</v>
      </c>
      <c r="P176" s="265" t="str">
        <f t="shared" si="100"/>
        <v>-</v>
      </c>
      <c r="Q176" s="266" t="str">
        <f t="shared" si="101"/>
        <v>-</v>
      </c>
      <c r="R176" s="267" t="str">
        <f t="shared" si="102"/>
        <v>-</v>
      </c>
      <c r="S176" s="268" t="str">
        <f t="shared" si="103"/>
        <v>-</v>
      </c>
      <c r="T176" s="269" t="str">
        <f t="shared" si="104"/>
        <v/>
      </c>
      <c r="U176" s="221">
        <f t="shared" si="105"/>
        <v>76</v>
      </c>
      <c r="V176" s="220" t="str">
        <f t="shared" si="131"/>
        <v>-</v>
      </c>
      <c r="W176" s="221" t="str">
        <f t="shared" si="132"/>
        <v>-</v>
      </c>
      <c r="X176" s="221" t="str">
        <f t="shared" si="106"/>
        <v>-</v>
      </c>
      <c r="Y176" s="221" t="str">
        <f t="shared" si="107"/>
        <v>-</v>
      </c>
      <c r="Z176" s="270">
        <f t="shared" si="133"/>
        <v>0.1</v>
      </c>
      <c r="AA176" s="271" t="str">
        <f>IFERROR(IF(V175=1,AA$100*EXP(-(LN(2)/$D$65+0.04)*X175)*EXP(-(LN(2)/$D$65+0.1)*Y175),IF(V175=2,AA$100*EXP(-(LN(2)/$D$65+0.04)*(VLOOKUP(($F$16-$F$15)-1,U$99:Y175,4,FALSE)))*EXP(-(LN(2)/$D$65+0.1)*(VLOOKUP(($F$16-$F$15)-1,U$99:Y175,5,FALSE)))*EXP(-(LN(2)/$D$65+0.04)*X175)*EXP(-(LN(2)/$D$65+0.1)*Y175),IF(V175=3,AA$100*EXP(-(LN(2)/$D$65+0.04)*(VLOOKUP(($F$16-$F$15)-1,U$99:Y175,4,FALSE)))*EXP(-(LN(2)/$D$65+0.1)*(VLOOKUP(($F$16-$F$15)-1,U$99:Y175,5,FALSE)))*EXP(-(LN(2)/$D$65+0.04)*(VLOOKUP(($F$16-$F$15)*2-1,U$99:Y175,4,FALSE)))*EXP(-(LN(2)/$D$65+0.1)*(VLOOKUP(($F$16-$F$15)*2-1,U$99:Y175,5,FALSE)))*EXP(-(LN(2)/$D$65+0.04)*X175)*EXP(-(LN(2)/$D$65+0.1)*Y175),"-"))),"-")</f>
        <v>-</v>
      </c>
      <c r="AB176" s="271" t="str">
        <f>IFERROR(IF(V176=1,AB$100*EXP(-(LN(2)/$D$65+0.04)*X176)*EXP(-(LN(2)/$D$65+0.1)*Y176),IF(V176=2,AB$100*EXP(-(LN(2)/$D$65+0.04)*(VLOOKUP(($F$16-$F$15)-1,U$100:Y176,4,FALSE)))*EXP(-(LN(2)/$D$65+0.1)*(VLOOKUP(($F$16-$F$15)-1,U$100:Y176,5,FALSE)))*EXP(-(LN(2)/$D$65+0.04)*X176)*EXP(-(LN(2)/$D$65+0.1)*Y176),IF(V176=3,AB$100*EXP(-(LN(2)/$D$65+0.04)*(VLOOKUP(($F$16-$F$15)-1,U$100:Y176,4,FALSE)))*EXP(-(LN(2)/$D$65+0.1)*(VLOOKUP(($F$16-$F$15)-1,U$100:Y176,5,FALSE)))*EXP(-(LN(2)/$D$65+0.04)*(VLOOKUP(($F$16-$F$15)*2-1,U$100:Y176,4,FALSE)))*EXP(-(LN(2)/$D$65+0.1)*(VLOOKUP(($F$16-$F$15)*2-1,U$100:Y176,5,FALSE)))*EXP(-(LN(2)/$D$65+0.04)*X176)*EXP(-(LN(2)/$D$65+0.1)*Y176),"-"))),"-")</f>
        <v>-</v>
      </c>
      <c r="AC176" s="224">
        <f t="shared" si="134"/>
        <v>76</v>
      </c>
      <c r="AD176" s="223" t="str">
        <f t="shared" si="108"/>
        <v>-</v>
      </c>
      <c r="AE176" s="224" t="str">
        <f t="shared" si="135"/>
        <v>-</v>
      </c>
      <c r="AF176" s="224" t="str">
        <f t="shared" si="109"/>
        <v>-</v>
      </c>
      <c r="AG176" s="224" t="str">
        <f t="shared" si="110"/>
        <v>-</v>
      </c>
      <c r="AH176" s="272">
        <f t="shared" si="136"/>
        <v>0.1</v>
      </c>
      <c r="AI176" s="271" t="str">
        <f>IFERROR(IF(AD175=1,AI$100*EXP(-(LN(2)/$D$65+0.04)*AF175)*EXP(-(LN(2)/$D$65+0.1)*AG175),IF(AD175=2,AI$100*EXP(-(LN(2)/$D$65+0.04)*(VLOOKUP(($F$16-$F$15)-1,AC$99:AG175,4,FALSE)))*EXP(-(LN(2)/$D$65+0.1)*(VLOOKUP(($F$16-$F$15)-1,AC$99:AG175,5,FALSE)))*EXP(-(LN(2)/$D$65+0.04)*AF175)*EXP(-(LN(2)/$D$65+0.1)*AG175),IF(AD175=3,AI$100*EXP(-(LN(2)/$D$65+0.04)*(VLOOKUP(($F$16-$F$15)-1,AC$99:AG175,4,FALSE)))*EXP(-(LN(2)/$D$65+0.1)*(VLOOKUP(($F$16-$F$15)-1,AC$99:AG175,5,FALSE)))*EXP(-(LN(2)/$D$65+0.04)*(VLOOKUP(($F$16-$F$15)*2-1,AC$99:AG175,4,FALSE)))*EXP(-(LN(2)/$D$65+0.1)*(VLOOKUP(($F$16-$F$15)*2-1,AC$99:AG175,5,FALSE)))*EXP(-(LN(2)/$D$65+0.04)*AF175)*EXP(-(LN(2)/$D$65+0.1)*AG175),"-"))),"-")</f>
        <v>-</v>
      </c>
      <c r="AJ176" s="271" t="str">
        <f>IFERROR(IF(AD176=1,AJ$100*EXP(-(LN(2)/$D$65+0.04)*AF176)*EXP(-(LN(2)/$D$65+0.1)*AG176),IF(AD176=2,AJ$100*EXP(-(LN(2)/$D$65+0.04)*(VLOOKUP(($F$16-$F$15)-1,AC$100:AG176,4,FALSE)))*EXP(-(LN(2)/$D$65+0.1)*(VLOOKUP(($F$16-$F$15)-1,AC$100:AG176,5,FALSE)))*EXP(-(LN(2)/$D$65+0.04)*AF176)*EXP(-(LN(2)/$D$65+0.1)*AG176),IF(AD176=3,AJ$100*EXP(-(LN(2)/$D$65+0.04)*(VLOOKUP(($F$16-$F$15)-1,AC$100:AG176,4,FALSE)))*EXP(-(LN(2)/$D$65+0.1)*(VLOOKUP(($F$16-$F$15)-1,AC$100:AG176,5,FALSE)))*EXP(-(LN(2)/$D$65+0.04)*(VLOOKUP(($F$16-$F$15)*2-1,AC$100:AG176,4,FALSE)))*EXP(-(LN(2)/$D$65+0.1)*(VLOOKUP(($F$16-$F$15)*2-1,AC$100:AG176,5,FALSE)))*EXP(-(LN(2)/$D$65+0.04)*AF176)*EXP(-(LN(2)/$D$65+0.1)*AG176),"-"))),"-")</f>
        <v>-</v>
      </c>
      <c r="AK176" s="227">
        <f t="shared" si="137"/>
        <v>76</v>
      </c>
      <c r="AL176" s="226" t="str">
        <f t="shared" si="111"/>
        <v>-</v>
      </c>
      <c r="AM176" s="227" t="str">
        <f t="shared" si="138"/>
        <v>-</v>
      </c>
      <c r="AN176" s="227" t="str">
        <f t="shared" si="139"/>
        <v>-</v>
      </c>
      <c r="AO176" s="227" t="str">
        <f t="shared" si="112"/>
        <v>-</v>
      </c>
      <c r="AP176" s="273">
        <f t="shared" si="140"/>
        <v>0.1</v>
      </c>
      <c r="AQ176" s="271" t="str">
        <f>IFERROR(IF(AL175=1,AQ$100*EXP(-(LN(2)/$D$65+0.04)*AN175)*EXP(-(LN(2)/$D$65+0.1)*AO175),IF(AL175=2,AQ$100*EXP(-(LN(2)/$D$65+0.04)*(VLOOKUP(($F$16-$F$15)-1,AK$99:AO175,4,FALSE)))*EXP(-(LN(2)/$D$65+0.1)*(VLOOKUP(($F$16-$F$15)-1,AK$99:AO175,5,FALSE)))*EXP(-(LN(2)/$D$65+0.04)*AN175)*EXP(-(LN(2)/$D$65+0.1)*AO175),IF(AL175=3,AQ$100*EXP(-(LN(2)/$D$65+0.04)*(VLOOKUP(($F$16-$F$15)-1,AK$99:AO175,4,FALSE)))*EXP(-(LN(2)/$D$65+0.1)*(VLOOKUP(($F$16-$F$15)-1,AK$99:AO175,5,FALSE)))*EXP(-(LN(2)/$D$65+0.04)*(VLOOKUP(($F$16-$F$15)*2-1,AK$99:AO175,4,FALSE)))*EXP(-(LN(2)/$D$65+0.1)*(VLOOKUP(($F$16-$F$15)*2-1,AK$99:AO175,5,FALSE)))*EXP(-(LN(2)/$D$65+0.04)*AN175)*EXP(-(LN(2)/$D$65+0.1)*AO175),"-"))),"-")</f>
        <v>-</v>
      </c>
      <c r="AR176" s="271" t="str">
        <f>IFERROR(IF(AL176=1,AR$100*EXP(-(LN(2)/$D$65+0.04)*AN176)*EXP(-(LN(2)/$D$65+0.1)*AO176),IF(AL176=2,AR$100*EXP(-(LN(2)/$D$65+0.04)*(VLOOKUP(($F$16-$F$15)-1,AK$100:AO176,4,FALSE)))*EXP(-(LN(2)/$D$65+0.1)*(VLOOKUP(($F$16-$F$15)-1,AK$100:AO176,5,FALSE)))*EXP(-(LN(2)/$D$65+0.04)*AN176)*EXP(-(LN(2)/$D$65+0.1)*AO176),IF(AL176=3,AR$100*EXP(-(LN(2)/$D$65+0.04)*(VLOOKUP(($F$16-$F$15)-1,AK$100:AO176,4,FALSE)))*EXP(-(LN(2)/$D$65+0.1)*(VLOOKUP(($F$16-$F$15)-1,AK$100:AO176,5,FALSE)))*EXP(-(LN(2)/$D$65+0.04)*(VLOOKUP(($F$16-$F$15)*2-1,AK$100:AO176,4,FALSE)))*EXP(-(LN(2)/$D$65+0.1)*(VLOOKUP(($F$16-$F$15)*2-1,AK$100:AO176,5,FALSE)))*EXP(-(LN(2)/$D$65+0.04)*AN176)*EXP(-(LN(2)/$D$65+0.1)*AO176),"-"))),"-")</f>
        <v>-</v>
      </c>
      <c r="AS176" s="274">
        <f t="shared" si="113"/>
        <v>0</v>
      </c>
      <c r="AT176" s="274">
        <f t="shared" si="114"/>
        <v>0</v>
      </c>
      <c r="AU176" s="274">
        <f t="shared" si="115"/>
        <v>0</v>
      </c>
      <c r="AV176" s="190" t="str">
        <f>IF($B176&lt;$F$22,SUM($T$100:$T176),"")</f>
        <v/>
      </c>
      <c r="AW176" s="190" t="str">
        <f t="shared" si="116"/>
        <v>-</v>
      </c>
      <c r="AX176" s="190" t="str">
        <f t="shared" si="141"/>
        <v/>
      </c>
      <c r="AY176"/>
      <c r="AZ176" s="190" t="str">
        <f ca="1">IF(ISNUMBER(OFFSET(AV176,-$F$21,0)),SUM(OFFSET($T$100,$F$21,0):$T176),"")</f>
        <v/>
      </c>
      <c r="BA176" s="190" t="str">
        <f t="shared" ca="1" si="117"/>
        <v/>
      </c>
      <c r="BB176" s="190" t="str">
        <f t="shared" ca="1" si="70"/>
        <v/>
      </c>
      <c r="BC176" s="190"/>
      <c r="BD176" s="190" t="str">
        <f ca="1">IFERROR(IF(OR(ISNUMBER(I),ISNUMBER($F$14)),IF(AND($B176&gt;=($F$16-$F$15),$B176&lt;$F$22+($F$16-$F$15)),SUM(OFFSET($T$100,($F$16-$F$15),0):$T176),""),""),"")</f>
        <v/>
      </c>
      <c r="BE176" s="190" t="str">
        <f t="shared" ca="1" si="142"/>
        <v/>
      </c>
      <c r="BF176" s="190" t="str">
        <f t="shared" ca="1" si="143"/>
        <v/>
      </c>
      <c r="BG176"/>
      <c r="BH176" s="190" t="str">
        <f ca="1">IF(ISNUMBER(OFFSET(BD176,-$F$21,0)),SUM(OFFSET($T$100,($F$16-$F$15+$F$21),0):$T176),"")</f>
        <v/>
      </c>
      <c r="BI176" s="190" t="str">
        <f t="shared" ca="1" si="118"/>
        <v/>
      </c>
      <c r="BJ176" s="190" t="str">
        <f t="shared" ca="1" si="144"/>
        <v/>
      </c>
      <c r="BK176" s="190"/>
      <c r="BL176" s="190" t="str">
        <f ca="1">IFERROR(IF(OR(ISNUMBER(I),ISNUMBER($F$14)),IF(AND($B176&gt;=($F$17-$F$15),$B176&lt;$F$22+($F$17-$F$15)),SUM(OFFSET($T$100,($F$17-$F$15),0):$T176),""),""),"")</f>
        <v/>
      </c>
      <c r="BM176" s="190" t="str">
        <f t="shared" ca="1" si="119"/>
        <v/>
      </c>
      <c r="BN176" s="190" t="str">
        <f t="shared" ca="1" si="145"/>
        <v/>
      </c>
      <c r="BO176"/>
      <c r="BP176" s="190" t="str">
        <f ca="1">IF(ISNUMBER(OFFSET(BL176,-$F$21,0)),SUM(OFFSET($T$100,($F$17-$F$15+$F$21),0):$T176),"")</f>
        <v/>
      </c>
      <c r="BQ176" s="190" t="str">
        <f t="shared" ca="1" si="120"/>
        <v/>
      </c>
      <c r="BR176" s="190" t="str">
        <f t="shared" ca="1" si="146"/>
        <v/>
      </c>
      <c r="BS176" s="190"/>
      <c r="BT176"/>
      <c r="BU176"/>
      <c r="BV176"/>
      <c r="BY176" s="99"/>
      <c r="BZ176" s="99"/>
      <c r="CA176" s="280" t="str">
        <f t="shared" si="121"/>
        <v/>
      </c>
      <c r="CB176" s="71" t="str">
        <f t="shared" si="122"/>
        <v>-</v>
      </c>
      <c r="CC176" s="33"/>
      <c r="CD176" s="261" t="str">
        <f t="shared" si="123"/>
        <v/>
      </c>
      <c r="CE176" s="280" t="str">
        <f t="shared" si="124"/>
        <v/>
      </c>
      <c r="CF176" s="71" t="str">
        <f t="shared" ca="1" si="125"/>
        <v/>
      </c>
      <c r="CG176" s="33" t="str">
        <f t="shared" si="126"/>
        <v/>
      </c>
      <c r="CH176" s="261" t="str">
        <f t="shared" ca="1" si="127"/>
        <v/>
      </c>
      <c r="CI176" s="202"/>
      <c r="CJ176" s="99"/>
      <c r="CK176" s="99"/>
      <c r="CL176" s="99"/>
      <c r="CM176" s="99"/>
      <c r="CN176" s="99"/>
      <c r="CO176" s="99"/>
    </row>
    <row r="177" spans="2:93" ht="13.5" customHeight="1" x14ac:dyDescent="0.2">
      <c r="B177" s="262">
        <v>77</v>
      </c>
      <c r="C177" s="237" t="str">
        <f t="shared" si="91"/>
        <v/>
      </c>
      <c r="D177" s="237" t="str">
        <f t="shared" si="147"/>
        <v/>
      </c>
      <c r="E177" s="290" t="str">
        <f t="shared" si="128"/>
        <v/>
      </c>
      <c r="F177" s="264" t="str">
        <f t="shared" si="129"/>
        <v/>
      </c>
      <c r="G177" s="291" t="str">
        <f t="shared" si="130"/>
        <v/>
      </c>
      <c r="H177" s="240" t="str">
        <f t="shared" si="92"/>
        <v/>
      </c>
      <c r="I177" s="265" t="str">
        <f t="shared" si="93"/>
        <v/>
      </c>
      <c r="J177" s="265" t="str">
        <f t="shared" si="94"/>
        <v/>
      </c>
      <c r="K177" s="240" t="str">
        <f t="shared" si="95"/>
        <v/>
      </c>
      <c r="L177" s="265" t="str">
        <f t="shared" si="96"/>
        <v/>
      </c>
      <c r="M177" s="265" t="str">
        <f t="shared" si="97"/>
        <v/>
      </c>
      <c r="N177" s="240" t="str">
        <f t="shared" si="98"/>
        <v>-</v>
      </c>
      <c r="O177" s="265" t="str">
        <f t="shared" si="99"/>
        <v>-</v>
      </c>
      <c r="P177" s="265" t="str">
        <f t="shared" si="100"/>
        <v>-</v>
      </c>
      <c r="Q177" s="266" t="str">
        <f t="shared" si="101"/>
        <v>-</v>
      </c>
      <c r="R177" s="267" t="str">
        <f t="shared" si="102"/>
        <v>-</v>
      </c>
      <c r="S177" s="268" t="str">
        <f t="shared" si="103"/>
        <v>-</v>
      </c>
      <c r="T177" s="269" t="str">
        <f t="shared" si="104"/>
        <v/>
      </c>
      <c r="U177" s="221">
        <f t="shared" si="105"/>
        <v>77</v>
      </c>
      <c r="V177" s="220" t="str">
        <f t="shared" si="131"/>
        <v>-</v>
      </c>
      <c r="W177" s="221" t="str">
        <f t="shared" si="132"/>
        <v>-</v>
      </c>
      <c r="X177" s="221" t="str">
        <f t="shared" si="106"/>
        <v>-</v>
      </c>
      <c r="Y177" s="221" t="str">
        <f t="shared" si="107"/>
        <v>-</v>
      </c>
      <c r="Z177" s="270">
        <f t="shared" si="133"/>
        <v>0.1</v>
      </c>
      <c r="AA177" s="271" t="str">
        <f>IFERROR(IF(V176=1,AA$100*EXP(-(LN(2)/$D$65+0.04)*X176)*EXP(-(LN(2)/$D$65+0.1)*Y176),IF(V176=2,AA$100*EXP(-(LN(2)/$D$65+0.04)*(VLOOKUP(($F$16-$F$15)-1,U$99:Y176,4,FALSE)))*EXP(-(LN(2)/$D$65+0.1)*(VLOOKUP(($F$16-$F$15)-1,U$99:Y176,5,FALSE)))*EXP(-(LN(2)/$D$65+0.04)*X176)*EXP(-(LN(2)/$D$65+0.1)*Y176),IF(V176=3,AA$100*EXP(-(LN(2)/$D$65+0.04)*(VLOOKUP(($F$16-$F$15)-1,U$99:Y176,4,FALSE)))*EXP(-(LN(2)/$D$65+0.1)*(VLOOKUP(($F$16-$F$15)-1,U$99:Y176,5,FALSE)))*EXP(-(LN(2)/$D$65+0.04)*(VLOOKUP(($F$16-$F$15)*2-1,U$99:Y176,4,FALSE)))*EXP(-(LN(2)/$D$65+0.1)*(VLOOKUP(($F$16-$F$15)*2-1,U$99:Y176,5,FALSE)))*EXP(-(LN(2)/$D$65+0.04)*X176)*EXP(-(LN(2)/$D$65+0.1)*Y176),"-"))),"-")</f>
        <v>-</v>
      </c>
      <c r="AB177" s="271" t="str">
        <f>IFERROR(IF(V177=1,AB$100*EXP(-(LN(2)/$D$65+0.04)*X177)*EXP(-(LN(2)/$D$65+0.1)*Y177),IF(V177=2,AB$100*EXP(-(LN(2)/$D$65+0.04)*(VLOOKUP(($F$16-$F$15)-1,U$100:Y177,4,FALSE)))*EXP(-(LN(2)/$D$65+0.1)*(VLOOKUP(($F$16-$F$15)-1,U$100:Y177,5,FALSE)))*EXP(-(LN(2)/$D$65+0.04)*X177)*EXP(-(LN(2)/$D$65+0.1)*Y177),IF(V177=3,AB$100*EXP(-(LN(2)/$D$65+0.04)*(VLOOKUP(($F$16-$F$15)-1,U$100:Y177,4,FALSE)))*EXP(-(LN(2)/$D$65+0.1)*(VLOOKUP(($F$16-$F$15)-1,U$100:Y177,5,FALSE)))*EXP(-(LN(2)/$D$65+0.04)*(VLOOKUP(($F$16-$F$15)*2-1,U$100:Y177,4,FALSE)))*EXP(-(LN(2)/$D$65+0.1)*(VLOOKUP(($F$16-$F$15)*2-1,U$100:Y177,5,FALSE)))*EXP(-(LN(2)/$D$65+0.04)*X177)*EXP(-(LN(2)/$D$65+0.1)*Y177),"-"))),"-")</f>
        <v>-</v>
      </c>
      <c r="AC177" s="224">
        <f t="shared" si="134"/>
        <v>77</v>
      </c>
      <c r="AD177" s="223" t="str">
        <f t="shared" si="108"/>
        <v>-</v>
      </c>
      <c r="AE177" s="224" t="str">
        <f t="shared" si="135"/>
        <v>-</v>
      </c>
      <c r="AF177" s="224" t="str">
        <f t="shared" si="109"/>
        <v>-</v>
      </c>
      <c r="AG177" s="224" t="str">
        <f t="shared" si="110"/>
        <v>-</v>
      </c>
      <c r="AH177" s="272">
        <f t="shared" si="136"/>
        <v>0.1</v>
      </c>
      <c r="AI177" s="271" t="str">
        <f>IFERROR(IF(AD176=1,AI$100*EXP(-(LN(2)/$D$65+0.04)*AF176)*EXP(-(LN(2)/$D$65+0.1)*AG176),IF(AD176=2,AI$100*EXP(-(LN(2)/$D$65+0.04)*(VLOOKUP(($F$16-$F$15)-1,AC$99:AG176,4,FALSE)))*EXP(-(LN(2)/$D$65+0.1)*(VLOOKUP(($F$16-$F$15)-1,AC$99:AG176,5,FALSE)))*EXP(-(LN(2)/$D$65+0.04)*AF176)*EXP(-(LN(2)/$D$65+0.1)*AG176),IF(AD176=3,AI$100*EXP(-(LN(2)/$D$65+0.04)*(VLOOKUP(($F$16-$F$15)-1,AC$99:AG176,4,FALSE)))*EXP(-(LN(2)/$D$65+0.1)*(VLOOKUP(($F$16-$F$15)-1,AC$99:AG176,5,FALSE)))*EXP(-(LN(2)/$D$65+0.04)*(VLOOKUP(($F$16-$F$15)*2-1,AC$99:AG176,4,FALSE)))*EXP(-(LN(2)/$D$65+0.1)*(VLOOKUP(($F$16-$F$15)*2-1,AC$99:AG176,5,FALSE)))*EXP(-(LN(2)/$D$65+0.04)*AF176)*EXP(-(LN(2)/$D$65+0.1)*AG176),"-"))),"-")</f>
        <v>-</v>
      </c>
      <c r="AJ177" s="271" t="str">
        <f>IFERROR(IF(AD177=1,AJ$100*EXP(-(LN(2)/$D$65+0.04)*AF177)*EXP(-(LN(2)/$D$65+0.1)*AG177),IF(AD177=2,AJ$100*EXP(-(LN(2)/$D$65+0.04)*(VLOOKUP(($F$16-$F$15)-1,AC$100:AG177,4,FALSE)))*EXP(-(LN(2)/$D$65+0.1)*(VLOOKUP(($F$16-$F$15)-1,AC$100:AG177,5,FALSE)))*EXP(-(LN(2)/$D$65+0.04)*AF177)*EXP(-(LN(2)/$D$65+0.1)*AG177),IF(AD177=3,AJ$100*EXP(-(LN(2)/$D$65+0.04)*(VLOOKUP(($F$16-$F$15)-1,AC$100:AG177,4,FALSE)))*EXP(-(LN(2)/$D$65+0.1)*(VLOOKUP(($F$16-$F$15)-1,AC$100:AG177,5,FALSE)))*EXP(-(LN(2)/$D$65+0.04)*(VLOOKUP(($F$16-$F$15)*2-1,AC$100:AG177,4,FALSE)))*EXP(-(LN(2)/$D$65+0.1)*(VLOOKUP(($F$16-$F$15)*2-1,AC$100:AG177,5,FALSE)))*EXP(-(LN(2)/$D$65+0.04)*AF177)*EXP(-(LN(2)/$D$65+0.1)*AG177),"-"))),"-")</f>
        <v>-</v>
      </c>
      <c r="AK177" s="227">
        <f t="shared" si="137"/>
        <v>77</v>
      </c>
      <c r="AL177" s="226" t="str">
        <f t="shared" si="111"/>
        <v>-</v>
      </c>
      <c r="AM177" s="227" t="str">
        <f t="shared" si="138"/>
        <v>-</v>
      </c>
      <c r="AN177" s="227" t="str">
        <f t="shared" si="139"/>
        <v>-</v>
      </c>
      <c r="AO177" s="227" t="str">
        <f t="shared" si="112"/>
        <v>-</v>
      </c>
      <c r="AP177" s="273">
        <f t="shared" si="140"/>
        <v>0.1</v>
      </c>
      <c r="AQ177" s="271" t="str">
        <f>IFERROR(IF(AL176=1,AQ$100*EXP(-(LN(2)/$D$65+0.04)*AN176)*EXP(-(LN(2)/$D$65+0.1)*AO176),IF(AL176=2,AQ$100*EXP(-(LN(2)/$D$65+0.04)*(VLOOKUP(($F$16-$F$15)-1,AK$99:AO176,4,FALSE)))*EXP(-(LN(2)/$D$65+0.1)*(VLOOKUP(($F$16-$F$15)-1,AK$99:AO176,5,FALSE)))*EXP(-(LN(2)/$D$65+0.04)*AN176)*EXP(-(LN(2)/$D$65+0.1)*AO176),IF(AL176=3,AQ$100*EXP(-(LN(2)/$D$65+0.04)*(VLOOKUP(($F$16-$F$15)-1,AK$99:AO176,4,FALSE)))*EXP(-(LN(2)/$D$65+0.1)*(VLOOKUP(($F$16-$F$15)-1,AK$99:AO176,5,FALSE)))*EXP(-(LN(2)/$D$65+0.04)*(VLOOKUP(($F$16-$F$15)*2-1,AK$99:AO176,4,FALSE)))*EXP(-(LN(2)/$D$65+0.1)*(VLOOKUP(($F$16-$F$15)*2-1,AK$99:AO176,5,FALSE)))*EXP(-(LN(2)/$D$65+0.04)*AN176)*EXP(-(LN(2)/$D$65+0.1)*AO176),"-"))),"-")</f>
        <v>-</v>
      </c>
      <c r="AR177" s="271" t="str">
        <f>IFERROR(IF(AL177=1,AR$100*EXP(-(LN(2)/$D$65+0.04)*AN177)*EXP(-(LN(2)/$D$65+0.1)*AO177),IF(AL177=2,AR$100*EXP(-(LN(2)/$D$65+0.04)*(VLOOKUP(($F$16-$F$15)-1,AK$100:AO177,4,FALSE)))*EXP(-(LN(2)/$D$65+0.1)*(VLOOKUP(($F$16-$F$15)-1,AK$100:AO177,5,FALSE)))*EXP(-(LN(2)/$D$65+0.04)*AN177)*EXP(-(LN(2)/$D$65+0.1)*AO177),IF(AL177=3,AR$100*EXP(-(LN(2)/$D$65+0.04)*(VLOOKUP(($F$16-$F$15)-1,AK$100:AO177,4,FALSE)))*EXP(-(LN(2)/$D$65+0.1)*(VLOOKUP(($F$16-$F$15)-1,AK$100:AO177,5,FALSE)))*EXP(-(LN(2)/$D$65+0.04)*(VLOOKUP(($F$16-$F$15)*2-1,AK$100:AO177,4,FALSE)))*EXP(-(LN(2)/$D$65+0.1)*(VLOOKUP(($F$16-$F$15)*2-1,AK$100:AO177,5,FALSE)))*EXP(-(LN(2)/$D$65+0.04)*AN177)*EXP(-(LN(2)/$D$65+0.1)*AO177),"-"))),"-")</f>
        <v>-</v>
      </c>
      <c r="AS177" s="274">
        <f t="shared" si="113"/>
        <v>0</v>
      </c>
      <c r="AT177" s="274">
        <f t="shared" si="114"/>
        <v>0</v>
      </c>
      <c r="AU177" s="274">
        <f t="shared" si="115"/>
        <v>0</v>
      </c>
      <c r="AV177" s="190" t="str">
        <f>IF($B177&lt;$F$22,SUM($T$100:$T177),"")</f>
        <v/>
      </c>
      <c r="AW177" s="190" t="str">
        <f t="shared" si="116"/>
        <v>-</v>
      </c>
      <c r="AX177" s="190" t="str">
        <f t="shared" si="141"/>
        <v/>
      </c>
      <c r="AY177"/>
      <c r="AZ177" s="190" t="str">
        <f ca="1">IF(ISNUMBER(OFFSET(AV177,-$F$21,0)),SUM(OFFSET($T$100,$F$21,0):$T177),"")</f>
        <v/>
      </c>
      <c r="BA177" s="190" t="str">
        <f t="shared" ca="1" si="117"/>
        <v/>
      </c>
      <c r="BB177" s="190" t="str">
        <f t="shared" ca="1" si="70"/>
        <v/>
      </c>
      <c r="BC177" s="190"/>
      <c r="BD177" s="190" t="str">
        <f ca="1">IFERROR(IF(OR(ISNUMBER(I),ISNUMBER($F$14)),IF(AND($B177&gt;=($F$16-$F$15),$B177&lt;$F$22+($F$16-$F$15)),SUM(OFFSET($T$100,($F$16-$F$15),0):$T177),""),""),"")</f>
        <v/>
      </c>
      <c r="BE177" s="190" t="str">
        <f t="shared" ca="1" si="142"/>
        <v/>
      </c>
      <c r="BF177" s="190" t="str">
        <f t="shared" ca="1" si="143"/>
        <v/>
      </c>
      <c r="BG177"/>
      <c r="BH177" s="190" t="str">
        <f ca="1">IF(ISNUMBER(OFFSET(BD177,-$F$21,0)),SUM(OFFSET($T$100,($F$16-$F$15+$F$21),0):$T177),"")</f>
        <v/>
      </c>
      <c r="BI177" s="190" t="str">
        <f t="shared" ca="1" si="118"/>
        <v/>
      </c>
      <c r="BJ177" s="190" t="str">
        <f t="shared" ca="1" si="144"/>
        <v/>
      </c>
      <c r="BK177" s="190"/>
      <c r="BL177" s="190" t="str">
        <f ca="1">IFERROR(IF(OR(ISNUMBER(I),ISNUMBER($F$14)),IF(AND($B177&gt;=($F$17-$F$15),$B177&lt;$F$22+($F$17-$F$15)),SUM(OFFSET($T$100,($F$17-$F$15),0):$T177),""),""),"")</f>
        <v/>
      </c>
      <c r="BM177" s="190" t="str">
        <f t="shared" ca="1" si="119"/>
        <v/>
      </c>
      <c r="BN177" s="190" t="str">
        <f t="shared" ca="1" si="145"/>
        <v/>
      </c>
      <c r="BO177"/>
      <c r="BP177" s="190" t="str">
        <f ca="1">IF(ISNUMBER(OFFSET(BL177,-$F$21,0)),SUM(OFFSET($T$100,($F$17-$F$15+$F$21),0):$T177),"")</f>
        <v/>
      </c>
      <c r="BQ177" s="190" t="str">
        <f t="shared" ca="1" si="120"/>
        <v/>
      </c>
      <c r="BR177" s="190" t="str">
        <f t="shared" ca="1" si="146"/>
        <v/>
      </c>
      <c r="BS177" s="190"/>
      <c r="BT177"/>
      <c r="BU177"/>
      <c r="BV177"/>
      <c r="BY177" s="99"/>
      <c r="BZ177" s="99"/>
      <c r="CA177" s="280" t="str">
        <f t="shared" si="121"/>
        <v/>
      </c>
      <c r="CB177" s="71" t="str">
        <f t="shared" si="122"/>
        <v>-</v>
      </c>
      <c r="CC177" s="33"/>
      <c r="CD177" s="261" t="str">
        <f t="shared" si="123"/>
        <v/>
      </c>
      <c r="CE177" s="280" t="str">
        <f t="shared" si="124"/>
        <v/>
      </c>
      <c r="CF177" s="71" t="str">
        <f t="shared" ca="1" si="125"/>
        <v/>
      </c>
      <c r="CG177" s="33" t="str">
        <f t="shared" si="126"/>
        <v/>
      </c>
      <c r="CH177" s="261" t="str">
        <f t="shared" ca="1" si="127"/>
        <v/>
      </c>
      <c r="CI177" s="202"/>
      <c r="CJ177" s="99"/>
      <c r="CK177" s="99"/>
      <c r="CL177" s="99"/>
      <c r="CM177" s="99"/>
      <c r="CN177" s="99"/>
      <c r="CO177" s="99"/>
    </row>
    <row r="178" spans="2:93" ht="13.5" customHeight="1" x14ac:dyDescent="0.2">
      <c r="B178" s="262">
        <v>78</v>
      </c>
      <c r="C178" s="237" t="str">
        <f t="shared" si="91"/>
        <v/>
      </c>
      <c r="D178" s="237" t="str">
        <f t="shared" si="147"/>
        <v/>
      </c>
      <c r="E178" s="290" t="str">
        <f t="shared" si="128"/>
        <v/>
      </c>
      <c r="F178" s="264" t="str">
        <f t="shared" si="129"/>
        <v/>
      </c>
      <c r="G178" s="291" t="str">
        <f t="shared" si="130"/>
        <v/>
      </c>
      <c r="H178" s="240" t="str">
        <f t="shared" si="92"/>
        <v/>
      </c>
      <c r="I178" s="265" t="str">
        <f t="shared" si="93"/>
        <v/>
      </c>
      <c r="J178" s="265" t="str">
        <f t="shared" si="94"/>
        <v/>
      </c>
      <c r="K178" s="240" t="str">
        <f t="shared" si="95"/>
        <v/>
      </c>
      <c r="L178" s="265" t="str">
        <f t="shared" si="96"/>
        <v/>
      </c>
      <c r="M178" s="265" t="str">
        <f t="shared" si="97"/>
        <v/>
      </c>
      <c r="N178" s="240" t="str">
        <f t="shared" si="98"/>
        <v>-</v>
      </c>
      <c r="O178" s="265" t="str">
        <f t="shared" si="99"/>
        <v>-</v>
      </c>
      <c r="P178" s="265" t="str">
        <f t="shared" si="100"/>
        <v>-</v>
      </c>
      <c r="Q178" s="266" t="str">
        <f t="shared" si="101"/>
        <v>-</v>
      </c>
      <c r="R178" s="267" t="str">
        <f t="shared" si="102"/>
        <v>-</v>
      </c>
      <c r="S178" s="268" t="str">
        <f t="shared" si="103"/>
        <v>-</v>
      </c>
      <c r="T178" s="269" t="str">
        <f t="shared" si="104"/>
        <v/>
      </c>
      <c r="U178" s="221">
        <f t="shared" si="105"/>
        <v>78</v>
      </c>
      <c r="V178" s="220" t="str">
        <f t="shared" si="131"/>
        <v>-</v>
      </c>
      <c r="W178" s="221" t="str">
        <f t="shared" si="132"/>
        <v>-</v>
      </c>
      <c r="X178" s="221" t="str">
        <f t="shared" si="106"/>
        <v>-</v>
      </c>
      <c r="Y178" s="221" t="str">
        <f t="shared" si="107"/>
        <v>-</v>
      </c>
      <c r="Z178" s="270">
        <f t="shared" si="133"/>
        <v>0.1</v>
      </c>
      <c r="AA178" s="271" t="str">
        <f>IFERROR(IF(V177=1,AA$100*EXP(-(LN(2)/$D$65+0.04)*X177)*EXP(-(LN(2)/$D$65+0.1)*Y177),IF(V177=2,AA$100*EXP(-(LN(2)/$D$65+0.04)*(VLOOKUP(($F$16-$F$15)-1,U$99:Y177,4,FALSE)))*EXP(-(LN(2)/$D$65+0.1)*(VLOOKUP(($F$16-$F$15)-1,U$99:Y177,5,FALSE)))*EXP(-(LN(2)/$D$65+0.04)*X177)*EXP(-(LN(2)/$D$65+0.1)*Y177),IF(V177=3,AA$100*EXP(-(LN(2)/$D$65+0.04)*(VLOOKUP(($F$16-$F$15)-1,U$99:Y177,4,FALSE)))*EXP(-(LN(2)/$D$65+0.1)*(VLOOKUP(($F$16-$F$15)-1,U$99:Y177,5,FALSE)))*EXP(-(LN(2)/$D$65+0.04)*(VLOOKUP(($F$16-$F$15)*2-1,U$99:Y177,4,FALSE)))*EXP(-(LN(2)/$D$65+0.1)*(VLOOKUP(($F$16-$F$15)*2-1,U$99:Y177,5,FALSE)))*EXP(-(LN(2)/$D$65+0.04)*X177)*EXP(-(LN(2)/$D$65+0.1)*Y177),"-"))),"-")</f>
        <v>-</v>
      </c>
      <c r="AB178" s="271" t="str">
        <f>IFERROR(IF(V178=1,AB$100*EXP(-(LN(2)/$D$65+0.04)*X178)*EXP(-(LN(2)/$D$65+0.1)*Y178),IF(V178=2,AB$100*EXP(-(LN(2)/$D$65+0.04)*(VLOOKUP(($F$16-$F$15)-1,U$100:Y178,4,FALSE)))*EXP(-(LN(2)/$D$65+0.1)*(VLOOKUP(($F$16-$F$15)-1,U$100:Y178,5,FALSE)))*EXP(-(LN(2)/$D$65+0.04)*X178)*EXP(-(LN(2)/$D$65+0.1)*Y178),IF(V178=3,AB$100*EXP(-(LN(2)/$D$65+0.04)*(VLOOKUP(($F$16-$F$15)-1,U$100:Y178,4,FALSE)))*EXP(-(LN(2)/$D$65+0.1)*(VLOOKUP(($F$16-$F$15)-1,U$100:Y178,5,FALSE)))*EXP(-(LN(2)/$D$65+0.04)*(VLOOKUP(($F$16-$F$15)*2-1,U$100:Y178,4,FALSE)))*EXP(-(LN(2)/$D$65+0.1)*(VLOOKUP(($F$16-$F$15)*2-1,U$100:Y178,5,FALSE)))*EXP(-(LN(2)/$D$65+0.04)*X178)*EXP(-(LN(2)/$D$65+0.1)*Y178),"-"))),"-")</f>
        <v>-</v>
      </c>
      <c r="AC178" s="224">
        <f t="shared" si="134"/>
        <v>78</v>
      </c>
      <c r="AD178" s="223" t="str">
        <f t="shared" si="108"/>
        <v>-</v>
      </c>
      <c r="AE178" s="224" t="str">
        <f t="shared" si="135"/>
        <v>-</v>
      </c>
      <c r="AF178" s="224" t="str">
        <f t="shared" si="109"/>
        <v>-</v>
      </c>
      <c r="AG178" s="224" t="str">
        <f t="shared" si="110"/>
        <v>-</v>
      </c>
      <c r="AH178" s="272">
        <f t="shared" si="136"/>
        <v>0.1</v>
      </c>
      <c r="AI178" s="271" t="str">
        <f>IFERROR(IF(AD177=1,AI$100*EXP(-(LN(2)/$D$65+0.04)*AF177)*EXP(-(LN(2)/$D$65+0.1)*AG177),IF(AD177=2,AI$100*EXP(-(LN(2)/$D$65+0.04)*(VLOOKUP(($F$16-$F$15)-1,AC$99:AG177,4,FALSE)))*EXP(-(LN(2)/$D$65+0.1)*(VLOOKUP(($F$16-$F$15)-1,AC$99:AG177,5,FALSE)))*EXP(-(LN(2)/$D$65+0.04)*AF177)*EXP(-(LN(2)/$D$65+0.1)*AG177),IF(AD177=3,AI$100*EXP(-(LN(2)/$D$65+0.04)*(VLOOKUP(($F$16-$F$15)-1,AC$99:AG177,4,FALSE)))*EXP(-(LN(2)/$D$65+0.1)*(VLOOKUP(($F$16-$F$15)-1,AC$99:AG177,5,FALSE)))*EXP(-(LN(2)/$D$65+0.04)*(VLOOKUP(($F$16-$F$15)*2-1,AC$99:AG177,4,FALSE)))*EXP(-(LN(2)/$D$65+0.1)*(VLOOKUP(($F$16-$F$15)*2-1,AC$99:AG177,5,FALSE)))*EXP(-(LN(2)/$D$65+0.04)*AF177)*EXP(-(LN(2)/$D$65+0.1)*AG177),"-"))),"-")</f>
        <v>-</v>
      </c>
      <c r="AJ178" s="271" t="str">
        <f>IFERROR(IF(AD178=1,AJ$100*EXP(-(LN(2)/$D$65+0.04)*AF178)*EXP(-(LN(2)/$D$65+0.1)*AG178),IF(AD178=2,AJ$100*EXP(-(LN(2)/$D$65+0.04)*(VLOOKUP(($F$16-$F$15)-1,AC$100:AG178,4,FALSE)))*EXP(-(LN(2)/$D$65+0.1)*(VLOOKUP(($F$16-$F$15)-1,AC$100:AG178,5,FALSE)))*EXP(-(LN(2)/$D$65+0.04)*AF178)*EXP(-(LN(2)/$D$65+0.1)*AG178),IF(AD178=3,AJ$100*EXP(-(LN(2)/$D$65+0.04)*(VLOOKUP(($F$16-$F$15)-1,AC$100:AG178,4,FALSE)))*EXP(-(LN(2)/$D$65+0.1)*(VLOOKUP(($F$16-$F$15)-1,AC$100:AG178,5,FALSE)))*EXP(-(LN(2)/$D$65+0.04)*(VLOOKUP(($F$16-$F$15)*2-1,AC$100:AG178,4,FALSE)))*EXP(-(LN(2)/$D$65+0.1)*(VLOOKUP(($F$16-$F$15)*2-1,AC$100:AG178,5,FALSE)))*EXP(-(LN(2)/$D$65+0.04)*AF178)*EXP(-(LN(2)/$D$65+0.1)*AG178),"-"))),"-")</f>
        <v>-</v>
      </c>
      <c r="AK178" s="227">
        <f t="shared" si="137"/>
        <v>78</v>
      </c>
      <c r="AL178" s="226" t="str">
        <f t="shared" si="111"/>
        <v>-</v>
      </c>
      <c r="AM178" s="227" t="str">
        <f t="shared" si="138"/>
        <v>-</v>
      </c>
      <c r="AN178" s="227" t="str">
        <f t="shared" si="139"/>
        <v>-</v>
      </c>
      <c r="AO178" s="227" t="str">
        <f t="shared" si="112"/>
        <v>-</v>
      </c>
      <c r="AP178" s="273">
        <f t="shared" si="140"/>
        <v>0.1</v>
      </c>
      <c r="AQ178" s="271" t="str">
        <f>IFERROR(IF(AL177=1,AQ$100*EXP(-(LN(2)/$D$65+0.04)*AN177)*EXP(-(LN(2)/$D$65+0.1)*AO177),IF(AL177=2,AQ$100*EXP(-(LN(2)/$D$65+0.04)*(VLOOKUP(($F$16-$F$15)-1,AK$99:AO177,4,FALSE)))*EXP(-(LN(2)/$D$65+0.1)*(VLOOKUP(($F$16-$F$15)-1,AK$99:AO177,5,FALSE)))*EXP(-(LN(2)/$D$65+0.04)*AN177)*EXP(-(LN(2)/$D$65+0.1)*AO177),IF(AL177=3,AQ$100*EXP(-(LN(2)/$D$65+0.04)*(VLOOKUP(($F$16-$F$15)-1,AK$99:AO177,4,FALSE)))*EXP(-(LN(2)/$D$65+0.1)*(VLOOKUP(($F$16-$F$15)-1,AK$99:AO177,5,FALSE)))*EXP(-(LN(2)/$D$65+0.04)*(VLOOKUP(($F$16-$F$15)*2-1,AK$99:AO177,4,FALSE)))*EXP(-(LN(2)/$D$65+0.1)*(VLOOKUP(($F$16-$F$15)*2-1,AK$99:AO177,5,FALSE)))*EXP(-(LN(2)/$D$65+0.04)*AN177)*EXP(-(LN(2)/$D$65+0.1)*AO177),"-"))),"-")</f>
        <v>-</v>
      </c>
      <c r="AR178" s="271" t="str">
        <f>IFERROR(IF(AL178=1,AR$100*EXP(-(LN(2)/$D$65+0.04)*AN178)*EXP(-(LN(2)/$D$65+0.1)*AO178),IF(AL178=2,AR$100*EXP(-(LN(2)/$D$65+0.04)*(VLOOKUP(($F$16-$F$15)-1,AK$100:AO178,4,FALSE)))*EXP(-(LN(2)/$D$65+0.1)*(VLOOKUP(($F$16-$F$15)-1,AK$100:AO178,5,FALSE)))*EXP(-(LN(2)/$D$65+0.04)*AN178)*EXP(-(LN(2)/$D$65+0.1)*AO178),IF(AL178=3,AR$100*EXP(-(LN(2)/$D$65+0.04)*(VLOOKUP(($F$16-$F$15)-1,AK$100:AO178,4,FALSE)))*EXP(-(LN(2)/$D$65+0.1)*(VLOOKUP(($F$16-$F$15)-1,AK$100:AO178,5,FALSE)))*EXP(-(LN(2)/$D$65+0.04)*(VLOOKUP(($F$16-$F$15)*2-1,AK$100:AO178,4,FALSE)))*EXP(-(LN(2)/$D$65+0.1)*(VLOOKUP(($F$16-$F$15)*2-1,AK$100:AO178,5,FALSE)))*EXP(-(LN(2)/$D$65+0.04)*AN178)*EXP(-(LN(2)/$D$65+0.1)*AO178),"-"))),"-")</f>
        <v>-</v>
      </c>
      <c r="AS178" s="274">
        <f t="shared" si="113"/>
        <v>0</v>
      </c>
      <c r="AT178" s="274">
        <f t="shared" si="114"/>
        <v>0</v>
      </c>
      <c r="AU178" s="274">
        <f t="shared" si="115"/>
        <v>0</v>
      </c>
      <c r="AV178" s="190" t="str">
        <f>IF($B178&lt;$F$22,SUM($T$100:$T178),"")</f>
        <v/>
      </c>
      <c r="AW178" s="190" t="str">
        <f t="shared" si="116"/>
        <v>-</v>
      </c>
      <c r="AX178" s="190" t="str">
        <f t="shared" si="141"/>
        <v/>
      </c>
      <c r="AY178"/>
      <c r="AZ178" s="190" t="str">
        <f ca="1">IF(ISNUMBER(OFFSET(AV178,-$F$21,0)),SUM(OFFSET($T$100,$F$21,0):$T178),"")</f>
        <v/>
      </c>
      <c r="BA178" s="190" t="str">
        <f t="shared" ca="1" si="117"/>
        <v/>
      </c>
      <c r="BB178" s="190" t="str">
        <f t="shared" ca="1" si="70"/>
        <v/>
      </c>
      <c r="BC178" s="190"/>
      <c r="BD178" s="190" t="str">
        <f ca="1">IFERROR(IF(OR(ISNUMBER(I),ISNUMBER($F$14)),IF(AND($B178&gt;=($F$16-$F$15),$B178&lt;$F$22+($F$16-$F$15)),SUM(OFFSET($T$100,($F$16-$F$15),0):$T178),""),""),"")</f>
        <v/>
      </c>
      <c r="BE178" s="190" t="str">
        <f t="shared" ca="1" si="142"/>
        <v/>
      </c>
      <c r="BF178" s="190" t="str">
        <f t="shared" ca="1" si="143"/>
        <v/>
      </c>
      <c r="BG178"/>
      <c r="BH178" s="190" t="str">
        <f ca="1">IF(ISNUMBER(OFFSET(BD178,-$F$21,0)),SUM(OFFSET($T$100,($F$16-$F$15+$F$21),0):$T178),"")</f>
        <v/>
      </c>
      <c r="BI178" s="190" t="str">
        <f t="shared" ca="1" si="118"/>
        <v/>
      </c>
      <c r="BJ178" s="190" t="str">
        <f t="shared" ca="1" si="144"/>
        <v/>
      </c>
      <c r="BK178" s="190"/>
      <c r="BL178" s="190" t="str">
        <f ca="1">IFERROR(IF(OR(ISNUMBER(I),ISNUMBER($F$14)),IF(AND($B178&gt;=($F$17-$F$15),$B178&lt;$F$22+($F$17-$F$15)),SUM(OFFSET($T$100,($F$17-$F$15),0):$T178),""),""),"")</f>
        <v/>
      </c>
      <c r="BM178" s="190" t="str">
        <f t="shared" ca="1" si="119"/>
        <v/>
      </c>
      <c r="BN178" s="190" t="str">
        <f t="shared" ca="1" si="145"/>
        <v/>
      </c>
      <c r="BO178"/>
      <c r="BP178" s="190" t="str">
        <f ca="1">IF(ISNUMBER(OFFSET(BL178,-$F$21,0)),SUM(OFFSET($T$100,($F$17-$F$15+$F$21),0):$T178),"")</f>
        <v/>
      </c>
      <c r="BQ178" s="190" t="str">
        <f t="shared" ca="1" si="120"/>
        <v/>
      </c>
      <c r="BR178" s="190" t="str">
        <f t="shared" ca="1" si="146"/>
        <v/>
      </c>
      <c r="BS178" s="190"/>
      <c r="BT178"/>
      <c r="BU178"/>
      <c r="BV178"/>
      <c r="BY178" s="99"/>
      <c r="BZ178" s="99"/>
      <c r="CA178" s="280" t="str">
        <f t="shared" si="121"/>
        <v/>
      </c>
      <c r="CB178" s="71" t="str">
        <f t="shared" si="122"/>
        <v>-</v>
      </c>
      <c r="CC178" s="33"/>
      <c r="CD178" s="261" t="str">
        <f t="shared" si="123"/>
        <v/>
      </c>
      <c r="CE178" s="280" t="str">
        <f t="shared" si="124"/>
        <v/>
      </c>
      <c r="CF178" s="71" t="str">
        <f t="shared" ca="1" si="125"/>
        <v/>
      </c>
      <c r="CG178" s="33" t="str">
        <f t="shared" si="126"/>
        <v/>
      </c>
      <c r="CH178" s="261" t="str">
        <f t="shared" ca="1" si="127"/>
        <v/>
      </c>
      <c r="CI178" s="202"/>
      <c r="CJ178" s="99"/>
      <c r="CK178" s="99"/>
      <c r="CL178" s="99"/>
      <c r="CM178" s="99"/>
      <c r="CN178" s="99"/>
      <c r="CO178" s="99"/>
    </row>
    <row r="179" spans="2:93" ht="13.5" customHeight="1" x14ac:dyDescent="0.2">
      <c r="B179" s="262">
        <v>79</v>
      </c>
      <c r="C179" s="237" t="str">
        <f t="shared" si="91"/>
        <v/>
      </c>
      <c r="D179" s="237" t="str">
        <f t="shared" si="147"/>
        <v/>
      </c>
      <c r="E179" s="290" t="str">
        <f t="shared" si="128"/>
        <v/>
      </c>
      <c r="F179" s="264" t="str">
        <f t="shared" si="129"/>
        <v/>
      </c>
      <c r="G179" s="291" t="str">
        <f t="shared" si="130"/>
        <v/>
      </c>
      <c r="H179" s="240" t="str">
        <f t="shared" si="92"/>
        <v/>
      </c>
      <c r="I179" s="265" t="str">
        <f t="shared" si="93"/>
        <v/>
      </c>
      <c r="J179" s="265" t="str">
        <f t="shared" si="94"/>
        <v/>
      </c>
      <c r="K179" s="240" t="str">
        <f t="shared" si="95"/>
        <v/>
      </c>
      <c r="L179" s="265" t="str">
        <f t="shared" si="96"/>
        <v/>
      </c>
      <c r="M179" s="265" t="str">
        <f t="shared" si="97"/>
        <v/>
      </c>
      <c r="N179" s="240" t="str">
        <f t="shared" si="98"/>
        <v>-</v>
      </c>
      <c r="O179" s="265" t="str">
        <f t="shared" si="99"/>
        <v>-</v>
      </c>
      <c r="P179" s="265" t="str">
        <f t="shared" si="100"/>
        <v>-</v>
      </c>
      <c r="Q179" s="266" t="str">
        <f t="shared" si="101"/>
        <v>-</v>
      </c>
      <c r="R179" s="267" t="str">
        <f t="shared" si="102"/>
        <v>-</v>
      </c>
      <c r="S179" s="268" t="str">
        <f t="shared" si="103"/>
        <v>-</v>
      </c>
      <c r="T179" s="269" t="str">
        <f t="shared" si="104"/>
        <v/>
      </c>
      <c r="U179" s="221">
        <f t="shared" si="105"/>
        <v>79</v>
      </c>
      <c r="V179" s="220" t="str">
        <f t="shared" si="131"/>
        <v>-</v>
      </c>
      <c r="W179" s="221" t="str">
        <f t="shared" si="132"/>
        <v>-</v>
      </c>
      <c r="X179" s="221" t="str">
        <f t="shared" si="106"/>
        <v>-</v>
      </c>
      <c r="Y179" s="221" t="str">
        <f t="shared" si="107"/>
        <v>-</v>
      </c>
      <c r="Z179" s="270">
        <f t="shared" si="133"/>
        <v>0.1</v>
      </c>
      <c r="AA179" s="271" t="str">
        <f>IFERROR(IF(V178=1,AA$100*EXP(-(LN(2)/$D$65+0.04)*X178)*EXP(-(LN(2)/$D$65+0.1)*Y178),IF(V178=2,AA$100*EXP(-(LN(2)/$D$65+0.04)*(VLOOKUP(($F$16-$F$15)-1,U$99:Y178,4,FALSE)))*EXP(-(LN(2)/$D$65+0.1)*(VLOOKUP(($F$16-$F$15)-1,U$99:Y178,5,FALSE)))*EXP(-(LN(2)/$D$65+0.04)*X178)*EXP(-(LN(2)/$D$65+0.1)*Y178),IF(V178=3,AA$100*EXP(-(LN(2)/$D$65+0.04)*(VLOOKUP(($F$16-$F$15)-1,U$99:Y178,4,FALSE)))*EXP(-(LN(2)/$D$65+0.1)*(VLOOKUP(($F$16-$F$15)-1,U$99:Y178,5,FALSE)))*EXP(-(LN(2)/$D$65+0.04)*(VLOOKUP(($F$16-$F$15)*2-1,U$99:Y178,4,FALSE)))*EXP(-(LN(2)/$D$65+0.1)*(VLOOKUP(($F$16-$F$15)*2-1,U$99:Y178,5,FALSE)))*EXP(-(LN(2)/$D$65+0.04)*X178)*EXP(-(LN(2)/$D$65+0.1)*Y178),"-"))),"-")</f>
        <v>-</v>
      </c>
      <c r="AB179" s="271" t="str">
        <f>IFERROR(IF(V179=1,AB$100*EXP(-(LN(2)/$D$65+0.04)*X179)*EXP(-(LN(2)/$D$65+0.1)*Y179),IF(V179=2,AB$100*EXP(-(LN(2)/$D$65+0.04)*(VLOOKUP(($F$16-$F$15)-1,U$100:Y179,4,FALSE)))*EXP(-(LN(2)/$D$65+0.1)*(VLOOKUP(($F$16-$F$15)-1,U$100:Y179,5,FALSE)))*EXP(-(LN(2)/$D$65+0.04)*X179)*EXP(-(LN(2)/$D$65+0.1)*Y179),IF(V179=3,AB$100*EXP(-(LN(2)/$D$65+0.04)*(VLOOKUP(($F$16-$F$15)-1,U$100:Y179,4,FALSE)))*EXP(-(LN(2)/$D$65+0.1)*(VLOOKUP(($F$16-$F$15)-1,U$100:Y179,5,FALSE)))*EXP(-(LN(2)/$D$65+0.04)*(VLOOKUP(($F$16-$F$15)*2-1,U$100:Y179,4,FALSE)))*EXP(-(LN(2)/$D$65+0.1)*(VLOOKUP(($F$16-$F$15)*2-1,U$100:Y179,5,FALSE)))*EXP(-(LN(2)/$D$65+0.04)*X179)*EXP(-(LN(2)/$D$65+0.1)*Y179),"-"))),"-")</f>
        <v>-</v>
      </c>
      <c r="AC179" s="224">
        <f t="shared" si="134"/>
        <v>79</v>
      </c>
      <c r="AD179" s="223" t="str">
        <f t="shared" si="108"/>
        <v>-</v>
      </c>
      <c r="AE179" s="224" t="str">
        <f t="shared" si="135"/>
        <v>-</v>
      </c>
      <c r="AF179" s="224" t="str">
        <f t="shared" si="109"/>
        <v>-</v>
      </c>
      <c r="AG179" s="224" t="str">
        <f t="shared" si="110"/>
        <v>-</v>
      </c>
      <c r="AH179" s="272">
        <f t="shared" si="136"/>
        <v>0.1</v>
      </c>
      <c r="AI179" s="271" t="str">
        <f>IFERROR(IF(AD178=1,AI$100*EXP(-(LN(2)/$D$65+0.04)*AF178)*EXP(-(LN(2)/$D$65+0.1)*AG178),IF(AD178=2,AI$100*EXP(-(LN(2)/$D$65+0.04)*(VLOOKUP(($F$16-$F$15)-1,AC$99:AG178,4,FALSE)))*EXP(-(LN(2)/$D$65+0.1)*(VLOOKUP(($F$16-$F$15)-1,AC$99:AG178,5,FALSE)))*EXP(-(LN(2)/$D$65+0.04)*AF178)*EXP(-(LN(2)/$D$65+0.1)*AG178),IF(AD178=3,AI$100*EXP(-(LN(2)/$D$65+0.04)*(VLOOKUP(($F$16-$F$15)-1,AC$99:AG178,4,FALSE)))*EXP(-(LN(2)/$D$65+0.1)*(VLOOKUP(($F$16-$F$15)-1,AC$99:AG178,5,FALSE)))*EXP(-(LN(2)/$D$65+0.04)*(VLOOKUP(($F$16-$F$15)*2-1,AC$99:AG178,4,FALSE)))*EXP(-(LN(2)/$D$65+0.1)*(VLOOKUP(($F$16-$F$15)*2-1,AC$99:AG178,5,FALSE)))*EXP(-(LN(2)/$D$65+0.04)*AF178)*EXP(-(LN(2)/$D$65+0.1)*AG178),"-"))),"-")</f>
        <v>-</v>
      </c>
      <c r="AJ179" s="271" t="str">
        <f>IFERROR(IF(AD179=1,AJ$100*EXP(-(LN(2)/$D$65+0.04)*AF179)*EXP(-(LN(2)/$D$65+0.1)*AG179),IF(AD179=2,AJ$100*EXP(-(LN(2)/$D$65+0.04)*(VLOOKUP(($F$16-$F$15)-1,AC$100:AG179,4,FALSE)))*EXP(-(LN(2)/$D$65+0.1)*(VLOOKUP(($F$16-$F$15)-1,AC$100:AG179,5,FALSE)))*EXP(-(LN(2)/$D$65+0.04)*AF179)*EXP(-(LN(2)/$D$65+0.1)*AG179),IF(AD179=3,AJ$100*EXP(-(LN(2)/$D$65+0.04)*(VLOOKUP(($F$16-$F$15)-1,AC$100:AG179,4,FALSE)))*EXP(-(LN(2)/$D$65+0.1)*(VLOOKUP(($F$16-$F$15)-1,AC$100:AG179,5,FALSE)))*EXP(-(LN(2)/$D$65+0.04)*(VLOOKUP(($F$16-$F$15)*2-1,AC$100:AG179,4,FALSE)))*EXP(-(LN(2)/$D$65+0.1)*(VLOOKUP(($F$16-$F$15)*2-1,AC$100:AG179,5,FALSE)))*EXP(-(LN(2)/$D$65+0.04)*AF179)*EXP(-(LN(2)/$D$65+0.1)*AG179),"-"))),"-")</f>
        <v>-</v>
      </c>
      <c r="AK179" s="227">
        <f t="shared" si="137"/>
        <v>79</v>
      </c>
      <c r="AL179" s="226" t="str">
        <f t="shared" si="111"/>
        <v>-</v>
      </c>
      <c r="AM179" s="227" t="str">
        <f t="shared" si="138"/>
        <v>-</v>
      </c>
      <c r="AN179" s="227" t="str">
        <f t="shared" si="139"/>
        <v>-</v>
      </c>
      <c r="AO179" s="227" t="str">
        <f t="shared" si="112"/>
        <v>-</v>
      </c>
      <c r="AP179" s="273">
        <f t="shared" si="140"/>
        <v>0.1</v>
      </c>
      <c r="AQ179" s="271" t="str">
        <f>IFERROR(IF(AL178=1,AQ$100*EXP(-(LN(2)/$D$65+0.04)*AN178)*EXP(-(LN(2)/$D$65+0.1)*AO178),IF(AL178=2,AQ$100*EXP(-(LN(2)/$D$65+0.04)*(VLOOKUP(($F$16-$F$15)-1,AK$99:AO178,4,FALSE)))*EXP(-(LN(2)/$D$65+0.1)*(VLOOKUP(($F$16-$F$15)-1,AK$99:AO178,5,FALSE)))*EXP(-(LN(2)/$D$65+0.04)*AN178)*EXP(-(LN(2)/$D$65+0.1)*AO178),IF(AL178=3,AQ$100*EXP(-(LN(2)/$D$65+0.04)*(VLOOKUP(($F$16-$F$15)-1,AK$99:AO178,4,FALSE)))*EXP(-(LN(2)/$D$65+0.1)*(VLOOKUP(($F$16-$F$15)-1,AK$99:AO178,5,FALSE)))*EXP(-(LN(2)/$D$65+0.04)*(VLOOKUP(($F$16-$F$15)*2-1,AK$99:AO178,4,FALSE)))*EXP(-(LN(2)/$D$65+0.1)*(VLOOKUP(($F$16-$F$15)*2-1,AK$99:AO178,5,FALSE)))*EXP(-(LN(2)/$D$65+0.04)*AN178)*EXP(-(LN(2)/$D$65+0.1)*AO178),"-"))),"-")</f>
        <v>-</v>
      </c>
      <c r="AR179" s="271" t="str">
        <f>IFERROR(IF(AL179=1,AR$100*EXP(-(LN(2)/$D$65+0.04)*AN179)*EXP(-(LN(2)/$D$65+0.1)*AO179),IF(AL179=2,AR$100*EXP(-(LN(2)/$D$65+0.04)*(VLOOKUP(($F$16-$F$15)-1,AK$100:AO179,4,FALSE)))*EXP(-(LN(2)/$D$65+0.1)*(VLOOKUP(($F$16-$F$15)-1,AK$100:AO179,5,FALSE)))*EXP(-(LN(2)/$D$65+0.04)*AN179)*EXP(-(LN(2)/$D$65+0.1)*AO179),IF(AL179=3,AR$100*EXP(-(LN(2)/$D$65+0.04)*(VLOOKUP(($F$16-$F$15)-1,AK$100:AO179,4,FALSE)))*EXP(-(LN(2)/$D$65+0.1)*(VLOOKUP(($F$16-$F$15)-1,AK$100:AO179,5,FALSE)))*EXP(-(LN(2)/$D$65+0.04)*(VLOOKUP(($F$16-$F$15)*2-1,AK$100:AO179,4,FALSE)))*EXP(-(LN(2)/$D$65+0.1)*(VLOOKUP(($F$16-$F$15)*2-1,AK$100:AO179,5,FALSE)))*EXP(-(LN(2)/$D$65+0.04)*AN179)*EXP(-(LN(2)/$D$65+0.1)*AO179),"-"))),"-")</f>
        <v>-</v>
      </c>
      <c r="AS179" s="274">
        <f t="shared" si="113"/>
        <v>0</v>
      </c>
      <c r="AT179" s="274">
        <f t="shared" si="114"/>
        <v>0</v>
      </c>
      <c r="AU179" s="274">
        <f t="shared" si="115"/>
        <v>0</v>
      </c>
      <c r="AV179" s="190" t="str">
        <f>IF($B179&lt;$F$22,SUM($T$100:$T179),"")</f>
        <v/>
      </c>
      <c r="AW179" s="190" t="str">
        <f t="shared" si="116"/>
        <v>-</v>
      </c>
      <c r="AX179" s="190" t="str">
        <f t="shared" si="141"/>
        <v/>
      </c>
      <c r="AY179"/>
      <c r="AZ179" s="190" t="str">
        <f ca="1">IF(ISNUMBER(OFFSET(AV179,-$F$21,0)),SUM(OFFSET($T$100,$F$21,0):$T179),"")</f>
        <v/>
      </c>
      <c r="BA179" s="190" t="str">
        <f t="shared" ca="1" si="117"/>
        <v/>
      </c>
      <c r="BB179" s="190" t="str">
        <f t="shared" ca="1" si="70"/>
        <v/>
      </c>
      <c r="BC179" s="190"/>
      <c r="BD179" s="190" t="str">
        <f ca="1">IFERROR(IF(OR(ISNUMBER(I),ISNUMBER($F$14)),IF(AND($B179&gt;=($F$16-$F$15),$B179&lt;$F$22+($F$16-$F$15)),SUM(OFFSET($T$100,($F$16-$F$15),0):$T179),""),""),"")</f>
        <v/>
      </c>
      <c r="BE179" s="190" t="str">
        <f t="shared" ca="1" si="142"/>
        <v/>
      </c>
      <c r="BF179" s="190" t="str">
        <f t="shared" ca="1" si="143"/>
        <v/>
      </c>
      <c r="BG179"/>
      <c r="BH179" s="190" t="str">
        <f ca="1">IF(ISNUMBER(OFFSET(BD179,-$F$21,0)),SUM(OFFSET($T$100,($F$16-$F$15+$F$21),0):$T179),"")</f>
        <v/>
      </c>
      <c r="BI179" s="190" t="str">
        <f t="shared" ca="1" si="118"/>
        <v/>
      </c>
      <c r="BJ179" s="190" t="str">
        <f t="shared" ca="1" si="144"/>
        <v/>
      </c>
      <c r="BK179" s="190"/>
      <c r="BL179" s="190" t="str">
        <f ca="1">IFERROR(IF(OR(ISNUMBER(I),ISNUMBER($F$14)),IF(AND($B179&gt;=($F$17-$F$15),$B179&lt;$F$22+($F$17-$F$15)),SUM(OFFSET($T$100,($F$17-$F$15),0):$T179),""),""),"")</f>
        <v/>
      </c>
      <c r="BM179" s="190" t="str">
        <f t="shared" ca="1" si="119"/>
        <v/>
      </c>
      <c r="BN179" s="190" t="str">
        <f t="shared" ca="1" si="145"/>
        <v/>
      </c>
      <c r="BO179"/>
      <c r="BP179" s="190" t="str">
        <f ca="1">IF(ISNUMBER(OFFSET(BL179,-$F$21,0)),SUM(OFFSET($T$100,($F$17-$F$15+$F$21),0):$T179),"")</f>
        <v/>
      </c>
      <c r="BQ179" s="190" t="str">
        <f t="shared" ca="1" si="120"/>
        <v/>
      </c>
      <c r="BR179" s="190" t="str">
        <f t="shared" ca="1" si="146"/>
        <v/>
      </c>
      <c r="BS179" s="190"/>
      <c r="BT179"/>
      <c r="BU179"/>
      <c r="BV179"/>
      <c r="BY179" s="99"/>
      <c r="BZ179" s="99"/>
      <c r="CA179" s="280" t="str">
        <f t="shared" si="121"/>
        <v/>
      </c>
      <c r="CB179" s="71" t="str">
        <f t="shared" si="122"/>
        <v>-</v>
      </c>
      <c r="CC179" s="33"/>
      <c r="CD179" s="261" t="str">
        <f t="shared" si="123"/>
        <v/>
      </c>
      <c r="CE179" s="280" t="str">
        <f t="shared" si="124"/>
        <v/>
      </c>
      <c r="CF179" s="71" t="str">
        <f t="shared" ca="1" si="125"/>
        <v/>
      </c>
      <c r="CG179" s="33" t="str">
        <f t="shared" si="126"/>
        <v/>
      </c>
      <c r="CH179" s="261" t="str">
        <f t="shared" ca="1" si="127"/>
        <v/>
      </c>
      <c r="CI179" s="202"/>
      <c r="CJ179" s="99"/>
      <c r="CK179" s="99"/>
      <c r="CL179" s="99"/>
      <c r="CM179" s="99"/>
      <c r="CN179" s="99"/>
      <c r="CO179" s="99"/>
    </row>
    <row r="180" spans="2:93" ht="13.5" customHeight="1" x14ac:dyDescent="0.2">
      <c r="B180" s="262">
        <v>80</v>
      </c>
      <c r="C180" s="237" t="str">
        <f t="shared" si="91"/>
        <v/>
      </c>
      <c r="D180" s="237" t="str">
        <f t="shared" si="147"/>
        <v/>
      </c>
      <c r="E180" s="263" t="str">
        <f t="shared" si="128"/>
        <v/>
      </c>
      <c r="F180" s="264" t="str">
        <f t="shared" si="129"/>
        <v/>
      </c>
      <c r="G180" s="306" t="str">
        <f t="shared" si="130"/>
        <v/>
      </c>
      <c r="H180" s="240" t="str">
        <f t="shared" si="92"/>
        <v/>
      </c>
      <c r="I180" s="265" t="str">
        <f t="shared" si="93"/>
        <v/>
      </c>
      <c r="J180" s="265" t="str">
        <f t="shared" si="94"/>
        <v/>
      </c>
      <c r="K180" s="240" t="str">
        <f t="shared" si="95"/>
        <v/>
      </c>
      <c r="L180" s="265" t="str">
        <f t="shared" si="96"/>
        <v/>
      </c>
      <c r="M180" s="265" t="str">
        <f t="shared" si="97"/>
        <v/>
      </c>
      <c r="N180" s="240" t="str">
        <f t="shared" si="98"/>
        <v>-</v>
      </c>
      <c r="O180" s="265" t="str">
        <f t="shared" si="99"/>
        <v>-</v>
      </c>
      <c r="P180" s="265" t="str">
        <f t="shared" si="100"/>
        <v>-</v>
      </c>
      <c r="Q180" s="266" t="str">
        <f t="shared" si="101"/>
        <v>-</v>
      </c>
      <c r="R180" s="267" t="str">
        <f t="shared" si="102"/>
        <v>-</v>
      </c>
      <c r="S180" s="268" t="str">
        <f t="shared" si="103"/>
        <v>-</v>
      </c>
      <c r="T180" s="269" t="str">
        <f t="shared" si="104"/>
        <v/>
      </c>
      <c r="U180" s="221">
        <f t="shared" si="105"/>
        <v>80</v>
      </c>
      <c r="V180" s="220" t="str">
        <f t="shared" si="131"/>
        <v>-</v>
      </c>
      <c r="W180" s="221" t="str">
        <f t="shared" si="132"/>
        <v>-</v>
      </c>
      <c r="X180" s="221" t="str">
        <f t="shared" si="106"/>
        <v>-</v>
      </c>
      <c r="Y180" s="221" t="str">
        <f t="shared" si="107"/>
        <v>-</v>
      </c>
      <c r="Z180" s="270">
        <f t="shared" si="133"/>
        <v>0.1</v>
      </c>
      <c r="AA180" s="271" t="str">
        <f>IFERROR(IF(V179=1,AA$100*EXP(-(LN(2)/$D$65+0.04)*X179)*EXP(-(LN(2)/$D$65+0.1)*Y179),IF(V179=2,AA$100*EXP(-(LN(2)/$D$65+0.04)*(VLOOKUP(($F$16-$F$15)-1,U$99:Y179,4,FALSE)))*EXP(-(LN(2)/$D$65+0.1)*(VLOOKUP(($F$16-$F$15)-1,U$99:Y179,5,FALSE)))*EXP(-(LN(2)/$D$65+0.04)*X179)*EXP(-(LN(2)/$D$65+0.1)*Y179),IF(V179=3,AA$100*EXP(-(LN(2)/$D$65+0.04)*(VLOOKUP(($F$16-$F$15)-1,U$99:Y179,4,FALSE)))*EXP(-(LN(2)/$D$65+0.1)*(VLOOKUP(($F$16-$F$15)-1,U$99:Y179,5,FALSE)))*EXP(-(LN(2)/$D$65+0.04)*(VLOOKUP(($F$16-$F$15)*2-1,U$99:Y179,4,FALSE)))*EXP(-(LN(2)/$D$65+0.1)*(VLOOKUP(($F$16-$F$15)*2-1,U$99:Y179,5,FALSE)))*EXP(-(LN(2)/$D$65+0.04)*X179)*EXP(-(LN(2)/$D$65+0.1)*Y179),"-"))),"-")</f>
        <v>-</v>
      </c>
      <c r="AB180" s="271" t="str">
        <f>IFERROR(IF(V180=1,AB$100*EXP(-(LN(2)/$D$65+0.04)*X180)*EXP(-(LN(2)/$D$65+0.1)*Y180),IF(V180=2,AB$100*EXP(-(LN(2)/$D$65+0.04)*(VLOOKUP(($F$16-$F$15)-1,U$100:Y180,4,FALSE)))*EXP(-(LN(2)/$D$65+0.1)*(VLOOKUP(($F$16-$F$15)-1,U$100:Y180,5,FALSE)))*EXP(-(LN(2)/$D$65+0.04)*X180)*EXP(-(LN(2)/$D$65+0.1)*Y180),IF(V180=3,AB$100*EXP(-(LN(2)/$D$65+0.04)*(VLOOKUP(($F$16-$F$15)-1,U$100:Y180,4,FALSE)))*EXP(-(LN(2)/$D$65+0.1)*(VLOOKUP(($F$16-$F$15)-1,U$100:Y180,5,FALSE)))*EXP(-(LN(2)/$D$65+0.04)*(VLOOKUP(($F$16-$F$15)*2-1,U$100:Y180,4,FALSE)))*EXP(-(LN(2)/$D$65+0.1)*(VLOOKUP(($F$16-$F$15)*2-1,U$100:Y180,5,FALSE)))*EXP(-(LN(2)/$D$65+0.04)*X180)*EXP(-(LN(2)/$D$65+0.1)*Y180),"-"))),"-")</f>
        <v>-</v>
      </c>
      <c r="AC180" s="224">
        <f t="shared" si="134"/>
        <v>80</v>
      </c>
      <c r="AD180" s="223" t="str">
        <f t="shared" si="108"/>
        <v>-</v>
      </c>
      <c r="AE180" s="224" t="str">
        <f t="shared" si="135"/>
        <v>-</v>
      </c>
      <c r="AF180" s="224" t="str">
        <f t="shared" si="109"/>
        <v>-</v>
      </c>
      <c r="AG180" s="224" t="str">
        <f t="shared" si="110"/>
        <v>-</v>
      </c>
      <c r="AH180" s="272">
        <f t="shared" si="136"/>
        <v>0.1</v>
      </c>
      <c r="AI180" s="271" t="str">
        <f>IFERROR(IF(AD179=1,AI$100*EXP(-(LN(2)/$D$65+0.04)*AF179)*EXP(-(LN(2)/$D$65+0.1)*AG179),IF(AD179=2,AI$100*EXP(-(LN(2)/$D$65+0.04)*(VLOOKUP(($F$16-$F$15)-1,AC$99:AG179,4,FALSE)))*EXP(-(LN(2)/$D$65+0.1)*(VLOOKUP(($F$16-$F$15)-1,AC$99:AG179,5,FALSE)))*EXP(-(LN(2)/$D$65+0.04)*AF179)*EXP(-(LN(2)/$D$65+0.1)*AG179),IF(AD179=3,AI$100*EXP(-(LN(2)/$D$65+0.04)*(VLOOKUP(($F$16-$F$15)-1,AC$99:AG179,4,FALSE)))*EXP(-(LN(2)/$D$65+0.1)*(VLOOKUP(($F$16-$F$15)-1,AC$99:AG179,5,FALSE)))*EXP(-(LN(2)/$D$65+0.04)*(VLOOKUP(($F$16-$F$15)*2-1,AC$99:AG179,4,FALSE)))*EXP(-(LN(2)/$D$65+0.1)*(VLOOKUP(($F$16-$F$15)*2-1,AC$99:AG179,5,FALSE)))*EXP(-(LN(2)/$D$65+0.04)*AF179)*EXP(-(LN(2)/$D$65+0.1)*AG179),"-"))),"-")</f>
        <v>-</v>
      </c>
      <c r="AJ180" s="271" t="str">
        <f>IFERROR(IF(AD180=1,AJ$100*EXP(-(LN(2)/$D$65+0.04)*AF180)*EXP(-(LN(2)/$D$65+0.1)*AG180),IF(AD180=2,AJ$100*EXP(-(LN(2)/$D$65+0.04)*(VLOOKUP(($F$16-$F$15)-1,AC$100:AG180,4,FALSE)))*EXP(-(LN(2)/$D$65+0.1)*(VLOOKUP(($F$16-$F$15)-1,AC$100:AG180,5,FALSE)))*EXP(-(LN(2)/$D$65+0.04)*AF180)*EXP(-(LN(2)/$D$65+0.1)*AG180),IF(AD180=3,AJ$100*EXP(-(LN(2)/$D$65+0.04)*(VLOOKUP(($F$16-$F$15)-1,AC$100:AG180,4,FALSE)))*EXP(-(LN(2)/$D$65+0.1)*(VLOOKUP(($F$16-$F$15)-1,AC$100:AG180,5,FALSE)))*EXP(-(LN(2)/$D$65+0.04)*(VLOOKUP(($F$16-$F$15)*2-1,AC$100:AG180,4,FALSE)))*EXP(-(LN(2)/$D$65+0.1)*(VLOOKUP(($F$16-$F$15)*2-1,AC$100:AG180,5,FALSE)))*EXP(-(LN(2)/$D$65+0.04)*AF180)*EXP(-(LN(2)/$D$65+0.1)*AG180),"-"))),"-")</f>
        <v>-</v>
      </c>
      <c r="AK180" s="227">
        <f t="shared" si="137"/>
        <v>80</v>
      </c>
      <c r="AL180" s="226" t="str">
        <f t="shared" si="111"/>
        <v>-</v>
      </c>
      <c r="AM180" s="227" t="str">
        <f t="shared" si="138"/>
        <v>-</v>
      </c>
      <c r="AN180" s="227" t="str">
        <f t="shared" si="139"/>
        <v>-</v>
      </c>
      <c r="AO180" s="227" t="str">
        <f t="shared" si="112"/>
        <v>-</v>
      </c>
      <c r="AP180" s="273">
        <f t="shared" si="140"/>
        <v>0.1</v>
      </c>
      <c r="AQ180" s="271" t="str">
        <f>IFERROR(IF(AL179=1,AQ$100*EXP(-(LN(2)/$D$65+0.04)*AN179)*EXP(-(LN(2)/$D$65+0.1)*AO179),IF(AL179=2,AQ$100*EXP(-(LN(2)/$D$65+0.04)*(VLOOKUP(($F$16-$F$15)-1,AK$99:AO179,4,FALSE)))*EXP(-(LN(2)/$D$65+0.1)*(VLOOKUP(($F$16-$F$15)-1,AK$99:AO179,5,FALSE)))*EXP(-(LN(2)/$D$65+0.04)*AN179)*EXP(-(LN(2)/$D$65+0.1)*AO179),IF(AL179=3,AQ$100*EXP(-(LN(2)/$D$65+0.04)*(VLOOKUP(($F$16-$F$15)-1,AK$99:AO179,4,FALSE)))*EXP(-(LN(2)/$D$65+0.1)*(VLOOKUP(($F$16-$F$15)-1,AK$99:AO179,5,FALSE)))*EXP(-(LN(2)/$D$65+0.04)*(VLOOKUP(($F$16-$F$15)*2-1,AK$99:AO179,4,FALSE)))*EXP(-(LN(2)/$D$65+0.1)*(VLOOKUP(($F$16-$F$15)*2-1,AK$99:AO179,5,FALSE)))*EXP(-(LN(2)/$D$65+0.04)*AN179)*EXP(-(LN(2)/$D$65+0.1)*AO179),"-"))),"-")</f>
        <v>-</v>
      </c>
      <c r="AR180" s="271" t="str">
        <f>IFERROR(IF(AL180=1,AR$100*EXP(-(LN(2)/$D$65+0.04)*AN180)*EXP(-(LN(2)/$D$65+0.1)*AO180),IF(AL180=2,AR$100*EXP(-(LN(2)/$D$65+0.04)*(VLOOKUP(($F$16-$F$15)-1,AK$100:AO180,4,FALSE)))*EXP(-(LN(2)/$D$65+0.1)*(VLOOKUP(($F$16-$F$15)-1,AK$100:AO180,5,FALSE)))*EXP(-(LN(2)/$D$65+0.04)*AN180)*EXP(-(LN(2)/$D$65+0.1)*AO180),IF(AL180=3,AR$100*EXP(-(LN(2)/$D$65+0.04)*(VLOOKUP(($F$16-$F$15)-1,AK$100:AO180,4,FALSE)))*EXP(-(LN(2)/$D$65+0.1)*(VLOOKUP(($F$16-$F$15)-1,AK$100:AO180,5,FALSE)))*EXP(-(LN(2)/$D$65+0.04)*(VLOOKUP(($F$16-$F$15)*2-1,AK$100:AO180,4,FALSE)))*EXP(-(LN(2)/$D$65+0.1)*(VLOOKUP(($F$16-$F$15)*2-1,AK$100:AO180,5,FALSE)))*EXP(-(LN(2)/$D$65+0.04)*AN180)*EXP(-(LN(2)/$D$65+0.1)*AO180),"-"))),"-")</f>
        <v>-</v>
      </c>
      <c r="AS180" s="274">
        <f t="shared" si="113"/>
        <v>0</v>
      </c>
      <c r="AT180" s="274">
        <f t="shared" si="114"/>
        <v>0</v>
      </c>
      <c r="AU180" s="274">
        <f t="shared" si="115"/>
        <v>0</v>
      </c>
      <c r="AV180" s="190" t="str">
        <f>IF($B180&lt;$F$22,SUM($T$100:$T180),"")</f>
        <v/>
      </c>
      <c r="AW180" s="190" t="str">
        <f t="shared" si="116"/>
        <v>-</v>
      </c>
      <c r="AX180" s="190" t="str">
        <f t="shared" si="141"/>
        <v/>
      </c>
      <c r="AY180"/>
      <c r="AZ180" s="190" t="str">
        <f ca="1">IF(ISNUMBER(OFFSET(AV180,-$F$21,0)),SUM(OFFSET($T$100,$F$21,0):$T180),"")</f>
        <v/>
      </c>
      <c r="BA180" s="190" t="str">
        <f t="shared" ca="1" si="117"/>
        <v/>
      </c>
      <c r="BB180" s="190" t="str">
        <f t="shared" ca="1" si="70"/>
        <v/>
      </c>
      <c r="BC180" s="190"/>
      <c r="BD180" s="190" t="str">
        <f ca="1">IFERROR(IF(OR(ISNUMBER(I),ISNUMBER($F$14)),IF(AND($B180&gt;=($F$16-$F$15),$B180&lt;$F$22+($F$16-$F$15)),SUM(OFFSET($T$100,($F$16-$F$15),0):$T180),""),""),"")</f>
        <v/>
      </c>
      <c r="BE180" s="190" t="str">
        <f t="shared" ca="1" si="142"/>
        <v/>
      </c>
      <c r="BF180" s="190" t="str">
        <f t="shared" ca="1" si="143"/>
        <v/>
      </c>
      <c r="BG180"/>
      <c r="BH180" s="190" t="str">
        <f ca="1">IF(ISNUMBER(OFFSET(BD180,-$F$21,0)),SUM(OFFSET($T$100,($F$16-$F$15+$F$21),0):$T180),"")</f>
        <v/>
      </c>
      <c r="BI180" s="190" t="str">
        <f t="shared" ca="1" si="118"/>
        <v/>
      </c>
      <c r="BJ180" s="190" t="str">
        <f t="shared" ca="1" si="144"/>
        <v/>
      </c>
      <c r="BK180" s="190"/>
      <c r="BL180" s="190" t="str">
        <f ca="1">IFERROR(IF(OR(ISNUMBER(I),ISNUMBER($F$14)),IF(AND($B180&gt;=($F$17-$F$15),$B180&lt;$F$22+($F$17-$F$15)),SUM(OFFSET($T$100,($F$17-$F$15),0):$T180),""),""),"")</f>
        <v/>
      </c>
      <c r="BM180" s="190" t="str">
        <f t="shared" ca="1" si="119"/>
        <v/>
      </c>
      <c r="BN180" s="190" t="str">
        <f t="shared" ca="1" si="145"/>
        <v/>
      </c>
      <c r="BO180"/>
      <c r="BP180" s="190" t="str">
        <f ca="1">IF(ISNUMBER(OFFSET(BL180,-$F$21,0)),SUM(OFFSET($T$100,($F$17-$F$15+$F$21),0):$T180),"")</f>
        <v/>
      </c>
      <c r="BQ180" s="190" t="str">
        <f t="shared" ca="1" si="120"/>
        <v/>
      </c>
      <c r="BR180" s="190" t="str">
        <f t="shared" ca="1" si="146"/>
        <v/>
      </c>
      <c r="BS180" s="190"/>
      <c r="BT180"/>
      <c r="BU180"/>
      <c r="BV180"/>
      <c r="BY180" s="99"/>
      <c r="BZ180" s="99"/>
      <c r="CA180" s="280" t="str">
        <f t="shared" si="121"/>
        <v/>
      </c>
      <c r="CB180" s="71" t="str">
        <f t="shared" si="122"/>
        <v>-</v>
      </c>
      <c r="CC180" s="33"/>
      <c r="CD180" s="261" t="str">
        <f t="shared" si="123"/>
        <v/>
      </c>
      <c r="CE180" s="280" t="str">
        <f t="shared" si="124"/>
        <v/>
      </c>
      <c r="CF180" s="71" t="str">
        <f t="shared" ca="1" si="125"/>
        <v/>
      </c>
      <c r="CG180" s="33" t="str">
        <f t="shared" si="126"/>
        <v/>
      </c>
      <c r="CH180" s="261" t="str">
        <f t="shared" ca="1" si="127"/>
        <v/>
      </c>
      <c r="CI180" s="202"/>
      <c r="CJ180" s="99"/>
      <c r="CK180" s="99"/>
      <c r="CL180" s="99"/>
      <c r="CM180" s="99"/>
      <c r="CN180" s="99"/>
      <c r="CO180" s="99"/>
    </row>
    <row r="181" spans="2:93" ht="13.5" customHeight="1" x14ac:dyDescent="0.2">
      <c r="B181" s="262">
        <v>81</v>
      </c>
      <c r="C181" s="237" t="str">
        <f t="shared" si="91"/>
        <v/>
      </c>
      <c r="D181" s="237" t="str">
        <f t="shared" si="147"/>
        <v/>
      </c>
      <c r="E181" s="263" t="str">
        <f t="shared" si="128"/>
        <v/>
      </c>
      <c r="F181" s="264" t="str">
        <f t="shared" si="129"/>
        <v/>
      </c>
      <c r="G181" s="306" t="str">
        <f t="shared" si="130"/>
        <v/>
      </c>
      <c r="H181" s="240" t="str">
        <f t="shared" si="92"/>
        <v/>
      </c>
      <c r="I181" s="265" t="str">
        <f t="shared" si="93"/>
        <v/>
      </c>
      <c r="J181" s="265" t="str">
        <f t="shared" si="94"/>
        <v/>
      </c>
      <c r="K181" s="240" t="str">
        <f t="shared" si="95"/>
        <v/>
      </c>
      <c r="L181" s="265" t="str">
        <f t="shared" si="96"/>
        <v/>
      </c>
      <c r="M181" s="265" t="str">
        <f t="shared" si="97"/>
        <v/>
      </c>
      <c r="N181" s="240" t="str">
        <f t="shared" si="98"/>
        <v>-</v>
      </c>
      <c r="O181" s="265" t="str">
        <f t="shared" si="99"/>
        <v>-</v>
      </c>
      <c r="P181" s="265" t="str">
        <f t="shared" si="100"/>
        <v>-</v>
      </c>
      <c r="Q181" s="266" t="str">
        <f t="shared" si="101"/>
        <v>-</v>
      </c>
      <c r="R181" s="267" t="str">
        <f t="shared" si="102"/>
        <v>-</v>
      </c>
      <c r="S181" s="268" t="str">
        <f t="shared" si="103"/>
        <v>-</v>
      </c>
      <c r="T181" s="269" t="str">
        <f t="shared" si="104"/>
        <v/>
      </c>
      <c r="U181" s="221">
        <f t="shared" si="105"/>
        <v>81</v>
      </c>
      <c r="V181" s="220" t="str">
        <f t="shared" si="131"/>
        <v>-</v>
      </c>
      <c r="W181" s="221" t="str">
        <f t="shared" si="132"/>
        <v>-</v>
      </c>
      <c r="X181" s="221" t="str">
        <f t="shared" si="106"/>
        <v>-</v>
      </c>
      <c r="Y181" s="221" t="str">
        <f t="shared" si="107"/>
        <v>-</v>
      </c>
      <c r="Z181" s="270">
        <f t="shared" si="133"/>
        <v>0.1</v>
      </c>
      <c r="AA181" s="271" t="str">
        <f>IFERROR(IF(V180=1,AA$100*EXP(-(LN(2)/$D$65+0.04)*X180)*EXP(-(LN(2)/$D$65+0.1)*Y180),IF(V180=2,AA$100*EXP(-(LN(2)/$D$65+0.04)*(VLOOKUP(($F$16-$F$15)-1,U$99:Y180,4,FALSE)))*EXP(-(LN(2)/$D$65+0.1)*(VLOOKUP(($F$16-$F$15)-1,U$99:Y180,5,FALSE)))*EXP(-(LN(2)/$D$65+0.04)*X180)*EXP(-(LN(2)/$D$65+0.1)*Y180),IF(V180=3,AA$100*EXP(-(LN(2)/$D$65+0.04)*(VLOOKUP(($F$16-$F$15)-1,U$99:Y180,4,FALSE)))*EXP(-(LN(2)/$D$65+0.1)*(VLOOKUP(($F$16-$F$15)-1,U$99:Y180,5,FALSE)))*EXP(-(LN(2)/$D$65+0.04)*(VLOOKUP(($F$16-$F$15)*2-1,U$99:Y180,4,FALSE)))*EXP(-(LN(2)/$D$65+0.1)*(VLOOKUP(($F$16-$F$15)*2-1,U$99:Y180,5,FALSE)))*EXP(-(LN(2)/$D$65+0.04)*X180)*EXP(-(LN(2)/$D$65+0.1)*Y180),"-"))),"-")</f>
        <v>-</v>
      </c>
      <c r="AB181" s="271" t="str">
        <f>IFERROR(IF(V181=1,AB$100*EXP(-(LN(2)/$D$65+0.04)*X181)*EXP(-(LN(2)/$D$65+0.1)*Y181),IF(V181=2,AB$100*EXP(-(LN(2)/$D$65+0.04)*(VLOOKUP(($F$16-$F$15)-1,U$100:Y181,4,FALSE)))*EXP(-(LN(2)/$D$65+0.1)*(VLOOKUP(($F$16-$F$15)-1,U$100:Y181,5,FALSE)))*EXP(-(LN(2)/$D$65+0.04)*X181)*EXP(-(LN(2)/$D$65+0.1)*Y181),IF(V181=3,AB$100*EXP(-(LN(2)/$D$65+0.04)*(VLOOKUP(($F$16-$F$15)-1,U$100:Y181,4,FALSE)))*EXP(-(LN(2)/$D$65+0.1)*(VLOOKUP(($F$16-$F$15)-1,U$100:Y181,5,FALSE)))*EXP(-(LN(2)/$D$65+0.04)*(VLOOKUP(($F$16-$F$15)*2-1,U$100:Y181,4,FALSE)))*EXP(-(LN(2)/$D$65+0.1)*(VLOOKUP(($F$16-$F$15)*2-1,U$100:Y181,5,FALSE)))*EXP(-(LN(2)/$D$65+0.04)*X181)*EXP(-(LN(2)/$D$65+0.1)*Y181),"-"))),"-")</f>
        <v>-</v>
      </c>
      <c r="AC181" s="224">
        <f t="shared" si="134"/>
        <v>81</v>
      </c>
      <c r="AD181" s="223" t="str">
        <f t="shared" si="108"/>
        <v>-</v>
      </c>
      <c r="AE181" s="224" t="str">
        <f t="shared" si="135"/>
        <v>-</v>
      </c>
      <c r="AF181" s="224" t="str">
        <f t="shared" si="109"/>
        <v>-</v>
      </c>
      <c r="AG181" s="224" t="str">
        <f t="shared" si="110"/>
        <v>-</v>
      </c>
      <c r="AH181" s="272">
        <f t="shared" si="136"/>
        <v>0.1</v>
      </c>
      <c r="AI181" s="271" t="str">
        <f>IFERROR(IF(AD180=1,AI$100*EXP(-(LN(2)/$D$65+0.04)*AF180)*EXP(-(LN(2)/$D$65+0.1)*AG180),IF(AD180=2,AI$100*EXP(-(LN(2)/$D$65+0.04)*(VLOOKUP(($F$16-$F$15)-1,AC$99:AG180,4,FALSE)))*EXP(-(LN(2)/$D$65+0.1)*(VLOOKUP(($F$16-$F$15)-1,AC$99:AG180,5,FALSE)))*EXP(-(LN(2)/$D$65+0.04)*AF180)*EXP(-(LN(2)/$D$65+0.1)*AG180),IF(AD180=3,AI$100*EXP(-(LN(2)/$D$65+0.04)*(VLOOKUP(($F$16-$F$15)-1,AC$99:AG180,4,FALSE)))*EXP(-(LN(2)/$D$65+0.1)*(VLOOKUP(($F$16-$F$15)-1,AC$99:AG180,5,FALSE)))*EXP(-(LN(2)/$D$65+0.04)*(VLOOKUP(($F$16-$F$15)*2-1,AC$99:AG180,4,FALSE)))*EXP(-(LN(2)/$D$65+0.1)*(VLOOKUP(($F$16-$F$15)*2-1,AC$99:AG180,5,FALSE)))*EXP(-(LN(2)/$D$65+0.04)*AF180)*EXP(-(LN(2)/$D$65+0.1)*AG180),"-"))),"-")</f>
        <v>-</v>
      </c>
      <c r="AJ181" s="271" t="str">
        <f>IFERROR(IF(AD181=1,AJ$100*EXP(-(LN(2)/$D$65+0.04)*AF181)*EXP(-(LN(2)/$D$65+0.1)*AG181),IF(AD181=2,AJ$100*EXP(-(LN(2)/$D$65+0.04)*(VLOOKUP(($F$16-$F$15)-1,AC$100:AG181,4,FALSE)))*EXP(-(LN(2)/$D$65+0.1)*(VLOOKUP(($F$16-$F$15)-1,AC$100:AG181,5,FALSE)))*EXP(-(LN(2)/$D$65+0.04)*AF181)*EXP(-(LN(2)/$D$65+0.1)*AG181),IF(AD181=3,AJ$100*EXP(-(LN(2)/$D$65+0.04)*(VLOOKUP(($F$16-$F$15)-1,AC$100:AG181,4,FALSE)))*EXP(-(LN(2)/$D$65+0.1)*(VLOOKUP(($F$16-$F$15)-1,AC$100:AG181,5,FALSE)))*EXP(-(LN(2)/$D$65+0.04)*(VLOOKUP(($F$16-$F$15)*2-1,AC$100:AG181,4,FALSE)))*EXP(-(LN(2)/$D$65+0.1)*(VLOOKUP(($F$16-$F$15)*2-1,AC$100:AG181,5,FALSE)))*EXP(-(LN(2)/$D$65+0.04)*AF181)*EXP(-(LN(2)/$D$65+0.1)*AG181),"-"))),"-")</f>
        <v>-</v>
      </c>
      <c r="AK181" s="227">
        <f t="shared" si="137"/>
        <v>81</v>
      </c>
      <c r="AL181" s="226" t="str">
        <f t="shared" si="111"/>
        <v>-</v>
      </c>
      <c r="AM181" s="227" t="str">
        <f t="shared" si="138"/>
        <v>-</v>
      </c>
      <c r="AN181" s="227" t="str">
        <f t="shared" si="139"/>
        <v>-</v>
      </c>
      <c r="AO181" s="227" t="str">
        <f t="shared" si="112"/>
        <v>-</v>
      </c>
      <c r="AP181" s="273">
        <f t="shared" si="140"/>
        <v>0.1</v>
      </c>
      <c r="AQ181" s="271" t="str">
        <f>IFERROR(IF(AL180=1,AQ$100*EXP(-(LN(2)/$D$65+0.04)*AN180)*EXP(-(LN(2)/$D$65+0.1)*AO180),IF(AL180=2,AQ$100*EXP(-(LN(2)/$D$65+0.04)*(VLOOKUP(($F$16-$F$15)-1,AK$99:AO180,4,FALSE)))*EXP(-(LN(2)/$D$65+0.1)*(VLOOKUP(($F$16-$F$15)-1,AK$99:AO180,5,FALSE)))*EXP(-(LN(2)/$D$65+0.04)*AN180)*EXP(-(LN(2)/$D$65+0.1)*AO180),IF(AL180=3,AQ$100*EXP(-(LN(2)/$D$65+0.04)*(VLOOKUP(($F$16-$F$15)-1,AK$99:AO180,4,FALSE)))*EXP(-(LN(2)/$D$65+0.1)*(VLOOKUP(($F$16-$F$15)-1,AK$99:AO180,5,FALSE)))*EXP(-(LN(2)/$D$65+0.04)*(VLOOKUP(($F$16-$F$15)*2-1,AK$99:AO180,4,FALSE)))*EXP(-(LN(2)/$D$65+0.1)*(VLOOKUP(($F$16-$F$15)*2-1,AK$99:AO180,5,FALSE)))*EXP(-(LN(2)/$D$65+0.04)*AN180)*EXP(-(LN(2)/$D$65+0.1)*AO180),"-"))),"-")</f>
        <v>-</v>
      </c>
      <c r="AR181" s="271" t="str">
        <f>IFERROR(IF(AL181=1,AR$100*EXP(-(LN(2)/$D$65+0.04)*AN181)*EXP(-(LN(2)/$D$65+0.1)*AO181),IF(AL181=2,AR$100*EXP(-(LN(2)/$D$65+0.04)*(VLOOKUP(($F$16-$F$15)-1,AK$100:AO181,4,FALSE)))*EXP(-(LN(2)/$D$65+0.1)*(VLOOKUP(($F$16-$F$15)-1,AK$100:AO181,5,FALSE)))*EXP(-(LN(2)/$D$65+0.04)*AN181)*EXP(-(LN(2)/$D$65+0.1)*AO181),IF(AL181=3,AR$100*EXP(-(LN(2)/$D$65+0.04)*(VLOOKUP(($F$16-$F$15)-1,AK$100:AO181,4,FALSE)))*EXP(-(LN(2)/$D$65+0.1)*(VLOOKUP(($F$16-$F$15)-1,AK$100:AO181,5,FALSE)))*EXP(-(LN(2)/$D$65+0.04)*(VLOOKUP(($F$16-$F$15)*2-1,AK$100:AO181,4,FALSE)))*EXP(-(LN(2)/$D$65+0.1)*(VLOOKUP(($F$16-$F$15)*2-1,AK$100:AO181,5,FALSE)))*EXP(-(LN(2)/$D$65+0.04)*AN181)*EXP(-(LN(2)/$D$65+0.1)*AO181),"-"))),"-")</f>
        <v>-</v>
      </c>
      <c r="AS181" s="274">
        <f t="shared" si="113"/>
        <v>0</v>
      </c>
      <c r="AT181" s="274">
        <f t="shared" si="114"/>
        <v>0</v>
      </c>
      <c r="AU181" s="274">
        <f t="shared" si="115"/>
        <v>0</v>
      </c>
      <c r="AV181" s="190" t="str">
        <f>IF($B181&lt;$F$22,SUM($T$100:$T181),"")</f>
        <v/>
      </c>
      <c r="AW181" s="190" t="str">
        <f t="shared" si="116"/>
        <v>-</v>
      </c>
      <c r="AX181" s="190" t="str">
        <f t="shared" si="141"/>
        <v/>
      </c>
      <c r="AY181"/>
      <c r="AZ181" s="190" t="str">
        <f ca="1">IF(ISNUMBER(OFFSET(AV181,-$F$21,0)),SUM(OFFSET($T$100,$F$21,0):$T181),"")</f>
        <v/>
      </c>
      <c r="BA181" s="190" t="str">
        <f t="shared" ca="1" si="117"/>
        <v/>
      </c>
      <c r="BB181" s="190" t="str">
        <f t="shared" ca="1" si="70"/>
        <v/>
      </c>
      <c r="BC181" s="190"/>
      <c r="BD181" s="190" t="str">
        <f ca="1">IFERROR(IF(OR(ISNUMBER(I),ISNUMBER($F$14)),IF(AND($B181&gt;=($F$16-$F$15),$B181&lt;$F$22+($F$16-$F$15)),SUM(OFFSET($T$100,($F$16-$F$15),0):$T181),""),""),"")</f>
        <v/>
      </c>
      <c r="BE181" s="190" t="str">
        <f t="shared" ca="1" si="142"/>
        <v/>
      </c>
      <c r="BF181" s="190" t="str">
        <f t="shared" ca="1" si="143"/>
        <v/>
      </c>
      <c r="BG181"/>
      <c r="BH181" s="190" t="str">
        <f ca="1">IF(ISNUMBER(OFFSET(BD181,-$F$21,0)),SUM(OFFSET($T$100,($F$16-$F$15+$F$21),0):$T181),"")</f>
        <v/>
      </c>
      <c r="BI181" s="190" t="str">
        <f t="shared" ca="1" si="118"/>
        <v/>
      </c>
      <c r="BJ181" s="190" t="str">
        <f t="shared" ca="1" si="144"/>
        <v/>
      </c>
      <c r="BK181" s="190"/>
      <c r="BL181" s="190" t="str">
        <f ca="1">IFERROR(IF(OR(ISNUMBER(I),ISNUMBER($F$14)),IF(AND($B181&gt;=($F$17-$F$15),$B181&lt;$F$22+($F$17-$F$15)),SUM(OFFSET($T$100,($F$17-$F$15),0):$T181),""),""),"")</f>
        <v/>
      </c>
      <c r="BM181" s="190" t="str">
        <f t="shared" ca="1" si="119"/>
        <v/>
      </c>
      <c r="BN181" s="190" t="str">
        <f t="shared" ca="1" si="145"/>
        <v/>
      </c>
      <c r="BO181"/>
      <c r="BP181" s="190" t="str">
        <f ca="1">IF(ISNUMBER(OFFSET(BL181,-$F$21,0)),SUM(OFFSET($T$100,($F$17-$F$15+$F$21),0):$T181),"")</f>
        <v/>
      </c>
      <c r="BQ181" s="190" t="str">
        <f t="shared" ca="1" si="120"/>
        <v/>
      </c>
      <c r="BR181" s="190" t="str">
        <f t="shared" ca="1" si="146"/>
        <v/>
      </c>
      <c r="BS181" s="190"/>
      <c r="BT181"/>
      <c r="BU181"/>
      <c r="BV181"/>
      <c r="BY181" s="99"/>
      <c r="BZ181" s="99"/>
      <c r="CA181" s="280" t="str">
        <f t="shared" si="121"/>
        <v/>
      </c>
      <c r="CB181" s="71" t="str">
        <f t="shared" si="122"/>
        <v>-</v>
      </c>
      <c r="CC181" s="33"/>
      <c r="CD181" s="261" t="str">
        <f t="shared" si="123"/>
        <v/>
      </c>
      <c r="CE181" s="280" t="str">
        <f t="shared" si="124"/>
        <v/>
      </c>
      <c r="CF181" s="71" t="str">
        <f t="shared" ca="1" si="125"/>
        <v/>
      </c>
      <c r="CG181" s="33" t="str">
        <f t="shared" si="126"/>
        <v/>
      </c>
      <c r="CH181" s="261" t="str">
        <f t="shared" ca="1" si="127"/>
        <v/>
      </c>
      <c r="CI181" s="202"/>
      <c r="CJ181" s="99"/>
      <c r="CK181" s="99"/>
      <c r="CL181" s="99"/>
      <c r="CM181" s="99"/>
      <c r="CN181" s="99"/>
      <c r="CO181" s="99"/>
    </row>
    <row r="182" spans="2:93" ht="13.5" customHeight="1" x14ac:dyDescent="0.2">
      <c r="B182" s="262">
        <v>82</v>
      </c>
      <c r="C182" s="237" t="str">
        <f t="shared" si="91"/>
        <v/>
      </c>
      <c r="D182" s="237" t="str">
        <f t="shared" si="147"/>
        <v/>
      </c>
      <c r="E182" s="263" t="str">
        <f t="shared" si="128"/>
        <v/>
      </c>
      <c r="F182" s="264" t="str">
        <f t="shared" si="129"/>
        <v/>
      </c>
      <c r="G182" s="306" t="str">
        <f t="shared" si="130"/>
        <v/>
      </c>
      <c r="H182" s="240" t="str">
        <f t="shared" si="92"/>
        <v/>
      </c>
      <c r="I182" s="265" t="str">
        <f t="shared" si="93"/>
        <v/>
      </c>
      <c r="J182" s="265" t="str">
        <f t="shared" si="94"/>
        <v/>
      </c>
      <c r="K182" s="240" t="str">
        <f t="shared" si="95"/>
        <v/>
      </c>
      <c r="L182" s="265" t="str">
        <f t="shared" si="96"/>
        <v/>
      </c>
      <c r="M182" s="265" t="str">
        <f t="shared" si="97"/>
        <v/>
      </c>
      <c r="N182" s="240" t="str">
        <f t="shared" si="98"/>
        <v>-</v>
      </c>
      <c r="O182" s="265" t="str">
        <f t="shared" si="99"/>
        <v>-</v>
      </c>
      <c r="P182" s="265" t="str">
        <f t="shared" si="100"/>
        <v>-</v>
      </c>
      <c r="Q182" s="266" t="str">
        <f t="shared" si="101"/>
        <v>-</v>
      </c>
      <c r="R182" s="267" t="str">
        <f t="shared" si="102"/>
        <v>-</v>
      </c>
      <c r="S182" s="268" t="str">
        <f t="shared" si="103"/>
        <v>-</v>
      </c>
      <c r="T182" s="269" t="str">
        <f t="shared" si="104"/>
        <v/>
      </c>
      <c r="U182" s="221">
        <f t="shared" si="105"/>
        <v>82</v>
      </c>
      <c r="V182" s="220" t="str">
        <f t="shared" si="131"/>
        <v>-</v>
      </c>
      <c r="W182" s="221" t="str">
        <f t="shared" si="132"/>
        <v>-</v>
      </c>
      <c r="X182" s="221" t="str">
        <f t="shared" si="106"/>
        <v>-</v>
      </c>
      <c r="Y182" s="221" t="str">
        <f t="shared" si="107"/>
        <v>-</v>
      </c>
      <c r="Z182" s="270">
        <f t="shared" si="133"/>
        <v>0.1</v>
      </c>
      <c r="AA182" s="271" t="str">
        <f>IFERROR(IF(V181=1,AA$100*EXP(-(LN(2)/$D$65+0.04)*X181)*EXP(-(LN(2)/$D$65+0.1)*Y181),IF(V181=2,AA$100*EXP(-(LN(2)/$D$65+0.04)*(VLOOKUP(($F$16-$F$15)-1,U$99:Y181,4,FALSE)))*EXP(-(LN(2)/$D$65+0.1)*(VLOOKUP(($F$16-$F$15)-1,U$99:Y181,5,FALSE)))*EXP(-(LN(2)/$D$65+0.04)*X181)*EXP(-(LN(2)/$D$65+0.1)*Y181),IF(V181=3,AA$100*EXP(-(LN(2)/$D$65+0.04)*(VLOOKUP(($F$16-$F$15)-1,U$99:Y181,4,FALSE)))*EXP(-(LN(2)/$D$65+0.1)*(VLOOKUP(($F$16-$F$15)-1,U$99:Y181,5,FALSE)))*EXP(-(LN(2)/$D$65+0.04)*(VLOOKUP(($F$16-$F$15)*2-1,U$99:Y181,4,FALSE)))*EXP(-(LN(2)/$D$65+0.1)*(VLOOKUP(($F$16-$F$15)*2-1,U$99:Y181,5,FALSE)))*EXP(-(LN(2)/$D$65+0.04)*X181)*EXP(-(LN(2)/$D$65+0.1)*Y181),"-"))),"-")</f>
        <v>-</v>
      </c>
      <c r="AB182" s="271" t="str">
        <f>IFERROR(IF(V182=1,AB$100*EXP(-(LN(2)/$D$65+0.04)*X182)*EXP(-(LN(2)/$D$65+0.1)*Y182),IF(V182=2,AB$100*EXP(-(LN(2)/$D$65+0.04)*(VLOOKUP(($F$16-$F$15)-1,U$100:Y182,4,FALSE)))*EXP(-(LN(2)/$D$65+0.1)*(VLOOKUP(($F$16-$F$15)-1,U$100:Y182,5,FALSE)))*EXP(-(LN(2)/$D$65+0.04)*X182)*EXP(-(LN(2)/$D$65+0.1)*Y182),IF(V182=3,AB$100*EXP(-(LN(2)/$D$65+0.04)*(VLOOKUP(($F$16-$F$15)-1,U$100:Y182,4,FALSE)))*EXP(-(LN(2)/$D$65+0.1)*(VLOOKUP(($F$16-$F$15)-1,U$100:Y182,5,FALSE)))*EXP(-(LN(2)/$D$65+0.04)*(VLOOKUP(($F$16-$F$15)*2-1,U$100:Y182,4,FALSE)))*EXP(-(LN(2)/$D$65+0.1)*(VLOOKUP(($F$16-$F$15)*2-1,U$100:Y182,5,FALSE)))*EXP(-(LN(2)/$D$65+0.04)*X182)*EXP(-(LN(2)/$D$65+0.1)*Y182),"-"))),"-")</f>
        <v>-</v>
      </c>
      <c r="AC182" s="224">
        <f t="shared" si="134"/>
        <v>82</v>
      </c>
      <c r="AD182" s="223" t="str">
        <f t="shared" si="108"/>
        <v>-</v>
      </c>
      <c r="AE182" s="224" t="str">
        <f t="shared" si="135"/>
        <v>-</v>
      </c>
      <c r="AF182" s="224" t="str">
        <f t="shared" si="109"/>
        <v>-</v>
      </c>
      <c r="AG182" s="224" t="str">
        <f t="shared" si="110"/>
        <v>-</v>
      </c>
      <c r="AH182" s="272">
        <f t="shared" si="136"/>
        <v>0.1</v>
      </c>
      <c r="AI182" s="271" t="str">
        <f>IFERROR(IF(AD181=1,AI$100*EXP(-(LN(2)/$D$65+0.04)*AF181)*EXP(-(LN(2)/$D$65+0.1)*AG181),IF(AD181=2,AI$100*EXP(-(LN(2)/$D$65+0.04)*(VLOOKUP(($F$16-$F$15)-1,AC$99:AG181,4,FALSE)))*EXP(-(LN(2)/$D$65+0.1)*(VLOOKUP(($F$16-$F$15)-1,AC$99:AG181,5,FALSE)))*EXP(-(LN(2)/$D$65+0.04)*AF181)*EXP(-(LN(2)/$D$65+0.1)*AG181),IF(AD181=3,AI$100*EXP(-(LN(2)/$D$65+0.04)*(VLOOKUP(($F$16-$F$15)-1,AC$99:AG181,4,FALSE)))*EXP(-(LN(2)/$D$65+0.1)*(VLOOKUP(($F$16-$F$15)-1,AC$99:AG181,5,FALSE)))*EXP(-(LN(2)/$D$65+0.04)*(VLOOKUP(($F$16-$F$15)*2-1,AC$99:AG181,4,FALSE)))*EXP(-(LN(2)/$D$65+0.1)*(VLOOKUP(($F$16-$F$15)*2-1,AC$99:AG181,5,FALSE)))*EXP(-(LN(2)/$D$65+0.04)*AF181)*EXP(-(LN(2)/$D$65+0.1)*AG181),"-"))),"-")</f>
        <v>-</v>
      </c>
      <c r="AJ182" s="271" t="str">
        <f>IFERROR(IF(AD182=1,AJ$100*EXP(-(LN(2)/$D$65+0.04)*AF182)*EXP(-(LN(2)/$D$65+0.1)*AG182),IF(AD182=2,AJ$100*EXP(-(LN(2)/$D$65+0.04)*(VLOOKUP(($F$16-$F$15)-1,AC$100:AG182,4,FALSE)))*EXP(-(LN(2)/$D$65+0.1)*(VLOOKUP(($F$16-$F$15)-1,AC$100:AG182,5,FALSE)))*EXP(-(LN(2)/$D$65+0.04)*AF182)*EXP(-(LN(2)/$D$65+0.1)*AG182),IF(AD182=3,AJ$100*EXP(-(LN(2)/$D$65+0.04)*(VLOOKUP(($F$16-$F$15)-1,AC$100:AG182,4,FALSE)))*EXP(-(LN(2)/$D$65+0.1)*(VLOOKUP(($F$16-$F$15)-1,AC$100:AG182,5,FALSE)))*EXP(-(LN(2)/$D$65+0.04)*(VLOOKUP(($F$16-$F$15)*2-1,AC$100:AG182,4,FALSE)))*EXP(-(LN(2)/$D$65+0.1)*(VLOOKUP(($F$16-$F$15)*2-1,AC$100:AG182,5,FALSE)))*EXP(-(LN(2)/$D$65+0.04)*AF182)*EXP(-(LN(2)/$D$65+0.1)*AG182),"-"))),"-")</f>
        <v>-</v>
      </c>
      <c r="AK182" s="227">
        <f t="shared" si="137"/>
        <v>82</v>
      </c>
      <c r="AL182" s="226" t="str">
        <f t="shared" si="111"/>
        <v>-</v>
      </c>
      <c r="AM182" s="227" t="str">
        <f t="shared" si="138"/>
        <v>-</v>
      </c>
      <c r="AN182" s="227" t="str">
        <f t="shared" si="139"/>
        <v>-</v>
      </c>
      <c r="AO182" s="227" t="str">
        <f t="shared" si="112"/>
        <v>-</v>
      </c>
      <c r="AP182" s="273">
        <f t="shared" si="140"/>
        <v>0.1</v>
      </c>
      <c r="AQ182" s="271" t="str">
        <f>IFERROR(IF(AL181=1,AQ$100*EXP(-(LN(2)/$D$65+0.04)*AN181)*EXP(-(LN(2)/$D$65+0.1)*AO181),IF(AL181=2,AQ$100*EXP(-(LN(2)/$D$65+0.04)*(VLOOKUP(($F$16-$F$15)-1,AK$99:AO181,4,FALSE)))*EXP(-(LN(2)/$D$65+0.1)*(VLOOKUP(($F$16-$F$15)-1,AK$99:AO181,5,FALSE)))*EXP(-(LN(2)/$D$65+0.04)*AN181)*EXP(-(LN(2)/$D$65+0.1)*AO181),IF(AL181=3,AQ$100*EXP(-(LN(2)/$D$65+0.04)*(VLOOKUP(($F$16-$F$15)-1,AK$99:AO181,4,FALSE)))*EXP(-(LN(2)/$D$65+0.1)*(VLOOKUP(($F$16-$F$15)-1,AK$99:AO181,5,FALSE)))*EXP(-(LN(2)/$D$65+0.04)*(VLOOKUP(($F$16-$F$15)*2-1,AK$99:AO181,4,FALSE)))*EXP(-(LN(2)/$D$65+0.1)*(VLOOKUP(($F$16-$F$15)*2-1,AK$99:AO181,5,FALSE)))*EXP(-(LN(2)/$D$65+0.04)*AN181)*EXP(-(LN(2)/$D$65+0.1)*AO181),"-"))),"-")</f>
        <v>-</v>
      </c>
      <c r="AR182" s="271" t="str">
        <f>IFERROR(IF(AL182=1,AR$100*EXP(-(LN(2)/$D$65+0.04)*AN182)*EXP(-(LN(2)/$D$65+0.1)*AO182),IF(AL182=2,AR$100*EXP(-(LN(2)/$D$65+0.04)*(VLOOKUP(($F$16-$F$15)-1,AK$100:AO182,4,FALSE)))*EXP(-(LN(2)/$D$65+0.1)*(VLOOKUP(($F$16-$F$15)-1,AK$100:AO182,5,FALSE)))*EXP(-(LN(2)/$D$65+0.04)*AN182)*EXP(-(LN(2)/$D$65+0.1)*AO182),IF(AL182=3,AR$100*EXP(-(LN(2)/$D$65+0.04)*(VLOOKUP(($F$16-$F$15)-1,AK$100:AO182,4,FALSE)))*EXP(-(LN(2)/$D$65+0.1)*(VLOOKUP(($F$16-$F$15)-1,AK$100:AO182,5,FALSE)))*EXP(-(LN(2)/$D$65+0.04)*(VLOOKUP(($F$16-$F$15)*2-1,AK$100:AO182,4,FALSE)))*EXP(-(LN(2)/$D$65+0.1)*(VLOOKUP(($F$16-$F$15)*2-1,AK$100:AO182,5,FALSE)))*EXP(-(LN(2)/$D$65+0.04)*AN182)*EXP(-(LN(2)/$D$65+0.1)*AO182),"-"))),"-")</f>
        <v>-</v>
      </c>
      <c r="AS182" s="274">
        <f t="shared" si="113"/>
        <v>0</v>
      </c>
      <c r="AT182" s="274">
        <f t="shared" si="114"/>
        <v>0</v>
      </c>
      <c r="AU182" s="274">
        <f t="shared" si="115"/>
        <v>0</v>
      </c>
      <c r="AV182" s="190" t="str">
        <f>IF($B182&lt;$F$22,SUM($T$100:$T182),"")</f>
        <v/>
      </c>
      <c r="AW182" s="190" t="str">
        <f t="shared" si="116"/>
        <v>-</v>
      </c>
      <c r="AX182" s="190" t="str">
        <f t="shared" si="141"/>
        <v/>
      </c>
      <c r="AY182"/>
      <c r="AZ182" s="190" t="str">
        <f ca="1">IF(ISNUMBER(OFFSET(AV182,-$F$21,0)),SUM(OFFSET($T$100,$F$21,0):$T182),"")</f>
        <v/>
      </c>
      <c r="BA182" s="190" t="str">
        <f t="shared" ca="1" si="117"/>
        <v/>
      </c>
      <c r="BB182" s="190" t="str">
        <f t="shared" ca="1" si="70"/>
        <v/>
      </c>
      <c r="BC182" s="190"/>
      <c r="BD182" s="190" t="str">
        <f ca="1">IFERROR(IF(OR(ISNUMBER(I),ISNUMBER($F$14)),IF(AND($B182&gt;=($F$16-$F$15),$B182&lt;$F$22+($F$16-$F$15)),SUM(OFFSET($T$100,($F$16-$F$15),0):$T182),""),""),"")</f>
        <v/>
      </c>
      <c r="BE182" s="190" t="str">
        <f t="shared" ca="1" si="142"/>
        <v/>
      </c>
      <c r="BF182" s="190" t="str">
        <f t="shared" ca="1" si="143"/>
        <v/>
      </c>
      <c r="BG182"/>
      <c r="BH182" s="190" t="str">
        <f ca="1">IF(ISNUMBER(OFFSET(BD182,-$F$21,0)),SUM(OFFSET($T$100,($F$16-$F$15+$F$21),0):$T182),"")</f>
        <v/>
      </c>
      <c r="BI182" s="190" t="str">
        <f t="shared" ca="1" si="118"/>
        <v/>
      </c>
      <c r="BJ182" s="190" t="str">
        <f t="shared" ca="1" si="144"/>
        <v/>
      </c>
      <c r="BK182" s="190"/>
      <c r="BL182" s="190" t="str">
        <f ca="1">IFERROR(IF(OR(ISNUMBER(I),ISNUMBER($F$14)),IF(AND($B182&gt;=($F$17-$F$15),$B182&lt;$F$22+($F$17-$F$15)),SUM(OFFSET($T$100,($F$17-$F$15),0):$T182),""),""),"")</f>
        <v/>
      </c>
      <c r="BM182" s="190" t="str">
        <f t="shared" ca="1" si="119"/>
        <v/>
      </c>
      <c r="BN182" s="190" t="str">
        <f t="shared" ca="1" si="145"/>
        <v/>
      </c>
      <c r="BO182"/>
      <c r="BP182" s="190" t="str">
        <f ca="1">IF(ISNUMBER(OFFSET(BL182,-$F$21,0)),SUM(OFFSET($T$100,($F$17-$F$15+$F$21),0):$T182),"")</f>
        <v/>
      </c>
      <c r="BQ182" s="190" t="str">
        <f t="shared" ca="1" si="120"/>
        <v/>
      </c>
      <c r="BR182" s="190" t="str">
        <f t="shared" ca="1" si="146"/>
        <v/>
      </c>
      <c r="BS182" s="190"/>
      <c r="BT182"/>
      <c r="BU182"/>
      <c r="BV182"/>
      <c r="BY182" s="99"/>
      <c r="BZ182" s="99"/>
      <c r="CA182" s="280" t="str">
        <f t="shared" si="121"/>
        <v/>
      </c>
      <c r="CB182" s="71" t="str">
        <f t="shared" si="122"/>
        <v>-</v>
      </c>
      <c r="CC182" s="33"/>
      <c r="CD182" s="261" t="str">
        <f t="shared" si="123"/>
        <v/>
      </c>
      <c r="CE182" s="280" t="str">
        <f t="shared" si="124"/>
        <v/>
      </c>
      <c r="CF182" s="71" t="str">
        <f t="shared" ca="1" si="125"/>
        <v/>
      </c>
      <c r="CG182" s="33" t="str">
        <f t="shared" si="126"/>
        <v/>
      </c>
      <c r="CH182" s="261" t="str">
        <f t="shared" ca="1" si="127"/>
        <v/>
      </c>
      <c r="CI182" s="202"/>
      <c r="CJ182" s="99"/>
      <c r="CK182" s="99"/>
      <c r="CL182" s="99"/>
      <c r="CM182" s="99"/>
      <c r="CN182" s="99"/>
      <c r="CO182" s="99"/>
    </row>
    <row r="183" spans="2:93" ht="13.5" customHeight="1" x14ac:dyDescent="0.2">
      <c r="B183" s="262">
        <v>83</v>
      </c>
      <c r="C183" s="237" t="str">
        <f t="shared" si="91"/>
        <v/>
      </c>
      <c r="D183" s="237" t="str">
        <f t="shared" si="147"/>
        <v/>
      </c>
      <c r="E183" s="263" t="str">
        <f t="shared" si="128"/>
        <v/>
      </c>
      <c r="F183" s="264" t="str">
        <f t="shared" si="129"/>
        <v/>
      </c>
      <c r="G183" s="306" t="str">
        <f t="shared" si="130"/>
        <v/>
      </c>
      <c r="H183" s="240" t="str">
        <f t="shared" si="92"/>
        <v/>
      </c>
      <c r="I183" s="265" t="str">
        <f t="shared" si="93"/>
        <v/>
      </c>
      <c r="J183" s="265" t="str">
        <f t="shared" si="94"/>
        <v/>
      </c>
      <c r="K183" s="240" t="str">
        <f t="shared" si="95"/>
        <v/>
      </c>
      <c r="L183" s="265" t="str">
        <f t="shared" si="96"/>
        <v/>
      </c>
      <c r="M183" s="265" t="str">
        <f t="shared" si="97"/>
        <v/>
      </c>
      <c r="N183" s="240" t="str">
        <f t="shared" si="98"/>
        <v>-</v>
      </c>
      <c r="O183" s="265" t="str">
        <f t="shared" si="99"/>
        <v>-</v>
      </c>
      <c r="P183" s="265" t="str">
        <f t="shared" si="100"/>
        <v>-</v>
      </c>
      <c r="Q183" s="266" t="str">
        <f t="shared" si="101"/>
        <v>-</v>
      </c>
      <c r="R183" s="267" t="str">
        <f t="shared" si="102"/>
        <v>-</v>
      </c>
      <c r="S183" s="268" t="str">
        <f t="shared" si="103"/>
        <v>-</v>
      </c>
      <c r="T183" s="269" t="str">
        <f t="shared" si="104"/>
        <v/>
      </c>
      <c r="U183" s="221">
        <f t="shared" si="105"/>
        <v>83</v>
      </c>
      <c r="V183" s="220" t="str">
        <f t="shared" si="131"/>
        <v>-</v>
      </c>
      <c r="W183" s="221" t="str">
        <f t="shared" si="132"/>
        <v>-</v>
      </c>
      <c r="X183" s="221" t="str">
        <f t="shared" si="106"/>
        <v>-</v>
      </c>
      <c r="Y183" s="221" t="str">
        <f t="shared" si="107"/>
        <v>-</v>
      </c>
      <c r="Z183" s="270">
        <f t="shared" si="133"/>
        <v>0.1</v>
      </c>
      <c r="AA183" s="271" t="str">
        <f>IFERROR(IF(V182=1,AA$100*EXP(-(LN(2)/$D$65+0.04)*X182)*EXP(-(LN(2)/$D$65+0.1)*Y182),IF(V182=2,AA$100*EXP(-(LN(2)/$D$65+0.04)*(VLOOKUP(($F$16-$F$15)-1,U$99:Y182,4,FALSE)))*EXP(-(LN(2)/$D$65+0.1)*(VLOOKUP(($F$16-$F$15)-1,U$99:Y182,5,FALSE)))*EXP(-(LN(2)/$D$65+0.04)*X182)*EXP(-(LN(2)/$D$65+0.1)*Y182),IF(V182=3,AA$100*EXP(-(LN(2)/$D$65+0.04)*(VLOOKUP(($F$16-$F$15)-1,U$99:Y182,4,FALSE)))*EXP(-(LN(2)/$D$65+0.1)*(VLOOKUP(($F$16-$F$15)-1,U$99:Y182,5,FALSE)))*EXP(-(LN(2)/$D$65+0.04)*(VLOOKUP(($F$16-$F$15)*2-1,U$99:Y182,4,FALSE)))*EXP(-(LN(2)/$D$65+0.1)*(VLOOKUP(($F$16-$F$15)*2-1,U$99:Y182,5,FALSE)))*EXP(-(LN(2)/$D$65+0.04)*X182)*EXP(-(LN(2)/$D$65+0.1)*Y182),"-"))),"-")</f>
        <v>-</v>
      </c>
      <c r="AB183" s="271" t="str">
        <f>IFERROR(IF(V183=1,AB$100*EXP(-(LN(2)/$D$65+0.04)*X183)*EXP(-(LN(2)/$D$65+0.1)*Y183),IF(V183=2,AB$100*EXP(-(LN(2)/$D$65+0.04)*(VLOOKUP(($F$16-$F$15)-1,U$100:Y183,4,FALSE)))*EXP(-(LN(2)/$D$65+0.1)*(VLOOKUP(($F$16-$F$15)-1,U$100:Y183,5,FALSE)))*EXP(-(LN(2)/$D$65+0.04)*X183)*EXP(-(LN(2)/$D$65+0.1)*Y183),IF(V183=3,AB$100*EXP(-(LN(2)/$D$65+0.04)*(VLOOKUP(($F$16-$F$15)-1,U$100:Y183,4,FALSE)))*EXP(-(LN(2)/$D$65+0.1)*(VLOOKUP(($F$16-$F$15)-1,U$100:Y183,5,FALSE)))*EXP(-(LN(2)/$D$65+0.04)*(VLOOKUP(($F$16-$F$15)*2-1,U$100:Y183,4,FALSE)))*EXP(-(LN(2)/$D$65+0.1)*(VLOOKUP(($F$16-$F$15)*2-1,U$100:Y183,5,FALSE)))*EXP(-(LN(2)/$D$65+0.04)*X183)*EXP(-(LN(2)/$D$65+0.1)*Y183),"-"))),"-")</f>
        <v>-</v>
      </c>
      <c r="AC183" s="224">
        <f t="shared" si="134"/>
        <v>83</v>
      </c>
      <c r="AD183" s="223" t="str">
        <f t="shared" si="108"/>
        <v>-</v>
      </c>
      <c r="AE183" s="224" t="str">
        <f t="shared" si="135"/>
        <v>-</v>
      </c>
      <c r="AF183" s="224" t="str">
        <f t="shared" si="109"/>
        <v>-</v>
      </c>
      <c r="AG183" s="224" t="str">
        <f t="shared" si="110"/>
        <v>-</v>
      </c>
      <c r="AH183" s="272">
        <f t="shared" si="136"/>
        <v>0.1</v>
      </c>
      <c r="AI183" s="271" t="str">
        <f>IFERROR(IF(AD182=1,AI$100*EXP(-(LN(2)/$D$65+0.04)*AF182)*EXP(-(LN(2)/$D$65+0.1)*AG182),IF(AD182=2,AI$100*EXP(-(LN(2)/$D$65+0.04)*(VLOOKUP(($F$16-$F$15)-1,AC$99:AG182,4,FALSE)))*EXP(-(LN(2)/$D$65+0.1)*(VLOOKUP(($F$16-$F$15)-1,AC$99:AG182,5,FALSE)))*EXP(-(LN(2)/$D$65+0.04)*AF182)*EXP(-(LN(2)/$D$65+0.1)*AG182),IF(AD182=3,AI$100*EXP(-(LN(2)/$D$65+0.04)*(VLOOKUP(($F$16-$F$15)-1,AC$99:AG182,4,FALSE)))*EXP(-(LN(2)/$D$65+0.1)*(VLOOKUP(($F$16-$F$15)-1,AC$99:AG182,5,FALSE)))*EXP(-(LN(2)/$D$65+0.04)*(VLOOKUP(($F$16-$F$15)*2-1,AC$99:AG182,4,FALSE)))*EXP(-(LN(2)/$D$65+0.1)*(VLOOKUP(($F$16-$F$15)*2-1,AC$99:AG182,5,FALSE)))*EXP(-(LN(2)/$D$65+0.04)*AF182)*EXP(-(LN(2)/$D$65+0.1)*AG182),"-"))),"-")</f>
        <v>-</v>
      </c>
      <c r="AJ183" s="271" t="str">
        <f>IFERROR(IF(AD183=1,AJ$100*EXP(-(LN(2)/$D$65+0.04)*AF183)*EXP(-(LN(2)/$D$65+0.1)*AG183),IF(AD183=2,AJ$100*EXP(-(LN(2)/$D$65+0.04)*(VLOOKUP(($F$16-$F$15)-1,AC$100:AG183,4,FALSE)))*EXP(-(LN(2)/$D$65+0.1)*(VLOOKUP(($F$16-$F$15)-1,AC$100:AG183,5,FALSE)))*EXP(-(LN(2)/$D$65+0.04)*AF183)*EXP(-(LN(2)/$D$65+0.1)*AG183),IF(AD183=3,AJ$100*EXP(-(LN(2)/$D$65+0.04)*(VLOOKUP(($F$16-$F$15)-1,AC$100:AG183,4,FALSE)))*EXP(-(LN(2)/$D$65+0.1)*(VLOOKUP(($F$16-$F$15)-1,AC$100:AG183,5,FALSE)))*EXP(-(LN(2)/$D$65+0.04)*(VLOOKUP(($F$16-$F$15)*2-1,AC$100:AG183,4,FALSE)))*EXP(-(LN(2)/$D$65+0.1)*(VLOOKUP(($F$16-$F$15)*2-1,AC$100:AG183,5,FALSE)))*EXP(-(LN(2)/$D$65+0.04)*AF183)*EXP(-(LN(2)/$D$65+0.1)*AG183),"-"))),"-")</f>
        <v>-</v>
      </c>
      <c r="AK183" s="227">
        <f t="shared" si="137"/>
        <v>83</v>
      </c>
      <c r="AL183" s="226" t="str">
        <f t="shared" si="111"/>
        <v>-</v>
      </c>
      <c r="AM183" s="227" t="str">
        <f t="shared" si="138"/>
        <v>-</v>
      </c>
      <c r="AN183" s="227" t="str">
        <f t="shared" si="139"/>
        <v>-</v>
      </c>
      <c r="AO183" s="227" t="str">
        <f t="shared" si="112"/>
        <v>-</v>
      </c>
      <c r="AP183" s="273">
        <f t="shared" si="140"/>
        <v>0.1</v>
      </c>
      <c r="AQ183" s="271" t="str">
        <f>IFERROR(IF(AL182=1,AQ$100*EXP(-(LN(2)/$D$65+0.04)*AN182)*EXP(-(LN(2)/$D$65+0.1)*AO182),IF(AL182=2,AQ$100*EXP(-(LN(2)/$D$65+0.04)*(VLOOKUP(($F$16-$F$15)-1,AK$99:AO182,4,FALSE)))*EXP(-(LN(2)/$D$65+0.1)*(VLOOKUP(($F$16-$F$15)-1,AK$99:AO182,5,FALSE)))*EXP(-(LN(2)/$D$65+0.04)*AN182)*EXP(-(LN(2)/$D$65+0.1)*AO182),IF(AL182=3,AQ$100*EXP(-(LN(2)/$D$65+0.04)*(VLOOKUP(($F$16-$F$15)-1,AK$99:AO182,4,FALSE)))*EXP(-(LN(2)/$D$65+0.1)*(VLOOKUP(($F$16-$F$15)-1,AK$99:AO182,5,FALSE)))*EXP(-(LN(2)/$D$65+0.04)*(VLOOKUP(($F$16-$F$15)*2-1,AK$99:AO182,4,FALSE)))*EXP(-(LN(2)/$D$65+0.1)*(VLOOKUP(($F$16-$F$15)*2-1,AK$99:AO182,5,FALSE)))*EXP(-(LN(2)/$D$65+0.04)*AN182)*EXP(-(LN(2)/$D$65+0.1)*AO182),"-"))),"-")</f>
        <v>-</v>
      </c>
      <c r="AR183" s="271" t="str">
        <f>IFERROR(IF(AL183=1,AR$100*EXP(-(LN(2)/$D$65+0.04)*AN183)*EXP(-(LN(2)/$D$65+0.1)*AO183),IF(AL183=2,AR$100*EXP(-(LN(2)/$D$65+0.04)*(VLOOKUP(($F$16-$F$15)-1,AK$100:AO183,4,FALSE)))*EXP(-(LN(2)/$D$65+0.1)*(VLOOKUP(($F$16-$F$15)-1,AK$100:AO183,5,FALSE)))*EXP(-(LN(2)/$D$65+0.04)*AN183)*EXP(-(LN(2)/$D$65+0.1)*AO183),IF(AL183=3,AR$100*EXP(-(LN(2)/$D$65+0.04)*(VLOOKUP(($F$16-$F$15)-1,AK$100:AO183,4,FALSE)))*EXP(-(LN(2)/$D$65+0.1)*(VLOOKUP(($F$16-$F$15)-1,AK$100:AO183,5,FALSE)))*EXP(-(LN(2)/$D$65+0.04)*(VLOOKUP(($F$16-$F$15)*2-1,AK$100:AO183,4,FALSE)))*EXP(-(LN(2)/$D$65+0.1)*(VLOOKUP(($F$16-$F$15)*2-1,AK$100:AO183,5,FALSE)))*EXP(-(LN(2)/$D$65+0.04)*AN183)*EXP(-(LN(2)/$D$65+0.1)*AO183),"-"))),"-")</f>
        <v>-</v>
      </c>
      <c r="AS183" s="274">
        <f t="shared" si="113"/>
        <v>0</v>
      </c>
      <c r="AT183" s="274">
        <f t="shared" si="114"/>
        <v>0</v>
      </c>
      <c r="AU183" s="274">
        <f t="shared" si="115"/>
        <v>0</v>
      </c>
      <c r="AV183" s="190" t="str">
        <f>IF($B183&lt;$F$22,SUM($T$100:$T183),"")</f>
        <v/>
      </c>
      <c r="AW183" s="190" t="str">
        <f t="shared" si="116"/>
        <v>-</v>
      </c>
      <c r="AX183" s="190" t="str">
        <f t="shared" si="141"/>
        <v/>
      </c>
      <c r="AY183"/>
      <c r="AZ183" s="190" t="str">
        <f ca="1">IF(ISNUMBER(OFFSET(AV183,-$F$21,0)),SUM(OFFSET($T$100,$F$21,0):$T183),"")</f>
        <v/>
      </c>
      <c r="BA183" s="190" t="str">
        <f t="shared" ca="1" si="117"/>
        <v/>
      </c>
      <c r="BB183" s="190" t="str">
        <f t="shared" ca="1" si="70"/>
        <v/>
      </c>
      <c r="BC183" s="190"/>
      <c r="BD183" s="190" t="str">
        <f ca="1">IFERROR(IF(OR(ISNUMBER(I),ISNUMBER($F$14)),IF(AND($B183&gt;=($F$16-$F$15),$B183&lt;$F$22+($F$16-$F$15)),SUM(OFFSET($T$100,($F$16-$F$15),0):$T183),""),""),"")</f>
        <v/>
      </c>
      <c r="BE183" s="190" t="str">
        <f t="shared" ca="1" si="142"/>
        <v/>
      </c>
      <c r="BF183" s="190" t="str">
        <f t="shared" ca="1" si="143"/>
        <v/>
      </c>
      <c r="BG183"/>
      <c r="BH183" s="190" t="str">
        <f ca="1">IF(ISNUMBER(OFFSET(BD183,-$F$21,0)),SUM(OFFSET($T$100,($F$16-$F$15+$F$21),0):$T183),"")</f>
        <v/>
      </c>
      <c r="BI183" s="190" t="str">
        <f t="shared" ca="1" si="118"/>
        <v/>
      </c>
      <c r="BJ183" s="190" t="str">
        <f t="shared" ca="1" si="144"/>
        <v/>
      </c>
      <c r="BK183" s="190"/>
      <c r="BL183" s="190" t="str">
        <f ca="1">IFERROR(IF(OR(ISNUMBER(I),ISNUMBER($F$14)),IF(AND($B183&gt;=($F$17-$F$15),$B183&lt;$F$22+($F$17-$F$15)),SUM(OFFSET($T$100,($F$17-$F$15),0):$T183),""),""),"")</f>
        <v/>
      </c>
      <c r="BM183" s="190" t="str">
        <f t="shared" ca="1" si="119"/>
        <v/>
      </c>
      <c r="BN183" s="190" t="str">
        <f t="shared" ca="1" si="145"/>
        <v/>
      </c>
      <c r="BO183"/>
      <c r="BP183" s="190" t="str">
        <f ca="1">IF(ISNUMBER(OFFSET(BL183,-$F$21,0)),SUM(OFFSET($T$100,($F$17-$F$15+$F$21),0):$T183),"")</f>
        <v/>
      </c>
      <c r="BQ183" s="190" t="str">
        <f t="shared" ca="1" si="120"/>
        <v/>
      </c>
      <c r="BR183" s="190" t="str">
        <f t="shared" ca="1" si="146"/>
        <v/>
      </c>
      <c r="BS183" s="190"/>
      <c r="BT183"/>
      <c r="BU183"/>
      <c r="BV183"/>
      <c r="BY183" s="99"/>
      <c r="BZ183" s="99"/>
      <c r="CA183" s="280" t="str">
        <f t="shared" si="121"/>
        <v/>
      </c>
      <c r="CB183" s="71" t="str">
        <f t="shared" si="122"/>
        <v>-</v>
      </c>
      <c r="CC183" s="33"/>
      <c r="CD183" s="261" t="str">
        <f t="shared" si="123"/>
        <v/>
      </c>
      <c r="CE183" s="280" t="str">
        <f t="shared" si="124"/>
        <v/>
      </c>
      <c r="CF183" s="71" t="str">
        <f t="shared" ca="1" si="125"/>
        <v/>
      </c>
      <c r="CG183" s="33" t="str">
        <f t="shared" si="126"/>
        <v/>
      </c>
      <c r="CH183" s="261" t="str">
        <f t="shared" ca="1" si="127"/>
        <v/>
      </c>
      <c r="CI183" s="202"/>
      <c r="CJ183" s="99"/>
      <c r="CK183" s="99"/>
      <c r="CL183" s="99"/>
      <c r="CM183" s="99"/>
      <c r="CN183" s="99"/>
      <c r="CO183" s="99"/>
    </row>
    <row r="184" spans="2:93" ht="13.5" customHeight="1" x14ac:dyDescent="0.2">
      <c r="B184" s="262">
        <v>84</v>
      </c>
      <c r="C184" s="237" t="str">
        <f t="shared" si="91"/>
        <v/>
      </c>
      <c r="D184" s="237" t="str">
        <f t="shared" si="147"/>
        <v/>
      </c>
      <c r="E184" s="263" t="str">
        <f t="shared" si="128"/>
        <v/>
      </c>
      <c r="F184" s="264" t="str">
        <f t="shared" si="129"/>
        <v/>
      </c>
      <c r="G184" s="306" t="str">
        <f t="shared" si="130"/>
        <v/>
      </c>
      <c r="H184" s="240" t="str">
        <f t="shared" si="92"/>
        <v/>
      </c>
      <c r="I184" s="265" t="str">
        <f t="shared" si="93"/>
        <v/>
      </c>
      <c r="J184" s="265" t="str">
        <f t="shared" si="94"/>
        <v/>
      </c>
      <c r="K184" s="240" t="str">
        <f t="shared" si="95"/>
        <v/>
      </c>
      <c r="L184" s="265" t="str">
        <f t="shared" si="96"/>
        <v/>
      </c>
      <c r="M184" s="265" t="str">
        <f t="shared" si="97"/>
        <v/>
      </c>
      <c r="N184" s="240" t="str">
        <f t="shared" si="98"/>
        <v>-</v>
      </c>
      <c r="O184" s="265" t="str">
        <f t="shared" si="99"/>
        <v>-</v>
      </c>
      <c r="P184" s="265" t="str">
        <f t="shared" si="100"/>
        <v>-</v>
      </c>
      <c r="Q184" s="266" t="str">
        <f t="shared" si="101"/>
        <v>-</v>
      </c>
      <c r="R184" s="267" t="str">
        <f t="shared" si="102"/>
        <v>-</v>
      </c>
      <c r="S184" s="268" t="str">
        <f t="shared" si="103"/>
        <v>-</v>
      </c>
      <c r="T184" s="269" t="str">
        <f t="shared" si="104"/>
        <v/>
      </c>
      <c r="U184" s="221">
        <f t="shared" si="105"/>
        <v>84</v>
      </c>
      <c r="V184" s="220" t="str">
        <f t="shared" si="131"/>
        <v>-</v>
      </c>
      <c r="W184" s="221" t="str">
        <f t="shared" si="132"/>
        <v>-</v>
      </c>
      <c r="X184" s="221" t="str">
        <f t="shared" si="106"/>
        <v>-</v>
      </c>
      <c r="Y184" s="221" t="str">
        <f t="shared" si="107"/>
        <v>-</v>
      </c>
      <c r="Z184" s="270">
        <f t="shared" si="133"/>
        <v>0.1</v>
      </c>
      <c r="AA184" s="271" t="str">
        <f>IFERROR(IF(V183=1,AA$100*EXP(-(LN(2)/$D$65+0.04)*X183)*EXP(-(LN(2)/$D$65+0.1)*Y183),IF(V183=2,AA$100*EXP(-(LN(2)/$D$65+0.04)*(VLOOKUP(($F$16-$F$15)-1,U$99:Y183,4,FALSE)))*EXP(-(LN(2)/$D$65+0.1)*(VLOOKUP(($F$16-$F$15)-1,U$99:Y183,5,FALSE)))*EXP(-(LN(2)/$D$65+0.04)*X183)*EXP(-(LN(2)/$D$65+0.1)*Y183),IF(V183=3,AA$100*EXP(-(LN(2)/$D$65+0.04)*(VLOOKUP(($F$16-$F$15)-1,U$99:Y183,4,FALSE)))*EXP(-(LN(2)/$D$65+0.1)*(VLOOKUP(($F$16-$F$15)-1,U$99:Y183,5,FALSE)))*EXP(-(LN(2)/$D$65+0.04)*(VLOOKUP(($F$16-$F$15)*2-1,U$99:Y183,4,FALSE)))*EXP(-(LN(2)/$D$65+0.1)*(VLOOKUP(($F$16-$F$15)*2-1,U$99:Y183,5,FALSE)))*EXP(-(LN(2)/$D$65+0.04)*X183)*EXP(-(LN(2)/$D$65+0.1)*Y183),"-"))),"-")</f>
        <v>-</v>
      </c>
      <c r="AB184" s="271" t="str">
        <f>IFERROR(IF(V184=1,AB$100*EXP(-(LN(2)/$D$65+0.04)*X184)*EXP(-(LN(2)/$D$65+0.1)*Y184),IF(V184=2,AB$100*EXP(-(LN(2)/$D$65+0.04)*(VLOOKUP(($F$16-$F$15)-1,U$100:Y184,4,FALSE)))*EXP(-(LN(2)/$D$65+0.1)*(VLOOKUP(($F$16-$F$15)-1,U$100:Y184,5,FALSE)))*EXP(-(LN(2)/$D$65+0.04)*X184)*EXP(-(LN(2)/$D$65+0.1)*Y184),IF(V184=3,AB$100*EXP(-(LN(2)/$D$65+0.04)*(VLOOKUP(($F$16-$F$15)-1,U$100:Y184,4,FALSE)))*EXP(-(LN(2)/$D$65+0.1)*(VLOOKUP(($F$16-$F$15)-1,U$100:Y184,5,FALSE)))*EXP(-(LN(2)/$D$65+0.04)*(VLOOKUP(($F$16-$F$15)*2-1,U$100:Y184,4,FALSE)))*EXP(-(LN(2)/$D$65+0.1)*(VLOOKUP(($F$16-$F$15)*2-1,U$100:Y184,5,FALSE)))*EXP(-(LN(2)/$D$65+0.04)*X184)*EXP(-(LN(2)/$D$65+0.1)*Y184),"-"))),"-")</f>
        <v>-</v>
      </c>
      <c r="AC184" s="224">
        <f t="shared" si="134"/>
        <v>84</v>
      </c>
      <c r="AD184" s="223" t="str">
        <f t="shared" si="108"/>
        <v>-</v>
      </c>
      <c r="AE184" s="224" t="str">
        <f t="shared" si="135"/>
        <v>-</v>
      </c>
      <c r="AF184" s="224" t="str">
        <f t="shared" si="109"/>
        <v>-</v>
      </c>
      <c r="AG184" s="224" t="str">
        <f t="shared" si="110"/>
        <v>-</v>
      </c>
      <c r="AH184" s="272">
        <f t="shared" si="136"/>
        <v>0.1</v>
      </c>
      <c r="AI184" s="271" t="str">
        <f>IFERROR(IF(AD183=1,AI$100*EXP(-(LN(2)/$D$65+0.04)*AF183)*EXP(-(LN(2)/$D$65+0.1)*AG183),IF(AD183=2,AI$100*EXP(-(LN(2)/$D$65+0.04)*(VLOOKUP(($F$16-$F$15)-1,AC$99:AG183,4,FALSE)))*EXP(-(LN(2)/$D$65+0.1)*(VLOOKUP(($F$16-$F$15)-1,AC$99:AG183,5,FALSE)))*EXP(-(LN(2)/$D$65+0.04)*AF183)*EXP(-(LN(2)/$D$65+0.1)*AG183),IF(AD183=3,AI$100*EXP(-(LN(2)/$D$65+0.04)*(VLOOKUP(($F$16-$F$15)-1,AC$99:AG183,4,FALSE)))*EXP(-(LN(2)/$D$65+0.1)*(VLOOKUP(($F$16-$F$15)-1,AC$99:AG183,5,FALSE)))*EXP(-(LN(2)/$D$65+0.04)*(VLOOKUP(($F$16-$F$15)*2-1,AC$99:AG183,4,FALSE)))*EXP(-(LN(2)/$D$65+0.1)*(VLOOKUP(($F$16-$F$15)*2-1,AC$99:AG183,5,FALSE)))*EXP(-(LN(2)/$D$65+0.04)*AF183)*EXP(-(LN(2)/$D$65+0.1)*AG183),"-"))),"-")</f>
        <v>-</v>
      </c>
      <c r="AJ184" s="271" t="str">
        <f>IFERROR(IF(AD184=1,AJ$100*EXP(-(LN(2)/$D$65+0.04)*AF184)*EXP(-(LN(2)/$D$65+0.1)*AG184),IF(AD184=2,AJ$100*EXP(-(LN(2)/$D$65+0.04)*(VLOOKUP(($F$16-$F$15)-1,AC$100:AG184,4,FALSE)))*EXP(-(LN(2)/$D$65+0.1)*(VLOOKUP(($F$16-$F$15)-1,AC$100:AG184,5,FALSE)))*EXP(-(LN(2)/$D$65+0.04)*AF184)*EXP(-(LN(2)/$D$65+0.1)*AG184),IF(AD184=3,AJ$100*EXP(-(LN(2)/$D$65+0.04)*(VLOOKUP(($F$16-$F$15)-1,AC$100:AG184,4,FALSE)))*EXP(-(LN(2)/$D$65+0.1)*(VLOOKUP(($F$16-$F$15)-1,AC$100:AG184,5,FALSE)))*EXP(-(LN(2)/$D$65+0.04)*(VLOOKUP(($F$16-$F$15)*2-1,AC$100:AG184,4,FALSE)))*EXP(-(LN(2)/$D$65+0.1)*(VLOOKUP(($F$16-$F$15)*2-1,AC$100:AG184,5,FALSE)))*EXP(-(LN(2)/$D$65+0.04)*AF184)*EXP(-(LN(2)/$D$65+0.1)*AG184),"-"))),"-")</f>
        <v>-</v>
      </c>
      <c r="AK184" s="227">
        <f t="shared" si="137"/>
        <v>84</v>
      </c>
      <c r="AL184" s="226" t="str">
        <f t="shared" si="111"/>
        <v>-</v>
      </c>
      <c r="AM184" s="227" t="str">
        <f t="shared" si="138"/>
        <v>-</v>
      </c>
      <c r="AN184" s="227" t="str">
        <f t="shared" si="139"/>
        <v>-</v>
      </c>
      <c r="AO184" s="227" t="str">
        <f t="shared" si="112"/>
        <v>-</v>
      </c>
      <c r="AP184" s="273">
        <f t="shared" si="140"/>
        <v>0.1</v>
      </c>
      <c r="AQ184" s="271" t="str">
        <f>IFERROR(IF(AL183=1,AQ$100*EXP(-(LN(2)/$D$65+0.04)*AN183)*EXP(-(LN(2)/$D$65+0.1)*AO183),IF(AL183=2,AQ$100*EXP(-(LN(2)/$D$65+0.04)*(VLOOKUP(($F$16-$F$15)-1,AK$99:AO183,4,FALSE)))*EXP(-(LN(2)/$D$65+0.1)*(VLOOKUP(($F$16-$F$15)-1,AK$99:AO183,5,FALSE)))*EXP(-(LN(2)/$D$65+0.04)*AN183)*EXP(-(LN(2)/$D$65+0.1)*AO183),IF(AL183=3,AQ$100*EXP(-(LN(2)/$D$65+0.04)*(VLOOKUP(($F$16-$F$15)-1,AK$99:AO183,4,FALSE)))*EXP(-(LN(2)/$D$65+0.1)*(VLOOKUP(($F$16-$F$15)-1,AK$99:AO183,5,FALSE)))*EXP(-(LN(2)/$D$65+0.04)*(VLOOKUP(($F$16-$F$15)*2-1,AK$99:AO183,4,FALSE)))*EXP(-(LN(2)/$D$65+0.1)*(VLOOKUP(($F$16-$F$15)*2-1,AK$99:AO183,5,FALSE)))*EXP(-(LN(2)/$D$65+0.04)*AN183)*EXP(-(LN(2)/$D$65+0.1)*AO183),"-"))),"-")</f>
        <v>-</v>
      </c>
      <c r="AR184" s="271" t="str">
        <f>IFERROR(IF(AL184=1,AR$100*EXP(-(LN(2)/$D$65+0.04)*AN184)*EXP(-(LN(2)/$D$65+0.1)*AO184),IF(AL184=2,AR$100*EXP(-(LN(2)/$D$65+0.04)*(VLOOKUP(($F$16-$F$15)-1,AK$100:AO184,4,FALSE)))*EXP(-(LN(2)/$D$65+0.1)*(VLOOKUP(($F$16-$F$15)-1,AK$100:AO184,5,FALSE)))*EXP(-(LN(2)/$D$65+0.04)*AN184)*EXP(-(LN(2)/$D$65+0.1)*AO184),IF(AL184=3,AR$100*EXP(-(LN(2)/$D$65+0.04)*(VLOOKUP(($F$16-$F$15)-1,AK$100:AO184,4,FALSE)))*EXP(-(LN(2)/$D$65+0.1)*(VLOOKUP(($F$16-$F$15)-1,AK$100:AO184,5,FALSE)))*EXP(-(LN(2)/$D$65+0.04)*(VLOOKUP(($F$16-$F$15)*2-1,AK$100:AO184,4,FALSE)))*EXP(-(LN(2)/$D$65+0.1)*(VLOOKUP(($F$16-$F$15)*2-1,AK$100:AO184,5,FALSE)))*EXP(-(LN(2)/$D$65+0.04)*AN184)*EXP(-(LN(2)/$D$65+0.1)*AO184),"-"))),"-")</f>
        <v>-</v>
      </c>
      <c r="AS184" s="274">
        <f t="shared" si="113"/>
        <v>0</v>
      </c>
      <c r="AT184" s="274">
        <f t="shared" si="114"/>
        <v>0</v>
      </c>
      <c r="AU184" s="274">
        <f t="shared" si="115"/>
        <v>0</v>
      </c>
      <c r="AV184" s="190" t="str">
        <f>IF($B184&lt;$F$22,SUM($T$100:$T184),"")</f>
        <v/>
      </c>
      <c r="AW184" s="190" t="str">
        <f t="shared" si="116"/>
        <v>-</v>
      </c>
      <c r="AX184" s="190" t="str">
        <f t="shared" si="141"/>
        <v/>
      </c>
      <c r="AY184"/>
      <c r="AZ184" s="190" t="str">
        <f ca="1">IF(ISNUMBER(OFFSET(AV184,-$F$21,0)),SUM(OFFSET($T$100,$F$21,0):$T184),"")</f>
        <v/>
      </c>
      <c r="BA184" s="190" t="str">
        <f t="shared" ca="1" si="117"/>
        <v/>
      </c>
      <c r="BB184" s="190" t="str">
        <f t="shared" ca="1" si="70"/>
        <v/>
      </c>
      <c r="BC184" s="190"/>
      <c r="BD184" s="190" t="str">
        <f ca="1">IFERROR(IF(OR(ISNUMBER(I),ISNUMBER($F$14)),IF(AND($B184&gt;=($F$16-$F$15),$B184&lt;$F$22+($F$16-$F$15)),SUM(OFFSET($T$100,($F$16-$F$15),0):$T184),""),""),"")</f>
        <v/>
      </c>
      <c r="BE184" s="190" t="str">
        <f t="shared" ca="1" si="142"/>
        <v/>
      </c>
      <c r="BF184" s="190" t="str">
        <f t="shared" ca="1" si="143"/>
        <v/>
      </c>
      <c r="BG184"/>
      <c r="BH184" s="190" t="str">
        <f ca="1">IF(ISNUMBER(OFFSET(BD184,-$F$21,0)),SUM(OFFSET($T$100,($F$16-$F$15+$F$21),0):$T184),"")</f>
        <v/>
      </c>
      <c r="BI184" s="190" t="str">
        <f t="shared" ca="1" si="118"/>
        <v/>
      </c>
      <c r="BJ184" s="190" t="str">
        <f t="shared" ca="1" si="144"/>
        <v/>
      </c>
      <c r="BK184" s="190"/>
      <c r="BL184" s="190" t="str">
        <f ca="1">IFERROR(IF(OR(ISNUMBER(I),ISNUMBER($F$14)),IF(AND($B184&gt;=($F$17-$F$15),$B184&lt;$F$22+($F$17-$F$15)),SUM(OFFSET($T$100,($F$17-$F$15),0):$T184),""),""),"")</f>
        <v/>
      </c>
      <c r="BM184" s="190" t="str">
        <f t="shared" ca="1" si="119"/>
        <v/>
      </c>
      <c r="BN184" s="190" t="str">
        <f t="shared" ca="1" si="145"/>
        <v/>
      </c>
      <c r="BO184"/>
      <c r="BP184" s="190" t="str">
        <f ca="1">IF(ISNUMBER(OFFSET(BL184,-$F$21,0)),SUM(OFFSET($T$100,($F$17-$F$15+$F$21),0):$T184),"")</f>
        <v/>
      </c>
      <c r="BQ184" s="190" t="str">
        <f t="shared" ca="1" si="120"/>
        <v/>
      </c>
      <c r="BR184" s="190" t="str">
        <f t="shared" ca="1" si="146"/>
        <v/>
      </c>
      <c r="BS184" s="190"/>
      <c r="BT184"/>
      <c r="BU184"/>
      <c r="BV184"/>
      <c r="BY184" s="99"/>
      <c r="BZ184" s="99"/>
      <c r="CA184" s="280" t="str">
        <f t="shared" si="121"/>
        <v/>
      </c>
      <c r="CB184" s="71" t="str">
        <f t="shared" si="122"/>
        <v>-</v>
      </c>
      <c r="CC184" s="33"/>
      <c r="CD184" s="261" t="str">
        <f t="shared" si="123"/>
        <v/>
      </c>
      <c r="CE184" s="280" t="str">
        <f t="shared" si="124"/>
        <v/>
      </c>
      <c r="CF184" s="71" t="str">
        <f t="shared" ca="1" si="125"/>
        <v/>
      </c>
      <c r="CG184" s="33" t="str">
        <f t="shared" si="126"/>
        <v/>
      </c>
      <c r="CH184" s="261" t="str">
        <f t="shared" ca="1" si="127"/>
        <v/>
      </c>
      <c r="CI184" s="202"/>
      <c r="CJ184" s="99"/>
      <c r="CK184" s="99"/>
      <c r="CL184" s="99"/>
      <c r="CM184" s="99"/>
      <c r="CN184" s="99"/>
      <c r="CO184" s="99"/>
    </row>
    <row r="185" spans="2:93" ht="13.5" customHeight="1" x14ac:dyDescent="0.2">
      <c r="B185" s="262">
        <v>85</v>
      </c>
      <c r="C185" s="237" t="str">
        <f t="shared" si="91"/>
        <v/>
      </c>
      <c r="D185" s="237" t="str">
        <f t="shared" si="147"/>
        <v/>
      </c>
      <c r="E185" s="263" t="str">
        <f t="shared" si="128"/>
        <v/>
      </c>
      <c r="F185" s="264" t="str">
        <f t="shared" si="129"/>
        <v/>
      </c>
      <c r="G185" s="306" t="str">
        <f t="shared" si="130"/>
        <v/>
      </c>
      <c r="H185" s="240" t="str">
        <f t="shared" si="92"/>
        <v/>
      </c>
      <c r="I185" s="265" t="str">
        <f t="shared" si="93"/>
        <v/>
      </c>
      <c r="J185" s="265" t="str">
        <f t="shared" si="94"/>
        <v/>
      </c>
      <c r="K185" s="240" t="str">
        <f t="shared" si="95"/>
        <v/>
      </c>
      <c r="L185" s="265" t="str">
        <f t="shared" si="96"/>
        <v/>
      </c>
      <c r="M185" s="265" t="str">
        <f t="shared" si="97"/>
        <v/>
      </c>
      <c r="N185" s="240" t="str">
        <f t="shared" si="98"/>
        <v>-</v>
      </c>
      <c r="O185" s="265" t="str">
        <f t="shared" si="99"/>
        <v>-</v>
      </c>
      <c r="P185" s="265" t="str">
        <f t="shared" si="100"/>
        <v>-</v>
      </c>
      <c r="Q185" s="266" t="str">
        <f t="shared" si="101"/>
        <v>-</v>
      </c>
      <c r="R185" s="267" t="str">
        <f t="shared" si="102"/>
        <v>-</v>
      </c>
      <c r="S185" s="268" t="str">
        <f t="shared" si="103"/>
        <v>-</v>
      </c>
      <c r="T185" s="269" t="str">
        <f t="shared" si="104"/>
        <v/>
      </c>
      <c r="U185" s="221">
        <f t="shared" si="105"/>
        <v>85</v>
      </c>
      <c r="V185" s="220" t="str">
        <f t="shared" si="131"/>
        <v>-</v>
      </c>
      <c r="W185" s="221" t="str">
        <f t="shared" si="132"/>
        <v>-</v>
      </c>
      <c r="X185" s="221" t="str">
        <f t="shared" si="106"/>
        <v>-</v>
      </c>
      <c r="Y185" s="221" t="str">
        <f t="shared" si="107"/>
        <v>-</v>
      </c>
      <c r="Z185" s="270">
        <f t="shared" si="133"/>
        <v>0.1</v>
      </c>
      <c r="AA185" s="271" t="str">
        <f>IFERROR(IF(V184=1,AA$100*EXP(-(LN(2)/$D$65+0.04)*X184)*EXP(-(LN(2)/$D$65+0.1)*Y184),IF(V184=2,AA$100*EXP(-(LN(2)/$D$65+0.04)*(VLOOKUP(($F$16-$F$15)-1,U$99:Y184,4,FALSE)))*EXP(-(LN(2)/$D$65+0.1)*(VLOOKUP(($F$16-$F$15)-1,U$99:Y184,5,FALSE)))*EXP(-(LN(2)/$D$65+0.04)*X184)*EXP(-(LN(2)/$D$65+0.1)*Y184),IF(V184=3,AA$100*EXP(-(LN(2)/$D$65+0.04)*(VLOOKUP(($F$16-$F$15)-1,U$99:Y184,4,FALSE)))*EXP(-(LN(2)/$D$65+0.1)*(VLOOKUP(($F$16-$F$15)-1,U$99:Y184,5,FALSE)))*EXP(-(LN(2)/$D$65+0.04)*(VLOOKUP(($F$16-$F$15)*2-1,U$99:Y184,4,FALSE)))*EXP(-(LN(2)/$D$65+0.1)*(VLOOKUP(($F$16-$F$15)*2-1,U$99:Y184,5,FALSE)))*EXP(-(LN(2)/$D$65+0.04)*X184)*EXP(-(LN(2)/$D$65+0.1)*Y184),"-"))),"-")</f>
        <v>-</v>
      </c>
      <c r="AB185" s="271" t="str">
        <f>IFERROR(IF(V185=1,AB$100*EXP(-(LN(2)/$D$65+0.04)*X185)*EXP(-(LN(2)/$D$65+0.1)*Y185),IF(V185=2,AB$100*EXP(-(LN(2)/$D$65+0.04)*(VLOOKUP(($F$16-$F$15)-1,U$100:Y185,4,FALSE)))*EXP(-(LN(2)/$D$65+0.1)*(VLOOKUP(($F$16-$F$15)-1,U$100:Y185,5,FALSE)))*EXP(-(LN(2)/$D$65+0.04)*X185)*EXP(-(LN(2)/$D$65+0.1)*Y185),IF(V185=3,AB$100*EXP(-(LN(2)/$D$65+0.04)*(VLOOKUP(($F$16-$F$15)-1,U$100:Y185,4,FALSE)))*EXP(-(LN(2)/$D$65+0.1)*(VLOOKUP(($F$16-$F$15)-1,U$100:Y185,5,FALSE)))*EXP(-(LN(2)/$D$65+0.04)*(VLOOKUP(($F$16-$F$15)*2-1,U$100:Y185,4,FALSE)))*EXP(-(LN(2)/$D$65+0.1)*(VLOOKUP(($F$16-$F$15)*2-1,U$100:Y185,5,FALSE)))*EXP(-(LN(2)/$D$65+0.04)*X185)*EXP(-(LN(2)/$D$65+0.1)*Y185),"-"))),"-")</f>
        <v>-</v>
      </c>
      <c r="AC185" s="224">
        <f t="shared" si="134"/>
        <v>85</v>
      </c>
      <c r="AD185" s="223" t="str">
        <f t="shared" si="108"/>
        <v>-</v>
      </c>
      <c r="AE185" s="224" t="str">
        <f t="shared" si="135"/>
        <v>-</v>
      </c>
      <c r="AF185" s="224" t="str">
        <f t="shared" si="109"/>
        <v>-</v>
      </c>
      <c r="AG185" s="224" t="str">
        <f t="shared" si="110"/>
        <v>-</v>
      </c>
      <c r="AH185" s="272">
        <f t="shared" si="136"/>
        <v>0.1</v>
      </c>
      <c r="AI185" s="271" t="str">
        <f>IFERROR(IF(AD184=1,AI$100*EXP(-(LN(2)/$D$65+0.04)*AF184)*EXP(-(LN(2)/$D$65+0.1)*AG184),IF(AD184=2,AI$100*EXP(-(LN(2)/$D$65+0.04)*(VLOOKUP(($F$16-$F$15)-1,AC$99:AG184,4,FALSE)))*EXP(-(LN(2)/$D$65+0.1)*(VLOOKUP(($F$16-$F$15)-1,AC$99:AG184,5,FALSE)))*EXP(-(LN(2)/$D$65+0.04)*AF184)*EXP(-(LN(2)/$D$65+0.1)*AG184),IF(AD184=3,AI$100*EXP(-(LN(2)/$D$65+0.04)*(VLOOKUP(($F$16-$F$15)-1,AC$99:AG184,4,FALSE)))*EXP(-(LN(2)/$D$65+0.1)*(VLOOKUP(($F$16-$F$15)-1,AC$99:AG184,5,FALSE)))*EXP(-(LN(2)/$D$65+0.04)*(VLOOKUP(($F$16-$F$15)*2-1,AC$99:AG184,4,FALSE)))*EXP(-(LN(2)/$D$65+0.1)*(VLOOKUP(($F$16-$F$15)*2-1,AC$99:AG184,5,FALSE)))*EXP(-(LN(2)/$D$65+0.04)*AF184)*EXP(-(LN(2)/$D$65+0.1)*AG184),"-"))),"-")</f>
        <v>-</v>
      </c>
      <c r="AJ185" s="271" t="str">
        <f>IFERROR(IF(AD185=1,AJ$100*EXP(-(LN(2)/$D$65+0.04)*AF185)*EXP(-(LN(2)/$D$65+0.1)*AG185),IF(AD185=2,AJ$100*EXP(-(LN(2)/$D$65+0.04)*(VLOOKUP(($F$16-$F$15)-1,AC$100:AG185,4,FALSE)))*EXP(-(LN(2)/$D$65+0.1)*(VLOOKUP(($F$16-$F$15)-1,AC$100:AG185,5,FALSE)))*EXP(-(LN(2)/$D$65+0.04)*AF185)*EXP(-(LN(2)/$D$65+0.1)*AG185),IF(AD185=3,AJ$100*EXP(-(LN(2)/$D$65+0.04)*(VLOOKUP(($F$16-$F$15)-1,AC$100:AG185,4,FALSE)))*EXP(-(LN(2)/$D$65+0.1)*(VLOOKUP(($F$16-$F$15)-1,AC$100:AG185,5,FALSE)))*EXP(-(LN(2)/$D$65+0.04)*(VLOOKUP(($F$16-$F$15)*2-1,AC$100:AG185,4,FALSE)))*EXP(-(LN(2)/$D$65+0.1)*(VLOOKUP(($F$16-$F$15)*2-1,AC$100:AG185,5,FALSE)))*EXP(-(LN(2)/$D$65+0.04)*AF185)*EXP(-(LN(2)/$D$65+0.1)*AG185),"-"))),"-")</f>
        <v>-</v>
      </c>
      <c r="AK185" s="227">
        <f t="shared" si="137"/>
        <v>85</v>
      </c>
      <c r="AL185" s="226" t="str">
        <f t="shared" si="111"/>
        <v>-</v>
      </c>
      <c r="AM185" s="227" t="str">
        <f t="shared" si="138"/>
        <v>-</v>
      </c>
      <c r="AN185" s="227" t="str">
        <f t="shared" si="139"/>
        <v>-</v>
      </c>
      <c r="AO185" s="227" t="str">
        <f t="shared" si="112"/>
        <v>-</v>
      </c>
      <c r="AP185" s="273">
        <f t="shared" si="140"/>
        <v>0.1</v>
      </c>
      <c r="AQ185" s="271" t="str">
        <f>IFERROR(IF(AL184=1,AQ$100*EXP(-(LN(2)/$D$65+0.04)*AN184)*EXP(-(LN(2)/$D$65+0.1)*AO184),IF(AL184=2,AQ$100*EXP(-(LN(2)/$D$65+0.04)*(VLOOKUP(($F$16-$F$15)-1,AK$99:AO184,4,FALSE)))*EXP(-(LN(2)/$D$65+0.1)*(VLOOKUP(($F$16-$F$15)-1,AK$99:AO184,5,FALSE)))*EXP(-(LN(2)/$D$65+0.04)*AN184)*EXP(-(LN(2)/$D$65+0.1)*AO184),IF(AL184=3,AQ$100*EXP(-(LN(2)/$D$65+0.04)*(VLOOKUP(($F$16-$F$15)-1,AK$99:AO184,4,FALSE)))*EXP(-(LN(2)/$D$65+0.1)*(VLOOKUP(($F$16-$F$15)-1,AK$99:AO184,5,FALSE)))*EXP(-(LN(2)/$D$65+0.04)*(VLOOKUP(($F$16-$F$15)*2-1,AK$99:AO184,4,FALSE)))*EXP(-(LN(2)/$D$65+0.1)*(VLOOKUP(($F$16-$F$15)*2-1,AK$99:AO184,5,FALSE)))*EXP(-(LN(2)/$D$65+0.04)*AN184)*EXP(-(LN(2)/$D$65+0.1)*AO184),"-"))),"-")</f>
        <v>-</v>
      </c>
      <c r="AR185" s="271" t="str">
        <f>IFERROR(IF(AL185=1,AR$100*EXP(-(LN(2)/$D$65+0.04)*AN185)*EXP(-(LN(2)/$D$65+0.1)*AO185),IF(AL185=2,AR$100*EXP(-(LN(2)/$D$65+0.04)*(VLOOKUP(($F$16-$F$15)-1,AK$100:AO185,4,FALSE)))*EXP(-(LN(2)/$D$65+0.1)*(VLOOKUP(($F$16-$F$15)-1,AK$100:AO185,5,FALSE)))*EXP(-(LN(2)/$D$65+0.04)*AN185)*EXP(-(LN(2)/$D$65+0.1)*AO185),IF(AL185=3,AR$100*EXP(-(LN(2)/$D$65+0.04)*(VLOOKUP(($F$16-$F$15)-1,AK$100:AO185,4,FALSE)))*EXP(-(LN(2)/$D$65+0.1)*(VLOOKUP(($F$16-$F$15)-1,AK$100:AO185,5,FALSE)))*EXP(-(LN(2)/$D$65+0.04)*(VLOOKUP(($F$16-$F$15)*2-1,AK$100:AO185,4,FALSE)))*EXP(-(LN(2)/$D$65+0.1)*(VLOOKUP(($F$16-$F$15)*2-1,AK$100:AO185,5,FALSE)))*EXP(-(LN(2)/$D$65+0.04)*AN185)*EXP(-(LN(2)/$D$65+0.1)*AO185),"-"))),"-")</f>
        <v>-</v>
      </c>
      <c r="AS185" s="274">
        <f t="shared" si="113"/>
        <v>0</v>
      </c>
      <c r="AT185" s="274">
        <f t="shared" si="114"/>
        <v>0</v>
      </c>
      <c r="AU185" s="274">
        <f t="shared" si="115"/>
        <v>0</v>
      </c>
      <c r="AV185" s="190" t="str">
        <f>IF($B185&lt;$F$22,SUM($T$100:$T185),"")</f>
        <v/>
      </c>
      <c r="AW185" s="190" t="str">
        <f t="shared" si="116"/>
        <v>-</v>
      </c>
      <c r="AX185" s="190" t="str">
        <f t="shared" si="141"/>
        <v/>
      </c>
      <c r="AY185"/>
      <c r="AZ185" s="190" t="str">
        <f ca="1">IF(ISNUMBER(OFFSET(AV185,-$F$21,0)),SUM(OFFSET($T$100,$F$21,0):$T185),"")</f>
        <v/>
      </c>
      <c r="BA185" s="190" t="str">
        <f t="shared" ca="1" si="117"/>
        <v/>
      </c>
      <c r="BB185" s="190" t="str">
        <f t="shared" ref="BB185:BB248" ca="1" si="148">IF(ISNUMBER(AZ185),(AZ185-BA185)/(3*86400*(OFFSET($B185,-$F$21,0)+1))*1000,"")</f>
        <v/>
      </c>
      <c r="BC185" s="190"/>
      <c r="BD185" s="190" t="str">
        <f ca="1">IFERROR(IF(OR(ISNUMBER(I),ISNUMBER($F$14)),IF(AND($B185&gt;=($F$16-$F$15),$B185&lt;$F$22+($F$16-$F$15)),SUM(OFFSET($T$100,($F$16-$F$15),0):$T185),""),""),"")</f>
        <v/>
      </c>
      <c r="BE185" s="190" t="str">
        <f t="shared" ca="1" si="142"/>
        <v/>
      </c>
      <c r="BF185" s="190" t="str">
        <f t="shared" ca="1" si="143"/>
        <v/>
      </c>
      <c r="BG185"/>
      <c r="BH185" s="190" t="str">
        <f ca="1">IF(ISNUMBER(OFFSET(BD185,-$F$21,0)),SUM(OFFSET($T$100,($F$16-$F$15+$F$21),0):$T185),"")</f>
        <v/>
      </c>
      <c r="BI185" s="190" t="str">
        <f t="shared" ca="1" si="118"/>
        <v/>
      </c>
      <c r="BJ185" s="190" t="str">
        <f t="shared" ca="1" si="144"/>
        <v/>
      </c>
      <c r="BK185" s="190"/>
      <c r="BL185" s="190" t="str">
        <f ca="1">IFERROR(IF(OR(ISNUMBER(I),ISNUMBER($F$14)),IF(AND($B185&gt;=($F$17-$F$15),$B185&lt;$F$22+($F$17-$F$15)),SUM(OFFSET($T$100,($F$17-$F$15),0):$T185),""),""),"")</f>
        <v/>
      </c>
      <c r="BM185" s="190" t="str">
        <f t="shared" ca="1" si="119"/>
        <v/>
      </c>
      <c r="BN185" s="190" t="str">
        <f t="shared" ca="1" si="145"/>
        <v/>
      </c>
      <c r="BO185"/>
      <c r="BP185" s="190" t="str">
        <f ca="1">IF(ISNUMBER(OFFSET(BL185,-$F$21,0)),SUM(OFFSET($T$100,($F$17-$F$15+$F$21),0):$T185),"")</f>
        <v/>
      </c>
      <c r="BQ185" s="190" t="str">
        <f t="shared" ca="1" si="120"/>
        <v/>
      </c>
      <c r="BR185" s="190" t="str">
        <f t="shared" ca="1" si="146"/>
        <v/>
      </c>
      <c r="BS185" s="190"/>
      <c r="BT185"/>
      <c r="BU185"/>
      <c r="BV185"/>
      <c r="BY185" s="99"/>
      <c r="BZ185" s="99"/>
      <c r="CA185" s="280" t="str">
        <f t="shared" si="121"/>
        <v/>
      </c>
      <c r="CB185" s="71" t="str">
        <f t="shared" si="122"/>
        <v>-</v>
      </c>
      <c r="CC185" s="33"/>
      <c r="CD185" s="261" t="str">
        <f t="shared" si="123"/>
        <v/>
      </c>
      <c r="CE185" s="280" t="str">
        <f t="shared" si="124"/>
        <v/>
      </c>
      <c r="CF185" s="71" t="str">
        <f t="shared" ca="1" si="125"/>
        <v/>
      </c>
      <c r="CG185" s="33" t="str">
        <f t="shared" si="126"/>
        <v/>
      </c>
      <c r="CH185" s="261" t="str">
        <f t="shared" ca="1" si="127"/>
        <v/>
      </c>
      <c r="CI185" s="202"/>
      <c r="CJ185" s="99"/>
      <c r="CK185" s="99"/>
      <c r="CL185" s="99"/>
      <c r="CM185" s="99"/>
      <c r="CN185" s="99"/>
      <c r="CO185" s="99"/>
    </row>
    <row r="186" spans="2:93" ht="13.5" customHeight="1" x14ac:dyDescent="0.2">
      <c r="B186" s="262">
        <v>86</v>
      </c>
      <c r="C186" s="237" t="str">
        <f t="shared" si="91"/>
        <v/>
      </c>
      <c r="D186" s="237" t="str">
        <f t="shared" si="147"/>
        <v/>
      </c>
      <c r="E186" s="263" t="str">
        <f t="shared" si="128"/>
        <v/>
      </c>
      <c r="F186" s="264" t="str">
        <f t="shared" si="129"/>
        <v/>
      </c>
      <c r="G186" s="264" t="str">
        <f t="shared" si="130"/>
        <v/>
      </c>
      <c r="H186" s="240" t="str">
        <f t="shared" si="92"/>
        <v/>
      </c>
      <c r="I186" s="265" t="str">
        <f t="shared" si="93"/>
        <v/>
      </c>
      <c r="J186" s="265" t="str">
        <f t="shared" si="94"/>
        <v/>
      </c>
      <c r="K186" s="240" t="str">
        <f t="shared" si="95"/>
        <v/>
      </c>
      <c r="L186" s="265" t="str">
        <f t="shared" si="96"/>
        <v/>
      </c>
      <c r="M186" s="265" t="str">
        <f t="shared" si="97"/>
        <v/>
      </c>
      <c r="N186" s="240" t="str">
        <f t="shared" si="98"/>
        <v>-</v>
      </c>
      <c r="O186" s="265" t="str">
        <f t="shared" si="99"/>
        <v>-</v>
      </c>
      <c r="P186" s="265" t="str">
        <f t="shared" si="100"/>
        <v>-</v>
      </c>
      <c r="Q186" s="266" t="str">
        <f t="shared" si="101"/>
        <v>-</v>
      </c>
      <c r="R186" s="267" t="str">
        <f t="shared" si="102"/>
        <v>-</v>
      </c>
      <c r="S186" s="268" t="str">
        <f t="shared" si="103"/>
        <v>-</v>
      </c>
      <c r="T186" s="269" t="str">
        <f t="shared" si="104"/>
        <v/>
      </c>
      <c r="U186" s="221">
        <f t="shared" si="105"/>
        <v>86</v>
      </c>
      <c r="V186" s="220" t="str">
        <f t="shared" si="131"/>
        <v>-</v>
      </c>
      <c r="W186" s="221" t="str">
        <f t="shared" si="132"/>
        <v>-</v>
      </c>
      <c r="X186" s="221" t="str">
        <f t="shared" si="106"/>
        <v>-</v>
      </c>
      <c r="Y186" s="221" t="str">
        <f t="shared" si="107"/>
        <v>-</v>
      </c>
      <c r="Z186" s="270">
        <f t="shared" si="133"/>
        <v>0.1</v>
      </c>
      <c r="AA186" s="271" t="str">
        <f>IFERROR(IF(V185=1,AA$100*EXP(-(LN(2)/$D$65+0.04)*X185)*EXP(-(LN(2)/$D$65+0.1)*Y185),IF(V185=2,AA$100*EXP(-(LN(2)/$D$65+0.04)*(VLOOKUP(($F$16-$F$15)-1,U$99:Y185,4,FALSE)))*EXP(-(LN(2)/$D$65+0.1)*(VLOOKUP(($F$16-$F$15)-1,U$99:Y185,5,FALSE)))*EXP(-(LN(2)/$D$65+0.04)*X185)*EXP(-(LN(2)/$D$65+0.1)*Y185),IF(V185=3,AA$100*EXP(-(LN(2)/$D$65+0.04)*(VLOOKUP(($F$16-$F$15)-1,U$99:Y185,4,FALSE)))*EXP(-(LN(2)/$D$65+0.1)*(VLOOKUP(($F$16-$F$15)-1,U$99:Y185,5,FALSE)))*EXP(-(LN(2)/$D$65+0.04)*(VLOOKUP(($F$16-$F$15)*2-1,U$99:Y185,4,FALSE)))*EXP(-(LN(2)/$D$65+0.1)*(VLOOKUP(($F$16-$F$15)*2-1,U$99:Y185,5,FALSE)))*EXP(-(LN(2)/$D$65+0.04)*X185)*EXP(-(LN(2)/$D$65+0.1)*Y185),"-"))),"-")</f>
        <v>-</v>
      </c>
      <c r="AB186" s="271" t="str">
        <f>IFERROR(IF(V186=1,AB$100*EXP(-(LN(2)/$D$65+0.04)*X186)*EXP(-(LN(2)/$D$65+0.1)*Y186),IF(V186=2,AB$100*EXP(-(LN(2)/$D$65+0.04)*(VLOOKUP(($F$16-$F$15)-1,U$100:Y186,4,FALSE)))*EXP(-(LN(2)/$D$65+0.1)*(VLOOKUP(($F$16-$F$15)-1,U$100:Y186,5,FALSE)))*EXP(-(LN(2)/$D$65+0.04)*X186)*EXP(-(LN(2)/$D$65+0.1)*Y186),IF(V186=3,AB$100*EXP(-(LN(2)/$D$65+0.04)*(VLOOKUP(($F$16-$F$15)-1,U$100:Y186,4,FALSE)))*EXP(-(LN(2)/$D$65+0.1)*(VLOOKUP(($F$16-$F$15)-1,U$100:Y186,5,FALSE)))*EXP(-(LN(2)/$D$65+0.04)*(VLOOKUP(($F$16-$F$15)*2-1,U$100:Y186,4,FALSE)))*EXP(-(LN(2)/$D$65+0.1)*(VLOOKUP(($F$16-$F$15)*2-1,U$100:Y186,5,FALSE)))*EXP(-(LN(2)/$D$65+0.04)*X186)*EXP(-(LN(2)/$D$65+0.1)*Y186),"-"))),"-")</f>
        <v>-</v>
      </c>
      <c r="AC186" s="224">
        <f t="shared" si="134"/>
        <v>86</v>
      </c>
      <c r="AD186" s="223" t="str">
        <f t="shared" si="108"/>
        <v>-</v>
      </c>
      <c r="AE186" s="224" t="str">
        <f t="shared" si="135"/>
        <v>-</v>
      </c>
      <c r="AF186" s="224" t="str">
        <f t="shared" si="109"/>
        <v>-</v>
      </c>
      <c r="AG186" s="224" t="str">
        <f t="shared" si="110"/>
        <v>-</v>
      </c>
      <c r="AH186" s="272">
        <f t="shared" si="136"/>
        <v>0.1</v>
      </c>
      <c r="AI186" s="271" t="str">
        <f>IFERROR(IF(AD185=1,AI$100*EXP(-(LN(2)/$D$65+0.04)*AF185)*EXP(-(LN(2)/$D$65+0.1)*AG185),IF(AD185=2,AI$100*EXP(-(LN(2)/$D$65+0.04)*(VLOOKUP(($F$16-$F$15)-1,AC$99:AG185,4,FALSE)))*EXP(-(LN(2)/$D$65+0.1)*(VLOOKUP(($F$16-$F$15)-1,AC$99:AG185,5,FALSE)))*EXP(-(LN(2)/$D$65+0.04)*AF185)*EXP(-(LN(2)/$D$65+0.1)*AG185),IF(AD185=3,AI$100*EXP(-(LN(2)/$D$65+0.04)*(VLOOKUP(($F$16-$F$15)-1,AC$99:AG185,4,FALSE)))*EXP(-(LN(2)/$D$65+0.1)*(VLOOKUP(($F$16-$F$15)-1,AC$99:AG185,5,FALSE)))*EXP(-(LN(2)/$D$65+0.04)*(VLOOKUP(($F$16-$F$15)*2-1,AC$99:AG185,4,FALSE)))*EXP(-(LN(2)/$D$65+0.1)*(VLOOKUP(($F$16-$F$15)*2-1,AC$99:AG185,5,FALSE)))*EXP(-(LN(2)/$D$65+0.04)*AF185)*EXP(-(LN(2)/$D$65+0.1)*AG185),"-"))),"-")</f>
        <v>-</v>
      </c>
      <c r="AJ186" s="271" t="str">
        <f>IFERROR(IF(AD186=1,AJ$100*EXP(-(LN(2)/$D$65+0.04)*AF186)*EXP(-(LN(2)/$D$65+0.1)*AG186),IF(AD186=2,AJ$100*EXP(-(LN(2)/$D$65+0.04)*(VLOOKUP(($F$16-$F$15)-1,AC$100:AG186,4,FALSE)))*EXP(-(LN(2)/$D$65+0.1)*(VLOOKUP(($F$16-$F$15)-1,AC$100:AG186,5,FALSE)))*EXP(-(LN(2)/$D$65+0.04)*AF186)*EXP(-(LN(2)/$D$65+0.1)*AG186),IF(AD186=3,AJ$100*EXP(-(LN(2)/$D$65+0.04)*(VLOOKUP(($F$16-$F$15)-1,AC$100:AG186,4,FALSE)))*EXP(-(LN(2)/$D$65+0.1)*(VLOOKUP(($F$16-$F$15)-1,AC$100:AG186,5,FALSE)))*EXP(-(LN(2)/$D$65+0.04)*(VLOOKUP(($F$16-$F$15)*2-1,AC$100:AG186,4,FALSE)))*EXP(-(LN(2)/$D$65+0.1)*(VLOOKUP(($F$16-$F$15)*2-1,AC$100:AG186,5,FALSE)))*EXP(-(LN(2)/$D$65+0.04)*AF186)*EXP(-(LN(2)/$D$65+0.1)*AG186),"-"))),"-")</f>
        <v>-</v>
      </c>
      <c r="AK186" s="227">
        <f t="shared" si="137"/>
        <v>86</v>
      </c>
      <c r="AL186" s="226" t="str">
        <f t="shared" si="111"/>
        <v>-</v>
      </c>
      <c r="AM186" s="227" t="str">
        <f t="shared" si="138"/>
        <v>-</v>
      </c>
      <c r="AN186" s="227" t="str">
        <f t="shared" si="139"/>
        <v>-</v>
      </c>
      <c r="AO186" s="227" t="str">
        <f t="shared" si="112"/>
        <v>-</v>
      </c>
      <c r="AP186" s="273">
        <f t="shared" si="140"/>
        <v>0.1</v>
      </c>
      <c r="AQ186" s="271" t="str">
        <f>IFERROR(IF(AL185=1,AQ$100*EXP(-(LN(2)/$D$65+0.04)*AN185)*EXP(-(LN(2)/$D$65+0.1)*AO185),IF(AL185=2,AQ$100*EXP(-(LN(2)/$D$65+0.04)*(VLOOKUP(($F$16-$F$15)-1,AK$99:AO185,4,FALSE)))*EXP(-(LN(2)/$D$65+0.1)*(VLOOKUP(($F$16-$F$15)-1,AK$99:AO185,5,FALSE)))*EXP(-(LN(2)/$D$65+0.04)*AN185)*EXP(-(LN(2)/$D$65+0.1)*AO185),IF(AL185=3,AQ$100*EXP(-(LN(2)/$D$65+0.04)*(VLOOKUP(($F$16-$F$15)-1,AK$99:AO185,4,FALSE)))*EXP(-(LN(2)/$D$65+0.1)*(VLOOKUP(($F$16-$F$15)-1,AK$99:AO185,5,FALSE)))*EXP(-(LN(2)/$D$65+0.04)*(VLOOKUP(($F$16-$F$15)*2-1,AK$99:AO185,4,FALSE)))*EXP(-(LN(2)/$D$65+0.1)*(VLOOKUP(($F$16-$F$15)*2-1,AK$99:AO185,5,FALSE)))*EXP(-(LN(2)/$D$65+0.04)*AN185)*EXP(-(LN(2)/$D$65+0.1)*AO185),"-"))),"-")</f>
        <v>-</v>
      </c>
      <c r="AR186" s="271" t="str">
        <f>IFERROR(IF(AL186=1,AR$100*EXP(-(LN(2)/$D$65+0.04)*AN186)*EXP(-(LN(2)/$D$65+0.1)*AO186),IF(AL186=2,AR$100*EXP(-(LN(2)/$D$65+0.04)*(VLOOKUP(($F$16-$F$15)-1,AK$100:AO186,4,FALSE)))*EXP(-(LN(2)/$D$65+0.1)*(VLOOKUP(($F$16-$F$15)-1,AK$100:AO186,5,FALSE)))*EXP(-(LN(2)/$D$65+0.04)*AN186)*EXP(-(LN(2)/$D$65+0.1)*AO186),IF(AL186=3,AR$100*EXP(-(LN(2)/$D$65+0.04)*(VLOOKUP(($F$16-$F$15)-1,AK$100:AO186,4,FALSE)))*EXP(-(LN(2)/$D$65+0.1)*(VLOOKUP(($F$16-$F$15)-1,AK$100:AO186,5,FALSE)))*EXP(-(LN(2)/$D$65+0.04)*(VLOOKUP(($F$16-$F$15)*2-1,AK$100:AO186,4,FALSE)))*EXP(-(LN(2)/$D$65+0.1)*(VLOOKUP(($F$16-$F$15)*2-1,AK$100:AO186,5,FALSE)))*EXP(-(LN(2)/$D$65+0.04)*AN186)*EXP(-(LN(2)/$D$65+0.1)*AO186),"-"))),"-")</f>
        <v>-</v>
      </c>
      <c r="AS186" s="274">
        <f t="shared" si="113"/>
        <v>0</v>
      </c>
      <c r="AT186" s="274">
        <f t="shared" si="114"/>
        <v>0</v>
      </c>
      <c r="AU186" s="274">
        <f t="shared" si="115"/>
        <v>0</v>
      </c>
      <c r="AV186" s="190" t="str">
        <f>IF($B186&lt;$F$22,SUM($T$100:$T186),"")</f>
        <v/>
      </c>
      <c r="AW186" s="190" t="str">
        <f t="shared" si="116"/>
        <v>-</v>
      </c>
      <c r="AX186" s="190" t="str">
        <f t="shared" si="141"/>
        <v/>
      </c>
      <c r="AY186"/>
      <c r="AZ186" s="190" t="str">
        <f ca="1">IF(ISNUMBER(OFFSET(AV186,-$F$21,0)),SUM(OFFSET($T$100,$F$21,0):$T186),"")</f>
        <v/>
      </c>
      <c r="BA186" s="190" t="str">
        <f t="shared" ca="1" si="117"/>
        <v/>
      </c>
      <c r="BB186" s="190" t="str">
        <f t="shared" ca="1" si="148"/>
        <v/>
      </c>
      <c r="BC186" s="190"/>
      <c r="BD186" s="190" t="str">
        <f ca="1">IFERROR(IF(OR(ISNUMBER(I),ISNUMBER($F$14)),IF(AND($B186&gt;=($F$16-$F$15),$B186&lt;$F$22+($F$16-$F$15)),SUM(OFFSET($T$100,($F$16-$F$15),0):$T186),""),""),"")</f>
        <v/>
      </c>
      <c r="BE186" s="190" t="str">
        <f t="shared" ca="1" si="142"/>
        <v/>
      </c>
      <c r="BF186" s="190" t="str">
        <f t="shared" ca="1" si="143"/>
        <v/>
      </c>
      <c r="BG186"/>
      <c r="BH186" s="190" t="str">
        <f ca="1">IF(ISNUMBER(OFFSET(BD186,-$F$21,0)),SUM(OFFSET($T$100,($F$16-$F$15+$F$21),0):$T186),"")</f>
        <v/>
      </c>
      <c r="BI186" s="190" t="str">
        <f t="shared" ca="1" si="118"/>
        <v/>
      </c>
      <c r="BJ186" s="190" t="str">
        <f t="shared" ca="1" si="144"/>
        <v/>
      </c>
      <c r="BK186" s="190"/>
      <c r="BL186" s="190" t="str">
        <f ca="1">IFERROR(IF(OR(ISNUMBER(I),ISNUMBER($F$14)),IF(AND($B186&gt;=($F$17-$F$15),$B186&lt;$F$22+($F$17-$F$15)),SUM(OFFSET($T$100,($F$17-$F$15),0):$T186),""),""),"")</f>
        <v/>
      </c>
      <c r="BM186" s="190" t="str">
        <f t="shared" ca="1" si="119"/>
        <v/>
      </c>
      <c r="BN186" s="190" t="str">
        <f t="shared" ca="1" si="145"/>
        <v/>
      </c>
      <c r="BO186"/>
      <c r="BP186" s="190" t="str">
        <f ca="1">IF(ISNUMBER(OFFSET(BL186,-$F$21,0)),SUM(OFFSET($T$100,($F$17-$F$15+$F$21),0):$T186),"")</f>
        <v/>
      </c>
      <c r="BQ186" s="190" t="str">
        <f t="shared" ca="1" si="120"/>
        <v/>
      </c>
      <c r="BR186" s="190" t="str">
        <f t="shared" ca="1" si="146"/>
        <v/>
      </c>
      <c r="BS186" s="190"/>
      <c r="BT186"/>
      <c r="BU186"/>
      <c r="BV186"/>
      <c r="BY186" s="99"/>
      <c r="BZ186" s="99"/>
      <c r="CA186" s="280" t="str">
        <f t="shared" si="121"/>
        <v/>
      </c>
      <c r="CB186" s="71" t="str">
        <f t="shared" si="122"/>
        <v>-</v>
      </c>
      <c r="CC186" s="33"/>
      <c r="CD186" s="261" t="str">
        <f t="shared" si="123"/>
        <v/>
      </c>
      <c r="CE186" s="280" t="str">
        <f t="shared" si="124"/>
        <v/>
      </c>
      <c r="CF186" s="71" t="str">
        <f t="shared" ca="1" si="125"/>
        <v/>
      </c>
      <c r="CG186" s="33" t="str">
        <f t="shared" si="126"/>
        <v/>
      </c>
      <c r="CH186" s="261" t="str">
        <f t="shared" ca="1" si="127"/>
        <v/>
      </c>
      <c r="CI186" s="202"/>
      <c r="CJ186" s="99"/>
      <c r="CK186" s="99"/>
      <c r="CL186" s="99"/>
      <c r="CM186" s="99"/>
      <c r="CN186" s="99"/>
      <c r="CO186" s="99"/>
    </row>
    <row r="187" spans="2:93" ht="13.5" customHeight="1" x14ac:dyDescent="0.2">
      <c r="B187" s="262">
        <v>87</v>
      </c>
      <c r="C187" s="237" t="str">
        <f t="shared" si="91"/>
        <v/>
      </c>
      <c r="D187" s="237" t="str">
        <f t="shared" si="147"/>
        <v/>
      </c>
      <c r="E187" s="263" t="str">
        <f t="shared" si="128"/>
        <v/>
      </c>
      <c r="F187" s="264" t="str">
        <f t="shared" si="129"/>
        <v/>
      </c>
      <c r="G187" s="264" t="str">
        <f t="shared" si="130"/>
        <v/>
      </c>
      <c r="H187" s="240" t="str">
        <f t="shared" si="92"/>
        <v/>
      </c>
      <c r="I187" s="265" t="str">
        <f t="shared" si="93"/>
        <v/>
      </c>
      <c r="J187" s="265" t="str">
        <f t="shared" si="94"/>
        <v/>
      </c>
      <c r="K187" s="240" t="str">
        <f t="shared" si="95"/>
        <v/>
      </c>
      <c r="L187" s="265" t="str">
        <f t="shared" si="96"/>
        <v/>
      </c>
      <c r="M187" s="265" t="str">
        <f t="shared" si="97"/>
        <v/>
      </c>
      <c r="N187" s="240" t="str">
        <f t="shared" si="98"/>
        <v>-</v>
      </c>
      <c r="O187" s="265" t="str">
        <f t="shared" si="99"/>
        <v>-</v>
      </c>
      <c r="P187" s="265" t="str">
        <f t="shared" si="100"/>
        <v>-</v>
      </c>
      <c r="Q187" s="266" t="str">
        <f t="shared" si="101"/>
        <v>-</v>
      </c>
      <c r="R187" s="267" t="str">
        <f t="shared" si="102"/>
        <v>-</v>
      </c>
      <c r="S187" s="268" t="str">
        <f t="shared" si="103"/>
        <v>-</v>
      </c>
      <c r="T187" s="269" t="str">
        <f t="shared" si="104"/>
        <v/>
      </c>
      <c r="U187" s="221">
        <f t="shared" si="105"/>
        <v>87</v>
      </c>
      <c r="V187" s="220" t="str">
        <f t="shared" si="131"/>
        <v>-</v>
      </c>
      <c r="W187" s="221" t="str">
        <f t="shared" si="132"/>
        <v>-</v>
      </c>
      <c r="X187" s="221" t="str">
        <f t="shared" si="106"/>
        <v>-</v>
      </c>
      <c r="Y187" s="221" t="str">
        <f t="shared" si="107"/>
        <v>-</v>
      </c>
      <c r="Z187" s="270">
        <f t="shared" si="133"/>
        <v>0.1</v>
      </c>
      <c r="AA187" s="271" t="str">
        <f>IFERROR(IF(V186=1,AA$100*EXP(-(LN(2)/$D$65+0.04)*X186)*EXP(-(LN(2)/$D$65+0.1)*Y186),IF(V186=2,AA$100*EXP(-(LN(2)/$D$65+0.04)*(VLOOKUP(($F$16-$F$15)-1,U$99:Y186,4,FALSE)))*EXP(-(LN(2)/$D$65+0.1)*(VLOOKUP(($F$16-$F$15)-1,U$99:Y186,5,FALSE)))*EXP(-(LN(2)/$D$65+0.04)*X186)*EXP(-(LN(2)/$D$65+0.1)*Y186),IF(V186=3,AA$100*EXP(-(LN(2)/$D$65+0.04)*(VLOOKUP(($F$16-$F$15)-1,U$99:Y186,4,FALSE)))*EXP(-(LN(2)/$D$65+0.1)*(VLOOKUP(($F$16-$F$15)-1,U$99:Y186,5,FALSE)))*EXP(-(LN(2)/$D$65+0.04)*(VLOOKUP(($F$16-$F$15)*2-1,U$99:Y186,4,FALSE)))*EXP(-(LN(2)/$D$65+0.1)*(VLOOKUP(($F$16-$F$15)*2-1,U$99:Y186,5,FALSE)))*EXP(-(LN(2)/$D$65+0.04)*X186)*EXP(-(LN(2)/$D$65+0.1)*Y186),"-"))),"-")</f>
        <v>-</v>
      </c>
      <c r="AB187" s="271" t="str">
        <f>IFERROR(IF(V187=1,AB$100*EXP(-(LN(2)/$D$65+0.04)*X187)*EXP(-(LN(2)/$D$65+0.1)*Y187),IF(V187=2,AB$100*EXP(-(LN(2)/$D$65+0.04)*(VLOOKUP(($F$16-$F$15)-1,U$100:Y187,4,FALSE)))*EXP(-(LN(2)/$D$65+0.1)*(VLOOKUP(($F$16-$F$15)-1,U$100:Y187,5,FALSE)))*EXP(-(LN(2)/$D$65+0.04)*X187)*EXP(-(LN(2)/$D$65+0.1)*Y187),IF(V187=3,AB$100*EXP(-(LN(2)/$D$65+0.04)*(VLOOKUP(($F$16-$F$15)-1,U$100:Y187,4,FALSE)))*EXP(-(LN(2)/$D$65+0.1)*(VLOOKUP(($F$16-$F$15)-1,U$100:Y187,5,FALSE)))*EXP(-(LN(2)/$D$65+0.04)*(VLOOKUP(($F$16-$F$15)*2-1,U$100:Y187,4,FALSE)))*EXP(-(LN(2)/$D$65+0.1)*(VLOOKUP(($F$16-$F$15)*2-1,U$100:Y187,5,FALSE)))*EXP(-(LN(2)/$D$65+0.04)*X187)*EXP(-(LN(2)/$D$65+0.1)*Y187),"-"))),"-")</f>
        <v>-</v>
      </c>
      <c r="AC187" s="224">
        <f t="shared" si="134"/>
        <v>87</v>
      </c>
      <c r="AD187" s="223" t="str">
        <f t="shared" si="108"/>
        <v>-</v>
      </c>
      <c r="AE187" s="224" t="str">
        <f t="shared" si="135"/>
        <v>-</v>
      </c>
      <c r="AF187" s="224" t="str">
        <f t="shared" si="109"/>
        <v>-</v>
      </c>
      <c r="AG187" s="224" t="str">
        <f t="shared" si="110"/>
        <v>-</v>
      </c>
      <c r="AH187" s="272">
        <f t="shared" si="136"/>
        <v>0.1</v>
      </c>
      <c r="AI187" s="271" t="str">
        <f>IFERROR(IF(AD186=1,AI$100*EXP(-(LN(2)/$D$65+0.04)*AF186)*EXP(-(LN(2)/$D$65+0.1)*AG186),IF(AD186=2,AI$100*EXP(-(LN(2)/$D$65+0.04)*(VLOOKUP(($F$16-$F$15)-1,AC$99:AG186,4,FALSE)))*EXP(-(LN(2)/$D$65+0.1)*(VLOOKUP(($F$16-$F$15)-1,AC$99:AG186,5,FALSE)))*EXP(-(LN(2)/$D$65+0.04)*AF186)*EXP(-(LN(2)/$D$65+0.1)*AG186),IF(AD186=3,AI$100*EXP(-(LN(2)/$D$65+0.04)*(VLOOKUP(($F$16-$F$15)-1,AC$99:AG186,4,FALSE)))*EXP(-(LN(2)/$D$65+0.1)*(VLOOKUP(($F$16-$F$15)-1,AC$99:AG186,5,FALSE)))*EXP(-(LN(2)/$D$65+0.04)*(VLOOKUP(($F$16-$F$15)*2-1,AC$99:AG186,4,FALSE)))*EXP(-(LN(2)/$D$65+0.1)*(VLOOKUP(($F$16-$F$15)*2-1,AC$99:AG186,5,FALSE)))*EXP(-(LN(2)/$D$65+0.04)*AF186)*EXP(-(LN(2)/$D$65+0.1)*AG186),"-"))),"-")</f>
        <v>-</v>
      </c>
      <c r="AJ187" s="271" t="str">
        <f>IFERROR(IF(AD187=1,AJ$100*EXP(-(LN(2)/$D$65+0.04)*AF187)*EXP(-(LN(2)/$D$65+0.1)*AG187),IF(AD187=2,AJ$100*EXP(-(LN(2)/$D$65+0.04)*(VLOOKUP(($F$16-$F$15)-1,AC$100:AG187,4,FALSE)))*EXP(-(LN(2)/$D$65+0.1)*(VLOOKUP(($F$16-$F$15)-1,AC$100:AG187,5,FALSE)))*EXP(-(LN(2)/$D$65+0.04)*AF187)*EXP(-(LN(2)/$D$65+0.1)*AG187),IF(AD187=3,AJ$100*EXP(-(LN(2)/$D$65+0.04)*(VLOOKUP(($F$16-$F$15)-1,AC$100:AG187,4,FALSE)))*EXP(-(LN(2)/$D$65+0.1)*(VLOOKUP(($F$16-$F$15)-1,AC$100:AG187,5,FALSE)))*EXP(-(LN(2)/$D$65+0.04)*(VLOOKUP(($F$16-$F$15)*2-1,AC$100:AG187,4,FALSE)))*EXP(-(LN(2)/$D$65+0.1)*(VLOOKUP(($F$16-$F$15)*2-1,AC$100:AG187,5,FALSE)))*EXP(-(LN(2)/$D$65+0.04)*AF187)*EXP(-(LN(2)/$D$65+0.1)*AG187),"-"))),"-")</f>
        <v>-</v>
      </c>
      <c r="AK187" s="227">
        <f t="shared" si="137"/>
        <v>87</v>
      </c>
      <c r="AL187" s="226" t="str">
        <f t="shared" si="111"/>
        <v>-</v>
      </c>
      <c r="AM187" s="227" t="str">
        <f t="shared" si="138"/>
        <v>-</v>
      </c>
      <c r="AN187" s="227" t="str">
        <f t="shared" si="139"/>
        <v>-</v>
      </c>
      <c r="AO187" s="227" t="str">
        <f t="shared" si="112"/>
        <v>-</v>
      </c>
      <c r="AP187" s="273">
        <f t="shared" si="140"/>
        <v>0.1</v>
      </c>
      <c r="AQ187" s="271" t="str">
        <f>IFERROR(IF(AL186=1,AQ$100*EXP(-(LN(2)/$D$65+0.04)*AN186)*EXP(-(LN(2)/$D$65+0.1)*AO186),IF(AL186=2,AQ$100*EXP(-(LN(2)/$D$65+0.04)*(VLOOKUP(($F$16-$F$15)-1,AK$99:AO186,4,FALSE)))*EXP(-(LN(2)/$D$65+0.1)*(VLOOKUP(($F$16-$F$15)-1,AK$99:AO186,5,FALSE)))*EXP(-(LN(2)/$D$65+0.04)*AN186)*EXP(-(LN(2)/$D$65+0.1)*AO186),IF(AL186=3,AQ$100*EXP(-(LN(2)/$D$65+0.04)*(VLOOKUP(($F$16-$F$15)-1,AK$99:AO186,4,FALSE)))*EXP(-(LN(2)/$D$65+0.1)*(VLOOKUP(($F$16-$F$15)-1,AK$99:AO186,5,FALSE)))*EXP(-(LN(2)/$D$65+0.04)*(VLOOKUP(($F$16-$F$15)*2-1,AK$99:AO186,4,FALSE)))*EXP(-(LN(2)/$D$65+0.1)*(VLOOKUP(($F$16-$F$15)*2-1,AK$99:AO186,5,FALSE)))*EXP(-(LN(2)/$D$65+0.04)*AN186)*EXP(-(LN(2)/$D$65+0.1)*AO186),"-"))),"-")</f>
        <v>-</v>
      </c>
      <c r="AR187" s="271" t="str">
        <f>IFERROR(IF(AL187=1,AR$100*EXP(-(LN(2)/$D$65+0.04)*AN187)*EXP(-(LN(2)/$D$65+0.1)*AO187),IF(AL187=2,AR$100*EXP(-(LN(2)/$D$65+0.04)*(VLOOKUP(($F$16-$F$15)-1,AK$100:AO187,4,FALSE)))*EXP(-(LN(2)/$D$65+0.1)*(VLOOKUP(($F$16-$F$15)-1,AK$100:AO187,5,FALSE)))*EXP(-(LN(2)/$D$65+0.04)*AN187)*EXP(-(LN(2)/$D$65+0.1)*AO187),IF(AL187=3,AR$100*EXP(-(LN(2)/$D$65+0.04)*(VLOOKUP(($F$16-$F$15)-1,AK$100:AO187,4,FALSE)))*EXP(-(LN(2)/$D$65+0.1)*(VLOOKUP(($F$16-$F$15)-1,AK$100:AO187,5,FALSE)))*EXP(-(LN(2)/$D$65+0.04)*(VLOOKUP(($F$16-$F$15)*2-1,AK$100:AO187,4,FALSE)))*EXP(-(LN(2)/$D$65+0.1)*(VLOOKUP(($F$16-$F$15)*2-1,AK$100:AO187,5,FALSE)))*EXP(-(LN(2)/$D$65+0.04)*AN187)*EXP(-(LN(2)/$D$65+0.1)*AO187),"-"))),"-")</f>
        <v>-</v>
      </c>
      <c r="AS187" s="274">
        <f t="shared" si="113"/>
        <v>0</v>
      </c>
      <c r="AT187" s="274">
        <f t="shared" si="114"/>
        <v>0</v>
      </c>
      <c r="AU187" s="274">
        <f t="shared" si="115"/>
        <v>0</v>
      </c>
      <c r="AV187" s="190" t="str">
        <f>IF($B187&lt;$F$22,SUM($T$100:$T187),"")</f>
        <v/>
      </c>
      <c r="AW187" s="190" t="str">
        <f t="shared" si="116"/>
        <v>-</v>
      </c>
      <c r="AX187" s="190" t="str">
        <f t="shared" si="141"/>
        <v/>
      </c>
      <c r="AY187"/>
      <c r="AZ187" s="190" t="str">
        <f ca="1">IF(ISNUMBER(OFFSET(AV187,-$F$21,0)),SUM(OFFSET($T$100,$F$21,0):$T187),"")</f>
        <v/>
      </c>
      <c r="BA187" s="190" t="str">
        <f t="shared" ca="1" si="117"/>
        <v/>
      </c>
      <c r="BB187" s="190" t="str">
        <f t="shared" ca="1" si="148"/>
        <v/>
      </c>
      <c r="BC187" s="190"/>
      <c r="BD187" s="190" t="str">
        <f ca="1">IFERROR(IF(OR(ISNUMBER(I),ISNUMBER($F$14)),IF(AND($B187&gt;=($F$16-$F$15),$B187&lt;$F$22+($F$16-$F$15)),SUM(OFFSET($T$100,($F$16-$F$15),0):$T187),""),""),"")</f>
        <v/>
      </c>
      <c r="BE187" s="190" t="str">
        <f t="shared" ca="1" si="142"/>
        <v/>
      </c>
      <c r="BF187" s="190" t="str">
        <f t="shared" ca="1" si="143"/>
        <v/>
      </c>
      <c r="BG187"/>
      <c r="BH187" s="190" t="str">
        <f ca="1">IF(ISNUMBER(OFFSET(BD187,-$F$21,0)),SUM(OFFSET($T$100,($F$16-$F$15+$F$21),0):$T187),"")</f>
        <v/>
      </c>
      <c r="BI187" s="190" t="str">
        <f t="shared" ca="1" si="118"/>
        <v/>
      </c>
      <c r="BJ187" s="190" t="str">
        <f t="shared" ca="1" si="144"/>
        <v/>
      </c>
      <c r="BK187" s="190"/>
      <c r="BL187" s="190" t="str">
        <f ca="1">IFERROR(IF(OR(ISNUMBER(I),ISNUMBER($F$14)),IF(AND($B187&gt;=($F$17-$F$15),$B187&lt;$F$22+($F$17-$F$15)),SUM(OFFSET($T$100,($F$17-$F$15),0):$T187),""),""),"")</f>
        <v/>
      </c>
      <c r="BM187" s="190" t="str">
        <f t="shared" ca="1" si="119"/>
        <v/>
      </c>
      <c r="BN187" s="190" t="str">
        <f t="shared" ca="1" si="145"/>
        <v/>
      </c>
      <c r="BO187"/>
      <c r="BP187" s="190" t="str">
        <f ca="1">IF(ISNUMBER(OFFSET(BL187,-$F$21,0)),SUM(OFFSET($T$100,($F$17-$F$15+$F$21),0):$T187),"")</f>
        <v/>
      </c>
      <c r="BQ187" s="190" t="str">
        <f t="shared" ca="1" si="120"/>
        <v/>
      </c>
      <c r="BR187" s="190" t="str">
        <f t="shared" ca="1" si="146"/>
        <v/>
      </c>
      <c r="BS187" s="190"/>
      <c r="BT187"/>
      <c r="BU187"/>
      <c r="BV187"/>
      <c r="BY187" s="99"/>
      <c r="BZ187" s="99"/>
      <c r="CA187" s="280" t="str">
        <f t="shared" si="121"/>
        <v/>
      </c>
      <c r="CB187" s="71" t="str">
        <f t="shared" si="122"/>
        <v>-</v>
      </c>
      <c r="CC187" s="33"/>
      <c r="CD187" s="261" t="str">
        <f t="shared" si="123"/>
        <v/>
      </c>
      <c r="CE187" s="280" t="str">
        <f t="shared" si="124"/>
        <v/>
      </c>
      <c r="CF187" s="71" t="str">
        <f t="shared" ca="1" si="125"/>
        <v/>
      </c>
      <c r="CG187" s="33" t="str">
        <f t="shared" si="126"/>
        <v/>
      </c>
      <c r="CH187" s="261" t="str">
        <f t="shared" ca="1" si="127"/>
        <v/>
      </c>
      <c r="CI187" s="202"/>
      <c r="CJ187" s="99"/>
      <c r="CK187" s="99"/>
      <c r="CL187" s="99"/>
      <c r="CM187" s="99"/>
      <c r="CN187" s="99"/>
      <c r="CO187" s="99"/>
    </row>
    <row r="188" spans="2:93" ht="13.5" customHeight="1" x14ac:dyDescent="0.2">
      <c r="B188" s="262">
        <v>88</v>
      </c>
      <c r="C188" s="237" t="str">
        <f t="shared" si="91"/>
        <v/>
      </c>
      <c r="D188" s="237" t="str">
        <f t="shared" si="147"/>
        <v/>
      </c>
      <c r="E188" s="263" t="str">
        <f t="shared" si="128"/>
        <v/>
      </c>
      <c r="F188" s="264" t="str">
        <f t="shared" si="129"/>
        <v/>
      </c>
      <c r="G188" s="264" t="str">
        <f t="shared" si="130"/>
        <v/>
      </c>
      <c r="H188" s="240" t="str">
        <f t="shared" si="92"/>
        <v/>
      </c>
      <c r="I188" s="265" t="str">
        <f t="shared" si="93"/>
        <v/>
      </c>
      <c r="J188" s="265" t="str">
        <f t="shared" si="94"/>
        <v/>
      </c>
      <c r="K188" s="240" t="str">
        <f t="shared" si="95"/>
        <v/>
      </c>
      <c r="L188" s="265" t="str">
        <f t="shared" si="96"/>
        <v/>
      </c>
      <c r="M188" s="265" t="str">
        <f t="shared" si="97"/>
        <v/>
      </c>
      <c r="N188" s="240" t="str">
        <f t="shared" si="98"/>
        <v>-</v>
      </c>
      <c r="O188" s="265" t="str">
        <f t="shared" si="99"/>
        <v>-</v>
      </c>
      <c r="P188" s="265" t="str">
        <f t="shared" si="100"/>
        <v>-</v>
      </c>
      <c r="Q188" s="266" t="str">
        <f t="shared" si="101"/>
        <v>-</v>
      </c>
      <c r="R188" s="267" t="str">
        <f t="shared" si="102"/>
        <v>-</v>
      </c>
      <c r="S188" s="268" t="str">
        <f t="shared" si="103"/>
        <v>-</v>
      </c>
      <c r="T188" s="269" t="str">
        <f t="shared" si="104"/>
        <v/>
      </c>
      <c r="U188" s="221">
        <f t="shared" si="105"/>
        <v>88</v>
      </c>
      <c r="V188" s="220" t="str">
        <f t="shared" si="131"/>
        <v>-</v>
      </c>
      <c r="W188" s="221" t="str">
        <f t="shared" si="132"/>
        <v>-</v>
      </c>
      <c r="X188" s="221" t="str">
        <f t="shared" si="106"/>
        <v>-</v>
      </c>
      <c r="Y188" s="221" t="str">
        <f t="shared" si="107"/>
        <v>-</v>
      </c>
      <c r="Z188" s="270">
        <f t="shared" si="133"/>
        <v>0.1</v>
      </c>
      <c r="AA188" s="271" t="str">
        <f>IFERROR(IF(V187=1,AA$100*EXP(-(LN(2)/$D$65+0.04)*X187)*EXP(-(LN(2)/$D$65+0.1)*Y187),IF(V187=2,AA$100*EXP(-(LN(2)/$D$65+0.04)*(VLOOKUP(($F$16-$F$15)-1,U$99:Y187,4,FALSE)))*EXP(-(LN(2)/$D$65+0.1)*(VLOOKUP(($F$16-$F$15)-1,U$99:Y187,5,FALSE)))*EXP(-(LN(2)/$D$65+0.04)*X187)*EXP(-(LN(2)/$D$65+0.1)*Y187),IF(V187=3,AA$100*EXP(-(LN(2)/$D$65+0.04)*(VLOOKUP(($F$16-$F$15)-1,U$99:Y187,4,FALSE)))*EXP(-(LN(2)/$D$65+0.1)*(VLOOKUP(($F$16-$F$15)-1,U$99:Y187,5,FALSE)))*EXP(-(LN(2)/$D$65+0.04)*(VLOOKUP(($F$16-$F$15)*2-1,U$99:Y187,4,FALSE)))*EXP(-(LN(2)/$D$65+0.1)*(VLOOKUP(($F$16-$F$15)*2-1,U$99:Y187,5,FALSE)))*EXP(-(LN(2)/$D$65+0.04)*X187)*EXP(-(LN(2)/$D$65+0.1)*Y187),"-"))),"-")</f>
        <v>-</v>
      </c>
      <c r="AB188" s="271" t="str">
        <f>IFERROR(IF(V188=1,AB$100*EXP(-(LN(2)/$D$65+0.04)*X188)*EXP(-(LN(2)/$D$65+0.1)*Y188),IF(V188=2,AB$100*EXP(-(LN(2)/$D$65+0.04)*(VLOOKUP(($F$16-$F$15)-1,U$100:Y188,4,FALSE)))*EXP(-(LN(2)/$D$65+0.1)*(VLOOKUP(($F$16-$F$15)-1,U$100:Y188,5,FALSE)))*EXP(-(LN(2)/$D$65+0.04)*X188)*EXP(-(LN(2)/$D$65+0.1)*Y188),IF(V188=3,AB$100*EXP(-(LN(2)/$D$65+0.04)*(VLOOKUP(($F$16-$F$15)-1,U$100:Y188,4,FALSE)))*EXP(-(LN(2)/$D$65+0.1)*(VLOOKUP(($F$16-$F$15)-1,U$100:Y188,5,FALSE)))*EXP(-(LN(2)/$D$65+0.04)*(VLOOKUP(($F$16-$F$15)*2-1,U$100:Y188,4,FALSE)))*EXP(-(LN(2)/$D$65+0.1)*(VLOOKUP(($F$16-$F$15)*2-1,U$100:Y188,5,FALSE)))*EXP(-(LN(2)/$D$65+0.04)*X188)*EXP(-(LN(2)/$D$65+0.1)*Y188),"-"))),"-")</f>
        <v>-</v>
      </c>
      <c r="AC188" s="224">
        <f t="shared" si="134"/>
        <v>88</v>
      </c>
      <c r="AD188" s="223" t="str">
        <f t="shared" si="108"/>
        <v>-</v>
      </c>
      <c r="AE188" s="224" t="str">
        <f t="shared" si="135"/>
        <v>-</v>
      </c>
      <c r="AF188" s="224" t="str">
        <f t="shared" si="109"/>
        <v>-</v>
      </c>
      <c r="AG188" s="224" t="str">
        <f t="shared" si="110"/>
        <v>-</v>
      </c>
      <c r="AH188" s="272">
        <f t="shared" si="136"/>
        <v>0.1</v>
      </c>
      <c r="AI188" s="271" t="str">
        <f>IFERROR(IF(AD187=1,AI$100*EXP(-(LN(2)/$D$65+0.04)*AF187)*EXP(-(LN(2)/$D$65+0.1)*AG187),IF(AD187=2,AI$100*EXP(-(LN(2)/$D$65+0.04)*(VLOOKUP(($F$16-$F$15)-1,AC$99:AG187,4,FALSE)))*EXP(-(LN(2)/$D$65+0.1)*(VLOOKUP(($F$16-$F$15)-1,AC$99:AG187,5,FALSE)))*EXP(-(LN(2)/$D$65+0.04)*AF187)*EXP(-(LN(2)/$D$65+0.1)*AG187),IF(AD187=3,AI$100*EXP(-(LN(2)/$D$65+0.04)*(VLOOKUP(($F$16-$F$15)-1,AC$99:AG187,4,FALSE)))*EXP(-(LN(2)/$D$65+0.1)*(VLOOKUP(($F$16-$F$15)-1,AC$99:AG187,5,FALSE)))*EXP(-(LN(2)/$D$65+0.04)*(VLOOKUP(($F$16-$F$15)*2-1,AC$99:AG187,4,FALSE)))*EXP(-(LN(2)/$D$65+0.1)*(VLOOKUP(($F$16-$F$15)*2-1,AC$99:AG187,5,FALSE)))*EXP(-(LN(2)/$D$65+0.04)*AF187)*EXP(-(LN(2)/$D$65+0.1)*AG187),"-"))),"-")</f>
        <v>-</v>
      </c>
      <c r="AJ188" s="271" t="str">
        <f>IFERROR(IF(AD188=1,AJ$100*EXP(-(LN(2)/$D$65+0.04)*AF188)*EXP(-(LN(2)/$D$65+0.1)*AG188),IF(AD188=2,AJ$100*EXP(-(LN(2)/$D$65+0.04)*(VLOOKUP(($F$16-$F$15)-1,AC$100:AG188,4,FALSE)))*EXP(-(LN(2)/$D$65+0.1)*(VLOOKUP(($F$16-$F$15)-1,AC$100:AG188,5,FALSE)))*EXP(-(LN(2)/$D$65+0.04)*AF188)*EXP(-(LN(2)/$D$65+0.1)*AG188),IF(AD188=3,AJ$100*EXP(-(LN(2)/$D$65+0.04)*(VLOOKUP(($F$16-$F$15)-1,AC$100:AG188,4,FALSE)))*EXP(-(LN(2)/$D$65+0.1)*(VLOOKUP(($F$16-$F$15)-1,AC$100:AG188,5,FALSE)))*EXP(-(LN(2)/$D$65+0.04)*(VLOOKUP(($F$16-$F$15)*2-1,AC$100:AG188,4,FALSE)))*EXP(-(LN(2)/$D$65+0.1)*(VLOOKUP(($F$16-$F$15)*2-1,AC$100:AG188,5,FALSE)))*EXP(-(LN(2)/$D$65+0.04)*AF188)*EXP(-(LN(2)/$D$65+0.1)*AG188),"-"))),"-")</f>
        <v>-</v>
      </c>
      <c r="AK188" s="227">
        <f t="shared" si="137"/>
        <v>88</v>
      </c>
      <c r="AL188" s="226" t="str">
        <f t="shared" si="111"/>
        <v>-</v>
      </c>
      <c r="AM188" s="227" t="str">
        <f t="shared" si="138"/>
        <v>-</v>
      </c>
      <c r="AN188" s="227" t="str">
        <f t="shared" si="139"/>
        <v>-</v>
      </c>
      <c r="AO188" s="227" t="str">
        <f t="shared" si="112"/>
        <v>-</v>
      </c>
      <c r="AP188" s="273">
        <f t="shared" si="140"/>
        <v>0.1</v>
      </c>
      <c r="AQ188" s="271" t="str">
        <f>IFERROR(IF(AL187=1,AQ$100*EXP(-(LN(2)/$D$65+0.04)*AN187)*EXP(-(LN(2)/$D$65+0.1)*AO187),IF(AL187=2,AQ$100*EXP(-(LN(2)/$D$65+0.04)*(VLOOKUP(($F$16-$F$15)-1,AK$99:AO187,4,FALSE)))*EXP(-(LN(2)/$D$65+0.1)*(VLOOKUP(($F$16-$F$15)-1,AK$99:AO187,5,FALSE)))*EXP(-(LN(2)/$D$65+0.04)*AN187)*EXP(-(LN(2)/$D$65+0.1)*AO187),IF(AL187=3,AQ$100*EXP(-(LN(2)/$D$65+0.04)*(VLOOKUP(($F$16-$F$15)-1,AK$99:AO187,4,FALSE)))*EXP(-(LN(2)/$D$65+0.1)*(VLOOKUP(($F$16-$F$15)-1,AK$99:AO187,5,FALSE)))*EXP(-(LN(2)/$D$65+0.04)*(VLOOKUP(($F$16-$F$15)*2-1,AK$99:AO187,4,FALSE)))*EXP(-(LN(2)/$D$65+0.1)*(VLOOKUP(($F$16-$F$15)*2-1,AK$99:AO187,5,FALSE)))*EXP(-(LN(2)/$D$65+0.04)*AN187)*EXP(-(LN(2)/$D$65+0.1)*AO187),"-"))),"-")</f>
        <v>-</v>
      </c>
      <c r="AR188" s="271" t="str">
        <f>IFERROR(IF(AL188=1,AR$100*EXP(-(LN(2)/$D$65+0.04)*AN188)*EXP(-(LN(2)/$D$65+0.1)*AO188),IF(AL188=2,AR$100*EXP(-(LN(2)/$D$65+0.04)*(VLOOKUP(($F$16-$F$15)-1,AK$100:AO188,4,FALSE)))*EXP(-(LN(2)/$D$65+0.1)*(VLOOKUP(($F$16-$F$15)-1,AK$100:AO188,5,FALSE)))*EXP(-(LN(2)/$D$65+0.04)*AN188)*EXP(-(LN(2)/$D$65+0.1)*AO188),IF(AL188=3,AR$100*EXP(-(LN(2)/$D$65+0.04)*(VLOOKUP(($F$16-$F$15)-1,AK$100:AO188,4,FALSE)))*EXP(-(LN(2)/$D$65+0.1)*(VLOOKUP(($F$16-$F$15)-1,AK$100:AO188,5,FALSE)))*EXP(-(LN(2)/$D$65+0.04)*(VLOOKUP(($F$16-$F$15)*2-1,AK$100:AO188,4,FALSE)))*EXP(-(LN(2)/$D$65+0.1)*(VLOOKUP(($F$16-$F$15)*2-1,AK$100:AO188,5,FALSE)))*EXP(-(LN(2)/$D$65+0.04)*AN188)*EXP(-(LN(2)/$D$65+0.1)*AO188),"-"))),"-")</f>
        <v>-</v>
      </c>
      <c r="AS188" s="274">
        <f t="shared" si="113"/>
        <v>0</v>
      </c>
      <c r="AT188" s="274">
        <f t="shared" si="114"/>
        <v>0</v>
      </c>
      <c r="AU188" s="274">
        <f t="shared" si="115"/>
        <v>0</v>
      </c>
      <c r="AV188" s="190" t="str">
        <f>IF($B188&lt;$F$22,SUM($T$100:$T188),"")</f>
        <v/>
      </c>
      <c r="AW188" s="190" t="str">
        <f t="shared" si="116"/>
        <v>-</v>
      </c>
      <c r="AX188" s="190" t="str">
        <f t="shared" si="141"/>
        <v/>
      </c>
      <c r="AY188"/>
      <c r="AZ188" s="190" t="str">
        <f ca="1">IF(ISNUMBER(OFFSET(AV188,-$F$21,0)),SUM(OFFSET($T$100,$F$21,0):$T188),"")</f>
        <v/>
      </c>
      <c r="BA188" s="190" t="str">
        <f t="shared" ca="1" si="117"/>
        <v/>
      </c>
      <c r="BB188" s="190" t="str">
        <f t="shared" ca="1" si="148"/>
        <v/>
      </c>
      <c r="BC188" s="190"/>
      <c r="BD188" s="190" t="str">
        <f ca="1">IFERROR(IF(OR(ISNUMBER(I),ISNUMBER($F$14)),IF(AND($B188&gt;=($F$16-$F$15),$B188&lt;$F$22+($F$16-$F$15)),SUM(OFFSET($T$100,($F$16-$F$15),0):$T188),""),""),"")</f>
        <v/>
      </c>
      <c r="BE188" s="190" t="str">
        <f t="shared" ca="1" si="142"/>
        <v/>
      </c>
      <c r="BF188" s="190" t="str">
        <f t="shared" ca="1" si="143"/>
        <v/>
      </c>
      <c r="BG188"/>
      <c r="BH188" s="190" t="str">
        <f ca="1">IF(ISNUMBER(OFFSET(BD188,-$F$21,0)),SUM(OFFSET($T$100,($F$16-$F$15+$F$21),0):$T188),"")</f>
        <v/>
      </c>
      <c r="BI188" s="190" t="str">
        <f t="shared" ca="1" si="118"/>
        <v/>
      </c>
      <c r="BJ188" s="190" t="str">
        <f t="shared" ca="1" si="144"/>
        <v/>
      </c>
      <c r="BK188" s="190"/>
      <c r="BL188" s="190" t="str">
        <f ca="1">IFERROR(IF(OR(ISNUMBER(I),ISNUMBER($F$14)),IF(AND($B188&gt;=($F$17-$F$15),$B188&lt;$F$22+($F$17-$F$15)),SUM(OFFSET($T$100,($F$17-$F$15),0):$T188),""),""),"")</f>
        <v/>
      </c>
      <c r="BM188" s="190" t="str">
        <f t="shared" ca="1" si="119"/>
        <v/>
      </c>
      <c r="BN188" s="190" t="str">
        <f t="shared" ca="1" si="145"/>
        <v/>
      </c>
      <c r="BO188"/>
      <c r="BP188" s="190" t="str">
        <f ca="1">IF(ISNUMBER(OFFSET(BL188,-$F$21,0)),SUM(OFFSET($T$100,($F$17-$F$15+$F$21),0):$T188),"")</f>
        <v/>
      </c>
      <c r="BQ188" s="190" t="str">
        <f t="shared" ca="1" si="120"/>
        <v/>
      </c>
      <c r="BR188" s="190" t="str">
        <f t="shared" ca="1" si="146"/>
        <v/>
      </c>
      <c r="BS188" s="190"/>
      <c r="BT188"/>
      <c r="BU188"/>
      <c r="BV188"/>
      <c r="BY188" s="99"/>
      <c r="BZ188" s="99"/>
      <c r="CA188" s="280" t="str">
        <f t="shared" si="121"/>
        <v/>
      </c>
      <c r="CB188" s="71" t="str">
        <f t="shared" si="122"/>
        <v>-</v>
      </c>
      <c r="CC188" s="33"/>
      <c r="CD188" s="261" t="str">
        <f t="shared" si="123"/>
        <v/>
      </c>
      <c r="CE188" s="280" t="str">
        <f t="shared" si="124"/>
        <v/>
      </c>
      <c r="CF188" s="71" t="str">
        <f t="shared" ca="1" si="125"/>
        <v/>
      </c>
      <c r="CG188" s="33" t="str">
        <f t="shared" si="126"/>
        <v/>
      </c>
      <c r="CH188" s="261" t="str">
        <f t="shared" ca="1" si="127"/>
        <v/>
      </c>
      <c r="CJ188" s="99"/>
      <c r="CK188" s="99"/>
      <c r="CL188" s="99"/>
      <c r="CM188" s="99"/>
      <c r="CN188" s="99"/>
      <c r="CO188" s="99"/>
    </row>
    <row r="189" spans="2:93" ht="13.5" customHeight="1" x14ac:dyDescent="0.2">
      <c r="B189" s="262">
        <v>89</v>
      </c>
      <c r="C189" s="237" t="str">
        <f t="shared" si="91"/>
        <v/>
      </c>
      <c r="D189" s="237" t="str">
        <f t="shared" si="147"/>
        <v/>
      </c>
      <c r="E189" s="263" t="str">
        <f t="shared" si="128"/>
        <v/>
      </c>
      <c r="F189" s="264" t="str">
        <f t="shared" si="129"/>
        <v/>
      </c>
      <c r="G189" s="264" t="str">
        <f t="shared" si="130"/>
        <v/>
      </c>
      <c r="H189" s="240" t="str">
        <f t="shared" si="92"/>
        <v/>
      </c>
      <c r="I189" s="265" t="str">
        <f t="shared" si="93"/>
        <v/>
      </c>
      <c r="J189" s="265" t="str">
        <f t="shared" si="94"/>
        <v/>
      </c>
      <c r="K189" s="240" t="str">
        <f t="shared" si="95"/>
        <v/>
      </c>
      <c r="L189" s="265" t="str">
        <f t="shared" si="96"/>
        <v/>
      </c>
      <c r="M189" s="265" t="str">
        <f t="shared" si="97"/>
        <v/>
      </c>
      <c r="N189" s="240" t="str">
        <f t="shared" si="98"/>
        <v>-</v>
      </c>
      <c r="O189" s="265" t="str">
        <f t="shared" si="99"/>
        <v>-</v>
      </c>
      <c r="P189" s="265" t="str">
        <f t="shared" si="100"/>
        <v>-</v>
      </c>
      <c r="Q189" s="266" t="str">
        <f t="shared" si="101"/>
        <v>-</v>
      </c>
      <c r="R189" s="267" t="str">
        <f t="shared" si="102"/>
        <v>-</v>
      </c>
      <c r="S189" s="268" t="str">
        <f t="shared" si="103"/>
        <v>-</v>
      </c>
      <c r="T189" s="269" t="str">
        <f t="shared" si="104"/>
        <v/>
      </c>
      <c r="U189" s="221">
        <f t="shared" si="105"/>
        <v>89</v>
      </c>
      <c r="V189" s="220" t="str">
        <f t="shared" si="131"/>
        <v>-</v>
      </c>
      <c r="W189" s="221" t="str">
        <f t="shared" si="132"/>
        <v>-</v>
      </c>
      <c r="X189" s="221" t="str">
        <f t="shared" si="106"/>
        <v>-</v>
      </c>
      <c r="Y189" s="221" t="str">
        <f t="shared" si="107"/>
        <v>-</v>
      </c>
      <c r="Z189" s="270">
        <f t="shared" si="133"/>
        <v>0.1</v>
      </c>
      <c r="AA189" s="271" t="str">
        <f>IFERROR(IF(V188=1,AA$100*EXP(-(LN(2)/$D$65+0.04)*X188)*EXP(-(LN(2)/$D$65+0.1)*Y188),IF(V188=2,AA$100*EXP(-(LN(2)/$D$65+0.04)*(VLOOKUP(($F$16-$F$15)-1,U$99:Y188,4,FALSE)))*EXP(-(LN(2)/$D$65+0.1)*(VLOOKUP(($F$16-$F$15)-1,U$99:Y188,5,FALSE)))*EXP(-(LN(2)/$D$65+0.04)*X188)*EXP(-(LN(2)/$D$65+0.1)*Y188),IF(V188=3,AA$100*EXP(-(LN(2)/$D$65+0.04)*(VLOOKUP(($F$16-$F$15)-1,U$99:Y188,4,FALSE)))*EXP(-(LN(2)/$D$65+0.1)*(VLOOKUP(($F$16-$F$15)-1,U$99:Y188,5,FALSE)))*EXP(-(LN(2)/$D$65+0.04)*(VLOOKUP(($F$16-$F$15)*2-1,U$99:Y188,4,FALSE)))*EXP(-(LN(2)/$D$65+0.1)*(VLOOKUP(($F$16-$F$15)*2-1,U$99:Y188,5,FALSE)))*EXP(-(LN(2)/$D$65+0.04)*X188)*EXP(-(LN(2)/$D$65+0.1)*Y188),"-"))),"-")</f>
        <v>-</v>
      </c>
      <c r="AB189" s="271" t="str">
        <f>IFERROR(IF(V189=1,AB$100*EXP(-(LN(2)/$D$65+0.04)*X189)*EXP(-(LN(2)/$D$65+0.1)*Y189),IF(V189=2,AB$100*EXP(-(LN(2)/$D$65+0.04)*(VLOOKUP(($F$16-$F$15)-1,U$100:Y189,4,FALSE)))*EXP(-(LN(2)/$D$65+0.1)*(VLOOKUP(($F$16-$F$15)-1,U$100:Y189,5,FALSE)))*EXP(-(LN(2)/$D$65+0.04)*X189)*EXP(-(LN(2)/$D$65+0.1)*Y189),IF(V189=3,AB$100*EXP(-(LN(2)/$D$65+0.04)*(VLOOKUP(($F$16-$F$15)-1,U$100:Y189,4,FALSE)))*EXP(-(LN(2)/$D$65+0.1)*(VLOOKUP(($F$16-$F$15)-1,U$100:Y189,5,FALSE)))*EXP(-(LN(2)/$D$65+0.04)*(VLOOKUP(($F$16-$F$15)*2-1,U$100:Y189,4,FALSE)))*EXP(-(LN(2)/$D$65+0.1)*(VLOOKUP(($F$16-$F$15)*2-1,U$100:Y189,5,FALSE)))*EXP(-(LN(2)/$D$65+0.04)*X189)*EXP(-(LN(2)/$D$65+0.1)*Y189),"-"))),"-")</f>
        <v>-</v>
      </c>
      <c r="AC189" s="224">
        <f t="shared" si="134"/>
        <v>89</v>
      </c>
      <c r="AD189" s="223" t="str">
        <f t="shared" si="108"/>
        <v>-</v>
      </c>
      <c r="AE189" s="224" t="str">
        <f t="shared" si="135"/>
        <v>-</v>
      </c>
      <c r="AF189" s="224" t="str">
        <f t="shared" si="109"/>
        <v>-</v>
      </c>
      <c r="AG189" s="224" t="str">
        <f t="shared" si="110"/>
        <v>-</v>
      </c>
      <c r="AH189" s="272">
        <f t="shared" si="136"/>
        <v>0.1</v>
      </c>
      <c r="AI189" s="271" t="str">
        <f>IFERROR(IF(AD188=1,AI$100*EXP(-(LN(2)/$D$65+0.04)*AF188)*EXP(-(LN(2)/$D$65+0.1)*AG188),IF(AD188=2,AI$100*EXP(-(LN(2)/$D$65+0.04)*(VLOOKUP(($F$16-$F$15)-1,AC$99:AG188,4,FALSE)))*EXP(-(LN(2)/$D$65+0.1)*(VLOOKUP(($F$16-$F$15)-1,AC$99:AG188,5,FALSE)))*EXP(-(LN(2)/$D$65+0.04)*AF188)*EXP(-(LN(2)/$D$65+0.1)*AG188),IF(AD188=3,AI$100*EXP(-(LN(2)/$D$65+0.04)*(VLOOKUP(($F$16-$F$15)-1,AC$99:AG188,4,FALSE)))*EXP(-(LN(2)/$D$65+0.1)*(VLOOKUP(($F$16-$F$15)-1,AC$99:AG188,5,FALSE)))*EXP(-(LN(2)/$D$65+0.04)*(VLOOKUP(($F$16-$F$15)*2-1,AC$99:AG188,4,FALSE)))*EXP(-(LN(2)/$D$65+0.1)*(VLOOKUP(($F$16-$F$15)*2-1,AC$99:AG188,5,FALSE)))*EXP(-(LN(2)/$D$65+0.04)*AF188)*EXP(-(LN(2)/$D$65+0.1)*AG188),"-"))),"-")</f>
        <v>-</v>
      </c>
      <c r="AJ189" s="271" t="str">
        <f>IFERROR(IF(AD189=1,AJ$100*EXP(-(LN(2)/$D$65+0.04)*AF189)*EXP(-(LN(2)/$D$65+0.1)*AG189),IF(AD189=2,AJ$100*EXP(-(LN(2)/$D$65+0.04)*(VLOOKUP(($F$16-$F$15)-1,AC$100:AG189,4,FALSE)))*EXP(-(LN(2)/$D$65+0.1)*(VLOOKUP(($F$16-$F$15)-1,AC$100:AG189,5,FALSE)))*EXP(-(LN(2)/$D$65+0.04)*AF189)*EXP(-(LN(2)/$D$65+0.1)*AG189),IF(AD189=3,AJ$100*EXP(-(LN(2)/$D$65+0.04)*(VLOOKUP(($F$16-$F$15)-1,AC$100:AG189,4,FALSE)))*EXP(-(LN(2)/$D$65+0.1)*(VLOOKUP(($F$16-$F$15)-1,AC$100:AG189,5,FALSE)))*EXP(-(LN(2)/$D$65+0.04)*(VLOOKUP(($F$16-$F$15)*2-1,AC$100:AG189,4,FALSE)))*EXP(-(LN(2)/$D$65+0.1)*(VLOOKUP(($F$16-$F$15)*2-1,AC$100:AG189,5,FALSE)))*EXP(-(LN(2)/$D$65+0.04)*AF189)*EXP(-(LN(2)/$D$65+0.1)*AG189),"-"))),"-")</f>
        <v>-</v>
      </c>
      <c r="AK189" s="227">
        <f t="shared" si="137"/>
        <v>89</v>
      </c>
      <c r="AL189" s="226" t="str">
        <f t="shared" si="111"/>
        <v>-</v>
      </c>
      <c r="AM189" s="227" t="str">
        <f t="shared" si="138"/>
        <v>-</v>
      </c>
      <c r="AN189" s="227" t="str">
        <f t="shared" si="139"/>
        <v>-</v>
      </c>
      <c r="AO189" s="227" t="str">
        <f t="shared" si="112"/>
        <v>-</v>
      </c>
      <c r="AP189" s="273">
        <f t="shared" si="140"/>
        <v>0.1</v>
      </c>
      <c r="AQ189" s="271" t="str">
        <f>IFERROR(IF(AL188=1,AQ$100*EXP(-(LN(2)/$D$65+0.04)*AN188)*EXP(-(LN(2)/$D$65+0.1)*AO188),IF(AL188=2,AQ$100*EXP(-(LN(2)/$D$65+0.04)*(VLOOKUP(($F$16-$F$15)-1,AK$99:AO188,4,FALSE)))*EXP(-(LN(2)/$D$65+0.1)*(VLOOKUP(($F$16-$F$15)-1,AK$99:AO188,5,FALSE)))*EXP(-(LN(2)/$D$65+0.04)*AN188)*EXP(-(LN(2)/$D$65+0.1)*AO188),IF(AL188=3,AQ$100*EXP(-(LN(2)/$D$65+0.04)*(VLOOKUP(($F$16-$F$15)-1,AK$99:AO188,4,FALSE)))*EXP(-(LN(2)/$D$65+0.1)*(VLOOKUP(($F$16-$F$15)-1,AK$99:AO188,5,FALSE)))*EXP(-(LN(2)/$D$65+0.04)*(VLOOKUP(($F$16-$F$15)*2-1,AK$99:AO188,4,FALSE)))*EXP(-(LN(2)/$D$65+0.1)*(VLOOKUP(($F$16-$F$15)*2-1,AK$99:AO188,5,FALSE)))*EXP(-(LN(2)/$D$65+0.04)*AN188)*EXP(-(LN(2)/$D$65+0.1)*AO188),"-"))),"-")</f>
        <v>-</v>
      </c>
      <c r="AR189" s="271" t="str">
        <f>IFERROR(IF(AL189=1,AR$100*EXP(-(LN(2)/$D$65+0.04)*AN189)*EXP(-(LN(2)/$D$65+0.1)*AO189),IF(AL189=2,AR$100*EXP(-(LN(2)/$D$65+0.04)*(VLOOKUP(($F$16-$F$15)-1,AK$100:AO189,4,FALSE)))*EXP(-(LN(2)/$D$65+0.1)*(VLOOKUP(($F$16-$F$15)-1,AK$100:AO189,5,FALSE)))*EXP(-(LN(2)/$D$65+0.04)*AN189)*EXP(-(LN(2)/$D$65+0.1)*AO189),IF(AL189=3,AR$100*EXP(-(LN(2)/$D$65+0.04)*(VLOOKUP(($F$16-$F$15)-1,AK$100:AO189,4,FALSE)))*EXP(-(LN(2)/$D$65+0.1)*(VLOOKUP(($F$16-$F$15)-1,AK$100:AO189,5,FALSE)))*EXP(-(LN(2)/$D$65+0.04)*(VLOOKUP(($F$16-$F$15)*2-1,AK$100:AO189,4,FALSE)))*EXP(-(LN(2)/$D$65+0.1)*(VLOOKUP(($F$16-$F$15)*2-1,AK$100:AO189,5,FALSE)))*EXP(-(LN(2)/$D$65+0.04)*AN189)*EXP(-(LN(2)/$D$65+0.1)*AO189),"-"))),"-")</f>
        <v>-</v>
      </c>
      <c r="AS189" s="274">
        <f t="shared" si="113"/>
        <v>0</v>
      </c>
      <c r="AT189" s="274">
        <f t="shared" si="114"/>
        <v>0</v>
      </c>
      <c r="AU189" s="274">
        <f t="shared" si="115"/>
        <v>0</v>
      </c>
      <c r="AV189" s="190" t="str">
        <f>IF($B189&lt;$F$22,SUM($T$100:$T189),"")</f>
        <v/>
      </c>
      <c r="AW189" s="190" t="str">
        <f t="shared" si="116"/>
        <v>-</v>
      </c>
      <c r="AX189" s="190" t="str">
        <f t="shared" si="141"/>
        <v/>
      </c>
      <c r="AY189"/>
      <c r="AZ189" s="190" t="str">
        <f ca="1">IF(ISNUMBER(OFFSET(AV189,-$F$21,0)),SUM(OFFSET($T$100,$F$21,0):$T189),"")</f>
        <v/>
      </c>
      <c r="BA189" s="190" t="str">
        <f t="shared" ca="1" si="117"/>
        <v/>
      </c>
      <c r="BB189" s="190" t="str">
        <f t="shared" ca="1" si="148"/>
        <v/>
      </c>
      <c r="BC189" s="190"/>
      <c r="BD189" s="190" t="str">
        <f ca="1">IFERROR(IF(OR(ISNUMBER(I),ISNUMBER($F$14)),IF(AND($B189&gt;=($F$16-$F$15),$B189&lt;$F$22+($F$16-$F$15)),SUM(OFFSET($T$100,($F$16-$F$15),0):$T189),""),""),"")</f>
        <v/>
      </c>
      <c r="BE189" s="190" t="str">
        <f t="shared" ca="1" si="142"/>
        <v/>
      </c>
      <c r="BF189" s="190" t="str">
        <f t="shared" ca="1" si="143"/>
        <v/>
      </c>
      <c r="BG189"/>
      <c r="BH189" s="190" t="str">
        <f ca="1">IF(ISNUMBER(OFFSET(BD189,-$F$21,0)),SUM(OFFSET($T$100,($F$16-$F$15+$F$21),0):$T189),"")</f>
        <v/>
      </c>
      <c r="BI189" s="190" t="str">
        <f t="shared" ca="1" si="118"/>
        <v/>
      </c>
      <c r="BJ189" s="190" t="str">
        <f t="shared" ca="1" si="144"/>
        <v/>
      </c>
      <c r="BK189" s="190"/>
      <c r="BL189" s="190" t="str">
        <f ca="1">IFERROR(IF(OR(ISNUMBER(I),ISNUMBER($F$14)),IF(AND($B189&gt;=($F$17-$F$15),$B189&lt;$F$22+($F$17-$F$15)),SUM(OFFSET($T$100,($F$17-$F$15),0):$T189),""),""),"")</f>
        <v/>
      </c>
      <c r="BM189" s="190" t="str">
        <f t="shared" ca="1" si="119"/>
        <v/>
      </c>
      <c r="BN189" s="190" t="str">
        <f t="shared" ca="1" si="145"/>
        <v/>
      </c>
      <c r="BO189"/>
      <c r="BP189" s="190" t="str">
        <f ca="1">IF(ISNUMBER(OFFSET(BL189,-$F$21,0)),SUM(OFFSET($T$100,($F$17-$F$15+$F$21),0):$T189),"")</f>
        <v/>
      </c>
      <c r="BQ189" s="190" t="str">
        <f t="shared" ca="1" si="120"/>
        <v/>
      </c>
      <c r="BR189" s="190" t="str">
        <f t="shared" ca="1" si="146"/>
        <v/>
      </c>
      <c r="BS189" s="190"/>
      <c r="BT189"/>
      <c r="BU189"/>
      <c r="BV189"/>
      <c r="BY189" s="99"/>
      <c r="BZ189" s="99"/>
      <c r="CA189" s="280" t="str">
        <f t="shared" si="121"/>
        <v/>
      </c>
      <c r="CB189" s="71" t="str">
        <f t="shared" si="122"/>
        <v>-</v>
      </c>
      <c r="CC189" s="33"/>
      <c r="CD189" s="261" t="str">
        <f t="shared" si="123"/>
        <v/>
      </c>
      <c r="CE189" s="280" t="str">
        <f t="shared" si="124"/>
        <v/>
      </c>
      <c r="CF189" s="71" t="str">
        <f t="shared" ca="1" si="125"/>
        <v/>
      </c>
      <c r="CG189" s="33" t="str">
        <f t="shared" si="126"/>
        <v/>
      </c>
      <c r="CH189" s="261" t="str">
        <f t="shared" ca="1" si="127"/>
        <v/>
      </c>
    </row>
    <row r="190" spans="2:93" ht="13.5" customHeight="1" x14ac:dyDescent="0.2">
      <c r="B190" s="262">
        <v>90</v>
      </c>
      <c r="C190" s="237" t="str">
        <f t="shared" si="91"/>
        <v/>
      </c>
      <c r="D190" s="237" t="str">
        <f t="shared" si="147"/>
        <v/>
      </c>
      <c r="E190" s="263" t="str">
        <f t="shared" si="128"/>
        <v/>
      </c>
      <c r="F190" s="264" t="str">
        <f t="shared" si="129"/>
        <v/>
      </c>
      <c r="G190" s="264" t="str">
        <f t="shared" si="130"/>
        <v/>
      </c>
      <c r="H190" s="240" t="str">
        <f t="shared" si="92"/>
        <v/>
      </c>
      <c r="I190" s="265" t="str">
        <f t="shared" si="93"/>
        <v/>
      </c>
      <c r="J190" s="265" t="str">
        <f t="shared" si="94"/>
        <v/>
      </c>
      <c r="K190" s="240" t="str">
        <f t="shared" si="95"/>
        <v/>
      </c>
      <c r="L190" s="265" t="str">
        <f t="shared" si="96"/>
        <v/>
      </c>
      <c r="M190" s="265" t="str">
        <f t="shared" si="97"/>
        <v/>
      </c>
      <c r="N190" s="240" t="str">
        <f t="shared" si="98"/>
        <v>-</v>
      </c>
      <c r="O190" s="265" t="str">
        <f t="shared" si="99"/>
        <v>-</v>
      </c>
      <c r="P190" s="265" t="str">
        <f t="shared" si="100"/>
        <v>-</v>
      </c>
      <c r="Q190" s="266" t="str">
        <f t="shared" si="101"/>
        <v>-</v>
      </c>
      <c r="R190" s="267" t="str">
        <f t="shared" si="102"/>
        <v>-</v>
      </c>
      <c r="S190" s="268" t="str">
        <f t="shared" si="103"/>
        <v>-</v>
      </c>
      <c r="T190" s="269" t="str">
        <f t="shared" si="104"/>
        <v/>
      </c>
      <c r="U190" s="221">
        <f t="shared" si="105"/>
        <v>90</v>
      </c>
      <c r="V190" s="220" t="str">
        <f t="shared" si="131"/>
        <v>-</v>
      </c>
      <c r="W190" s="221" t="str">
        <f t="shared" si="132"/>
        <v>-</v>
      </c>
      <c r="X190" s="221" t="str">
        <f t="shared" si="106"/>
        <v>-</v>
      </c>
      <c r="Y190" s="221" t="str">
        <f t="shared" si="107"/>
        <v>-</v>
      </c>
      <c r="Z190" s="270">
        <f t="shared" si="133"/>
        <v>0.1</v>
      </c>
      <c r="AA190" s="271" t="str">
        <f>IFERROR(IF(V189=1,AA$100*EXP(-(LN(2)/$D$65+0.04)*X189)*EXP(-(LN(2)/$D$65+0.1)*Y189),IF(V189=2,AA$100*EXP(-(LN(2)/$D$65+0.04)*(VLOOKUP(($F$16-$F$15)-1,U$99:Y189,4,FALSE)))*EXP(-(LN(2)/$D$65+0.1)*(VLOOKUP(($F$16-$F$15)-1,U$99:Y189,5,FALSE)))*EXP(-(LN(2)/$D$65+0.04)*X189)*EXP(-(LN(2)/$D$65+0.1)*Y189),IF(V189=3,AA$100*EXP(-(LN(2)/$D$65+0.04)*(VLOOKUP(($F$16-$F$15)-1,U$99:Y189,4,FALSE)))*EXP(-(LN(2)/$D$65+0.1)*(VLOOKUP(($F$16-$F$15)-1,U$99:Y189,5,FALSE)))*EXP(-(LN(2)/$D$65+0.04)*(VLOOKUP(($F$16-$F$15)*2-1,U$99:Y189,4,FALSE)))*EXP(-(LN(2)/$D$65+0.1)*(VLOOKUP(($F$16-$F$15)*2-1,U$99:Y189,5,FALSE)))*EXP(-(LN(2)/$D$65+0.04)*X189)*EXP(-(LN(2)/$D$65+0.1)*Y189),"-"))),"-")</f>
        <v>-</v>
      </c>
      <c r="AB190" s="271" t="str">
        <f>IFERROR(IF(V190=1,AB$100*EXP(-(LN(2)/$D$65+0.04)*X190)*EXP(-(LN(2)/$D$65+0.1)*Y190),IF(V190=2,AB$100*EXP(-(LN(2)/$D$65+0.04)*(VLOOKUP(($F$16-$F$15)-1,U$100:Y190,4,FALSE)))*EXP(-(LN(2)/$D$65+0.1)*(VLOOKUP(($F$16-$F$15)-1,U$100:Y190,5,FALSE)))*EXP(-(LN(2)/$D$65+0.04)*X190)*EXP(-(LN(2)/$D$65+0.1)*Y190),IF(V190=3,AB$100*EXP(-(LN(2)/$D$65+0.04)*(VLOOKUP(($F$16-$F$15)-1,U$100:Y190,4,FALSE)))*EXP(-(LN(2)/$D$65+0.1)*(VLOOKUP(($F$16-$F$15)-1,U$100:Y190,5,FALSE)))*EXP(-(LN(2)/$D$65+0.04)*(VLOOKUP(($F$16-$F$15)*2-1,U$100:Y190,4,FALSE)))*EXP(-(LN(2)/$D$65+0.1)*(VLOOKUP(($F$16-$F$15)*2-1,U$100:Y190,5,FALSE)))*EXP(-(LN(2)/$D$65+0.04)*X190)*EXP(-(LN(2)/$D$65+0.1)*Y190),"-"))),"-")</f>
        <v>-</v>
      </c>
      <c r="AC190" s="224">
        <f t="shared" si="134"/>
        <v>90</v>
      </c>
      <c r="AD190" s="223" t="str">
        <f t="shared" si="108"/>
        <v>-</v>
      </c>
      <c r="AE190" s="224" t="str">
        <f t="shared" si="135"/>
        <v>-</v>
      </c>
      <c r="AF190" s="224" t="str">
        <f t="shared" si="109"/>
        <v>-</v>
      </c>
      <c r="AG190" s="224" t="str">
        <f t="shared" si="110"/>
        <v>-</v>
      </c>
      <c r="AH190" s="272">
        <f t="shared" si="136"/>
        <v>0.1</v>
      </c>
      <c r="AI190" s="271" t="str">
        <f>IFERROR(IF(AD189=1,AI$100*EXP(-(LN(2)/$D$65+0.04)*AF189)*EXP(-(LN(2)/$D$65+0.1)*AG189),IF(AD189=2,AI$100*EXP(-(LN(2)/$D$65+0.04)*(VLOOKUP(($F$16-$F$15)-1,AC$99:AG189,4,FALSE)))*EXP(-(LN(2)/$D$65+0.1)*(VLOOKUP(($F$16-$F$15)-1,AC$99:AG189,5,FALSE)))*EXP(-(LN(2)/$D$65+0.04)*AF189)*EXP(-(LN(2)/$D$65+0.1)*AG189),IF(AD189=3,AI$100*EXP(-(LN(2)/$D$65+0.04)*(VLOOKUP(($F$16-$F$15)-1,AC$99:AG189,4,FALSE)))*EXP(-(LN(2)/$D$65+0.1)*(VLOOKUP(($F$16-$F$15)-1,AC$99:AG189,5,FALSE)))*EXP(-(LN(2)/$D$65+0.04)*(VLOOKUP(($F$16-$F$15)*2-1,AC$99:AG189,4,FALSE)))*EXP(-(LN(2)/$D$65+0.1)*(VLOOKUP(($F$16-$F$15)*2-1,AC$99:AG189,5,FALSE)))*EXP(-(LN(2)/$D$65+0.04)*AF189)*EXP(-(LN(2)/$D$65+0.1)*AG189),"-"))),"-")</f>
        <v>-</v>
      </c>
      <c r="AJ190" s="271" t="str">
        <f>IFERROR(IF(AD190=1,AJ$100*EXP(-(LN(2)/$D$65+0.04)*AF190)*EXP(-(LN(2)/$D$65+0.1)*AG190),IF(AD190=2,AJ$100*EXP(-(LN(2)/$D$65+0.04)*(VLOOKUP(($F$16-$F$15)-1,AC$100:AG190,4,FALSE)))*EXP(-(LN(2)/$D$65+0.1)*(VLOOKUP(($F$16-$F$15)-1,AC$100:AG190,5,FALSE)))*EXP(-(LN(2)/$D$65+0.04)*AF190)*EXP(-(LN(2)/$D$65+0.1)*AG190),IF(AD190=3,AJ$100*EXP(-(LN(2)/$D$65+0.04)*(VLOOKUP(($F$16-$F$15)-1,AC$100:AG190,4,FALSE)))*EXP(-(LN(2)/$D$65+0.1)*(VLOOKUP(($F$16-$F$15)-1,AC$100:AG190,5,FALSE)))*EXP(-(LN(2)/$D$65+0.04)*(VLOOKUP(($F$16-$F$15)*2-1,AC$100:AG190,4,FALSE)))*EXP(-(LN(2)/$D$65+0.1)*(VLOOKUP(($F$16-$F$15)*2-1,AC$100:AG190,5,FALSE)))*EXP(-(LN(2)/$D$65+0.04)*AF190)*EXP(-(LN(2)/$D$65+0.1)*AG190),"-"))),"-")</f>
        <v>-</v>
      </c>
      <c r="AK190" s="227">
        <f t="shared" si="137"/>
        <v>90</v>
      </c>
      <c r="AL190" s="226" t="str">
        <f t="shared" si="111"/>
        <v>-</v>
      </c>
      <c r="AM190" s="227" t="str">
        <f t="shared" si="138"/>
        <v>-</v>
      </c>
      <c r="AN190" s="227" t="str">
        <f t="shared" si="139"/>
        <v>-</v>
      </c>
      <c r="AO190" s="227" t="str">
        <f t="shared" si="112"/>
        <v>-</v>
      </c>
      <c r="AP190" s="273">
        <f t="shared" si="140"/>
        <v>0.1</v>
      </c>
      <c r="AQ190" s="271" t="str">
        <f>IFERROR(IF(AL189=1,AQ$100*EXP(-(LN(2)/$D$65+0.04)*AN189)*EXP(-(LN(2)/$D$65+0.1)*AO189),IF(AL189=2,AQ$100*EXP(-(LN(2)/$D$65+0.04)*(VLOOKUP(($F$16-$F$15)-1,AK$99:AO189,4,FALSE)))*EXP(-(LN(2)/$D$65+0.1)*(VLOOKUP(($F$16-$F$15)-1,AK$99:AO189,5,FALSE)))*EXP(-(LN(2)/$D$65+0.04)*AN189)*EXP(-(LN(2)/$D$65+0.1)*AO189),IF(AL189=3,AQ$100*EXP(-(LN(2)/$D$65+0.04)*(VLOOKUP(($F$16-$F$15)-1,AK$99:AO189,4,FALSE)))*EXP(-(LN(2)/$D$65+0.1)*(VLOOKUP(($F$16-$F$15)-1,AK$99:AO189,5,FALSE)))*EXP(-(LN(2)/$D$65+0.04)*(VLOOKUP(($F$16-$F$15)*2-1,AK$99:AO189,4,FALSE)))*EXP(-(LN(2)/$D$65+0.1)*(VLOOKUP(($F$16-$F$15)*2-1,AK$99:AO189,5,FALSE)))*EXP(-(LN(2)/$D$65+0.04)*AN189)*EXP(-(LN(2)/$D$65+0.1)*AO189),"-"))),"-")</f>
        <v>-</v>
      </c>
      <c r="AR190" s="271" t="str">
        <f>IFERROR(IF(AL190=1,AR$100*EXP(-(LN(2)/$D$65+0.04)*AN190)*EXP(-(LN(2)/$D$65+0.1)*AO190),IF(AL190=2,AR$100*EXP(-(LN(2)/$D$65+0.04)*(VLOOKUP(($F$16-$F$15)-1,AK$100:AO190,4,FALSE)))*EXP(-(LN(2)/$D$65+0.1)*(VLOOKUP(($F$16-$F$15)-1,AK$100:AO190,5,FALSE)))*EXP(-(LN(2)/$D$65+0.04)*AN190)*EXP(-(LN(2)/$D$65+0.1)*AO190),IF(AL190=3,AR$100*EXP(-(LN(2)/$D$65+0.04)*(VLOOKUP(($F$16-$F$15)-1,AK$100:AO190,4,FALSE)))*EXP(-(LN(2)/$D$65+0.1)*(VLOOKUP(($F$16-$F$15)-1,AK$100:AO190,5,FALSE)))*EXP(-(LN(2)/$D$65+0.04)*(VLOOKUP(($F$16-$F$15)*2-1,AK$100:AO190,4,FALSE)))*EXP(-(LN(2)/$D$65+0.1)*(VLOOKUP(($F$16-$F$15)*2-1,AK$100:AO190,5,FALSE)))*EXP(-(LN(2)/$D$65+0.04)*AN190)*EXP(-(LN(2)/$D$65+0.1)*AO190),"-"))),"-")</f>
        <v>-</v>
      </c>
      <c r="AS190" s="274">
        <f t="shared" si="113"/>
        <v>0</v>
      </c>
      <c r="AT190" s="274">
        <f t="shared" si="114"/>
        <v>0</v>
      </c>
      <c r="AU190" s="274">
        <f t="shared" si="115"/>
        <v>0</v>
      </c>
      <c r="AV190" s="190" t="str">
        <f>IF($B190&lt;$F$22,SUM($T$100:$T190),"")</f>
        <v/>
      </c>
      <c r="AW190" s="190" t="str">
        <f t="shared" si="116"/>
        <v>-</v>
      </c>
      <c r="AX190" s="190" t="str">
        <f t="shared" si="141"/>
        <v/>
      </c>
      <c r="AY190"/>
      <c r="AZ190" s="190" t="str">
        <f ca="1">IF(ISNUMBER(OFFSET(AV190,-$F$21,0)),SUM(OFFSET($T$100,$F$21,0):$T190),"")</f>
        <v/>
      </c>
      <c r="BA190" s="190" t="str">
        <f t="shared" ca="1" si="117"/>
        <v/>
      </c>
      <c r="BB190" s="190" t="str">
        <f t="shared" ca="1" si="148"/>
        <v/>
      </c>
      <c r="BC190" s="190"/>
      <c r="BD190" s="190" t="str">
        <f ca="1">IFERROR(IF(OR(ISNUMBER(I),ISNUMBER($F$14)),IF(AND($B190&gt;=($F$16-$F$15),$B190&lt;$F$22+($F$16-$F$15)),SUM(OFFSET($T$100,($F$16-$F$15),0):$T190),""),""),"")</f>
        <v/>
      </c>
      <c r="BE190" s="190" t="str">
        <f t="shared" ca="1" si="142"/>
        <v/>
      </c>
      <c r="BF190" s="190" t="str">
        <f t="shared" ca="1" si="143"/>
        <v/>
      </c>
      <c r="BG190"/>
      <c r="BH190" s="190" t="str">
        <f ca="1">IF(ISNUMBER(OFFSET(BD190,-$F$21,0)),SUM(OFFSET($T$100,($F$16-$F$15+$F$21),0):$T190),"")</f>
        <v/>
      </c>
      <c r="BI190" s="190" t="str">
        <f t="shared" ca="1" si="118"/>
        <v/>
      </c>
      <c r="BJ190" s="190" t="str">
        <f t="shared" ca="1" si="144"/>
        <v/>
      </c>
      <c r="BK190" s="190"/>
      <c r="BL190" s="190" t="str">
        <f ca="1">IFERROR(IF(OR(ISNUMBER(I),ISNUMBER($F$14)),IF(AND($B190&gt;=($F$17-$F$15),$B190&lt;$F$22+($F$17-$F$15)),SUM(OFFSET($T$100,($F$17-$F$15),0):$T190),""),""),"")</f>
        <v/>
      </c>
      <c r="BM190" s="190" t="str">
        <f t="shared" ca="1" si="119"/>
        <v/>
      </c>
      <c r="BN190" s="190" t="str">
        <f t="shared" ca="1" si="145"/>
        <v/>
      </c>
      <c r="BO190"/>
      <c r="BP190" s="190" t="str">
        <f ca="1">IF(ISNUMBER(OFFSET(BL190,-$F$21,0)),SUM(OFFSET($T$100,($F$17-$F$15+$F$21),0):$T190),"")</f>
        <v/>
      </c>
      <c r="BQ190" s="190" t="str">
        <f t="shared" ca="1" si="120"/>
        <v/>
      </c>
      <c r="BR190" s="190" t="str">
        <f t="shared" ca="1" si="146"/>
        <v/>
      </c>
      <c r="BS190" s="190"/>
      <c r="BT190"/>
      <c r="BU190"/>
      <c r="BV190"/>
      <c r="BY190" s="99"/>
      <c r="BZ190" s="99"/>
      <c r="CA190" s="280" t="str">
        <f t="shared" si="121"/>
        <v/>
      </c>
      <c r="CB190" s="71" t="str">
        <f t="shared" si="122"/>
        <v>-</v>
      </c>
      <c r="CC190" s="33"/>
      <c r="CD190" s="261" t="str">
        <f t="shared" si="123"/>
        <v/>
      </c>
      <c r="CE190" s="280" t="str">
        <f t="shared" si="124"/>
        <v/>
      </c>
      <c r="CF190" s="71" t="str">
        <f t="shared" ca="1" si="125"/>
        <v/>
      </c>
      <c r="CG190" s="33" t="str">
        <f t="shared" si="126"/>
        <v/>
      </c>
      <c r="CH190" s="261" t="str">
        <f t="shared" ca="1" si="127"/>
        <v/>
      </c>
    </row>
    <row r="191" spans="2:93" ht="13.5" customHeight="1" x14ac:dyDescent="0.2">
      <c r="B191" s="262">
        <v>91</v>
      </c>
      <c r="C191" s="237" t="str">
        <f t="shared" si="91"/>
        <v/>
      </c>
      <c r="D191" s="237" t="str">
        <f t="shared" si="147"/>
        <v/>
      </c>
      <c r="E191" s="263" t="str">
        <f t="shared" si="128"/>
        <v/>
      </c>
      <c r="F191" s="264" t="str">
        <f t="shared" si="129"/>
        <v/>
      </c>
      <c r="G191" s="264" t="str">
        <f t="shared" si="130"/>
        <v/>
      </c>
      <c r="H191" s="240" t="str">
        <f t="shared" si="92"/>
        <v/>
      </c>
      <c r="I191" s="265" t="str">
        <f t="shared" si="93"/>
        <v/>
      </c>
      <c r="J191" s="265" t="str">
        <f t="shared" si="94"/>
        <v/>
      </c>
      <c r="K191" s="240" t="str">
        <f t="shared" si="95"/>
        <v/>
      </c>
      <c r="L191" s="265" t="str">
        <f t="shared" si="96"/>
        <v/>
      </c>
      <c r="M191" s="265" t="str">
        <f t="shared" si="97"/>
        <v/>
      </c>
      <c r="N191" s="240" t="str">
        <f t="shared" si="98"/>
        <v>-</v>
      </c>
      <c r="O191" s="265" t="str">
        <f t="shared" si="99"/>
        <v>-</v>
      </c>
      <c r="P191" s="265" t="str">
        <f t="shared" si="100"/>
        <v>-</v>
      </c>
      <c r="Q191" s="266" t="str">
        <f t="shared" si="101"/>
        <v>-</v>
      </c>
      <c r="R191" s="267" t="str">
        <f t="shared" si="102"/>
        <v>-</v>
      </c>
      <c r="S191" s="268" t="str">
        <f t="shared" si="103"/>
        <v>-</v>
      </c>
      <c r="T191" s="269" t="str">
        <f t="shared" si="104"/>
        <v/>
      </c>
      <c r="U191" s="221">
        <f t="shared" si="105"/>
        <v>91</v>
      </c>
      <c r="V191" s="220" t="str">
        <f t="shared" si="131"/>
        <v>-</v>
      </c>
      <c r="W191" s="221" t="str">
        <f t="shared" si="132"/>
        <v>-</v>
      </c>
      <c r="X191" s="221" t="str">
        <f t="shared" si="106"/>
        <v>-</v>
      </c>
      <c r="Y191" s="221" t="str">
        <f t="shared" si="107"/>
        <v>-</v>
      </c>
      <c r="Z191" s="270">
        <f t="shared" si="133"/>
        <v>0.1</v>
      </c>
      <c r="AA191" s="271" t="str">
        <f>IFERROR(IF(V190=1,AA$100*EXP(-(LN(2)/$D$65+0.04)*X190)*EXP(-(LN(2)/$D$65+0.1)*Y190),IF(V190=2,AA$100*EXP(-(LN(2)/$D$65+0.04)*(VLOOKUP(($F$16-$F$15)-1,U$99:Y190,4,FALSE)))*EXP(-(LN(2)/$D$65+0.1)*(VLOOKUP(($F$16-$F$15)-1,U$99:Y190,5,FALSE)))*EXP(-(LN(2)/$D$65+0.04)*X190)*EXP(-(LN(2)/$D$65+0.1)*Y190),IF(V190=3,AA$100*EXP(-(LN(2)/$D$65+0.04)*(VLOOKUP(($F$16-$F$15)-1,U$99:Y190,4,FALSE)))*EXP(-(LN(2)/$D$65+0.1)*(VLOOKUP(($F$16-$F$15)-1,U$99:Y190,5,FALSE)))*EXP(-(LN(2)/$D$65+0.04)*(VLOOKUP(($F$16-$F$15)*2-1,U$99:Y190,4,FALSE)))*EXP(-(LN(2)/$D$65+0.1)*(VLOOKUP(($F$16-$F$15)*2-1,U$99:Y190,5,FALSE)))*EXP(-(LN(2)/$D$65+0.04)*X190)*EXP(-(LN(2)/$D$65+0.1)*Y190),"-"))),"-")</f>
        <v>-</v>
      </c>
      <c r="AB191" s="271" t="str">
        <f>IFERROR(IF(V191=1,AB$100*EXP(-(LN(2)/$D$65+0.04)*X191)*EXP(-(LN(2)/$D$65+0.1)*Y191),IF(V191=2,AB$100*EXP(-(LN(2)/$D$65+0.04)*(VLOOKUP(($F$16-$F$15)-1,U$100:Y191,4,FALSE)))*EXP(-(LN(2)/$D$65+0.1)*(VLOOKUP(($F$16-$F$15)-1,U$100:Y191,5,FALSE)))*EXP(-(LN(2)/$D$65+0.04)*X191)*EXP(-(LN(2)/$D$65+0.1)*Y191),IF(V191=3,AB$100*EXP(-(LN(2)/$D$65+0.04)*(VLOOKUP(($F$16-$F$15)-1,U$100:Y191,4,FALSE)))*EXP(-(LN(2)/$D$65+0.1)*(VLOOKUP(($F$16-$F$15)-1,U$100:Y191,5,FALSE)))*EXP(-(LN(2)/$D$65+0.04)*(VLOOKUP(($F$16-$F$15)*2-1,U$100:Y191,4,FALSE)))*EXP(-(LN(2)/$D$65+0.1)*(VLOOKUP(($F$16-$F$15)*2-1,U$100:Y191,5,FALSE)))*EXP(-(LN(2)/$D$65+0.04)*X191)*EXP(-(LN(2)/$D$65+0.1)*Y191),"-"))),"-")</f>
        <v>-</v>
      </c>
      <c r="AC191" s="224">
        <f t="shared" si="134"/>
        <v>91</v>
      </c>
      <c r="AD191" s="223" t="str">
        <f t="shared" si="108"/>
        <v>-</v>
      </c>
      <c r="AE191" s="224" t="str">
        <f t="shared" si="135"/>
        <v>-</v>
      </c>
      <c r="AF191" s="224" t="str">
        <f t="shared" si="109"/>
        <v>-</v>
      </c>
      <c r="AG191" s="224" t="str">
        <f t="shared" si="110"/>
        <v>-</v>
      </c>
      <c r="AH191" s="272">
        <f t="shared" si="136"/>
        <v>0.1</v>
      </c>
      <c r="AI191" s="271" t="str">
        <f>IFERROR(IF(AD190=1,AI$100*EXP(-(LN(2)/$D$65+0.04)*AF190)*EXP(-(LN(2)/$D$65+0.1)*AG190),IF(AD190=2,AI$100*EXP(-(LN(2)/$D$65+0.04)*(VLOOKUP(($F$16-$F$15)-1,AC$99:AG190,4,FALSE)))*EXP(-(LN(2)/$D$65+0.1)*(VLOOKUP(($F$16-$F$15)-1,AC$99:AG190,5,FALSE)))*EXP(-(LN(2)/$D$65+0.04)*AF190)*EXP(-(LN(2)/$D$65+0.1)*AG190),IF(AD190=3,AI$100*EXP(-(LN(2)/$D$65+0.04)*(VLOOKUP(($F$16-$F$15)-1,AC$99:AG190,4,FALSE)))*EXP(-(LN(2)/$D$65+0.1)*(VLOOKUP(($F$16-$F$15)-1,AC$99:AG190,5,FALSE)))*EXP(-(LN(2)/$D$65+0.04)*(VLOOKUP(($F$16-$F$15)*2-1,AC$99:AG190,4,FALSE)))*EXP(-(LN(2)/$D$65+0.1)*(VLOOKUP(($F$16-$F$15)*2-1,AC$99:AG190,5,FALSE)))*EXP(-(LN(2)/$D$65+0.04)*AF190)*EXP(-(LN(2)/$D$65+0.1)*AG190),"-"))),"-")</f>
        <v>-</v>
      </c>
      <c r="AJ191" s="271" t="str">
        <f>IFERROR(IF(AD191=1,AJ$100*EXP(-(LN(2)/$D$65+0.04)*AF191)*EXP(-(LN(2)/$D$65+0.1)*AG191),IF(AD191=2,AJ$100*EXP(-(LN(2)/$D$65+0.04)*(VLOOKUP(($F$16-$F$15)-1,AC$100:AG191,4,FALSE)))*EXP(-(LN(2)/$D$65+0.1)*(VLOOKUP(($F$16-$F$15)-1,AC$100:AG191,5,FALSE)))*EXP(-(LN(2)/$D$65+0.04)*AF191)*EXP(-(LN(2)/$D$65+0.1)*AG191),IF(AD191=3,AJ$100*EXP(-(LN(2)/$D$65+0.04)*(VLOOKUP(($F$16-$F$15)-1,AC$100:AG191,4,FALSE)))*EXP(-(LN(2)/$D$65+0.1)*(VLOOKUP(($F$16-$F$15)-1,AC$100:AG191,5,FALSE)))*EXP(-(LN(2)/$D$65+0.04)*(VLOOKUP(($F$16-$F$15)*2-1,AC$100:AG191,4,FALSE)))*EXP(-(LN(2)/$D$65+0.1)*(VLOOKUP(($F$16-$F$15)*2-1,AC$100:AG191,5,FALSE)))*EXP(-(LN(2)/$D$65+0.04)*AF191)*EXP(-(LN(2)/$D$65+0.1)*AG191),"-"))),"-")</f>
        <v>-</v>
      </c>
      <c r="AK191" s="227">
        <f t="shared" si="137"/>
        <v>91</v>
      </c>
      <c r="AL191" s="226" t="str">
        <f t="shared" si="111"/>
        <v>-</v>
      </c>
      <c r="AM191" s="227" t="str">
        <f t="shared" si="138"/>
        <v>-</v>
      </c>
      <c r="AN191" s="227" t="str">
        <f t="shared" si="139"/>
        <v>-</v>
      </c>
      <c r="AO191" s="227" t="str">
        <f t="shared" si="112"/>
        <v>-</v>
      </c>
      <c r="AP191" s="273">
        <f t="shared" si="140"/>
        <v>0.1</v>
      </c>
      <c r="AQ191" s="271" t="str">
        <f>IFERROR(IF(AL190=1,AQ$100*EXP(-(LN(2)/$D$65+0.04)*AN190)*EXP(-(LN(2)/$D$65+0.1)*AO190),IF(AL190=2,AQ$100*EXP(-(LN(2)/$D$65+0.04)*(VLOOKUP(($F$16-$F$15)-1,AK$99:AO190,4,FALSE)))*EXP(-(LN(2)/$D$65+0.1)*(VLOOKUP(($F$16-$F$15)-1,AK$99:AO190,5,FALSE)))*EXP(-(LN(2)/$D$65+0.04)*AN190)*EXP(-(LN(2)/$D$65+0.1)*AO190),IF(AL190=3,AQ$100*EXP(-(LN(2)/$D$65+0.04)*(VLOOKUP(($F$16-$F$15)-1,AK$99:AO190,4,FALSE)))*EXP(-(LN(2)/$D$65+0.1)*(VLOOKUP(($F$16-$F$15)-1,AK$99:AO190,5,FALSE)))*EXP(-(LN(2)/$D$65+0.04)*(VLOOKUP(($F$16-$F$15)*2-1,AK$99:AO190,4,FALSE)))*EXP(-(LN(2)/$D$65+0.1)*(VLOOKUP(($F$16-$F$15)*2-1,AK$99:AO190,5,FALSE)))*EXP(-(LN(2)/$D$65+0.04)*AN190)*EXP(-(LN(2)/$D$65+0.1)*AO190),"-"))),"-")</f>
        <v>-</v>
      </c>
      <c r="AR191" s="271" t="str">
        <f>IFERROR(IF(AL191=1,AR$100*EXP(-(LN(2)/$D$65+0.04)*AN191)*EXP(-(LN(2)/$D$65+0.1)*AO191),IF(AL191=2,AR$100*EXP(-(LN(2)/$D$65+0.04)*(VLOOKUP(($F$16-$F$15)-1,AK$100:AO191,4,FALSE)))*EXP(-(LN(2)/$D$65+0.1)*(VLOOKUP(($F$16-$F$15)-1,AK$100:AO191,5,FALSE)))*EXP(-(LN(2)/$D$65+0.04)*AN191)*EXP(-(LN(2)/$D$65+0.1)*AO191),IF(AL191=3,AR$100*EXP(-(LN(2)/$D$65+0.04)*(VLOOKUP(($F$16-$F$15)-1,AK$100:AO191,4,FALSE)))*EXP(-(LN(2)/$D$65+0.1)*(VLOOKUP(($F$16-$F$15)-1,AK$100:AO191,5,FALSE)))*EXP(-(LN(2)/$D$65+0.04)*(VLOOKUP(($F$16-$F$15)*2-1,AK$100:AO191,4,FALSE)))*EXP(-(LN(2)/$D$65+0.1)*(VLOOKUP(($F$16-$F$15)*2-1,AK$100:AO191,5,FALSE)))*EXP(-(LN(2)/$D$65+0.04)*AN191)*EXP(-(LN(2)/$D$65+0.1)*AO191),"-"))),"-")</f>
        <v>-</v>
      </c>
      <c r="AS191" s="274">
        <f t="shared" si="113"/>
        <v>0</v>
      </c>
      <c r="AT191" s="274">
        <f t="shared" si="114"/>
        <v>0</v>
      </c>
      <c r="AU191" s="274">
        <f t="shared" si="115"/>
        <v>0</v>
      </c>
      <c r="AV191" s="190" t="str">
        <f>IF($B191&lt;$F$22,SUM($T$100:$T191),"")</f>
        <v/>
      </c>
      <c r="AW191" s="190" t="str">
        <f t="shared" si="116"/>
        <v>-</v>
      </c>
      <c r="AX191" s="190" t="str">
        <f t="shared" si="141"/>
        <v/>
      </c>
      <c r="AY191"/>
      <c r="AZ191" s="190" t="str">
        <f ca="1">IF(ISNUMBER(OFFSET(AV191,-$F$21,0)),SUM(OFFSET($T$100,$F$21,0):$T191),"")</f>
        <v/>
      </c>
      <c r="BA191" s="190" t="str">
        <f t="shared" ca="1" si="117"/>
        <v/>
      </c>
      <c r="BB191" s="190" t="str">
        <f t="shared" ca="1" si="148"/>
        <v/>
      </c>
      <c r="BC191" s="190"/>
      <c r="BD191" s="190" t="str">
        <f ca="1">IFERROR(IF(OR(ISNUMBER(I),ISNUMBER($F$14)),IF(AND($B191&gt;=($F$16-$F$15),$B191&lt;$F$22+($F$16-$F$15)),SUM(OFFSET($T$100,($F$16-$F$15),0):$T191),""),""),"")</f>
        <v/>
      </c>
      <c r="BE191" s="190" t="str">
        <f t="shared" ca="1" si="142"/>
        <v/>
      </c>
      <c r="BF191" s="190" t="str">
        <f t="shared" ca="1" si="143"/>
        <v/>
      </c>
      <c r="BG191"/>
      <c r="BH191" s="190" t="str">
        <f ca="1">IF(ISNUMBER(OFFSET(BD191,-$F$21,0)),SUM(OFFSET($T$100,($F$16-$F$15+$F$21),0):$T191),"")</f>
        <v/>
      </c>
      <c r="BI191" s="190" t="str">
        <f t="shared" ca="1" si="118"/>
        <v/>
      </c>
      <c r="BJ191" s="190" t="str">
        <f t="shared" ca="1" si="144"/>
        <v/>
      </c>
      <c r="BK191" s="190"/>
      <c r="BL191" s="190" t="str">
        <f ca="1">IFERROR(IF(OR(ISNUMBER(I),ISNUMBER($F$14)),IF(AND($B191&gt;=($F$17-$F$15),$B191&lt;$F$22+($F$17-$F$15)),SUM(OFFSET($T$100,($F$17-$F$15),0):$T191),""),""),"")</f>
        <v/>
      </c>
      <c r="BM191" s="190" t="str">
        <f t="shared" ca="1" si="119"/>
        <v/>
      </c>
      <c r="BN191" s="190" t="str">
        <f t="shared" ca="1" si="145"/>
        <v/>
      </c>
      <c r="BO191"/>
      <c r="BP191" s="190" t="str">
        <f ca="1">IF(ISNUMBER(OFFSET(BL191,-$F$21,0)),SUM(OFFSET($T$100,($F$17-$F$15+$F$21),0):$T191),"")</f>
        <v/>
      </c>
      <c r="BQ191" s="190" t="str">
        <f t="shared" ca="1" si="120"/>
        <v/>
      </c>
      <c r="BR191" s="190" t="str">
        <f t="shared" ca="1" si="146"/>
        <v/>
      </c>
      <c r="BS191" s="190"/>
      <c r="BT191"/>
      <c r="BU191"/>
      <c r="BV191"/>
      <c r="BY191" s="99"/>
      <c r="BZ191" s="99"/>
      <c r="CA191" s="280" t="str">
        <f t="shared" si="121"/>
        <v/>
      </c>
      <c r="CB191" s="71" t="str">
        <f t="shared" si="122"/>
        <v>-</v>
      </c>
      <c r="CC191" s="33"/>
      <c r="CD191" s="261" t="str">
        <f t="shared" si="123"/>
        <v/>
      </c>
      <c r="CE191" s="280" t="str">
        <f t="shared" si="124"/>
        <v/>
      </c>
      <c r="CF191" s="71" t="str">
        <f t="shared" ca="1" si="125"/>
        <v/>
      </c>
      <c r="CG191" s="33" t="str">
        <f t="shared" si="126"/>
        <v/>
      </c>
      <c r="CH191" s="261" t="str">
        <f t="shared" ca="1" si="127"/>
        <v/>
      </c>
    </row>
    <row r="192" spans="2:93" ht="13.5" customHeight="1" x14ac:dyDescent="0.2">
      <c r="B192" s="262">
        <v>92</v>
      </c>
      <c r="C192" s="237" t="str">
        <f t="shared" si="91"/>
        <v/>
      </c>
      <c r="D192" s="237" t="str">
        <f t="shared" si="147"/>
        <v/>
      </c>
      <c r="E192" s="263" t="str">
        <f t="shared" si="128"/>
        <v/>
      </c>
      <c r="F192" s="264" t="str">
        <f t="shared" si="129"/>
        <v/>
      </c>
      <c r="G192" s="264" t="str">
        <f t="shared" si="130"/>
        <v/>
      </c>
      <c r="H192" s="240" t="str">
        <f t="shared" si="92"/>
        <v/>
      </c>
      <c r="I192" s="265" t="str">
        <f t="shared" si="93"/>
        <v/>
      </c>
      <c r="J192" s="265" t="str">
        <f t="shared" si="94"/>
        <v/>
      </c>
      <c r="K192" s="240" t="str">
        <f t="shared" si="95"/>
        <v/>
      </c>
      <c r="L192" s="265" t="str">
        <f t="shared" si="96"/>
        <v/>
      </c>
      <c r="M192" s="265" t="str">
        <f t="shared" si="97"/>
        <v/>
      </c>
      <c r="N192" s="240" t="str">
        <f t="shared" si="98"/>
        <v>-</v>
      </c>
      <c r="O192" s="265" t="str">
        <f t="shared" si="99"/>
        <v>-</v>
      </c>
      <c r="P192" s="265" t="str">
        <f t="shared" si="100"/>
        <v>-</v>
      </c>
      <c r="Q192" s="266" t="str">
        <f t="shared" si="101"/>
        <v>-</v>
      </c>
      <c r="R192" s="267" t="str">
        <f t="shared" si="102"/>
        <v>-</v>
      </c>
      <c r="S192" s="268" t="str">
        <f t="shared" si="103"/>
        <v>-</v>
      </c>
      <c r="T192" s="269" t="str">
        <f t="shared" si="104"/>
        <v/>
      </c>
      <c r="U192" s="221">
        <f t="shared" si="105"/>
        <v>92</v>
      </c>
      <c r="V192" s="220" t="str">
        <f t="shared" si="131"/>
        <v>-</v>
      </c>
      <c r="W192" s="221" t="str">
        <f t="shared" si="132"/>
        <v>-</v>
      </c>
      <c r="X192" s="221" t="str">
        <f t="shared" si="106"/>
        <v>-</v>
      </c>
      <c r="Y192" s="221" t="str">
        <f t="shared" si="107"/>
        <v>-</v>
      </c>
      <c r="Z192" s="270">
        <f t="shared" si="133"/>
        <v>0.1</v>
      </c>
      <c r="AA192" s="271" t="str">
        <f>IFERROR(IF(V191=1,AA$100*EXP(-(LN(2)/$D$65+0.04)*X191)*EXP(-(LN(2)/$D$65+0.1)*Y191),IF(V191=2,AA$100*EXP(-(LN(2)/$D$65+0.04)*(VLOOKUP(($F$16-$F$15)-1,U$99:Y191,4,FALSE)))*EXP(-(LN(2)/$D$65+0.1)*(VLOOKUP(($F$16-$F$15)-1,U$99:Y191,5,FALSE)))*EXP(-(LN(2)/$D$65+0.04)*X191)*EXP(-(LN(2)/$D$65+0.1)*Y191),IF(V191=3,AA$100*EXP(-(LN(2)/$D$65+0.04)*(VLOOKUP(($F$16-$F$15)-1,U$99:Y191,4,FALSE)))*EXP(-(LN(2)/$D$65+0.1)*(VLOOKUP(($F$16-$F$15)-1,U$99:Y191,5,FALSE)))*EXP(-(LN(2)/$D$65+0.04)*(VLOOKUP(($F$16-$F$15)*2-1,U$99:Y191,4,FALSE)))*EXP(-(LN(2)/$D$65+0.1)*(VLOOKUP(($F$16-$F$15)*2-1,U$99:Y191,5,FALSE)))*EXP(-(LN(2)/$D$65+0.04)*X191)*EXP(-(LN(2)/$D$65+0.1)*Y191),"-"))),"-")</f>
        <v>-</v>
      </c>
      <c r="AB192" s="271" t="str">
        <f>IFERROR(IF(V192=1,AB$100*EXP(-(LN(2)/$D$65+0.04)*X192)*EXP(-(LN(2)/$D$65+0.1)*Y192),IF(V192=2,AB$100*EXP(-(LN(2)/$D$65+0.04)*(VLOOKUP(($F$16-$F$15)-1,U$100:Y192,4,FALSE)))*EXP(-(LN(2)/$D$65+0.1)*(VLOOKUP(($F$16-$F$15)-1,U$100:Y192,5,FALSE)))*EXP(-(LN(2)/$D$65+0.04)*X192)*EXP(-(LN(2)/$D$65+0.1)*Y192),IF(V192=3,AB$100*EXP(-(LN(2)/$D$65+0.04)*(VLOOKUP(($F$16-$F$15)-1,U$100:Y192,4,FALSE)))*EXP(-(LN(2)/$D$65+0.1)*(VLOOKUP(($F$16-$F$15)-1,U$100:Y192,5,FALSE)))*EXP(-(LN(2)/$D$65+0.04)*(VLOOKUP(($F$16-$F$15)*2-1,U$100:Y192,4,FALSE)))*EXP(-(LN(2)/$D$65+0.1)*(VLOOKUP(($F$16-$F$15)*2-1,U$100:Y192,5,FALSE)))*EXP(-(LN(2)/$D$65+0.04)*X192)*EXP(-(LN(2)/$D$65+0.1)*Y192),"-"))),"-")</f>
        <v>-</v>
      </c>
      <c r="AC192" s="224">
        <f t="shared" si="134"/>
        <v>92</v>
      </c>
      <c r="AD192" s="223" t="str">
        <f t="shared" si="108"/>
        <v>-</v>
      </c>
      <c r="AE192" s="224" t="str">
        <f t="shared" si="135"/>
        <v>-</v>
      </c>
      <c r="AF192" s="224" t="str">
        <f t="shared" si="109"/>
        <v>-</v>
      </c>
      <c r="AG192" s="224" t="str">
        <f t="shared" si="110"/>
        <v>-</v>
      </c>
      <c r="AH192" s="272">
        <f t="shared" si="136"/>
        <v>0.1</v>
      </c>
      <c r="AI192" s="271" t="str">
        <f>IFERROR(IF(AD191=1,AI$100*EXP(-(LN(2)/$D$65+0.04)*AF191)*EXP(-(LN(2)/$D$65+0.1)*AG191),IF(AD191=2,AI$100*EXP(-(LN(2)/$D$65+0.04)*(VLOOKUP(($F$16-$F$15)-1,AC$99:AG191,4,FALSE)))*EXP(-(LN(2)/$D$65+0.1)*(VLOOKUP(($F$16-$F$15)-1,AC$99:AG191,5,FALSE)))*EXP(-(LN(2)/$D$65+0.04)*AF191)*EXP(-(LN(2)/$D$65+0.1)*AG191),IF(AD191=3,AI$100*EXP(-(LN(2)/$D$65+0.04)*(VLOOKUP(($F$16-$F$15)-1,AC$99:AG191,4,FALSE)))*EXP(-(LN(2)/$D$65+0.1)*(VLOOKUP(($F$16-$F$15)-1,AC$99:AG191,5,FALSE)))*EXP(-(LN(2)/$D$65+0.04)*(VLOOKUP(($F$16-$F$15)*2-1,AC$99:AG191,4,FALSE)))*EXP(-(LN(2)/$D$65+0.1)*(VLOOKUP(($F$16-$F$15)*2-1,AC$99:AG191,5,FALSE)))*EXP(-(LN(2)/$D$65+0.04)*AF191)*EXP(-(LN(2)/$D$65+0.1)*AG191),"-"))),"-")</f>
        <v>-</v>
      </c>
      <c r="AJ192" s="271" t="str">
        <f>IFERROR(IF(AD192=1,AJ$100*EXP(-(LN(2)/$D$65+0.04)*AF192)*EXP(-(LN(2)/$D$65+0.1)*AG192),IF(AD192=2,AJ$100*EXP(-(LN(2)/$D$65+0.04)*(VLOOKUP(($F$16-$F$15)-1,AC$100:AG192,4,FALSE)))*EXP(-(LN(2)/$D$65+0.1)*(VLOOKUP(($F$16-$F$15)-1,AC$100:AG192,5,FALSE)))*EXP(-(LN(2)/$D$65+0.04)*AF192)*EXP(-(LN(2)/$D$65+0.1)*AG192),IF(AD192=3,AJ$100*EXP(-(LN(2)/$D$65+0.04)*(VLOOKUP(($F$16-$F$15)-1,AC$100:AG192,4,FALSE)))*EXP(-(LN(2)/$D$65+0.1)*(VLOOKUP(($F$16-$F$15)-1,AC$100:AG192,5,FALSE)))*EXP(-(LN(2)/$D$65+0.04)*(VLOOKUP(($F$16-$F$15)*2-1,AC$100:AG192,4,FALSE)))*EXP(-(LN(2)/$D$65+0.1)*(VLOOKUP(($F$16-$F$15)*2-1,AC$100:AG192,5,FALSE)))*EXP(-(LN(2)/$D$65+0.04)*AF192)*EXP(-(LN(2)/$D$65+0.1)*AG192),"-"))),"-")</f>
        <v>-</v>
      </c>
      <c r="AK192" s="227">
        <f t="shared" si="137"/>
        <v>92</v>
      </c>
      <c r="AL192" s="226" t="str">
        <f t="shared" si="111"/>
        <v>-</v>
      </c>
      <c r="AM192" s="227" t="str">
        <f t="shared" si="138"/>
        <v>-</v>
      </c>
      <c r="AN192" s="227" t="str">
        <f t="shared" si="139"/>
        <v>-</v>
      </c>
      <c r="AO192" s="227" t="str">
        <f t="shared" si="112"/>
        <v>-</v>
      </c>
      <c r="AP192" s="273">
        <f t="shared" si="140"/>
        <v>0.1</v>
      </c>
      <c r="AQ192" s="271" t="str">
        <f>IFERROR(IF(AL191=1,AQ$100*EXP(-(LN(2)/$D$65+0.04)*AN191)*EXP(-(LN(2)/$D$65+0.1)*AO191),IF(AL191=2,AQ$100*EXP(-(LN(2)/$D$65+0.04)*(VLOOKUP(($F$16-$F$15)-1,AK$99:AO191,4,FALSE)))*EXP(-(LN(2)/$D$65+0.1)*(VLOOKUP(($F$16-$F$15)-1,AK$99:AO191,5,FALSE)))*EXP(-(LN(2)/$D$65+0.04)*AN191)*EXP(-(LN(2)/$D$65+0.1)*AO191),IF(AL191=3,AQ$100*EXP(-(LN(2)/$D$65+0.04)*(VLOOKUP(($F$16-$F$15)-1,AK$99:AO191,4,FALSE)))*EXP(-(LN(2)/$D$65+0.1)*(VLOOKUP(($F$16-$F$15)-1,AK$99:AO191,5,FALSE)))*EXP(-(LN(2)/$D$65+0.04)*(VLOOKUP(($F$16-$F$15)*2-1,AK$99:AO191,4,FALSE)))*EXP(-(LN(2)/$D$65+0.1)*(VLOOKUP(($F$16-$F$15)*2-1,AK$99:AO191,5,FALSE)))*EXP(-(LN(2)/$D$65+0.04)*AN191)*EXP(-(LN(2)/$D$65+0.1)*AO191),"-"))),"-")</f>
        <v>-</v>
      </c>
      <c r="AR192" s="271" t="str">
        <f>IFERROR(IF(AL192=1,AR$100*EXP(-(LN(2)/$D$65+0.04)*AN192)*EXP(-(LN(2)/$D$65+0.1)*AO192),IF(AL192=2,AR$100*EXP(-(LN(2)/$D$65+0.04)*(VLOOKUP(($F$16-$F$15)-1,AK$100:AO192,4,FALSE)))*EXP(-(LN(2)/$D$65+0.1)*(VLOOKUP(($F$16-$F$15)-1,AK$100:AO192,5,FALSE)))*EXP(-(LN(2)/$D$65+0.04)*AN192)*EXP(-(LN(2)/$D$65+0.1)*AO192),IF(AL192=3,AR$100*EXP(-(LN(2)/$D$65+0.04)*(VLOOKUP(($F$16-$F$15)-1,AK$100:AO192,4,FALSE)))*EXP(-(LN(2)/$D$65+0.1)*(VLOOKUP(($F$16-$F$15)-1,AK$100:AO192,5,FALSE)))*EXP(-(LN(2)/$D$65+0.04)*(VLOOKUP(($F$16-$F$15)*2-1,AK$100:AO192,4,FALSE)))*EXP(-(LN(2)/$D$65+0.1)*(VLOOKUP(($F$16-$F$15)*2-1,AK$100:AO192,5,FALSE)))*EXP(-(LN(2)/$D$65+0.04)*AN192)*EXP(-(LN(2)/$D$65+0.1)*AO192),"-"))),"-")</f>
        <v>-</v>
      </c>
      <c r="AS192" s="274">
        <f t="shared" si="113"/>
        <v>0</v>
      </c>
      <c r="AT192" s="274">
        <f t="shared" si="114"/>
        <v>0</v>
      </c>
      <c r="AU192" s="274">
        <f t="shared" si="115"/>
        <v>0</v>
      </c>
      <c r="AV192" s="190" t="str">
        <f>IF($B192&lt;$F$22,SUM($T$100:$T192),"")</f>
        <v/>
      </c>
      <c r="AW192" s="190" t="str">
        <f t="shared" si="116"/>
        <v>-</v>
      </c>
      <c r="AX192" s="190" t="str">
        <f t="shared" si="141"/>
        <v/>
      </c>
      <c r="AY192"/>
      <c r="AZ192" s="190" t="str">
        <f ca="1">IF(ISNUMBER(OFFSET(AV192,-$F$21,0)),SUM(OFFSET($T$100,$F$21,0):$T192),"")</f>
        <v/>
      </c>
      <c r="BA192" s="190" t="str">
        <f t="shared" ca="1" si="117"/>
        <v/>
      </c>
      <c r="BB192" s="190" t="str">
        <f t="shared" ca="1" si="148"/>
        <v/>
      </c>
      <c r="BC192" s="190"/>
      <c r="BD192" s="190" t="str">
        <f ca="1">IFERROR(IF(OR(ISNUMBER(I),ISNUMBER($F$14)),IF(AND($B192&gt;=($F$16-$F$15),$B192&lt;$F$22+($F$16-$F$15)),SUM(OFFSET($T$100,($F$16-$F$15),0):$T192),""),""),"")</f>
        <v/>
      </c>
      <c r="BE192" s="190" t="str">
        <f t="shared" ca="1" si="142"/>
        <v/>
      </c>
      <c r="BF192" s="190" t="str">
        <f t="shared" ca="1" si="143"/>
        <v/>
      </c>
      <c r="BG192"/>
      <c r="BH192" s="190" t="str">
        <f ca="1">IF(ISNUMBER(OFFSET(BD192,-$F$21,0)),SUM(OFFSET($T$100,($F$16-$F$15+$F$21),0):$T192),"")</f>
        <v/>
      </c>
      <c r="BI192" s="190" t="str">
        <f t="shared" ca="1" si="118"/>
        <v/>
      </c>
      <c r="BJ192" s="190" t="str">
        <f t="shared" ca="1" si="144"/>
        <v/>
      </c>
      <c r="BK192" s="190"/>
      <c r="BL192" s="190" t="str">
        <f ca="1">IFERROR(IF(OR(ISNUMBER(I),ISNUMBER($F$14)),IF(AND($B192&gt;=($F$17-$F$15),$B192&lt;$F$22+($F$17-$F$15)),SUM(OFFSET($T$100,($F$17-$F$15),0):$T192),""),""),"")</f>
        <v/>
      </c>
      <c r="BM192" s="190" t="str">
        <f t="shared" ca="1" si="119"/>
        <v/>
      </c>
      <c r="BN192" s="190" t="str">
        <f t="shared" ca="1" si="145"/>
        <v/>
      </c>
      <c r="BO192"/>
      <c r="BP192" s="190" t="str">
        <f ca="1">IF(ISNUMBER(OFFSET(BL192,-$F$21,0)),SUM(OFFSET($T$100,($F$17-$F$15+$F$21),0):$T192),"")</f>
        <v/>
      </c>
      <c r="BQ192" s="190" t="str">
        <f t="shared" ca="1" si="120"/>
        <v/>
      </c>
      <c r="BR192" s="190" t="str">
        <f t="shared" ca="1" si="146"/>
        <v/>
      </c>
      <c r="BS192" s="190"/>
      <c r="BT192"/>
      <c r="BU192"/>
      <c r="BV192"/>
      <c r="BY192" s="99"/>
      <c r="BZ192" s="99"/>
      <c r="CA192" s="280" t="str">
        <f t="shared" si="121"/>
        <v/>
      </c>
      <c r="CB192" s="71" t="str">
        <f t="shared" si="122"/>
        <v>-</v>
      </c>
      <c r="CC192" s="33"/>
      <c r="CD192" s="261" t="str">
        <f t="shared" si="123"/>
        <v/>
      </c>
      <c r="CE192" s="280" t="str">
        <f t="shared" si="124"/>
        <v/>
      </c>
      <c r="CF192" s="71" t="str">
        <f t="shared" ca="1" si="125"/>
        <v/>
      </c>
      <c r="CG192" s="33" t="str">
        <f t="shared" si="126"/>
        <v/>
      </c>
      <c r="CH192" s="261" t="str">
        <f t="shared" ca="1" si="127"/>
        <v/>
      </c>
    </row>
    <row r="193" spans="2:86" ht="13.5" customHeight="1" x14ac:dyDescent="0.2">
      <c r="B193" s="262">
        <v>93</v>
      </c>
      <c r="C193" s="237" t="str">
        <f t="shared" si="91"/>
        <v/>
      </c>
      <c r="D193" s="237" t="str">
        <f t="shared" si="147"/>
        <v/>
      </c>
      <c r="E193" s="263" t="str">
        <f t="shared" si="128"/>
        <v/>
      </c>
      <c r="F193" s="264" t="str">
        <f t="shared" si="129"/>
        <v/>
      </c>
      <c r="G193" s="264" t="str">
        <f t="shared" si="130"/>
        <v/>
      </c>
      <c r="H193" s="240" t="str">
        <f t="shared" si="92"/>
        <v/>
      </c>
      <c r="I193" s="265" t="str">
        <f t="shared" si="93"/>
        <v/>
      </c>
      <c r="J193" s="265" t="str">
        <f t="shared" si="94"/>
        <v/>
      </c>
      <c r="K193" s="240" t="str">
        <f t="shared" si="95"/>
        <v/>
      </c>
      <c r="L193" s="265" t="str">
        <f t="shared" si="96"/>
        <v/>
      </c>
      <c r="M193" s="265" t="str">
        <f t="shared" si="97"/>
        <v/>
      </c>
      <c r="N193" s="240" t="str">
        <f t="shared" si="98"/>
        <v>-</v>
      </c>
      <c r="O193" s="265" t="str">
        <f t="shared" si="99"/>
        <v>-</v>
      </c>
      <c r="P193" s="265" t="str">
        <f t="shared" si="100"/>
        <v>-</v>
      </c>
      <c r="Q193" s="266" t="str">
        <f t="shared" si="101"/>
        <v>-</v>
      </c>
      <c r="R193" s="267" t="str">
        <f t="shared" si="102"/>
        <v>-</v>
      </c>
      <c r="S193" s="268" t="str">
        <f t="shared" si="103"/>
        <v>-</v>
      </c>
      <c r="T193" s="269" t="str">
        <f t="shared" si="104"/>
        <v/>
      </c>
      <c r="U193" s="221">
        <f t="shared" si="105"/>
        <v>93</v>
      </c>
      <c r="V193" s="220" t="str">
        <f t="shared" si="131"/>
        <v>-</v>
      </c>
      <c r="W193" s="221" t="str">
        <f t="shared" si="132"/>
        <v>-</v>
      </c>
      <c r="X193" s="221" t="str">
        <f t="shared" si="106"/>
        <v>-</v>
      </c>
      <c r="Y193" s="221" t="str">
        <f t="shared" si="107"/>
        <v>-</v>
      </c>
      <c r="Z193" s="270">
        <f t="shared" si="133"/>
        <v>0.1</v>
      </c>
      <c r="AA193" s="271" t="str">
        <f>IFERROR(IF(V192=1,AA$100*EXP(-(LN(2)/$D$65+0.04)*X192)*EXP(-(LN(2)/$D$65+0.1)*Y192),IF(V192=2,AA$100*EXP(-(LN(2)/$D$65+0.04)*(VLOOKUP(($F$16-$F$15)-1,U$99:Y192,4,FALSE)))*EXP(-(LN(2)/$D$65+0.1)*(VLOOKUP(($F$16-$F$15)-1,U$99:Y192,5,FALSE)))*EXP(-(LN(2)/$D$65+0.04)*X192)*EXP(-(LN(2)/$D$65+0.1)*Y192),IF(V192=3,AA$100*EXP(-(LN(2)/$D$65+0.04)*(VLOOKUP(($F$16-$F$15)-1,U$99:Y192,4,FALSE)))*EXP(-(LN(2)/$D$65+0.1)*(VLOOKUP(($F$16-$F$15)-1,U$99:Y192,5,FALSE)))*EXP(-(LN(2)/$D$65+0.04)*(VLOOKUP(($F$16-$F$15)*2-1,U$99:Y192,4,FALSE)))*EXP(-(LN(2)/$D$65+0.1)*(VLOOKUP(($F$16-$F$15)*2-1,U$99:Y192,5,FALSE)))*EXP(-(LN(2)/$D$65+0.04)*X192)*EXP(-(LN(2)/$D$65+0.1)*Y192),"-"))),"-")</f>
        <v>-</v>
      </c>
      <c r="AB193" s="271" t="str">
        <f>IFERROR(IF(V193=1,AB$100*EXP(-(LN(2)/$D$65+0.04)*X193)*EXP(-(LN(2)/$D$65+0.1)*Y193),IF(V193=2,AB$100*EXP(-(LN(2)/$D$65+0.04)*(VLOOKUP(($F$16-$F$15)-1,U$100:Y193,4,FALSE)))*EXP(-(LN(2)/$D$65+0.1)*(VLOOKUP(($F$16-$F$15)-1,U$100:Y193,5,FALSE)))*EXP(-(LN(2)/$D$65+0.04)*X193)*EXP(-(LN(2)/$D$65+0.1)*Y193),IF(V193=3,AB$100*EXP(-(LN(2)/$D$65+0.04)*(VLOOKUP(($F$16-$F$15)-1,U$100:Y193,4,FALSE)))*EXP(-(LN(2)/$D$65+0.1)*(VLOOKUP(($F$16-$F$15)-1,U$100:Y193,5,FALSE)))*EXP(-(LN(2)/$D$65+0.04)*(VLOOKUP(($F$16-$F$15)*2-1,U$100:Y193,4,FALSE)))*EXP(-(LN(2)/$D$65+0.1)*(VLOOKUP(($F$16-$F$15)*2-1,U$100:Y193,5,FALSE)))*EXP(-(LN(2)/$D$65+0.04)*X193)*EXP(-(LN(2)/$D$65+0.1)*Y193),"-"))),"-")</f>
        <v>-</v>
      </c>
      <c r="AC193" s="224">
        <f t="shared" si="134"/>
        <v>93</v>
      </c>
      <c r="AD193" s="223" t="str">
        <f t="shared" si="108"/>
        <v>-</v>
      </c>
      <c r="AE193" s="224" t="str">
        <f t="shared" si="135"/>
        <v>-</v>
      </c>
      <c r="AF193" s="224" t="str">
        <f t="shared" si="109"/>
        <v>-</v>
      </c>
      <c r="AG193" s="224" t="str">
        <f t="shared" si="110"/>
        <v>-</v>
      </c>
      <c r="AH193" s="272">
        <f t="shared" si="136"/>
        <v>0.1</v>
      </c>
      <c r="AI193" s="271" t="str">
        <f>IFERROR(IF(AD192=1,AI$100*EXP(-(LN(2)/$D$65+0.04)*AF192)*EXP(-(LN(2)/$D$65+0.1)*AG192),IF(AD192=2,AI$100*EXP(-(LN(2)/$D$65+0.04)*(VLOOKUP(($F$16-$F$15)-1,AC$99:AG192,4,FALSE)))*EXP(-(LN(2)/$D$65+0.1)*(VLOOKUP(($F$16-$F$15)-1,AC$99:AG192,5,FALSE)))*EXP(-(LN(2)/$D$65+0.04)*AF192)*EXP(-(LN(2)/$D$65+0.1)*AG192),IF(AD192=3,AI$100*EXP(-(LN(2)/$D$65+0.04)*(VLOOKUP(($F$16-$F$15)-1,AC$99:AG192,4,FALSE)))*EXP(-(LN(2)/$D$65+0.1)*(VLOOKUP(($F$16-$F$15)-1,AC$99:AG192,5,FALSE)))*EXP(-(LN(2)/$D$65+0.04)*(VLOOKUP(($F$16-$F$15)*2-1,AC$99:AG192,4,FALSE)))*EXP(-(LN(2)/$D$65+0.1)*(VLOOKUP(($F$16-$F$15)*2-1,AC$99:AG192,5,FALSE)))*EXP(-(LN(2)/$D$65+0.04)*AF192)*EXP(-(LN(2)/$D$65+0.1)*AG192),"-"))),"-")</f>
        <v>-</v>
      </c>
      <c r="AJ193" s="271" t="str">
        <f>IFERROR(IF(AD193=1,AJ$100*EXP(-(LN(2)/$D$65+0.04)*AF193)*EXP(-(LN(2)/$D$65+0.1)*AG193),IF(AD193=2,AJ$100*EXP(-(LN(2)/$D$65+0.04)*(VLOOKUP(($F$16-$F$15)-1,AC$100:AG193,4,FALSE)))*EXP(-(LN(2)/$D$65+0.1)*(VLOOKUP(($F$16-$F$15)-1,AC$100:AG193,5,FALSE)))*EXP(-(LN(2)/$D$65+0.04)*AF193)*EXP(-(LN(2)/$D$65+0.1)*AG193),IF(AD193=3,AJ$100*EXP(-(LN(2)/$D$65+0.04)*(VLOOKUP(($F$16-$F$15)-1,AC$100:AG193,4,FALSE)))*EXP(-(LN(2)/$D$65+0.1)*(VLOOKUP(($F$16-$F$15)-1,AC$100:AG193,5,FALSE)))*EXP(-(LN(2)/$D$65+0.04)*(VLOOKUP(($F$16-$F$15)*2-1,AC$100:AG193,4,FALSE)))*EXP(-(LN(2)/$D$65+0.1)*(VLOOKUP(($F$16-$F$15)*2-1,AC$100:AG193,5,FALSE)))*EXP(-(LN(2)/$D$65+0.04)*AF193)*EXP(-(LN(2)/$D$65+0.1)*AG193),"-"))),"-")</f>
        <v>-</v>
      </c>
      <c r="AK193" s="227">
        <f t="shared" si="137"/>
        <v>93</v>
      </c>
      <c r="AL193" s="226" t="str">
        <f t="shared" si="111"/>
        <v>-</v>
      </c>
      <c r="AM193" s="227" t="str">
        <f t="shared" si="138"/>
        <v>-</v>
      </c>
      <c r="AN193" s="227" t="str">
        <f t="shared" si="139"/>
        <v>-</v>
      </c>
      <c r="AO193" s="227" t="str">
        <f t="shared" si="112"/>
        <v>-</v>
      </c>
      <c r="AP193" s="273">
        <f t="shared" si="140"/>
        <v>0.1</v>
      </c>
      <c r="AQ193" s="271" t="str">
        <f>IFERROR(IF(AL192=1,AQ$100*EXP(-(LN(2)/$D$65+0.04)*AN192)*EXP(-(LN(2)/$D$65+0.1)*AO192),IF(AL192=2,AQ$100*EXP(-(LN(2)/$D$65+0.04)*(VLOOKUP(($F$16-$F$15)-1,AK$99:AO192,4,FALSE)))*EXP(-(LN(2)/$D$65+0.1)*(VLOOKUP(($F$16-$F$15)-1,AK$99:AO192,5,FALSE)))*EXP(-(LN(2)/$D$65+0.04)*AN192)*EXP(-(LN(2)/$D$65+0.1)*AO192),IF(AL192=3,AQ$100*EXP(-(LN(2)/$D$65+0.04)*(VLOOKUP(($F$16-$F$15)-1,AK$99:AO192,4,FALSE)))*EXP(-(LN(2)/$D$65+0.1)*(VLOOKUP(($F$16-$F$15)-1,AK$99:AO192,5,FALSE)))*EXP(-(LN(2)/$D$65+0.04)*(VLOOKUP(($F$16-$F$15)*2-1,AK$99:AO192,4,FALSE)))*EXP(-(LN(2)/$D$65+0.1)*(VLOOKUP(($F$16-$F$15)*2-1,AK$99:AO192,5,FALSE)))*EXP(-(LN(2)/$D$65+0.04)*AN192)*EXP(-(LN(2)/$D$65+0.1)*AO192),"-"))),"-")</f>
        <v>-</v>
      </c>
      <c r="AR193" s="271" t="str">
        <f>IFERROR(IF(AL193=1,AR$100*EXP(-(LN(2)/$D$65+0.04)*AN193)*EXP(-(LN(2)/$D$65+0.1)*AO193),IF(AL193=2,AR$100*EXP(-(LN(2)/$D$65+0.04)*(VLOOKUP(($F$16-$F$15)-1,AK$100:AO193,4,FALSE)))*EXP(-(LN(2)/$D$65+0.1)*(VLOOKUP(($F$16-$F$15)-1,AK$100:AO193,5,FALSE)))*EXP(-(LN(2)/$D$65+0.04)*AN193)*EXP(-(LN(2)/$D$65+0.1)*AO193),IF(AL193=3,AR$100*EXP(-(LN(2)/$D$65+0.04)*(VLOOKUP(($F$16-$F$15)-1,AK$100:AO193,4,FALSE)))*EXP(-(LN(2)/$D$65+0.1)*(VLOOKUP(($F$16-$F$15)-1,AK$100:AO193,5,FALSE)))*EXP(-(LN(2)/$D$65+0.04)*(VLOOKUP(($F$16-$F$15)*2-1,AK$100:AO193,4,FALSE)))*EXP(-(LN(2)/$D$65+0.1)*(VLOOKUP(($F$16-$F$15)*2-1,AK$100:AO193,5,FALSE)))*EXP(-(LN(2)/$D$65+0.04)*AN193)*EXP(-(LN(2)/$D$65+0.1)*AO193),"-"))),"-")</f>
        <v>-</v>
      </c>
      <c r="AS193" s="274">
        <f t="shared" si="113"/>
        <v>0</v>
      </c>
      <c r="AT193" s="274">
        <f t="shared" si="114"/>
        <v>0</v>
      </c>
      <c r="AU193" s="274">
        <f t="shared" si="115"/>
        <v>0</v>
      </c>
      <c r="AV193" s="190" t="str">
        <f>IF($B193&lt;$F$22,SUM($T$100:$T193),"")</f>
        <v/>
      </c>
      <c r="AW193" s="190" t="str">
        <f t="shared" si="116"/>
        <v>-</v>
      </c>
      <c r="AX193" s="190" t="str">
        <f t="shared" si="141"/>
        <v/>
      </c>
      <c r="AY193"/>
      <c r="AZ193" s="190" t="str">
        <f ca="1">IF(ISNUMBER(OFFSET(AV193,-$F$21,0)),SUM(OFFSET($T$100,$F$21,0):$T193),"")</f>
        <v/>
      </c>
      <c r="BA193" s="190" t="str">
        <f t="shared" ca="1" si="117"/>
        <v/>
      </c>
      <c r="BB193" s="190" t="str">
        <f t="shared" ca="1" si="148"/>
        <v/>
      </c>
      <c r="BC193" s="190"/>
      <c r="BD193" s="190" t="str">
        <f ca="1">IFERROR(IF(OR(ISNUMBER(I),ISNUMBER($F$14)),IF(AND($B193&gt;=($F$16-$F$15),$B193&lt;$F$22+($F$16-$F$15)),SUM(OFFSET($T$100,($F$16-$F$15),0):$T193),""),""),"")</f>
        <v/>
      </c>
      <c r="BE193" s="190" t="str">
        <f t="shared" ca="1" si="142"/>
        <v/>
      </c>
      <c r="BF193" s="190" t="str">
        <f t="shared" ca="1" si="143"/>
        <v/>
      </c>
      <c r="BG193"/>
      <c r="BH193" s="190" t="str">
        <f ca="1">IF(ISNUMBER(OFFSET(BD193,-$F$21,0)),SUM(OFFSET($T$100,($F$16-$F$15+$F$21),0):$T193),"")</f>
        <v/>
      </c>
      <c r="BI193" s="190" t="str">
        <f t="shared" ca="1" si="118"/>
        <v/>
      </c>
      <c r="BJ193" s="190" t="str">
        <f t="shared" ca="1" si="144"/>
        <v/>
      </c>
      <c r="BK193" s="190"/>
      <c r="BL193" s="190" t="str">
        <f ca="1">IFERROR(IF(OR(ISNUMBER(I),ISNUMBER($F$14)),IF(AND($B193&gt;=($F$17-$F$15),$B193&lt;$F$22+($F$17-$F$15)),SUM(OFFSET($T$100,($F$17-$F$15),0):$T193),""),""),"")</f>
        <v/>
      </c>
      <c r="BM193" s="190" t="str">
        <f t="shared" ca="1" si="119"/>
        <v/>
      </c>
      <c r="BN193" s="190" t="str">
        <f t="shared" ca="1" si="145"/>
        <v/>
      </c>
      <c r="BO193"/>
      <c r="BP193" s="190" t="str">
        <f ca="1">IF(ISNUMBER(OFFSET(BL193,-$F$21,0)),SUM(OFFSET($T$100,($F$17-$F$15+$F$21),0):$T193),"")</f>
        <v/>
      </c>
      <c r="BQ193" s="190" t="str">
        <f t="shared" ca="1" si="120"/>
        <v/>
      </c>
      <c r="BR193" s="190" t="str">
        <f t="shared" ca="1" si="146"/>
        <v/>
      </c>
      <c r="BS193" s="190"/>
      <c r="BT193"/>
      <c r="BU193"/>
      <c r="BV193"/>
      <c r="BY193" s="99"/>
      <c r="BZ193" s="99"/>
      <c r="CA193" s="280" t="str">
        <f t="shared" si="121"/>
        <v/>
      </c>
      <c r="CB193" s="71" t="str">
        <f t="shared" si="122"/>
        <v>-</v>
      </c>
      <c r="CC193" s="33"/>
      <c r="CD193" s="261" t="str">
        <f t="shared" si="123"/>
        <v/>
      </c>
      <c r="CE193" s="280" t="str">
        <f t="shared" si="124"/>
        <v/>
      </c>
      <c r="CF193" s="71" t="str">
        <f t="shared" ca="1" si="125"/>
        <v/>
      </c>
      <c r="CG193" s="33" t="str">
        <f t="shared" si="126"/>
        <v/>
      </c>
      <c r="CH193" s="261" t="str">
        <f t="shared" ca="1" si="127"/>
        <v/>
      </c>
    </row>
    <row r="194" spans="2:86" ht="13.5" customHeight="1" x14ac:dyDescent="0.2">
      <c r="B194" s="262">
        <v>94</v>
      </c>
      <c r="C194" s="237" t="str">
        <f t="shared" si="91"/>
        <v/>
      </c>
      <c r="D194" s="237" t="str">
        <f t="shared" si="147"/>
        <v/>
      </c>
      <c r="E194" s="263" t="str">
        <f t="shared" si="128"/>
        <v/>
      </c>
      <c r="F194" s="264" t="str">
        <f t="shared" si="129"/>
        <v/>
      </c>
      <c r="G194" s="264" t="str">
        <f t="shared" si="130"/>
        <v/>
      </c>
      <c r="H194" s="240" t="str">
        <f t="shared" si="92"/>
        <v/>
      </c>
      <c r="I194" s="265" t="str">
        <f t="shared" si="93"/>
        <v/>
      </c>
      <c r="J194" s="265" t="str">
        <f t="shared" si="94"/>
        <v/>
      </c>
      <c r="K194" s="240" t="str">
        <f t="shared" si="95"/>
        <v/>
      </c>
      <c r="L194" s="265" t="str">
        <f t="shared" si="96"/>
        <v/>
      </c>
      <c r="M194" s="265" t="str">
        <f t="shared" si="97"/>
        <v/>
      </c>
      <c r="N194" s="240" t="str">
        <f t="shared" si="98"/>
        <v>-</v>
      </c>
      <c r="O194" s="265" t="str">
        <f t="shared" si="99"/>
        <v>-</v>
      </c>
      <c r="P194" s="265" t="str">
        <f t="shared" si="100"/>
        <v>-</v>
      </c>
      <c r="Q194" s="266" t="str">
        <f t="shared" si="101"/>
        <v>-</v>
      </c>
      <c r="R194" s="267" t="str">
        <f t="shared" si="102"/>
        <v>-</v>
      </c>
      <c r="S194" s="268" t="str">
        <f t="shared" si="103"/>
        <v>-</v>
      </c>
      <c r="T194" s="269" t="str">
        <f t="shared" si="104"/>
        <v/>
      </c>
      <c r="U194" s="221">
        <f t="shared" si="105"/>
        <v>94</v>
      </c>
      <c r="V194" s="220" t="str">
        <f t="shared" si="131"/>
        <v>-</v>
      </c>
      <c r="W194" s="221" t="str">
        <f t="shared" si="132"/>
        <v>-</v>
      </c>
      <c r="X194" s="221" t="str">
        <f t="shared" si="106"/>
        <v>-</v>
      </c>
      <c r="Y194" s="221" t="str">
        <f t="shared" si="107"/>
        <v>-</v>
      </c>
      <c r="Z194" s="270">
        <f t="shared" si="133"/>
        <v>0.1</v>
      </c>
      <c r="AA194" s="271" t="str">
        <f>IFERROR(IF(V193=1,AA$100*EXP(-(LN(2)/$D$65+0.04)*X193)*EXP(-(LN(2)/$D$65+0.1)*Y193),IF(V193=2,AA$100*EXP(-(LN(2)/$D$65+0.04)*(VLOOKUP(($F$16-$F$15)-1,U$99:Y193,4,FALSE)))*EXP(-(LN(2)/$D$65+0.1)*(VLOOKUP(($F$16-$F$15)-1,U$99:Y193,5,FALSE)))*EXP(-(LN(2)/$D$65+0.04)*X193)*EXP(-(LN(2)/$D$65+0.1)*Y193),IF(V193=3,AA$100*EXP(-(LN(2)/$D$65+0.04)*(VLOOKUP(($F$16-$F$15)-1,U$99:Y193,4,FALSE)))*EXP(-(LN(2)/$D$65+0.1)*(VLOOKUP(($F$16-$F$15)-1,U$99:Y193,5,FALSE)))*EXP(-(LN(2)/$D$65+0.04)*(VLOOKUP(($F$16-$F$15)*2-1,U$99:Y193,4,FALSE)))*EXP(-(LN(2)/$D$65+0.1)*(VLOOKUP(($F$16-$F$15)*2-1,U$99:Y193,5,FALSE)))*EXP(-(LN(2)/$D$65+0.04)*X193)*EXP(-(LN(2)/$D$65+0.1)*Y193),"-"))),"-")</f>
        <v>-</v>
      </c>
      <c r="AB194" s="271" t="str">
        <f>IFERROR(IF(V194=1,AB$100*EXP(-(LN(2)/$D$65+0.04)*X194)*EXP(-(LN(2)/$D$65+0.1)*Y194),IF(V194=2,AB$100*EXP(-(LN(2)/$D$65+0.04)*(VLOOKUP(($F$16-$F$15)-1,U$100:Y194,4,FALSE)))*EXP(-(LN(2)/$D$65+0.1)*(VLOOKUP(($F$16-$F$15)-1,U$100:Y194,5,FALSE)))*EXP(-(LN(2)/$D$65+0.04)*X194)*EXP(-(LN(2)/$D$65+0.1)*Y194),IF(V194=3,AB$100*EXP(-(LN(2)/$D$65+0.04)*(VLOOKUP(($F$16-$F$15)-1,U$100:Y194,4,FALSE)))*EXP(-(LN(2)/$D$65+0.1)*(VLOOKUP(($F$16-$F$15)-1,U$100:Y194,5,FALSE)))*EXP(-(LN(2)/$D$65+0.04)*(VLOOKUP(($F$16-$F$15)*2-1,U$100:Y194,4,FALSE)))*EXP(-(LN(2)/$D$65+0.1)*(VLOOKUP(($F$16-$F$15)*2-1,U$100:Y194,5,FALSE)))*EXP(-(LN(2)/$D$65+0.04)*X194)*EXP(-(LN(2)/$D$65+0.1)*Y194),"-"))),"-")</f>
        <v>-</v>
      </c>
      <c r="AC194" s="224">
        <f t="shared" si="134"/>
        <v>94</v>
      </c>
      <c r="AD194" s="223" t="str">
        <f t="shared" si="108"/>
        <v>-</v>
      </c>
      <c r="AE194" s="224" t="str">
        <f t="shared" si="135"/>
        <v>-</v>
      </c>
      <c r="AF194" s="224" t="str">
        <f t="shared" si="109"/>
        <v>-</v>
      </c>
      <c r="AG194" s="224" t="str">
        <f t="shared" si="110"/>
        <v>-</v>
      </c>
      <c r="AH194" s="272">
        <f t="shared" si="136"/>
        <v>0.1</v>
      </c>
      <c r="AI194" s="271" t="str">
        <f>IFERROR(IF(AD193=1,AI$100*EXP(-(LN(2)/$D$65+0.04)*AF193)*EXP(-(LN(2)/$D$65+0.1)*AG193),IF(AD193=2,AI$100*EXP(-(LN(2)/$D$65+0.04)*(VLOOKUP(($F$16-$F$15)-1,AC$99:AG193,4,FALSE)))*EXP(-(LN(2)/$D$65+0.1)*(VLOOKUP(($F$16-$F$15)-1,AC$99:AG193,5,FALSE)))*EXP(-(LN(2)/$D$65+0.04)*AF193)*EXP(-(LN(2)/$D$65+0.1)*AG193),IF(AD193=3,AI$100*EXP(-(LN(2)/$D$65+0.04)*(VLOOKUP(($F$16-$F$15)-1,AC$99:AG193,4,FALSE)))*EXP(-(LN(2)/$D$65+0.1)*(VLOOKUP(($F$16-$F$15)-1,AC$99:AG193,5,FALSE)))*EXP(-(LN(2)/$D$65+0.04)*(VLOOKUP(($F$16-$F$15)*2-1,AC$99:AG193,4,FALSE)))*EXP(-(LN(2)/$D$65+0.1)*(VLOOKUP(($F$16-$F$15)*2-1,AC$99:AG193,5,FALSE)))*EXP(-(LN(2)/$D$65+0.04)*AF193)*EXP(-(LN(2)/$D$65+0.1)*AG193),"-"))),"-")</f>
        <v>-</v>
      </c>
      <c r="AJ194" s="271" t="str">
        <f>IFERROR(IF(AD194=1,AJ$100*EXP(-(LN(2)/$D$65+0.04)*AF194)*EXP(-(LN(2)/$D$65+0.1)*AG194),IF(AD194=2,AJ$100*EXP(-(LN(2)/$D$65+0.04)*(VLOOKUP(($F$16-$F$15)-1,AC$100:AG194,4,FALSE)))*EXP(-(LN(2)/$D$65+0.1)*(VLOOKUP(($F$16-$F$15)-1,AC$100:AG194,5,FALSE)))*EXP(-(LN(2)/$D$65+0.04)*AF194)*EXP(-(LN(2)/$D$65+0.1)*AG194),IF(AD194=3,AJ$100*EXP(-(LN(2)/$D$65+0.04)*(VLOOKUP(($F$16-$F$15)-1,AC$100:AG194,4,FALSE)))*EXP(-(LN(2)/$D$65+0.1)*(VLOOKUP(($F$16-$F$15)-1,AC$100:AG194,5,FALSE)))*EXP(-(LN(2)/$D$65+0.04)*(VLOOKUP(($F$16-$F$15)*2-1,AC$100:AG194,4,FALSE)))*EXP(-(LN(2)/$D$65+0.1)*(VLOOKUP(($F$16-$F$15)*2-1,AC$100:AG194,5,FALSE)))*EXP(-(LN(2)/$D$65+0.04)*AF194)*EXP(-(LN(2)/$D$65+0.1)*AG194),"-"))),"-")</f>
        <v>-</v>
      </c>
      <c r="AK194" s="227">
        <f t="shared" si="137"/>
        <v>94</v>
      </c>
      <c r="AL194" s="226" t="str">
        <f t="shared" si="111"/>
        <v>-</v>
      </c>
      <c r="AM194" s="227" t="str">
        <f t="shared" si="138"/>
        <v>-</v>
      </c>
      <c r="AN194" s="227" t="str">
        <f t="shared" si="139"/>
        <v>-</v>
      </c>
      <c r="AO194" s="227" t="str">
        <f t="shared" si="112"/>
        <v>-</v>
      </c>
      <c r="AP194" s="273">
        <f t="shared" si="140"/>
        <v>0.1</v>
      </c>
      <c r="AQ194" s="271" t="str">
        <f>IFERROR(IF(AL193=1,AQ$100*EXP(-(LN(2)/$D$65+0.04)*AN193)*EXP(-(LN(2)/$D$65+0.1)*AO193),IF(AL193=2,AQ$100*EXP(-(LN(2)/$D$65+0.04)*(VLOOKUP(($F$16-$F$15)-1,AK$99:AO193,4,FALSE)))*EXP(-(LN(2)/$D$65+0.1)*(VLOOKUP(($F$16-$F$15)-1,AK$99:AO193,5,FALSE)))*EXP(-(LN(2)/$D$65+0.04)*AN193)*EXP(-(LN(2)/$D$65+0.1)*AO193),IF(AL193=3,AQ$100*EXP(-(LN(2)/$D$65+0.04)*(VLOOKUP(($F$16-$F$15)-1,AK$99:AO193,4,FALSE)))*EXP(-(LN(2)/$D$65+0.1)*(VLOOKUP(($F$16-$F$15)-1,AK$99:AO193,5,FALSE)))*EXP(-(LN(2)/$D$65+0.04)*(VLOOKUP(($F$16-$F$15)*2-1,AK$99:AO193,4,FALSE)))*EXP(-(LN(2)/$D$65+0.1)*(VLOOKUP(($F$16-$F$15)*2-1,AK$99:AO193,5,FALSE)))*EXP(-(LN(2)/$D$65+0.04)*AN193)*EXP(-(LN(2)/$D$65+0.1)*AO193),"-"))),"-")</f>
        <v>-</v>
      </c>
      <c r="AR194" s="271" t="str">
        <f>IFERROR(IF(AL194=1,AR$100*EXP(-(LN(2)/$D$65+0.04)*AN194)*EXP(-(LN(2)/$D$65+0.1)*AO194),IF(AL194=2,AR$100*EXP(-(LN(2)/$D$65+0.04)*(VLOOKUP(($F$16-$F$15)-1,AK$100:AO194,4,FALSE)))*EXP(-(LN(2)/$D$65+0.1)*(VLOOKUP(($F$16-$F$15)-1,AK$100:AO194,5,FALSE)))*EXP(-(LN(2)/$D$65+0.04)*AN194)*EXP(-(LN(2)/$D$65+0.1)*AO194),IF(AL194=3,AR$100*EXP(-(LN(2)/$D$65+0.04)*(VLOOKUP(($F$16-$F$15)-1,AK$100:AO194,4,FALSE)))*EXP(-(LN(2)/$D$65+0.1)*(VLOOKUP(($F$16-$F$15)-1,AK$100:AO194,5,FALSE)))*EXP(-(LN(2)/$D$65+0.04)*(VLOOKUP(($F$16-$F$15)*2-1,AK$100:AO194,4,FALSE)))*EXP(-(LN(2)/$D$65+0.1)*(VLOOKUP(($F$16-$F$15)*2-1,AK$100:AO194,5,FALSE)))*EXP(-(LN(2)/$D$65+0.04)*AN194)*EXP(-(LN(2)/$D$65+0.1)*AO194),"-"))),"-")</f>
        <v>-</v>
      </c>
      <c r="AS194" s="274">
        <f t="shared" si="113"/>
        <v>0</v>
      </c>
      <c r="AT194" s="274">
        <f t="shared" si="114"/>
        <v>0</v>
      </c>
      <c r="AU194" s="274">
        <f t="shared" si="115"/>
        <v>0</v>
      </c>
      <c r="AV194" s="190" t="str">
        <f>IF($B194&lt;$F$22,SUM($T$100:$T194),"")</f>
        <v/>
      </c>
      <c r="AW194" s="190" t="str">
        <f t="shared" si="116"/>
        <v>-</v>
      </c>
      <c r="AX194" s="190" t="str">
        <f t="shared" si="141"/>
        <v/>
      </c>
      <c r="AY194"/>
      <c r="AZ194" s="190" t="str">
        <f ca="1">IF(ISNUMBER(OFFSET(AV194,-$F$21,0)),SUM(OFFSET($T$100,$F$21,0):$T194),"")</f>
        <v/>
      </c>
      <c r="BA194" s="190" t="str">
        <f t="shared" ca="1" si="117"/>
        <v/>
      </c>
      <c r="BB194" s="190" t="str">
        <f t="shared" ca="1" si="148"/>
        <v/>
      </c>
      <c r="BC194" s="190"/>
      <c r="BD194" s="190" t="str">
        <f ca="1">IFERROR(IF(OR(ISNUMBER(I),ISNUMBER($F$14)),IF(AND($B194&gt;=($F$16-$F$15),$B194&lt;$F$22+($F$16-$F$15)),SUM(OFFSET($T$100,($F$16-$F$15),0):$T194),""),""),"")</f>
        <v/>
      </c>
      <c r="BE194" s="190" t="str">
        <f t="shared" ca="1" si="142"/>
        <v/>
      </c>
      <c r="BF194" s="190" t="str">
        <f t="shared" ca="1" si="143"/>
        <v/>
      </c>
      <c r="BG194"/>
      <c r="BH194" s="190" t="str">
        <f ca="1">IF(ISNUMBER(OFFSET(BD194,-$F$21,0)),SUM(OFFSET($T$100,($F$16-$F$15+$F$21),0):$T194),"")</f>
        <v/>
      </c>
      <c r="BI194" s="190" t="str">
        <f t="shared" ca="1" si="118"/>
        <v/>
      </c>
      <c r="BJ194" s="190" t="str">
        <f t="shared" ca="1" si="144"/>
        <v/>
      </c>
      <c r="BK194" s="190"/>
      <c r="BL194" s="190" t="str">
        <f ca="1">IFERROR(IF(OR(ISNUMBER(I),ISNUMBER($F$14)),IF(AND($B194&gt;=($F$17-$F$15),$B194&lt;$F$22+($F$17-$F$15)),SUM(OFFSET($T$100,($F$17-$F$15),0):$T194),""),""),"")</f>
        <v/>
      </c>
      <c r="BM194" s="190" t="str">
        <f t="shared" ca="1" si="119"/>
        <v/>
      </c>
      <c r="BN194" s="190" t="str">
        <f t="shared" ca="1" si="145"/>
        <v/>
      </c>
      <c r="BO194"/>
      <c r="BP194" s="190" t="str">
        <f ca="1">IF(ISNUMBER(OFFSET(BL194,-$F$21,0)),SUM(OFFSET($T$100,($F$17-$F$15+$F$21),0):$T194),"")</f>
        <v/>
      </c>
      <c r="BQ194" s="190" t="str">
        <f t="shared" ca="1" si="120"/>
        <v/>
      </c>
      <c r="BR194" s="190" t="str">
        <f t="shared" ca="1" si="146"/>
        <v/>
      </c>
      <c r="BS194" s="190"/>
      <c r="BT194"/>
      <c r="BU194"/>
      <c r="BV194"/>
      <c r="BY194" s="99"/>
      <c r="BZ194" s="99"/>
      <c r="CA194" s="280" t="str">
        <f t="shared" si="121"/>
        <v/>
      </c>
      <c r="CB194" s="71" t="str">
        <f t="shared" si="122"/>
        <v>-</v>
      </c>
      <c r="CC194" s="33"/>
      <c r="CD194" s="261" t="str">
        <f t="shared" si="123"/>
        <v/>
      </c>
      <c r="CE194" s="280" t="str">
        <f t="shared" si="124"/>
        <v/>
      </c>
      <c r="CF194" s="71" t="str">
        <f t="shared" ca="1" si="125"/>
        <v/>
      </c>
      <c r="CG194" s="33" t="str">
        <f t="shared" si="126"/>
        <v/>
      </c>
      <c r="CH194" s="261" t="str">
        <f t="shared" ca="1" si="127"/>
        <v/>
      </c>
    </row>
    <row r="195" spans="2:86" ht="13.5" customHeight="1" x14ac:dyDescent="0.2">
      <c r="B195" s="262">
        <v>95</v>
      </c>
      <c r="C195" s="237" t="str">
        <f t="shared" si="91"/>
        <v/>
      </c>
      <c r="D195" s="237" t="str">
        <f t="shared" si="147"/>
        <v/>
      </c>
      <c r="E195" s="263" t="str">
        <f t="shared" si="128"/>
        <v/>
      </c>
      <c r="F195" s="264" t="str">
        <f t="shared" si="129"/>
        <v/>
      </c>
      <c r="G195" s="264" t="str">
        <f t="shared" si="130"/>
        <v/>
      </c>
      <c r="H195" s="240" t="str">
        <f t="shared" si="92"/>
        <v/>
      </c>
      <c r="I195" s="265" t="str">
        <f t="shared" si="93"/>
        <v/>
      </c>
      <c r="J195" s="265" t="str">
        <f t="shared" si="94"/>
        <v/>
      </c>
      <c r="K195" s="240" t="str">
        <f t="shared" si="95"/>
        <v/>
      </c>
      <c r="L195" s="265" t="str">
        <f t="shared" si="96"/>
        <v/>
      </c>
      <c r="M195" s="265" t="str">
        <f t="shared" si="97"/>
        <v/>
      </c>
      <c r="N195" s="240" t="str">
        <f t="shared" si="98"/>
        <v>-</v>
      </c>
      <c r="O195" s="265" t="str">
        <f t="shared" si="99"/>
        <v>-</v>
      </c>
      <c r="P195" s="265" t="str">
        <f t="shared" si="100"/>
        <v>-</v>
      </c>
      <c r="Q195" s="266" t="str">
        <f t="shared" si="101"/>
        <v>-</v>
      </c>
      <c r="R195" s="267" t="str">
        <f t="shared" si="102"/>
        <v>-</v>
      </c>
      <c r="S195" s="268" t="str">
        <f t="shared" si="103"/>
        <v>-</v>
      </c>
      <c r="T195" s="269" t="str">
        <f t="shared" si="104"/>
        <v/>
      </c>
      <c r="U195" s="221">
        <f t="shared" si="105"/>
        <v>95</v>
      </c>
      <c r="V195" s="220" t="str">
        <f t="shared" si="131"/>
        <v>-</v>
      </c>
      <c r="W195" s="221" t="str">
        <f t="shared" si="132"/>
        <v>-</v>
      </c>
      <c r="X195" s="221" t="str">
        <f t="shared" si="106"/>
        <v>-</v>
      </c>
      <c r="Y195" s="221" t="str">
        <f t="shared" si="107"/>
        <v>-</v>
      </c>
      <c r="Z195" s="270">
        <f t="shared" si="133"/>
        <v>0.1</v>
      </c>
      <c r="AA195" s="271" t="str">
        <f>IFERROR(IF(V194=1,AA$100*EXP(-(LN(2)/$D$65+0.04)*X194)*EXP(-(LN(2)/$D$65+0.1)*Y194),IF(V194=2,AA$100*EXP(-(LN(2)/$D$65+0.04)*(VLOOKUP(($F$16-$F$15)-1,U$99:Y194,4,FALSE)))*EXP(-(LN(2)/$D$65+0.1)*(VLOOKUP(($F$16-$F$15)-1,U$99:Y194,5,FALSE)))*EXP(-(LN(2)/$D$65+0.04)*X194)*EXP(-(LN(2)/$D$65+0.1)*Y194),IF(V194=3,AA$100*EXP(-(LN(2)/$D$65+0.04)*(VLOOKUP(($F$16-$F$15)-1,U$99:Y194,4,FALSE)))*EXP(-(LN(2)/$D$65+0.1)*(VLOOKUP(($F$16-$F$15)-1,U$99:Y194,5,FALSE)))*EXP(-(LN(2)/$D$65+0.04)*(VLOOKUP(($F$16-$F$15)*2-1,U$99:Y194,4,FALSE)))*EXP(-(LN(2)/$D$65+0.1)*(VLOOKUP(($F$16-$F$15)*2-1,U$99:Y194,5,FALSE)))*EXP(-(LN(2)/$D$65+0.04)*X194)*EXP(-(LN(2)/$D$65+0.1)*Y194),"-"))),"-")</f>
        <v>-</v>
      </c>
      <c r="AB195" s="271" t="str">
        <f>IFERROR(IF(V195=1,AB$100*EXP(-(LN(2)/$D$65+0.04)*X195)*EXP(-(LN(2)/$D$65+0.1)*Y195),IF(V195=2,AB$100*EXP(-(LN(2)/$D$65+0.04)*(VLOOKUP(($F$16-$F$15)-1,U$100:Y195,4,FALSE)))*EXP(-(LN(2)/$D$65+0.1)*(VLOOKUP(($F$16-$F$15)-1,U$100:Y195,5,FALSE)))*EXP(-(LN(2)/$D$65+0.04)*X195)*EXP(-(LN(2)/$D$65+0.1)*Y195),IF(V195=3,AB$100*EXP(-(LN(2)/$D$65+0.04)*(VLOOKUP(($F$16-$F$15)-1,U$100:Y195,4,FALSE)))*EXP(-(LN(2)/$D$65+0.1)*(VLOOKUP(($F$16-$F$15)-1,U$100:Y195,5,FALSE)))*EXP(-(LN(2)/$D$65+0.04)*(VLOOKUP(($F$16-$F$15)*2-1,U$100:Y195,4,FALSE)))*EXP(-(LN(2)/$D$65+0.1)*(VLOOKUP(($F$16-$F$15)*2-1,U$100:Y195,5,FALSE)))*EXP(-(LN(2)/$D$65+0.04)*X195)*EXP(-(LN(2)/$D$65+0.1)*Y195),"-"))),"-")</f>
        <v>-</v>
      </c>
      <c r="AC195" s="224">
        <f t="shared" si="134"/>
        <v>95</v>
      </c>
      <c r="AD195" s="223" t="str">
        <f t="shared" si="108"/>
        <v>-</v>
      </c>
      <c r="AE195" s="224" t="str">
        <f t="shared" si="135"/>
        <v>-</v>
      </c>
      <c r="AF195" s="224" t="str">
        <f t="shared" si="109"/>
        <v>-</v>
      </c>
      <c r="AG195" s="224" t="str">
        <f t="shared" si="110"/>
        <v>-</v>
      </c>
      <c r="AH195" s="272">
        <f t="shared" si="136"/>
        <v>0.1</v>
      </c>
      <c r="AI195" s="271" t="str">
        <f>IFERROR(IF(AD194=1,AI$100*EXP(-(LN(2)/$D$65+0.04)*AF194)*EXP(-(LN(2)/$D$65+0.1)*AG194),IF(AD194=2,AI$100*EXP(-(LN(2)/$D$65+0.04)*(VLOOKUP(($F$16-$F$15)-1,AC$99:AG194,4,FALSE)))*EXP(-(LN(2)/$D$65+0.1)*(VLOOKUP(($F$16-$F$15)-1,AC$99:AG194,5,FALSE)))*EXP(-(LN(2)/$D$65+0.04)*AF194)*EXP(-(LN(2)/$D$65+0.1)*AG194),IF(AD194=3,AI$100*EXP(-(LN(2)/$D$65+0.04)*(VLOOKUP(($F$16-$F$15)-1,AC$99:AG194,4,FALSE)))*EXP(-(LN(2)/$D$65+0.1)*(VLOOKUP(($F$16-$F$15)-1,AC$99:AG194,5,FALSE)))*EXP(-(LN(2)/$D$65+0.04)*(VLOOKUP(($F$16-$F$15)*2-1,AC$99:AG194,4,FALSE)))*EXP(-(LN(2)/$D$65+0.1)*(VLOOKUP(($F$16-$F$15)*2-1,AC$99:AG194,5,FALSE)))*EXP(-(LN(2)/$D$65+0.04)*AF194)*EXP(-(LN(2)/$D$65+0.1)*AG194),"-"))),"-")</f>
        <v>-</v>
      </c>
      <c r="AJ195" s="271" t="str">
        <f>IFERROR(IF(AD195=1,AJ$100*EXP(-(LN(2)/$D$65+0.04)*AF195)*EXP(-(LN(2)/$D$65+0.1)*AG195),IF(AD195=2,AJ$100*EXP(-(LN(2)/$D$65+0.04)*(VLOOKUP(($F$16-$F$15)-1,AC$100:AG195,4,FALSE)))*EXP(-(LN(2)/$D$65+0.1)*(VLOOKUP(($F$16-$F$15)-1,AC$100:AG195,5,FALSE)))*EXP(-(LN(2)/$D$65+0.04)*AF195)*EXP(-(LN(2)/$D$65+0.1)*AG195),IF(AD195=3,AJ$100*EXP(-(LN(2)/$D$65+0.04)*(VLOOKUP(($F$16-$F$15)-1,AC$100:AG195,4,FALSE)))*EXP(-(LN(2)/$D$65+0.1)*(VLOOKUP(($F$16-$F$15)-1,AC$100:AG195,5,FALSE)))*EXP(-(LN(2)/$D$65+0.04)*(VLOOKUP(($F$16-$F$15)*2-1,AC$100:AG195,4,FALSE)))*EXP(-(LN(2)/$D$65+0.1)*(VLOOKUP(($F$16-$F$15)*2-1,AC$100:AG195,5,FALSE)))*EXP(-(LN(2)/$D$65+0.04)*AF195)*EXP(-(LN(2)/$D$65+0.1)*AG195),"-"))),"-")</f>
        <v>-</v>
      </c>
      <c r="AK195" s="227">
        <f t="shared" si="137"/>
        <v>95</v>
      </c>
      <c r="AL195" s="226" t="str">
        <f t="shared" si="111"/>
        <v>-</v>
      </c>
      <c r="AM195" s="227" t="str">
        <f t="shared" si="138"/>
        <v>-</v>
      </c>
      <c r="AN195" s="227" t="str">
        <f t="shared" si="139"/>
        <v>-</v>
      </c>
      <c r="AO195" s="227" t="str">
        <f t="shared" si="112"/>
        <v>-</v>
      </c>
      <c r="AP195" s="273">
        <f t="shared" si="140"/>
        <v>0.1</v>
      </c>
      <c r="AQ195" s="271" t="str">
        <f>IFERROR(IF(AL194=1,AQ$100*EXP(-(LN(2)/$D$65+0.04)*AN194)*EXP(-(LN(2)/$D$65+0.1)*AO194),IF(AL194=2,AQ$100*EXP(-(LN(2)/$D$65+0.04)*(VLOOKUP(($F$16-$F$15)-1,AK$99:AO194,4,FALSE)))*EXP(-(LN(2)/$D$65+0.1)*(VLOOKUP(($F$16-$F$15)-1,AK$99:AO194,5,FALSE)))*EXP(-(LN(2)/$D$65+0.04)*AN194)*EXP(-(LN(2)/$D$65+0.1)*AO194),IF(AL194=3,AQ$100*EXP(-(LN(2)/$D$65+0.04)*(VLOOKUP(($F$16-$F$15)-1,AK$99:AO194,4,FALSE)))*EXP(-(LN(2)/$D$65+0.1)*(VLOOKUP(($F$16-$F$15)-1,AK$99:AO194,5,FALSE)))*EXP(-(LN(2)/$D$65+0.04)*(VLOOKUP(($F$16-$F$15)*2-1,AK$99:AO194,4,FALSE)))*EXP(-(LN(2)/$D$65+0.1)*(VLOOKUP(($F$16-$F$15)*2-1,AK$99:AO194,5,FALSE)))*EXP(-(LN(2)/$D$65+0.04)*AN194)*EXP(-(LN(2)/$D$65+0.1)*AO194),"-"))),"-")</f>
        <v>-</v>
      </c>
      <c r="AR195" s="271" t="str">
        <f>IFERROR(IF(AL195=1,AR$100*EXP(-(LN(2)/$D$65+0.04)*AN195)*EXP(-(LN(2)/$D$65+0.1)*AO195),IF(AL195=2,AR$100*EXP(-(LN(2)/$D$65+0.04)*(VLOOKUP(($F$16-$F$15)-1,AK$100:AO195,4,FALSE)))*EXP(-(LN(2)/$D$65+0.1)*(VLOOKUP(($F$16-$F$15)-1,AK$100:AO195,5,FALSE)))*EXP(-(LN(2)/$D$65+0.04)*AN195)*EXP(-(LN(2)/$D$65+0.1)*AO195),IF(AL195=3,AR$100*EXP(-(LN(2)/$D$65+0.04)*(VLOOKUP(($F$16-$F$15)-1,AK$100:AO195,4,FALSE)))*EXP(-(LN(2)/$D$65+0.1)*(VLOOKUP(($F$16-$F$15)-1,AK$100:AO195,5,FALSE)))*EXP(-(LN(2)/$D$65+0.04)*(VLOOKUP(($F$16-$F$15)*2-1,AK$100:AO195,4,FALSE)))*EXP(-(LN(2)/$D$65+0.1)*(VLOOKUP(($F$16-$F$15)*2-1,AK$100:AO195,5,FALSE)))*EXP(-(LN(2)/$D$65+0.04)*AN195)*EXP(-(LN(2)/$D$65+0.1)*AO195),"-"))),"-")</f>
        <v>-</v>
      </c>
      <c r="AS195" s="274">
        <f t="shared" si="113"/>
        <v>0</v>
      </c>
      <c r="AT195" s="274">
        <f t="shared" si="114"/>
        <v>0</v>
      </c>
      <c r="AU195" s="274">
        <f t="shared" si="115"/>
        <v>0</v>
      </c>
      <c r="AV195" s="190" t="str">
        <f>IF($B195&lt;$F$22,SUM($T$100:$T195),"")</f>
        <v/>
      </c>
      <c r="AW195" s="190" t="str">
        <f t="shared" si="116"/>
        <v>-</v>
      </c>
      <c r="AX195" s="190" t="str">
        <f t="shared" si="141"/>
        <v/>
      </c>
      <c r="AY195"/>
      <c r="AZ195" s="190" t="str">
        <f ca="1">IF(ISNUMBER(OFFSET(AV195,-$F$21,0)),SUM(OFFSET($T$100,$F$21,0):$T195),"")</f>
        <v/>
      </c>
      <c r="BA195" s="190" t="str">
        <f t="shared" ca="1" si="117"/>
        <v/>
      </c>
      <c r="BB195" s="190" t="str">
        <f t="shared" ca="1" si="148"/>
        <v/>
      </c>
      <c r="BC195" s="190"/>
      <c r="BD195" s="190" t="str">
        <f ca="1">IFERROR(IF(OR(ISNUMBER(I),ISNUMBER($F$14)),IF(AND($B195&gt;=($F$16-$F$15),$B195&lt;$F$22+($F$16-$F$15)),SUM(OFFSET($T$100,($F$16-$F$15),0):$T195),""),""),"")</f>
        <v/>
      </c>
      <c r="BE195" s="190" t="str">
        <f t="shared" ca="1" si="142"/>
        <v/>
      </c>
      <c r="BF195" s="190" t="str">
        <f t="shared" ca="1" si="143"/>
        <v/>
      </c>
      <c r="BG195"/>
      <c r="BH195" s="190" t="str">
        <f ca="1">IF(ISNUMBER(OFFSET(BD195,-$F$21,0)),SUM(OFFSET($T$100,($F$16-$F$15+$F$21),0):$T195),"")</f>
        <v/>
      </c>
      <c r="BI195" s="190" t="str">
        <f t="shared" ca="1" si="118"/>
        <v/>
      </c>
      <c r="BJ195" s="190" t="str">
        <f t="shared" ca="1" si="144"/>
        <v/>
      </c>
      <c r="BK195" s="190"/>
      <c r="BL195" s="190" t="str">
        <f ca="1">IFERROR(IF(OR(ISNUMBER(I),ISNUMBER($F$14)),IF(AND($B195&gt;=($F$17-$F$15),$B195&lt;$F$22+($F$17-$F$15)),SUM(OFFSET($T$100,($F$17-$F$15),0):$T195),""),""),"")</f>
        <v/>
      </c>
      <c r="BM195" s="190" t="str">
        <f t="shared" ca="1" si="119"/>
        <v/>
      </c>
      <c r="BN195" s="190" t="str">
        <f t="shared" ca="1" si="145"/>
        <v/>
      </c>
      <c r="BO195"/>
      <c r="BP195" s="190" t="str">
        <f ca="1">IF(ISNUMBER(OFFSET(BL195,-$F$21,0)),SUM(OFFSET($T$100,($F$17-$F$15+$F$21),0):$T195),"")</f>
        <v/>
      </c>
      <c r="BQ195" s="190" t="str">
        <f t="shared" ca="1" si="120"/>
        <v/>
      </c>
      <c r="BR195" s="190" t="str">
        <f t="shared" ca="1" si="146"/>
        <v/>
      </c>
      <c r="BS195" s="190"/>
      <c r="BT195"/>
      <c r="BU195"/>
      <c r="BV195"/>
      <c r="BY195" s="99"/>
      <c r="BZ195" s="99"/>
      <c r="CA195" s="280" t="str">
        <f t="shared" si="121"/>
        <v/>
      </c>
      <c r="CB195" s="71" t="str">
        <f t="shared" si="122"/>
        <v>-</v>
      </c>
      <c r="CC195" s="33"/>
      <c r="CD195" s="261" t="str">
        <f t="shared" si="123"/>
        <v/>
      </c>
      <c r="CE195" s="280" t="str">
        <f t="shared" si="124"/>
        <v/>
      </c>
      <c r="CF195" s="71" t="str">
        <f t="shared" ca="1" si="125"/>
        <v/>
      </c>
      <c r="CG195" s="33" t="str">
        <f t="shared" si="126"/>
        <v/>
      </c>
      <c r="CH195" s="261" t="str">
        <f t="shared" ca="1" si="127"/>
        <v/>
      </c>
    </row>
    <row r="196" spans="2:86" ht="13.5" customHeight="1" x14ac:dyDescent="0.2">
      <c r="B196" s="262">
        <v>96</v>
      </c>
      <c r="C196" s="237" t="str">
        <f t="shared" si="91"/>
        <v/>
      </c>
      <c r="D196" s="237" t="str">
        <f t="shared" si="147"/>
        <v/>
      </c>
      <c r="E196" s="263" t="str">
        <f t="shared" si="128"/>
        <v/>
      </c>
      <c r="F196" s="264" t="str">
        <f t="shared" si="129"/>
        <v/>
      </c>
      <c r="G196" s="264" t="str">
        <f t="shared" si="130"/>
        <v/>
      </c>
      <c r="H196" s="240" t="str">
        <f t="shared" ref="H196:H227" si="149">IF(E196&lt;&gt;"",IF($B196&lt;$F$21,"",IF(ISNUMBER(F196),IF(ISNUMBER(I196),(E196*30*50*ffp),""),(E196*30*50*ffp))),"")</f>
        <v/>
      </c>
      <c r="I196" s="265" t="str">
        <f t="shared" ref="I196:I227" si="150">IFERROR(IF(F196&lt;&gt;"",IF($B196&lt;$F$21+$F$16,"",IF(ISNUMBER(G196),IF(ISNUMBER(J196),(F196*30*50*ffp),""),(F196*30*50*ffp))),""),"")</f>
        <v/>
      </c>
      <c r="J196" s="265" t="str">
        <f t="shared" ref="J196:J227" si="151">IFERROR(IF(G196&lt;&gt;"",IF($B196&lt;$F$21+$F$17,"",(G196*30*50*ffp)),""),"")</f>
        <v/>
      </c>
      <c r="K196" s="240" t="str">
        <f t="shared" ref="K196:K227" si="152">IF(E196&lt;&gt;"",((E196*20*50*ffp)/Klevee),"")</f>
        <v/>
      </c>
      <c r="L196" s="265" t="str">
        <f t="shared" ref="L196:L227" si="153">IF(ISNUMBER(F196),((F196*20*50*ffp)/Klevee),"")</f>
        <v/>
      </c>
      <c r="M196" s="265" t="str">
        <f t="shared" ref="M196:M227" si="154">IF(ISNUMBER(G196),((G196*20*50*ffp)/Klevee),"")</f>
        <v/>
      </c>
      <c r="N196" s="240" t="str">
        <f t="shared" ref="N196:N227" si="155">IF(AND(ISNUMBER(I),ISNUMBER($F$14),ISNUMBER($F$20)),IF($B196=0,I*($J$40/100)*$J$42*1,""),"-")</f>
        <v>-</v>
      </c>
      <c r="O196" s="265" t="str">
        <f t="shared" ref="O196:O227" si="156">IF(ISNUMBER($F$14),IF($F$14&gt;1,IF($B196=0+$F$16,I*($J$40/100)*$J$42*1,""),""),"-")</f>
        <v>-</v>
      </c>
      <c r="P196" s="265" t="str">
        <f t="shared" ref="P196:P227" si="157">IF(ISNUMBER($F$14),IF($F$14&gt;2,IF($B196=0+$F$17,I*($J$40/100)*$J$42*1,""),""),"-")</f>
        <v>-</v>
      </c>
      <c r="Q196" s="266" t="str">
        <f t="shared" ref="Q196:Q227" si="158">IF(AND(ISNUMBER(I),ISNUMBER($F$14),ISNUMBER($F$20)),IF($B196=0,I*(dt/100)*$J$45*1,""),"-")</f>
        <v>-</v>
      </c>
      <c r="R196" s="267" t="str">
        <f t="shared" ref="R196:R227" si="159">IF(ISNUMBER($F$14),IF($F$14&gt;1,IF($B196=0+$F$16,I*(dt/100)*$J$45*1,""),""),"-")</f>
        <v>-</v>
      </c>
      <c r="S196" s="268" t="str">
        <f t="shared" ref="S196:S227" si="160">IF(ISNUMBER($F$14),IF($F$14&gt;2,IF($B196=0+$F$17,I*(dt/100)*$J$45*1,""),""),"-")</f>
        <v>-</v>
      </c>
      <c r="T196" s="269" t="str">
        <f t="shared" si="104"/>
        <v/>
      </c>
      <c r="U196" s="221">
        <f t="shared" si="105"/>
        <v>96</v>
      </c>
      <c r="V196" s="220" t="str">
        <f t="shared" si="131"/>
        <v>-</v>
      </c>
      <c r="W196" s="221" t="str">
        <f t="shared" si="132"/>
        <v>-</v>
      </c>
      <c r="X196" s="221" t="str">
        <f t="shared" si="106"/>
        <v>-</v>
      </c>
      <c r="Y196" s="221" t="str">
        <f t="shared" si="107"/>
        <v>-</v>
      </c>
      <c r="Z196" s="270">
        <f t="shared" si="133"/>
        <v>0.1</v>
      </c>
      <c r="AA196" s="271" t="str">
        <f>IFERROR(IF(V195=1,AA$100*EXP(-(LN(2)/$D$65+0.04)*X195)*EXP(-(LN(2)/$D$65+0.1)*Y195),IF(V195=2,AA$100*EXP(-(LN(2)/$D$65+0.04)*(VLOOKUP(($F$16-$F$15)-1,U$99:Y195,4,FALSE)))*EXP(-(LN(2)/$D$65+0.1)*(VLOOKUP(($F$16-$F$15)-1,U$99:Y195,5,FALSE)))*EXP(-(LN(2)/$D$65+0.04)*X195)*EXP(-(LN(2)/$D$65+0.1)*Y195),IF(V195=3,AA$100*EXP(-(LN(2)/$D$65+0.04)*(VLOOKUP(($F$16-$F$15)-1,U$99:Y195,4,FALSE)))*EXP(-(LN(2)/$D$65+0.1)*(VLOOKUP(($F$16-$F$15)-1,U$99:Y195,5,FALSE)))*EXP(-(LN(2)/$D$65+0.04)*(VLOOKUP(($F$16-$F$15)*2-1,U$99:Y195,4,FALSE)))*EXP(-(LN(2)/$D$65+0.1)*(VLOOKUP(($F$16-$F$15)*2-1,U$99:Y195,5,FALSE)))*EXP(-(LN(2)/$D$65+0.04)*X195)*EXP(-(LN(2)/$D$65+0.1)*Y195),"-"))),"-")</f>
        <v>-</v>
      </c>
      <c r="AB196" s="271" t="str">
        <f>IFERROR(IF(V196=1,AB$100*EXP(-(LN(2)/$D$65+0.04)*X196)*EXP(-(LN(2)/$D$65+0.1)*Y196),IF(V196=2,AB$100*EXP(-(LN(2)/$D$65+0.04)*(VLOOKUP(($F$16-$F$15)-1,U$100:Y196,4,FALSE)))*EXP(-(LN(2)/$D$65+0.1)*(VLOOKUP(($F$16-$F$15)-1,U$100:Y196,5,FALSE)))*EXP(-(LN(2)/$D$65+0.04)*X196)*EXP(-(LN(2)/$D$65+0.1)*Y196),IF(V196=3,AB$100*EXP(-(LN(2)/$D$65+0.04)*(VLOOKUP(($F$16-$F$15)-1,U$100:Y196,4,FALSE)))*EXP(-(LN(2)/$D$65+0.1)*(VLOOKUP(($F$16-$F$15)-1,U$100:Y196,5,FALSE)))*EXP(-(LN(2)/$D$65+0.04)*(VLOOKUP(($F$16-$F$15)*2-1,U$100:Y196,4,FALSE)))*EXP(-(LN(2)/$D$65+0.1)*(VLOOKUP(($F$16-$F$15)*2-1,U$100:Y196,5,FALSE)))*EXP(-(LN(2)/$D$65+0.04)*X196)*EXP(-(LN(2)/$D$65+0.1)*Y196),"-"))),"-")</f>
        <v>-</v>
      </c>
      <c r="AC196" s="224">
        <f t="shared" si="134"/>
        <v>96</v>
      </c>
      <c r="AD196" s="223" t="str">
        <f t="shared" si="108"/>
        <v>-</v>
      </c>
      <c r="AE196" s="224" t="str">
        <f t="shared" si="135"/>
        <v>-</v>
      </c>
      <c r="AF196" s="224" t="str">
        <f t="shared" si="109"/>
        <v>-</v>
      </c>
      <c r="AG196" s="224" t="str">
        <f t="shared" si="110"/>
        <v>-</v>
      </c>
      <c r="AH196" s="272">
        <f t="shared" si="136"/>
        <v>0.1</v>
      </c>
      <c r="AI196" s="271" t="str">
        <f>IFERROR(IF(AD195=1,AI$100*EXP(-(LN(2)/$D$65+0.04)*AF195)*EXP(-(LN(2)/$D$65+0.1)*AG195),IF(AD195=2,AI$100*EXP(-(LN(2)/$D$65+0.04)*(VLOOKUP(($F$16-$F$15)-1,AC$99:AG195,4,FALSE)))*EXP(-(LN(2)/$D$65+0.1)*(VLOOKUP(($F$16-$F$15)-1,AC$99:AG195,5,FALSE)))*EXP(-(LN(2)/$D$65+0.04)*AF195)*EXP(-(LN(2)/$D$65+0.1)*AG195),IF(AD195=3,AI$100*EXP(-(LN(2)/$D$65+0.04)*(VLOOKUP(($F$16-$F$15)-1,AC$99:AG195,4,FALSE)))*EXP(-(LN(2)/$D$65+0.1)*(VLOOKUP(($F$16-$F$15)-1,AC$99:AG195,5,FALSE)))*EXP(-(LN(2)/$D$65+0.04)*(VLOOKUP(($F$16-$F$15)*2-1,AC$99:AG195,4,FALSE)))*EXP(-(LN(2)/$D$65+0.1)*(VLOOKUP(($F$16-$F$15)*2-1,AC$99:AG195,5,FALSE)))*EXP(-(LN(2)/$D$65+0.04)*AF195)*EXP(-(LN(2)/$D$65+0.1)*AG195),"-"))),"-")</f>
        <v>-</v>
      </c>
      <c r="AJ196" s="271" t="str">
        <f>IFERROR(IF(AD196=1,AJ$100*EXP(-(LN(2)/$D$65+0.04)*AF196)*EXP(-(LN(2)/$D$65+0.1)*AG196),IF(AD196=2,AJ$100*EXP(-(LN(2)/$D$65+0.04)*(VLOOKUP(($F$16-$F$15)-1,AC$100:AG196,4,FALSE)))*EXP(-(LN(2)/$D$65+0.1)*(VLOOKUP(($F$16-$F$15)-1,AC$100:AG196,5,FALSE)))*EXP(-(LN(2)/$D$65+0.04)*AF196)*EXP(-(LN(2)/$D$65+0.1)*AG196),IF(AD196=3,AJ$100*EXP(-(LN(2)/$D$65+0.04)*(VLOOKUP(($F$16-$F$15)-1,AC$100:AG196,4,FALSE)))*EXP(-(LN(2)/$D$65+0.1)*(VLOOKUP(($F$16-$F$15)-1,AC$100:AG196,5,FALSE)))*EXP(-(LN(2)/$D$65+0.04)*(VLOOKUP(($F$16-$F$15)*2-1,AC$100:AG196,4,FALSE)))*EXP(-(LN(2)/$D$65+0.1)*(VLOOKUP(($F$16-$F$15)*2-1,AC$100:AG196,5,FALSE)))*EXP(-(LN(2)/$D$65+0.04)*AF196)*EXP(-(LN(2)/$D$65+0.1)*AG196),"-"))),"-")</f>
        <v>-</v>
      </c>
      <c r="AK196" s="227">
        <f t="shared" si="137"/>
        <v>96</v>
      </c>
      <c r="AL196" s="226" t="str">
        <f t="shared" si="111"/>
        <v>-</v>
      </c>
      <c r="AM196" s="227" t="str">
        <f t="shared" si="138"/>
        <v>-</v>
      </c>
      <c r="AN196" s="227" t="str">
        <f t="shared" si="139"/>
        <v>-</v>
      </c>
      <c r="AO196" s="227" t="str">
        <f t="shared" si="112"/>
        <v>-</v>
      </c>
      <c r="AP196" s="273">
        <f t="shared" si="140"/>
        <v>0.1</v>
      </c>
      <c r="AQ196" s="271" t="str">
        <f>IFERROR(IF(AL195=1,AQ$100*EXP(-(LN(2)/$D$65+0.04)*AN195)*EXP(-(LN(2)/$D$65+0.1)*AO195),IF(AL195=2,AQ$100*EXP(-(LN(2)/$D$65+0.04)*(VLOOKUP(($F$16-$F$15)-1,AK$99:AO195,4,FALSE)))*EXP(-(LN(2)/$D$65+0.1)*(VLOOKUP(($F$16-$F$15)-1,AK$99:AO195,5,FALSE)))*EXP(-(LN(2)/$D$65+0.04)*AN195)*EXP(-(LN(2)/$D$65+0.1)*AO195),IF(AL195=3,AQ$100*EXP(-(LN(2)/$D$65+0.04)*(VLOOKUP(($F$16-$F$15)-1,AK$99:AO195,4,FALSE)))*EXP(-(LN(2)/$D$65+0.1)*(VLOOKUP(($F$16-$F$15)-1,AK$99:AO195,5,FALSE)))*EXP(-(LN(2)/$D$65+0.04)*(VLOOKUP(($F$16-$F$15)*2-1,AK$99:AO195,4,FALSE)))*EXP(-(LN(2)/$D$65+0.1)*(VLOOKUP(($F$16-$F$15)*2-1,AK$99:AO195,5,FALSE)))*EXP(-(LN(2)/$D$65+0.04)*AN195)*EXP(-(LN(2)/$D$65+0.1)*AO195),"-"))),"-")</f>
        <v>-</v>
      </c>
      <c r="AR196" s="271" t="str">
        <f>IFERROR(IF(AL196=1,AR$100*EXP(-(LN(2)/$D$65+0.04)*AN196)*EXP(-(LN(2)/$D$65+0.1)*AO196),IF(AL196=2,AR$100*EXP(-(LN(2)/$D$65+0.04)*(VLOOKUP(($F$16-$F$15)-1,AK$100:AO196,4,FALSE)))*EXP(-(LN(2)/$D$65+0.1)*(VLOOKUP(($F$16-$F$15)-1,AK$100:AO196,5,FALSE)))*EXP(-(LN(2)/$D$65+0.04)*AN196)*EXP(-(LN(2)/$D$65+0.1)*AO196),IF(AL196=3,AR$100*EXP(-(LN(2)/$D$65+0.04)*(VLOOKUP(($F$16-$F$15)-1,AK$100:AO196,4,FALSE)))*EXP(-(LN(2)/$D$65+0.1)*(VLOOKUP(($F$16-$F$15)-1,AK$100:AO196,5,FALSE)))*EXP(-(LN(2)/$D$65+0.04)*(VLOOKUP(($F$16-$F$15)*2-1,AK$100:AO196,4,FALSE)))*EXP(-(LN(2)/$D$65+0.1)*(VLOOKUP(($F$16-$F$15)*2-1,AK$100:AO196,5,FALSE)))*EXP(-(LN(2)/$D$65+0.04)*AN196)*EXP(-(LN(2)/$D$65+0.1)*AO196),"-"))),"-")</f>
        <v>-</v>
      </c>
      <c r="AS196" s="274">
        <f t="shared" si="113"/>
        <v>0</v>
      </c>
      <c r="AT196" s="274">
        <f t="shared" si="114"/>
        <v>0</v>
      </c>
      <c r="AU196" s="274">
        <f t="shared" si="115"/>
        <v>0</v>
      </c>
      <c r="AV196" s="190" t="str">
        <f>IF($B196&lt;$F$22,SUM($T$100:$T196),"")</f>
        <v/>
      </c>
      <c r="AW196" s="190" t="str">
        <f t="shared" ref="AW196:AW227" si="161">IF(ISNUMBER(Koc),IF(ISNUMBER(AV196),AV196*(Koc*(Ocse/100)*Pse*Vse)/(Koc*(Ocse/100)*Pse*Vse+1*86400*($B196+1)),""),"-")</f>
        <v>-</v>
      </c>
      <c r="AX196" s="190" t="str">
        <f t="shared" si="141"/>
        <v/>
      </c>
      <c r="AY196"/>
      <c r="AZ196" s="190" t="str">
        <f ca="1">IF(ISNUMBER(OFFSET(AV196,-$F$21,0)),SUM(OFFSET($T$100,$F$21,0):$T196),"")</f>
        <v/>
      </c>
      <c r="BA196" s="190" t="str">
        <f t="shared" ref="BA196:BA227" ca="1" si="162">IF(ISNUMBER(OFFSET(AV196,-$F$21,0)),AZ196*(Koc*(Ocse/100)*Pse*Vse)/(Koc*(Ocse/100)*Pse*Vse+1*86400*($B196+1)),"")</f>
        <v/>
      </c>
      <c r="BB196" s="190" t="str">
        <f t="shared" ca="1" si="148"/>
        <v/>
      </c>
      <c r="BC196" s="190"/>
      <c r="BD196" s="190" t="str">
        <f ca="1">IFERROR(IF(OR(ISNUMBER(I),ISNUMBER($F$14)),IF(AND($B196&gt;=($F$16-$F$15),$B196&lt;$F$22+($F$16-$F$15)),SUM(OFFSET($T$100,($F$16-$F$15),0):$T196),""),""),"")</f>
        <v/>
      </c>
      <c r="BE196" s="190" t="str">
        <f t="shared" ca="1" si="142"/>
        <v/>
      </c>
      <c r="BF196" s="190" t="str">
        <f t="shared" ca="1" si="143"/>
        <v/>
      </c>
      <c r="BG196"/>
      <c r="BH196" s="190" t="str">
        <f ca="1">IF(ISNUMBER(OFFSET(BD196,-$F$21,0)),SUM(OFFSET($T$100,($F$16-$F$15+$F$21),0):$T196),"")</f>
        <v/>
      </c>
      <c r="BI196" s="190" t="str">
        <f t="shared" ref="BI196:BI227" ca="1" si="163">IF(ISNUMBER(OFFSET(BD196,-$F$21,0)),BH196*(Koc*(Ocse/100)*Pse*Vse)/(Koc*(Ocse/100)*Pse*Vse+1*86400*($B196+1)),"")</f>
        <v/>
      </c>
      <c r="BJ196" s="190" t="str">
        <f t="shared" ca="1" si="144"/>
        <v/>
      </c>
      <c r="BK196" s="190"/>
      <c r="BL196" s="190" t="str">
        <f ca="1">IFERROR(IF(OR(ISNUMBER(I),ISNUMBER($F$14)),IF(AND($B196&gt;=($F$17-$F$15),$B196&lt;$F$22+($F$17-$F$15)),SUM(OFFSET($T$100,($F$17-$F$15),0):$T196),""),""),"")</f>
        <v/>
      </c>
      <c r="BM196" s="190" t="str">
        <f t="shared" ref="BM196:BM227" ca="1" si="164">IF(ISNUMBER(BL196),BL196*(Koc*(Ocse/100)*Pse*Vse)/(Koc*(Ocse/100)*Pse*Vse+1*86400*($B196+1)),"")</f>
        <v/>
      </c>
      <c r="BN196" s="190" t="str">
        <f t="shared" ca="1" si="145"/>
        <v/>
      </c>
      <c r="BO196"/>
      <c r="BP196" s="190" t="str">
        <f ca="1">IF(ISNUMBER(OFFSET(BL196,-$F$21,0)),SUM(OFFSET($T$100,($F$17-$F$15+$F$21),0):$T196),"")</f>
        <v/>
      </c>
      <c r="BQ196" s="190" t="str">
        <f t="shared" ref="BQ196:BQ227" ca="1" si="165">IF(ISNUMBER(OFFSET(BL196,-$F$21,0)),BP196*(Koc*(Ocse/100)*Pse*Vse)/(Koc*(Ocse/100)*Pse*Vse+1*86400*($B196+1)),"")</f>
        <v/>
      </c>
      <c r="BR196" s="190" t="str">
        <f t="shared" ca="1" si="146"/>
        <v/>
      </c>
      <c r="BS196" s="190"/>
      <c r="BT196"/>
      <c r="BU196"/>
      <c r="BV196"/>
      <c r="BY196" s="99"/>
      <c r="BZ196" s="99"/>
      <c r="CA196" s="280" t="str">
        <f t="shared" ref="CA196:CA227" si="166">IFERROR(IF($B196&lt;$CA$94,T196*(Koc*(Ocse/100)*Pse*Vse)/(Koc*(Ocse/100)*Pse*Vse+1*86400*$CA$94),""),"-")</f>
        <v/>
      </c>
      <c r="CB196" s="71" t="str">
        <f t="shared" si="122"/>
        <v>-</v>
      </c>
      <c r="CC196" s="33"/>
      <c r="CD196" s="261" t="str">
        <f t="shared" si="123"/>
        <v/>
      </c>
      <c r="CE196" s="280" t="str">
        <f t="shared" ref="CE196:CE227" si="167">IFERROR(IF($B196&lt;$CE$94,T196*(Koc*(Ocse/100)*Pse*Vse)/(Koc*(Ocse/100)*Pse*Vse+1*86400*$CE$94),""),"-")</f>
        <v/>
      </c>
      <c r="CF196" s="71" t="str">
        <f t="shared" ref="CF196:CF227" ca="1" si="168">IFERROR(IF($B196&lt;$CE$94,IF(NOT(ISNUMBER(ffp)),"-",IF($F$70=$AX$87,AX196,IF($F$70=$BB$87,OFFSET(BB196,$F$21,0),IF($F$70=$BF$87,OFFSET(BF196,$F$16,0),IF($F$70=$BJ$87,OFFSET(BJ196,$F$16+$F$21,0),IF($F$70=$BN$87,OFFSET(BN196,$F$17,0),OFFSET(BR196,$F$17+$F$21,0))))))),""),"-")</f>
        <v/>
      </c>
      <c r="CG196" s="33" t="str">
        <f t="shared" si="126"/>
        <v/>
      </c>
      <c r="CH196" s="261" t="str">
        <f t="shared" ca="1" si="127"/>
        <v/>
      </c>
    </row>
    <row r="197" spans="2:86" ht="13.5" customHeight="1" x14ac:dyDescent="0.2">
      <c r="B197" s="262">
        <v>97</v>
      </c>
      <c r="C197" s="237" t="str">
        <f t="shared" si="91"/>
        <v/>
      </c>
      <c r="D197" s="237" t="str">
        <f t="shared" si="147"/>
        <v/>
      </c>
      <c r="E197" s="263" t="str">
        <f t="shared" si="128"/>
        <v/>
      </c>
      <c r="F197" s="264" t="str">
        <f t="shared" si="129"/>
        <v/>
      </c>
      <c r="G197" s="264" t="str">
        <f t="shared" si="130"/>
        <v/>
      </c>
      <c r="H197" s="240" t="str">
        <f t="shared" si="149"/>
        <v/>
      </c>
      <c r="I197" s="265" t="str">
        <f t="shared" si="150"/>
        <v/>
      </c>
      <c r="J197" s="265" t="str">
        <f t="shared" si="151"/>
        <v/>
      </c>
      <c r="K197" s="240" t="str">
        <f t="shared" si="152"/>
        <v/>
      </c>
      <c r="L197" s="265" t="str">
        <f t="shared" si="153"/>
        <v/>
      </c>
      <c r="M197" s="265" t="str">
        <f t="shared" si="154"/>
        <v/>
      </c>
      <c r="N197" s="240" t="str">
        <f t="shared" si="155"/>
        <v>-</v>
      </c>
      <c r="O197" s="265" t="str">
        <f t="shared" si="156"/>
        <v>-</v>
      </c>
      <c r="P197" s="265" t="str">
        <f t="shared" si="157"/>
        <v>-</v>
      </c>
      <c r="Q197" s="266" t="str">
        <f t="shared" si="158"/>
        <v>-</v>
      </c>
      <c r="R197" s="267" t="str">
        <f t="shared" si="159"/>
        <v>-</v>
      </c>
      <c r="S197" s="268" t="str">
        <f t="shared" si="160"/>
        <v>-</v>
      </c>
      <c r="T197" s="269" t="str">
        <f t="shared" si="104"/>
        <v/>
      </c>
      <c r="U197" s="221">
        <f t="shared" si="105"/>
        <v>97</v>
      </c>
      <c r="V197" s="220" t="str">
        <f t="shared" si="131"/>
        <v>-</v>
      </c>
      <c r="W197" s="221" t="str">
        <f t="shared" si="132"/>
        <v>-</v>
      </c>
      <c r="X197" s="221" t="str">
        <f t="shared" si="106"/>
        <v>-</v>
      </c>
      <c r="Y197" s="221" t="str">
        <f t="shared" si="107"/>
        <v>-</v>
      </c>
      <c r="Z197" s="270">
        <f t="shared" si="133"/>
        <v>0.1</v>
      </c>
      <c r="AA197" s="271" t="str">
        <f>IFERROR(IF(V196=1,AA$100*EXP(-(LN(2)/$D$65+0.04)*X196)*EXP(-(LN(2)/$D$65+0.1)*Y196),IF(V196=2,AA$100*EXP(-(LN(2)/$D$65+0.04)*(VLOOKUP(($F$16-$F$15)-1,U$99:Y196,4,FALSE)))*EXP(-(LN(2)/$D$65+0.1)*(VLOOKUP(($F$16-$F$15)-1,U$99:Y196,5,FALSE)))*EXP(-(LN(2)/$D$65+0.04)*X196)*EXP(-(LN(2)/$D$65+0.1)*Y196),IF(V196=3,AA$100*EXP(-(LN(2)/$D$65+0.04)*(VLOOKUP(($F$16-$F$15)-1,U$99:Y196,4,FALSE)))*EXP(-(LN(2)/$D$65+0.1)*(VLOOKUP(($F$16-$F$15)-1,U$99:Y196,5,FALSE)))*EXP(-(LN(2)/$D$65+0.04)*(VLOOKUP(($F$16-$F$15)*2-1,U$99:Y196,4,FALSE)))*EXP(-(LN(2)/$D$65+0.1)*(VLOOKUP(($F$16-$F$15)*2-1,U$99:Y196,5,FALSE)))*EXP(-(LN(2)/$D$65+0.04)*X196)*EXP(-(LN(2)/$D$65+0.1)*Y196),"-"))),"-")</f>
        <v>-</v>
      </c>
      <c r="AB197" s="271" t="str">
        <f>IFERROR(IF(V197=1,AB$100*EXP(-(LN(2)/$D$65+0.04)*X197)*EXP(-(LN(2)/$D$65+0.1)*Y197),IF(V197=2,AB$100*EXP(-(LN(2)/$D$65+0.04)*(VLOOKUP(($F$16-$F$15)-1,U$100:Y197,4,FALSE)))*EXP(-(LN(2)/$D$65+0.1)*(VLOOKUP(($F$16-$F$15)-1,U$100:Y197,5,FALSE)))*EXP(-(LN(2)/$D$65+0.04)*X197)*EXP(-(LN(2)/$D$65+0.1)*Y197),IF(V197=3,AB$100*EXP(-(LN(2)/$D$65+0.04)*(VLOOKUP(($F$16-$F$15)-1,U$100:Y197,4,FALSE)))*EXP(-(LN(2)/$D$65+0.1)*(VLOOKUP(($F$16-$F$15)-1,U$100:Y197,5,FALSE)))*EXP(-(LN(2)/$D$65+0.04)*(VLOOKUP(($F$16-$F$15)*2-1,U$100:Y197,4,FALSE)))*EXP(-(LN(2)/$D$65+0.1)*(VLOOKUP(($F$16-$F$15)*2-1,U$100:Y197,5,FALSE)))*EXP(-(LN(2)/$D$65+0.04)*X197)*EXP(-(LN(2)/$D$65+0.1)*Y197),"-"))),"-")</f>
        <v>-</v>
      </c>
      <c r="AC197" s="224">
        <f t="shared" si="134"/>
        <v>97</v>
      </c>
      <c r="AD197" s="223" t="str">
        <f t="shared" si="108"/>
        <v>-</v>
      </c>
      <c r="AE197" s="224" t="str">
        <f t="shared" si="135"/>
        <v>-</v>
      </c>
      <c r="AF197" s="224" t="str">
        <f t="shared" si="109"/>
        <v>-</v>
      </c>
      <c r="AG197" s="224" t="str">
        <f t="shared" si="110"/>
        <v>-</v>
      </c>
      <c r="AH197" s="272">
        <f t="shared" si="136"/>
        <v>0.1</v>
      </c>
      <c r="AI197" s="271" t="str">
        <f>IFERROR(IF(AD196=1,AI$100*EXP(-(LN(2)/$D$65+0.04)*AF196)*EXP(-(LN(2)/$D$65+0.1)*AG196),IF(AD196=2,AI$100*EXP(-(LN(2)/$D$65+0.04)*(VLOOKUP(($F$16-$F$15)-1,AC$99:AG196,4,FALSE)))*EXP(-(LN(2)/$D$65+0.1)*(VLOOKUP(($F$16-$F$15)-1,AC$99:AG196,5,FALSE)))*EXP(-(LN(2)/$D$65+0.04)*AF196)*EXP(-(LN(2)/$D$65+0.1)*AG196),IF(AD196=3,AI$100*EXP(-(LN(2)/$D$65+0.04)*(VLOOKUP(($F$16-$F$15)-1,AC$99:AG196,4,FALSE)))*EXP(-(LN(2)/$D$65+0.1)*(VLOOKUP(($F$16-$F$15)-1,AC$99:AG196,5,FALSE)))*EXP(-(LN(2)/$D$65+0.04)*(VLOOKUP(($F$16-$F$15)*2-1,AC$99:AG196,4,FALSE)))*EXP(-(LN(2)/$D$65+0.1)*(VLOOKUP(($F$16-$F$15)*2-1,AC$99:AG196,5,FALSE)))*EXP(-(LN(2)/$D$65+0.04)*AF196)*EXP(-(LN(2)/$D$65+0.1)*AG196),"-"))),"-")</f>
        <v>-</v>
      </c>
      <c r="AJ197" s="271" t="str">
        <f>IFERROR(IF(AD197=1,AJ$100*EXP(-(LN(2)/$D$65+0.04)*AF197)*EXP(-(LN(2)/$D$65+0.1)*AG197),IF(AD197=2,AJ$100*EXP(-(LN(2)/$D$65+0.04)*(VLOOKUP(($F$16-$F$15)-1,AC$100:AG197,4,FALSE)))*EXP(-(LN(2)/$D$65+0.1)*(VLOOKUP(($F$16-$F$15)-1,AC$100:AG197,5,FALSE)))*EXP(-(LN(2)/$D$65+0.04)*AF197)*EXP(-(LN(2)/$D$65+0.1)*AG197),IF(AD197=3,AJ$100*EXP(-(LN(2)/$D$65+0.04)*(VLOOKUP(($F$16-$F$15)-1,AC$100:AG197,4,FALSE)))*EXP(-(LN(2)/$D$65+0.1)*(VLOOKUP(($F$16-$F$15)-1,AC$100:AG197,5,FALSE)))*EXP(-(LN(2)/$D$65+0.04)*(VLOOKUP(($F$16-$F$15)*2-1,AC$100:AG197,4,FALSE)))*EXP(-(LN(2)/$D$65+0.1)*(VLOOKUP(($F$16-$F$15)*2-1,AC$100:AG197,5,FALSE)))*EXP(-(LN(2)/$D$65+0.04)*AF197)*EXP(-(LN(2)/$D$65+0.1)*AG197),"-"))),"-")</f>
        <v>-</v>
      </c>
      <c r="AK197" s="227">
        <f t="shared" si="137"/>
        <v>97</v>
      </c>
      <c r="AL197" s="226" t="str">
        <f t="shared" si="111"/>
        <v>-</v>
      </c>
      <c r="AM197" s="227" t="str">
        <f t="shared" si="138"/>
        <v>-</v>
      </c>
      <c r="AN197" s="227" t="str">
        <f t="shared" si="139"/>
        <v>-</v>
      </c>
      <c r="AO197" s="227" t="str">
        <f t="shared" si="112"/>
        <v>-</v>
      </c>
      <c r="AP197" s="273">
        <f t="shared" si="140"/>
        <v>0.1</v>
      </c>
      <c r="AQ197" s="271" t="str">
        <f>IFERROR(IF(AL196=1,AQ$100*EXP(-(LN(2)/$D$65+0.04)*AN196)*EXP(-(LN(2)/$D$65+0.1)*AO196),IF(AL196=2,AQ$100*EXP(-(LN(2)/$D$65+0.04)*(VLOOKUP(($F$16-$F$15)-1,AK$99:AO196,4,FALSE)))*EXP(-(LN(2)/$D$65+0.1)*(VLOOKUP(($F$16-$F$15)-1,AK$99:AO196,5,FALSE)))*EXP(-(LN(2)/$D$65+0.04)*AN196)*EXP(-(LN(2)/$D$65+0.1)*AO196),IF(AL196=3,AQ$100*EXP(-(LN(2)/$D$65+0.04)*(VLOOKUP(($F$16-$F$15)-1,AK$99:AO196,4,FALSE)))*EXP(-(LN(2)/$D$65+0.1)*(VLOOKUP(($F$16-$F$15)-1,AK$99:AO196,5,FALSE)))*EXP(-(LN(2)/$D$65+0.04)*(VLOOKUP(($F$16-$F$15)*2-1,AK$99:AO196,4,FALSE)))*EXP(-(LN(2)/$D$65+0.1)*(VLOOKUP(($F$16-$F$15)*2-1,AK$99:AO196,5,FALSE)))*EXP(-(LN(2)/$D$65+0.04)*AN196)*EXP(-(LN(2)/$D$65+0.1)*AO196),"-"))),"-")</f>
        <v>-</v>
      </c>
      <c r="AR197" s="271" t="str">
        <f>IFERROR(IF(AL197=1,AR$100*EXP(-(LN(2)/$D$65+0.04)*AN197)*EXP(-(LN(2)/$D$65+0.1)*AO197),IF(AL197=2,AR$100*EXP(-(LN(2)/$D$65+0.04)*(VLOOKUP(($F$16-$F$15)-1,AK$100:AO197,4,FALSE)))*EXP(-(LN(2)/$D$65+0.1)*(VLOOKUP(($F$16-$F$15)-1,AK$100:AO197,5,FALSE)))*EXP(-(LN(2)/$D$65+0.04)*AN197)*EXP(-(LN(2)/$D$65+0.1)*AO197),IF(AL197=3,AR$100*EXP(-(LN(2)/$D$65+0.04)*(VLOOKUP(($F$16-$F$15)-1,AK$100:AO197,4,FALSE)))*EXP(-(LN(2)/$D$65+0.1)*(VLOOKUP(($F$16-$F$15)-1,AK$100:AO197,5,FALSE)))*EXP(-(LN(2)/$D$65+0.04)*(VLOOKUP(($F$16-$F$15)*2-1,AK$100:AO197,4,FALSE)))*EXP(-(LN(2)/$D$65+0.1)*(VLOOKUP(($F$16-$F$15)*2-1,AK$100:AO197,5,FALSE)))*EXP(-(LN(2)/$D$65+0.04)*AN197)*EXP(-(LN(2)/$D$65+0.1)*AO197),"-"))),"-")</f>
        <v>-</v>
      </c>
      <c r="AS197" s="274">
        <f t="shared" si="113"/>
        <v>0</v>
      </c>
      <c r="AT197" s="274">
        <f t="shared" si="114"/>
        <v>0</v>
      </c>
      <c r="AU197" s="274">
        <f t="shared" si="115"/>
        <v>0</v>
      </c>
      <c r="AV197" s="190" t="str">
        <f>IF($B197&lt;$F$22,SUM($T$100:$T197),"")</f>
        <v/>
      </c>
      <c r="AW197" s="190" t="str">
        <f t="shared" si="161"/>
        <v>-</v>
      </c>
      <c r="AX197" s="190" t="str">
        <f t="shared" si="141"/>
        <v/>
      </c>
      <c r="AY197"/>
      <c r="AZ197" s="190" t="str">
        <f ca="1">IF(ISNUMBER(OFFSET(AV197,-$F$21,0)),SUM(OFFSET($T$100,$F$21,0):$T197),"")</f>
        <v/>
      </c>
      <c r="BA197" s="190" t="str">
        <f t="shared" ca="1" si="162"/>
        <v/>
      </c>
      <c r="BB197" s="190" t="str">
        <f t="shared" ca="1" si="148"/>
        <v/>
      </c>
      <c r="BC197" s="190"/>
      <c r="BD197" s="190" t="str">
        <f ca="1">IFERROR(IF(OR(ISNUMBER(I),ISNUMBER($F$14)),IF(AND($B197&gt;=($F$16-$F$15),$B197&lt;$F$22+($F$16-$F$15)),SUM(OFFSET($T$100,($F$16-$F$15),0):$T197),""),""),"")</f>
        <v/>
      </c>
      <c r="BE197" s="190" t="str">
        <f t="shared" ca="1" si="142"/>
        <v/>
      </c>
      <c r="BF197" s="190" t="str">
        <f t="shared" ca="1" si="143"/>
        <v/>
      </c>
      <c r="BG197"/>
      <c r="BH197" s="190" t="str">
        <f ca="1">IF(ISNUMBER(OFFSET(BD197,-$F$21,0)),SUM(OFFSET($T$100,($F$16-$F$15+$F$21),0):$T197),"")</f>
        <v/>
      </c>
      <c r="BI197" s="190" t="str">
        <f t="shared" ca="1" si="163"/>
        <v/>
      </c>
      <c r="BJ197" s="190" t="str">
        <f t="shared" ca="1" si="144"/>
        <v/>
      </c>
      <c r="BK197" s="190"/>
      <c r="BL197" s="190" t="str">
        <f ca="1">IFERROR(IF(OR(ISNUMBER(I),ISNUMBER($F$14)),IF(AND($B197&gt;=($F$17-$F$15),$B197&lt;$F$22+($F$17-$F$15)),SUM(OFFSET($T$100,($F$17-$F$15),0):$T197),""),""),"")</f>
        <v/>
      </c>
      <c r="BM197" s="190" t="str">
        <f t="shared" ca="1" si="164"/>
        <v/>
      </c>
      <c r="BN197" s="190" t="str">
        <f t="shared" ca="1" si="145"/>
        <v/>
      </c>
      <c r="BO197"/>
      <c r="BP197" s="190" t="str">
        <f ca="1">IF(ISNUMBER(OFFSET(BL197,-$F$21,0)),SUM(OFFSET($T$100,($F$17-$F$15+$F$21),0):$T197),"")</f>
        <v/>
      </c>
      <c r="BQ197" s="190" t="str">
        <f t="shared" ca="1" si="165"/>
        <v/>
      </c>
      <c r="BR197" s="190" t="str">
        <f t="shared" ca="1" si="146"/>
        <v/>
      </c>
      <c r="BS197" s="190"/>
      <c r="BT197"/>
      <c r="BU197"/>
      <c r="BV197"/>
      <c r="BY197" s="99"/>
      <c r="BZ197" s="99"/>
      <c r="CA197" s="280" t="str">
        <f t="shared" si="166"/>
        <v/>
      </c>
      <c r="CB197" s="71" t="str">
        <f t="shared" si="122"/>
        <v>-</v>
      </c>
      <c r="CC197" s="33"/>
      <c r="CD197" s="261" t="str">
        <f t="shared" si="123"/>
        <v/>
      </c>
      <c r="CE197" s="280" t="str">
        <f t="shared" si="167"/>
        <v/>
      </c>
      <c r="CF197" s="71" t="str">
        <f t="shared" ca="1" si="168"/>
        <v/>
      </c>
      <c r="CG197" s="33" t="str">
        <f t="shared" si="126"/>
        <v/>
      </c>
      <c r="CH197" s="261" t="str">
        <f t="shared" ca="1" si="127"/>
        <v/>
      </c>
    </row>
    <row r="198" spans="2:86" ht="13.5" customHeight="1" x14ac:dyDescent="0.2">
      <c r="B198" s="262">
        <v>98</v>
      </c>
      <c r="C198" s="237" t="str">
        <f t="shared" si="91"/>
        <v/>
      </c>
      <c r="D198" s="237" t="str">
        <f t="shared" si="147"/>
        <v/>
      </c>
      <c r="E198" s="263" t="str">
        <f t="shared" si="128"/>
        <v/>
      </c>
      <c r="F198" s="264" t="str">
        <f t="shared" si="129"/>
        <v/>
      </c>
      <c r="G198" s="264" t="str">
        <f t="shared" si="130"/>
        <v/>
      </c>
      <c r="H198" s="240" t="str">
        <f t="shared" si="149"/>
        <v/>
      </c>
      <c r="I198" s="265" t="str">
        <f t="shared" si="150"/>
        <v/>
      </c>
      <c r="J198" s="265" t="str">
        <f t="shared" si="151"/>
        <v/>
      </c>
      <c r="K198" s="240" t="str">
        <f t="shared" si="152"/>
        <v/>
      </c>
      <c r="L198" s="265" t="str">
        <f t="shared" si="153"/>
        <v/>
      </c>
      <c r="M198" s="265" t="str">
        <f t="shared" si="154"/>
        <v/>
      </c>
      <c r="N198" s="240" t="str">
        <f t="shared" si="155"/>
        <v>-</v>
      </c>
      <c r="O198" s="265" t="str">
        <f t="shared" si="156"/>
        <v>-</v>
      </c>
      <c r="P198" s="265" t="str">
        <f t="shared" si="157"/>
        <v>-</v>
      </c>
      <c r="Q198" s="266" t="str">
        <f t="shared" si="158"/>
        <v>-</v>
      </c>
      <c r="R198" s="267" t="str">
        <f t="shared" si="159"/>
        <v>-</v>
      </c>
      <c r="S198" s="268" t="str">
        <f t="shared" si="160"/>
        <v>-</v>
      </c>
      <c r="T198" s="269" t="str">
        <f t="shared" si="104"/>
        <v/>
      </c>
      <c r="U198" s="221">
        <f t="shared" si="105"/>
        <v>98</v>
      </c>
      <c r="V198" s="220" t="str">
        <f t="shared" si="131"/>
        <v>-</v>
      </c>
      <c r="W198" s="221" t="str">
        <f t="shared" si="132"/>
        <v>-</v>
      </c>
      <c r="X198" s="221" t="str">
        <f t="shared" si="106"/>
        <v>-</v>
      </c>
      <c r="Y198" s="221" t="str">
        <f t="shared" si="107"/>
        <v>-</v>
      </c>
      <c r="Z198" s="270">
        <f t="shared" si="133"/>
        <v>0.1</v>
      </c>
      <c r="AA198" s="271" t="str">
        <f>IFERROR(IF(V197=1,AA$100*EXP(-(LN(2)/$D$65+0.04)*X197)*EXP(-(LN(2)/$D$65+0.1)*Y197),IF(V197=2,AA$100*EXP(-(LN(2)/$D$65+0.04)*(VLOOKUP(($F$16-$F$15)-1,U$99:Y197,4,FALSE)))*EXP(-(LN(2)/$D$65+0.1)*(VLOOKUP(($F$16-$F$15)-1,U$99:Y197,5,FALSE)))*EXP(-(LN(2)/$D$65+0.04)*X197)*EXP(-(LN(2)/$D$65+0.1)*Y197),IF(V197=3,AA$100*EXP(-(LN(2)/$D$65+0.04)*(VLOOKUP(($F$16-$F$15)-1,U$99:Y197,4,FALSE)))*EXP(-(LN(2)/$D$65+0.1)*(VLOOKUP(($F$16-$F$15)-1,U$99:Y197,5,FALSE)))*EXP(-(LN(2)/$D$65+0.04)*(VLOOKUP(($F$16-$F$15)*2-1,U$99:Y197,4,FALSE)))*EXP(-(LN(2)/$D$65+0.1)*(VLOOKUP(($F$16-$F$15)*2-1,U$99:Y197,5,FALSE)))*EXP(-(LN(2)/$D$65+0.04)*X197)*EXP(-(LN(2)/$D$65+0.1)*Y197),"-"))),"-")</f>
        <v>-</v>
      </c>
      <c r="AB198" s="271" t="str">
        <f>IFERROR(IF(V198=1,AB$100*EXP(-(LN(2)/$D$65+0.04)*X198)*EXP(-(LN(2)/$D$65+0.1)*Y198),IF(V198=2,AB$100*EXP(-(LN(2)/$D$65+0.04)*(VLOOKUP(($F$16-$F$15)-1,U$100:Y198,4,FALSE)))*EXP(-(LN(2)/$D$65+0.1)*(VLOOKUP(($F$16-$F$15)-1,U$100:Y198,5,FALSE)))*EXP(-(LN(2)/$D$65+0.04)*X198)*EXP(-(LN(2)/$D$65+0.1)*Y198),IF(V198=3,AB$100*EXP(-(LN(2)/$D$65+0.04)*(VLOOKUP(($F$16-$F$15)-1,U$100:Y198,4,FALSE)))*EXP(-(LN(2)/$D$65+0.1)*(VLOOKUP(($F$16-$F$15)-1,U$100:Y198,5,FALSE)))*EXP(-(LN(2)/$D$65+0.04)*(VLOOKUP(($F$16-$F$15)*2-1,U$100:Y198,4,FALSE)))*EXP(-(LN(2)/$D$65+0.1)*(VLOOKUP(($F$16-$F$15)*2-1,U$100:Y198,5,FALSE)))*EXP(-(LN(2)/$D$65+0.04)*X198)*EXP(-(LN(2)/$D$65+0.1)*Y198),"-"))),"-")</f>
        <v>-</v>
      </c>
      <c r="AC198" s="224">
        <f t="shared" si="134"/>
        <v>98</v>
      </c>
      <c r="AD198" s="223" t="str">
        <f t="shared" si="108"/>
        <v>-</v>
      </c>
      <c r="AE198" s="224" t="str">
        <f t="shared" si="135"/>
        <v>-</v>
      </c>
      <c r="AF198" s="224" t="str">
        <f t="shared" si="109"/>
        <v>-</v>
      </c>
      <c r="AG198" s="224" t="str">
        <f t="shared" si="110"/>
        <v>-</v>
      </c>
      <c r="AH198" s="272">
        <f t="shared" si="136"/>
        <v>0.1</v>
      </c>
      <c r="AI198" s="271" t="str">
        <f>IFERROR(IF(AD197=1,AI$100*EXP(-(LN(2)/$D$65+0.04)*AF197)*EXP(-(LN(2)/$D$65+0.1)*AG197),IF(AD197=2,AI$100*EXP(-(LN(2)/$D$65+0.04)*(VLOOKUP(($F$16-$F$15)-1,AC$99:AG197,4,FALSE)))*EXP(-(LN(2)/$D$65+0.1)*(VLOOKUP(($F$16-$F$15)-1,AC$99:AG197,5,FALSE)))*EXP(-(LN(2)/$D$65+0.04)*AF197)*EXP(-(LN(2)/$D$65+0.1)*AG197),IF(AD197=3,AI$100*EXP(-(LN(2)/$D$65+0.04)*(VLOOKUP(($F$16-$F$15)-1,AC$99:AG197,4,FALSE)))*EXP(-(LN(2)/$D$65+0.1)*(VLOOKUP(($F$16-$F$15)-1,AC$99:AG197,5,FALSE)))*EXP(-(LN(2)/$D$65+0.04)*(VLOOKUP(($F$16-$F$15)*2-1,AC$99:AG197,4,FALSE)))*EXP(-(LN(2)/$D$65+0.1)*(VLOOKUP(($F$16-$F$15)*2-1,AC$99:AG197,5,FALSE)))*EXP(-(LN(2)/$D$65+0.04)*AF197)*EXP(-(LN(2)/$D$65+0.1)*AG197),"-"))),"-")</f>
        <v>-</v>
      </c>
      <c r="AJ198" s="271" t="str">
        <f>IFERROR(IF(AD198=1,AJ$100*EXP(-(LN(2)/$D$65+0.04)*AF198)*EXP(-(LN(2)/$D$65+0.1)*AG198),IF(AD198=2,AJ$100*EXP(-(LN(2)/$D$65+0.04)*(VLOOKUP(($F$16-$F$15)-1,AC$100:AG198,4,FALSE)))*EXP(-(LN(2)/$D$65+0.1)*(VLOOKUP(($F$16-$F$15)-1,AC$100:AG198,5,FALSE)))*EXP(-(LN(2)/$D$65+0.04)*AF198)*EXP(-(LN(2)/$D$65+0.1)*AG198),IF(AD198=3,AJ$100*EXP(-(LN(2)/$D$65+0.04)*(VLOOKUP(($F$16-$F$15)-1,AC$100:AG198,4,FALSE)))*EXP(-(LN(2)/$D$65+0.1)*(VLOOKUP(($F$16-$F$15)-1,AC$100:AG198,5,FALSE)))*EXP(-(LN(2)/$D$65+0.04)*(VLOOKUP(($F$16-$F$15)*2-1,AC$100:AG198,4,FALSE)))*EXP(-(LN(2)/$D$65+0.1)*(VLOOKUP(($F$16-$F$15)*2-1,AC$100:AG198,5,FALSE)))*EXP(-(LN(2)/$D$65+0.04)*AF198)*EXP(-(LN(2)/$D$65+0.1)*AG198),"-"))),"-")</f>
        <v>-</v>
      </c>
      <c r="AK198" s="227">
        <f t="shared" si="137"/>
        <v>98</v>
      </c>
      <c r="AL198" s="226" t="str">
        <f t="shared" si="111"/>
        <v>-</v>
      </c>
      <c r="AM198" s="227" t="str">
        <f t="shared" si="138"/>
        <v>-</v>
      </c>
      <c r="AN198" s="227" t="str">
        <f t="shared" si="139"/>
        <v>-</v>
      </c>
      <c r="AO198" s="227" t="str">
        <f t="shared" si="112"/>
        <v>-</v>
      </c>
      <c r="AP198" s="273">
        <f t="shared" si="140"/>
        <v>0.1</v>
      </c>
      <c r="AQ198" s="271" t="str">
        <f>IFERROR(IF(AL197=1,AQ$100*EXP(-(LN(2)/$D$65+0.04)*AN197)*EXP(-(LN(2)/$D$65+0.1)*AO197),IF(AL197=2,AQ$100*EXP(-(LN(2)/$D$65+0.04)*(VLOOKUP(($F$16-$F$15)-1,AK$99:AO197,4,FALSE)))*EXP(-(LN(2)/$D$65+0.1)*(VLOOKUP(($F$16-$F$15)-1,AK$99:AO197,5,FALSE)))*EXP(-(LN(2)/$D$65+0.04)*AN197)*EXP(-(LN(2)/$D$65+0.1)*AO197),IF(AL197=3,AQ$100*EXP(-(LN(2)/$D$65+0.04)*(VLOOKUP(($F$16-$F$15)-1,AK$99:AO197,4,FALSE)))*EXP(-(LN(2)/$D$65+0.1)*(VLOOKUP(($F$16-$F$15)-1,AK$99:AO197,5,FALSE)))*EXP(-(LN(2)/$D$65+0.04)*(VLOOKUP(($F$16-$F$15)*2-1,AK$99:AO197,4,FALSE)))*EXP(-(LN(2)/$D$65+0.1)*(VLOOKUP(($F$16-$F$15)*2-1,AK$99:AO197,5,FALSE)))*EXP(-(LN(2)/$D$65+0.04)*AN197)*EXP(-(LN(2)/$D$65+0.1)*AO197),"-"))),"-")</f>
        <v>-</v>
      </c>
      <c r="AR198" s="271" t="str">
        <f>IFERROR(IF(AL198=1,AR$100*EXP(-(LN(2)/$D$65+0.04)*AN198)*EXP(-(LN(2)/$D$65+0.1)*AO198),IF(AL198=2,AR$100*EXP(-(LN(2)/$D$65+0.04)*(VLOOKUP(($F$16-$F$15)-1,AK$100:AO198,4,FALSE)))*EXP(-(LN(2)/$D$65+0.1)*(VLOOKUP(($F$16-$F$15)-1,AK$100:AO198,5,FALSE)))*EXP(-(LN(2)/$D$65+0.04)*AN198)*EXP(-(LN(2)/$D$65+0.1)*AO198),IF(AL198=3,AR$100*EXP(-(LN(2)/$D$65+0.04)*(VLOOKUP(($F$16-$F$15)-1,AK$100:AO198,4,FALSE)))*EXP(-(LN(2)/$D$65+0.1)*(VLOOKUP(($F$16-$F$15)-1,AK$100:AO198,5,FALSE)))*EXP(-(LN(2)/$D$65+0.04)*(VLOOKUP(($F$16-$F$15)*2-1,AK$100:AO198,4,FALSE)))*EXP(-(LN(2)/$D$65+0.1)*(VLOOKUP(($F$16-$F$15)*2-1,AK$100:AO198,5,FALSE)))*EXP(-(LN(2)/$D$65+0.04)*AN198)*EXP(-(LN(2)/$D$65+0.1)*AO198),"-"))),"-")</f>
        <v>-</v>
      </c>
      <c r="AS198" s="274">
        <f t="shared" si="113"/>
        <v>0</v>
      </c>
      <c r="AT198" s="274">
        <f t="shared" si="114"/>
        <v>0</v>
      </c>
      <c r="AU198" s="274">
        <f t="shared" si="115"/>
        <v>0</v>
      </c>
      <c r="AV198" s="190" t="str">
        <f>IF($B198&lt;$F$22,SUM($T$100:$T198),"")</f>
        <v/>
      </c>
      <c r="AW198" s="190" t="str">
        <f t="shared" si="161"/>
        <v>-</v>
      </c>
      <c r="AX198" s="190" t="str">
        <f t="shared" si="141"/>
        <v/>
      </c>
      <c r="AY198"/>
      <c r="AZ198" s="190" t="str">
        <f ca="1">IF(ISNUMBER(OFFSET(AV198,-$F$21,0)),SUM(OFFSET($T$100,$F$21,0):$T198),"")</f>
        <v/>
      </c>
      <c r="BA198" s="190" t="str">
        <f t="shared" ca="1" si="162"/>
        <v/>
      </c>
      <c r="BB198" s="190" t="str">
        <f t="shared" ca="1" si="148"/>
        <v/>
      </c>
      <c r="BC198" s="190"/>
      <c r="BD198" s="190" t="str">
        <f ca="1">IFERROR(IF(OR(ISNUMBER(I),ISNUMBER($F$14)),IF(AND($B198&gt;=($F$16-$F$15),$B198&lt;$F$22+($F$16-$F$15)),SUM(OFFSET($T$100,($F$16-$F$15),0):$T198),""),""),"")</f>
        <v/>
      </c>
      <c r="BE198" s="190" t="str">
        <f t="shared" ca="1" si="142"/>
        <v/>
      </c>
      <c r="BF198" s="190" t="str">
        <f t="shared" ca="1" si="143"/>
        <v/>
      </c>
      <c r="BG198"/>
      <c r="BH198" s="190" t="str">
        <f ca="1">IF(ISNUMBER(OFFSET(BD198,-$F$21,0)),SUM(OFFSET($T$100,($F$16-$F$15+$F$21),0):$T198),"")</f>
        <v/>
      </c>
      <c r="BI198" s="190" t="str">
        <f t="shared" ca="1" si="163"/>
        <v/>
      </c>
      <c r="BJ198" s="190" t="str">
        <f t="shared" ca="1" si="144"/>
        <v/>
      </c>
      <c r="BK198" s="190"/>
      <c r="BL198" s="190" t="str">
        <f ca="1">IFERROR(IF(OR(ISNUMBER(I),ISNUMBER($F$14)),IF(AND($B198&gt;=($F$17-$F$15),$B198&lt;$F$22+($F$17-$F$15)),SUM(OFFSET($T$100,($F$17-$F$15),0):$T198),""),""),"")</f>
        <v/>
      </c>
      <c r="BM198" s="190" t="str">
        <f t="shared" ca="1" si="164"/>
        <v/>
      </c>
      <c r="BN198" s="190" t="str">
        <f t="shared" ca="1" si="145"/>
        <v/>
      </c>
      <c r="BO198"/>
      <c r="BP198" s="190" t="str">
        <f ca="1">IF(ISNUMBER(OFFSET(BL198,-$F$21,0)),SUM(OFFSET($T$100,($F$17-$F$15+$F$21),0):$T198),"")</f>
        <v/>
      </c>
      <c r="BQ198" s="190" t="str">
        <f t="shared" ca="1" si="165"/>
        <v/>
      </c>
      <c r="BR198" s="190" t="str">
        <f t="shared" ca="1" si="146"/>
        <v/>
      </c>
      <c r="BS198" s="190"/>
      <c r="BT198"/>
      <c r="BU198"/>
      <c r="BV198"/>
      <c r="BY198" s="99"/>
      <c r="BZ198" s="99"/>
      <c r="CA198" s="280" t="str">
        <f t="shared" si="166"/>
        <v/>
      </c>
      <c r="CB198" s="71" t="str">
        <f t="shared" si="122"/>
        <v>-</v>
      </c>
      <c r="CC198" s="33"/>
      <c r="CD198" s="261" t="str">
        <f t="shared" si="123"/>
        <v/>
      </c>
      <c r="CE198" s="280" t="str">
        <f t="shared" si="167"/>
        <v/>
      </c>
      <c r="CF198" s="71" t="str">
        <f t="shared" ca="1" si="168"/>
        <v/>
      </c>
      <c r="CG198" s="33" t="str">
        <f t="shared" si="126"/>
        <v/>
      </c>
      <c r="CH198" s="261" t="str">
        <f t="shared" ca="1" si="127"/>
        <v/>
      </c>
    </row>
    <row r="199" spans="2:86" ht="13.5" customHeight="1" x14ac:dyDescent="0.2">
      <c r="B199" s="262">
        <v>99</v>
      </c>
      <c r="C199" s="237" t="str">
        <f t="shared" si="91"/>
        <v/>
      </c>
      <c r="D199" s="237" t="str">
        <f t="shared" si="147"/>
        <v/>
      </c>
      <c r="E199" s="263" t="str">
        <f t="shared" si="128"/>
        <v/>
      </c>
      <c r="F199" s="264" t="str">
        <f t="shared" si="129"/>
        <v/>
      </c>
      <c r="G199" s="264" t="str">
        <f t="shared" si="130"/>
        <v/>
      </c>
      <c r="H199" s="240" t="str">
        <f t="shared" si="149"/>
        <v/>
      </c>
      <c r="I199" s="265" t="str">
        <f t="shared" si="150"/>
        <v/>
      </c>
      <c r="J199" s="265" t="str">
        <f t="shared" si="151"/>
        <v/>
      </c>
      <c r="K199" s="240" t="str">
        <f t="shared" si="152"/>
        <v/>
      </c>
      <c r="L199" s="265" t="str">
        <f t="shared" si="153"/>
        <v/>
      </c>
      <c r="M199" s="265" t="str">
        <f t="shared" si="154"/>
        <v/>
      </c>
      <c r="N199" s="240" t="str">
        <f t="shared" si="155"/>
        <v>-</v>
      </c>
      <c r="O199" s="265" t="str">
        <f t="shared" si="156"/>
        <v>-</v>
      </c>
      <c r="P199" s="265" t="str">
        <f t="shared" si="157"/>
        <v>-</v>
      </c>
      <c r="Q199" s="266" t="str">
        <f t="shared" si="158"/>
        <v>-</v>
      </c>
      <c r="R199" s="267" t="str">
        <f t="shared" si="159"/>
        <v>-</v>
      </c>
      <c r="S199" s="268" t="str">
        <f t="shared" si="160"/>
        <v>-</v>
      </c>
      <c r="T199" s="269" t="str">
        <f t="shared" si="104"/>
        <v/>
      </c>
      <c r="U199" s="221">
        <f t="shared" si="105"/>
        <v>99</v>
      </c>
      <c r="V199" s="220" t="str">
        <f t="shared" si="131"/>
        <v>-</v>
      </c>
      <c r="W199" s="221" t="str">
        <f t="shared" si="132"/>
        <v>-</v>
      </c>
      <c r="X199" s="221" t="str">
        <f t="shared" si="106"/>
        <v>-</v>
      </c>
      <c r="Y199" s="221" t="str">
        <f t="shared" si="107"/>
        <v>-</v>
      </c>
      <c r="Z199" s="270">
        <f t="shared" si="133"/>
        <v>0.1</v>
      </c>
      <c r="AA199" s="271" t="str">
        <f>IFERROR(IF(V198=1,AA$100*EXP(-(LN(2)/$D$65+0.04)*X198)*EXP(-(LN(2)/$D$65+0.1)*Y198),IF(V198=2,AA$100*EXP(-(LN(2)/$D$65+0.04)*(VLOOKUP(($F$16-$F$15)-1,U$99:Y198,4,FALSE)))*EXP(-(LN(2)/$D$65+0.1)*(VLOOKUP(($F$16-$F$15)-1,U$99:Y198,5,FALSE)))*EXP(-(LN(2)/$D$65+0.04)*X198)*EXP(-(LN(2)/$D$65+0.1)*Y198),IF(V198=3,AA$100*EXP(-(LN(2)/$D$65+0.04)*(VLOOKUP(($F$16-$F$15)-1,U$99:Y198,4,FALSE)))*EXP(-(LN(2)/$D$65+0.1)*(VLOOKUP(($F$16-$F$15)-1,U$99:Y198,5,FALSE)))*EXP(-(LN(2)/$D$65+0.04)*(VLOOKUP(($F$16-$F$15)*2-1,U$99:Y198,4,FALSE)))*EXP(-(LN(2)/$D$65+0.1)*(VLOOKUP(($F$16-$F$15)*2-1,U$99:Y198,5,FALSE)))*EXP(-(LN(2)/$D$65+0.04)*X198)*EXP(-(LN(2)/$D$65+0.1)*Y198),"-"))),"-")</f>
        <v>-</v>
      </c>
      <c r="AB199" s="271" t="str">
        <f>IFERROR(IF(V199=1,AB$100*EXP(-(LN(2)/$D$65+0.04)*X199)*EXP(-(LN(2)/$D$65+0.1)*Y199),IF(V199=2,AB$100*EXP(-(LN(2)/$D$65+0.04)*(VLOOKUP(($F$16-$F$15)-1,U$100:Y199,4,FALSE)))*EXP(-(LN(2)/$D$65+0.1)*(VLOOKUP(($F$16-$F$15)-1,U$100:Y199,5,FALSE)))*EXP(-(LN(2)/$D$65+0.04)*X199)*EXP(-(LN(2)/$D$65+0.1)*Y199),IF(V199=3,AB$100*EXP(-(LN(2)/$D$65+0.04)*(VLOOKUP(($F$16-$F$15)-1,U$100:Y199,4,FALSE)))*EXP(-(LN(2)/$D$65+0.1)*(VLOOKUP(($F$16-$F$15)-1,U$100:Y199,5,FALSE)))*EXP(-(LN(2)/$D$65+0.04)*(VLOOKUP(($F$16-$F$15)*2-1,U$100:Y199,4,FALSE)))*EXP(-(LN(2)/$D$65+0.1)*(VLOOKUP(($F$16-$F$15)*2-1,U$100:Y199,5,FALSE)))*EXP(-(LN(2)/$D$65+0.04)*X199)*EXP(-(LN(2)/$D$65+0.1)*Y199),"-"))),"-")</f>
        <v>-</v>
      </c>
      <c r="AC199" s="224">
        <f t="shared" si="134"/>
        <v>99</v>
      </c>
      <c r="AD199" s="223" t="str">
        <f t="shared" si="108"/>
        <v>-</v>
      </c>
      <c r="AE199" s="224" t="str">
        <f t="shared" si="135"/>
        <v>-</v>
      </c>
      <c r="AF199" s="224" t="str">
        <f t="shared" si="109"/>
        <v>-</v>
      </c>
      <c r="AG199" s="224" t="str">
        <f t="shared" si="110"/>
        <v>-</v>
      </c>
      <c r="AH199" s="272">
        <f t="shared" si="136"/>
        <v>0.1</v>
      </c>
      <c r="AI199" s="271" t="str">
        <f>IFERROR(IF(AD198=1,AI$100*EXP(-(LN(2)/$D$65+0.04)*AF198)*EXP(-(LN(2)/$D$65+0.1)*AG198),IF(AD198=2,AI$100*EXP(-(LN(2)/$D$65+0.04)*(VLOOKUP(($F$16-$F$15)-1,AC$99:AG198,4,FALSE)))*EXP(-(LN(2)/$D$65+0.1)*(VLOOKUP(($F$16-$F$15)-1,AC$99:AG198,5,FALSE)))*EXP(-(LN(2)/$D$65+0.04)*AF198)*EXP(-(LN(2)/$D$65+0.1)*AG198),IF(AD198=3,AI$100*EXP(-(LN(2)/$D$65+0.04)*(VLOOKUP(($F$16-$F$15)-1,AC$99:AG198,4,FALSE)))*EXP(-(LN(2)/$D$65+0.1)*(VLOOKUP(($F$16-$F$15)-1,AC$99:AG198,5,FALSE)))*EXP(-(LN(2)/$D$65+0.04)*(VLOOKUP(($F$16-$F$15)*2-1,AC$99:AG198,4,FALSE)))*EXP(-(LN(2)/$D$65+0.1)*(VLOOKUP(($F$16-$F$15)*2-1,AC$99:AG198,5,FALSE)))*EXP(-(LN(2)/$D$65+0.04)*AF198)*EXP(-(LN(2)/$D$65+0.1)*AG198),"-"))),"-")</f>
        <v>-</v>
      </c>
      <c r="AJ199" s="271" t="str">
        <f>IFERROR(IF(AD199=1,AJ$100*EXP(-(LN(2)/$D$65+0.04)*AF199)*EXP(-(LN(2)/$D$65+0.1)*AG199),IF(AD199=2,AJ$100*EXP(-(LN(2)/$D$65+0.04)*(VLOOKUP(($F$16-$F$15)-1,AC$100:AG199,4,FALSE)))*EXP(-(LN(2)/$D$65+0.1)*(VLOOKUP(($F$16-$F$15)-1,AC$100:AG199,5,FALSE)))*EXP(-(LN(2)/$D$65+0.04)*AF199)*EXP(-(LN(2)/$D$65+0.1)*AG199),IF(AD199=3,AJ$100*EXP(-(LN(2)/$D$65+0.04)*(VLOOKUP(($F$16-$F$15)-1,AC$100:AG199,4,FALSE)))*EXP(-(LN(2)/$D$65+0.1)*(VLOOKUP(($F$16-$F$15)-1,AC$100:AG199,5,FALSE)))*EXP(-(LN(2)/$D$65+0.04)*(VLOOKUP(($F$16-$F$15)*2-1,AC$100:AG199,4,FALSE)))*EXP(-(LN(2)/$D$65+0.1)*(VLOOKUP(($F$16-$F$15)*2-1,AC$100:AG199,5,FALSE)))*EXP(-(LN(2)/$D$65+0.04)*AF199)*EXP(-(LN(2)/$D$65+0.1)*AG199),"-"))),"-")</f>
        <v>-</v>
      </c>
      <c r="AK199" s="227">
        <f t="shared" si="137"/>
        <v>99</v>
      </c>
      <c r="AL199" s="226" t="str">
        <f t="shared" si="111"/>
        <v>-</v>
      </c>
      <c r="AM199" s="227" t="str">
        <f t="shared" si="138"/>
        <v>-</v>
      </c>
      <c r="AN199" s="227" t="str">
        <f t="shared" si="139"/>
        <v>-</v>
      </c>
      <c r="AO199" s="227" t="str">
        <f t="shared" si="112"/>
        <v>-</v>
      </c>
      <c r="AP199" s="273">
        <f t="shared" si="140"/>
        <v>0.1</v>
      </c>
      <c r="AQ199" s="271" t="str">
        <f>IFERROR(IF(AL198=1,AQ$100*EXP(-(LN(2)/$D$65+0.04)*AN198)*EXP(-(LN(2)/$D$65+0.1)*AO198),IF(AL198=2,AQ$100*EXP(-(LN(2)/$D$65+0.04)*(VLOOKUP(($F$16-$F$15)-1,AK$99:AO198,4,FALSE)))*EXP(-(LN(2)/$D$65+0.1)*(VLOOKUP(($F$16-$F$15)-1,AK$99:AO198,5,FALSE)))*EXP(-(LN(2)/$D$65+0.04)*AN198)*EXP(-(LN(2)/$D$65+0.1)*AO198),IF(AL198=3,AQ$100*EXP(-(LN(2)/$D$65+0.04)*(VLOOKUP(($F$16-$F$15)-1,AK$99:AO198,4,FALSE)))*EXP(-(LN(2)/$D$65+0.1)*(VLOOKUP(($F$16-$F$15)-1,AK$99:AO198,5,FALSE)))*EXP(-(LN(2)/$D$65+0.04)*(VLOOKUP(($F$16-$F$15)*2-1,AK$99:AO198,4,FALSE)))*EXP(-(LN(2)/$D$65+0.1)*(VLOOKUP(($F$16-$F$15)*2-1,AK$99:AO198,5,FALSE)))*EXP(-(LN(2)/$D$65+0.04)*AN198)*EXP(-(LN(2)/$D$65+0.1)*AO198),"-"))),"-")</f>
        <v>-</v>
      </c>
      <c r="AR199" s="271" t="str">
        <f>IFERROR(IF(AL199=1,AR$100*EXP(-(LN(2)/$D$65+0.04)*AN199)*EXP(-(LN(2)/$D$65+0.1)*AO199),IF(AL199=2,AR$100*EXP(-(LN(2)/$D$65+0.04)*(VLOOKUP(($F$16-$F$15)-1,AK$100:AO199,4,FALSE)))*EXP(-(LN(2)/$D$65+0.1)*(VLOOKUP(($F$16-$F$15)-1,AK$100:AO199,5,FALSE)))*EXP(-(LN(2)/$D$65+0.04)*AN199)*EXP(-(LN(2)/$D$65+0.1)*AO199),IF(AL199=3,AR$100*EXP(-(LN(2)/$D$65+0.04)*(VLOOKUP(($F$16-$F$15)-1,AK$100:AO199,4,FALSE)))*EXP(-(LN(2)/$D$65+0.1)*(VLOOKUP(($F$16-$F$15)-1,AK$100:AO199,5,FALSE)))*EXP(-(LN(2)/$D$65+0.04)*(VLOOKUP(($F$16-$F$15)*2-1,AK$100:AO199,4,FALSE)))*EXP(-(LN(2)/$D$65+0.1)*(VLOOKUP(($F$16-$F$15)*2-1,AK$100:AO199,5,FALSE)))*EXP(-(LN(2)/$D$65+0.04)*AN199)*EXP(-(LN(2)/$D$65+0.1)*AO199),"-"))),"-")</f>
        <v>-</v>
      </c>
      <c r="AS199" s="274">
        <f t="shared" si="113"/>
        <v>0</v>
      </c>
      <c r="AT199" s="274">
        <f t="shared" si="114"/>
        <v>0</v>
      </c>
      <c r="AU199" s="274">
        <f t="shared" si="115"/>
        <v>0</v>
      </c>
      <c r="AV199" s="190" t="str">
        <f>IF($B199&lt;$F$22,SUM($T$100:$T199),"")</f>
        <v/>
      </c>
      <c r="AW199" s="190" t="str">
        <f t="shared" si="161"/>
        <v>-</v>
      </c>
      <c r="AX199" s="190" t="str">
        <f t="shared" si="141"/>
        <v/>
      </c>
      <c r="AY199"/>
      <c r="AZ199" s="190" t="str">
        <f ca="1">IF(ISNUMBER(OFFSET(AV199,-$F$21,0)),SUM(OFFSET($T$100,$F$21,0):$T199),"")</f>
        <v/>
      </c>
      <c r="BA199" s="190" t="str">
        <f t="shared" ca="1" si="162"/>
        <v/>
      </c>
      <c r="BB199" s="190" t="str">
        <f t="shared" ca="1" si="148"/>
        <v/>
      </c>
      <c r="BC199" s="190"/>
      <c r="BD199" s="190" t="str">
        <f ca="1">IFERROR(IF(OR(ISNUMBER(I),ISNUMBER($F$14)),IF(AND($B199&gt;=($F$16-$F$15),$B199&lt;$F$22+($F$16-$F$15)),SUM(OFFSET($T$100,($F$16-$F$15),0):$T199),""),""),"")</f>
        <v/>
      </c>
      <c r="BE199" s="190" t="str">
        <f t="shared" ca="1" si="142"/>
        <v/>
      </c>
      <c r="BF199" s="190" t="str">
        <f t="shared" ca="1" si="143"/>
        <v/>
      </c>
      <c r="BG199"/>
      <c r="BH199" s="190" t="str">
        <f ca="1">IF(ISNUMBER(OFFSET(BD199,-$F$21,0)),SUM(OFFSET($T$100,($F$16-$F$15+$F$21),0):$T199),"")</f>
        <v/>
      </c>
      <c r="BI199" s="190" t="str">
        <f t="shared" ca="1" si="163"/>
        <v/>
      </c>
      <c r="BJ199" s="190" t="str">
        <f t="shared" ca="1" si="144"/>
        <v/>
      </c>
      <c r="BK199" s="190"/>
      <c r="BL199" s="190" t="str">
        <f ca="1">IFERROR(IF(OR(ISNUMBER(I),ISNUMBER($F$14)),IF(AND($B199&gt;=($F$17-$F$15),$B199&lt;$F$22+($F$17-$F$15)),SUM(OFFSET($T$100,($F$17-$F$15),0):$T199),""),""),"")</f>
        <v/>
      </c>
      <c r="BM199" s="190" t="str">
        <f t="shared" ca="1" si="164"/>
        <v/>
      </c>
      <c r="BN199" s="190" t="str">
        <f t="shared" ca="1" si="145"/>
        <v/>
      </c>
      <c r="BO199"/>
      <c r="BP199" s="190" t="str">
        <f ca="1">IF(ISNUMBER(OFFSET(BL199,-$F$21,0)),SUM(OFFSET($T$100,($F$17-$F$15+$F$21),0):$T199),"")</f>
        <v/>
      </c>
      <c r="BQ199" s="190" t="str">
        <f t="shared" ca="1" si="165"/>
        <v/>
      </c>
      <c r="BR199" s="190" t="str">
        <f t="shared" ca="1" si="146"/>
        <v/>
      </c>
      <c r="BS199" s="190"/>
      <c r="BT199"/>
      <c r="BU199"/>
      <c r="BV199"/>
      <c r="BY199" s="99"/>
      <c r="BZ199" s="99"/>
      <c r="CA199" s="280" t="str">
        <f t="shared" si="166"/>
        <v/>
      </c>
      <c r="CB199" s="71" t="str">
        <f t="shared" si="122"/>
        <v>-</v>
      </c>
      <c r="CC199" s="33"/>
      <c r="CD199" s="261" t="str">
        <f t="shared" si="123"/>
        <v/>
      </c>
      <c r="CE199" s="280" t="str">
        <f t="shared" si="167"/>
        <v/>
      </c>
      <c r="CF199" s="71" t="str">
        <f t="shared" ca="1" si="168"/>
        <v/>
      </c>
      <c r="CG199" s="33" t="str">
        <f t="shared" si="126"/>
        <v/>
      </c>
      <c r="CH199" s="261" t="str">
        <f t="shared" ca="1" si="127"/>
        <v/>
      </c>
    </row>
    <row r="200" spans="2:86" ht="13.5" customHeight="1" x14ac:dyDescent="0.2">
      <c r="B200" s="262">
        <v>100</v>
      </c>
      <c r="C200" s="237" t="str">
        <f t="shared" si="91"/>
        <v/>
      </c>
      <c r="D200" s="237" t="str">
        <f t="shared" si="147"/>
        <v/>
      </c>
      <c r="E200" s="263" t="str">
        <f t="shared" si="128"/>
        <v/>
      </c>
      <c r="F200" s="264" t="str">
        <f t="shared" si="129"/>
        <v/>
      </c>
      <c r="G200" s="264" t="str">
        <f t="shared" si="130"/>
        <v/>
      </c>
      <c r="H200" s="240" t="str">
        <f t="shared" si="149"/>
        <v/>
      </c>
      <c r="I200" s="265" t="str">
        <f t="shared" si="150"/>
        <v/>
      </c>
      <c r="J200" s="265" t="str">
        <f t="shared" si="151"/>
        <v/>
      </c>
      <c r="K200" s="240" t="str">
        <f t="shared" si="152"/>
        <v/>
      </c>
      <c r="L200" s="265" t="str">
        <f t="shared" si="153"/>
        <v/>
      </c>
      <c r="M200" s="265" t="str">
        <f t="shared" si="154"/>
        <v/>
      </c>
      <c r="N200" s="240" t="str">
        <f t="shared" si="155"/>
        <v>-</v>
      </c>
      <c r="O200" s="265" t="str">
        <f t="shared" si="156"/>
        <v>-</v>
      </c>
      <c r="P200" s="265" t="str">
        <f t="shared" si="157"/>
        <v>-</v>
      </c>
      <c r="Q200" s="266" t="str">
        <f t="shared" si="158"/>
        <v>-</v>
      </c>
      <c r="R200" s="267" t="str">
        <f t="shared" si="159"/>
        <v>-</v>
      </c>
      <c r="S200" s="268" t="str">
        <f t="shared" si="160"/>
        <v>-</v>
      </c>
      <c r="T200" s="269" t="str">
        <f t="shared" si="104"/>
        <v/>
      </c>
      <c r="U200" s="221">
        <f t="shared" si="105"/>
        <v>100</v>
      </c>
      <c r="V200" s="220" t="str">
        <f t="shared" si="131"/>
        <v>-</v>
      </c>
      <c r="W200" s="221" t="str">
        <f t="shared" si="132"/>
        <v>-</v>
      </c>
      <c r="X200" s="221" t="str">
        <f t="shared" si="106"/>
        <v>-</v>
      </c>
      <c r="Y200" s="221" t="str">
        <f t="shared" si="107"/>
        <v>-</v>
      </c>
      <c r="Z200" s="270">
        <f t="shared" si="133"/>
        <v>0.1</v>
      </c>
      <c r="AA200" s="271" t="str">
        <f>IFERROR(IF(V199=1,AA$100*EXP(-(LN(2)/$D$65+0.04)*X199)*EXP(-(LN(2)/$D$65+0.1)*Y199),IF(V199=2,AA$100*EXP(-(LN(2)/$D$65+0.04)*(VLOOKUP(($F$16-$F$15)-1,U$99:Y199,4,FALSE)))*EXP(-(LN(2)/$D$65+0.1)*(VLOOKUP(($F$16-$F$15)-1,U$99:Y199,5,FALSE)))*EXP(-(LN(2)/$D$65+0.04)*X199)*EXP(-(LN(2)/$D$65+0.1)*Y199),IF(V199=3,AA$100*EXP(-(LN(2)/$D$65+0.04)*(VLOOKUP(($F$16-$F$15)-1,U$99:Y199,4,FALSE)))*EXP(-(LN(2)/$D$65+0.1)*(VLOOKUP(($F$16-$F$15)-1,U$99:Y199,5,FALSE)))*EXP(-(LN(2)/$D$65+0.04)*(VLOOKUP(($F$16-$F$15)*2-1,U$99:Y199,4,FALSE)))*EXP(-(LN(2)/$D$65+0.1)*(VLOOKUP(($F$16-$F$15)*2-1,U$99:Y199,5,FALSE)))*EXP(-(LN(2)/$D$65+0.04)*X199)*EXP(-(LN(2)/$D$65+0.1)*Y199),"-"))),"-")</f>
        <v>-</v>
      </c>
      <c r="AB200" s="271" t="str">
        <f>IFERROR(IF(V200=1,AB$100*EXP(-(LN(2)/$D$65+0.04)*X200)*EXP(-(LN(2)/$D$65+0.1)*Y200),IF(V200=2,AB$100*EXP(-(LN(2)/$D$65+0.04)*(VLOOKUP(($F$16-$F$15)-1,U$100:Y200,4,FALSE)))*EXP(-(LN(2)/$D$65+0.1)*(VLOOKUP(($F$16-$F$15)-1,U$100:Y200,5,FALSE)))*EXP(-(LN(2)/$D$65+0.04)*X200)*EXP(-(LN(2)/$D$65+0.1)*Y200),IF(V200=3,AB$100*EXP(-(LN(2)/$D$65+0.04)*(VLOOKUP(($F$16-$F$15)-1,U$100:Y200,4,FALSE)))*EXP(-(LN(2)/$D$65+0.1)*(VLOOKUP(($F$16-$F$15)-1,U$100:Y200,5,FALSE)))*EXP(-(LN(2)/$D$65+0.04)*(VLOOKUP(($F$16-$F$15)*2-1,U$100:Y200,4,FALSE)))*EXP(-(LN(2)/$D$65+0.1)*(VLOOKUP(($F$16-$F$15)*2-1,U$100:Y200,5,FALSE)))*EXP(-(LN(2)/$D$65+0.04)*X200)*EXP(-(LN(2)/$D$65+0.1)*Y200),"-"))),"-")</f>
        <v>-</v>
      </c>
      <c r="AC200" s="224">
        <f t="shared" si="134"/>
        <v>100</v>
      </c>
      <c r="AD200" s="223" t="str">
        <f t="shared" si="108"/>
        <v>-</v>
      </c>
      <c r="AE200" s="224" t="str">
        <f t="shared" si="135"/>
        <v>-</v>
      </c>
      <c r="AF200" s="224" t="str">
        <f t="shared" si="109"/>
        <v>-</v>
      </c>
      <c r="AG200" s="224" t="str">
        <f t="shared" si="110"/>
        <v>-</v>
      </c>
      <c r="AH200" s="272">
        <f t="shared" si="136"/>
        <v>0.1</v>
      </c>
      <c r="AI200" s="271" t="str">
        <f>IFERROR(IF(AD199=1,AI$100*EXP(-(LN(2)/$D$65+0.04)*AF199)*EXP(-(LN(2)/$D$65+0.1)*AG199),IF(AD199=2,AI$100*EXP(-(LN(2)/$D$65+0.04)*(VLOOKUP(($F$16-$F$15)-1,AC$99:AG199,4,FALSE)))*EXP(-(LN(2)/$D$65+0.1)*(VLOOKUP(($F$16-$F$15)-1,AC$99:AG199,5,FALSE)))*EXP(-(LN(2)/$D$65+0.04)*AF199)*EXP(-(LN(2)/$D$65+0.1)*AG199),IF(AD199=3,AI$100*EXP(-(LN(2)/$D$65+0.04)*(VLOOKUP(($F$16-$F$15)-1,AC$99:AG199,4,FALSE)))*EXP(-(LN(2)/$D$65+0.1)*(VLOOKUP(($F$16-$F$15)-1,AC$99:AG199,5,FALSE)))*EXP(-(LN(2)/$D$65+0.04)*(VLOOKUP(($F$16-$F$15)*2-1,AC$99:AG199,4,FALSE)))*EXP(-(LN(2)/$D$65+0.1)*(VLOOKUP(($F$16-$F$15)*2-1,AC$99:AG199,5,FALSE)))*EXP(-(LN(2)/$D$65+0.04)*AF199)*EXP(-(LN(2)/$D$65+0.1)*AG199),"-"))),"-")</f>
        <v>-</v>
      </c>
      <c r="AJ200" s="271" t="str">
        <f>IFERROR(IF(AD200=1,AJ$100*EXP(-(LN(2)/$D$65+0.04)*AF200)*EXP(-(LN(2)/$D$65+0.1)*AG200),IF(AD200=2,AJ$100*EXP(-(LN(2)/$D$65+0.04)*(VLOOKUP(($F$16-$F$15)-1,AC$100:AG200,4,FALSE)))*EXP(-(LN(2)/$D$65+0.1)*(VLOOKUP(($F$16-$F$15)-1,AC$100:AG200,5,FALSE)))*EXP(-(LN(2)/$D$65+0.04)*AF200)*EXP(-(LN(2)/$D$65+0.1)*AG200),IF(AD200=3,AJ$100*EXP(-(LN(2)/$D$65+0.04)*(VLOOKUP(($F$16-$F$15)-1,AC$100:AG200,4,FALSE)))*EXP(-(LN(2)/$D$65+0.1)*(VLOOKUP(($F$16-$F$15)-1,AC$100:AG200,5,FALSE)))*EXP(-(LN(2)/$D$65+0.04)*(VLOOKUP(($F$16-$F$15)*2-1,AC$100:AG200,4,FALSE)))*EXP(-(LN(2)/$D$65+0.1)*(VLOOKUP(($F$16-$F$15)*2-1,AC$100:AG200,5,FALSE)))*EXP(-(LN(2)/$D$65+0.04)*AF200)*EXP(-(LN(2)/$D$65+0.1)*AG200),"-"))),"-")</f>
        <v>-</v>
      </c>
      <c r="AK200" s="227">
        <f t="shared" si="137"/>
        <v>100</v>
      </c>
      <c r="AL200" s="226" t="str">
        <f t="shared" si="111"/>
        <v>-</v>
      </c>
      <c r="AM200" s="227" t="str">
        <f t="shared" si="138"/>
        <v>-</v>
      </c>
      <c r="AN200" s="227" t="str">
        <f t="shared" si="139"/>
        <v>-</v>
      </c>
      <c r="AO200" s="227" t="str">
        <f t="shared" si="112"/>
        <v>-</v>
      </c>
      <c r="AP200" s="273">
        <f t="shared" si="140"/>
        <v>0.1</v>
      </c>
      <c r="AQ200" s="271" t="str">
        <f>IFERROR(IF(AL199=1,AQ$100*EXP(-(LN(2)/$D$65+0.04)*AN199)*EXP(-(LN(2)/$D$65+0.1)*AO199),IF(AL199=2,AQ$100*EXP(-(LN(2)/$D$65+0.04)*(VLOOKUP(($F$16-$F$15)-1,AK$99:AO199,4,FALSE)))*EXP(-(LN(2)/$D$65+0.1)*(VLOOKUP(($F$16-$F$15)-1,AK$99:AO199,5,FALSE)))*EXP(-(LN(2)/$D$65+0.04)*AN199)*EXP(-(LN(2)/$D$65+0.1)*AO199),IF(AL199=3,AQ$100*EXP(-(LN(2)/$D$65+0.04)*(VLOOKUP(($F$16-$F$15)-1,AK$99:AO199,4,FALSE)))*EXP(-(LN(2)/$D$65+0.1)*(VLOOKUP(($F$16-$F$15)-1,AK$99:AO199,5,FALSE)))*EXP(-(LN(2)/$D$65+0.04)*(VLOOKUP(($F$16-$F$15)*2-1,AK$99:AO199,4,FALSE)))*EXP(-(LN(2)/$D$65+0.1)*(VLOOKUP(($F$16-$F$15)*2-1,AK$99:AO199,5,FALSE)))*EXP(-(LN(2)/$D$65+0.04)*AN199)*EXP(-(LN(2)/$D$65+0.1)*AO199),"-"))),"-")</f>
        <v>-</v>
      </c>
      <c r="AR200" s="271" t="str">
        <f>IFERROR(IF(AL200=1,AR$100*EXP(-(LN(2)/$D$65+0.04)*AN200)*EXP(-(LN(2)/$D$65+0.1)*AO200),IF(AL200=2,AR$100*EXP(-(LN(2)/$D$65+0.04)*(VLOOKUP(($F$16-$F$15)-1,AK$100:AO200,4,FALSE)))*EXP(-(LN(2)/$D$65+0.1)*(VLOOKUP(($F$16-$F$15)-1,AK$100:AO200,5,FALSE)))*EXP(-(LN(2)/$D$65+0.04)*AN200)*EXP(-(LN(2)/$D$65+0.1)*AO200),IF(AL200=3,AR$100*EXP(-(LN(2)/$D$65+0.04)*(VLOOKUP(($F$16-$F$15)-1,AK$100:AO200,4,FALSE)))*EXP(-(LN(2)/$D$65+0.1)*(VLOOKUP(($F$16-$F$15)-1,AK$100:AO200,5,FALSE)))*EXP(-(LN(2)/$D$65+0.04)*(VLOOKUP(($F$16-$F$15)*2-1,AK$100:AO200,4,FALSE)))*EXP(-(LN(2)/$D$65+0.1)*(VLOOKUP(($F$16-$F$15)*2-1,AK$100:AO200,5,FALSE)))*EXP(-(LN(2)/$D$65+0.04)*AN200)*EXP(-(LN(2)/$D$65+0.1)*AO200),"-"))),"-")</f>
        <v>-</v>
      </c>
      <c r="AS200" s="274">
        <f t="shared" si="113"/>
        <v>0</v>
      </c>
      <c r="AT200" s="274">
        <f t="shared" si="114"/>
        <v>0</v>
      </c>
      <c r="AU200" s="274">
        <f t="shared" si="115"/>
        <v>0</v>
      </c>
      <c r="AV200" s="190" t="str">
        <f>IF($B200&lt;$F$22,SUM($T$100:$T200),"")</f>
        <v/>
      </c>
      <c r="AW200" s="190" t="str">
        <f t="shared" si="161"/>
        <v>-</v>
      </c>
      <c r="AX200" s="190" t="str">
        <f t="shared" si="141"/>
        <v/>
      </c>
      <c r="AY200"/>
      <c r="AZ200" s="190" t="str">
        <f ca="1">IF(ISNUMBER(OFFSET(AV200,-$F$21,0)),SUM(OFFSET($T$100,$F$21,0):$T200),"")</f>
        <v/>
      </c>
      <c r="BA200" s="190" t="str">
        <f t="shared" ca="1" si="162"/>
        <v/>
      </c>
      <c r="BB200" s="190" t="str">
        <f t="shared" ca="1" si="148"/>
        <v/>
      </c>
      <c r="BC200" s="190"/>
      <c r="BD200" s="190" t="str">
        <f ca="1">IFERROR(IF(OR(ISNUMBER(I),ISNUMBER($F$14)),IF(AND($B200&gt;=($F$16-$F$15),$B200&lt;$F$22+($F$16-$F$15)),SUM(OFFSET($T$100,($F$16-$F$15),0):$T200),""),""),"")</f>
        <v/>
      </c>
      <c r="BE200" s="190" t="str">
        <f t="shared" ca="1" si="142"/>
        <v/>
      </c>
      <c r="BF200" s="190" t="str">
        <f t="shared" ca="1" si="143"/>
        <v/>
      </c>
      <c r="BG200"/>
      <c r="BH200" s="190" t="str">
        <f ca="1">IF(ISNUMBER(OFFSET(BD200,-$F$21,0)),SUM(OFFSET($T$100,($F$16-$F$15+$F$21),0):$T200),"")</f>
        <v/>
      </c>
      <c r="BI200" s="190" t="str">
        <f t="shared" ca="1" si="163"/>
        <v/>
      </c>
      <c r="BJ200" s="190" t="str">
        <f t="shared" ca="1" si="144"/>
        <v/>
      </c>
      <c r="BK200" s="190"/>
      <c r="BL200" s="190" t="str">
        <f ca="1">IFERROR(IF(OR(ISNUMBER(I),ISNUMBER($F$14)),IF(AND($B200&gt;=($F$17-$F$15),$B200&lt;$F$22+($F$17-$F$15)),SUM(OFFSET($T$100,($F$17-$F$15),0):$T200),""),""),"")</f>
        <v/>
      </c>
      <c r="BM200" s="190" t="str">
        <f t="shared" ca="1" si="164"/>
        <v/>
      </c>
      <c r="BN200" s="190" t="str">
        <f t="shared" ca="1" si="145"/>
        <v/>
      </c>
      <c r="BO200"/>
      <c r="BP200" s="190" t="str">
        <f ca="1">IF(ISNUMBER(OFFSET(BL200,-$F$21,0)),SUM(OFFSET($T$100,($F$17-$F$15+$F$21),0):$T200),"")</f>
        <v/>
      </c>
      <c r="BQ200" s="190" t="str">
        <f t="shared" ca="1" si="165"/>
        <v/>
      </c>
      <c r="BR200" s="190" t="str">
        <f t="shared" ca="1" si="146"/>
        <v/>
      </c>
      <c r="BS200" s="190"/>
      <c r="BT200"/>
      <c r="BU200"/>
      <c r="BV200"/>
      <c r="BY200" s="99"/>
      <c r="BZ200" s="99"/>
      <c r="CA200" s="280" t="str">
        <f t="shared" si="166"/>
        <v/>
      </c>
      <c r="CB200" s="71" t="str">
        <f t="shared" si="122"/>
        <v>-</v>
      </c>
      <c r="CC200" s="33"/>
      <c r="CD200" s="261" t="str">
        <f t="shared" si="123"/>
        <v/>
      </c>
      <c r="CE200" s="280" t="str">
        <f t="shared" si="167"/>
        <v/>
      </c>
      <c r="CF200" s="71" t="str">
        <f t="shared" ca="1" si="168"/>
        <v/>
      </c>
      <c r="CG200" s="33" t="str">
        <f t="shared" si="126"/>
        <v/>
      </c>
      <c r="CH200" s="261" t="str">
        <f t="shared" ca="1" si="127"/>
        <v/>
      </c>
    </row>
    <row r="201" spans="2:86" ht="13.5" customHeight="1" x14ac:dyDescent="0.2">
      <c r="B201" s="262">
        <v>101</v>
      </c>
      <c r="C201" s="237" t="str">
        <f t="shared" si="91"/>
        <v/>
      </c>
      <c r="D201" s="237" t="str">
        <f t="shared" si="147"/>
        <v/>
      </c>
      <c r="E201" s="263" t="str">
        <f t="shared" si="128"/>
        <v/>
      </c>
      <c r="F201" s="264" t="str">
        <f t="shared" si="129"/>
        <v/>
      </c>
      <c r="G201" s="264" t="str">
        <f t="shared" si="130"/>
        <v/>
      </c>
      <c r="H201" s="240" t="str">
        <f t="shared" si="149"/>
        <v/>
      </c>
      <c r="I201" s="265" t="str">
        <f t="shared" si="150"/>
        <v/>
      </c>
      <c r="J201" s="265" t="str">
        <f t="shared" si="151"/>
        <v/>
      </c>
      <c r="K201" s="240" t="str">
        <f t="shared" si="152"/>
        <v/>
      </c>
      <c r="L201" s="265" t="str">
        <f t="shared" si="153"/>
        <v/>
      </c>
      <c r="M201" s="265" t="str">
        <f t="shared" si="154"/>
        <v/>
      </c>
      <c r="N201" s="240" t="str">
        <f t="shared" si="155"/>
        <v>-</v>
      </c>
      <c r="O201" s="265" t="str">
        <f t="shared" si="156"/>
        <v>-</v>
      </c>
      <c r="P201" s="265" t="str">
        <f t="shared" si="157"/>
        <v>-</v>
      </c>
      <c r="Q201" s="266" t="str">
        <f t="shared" si="158"/>
        <v>-</v>
      </c>
      <c r="R201" s="267" t="str">
        <f t="shared" si="159"/>
        <v>-</v>
      </c>
      <c r="S201" s="268" t="str">
        <f t="shared" si="160"/>
        <v>-</v>
      </c>
      <c r="T201" s="269" t="str">
        <f t="shared" si="104"/>
        <v/>
      </c>
      <c r="U201" s="221">
        <f t="shared" si="105"/>
        <v>101</v>
      </c>
      <c r="V201" s="220" t="str">
        <f t="shared" si="131"/>
        <v>-</v>
      </c>
      <c r="W201" s="221" t="str">
        <f t="shared" si="132"/>
        <v>-</v>
      </c>
      <c r="X201" s="221" t="str">
        <f t="shared" si="106"/>
        <v>-</v>
      </c>
      <c r="Y201" s="221" t="str">
        <f t="shared" si="107"/>
        <v>-</v>
      </c>
      <c r="Z201" s="270">
        <f t="shared" si="133"/>
        <v>0.1</v>
      </c>
      <c r="AA201" s="271" t="str">
        <f>IFERROR(IF(V200=1,AA$100*EXP(-(LN(2)/$D$65+0.04)*X200)*EXP(-(LN(2)/$D$65+0.1)*Y200),IF(V200=2,AA$100*EXP(-(LN(2)/$D$65+0.04)*(VLOOKUP(($F$16-$F$15)-1,U$99:Y200,4,FALSE)))*EXP(-(LN(2)/$D$65+0.1)*(VLOOKUP(($F$16-$F$15)-1,U$99:Y200,5,FALSE)))*EXP(-(LN(2)/$D$65+0.04)*X200)*EXP(-(LN(2)/$D$65+0.1)*Y200),IF(V200=3,AA$100*EXP(-(LN(2)/$D$65+0.04)*(VLOOKUP(($F$16-$F$15)-1,U$99:Y200,4,FALSE)))*EXP(-(LN(2)/$D$65+0.1)*(VLOOKUP(($F$16-$F$15)-1,U$99:Y200,5,FALSE)))*EXP(-(LN(2)/$D$65+0.04)*(VLOOKUP(($F$16-$F$15)*2-1,U$99:Y200,4,FALSE)))*EXP(-(LN(2)/$D$65+0.1)*(VLOOKUP(($F$16-$F$15)*2-1,U$99:Y200,5,FALSE)))*EXP(-(LN(2)/$D$65+0.04)*X200)*EXP(-(LN(2)/$D$65+0.1)*Y200),"-"))),"-")</f>
        <v>-</v>
      </c>
      <c r="AB201" s="271" t="str">
        <f>IFERROR(IF(V201=1,AB$100*EXP(-(LN(2)/$D$65+0.04)*X201)*EXP(-(LN(2)/$D$65+0.1)*Y201),IF(V201=2,AB$100*EXP(-(LN(2)/$D$65+0.04)*(VLOOKUP(($F$16-$F$15)-1,U$100:Y201,4,FALSE)))*EXP(-(LN(2)/$D$65+0.1)*(VLOOKUP(($F$16-$F$15)-1,U$100:Y201,5,FALSE)))*EXP(-(LN(2)/$D$65+0.04)*X201)*EXP(-(LN(2)/$D$65+0.1)*Y201),IF(V201=3,AB$100*EXP(-(LN(2)/$D$65+0.04)*(VLOOKUP(($F$16-$F$15)-1,U$100:Y201,4,FALSE)))*EXP(-(LN(2)/$D$65+0.1)*(VLOOKUP(($F$16-$F$15)-1,U$100:Y201,5,FALSE)))*EXP(-(LN(2)/$D$65+0.04)*(VLOOKUP(($F$16-$F$15)*2-1,U$100:Y201,4,FALSE)))*EXP(-(LN(2)/$D$65+0.1)*(VLOOKUP(($F$16-$F$15)*2-1,U$100:Y201,5,FALSE)))*EXP(-(LN(2)/$D$65+0.04)*X201)*EXP(-(LN(2)/$D$65+0.1)*Y201),"-"))),"-")</f>
        <v>-</v>
      </c>
      <c r="AC201" s="224">
        <f t="shared" si="134"/>
        <v>101</v>
      </c>
      <c r="AD201" s="223" t="str">
        <f t="shared" si="108"/>
        <v>-</v>
      </c>
      <c r="AE201" s="224" t="str">
        <f t="shared" si="135"/>
        <v>-</v>
      </c>
      <c r="AF201" s="224" t="str">
        <f t="shared" si="109"/>
        <v>-</v>
      </c>
      <c r="AG201" s="224" t="str">
        <f t="shared" si="110"/>
        <v>-</v>
      </c>
      <c r="AH201" s="272">
        <f t="shared" si="136"/>
        <v>0.1</v>
      </c>
      <c r="AI201" s="271" t="str">
        <f>IFERROR(IF(AD200=1,AI$100*EXP(-(LN(2)/$D$65+0.04)*AF200)*EXP(-(LN(2)/$D$65+0.1)*AG200),IF(AD200=2,AI$100*EXP(-(LN(2)/$D$65+0.04)*(VLOOKUP(($F$16-$F$15)-1,AC$99:AG200,4,FALSE)))*EXP(-(LN(2)/$D$65+0.1)*(VLOOKUP(($F$16-$F$15)-1,AC$99:AG200,5,FALSE)))*EXP(-(LN(2)/$D$65+0.04)*AF200)*EXP(-(LN(2)/$D$65+0.1)*AG200),IF(AD200=3,AI$100*EXP(-(LN(2)/$D$65+0.04)*(VLOOKUP(($F$16-$F$15)-1,AC$99:AG200,4,FALSE)))*EXP(-(LN(2)/$D$65+0.1)*(VLOOKUP(($F$16-$F$15)-1,AC$99:AG200,5,FALSE)))*EXP(-(LN(2)/$D$65+0.04)*(VLOOKUP(($F$16-$F$15)*2-1,AC$99:AG200,4,FALSE)))*EXP(-(LN(2)/$D$65+0.1)*(VLOOKUP(($F$16-$F$15)*2-1,AC$99:AG200,5,FALSE)))*EXP(-(LN(2)/$D$65+0.04)*AF200)*EXP(-(LN(2)/$D$65+0.1)*AG200),"-"))),"-")</f>
        <v>-</v>
      </c>
      <c r="AJ201" s="271" t="str">
        <f>IFERROR(IF(AD201=1,AJ$100*EXP(-(LN(2)/$D$65+0.04)*AF201)*EXP(-(LN(2)/$D$65+0.1)*AG201),IF(AD201=2,AJ$100*EXP(-(LN(2)/$D$65+0.04)*(VLOOKUP(($F$16-$F$15)-1,AC$100:AG201,4,FALSE)))*EXP(-(LN(2)/$D$65+0.1)*(VLOOKUP(($F$16-$F$15)-1,AC$100:AG201,5,FALSE)))*EXP(-(LN(2)/$D$65+0.04)*AF201)*EXP(-(LN(2)/$D$65+0.1)*AG201),IF(AD201=3,AJ$100*EXP(-(LN(2)/$D$65+0.04)*(VLOOKUP(($F$16-$F$15)-1,AC$100:AG201,4,FALSE)))*EXP(-(LN(2)/$D$65+0.1)*(VLOOKUP(($F$16-$F$15)-1,AC$100:AG201,5,FALSE)))*EXP(-(LN(2)/$D$65+0.04)*(VLOOKUP(($F$16-$F$15)*2-1,AC$100:AG201,4,FALSE)))*EXP(-(LN(2)/$D$65+0.1)*(VLOOKUP(($F$16-$F$15)*2-1,AC$100:AG201,5,FALSE)))*EXP(-(LN(2)/$D$65+0.04)*AF201)*EXP(-(LN(2)/$D$65+0.1)*AG201),"-"))),"-")</f>
        <v>-</v>
      </c>
      <c r="AK201" s="227">
        <f t="shared" si="137"/>
        <v>101</v>
      </c>
      <c r="AL201" s="226" t="str">
        <f t="shared" si="111"/>
        <v>-</v>
      </c>
      <c r="AM201" s="227" t="str">
        <f t="shared" si="138"/>
        <v>-</v>
      </c>
      <c r="AN201" s="227" t="str">
        <f t="shared" si="139"/>
        <v>-</v>
      </c>
      <c r="AO201" s="227" t="str">
        <f t="shared" si="112"/>
        <v>-</v>
      </c>
      <c r="AP201" s="273">
        <f t="shared" si="140"/>
        <v>0.1</v>
      </c>
      <c r="AQ201" s="271" t="str">
        <f>IFERROR(IF(AL200=1,AQ$100*EXP(-(LN(2)/$D$65+0.04)*AN200)*EXP(-(LN(2)/$D$65+0.1)*AO200),IF(AL200=2,AQ$100*EXP(-(LN(2)/$D$65+0.04)*(VLOOKUP(($F$16-$F$15)-1,AK$99:AO200,4,FALSE)))*EXP(-(LN(2)/$D$65+0.1)*(VLOOKUP(($F$16-$F$15)-1,AK$99:AO200,5,FALSE)))*EXP(-(LN(2)/$D$65+0.04)*AN200)*EXP(-(LN(2)/$D$65+0.1)*AO200),IF(AL200=3,AQ$100*EXP(-(LN(2)/$D$65+0.04)*(VLOOKUP(($F$16-$F$15)-1,AK$99:AO200,4,FALSE)))*EXP(-(LN(2)/$D$65+0.1)*(VLOOKUP(($F$16-$F$15)-1,AK$99:AO200,5,FALSE)))*EXP(-(LN(2)/$D$65+0.04)*(VLOOKUP(($F$16-$F$15)*2-1,AK$99:AO200,4,FALSE)))*EXP(-(LN(2)/$D$65+0.1)*(VLOOKUP(($F$16-$F$15)*2-1,AK$99:AO200,5,FALSE)))*EXP(-(LN(2)/$D$65+0.04)*AN200)*EXP(-(LN(2)/$D$65+0.1)*AO200),"-"))),"-")</f>
        <v>-</v>
      </c>
      <c r="AR201" s="271" t="str">
        <f>IFERROR(IF(AL201=1,AR$100*EXP(-(LN(2)/$D$65+0.04)*AN201)*EXP(-(LN(2)/$D$65+0.1)*AO201),IF(AL201=2,AR$100*EXP(-(LN(2)/$D$65+0.04)*(VLOOKUP(($F$16-$F$15)-1,AK$100:AO201,4,FALSE)))*EXP(-(LN(2)/$D$65+0.1)*(VLOOKUP(($F$16-$F$15)-1,AK$100:AO201,5,FALSE)))*EXP(-(LN(2)/$D$65+0.04)*AN201)*EXP(-(LN(2)/$D$65+0.1)*AO201),IF(AL201=3,AR$100*EXP(-(LN(2)/$D$65+0.04)*(VLOOKUP(($F$16-$F$15)-1,AK$100:AO201,4,FALSE)))*EXP(-(LN(2)/$D$65+0.1)*(VLOOKUP(($F$16-$F$15)-1,AK$100:AO201,5,FALSE)))*EXP(-(LN(2)/$D$65+0.04)*(VLOOKUP(($F$16-$F$15)*2-1,AK$100:AO201,4,FALSE)))*EXP(-(LN(2)/$D$65+0.1)*(VLOOKUP(($F$16-$F$15)*2-1,AK$100:AO201,5,FALSE)))*EXP(-(LN(2)/$D$65+0.04)*AN201)*EXP(-(LN(2)/$D$65+0.1)*AO201),"-"))),"-")</f>
        <v>-</v>
      </c>
      <c r="AS201" s="274">
        <f t="shared" si="113"/>
        <v>0</v>
      </c>
      <c r="AT201" s="274">
        <f t="shared" si="114"/>
        <v>0</v>
      </c>
      <c r="AU201" s="274">
        <f t="shared" si="115"/>
        <v>0</v>
      </c>
      <c r="AV201" s="190" t="str">
        <f>IF($B201&lt;$F$22,SUM($T$100:$T201),"")</f>
        <v/>
      </c>
      <c r="AW201" s="190" t="str">
        <f t="shared" si="161"/>
        <v>-</v>
      </c>
      <c r="AX201" s="190" t="str">
        <f t="shared" si="141"/>
        <v/>
      </c>
      <c r="AY201"/>
      <c r="AZ201" s="190" t="str">
        <f ca="1">IF(ISNUMBER(OFFSET(AV201,-$F$21,0)),SUM(OFFSET($T$100,$F$21,0):$T201),"")</f>
        <v/>
      </c>
      <c r="BA201" s="190" t="str">
        <f t="shared" ca="1" si="162"/>
        <v/>
      </c>
      <c r="BB201" s="190" t="str">
        <f t="shared" ca="1" si="148"/>
        <v/>
      </c>
      <c r="BC201" s="190"/>
      <c r="BD201" s="190" t="str">
        <f ca="1">IFERROR(IF(OR(ISNUMBER(I),ISNUMBER($F$14)),IF(AND($B201&gt;=($F$16-$F$15),$B201&lt;$F$22+($F$16-$F$15)),SUM(OFFSET($T$100,($F$16-$F$15),0):$T201),""),""),"")</f>
        <v/>
      </c>
      <c r="BE201" s="190" t="str">
        <f t="shared" ca="1" si="142"/>
        <v/>
      </c>
      <c r="BF201" s="190" t="str">
        <f t="shared" ca="1" si="143"/>
        <v/>
      </c>
      <c r="BG201"/>
      <c r="BH201" s="190" t="str">
        <f ca="1">IF(ISNUMBER(OFFSET(BD201,-$F$21,0)),SUM(OFFSET($T$100,($F$16-$F$15+$F$21),0):$T201),"")</f>
        <v/>
      </c>
      <c r="BI201" s="190" t="str">
        <f t="shared" ca="1" si="163"/>
        <v/>
      </c>
      <c r="BJ201" s="190" t="str">
        <f t="shared" ca="1" si="144"/>
        <v/>
      </c>
      <c r="BK201" s="190"/>
      <c r="BL201" s="190" t="str">
        <f ca="1">IFERROR(IF(OR(ISNUMBER(I),ISNUMBER($F$14)),IF(AND($B201&gt;=($F$17-$F$15),$B201&lt;$F$22+($F$17-$F$15)),SUM(OFFSET($T$100,($F$17-$F$15),0):$T201),""),""),"")</f>
        <v/>
      </c>
      <c r="BM201" s="190" t="str">
        <f t="shared" ca="1" si="164"/>
        <v/>
      </c>
      <c r="BN201" s="190" t="str">
        <f t="shared" ca="1" si="145"/>
        <v/>
      </c>
      <c r="BO201"/>
      <c r="BP201" s="190" t="str">
        <f ca="1">IF(ISNUMBER(OFFSET(BL201,-$F$21,0)),SUM(OFFSET($T$100,($F$17-$F$15+$F$21),0):$T201),"")</f>
        <v/>
      </c>
      <c r="BQ201" s="190" t="str">
        <f t="shared" ca="1" si="165"/>
        <v/>
      </c>
      <c r="BR201" s="190" t="str">
        <f t="shared" ca="1" si="146"/>
        <v/>
      </c>
      <c r="BS201" s="190"/>
      <c r="BT201"/>
      <c r="BU201"/>
      <c r="BV201"/>
      <c r="BY201" s="99"/>
      <c r="BZ201" s="99"/>
      <c r="CA201" s="280" t="str">
        <f t="shared" si="166"/>
        <v/>
      </c>
      <c r="CB201" s="71" t="str">
        <f t="shared" si="122"/>
        <v>-</v>
      </c>
      <c r="CC201" s="33"/>
      <c r="CD201" s="261" t="str">
        <f t="shared" si="123"/>
        <v/>
      </c>
      <c r="CE201" s="280" t="str">
        <f t="shared" si="167"/>
        <v/>
      </c>
      <c r="CF201" s="71" t="str">
        <f t="shared" ca="1" si="168"/>
        <v/>
      </c>
      <c r="CG201" s="33" t="str">
        <f t="shared" si="126"/>
        <v/>
      </c>
      <c r="CH201" s="261" t="str">
        <f t="shared" ca="1" si="127"/>
        <v/>
      </c>
    </row>
    <row r="202" spans="2:86" ht="13.5" customHeight="1" x14ac:dyDescent="0.2">
      <c r="B202" s="262">
        <v>102</v>
      </c>
      <c r="C202" s="237" t="str">
        <f t="shared" si="91"/>
        <v/>
      </c>
      <c r="D202" s="237" t="str">
        <f t="shared" si="147"/>
        <v/>
      </c>
      <c r="E202" s="263" t="str">
        <f t="shared" si="128"/>
        <v/>
      </c>
      <c r="F202" s="264" t="str">
        <f t="shared" si="129"/>
        <v/>
      </c>
      <c r="G202" s="264" t="str">
        <f t="shared" si="130"/>
        <v/>
      </c>
      <c r="H202" s="240" t="str">
        <f t="shared" si="149"/>
        <v/>
      </c>
      <c r="I202" s="265" t="str">
        <f t="shared" si="150"/>
        <v/>
      </c>
      <c r="J202" s="265" t="str">
        <f t="shared" si="151"/>
        <v/>
      </c>
      <c r="K202" s="240" t="str">
        <f t="shared" si="152"/>
        <v/>
      </c>
      <c r="L202" s="265" t="str">
        <f t="shared" si="153"/>
        <v/>
      </c>
      <c r="M202" s="265" t="str">
        <f t="shared" si="154"/>
        <v/>
      </c>
      <c r="N202" s="240" t="str">
        <f t="shared" si="155"/>
        <v>-</v>
      </c>
      <c r="O202" s="265" t="str">
        <f t="shared" si="156"/>
        <v>-</v>
      </c>
      <c r="P202" s="265" t="str">
        <f t="shared" si="157"/>
        <v>-</v>
      </c>
      <c r="Q202" s="266" t="str">
        <f t="shared" si="158"/>
        <v>-</v>
      </c>
      <c r="R202" s="267" t="str">
        <f t="shared" si="159"/>
        <v>-</v>
      </c>
      <c r="S202" s="268" t="str">
        <f t="shared" si="160"/>
        <v>-</v>
      </c>
      <c r="T202" s="269" t="str">
        <f t="shared" si="104"/>
        <v/>
      </c>
      <c r="U202" s="221">
        <f t="shared" si="105"/>
        <v>102</v>
      </c>
      <c r="V202" s="220" t="str">
        <f t="shared" si="131"/>
        <v>-</v>
      </c>
      <c r="W202" s="221" t="str">
        <f t="shared" si="132"/>
        <v>-</v>
      </c>
      <c r="X202" s="221" t="str">
        <f t="shared" si="106"/>
        <v>-</v>
      </c>
      <c r="Y202" s="221" t="str">
        <f t="shared" si="107"/>
        <v>-</v>
      </c>
      <c r="Z202" s="270">
        <f t="shared" si="133"/>
        <v>0.1</v>
      </c>
      <c r="AA202" s="271" t="str">
        <f>IFERROR(IF(V201=1,AA$100*EXP(-(LN(2)/$D$65+0.04)*X201)*EXP(-(LN(2)/$D$65+0.1)*Y201),IF(V201=2,AA$100*EXP(-(LN(2)/$D$65+0.04)*(VLOOKUP(($F$16-$F$15)-1,U$99:Y201,4,FALSE)))*EXP(-(LN(2)/$D$65+0.1)*(VLOOKUP(($F$16-$F$15)-1,U$99:Y201,5,FALSE)))*EXP(-(LN(2)/$D$65+0.04)*X201)*EXP(-(LN(2)/$D$65+0.1)*Y201),IF(V201=3,AA$100*EXP(-(LN(2)/$D$65+0.04)*(VLOOKUP(($F$16-$F$15)-1,U$99:Y201,4,FALSE)))*EXP(-(LN(2)/$D$65+0.1)*(VLOOKUP(($F$16-$F$15)-1,U$99:Y201,5,FALSE)))*EXP(-(LN(2)/$D$65+0.04)*(VLOOKUP(($F$16-$F$15)*2-1,U$99:Y201,4,FALSE)))*EXP(-(LN(2)/$D$65+0.1)*(VLOOKUP(($F$16-$F$15)*2-1,U$99:Y201,5,FALSE)))*EXP(-(LN(2)/$D$65+0.04)*X201)*EXP(-(LN(2)/$D$65+0.1)*Y201),"-"))),"-")</f>
        <v>-</v>
      </c>
      <c r="AB202" s="271" t="str">
        <f>IFERROR(IF(V202=1,AB$100*EXP(-(LN(2)/$D$65+0.04)*X202)*EXP(-(LN(2)/$D$65+0.1)*Y202),IF(V202=2,AB$100*EXP(-(LN(2)/$D$65+0.04)*(VLOOKUP(($F$16-$F$15)-1,U$100:Y202,4,FALSE)))*EXP(-(LN(2)/$D$65+0.1)*(VLOOKUP(($F$16-$F$15)-1,U$100:Y202,5,FALSE)))*EXP(-(LN(2)/$D$65+0.04)*X202)*EXP(-(LN(2)/$D$65+0.1)*Y202),IF(V202=3,AB$100*EXP(-(LN(2)/$D$65+0.04)*(VLOOKUP(($F$16-$F$15)-1,U$100:Y202,4,FALSE)))*EXP(-(LN(2)/$D$65+0.1)*(VLOOKUP(($F$16-$F$15)-1,U$100:Y202,5,FALSE)))*EXP(-(LN(2)/$D$65+0.04)*(VLOOKUP(($F$16-$F$15)*2-1,U$100:Y202,4,FALSE)))*EXP(-(LN(2)/$D$65+0.1)*(VLOOKUP(($F$16-$F$15)*2-1,U$100:Y202,5,FALSE)))*EXP(-(LN(2)/$D$65+0.04)*X202)*EXP(-(LN(2)/$D$65+0.1)*Y202),"-"))),"-")</f>
        <v>-</v>
      </c>
      <c r="AC202" s="224">
        <f t="shared" si="134"/>
        <v>102</v>
      </c>
      <c r="AD202" s="223" t="str">
        <f t="shared" si="108"/>
        <v>-</v>
      </c>
      <c r="AE202" s="224" t="str">
        <f t="shared" si="135"/>
        <v>-</v>
      </c>
      <c r="AF202" s="224" t="str">
        <f t="shared" si="109"/>
        <v>-</v>
      </c>
      <c r="AG202" s="224" t="str">
        <f t="shared" si="110"/>
        <v>-</v>
      </c>
      <c r="AH202" s="272">
        <f t="shared" si="136"/>
        <v>0.1</v>
      </c>
      <c r="AI202" s="271" t="str">
        <f>IFERROR(IF(AD201=1,AI$100*EXP(-(LN(2)/$D$65+0.04)*AF201)*EXP(-(LN(2)/$D$65+0.1)*AG201),IF(AD201=2,AI$100*EXP(-(LN(2)/$D$65+0.04)*(VLOOKUP(($F$16-$F$15)-1,AC$99:AG201,4,FALSE)))*EXP(-(LN(2)/$D$65+0.1)*(VLOOKUP(($F$16-$F$15)-1,AC$99:AG201,5,FALSE)))*EXP(-(LN(2)/$D$65+0.04)*AF201)*EXP(-(LN(2)/$D$65+0.1)*AG201),IF(AD201=3,AI$100*EXP(-(LN(2)/$D$65+0.04)*(VLOOKUP(($F$16-$F$15)-1,AC$99:AG201,4,FALSE)))*EXP(-(LN(2)/$D$65+0.1)*(VLOOKUP(($F$16-$F$15)-1,AC$99:AG201,5,FALSE)))*EXP(-(LN(2)/$D$65+0.04)*(VLOOKUP(($F$16-$F$15)*2-1,AC$99:AG201,4,FALSE)))*EXP(-(LN(2)/$D$65+0.1)*(VLOOKUP(($F$16-$F$15)*2-1,AC$99:AG201,5,FALSE)))*EXP(-(LN(2)/$D$65+0.04)*AF201)*EXP(-(LN(2)/$D$65+0.1)*AG201),"-"))),"-")</f>
        <v>-</v>
      </c>
      <c r="AJ202" s="271" t="str">
        <f>IFERROR(IF(AD202=1,AJ$100*EXP(-(LN(2)/$D$65+0.04)*AF202)*EXP(-(LN(2)/$D$65+0.1)*AG202),IF(AD202=2,AJ$100*EXP(-(LN(2)/$D$65+0.04)*(VLOOKUP(($F$16-$F$15)-1,AC$100:AG202,4,FALSE)))*EXP(-(LN(2)/$D$65+0.1)*(VLOOKUP(($F$16-$F$15)-1,AC$100:AG202,5,FALSE)))*EXP(-(LN(2)/$D$65+0.04)*AF202)*EXP(-(LN(2)/$D$65+0.1)*AG202),IF(AD202=3,AJ$100*EXP(-(LN(2)/$D$65+0.04)*(VLOOKUP(($F$16-$F$15)-1,AC$100:AG202,4,FALSE)))*EXP(-(LN(2)/$D$65+0.1)*(VLOOKUP(($F$16-$F$15)-1,AC$100:AG202,5,FALSE)))*EXP(-(LN(2)/$D$65+0.04)*(VLOOKUP(($F$16-$F$15)*2-1,AC$100:AG202,4,FALSE)))*EXP(-(LN(2)/$D$65+0.1)*(VLOOKUP(($F$16-$F$15)*2-1,AC$100:AG202,5,FALSE)))*EXP(-(LN(2)/$D$65+0.04)*AF202)*EXP(-(LN(2)/$D$65+0.1)*AG202),"-"))),"-")</f>
        <v>-</v>
      </c>
      <c r="AK202" s="227">
        <f t="shared" si="137"/>
        <v>102</v>
      </c>
      <c r="AL202" s="226" t="str">
        <f t="shared" si="111"/>
        <v>-</v>
      </c>
      <c r="AM202" s="227" t="str">
        <f t="shared" si="138"/>
        <v>-</v>
      </c>
      <c r="AN202" s="227" t="str">
        <f t="shared" si="139"/>
        <v>-</v>
      </c>
      <c r="AO202" s="227" t="str">
        <f t="shared" si="112"/>
        <v>-</v>
      </c>
      <c r="AP202" s="273">
        <f t="shared" si="140"/>
        <v>0.1</v>
      </c>
      <c r="AQ202" s="271" t="str">
        <f>IFERROR(IF(AL201=1,AQ$100*EXP(-(LN(2)/$D$65+0.04)*AN201)*EXP(-(LN(2)/$D$65+0.1)*AO201),IF(AL201=2,AQ$100*EXP(-(LN(2)/$D$65+0.04)*(VLOOKUP(($F$16-$F$15)-1,AK$99:AO201,4,FALSE)))*EXP(-(LN(2)/$D$65+0.1)*(VLOOKUP(($F$16-$F$15)-1,AK$99:AO201,5,FALSE)))*EXP(-(LN(2)/$D$65+0.04)*AN201)*EXP(-(LN(2)/$D$65+0.1)*AO201),IF(AL201=3,AQ$100*EXP(-(LN(2)/$D$65+0.04)*(VLOOKUP(($F$16-$F$15)-1,AK$99:AO201,4,FALSE)))*EXP(-(LN(2)/$D$65+0.1)*(VLOOKUP(($F$16-$F$15)-1,AK$99:AO201,5,FALSE)))*EXP(-(LN(2)/$D$65+0.04)*(VLOOKUP(($F$16-$F$15)*2-1,AK$99:AO201,4,FALSE)))*EXP(-(LN(2)/$D$65+0.1)*(VLOOKUP(($F$16-$F$15)*2-1,AK$99:AO201,5,FALSE)))*EXP(-(LN(2)/$D$65+0.04)*AN201)*EXP(-(LN(2)/$D$65+0.1)*AO201),"-"))),"-")</f>
        <v>-</v>
      </c>
      <c r="AR202" s="271" t="str">
        <f>IFERROR(IF(AL202=1,AR$100*EXP(-(LN(2)/$D$65+0.04)*AN202)*EXP(-(LN(2)/$D$65+0.1)*AO202),IF(AL202=2,AR$100*EXP(-(LN(2)/$D$65+0.04)*(VLOOKUP(($F$16-$F$15)-1,AK$100:AO202,4,FALSE)))*EXP(-(LN(2)/$D$65+0.1)*(VLOOKUP(($F$16-$F$15)-1,AK$100:AO202,5,FALSE)))*EXP(-(LN(2)/$D$65+0.04)*AN202)*EXP(-(LN(2)/$D$65+0.1)*AO202),IF(AL202=3,AR$100*EXP(-(LN(2)/$D$65+0.04)*(VLOOKUP(($F$16-$F$15)-1,AK$100:AO202,4,FALSE)))*EXP(-(LN(2)/$D$65+0.1)*(VLOOKUP(($F$16-$F$15)-1,AK$100:AO202,5,FALSE)))*EXP(-(LN(2)/$D$65+0.04)*(VLOOKUP(($F$16-$F$15)*2-1,AK$100:AO202,4,FALSE)))*EXP(-(LN(2)/$D$65+0.1)*(VLOOKUP(($F$16-$F$15)*2-1,AK$100:AO202,5,FALSE)))*EXP(-(LN(2)/$D$65+0.04)*AN202)*EXP(-(LN(2)/$D$65+0.1)*AO202),"-"))),"-")</f>
        <v>-</v>
      </c>
      <c r="AS202" s="274">
        <f t="shared" si="113"/>
        <v>0</v>
      </c>
      <c r="AT202" s="274">
        <f t="shared" si="114"/>
        <v>0</v>
      </c>
      <c r="AU202" s="274">
        <f t="shared" si="115"/>
        <v>0</v>
      </c>
      <c r="AV202" s="190" t="str">
        <f>IF($B202&lt;$F$22,SUM($T$100:$T202),"")</f>
        <v/>
      </c>
      <c r="AW202" s="190" t="str">
        <f t="shared" si="161"/>
        <v>-</v>
      </c>
      <c r="AX202" s="190" t="str">
        <f t="shared" si="141"/>
        <v/>
      </c>
      <c r="AY202"/>
      <c r="AZ202" s="190" t="str">
        <f ca="1">IF(ISNUMBER(OFFSET(AV202,-$F$21,0)),SUM(OFFSET($T$100,$F$21,0):$T202),"")</f>
        <v/>
      </c>
      <c r="BA202" s="190" t="str">
        <f t="shared" ca="1" si="162"/>
        <v/>
      </c>
      <c r="BB202" s="190" t="str">
        <f t="shared" ca="1" si="148"/>
        <v/>
      </c>
      <c r="BC202" s="190"/>
      <c r="BD202" s="190" t="str">
        <f ca="1">IFERROR(IF(OR(ISNUMBER(I),ISNUMBER($F$14)),IF(AND($B202&gt;=($F$16-$F$15),$B202&lt;$F$22+($F$16-$F$15)),SUM(OFFSET($T$100,($F$16-$F$15),0):$T202),""),""),"")</f>
        <v/>
      </c>
      <c r="BE202" s="190" t="str">
        <f t="shared" ca="1" si="142"/>
        <v/>
      </c>
      <c r="BF202" s="190" t="str">
        <f t="shared" ca="1" si="143"/>
        <v/>
      </c>
      <c r="BG202"/>
      <c r="BH202" s="190" t="str">
        <f ca="1">IF(ISNUMBER(OFFSET(BD202,-$F$21,0)),SUM(OFFSET($T$100,($F$16-$F$15+$F$21),0):$T202),"")</f>
        <v/>
      </c>
      <c r="BI202" s="190" t="str">
        <f t="shared" ca="1" si="163"/>
        <v/>
      </c>
      <c r="BJ202" s="190" t="str">
        <f t="shared" ca="1" si="144"/>
        <v/>
      </c>
      <c r="BK202" s="190"/>
      <c r="BL202" s="190" t="str">
        <f ca="1">IFERROR(IF(OR(ISNUMBER(I),ISNUMBER($F$14)),IF(AND($B202&gt;=($F$17-$F$15),$B202&lt;$F$22+($F$17-$F$15)),SUM(OFFSET($T$100,($F$17-$F$15),0):$T202),""),""),"")</f>
        <v/>
      </c>
      <c r="BM202" s="190" t="str">
        <f t="shared" ca="1" si="164"/>
        <v/>
      </c>
      <c r="BN202" s="190" t="str">
        <f t="shared" ca="1" si="145"/>
        <v/>
      </c>
      <c r="BO202"/>
      <c r="BP202" s="190" t="str">
        <f ca="1">IF(ISNUMBER(OFFSET(BL202,-$F$21,0)),SUM(OFFSET($T$100,($F$17-$F$15+$F$21),0):$T202),"")</f>
        <v/>
      </c>
      <c r="BQ202" s="190" t="str">
        <f t="shared" ca="1" si="165"/>
        <v/>
      </c>
      <c r="BR202" s="190" t="str">
        <f t="shared" ca="1" si="146"/>
        <v/>
      </c>
      <c r="BS202" s="190"/>
      <c r="BT202"/>
      <c r="BU202"/>
      <c r="BV202"/>
      <c r="BY202" s="99"/>
      <c r="BZ202" s="99"/>
      <c r="CA202" s="280" t="str">
        <f t="shared" si="166"/>
        <v/>
      </c>
      <c r="CB202" s="71" t="str">
        <f t="shared" si="122"/>
        <v>-</v>
      </c>
      <c r="CC202" s="33"/>
      <c r="CD202" s="261" t="str">
        <f t="shared" si="123"/>
        <v/>
      </c>
      <c r="CE202" s="280" t="str">
        <f t="shared" si="167"/>
        <v/>
      </c>
      <c r="CF202" s="71" t="str">
        <f t="shared" ca="1" si="168"/>
        <v/>
      </c>
      <c r="CG202" s="33" t="str">
        <f t="shared" si="126"/>
        <v/>
      </c>
      <c r="CH202" s="261" t="str">
        <f t="shared" ca="1" si="127"/>
        <v/>
      </c>
    </row>
    <row r="203" spans="2:86" ht="13.5" customHeight="1" x14ac:dyDescent="0.2">
      <c r="B203" s="262">
        <v>103</v>
      </c>
      <c r="C203" s="237" t="str">
        <f t="shared" si="91"/>
        <v/>
      </c>
      <c r="D203" s="237" t="str">
        <f t="shared" si="147"/>
        <v/>
      </c>
      <c r="E203" s="263" t="str">
        <f t="shared" si="128"/>
        <v/>
      </c>
      <c r="F203" s="264" t="str">
        <f t="shared" si="129"/>
        <v/>
      </c>
      <c r="G203" s="264" t="str">
        <f t="shared" si="130"/>
        <v/>
      </c>
      <c r="H203" s="240" t="str">
        <f t="shared" si="149"/>
        <v/>
      </c>
      <c r="I203" s="265" t="str">
        <f t="shared" si="150"/>
        <v/>
      </c>
      <c r="J203" s="265" t="str">
        <f t="shared" si="151"/>
        <v/>
      </c>
      <c r="K203" s="240" t="str">
        <f t="shared" si="152"/>
        <v/>
      </c>
      <c r="L203" s="265" t="str">
        <f t="shared" si="153"/>
        <v/>
      </c>
      <c r="M203" s="265" t="str">
        <f t="shared" si="154"/>
        <v/>
      </c>
      <c r="N203" s="240" t="str">
        <f t="shared" si="155"/>
        <v>-</v>
      </c>
      <c r="O203" s="265" t="str">
        <f t="shared" si="156"/>
        <v>-</v>
      </c>
      <c r="P203" s="265" t="str">
        <f t="shared" si="157"/>
        <v>-</v>
      </c>
      <c r="Q203" s="266" t="str">
        <f t="shared" si="158"/>
        <v>-</v>
      </c>
      <c r="R203" s="267" t="str">
        <f t="shared" si="159"/>
        <v>-</v>
      </c>
      <c r="S203" s="268" t="str">
        <f t="shared" si="160"/>
        <v>-</v>
      </c>
      <c r="T203" s="269" t="str">
        <f t="shared" si="104"/>
        <v/>
      </c>
      <c r="U203" s="221">
        <f t="shared" si="105"/>
        <v>103</v>
      </c>
      <c r="V203" s="220" t="str">
        <f t="shared" si="131"/>
        <v>-</v>
      </c>
      <c r="W203" s="221" t="str">
        <f t="shared" si="132"/>
        <v>-</v>
      </c>
      <c r="X203" s="221" t="str">
        <f t="shared" si="106"/>
        <v>-</v>
      </c>
      <c r="Y203" s="221" t="str">
        <f t="shared" si="107"/>
        <v>-</v>
      </c>
      <c r="Z203" s="270">
        <f t="shared" si="133"/>
        <v>0.1</v>
      </c>
      <c r="AA203" s="271" t="str">
        <f>IFERROR(IF(V202=1,AA$100*EXP(-(LN(2)/$D$65+0.04)*X202)*EXP(-(LN(2)/$D$65+0.1)*Y202),IF(V202=2,AA$100*EXP(-(LN(2)/$D$65+0.04)*(VLOOKUP(($F$16-$F$15)-1,U$99:Y202,4,FALSE)))*EXP(-(LN(2)/$D$65+0.1)*(VLOOKUP(($F$16-$F$15)-1,U$99:Y202,5,FALSE)))*EXP(-(LN(2)/$D$65+0.04)*X202)*EXP(-(LN(2)/$D$65+0.1)*Y202),IF(V202=3,AA$100*EXP(-(LN(2)/$D$65+0.04)*(VLOOKUP(($F$16-$F$15)-1,U$99:Y202,4,FALSE)))*EXP(-(LN(2)/$D$65+0.1)*(VLOOKUP(($F$16-$F$15)-1,U$99:Y202,5,FALSE)))*EXP(-(LN(2)/$D$65+0.04)*(VLOOKUP(($F$16-$F$15)*2-1,U$99:Y202,4,FALSE)))*EXP(-(LN(2)/$D$65+0.1)*(VLOOKUP(($F$16-$F$15)*2-1,U$99:Y202,5,FALSE)))*EXP(-(LN(2)/$D$65+0.04)*X202)*EXP(-(LN(2)/$D$65+0.1)*Y202),"-"))),"-")</f>
        <v>-</v>
      </c>
      <c r="AB203" s="271" t="str">
        <f>IFERROR(IF(V203=1,AB$100*EXP(-(LN(2)/$D$65+0.04)*X203)*EXP(-(LN(2)/$D$65+0.1)*Y203),IF(V203=2,AB$100*EXP(-(LN(2)/$D$65+0.04)*(VLOOKUP(($F$16-$F$15)-1,U$100:Y203,4,FALSE)))*EXP(-(LN(2)/$D$65+0.1)*(VLOOKUP(($F$16-$F$15)-1,U$100:Y203,5,FALSE)))*EXP(-(LN(2)/$D$65+0.04)*X203)*EXP(-(LN(2)/$D$65+0.1)*Y203),IF(V203=3,AB$100*EXP(-(LN(2)/$D$65+0.04)*(VLOOKUP(($F$16-$F$15)-1,U$100:Y203,4,FALSE)))*EXP(-(LN(2)/$D$65+0.1)*(VLOOKUP(($F$16-$F$15)-1,U$100:Y203,5,FALSE)))*EXP(-(LN(2)/$D$65+0.04)*(VLOOKUP(($F$16-$F$15)*2-1,U$100:Y203,4,FALSE)))*EXP(-(LN(2)/$D$65+0.1)*(VLOOKUP(($F$16-$F$15)*2-1,U$100:Y203,5,FALSE)))*EXP(-(LN(2)/$D$65+0.04)*X203)*EXP(-(LN(2)/$D$65+0.1)*Y203),"-"))),"-")</f>
        <v>-</v>
      </c>
      <c r="AC203" s="224">
        <f t="shared" si="134"/>
        <v>103</v>
      </c>
      <c r="AD203" s="223" t="str">
        <f t="shared" si="108"/>
        <v>-</v>
      </c>
      <c r="AE203" s="224" t="str">
        <f t="shared" si="135"/>
        <v>-</v>
      </c>
      <c r="AF203" s="224" t="str">
        <f t="shared" si="109"/>
        <v>-</v>
      </c>
      <c r="AG203" s="224" t="str">
        <f t="shared" si="110"/>
        <v>-</v>
      </c>
      <c r="AH203" s="272">
        <f t="shared" si="136"/>
        <v>0.1</v>
      </c>
      <c r="AI203" s="271" t="str">
        <f>IFERROR(IF(AD202=1,AI$100*EXP(-(LN(2)/$D$65+0.04)*AF202)*EXP(-(LN(2)/$D$65+0.1)*AG202),IF(AD202=2,AI$100*EXP(-(LN(2)/$D$65+0.04)*(VLOOKUP(($F$16-$F$15)-1,AC$99:AG202,4,FALSE)))*EXP(-(LN(2)/$D$65+0.1)*(VLOOKUP(($F$16-$F$15)-1,AC$99:AG202,5,FALSE)))*EXP(-(LN(2)/$D$65+0.04)*AF202)*EXP(-(LN(2)/$D$65+0.1)*AG202),IF(AD202=3,AI$100*EXP(-(LN(2)/$D$65+0.04)*(VLOOKUP(($F$16-$F$15)-1,AC$99:AG202,4,FALSE)))*EXP(-(LN(2)/$D$65+0.1)*(VLOOKUP(($F$16-$F$15)-1,AC$99:AG202,5,FALSE)))*EXP(-(LN(2)/$D$65+0.04)*(VLOOKUP(($F$16-$F$15)*2-1,AC$99:AG202,4,FALSE)))*EXP(-(LN(2)/$D$65+0.1)*(VLOOKUP(($F$16-$F$15)*2-1,AC$99:AG202,5,FALSE)))*EXP(-(LN(2)/$D$65+0.04)*AF202)*EXP(-(LN(2)/$D$65+0.1)*AG202),"-"))),"-")</f>
        <v>-</v>
      </c>
      <c r="AJ203" s="271" t="str">
        <f>IFERROR(IF(AD203=1,AJ$100*EXP(-(LN(2)/$D$65+0.04)*AF203)*EXP(-(LN(2)/$D$65+0.1)*AG203),IF(AD203=2,AJ$100*EXP(-(LN(2)/$D$65+0.04)*(VLOOKUP(($F$16-$F$15)-1,AC$100:AG203,4,FALSE)))*EXP(-(LN(2)/$D$65+0.1)*(VLOOKUP(($F$16-$F$15)-1,AC$100:AG203,5,FALSE)))*EXP(-(LN(2)/$D$65+0.04)*AF203)*EXP(-(LN(2)/$D$65+0.1)*AG203),IF(AD203=3,AJ$100*EXP(-(LN(2)/$D$65+0.04)*(VLOOKUP(($F$16-$F$15)-1,AC$100:AG203,4,FALSE)))*EXP(-(LN(2)/$D$65+0.1)*(VLOOKUP(($F$16-$F$15)-1,AC$100:AG203,5,FALSE)))*EXP(-(LN(2)/$D$65+0.04)*(VLOOKUP(($F$16-$F$15)*2-1,AC$100:AG203,4,FALSE)))*EXP(-(LN(2)/$D$65+0.1)*(VLOOKUP(($F$16-$F$15)*2-1,AC$100:AG203,5,FALSE)))*EXP(-(LN(2)/$D$65+0.04)*AF203)*EXP(-(LN(2)/$D$65+0.1)*AG203),"-"))),"-")</f>
        <v>-</v>
      </c>
      <c r="AK203" s="227">
        <f t="shared" si="137"/>
        <v>103</v>
      </c>
      <c r="AL203" s="226" t="str">
        <f t="shared" si="111"/>
        <v>-</v>
      </c>
      <c r="AM203" s="227" t="str">
        <f t="shared" si="138"/>
        <v>-</v>
      </c>
      <c r="AN203" s="227" t="str">
        <f t="shared" si="139"/>
        <v>-</v>
      </c>
      <c r="AO203" s="227" t="str">
        <f t="shared" si="112"/>
        <v>-</v>
      </c>
      <c r="AP203" s="273">
        <f t="shared" si="140"/>
        <v>0.1</v>
      </c>
      <c r="AQ203" s="271" t="str">
        <f>IFERROR(IF(AL202=1,AQ$100*EXP(-(LN(2)/$D$65+0.04)*AN202)*EXP(-(LN(2)/$D$65+0.1)*AO202),IF(AL202=2,AQ$100*EXP(-(LN(2)/$D$65+0.04)*(VLOOKUP(($F$16-$F$15)-1,AK$99:AO202,4,FALSE)))*EXP(-(LN(2)/$D$65+0.1)*(VLOOKUP(($F$16-$F$15)-1,AK$99:AO202,5,FALSE)))*EXP(-(LN(2)/$D$65+0.04)*AN202)*EXP(-(LN(2)/$D$65+0.1)*AO202),IF(AL202=3,AQ$100*EXP(-(LN(2)/$D$65+0.04)*(VLOOKUP(($F$16-$F$15)-1,AK$99:AO202,4,FALSE)))*EXP(-(LN(2)/$D$65+0.1)*(VLOOKUP(($F$16-$F$15)-1,AK$99:AO202,5,FALSE)))*EXP(-(LN(2)/$D$65+0.04)*(VLOOKUP(($F$16-$F$15)*2-1,AK$99:AO202,4,FALSE)))*EXP(-(LN(2)/$D$65+0.1)*(VLOOKUP(($F$16-$F$15)*2-1,AK$99:AO202,5,FALSE)))*EXP(-(LN(2)/$D$65+0.04)*AN202)*EXP(-(LN(2)/$D$65+0.1)*AO202),"-"))),"-")</f>
        <v>-</v>
      </c>
      <c r="AR203" s="271" t="str">
        <f>IFERROR(IF(AL203=1,AR$100*EXP(-(LN(2)/$D$65+0.04)*AN203)*EXP(-(LN(2)/$D$65+0.1)*AO203),IF(AL203=2,AR$100*EXP(-(LN(2)/$D$65+0.04)*(VLOOKUP(($F$16-$F$15)-1,AK$100:AO203,4,FALSE)))*EXP(-(LN(2)/$D$65+0.1)*(VLOOKUP(($F$16-$F$15)-1,AK$100:AO203,5,FALSE)))*EXP(-(LN(2)/$D$65+0.04)*AN203)*EXP(-(LN(2)/$D$65+0.1)*AO203),IF(AL203=3,AR$100*EXP(-(LN(2)/$D$65+0.04)*(VLOOKUP(($F$16-$F$15)-1,AK$100:AO203,4,FALSE)))*EXP(-(LN(2)/$D$65+0.1)*(VLOOKUP(($F$16-$F$15)-1,AK$100:AO203,5,FALSE)))*EXP(-(LN(2)/$D$65+0.04)*(VLOOKUP(($F$16-$F$15)*2-1,AK$100:AO203,4,FALSE)))*EXP(-(LN(2)/$D$65+0.1)*(VLOOKUP(($F$16-$F$15)*2-1,AK$100:AO203,5,FALSE)))*EXP(-(LN(2)/$D$65+0.04)*AN203)*EXP(-(LN(2)/$D$65+0.1)*AO203),"-"))),"-")</f>
        <v>-</v>
      </c>
      <c r="AS203" s="274">
        <f t="shared" si="113"/>
        <v>0</v>
      </c>
      <c r="AT203" s="274">
        <f t="shared" si="114"/>
        <v>0</v>
      </c>
      <c r="AU203" s="274">
        <f t="shared" si="115"/>
        <v>0</v>
      </c>
      <c r="AV203" s="190" t="str">
        <f>IF($B203&lt;$F$22,SUM($T$100:$T203),"")</f>
        <v/>
      </c>
      <c r="AW203" s="190" t="str">
        <f t="shared" si="161"/>
        <v>-</v>
      </c>
      <c r="AX203" s="190" t="str">
        <f t="shared" si="141"/>
        <v/>
      </c>
      <c r="AY203"/>
      <c r="AZ203" s="190" t="str">
        <f ca="1">IF(ISNUMBER(OFFSET(AV203,-$F$21,0)),SUM(OFFSET($T$100,$F$21,0):$T203),"")</f>
        <v/>
      </c>
      <c r="BA203" s="190" t="str">
        <f t="shared" ca="1" si="162"/>
        <v/>
      </c>
      <c r="BB203" s="190" t="str">
        <f t="shared" ca="1" si="148"/>
        <v/>
      </c>
      <c r="BC203" s="190"/>
      <c r="BD203" s="190" t="str">
        <f ca="1">IFERROR(IF(OR(ISNUMBER(I),ISNUMBER($F$14)),IF(AND($B203&gt;=($F$16-$F$15),$B203&lt;$F$22+($F$16-$F$15)),SUM(OFFSET($T$100,($F$16-$F$15),0):$T203),""),""),"")</f>
        <v/>
      </c>
      <c r="BE203" s="190" t="str">
        <f t="shared" ca="1" si="142"/>
        <v/>
      </c>
      <c r="BF203" s="190" t="str">
        <f t="shared" ca="1" si="143"/>
        <v/>
      </c>
      <c r="BG203"/>
      <c r="BH203" s="190" t="str">
        <f ca="1">IF(ISNUMBER(OFFSET(BD203,-$F$21,0)),SUM(OFFSET($T$100,($F$16-$F$15+$F$21),0):$T203),"")</f>
        <v/>
      </c>
      <c r="BI203" s="190" t="str">
        <f t="shared" ca="1" si="163"/>
        <v/>
      </c>
      <c r="BJ203" s="190" t="str">
        <f t="shared" ca="1" si="144"/>
        <v/>
      </c>
      <c r="BK203" s="190"/>
      <c r="BL203" s="190" t="str">
        <f ca="1">IFERROR(IF(OR(ISNUMBER(I),ISNUMBER($F$14)),IF(AND($B203&gt;=($F$17-$F$15),$B203&lt;$F$22+($F$17-$F$15)),SUM(OFFSET($T$100,($F$17-$F$15),0):$T203),""),""),"")</f>
        <v/>
      </c>
      <c r="BM203" s="190" t="str">
        <f t="shared" ca="1" si="164"/>
        <v/>
      </c>
      <c r="BN203" s="190" t="str">
        <f t="shared" ca="1" si="145"/>
        <v/>
      </c>
      <c r="BO203"/>
      <c r="BP203" s="190" t="str">
        <f ca="1">IF(ISNUMBER(OFFSET(BL203,-$F$21,0)),SUM(OFFSET($T$100,($F$17-$F$15+$F$21),0):$T203),"")</f>
        <v/>
      </c>
      <c r="BQ203" s="190" t="str">
        <f t="shared" ca="1" si="165"/>
        <v/>
      </c>
      <c r="BR203" s="190" t="str">
        <f t="shared" ca="1" si="146"/>
        <v/>
      </c>
      <c r="BS203" s="190"/>
      <c r="BT203"/>
      <c r="BU203"/>
      <c r="BV203"/>
      <c r="BY203" s="99"/>
      <c r="BZ203" s="99"/>
      <c r="CA203" s="280" t="str">
        <f t="shared" si="166"/>
        <v/>
      </c>
      <c r="CB203" s="71" t="str">
        <f t="shared" si="122"/>
        <v>-</v>
      </c>
      <c r="CC203" s="33"/>
      <c r="CD203" s="261" t="str">
        <f t="shared" si="123"/>
        <v/>
      </c>
      <c r="CE203" s="280" t="str">
        <f t="shared" si="167"/>
        <v/>
      </c>
      <c r="CF203" s="71" t="str">
        <f t="shared" ca="1" si="168"/>
        <v/>
      </c>
      <c r="CG203" s="33" t="str">
        <f t="shared" si="126"/>
        <v/>
      </c>
      <c r="CH203" s="261" t="str">
        <f t="shared" ca="1" si="127"/>
        <v/>
      </c>
    </row>
    <row r="204" spans="2:86" ht="13.5" customHeight="1" x14ac:dyDescent="0.2">
      <c r="B204" s="262">
        <v>104</v>
      </c>
      <c r="C204" s="237" t="str">
        <f t="shared" si="91"/>
        <v/>
      </c>
      <c r="D204" s="237" t="str">
        <f t="shared" si="147"/>
        <v/>
      </c>
      <c r="E204" s="263" t="str">
        <f t="shared" si="128"/>
        <v/>
      </c>
      <c r="F204" s="264" t="str">
        <f t="shared" si="129"/>
        <v/>
      </c>
      <c r="G204" s="264" t="str">
        <f t="shared" si="130"/>
        <v/>
      </c>
      <c r="H204" s="240" t="str">
        <f t="shared" si="149"/>
        <v/>
      </c>
      <c r="I204" s="265" t="str">
        <f t="shared" si="150"/>
        <v/>
      </c>
      <c r="J204" s="265" t="str">
        <f t="shared" si="151"/>
        <v/>
      </c>
      <c r="K204" s="240" t="str">
        <f t="shared" si="152"/>
        <v/>
      </c>
      <c r="L204" s="265" t="str">
        <f t="shared" si="153"/>
        <v/>
      </c>
      <c r="M204" s="265" t="str">
        <f t="shared" si="154"/>
        <v/>
      </c>
      <c r="N204" s="240" t="str">
        <f t="shared" si="155"/>
        <v>-</v>
      </c>
      <c r="O204" s="265" t="str">
        <f t="shared" si="156"/>
        <v>-</v>
      </c>
      <c r="P204" s="265" t="str">
        <f t="shared" si="157"/>
        <v>-</v>
      </c>
      <c r="Q204" s="266" t="str">
        <f t="shared" si="158"/>
        <v>-</v>
      </c>
      <c r="R204" s="267" t="str">
        <f t="shared" si="159"/>
        <v>-</v>
      </c>
      <c r="S204" s="268" t="str">
        <f t="shared" si="160"/>
        <v>-</v>
      </c>
      <c r="T204" s="269" t="str">
        <f t="shared" si="104"/>
        <v/>
      </c>
      <c r="U204" s="221">
        <f t="shared" si="105"/>
        <v>104</v>
      </c>
      <c r="V204" s="220" t="str">
        <f t="shared" si="131"/>
        <v>-</v>
      </c>
      <c r="W204" s="221" t="str">
        <f t="shared" si="132"/>
        <v>-</v>
      </c>
      <c r="X204" s="221" t="str">
        <f t="shared" si="106"/>
        <v>-</v>
      </c>
      <c r="Y204" s="221" t="str">
        <f t="shared" si="107"/>
        <v>-</v>
      </c>
      <c r="Z204" s="270">
        <f t="shared" si="133"/>
        <v>0.1</v>
      </c>
      <c r="AA204" s="271" t="str">
        <f>IFERROR(IF(V203=1,AA$100*EXP(-(LN(2)/$D$65+0.04)*X203)*EXP(-(LN(2)/$D$65+0.1)*Y203),IF(V203=2,AA$100*EXP(-(LN(2)/$D$65+0.04)*(VLOOKUP(($F$16-$F$15)-1,U$99:Y203,4,FALSE)))*EXP(-(LN(2)/$D$65+0.1)*(VLOOKUP(($F$16-$F$15)-1,U$99:Y203,5,FALSE)))*EXP(-(LN(2)/$D$65+0.04)*X203)*EXP(-(LN(2)/$D$65+0.1)*Y203),IF(V203=3,AA$100*EXP(-(LN(2)/$D$65+0.04)*(VLOOKUP(($F$16-$F$15)-1,U$99:Y203,4,FALSE)))*EXP(-(LN(2)/$D$65+0.1)*(VLOOKUP(($F$16-$F$15)-1,U$99:Y203,5,FALSE)))*EXP(-(LN(2)/$D$65+0.04)*(VLOOKUP(($F$16-$F$15)*2-1,U$99:Y203,4,FALSE)))*EXP(-(LN(2)/$D$65+0.1)*(VLOOKUP(($F$16-$F$15)*2-1,U$99:Y203,5,FALSE)))*EXP(-(LN(2)/$D$65+0.04)*X203)*EXP(-(LN(2)/$D$65+0.1)*Y203),"-"))),"-")</f>
        <v>-</v>
      </c>
      <c r="AB204" s="271" t="str">
        <f>IFERROR(IF(V204=1,AB$100*EXP(-(LN(2)/$D$65+0.04)*X204)*EXP(-(LN(2)/$D$65+0.1)*Y204),IF(V204=2,AB$100*EXP(-(LN(2)/$D$65+0.04)*(VLOOKUP(($F$16-$F$15)-1,U$100:Y204,4,FALSE)))*EXP(-(LN(2)/$D$65+0.1)*(VLOOKUP(($F$16-$F$15)-1,U$100:Y204,5,FALSE)))*EXP(-(LN(2)/$D$65+0.04)*X204)*EXP(-(LN(2)/$D$65+0.1)*Y204),IF(V204=3,AB$100*EXP(-(LN(2)/$D$65+0.04)*(VLOOKUP(($F$16-$F$15)-1,U$100:Y204,4,FALSE)))*EXP(-(LN(2)/$D$65+0.1)*(VLOOKUP(($F$16-$F$15)-1,U$100:Y204,5,FALSE)))*EXP(-(LN(2)/$D$65+0.04)*(VLOOKUP(($F$16-$F$15)*2-1,U$100:Y204,4,FALSE)))*EXP(-(LN(2)/$D$65+0.1)*(VLOOKUP(($F$16-$F$15)*2-1,U$100:Y204,5,FALSE)))*EXP(-(LN(2)/$D$65+0.04)*X204)*EXP(-(LN(2)/$D$65+0.1)*Y204),"-"))),"-")</f>
        <v>-</v>
      </c>
      <c r="AC204" s="224">
        <f t="shared" si="134"/>
        <v>104</v>
      </c>
      <c r="AD204" s="223" t="str">
        <f t="shared" si="108"/>
        <v>-</v>
      </c>
      <c r="AE204" s="224" t="str">
        <f t="shared" si="135"/>
        <v>-</v>
      </c>
      <c r="AF204" s="224" t="str">
        <f t="shared" si="109"/>
        <v>-</v>
      </c>
      <c r="AG204" s="224" t="str">
        <f t="shared" si="110"/>
        <v>-</v>
      </c>
      <c r="AH204" s="272">
        <f t="shared" si="136"/>
        <v>0.1</v>
      </c>
      <c r="AI204" s="271" t="str">
        <f>IFERROR(IF(AD203=1,AI$100*EXP(-(LN(2)/$D$65+0.04)*AF203)*EXP(-(LN(2)/$D$65+0.1)*AG203),IF(AD203=2,AI$100*EXP(-(LN(2)/$D$65+0.04)*(VLOOKUP(($F$16-$F$15)-1,AC$99:AG203,4,FALSE)))*EXP(-(LN(2)/$D$65+0.1)*(VLOOKUP(($F$16-$F$15)-1,AC$99:AG203,5,FALSE)))*EXP(-(LN(2)/$D$65+0.04)*AF203)*EXP(-(LN(2)/$D$65+0.1)*AG203),IF(AD203=3,AI$100*EXP(-(LN(2)/$D$65+0.04)*(VLOOKUP(($F$16-$F$15)-1,AC$99:AG203,4,FALSE)))*EXP(-(LN(2)/$D$65+0.1)*(VLOOKUP(($F$16-$F$15)-1,AC$99:AG203,5,FALSE)))*EXP(-(LN(2)/$D$65+0.04)*(VLOOKUP(($F$16-$F$15)*2-1,AC$99:AG203,4,FALSE)))*EXP(-(LN(2)/$D$65+0.1)*(VLOOKUP(($F$16-$F$15)*2-1,AC$99:AG203,5,FALSE)))*EXP(-(LN(2)/$D$65+0.04)*AF203)*EXP(-(LN(2)/$D$65+0.1)*AG203),"-"))),"-")</f>
        <v>-</v>
      </c>
      <c r="AJ204" s="271" t="str">
        <f>IFERROR(IF(AD204=1,AJ$100*EXP(-(LN(2)/$D$65+0.04)*AF204)*EXP(-(LN(2)/$D$65+0.1)*AG204),IF(AD204=2,AJ$100*EXP(-(LN(2)/$D$65+0.04)*(VLOOKUP(($F$16-$F$15)-1,AC$100:AG204,4,FALSE)))*EXP(-(LN(2)/$D$65+0.1)*(VLOOKUP(($F$16-$F$15)-1,AC$100:AG204,5,FALSE)))*EXP(-(LN(2)/$D$65+0.04)*AF204)*EXP(-(LN(2)/$D$65+0.1)*AG204),IF(AD204=3,AJ$100*EXP(-(LN(2)/$D$65+0.04)*(VLOOKUP(($F$16-$F$15)-1,AC$100:AG204,4,FALSE)))*EXP(-(LN(2)/$D$65+0.1)*(VLOOKUP(($F$16-$F$15)-1,AC$100:AG204,5,FALSE)))*EXP(-(LN(2)/$D$65+0.04)*(VLOOKUP(($F$16-$F$15)*2-1,AC$100:AG204,4,FALSE)))*EXP(-(LN(2)/$D$65+0.1)*(VLOOKUP(($F$16-$F$15)*2-1,AC$100:AG204,5,FALSE)))*EXP(-(LN(2)/$D$65+0.04)*AF204)*EXP(-(LN(2)/$D$65+0.1)*AG204),"-"))),"-")</f>
        <v>-</v>
      </c>
      <c r="AK204" s="227">
        <f t="shared" si="137"/>
        <v>104</v>
      </c>
      <c r="AL204" s="226" t="str">
        <f t="shared" si="111"/>
        <v>-</v>
      </c>
      <c r="AM204" s="227" t="str">
        <f t="shared" si="138"/>
        <v>-</v>
      </c>
      <c r="AN204" s="227" t="str">
        <f t="shared" si="139"/>
        <v>-</v>
      </c>
      <c r="AO204" s="227" t="str">
        <f t="shared" si="112"/>
        <v>-</v>
      </c>
      <c r="AP204" s="273">
        <f t="shared" si="140"/>
        <v>0.1</v>
      </c>
      <c r="AQ204" s="271" t="str">
        <f>IFERROR(IF(AL203=1,AQ$100*EXP(-(LN(2)/$D$65+0.04)*AN203)*EXP(-(LN(2)/$D$65+0.1)*AO203),IF(AL203=2,AQ$100*EXP(-(LN(2)/$D$65+0.04)*(VLOOKUP(($F$16-$F$15)-1,AK$99:AO203,4,FALSE)))*EXP(-(LN(2)/$D$65+0.1)*(VLOOKUP(($F$16-$F$15)-1,AK$99:AO203,5,FALSE)))*EXP(-(LN(2)/$D$65+0.04)*AN203)*EXP(-(LN(2)/$D$65+0.1)*AO203),IF(AL203=3,AQ$100*EXP(-(LN(2)/$D$65+0.04)*(VLOOKUP(($F$16-$F$15)-1,AK$99:AO203,4,FALSE)))*EXP(-(LN(2)/$D$65+0.1)*(VLOOKUP(($F$16-$F$15)-1,AK$99:AO203,5,FALSE)))*EXP(-(LN(2)/$D$65+0.04)*(VLOOKUP(($F$16-$F$15)*2-1,AK$99:AO203,4,FALSE)))*EXP(-(LN(2)/$D$65+0.1)*(VLOOKUP(($F$16-$F$15)*2-1,AK$99:AO203,5,FALSE)))*EXP(-(LN(2)/$D$65+0.04)*AN203)*EXP(-(LN(2)/$D$65+0.1)*AO203),"-"))),"-")</f>
        <v>-</v>
      </c>
      <c r="AR204" s="271" t="str">
        <f>IFERROR(IF(AL204=1,AR$100*EXP(-(LN(2)/$D$65+0.04)*AN204)*EXP(-(LN(2)/$D$65+0.1)*AO204),IF(AL204=2,AR$100*EXP(-(LN(2)/$D$65+0.04)*(VLOOKUP(($F$16-$F$15)-1,AK$100:AO204,4,FALSE)))*EXP(-(LN(2)/$D$65+0.1)*(VLOOKUP(($F$16-$F$15)-1,AK$100:AO204,5,FALSE)))*EXP(-(LN(2)/$D$65+0.04)*AN204)*EXP(-(LN(2)/$D$65+0.1)*AO204),IF(AL204=3,AR$100*EXP(-(LN(2)/$D$65+0.04)*(VLOOKUP(($F$16-$F$15)-1,AK$100:AO204,4,FALSE)))*EXP(-(LN(2)/$D$65+0.1)*(VLOOKUP(($F$16-$F$15)-1,AK$100:AO204,5,FALSE)))*EXP(-(LN(2)/$D$65+0.04)*(VLOOKUP(($F$16-$F$15)*2-1,AK$100:AO204,4,FALSE)))*EXP(-(LN(2)/$D$65+0.1)*(VLOOKUP(($F$16-$F$15)*2-1,AK$100:AO204,5,FALSE)))*EXP(-(LN(2)/$D$65+0.04)*AN204)*EXP(-(LN(2)/$D$65+0.1)*AO204),"-"))),"-")</f>
        <v>-</v>
      </c>
      <c r="AS204" s="274">
        <f t="shared" si="113"/>
        <v>0</v>
      </c>
      <c r="AT204" s="274">
        <f t="shared" si="114"/>
        <v>0</v>
      </c>
      <c r="AU204" s="274">
        <f t="shared" si="115"/>
        <v>0</v>
      </c>
      <c r="AV204" s="190" t="str">
        <f>IF($B204&lt;$F$22,SUM($T$100:$T204),"")</f>
        <v/>
      </c>
      <c r="AW204" s="190" t="str">
        <f t="shared" si="161"/>
        <v>-</v>
      </c>
      <c r="AX204" s="190" t="str">
        <f t="shared" si="141"/>
        <v/>
      </c>
      <c r="AY204"/>
      <c r="AZ204" s="190" t="str">
        <f ca="1">IF(ISNUMBER(OFFSET(AV204,-$F$21,0)),SUM(OFFSET($T$100,$F$21,0):$T204),"")</f>
        <v/>
      </c>
      <c r="BA204" s="190" t="str">
        <f t="shared" ca="1" si="162"/>
        <v/>
      </c>
      <c r="BB204" s="190" t="str">
        <f t="shared" ca="1" si="148"/>
        <v/>
      </c>
      <c r="BC204" s="190"/>
      <c r="BD204" s="190" t="str">
        <f ca="1">IFERROR(IF(OR(ISNUMBER(I),ISNUMBER($F$14)),IF(AND($B204&gt;=($F$16-$F$15),$B204&lt;$F$22+($F$16-$F$15)),SUM(OFFSET($T$100,($F$16-$F$15),0):$T204),""),""),"")</f>
        <v/>
      </c>
      <c r="BE204" s="190" t="str">
        <f t="shared" ca="1" si="142"/>
        <v/>
      </c>
      <c r="BF204" s="190" t="str">
        <f t="shared" ca="1" si="143"/>
        <v/>
      </c>
      <c r="BG204"/>
      <c r="BH204" s="190" t="str">
        <f ca="1">IF(ISNUMBER(OFFSET(BD204,-$F$21,0)),SUM(OFFSET($T$100,($F$16-$F$15+$F$21),0):$T204),"")</f>
        <v/>
      </c>
      <c r="BI204" s="190" t="str">
        <f t="shared" ca="1" si="163"/>
        <v/>
      </c>
      <c r="BJ204" s="190" t="str">
        <f t="shared" ca="1" si="144"/>
        <v/>
      </c>
      <c r="BK204" s="190"/>
      <c r="BL204" s="190" t="str">
        <f ca="1">IFERROR(IF(OR(ISNUMBER(I),ISNUMBER($F$14)),IF(AND($B204&gt;=($F$17-$F$15),$B204&lt;$F$22+($F$17-$F$15)),SUM(OFFSET($T$100,($F$17-$F$15),0):$T204),""),""),"")</f>
        <v/>
      </c>
      <c r="BM204" s="190" t="str">
        <f t="shared" ca="1" si="164"/>
        <v/>
      </c>
      <c r="BN204" s="190" t="str">
        <f t="shared" ca="1" si="145"/>
        <v/>
      </c>
      <c r="BO204"/>
      <c r="BP204" s="190" t="str">
        <f ca="1">IF(ISNUMBER(OFFSET(BL204,-$F$21,0)),SUM(OFFSET($T$100,($F$17-$F$15+$F$21),0):$T204),"")</f>
        <v/>
      </c>
      <c r="BQ204" s="190" t="str">
        <f t="shared" ca="1" si="165"/>
        <v/>
      </c>
      <c r="BR204" s="190" t="str">
        <f t="shared" ca="1" si="146"/>
        <v/>
      </c>
      <c r="BS204" s="190"/>
      <c r="BT204"/>
      <c r="BU204"/>
      <c r="BV204"/>
      <c r="BY204" s="99"/>
      <c r="BZ204" s="99"/>
      <c r="CA204" s="280" t="str">
        <f t="shared" si="166"/>
        <v/>
      </c>
      <c r="CB204" s="71" t="str">
        <f t="shared" si="122"/>
        <v>-</v>
      </c>
      <c r="CC204" s="33"/>
      <c r="CD204" s="261" t="str">
        <f t="shared" si="123"/>
        <v/>
      </c>
      <c r="CE204" s="280" t="str">
        <f t="shared" si="167"/>
        <v/>
      </c>
      <c r="CF204" s="71" t="str">
        <f t="shared" ca="1" si="168"/>
        <v/>
      </c>
      <c r="CG204" s="33" t="str">
        <f t="shared" si="126"/>
        <v/>
      </c>
      <c r="CH204" s="261" t="str">
        <f t="shared" ca="1" si="127"/>
        <v/>
      </c>
    </row>
    <row r="205" spans="2:86" ht="13.5" customHeight="1" x14ac:dyDescent="0.2">
      <c r="B205" s="262">
        <v>105</v>
      </c>
      <c r="C205" s="237" t="str">
        <f t="shared" si="91"/>
        <v/>
      </c>
      <c r="D205" s="237" t="str">
        <f t="shared" si="147"/>
        <v/>
      </c>
      <c r="E205" s="263" t="str">
        <f t="shared" si="128"/>
        <v/>
      </c>
      <c r="F205" s="264" t="str">
        <f t="shared" si="129"/>
        <v/>
      </c>
      <c r="G205" s="264" t="str">
        <f t="shared" si="130"/>
        <v/>
      </c>
      <c r="H205" s="240" t="str">
        <f t="shared" si="149"/>
        <v/>
      </c>
      <c r="I205" s="265" t="str">
        <f t="shared" si="150"/>
        <v/>
      </c>
      <c r="J205" s="265" t="str">
        <f t="shared" si="151"/>
        <v/>
      </c>
      <c r="K205" s="240" t="str">
        <f t="shared" si="152"/>
        <v/>
      </c>
      <c r="L205" s="265" t="str">
        <f t="shared" si="153"/>
        <v/>
      </c>
      <c r="M205" s="265" t="str">
        <f t="shared" si="154"/>
        <v/>
      </c>
      <c r="N205" s="240" t="str">
        <f t="shared" si="155"/>
        <v>-</v>
      </c>
      <c r="O205" s="265" t="str">
        <f t="shared" si="156"/>
        <v>-</v>
      </c>
      <c r="P205" s="265" t="str">
        <f t="shared" si="157"/>
        <v>-</v>
      </c>
      <c r="Q205" s="266" t="str">
        <f t="shared" si="158"/>
        <v>-</v>
      </c>
      <c r="R205" s="267" t="str">
        <f t="shared" si="159"/>
        <v>-</v>
      </c>
      <c r="S205" s="268" t="str">
        <f t="shared" si="160"/>
        <v>-</v>
      </c>
      <c r="T205" s="269" t="str">
        <f t="shared" si="104"/>
        <v/>
      </c>
      <c r="U205" s="221">
        <f t="shared" si="105"/>
        <v>105</v>
      </c>
      <c r="V205" s="220" t="str">
        <f t="shared" si="131"/>
        <v>-</v>
      </c>
      <c r="W205" s="221" t="str">
        <f t="shared" si="132"/>
        <v>-</v>
      </c>
      <c r="X205" s="221" t="str">
        <f t="shared" si="106"/>
        <v>-</v>
      </c>
      <c r="Y205" s="221" t="str">
        <f t="shared" si="107"/>
        <v>-</v>
      </c>
      <c r="Z205" s="270">
        <f t="shared" si="133"/>
        <v>0.1</v>
      </c>
      <c r="AA205" s="271" t="str">
        <f>IFERROR(IF(V204=1,AA$100*EXP(-(LN(2)/$D$65+0.04)*X204)*EXP(-(LN(2)/$D$65+0.1)*Y204),IF(V204=2,AA$100*EXP(-(LN(2)/$D$65+0.04)*(VLOOKUP(($F$16-$F$15)-1,U$99:Y204,4,FALSE)))*EXP(-(LN(2)/$D$65+0.1)*(VLOOKUP(($F$16-$F$15)-1,U$99:Y204,5,FALSE)))*EXP(-(LN(2)/$D$65+0.04)*X204)*EXP(-(LN(2)/$D$65+0.1)*Y204),IF(V204=3,AA$100*EXP(-(LN(2)/$D$65+0.04)*(VLOOKUP(($F$16-$F$15)-1,U$99:Y204,4,FALSE)))*EXP(-(LN(2)/$D$65+0.1)*(VLOOKUP(($F$16-$F$15)-1,U$99:Y204,5,FALSE)))*EXP(-(LN(2)/$D$65+0.04)*(VLOOKUP(($F$16-$F$15)*2-1,U$99:Y204,4,FALSE)))*EXP(-(LN(2)/$D$65+0.1)*(VLOOKUP(($F$16-$F$15)*2-1,U$99:Y204,5,FALSE)))*EXP(-(LN(2)/$D$65+0.04)*X204)*EXP(-(LN(2)/$D$65+0.1)*Y204),"-"))),"-")</f>
        <v>-</v>
      </c>
      <c r="AB205" s="271" t="str">
        <f>IFERROR(IF(V205=1,AB$100*EXP(-(LN(2)/$D$65+0.04)*X205)*EXP(-(LN(2)/$D$65+0.1)*Y205),IF(V205=2,AB$100*EXP(-(LN(2)/$D$65+0.04)*(VLOOKUP(($F$16-$F$15)-1,U$100:Y205,4,FALSE)))*EXP(-(LN(2)/$D$65+0.1)*(VLOOKUP(($F$16-$F$15)-1,U$100:Y205,5,FALSE)))*EXP(-(LN(2)/$D$65+0.04)*X205)*EXP(-(LN(2)/$D$65+0.1)*Y205),IF(V205=3,AB$100*EXP(-(LN(2)/$D$65+0.04)*(VLOOKUP(($F$16-$F$15)-1,U$100:Y205,4,FALSE)))*EXP(-(LN(2)/$D$65+0.1)*(VLOOKUP(($F$16-$F$15)-1,U$100:Y205,5,FALSE)))*EXP(-(LN(2)/$D$65+0.04)*(VLOOKUP(($F$16-$F$15)*2-1,U$100:Y205,4,FALSE)))*EXP(-(LN(2)/$D$65+0.1)*(VLOOKUP(($F$16-$F$15)*2-1,U$100:Y205,5,FALSE)))*EXP(-(LN(2)/$D$65+0.04)*X205)*EXP(-(LN(2)/$D$65+0.1)*Y205),"-"))),"-")</f>
        <v>-</v>
      </c>
      <c r="AC205" s="224">
        <f t="shared" si="134"/>
        <v>105</v>
      </c>
      <c r="AD205" s="223" t="str">
        <f t="shared" si="108"/>
        <v>-</v>
      </c>
      <c r="AE205" s="224" t="str">
        <f t="shared" si="135"/>
        <v>-</v>
      </c>
      <c r="AF205" s="224" t="str">
        <f t="shared" si="109"/>
        <v>-</v>
      </c>
      <c r="AG205" s="224" t="str">
        <f t="shared" si="110"/>
        <v>-</v>
      </c>
      <c r="AH205" s="272">
        <f t="shared" si="136"/>
        <v>0.1</v>
      </c>
      <c r="AI205" s="271" t="str">
        <f>IFERROR(IF(AD204=1,AI$100*EXP(-(LN(2)/$D$65+0.04)*AF204)*EXP(-(LN(2)/$D$65+0.1)*AG204),IF(AD204=2,AI$100*EXP(-(LN(2)/$D$65+0.04)*(VLOOKUP(($F$16-$F$15)-1,AC$99:AG204,4,FALSE)))*EXP(-(LN(2)/$D$65+0.1)*(VLOOKUP(($F$16-$F$15)-1,AC$99:AG204,5,FALSE)))*EXP(-(LN(2)/$D$65+0.04)*AF204)*EXP(-(LN(2)/$D$65+0.1)*AG204),IF(AD204=3,AI$100*EXP(-(LN(2)/$D$65+0.04)*(VLOOKUP(($F$16-$F$15)-1,AC$99:AG204,4,FALSE)))*EXP(-(LN(2)/$D$65+0.1)*(VLOOKUP(($F$16-$F$15)-1,AC$99:AG204,5,FALSE)))*EXP(-(LN(2)/$D$65+0.04)*(VLOOKUP(($F$16-$F$15)*2-1,AC$99:AG204,4,FALSE)))*EXP(-(LN(2)/$D$65+0.1)*(VLOOKUP(($F$16-$F$15)*2-1,AC$99:AG204,5,FALSE)))*EXP(-(LN(2)/$D$65+0.04)*AF204)*EXP(-(LN(2)/$D$65+0.1)*AG204),"-"))),"-")</f>
        <v>-</v>
      </c>
      <c r="AJ205" s="271" t="str">
        <f>IFERROR(IF(AD205=1,AJ$100*EXP(-(LN(2)/$D$65+0.04)*AF205)*EXP(-(LN(2)/$D$65+0.1)*AG205),IF(AD205=2,AJ$100*EXP(-(LN(2)/$D$65+0.04)*(VLOOKUP(($F$16-$F$15)-1,AC$100:AG205,4,FALSE)))*EXP(-(LN(2)/$D$65+0.1)*(VLOOKUP(($F$16-$F$15)-1,AC$100:AG205,5,FALSE)))*EXP(-(LN(2)/$D$65+0.04)*AF205)*EXP(-(LN(2)/$D$65+0.1)*AG205),IF(AD205=3,AJ$100*EXP(-(LN(2)/$D$65+0.04)*(VLOOKUP(($F$16-$F$15)-1,AC$100:AG205,4,FALSE)))*EXP(-(LN(2)/$D$65+0.1)*(VLOOKUP(($F$16-$F$15)-1,AC$100:AG205,5,FALSE)))*EXP(-(LN(2)/$D$65+0.04)*(VLOOKUP(($F$16-$F$15)*2-1,AC$100:AG205,4,FALSE)))*EXP(-(LN(2)/$D$65+0.1)*(VLOOKUP(($F$16-$F$15)*2-1,AC$100:AG205,5,FALSE)))*EXP(-(LN(2)/$D$65+0.04)*AF205)*EXP(-(LN(2)/$D$65+0.1)*AG205),"-"))),"-")</f>
        <v>-</v>
      </c>
      <c r="AK205" s="227">
        <f t="shared" si="137"/>
        <v>105</v>
      </c>
      <c r="AL205" s="226" t="str">
        <f t="shared" si="111"/>
        <v>-</v>
      </c>
      <c r="AM205" s="227" t="str">
        <f t="shared" si="138"/>
        <v>-</v>
      </c>
      <c r="AN205" s="227" t="str">
        <f t="shared" si="139"/>
        <v>-</v>
      </c>
      <c r="AO205" s="227" t="str">
        <f t="shared" si="112"/>
        <v>-</v>
      </c>
      <c r="AP205" s="273">
        <f t="shared" si="140"/>
        <v>0.1</v>
      </c>
      <c r="AQ205" s="271" t="str">
        <f>IFERROR(IF(AL204=1,AQ$100*EXP(-(LN(2)/$D$65+0.04)*AN204)*EXP(-(LN(2)/$D$65+0.1)*AO204),IF(AL204=2,AQ$100*EXP(-(LN(2)/$D$65+0.04)*(VLOOKUP(($F$16-$F$15)-1,AK$99:AO204,4,FALSE)))*EXP(-(LN(2)/$D$65+0.1)*(VLOOKUP(($F$16-$F$15)-1,AK$99:AO204,5,FALSE)))*EXP(-(LN(2)/$D$65+0.04)*AN204)*EXP(-(LN(2)/$D$65+0.1)*AO204),IF(AL204=3,AQ$100*EXP(-(LN(2)/$D$65+0.04)*(VLOOKUP(($F$16-$F$15)-1,AK$99:AO204,4,FALSE)))*EXP(-(LN(2)/$D$65+0.1)*(VLOOKUP(($F$16-$F$15)-1,AK$99:AO204,5,FALSE)))*EXP(-(LN(2)/$D$65+0.04)*(VLOOKUP(($F$16-$F$15)*2-1,AK$99:AO204,4,FALSE)))*EXP(-(LN(2)/$D$65+0.1)*(VLOOKUP(($F$16-$F$15)*2-1,AK$99:AO204,5,FALSE)))*EXP(-(LN(2)/$D$65+0.04)*AN204)*EXP(-(LN(2)/$D$65+0.1)*AO204),"-"))),"-")</f>
        <v>-</v>
      </c>
      <c r="AR205" s="271" t="str">
        <f>IFERROR(IF(AL205=1,AR$100*EXP(-(LN(2)/$D$65+0.04)*AN205)*EXP(-(LN(2)/$D$65+0.1)*AO205),IF(AL205=2,AR$100*EXP(-(LN(2)/$D$65+0.04)*(VLOOKUP(($F$16-$F$15)-1,AK$100:AO205,4,FALSE)))*EXP(-(LN(2)/$D$65+0.1)*(VLOOKUP(($F$16-$F$15)-1,AK$100:AO205,5,FALSE)))*EXP(-(LN(2)/$D$65+0.04)*AN205)*EXP(-(LN(2)/$D$65+0.1)*AO205),IF(AL205=3,AR$100*EXP(-(LN(2)/$D$65+0.04)*(VLOOKUP(($F$16-$F$15)-1,AK$100:AO205,4,FALSE)))*EXP(-(LN(2)/$D$65+0.1)*(VLOOKUP(($F$16-$F$15)-1,AK$100:AO205,5,FALSE)))*EXP(-(LN(2)/$D$65+0.04)*(VLOOKUP(($F$16-$F$15)*2-1,AK$100:AO205,4,FALSE)))*EXP(-(LN(2)/$D$65+0.1)*(VLOOKUP(($F$16-$F$15)*2-1,AK$100:AO205,5,FALSE)))*EXP(-(LN(2)/$D$65+0.04)*AN205)*EXP(-(LN(2)/$D$65+0.1)*AO205),"-"))),"-")</f>
        <v>-</v>
      </c>
      <c r="AS205" s="274">
        <f t="shared" si="113"/>
        <v>0</v>
      </c>
      <c r="AT205" s="274">
        <f t="shared" si="114"/>
        <v>0</v>
      </c>
      <c r="AU205" s="274">
        <f t="shared" si="115"/>
        <v>0</v>
      </c>
      <c r="AV205" s="190" t="str">
        <f>IF($B205&lt;$F$22,SUM($T$100:$T205),"")</f>
        <v/>
      </c>
      <c r="AW205" s="190" t="str">
        <f t="shared" si="161"/>
        <v>-</v>
      </c>
      <c r="AX205" s="190" t="str">
        <f t="shared" si="141"/>
        <v/>
      </c>
      <c r="AY205"/>
      <c r="AZ205" s="190" t="str">
        <f ca="1">IF(ISNUMBER(OFFSET(AV205,-$F$21,0)),SUM(OFFSET($T$100,$F$21,0):$T205),"")</f>
        <v/>
      </c>
      <c r="BA205" s="190" t="str">
        <f t="shared" ca="1" si="162"/>
        <v/>
      </c>
      <c r="BB205" s="190" t="str">
        <f t="shared" ca="1" si="148"/>
        <v/>
      </c>
      <c r="BC205" s="190"/>
      <c r="BD205" s="190" t="str">
        <f ca="1">IFERROR(IF(OR(ISNUMBER(I),ISNUMBER($F$14)),IF(AND($B205&gt;=($F$16-$F$15),$B205&lt;$F$22+($F$16-$F$15)),SUM(OFFSET($T$100,($F$16-$F$15),0):$T205),""),""),"")</f>
        <v/>
      </c>
      <c r="BE205" s="190" t="str">
        <f t="shared" ca="1" si="142"/>
        <v/>
      </c>
      <c r="BF205" s="190" t="str">
        <f t="shared" ca="1" si="143"/>
        <v/>
      </c>
      <c r="BG205"/>
      <c r="BH205" s="190" t="str">
        <f ca="1">IF(ISNUMBER(OFFSET(BD205,-$F$21,0)),SUM(OFFSET($T$100,($F$16-$F$15+$F$21),0):$T205),"")</f>
        <v/>
      </c>
      <c r="BI205" s="190" t="str">
        <f t="shared" ca="1" si="163"/>
        <v/>
      </c>
      <c r="BJ205" s="190" t="str">
        <f t="shared" ca="1" si="144"/>
        <v/>
      </c>
      <c r="BK205" s="190"/>
      <c r="BL205" s="190" t="str">
        <f ca="1">IFERROR(IF(OR(ISNUMBER(I),ISNUMBER($F$14)),IF(AND($B205&gt;=($F$17-$F$15),$B205&lt;$F$22+($F$17-$F$15)),SUM(OFFSET($T$100,($F$17-$F$15),0):$T205),""),""),"")</f>
        <v/>
      </c>
      <c r="BM205" s="190" t="str">
        <f t="shared" ca="1" si="164"/>
        <v/>
      </c>
      <c r="BN205" s="190" t="str">
        <f t="shared" ca="1" si="145"/>
        <v/>
      </c>
      <c r="BO205"/>
      <c r="BP205" s="190" t="str">
        <f ca="1">IF(ISNUMBER(OFFSET(BL205,-$F$21,0)),SUM(OFFSET($T$100,($F$17-$F$15+$F$21),0):$T205),"")</f>
        <v/>
      </c>
      <c r="BQ205" s="190" t="str">
        <f t="shared" ca="1" si="165"/>
        <v/>
      </c>
      <c r="BR205" s="190" t="str">
        <f t="shared" ca="1" si="146"/>
        <v/>
      </c>
      <c r="BS205" s="190"/>
      <c r="BT205"/>
      <c r="BU205"/>
      <c r="BV205"/>
      <c r="BY205" s="99"/>
      <c r="BZ205" s="99"/>
      <c r="CA205" s="280" t="str">
        <f t="shared" si="166"/>
        <v/>
      </c>
      <c r="CB205" s="71" t="str">
        <f t="shared" si="122"/>
        <v>-</v>
      </c>
      <c r="CC205" s="33"/>
      <c r="CD205" s="261" t="str">
        <f t="shared" si="123"/>
        <v/>
      </c>
      <c r="CE205" s="280" t="str">
        <f t="shared" si="167"/>
        <v/>
      </c>
      <c r="CF205" s="71" t="str">
        <f t="shared" ca="1" si="168"/>
        <v/>
      </c>
      <c r="CG205" s="33" t="str">
        <f t="shared" si="126"/>
        <v/>
      </c>
      <c r="CH205" s="261" t="str">
        <f t="shared" ca="1" si="127"/>
        <v/>
      </c>
    </row>
    <row r="206" spans="2:86" ht="13.5" customHeight="1" x14ac:dyDescent="0.2">
      <c r="B206" s="262">
        <v>106</v>
      </c>
      <c r="C206" s="237" t="str">
        <f t="shared" si="91"/>
        <v/>
      </c>
      <c r="D206" s="237" t="str">
        <f t="shared" si="147"/>
        <v/>
      </c>
      <c r="E206" s="263" t="str">
        <f t="shared" si="128"/>
        <v/>
      </c>
      <c r="F206" s="264" t="str">
        <f t="shared" si="129"/>
        <v/>
      </c>
      <c r="G206" s="264" t="str">
        <f t="shared" si="130"/>
        <v/>
      </c>
      <c r="H206" s="240" t="str">
        <f t="shared" si="149"/>
        <v/>
      </c>
      <c r="I206" s="265" t="str">
        <f t="shared" si="150"/>
        <v/>
      </c>
      <c r="J206" s="265" t="str">
        <f t="shared" si="151"/>
        <v/>
      </c>
      <c r="K206" s="240" t="str">
        <f t="shared" si="152"/>
        <v/>
      </c>
      <c r="L206" s="265" t="str">
        <f t="shared" si="153"/>
        <v/>
      </c>
      <c r="M206" s="265" t="str">
        <f t="shared" si="154"/>
        <v/>
      </c>
      <c r="N206" s="240" t="str">
        <f t="shared" si="155"/>
        <v>-</v>
      </c>
      <c r="O206" s="265" t="str">
        <f t="shared" si="156"/>
        <v>-</v>
      </c>
      <c r="P206" s="265" t="str">
        <f t="shared" si="157"/>
        <v>-</v>
      </c>
      <c r="Q206" s="266" t="str">
        <f t="shared" si="158"/>
        <v>-</v>
      </c>
      <c r="R206" s="267" t="str">
        <f t="shared" si="159"/>
        <v>-</v>
      </c>
      <c r="S206" s="268" t="str">
        <f t="shared" si="160"/>
        <v>-</v>
      </c>
      <c r="T206" s="269" t="str">
        <f t="shared" si="104"/>
        <v/>
      </c>
      <c r="U206" s="221">
        <f t="shared" si="105"/>
        <v>106</v>
      </c>
      <c r="V206" s="220" t="str">
        <f t="shared" si="131"/>
        <v>-</v>
      </c>
      <c r="W206" s="221" t="str">
        <f t="shared" si="132"/>
        <v>-</v>
      </c>
      <c r="X206" s="221" t="str">
        <f t="shared" si="106"/>
        <v>-</v>
      </c>
      <c r="Y206" s="221" t="str">
        <f t="shared" si="107"/>
        <v>-</v>
      </c>
      <c r="Z206" s="270">
        <f t="shared" si="133"/>
        <v>0.1</v>
      </c>
      <c r="AA206" s="271" t="str">
        <f>IFERROR(IF(V205=1,AA$100*EXP(-(LN(2)/$D$65+0.04)*X205)*EXP(-(LN(2)/$D$65+0.1)*Y205),IF(V205=2,AA$100*EXP(-(LN(2)/$D$65+0.04)*(VLOOKUP(($F$16-$F$15)-1,U$99:Y205,4,FALSE)))*EXP(-(LN(2)/$D$65+0.1)*(VLOOKUP(($F$16-$F$15)-1,U$99:Y205,5,FALSE)))*EXP(-(LN(2)/$D$65+0.04)*X205)*EXP(-(LN(2)/$D$65+0.1)*Y205),IF(V205=3,AA$100*EXP(-(LN(2)/$D$65+0.04)*(VLOOKUP(($F$16-$F$15)-1,U$99:Y205,4,FALSE)))*EXP(-(LN(2)/$D$65+0.1)*(VLOOKUP(($F$16-$F$15)-1,U$99:Y205,5,FALSE)))*EXP(-(LN(2)/$D$65+0.04)*(VLOOKUP(($F$16-$F$15)*2-1,U$99:Y205,4,FALSE)))*EXP(-(LN(2)/$D$65+0.1)*(VLOOKUP(($F$16-$F$15)*2-1,U$99:Y205,5,FALSE)))*EXP(-(LN(2)/$D$65+0.04)*X205)*EXP(-(LN(2)/$D$65+0.1)*Y205),"-"))),"-")</f>
        <v>-</v>
      </c>
      <c r="AB206" s="271" t="str">
        <f>IFERROR(IF(V206=1,AB$100*EXP(-(LN(2)/$D$65+0.04)*X206)*EXP(-(LN(2)/$D$65+0.1)*Y206),IF(V206=2,AB$100*EXP(-(LN(2)/$D$65+0.04)*(VLOOKUP(($F$16-$F$15)-1,U$100:Y206,4,FALSE)))*EXP(-(LN(2)/$D$65+0.1)*(VLOOKUP(($F$16-$F$15)-1,U$100:Y206,5,FALSE)))*EXP(-(LN(2)/$D$65+0.04)*X206)*EXP(-(LN(2)/$D$65+0.1)*Y206),IF(V206=3,AB$100*EXP(-(LN(2)/$D$65+0.04)*(VLOOKUP(($F$16-$F$15)-1,U$100:Y206,4,FALSE)))*EXP(-(LN(2)/$D$65+0.1)*(VLOOKUP(($F$16-$F$15)-1,U$100:Y206,5,FALSE)))*EXP(-(LN(2)/$D$65+0.04)*(VLOOKUP(($F$16-$F$15)*2-1,U$100:Y206,4,FALSE)))*EXP(-(LN(2)/$D$65+0.1)*(VLOOKUP(($F$16-$F$15)*2-1,U$100:Y206,5,FALSE)))*EXP(-(LN(2)/$D$65+0.04)*X206)*EXP(-(LN(2)/$D$65+0.1)*Y206),"-"))),"-")</f>
        <v>-</v>
      </c>
      <c r="AC206" s="224">
        <f t="shared" si="134"/>
        <v>106</v>
      </c>
      <c r="AD206" s="223" t="str">
        <f t="shared" si="108"/>
        <v>-</v>
      </c>
      <c r="AE206" s="224" t="str">
        <f t="shared" si="135"/>
        <v>-</v>
      </c>
      <c r="AF206" s="224" t="str">
        <f t="shared" si="109"/>
        <v>-</v>
      </c>
      <c r="AG206" s="224" t="str">
        <f t="shared" si="110"/>
        <v>-</v>
      </c>
      <c r="AH206" s="272">
        <f t="shared" si="136"/>
        <v>0.1</v>
      </c>
      <c r="AI206" s="271" t="str">
        <f>IFERROR(IF(AD205=1,AI$100*EXP(-(LN(2)/$D$65+0.04)*AF205)*EXP(-(LN(2)/$D$65+0.1)*AG205),IF(AD205=2,AI$100*EXP(-(LN(2)/$D$65+0.04)*(VLOOKUP(($F$16-$F$15)-1,AC$99:AG205,4,FALSE)))*EXP(-(LN(2)/$D$65+0.1)*(VLOOKUP(($F$16-$F$15)-1,AC$99:AG205,5,FALSE)))*EXP(-(LN(2)/$D$65+0.04)*AF205)*EXP(-(LN(2)/$D$65+0.1)*AG205),IF(AD205=3,AI$100*EXP(-(LN(2)/$D$65+0.04)*(VLOOKUP(($F$16-$F$15)-1,AC$99:AG205,4,FALSE)))*EXP(-(LN(2)/$D$65+0.1)*(VLOOKUP(($F$16-$F$15)-1,AC$99:AG205,5,FALSE)))*EXP(-(LN(2)/$D$65+0.04)*(VLOOKUP(($F$16-$F$15)*2-1,AC$99:AG205,4,FALSE)))*EXP(-(LN(2)/$D$65+0.1)*(VLOOKUP(($F$16-$F$15)*2-1,AC$99:AG205,5,FALSE)))*EXP(-(LN(2)/$D$65+0.04)*AF205)*EXP(-(LN(2)/$D$65+0.1)*AG205),"-"))),"-")</f>
        <v>-</v>
      </c>
      <c r="AJ206" s="271" t="str">
        <f>IFERROR(IF(AD206=1,AJ$100*EXP(-(LN(2)/$D$65+0.04)*AF206)*EXP(-(LN(2)/$D$65+0.1)*AG206),IF(AD206=2,AJ$100*EXP(-(LN(2)/$D$65+0.04)*(VLOOKUP(($F$16-$F$15)-1,AC$100:AG206,4,FALSE)))*EXP(-(LN(2)/$D$65+0.1)*(VLOOKUP(($F$16-$F$15)-1,AC$100:AG206,5,FALSE)))*EXP(-(LN(2)/$D$65+0.04)*AF206)*EXP(-(LN(2)/$D$65+0.1)*AG206),IF(AD206=3,AJ$100*EXP(-(LN(2)/$D$65+0.04)*(VLOOKUP(($F$16-$F$15)-1,AC$100:AG206,4,FALSE)))*EXP(-(LN(2)/$D$65+0.1)*(VLOOKUP(($F$16-$F$15)-1,AC$100:AG206,5,FALSE)))*EXP(-(LN(2)/$D$65+0.04)*(VLOOKUP(($F$16-$F$15)*2-1,AC$100:AG206,4,FALSE)))*EXP(-(LN(2)/$D$65+0.1)*(VLOOKUP(($F$16-$F$15)*2-1,AC$100:AG206,5,FALSE)))*EXP(-(LN(2)/$D$65+0.04)*AF206)*EXP(-(LN(2)/$D$65+0.1)*AG206),"-"))),"-")</f>
        <v>-</v>
      </c>
      <c r="AK206" s="227">
        <f t="shared" si="137"/>
        <v>106</v>
      </c>
      <c r="AL206" s="226" t="str">
        <f t="shared" si="111"/>
        <v>-</v>
      </c>
      <c r="AM206" s="227" t="str">
        <f t="shared" si="138"/>
        <v>-</v>
      </c>
      <c r="AN206" s="227" t="str">
        <f t="shared" si="139"/>
        <v>-</v>
      </c>
      <c r="AO206" s="227" t="str">
        <f t="shared" si="112"/>
        <v>-</v>
      </c>
      <c r="AP206" s="273">
        <f t="shared" si="140"/>
        <v>0.1</v>
      </c>
      <c r="AQ206" s="271" t="str">
        <f>IFERROR(IF(AL205=1,AQ$100*EXP(-(LN(2)/$D$65+0.04)*AN205)*EXP(-(LN(2)/$D$65+0.1)*AO205),IF(AL205=2,AQ$100*EXP(-(LN(2)/$D$65+0.04)*(VLOOKUP(($F$16-$F$15)-1,AK$99:AO205,4,FALSE)))*EXP(-(LN(2)/$D$65+0.1)*(VLOOKUP(($F$16-$F$15)-1,AK$99:AO205,5,FALSE)))*EXP(-(LN(2)/$D$65+0.04)*AN205)*EXP(-(LN(2)/$D$65+0.1)*AO205),IF(AL205=3,AQ$100*EXP(-(LN(2)/$D$65+0.04)*(VLOOKUP(($F$16-$F$15)-1,AK$99:AO205,4,FALSE)))*EXP(-(LN(2)/$D$65+0.1)*(VLOOKUP(($F$16-$F$15)-1,AK$99:AO205,5,FALSE)))*EXP(-(LN(2)/$D$65+0.04)*(VLOOKUP(($F$16-$F$15)*2-1,AK$99:AO205,4,FALSE)))*EXP(-(LN(2)/$D$65+0.1)*(VLOOKUP(($F$16-$F$15)*2-1,AK$99:AO205,5,FALSE)))*EXP(-(LN(2)/$D$65+0.04)*AN205)*EXP(-(LN(2)/$D$65+0.1)*AO205),"-"))),"-")</f>
        <v>-</v>
      </c>
      <c r="AR206" s="271" t="str">
        <f>IFERROR(IF(AL206=1,AR$100*EXP(-(LN(2)/$D$65+0.04)*AN206)*EXP(-(LN(2)/$D$65+0.1)*AO206),IF(AL206=2,AR$100*EXP(-(LN(2)/$D$65+0.04)*(VLOOKUP(($F$16-$F$15)-1,AK$100:AO206,4,FALSE)))*EXP(-(LN(2)/$D$65+0.1)*(VLOOKUP(($F$16-$F$15)-1,AK$100:AO206,5,FALSE)))*EXP(-(LN(2)/$D$65+0.04)*AN206)*EXP(-(LN(2)/$D$65+0.1)*AO206),IF(AL206=3,AR$100*EXP(-(LN(2)/$D$65+0.04)*(VLOOKUP(($F$16-$F$15)-1,AK$100:AO206,4,FALSE)))*EXP(-(LN(2)/$D$65+0.1)*(VLOOKUP(($F$16-$F$15)-1,AK$100:AO206,5,FALSE)))*EXP(-(LN(2)/$D$65+0.04)*(VLOOKUP(($F$16-$F$15)*2-1,AK$100:AO206,4,FALSE)))*EXP(-(LN(2)/$D$65+0.1)*(VLOOKUP(($F$16-$F$15)*2-1,AK$100:AO206,5,FALSE)))*EXP(-(LN(2)/$D$65+0.04)*AN206)*EXP(-(LN(2)/$D$65+0.1)*AO206),"-"))),"-")</f>
        <v>-</v>
      </c>
      <c r="AS206" s="274">
        <f t="shared" si="113"/>
        <v>0</v>
      </c>
      <c r="AT206" s="274">
        <f t="shared" si="114"/>
        <v>0</v>
      </c>
      <c r="AU206" s="274">
        <f t="shared" si="115"/>
        <v>0</v>
      </c>
      <c r="AV206" s="190" t="str">
        <f>IF($B206&lt;$F$22,SUM($T$100:$T206),"")</f>
        <v/>
      </c>
      <c r="AW206" s="190" t="str">
        <f t="shared" si="161"/>
        <v>-</v>
      </c>
      <c r="AX206" s="190" t="str">
        <f t="shared" si="141"/>
        <v/>
      </c>
      <c r="AY206"/>
      <c r="AZ206" s="190" t="str">
        <f ca="1">IF(ISNUMBER(OFFSET(AV206,-$F$21,0)),SUM(OFFSET($T$100,$F$21,0):$T206),"")</f>
        <v/>
      </c>
      <c r="BA206" s="190" t="str">
        <f t="shared" ca="1" si="162"/>
        <v/>
      </c>
      <c r="BB206" s="190" t="str">
        <f t="shared" ca="1" si="148"/>
        <v/>
      </c>
      <c r="BC206" s="190"/>
      <c r="BD206" s="190" t="str">
        <f ca="1">IFERROR(IF(OR(ISNUMBER(I),ISNUMBER($F$14)),IF(AND($B206&gt;=($F$16-$F$15),$B206&lt;$F$22+($F$16-$F$15)),SUM(OFFSET($T$100,($F$16-$F$15),0):$T206),""),""),"")</f>
        <v/>
      </c>
      <c r="BE206" s="190" t="str">
        <f t="shared" ca="1" si="142"/>
        <v/>
      </c>
      <c r="BF206" s="190" t="str">
        <f t="shared" ca="1" si="143"/>
        <v/>
      </c>
      <c r="BG206"/>
      <c r="BH206" s="190" t="str">
        <f ca="1">IF(ISNUMBER(OFFSET(BD206,-$F$21,0)),SUM(OFFSET($T$100,($F$16-$F$15+$F$21),0):$T206),"")</f>
        <v/>
      </c>
      <c r="BI206" s="190" t="str">
        <f t="shared" ca="1" si="163"/>
        <v/>
      </c>
      <c r="BJ206" s="190" t="str">
        <f t="shared" ca="1" si="144"/>
        <v/>
      </c>
      <c r="BK206" s="190"/>
      <c r="BL206" s="190" t="str">
        <f ca="1">IFERROR(IF(OR(ISNUMBER(I),ISNUMBER($F$14)),IF(AND($B206&gt;=($F$17-$F$15),$B206&lt;$F$22+($F$17-$F$15)),SUM(OFFSET($T$100,($F$17-$F$15),0):$T206),""),""),"")</f>
        <v/>
      </c>
      <c r="BM206" s="190" t="str">
        <f t="shared" ca="1" si="164"/>
        <v/>
      </c>
      <c r="BN206" s="190" t="str">
        <f t="shared" ca="1" si="145"/>
        <v/>
      </c>
      <c r="BO206"/>
      <c r="BP206" s="190" t="str">
        <f ca="1">IF(ISNUMBER(OFFSET(BL206,-$F$21,0)),SUM(OFFSET($T$100,($F$17-$F$15+$F$21),0):$T206),"")</f>
        <v/>
      </c>
      <c r="BQ206" s="190" t="str">
        <f t="shared" ca="1" si="165"/>
        <v/>
      </c>
      <c r="BR206" s="190" t="str">
        <f t="shared" ca="1" si="146"/>
        <v/>
      </c>
      <c r="BS206" s="190"/>
      <c r="BT206"/>
      <c r="BU206"/>
      <c r="BV206"/>
      <c r="BY206" s="99"/>
      <c r="BZ206" s="99"/>
      <c r="CA206" s="280" t="str">
        <f t="shared" si="166"/>
        <v/>
      </c>
      <c r="CB206" s="71" t="str">
        <f t="shared" si="122"/>
        <v>-</v>
      </c>
      <c r="CC206" s="33"/>
      <c r="CD206" s="261" t="str">
        <f t="shared" si="123"/>
        <v/>
      </c>
      <c r="CE206" s="280" t="str">
        <f t="shared" si="167"/>
        <v/>
      </c>
      <c r="CF206" s="71" t="str">
        <f t="shared" ca="1" si="168"/>
        <v/>
      </c>
      <c r="CG206" s="33" t="str">
        <f t="shared" si="126"/>
        <v/>
      </c>
      <c r="CH206" s="261" t="str">
        <f t="shared" ca="1" si="127"/>
        <v/>
      </c>
    </row>
    <row r="207" spans="2:86" ht="13.5" customHeight="1" x14ac:dyDescent="0.2">
      <c r="B207" s="262">
        <v>107</v>
      </c>
      <c r="C207" s="237" t="str">
        <f t="shared" si="91"/>
        <v/>
      </c>
      <c r="D207" s="237" t="str">
        <f t="shared" si="147"/>
        <v/>
      </c>
      <c r="E207" s="263" t="str">
        <f t="shared" si="128"/>
        <v/>
      </c>
      <c r="F207" s="264" t="str">
        <f t="shared" si="129"/>
        <v/>
      </c>
      <c r="G207" s="264" t="str">
        <f t="shared" si="130"/>
        <v/>
      </c>
      <c r="H207" s="240" t="str">
        <f t="shared" si="149"/>
        <v/>
      </c>
      <c r="I207" s="265" t="str">
        <f t="shared" si="150"/>
        <v/>
      </c>
      <c r="J207" s="265" t="str">
        <f t="shared" si="151"/>
        <v/>
      </c>
      <c r="K207" s="240" t="str">
        <f t="shared" si="152"/>
        <v/>
      </c>
      <c r="L207" s="265" t="str">
        <f t="shared" si="153"/>
        <v/>
      </c>
      <c r="M207" s="265" t="str">
        <f t="shared" si="154"/>
        <v/>
      </c>
      <c r="N207" s="240" t="str">
        <f t="shared" si="155"/>
        <v>-</v>
      </c>
      <c r="O207" s="265" t="str">
        <f t="shared" si="156"/>
        <v>-</v>
      </c>
      <c r="P207" s="265" t="str">
        <f t="shared" si="157"/>
        <v>-</v>
      </c>
      <c r="Q207" s="266" t="str">
        <f t="shared" si="158"/>
        <v>-</v>
      </c>
      <c r="R207" s="267" t="str">
        <f t="shared" si="159"/>
        <v>-</v>
      </c>
      <c r="S207" s="268" t="str">
        <f t="shared" si="160"/>
        <v>-</v>
      </c>
      <c r="T207" s="269" t="str">
        <f t="shared" si="104"/>
        <v/>
      </c>
      <c r="U207" s="221">
        <f t="shared" si="105"/>
        <v>107</v>
      </c>
      <c r="V207" s="220" t="str">
        <f t="shared" si="131"/>
        <v>-</v>
      </c>
      <c r="W207" s="221" t="str">
        <f t="shared" si="132"/>
        <v>-</v>
      </c>
      <c r="X207" s="221" t="str">
        <f t="shared" si="106"/>
        <v>-</v>
      </c>
      <c r="Y207" s="221" t="str">
        <f t="shared" si="107"/>
        <v>-</v>
      </c>
      <c r="Z207" s="270">
        <f t="shared" si="133"/>
        <v>0.1</v>
      </c>
      <c r="AA207" s="271" t="str">
        <f>IFERROR(IF(V206=1,AA$100*EXP(-(LN(2)/$D$65+0.04)*X206)*EXP(-(LN(2)/$D$65+0.1)*Y206),IF(V206=2,AA$100*EXP(-(LN(2)/$D$65+0.04)*(VLOOKUP(($F$16-$F$15)-1,U$99:Y206,4,FALSE)))*EXP(-(LN(2)/$D$65+0.1)*(VLOOKUP(($F$16-$F$15)-1,U$99:Y206,5,FALSE)))*EXP(-(LN(2)/$D$65+0.04)*X206)*EXP(-(LN(2)/$D$65+0.1)*Y206),IF(V206=3,AA$100*EXP(-(LN(2)/$D$65+0.04)*(VLOOKUP(($F$16-$F$15)-1,U$99:Y206,4,FALSE)))*EXP(-(LN(2)/$D$65+0.1)*(VLOOKUP(($F$16-$F$15)-1,U$99:Y206,5,FALSE)))*EXP(-(LN(2)/$D$65+0.04)*(VLOOKUP(($F$16-$F$15)*2-1,U$99:Y206,4,FALSE)))*EXP(-(LN(2)/$D$65+0.1)*(VLOOKUP(($F$16-$F$15)*2-1,U$99:Y206,5,FALSE)))*EXP(-(LN(2)/$D$65+0.04)*X206)*EXP(-(LN(2)/$D$65+0.1)*Y206),"-"))),"-")</f>
        <v>-</v>
      </c>
      <c r="AB207" s="271" t="str">
        <f>IFERROR(IF(V207=1,AB$100*EXP(-(LN(2)/$D$65+0.04)*X207)*EXP(-(LN(2)/$D$65+0.1)*Y207),IF(V207=2,AB$100*EXP(-(LN(2)/$D$65+0.04)*(VLOOKUP(($F$16-$F$15)-1,U$100:Y207,4,FALSE)))*EXP(-(LN(2)/$D$65+0.1)*(VLOOKUP(($F$16-$F$15)-1,U$100:Y207,5,FALSE)))*EXP(-(LN(2)/$D$65+0.04)*X207)*EXP(-(LN(2)/$D$65+0.1)*Y207),IF(V207=3,AB$100*EXP(-(LN(2)/$D$65+0.04)*(VLOOKUP(($F$16-$F$15)-1,U$100:Y207,4,FALSE)))*EXP(-(LN(2)/$D$65+0.1)*(VLOOKUP(($F$16-$F$15)-1,U$100:Y207,5,FALSE)))*EXP(-(LN(2)/$D$65+0.04)*(VLOOKUP(($F$16-$F$15)*2-1,U$100:Y207,4,FALSE)))*EXP(-(LN(2)/$D$65+0.1)*(VLOOKUP(($F$16-$F$15)*2-1,U$100:Y207,5,FALSE)))*EXP(-(LN(2)/$D$65+0.04)*X207)*EXP(-(LN(2)/$D$65+0.1)*Y207),"-"))),"-")</f>
        <v>-</v>
      </c>
      <c r="AC207" s="224">
        <f t="shared" si="134"/>
        <v>107</v>
      </c>
      <c r="AD207" s="223" t="str">
        <f t="shared" si="108"/>
        <v>-</v>
      </c>
      <c r="AE207" s="224" t="str">
        <f t="shared" si="135"/>
        <v>-</v>
      </c>
      <c r="AF207" s="224" t="str">
        <f t="shared" si="109"/>
        <v>-</v>
      </c>
      <c r="AG207" s="224" t="str">
        <f t="shared" si="110"/>
        <v>-</v>
      </c>
      <c r="AH207" s="272">
        <f t="shared" si="136"/>
        <v>0.1</v>
      </c>
      <c r="AI207" s="271" t="str">
        <f>IFERROR(IF(AD206=1,AI$100*EXP(-(LN(2)/$D$65+0.04)*AF206)*EXP(-(LN(2)/$D$65+0.1)*AG206),IF(AD206=2,AI$100*EXP(-(LN(2)/$D$65+0.04)*(VLOOKUP(($F$16-$F$15)-1,AC$99:AG206,4,FALSE)))*EXP(-(LN(2)/$D$65+0.1)*(VLOOKUP(($F$16-$F$15)-1,AC$99:AG206,5,FALSE)))*EXP(-(LN(2)/$D$65+0.04)*AF206)*EXP(-(LN(2)/$D$65+0.1)*AG206),IF(AD206=3,AI$100*EXP(-(LN(2)/$D$65+0.04)*(VLOOKUP(($F$16-$F$15)-1,AC$99:AG206,4,FALSE)))*EXP(-(LN(2)/$D$65+0.1)*(VLOOKUP(($F$16-$F$15)-1,AC$99:AG206,5,FALSE)))*EXP(-(LN(2)/$D$65+0.04)*(VLOOKUP(($F$16-$F$15)*2-1,AC$99:AG206,4,FALSE)))*EXP(-(LN(2)/$D$65+0.1)*(VLOOKUP(($F$16-$F$15)*2-1,AC$99:AG206,5,FALSE)))*EXP(-(LN(2)/$D$65+0.04)*AF206)*EXP(-(LN(2)/$D$65+0.1)*AG206),"-"))),"-")</f>
        <v>-</v>
      </c>
      <c r="AJ207" s="271" t="str">
        <f>IFERROR(IF(AD207=1,AJ$100*EXP(-(LN(2)/$D$65+0.04)*AF207)*EXP(-(LN(2)/$D$65+0.1)*AG207),IF(AD207=2,AJ$100*EXP(-(LN(2)/$D$65+0.04)*(VLOOKUP(($F$16-$F$15)-1,AC$100:AG207,4,FALSE)))*EXP(-(LN(2)/$D$65+0.1)*(VLOOKUP(($F$16-$F$15)-1,AC$100:AG207,5,FALSE)))*EXP(-(LN(2)/$D$65+0.04)*AF207)*EXP(-(LN(2)/$D$65+0.1)*AG207),IF(AD207=3,AJ$100*EXP(-(LN(2)/$D$65+0.04)*(VLOOKUP(($F$16-$F$15)-1,AC$100:AG207,4,FALSE)))*EXP(-(LN(2)/$D$65+0.1)*(VLOOKUP(($F$16-$F$15)-1,AC$100:AG207,5,FALSE)))*EXP(-(LN(2)/$D$65+0.04)*(VLOOKUP(($F$16-$F$15)*2-1,AC$100:AG207,4,FALSE)))*EXP(-(LN(2)/$D$65+0.1)*(VLOOKUP(($F$16-$F$15)*2-1,AC$100:AG207,5,FALSE)))*EXP(-(LN(2)/$D$65+0.04)*AF207)*EXP(-(LN(2)/$D$65+0.1)*AG207),"-"))),"-")</f>
        <v>-</v>
      </c>
      <c r="AK207" s="227">
        <f t="shared" si="137"/>
        <v>107</v>
      </c>
      <c r="AL207" s="226" t="str">
        <f t="shared" si="111"/>
        <v>-</v>
      </c>
      <c r="AM207" s="227" t="str">
        <f t="shared" si="138"/>
        <v>-</v>
      </c>
      <c r="AN207" s="227" t="str">
        <f t="shared" si="139"/>
        <v>-</v>
      </c>
      <c r="AO207" s="227" t="str">
        <f t="shared" si="112"/>
        <v>-</v>
      </c>
      <c r="AP207" s="273">
        <f t="shared" si="140"/>
        <v>0.1</v>
      </c>
      <c r="AQ207" s="271" t="str">
        <f>IFERROR(IF(AL206=1,AQ$100*EXP(-(LN(2)/$D$65+0.04)*AN206)*EXP(-(LN(2)/$D$65+0.1)*AO206),IF(AL206=2,AQ$100*EXP(-(LN(2)/$D$65+0.04)*(VLOOKUP(($F$16-$F$15)-1,AK$99:AO206,4,FALSE)))*EXP(-(LN(2)/$D$65+0.1)*(VLOOKUP(($F$16-$F$15)-1,AK$99:AO206,5,FALSE)))*EXP(-(LN(2)/$D$65+0.04)*AN206)*EXP(-(LN(2)/$D$65+0.1)*AO206),IF(AL206=3,AQ$100*EXP(-(LN(2)/$D$65+0.04)*(VLOOKUP(($F$16-$F$15)-1,AK$99:AO206,4,FALSE)))*EXP(-(LN(2)/$D$65+0.1)*(VLOOKUP(($F$16-$F$15)-1,AK$99:AO206,5,FALSE)))*EXP(-(LN(2)/$D$65+0.04)*(VLOOKUP(($F$16-$F$15)*2-1,AK$99:AO206,4,FALSE)))*EXP(-(LN(2)/$D$65+0.1)*(VLOOKUP(($F$16-$F$15)*2-1,AK$99:AO206,5,FALSE)))*EXP(-(LN(2)/$D$65+0.04)*AN206)*EXP(-(LN(2)/$D$65+0.1)*AO206),"-"))),"-")</f>
        <v>-</v>
      </c>
      <c r="AR207" s="271" t="str">
        <f>IFERROR(IF(AL207=1,AR$100*EXP(-(LN(2)/$D$65+0.04)*AN207)*EXP(-(LN(2)/$D$65+0.1)*AO207),IF(AL207=2,AR$100*EXP(-(LN(2)/$D$65+0.04)*(VLOOKUP(($F$16-$F$15)-1,AK$100:AO207,4,FALSE)))*EXP(-(LN(2)/$D$65+0.1)*(VLOOKUP(($F$16-$F$15)-1,AK$100:AO207,5,FALSE)))*EXP(-(LN(2)/$D$65+0.04)*AN207)*EXP(-(LN(2)/$D$65+0.1)*AO207),IF(AL207=3,AR$100*EXP(-(LN(2)/$D$65+0.04)*(VLOOKUP(($F$16-$F$15)-1,AK$100:AO207,4,FALSE)))*EXP(-(LN(2)/$D$65+0.1)*(VLOOKUP(($F$16-$F$15)-1,AK$100:AO207,5,FALSE)))*EXP(-(LN(2)/$D$65+0.04)*(VLOOKUP(($F$16-$F$15)*2-1,AK$100:AO207,4,FALSE)))*EXP(-(LN(2)/$D$65+0.1)*(VLOOKUP(($F$16-$F$15)*2-1,AK$100:AO207,5,FALSE)))*EXP(-(LN(2)/$D$65+0.04)*AN207)*EXP(-(LN(2)/$D$65+0.1)*AO207),"-"))),"-")</f>
        <v>-</v>
      </c>
      <c r="AS207" s="274">
        <f t="shared" si="113"/>
        <v>0</v>
      </c>
      <c r="AT207" s="274">
        <f t="shared" si="114"/>
        <v>0</v>
      </c>
      <c r="AU207" s="274">
        <f t="shared" si="115"/>
        <v>0</v>
      </c>
      <c r="AV207" s="190" t="str">
        <f>IF($B207&lt;$F$22,SUM($T$100:$T207),"")</f>
        <v/>
      </c>
      <c r="AW207" s="190" t="str">
        <f t="shared" si="161"/>
        <v>-</v>
      </c>
      <c r="AX207" s="190" t="str">
        <f t="shared" si="141"/>
        <v/>
      </c>
      <c r="AY207"/>
      <c r="AZ207" s="190" t="str">
        <f ca="1">IF(ISNUMBER(OFFSET(AV207,-$F$21,0)),SUM(OFFSET($T$100,$F$21,0):$T207),"")</f>
        <v/>
      </c>
      <c r="BA207" s="190" t="str">
        <f t="shared" ca="1" si="162"/>
        <v/>
      </c>
      <c r="BB207" s="190" t="str">
        <f t="shared" ca="1" si="148"/>
        <v/>
      </c>
      <c r="BC207" s="190"/>
      <c r="BD207" s="190" t="str">
        <f ca="1">IFERROR(IF(OR(ISNUMBER(I),ISNUMBER($F$14)),IF(AND($B207&gt;=($F$16-$F$15),$B207&lt;$F$22+($F$16-$F$15)),SUM(OFFSET($T$100,($F$16-$F$15),0):$T207),""),""),"")</f>
        <v/>
      </c>
      <c r="BE207" s="190" t="str">
        <f t="shared" ca="1" si="142"/>
        <v/>
      </c>
      <c r="BF207" s="190" t="str">
        <f t="shared" ca="1" si="143"/>
        <v/>
      </c>
      <c r="BG207"/>
      <c r="BH207" s="190" t="str">
        <f ca="1">IF(ISNUMBER(OFFSET(BD207,-$F$21,0)),SUM(OFFSET($T$100,($F$16-$F$15+$F$21),0):$T207),"")</f>
        <v/>
      </c>
      <c r="BI207" s="190" t="str">
        <f t="shared" ca="1" si="163"/>
        <v/>
      </c>
      <c r="BJ207" s="190" t="str">
        <f t="shared" ca="1" si="144"/>
        <v/>
      </c>
      <c r="BK207" s="190"/>
      <c r="BL207" s="190" t="str">
        <f ca="1">IFERROR(IF(OR(ISNUMBER(I),ISNUMBER($F$14)),IF(AND($B207&gt;=($F$17-$F$15),$B207&lt;$F$22+($F$17-$F$15)),SUM(OFFSET($T$100,($F$17-$F$15),0):$T207),""),""),"")</f>
        <v/>
      </c>
      <c r="BM207" s="190" t="str">
        <f t="shared" ca="1" si="164"/>
        <v/>
      </c>
      <c r="BN207" s="190" t="str">
        <f t="shared" ca="1" si="145"/>
        <v/>
      </c>
      <c r="BO207"/>
      <c r="BP207" s="190" t="str">
        <f ca="1">IF(ISNUMBER(OFFSET(BL207,-$F$21,0)),SUM(OFFSET($T$100,($F$17-$F$15+$F$21),0):$T207),"")</f>
        <v/>
      </c>
      <c r="BQ207" s="190" t="str">
        <f t="shared" ca="1" si="165"/>
        <v/>
      </c>
      <c r="BR207" s="190" t="str">
        <f t="shared" ca="1" si="146"/>
        <v/>
      </c>
      <c r="BS207" s="190"/>
      <c r="BT207"/>
      <c r="BU207"/>
      <c r="BV207"/>
      <c r="BY207" s="99"/>
      <c r="BZ207" s="99"/>
      <c r="CA207" s="280" t="str">
        <f t="shared" si="166"/>
        <v/>
      </c>
      <c r="CB207" s="71" t="str">
        <f t="shared" si="122"/>
        <v>-</v>
      </c>
      <c r="CC207" s="33"/>
      <c r="CD207" s="261" t="str">
        <f t="shared" si="123"/>
        <v/>
      </c>
      <c r="CE207" s="280" t="str">
        <f t="shared" si="167"/>
        <v/>
      </c>
      <c r="CF207" s="71" t="str">
        <f t="shared" ca="1" si="168"/>
        <v/>
      </c>
      <c r="CG207" s="33" t="str">
        <f t="shared" si="126"/>
        <v/>
      </c>
      <c r="CH207" s="261" t="str">
        <f t="shared" ca="1" si="127"/>
        <v/>
      </c>
    </row>
    <row r="208" spans="2:86" ht="13.5" customHeight="1" x14ac:dyDescent="0.2">
      <c r="B208" s="262">
        <v>108</v>
      </c>
      <c r="C208" s="237" t="str">
        <f t="shared" si="91"/>
        <v/>
      </c>
      <c r="D208" s="237" t="str">
        <f t="shared" si="147"/>
        <v/>
      </c>
      <c r="E208" s="263" t="str">
        <f t="shared" si="128"/>
        <v/>
      </c>
      <c r="F208" s="264" t="str">
        <f t="shared" si="129"/>
        <v/>
      </c>
      <c r="G208" s="264" t="str">
        <f t="shared" si="130"/>
        <v/>
      </c>
      <c r="H208" s="240" t="str">
        <f t="shared" si="149"/>
        <v/>
      </c>
      <c r="I208" s="265" t="str">
        <f t="shared" si="150"/>
        <v/>
      </c>
      <c r="J208" s="265" t="str">
        <f t="shared" si="151"/>
        <v/>
      </c>
      <c r="K208" s="240" t="str">
        <f t="shared" si="152"/>
        <v/>
      </c>
      <c r="L208" s="265" t="str">
        <f t="shared" si="153"/>
        <v/>
      </c>
      <c r="M208" s="265" t="str">
        <f t="shared" si="154"/>
        <v/>
      </c>
      <c r="N208" s="240" t="str">
        <f t="shared" si="155"/>
        <v>-</v>
      </c>
      <c r="O208" s="265" t="str">
        <f t="shared" si="156"/>
        <v>-</v>
      </c>
      <c r="P208" s="265" t="str">
        <f t="shared" si="157"/>
        <v>-</v>
      </c>
      <c r="Q208" s="266" t="str">
        <f t="shared" si="158"/>
        <v>-</v>
      </c>
      <c r="R208" s="267" t="str">
        <f t="shared" si="159"/>
        <v>-</v>
      </c>
      <c r="S208" s="268" t="str">
        <f t="shared" si="160"/>
        <v>-</v>
      </c>
      <c r="T208" s="269" t="str">
        <f t="shared" si="104"/>
        <v/>
      </c>
      <c r="U208" s="221">
        <f t="shared" si="105"/>
        <v>108</v>
      </c>
      <c r="V208" s="220" t="str">
        <f t="shared" si="131"/>
        <v>-</v>
      </c>
      <c r="W208" s="221" t="str">
        <f t="shared" si="132"/>
        <v>-</v>
      </c>
      <c r="X208" s="221" t="str">
        <f t="shared" si="106"/>
        <v>-</v>
      </c>
      <c r="Y208" s="221" t="str">
        <f t="shared" si="107"/>
        <v>-</v>
      </c>
      <c r="Z208" s="270">
        <f t="shared" si="133"/>
        <v>0.1</v>
      </c>
      <c r="AA208" s="271" t="str">
        <f>IFERROR(IF(V207=1,AA$100*EXP(-(LN(2)/$D$65+0.04)*X207)*EXP(-(LN(2)/$D$65+0.1)*Y207),IF(V207=2,AA$100*EXP(-(LN(2)/$D$65+0.04)*(VLOOKUP(($F$16-$F$15)-1,U$99:Y207,4,FALSE)))*EXP(-(LN(2)/$D$65+0.1)*(VLOOKUP(($F$16-$F$15)-1,U$99:Y207,5,FALSE)))*EXP(-(LN(2)/$D$65+0.04)*X207)*EXP(-(LN(2)/$D$65+0.1)*Y207),IF(V207=3,AA$100*EXP(-(LN(2)/$D$65+0.04)*(VLOOKUP(($F$16-$F$15)-1,U$99:Y207,4,FALSE)))*EXP(-(LN(2)/$D$65+0.1)*(VLOOKUP(($F$16-$F$15)-1,U$99:Y207,5,FALSE)))*EXP(-(LN(2)/$D$65+0.04)*(VLOOKUP(($F$16-$F$15)*2-1,U$99:Y207,4,FALSE)))*EXP(-(LN(2)/$D$65+0.1)*(VLOOKUP(($F$16-$F$15)*2-1,U$99:Y207,5,FALSE)))*EXP(-(LN(2)/$D$65+0.04)*X207)*EXP(-(LN(2)/$D$65+0.1)*Y207),"-"))),"-")</f>
        <v>-</v>
      </c>
      <c r="AB208" s="271" t="str">
        <f>IFERROR(IF(V208=1,AB$100*EXP(-(LN(2)/$D$65+0.04)*X208)*EXP(-(LN(2)/$D$65+0.1)*Y208),IF(V208=2,AB$100*EXP(-(LN(2)/$D$65+0.04)*(VLOOKUP(($F$16-$F$15)-1,U$100:Y208,4,FALSE)))*EXP(-(LN(2)/$D$65+0.1)*(VLOOKUP(($F$16-$F$15)-1,U$100:Y208,5,FALSE)))*EXP(-(LN(2)/$D$65+0.04)*X208)*EXP(-(LN(2)/$D$65+0.1)*Y208),IF(V208=3,AB$100*EXP(-(LN(2)/$D$65+0.04)*(VLOOKUP(($F$16-$F$15)-1,U$100:Y208,4,FALSE)))*EXP(-(LN(2)/$D$65+0.1)*(VLOOKUP(($F$16-$F$15)-1,U$100:Y208,5,FALSE)))*EXP(-(LN(2)/$D$65+0.04)*(VLOOKUP(($F$16-$F$15)*2-1,U$100:Y208,4,FALSE)))*EXP(-(LN(2)/$D$65+0.1)*(VLOOKUP(($F$16-$F$15)*2-1,U$100:Y208,5,FALSE)))*EXP(-(LN(2)/$D$65+0.04)*X208)*EXP(-(LN(2)/$D$65+0.1)*Y208),"-"))),"-")</f>
        <v>-</v>
      </c>
      <c r="AC208" s="224">
        <f t="shared" si="134"/>
        <v>108</v>
      </c>
      <c r="AD208" s="223" t="str">
        <f t="shared" si="108"/>
        <v>-</v>
      </c>
      <c r="AE208" s="224" t="str">
        <f t="shared" si="135"/>
        <v>-</v>
      </c>
      <c r="AF208" s="224" t="str">
        <f t="shared" si="109"/>
        <v>-</v>
      </c>
      <c r="AG208" s="224" t="str">
        <f t="shared" si="110"/>
        <v>-</v>
      </c>
      <c r="AH208" s="272">
        <f t="shared" si="136"/>
        <v>0.1</v>
      </c>
      <c r="AI208" s="271" t="str">
        <f>IFERROR(IF(AD207=1,AI$100*EXP(-(LN(2)/$D$65+0.04)*AF207)*EXP(-(LN(2)/$D$65+0.1)*AG207),IF(AD207=2,AI$100*EXP(-(LN(2)/$D$65+0.04)*(VLOOKUP(($F$16-$F$15)-1,AC$99:AG207,4,FALSE)))*EXP(-(LN(2)/$D$65+0.1)*(VLOOKUP(($F$16-$F$15)-1,AC$99:AG207,5,FALSE)))*EXP(-(LN(2)/$D$65+0.04)*AF207)*EXP(-(LN(2)/$D$65+0.1)*AG207),IF(AD207=3,AI$100*EXP(-(LN(2)/$D$65+0.04)*(VLOOKUP(($F$16-$F$15)-1,AC$99:AG207,4,FALSE)))*EXP(-(LN(2)/$D$65+0.1)*(VLOOKUP(($F$16-$F$15)-1,AC$99:AG207,5,FALSE)))*EXP(-(LN(2)/$D$65+0.04)*(VLOOKUP(($F$16-$F$15)*2-1,AC$99:AG207,4,FALSE)))*EXP(-(LN(2)/$D$65+0.1)*(VLOOKUP(($F$16-$F$15)*2-1,AC$99:AG207,5,FALSE)))*EXP(-(LN(2)/$D$65+0.04)*AF207)*EXP(-(LN(2)/$D$65+0.1)*AG207),"-"))),"-")</f>
        <v>-</v>
      </c>
      <c r="AJ208" s="271" t="str">
        <f>IFERROR(IF(AD208=1,AJ$100*EXP(-(LN(2)/$D$65+0.04)*AF208)*EXP(-(LN(2)/$D$65+0.1)*AG208),IF(AD208=2,AJ$100*EXP(-(LN(2)/$D$65+0.04)*(VLOOKUP(($F$16-$F$15)-1,AC$100:AG208,4,FALSE)))*EXP(-(LN(2)/$D$65+0.1)*(VLOOKUP(($F$16-$F$15)-1,AC$100:AG208,5,FALSE)))*EXP(-(LN(2)/$D$65+0.04)*AF208)*EXP(-(LN(2)/$D$65+0.1)*AG208),IF(AD208=3,AJ$100*EXP(-(LN(2)/$D$65+0.04)*(VLOOKUP(($F$16-$F$15)-1,AC$100:AG208,4,FALSE)))*EXP(-(LN(2)/$D$65+0.1)*(VLOOKUP(($F$16-$F$15)-1,AC$100:AG208,5,FALSE)))*EXP(-(LN(2)/$D$65+0.04)*(VLOOKUP(($F$16-$F$15)*2-1,AC$100:AG208,4,FALSE)))*EXP(-(LN(2)/$D$65+0.1)*(VLOOKUP(($F$16-$F$15)*2-1,AC$100:AG208,5,FALSE)))*EXP(-(LN(2)/$D$65+0.04)*AF208)*EXP(-(LN(2)/$D$65+0.1)*AG208),"-"))),"-")</f>
        <v>-</v>
      </c>
      <c r="AK208" s="227">
        <f t="shared" si="137"/>
        <v>108</v>
      </c>
      <c r="AL208" s="226" t="str">
        <f t="shared" si="111"/>
        <v>-</v>
      </c>
      <c r="AM208" s="227" t="str">
        <f t="shared" si="138"/>
        <v>-</v>
      </c>
      <c r="AN208" s="227" t="str">
        <f t="shared" si="139"/>
        <v>-</v>
      </c>
      <c r="AO208" s="227" t="str">
        <f t="shared" si="112"/>
        <v>-</v>
      </c>
      <c r="AP208" s="273">
        <f t="shared" si="140"/>
        <v>0.1</v>
      </c>
      <c r="AQ208" s="271" t="str">
        <f>IFERROR(IF(AL207=1,AQ$100*EXP(-(LN(2)/$D$65+0.04)*AN207)*EXP(-(LN(2)/$D$65+0.1)*AO207),IF(AL207=2,AQ$100*EXP(-(LN(2)/$D$65+0.04)*(VLOOKUP(($F$16-$F$15)-1,AK$99:AO207,4,FALSE)))*EXP(-(LN(2)/$D$65+0.1)*(VLOOKUP(($F$16-$F$15)-1,AK$99:AO207,5,FALSE)))*EXP(-(LN(2)/$D$65+0.04)*AN207)*EXP(-(LN(2)/$D$65+0.1)*AO207),IF(AL207=3,AQ$100*EXP(-(LN(2)/$D$65+0.04)*(VLOOKUP(($F$16-$F$15)-1,AK$99:AO207,4,FALSE)))*EXP(-(LN(2)/$D$65+0.1)*(VLOOKUP(($F$16-$F$15)-1,AK$99:AO207,5,FALSE)))*EXP(-(LN(2)/$D$65+0.04)*(VLOOKUP(($F$16-$F$15)*2-1,AK$99:AO207,4,FALSE)))*EXP(-(LN(2)/$D$65+0.1)*(VLOOKUP(($F$16-$F$15)*2-1,AK$99:AO207,5,FALSE)))*EXP(-(LN(2)/$D$65+0.04)*AN207)*EXP(-(LN(2)/$D$65+0.1)*AO207),"-"))),"-")</f>
        <v>-</v>
      </c>
      <c r="AR208" s="271" t="str">
        <f>IFERROR(IF(AL208=1,AR$100*EXP(-(LN(2)/$D$65+0.04)*AN208)*EXP(-(LN(2)/$D$65+0.1)*AO208),IF(AL208=2,AR$100*EXP(-(LN(2)/$D$65+0.04)*(VLOOKUP(($F$16-$F$15)-1,AK$100:AO208,4,FALSE)))*EXP(-(LN(2)/$D$65+0.1)*(VLOOKUP(($F$16-$F$15)-1,AK$100:AO208,5,FALSE)))*EXP(-(LN(2)/$D$65+0.04)*AN208)*EXP(-(LN(2)/$D$65+0.1)*AO208),IF(AL208=3,AR$100*EXP(-(LN(2)/$D$65+0.04)*(VLOOKUP(($F$16-$F$15)-1,AK$100:AO208,4,FALSE)))*EXP(-(LN(2)/$D$65+0.1)*(VLOOKUP(($F$16-$F$15)-1,AK$100:AO208,5,FALSE)))*EXP(-(LN(2)/$D$65+0.04)*(VLOOKUP(($F$16-$F$15)*2-1,AK$100:AO208,4,FALSE)))*EXP(-(LN(2)/$D$65+0.1)*(VLOOKUP(($F$16-$F$15)*2-1,AK$100:AO208,5,FALSE)))*EXP(-(LN(2)/$D$65+0.04)*AN208)*EXP(-(LN(2)/$D$65+0.1)*AO208),"-"))),"-")</f>
        <v>-</v>
      </c>
      <c r="AS208" s="274">
        <f t="shared" si="113"/>
        <v>0</v>
      </c>
      <c r="AT208" s="274">
        <f t="shared" si="114"/>
        <v>0</v>
      </c>
      <c r="AU208" s="274">
        <f t="shared" si="115"/>
        <v>0</v>
      </c>
      <c r="AV208" s="190" t="str">
        <f>IF($B208&lt;$F$22,SUM($T$100:$T208),"")</f>
        <v/>
      </c>
      <c r="AW208" s="190" t="str">
        <f t="shared" si="161"/>
        <v>-</v>
      </c>
      <c r="AX208" s="190" t="str">
        <f t="shared" si="141"/>
        <v/>
      </c>
      <c r="AY208"/>
      <c r="AZ208" s="190" t="str">
        <f ca="1">IF(ISNUMBER(OFFSET(AV208,-$F$21,0)),SUM(OFFSET($T$100,$F$21,0):$T208),"")</f>
        <v/>
      </c>
      <c r="BA208" s="190" t="str">
        <f t="shared" ca="1" si="162"/>
        <v/>
      </c>
      <c r="BB208" s="190" t="str">
        <f t="shared" ca="1" si="148"/>
        <v/>
      </c>
      <c r="BC208" s="190"/>
      <c r="BD208" s="190" t="str">
        <f ca="1">IFERROR(IF(OR(ISNUMBER(I),ISNUMBER($F$14)),IF(AND($B208&gt;=($F$16-$F$15),$B208&lt;$F$22+($F$16-$F$15)),SUM(OFFSET($T$100,($F$16-$F$15),0):$T208),""),""),"")</f>
        <v/>
      </c>
      <c r="BE208" s="190" t="str">
        <f t="shared" ca="1" si="142"/>
        <v/>
      </c>
      <c r="BF208" s="190" t="str">
        <f t="shared" ca="1" si="143"/>
        <v/>
      </c>
      <c r="BG208"/>
      <c r="BH208" s="190" t="str">
        <f ca="1">IF(ISNUMBER(OFFSET(BD208,-$F$21,0)),SUM(OFFSET($T$100,($F$16-$F$15+$F$21),0):$T208),"")</f>
        <v/>
      </c>
      <c r="BI208" s="190" t="str">
        <f t="shared" ca="1" si="163"/>
        <v/>
      </c>
      <c r="BJ208" s="190" t="str">
        <f t="shared" ca="1" si="144"/>
        <v/>
      </c>
      <c r="BK208" s="190"/>
      <c r="BL208" s="190" t="str">
        <f ca="1">IFERROR(IF(OR(ISNUMBER(I),ISNUMBER($F$14)),IF(AND($B208&gt;=($F$17-$F$15),$B208&lt;$F$22+($F$17-$F$15)),SUM(OFFSET($T$100,($F$17-$F$15),0):$T208),""),""),"")</f>
        <v/>
      </c>
      <c r="BM208" s="190" t="str">
        <f t="shared" ca="1" si="164"/>
        <v/>
      </c>
      <c r="BN208" s="190" t="str">
        <f t="shared" ca="1" si="145"/>
        <v/>
      </c>
      <c r="BO208"/>
      <c r="BP208" s="190" t="str">
        <f ca="1">IF(ISNUMBER(OFFSET(BL208,-$F$21,0)),SUM(OFFSET($T$100,($F$17-$F$15+$F$21),0):$T208),"")</f>
        <v/>
      </c>
      <c r="BQ208" s="190" t="str">
        <f t="shared" ca="1" si="165"/>
        <v/>
      </c>
      <c r="BR208" s="190" t="str">
        <f t="shared" ca="1" si="146"/>
        <v/>
      </c>
      <c r="BS208" s="190"/>
      <c r="BT208"/>
      <c r="BU208"/>
      <c r="BV208"/>
      <c r="BY208" s="99"/>
      <c r="BZ208" s="99"/>
      <c r="CA208" s="280" t="str">
        <f t="shared" si="166"/>
        <v/>
      </c>
      <c r="CB208" s="71" t="str">
        <f t="shared" si="122"/>
        <v>-</v>
      </c>
      <c r="CC208" s="33"/>
      <c r="CD208" s="261" t="str">
        <f t="shared" si="123"/>
        <v/>
      </c>
      <c r="CE208" s="280" t="str">
        <f t="shared" si="167"/>
        <v/>
      </c>
      <c r="CF208" s="71" t="str">
        <f t="shared" ca="1" si="168"/>
        <v/>
      </c>
      <c r="CG208" s="33" t="str">
        <f t="shared" si="126"/>
        <v/>
      </c>
      <c r="CH208" s="261" t="str">
        <f t="shared" ca="1" si="127"/>
        <v/>
      </c>
    </row>
    <row r="209" spans="2:86" ht="13.5" customHeight="1" x14ac:dyDescent="0.2">
      <c r="B209" s="262">
        <v>109</v>
      </c>
      <c r="C209" s="237" t="str">
        <f t="shared" si="91"/>
        <v/>
      </c>
      <c r="D209" s="237" t="str">
        <f t="shared" si="147"/>
        <v/>
      </c>
      <c r="E209" s="263" t="str">
        <f t="shared" si="128"/>
        <v/>
      </c>
      <c r="F209" s="264" t="str">
        <f t="shared" si="129"/>
        <v/>
      </c>
      <c r="G209" s="264" t="str">
        <f t="shared" si="130"/>
        <v/>
      </c>
      <c r="H209" s="240" t="str">
        <f t="shared" si="149"/>
        <v/>
      </c>
      <c r="I209" s="265" t="str">
        <f t="shared" si="150"/>
        <v/>
      </c>
      <c r="J209" s="265" t="str">
        <f t="shared" si="151"/>
        <v/>
      </c>
      <c r="K209" s="240" t="str">
        <f t="shared" si="152"/>
        <v/>
      </c>
      <c r="L209" s="265" t="str">
        <f t="shared" si="153"/>
        <v/>
      </c>
      <c r="M209" s="265" t="str">
        <f t="shared" si="154"/>
        <v/>
      </c>
      <c r="N209" s="240" t="str">
        <f t="shared" si="155"/>
        <v>-</v>
      </c>
      <c r="O209" s="265" t="str">
        <f t="shared" si="156"/>
        <v>-</v>
      </c>
      <c r="P209" s="265" t="str">
        <f t="shared" si="157"/>
        <v>-</v>
      </c>
      <c r="Q209" s="266" t="str">
        <f t="shared" si="158"/>
        <v>-</v>
      </c>
      <c r="R209" s="267" t="str">
        <f t="shared" si="159"/>
        <v>-</v>
      </c>
      <c r="S209" s="268" t="str">
        <f t="shared" si="160"/>
        <v>-</v>
      </c>
      <c r="T209" s="269" t="str">
        <f t="shared" si="104"/>
        <v/>
      </c>
      <c r="U209" s="221">
        <f t="shared" si="105"/>
        <v>109</v>
      </c>
      <c r="V209" s="220" t="str">
        <f t="shared" si="131"/>
        <v>-</v>
      </c>
      <c r="W209" s="221" t="str">
        <f t="shared" si="132"/>
        <v>-</v>
      </c>
      <c r="X209" s="221" t="str">
        <f t="shared" si="106"/>
        <v>-</v>
      </c>
      <c r="Y209" s="221" t="str">
        <f t="shared" si="107"/>
        <v>-</v>
      </c>
      <c r="Z209" s="270">
        <f t="shared" si="133"/>
        <v>0.1</v>
      </c>
      <c r="AA209" s="271" t="str">
        <f>IFERROR(IF(V208=1,AA$100*EXP(-(LN(2)/$D$65+0.04)*X208)*EXP(-(LN(2)/$D$65+0.1)*Y208),IF(V208=2,AA$100*EXP(-(LN(2)/$D$65+0.04)*(VLOOKUP(($F$16-$F$15)-1,U$99:Y208,4,FALSE)))*EXP(-(LN(2)/$D$65+0.1)*(VLOOKUP(($F$16-$F$15)-1,U$99:Y208,5,FALSE)))*EXP(-(LN(2)/$D$65+0.04)*X208)*EXP(-(LN(2)/$D$65+0.1)*Y208),IF(V208=3,AA$100*EXP(-(LN(2)/$D$65+0.04)*(VLOOKUP(($F$16-$F$15)-1,U$99:Y208,4,FALSE)))*EXP(-(LN(2)/$D$65+0.1)*(VLOOKUP(($F$16-$F$15)-1,U$99:Y208,5,FALSE)))*EXP(-(LN(2)/$D$65+0.04)*(VLOOKUP(($F$16-$F$15)*2-1,U$99:Y208,4,FALSE)))*EXP(-(LN(2)/$D$65+0.1)*(VLOOKUP(($F$16-$F$15)*2-1,U$99:Y208,5,FALSE)))*EXP(-(LN(2)/$D$65+0.04)*X208)*EXP(-(LN(2)/$D$65+0.1)*Y208),"-"))),"-")</f>
        <v>-</v>
      </c>
      <c r="AB209" s="271" t="str">
        <f>IFERROR(IF(V209=1,AB$100*EXP(-(LN(2)/$D$65+0.04)*X209)*EXP(-(LN(2)/$D$65+0.1)*Y209),IF(V209=2,AB$100*EXP(-(LN(2)/$D$65+0.04)*(VLOOKUP(($F$16-$F$15)-1,U$100:Y209,4,FALSE)))*EXP(-(LN(2)/$D$65+0.1)*(VLOOKUP(($F$16-$F$15)-1,U$100:Y209,5,FALSE)))*EXP(-(LN(2)/$D$65+0.04)*X209)*EXP(-(LN(2)/$D$65+0.1)*Y209),IF(V209=3,AB$100*EXP(-(LN(2)/$D$65+0.04)*(VLOOKUP(($F$16-$F$15)-1,U$100:Y209,4,FALSE)))*EXP(-(LN(2)/$D$65+0.1)*(VLOOKUP(($F$16-$F$15)-1,U$100:Y209,5,FALSE)))*EXP(-(LN(2)/$D$65+0.04)*(VLOOKUP(($F$16-$F$15)*2-1,U$100:Y209,4,FALSE)))*EXP(-(LN(2)/$D$65+0.1)*(VLOOKUP(($F$16-$F$15)*2-1,U$100:Y209,5,FALSE)))*EXP(-(LN(2)/$D$65+0.04)*X209)*EXP(-(LN(2)/$D$65+0.1)*Y209),"-"))),"-")</f>
        <v>-</v>
      </c>
      <c r="AC209" s="224">
        <f t="shared" si="134"/>
        <v>109</v>
      </c>
      <c r="AD209" s="223" t="str">
        <f t="shared" si="108"/>
        <v>-</v>
      </c>
      <c r="AE209" s="224" t="str">
        <f t="shared" si="135"/>
        <v>-</v>
      </c>
      <c r="AF209" s="224" t="str">
        <f t="shared" si="109"/>
        <v>-</v>
      </c>
      <c r="AG209" s="224" t="str">
        <f t="shared" si="110"/>
        <v>-</v>
      </c>
      <c r="AH209" s="272">
        <f t="shared" si="136"/>
        <v>0.1</v>
      </c>
      <c r="AI209" s="271" t="str">
        <f>IFERROR(IF(AD208=1,AI$100*EXP(-(LN(2)/$D$65+0.04)*AF208)*EXP(-(LN(2)/$D$65+0.1)*AG208),IF(AD208=2,AI$100*EXP(-(LN(2)/$D$65+0.04)*(VLOOKUP(($F$16-$F$15)-1,AC$99:AG208,4,FALSE)))*EXP(-(LN(2)/$D$65+0.1)*(VLOOKUP(($F$16-$F$15)-1,AC$99:AG208,5,FALSE)))*EXP(-(LN(2)/$D$65+0.04)*AF208)*EXP(-(LN(2)/$D$65+0.1)*AG208),IF(AD208=3,AI$100*EXP(-(LN(2)/$D$65+0.04)*(VLOOKUP(($F$16-$F$15)-1,AC$99:AG208,4,FALSE)))*EXP(-(LN(2)/$D$65+0.1)*(VLOOKUP(($F$16-$F$15)-1,AC$99:AG208,5,FALSE)))*EXP(-(LN(2)/$D$65+0.04)*(VLOOKUP(($F$16-$F$15)*2-1,AC$99:AG208,4,FALSE)))*EXP(-(LN(2)/$D$65+0.1)*(VLOOKUP(($F$16-$F$15)*2-1,AC$99:AG208,5,FALSE)))*EXP(-(LN(2)/$D$65+0.04)*AF208)*EXP(-(LN(2)/$D$65+0.1)*AG208),"-"))),"-")</f>
        <v>-</v>
      </c>
      <c r="AJ209" s="271" t="str">
        <f>IFERROR(IF(AD209=1,AJ$100*EXP(-(LN(2)/$D$65+0.04)*AF209)*EXP(-(LN(2)/$D$65+0.1)*AG209),IF(AD209=2,AJ$100*EXP(-(LN(2)/$D$65+0.04)*(VLOOKUP(($F$16-$F$15)-1,AC$100:AG209,4,FALSE)))*EXP(-(LN(2)/$D$65+0.1)*(VLOOKUP(($F$16-$F$15)-1,AC$100:AG209,5,FALSE)))*EXP(-(LN(2)/$D$65+0.04)*AF209)*EXP(-(LN(2)/$D$65+0.1)*AG209),IF(AD209=3,AJ$100*EXP(-(LN(2)/$D$65+0.04)*(VLOOKUP(($F$16-$F$15)-1,AC$100:AG209,4,FALSE)))*EXP(-(LN(2)/$D$65+0.1)*(VLOOKUP(($F$16-$F$15)-1,AC$100:AG209,5,FALSE)))*EXP(-(LN(2)/$D$65+0.04)*(VLOOKUP(($F$16-$F$15)*2-1,AC$100:AG209,4,FALSE)))*EXP(-(LN(2)/$D$65+0.1)*(VLOOKUP(($F$16-$F$15)*2-1,AC$100:AG209,5,FALSE)))*EXP(-(LN(2)/$D$65+0.04)*AF209)*EXP(-(LN(2)/$D$65+0.1)*AG209),"-"))),"-")</f>
        <v>-</v>
      </c>
      <c r="AK209" s="227">
        <f t="shared" si="137"/>
        <v>109</v>
      </c>
      <c r="AL209" s="226" t="str">
        <f t="shared" si="111"/>
        <v>-</v>
      </c>
      <c r="AM209" s="227" t="str">
        <f t="shared" si="138"/>
        <v>-</v>
      </c>
      <c r="AN209" s="227" t="str">
        <f t="shared" si="139"/>
        <v>-</v>
      </c>
      <c r="AO209" s="227" t="str">
        <f t="shared" si="112"/>
        <v>-</v>
      </c>
      <c r="AP209" s="273">
        <f t="shared" si="140"/>
        <v>0.1</v>
      </c>
      <c r="AQ209" s="271" t="str">
        <f>IFERROR(IF(AL208=1,AQ$100*EXP(-(LN(2)/$D$65+0.04)*AN208)*EXP(-(LN(2)/$D$65+0.1)*AO208),IF(AL208=2,AQ$100*EXP(-(LN(2)/$D$65+0.04)*(VLOOKUP(($F$16-$F$15)-1,AK$99:AO208,4,FALSE)))*EXP(-(LN(2)/$D$65+0.1)*(VLOOKUP(($F$16-$F$15)-1,AK$99:AO208,5,FALSE)))*EXP(-(LN(2)/$D$65+0.04)*AN208)*EXP(-(LN(2)/$D$65+0.1)*AO208),IF(AL208=3,AQ$100*EXP(-(LN(2)/$D$65+0.04)*(VLOOKUP(($F$16-$F$15)-1,AK$99:AO208,4,FALSE)))*EXP(-(LN(2)/$D$65+0.1)*(VLOOKUP(($F$16-$F$15)-1,AK$99:AO208,5,FALSE)))*EXP(-(LN(2)/$D$65+0.04)*(VLOOKUP(($F$16-$F$15)*2-1,AK$99:AO208,4,FALSE)))*EXP(-(LN(2)/$D$65+0.1)*(VLOOKUP(($F$16-$F$15)*2-1,AK$99:AO208,5,FALSE)))*EXP(-(LN(2)/$D$65+0.04)*AN208)*EXP(-(LN(2)/$D$65+0.1)*AO208),"-"))),"-")</f>
        <v>-</v>
      </c>
      <c r="AR209" s="271" t="str">
        <f>IFERROR(IF(AL209=1,AR$100*EXP(-(LN(2)/$D$65+0.04)*AN209)*EXP(-(LN(2)/$D$65+0.1)*AO209),IF(AL209=2,AR$100*EXP(-(LN(2)/$D$65+0.04)*(VLOOKUP(($F$16-$F$15)-1,AK$100:AO209,4,FALSE)))*EXP(-(LN(2)/$D$65+0.1)*(VLOOKUP(($F$16-$F$15)-1,AK$100:AO209,5,FALSE)))*EXP(-(LN(2)/$D$65+0.04)*AN209)*EXP(-(LN(2)/$D$65+0.1)*AO209),IF(AL209=3,AR$100*EXP(-(LN(2)/$D$65+0.04)*(VLOOKUP(($F$16-$F$15)-1,AK$100:AO209,4,FALSE)))*EXP(-(LN(2)/$D$65+0.1)*(VLOOKUP(($F$16-$F$15)-1,AK$100:AO209,5,FALSE)))*EXP(-(LN(2)/$D$65+0.04)*(VLOOKUP(($F$16-$F$15)*2-1,AK$100:AO209,4,FALSE)))*EXP(-(LN(2)/$D$65+0.1)*(VLOOKUP(($F$16-$F$15)*2-1,AK$100:AO209,5,FALSE)))*EXP(-(LN(2)/$D$65+0.04)*AN209)*EXP(-(LN(2)/$D$65+0.1)*AO209),"-"))),"-")</f>
        <v>-</v>
      </c>
      <c r="AS209" s="274">
        <f t="shared" si="113"/>
        <v>0</v>
      </c>
      <c r="AT209" s="274">
        <f t="shared" si="114"/>
        <v>0</v>
      </c>
      <c r="AU209" s="274">
        <f t="shared" si="115"/>
        <v>0</v>
      </c>
      <c r="AV209" s="190" t="str">
        <f>IF($B209&lt;$F$22,SUM($T$100:$T209),"")</f>
        <v/>
      </c>
      <c r="AW209" s="190" t="str">
        <f t="shared" si="161"/>
        <v>-</v>
      </c>
      <c r="AX209" s="190" t="str">
        <f t="shared" si="141"/>
        <v/>
      </c>
      <c r="AY209"/>
      <c r="AZ209" s="190" t="str">
        <f ca="1">IF(ISNUMBER(OFFSET(AV209,-$F$21,0)),SUM(OFFSET($T$100,$F$21,0):$T209),"")</f>
        <v/>
      </c>
      <c r="BA209" s="190" t="str">
        <f t="shared" ca="1" si="162"/>
        <v/>
      </c>
      <c r="BB209" s="190" t="str">
        <f t="shared" ca="1" si="148"/>
        <v/>
      </c>
      <c r="BC209" s="190"/>
      <c r="BD209" s="190" t="str">
        <f ca="1">IFERROR(IF(OR(ISNUMBER(I),ISNUMBER($F$14)),IF(AND($B209&gt;=($F$16-$F$15),$B209&lt;$F$22+($F$16-$F$15)),SUM(OFFSET($T$100,($F$16-$F$15),0):$T209),""),""),"")</f>
        <v/>
      </c>
      <c r="BE209" s="190" t="str">
        <f t="shared" ca="1" si="142"/>
        <v/>
      </c>
      <c r="BF209" s="190" t="str">
        <f t="shared" ca="1" si="143"/>
        <v/>
      </c>
      <c r="BG209"/>
      <c r="BH209" s="190" t="str">
        <f ca="1">IF(ISNUMBER(OFFSET(BD209,-$F$21,0)),SUM(OFFSET($T$100,($F$16-$F$15+$F$21),0):$T209),"")</f>
        <v/>
      </c>
      <c r="BI209" s="190" t="str">
        <f t="shared" ca="1" si="163"/>
        <v/>
      </c>
      <c r="BJ209" s="190" t="str">
        <f t="shared" ca="1" si="144"/>
        <v/>
      </c>
      <c r="BK209" s="190"/>
      <c r="BL209" s="190" t="str">
        <f ca="1">IFERROR(IF(OR(ISNUMBER(I),ISNUMBER($F$14)),IF(AND($B209&gt;=($F$17-$F$15),$B209&lt;$F$22+($F$17-$F$15)),SUM(OFFSET($T$100,($F$17-$F$15),0):$T209),""),""),"")</f>
        <v/>
      </c>
      <c r="BM209" s="190" t="str">
        <f t="shared" ca="1" si="164"/>
        <v/>
      </c>
      <c r="BN209" s="190" t="str">
        <f t="shared" ca="1" si="145"/>
        <v/>
      </c>
      <c r="BO209"/>
      <c r="BP209" s="190" t="str">
        <f ca="1">IF(ISNUMBER(OFFSET(BL209,-$F$21,0)),SUM(OFFSET($T$100,($F$17-$F$15+$F$21),0):$T209),"")</f>
        <v/>
      </c>
      <c r="BQ209" s="190" t="str">
        <f t="shared" ca="1" si="165"/>
        <v/>
      </c>
      <c r="BR209" s="190" t="str">
        <f t="shared" ca="1" si="146"/>
        <v/>
      </c>
      <c r="BS209" s="190"/>
      <c r="BT209"/>
      <c r="BU209"/>
      <c r="BV209"/>
      <c r="BY209" s="99"/>
      <c r="BZ209" s="99"/>
      <c r="CA209" s="280" t="str">
        <f t="shared" si="166"/>
        <v/>
      </c>
      <c r="CB209" s="71" t="str">
        <f t="shared" si="122"/>
        <v>-</v>
      </c>
      <c r="CC209" s="33"/>
      <c r="CD209" s="261" t="str">
        <f t="shared" si="123"/>
        <v/>
      </c>
      <c r="CE209" s="280" t="str">
        <f t="shared" si="167"/>
        <v/>
      </c>
      <c r="CF209" s="71" t="str">
        <f t="shared" ca="1" si="168"/>
        <v/>
      </c>
      <c r="CG209" s="33" t="str">
        <f t="shared" si="126"/>
        <v/>
      </c>
      <c r="CH209" s="261" t="str">
        <f t="shared" ca="1" si="127"/>
        <v/>
      </c>
    </row>
    <row r="210" spans="2:86" ht="13.5" customHeight="1" x14ac:dyDescent="0.2">
      <c r="B210" s="262">
        <v>110</v>
      </c>
      <c r="C210" s="237" t="str">
        <f t="shared" si="91"/>
        <v/>
      </c>
      <c r="D210" s="237" t="str">
        <f t="shared" si="147"/>
        <v/>
      </c>
      <c r="E210" s="263" t="str">
        <f t="shared" si="128"/>
        <v/>
      </c>
      <c r="F210" s="264" t="str">
        <f t="shared" si="129"/>
        <v/>
      </c>
      <c r="G210" s="264" t="str">
        <f t="shared" si="130"/>
        <v/>
      </c>
      <c r="H210" s="240" t="str">
        <f t="shared" si="149"/>
        <v/>
      </c>
      <c r="I210" s="265" t="str">
        <f t="shared" si="150"/>
        <v/>
      </c>
      <c r="J210" s="265" t="str">
        <f t="shared" si="151"/>
        <v/>
      </c>
      <c r="K210" s="240" t="str">
        <f t="shared" si="152"/>
        <v/>
      </c>
      <c r="L210" s="265" t="str">
        <f t="shared" si="153"/>
        <v/>
      </c>
      <c r="M210" s="265" t="str">
        <f t="shared" si="154"/>
        <v/>
      </c>
      <c r="N210" s="240" t="str">
        <f t="shared" si="155"/>
        <v>-</v>
      </c>
      <c r="O210" s="265" t="str">
        <f t="shared" si="156"/>
        <v>-</v>
      </c>
      <c r="P210" s="265" t="str">
        <f t="shared" si="157"/>
        <v>-</v>
      </c>
      <c r="Q210" s="266" t="str">
        <f t="shared" si="158"/>
        <v>-</v>
      </c>
      <c r="R210" s="267" t="str">
        <f t="shared" si="159"/>
        <v>-</v>
      </c>
      <c r="S210" s="268" t="str">
        <f t="shared" si="160"/>
        <v>-</v>
      </c>
      <c r="T210" s="269" t="str">
        <f t="shared" si="104"/>
        <v/>
      </c>
      <c r="U210" s="221">
        <f t="shared" si="105"/>
        <v>110</v>
      </c>
      <c r="V210" s="220" t="str">
        <f t="shared" si="131"/>
        <v>-</v>
      </c>
      <c r="W210" s="221" t="str">
        <f t="shared" si="132"/>
        <v>-</v>
      </c>
      <c r="X210" s="221" t="str">
        <f t="shared" si="106"/>
        <v>-</v>
      </c>
      <c r="Y210" s="221" t="str">
        <f t="shared" si="107"/>
        <v>-</v>
      </c>
      <c r="Z210" s="270">
        <f t="shared" si="133"/>
        <v>0.1</v>
      </c>
      <c r="AA210" s="271" t="str">
        <f>IFERROR(IF(V209=1,AA$100*EXP(-(LN(2)/$D$65+0.04)*X209)*EXP(-(LN(2)/$D$65+0.1)*Y209),IF(V209=2,AA$100*EXP(-(LN(2)/$D$65+0.04)*(VLOOKUP(($F$16-$F$15)-1,U$99:Y209,4,FALSE)))*EXP(-(LN(2)/$D$65+0.1)*(VLOOKUP(($F$16-$F$15)-1,U$99:Y209,5,FALSE)))*EXP(-(LN(2)/$D$65+0.04)*X209)*EXP(-(LN(2)/$D$65+0.1)*Y209),IF(V209=3,AA$100*EXP(-(LN(2)/$D$65+0.04)*(VLOOKUP(($F$16-$F$15)-1,U$99:Y209,4,FALSE)))*EXP(-(LN(2)/$D$65+0.1)*(VLOOKUP(($F$16-$F$15)-1,U$99:Y209,5,FALSE)))*EXP(-(LN(2)/$D$65+0.04)*(VLOOKUP(($F$16-$F$15)*2-1,U$99:Y209,4,FALSE)))*EXP(-(LN(2)/$D$65+0.1)*(VLOOKUP(($F$16-$F$15)*2-1,U$99:Y209,5,FALSE)))*EXP(-(LN(2)/$D$65+0.04)*X209)*EXP(-(LN(2)/$D$65+0.1)*Y209),"-"))),"-")</f>
        <v>-</v>
      </c>
      <c r="AB210" s="271" t="str">
        <f>IFERROR(IF(V210=1,AB$100*EXP(-(LN(2)/$D$65+0.04)*X210)*EXP(-(LN(2)/$D$65+0.1)*Y210),IF(V210=2,AB$100*EXP(-(LN(2)/$D$65+0.04)*(VLOOKUP(($F$16-$F$15)-1,U$100:Y210,4,FALSE)))*EXP(-(LN(2)/$D$65+0.1)*(VLOOKUP(($F$16-$F$15)-1,U$100:Y210,5,FALSE)))*EXP(-(LN(2)/$D$65+0.04)*X210)*EXP(-(LN(2)/$D$65+0.1)*Y210),IF(V210=3,AB$100*EXP(-(LN(2)/$D$65+0.04)*(VLOOKUP(($F$16-$F$15)-1,U$100:Y210,4,FALSE)))*EXP(-(LN(2)/$D$65+0.1)*(VLOOKUP(($F$16-$F$15)-1,U$100:Y210,5,FALSE)))*EXP(-(LN(2)/$D$65+0.04)*(VLOOKUP(($F$16-$F$15)*2-1,U$100:Y210,4,FALSE)))*EXP(-(LN(2)/$D$65+0.1)*(VLOOKUP(($F$16-$F$15)*2-1,U$100:Y210,5,FALSE)))*EXP(-(LN(2)/$D$65+0.04)*X210)*EXP(-(LN(2)/$D$65+0.1)*Y210),"-"))),"-")</f>
        <v>-</v>
      </c>
      <c r="AC210" s="224">
        <f t="shared" si="134"/>
        <v>110</v>
      </c>
      <c r="AD210" s="223" t="str">
        <f t="shared" si="108"/>
        <v>-</v>
      </c>
      <c r="AE210" s="224" t="str">
        <f t="shared" si="135"/>
        <v>-</v>
      </c>
      <c r="AF210" s="224" t="str">
        <f t="shared" si="109"/>
        <v>-</v>
      </c>
      <c r="AG210" s="224" t="str">
        <f t="shared" si="110"/>
        <v>-</v>
      </c>
      <c r="AH210" s="272">
        <f t="shared" si="136"/>
        <v>0.1</v>
      </c>
      <c r="AI210" s="271" t="str">
        <f>IFERROR(IF(AD209=1,AI$100*EXP(-(LN(2)/$D$65+0.04)*AF209)*EXP(-(LN(2)/$D$65+0.1)*AG209),IF(AD209=2,AI$100*EXP(-(LN(2)/$D$65+0.04)*(VLOOKUP(($F$16-$F$15)-1,AC$99:AG209,4,FALSE)))*EXP(-(LN(2)/$D$65+0.1)*(VLOOKUP(($F$16-$F$15)-1,AC$99:AG209,5,FALSE)))*EXP(-(LN(2)/$D$65+0.04)*AF209)*EXP(-(LN(2)/$D$65+0.1)*AG209),IF(AD209=3,AI$100*EXP(-(LN(2)/$D$65+0.04)*(VLOOKUP(($F$16-$F$15)-1,AC$99:AG209,4,FALSE)))*EXP(-(LN(2)/$D$65+0.1)*(VLOOKUP(($F$16-$F$15)-1,AC$99:AG209,5,FALSE)))*EXP(-(LN(2)/$D$65+0.04)*(VLOOKUP(($F$16-$F$15)*2-1,AC$99:AG209,4,FALSE)))*EXP(-(LN(2)/$D$65+0.1)*(VLOOKUP(($F$16-$F$15)*2-1,AC$99:AG209,5,FALSE)))*EXP(-(LN(2)/$D$65+0.04)*AF209)*EXP(-(LN(2)/$D$65+0.1)*AG209),"-"))),"-")</f>
        <v>-</v>
      </c>
      <c r="AJ210" s="271" t="str">
        <f>IFERROR(IF(AD210=1,AJ$100*EXP(-(LN(2)/$D$65+0.04)*AF210)*EXP(-(LN(2)/$D$65+0.1)*AG210),IF(AD210=2,AJ$100*EXP(-(LN(2)/$D$65+0.04)*(VLOOKUP(($F$16-$F$15)-1,AC$100:AG210,4,FALSE)))*EXP(-(LN(2)/$D$65+0.1)*(VLOOKUP(($F$16-$F$15)-1,AC$100:AG210,5,FALSE)))*EXP(-(LN(2)/$D$65+0.04)*AF210)*EXP(-(LN(2)/$D$65+0.1)*AG210),IF(AD210=3,AJ$100*EXP(-(LN(2)/$D$65+0.04)*(VLOOKUP(($F$16-$F$15)-1,AC$100:AG210,4,FALSE)))*EXP(-(LN(2)/$D$65+0.1)*(VLOOKUP(($F$16-$F$15)-1,AC$100:AG210,5,FALSE)))*EXP(-(LN(2)/$D$65+0.04)*(VLOOKUP(($F$16-$F$15)*2-1,AC$100:AG210,4,FALSE)))*EXP(-(LN(2)/$D$65+0.1)*(VLOOKUP(($F$16-$F$15)*2-1,AC$100:AG210,5,FALSE)))*EXP(-(LN(2)/$D$65+0.04)*AF210)*EXP(-(LN(2)/$D$65+0.1)*AG210),"-"))),"-")</f>
        <v>-</v>
      </c>
      <c r="AK210" s="227">
        <f t="shared" si="137"/>
        <v>110</v>
      </c>
      <c r="AL210" s="226" t="str">
        <f t="shared" si="111"/>
        <v>-</v>
      </c>
      <c r="AM210" s="227" t="str">
        <f t="shared" si="138"/>
        <v>-</v>
      </c>
      <c r="AN210" s="227" t="str">
        <f t="shared" si="139"/>
        <v>-</v>
      </c>
      <c r="AO210" s="227" t="str">
        <f t="shared" si="112"/>
        <v>-</v>
      </c>
      <c r="AP210" s="273">
        <f t="shared" si="140"/>
        <v>0.1</v>
      </c>
      <c r="AQ210" s="271" t="str">
        <f>IFERROR(IF(AL209=1,AQ$100*EXP(-(LN(2)/$D$65+0.04)*AN209)*EXP(-(LN(2)/$D$65+0.1)*AO209),IF(AL209=2,AQ$100*EXP(-(LN(2)/$D$65+0.04)*(VLOOKUP(($F$16-$F$15)-1,AK$99:AO209,4,FALSE)))*EXP(-(LN(2)/$D$65+0.1)*(VLOOKUP(($F$16-$F$15)-1,AK$99:AO209,5,FALSE)))*EXP(-(LN(2)/$D$65+0.04)*AN209)*EXP(-(LN(2)/$D$65+0.1)*AO209),IF(AL209=3,AQ$100*EXP(-(LN(2)/$D$65+0.04)*(VLOOKUP(($F$16-$F$15)-1,AK$99:AO209,4,FALSE)))*EXP(-(LN(2)/$D$65+0.1)*(VLOOKUP(($F$16-$F$15)-1,AK$99:AO209,5,FALSE)))*EXP(-(LN(2)/$D$65+0.04)*(VLOOKUP(($F$16-$F$15)*2-1,AK$99:AO209,4,FALSE)))*EXP(-(LN(2)/$D$65+0.1)*(VLOOKUP(($F$16-$F$15)*2-1,AK$99:AO209,5,FALSE)))*EXP(-(LN(2)/$D$65+0.04)*AN209)*EXP(-(LN(2)/$D$65+0.1)*AO209),"-"))),"-")</f>
        <v>-</v>
      </c>
      <c r="AR210" s="271" t="str">
        <f>IFERROR(IF(AL210=1,AR$100*EXP(-(LN(2)/$D$65+0.04)*AN210)*EXP(-(LN(2)/$D$65+0.1)*AO210),IF(AL210=2,AR$100*EXP(-(LN(2)/$D$65+0.04)*(VLOOKUP(($F$16-$F$15)-1,AK$100:AO210,4,FALSE)))*EXP(-(LN(2)/$D$65+0.1)*(VLOOKUP(($F$16-$F$15)-1,AK$100:AO210,5,FALSE)))*EXP(-(LN(2)/$D$65+0.04)*AN210)*EXP(-(LN(2)/$D$65+0.1)*AO210),IF(AL210=3,AR$100*EXP(-(LN(2)/$D$65+0.04)*(VLOOKUP(($F$16-$F$15)-1,AK$100:AO210,4,FALSE)))*EXP(-(LN(2)/$D$65+0.1)*(VLOOKUP(($F$16-$F$15)-1,AK$100:AO210,5,FALSE)))*EXP(-(LN(2)/$D$65+0.04)*(VLOOKUP(($F$16-$F$15)*2-1,AK$100:AO210,4,FALSE)))*EXP(-(LN(2)/$D$65+0.1)*(VLOOKUP(($F$16-$F$15)*2-1,AK$100:AO210,5,FALSE)))*EXP(-(LN(2)/$D$65+0.04)*AN210)*EXP(-(LN(2)/$D$65+0.1)*AO210),"-"))),"-")</f>
        <v>-</v>
      </c>
      <c r="AS210" s="274">
        <f t="shared" si="113"/>
        <v>0</v>
      </c>
      <c r="AT210" s="274">
        <f t="shared" si="114"/>
        <v>0</v>
      </c>
      <c r="AU210" s="274">
        <f t="shared" si="115"/>
        <v>0</v>
      </c>
      <c r="AV210" s="190" t="str">
        <f>IF($B210&lt;$F$22,SUM($T$100:$T210),"")</f>
        <v/>
      </c>
      <c r="AW210" s="190" t="str">
        <f t="shared" si="161"/>
        <v>-</v>
      </c>
      <c r="AX210" s="190" t="str">
        <f t="shared" si="141"/>
        <v/>
      </c>
      <c r="AY210"/>
      <c r="AZ210" s="190" t="str">
        <f ca="1">IF(ISNUMBER(OFFSET(AV210,-$F$21,0)),SUM(OFFSET($T$100,$F$21,0):$T210),"")</f>
        <v/>
      </c>
      <c r="BA210" s="190" t="str">
        <f t="shared" ca="1" si="162"/>
        <v/>
      </c>
      <c r="BB210" s="190" t="str">
        <f t="shared" ca="1" si="148"/>
        <v/>
      </c>
      <c r="BC210" s="190"/>
      <c r="BD210" s="190" t="str">
        <f ca="1">IFERROR(IF(OR(ISNUMBER(I),ISNUMBER($F$14)),IF(AND($B210&gt;=($F$16-$F$15),$B210&lt;$F$22+($F$16-$F$15)),SUM(OFFSET($T$100,($F$16-$F$15),0):$T210),""),""),"")</f>
        <v/>
      </c>
      <c r="BE210" s="190" t="str">
        <f t="shared" ca="1" si="142"/>
        <v/>
      </c>
      <c r="BF210" s="190" t="str">
        <f t="shared" ca="1" si="143"/>
        <v/>
      </c>
      <c r="BG210"/>
      <c r="BH210" s="190" t="str">
        <f ca="1">IF(ISNUMBER(OFFSET(BD210,-$F$21,0)),SUM(OFFSET($T$100,($F$16-$F$15+$F$21),0):$T210),"")</f>
        <v/>
      </c>
      <c r="BI210" s="190" t="str">
        <f t="shared" ca="1" si="163"/>
        <v/>
      </c>
      <c r="BJ210" s="190" t="str">
        <f t="shared" ca="1" si="144"/>
        <v/>
      </c>
      <c r="BK210" s="190"/>
      <c r="BL210" s="190" t="str">
        <f ca="1">IFERROR(IF(OR(ISNUMBER(I),ISNUMBER($F$14)),IF(AND($B210&gt;=($F$17-$F$15),$B210&lt;$F$22+($F$17-$F$15)),SUM(OFFSET($T$100,($F$17-$F$15),0):$T210),""),""),"")</f>
        <v/>
      </c>
      <c r="BM210" s="190" t="str">
        <f t="shared" ca="1" si="164"/>
        <v/>
      </c>
      <c r="BN210" s="190" t="str">
        <f t="shared" ca="1" si="145"/>
        <v/>
      </c>
      <c r="BO210"/>
      <c r="BP210" s="190" t="str">
        <f ca="1">IF(ISNUMBER(OFFSET(BL210,-$F$21,0)),SUM(OFFSET($T$100,($F$17-$F$15+$F$21),0):$T210),"")</f>
        <v/>
      </c>
      <c r="BQ210" s="190" t="str">
        <f t="shared" ca="1" si="165"/>
        <v/>
      </c>
      <c r="BR210" s="190" t="str">
        <f t="shared" ca="1" si="146"/>
        <v/>
      </c>
      <c r="BS210" s="190"/>
      <c r="BT210"/>
      <c r="BU210"/>
      <c r="BV210"/>
      <c r="BY210" s="99"/>
      <c r="BZ210" s="99"/>
      <c r="CA210" s="280" t="str">
        <f t="shared" si="166"/>
        <v/>
      </c>
      <c r="CB210" s="71" t="str">
        <f t="shared" si="122"/>
        <v>-</v>
      </c>
      <c r="CC210" s="33"/>
      <c r="CD210" s="261" t="str">
        <f t="shared" si="123"/>
        <v/>
      </c>
      <c r="CE210" s="280" t="str">
        <f t="shared" si="167"/>
        <v/>
      </c>
      <c r="CF210" s="71" t="str">
        <f t="shared" ca="1" si="168"/>
        <v/>
      </c>
      <c r="CG210" s="33" t="str">
        <f t="shared" si="126"/>
        <v/>
      </c>
      <c r="CH210" s="261" t="str">
        <f t="shared" ca="1" si="127"/>
        <v/>
      </c>
    </row>
    <row r="211" spans="2:86" ht="13.5" customHeight="1" x14ac:dyDescent="0.2">
      <c r="B211" s="262">
        <v>111</v>
      </c>
      <c r="C211" s="237" t="str">
        <f t="shared" si="91"/>
        <v/>
      </c>
      <c r="D211" s="237" t="str">
        <f t="shared" si="147"/>
        <v/>
      </c>
      <c r="E211" s="263" t="str">
        <f t="shared" si="128"/>
        <v/>
      </c>
      <c r="F211" s="264" t="str">
        <f t="shared" si="129"/>
        <v/>
      </c>
      <c r="G211" s="264" t="str">
        <f t="shared" si="130"/>
        <v/>
      </c>
      <c r="H211" s="240" t="str">
        <f t="shared" si="149"/>
        <v/>
      </c>
      <c r="I211" s="265" t="str">
        <f t="shared" si="150"/>
        <v/>
      </c>
      <c r="J211" s="265" t="str">
        <f t="shared" si="151"/>
        <v/>
      </c>
      <c r="K211" s="240" t="str">
        <f t="shared" si="152"/>
        <v/>
      </c>
      <c r="L211" s="265" t="str">
        <f t="shared" si="153"/>
        <v/>
      </c>
      <c r="M211" s="265" t="str">
        <f t="shared" si="154"/>
        <v/>
      </c>
      <c r="N211" s="240" t="str">
        <f t="shared" si="155"/>
        <v>-</v>
      </c>
      <c r="O211" s="265" t="str">
        <f t="shared" si="156"/>
        <v>-</v>
      </c>
      <c r="P211" s="265" t="str">
        <f t="shared" si="157"/>
        <v>-</v>
      </c>
      <c r="Q211" s="266" t="str">
        <f t="shared" si="158"/>
        <v>-</v>
      </c>
      <c r="R211" s="267" t="str">
        <f t="shared" si="159"/>
        <v>-</v>
      </c>
      <c r="S211" s="268" t="str">
        <f t="shared" si="160"/>
        <v>-</v>
      </c>
      <c r="T211" s="269" t="str">
        <f t="shared" si="104"/>
        <v/>
      </c>
      <c r="U211" s="221">
        <f t="shared" si="105"/>
        <v>111</v>
      </c>
      <c r="V211" s="220" t="str">
        <f t="shared" si="131"/>
        <v>-</v>
      </c>
      <c r="W211" s="221" t="str">
        <f t="shared" si="132"/>
        <v>-</v>
      </c>
      <c r="X211" s="221" t="str">
        <f t="shared" si="106"/>
        <v>-</v>
      </c>
      <c r="Y211" s="221" t="str">
        <f t="shared" si="107"/>
        <v>-</v>
      </c>
      <c r="Z211" s="270">
        <f t="shared" si="133"/>
        <v>0.1</v>
      </c>
      <c r="AA211" s="271" t="str">
        <f>IFERROR(IF(V210=1,AA$100*EXP(-(LN(2)/$D$65+0.04)*X210)*EXP(-(LN(2)/$D$65+0.1)*Y210),IF(V210=2,AA$100*EXP(-(LN(2)/$D$65+0.04)*(VLOOKUP(($F$16-$F$15)-1,U$99:Y210,4,FALSE)))*EXP(-(LN(2)/$D$65+0.1)*(VLOOKUP(($F$16-$F$15)-1,U$99:Y210,5,FALSE)))*EXP(-(LN(2)/$D$65+0.04)*X210)*EXP(-(LN(2)/$D$65+0.1)*Y210),IF(V210=3,AA$100*EXP(-(LN(2)/$D$65+0.04)*(VLOOKUP(($F$16-$F$15)-1,U$99:Y210,4,FALSE)))*EXP(-(LN(2)/$D$65+0.1)*(VLOOKUP(($F$16-$F$15)-1,U$99:Y210,5,FALSE)))*EXP(-(LN(2)/$D$65+0.04)*(VLOOKUP(($F$16-$F$15)*2-1,U$99:Y210,4,FALSE)))*EXP(-(LN(2)/$D$65+0.1)*(VLOOKUP(($F$16-$F$15)*2-1,U$99:Y210,5,FALSE)))*EXP(-(LN(2)/$D$65+0.04)*X210)*EXP(-(LN(2)/$D$65+0.1)*Y210),"-"))),"-")</f>
        <v>-</v>
      </c>
      <c r="AB211" s="271" t="str">
        <f>IFERROR(IF(V211=1,AB$100*EXP(-(LN(2)/$D$65+0.04)*X211)*EXP(-(LN(2)/$D$65+0.1)*Y211),IF(V211=2,AB$100*EXP(-(LN(2)/$D$65+0.04)*(VLOOKUP(($F$16-$F$15)-1,U$100:Y211,4,FALSE)))*EXP(-(LN(2)/$D$65+0.1)*(VLOOKUP(($F$16-$F$15)-1,U$100:Y211,5,FALSE)))*EXP(-(LN(2)/$D$65+0.04)*X211)*EXP(-(LN(2)/$D$65+0.1)*Y211),IF(V211=3,AB$100*EXP(-(LN(2)/$D$65+0.04)*(VLOOKUP(($F$16-$F$15)-1,U$100:Y211,4,FALSE)))*EXP(-(LN(2)/$D$65+0.1)*(VLOOKUP(($F$16-$F$15)-1,U$100:Y211,5,FALSE)))*EXP(-(LN(2)/$D$65+0.04)*(VLOOKUP(($F$16-$F$15)*2-1,U$100:Y211,4,FALSE)))*EXP(-(LN(2)/$D$65+0.1)*(VLOOKUP(($F$16-$F$15)*2-1,U$100:Y211,5,FALSE)))*EXP(-(LN(2)/$D$65+0.04)*X211)*EXP(-(LN(2)/$D$65+0.1)*Y211),"-"))),"-")</f>
        <v>-</v>
      </c>
      <c r="AC211" s="224">
        <f t="shared" si="134"/>
        <v>111</v>
      </c>
      <c r="AD211" s="223" t="str">
        <f t="shared" si="108"/>
        <v>-</v>
      </c>
      <c r="AE211" s="224" t="str">
        <f t="shared" si="135"/>
        <v>-</v>
      </c>
      <c r="AF211" s="224" t="str">
        <f t="shared" si="109"/>
        <v>-</v>
      </c>
      <c r="AG211" s="224" t="str">
        <f t="shared" si="110"/>
        <v>-</v>
      </c>
      <c r="AH211" s="272">
        <f t="shared" si="136"/>
        <v>0.1</v>
      </c>
      <c r="AI211" s="271" t="str">
        <f>IFERROR(IF(AD210=1,AI$100*EXP(-(LN(2)/$D$65+0.04)*AF210)*EXP(-(LN(2)/$D$65+0.1)*AG210),IF(AD210=2,AI$100*EXP(-(LN(2)/$D$65+0.04)*(VLOOKUP(($F$16-$F$15)-1,AC$99:AG210,4,FALSE)))*EXP(-(LN(2)/$D$65+0.1)*(VLOOKUP(($F$16-$F$15)-1,AC$99:AG210,5,FALSE)))*EXP(-(LN(2)/$D$65+0.04)*AF210)*EXP(-(LN(2)/$D$65+0.1)*AG210),IF(AD210=3,AI$100*EXP(-(LN(2)/$D$65+0.04)*(VLOOKUP(($F$16-$F$15)-1,AC$99:AG210,4,FALSE)))*EXP(-(LN(2)/$D$65+0.1)*(VLOOKUP(($F$16-$F$15)-1,AC$99:AG210,5,FALSE)))*EXP(-(LN(2)/$D$65+0.04)*(VLOOKUP(($F$16-$F$15)*2-1,AC$99:AG210,4,FALSE)))*EXP(-(LN(2)/$D$65+0.1)*(VLOOKUP(($F$16-$F$15)*2-1,AC$99:AG210,5,FALSE)))*EXP(-(LN(2)/$D$65+0.04)*AF210)*EXP(-(LN(2)/$D$65+0.1)*AG210),"-"))),"-")</f>
        <v>-</v>
      </c>
      <c r="AJ211" s="271" t="str">
        <f>IFERROR(IF(AD211=1,AJ$100*EXP(-(LN(2)/$D$65+0.04)*AF211)*EXP(-(LN(2)/$D$65+0.1)*AG211),IF(AD211=2,AJ$100*EXP(-(LN(2)/$D$65+0.04)*(VLOOKUP(($F$16-$F$15)-1,AC$100:AG211,4,FALSE)))*EXP(-(LN(2)/$D$65+0.1)*(VLOOKUP(($F$16-$F$15)-1,AC$100:AG211,5,FALSE)))*EXP(-(LN(2)/$D$65+0.04)*AF211)*EXP(-(LN(2)/$D$65+0.1)*AG211),IF(AD211=3,AJ$100*EXP(-(LN(2)/$D$65+0.04)*(VLOOKUP(($F$16-$F$15)-1,AC$100:AG211,4,FALSE)))*EXP(-(LN(2)/$D$65+0.1)*(VLOOKUP(($F$16-$F$15)-1,AC$100:AG211,5,FALSE)))*EXP(-(LN(2)/$D$65+0.04)*(VLOOKUP(($F$16-$F$15)*2-1,AC$100:AG211,4,FALSE)))*EXP(-(LN(2)/$D$65+0.1)*(VLOOKUP(($F$16-$F$15)*2-1,AC$100:AG211,5,FALSE)))*EXP(-(LN(2)/$D$65+0.04)*AF211)*EXP(-(LN(2)/$D$65+0.1)*AG211),"-"))),"-")</f>
        <v>-</v>
      </c>
      <c r="AK211" s="227">
        <f t="shared" si="137"/>
        <v>111</v>
      </c>
      <c r="AL211" s="226" t="str">
        <f t="shared" si="111"/>
        <v>-</v>
      </c>
      <c r="AM211" s="227" t="str">
        <f t="shared" si="138"/>
        <v>-</v>
      </c>
      <c r="AN211" s="227" t="str">
        <f t="shared" si="139"/>
        <v>-</v>
      </c>
      <c r="AO211" s="227" t="str">
        <f t="shared" si="112"/>
        <v>-</v>
      </c>
      <c r="AP211" s="273">
        <f t="shared" si="140"/>
        <v>0.1</v>
      </c>
      <c r="AQ211" s="271" t="str">
        <f>IFERROR(IF(AL210=1,AQ$100*EXP(-(LN(2)/$D$65+0.04)*AN210)*EXP(-(LN(2)/$D$65+0.1)*AO210),IF(AL210=2,AQ$100*EXP(-(LN(2)/$D$65+0.04)*(VLOOKUP(($F$16-$F$15)-1,AK$99:AO210,4,FALSE)))*EXP(-(LN(2)/$D$65+0.1)*(VLOOKUP(($F$16-$F$15)-1,AK$99:AO210,5,FALSE)))*EXP(-(LN(2)/$D$65+0.04)*AN210)*EXP(-(LN(2)/$D$65+0.1)*AO210),IF(AL210=3,AQ$100*EXP(-(LN(2)/$D$65+0.04)*(VLOOKUP(($F$16-$F$15)-1,AK$99:AO210,4,FALSE)))*EXP(-(LN(2)/$D$65+0.1)*(VLOOKUP(($F$16-$F$15)-1,AK$99:AO210,5,FALSE)))*EXP(-(LN(2)/$D$65+0.04)*(VLOOKUP(($F$16-$F$15)*2-1,AK$99:AO210,4,FALSE)))*EXP(-(LN(2)/$D$65+0.1)*(VLOOKUP(($F$16-$F$15)*2-1,AK$99:AO210,5,FALSE)))*EXP(-(LN(2)/$D$65+0.04)*AN210)*EXP(-(LN(2)/$D$65+0.1)*AO210),"-"))),"-")</f>
        <v>-</v>
      </c>
      <c r="AR211" s="271" t="str">
        <f>IFERROR(IF(AL211=1,AR$100*EXP(-(LN(2)/$D$65+0.04)*AN211)*EXP(-(LN(2)/$D$65+0.1)*AO211),IF(AL211=2,AR$100*EXP(-(LN(2)/$D$65+0.04)*(VLOOKUP(($F$16-$F$15)-1,AK$100:AO211,4,FALSE)))*EXP(-(LN(2)/$D$65+0.1)*(VLOOKUP(($F$16-$F$15)-1,AK$100:AO211,5,FALSE)))*EXP(-(LN(2)/$D$65+0.04)*AN211)*EXP(-(LN(2)/$D$65+0.1)*AO211),IF(AL211=3,AR$100*EXP(-(LN(2)/$D$65+0.04)*(VLOOKUP(($F$16-$F$15)-1,AK$100:AO211,4,FALSE)))*EXP(-(LN(2)/$D$65+0.1)*(VLOOKUP(($F$16-$F$15)-1,AK$100:AO211,5,FALSE)))*EXP(-(LN(2)/$D$65+0.04)*(VLOOKUP(($F$16-$F$15)*2-1,AK$100:AO211,4,FALSE)))*EXP(-(LN(2)/$D$65+0.1)*(VLOOKUP(($F$16-$F$15)*2-1,AK$100:AO211,5,FALSE)))*EXP(-(LN(2)/$D$65+0.04)*AN211)*EXP(-(LN(2)/$D$65+0.1)*AO211),"-"))),"-")</f>
        <v>-</v>
      </c>
      <c r="AS211" s="274">
        <f t="shared" si="113"/>
        <v>0</v>
      </c>
      <c r="AT211" s="274">
        <f t="shared" si="114"/>
        <v>0</v>
      </c>
      <c r="AU211" s="274">
        <f t="shared" si="115"/>
        <v>0</v>
      </c>
      <c r="AV211" s="190" t="str">
        <f>IF($B211&lt;$F$22,SUM($T$100:$T211),"")</f>
        <v/>
      </c>
      <c r="AW211" s="190" t="str">
        <f t="shared" si="161"/>
        <v>-</v>
      </c>
      <c r="AX211" s="190" t="str">
        <f t="shared" si="141"/>
        <v/>
      </c>
      <c r="AY211"/>
      <c r="AZ211" s="190" t="str">
        <f ca="1">IF(ISNUMBER(OFFSET(AV211,-$F$21,0)),SUM(OFFSET($T$100,$F$21,0):$T211),"")</f>
        <v/>
      </c>
      <c r="BA211" s="190" t="str">
        <f t="shared" ca="1" si="162"/>
        <v/>
      </c>
      <c r="BB211" s="190" t="str">
        <f t="shared" ca="1" si="148"/>
        <v/>
      </c>
      <c r="BC211" s="190"/>
      <c r="BD211" s="190" t="str">
        <f ca="1">IFERROR(IF(OR(ISNUMBER(I),ISNUMBER($F$14)),IF(AND($B211&gt;=($F$16-$F$15),$B211&lt;$F$22+($F$16-$F$15)),SUM(OFFSET($T$100,($F$16-$F$15),0):$T211),""),""),"")</f>
        <v/>
      </c>
      <c r="BE211" s="190" t="str">
        <f t="shared" ca="1" si="142"/>
        <v/>
      </c>
      <c r="BF211" s="190" t="str">
        <f t="shared" ca="1" si="143"/>
        <v/>
      </c>
      <c r="BG211"/>
      <c r="BH211" s="190" t="str">
        <f ca="1">IF(ISNUMBER(OFFSET(BD211,-$F$21,0)),SUM(OFFSET($T$100,($F$16-$F$15+$F$21),0):$T211),"")</f>
        <v/>
      </c>
      <c r="BI211" s="190" t="str">
        <f t="shared" ca="1" si="163"/>
        <v/>
      </c>
      <c r="BJ211" s="190" t="str">
        <f t="shared" ca="1" si="144"/>
        <v/>
      </c>
      <c r="BK211" s="190"/>
      <c r="BL211" s="190" t="str">
        <f ca="1">IFERROR(IF(OR(ISNUMBER(I),ISNUMBER($F$14)),IF(AND($B211&gt;=($F$17-$F$15),$B211&lt;$F$22+($F$17-$F$15)),SUM(OFFSET($T$100,($F$17-$F$15),0):$T211),""),""),"")</f>
        <v/>
      </c>
      <c r="BM211" s="190" t="str">
        <f t="shared" ca="1" si="164"/>
        <v/>
      </c>
      <c r="BN211" s="190" t="str">
        <f t="shared" ca="1" si="145"/>
        <v/>
      </c>
      <c r="BO211"/>
      <c r="BP211" s="190" t="str">
        <f ca="1">IF(ISNUMBER(OFFSET(BL211,-$F$21,0)),SUM(OFFSET($T$100,($F$17-$F$15+$F$21),0):$T211),"")</f>
        <v/>
      </c>
      <c r="BQ211" s="190" t="str">
        <f t="shared" ca="1" si="165"/>
        <v/>
      </c>
      <c r="BR211" s="190" t="str">
        <f t="shared" ca="1" si="146"/>
        <v/>
      </c>
      <c r="BS211" s="190"/>
      <c r="BT211"/>
      <c r="BU211"/>
      <c r="BV211"/>
      <c r="BY211" s="99"/>
      <c r="BZ211" s="99"/>
      <c r="CA211" s="280" t="str">
        <f t="shared" si="166"/>
        <v/>
      </c>
      <c r="CB211" s="71" t="str">
        <f t="shared" si="122"/>
        <v>-</v>
      </c>
      <c r="CC211" s="33"/>
      <c r="CD211" s="261" t="str">
        <f t="shared" si="123"/>
        <v/>
      </c>
      <c r="CE211" s="280" t="str">
        <f t="shared" si="167"/>
        <v/>
      </c>
      <c r="CF211" s="71" t="str">
        <f t="shared" ca="1" si="168"/>
        <v/>
      </c>
      <c r="CG211" s="33" t="str">
        <f t="shared" si="126"/>
        <v/>
      </c>
      <c r="CH211" s="261" t="str">
        <f t="shared" ca="1" si="127"/>
        <v/>
      </c>
    </row>
    <row r="212" spans="2:86" ht="13.5" customHeight="1" x14ac:dyDescent="0.2">
      <c r="B212" s="262">
        <v>112</v>
      </c>
      <c r="C212" s="237" t="str">
        <f t="shared" si="91"/>
        <v/>
      </c>
      <c r="D212" s="237" t="str">
        <f t="shared" si="147"/>
        <v/>
      </c>
      <c r="E212" s="263" t="str">
        <f t="shared" si="128"/>
        <v/>
      </c>
      <c r="F212" s="264" t="str">
        <f t="shared" si="129"/>
        <v/>
      </c>
      <c r="G212" s="264" t="str">
        <f t="shared" si="130"/>
        <v/>
      </c>
      <c r="H212" s="240" t="str">
        <f t="shared" si="149"/>
        <v/>
      </c>
      <c r="I212" s="265" t="str">
        <f t="shared" si="150"/>
        <v/>
      </c>
      <c r="J212" s="265" t="str">
        <f t="shared" si="151"/>
        <v/>
      </c>
      <c r="K212" s="240" t="str">
        <f t="shared" si="152"/>
        <v/>
      </c>
      <c r="L212" s="265" t="str">
        <f t="shared" si="153"/>
        <v/>
      </c>
      <c r="M212" s="265" t="str">
        <f t="shared" si="154"/>
        <v/>
      </c>
      <c r="N212" s="240" t="str">
        <f t="shared" si="155"/>
        <v>-</v>
      </c>
      <c r="O212" s="265" t="str">
        <f t="shared" si="156"/>
        <v>-</v>
      </c>
      <c r="P212" s="265" t="str">
        <f t="shared" si="157"/>
        <v>-</v>
      </c>
      <c r="Q212" s="266" t="str">
        <f t="shared" si="158"/>
        <v>-</v>
      </c>
      <c r="R212" s="267" t="str">
        <f t="shared" si="159"/>
        <v>-</v>
      </c>
      <c r="S212" s="268" t="str">
        <f t="shared" si="160"/>
        <v>-</v>
      </c>
      <c r="T212" s="269" t="str">
        <f t="shared" si="104"/>
        <v/>
      </c>
      <c r="U212" s="221">
        <f t="shared" si="105"/>
        <v>112</v>
      </c>
      <c r="V212" s="220" t="str">
        <f t="shared" si="131"/>
        <v>-</v>
      </c>
      <c r="W212" s="221" t="str">
        <f t="shared" si="132"/>
        <v>-</v>
      </c>
      <c r="X212" s="221" t="str">
        <f t="shared" si="106"/>
        <v>-</v>
      </c>
      <c r="Y212" s="221" t="str">
        <f t="shared" si="107"/>
        <v>-</v>
      </c>
      <c r="Z212" s="270">
        <f t="shared" si="133"/>
        <v>0.1</v>
      </c>
      <c r="AA212" s="271" t="str">
        <f>IFERROR(IF(V211=1,AA$100*EXP(-(LN(2)/$D$65+0.04)*X211)*EXP(-(LN(2)/$D$65+0.1)*Y211),IF(V211=2,AA$100*EXP(-(LN(2)/$D$65+0.04)*(VLOOKUP(($F$16-$F$15)-1,U$99:Y211,4,FALSE)))*EXP(-(LN(2)/$D$65+0.1)*(VLOOKUP(($F$16-$F$15)-1,U$99:Y211,5,FALSE)))*EXP(-(LN(2)/$D$65+0.04)*X211)*EXP(-(LN(2)/$D$65+0.1)*Y211),IF(V211=3,AA$100*EXP(-(LN(2)/$D$65+0.04)*(VLOOKUP(($F$16-$F$15)-1,U$99:Y211,4,FALSE)))*EXP(-(LN(2)/$D$65+0.1)*(VLOOKUP(($F$16-$F$15)-1,U$99:Y211,5,FALSE)))*EXP(-(LN(2)/$D$65+0.04)*(VLOOKUP(($F$16-$F$15)*2-1,U$99:Y211,4,FALSE)))*EXP(-(LN(2)/$D$65+0.1)*(VLOOKUP(($F$16-$F$15)*2-1,U$99:Y211,5,FALSE)))*EXP(-(LN(2)/$D$65+0.04)*X211)*EXP(-(LN(2)/$D$65+0.1)*Y211),"-"))),"-")</f>
        <v>-</v>
      </c>
      <c r="AB212" s="271" t="str">
        <f>IFERROR(IF(V212=1,AB$100*EXP(-(LN(2)/$D$65+0.04)*X212)*EXP(-(LN(2)/$D$65+0.1)*Y212),IF(V212=2,AB$100*EXP(-(LN(2)/$D$65+0.04)*(VLOOKUP(($F$16-$F$15)-1,U$100:Y212,4,FALSE)))*EXP(-(LN(2)/$D$65+0.1)*(VLOOKUP(($F$16-$F$15)-1,U$100:Y212,5,FALSE)))*EXP(-(LN(2)/$D$65+0.04)*X212)*EXP(-(LN(2)/$D$65+0.1)*Y212),IF(V212=3,AB$100*EXP(-(LN(2)/$D$65+0.04)*(VLOOKUP(($F$16-$F$15)-1,U$100:Y212,4,FALSE)))*EXP(-(LN(2)/$D$65+0.1)*(VLOOKUP(($F$16-$F$15)-1,U$100:Y212,5,FALSE)))*EXP(-(LN(2)/$D$65+0.04)*(VLOOKUP(($F$16-$F$15)*2-1,U$100:Y212,4,FALSE)))*EXP(-(LN(2)/$D$65+0.1)*(VLOOKUP(($F$16-$F$15)*2-1,U$100:Y212,5,FALSE)))*EXP(-(LN(2)/$D$65+0.04)*X212)*EXP(-(LN(2)/$D$65+0.1)*Y212),"-"))),"-")</f>
        <v>-</v>
      </c>
      <c r="AC212" s="224">
        <f t="shared" si="134"/>
        <v>112</v>
      </c>
      <c r="AD212" s="223" t="str">
        <f t="shared" si="108"/>
        <v>-</v>
      </c>
      <c r="AE212" s="224" t="str">
        <f t="shared" si="135"/>
        <v>-</v>
      </c>
      <c r="AF212" s="224" t="str">
        <f t="shared" si="109"/>
        <v>-</v>
      </c>
      <c r="AG212" s="224" t="str">
        <f t="shared" si="110"/>
        <v>-</v>
      </c>
      <c r="AH212" s="272">
        <f t="shared" si="136"/>
        <v>0.1</v>
      </c>
      <c r="AI212" s="271" t="str">
        <f>IFERROR(IF(AD211=1,AI$100*EXP(-(LN(2)/$D$65+0.04)*AF211)*EXP(-(LN(2)/$D$65+0.1)*AG211),IF(AD211=2,AI$100*EXP(-(LN(2)/$D$65+0.04)*(VLOOKUP(($F$16-$F$15)-1,AC$99:AG211,4,FALSE)))*EXP(-(LN(2)/$D$65+0.1)*(VLOOKUP(($F$16-$F$15)-1,AC$99:AG211,5,FALSE)))*EXP(-(LN(2)/$D$65+0.04)*AF211)*EXP(-(LN(2)/$D$65+0.1)*AG211),IF(AD211=3,AI$100*EXP(-(LN(2)/$D$65+0.04)*(VLOOKUP(($F$16-$F$15)-1,AC$99:AG211,4,FALSE)))*EXP(-(LN(2)/$D$65+0.1)*(VLOOKUP(($F$16-$F$15)-1,AC$99:AG211,5,FALSE)))*EXP(-(LN(2)/$D$65+0.04)*(VLOOKUP(($F$16-$F$15)*2-1,AC$99:AG211,4,FALSE)))*EXP(-(LN(2)/$D$65+0.1)*(VLOOKUP(($F$16-$F$15)*2-1,AC$99:AG211,5,FALSE)))*EXP(-(LN(2)/$D$65+0.04)*AF211)*EXP(-(LN(2)/$D$65+0.1)*AG211),"-"))),"-")</f>
        <v>-</v>
      </c>
      <c r="AJ212" s="271" t="str">
        <f>IFERROR(IF(AD212=1,AJ$100*EXP(-(LN(2)/$D$65+0.04)*AF212)*EXP(-(LN(2)/$D$65+0.1)*AG212),IF(AD212=2,AJ$100*EXP(-(LN(2)/$D$65+0.04)*(VLOOKUP(($F$16-$F$15)-1,AC$100:AG212,4,FALSE)))*EXP(-(LN(2)/$D$65+0.1)*(VLOOKUP(($F$16-$F$15)-1,AC$100:AG212,5,FALSE)))*EXP(-(LN(2)/$D$65+0.04)*AF212)*EXP(-(LN(2)/$D$65+0.1)*AG212),IF(AD212=3,AJ$100*EXP(-(LN(2)/$D$65+0.04)*(VLOOKUP(($F$16-$F$15)-1,AC$100:AG212,4,FALSE)))*EXP(-(LN(2)/$D$65+0.1)*(VLOOKUP(($F$16-$F$15)-1,AC$100:AG212,5,FALSE)))*EXP(-(LN(2)/$D$65+0.04)*(VLOOKUP(($F$16-$F$15)*2-1,AC$100:AG212,4,FALSE)))*EXP(-(LN(2)/$D$65+0.1)*(VLOOKUP(($F$16-$F$15)*2-1,AC$100:AG212,5,FALSE)))*EXP(-(LN(2)/$D$65+0.04)*AF212)*EXP(-(LN(2)/$D$65+0.1)*AG212),"-"))),"-")</f>
        <v>-</v>
      </c>
      <c r="AK212" s="227">
        <f t="shared" si="137"/>
        <v>112</v>
      </c>
      <c r="AL212" s="226" t="str">
        <f t="shared" si="111"/>
        <v>-</v>
      </c>
      <c r="AM212" s="227" t="str">
        <f t="shared" si="138"/>
        <v>-</v>
      </c>
      <c r="AN212" s="227" t="str">
        <f t="shared" si="139"/>
        <v>-</v>
      </c>
      <c r="AO212" s="227" t="str">
        <f t="shared" si="112"/>
        <v>-</v>
      </c>
      <c r="AP212" s="273">
        <f t="shared" si="140"/>
        <v>0.1</v>
      </c>
      <c r="AQ212" s="271" t="str">
        <f>IFERROR(IF(AL211=1,AQ$100*EXP(-(LN(2)/$D$65+0.04)*AN211)*EXP(-(LN(2)/$D$65+0.1)*AO211),IF(AL211=2,AQ$100*EXP(-(LN(2)/$D$65+0.04)*(VLOOKUP(($F$16-$F$15)-1,AK$99:AO211,4,FALSE)))*EXP(-(LN(2)/$D$65+0.1)*(VLOOKUP(($F$16-$F$15)-1,AK$99:AO211,5,FALSE)))*EXP(-(LN(2)/$D$65+0.04)*AN211)*EXP(-(LN(2)/$D$65+0.1)*AO211),IF(AL211=3,AQ$100*EXP(-(LN(2)/$D$65+0.04)*(VLOOKUP(($F$16-$F$15)-1,AK$99:AO211,4,FALSE)))*EXP(-(LN(2)/$D$65+0.1)*(VLOOKUP(($F$16-$F$15)-1,AK$99:AO211,5,FALSE)))*EXP(-(LN(2)/$D$65+0.04)*(VLOOKUP(($F$16-$F$15)*2-1,AK$99:AO211,4,FALSE)))*EXP(-(LN(2)/$D$65+0.1)*(VLOOKUP(($F$16-$F$15)*2-1,AK$99:AO211,5,FALSE)))*EXP(-(LN(2)/$D$65+0.04)*AN211)*EXP(-(LN(2)/$D$65+0.1)*AO211),"-"))),"-")</f>
        <v>-</v>
      </c>
      <c r="AR212" s="271" t="str">
        <f>IFERROR(IF(AL212=1,AR$100*EXP(-(LN(2)/$D$65+0.04)*AN212)*EXP(-(LN(2)/$D$65+0.1)*AO212),IF(AL212=2,AR$100*EXP(-(LN(2)/$D$65+0.04)*(VLOOKUP(($F$16-$F$15)-1,AK$100:AO212,4,FALSE)))*EXP(-(LN(2)/$D$65+0.1)*(VLOOKUP(($F$16-$F$15)-1,AK$100:AO212,5,FALSE)))*EXP(-(LN(2)/$D$65+0.04)*AN212)*EXP(-(LN(2)/$D$65+0.1)*AO212),IF(AL212=3,AR$100*EXP(-(LN(2)/$D$65+0.04)*(VLOOKUP(($F$16-$F$15)-1,AK$100:AO212,4,FALSE)))*EXP(-(LN(2)/$D$65+0.1)*(VLOOKUP(($F$16-$F$15)-1,AK$100:AO212,5,FALSE)))*EXP(-(LN(2)/$D$65+0.04)*(VLOOKUP(($F$16-$F$15)*2-1,AK$100:AO212,4,FALSE)))*EXP(-(LN(2)/$D$65+0.1)*(VLOOKUP(($F$16-$F$15)*2-1,AK$100:AO212,5,FALSE)))*EXP(-(LN(2)/$D$65+0.04)*AN212)*EXP(-(LN(2)/$D$65+0.1)*AO212),"-"))),"-")</f>
        <v>-</v>
      </c>
      <c r="AS212" s="274">
        <f t="shared" si="113"/>
        <v>0</v>
      </c>
      <c r="AT212" s="274">
        <f t="shared" si="114"/>
        <v>0</v>
      </c>
      <c r="AU212" s="274">
        <f t="shared" si="115"/>
        <v>0</v>
      </c>
      <c r="AV212" s="190" t="str">
        <f>IF($B212&lt;$F$22,SUM($T$100:$T212),"")</f>
        <v/>
      </c>
      <c r="AW212" s="190" t="str">
        <f t="shared" si="161"/>
        <v>-</v>
      </c>
      <c r="AX212" s="190" t="str">
        <f t="shared" si="141"/>
        <v/>
      </c>
      <c r="AY212"/>
      <c r="AZ212" s="190" t="str">
        <f ca="1">IF(ISNUMBER(OFFSET(AV212,-$F$21,0)),SUM(OFFSET($T$100,$F$21,0):$T212),"")</f>
        <v/>
      </c>
      <c r="BA212" s="190" t="str">
        <f t="shared" ca="1" si="162"/>
        <v/>
      </c>
      <c r="BB212" s="190" t="str">
        <f t="shared" ca="1" si="148"/>
        <v/>
      </c>
      <c r="BC212" s="190"/>
      <c r="BD212" s="190" t="str">
        <f ca="1">IFERROR(IF(OR(ISNUMBER(I),ISNUMBER($F$14)),IF(AND($B212&gt;=($F$16-$F$15),$B212&lt;$F$22+($F$16-$F$15)),SUM(OFFSET($T$100,($F$16-$F$15),0):$T212),""),""),"")</f>
        <v/>
      </c>
      <c r="BE212" s="190" t="str">
        <f t="shared" ca="1" si="142"/>
        <v/>
      </c>
      <c r="BF212" s="190" t="str">
        <f t="shared" ca="1" si="143"/>
        <v/>
      </c>
      <c r="BG212"/>
      <c r="BH212" s="190" t="str">
        <f ca="1">IF(ISNUMBER(OFFSET(BD212,-$F$21,0)),SUM(OFFSET($T$100,($F$16-$F$15+$F$21),0):$T212),"")</f>
        <v/>
      </c>
      <c r="BI212" s="190" t="str">
        <f t="shared" ca="1" si="163"/>
        <v/>
      </c>
      <c r="BJ212" s="190" t="str">
        <f t="shared" ca="1" si="144"/>
        <v/>
      </c>
      <c r="BK212" s="190"/>
      <c r="BL212" s="190" t="str">
        <f ca="1">IFERROR(IF(OR(ISNUMBER(I),ISNUMBER($F$14)),IF(AND($B212&gt;=($F$17-$F$15),$B212&lt;$F$22+($F$17-$F$15)),SUM(OFFSET($T$100,($F$17-$F$15),0):$T212),""),""),"")</f>
        <v/>
      </c>
      <c r="BM212" s="190" t="str">
        <f t="shared" ca="1" si="164"/>
        <v/>
      </c>
      <c r="BN212" s="190" t="str">
        <f t="shared" ca="1" si="145"/>
        <v/>
      </c>
      <c r="BO212"/>
      <c r="BP212" s="190" t="str">
        <f ca="1">IF(ISNUMBER(OFFSET(BL212,-$F$21,0)),SUM(OFFSET($T$100,($F$17-$F$15+$F$21),0):$T212),"")</f>
        <v/>
      </c>
      <c r="BQ212" s="190" t="str">
        <f t="shared" ca="1" si="165"/>
        <v/>
      </c>
      <c r="BR212" s="190" t="str">
        <f t="shared" ca="1" si="146"/>
        <v/>
      </c>
      <c r="BS212" s="190"/>
      <c r="BT212"/>
      <c r="BU212"/>
      <c r="BV212"/>
      <c r="BY212" s="99"/>
      <c r="BZ212" s="99"/>
      <c r="CA212" s="280" t="str">
        <f t="shared" si="166"/>
        <v/>
      </c>
      <c r="CB212" s="71" t="str">
        <f t="shared" si="122"/>
        <v>-</v>
      </c>
      <c r="CC212" s="33"/>
      <c r="CD212" s="261" t="str">
        <f t="shared" si="123"/>
        <v/>
      </c>
      <c r="CE212" s="280" t="str">
        <f t="shared" si="167"/>
        <v/>
      </c>
      <c r="CF212" s="71" t="str">
        <f t="shared" ca="1" si="168"/>
        <v/>
      </c>
      <c r="CG212" s="33" t="str">
        <f t="shared" si="126"/>
        <v/>
      </c>
      <c r="CH212" s="261" t="str">
        <f t="shared" ca="1" si="127"/>
        <v/>
      </c>
    </row>
    <row r="213" spans="2:86" ht="13.5" customHeight="1" x14ac:dyDescent="0.2">
      <c r="B213" s="262">
        <v>113</v>
      </c>
      <c r="C213" s="237" t="str">
        <f t="shared" si="91"/>
        <v/>
      </c>
      <c r="D213" s="237" t="str">
        <f t="shared" si="147"/>
        <v/>
      </c>
      <c r="E213" s="263" t="str">
        <f t="shared" si="128"/>
        <v/>
      </c>
      <c r="F213" s="264" t="str">
        <f t="shared" si="129"/>
        <v/>
      </c>
      <c r="G213" s="264" t="str">
        <f t="shared" si="130"/>
        <v/>
      </c>
      <c r="H213" s="240" t="str">
        <f t="shared" si="149"/>
        <v/>
      </c>
      <c r="I213" s="265" t="str">
        <f t="shared" si="150"/>
        <v/>
      </c>
      <c r="J213" s="265" t="str">
        <f t="shared" si="151"/>
        <v/>
      </c>
      <c r="K213" s="240" t="str">
        <f t="shared" si="152"/>
        <v/>
      </c>
      <c r="L213" s="265" t="str">
        <f t="shared" si="153"/>
        <v/>
      </c>
      <c r="M213" s="265" t="str">
        <f t="shared" si="154"/>
        <v/>
      </c>
      <c r="N213" s="240" t="str">
        <f t="shared" si="155"/>
        <v>-</v>
      </c>
      <c r="O213" s="265" t="str">
        <f t="shared" si="156"/>
        <v>-</v>
      </c>
      <c r="P213" s="265" t="str">
        <f t="shared" si="157"/>
        <v>-</v>
      </c>
      <c r="Q213" s="266" t="str">
        <f t="shared" si="158"/>
        <v>-</v>
      </c>
      <c r="R213" s="267" t="str">
        <f t="shared" si="159"/>
        <v>-</v>
      </c>
      <c r="S213" s="268" t="str">
        <f t="shared" si="160"/>
        <v>-</v>
      </c>
      <c r="T213" s="269" t="str">
        <f t="shared" si="104"/>
        <v/>
      </c>
      <c r="U213" s="221">
        <f t="shared" si="105"/>
        <v>113</v>
      </c>
      <c r="V213" s="220" t="str">
        <f t="shared" si="131"/>
        <v>-</v>
      </c>
      <c r="W213" s="221" t="str">
        <f t="shared" si="132"/>
        <v>-</v>
      </c>
      <c r="X213" s="221" t="str">
        <f t="shared" si="106"/>
        <v>-</v>
      </c>
      <c r="Y213" s="221" t="str">
        <f t="shared" si="107"/>
        <v>-</v>
      </c>
      <c r="Z213" s="270">
        <f t="shared" si="133"/>
        <v>0.1</v>
      </c>
      <c r="AA213" s="271" t="str">
        <f>IFERROR(IF(V212=1,AA$100*EXP(-(LN(2)/$D$65+0.04)*X212)*EXP(-(LN(2)/$D$65+0.1)*Y212),IF(V212=2,AA$100*EXP(-(LN(2)/$D$65+0.04)*(VLOOKUP(($F$16-$F$15)-1,U$99:Y212,4,FALSE)))*EXP(-(LN(2)/$D$65+0.1)*(VLOOKUP(($F$16-$F$15)-1,U$99:Y212,5,FALSE)))*EXP(-(LN(2)/$D$65+0.04)*X212)*EXP(-(LN(2)/$D$65+0.1)*Y212),IF(V212=3,AA$100*EXP(-(LN(2)/$D$65+0.04)*(VLOOKUP(($F$16-$F$15)-1,U$99:Y212,4,FALSE)))*EXP(-(LN(2)/$D$65+0.1)*(VLOOKUP(($F$16-$F$15)-1,U$99:Y212,5,FALSE)))*EXP(-(LN(2)/$D$65+0.04)*(VLOOKUP(($F$16-$F$15)*2-1,U$99:Y212,4,FALSE)))*EXP(-(LN(2)/$D$65+0.1)*(VLOOKUP(($F$16-$F$15)*2-1,U$99:Y212,5,FALSE)))*EXP(-(LN(2)/$D$65+0.04)*X212)*EXP(-(LN(2)/$D$65+0.1)*Y212),"-"))),"-")</f>
        <v>-</v>
      </c>
      <c r="AB213" s="271" t="str">
        <f>IFERROR(IF(V213=1,AB$100*EXP(-(LN(2)/$D$65+0.04)*X213)*EXP(-(LN(2)/$D$65+0.1)*Y213),IF(V213=2,AB$100*EXP(-(LN(2)/$D$65+0.04)*(VLOOKUP(($F$16-$F$15)-1,U$100:Y213,4,FALSE)))*EXP(-(LN(2)/$D$65+0.1)*(VLOOKUP(($F$16-$F$15)-1,U$100:Y213,5,FALSE)))*EXP(-(LN(2)/$D$65+0.04)*X213)*EXP(-(LN(2)/$D$65+0.1)*Y213),IF(V213=3,AB$100*EXP(-(LN(2)/$D$65+0.04)*(VLOOKUP(($F$16-$F$15)-1,U$100:Y213,4,FALSE)))*EXP(-(LN(2)/$D$65+0.1)*(VLOOKUP(($F$16-$F$15)-1,U$100:Y213,5,FALSE)))*EXP(-(LN(2)/$D$65+0.04)*(VLOOKUP(($F$16-$F$15)*2-1,U$100:Y213,4,FALSE)))*EXP(-(LN(2)/$D$65+0.1)*(VLOOKUP(($F$16-$F$15)*2-1,U$100:Y213,5,FALSE)))*EXP(-(LN(2)/$D$65+0.04)*X213)*EXP(-(LN(2)/$D$65+0.1)*Y213),"-"))),"-")</f>
        <v>-</v>
      </c>
      <c r="AC213" s="224">
        <f t="shared" si="134"/>
        <v>113</v>
      </c>
      <c r="AD213" s="223" t="str">
        <f t="shared" si="108"/>
        <v>-</v>
      </c>
      <c r="AE213" s="224" t="str">
        <f t="shared" si="135"/>
        <v>-</v>
      </c>
      <c r="AF213" s="224" t="str">
        <f t="shared" si="109"/>
        <v>-</v>
      </c>
      <c r="AG213" s="224" t="str">
        <f t="shared" si="110"/>
        <v>-</v>
      </c>
      <c r="AH213" s="272">
        <f t="shared" si="136"/>
        <v>0.1</v>
      </c>
      <c r="AI213" s="271" t="str">
        <f>IFERROR(IF(AD212=1,AI$100*EXP(-(LN(2)/$D$65+0.04)*AF212)*EXP(-(LN(2)/$D$65+0.1)*AG212),IF(AD212=2,AI$100*EXP(-(LN(2)/$D$65+0.04)*(VLOOKUP(($F$16-$F$15)-1,AC$99:AG212,4,FALSE)))*EXP(-(LN(2)/$D$65+0.1)*(VLOOKUP(($F$16-$F$15)-1,AC$99:AG212,5,FALSE)))*EXP(-(LN(2)/$D$65+0.04)*AF212)*EXP(-(LN(2)/$D$65+0.1)*AG212),IF(AD212=3,AI$100*EXP(-(LN(2)/$D$65+0.04)*(VLOOKUP(($F$16-$F$15)-1,AC$99:AG212,4,FALSE)))*EXP(-(LN(2)/$D$65+0.1)*(VLOOKUP(($F$16-$F$15)-1,AC$99:AG212,5,FALSE)))*EXP(-(LN(2)/$D$65+0.04)*(VLOOKUP(($F$16-$F$15)*2-1,AC$99:AG212,4,FALSE)))*EXP(-(LN(2)/$D$65+0.1)*(VLOOKUP(($F$16-$F$15)*2-1,AC$99:AG212,5,FALSE)))*EXP(-(LN(2)/$D$65+0.04)*AF212)*EXP(-(LN(2)/$D$65+0.1)*AG212),"-"))),"-")</f>
        <v>-</v>
      </c>
      <c r="AJ213" s="271" t="str">
        <f>IFERROR(IF(AD213=1,AJ$100*EXP(-(LN(2)/$D$65+0.04)*AF213)*EXP(-(LN(2)/$D$65+0.1)*AG213),IF(AD213=2,AJ$100*EXP(-(LN(2)/$D$65+0.04)*(VLOOKUP(($F$16-$F$15)-1,AC$100:AG213,4,FALSE)))*EXP(-(LN(2)/$D$65+0.1)*(VLOOKUP(($F$16-$F$15)-1,AC$100:AG213,5,FALSE)))*EXP(-(LN(2)/$D$65+0.04)*AF213)*EXP(-(LN(2)/$D$65+0.1)*AG213),IF(AD213=3,AJ$100*EXP(-(LN(2)/$D$65+0.04)*(VLOOKUP(($F$16-$F$15)-1,AC$100:AG213,4,FALSE)))*EXP(-(LN(2)/$D$65+0.1)*(VLOOKUP(($F$16-$F$15)-1,AC$100:AG213,5,FALSE)))*EXP(-(LN(2)/$D$65+0.04)*(VLOOKUP(($F$16-$F$15)*2-1,AC$100:AG213,4,FALSE)))*EXP(-(LN(2)/$D$65+0.1)*(VLOOKUP(($F$16-$F$15)*2-1,AC$100:AG213,5,FALSE)))*EXP(-(LN(2)/$D$65+0.04)*AF213)*EXP(-(LN(2)/$D$65+0.1)*AG213),"-"))),"-")</f>
        <v>-</v>
      </c>
      <c r="AK213" s="227">
        <f t="shared" si="137"/>
        <v>113</v>
      </c>
      <c r="AL213" s="226" t="str">
        <f t="shared" si="111"/>
        <v>-</v>
      </c>
      <c r="AM213" s="227" t="str">
        <f t="shared" si="138"/>
        <v>-</v>
      </c>
      <c r="AN213" s="227" t="str">
        <f t="shared" si="139"/>
        <v>-</v>
      </c>
      <c r="AO213" s="227" t="str">
        <f t="shared" si="112"/>
        <v>-</v>
      </c>
      <c r="AP213" s="273">
        <f t="shared" si="140"/>
        <v>0.1</v>
      </c>
      <c r="AQ213" s="271" t="str">
        <f>IFERROR(IF(AL212=1,AQ$100*EXP(-(LN(2)/$D$65+0.04)*AN212)*EXP(-(LN(2)/$D$65+0.1)*AO212),IF(AL212=2,AQ$100*EXP(-(LN(2)/$D$65+0.04)*(VLOOKUP(($F$16-$F$15)-1,AK$99:AO212,4,FALSE)))*EXP(-(LN(2)/$D$65+0.1)*(VLOOKUP(($F$16-$F$15)-1,AK$99:AO212,5,FALSE)))*EXP(-(LN(2)/$D$65+0.04)*AN212)*EXP(-(LN(2)/$D$65+0.1)*AO212),IF(AL212=3,AQ$100*EXP(-(LN(2)/$D$65+0.04)*(VLOOKUP(($F$16-$F$15)-1,AK$99:AO212,4,FALSE)))*EXP(-(LN(2)/$D$65+0.1)*(VLOOKUP(($F$16-$F$15)-1,AK$99:AO212,5,FALSE)))*EXP(-(LN(2)/$D$65+0.04)*(VLOOKUP(($F$16-$F$15)*2-1,AK$99:AO212,4,FALSE)))*EXP(-(LN(2)/$D$65+0.1)*(VLOOKUP(($F$16-$F$15)*2-1,AK$99:AO212,5,FALSE)))*EXP(-(LN(2)/$D$65+0.04)*AN212)*EXP(-(LN(2)/$D$65+0.1)*AO212),"-"))),"-")</f>
        <v>-</v>
      </c>
      <c r="AR213" s="271" t="str">
        <f>IFERROR(IF(AL213=1,AR$100*EXP(-(LN(2)/$D$65+0.04)*AN213)*EXP(-(LN(2)/$D$65+0.1)*AO213),IF(AL213=2,AR$100*EXP(-(LN(2)/$D$65+0.04)*(VLOOKUP(($F$16-$F$15)-1,AK$100:AO213,4,FALSE)))*EXP(-(LN(2)/$D$65+0.1)*(VLOOKUP(($F$16-$F$15)-1,AK$100:AO213,5,FALSE)))*EXP(-(LN(2)/$D$65+0.04)*AN213)*EXP(-(LN(2)/$D$65+0.1)*AO213),IF(AL213=3,AR$100*EXP(-(LN(2)/$D$65+0.04)*(VLOOKUP(($F$16-$F$15)-1,AK$100:AO213,4,FALSE)))*EXP(-(LN(2)/$D$65+0.1)*(VLOOKUP(($F$16-$F$15)-1,AK$100:AO213,5,FALSE)))*EXP(-(LN(2)/$D$65+0.04)*(VLOOKUP(($F$16-$F$15)*2-1,AK$100:AO213,4,FALSE)))*EXP(-(LN(2)/$D$65+0.1)*(VLOOKUP(($F$16-$F$15)*2-1,AK$100:AO213,5,FALSE)))*EXP(-(LN(2)/$D$65+0.04)*AN213)*EXP(-(LN(2)/$D$65+0.1)*AO213),"-"))),"-")</f>
        <v>-</v>
      </c>
      <c r="AS213" s="274">
        <f t="shared" si="113"/>
        <v>0</v>
      </c>
      <c r="AT213" s="274">
        <f t="shared" si="114"/>
        <v>0</v>
      </c>
      <c r="AU213" s="274">
        <f t="shared" si="115"/>
        <v>0</v>
      </c>
      <c r="AV213" s="190" t="str">
        <f>IF($B213&lt;$F$22,SUM($T$100:$T213),"")</f>
        <v/>
      </c>
      <c r="AW213" s="190" t="str">
        <f t="shared" si="161"/>
        <v>-</v>
      </c>
      <c r="AX213" s="190" t="str">
        <f t="shared" si="141"/>
        <v/>
      </c>
      <c r="AY213"/>
      <c r="AZ213" s="190" t="str">
        <f ca="1">IF(ISNUMBER(OFFSET(AV213,-$F$21,0)),SUM(OFFSET($T$100,$F$21,0):$T213),"")</f>
        <v/>
      </c>
      <c r="BA213" s="190" t="str">
        <f t="shared" ca="1" si="162"/>
        <v/>
      </c>
      <c r="BB213" s="190" t="str">
        <f t="shared" ca="1" si="148"/>
        <v/>
      </c>
      <c r="BC213" s="190"/>
      <c r="BD213" s="190" t="str">
        <f ca="1">IFERROR(IF(OR(ISNUMBER(I),ISNUMBER($F$14)),IF(AND($B213&gt;=($F$16-$F$15),$B213&lt;$F$22+($F$16-$F$15)),SUM(OFFSET($T$100,($F$16-$F$15),0):$T213),""),""),"")</f>
        <v/>
      </c>
      <c r="BE213" s="190" t="str">
        <f t="shared" ca="1" si="142"/>
        <v/>
      </c>
      <c r="BF213" s="190" t="str">
        <f t="shared" ca="1" si="143"/>
        <v/>
      </c>
      <c r="BG213"/>
      <c r="BH213" s="190" t="str">
        <f ca="1">IF(ISNUMBER(OFFSET(BD213,-$F$21,0)),SUM(OFFSET($T$100,($F$16-$F$15+$F$21),0):$T213),"")</f>
        <v/>
      </c>
      <c r="BI213" s="190" t="str">
        <f t="shared" ca="1" si="163"/>
        <v/>
      </c>
      <c r="BJ213" s="190" t="str">
        <f t="shared" ca="1" si="144"/>
        <v/>
      </c>
      <c r="BK213" s="190"/>
      <c r="BL213" s="190" t="str">
        <f ca="1">IFERROR(IF(OR(ISNUMBER(I),ISNUMBER($F$14)),IF(AND($B213&gt;=($F$17-$F$15),$B213&lt;$F$22+($F$17-$F$15)),SUM(OFFSET($T$100,($F$17-$F$15),0):$T213),""),""),"")</f>
        <v/>
      </c>
      <c r="BM213" s="190" t="str">
        <f t="shared" ca="1" si="164"/>
        <v/>
      </c>
      <c r="BN213" s="190" t="str">
        <f t="shared" ca="1" si="145"/>
        <v/>
      </c>
      <c r="BO213"/>
      <c r="BP213" s="190" t="str">
        <f ca="1">IF(ISNUMBER(OFFSET(BL213,-$F$21,0)),SUM(OFFSET($T$100,($F$17-$F$15+$F$21),0):$T213),"")</f>
        <v/>
      </c>
      <c r="BQ213" s="190" t="str">
        <f t="shared" ca="1" si="165"/>
        <v/>
      </c>
      <c r="BR213" s="190" t="str">
        <f t="shared" ca="1" si="146"/>
        <v/>
      </c>
      <c r="BS213" s="190"/>
      <c r="BT213"/>
      <c r="BU213"/>
      <c r="BV213"/>
      <c r="BY213" s="99"/>
      <c r="BZ213" s="99"/>
      <c r="CA213" s="280" t="str">
        <f t="shared" si="166"/>
        <v/>
      </c>
      <c r="CB213" s="71" t="str">
        <f t="shared" si="122"/>
        <v>-</v>
      </c>
      <c r="CC213" s="33"/>
      <c r="CD213" s="261" t="str">
        <f t="shared" si="123"/>
        <v/>
      </c>
      <c r="CE213" s="280" t="str">
        <f t="shared" si="167"/>
        <v/>
      </c>
      <c r="CF213" s="71" t="str">
        <f t="shared" ca="1" si="168"/>
        <v/>
      </c>
      <c r="CG213" s="33" t="str">
        <f t="shared" si="126"/>
        <v/>
      </c>
      <c r="CH213" s="261" t="str">
        <f t="shared" ca="1" si="127"/>
        <v/>
      </c>
    </row>
    <row r="214" spans="2:86" ht="13.5" customHeight="1" x14ac:dyDescent="0.2">
      <c r="B214" s="262">
        <v>114</v>
      </c>
      <c r="C214" s="237" t="str">
        <f t="shared" si="91"/>
        <v/>
      </c>
      <c r="D214" s="237" t="str">
        <f t="shared" si="147"/>
        <v/>
      </c>
      <c r="E214" s="263" t="str">
        <f t="shared" si="128"/>
        <v/>
      </c>
      <c r="F214" s="264" t="str">
        <f t="shared" si="129"/>
        <v/>
      </c>
      <c r="G214" s="264" t="str">
        <f t="shared" si="130"/>
        <v/>
      </c>
      <c r="H214" s="240" t="str">
        <f t="shared" si="149"/>
        <v/>
      </c>
      <c r="I214" s="265" t="str">
        <f t="shared" si="150"/>
        <v/>
      </c>
      <c r="J214" s="265" t="str">
        <f t="shared" si="151"/>
        <v/>
      </c>
      <c r="K214" s="240" t="str">
        <f t="shared" si="152"/>
        <v/>
      </c>
      <c r="L214" s="265" t="str">
        <f t="shared" si="153"/>
        <v/>
      </c>
      <c r="M214" s="265" t="str">
        <f t="shared" si="154"/>
        <v/>
      </c>
      <c r="N214" s="240" t="str">
        <f t="shared" si="155"/>
        <v>-</v>
      </c>
      <c r="O214" s="265" t="str">
        <f t="shared" si="156"/>
        <v>-</v>
      </c>
      <c r="P214" s="265" t="str">
        <f t="shared" si="157"/>
        <v>-</v>
      </c>
      <c r="Q214" s="266" t="str">
        <f t="shared" si="158"/>
        <v>-</v>
      </c>
      <c r="R214" s="267" t="str">
        <f t="shared" si="159"/>
        <v>-</v>
      </c>
      <c r="S214" s="268" t="str">
        <f t="shared" si="160"/>
        <v>-</v>
      </c>
      <c r="T214" s="269" t="str">
        <f t="shared" si="104"/>
        <v/>
      </c>
      <c r="U214" s="221">
        <f t="shared" si="105"/>
        <v>114</v>
      </c>
      <c r="V214" s="220" t="str">
        <f t="shared" si="131"/>
        <v>-</v>
      </c>
      <c r="W214" s="221" t="str">
        <f t="shared" si="132"/>
        <v>-</v>
      </c>
      <c r="X214" s="221" t="str">
        <f t="shared" si="106"/>
        <v>-</v>
      </c>
      <c r="Y214" s="221" t="str">
        <f t="shared" si="107"/>
        <v>-</v>
      </c>
      <c r="Z214" s="270">
        <f t="shared" si="133"/>
        <v>0.1</v>
      </c>
      <c r="AA214" s="271" t="str">
        <f>IFERROR(IF(V213=1,AA$100*EXP(-(LN(2)/$D$65+0.04)*X213)*EXP(-(LN(2)/$D$65+0.1)*Y213),IF(V213=2,AA$100*EXP(-(LN(2)/$D$65+0.04)*(VLOOKUP(($F$16-$F$15)-1,U$99:Y213,4,FALSE)))*EXP(-(LN(2)/$D$65+0.1)*(VLOOKUP(($F$16-$F$15)-1,U$99:Y213,5,FALSE)))*EXP(-(LN(2)/$D$65+0.04)*X213)*EXP(-(LN(2)/$D$65+0.1)*Y213),IF(V213=3,AA$100*EXP(-(LN(2)/$D$65+0.04)*(VLOOKUP(($F$16-$F$15)-1,U$99:Y213,4,FALSE)))*EXP(-(LN(2)/$D$65+0.1)*(VLOOKUP(($F$16-$F$15)-1,U$99:Y213,5,FALSE)))*EXP(-(LN(2)/$D$65+0.04)*(VLOOKUP(($F$16-$F$15)*2-1,U$99:Y213,4,FALSE)))*EXP(-(LN(2)/$D$65+0.1)*(VLOOKUP(($F$16-$F$15)*2-1,U$99:Y213,5,FALSE)))*EXP(-(LN(2)/$D$65+0.04)*X213)*EXP(-(LN(2)/$D$65+0.1)*Y213),"-"))),"-")</f>
        <v>-</v>
      </c>
      <c r="AB214" s="271" t="str">
        <f>IFERROR(IF(V214=1,AB$100*EXP(-(LN(2)/$D$65+0.04)*X214)*EXP(-(LN(2)/$D$65+0.1)*Y214),IF(V214=2,AB$100*EXP(-(LN(2)/$D$65+0.04)*(VLOOKUP(($F$16-$F$15)-1,U$100:Y214,4,FALSE)))*EXP(-(LN(2)/$D$65+0.1)*(VLOOKUP(($F$16-$F$15)-1,U$100:Y214,5,FALSE)))*EXP(-(LN(2)/$D$65+0.04)*X214)*EXP(-(LN(2)/$D$65+0.1)*Y214),IF(V214=3,AB$100*EXP(-(LN(2)/$D$65+0.04)*(VLOOKUP(($F$16-$F$15)-1,U$100:Y214,4,FALSE)))*EXP(-(LN(2)/$D$65+0.1)*(VLOOKUP(($F$16-$F$15)-1,U$100:Y214,5,FALSE)))*EXP(-(LN(2)/$D$65+0.04)*(VLOOKUP(($F$16-$F$15)*2-1,U$100:Y214,4,FALSE)))*EXP(-(LN(2)/$D$65+0.1)*(VLOOKUP(($F$16-$F$15)*2-1,U$100:Y214,5,FALSE)))*EXP(-(LN(2)/$D$65+0.04)*X214)*EXP(-(LN(2)/$D$65+0.1)*Y214),"-"))),"-")</f>
        <v>-</v>
      </c>
      <c r="AC214" s="224">
        <f t="shared" si="134"/>
        <v>114</v>
      </c>
      <c r="AD214" s="223" t="str">
        <f t="shared" si="108"/>
        <v>-</v>
      </c>
      <c r="AE214" s="224" t="str">
        <f t="shared" si="135"/>
        <v>-</v>
      </c>
      <c r="AF214" s="224" t="str">
        <f t="shared" si="109"/>
        <v>-</v>
      </c>
      <c r="AG214" s="224" t="str">
        <f t="shared" si="110"/>
        <v>-</v>
      </c>
      <c r="AH214" s="272">
        <f t="shared" si="136"/>
        <v>0.1</v>
      </c>
      <c r="AI214" s="271" t="str">
        <f>IFERROR(IF(AD213=1,AI$100*EXP(-(LN(2)/$D$65+0.04)*AF213)*EXP(-(LN(2)/$D$65+0.1)*AG213),IF(AD213=2,AI$100*EXP(-(LN(2)/$D$65+0.04)*(VLOOKUP(($F$16-$F$15)-1,AC$99:AG213,4,FALSE)))*EXP(-(LN(2)/$D$65+0.1)*(VLOOKUP(($F$16-$F$15)-1,AC$99:AG213,5,FALSE)))*EXP(-(LN(2)/$D$65+0.04)*AF213)*EXP(-(LN(2)/$D$65+0.1)*AG213),IF(AD213=3,AI$100*EXP(-(LN(2)/$D$65+0.04)*(VLOOKUP(($F$16-$F$15)-1,AC$99:AG213,4,FALSE)))*EXP(-(LN(2)/$D$65+0.1)*(VLOOKUP(($F$16-$F$15)-1,AC$99:AG213,5,FALSE)))*EXP(-(LN(2)/$D$65+0.04)*(VLOOKUP(($F$16-$F$15)*2-1,AC$99:AG213,4,FALSE)))*EXP(-(LN(2)/$D$65+0.1)*(VLOOKUP(($F$16-$F$15)*2-1,AC$99:AG213,5,FALSE)))*EXP(-(LN(2)/$D$65+0.04)*AF213)*EXP(-(LN(2)/$D$65+0.1)*AG213),"-"))),"-")</f>
        <v>-</v>
      </c>
      <c r="AJ214" s="271" t="str">
        <f>IFERROR(IF(AD214=1,AJ$100*EXP(-(LN(2)/$D$65+0.04)*AF214)*EXP(-(LN(2)/$D$65+0.1)*AG214),IF(AD214=2,AJ$100*EXP(-(LN(2)/$D$65+0.04)*(VLOOKUP(($F$16-$F$15)-1,AC$100:AG214,4,FALSE)))*EXP(-(LN(2)/$D$65+0.1)*(VLOOKUP(($F$16-$F$15)-1,AC$100:AG214,5,FALSE)))*EXP(-(LN(2)/$D$65+0.04)*AF214)*EXP(-(LN(2)/$D$65+0.1)*AG214),IF(AD214=3,AJ$100*EXP(-(LN(2)/$D$65+0.04)*(VLOOKUP(($F$16-$F$15)-1,AC$100:AG214,4,FALSE)))*EXP(-(LN(2)/$D$65+0.1)*(VLOOKUP(($F$16-$F$15)-1,AC$100:AG214,5,FALSE)))*EXP(-(LN(2)/$D$65+0.04)*(VLOOKUP(($F$16-$F$15)*2-1,AC$100:AG214,4,FALSE)))*EXP(-(LN(2)/$D$65+0.1)*(VLOOKUP(($F$16-$F$15)*2-1,AC$100:AG214,5,FALSE)))*EXP(-(LN(2)/$D$65+0.04)*AF214)*EXP(-(LN(2)/$D$65+0.1)*AG214),"-"))),"-")</f>
        <v>-</v>
      </c>
      <c r="AK214" s="227">
        <f t="shared" si="137"/>
        <v>114</v>
      </c>
      <c r="AL214" s="226" t="str">
        <f t="shared" si="111"/>
        <v>-</v>
      </c>
      <c r="AM214" s="227" t="str">
        <f t="shared" si="138"/>
        <v>-</v>
      </c>
      <c r="AN214" s="227" t="str">
        <f t="shared" si="139"/>
        <v>-</v>
      </c>
      <c r="AO214" s="227" t="str">
        <f t="shared" si="112"/>
        <v>-</v>
      </c>
      <c r="AP214" s="273">
        <f t="shared" si="140"/>
        <v>0.1</v>
      </c>
      <c r="AQ214" s="271" t="str">
        <f>IFERROR(IF(AL213=1,AQ$100*EXP(-(LN(2)/$D$65+0.04)*AN213)*EXP(-(LN(2)/$D$65+0.1)*AO213),IF(AL213=2,AQ$100*EXP(-(LN(2)/$D$65+0.04)*(VLOOKUP(($F$16-$F$15)-1,AK$99:AO213,4,FALSE)))*EXP(-(LN(2)/$D$65+0.1)*(VLOOKUP(($F$16-$F$15)-1,AK$99:AO213,5,FALSE)))*EXP(-(LN(2)/$D$65+0.04)*AN213)*EXP(-(LN(2)/$D$65+0.1)*AO213),IF(AL213=3,AQ$100*EXP(-(LN(2)/$D$65+0.04)*(VLOOKUP(($F$16-$F$15)-1,AK$99:AO213,4,FALSE)))*EXP(-(LN(2)/$D$65+0.1)*(VLOOKUP(($F$16-$F$15)-1,AK$99:AO213,5,FALSE)))*EXP(-(LN(2)/$D$65+0.04)*(VLOOKUP(($F$16-$F$15)*2-1,AK$99:AO213,4,FALSE)))*EXP(-(LN(2)/$D$65+0.1)*(VLOOKUP(($F$16-$F$15)*2-1,AK$99:AO213,5,FALSE)))*EXP(-(LN(2)/$D$65+0.04)*AN213)*EXP(-(LN(2)/$D$65+0.1)*AO213),"-"))),"-")</f>
        <v>-</v>
      </c>
      <c r="AR214" s="271" t="str">
        <f>IFERROR(IF(AL214=1,AR$100*EXP(-(LN(2)/$D$65+0.04)*AN214)*EXP(-(LN(2)/$D$65+0.1)*AO214),IF(AL214=2,AR$100*EXP(-(LN(2)/$D$65+0.04)*(VLOOKUP(($F$16-$F$15)-1,AK$100:AO214,4,FALSE)))*EXP(-(LN(2)/$D$65+0.1)*(VLOOKUP(($F$16-$F$15)-1,AK$100:AO214,5,FALSE)))*EXP(-(LN(2)/$D$65+0.04)*AN214)*EXP(-(LN(2)/$D$65+0.1)*AO214),IF(AL214=3,AR$100*EXP(-(LN(2)/$D$65+0.04)*(VLOOKUP(($F$16-$F$15)-1,AK$100:AO214,4,FALSE)))*EXP(-(LN(2)/$D$65+0.1)*(VLOOKUP(($F$16-$F$15)-1,AK$100:AO214,5,FALSE)))*EXP(-(LN(2)/$D$65+0.04)*(VLOOKUP(($F$16-$F$15)*2-1,AK$100:AO214,4,FALSE)))*EXP(-(LN(2)/$D$65+0.1)*(VLOOKUP(($F$16-$F$15)*2-1,AK$100:AO214,5,FALSE)))*EXP(-(LN(2)/$D$65+0.04)*AN214)*EXP(-(LN(2)/$D$65+0.1)*AO214),"-"))),"-")</f>
        <v>-</v>
      </c>
      <c r="AS214" s="274">
        <f t="shared" si="113"/>
        <v>0</v>
      </c>
      <c r="AT214" s="274">
        <f t="shared" si="114"/>
        <v>0</v>
      </c>
      <c r="AU214" s="274">
        <f t="shared" si="115"/>
        <v>0</v>
      </c>
      <c r="AV214" s="190" t="str">
        <f>IF($B214&lt;$F$22,SUM($T$100:$T214),"")</f>
        <v/>
      </c>
      <c r="AW214" s="190" t="str">
        <f t="shared" si="161"/>
        <v>-</v>
      </c>
      <c r="AX214" s="190" t="str">
        <f t="shared" si="141"/>
        <v/>
      </c>
      <c r="AY214"/>
      <c r="AZ214" s="190" t="str">
        <f ca="1">IF(ISNUMBER(OFFSET(AV214,-$F$21,0)),SUM(OFFSET($T$100,$F$21,0):$T214),"")</f>
        <v/>
      </c>
      <c r="BA214" s="190" t="str">
        <f t="shared" ca="1" si="162"/>
        <v/>
      </c>
      <c r="BB214" s="190" t="str">
        <f t="shared" ca="1" si="148"/>
        <v/>
      </c>
      <c r="BC214" s="190"/>
      <c r="BD214" s="190" t="str">
        <f ca="1">IFERROR(IF(OR(ISNUMBER(I),ISNUMBER($F$14)),IF(AND($B214&gt;=($F$16-$F$15),$B214&lt;$F$22+($F$16-$F$15)),SUM(OFFSET($T$100,($F$16-$F$15),0):$T214),""),""),"")</f>
        <v/>
      </c>
      <c r="BE214" s="190" t="str">
        <f t="shared" ca="1" si="142"/>
        <v/>
      </c>
      <c r="BF214" s="190" t="str">
        <f t="shared" ca="1" si="143"/>
        <v/>
      </c>
      <c r="BG214"/>
      <c r="BH214" s="190" t="str">
        <f ca="1">IF(ISNUMBER(OFFSET(BD214,-$F$21,0)),SUM(OFFSET($T$100,($F$16-$F$15+$F$21),0):$T214),"")</f>
        <v/>
      </c>
      <c r="BI214" s="190" t="str">
        <f t="shared" ca="1" si="163"/>
        <v/>
      </c>
      <c r="BJ214" s="190" t="str">
        <f t="shared" ca="1" si="144"/>
        <v/>
      </c>
      <c r="BK214" s="190"/>
      <c r="BL214" s="190" t="str">
        <f ca="1">IFERROR(IF(OR(ISNUMBER(I),ISNUMBER($F$14)),IF(AND($B214&gt;=($F$17-$F$15),$B214&lt;$F$22+($F$17-$F$15)),SUM(OFFSET($T$100,($F$17-$F$15),0):$T214),""),""),"")</f>
        <v/>
      </c>
      <c r="BM214" s="190" t="str">
        <f t="shared" ca="1" si="164"/>
        <v/>
      </c>
      <c r="BN214" s="190" t="str">
        <f t="shared" ca="1" si="145"/>
        <v/>
      </c>
      <c r="BO214"/>
      <c r="BP214" s="190" t="str">
        <f ca="1">IF(ISNUMBER(OFFSET(BL214,-$F$21,0)),SUM(OFFSET($T$100,($F$17-$F$15+$F$21),0):$T214),"")</f>
        <v/>
      </c>
      <c r="BQ214" s="190" t="str">
        <f t="shared" ca="1" si="165"/>
        <v/>
      </c>
      <c r="BR214" s="190" t="str">
        <f t="shared" ca="1" si="146"/>
        <v/>
      </c>
      <c r="BS214" s="190"/>
      <c r="BT214"/>
      <c r="BU214"/>
      <c r="BV214"/>
      <c r="BY214" s="99"/>
      <c r="BZ214" s="99"/>
      <c r="CA214" s="280" t="str">
        <f t="shared" si="166"/>
        <v/>
      </c>
      <c r="CB214" s="71" t="str">
        <f t="shared" si="122"/>
        <v>-</v>
      </c>
      <c r="CC214" s="33"/>
      <c r="CD214" s="261" t="str">
        <f t="shared" si="123"/>
        <v/>
      </c>
      <c r="CE214" s="280" t="str">
        <f t="shared" si="167"/>
        <v/>
      </c>
      <c r="CF214" s="71" t="str">
        <f t="shared" ca="1" si="168"/>
        <v/>
      </c>
      <c r="CG214" s="33" t="str">
        <f t="shared" si="126"/>
        <v/>
      </c>
      <c r="CH214" s="261" t="str">
        <f t="shared" ca="1" si="127"/>
        <v/>
      </c>
    </row>
    <row r="215" spans="2:86" ht="13.5" customHeight="1" x14ac:dyDescent="0.2">
      <c r="B215" s="262">
        <v>115</v>
      </c>
      <c r="C215" s="237" t="str">
        <f t="shared" si="91"/>
        <v/>
      </c>
      <c r="D215" s="237" t="str">
        <f t="shared" si="147"/>
        <v/>
      </c>
      <c r="E215" s="263" t="str">
        <f t="shared" si="128"/>
        <v/>
      </c>
      <c r="F215" s="264" t="str">
        <f t="shared" si="129"/>
        <v/>
      </c>
      <c r="G215" s="264" t="str">
        <f t="shared" si="130"/>
        <v/>
      </c>
      <c r="H215" s="240" t="str">
        <f t="shared" si="149"/>
        <v/>
      </c>
      <c r="I215" s="265" t="str">
        <f t="shared" si="150"/>
        <v/>
      </c>
      <c r="J215" s="265" t="str">
        <f t="shared" si="151"/>
        <v/>
      </c>
      <c r="K215" s="240" t="str">
        <f t="shared" si="152"/>
        <v/>
      </c>
      <c r="L215" s="265" t="str">
        <f t="shared" si="153"/>
        <v/>
      </c>
      <c r="M215" s="265" t="str">
        <f t="shared" si="154"/>
        <v/>
      </c>
      <c r="N215" s="240" t="str">
        <f t="shared" si="155"/>
        <v>-</v>
      </c>
      <c r="O215" s="265" t="str">
        <f t="shared" si="156"/>
        <v>-</v>
      </c>
      <c r="P215" s="265" t="str">
        <f t="shared" si="157"/>
        <v>-</v>
      </c>
      <c r="Q215" s="266" t="str">
        <f t="shared" si="158"/>
        <v>-</v>
      </c>
      <c r="R215" s="267" t="str">
        <f t="shared" si="159"/>
        <v>-</v>
      </c>
      <c r="S215" s="268" t="str">
        <f t="shared" si="160"/>
        <v>-</v>
      </c>
      <c r="T215" s="269" t="str">
        <f t="shared" si="104"/>
        <v/>
      </c>
      <c r="U215" s="221">
        <f t="shared" si="105"/>
        <v>115</v>
      </c>
      <c r="V215" s="220" t="str">
        <f t="shared" si="131"/>
        <v>-</v>
      </c>
      <c r="W215" s="221" t="str">
        <f t="shared" si="132"/>
        <v>-</v>
      </c>
      <c r="X215" s="221" t="str">
        <f t="shared" si="106"/>
        <v>-</v>
      </c>
      <c r="Y215" s="221" t="str">
        <f t="shared" si="107"/>
        <v>-</v>
      </c>
      <c r="Z215" s="270">
        <f t="shared" si="133"/>
        <v>0.1</v>
      </c>
      <c r="AA215" s="271" t="str">
        <f>IFERROR(IF(V214=1,AA$100*EXP(-(LN(2)/$D$65+0.04)*X214)*EXP(-(LN(2)/$D$65+0.1)*Y214),IF(V214=2,AA$100*EXP(-(LN(2)/$D$65+0.04)*(VLOOKUP(($F$16-$F$15)-1,U$99:Y214,4,FALSE)))*EXP(-(LN(2)/$D$65+0.1)*(VLOOKUP(($F$16-$F$15)-1,U$99:Y214,5,FALSE)))*EXP(-(LN(2)/$D$65+0.04)*X214)*EXP(-(LN(2)/$D$65+0.1)*Y214),IF(V214=3,AA$100*EXP(-(LN(2)/$D$65+0.04)*(VLOOKUP(($F$16-$F$15)-1,U$99:Y214,4,FALSE)))*EXP(-(LN(2)/$D$65+0.1)*(VLOOKUP(($F$16-$F$15)-1,U$99:Y214,5,FALSE)))*EXP(-(LN(2)/$D$65+0.04)*(VLOOKUP(($F$16-$F$15)*2-1,U$99:Y214,4,FALSE)))*EXP(-(LN(2)/$D$65+0.1)*(VLOOKUP(($F$16-$F$15)*2-1,U$99:Y214,5,FALSE)))*EXP(-(LN(2)/$D$65+0.04)*X214)*EXP(-(LN(2)/$D$65+0.1)*Y214),"-"))),"-")</f>
        <v>-</v>
      </c>
      <c r="AB215" s="271" t="str">
        <f>IFERROR(IF(V215=1,AB$100*EXP(-(LN(2)/$D$65+0.04)*X215)*EXP(-(LN(2)/$D$65+0.1)*Y215),IF(V215=2,AB$100*EXP(-(LN(2)/$D$65+0.04)*(VLOOKUP(($F$16-$F$15)-1,U$100:Y215,4,FALSE)))*EXP(-(LN(2)/$D$65+0.1)*(VLOOKUP(($F$16-$F$15)-1,U$100:Y215,5,FALSE)))*EXP(-(LN(2)/$D$65+0.04)*X215)*EXP(-(LN(2)/$D$65+0.1)*Y215),IF(V215=3,AB$100*EXP(-(LN(2)/$D$65+0.04)*(VLOOKUP(($F$16-$F$15)-1,U$100:Y215,4,FALSE)))*EXP(-(LN(2)/$D$65+0.1)*(VLOOKUP(($F$16-$F$15)-1,U$100:Y215,5,FALSE)))*EXP(-(LN(2)/$D$65+0.04)*(VLOOKUP(($F$16-$F$15)*2-1,U$100:Y215,4,FALSE)))*EXP(-(LN(2)/$D$65+0.1)*(VLOOKUP(($F$16-$F$15)*2-1,U$100:Y215,5,FALSE)))*EXP(-(LN(2)/$D$65+0.04)*X215)*EXP(-(LN(2)/$D$65+0.1)*Y215),"-"))),"-")</f>
        <v>-</v>
      </c>
      <c r="AC215" s="224">
        <f t="shared" si="134"/>
        <v>115</v>
      </c>
      <c r="AD215" s="223" t="str">
        <f t="shared" si="108"/>
        <v>-</v>
      </c>
      <c r="AE215" s="224" t="str">
        <f t="shared" si="135"/>
        <v>-</v>
      </c>
      <c r="AF215" s="224" t="str">
        <f t="shared" si="109"/>
        <v>-</v>
      </c>
      <c r="AG215" s="224" t="str">
        <f t="shared" si="110"/>
        <v>-</v>
      </c>
      <c r="AH215" s="272">
        <f t="shared" si="136"/>
        <v>0.1</v>
      </c>
      <c r="AI215" s="271" t="str">
        <f>IFERROR(IF(AD214=1,AI$100*EXP(-(LN(2)/$D$65+0.04)*AF214)*EXP(-(LN(2)/$D$65+0.1)*AG214),IF(AD214=2,AI$100*EXP(-(LN(2)/$D$65+0.04)*(VLOOKUP(($F$16-$F$15)-1,AC$99:AG214,4,FALSE)))*EXP(-(LN(2)/$D$65+0.1)*(VLOOKUP(($F$16-$F$15)-1,AC$99:AG214,5,FALSE)))*EXP(-(LN(2)/$D$65+0.04)*AF214)*EXP(-(LN(2)/$D$65+0.1)*AG214),IF(AD214=3,AI$100*EXP(-(LN(2)/$D$65+0.04)*(VLOOKUP(($F$16-$F$15)-1,AC$99:AG214,4,FALSE)))*EXP(-(LN(2)/$D$65+0.1)*(VLOOKUP(($F$16-$F$15)-1,AC$99:AG214,5,FALSE)))*EXP(-(LN(2)/$D$65+0.04)*(VLOOKUP(($F$16-$F$15)*2-1,AC$99:AG214,4,FALSE)))*EXP(-(LN(2)/$D$65+0.1)*(VLOOKUP(($F$16-$F$15)*2-1,AC$99:AG214,5,FALSE)))*EXP(-(LN(2)/$D$65+0.04)*AF214)*EXP(-(LN(2)/$D$65+0.1)*AG214),"-"))),"-")</f>
        <v>-</v>
      </c>
      <c r="AJ215" s="271" t="str">
        <f>IFERROR(IF(AD215=1,AJ$100*EXP(-(LN(2)/$D$65+0.04)*AF215)*EXP(-(LN(2)/$D$65+0.1)*AG215),IF(AD215=2,AJ$100*EXP(-(LN(2)/$D$65+0.04)*(VLOOKUP(($F$16-$F$15)-1,AC$100:AG215,4,FALSE)))*EXP(-(LN(2)/$D$65+0.1)*(VLOOKUP(($F$16-$F$15)-1,AC$100:AG215,5,FALSE)))*EXP(-(LN(2)/$D$65+0.04)*AF215)*EXP(-(LN(2)/$D$65+0.1)*AG215),IF(AD215=3,AJ$100*EXP(-(LN(2)/$D$65+0.04)*(VLOOKUP(($F$16-$F$15)-1,AC$100:AG215,4,FALSE)))*EXP(-(LN(2)/$D$65+0.1)*(VLOOKUP(($F$16-$F$15)-1,AC$100:AG215,5,FALSE)))*EXP(-(LN(2)/$D$65+0.04)*(VLOOKUP(($F$16-$F$15)*2-1,AC$100:AG215,4,FALSE)))*EXP(-(LN(2)/$D$65+0.1)*(VLOOKUP(($F$16-$F$15)*2-1,AC$100:AG215,5,FALSE)))*EXP(-(LN(2)/$D$65+0.04)*AF215)*EXP(-(LN(2)/$D$65+0.1)*AG215),"-"))),"-")</f>
        <v>-</v>
      </c>
      <c r="AK215" s="227">
        <f t="shared" si="137"/>
        <v>115</v>
      </c>
      <c r="AL215" s="226" t="str">
        <f t="shared" si="111"/>
        <v>-</v>
      </c>
      <c r="AM215" s="227" t="str">
        <f t="shared" si="138"/>
        <v>-</v>
      </c>
      <c r="AN215" s="227" t="str">
        <f t="shared" si="139"/>
        <v>-</v>
      </c>
      <c r="AO215" s="227" t="str">
        <f t="shared" si="112"/>
        <v>-</v>
      </c>
      <c r="AP215" s="273">
        <f t="shared" si="140"/>
        <v>0.1</v>
      </c>
      <c r="AQ215" s="271" t="str">
        <f>IFERROR(IF(AL214=1,AQ$100*EXP(-(LN(2)/$D$65+0.04)*AN214)*EXP(-(LN(2)/$D$65+0.1)*AO214),IF(AL214=2,AQ$100*EXP(-(LN(2)/$D$65+0.04)*(VLOOKUP(($F$16-$F$15)-1,AK$99:AO214,4,FALSE)))*EXP(-(LN(2)/$D$65+0.1)*(VLOOKUP(($F$16-$F$15)-1,AK$99:AO214,5,FALSE)))*EXP(-(LN(2)/$D$65+0.04)*AN214)*EXP(-(LN(2)/$D$65+0.1)*AO214),IF(AL214=3,AQ$100*EXP(-(LN(2)/$D$65+0.04)*(VLOOKUP(($F$16-$F$15)-1,AK$99:AO214,4,FALSE)))*EXP(-(LN(2)/$D$65+0.1)*(VLOOKUP(($F$16-$F$15)-1,AK$99:AO214,5,FALSE)))*EXP(-(LN(2)/$D$65+0.04)*(VLOOKUP(($F$16-$F$15)*2-1,AK$99:AO214,4,FALSE)))*EXP(-(LN(2)/$D$65+0.1)*(VLOOKUP(($F$16-$F$15)*2-1,AK$99:AO214,5,FALSE)))*EXP(-(LN(2)/$D$65+0.04)*AN214)*EXP(-(LN(2)/$D$65+0.1)*AO214),"-"))),"-")</f>
        <v>-</v>
      </c>
      <c r="AR215" s="271" t="str">
        <f>IFERROR(IF(AL215=1,AR$100*EXP(-(LN(2)/$D$65+0.04)*AN215)*EXP(-(LN(2)/$D$65+0.1)*AO215),IF(AL215=2,AR$100*EXP(-(LN(2)/$D$65+0.04)*(VLOOKUP(($F$16-$F$15)-1,AK$100:AO215,4,FALSE)))*EXP(-(LN(2)/$D$65+0.1)*(VLOOKUP(($F$16-$F$15)-1,AK$100:AO215,5,FALSE)))*EXP(-(LN(2)/$D$65+0.04)*AN215)*EXP(-(LN(2)/$D$65+0.1)*AO215),IF(AL215=3,AR$100*EXP(-(LN(2)/$D$65+0.04)*(VLOOKUP(($F$16-$F$15)-1,AK$100:AO215,4,FALSE)))*EXP(-(LN(2)/$D$65+0.1)*(VLOOKUP(($F$16-$F$15)-1,AK$100:AO215,5,FALSE)))*EXP(-(LN(2)/$D$65+0.04)*(VLOOKUP(($F$16-$F$15)*2-1,AK$100:AO215,4,FALSE)))*EXP(-(LN(2)/$D$65+0.1)*(VLOOKUP(($F$16-$F$15)*2-1,AK$100:AO215,5,FALSE)))*EXP(-(LN(2)/$D$65+0.04)*AN215)*EXP(-(LN(2)/$D$65+0.1)*AO215),"-"))),"-")</f>
        <v>-</v>
      </c>
      <c r="AS215" s="274">
        <f t="shared" si="113"/>
        <v>0</v>
      </c>
      <c r="AT215" s="274">
        <f t="shared" si="114"/>
        <v>0</v>
      </c>
      <c r="AU215" s="274">
        <f t="shared" si="115"/>
        <v>0</v>
      </c>
      <c r="AV215" s="190" t="str">
        <f>IF($B215&lt;$F$22,SUM($T$100:$T215),"")</f>
        <v/>
      </c>
      <c r="AW215" s="190" t="str">
        <f t="shared" si="161"/>
        <v>-</v>
      </c>
      <c r="AX215" s="190" t="str">
        <f t="shared" si="141"/>
        <v/>
      </c>
      <c r="AY215"/>
      <c r="AZ215" s="190" t="str">
        <f ca="1">IF(ISNUMBER(OFFSET(AV215,-$F$21,0)),SUM(OFFSET($T$100,$F$21,0):$T215),"")</f>
        <v/>
      </c>
      <c r="BA215" s="190" t="str">
        <f t="shared" ca="1" si="162"/>
        <v/>
      </c>
      <c r="BB215" s="190" t="str">
        <f t="shared" ca="1" si="148"/>
        <v/>
      </c>
      <c r="BC215" s="190"/>
      <c r="BD215" s="190" t="str">
        <f ca="1">IFERROR(IF(OR(ISNUMBER(I),ISNUMBER($F$14)),IF(AND($B215&gt;=($F$16-$F$15),$B215&lt;$F$22+($F$16-$F$15)),SUM(OFFSET($T$100,($F$16-$F$15),0):$T215),""),""),"")</f>
        <v/>
      </c>
      <c r="BE215" s="190" t="str">
        <f t="shared" ca="1" si="142"/>
        <v/>
      </c>
      <c r="BF215" s="190" t="str">
        <f t="shared" ca="1" si="143"/>
        <v/>
      </c>
      <c r="BG215"/>
      <c r="BH215" s="190" t="str">
        <f ca="1">IF(ISNUMBER(OFFSET(BD215,-$F$21,0)),SUM(OFFSET($T$100,($F$16-$F$15+$F$21),0):$T215),"")</f>
        <v/>
      </c>
      <c r="BI215" s="190" t="str">
        <f t="shared" ca="1" si="163"/>
        <v/>
      </c>
      <c r="BJ215" s="190" t="str">
        <f t="shared" ca="1" si="144"/>
        <v/>
      </c>
      <c r="BK215" s="190"/>
      <c r="BL215" s="190" t="str">
        <f ca="1">IFERROR(IF(OR(ISNUMBER(I),ISNUMBER($F$14)),IF(AND($B215&gt;=($F$17-$F$15),$B215&lt;$F$22+($F$17-$F$15)),SUM(OFFSET($T$100,($F$17-$F$15),0):$T215),""),""),"")</f>
        <v/>
      </c>
      <c r="BM215" s="190" t="str">
        <f t="shared" ca="1" si="164"/>
        <v/>
      </c>
      <c r="BN215" s="190" t="str">
        <f t="shared" ca="1" si="145"/>
        <v/>
      </c>
      <c r="BO215"/>
      <c r="BP215" s="190" t="str">
        <f ca="1">IF(ISNUMBER(OFFSET(BL215,-$F$21,0)),SUM(OFFSET($T$100,($F$17-$F$15+$F$21),0):$T215),"")</f>
        <v/>
      </c>
      <c r="BQ215" s="190" t="str">
        <f t="shared" ca="1" si="165"/>
        <v/>
      </c>
      <c r="BR215" s="190" t="str">
        <f t="shared" ca="1" si="146"/>
        <v/>
      </c>
      <c r="BS215" s="190"/>
      <c r="BT215"/>
      <c r="BU215"/>
      <c r="BV215"/>
      <c r="BY215" s="99"/>
      <c r="BZ215" s="99"/>
      <c r="CA215" s="280" t="str">
        <f t="shared" si="166"/>
        <v/>
      </c>
      <c r="CB215" s="71" t="str">
        <f t="shared" si="122"/>
        <v>-</v>
      </c>
      <c r="CC215" s="33"/>
      <c r="CD215" s="261" t="str">
        <f t="shared" si="123"/>
        <v/>
      </c>
      <c r="CE215" s="280" t="str">
        <f t="shared" si="167"/>
        <v/>
      </c>
      <c r="CF215" s="71" t="str">
        <f t="shared" ca="1" si="168"/>
        <v/>
      </c>
      <c r="CG215" s="33" t="str">
        <f t="shared" si="126"/>
        <v/>
      </c>
      <c r="CH215" s="261" t="str">
        <f t="shared" ca="1" si="127"/>
        <v/>
      </c>
    </row>
    <row r="216" spans="2:86" ht="13.5" customHeight="1" x14ac:dyDescent="0.2">
      <c r="B216" s="262">
        <v>116</v>
      </c>
      <c r="C216" s="237" t="str">
        <f t="shared" si="91"/>
        <v/>
      </c>
      <c r="D216" s="237" t="str">
        <f t="shared" si="147"/>
        <v/>
      </c>
      <c r="E216" s="263" t="str">
        <f t="shared" si="128"/>
        <v/>
      </c>
      <c r="F216" s="264" t="str">
        <f t="shared" si="129"/>
        <v/>
      </c>
      <c r="G216" s="264" t="str">
        <f t="shared" si="130"/>
        <v/>
      </c>
      <c r="H216" s="240" t="str">
        <f t="shared" si="149"/>
        <v/>
      </c>
      <c r="I216" s="265" t="str">
        <f t="shared" si="150"/>
        <v/>
      </c>
      <c r="J216" s="265" t="str">
        <f t="shared" si="151"/>
        <v/>
      </c>
      <c r="K216" s="240" t="str">
        <f t="shared" si="152"/>
        <v/>
      </c>
      <c r="L216" s="265" t="str">
        <f t="shared" si="153"/>
        <v/>
      </c>
      <c r="M216" s="265" t="str">
        <f t="shared" si="154"/>
        <v/>
      </c>
      <c r="N216" s="240" t="str">
        <f t="shared" si="155"/>
        <v>-</v>
      </c>
      <c r="O216" s="265" t="str">
        <f t="shared" si="156"/>
        <v>-</v>
      </c>
      <c r="P216" s="265" t="str">
        <f t="shared" si="157"/>
        <v>-</v>
      </c>
      <c r="Q216" s="266" t="str">
        <f t="shared" si="158"/>
        <v>-</v>
      </c>
      <c r="R216" s="267" t="str">
        <f t="shared" si="159"/>
        <v>-</v>
      </c>
      <c r="S216" s="268" t="str">
        <f t="shared" si="160"/>
        <v>-</v>
      </c>
      <c r="T216" s="269" t="str">
        <f t="shared" si="104"/>
        <v/>
      </c>
      <c r="U216" s="221">
        <f t="shared" si="105"/>
        <v>116</v>
      </c>
      <c r="V216" s="220" t="str">
        <f t="shared" si="131"/>
        <v>-</v>
      </c>
      <c r="W216" s="221" t="str">
        <f t="shared" si="132"/>
        <v>-</v>
      </c>
      <c r="X216" s="221" t="str">
        <f t="shared" si="106"/>
        <v>-</v>
      </c>
      <c r="Y216" s="221" t="str">
        <f t="shared" si="107"/>
        <v>-</v>
      </c>
      <c r="Z216" s="270">
        <f t="shared" si="133"/>
        <v>0.1</v>
      </c>
      <c r="AA216" s="271" t="str">
        <f>IFERROR(IF(V215=1,AA$100*EXP(-(LN(2)/$D$65+0.04)*X215)*EXP(-(LN(2)/$D$65+0.1)*Y215),IF(V215=2,AA$100*EXP(-(LN(2)/$D$65+0.04)*(VLOOKUP(($F$16-$F$15)-1,U$99:Y215,4,FALSE)))*EXP(-(LN(2)/$D$65+0.1)*(VLOOKUP(($F$16-$F$15)-1,U$99:Y215,5,FALSE)))*EXP(-(LN(2)/$D$65+0.04)*X215)*EXP(-(LN(2)/$D$65+0.1)*Y215),IF(V215=3,AA$100*EXP(-(LN(2)/$D$65+0.04)*(VLOOKUP(($F$16-$F$15)-1,U$99:Y215,4,FALSE)))*EXP(-(LN(2)/$D$65+0.1)*(VLOOKUP(($F$16-$F$15)-1,U$99:Y215,5,FALSE)))*EXP(-(LN(2)/$D$65+0.04)*(VLOOKUP(($F$16-$F$15)*2-1,U$99:Y215,4,FALSE)))*EXP(-(LN(2)/$D$65+0.1)*(VLOOKUP(($F$16-$F$15)*2-1,U$99:Y215,5,FALSE)))*EXP(-(LN(2)/$D$65+0.04)*X215)*EXP(-(LN(2)/$D$65+0.1)*Y215),"-"))),"-")</f>
        <v>-</v>
      </c>
      <c r="AB216" s="271" t="str">
        <f>IFERROR(IF(V216=1,AB$100*EXP(-(LN(2)/$D$65+0.04)*X216)*EXP(-(LN(2)/$D$65+0.1)*Y216),IF(V216=2,AB$100*EXP(-(LN(2)/$D$65+0.04)*(VLOOKUP(($F$16-$F$15)-1,U$100:Y216,4,FALSE)))*EXP(-(LN(2)/$D$65+0.1)*(VLOOKUP(($F$16-$F$15)-1,U$100:Y216,5,FALSE)))*EXP(-(LN(2)/$D$65+0.04)*X216)*EXP(-(LN(2)/$D$65+0.1)*Y216),IF(V216=3,AB$100*EXP(-(LN(2)/$D$65+0.04)*(VLOOKUP(($F$16-$F$15)-1,U$100:Y216,4,FALSE)))*EXP(-(LN(2)/$D$65+0.1)*(VLOOKUP(($F$16-$F$15)-1,U$100:Y216,5,FALSE)))*EXP(-(LN(2)/$D$65+0.04)*(VLOOKUP(($F$16-$F$15)*2-1,U$100:Y216,4,FALSE)))*EXP(-(LN(2)/$D$65+0.1)*(VLOOKUP(($F$16-$F$15)*2-1,U$100:Y216,5,FALSE)))*EXP(-(LN(2)/$D$65+0.04)*X216)*EXP(-(LN(2)/$D$65+0.1)*Y216),"-"))),"-")</f>
        <v>-</v>
      </c>
      <c r="AC216" s="224">
        <f t="shared" si="134"/>
        <v>116</v>
      </c>
      <c r="AD216" s="223" t="str">
        <f t="shared" si="108"/>
        <v>-</v>
      </c>
      <c r="AE216" s="224" t="str">
        <f t="shared" si="135"/>
        <v>-</v>
      </c>
      <c r="AF216" s="224" t="str">
        <f t="shared" si="109"/>
        <v>-</v>
      </c>
      <c r="AG216" s="224" t="str">
        <f t="shared" si="110"/>
        <v>-</v>
      </c>
      <c r="AH216" s="272">
        <f t="shared" si="136"/>
        <v>0.1</v>
      </c>
      <c r="AI216" s="271" t="str">
        <f>IFERROR(IF(AD215=1,AI$100*EXP(-(LN(2)/$D$65+0.04)*AF215)*EXP(-(LN(2)/$D$65+0.1)*AG215),IF(AD215=2,AI$100*EXP(-(LN(2)/$D$65+0.04)*(VLOOKUP(($F$16-$F$15)-1,AC$99:AG215,4,FALSE)))*EXP(-(LN(2)/$D$65+0.1)*(VLOOKUP(($F$16-$F$15)-1,AC$99:AG215,5,FALSE)))*EXP(-(LN(2)/$D$65+0.04)*AF215)*EXP(-(LN(2)/$D$65+0.1)*AG215),IF(AD215=3,AI$100*EXP(-(LN(2)/$D$65+0.04)*(VLOOKUP(($F$16-$F$15)-1,AC$99:AG215,4,FALSE)))*EXP(-(LN(2)/$D$65+0.1)*(VLOOKUP(($F$16-$F$15)-1,AC$99:AG215,5,FALSE)))*EXP(-(LN(2)/$D$65+0.04)*(VLOOKUP(($F$16-$F$15)*2-1,AC$99:AG215,4,FALSE)))*EXP(-(LN(2)/$D$65+0.1)*(VLOOKUP(($F$16-$F$15)*2-1,AC$99:AG215,5,FALSE)))*EXP(-(LN(2)/$D$65+0.04)*AF215)*EXP(-(LN(2)/$D$65+0.1)*AG215),"-"))),"-")</f>
        <v>-</v>
      </c>
      <c r="AJ216" s="271" t="str">
        <f>IFERROR(IF(AD216=1,AJ$100*EXP(-(LN(2)/$D$65+0.04)*AF216)*EXP(-(LN(2)/$D$65+0.1)*AG216),IF(AD216=2,AJ$100*EXP(-(LN(2)/$D$65+0.04)*(VLOOKUP(($F$16-$F$15)-1,AC$100:AG216,4,FALSE)))*EXP(-(LN(2)/$D$65+0.1)*(VLOOKUP(($F$16-$F$15)-1,AC$100:AG216,5,FALSE)))*EXP(-(LN(2)/$D$65+0.04)*AF216)*EXP(-(LN(2)/$D$65+0.1)*AG216),IF(AD216=3,AJ$100*EXP(-(LN(2)/$D$65+0.04)*(VLOOKUP(($F$16-$F$15)-1,AC$100:AG216,4,FALSE)))*EXP(-(LN(2)/$D$65+0.1)*(VLOOKUP(($F$16-$F$15)-1,AC$100:AG216,5,FALSE)))*EXP(-(LN(2)/$D$65+0.04)*(VLOOKUP(($F$16-$F$15)*2-1,AC$100:AG216,4,FALSE)))*EXP(-(LN(2)/$D$65+0.1)*(VLOOKUP(($F$16-$F$15)*2-1,AC$100:AG216,5,FALSE)))*EXP(-(LN(2)/$D$65+0.04)*AF216)*EXP(-(LN(2)/$D$65+0.1)*AG216),"-"))),"-")</f>
        <v>-</v>
      </c>
      <c r="AK216" s="227">
        <f t="shared" si="137"/>
        <v>116</v>
      </c>
      <c r="AL216" s="226" t="str">
        <f t="shared" si="111"/>
        <v>-</v>
      </c>
      <c r="AM216" s="227" t="str">
        <f t="shared" si="138"/>
        <v>-</v>
      </c>
      <c r="AN216" s="227" t="str">
        <f t="shared" si="139"/>
        <v>-</v>
      </c>
      <c r="AO216" s="227" t="str">
        <f t="shared" si="112"/>
        <v>-</v>
      </c>
      <c r="AP216" s="273">
        <f t="shared" si="140"/>
        <v>0.1</v>
      </c>
      <c r="AQ216" s="271" t="str">
        <f>IFERROR(IF(AL215=1,AQ$100*EXP(-(LN(2)/$D$65+0.04)*AN215)*EXP(-(LN(2)/$D$65+0.1)*AO215),IF(AL215=2,AQ$100*EXP(-(LN(2)/$D$65+0.04)*(VLOOKUP(($F$16-$F$15)-1,AK$99:AO215,4,FALSE)))*EXP(-(LN(2)/$D$65+0.1)*(VLOOKUP(($F$16-$F$15)-1,AK$99:AO215,5,FALSE)))*EXP(-(LN(2)/$D$65+0.04)*AN215)*EXP(-(LN(2)/$D$65+0.1)*AO215),IF(AL215=3,AQ$100*EXP(-(LN(2)/$D$65+0.04)*(VLOOKUP(($F$16-$F$15)-1,AK$99:AO215,4,FALSE)))*EXP(-(LN(2)/$D$65+0.1)*(VLOOKUP(($F$16-$F$15)-1,AK$99:AO215,5,FALSE)))*EXP(-(LN(2)/$D$65+0.04)*(VLOOKUP(($F$16-$F$15)*2-1,AK$99:AO215,4,FALSE)))*EXP(-(LN(2)/$D$65+0.1)*(VLOOKUP(($F$16-$F$15)*2-1,AK$99:AO215,5,FALSE)))*EXP(-(LN(2)/$D$65+0.04)*AN215)*EXP(-(LN(2)/$D$65+0.1)*AO215),"-"))),"-")</f>
        <v>-</v>
      </c>
      <c r="AR216" s="271" t="str">
        <f>IFERROR(IF(AL216=1,AR$100*EXP(-(LN(2)/$D$65+0.04)*AN216)*EXP(-(LN(2)/$D$65+0.1)*AO216),IF(AL216=2,AR$100*EXP(-(LN(2)/$D$65+0.04)*(VLOOKUP(($F$16-$F$15)-1,AK$100:AO216,4,FALSE)))*EXP(-(LN(2)/$D$65+0.1)*(VLOOKUP(($F$16-$F$15)-1,AK$100:AO216,5,FALSE)))*EXP(-(LN(2)/$D$65+0.04)*AN216)*EXP(-(LN(2)/$D$65+0.1)*AO216),IF(AL216=3,AR$100*EXP(-(LN(2)/$D$65+0.04)*(VLOOKUP(($F$16-$F$15)-1,AK$100:AO216,4,FALSE)))*EXP(-(LN(2)/$D$65+0.1)*(VLOOKUP(($F$16-$F$15)-1,AK$100:AO216,5,FALSE)))*EXP(-(LN(2)/$D$65+0.04)*(VLOOKUP(($F$16-$F$15)*2-1,AK$100:AO216,4,FALSE)))*EXP(-(LN(2)/$D$65+0.1)*(VLOOKUP(($F$16-$F$15)*2-1,AK$100:AO216,5,FALSE)))*EXP(-(LN(2)/$D$65+0.04)*AN216)*EXP(-(LN(2)/$D$65+0.1)*AO216),"-"))),"-")</f>
        <v>-</v>
      </c>
      <c r="AS216" s="274">
        <f t="shared" si="113"/>
        <v>0</v>
      </c>
      <c r="AT216" s="274">
        <f t="shared" si="114"/>
        <v>0</v>
      </c>
      <c r="AU216" s="274">
        <f t="shared" si="115"/>
        <v>0</v>
      </c>
      <c r="AV216" s="190" t="str">
        <f>IF($B216&lt;$F$22,SUM($T$100:$T216),"")</f>
        <v/>
      </c>
      <c r="AW216" s="190" t="str">
        <f t="shared" si="161"/>
        <v>-</v>
      </c>
      <c r="AX216" s="190" t="str">
        <f t="shared" si="141"/>
        <v/>
      </c>
      <c r="AY216"/>
      <c r="AZ216" s="190" t="str">
        <f ca="1">IF(ISNUMBER(OFFSET(AV216,-$F$21,0)),SUM(OFFSET($T$100,$F$21,0):$T216),"")</f>
        <v/>
      </c>
      <c r="BA216" s="190" t="str">
        <f t="shared" ca="1" si="162"/>
        <v/>
      </c>
      <c r="BB216" s="190" t="str">
        <f t="shared" ca="1" si="148"/>
        <v/>
      </c>
      <c r="BC216" s="190"/>
      <c r="BD216" s="190" t="str">
        <f ca="1">IFERROR(IF(OR(ISNUMBER(I),ISNUMBER($F$14)),IF(AND($B216&gt;=($F$16-$F$15),$B216&lt;$F$22+($F$16-$F$15)),SUM(OFFSET($T$100,($F$16-$F$15),0):$T216),""),""),"")</f>
        <v/>
      </c>
      <c r="BE216" s="190" t="str">
        <f t="shared" ca="1" si="142"/>
        <v/>
      </c>
      <c r="BF216" s="190" t="str">
        <f t="shared" ca="1" si="143"/>
        <v/>
      </c>
      <c r="BG216"/>
      <c r="BH216" s="190" t="str">
        <f ca="1">IF(ISNUMBER(OFFSET(BD216,-$F$21,0)),SUM(OFFSET($T$100,($F$16-$F$15+$F$21),0):$T216),"")</f>
        <v/>
      </c>
      <c r="BI216" s="190" t="str">
        <f t="shared" ca="1" si="163"/>
        <v/>
      </c>
      <c r="BJ216" s="190" t="str">
        <f t="shared" ca="1" si="144"/>
        <v/>
      </c>
      <c r="BK216" s="190"/>
      <c r="BL216" s="190" t="str">
        <f ca="1">IFERROR(IF(OR(ISNUMBER(I),ISNUMBER($F$14)),IF(AND($B216&gt;=($F$17-$F$15),$B216&lt;$F$22+($F$17-$F$15)),SUM(OFFSET($T$100,($F$17-$F$15),0):$T216),""),""),"")</f>
        <v/>
      </c>
      <c r="BM216" s="190" t="str">
        <f t="shared" ca="1" si="164"/>
        <v/>
      </c>
      <c r="BN216" s="190" t="str">
        <f t="shared" ca="1" si="145"/>
        <v/>
      </c>
      <c r="BO216"/>
      <c r="BP216" s="190" t="str">
        <f ca="1">IF(ISNUMBER(OFFSET(BL216,-$F$21,0)),SUM(OFFSET($T$100,($F$17-$F$15+$F$21),0):$T216),"")</f>
        <v/>
      </c>
      <c r="BQ216" s="190" t="str">
        <f t="shared" ca="1" si="165"/>
        <v/>
      </c>
      <c r="BR216" s="190" t="str">
        <f t="shared" ca="1" si="146"/>
        <v/>
      </c>
      <c r="BS216" s="190"/>
      <c r="BT216"/>
      <c r="BU216"/>
      <c r="BV216"/>
      <c r="BY216" s="99"/>
      <c r="BZ216" s="99"/>
      <c r="CA216" s="280" t="str">
        <f t="shared" si="166"/>
        <v/>
      </c>
      <c r="CB216" s="71" t="str">
        <f t="shared" si="122"/>
        <v>-</v>
      </c>
      <c r="CC216" s="33"/>
      <c r="CD216" s="261" t="str">
        <f t="shared" si="123"/>
        <v/>
      </c>
      <c r="CE216" s="280" t="str">
        <f t="shared" si="167"/>
        <v/>
      </c>
      <c r="CF216" s="71" t="str">
        <f t="shared" ca="1" si="168"/>
        <v/>
      </c>
      <c r="CG216" s="33" t="str">
        <f t="shared" si="126"/>
        <v/>
      </c>
      <c r="CH216" s="261" t="str">
        <f t="shared" ca="1" si="127"/>
        <v/>
      </c>
    </row>
    <row r="217" spans="2:86" ht="13.5" customHeight="1" x14ac:dyDescent="0.2">
      <c r="B217" s="262">
        <v>117</v>
      </c>
      <c r="C217" s="237" t="str">
        <f t="shared" si="91"/>
        <v/>
      </c>
      <c r="D217" s="237" t="str">
        <f t="shared" si="147"/>
        <v/>
      </c>
      <c r="E217" s="263" t="str">
        <f t="shared" si="128"/>
        <v/>
      </c>
      <c r="F217" s="264" t="str">
        <f t="shared" si="129"/>
        <v/>
      </c>
      <c r="G217" s="264" t="str">
        <f t="shared" si="130"/>
        <v/>
      </c>
      <c r="H217" s="240" t="str">
        <f t="shared" si="149"/>
        <v/>
      </c>
      <c r="I217" s="265" t="str">
        <f t="shared" si="150"/>
        <v/>
      </c>
      <c r="J217" s="265" t="str">
        <f t="shared" si="151"/>
        <v/>
      </c>
      <c r="K217" s="240" t="str">
        <f t="shared" si="152"/>
        <v/>
      </c>
      <c r="L217" s="265" t="str">
        <f t="shared" si="153"/>
        <v/>
      </c>
      <c r="M217" s="265" t="str">
        <f t="shared" si="154"/>
        <v/>
      </c>
      <c r="N217" s="240" t="str">
        <f t="shared" si="155"/>
        <v>-</v>
      </c>
      <c r="O217" s="265" t="str">
        <f t="shared" si="156"/>
        <v>-</v>
      </c>
      <c r="P217" s="265" t="str">
        <f t="shared" si="157"/>
        <v>-</v>
      </c>
      <c r="Q217" s="266" t="str">
        <f t="shared" si="158"/>
        <v>-</v>
      </c>
      <c r="R217" s="267" t="str">
        <f t="shared" si="159"/>
        <v>-</v>
      </c>
      <c r="S217" s="268" t="str">
        <f t="shared" si="160"/>
        <v>-</v>
      </c>
      <c r="T217" s="269" t="str">
        <f t="shared" si="104"/>
        <v/>
      </c>
      <c r="U217" s="221">
        <f t="shared" si="105"/>
        <v>117</v>
      </c>
      <c r="V217" s="220" t="str">
        <f t="shared" si="131"/>
        <v>-</v>
      </c>
      <c r="W217" s="221" t="str">
        <f t="shared" si="132"/>
        <v>-</v>
      </c>
      <c r="X217" s="221" t="str">
        <f t="shared" si="106"/>
        <v>-</v>
      </c>
      <c r="Y217" s="221" t="str">
        <f t="shared" si="107"/>
        <v>-</v>
      </c>
      <c r="Z217" s="270">
        <f t="shared" si="133"/>
        <v>0.1</v>
      </c>
      <c r="AA217" s="271" t="str">
        <f>IFERROR(IF(V216=1,AA$100*EXP(-(LN(2)/$D$65+0.04)*X216)*EXP(-(LN(2)/$D$65+0.1)*Y216),IF(V216=2,AA$100*EXP(-(LN(2)/$D$65+0.04)*(VLOOKUP(($F$16-$F$15)-1,U$99:Y216,4,FALSE)))*EXP(-(LN(2)/$D$65+0.1)*(VLOOKUP(($F$16-$F$15)-1,U$99:Y216,5,FALSE)))*EXP(-(LN(2)/$D$65+0.04)*X216)*EXP(-(LN(2)/$D$65+0.1)*Y216),IF(V216=3,AA$100*EXP(-(LN(2)/$D$65+0.04)*(VLOOKUP(($F$16-$F$15)-1,U$99:Y216,4,FALSE)))*EXP(-(LN(2)/$D$65+0.1)*(VLOOKUP(($F$16-$F$15)-1,U$99:Y216,5,FALSE)))*EXP(-(LN(2)/$D$65+0.04)*(VLOOKUP(($F$16-$F$15)*2-1,U$99:Y216,4,FALSE)))*EXP(-(LN(2)/$D$65+0.1)*(VLOOKUP(($F$16-$F$15)*2-1,U$99:Y216,5,FALSE)))*EXP(-(LN(2)/$D$65+0.04)*X216)*EXP(-(LN(2)/$D$65+0.1)*Y216),"-"))),"-")</f>
        <v>-</v>
      </c>
      <c r="AB217" s="271" t="str">
        <f>IFERROR(IF(V217=1,AB$100*EXP(-(LN(2)/$D$65+0.04)*X217)*EXP(-(LN(2)/$D$65+0.1)*Y217),IF(V217=2,AB$100*EXP(-(LN(2)/$D$65+0.04)*(VLOOKUP(($F$16-$F$15)-1,U$100:Y217,4,FALSE)))*EXP(-(LN(2)/$D$65+0.1)*(VLOOKUP(($F$16-$F$15)-1,U$100:Y217,5,FALSE)))*EXP(-(LN(2)/$D$65+0.04)*X217)*EXP(-(LN(2)/$D$65+0.1)*Y217),IF(V217=3,AB$100*EXP(-(LN(2)/$D$65+0.04)*(VLOOKUP(($F$16-$F$15)-1,U$100:Y217,4,FALSE)))*EXP(-(LN(2)/$D$65+0.1)*(VLOOKUP(($F$16-$F$15)-1,U$100:Y217,5,FALSE)))*EXP(-(LN(2)/$D$65+0.04)*(VLOOKUP(($F$16-$F$15)*2-1,U$100:Y217,4,FALSE)))*EXP(-(LN(2)/$D$65+0.1)*(VLOOKUP(($F$16-$F$15)*2-1,U$100:Y217,5,FALSE)))*EXP(-(LN(2)/$D$65+0.04)*X217)*EXP(-(LN(2)/$D$65+0.1)*Y217),"-"))),"-")</f>
        <v>-</v>
      </c>
      <c r="AC217" s="224">
        <f t="shared" si="134"/>
        <v>117</v>
      </c>
      <c r="AD217" s="223" t="str">
        <f t="shared" si="108"/>
        <v>-</v>
      </c>
      <c r="AE217" s="224" t="str">
        <f t="shared" si="135"/>
        <v>-</v>
      </c>
      <c r="AF217" s="224" t="str">
        <f t="shared" si="109"/>
        <v>-</v>
      </c>
      <c r="AG217" s="224" t="str">
        <f t="shared" si="110"/>
        <v>-</v>
      </c>
      <c r="AH217" s="272">
        <f t="shared" si="136"/>
        <v>0.1</v>
      </c>
      <c r="AI217" s="271" t="str">
        <f>IFERROR(IF(AD216=1,AI$100*EXP(-(LN(2)/$D$65+0.04)*AF216)*EXP(-(LN(2)/$D$65+0.1)*AG216),IF(AD216=2,AI$100*EXP(-(LN(2)/$D$65+0.04)*(VLOOKUP(($F$16-$F$15)-1,AC$99:AG216,4,FALSE)))*EXP(-(LN(2)/$D$65+0.1)*(VLOOKUP(($F$16-$F$15)-1,AC$99:AG216,5,FALSE)))*EXP(-(LN(2)/$D$65+0.04)*AF216)*EXP(-(LN(2)/$D$65+0.1)*AG216),IF(AD216=3,AI$100*EXP(-(LN(2)/$D$65+0.04)*(VLOOKUP(($F$16-$F$15)-1,AC$99:AG216,4,FALSE)))*EXP(-(LN(2)/$D$65+0.1)*(VLOOKUP(($F$16-$F$15)-1,AC$99:AG216,5,FALSE)))*EXP(-(LN(2)/$D$65+0.04)*(VLOOKUP(($F$16-$F$15)*2-1,AC$99:AG216,4,FALSE)))*EXP(-(LN(2)/$D$65+0.1)*(VLOOKUP(($F$16-$F$15)*2-1,AC$99:AG216,5,FALSE)))*EXP(-(LN(2)/$D$65+0.04)*AF216)*EXP(-(LN(2)/$D$65+0.1)*AG216),"-"))),"-")</f>
        <v>-</v>
      </c>
      <c r="AJ217" s="271" t="str">
        <f>IFERROR(IF(AD217=1,AJ$100*EXP(-(LN(2)/$D$65+0.04)*AF217)*EXP(-(LN(2)/$D$65+0.1)*AG217),IF(AD217=2,AJ$100*EXP(-(LN(2)/$D$65+0.04)*(VLOOKUP(($F$16-$F$15)-1,AC$100:AG217,4,FALSE)))*EXP(-(LN(2)/$D$65+0.1)*(VLOOKUP(($F$16-$F$15)-1,AC$100:AG217,5,FALSE)))*EXP(-(LN(2)/$D$65+0.04)*AF217)*EXP(-(LN(2)/$D$65+0.1)*AG217),IF(AD217=3,AJ$100*EXP(-(LN(2)/$D$65+0.04)*(VLOOKUP(($F$16-$F$15)-1,AC$100:AG217,4,FALSE)))*EXP(-(LN(2)/$D$65+0.1)*(VLOOKUP(($F$16-$F$15)-1,AC$100:AG217,5,FALSE)))*EXP(-(LN(2)/$D$65+0.04)*(VLOOKUP(($F$16-$F$15)*2-1,AC$100:AG217,4,FALSE)))*EXP(-(LN(2)/$D$65+0.1)*(VLOOKUP(($F$16-$F$15)*2-1,AC$100:AG217,5,FALSE)))*EXP(-(LN(2)/$D$65+0.04)*AF217)*EXP(-(LN(2)/$D$65+0.1)*AG217),"-"))),"-")</f>
        <v>-</v>
      </c>
      <c r="AK217" s="227">
        <f t="shared" si="137"/>
        <v>117</v>
      </c>
      <c r="AL217" s="226" t="str">
        <f t="shared" si="111"/>
        <v>-</v>
      </c>
      <c r="AM217" s="227" t="str">
        <f t="shared" si="138"/>
        <v>-</v>
      </c>
      <c r="AN217" s="227" t="str">
        <f t="shared" si="139"/>
        <v>-</v>
      </c>
      <c r="AO217" s="227" t="str">
        <f t="shared" si="112"/>
        <v>-</v>
      </c>
      <c r="AP217" s="273">
        <f t="shared" si="140"/>
        <v>0.1</v>
      </c>
      <c r="AQ217" s="271" t="str">
        <f>IFERROR(IF(AL216=1,AQ$100*EXP(-(LN(2)/$D$65+0.04)*AN216)*EXP(-(LN(2)/$D$65+0.1)*AO216),IF(AL216=2,AQ$100*EXP(-(LN(2)/$D$65+0.04)*(VLOOKUP(($F$16-$F$15)-1,AK$99:AO216,4,FALSE)))*EXP(-(LN(2)/$D$65+0.1)*(VLOOKUP(($F$16-$F$15)-1,AK$99:AO216,5,FALSE)))*EXP(-(LN(2)/$D$65+0.04)*AN216)*EXP(-(LN(2)/$D$65+0.1)*AO216),IF(AL216=3,AQ$100*EXP(-(LN(2)/$D$65+0.04)*(VLOOKUP(($F$16-$F$15)-1,AK$99:AO216,4,FALSE)))*EXP(-(LN(2)/$D$65+0.1)*(VLOOKUP(($F$16-$F$15)-1,AK$99:AO216,5,FALSE)))*EXP(-(LN(2)/$D$65+0.04)*(VLOOKUP(($F$16-$F$15)*2-1,AK$99:AO216,4,FALSE)))*EXP(-(LN(2)/$D$65+0.1)*(VLOOKUP(($F$16-$F$15)*2-1,AK$99:AO216,5,FALSE)))*EXP(-(LN(2)/$D$65+0.04)*AN216)*EXP(-(LN(2)/$D$65+0.1)*AO216),"-"))),"-")</f>
        <v>-</v>
      </c>
      <c r="AR217" s="271" t="str">
        <f>IFERROR(IF(AL217=1,AR$100*EXP(-(LN(2)/$D$65+0.04)*AN217)*EXP(-(LN(2)/$D$65+0.1)*AO217),IF(AL217=2,AR$100*EXP(-(LN(2)/$D$65+0.04)*(VLOOKUP(($F$16-$F$15)-1,AK$100:AO217,4,FALSE)))*EXP(-(LN(2)/$D$65+0.1)*(VLOOKUP(($F$16-$F$15)-1,AK$100:AO217,5,FALSE)))*EXP(-(LN(2)/$D$65+0.04)*AN217)*EXP(-(LN(2)/$D$65+0.1)*AO217),IF(AL217=3,AR$100*EXP(-(LN(2)/$D$65+0.04)*(VLOOKUP(($F$16-$F$15)-1,AK$100:AO217,4,FALSE)))*EXP(-(LN(2)/$D$65+0.1)*(VLOOKUP(($F$16-$F$15)-1,AK$100:AO217,5,FALSE)))*EXP(-(LN(2)/$D$65+0.04)*(VLOOKUP(($F$16-$F$15)*2-1,AK$100:AO217,4,FALSE)))*EXP(-(LN(2)/$D$65+0.1)*(VLOOKUP(($F$16-$F$15)*2-1,AK$100:AO217,5,FALSE)))*EXP(-(LN(2)/$D$65+0.04)*AN217)*EXP(-(LN(2)/$D$65+0.1)*AO217),"-"))),"-")</f>
        <v>-</v>
      </c>
      <c r="AS217" s="274">
        <f t="shared" si="113"/>
        <v>0</v>
      </c>
      <c r="AT217" s="274">
        <f t="shared" si="114"/>
        <v>0</v>
      </c>
      <c r="AU217" s="274">
        <f t="shared" si="115"/>
        <v>0</v>
      </c>
      <c r="AV217" s="190" t="str">
        <f>IF($B217&lt;$F$22,SUM($T$100:$T217),"")</f>
        <v/>
      </c>
      <c r="AW217" s="190" t="str">
        <f t="shared" si="161"/>
        <v>-</v>
      </c>
      <c r="AX217" s="190" t="str">
        <f t="shared" si="141"/>
        <v/>
      </c>
      <c r="AY217"/>
      <c r="AZ217" s="190" t="str">
        <f ca="1">IF(ISNUMBER(OFFSET(AV217,-$F$21,0)),SUM(OFFSET($T$100,$F$21,0):$T217),"")</f>
        <v/>
      </c>
      <c r="BA217" s="190" t="str">
        <f t="shared" ca="1" si="162"/>
        <v/>
      </c>
      <c r="BB217" s="190" t="str">
        <f t="shared" ca="1" si="148"/>
        <v/>
      </c>
      <c r="BC217" s="190"/>
      <c r="BD217" s="190" t="str">
        <f ca="1">IFERROR(IF(OR(ISNUMBER(I),ISNUMBER($F$14)),IF(AND($B217&gt;=($F$16-$F$15),$B217&lt;$F$22+($F$16-$F$15)),SUM(OFFSET($T$100,($F$16-$F$15),0):$T217),""),""),"")</f>
        <v/>
      </c>
      <c r="BE217" s="190" t="str">
        <f t="shared" ca="1" si="142"/>
        <v/>
      </c>
      <c r="BF217" s="190" t="str">
        <f t="shared" ca="1" si="143"/>
        <v/>
      </c>
      <c r="BG217"/>
      <c r="BH217" s="190" t="str">
        <f ca="1">IF(ISNUMBER(OFFSET(BD217,-$F$21,0)),SUM(OFFSET($T$100,($F$16-$F$15+$F$21),0):$T217),"")</f>
        <v/>
      </c>
      <c r="BI217" s="190" t="str">
        <f t="shared" ca="1" si="163"/>
        <v/>
      </c>
      <c r="BJ217" s="190" t="str">
        <f t="shared" ca="1" si="144"/>
        <v/>
      </c>
      <c r="BK217" s="190"/>
      <c r="BL217" s="190" t="str">
        <f ca="1">IFERROR(IF(OR(ISNUMBER(I),ISNUMBER($F$14)),IF(AND($B217&gt;=($F$17-$F$15),$B217&lt;$F$22+($F$17-$F$15)),SUM(OFFSET($T$100,($F$17-$F$15),0):$T217),""),""),"")</f>
        <v/>
      </c>
      <c r="BM217" s="190" t="str">
        <f t="shared" ca="1" si="164"/>
        <v/>
      </c>
      <c r="BN217" s="190" t="str">
        <f t="shared" ca="1" si="145"/>
        <v/>
      </c>
      <c r="BO217"/>
      <c r="BP217" s="190" t="str">
        <f ca="1">IF(ISNUMBER(OFFSET(BL217,-$F$21,0)),SUM(OFFSET($T$100,($F$17-$F$15+$F$21),0):$T217),"")</f>
        <v/>
      </c>
      <c r="BQ217" s="190" t="str">
        <f t="shared" ca="1" si="165"/>
        <v/>
      </c>
      <c r="BR217" s="190" t="str">
        <f t="shared" ca="1" si="146"/>
        <v/>
      </c>
      <c r="BS217" s="190"/>
      <c r="BT217"/>
      <c r="BU217"/>
      <c r="BV217"/>
      <c r="BY217" s="99"/>
      <c r="BZ217" s="99"/>
      <c r="CA217" s="280" t="str">
        <f t="shared" si="166"/>
        <v/>
      </c>
      <c r="CB217" s="71" t="str">
        <f t="shared" si="122"/>
        <v>-</v>
      </c>
      <c r="CC217" s="33"/>
      <c r="CD217" s="261" t="str">
        <f t="shared" si="123"/>
        <v/>
      </c>
      <c r="CE217" s="280" t="str">
        <f t="shared" si="167"/>
        <v/>
      </c>
      <c r="CF217" s="71" t="str">
        <f t="shared" ca="1" si="168"/>
        <v/>
      </c>
      <c r="CG217" s="33" t="str">
        <f t="shared" si="126"/>
        <v/>
      </c>
      <c r="CH217" s="261" t="str">
        <f t="shared" ca="1" si="127"/>
        <v/>
      </c>
    </row>
    <row r="218" spans="2:86" ht="13.5" customHeight="1" x14ac:dyDescent="0.2">
      <c r="B218" s="262">
        <v>118</v>
      </c>
      <c r="C218" s="237" t="str">
        <f t="shared" si="91"/>
        <v/>
      </c>
      <c r="D218" s="237" t="str">
        <f t="shared" si="147"/>
        <v/>
      </c>
      <c r="E218" s="263" t="str">
        <f t="shared" si="128"/>
        <v/>
      </c>
      <c r="F218" s="264" t="str">
        <f t="shared" si="129"/>
        <v/>
      </c>
      <c r="G218" s="264" t="str">
        <f t="shared" si="130"/>
        <v/>
      </c>
      <c r="H218" s="240" t="str">
        <f t="shared" si="149"/>
        <v/>
      </c>
      <c r="I218" s="265" t="str">
        <f t="shared" si="150"/>
        <v/>
      </c>
      <c r="J218" s="265" t="str">
        <f t="shared" si="151"/>
        <v/>
      </c>
      <c r="K218" s="240" t="str">
        <f t="shared" si="152"/>
        <v/>
      </c>
      <c r="L218" s="265" t="str">
        <f t="shared" si="153"/>
        <v/>
      </c>
      <c r="M218" s="265" t="str">
        <f t="shared" si="154"/>
        <v/>
      </c>
      <c r="N218" s="240" t="str">
        <f t="shared" si="155"/>
        <v>-</v>
      </c>
      <c r="O218" s="265" t="str">
        <f t="shared" si="156"/>
        <v>-</v>
      </c>
      <c r="P218" s="265" t="str">
        <f t="shared" si="157"/>
        <v>-</v>
      </c>
      <c r="Q218" s="266" t="str">
        <f t="shared" si="158"/>
        <v>-</v>
      </c>
      <c r="R218" s="267" t="str">
        <f t="shared" si="159"/>
        <v>-</v>
      </c>
      <c r="S218" s="268" t="str">
        <f t="shared" si="160"/>
        <v>-</v>
      </c>
      <c r="T218" s="269" t="str">
        <f t="shared" si="104"/>
        <v/>
      </c>
      <c r="U218" s="221">
        <f t="shared" si="105"/>
        <v>118</v>
      </c>
      <c r="V218" s="220" t="str">
        <f t="shared" si="131"/>
        <v>-</v>
      </c>
      <c r="W218" s="221" t="str">
        <f t="shared" si="132"/>
        <v>-</v>
      </c>
      <c r="X218" s="221" t="str">
        <f t="shared" si="106"/>
        <v>-</v>
      </c>
      <c r="Y218" s="221" t="str">
        <f t="shared" si="107"/>
        <v>-</v>
      </c>
      <c r="Z218" s="270">
        <f t="shared" si="133"/>
        <v>0.1</v>
      </c>
      <c r="AA218" s="271" t="str">
        <f>IFERROR(IF(V217=1,AA$100*EXP(-(LN(2)/$D$65+0.04)*X217)*EXP(-(LN(2)/$D$65+0.1)*Y217),IF(V217=2,AA$100*EXP(-(LN(2)/$D$65+0.04)*(VLOOKUP(($F$16-$F$15)-1,U$99:Y217,4,FALSE)))*EXP(-(LN(2)/$D$65+0.1)*(VLOOKUP(($F$16-$F$15)-1,U$99:Y217,5,FALSE)))*EXP(-(LN(2)/$D$65+0.04)*X217)*EXP(-(LN(2)/$D$65+0.1)*Y217),IF(V217=3,AA$100*EXP(-(LN(2)/$D$65+0.04)*(VLOOKUP(($F$16-$F$15)-1,U$99:Y217,4,FALSE)))*EXP(-(LN(2)/$D$65+0.1)*(VLOOKUP(($F$16-$F$15)-1,U$99:Y217,5,FALSE)))*EXP(-(LN(2)/$D$65+0.04)*(VLOOKUP(($F$16-$F$15)*2-1,U$99:Y217,4,FALSE)))*EXP(-(LN(2)/$D$65+0.1)*(VLOOKUP(($F$16-$F$15)*2-1,U$99:Y217,5,FALSE)))*EXP(-(LN(2)/$D$65+0.04)*X217)*EXP(-(LN(2)/$D$65+0.1)*Y217),"-"))),"-")</f>
        <v>-</v>
      </c>
      <c r="AB218" s="271" t="str">
        <f>IFERROR(IF(V218=1,AB$100*EXP(-(LN(2)/$D$65+0.04)*X218)*EXP(-(LN(2)/$D$65+0.1)*Y218),IF(V218=2,AB$100*EXP(-(LN(2)/$D$65+0.04)*(VLOOKUP(($F$16-$F$15)-1,U$100:Y218,4,FALSE)))*EXP(-(LN(2)/$D$65+0.1)*(VLOOKUP(($F$16-$F$15)-1,U$100:Y218,5,FALSE)))*EXP(-(LN(2)/$D$65+0.04)*X218)*EXP(-(LN(2)/$D$65+0.1)*Y218),IF(V218=3,AB$100*EXP(-(LN(2)/$D$65+0.04)*(VLOOKUP(($F$16-$F$15)-1,U$100:Y218,4,FALSE)))*EXP(-(LN(2)/$D$65+0.1)*(VLOOKUP(($F$16-$F$15)-1,U$100:Y218,5,FALSE)))*EXP(-(LN(2)/$D$65+0.04)*(VLOOKUP(($F$16-$F$15)*2-1,U$100:Y218,4,FALSE)))*EXP(-(LN(2)/$D$65+0.1)*(VLOOKUP(($F$16-$F$15)*2-1,U$100:Y218,5,FALSE)))*EXP(-(LN(2)/$D$65+0.04)*X218)*EXP(-(LN(2)/$D$65+0.1)*Y218),"-"))),"-")</f>
        <v>-</v>
      </c>
      <c r="AC218" s="224">
        <f t="shared" si="134"/>
        <v>118</v>
      </c>
      <c r="AD218" s="223" t="str">
        <f t="shared" si="108"/>
        <v>-</v>
      </c>
      <c r="AE218" s="224" t="str">
        <f t="shared" si="135"/>
        <v>-</v>
      </c>
      <c r="AF218" s="224" t="str">
        <f t="shared" si="109"/>
        <v>-</v>
      </c>
      <c r="AG218" s="224" t="str">
        <f t="shared" si="110"/>
        <v>-</v>
      </c>
      <c r="AH218" s="272">
        <f t="shared" si="136"/>
        <v>0.1</v>
      </c>
      <c r="AI218" s="271" t="str">
        <f>IFERROR(IF(AD217=1,AI$100*EXP(-(LN(2)/$D$65+0.04)*AF217)*EXP(-(LN(2)/$D$65+0.1)*AG217),IF(AD217=2,AI$100*EXP(-(LN(2)/$D$65+0.04)*(VLOOKUP(($F$16-$F$15)-1,AC$99:AG217,4,FALSE)))*EXP(-(LN(2)/$D$65+0.1)*(VLOOKUP(($F$16-$F$15)-1,AC$99:AG217,5,FALSE)))*EXP(-(LN(2)/$D$65+0.04)*AF217)*EXP(-(LN(2)/$D$65+0.1)*AG217),IF(AD217=3,AI$100*EXP(-(LN(2)/$D$65+0.04)*(VLOOKUP(($F$16-$F$15)-1,AC$99:AG217,4,FALSE)))*EXP(-(LN(2)/$D$65+0.1)*(VLOOKUP(($F$16-$F$15)-1,AC$99:AG217,5,FALSE)))*EXP(-(LN(2)/$D$65+0.04)*(VLOOKUP(($F$16-$F$15)*2-1,AC$99:AG217,4,FALSE)))*EXP(-(LN(2)/$D$65+0.1)*(VLOOKUP(($F$16-$F$15)*2-1,AC$99:AG217,5,FALSE)))*EXP(-(LN(2)/$D$65+0.04)*AF217)*EXP(-(LN(2)/$D$65+0.1)*AG217),"-"))),"-")</f>
        <v>-</v>
      </c>
      <c r="AJ218" s="271" t="str">
        <f>IFERROR(IF(AD218=1,AJ$100*EXP(-(LN(2)/$D$65+0.04)*AF218)*EXP(-(LN(2)/$D$65+0.1)*AG218),IF(AD218=2,AJ$100*EXP(-(LN(2)/$D$65+0.04)*(VLOOKUP(($F$16-$F$15)-1,AC$100:AG218,4,FALSE)))*EXP(-(LN(2)/$D$65+0.1)*(VLOOKUP(($F$16-$F$15)-1,AC$100:AG218,5,FALSE)))*EXP(-(LN(2)/$D$65+0.04)*AF218)*EXP(-(LN(2)/$D$65+0.1)*AG218),IF(AD218=3,AJ$100*EXP(-(LN(2)/$D$65+0.04)*(VLOOKUP(($F$16-$F$15)-1,AC$100:AG218,4,FALSE)))*EXP(-(LN(2)/$D$65+0.1)*(VLOOKUP(($F$16-$F$15)-1,AC$100:AG218,5,FALSE)))*EXP(-(LN(2)/$D$65+0.04)*(VLOOKUP(($F$16-$F$15)*2-1,AC$100:AG218,4,FALSE)))*EXP(-(LN(2)/$D$65+0.1)*(VLOOKUP(($F$16-$F$15)*2-1,AC$100:AG218,5,FALSE)))*EXP(-(LN(2)/$D$65+0.04)*AF218)*EXP(-(LN(2)/$D$65+0.1)*AG218),"-"))),"-")</f>
        <v>-</v>
      </c>
      <c r="AK218" s="227">
        <f t="shared" si="137"/>
        <v>118</v>
      </c>
      <c r="AL218" s="226" t="str">
        <f t="shared" si="111"/>
        <v>-</v>
      </c>
      <c r="AM218" s="227" t="str">
        <f t="shared" si="138"/>
        <v>-</v>
      </c>
      <c r="AN218" s="227" t="str">
        <f t="shared" si="139"/>
        <v>-</v>
      </c>
      <c r="AO218" s="227" t="str">
        <f t="shared" si="112"/>
        <v>-</v>
      </c>
      <c r="AP218" s="273">
        <f t="shared" si="140"/>
        <v>0.1</v>
      </c>
      <c r="AQ218" s="271" t="str">
        <f>IFERROR(IF(AL217=1,AQ$100*EXP(-(LN(2)/$D$65+0.04)*AN217)*EXP(-(LN(2)/$D$65+0.1)*AO217),IF(AL217=2,AQ$100*EXP(-(LN(2)/$D$65+0.04)*(VLOOKUP(($F$16-$F$15)-1,AK$99:AO217,4,FALSE)))*EXP(-(LN(2)/$D$65+0.1)*(VLOOKUP(($F$16-$F$15)-1,AK$99:AO217,5,FALSE)))*EXP(-(LN(2)/$D$65+0.04)*AN217)*EXP(-(LN(2)/$D$65+0.1)*AO217),IF(AL217=3,AQ$100*EXP(-(LN(2)/$D$65+0.04)*(VLOOKUP(($F$16-$F$15)-1,AK$99:AO217,4,FALSE)))*EXP(-(LN(2)/$D$65+0.1)*(VLOOKUP(($F$16-$F$15)-1,AK$99:AO217,5,FALSE)))*EXP(-(LN(2)/$D$65+0.04)*(VLOOKUP(($F$16-$F$15)*2-1,AK$99:AO217,4,FALSE)))*EXP(-(LN(2)/$D$65+0.1)*(VLOOKUP(($F$16-$F$15)*2-1,AK$99:AO217,5,FALSE)))*EXP(-(LN(2)/$D$65+0.04)*AN217)*EXP(-(LN(2)/$D$65+0.1)*AO217),"-"))),"-")</f>
        <v>-</v>
      </c>
      <c r="AR218" s="271" t="str">
        <f>IFERROR(IF(AL218=1,AR$100*EXP(-(LN(2)/$D$65+0.04)*AN218)*EXP(-(LN(2)/$D$65+0.1)*AO218),IF(AL218=2,AR$100*EXP(-(LN(2)/$D$65+0.04)*(VLOOKUP(($F$16-$F$15)-1,AK$100:AO218,4,FALSE)))*EXP(-(LN(2)/$D$65+0.1)*(VLOOKUP(($F$16-$F$15)-1,AK$100:AO218,5,FALSE)))*EXP(-(LN(2)/$D$65+0.04)*AN218)*EXP(-(LN(2)/$D$65+0.1)*AO218),IF(AL218=3,AR$100*EXP(-(LN(2)/$D$65+0.04)*(VLOOKUP(($F$16-$F$15)-1,AK$100:AO218,4,FALSE)))*EXP(-(LN(2)/$D$65+0.1)*(VLOOKUP(($F$16-$F$15)-1,AK$100:AO218,5,FALSE)))*EXP(-(LN(2)/$D$65+0.04)*(VLOOKUP(($F$16-$F$15)*2-1,AK$100:AO218,4,FALSE)))*EXP(-(LN(2)/$D$65+0.1)*(VLOOKUP(($F$16-$F$15)*2-1,AK$100:AO218,5,FALSE)))*EXP(-(LN(2)/$D$65+0.04)*AN218)*EXP(-(LN(2)/$D$65+0.1)*AO218),"-"))),"-")</f>
        <v>-</v>
      </c>
      <c r="AS218" s="274">
        <f t="shared" si="113"/>
        <v>0</v>
      </c>
      <c r="AT218" s="274">
        <f t="shared" si="114"/>
        <v>0</v>
      </c>
      <c r="AU218" s="274">
        <f t="shared" si="115"/>
        <v>0</v>
      </c>
      <c r="AV218" s="190" t="str">
        <f>IF($B218&lt;$F$22,SUM($T$100:$T218),"")</f>
        <v/>
      </c>
      <c r="AW218" s="190" t="str">
        <f t="shared" si="161"/>
        <v>-</v>
      </c>
      <c r="AX218" s="190" t="str">
        <f t="shared" si="141"/>
        <v/>
      </c>
      <c r="AY218"/>
      <c r="AZ218" s="190" t="str">
        <f ca="1">IF(ISNUMBER(OFFSET(AV218,-$F$21,0)),SUM(OFFSET($T$100,$F$21,0):$T218),"")</f>
        <v/>
      </c>
      <c r="BA218" s="190" t="str">
        <f t="shared" ca="1" si="162"/>
        <v/>
      </c>
      <c r="BB218" s="190" t="str">
        <f t="shared" ca="1" si="148"/>
        <v/>
      </c>
      <c r="BC218" s="190"/>
      <c r="BD218" s="190" t="str">
        <f ca="1">IFERROR(IF(OR(ISNUMBER(I),ISNUMBER($F$14)),IF(AND($B218&gt;=($F$16-$F$15),$B218&lt;$F$22+($F$16-$F$15)),SUM(OFFSET($T$100,($F$16-$F$15),0):$T218),""),""),"")</f>
        <v/>
      </c>
      <c r="BE218" s="190" t="str">
        <f t="shared" ca="1" si="142"/>
        <v/>
      </c>
      <c r="BF218" s="190" t="str">
        <f t="shared" ca="1" si="143"/>
        <v/>
      </c>
      <c r="BG218"/>
      <c r="BH218" s="190" t="str">
        <f ca="1">IF(ISNUMBER(OFFSET(BD218,-$F$21,0)),SUM(OFFSET($T$100,($F$16-$F$15+$F$21),0):$T218),"")</f>
        <v/>
      </c>
      <c r="BI218" s="190" t="str">
        <f t="shared" ca="1" si="163"/>
        <v/>
      </c>
      <c r="BJ218" s="190" t="str">
        <f t="shared" ca="1" si="144"/>
        <v/>
      </c>
      <c r="BK218" s="190"/>
      <c r="BL218" s="190" t="str">
        <f ca="1">IFERROR(IF(OR(ISNUMBER(I),ISNUMBER($F$14)),IF(AND($B218&gt;=($F$17-$F$15),$B218&lt;$F$22+($F$17-$F$15)),SUM(OFFSET($T$100,($F$17-$F$15),0):$T218),""),""),"")</f>
        <v/>
      </c>
      <c r="BM218" s="190" t="str">
        <f t="shared" ca="1" si="164"/>
        <v/>
      </c>
      <c r="BN218" s="190" t="str">
        <f t="shared" ca="1" si="145"/>
        <v/>
      </c>
      <c r="BO218"/>
      <c r="BP218" s="190" t="str">
        <f ca="1">IF(ISNUMBER(OFFSET(BL218,-$F$21,0)),SUM(OFFSET($T$100,($F$17-$F$15+$F$21),0):$T218),"")</f>
        <v/>
      </c>
      <c r="BQ218" s="190" t="str">
        <f t="shared" ca="1" si="165"/>
        <v/>
      </c>
      <c r="BR218" s="190" t="str">
        <f t="shared" ca="1" si="146"/>
        <v/>
      </c>
      <c r="BS218" s="190"/>
      <c r="BT218"/>
      <c r="BU218"/>
      <c r="BV218"/>
      <c r="BY218" s="99"/>
      <c r="BZ218" s="99"/>
      <c r="CA218" s="280" t="str">
        <f t="shared" si="166"/>
        <v/>
      </c>
      <c r="CB218" s="71" t="str">
        <f t="shared" si="122"/>
        <v>-</v>
      </c>
      <c r="CC218" s="33"/>
      <c r="CD218" s="261" t="str">
        <f t="shared" si="123"/>
        <v/>
      </c>
      <c r="CE218" s="280" t="str">
        <f t="shared" si="167"/>
        <v/>
      </c>
      <c r="CF218" s="71" t="str">
        <f t="shared" ca="1" si="168"/>
        <v/>
      </c>
      <c r="CG218" s="33" t="str">
        <f t="shared" si="126"/>
        <v/>
      </c>
      <c r="CH218" s="261" t="str">
        <f t="shared" ca="1" si="127"/>
        <v/>
      </c>
    </row>
    <row r="219" spans="2:86" ht="13.5" customHeight="1" x14ac:dyDescent="0.2">
      <c r="B219" s="262">
        <v>119</v>
      </c>
      <c r="C219" s="237" t="str">
        <f t="shared" si="91"/>
        <v/>
      </c>
      <c r="D219" s="237" t="str">
        <f t="shared" si="147"/>
        <v/>
      </c>
      <c r="E219" s="263" t="str">
        <f t="shared" si="128"/>
        <v/>
      </c>
      <c r="F219" s="264" t="str">
        <f t="shared" si="129"/>
        <v/>
      </c>
      <c r="G219" s="264" t="str">
        <f t="shared" si="130"/>
        <v/>
      </c>
      <c r="H219" s="240" t="str">
        <f t="shared" si="149"/>
        <v/>
      </c>
      <c r="I219" s="265" t="str">
        <f t="shared" si="150"/>
        <v/>
      </c>
      <c r="J219" s="265" t="str">
        <f t="shared" si="151"/>
        <v/>
      </c>
      <c r="K219" s="240" t="str">
        <f t="shared" si="152"/>
        <v/>
      </c>
      <c r="L219" s="265" t="str">
        <f t="shared" si="153"/>
        <v/>
      </c>
      <c r="M219" s="265" t="str">
        <f t="shared" si="154"/>
        <v/>
      </c>
      <c r="N219" s="240" t="str">
        <f t="shared" si="155"/>
        <v>-</v>
      </c>
      <c r="O219" s="265" t="str">
        <f t="shared" si="156"/>
        <v>-</v>
      </c>
      <c r="P219" s="265" t="str">
        <f t="shared" si="157"/>
        <v>-</v>
      </c>
      <c r="Q219" s="266" t="str">
        <f t="shared" si="158"/>
        <v>-</v>
      </c>
      <c r="R219" s="267" t="str">
        <f t="shared" si="159"/>
        <v>-</v>
      </c>
      <c r="S219" s="268" t="str">
        <f t="shared" si="160"/>
        <v>-</v>
      </c>
      <c r="T219" s="269" t="str">
        <f t="shared" si="104"/>
        <v/>
      </c>
      <c r="U219" s="221">
        <f t="shared" si="105"/>
        <v>119</v>
      </c>
      <c r="V219" s="220" t="str">
        <f t="shared" si="131"/>
        <v>-</v>
      </c>
      <c r="W219" s="221" t="str">
        <f t="shared" si="132"/>
        <v>-</v>
      </c>
      <c r="X219" s="221" t="str">
        <f t="shared" si="106"/>
        <v>-</v>
      </c>
      <c r="Y219" s="221" t="str">
        <f t="shared" si="107"/>
        <v>-</v>
      </c>
      <c r="Z219" s="270">
        <f t="shared" si="133"/>
        <v>0.1</v>
      </c>
      <c r="AA219" s="271" t="str">
        <f>IFERROR(IF(V218=1,AA$100*EXP(-(LN(2)/$D$65+0.04)*X218)*EXP(-(LN(2)/$D$65+0.1)*Y218),IF(V218=2,AA$100*EXP(-(LN(2)/$D$65+0.04)*(VLOOKUP(($F$16-$F$15)-1,U$99:Y218,4,FALSE)))*EXP(-(LN(2)/$D$65+0.1)*(VLOOKUP(($F$16-$F$15)-1,U$99:Y218,5,FALSE)))*EXP(-(LN(2)/$D$65+0.04)*X218)*EXP(-(LN(2)/$D$65+0.1)*Y218),IF(V218=3,AA$100*EXP(-(LN(2)/$D$65+0.04)*(VLOOKUP(($F$16-$F$15)-1,U$99:Y218,4,FALSE)))*EXP(-(LN(2)/$D$65+0.1)*(VLOOKUP(($F$16-$F$15)-1,U$99:Y218,5,FALSE)))*EXP(-(LN(2)/$D$65+0.04)*(VLOOKUP(($F$16-$F$15)*2-1,U$99:Y218,4,FALSE)))*EXP(-(LN(2)/$D$65+0.1)*(VLOOKUP(($F$16-$F$15)*2-1,U$99:Y218,5,FALSE)))*EXP(-(LN(2)/$D$65+0.04)*X218)*EXP(-(LN(2)/$D$65+0.1)*Y218),"-"))),"-")</f>
        <v>-</v>
      </c>
      <c r="AB219" s="271" t="str">
        <f>IFERROR(IF(V219=1,AB$100*EXP(-(LN(2)/$D$65+0.04)*X219)*EXP(-(LN(2)/$D$65+0.1)*Y219),IF(V219=2,AB$100*EXP(-(LN(2)/$D$65+0.04)*(VLOOKUP(($F$16-$F$15)-1,U$100:Y219,4,FALSE)))*EXP(-(LN(2)/$D$65+0.1)*(VLOOKUP(($F$16-$F$15)-1,U$100:Y219,5,FALSE)))*EXP(-(LN(2)/$D$65+0.04)*X219)*EXP(-(LN(2)/$D$65+0.1)*Y219),IF(V219=3,AB$100*EXP(-(LN(2)/$D$65+0.04)*(VLOOKUP(($F$16-$F$15)-1,U$100:Y219,4,FALSE)))*EXP(-(LN(2)/$D$65+0.1)*(VLOOKUP(($F$16-$F$15)-1,U$100:Y219,5,FALSE)))*EXP(-(LN(2)/$D$65+0.04)*(VLOOKUP(($F$16-$F$15)*2-1,U$100:Y219,4,FALSE)))*EXP(-(LN(2)/$D$65+0.1)*(VLOOKUP(($F$16-$F$15)*2-1,U$100:Y219,5,FALSE)))*EXP(-(LN(2)/$D$65+0.04)*X219)*EXP(-(LN(2)/$D$65+0.1)*Y219),"-"))),"-")</f>
        <v>-</v>
      </c>
      <c r="AC219" s="224">
        <f t="shared" si="134"/>
        <v>119</v>
      </c>
      <c r="AD219" s="223" t="str">
        <f t="shared" si="108"/>
        <v>-</v>
      </c>
      <c r="AE219" s="224" t="str">
        <f t="shared" si="135"/>
        <v>-</v>
      </c>
      <c r="AF219" s="224" t="str">
        <f t="shared" si="109"/>
        <v>-</v>
      </c>
      <c r="AG219" s="224" t="str">
        <f t="shared" si="110"/>
        <v>-</v>
      </c>
      <c r="AH219" s="272">
        <f t="shared" si="136"/>
        <v>0.1</v>
      </c>
      <c r="AI219" s="271" t="str">
        <f>IFERROR(IF(AD218=1,AI$100*EXP(-(LN(2)/$D$65+0.04)*AF218)*EXP(-(LN(2)/$D$65+0.1)*AG218),IF(AD218=2,AI$100*EXP(-(LN(2)/$D$65+0.04)*(VLOOKUP(($F$16-$F$15)-1,AC$99:AG218,4,FALSE)))*EXP(-(LN(2)/$D$65+0.1)*(VLOOKUP(($F$16-$F$15)-1,AC$99:AG218,5,FALSE)))*EXP(-(LN(2)/$D$65+0.04)*AF218)*EXP(-(LN(2)/$D$65+0.1)*AG218),IF(AD218=3,AI$100*EXP(-(LN(2)/$D$65+0.04)*(VLOOKUP(($F$16-$F$15)-1,AC$99:AG218,4,FALSE)))*EXP(-(LN(2)/$D$65+0.1)*(VLOOKUP(($F$16-$F$15)-1,AC$99:AG218,5,FALSE)))*EXP(-(LN(2)/$D$65+0.04)*(VLOOKUP(($F$16-$F$15)*2-1,AC$99:AG218,4,FALSE)))*EXP(-(LN(2)/$D$65+0.1)*(VLOOKUP(($F$16-$F$15)*2-1,AC$99:AG218,5,FALSE)))*EXP(-(LN(2)/$D$65+0.04)*AF218)*EXP(-(LN(2)/$D$65+0.1)*AG218),"-"))),"-")</f>
        <v>-</v>
      </c>
      <c r="AJ219" s="271" t="str">
        <f>IFERROR(IF(AD219=1,AJ$100*EXP(-(LN(2)/$D$65+0.04)*AF219)*EXP(-(LN(2)/$D$65+0.1)*AG219),IF(AD219=2,AJ$100*EXP(-(LN(2)/$D$65+0.04)*(VLOOKUP(($F$16-$F$15)-1,AC$100:AG219,4,FALSE)))*EXP(-(LN(2)/$D$65+0.1)*(VLOOKUP(($F$16-$F$15)-1,AC$100:AG219,5,FALSE)))*EXP(-(LN(2)/$D$65+0.04)*AF219)*EXP(-(LN(2)/$D$65+0.1)*AG219),IF(AD219=3,AJ$100*EXP(-(LN(2)/$D$65+0.04)*(VLOOKUP(($F$16-$F$15)-1,AC$100:AG219,4,FALSE)))*EXP(-(LN(2)/$D$65+0.1)*(VLOOKUP(($F$16-$F$15)-1,AC$100:AG219,5,FALSE)))*EXP(-(LN(2)/$D$65+0.04)*(VLOOKUP(($F$16-$F$15)*2-1,AC$100:AG219,4,FALSE)))*EXP(-(LN(2)/$D$65+0.1)*(VLOOKUP(($F$16-$F$15)*2-1,AC$100:AG219,5,FALSE)))*EXP(-(LN(2)/$D$65+0.04)*AF219)*EXP(-(LN(2)/$D$65+0.1)*AG219),"-"))),"-")</f>
        <v>-</v>
      </c>
      <c r="AK219" s="227">
        <f t="shared" si="137"/>
        <v>119</v>
      </c>
      <c r="AL219" s="226" t="str">
        <f t="shared" si="111"/>
        <v>-</v>
      </c>
      <c r="AM219" s="227" t="str">
        <f t="shared" si="138"/>
        <v>-</v>
      </c>
      <c r="AN219" s="227" t="str">
        <f t="shared" si="139"/>
        <v>-</v>
      </c>
      <c r="AO219" s="227" t="str">
        <f t="shared" si="112"/>
        <v>-</v>
      </c>
      <c r="AP219" s="273">
        <f t="shared" si="140"/>
        <v>0.1</v>
      </c>
      <c r="AQ219" s="271" t="str">
        <f>IFERROR(IF(AL218=1,AQ$100*EXP(-(LN(2)/$D$65+0.04)*AN218)*EXP(-(LN(2)/$D$65+0.1)*AO218),IF(AL218=2,AQ$100*EXP(-(LN(2)/$D$65+0.04)*(VLOOKUP(($F$16-$F$15)-1,AK$99:AO218,4,FALSE)))*EXP(-(LN(2)/$D$65+0.1)*(VLOOKUP(($F$16-$F$15)-1,AK$99:AO218,5,FALSE)))*EXP(-(LN(2)/$D$65+0.04)*AN218)*EXP(-(LN(2)/$D$65+0.1)*AO218),IF(AL218=3,AQ$100*EXP(-(LN(2)/$D$65+0.04)*(VLOOKUP(($F$16-$F$15)-1,AK$99:AO218,4,FALSE)))*EXP(-(LN(2)/$D$65+0.1)*(VLOOKUP(($F$16-$F$15)-1,AK$99:AO218,5,FALSE)))*EXP(-(LN(2)/$D$65+0.04)*(VLOOKUP(($F$16-$F$15)*2-1,AK$99:AO218,4,FALSE)))*EXP(-(LN(2)/$D$65+0.1)*(VLOOKUP(($F$16-$F$15)*2-1,AK$99:AO218,5,FALSE)))*EXP(-(LN(2)/$D$65+0.04)*AN218)*EXP(-(LN(2)/$D$65+0.1)*AO218),"-"))),"-")</f>
        <v>-</v>
      </c>
      <c r="AR219" s="271" t="str">
        <f>IFERROR(IF(AL219=1,AR$100*EXP(-(LN(2)/$D$65+0.04)*AN219)*EXP(-(LN(2)/$D$65+0.1)*AO219),IF(AL219=2,AR$100*EXP(-(LN(2)/$D$65+0.04)*(VLOOKUP(($F$16-$F$15)-1,AK$100:AO219,4,FALSE)))*EXP(-(LN(2)/$D$65+0.1)*(VLOOKUP(($F$16-$F$15)-1,AK$100:AO219,5,FALSE)))*EXP(-(LN(2)/$D$65+0.04)*AN219)*EXP(-(LN(2)/$D$65+0.1)*AO219),IF(AL219=3,AR$100*EXP(-(LN(2)/$D$65+0.04)*(VLOOKUP(($F$16-$F$15)-1,AK$100:AO219,4,FALSE)))*EXP(-(LN(2)/$D$65+0.1)*(VLOOKUP(($F$16-$F$15)-1,AK$100:AO219,5,FALSE)))*EXP(-(LN(2)/$D$65+0.04)*(VLOOKUP(($F$16-$F$15)*2-1,AK$100:AO219,4,FALSE)))*EXP(-(LN(2)/$D$65+0.1)*(VLOOKUP(($F$16-$F$15)*2-1,AK$100:AO219,5,FALSE)))*EXP(-(LN(2)/$D$65+0.04)*AN219)*EXP(-(LN(2)/$D$65+0.1)*AO219),"-"))),"-")</f>
        <v>-</v>
      </c>
      <c r="AS219" s="274">
        <f t="shared" si="113"/>
        <v>0</v>
      </c>
      <c r="AT219" s="274">
        <f t="shared" si="114"/>
        <v>0</v>
      </c>
      <c r="AU219" s="274">
        <f t="shared" si="115"/>
        <v>0</v>
      </c>
      <c r="AV219" s="190" t="str">
        <f>IF($B219&lt;$F$22,SUM($T$100:$T219),"")</f>
        <v/>
      </c>
      <c r="AW219" s="190" t="str">
        <f t="shared" si="161"/>
        <v>-</v>
      </c>
      <c r="AX219" s="190" t="str">
        <f t="shared" si="141"/>
        <v/>
      </c>
      <c r="AY219"/>
      <c r="AZ219" s="190" t="str">
        <f ca="1">IF(ISNUMBER(OFFSET(AV219,-$F$21,0)),SUM(OFFSET($T$100,$F$21,0):$T219),"")</f>
        <v/>
      </c>
      <c r="BA219" s="190" t="str">
        <f t="shared" ca="1" si="162"/>
        <v/>
      </c>
      <c r="BB219" s="190" t="str">
        <f t="shared" ca="1" si="148"/>
        <v/>
      </c>
      <c r="BC219" s="190"/>
      <c r="BD219" s="190" t="str">
        <f ca="1">IFERROR(IF(OR(ISNUMBER(I),ISNUMBER($F$14)),IF(AND($B219&gt;=($F$16-$F$15),$B219&lt;$F$22+($F$16-$F$15)),SUM(OFFSET($T$100,($F$16-$F$15),0):$T219),""),""),"")</f>
        <v/>
      </c>
      <c r="BE219" s="190" t="str">
        <f t="shared" ca="1" si="142"/>
        <v/>
      </c>
      <c r="BF219" s="190" t="str">
        <f t="shared" ca="1" si="143"/>
        <v/>
      </c>
      <c r="BG219"/>
      <c r="BH219" s="190" t="str">
        <f ca="1">IF(ISNUMBER(OFFSET(BD219,-$F$21,0)),SUM(OFFSET($T$100,($F$16-$F$15+$F$21),0):$T219),"")</f>
        <v/>
      </c>
      <c r="BI219" s="190" t="str">
        <f t="shared" ca="1" si="163"/>
        <v/>
      </c>
      <c r="BJ219" s="190" t="str">
        <f t="shared" ca="1" si="144"/>
        <v/>
      </c>
      <c r="BK219" s="190"/>
      <c r="BL219" s="190" t="str">
        <f ca="1">IFERROR(IF(OR(ISNUMBER(I),ISNUMBER($F$14)),IF(AND($B219&gt;=($F$17-$F$15),$B219&lt;$F$22+($F$17-$F$15)),SUM(OFFSET($T$100,($F$17-$F$15),0):$T219),""),""),"")</f>
        <v/>
      </c>
      <c r="BM219" s="190" t="str">
        <f t="shared" ca="1" si="164"/>
        <v/>
      </c>
      <c r="BN219" s="190" t="str">
        <f t="shared" ca="1" si="145"/>
        <v/>
      </c>
      <c r="BO219"/>
      <c r="BP219" s="190" t="str">
        <f ca="1">IF(ISNUMBER(OFFSET(BL219,-$F$21,0)),SUM(OFFSET($T$100,($F$17-$F$15+$F$21),0):$T219),"")</f>
        <v/>
      </c>
      <c r="BQ219" s="190" t="str">
        <f t="shared" ca="1" si="165"/>
        <v/>
      </c>
      <c r="BR219" s="190" t="str">
        <f t="shared" ca="1" si="146"/>
        <v/>
      </c>
      <c r="BS219" s="190"/>
      <c r="BT219"/>
      <c r="BU219"/>
      <c r="BV219"/>
      <c r="BY219" s="99"/>
      <c r="BZ219" s="99"/>
      <c r="CA219" s="280" t="str">
        <f t="shared" si="166"/>
        <v/>
      </c>
      <c r="CB219" s="71" t="str">
        <f t="shared" si="122"/>
        <v>-</v>
      </c>
      <c r="CC219" s="33"/>
      <c r="CD219" s="261" t="str">
        <f t="shared" si="123"/>
        <v/>
      </c>
      <c r="CE219" s="280" t="str">
        <f t="shared" si="167"/>
        <v/>
      </c>
      <c r="CF219" s="71" t="str">
        <f t="shared" ca="1" si="168"/>
        <v/>
      </c>
      <c r="CG219" s="33" t="str">
        <f t="shared" si="126"/>
        <v/>
      </c>
      <c r="CH219" s="261" t="str">
        <f t="shared" ca="1" si="127"/>
        <v/>
      </c>
    </row>
    <row r="220" spans="2:86" ht="13.5" customHeight="1" x14ac:dyDescent="0.2">
      <c r="B220" s="262">
        <v>120</v>
      </c>
      <c r="C220" s="237" t="str">
        <f t="shared" si="91"/>
        <v/>
      </c>
      <c r="D220" s="237" t="str">
        <f t="shared" si="147"/>
        <v/>
      </c>
      <c r="E220" s="263" t="str">
        <f t="shared" si="128"/>
        <v/>
      </c>
      <c r="F220" s="264" t="str">
        <f t="shared" si="129"/>
        <v/>
      </c>
      <c r="G220" s="264" t="str">
        <f t="shared" si="130"/>
        <v/>
      </c>
      <c r="H220" s="240" t="str">
        <f t="shared" si="149"/>
        <v/>
      </c>
      <c r="I220" s="265" t="str">
        <f t="shared" si="150"/>
        <v/>
      </c>
      <c r="J220" s="265" t="str">
        <f t="shared" si="151"/>
        <v/>
      </c>
      <c r="K220" s="240" t="str">
        <f t="shared" si="152"/>
        <v/>
      </c>
      <c r="L220" s="265" t="str">
        <f t="shared" si="153"/>
        <v/>
      </c>
      <c r="M220" s="265" t="str">
        <f t="shared" si="154"/>
        <v/>
      </c>
      <c r="N220" s="240" t="str">
        <f t="shared" si="155"/>
        <v>-</v>
      </c>
      <c r="O220" s="265" t="str">
        <f t="shared" si="156"/>
        <v>-</v>
      </c>
      <c r="P220" s="265" t="str">
        <f t="shared" si="157"/>
        <v>-</v>
      </c>
      <c r="Q220" s="266" t="str">
        <f t="shared" si="158"/>
        <v>-</v>
      </c>
      <c r="R220" s="267" t="str">
        <f t="shared" si="159"/>
        <v>-</v>
      </c>
      <c r="S220" s="268" t="str">
        <f t="shared" si="160"/>
        <v>-</v>
      </c>
      <c r="T220" s="269" t="str">
        <f t="shared" si="104"/>
        <v/>
      </c>
      <c r="U220" s="221">
        <f t="shared" si="105"/>
        <v>120</v>
      </c>
      <c r="V220" s="220" t="str">
        <f t="shared" si="131"/>
        <v>-</v>
      </c>
      <c r="W220" s="221" t="str">
        <f t="shared" si="132"/>
        <v>-</v>
      </c>
      <c r="X220" s="221" t="str">
        <f t="shared" si="106"/>
        <v>-</v>
      </c>
      <c r="Y220" s="221" t="str">
        <f t="shared" si="107"/>
        <v>-</v>
      </c>
      <c r="Z220" s="270">
        <f t="shared" si="133"/>
        <v>0.1</v>
      </c>
      <c r="AA220" s="271" t="str">
        <f>IFERROR(IF(V219=1,AA$100*EXP(-(LN(2)/$D$65+0.04)*X219)*EXP(-(LN(2)/$D$65+0.1)*Y219),IF(V219=2,AA$100*EXP(-(LN(2)/$D$65+0.04)*(VLOOKUP(($F$16-$F$15)-1,U$99:Y219,4,FALSE)))*EXP(-(LN(2)/$D$65+0.1)*(VLOOKUP(($F$16-$F$15)-1,U$99:Y219,5,FALSE)))*EXP(-(LN(2)/$D$65+0.04)*X219)*EXP(-(LN(2)/$D$65+0.1)*Y219),IF(V219=3,AA$100*EXP(-(LN(2)/$D$65+0.04)*(VLOOKUP(($F$16-$F$15)-1,U$99:Y219,4,FALSE)))*EXP(-(LN(2)/$D$65+0.1)*(VLOOKUP(($F$16-$F$15)-1,U$99:Y219,5,FALSE)))*EXP(-(LN(2)/$D$65+0.04)*(VLOOKUP(($F$16-$F$15)*2-1,U$99:Y219,4,FALSE)))*EXP(-(LN(2)/$D$65+0.1)*(VLOOKUP(($F$16-$F$15)*2-1,U$99:Y219,5,FALSE)))*EXP(-(LN(2)/$D$65+0.04)*X219)*EXP(-(LN(2)/$D$65+0.1)*Y219),"-"))),"-")</f>
        <v>-</v>
      </c>
      <c r="AB220" s="271" t="str">
        <f>IFERROR(IF(V220=1,AB$100*EXP(-(LN(2)/$D$65+0.04)*X220)*EXP(-(LN(2)/$D$65+0.1)*Y220),IF(V220=2,AB$100*EXP(-(LN(2)/$D$65+0.04)*(VLOOKUP(($F$16-$F$15)-1,U$100:Y220,4,FALSE)))*EXP(-(LN(2)/$D$65+0.1)*(VLOOKUP(($F$16-$F$15)-1,U$100:Y220,5,FALSE)))*EXP(-(LN(2)/$D$65+0.04)*X220)*EXP(-(LN(2)/$D$65+0.1)*Y220),IF(V220=3,AB$100*EXP(-(LN(2)/$D$65+0.04)*(VLOOKUP(($F$16-$F$15)-1,U$100:Y220,4,FALSE)))*EXP(-(LN(2)/$D$65+0.1)*(VLOOKUP(($F$16-$F$15)-1,U$100:Y220,5,FALSE)))*EXP(-(LN(2)/$D$65+0.04)*(VLOOKUP(($F$16-$F$15)*2-1,U$100:Y220,4,FALSE)))*EXP(-(LN(2)/$D$65+0.1)*(VLOOKUP(($F$16-$F$15)*2-1,U$100:Y220,5,FALSE)))*EXP(-(LN(2)/$D$65+0.04)*X220)*EXP(-(LN(2)/$D$65+0.1)*Y220),"-"))),"-")</f>
        <v>-</v>
      </c>
      <c r="AC220" s="224">
        <f t="shared" si="134"/>
        <v>120</v>
      </c>
      <c r="AD220" s="223" t="str">
        <f t="shared" si="108"/>
        <v>-</v>
      </c>
      <c r="AE220" s="224" t="str">
        <f t="shared" si="135"/>
        <v>-</v>
      </c>
      <c r="AF220" s="224" t="str">
        <f t="shared" si="109"/>
        <v>-</v>
      </c>
      <c r="AG220" s="224" t="str">
        <f t="shared" si="110"/>
        <v>-</v>
      </c>
      <c r="AH220" s="272">
        <f t="shared" si="136"/>
        <v>0.1</v>
      </c>
      <c r="AI220" s="271" t="str">
        <f>IFERROR(IF(AD219=1,AI$100*EXP(-(LN(2)/$D$65+0.04)*AF219)*EXP(-(LN(2)/$D$65+0.1)*AG219),IF(AD219=2,AI$100*EXP(-(LN(2)/$D$65+0.04)*(VLOOKUP(($F$16-$F$15)-1,AC$99:AG219,4,FALSE)))*EXP(-(LN(2)/$D$65+0.1)*(VLOOKUP(($F$16-$F$15)-1,AC$99:AG219,5,FALSE)))*EXP(-(LN(2)/$D$65+0.04)*AF219)*EXP(-(LN(2)/$D$65+0.1)*AG219),IF(AD219=3,AI$100*EXP(-(LN(2)/$D$65+0.04)*(VLOOKUP(($F$16-$F$15)-1,AC$99:AG219,4,FALSE)))*EXP(-(LN(2)/$D$65+0.1)*(VLOOKUP(($F$16-$F$15)-1,AC$99:AG219,5,FALSE)))*EXP(-(LN(2)/$D$65+0.04)*(VLOOKUP(($F$16-$F$15)*2-1,AC$99:AG219,4,FALSE)))*EXP(-(LN(2)/$D$65+0.1)*(VLOOKUP(($F$16-$F$15)*2-1,AC$99:AG219,5,FALSE)))*EXP(-(LN(2)/$D$65+0.04)*AF219)*EXP(-(LN(2)/$D$65+0.1)*AG219),"-"))),"-")</f>
        <v>-</v>
      </c>
      <c r="AJ220" s="271" t="str">
        <f>IFERROR(IF(AD220=1,AJ$100*EXP(-(LN(2)/$D$65+0.04)*AF220)*EXP(-(LN(2)/$D$65+0.1)*AG220),IF(AD220=2,AJ$100*EXP(-(LN(2)/$D$65+0.04)*(VLOOKUP(($F$16-$F$15)-1,AC$100:AG220,4,FALSE)))*EXP(-(LN(2)/$D$65+0.1)*(VLOOKUP(($F$16-$F$15)-1,AC$100:AG220,5,FALSE)))*EXP(-(LN(2)/$D$65+0.04)*AF220)*EXP(-(LN(2)/$D$65+0.1)*AG220),IF(AD220=3,AJ$100*EXP(-(LN(2)/$D$65+0.04)*(VLOOKUP(($F$16-$F$15)-1,AC$100:AG220,4,FALSE)))*EXP(-(LN(2)/$D$65+0.1)*(VLOOKUP(($F$16-$F$15)-1,AC$100:AG220,5,FALSE)))*EXP(-(LN(2)/$D$65+0.04)*(VLOOKUP(($F$16-$F$15)*2-1,AC$100:AG220,4,FALSE)))*EXP(-(LN(2)/$D$65+0.1)*(VLOOKUP(($F$16-$F$15)*2-1,AC$100:AG220,5,FALSE)))*EXP(-(LN(2)/$D$65+0.04)*AF220)*EXP(-(LN(2)/$D$65+0.1)*AG220),"-"))),"-")</f>
        <v>-</v>
      </c>
      <c r="AK220" s="227">
        <f t="shared" si="137"/>
        <v>120</v>
      </c>
      <c r="AL220" s="226" t="str">
        <f t="shared" si="111"/>
        <v>-</v>
      </c>
      <c r="AM220" s="227" t="str">
        <f t="shared" si="138"/>
        <v>-</v>
      </c>
      <c r="AN220" s="227" t="str">
        <f t="shared" si="139"/>
        <v>-</v>
      </c>
      <c r="AO220" s="227" t="str">
        <f t="shared" si="112"/>
        <v>-</v>
      </c>
      <c r="AP220" s="273">
        <f t="shared" si="140"/>
        <v>0.1</v>
      </c>
      <c r="AQ220" s="271" t="str">
        <f>IFERROR(IF(AL219=1,AQ$100*EXP(-(LN(2)/$D$65+0.04)*AN219)*EXP(-(LN(2)/$D$65+0.1)*AO219),IF(AL219=2,AQ$100*EXP(-(LN(2)/$D$65+0.04)*(VLOOKUP(($F$16-$F$15)-1,AK$99:AO219,4,FALSE)))*EXP(-(LN(2)/$D$65+0.1)*(VLOOKUP(($F$16-$F$15)-1,AK$99:AO219,5,FALSE)))*EXP(-(LN(2)/$D$65+0.04)*AN219)*EXP(-(LN(2)/$D$65+0.1)*AO219),IF(AL219=3,AQ$100*EXP(-(LN(2)/$D$65+0.04)*(VLOOKUP(($F$16-$F$15)-1,AK$99:AO219,4,FALSE)))*EXP(-(LN(2)/$D$65+0.1)*(VLOOKUP(($F$16-$F$15)-1,AK$99:AO219,5,FALSE)))*EXP(-(LN(2)/$D$65+0.04)*(VLOOKUP(($F$16-$F$15)*2-1,AK$99:AO219,4,FALSE)))*EXP(-(LN(2)/$D$65+0.1)*(VLOOKUP(($F$16-$F$15)*2-1,AK$99:AO219,5,FALSE)))*EXP(-(LN(2)/$D$65+0.04)*AN219)*EXP(-(LN(2)/$D$65+0.1)*AO219),"-"))),"-")</f>
        <v>-</v>
      </c>
      <c r="AR220" s="271" t="str">
        <f>IFERROR(IF(AL220=1,AR$100*EXP(-(LN(2)/$D$65+0.04)*AN220)*EXP(-(LN(2)/$D$65+0.1)*AO220),IF(AL220=2,AR$100*EXP(-(LN(2)/$D$65+0.04)*(VLOOKUP(($F$16-$F$15)-1,AK$100:AO220,4,FALSE)))*EXP(-(LN(2)/$D$65+0.1)*(VLOOKUP(($F$16-$F$15)-1,AK$100:AO220,5,FALSE)))*EXP(-(LN(2)/$D$65+0.04)*AN220)*EXP(-(LN(2)/$D$65+0.1)*AO220),IF(AL220=3,AR$100*EXP(-(LN(2)/$D$65+0.04)*(VLOOKUP(($F$16-$F$15)-1,AK$100:AO220,4,FALSE)))*EXP(-(LN(2)/$D$65+0.1)*(VLOOKUP(($F$16-$F$15)-1,AK$100:AO220,5,FALSE)))*EXP(-(LN(2)/$D$65+0.04)*(VLOOKUP(($F$16-$F$15)*2-1,AK$100:AO220,4,FALSE)))*EXP(-(LN(2)/$D$65+0.1)*(VLOOKUP(($F$16-$F$15)*2-1,AK$100:AO220,5,FALSE)))*EXP(-(LN(2)/$D$65+0.04)*AN220)*EXP(-(LN(2)/$D$65+0.1)*AO220),"-"))),"-")</f>
        <v>-</v>
      </c>
      <c r="AS220" s="274">
        <f t="shared" si="113"/>
        <v>0</v>
      </c>
      <c r="AT220" s="274">
        <f t="shared" si="114"/>
        <v>0</v>
      </c>
      <c r="AU220" s="274">
        <f t="shared" si="115"/>
        <v>0</v>
      </c>
      <c r="AV220" s="190" t="str">
        <f>IF($B220&lt;$F$22,SUM($T$100:$T220),"")</f>
        <v/>
      </c>
      <c r="AW220" s="190" t="str">
        <f t="shared" si="161"/>
        <v>-</v>
      </c>
      <c r="AX220" s="190" t="str">
        <f t="shared" si="141"/>
        <v/>
      </c>
      <c r="AY220"/>
      <c r="AZ220" s="190" t="str">
        <f ca="1">IF(ISNUMBER(OFFSET(AV220,-$F$21,0)),SUM(OFFSET($T$100,$F$21,0):$T220),"")</f>
        <v/>
      </c>
      <c r="BA220" s="190" t="str">
        <f t="shared" ca="1" si="162"/>
        <v/>
      </c>
      <c r="BB220" s="190" t="str">
        <f t="shared" ca="1" si="148"/>
        <v/>
      </c>
      <c r="BC220" s="190"/>
      <c r="BD220" s="190" t="str">
        <f ca="1">IFERROR(IF(OR(ISNUMBER(I),ISNUMBER($F$14)),IF(AND($B220&gt;=($F$16-$F$15),$B220&lt;$F$22+($F$16-$F$15)),SUM(OFFSET($T$100,($F$16-$F$15),0):$T220),""),""),"")</f>
        <v/>
      </c>
      <c r="BE220" s="190" t="str">
        <f t="shared" ca="1" si="142"/>
        <v/>
      </c>
      <c r="BF220" s="190" t="str">
        <f t="shared" ca="1" si="143"/>
        <v/>
      </c>
      <c r="BG220"/>
      <c r="BH220" s="190" t="str">
        <f ca="1">IF(ISNUMBER(OFFSET(BD220,-$F$21,0)),SUM(OFFSET($T$100,($F$16-$F$15+$F$21),0):$T220),"")</f>
        <v/>
      </c>
      <c r="BI220" s="190" t="str">
        <f t="shared" ca="1" si="163"/>
        <v/>
      </c>
      <c r="BJ220" s="190" t="str">
        <f t="shared" ca="1" si="144"/>
        <v/>
      </c>
      <c r="BK220" s="190"/>
      <c r="BL220" s="190" t="str">
        <f ca="1">IFERROR(IF(OR(ISNUMBER(I),ISNUMBER($F$14)),IF(AND($B220&gt;=($F$17-$F$15),$B220&lt;$F$22+($F$17-$F$15)),SUM(OFFSET($T$100,($F$17-$F$15),0):$T220),""),""),"")</f>
        <v/>
      </c>
      <c r="BM220" s="190" t="str">
        <f t="shared" ca="1" si="164"/>
        <v/>
      </c>
      <c r="BN220" s="190" t="str">
        <f t="shared" ca="1" si="145"/>
        <v/>
      </c>
      <c r="BO220"/>
      <c r="BP220" s="190" t="str">
        <f ca="1">IF(ISNUMBER(OFFSET(BL220,-$F$21,0)),SUM(OFFSET($T$100,($F$17-$F$15+$F$21),0):$T220),"")</f>
        <v/>
      </c>
      <c r="BQ220" s="190" t="str">
        <f t="shared" ca="1" si="165"/>
        <v/>
      </c>
      <c r="BR220" s="190" t="str">
        <f t="shared" ca="1" si="146"/>
        <v/>
      </c>
      <c r="BS220" s="190"/>
      <c r="BT220"/>
      <c r="BU220"/>
      <c r="BV220"/>
      <c r="BY220" s="99"/>
      <c r="BZ220" s="99"/>
      <c r="CA220" s="280" t="str">
        <f t="shared" si="166"/>
        <v/>
      </c>
      <c r="CB220" s="71" t="str">
        <f t="shared" si="122"/>
        <v>-</v>
      </c>
      <c r="CC220" s="33"/>
      <c r="CD220" s="261" t="str">
        <f t="shared" si="123"/>
        <v/>
      </c>
      <c r="CE220" s="280" t="str">
        <f t="shared" si="167"/>
        <v/>
      </c>
      <c r="CF220" s="71" t="str">
        <f t="shared" ca="1" si="168"/>
        <v/>
      </c>
      <c r="CG220" s="33" t="str">
        <f t="shared" si="126"/>
        <v/>
      </c>
      <c r="CH220" s="261" t="str">
        <f t="shared" ca="1" si="127"/>
        <v/>
      </c>
    </row>
    <row r="221" spans="2:86" ht="13.5" customHeight="1" x14ac:dyDescent="0.2">
      <c r="B221" s="262">
        <v>121</v>
      </c>
      <c r="C221" s="237" t="str">
        <f t="shared" si="91"/>
        <v/>
      </c>
      <c r="D221" s="237" t="str">
        <f t="shared" si="147"/>
        <v/>
      </c>
      <c r="E221" s="263" t="str">
        <f t="shared" si="128"/>
        <v/>
      </c>
      <c r="F221" s="264" t="str">
        <f t="shared" si="129"/>
        <v/>
      </c>
      <c r="G221" s="264" t="str">
        <f t="shared" si="130"/>
        <v/>
      </c>
      <c r="H221" s="240" t="str">
        <f t="shared" si="149"/>
        <v/>
      </c>
      <c r="I221" s="265" t="str">
        <f t="shared" si="150"/>
        <v/>
      </c>
      <c r="J221" s="265" t="str">
        <f t="shared" si="151"/>
        <v/>
      </c>
      <c r="K221" s="240" t="str">
        <f t="shared" si="152"/>
        <v/>
      </c>
      <c r="L221" s="265" t="str">
        <f t="shared" si="153"/>
        <v/>
      </c>
      <c r="M221" s="265" t="str">
        <f t="shared" si="154"/>
        <v/>
      </c>
      <c r="N221" s="240" t="str">
        <f t="shared" si="155"/>
        <v>-</v>
      </c>
      <c r="O221" s="265" t="str">
        <f t="shared" si="156"/>
        <v>-</v>
      </c>
      <c r="P221" s="265" t="str">
        <f t="shared" si="157"/>
        <v>-</v>
      </c>
      <c r="Q221" s="266" t="str">
        <f t="shared" si="158"/>
        <v>-</v>
      </c>
      <c r="R221" s="267" t="str">
        <f t="shared" si="159"/>
        <v>-</v>
      </c>
      <c r="S221" s="268" t="str">
        <f t="shared" si="160"/>
        <v>-</v>
      </c>
      <c r="T221" s="269" t="str">
        <f t="shared" si="104"/>
        <v/>
      </c>
      <c r="U221" s="221">
        <f t="shared" si="105"/>
        <v>121</v>
      </c>
      <c r="V221" s="220" t="str">
        <f t="shared" si="131"/>
        <v>-</v>
      </c>
      <c r="W221" s="221" t="str">
        <f t="shared" si="132"/>
        <v>-</v>
      </c>
      <c r="X221" s="221" t="str">
        <f t="shared" si="106"/>
        <v>-</v>
      </c>
      <c r="Y221" s="221" t="str">
        <f t="shared" si="107"/>
        <v>-</v>
      </c>
      <c r="Z221" s="270">
        <f t="shared" si="133"/>
        <v>0.1</v>
      </c>
      <c r="AA221" s="271" t="str">
        <f>IFERROR(IF(V220=1,AA$100*EXP(-(LN(2)/$D$65+0.04)*X220)*EXP(-(LN(2)/$D$65+0.1)*Y220),IF(V220=2,AA$100*EXP(-(LN(2)/$D$65+0.04)*(VLOOKUP(($F$16-$F$15)-1,U$99:Y220,4,FALSE)))*EXP(-(LN(2)/$D$65+0.1)*(VLOOKUP(($F$16-$F$15)-1,U$99:Y220,5,FALSE)))*EXP(-(LN(2)/$D$65+0.04)*X220)*EXP(-(LN(2)/$D$65+0.1)*Y220),IF(V220=3,AA$100*EXP(-(LN(2)/$D$65+0.04)*(VLOOKUP(($F$16-$F$15)-1,U$99:Y220,4,FALSE)))*EXP(-(LN(2)/$D$65+0.1)*(VLOOKUP(($F$16-$F$15)-1,U$99:Y220,5,FALSE)))*EXP(-(LN(2)/$D$65+0.04)*(VLOOKUP(($F$16-$F$15)*2-1,U$99:Y220,4,FALSE)))*EXP(-(LN(2)/$D$65+0.1)*(VLOOKUP(($F$16-$F$15)*2-1,U$99:Y220,5,FALSE)))*EXP(-(LN(2)/$D$65+0.04)*X220)*EXP(-(LN(2)/$D$65+0.1)*Y220),"-"))),"-")</f>
        <v>-</v>
      </c>
      <c r="AB221" s="271" t="str">
        <f>IFERROR(IF(V221=1,AB$100*EXP(-(LN(2)/$D$65+0.04)*X221)*EXP(-(LN(2)/$D$65+0.1)*Y221),IF(V221=2,AB$100*EXP(-(LN(2)/$D$65+0.04)*(VLOOKUP(($F$16-$F$15)-1,U$100:Y221,4,FALSE)))*EXP(-(LN(2)/$D$65+0.1)*(VLOOKUP(($F$16-$F$15)-1,U$100:Y221,5,FALSE)))*EXP(-(LN(2)/$D$65+0.04)*X221)*EXP(-(LN(2)/$D$65+0.1)*Y221),IF(V221=3,AB$100*EXP(-(LN(2)/$D$65+0.04)*(VLOOKUP(($F$16-$F$15)-1,U$100:Y221,4,FALSE)))*EXP(-(LN(2)/$D$65+0.1)*(VLOOKUP(($F$16-$F$15)-1,U$100:Y221,5,FALSE)))*EXP(-(LN(2)/$D$65+0.04)*(VLOOKUP(($F$16-$F$15)*2-1,U$100:Y221,4,FALSE)))*EXP(-(LN(2)/$D$65+0.1)*(VLOOKUP(($F$16-$F$15)*2-1,U$100:Y221,5,FALSE)))*EXP(-(LN(2)/$D$65+0.04)*X221)*EXP(-(LN(2)/$D$65+0.1)*Y221),"-"))),"-")</f>
        <v>-</v>
      </c>
      <c r="AC221" s="224">
        <f t="shared" si="134"/>
        <v>121</v>
      </c>
      <c r="AD221" s="223" t="str">
        <f t="shared" si="108"/>
        <v>-</v>
      </c>
      <c r="AE221" s="224" t="str">
        <f t="shared" si="135"/>
        <v>-</v>
      </c>
      <c r="AF221" s="224" t="str">
        <f t="shared" si="109"/>
        <v>-</v>
      </c>
      <c r="AG221" s="224" t="str">
        <f t="shared" si="110"/>
        <v>-</v>
      </c>
      <c r="AH221" s="272">
        <f t="shared" si="136"/>
        <v>0.1</v>
      </c>
      <c r="AI221" s="271" t="str">
        <f>IFERROR(IF(AD220=1,AI$100*EXP(-(LN(2)/$D$65+0.04)*AF220)*EXP(-(LN(2)/$D$65+0.1)*AG220),IF(AD220=2,AI$100*EXP(-(LN(2)/$D$65+0.04)*(VLOOKUP(($F$16-$F$15)-1,AC$99:AG220,4,FALSE)))*EXP(-(LN(2)/$D$65+0.1)*(VLOOKUP(($F$16-$F$15)-1,AC$99:AG220,5,FALSE)))*EXP(-(LN(2)/$D$65+0.04)*AF220)*EXP(-(LN(2)/$D$65+0.1)*AG220),IF(AD220=3,AI$100*EXP(-(LN(2)/$D$65+0.04)*(VLOOKUP(($F$16-$F$15)-1,AC$99:AG220,4,FALSE)))*EXP(-(LN(2)/$D$65+0.1)*(VLOOKUP(($F$16-$F$15)-1,AC$99:AG220,5,FALSE)))*EXP(-(LN(2)/$D$65+0.04)*(VLOOKUP(($F$16-$F$15)*2-1,AC$99:AG220,4,FALSE)))*EXP(-(LN(2)/$D$65+0.1)*(VLOOKUP(($F$16-$F$15)*2-1,AC$99:AG220,5,FALSE)))*EXP(-(LN(2)/$D$65+0.04)*AF220)*EXP(-(LN(2)/$D$65+0.1)*AG220),"-"))),"-")</f>
        <v>-</v>
      </c>
      <c r="AJ221" s="271" t="str">
        <f>IFERROR(IF(AD221=1,AJ$100*EXP(-(LN(2)/$D$65+0.04)*AF221)*EXP(-(LN(2)/$D$65+0.1)*AG221),IF(AD221=2,AJ$100*EXP(-(LN(2)/$D$65+0.04)*(VLOOKUP(($F$16-$F$15)-1,AC$100:AG221,4,FALSE)))*EXP(-(LN(2)/$D$65+0.1)*(VLOOKUP(($F$16-$F$15)-1,AC$100:AG221,5,FALSE)))*EXP(-(LN(2)/$D$65+0.04)*AF221)*EXP(-(LN(2)/$D$65+0.1)*AG221),IF(AD221=3,AJ$100*EXP(-(LN(2)/$D$65+0.04)*(VLOOKUP(($F$16-$F$15)-1,AC$100:AG221,4,FALSE)))*EXP(-(LN(2)/$D$65+0.1)*(VLOOKUP(($F$16-$F$15)-1,AC$100:AG221,5,FALSE)))*EXP(-(LN(2)/$D$65+0.04)*(VLOOKUP(($F$16-$F$15)*2-1,AC$100:AG221,4,FALSE)))*EXP(-(LN(2)/$D$65+0.1)*(VLOOKUP(($F$16-$F$15)*2-1,AC$100:AG221,5,FALSE)))*EXP(-(LN(2)/$D$65+0.04)*AF221)*EXP(-(LN(2)/$D$65+0.1)*AG221),"-"))),"-")</f>
        <v>-</v>
      </c>
      <c r="AK221" s="227">
        <f t="shared" si="137"/>
        <v>121</v>
      </c>
      <c r="AL221" s="226" t="str">
        <f t="shared" si="111"/>
        <v>-</v>
      </c>
      <c r="AM221" s="227" t="str">
        <f t="shared" si="138"/>
        <v>-</v>
      </c>
      <c r="AN221" s="227" t="str">
        <f t="shared" si="139"/>
        <v>-</v>
      </c>
      <c r="AO221" s="227" t="str">
        <f t="shared" si="112"/>
        <v>-</v>
      </c>
      <c r="AP221" s="273">
        <f t="shared" si="140"/>
        <v>0.1</v>
      </c>
      <c r="AQ221" s="271" t="str">
        <f>IFERROR(IF(AL220=1,AQ$100*EXP(-(LN(2)/$D$65+0.04)*AN220)*EXP(-(LN(2)/$D$65+0.1)*AO220),IF(AL220=2,AQ$100*EXP(-(LN(2)/$D$65+0.04)*(VLOOKUP(($F$16-$F$15)-1,AK$99:AO220,4,FALSE)))*EXP(-(LN(2)/$D$65+0.1)*(VLOOKUP(($F$16-$F$15)-1,AK$99:AO220,5,FALSE)))*EXP(-(LN(2)/$D$65+0.04)*AN220)*EXP(-(LN(2)/$D$65+0.1)*AO220),IF(AL220=3,AQ$100*EXP(-(LN(2)/$D$65+0.04)*(VLOOKUP(($F$16-$F$15)-1,AK$99:AO220,4,FALSE)))*EXP(-(LN(2)/$D$65+0.1)*(VLOOKUP(($F$16-$F$15)-1,AK$99:AO220,5,FALSE)))*EXP(-(LN(2)/$D$65+0.04)*(VLOOKUP(($F$16-$F$15)*2-1,AK$99:AO220,4,FALSE)))*EXP(-(LN(2)/$D$65+0.1)*(VLOOKUP(($F$16-$F$15)*2-1,AK$99:AO220,5,FALSE)))*EXP(-(LN(2)/$D$65+0.04)*AN220)*EXP(-(LN(2)/$D$65+0.1)*AO220),"-"))),"-")</f>
        <v>-</v>
      </c>
      <c r="AR221" s="271" t="str">
        <f>IFERROR(IF(AL221=1,AR$100*EXP(-(LN(2)/$D$65+0.04)*AN221)*EXP(-(LN(2)/$D$65+0.1)*AO221),IF(AL221=2,AR$100*EXP(-(LN(2)/$D$65+0.04)*(VLOOKUP(($F$16-$F$15)-1,AK$100:AO221,4,FALSE)))*EXP(-(LN(2)/$D$65+0.1)*(VLOOKUP(($F$16-$F$15)-1,AK$100:AO221,5,FALSE)))*EXP(-(LN(2)/$D$65+0.04)*AN221)*EXP(-(LN(2)/$D$65+0.1)*AO221),IF(AL221=3,AR$100*EXP(-(LN(2)/$D$65+0.04)*(VLOOKUP(($F$16-$F$15)-1,AK$100:AO221,4,FALSE)))*EXP(-(LN(2)/$D$65+0.1)*(VLOOKUP(($F$16-$F$15)-1,AK$100:AO221,5,FALSE)))*EXP(-(LN(2)/$D$65+0.04)*(VLOOKUP(($F$16-$F$15)*2-1,AK$100:AO221,4,FALSE)))*EXP(-(LN(2)/$D$65+0.1)*(VLOOKUP(($F$16-$F$15)*2-1,AK$100:AO221,5,FALSE)))*EXP(-(LN(2)/$D$65+0.04)*AN221)*EXP(-(LN(2)/$D$65+0.1)*AO221),"-"))),"-")</f>
        <v>-</v>
      </c>
      <c r="AS221" s="274">
        <f t="shared" si="113"/>
        <v>0</v>
      </c>
      <c r="AT221" s="274">
        <f t="shared" si="114"/>
        <v>0</v>
      </c>
      <c r="AU221" s="274">
        <f t="shared" si="115"/>
        <v>0</v>
      </c>
      <c r="AV221" s="190" t="str">
        <f>IF($B221&lt;$F$22,SUM($T$100:$T221),"")</f>
        <v/>
      </c>
      <c r="AW221" s="190" t="str">
        <f t="shared" si="161"/>
        <v>-</v>
      </c>
      <c r="AX221" s="190" t="str">
        <f t="shared" si="141"/>
        <v/>
      </c>
      <c r="AY221"/>
      <c r="AZ221" s="190" t="str">
        <f ca="1">IF(ISNUMBER(OFFSET(AV221,-$F$21,0)),SUM(OFFSET($T$100,$F$21,0):$T221),"")</f>
        <v/>
      </c>
      <c r="BA221" s="190" t="str">
        <f t="shared" ca="1" si="162"/>
        <v/>
      </c>
      <c r="BB221" s="190" t="str">
        <f t="shared" ca="1" si="148"/>
        <v/>
      </c>
      <c r="BC221" s="190"/>
      <c r="BD221" s="190" t="str">
        <f ca="1">IFERROR(IF(OR(ISNUMBER(I),ISNUMBER($F$14)),IF(AND($B221&gt;=($F$16-$F$15),$B221&lt;$F$22+($F$16-$F$15)),SUM(OFFSET($T$100,($F$16-$F$15),0):$T221),""),""),"")</f>
        <v/>
      </c>
      <c r="BE221" s="190" t="str">
        <f t="shared" ca="1" si="142"/>
        <v/>
      </c>
      <c r="BF221" s="190" t="str">
        <f t="shared" ca="1" si="143"/>
        <v/>
      </c>
      <c r="BG221"/>
      <c r="BH221" s="190" t="str">
        <f ca="1">IF(ISNUMBER(OFFSET(BD221,-$F$21,0)),SUM(OFFSET($T$100,($F$16-$F$15+$F$21),0):$T221),"")</f>
        <v/>
      </c>
      <c r="BI221" s="190" t="str">
        <f t="shared" ca="1" si="163"/>
        <v/>
      </c>
      <c r="BJ221" s="190" t="str">
        <f t="shared" ca="1" si="144"/>
        <v/>
      </c>
      <c r="BK221" s="190"/>
      <c r="BL221" s="190" t="str">
        <f ca="1">IFERROR(IF(OR(ISNUMBER(I),ISNUMBER($F$14)),IF(AND($B221&gt;=($F$17-$F$15),$B221&lt;$F$22+($F$17-$F$15)),SUM(OFFSET($T$100,($F$17-$F$15),0):$T221),""),""),"")</f>
        <v/>
      </c>
      <c r="BM221" s="190" t="str">
        <f t="shared" ca="1" si="164"/>
        <v/>
      </c>
      <c r="BN221" s="190" t="str">
        <f t="shared" ca="1" si="145"/>
        <v/>
      </c>
      <c r="BO221"/>
      <c r="BP221" s="190" t="str">
        <f ca="1">IF(ISNUMBER(OFFSET(BL221,-$F$21,0)),SUM(OFFSET($T$100,($F$17-$F$15+$F$21),0):$T221),"")</f>
        <v/>
      </c>
      <c r="BQ221" s="190" t="str">
        <f t="shared" ca="1" si="165"/>
        <v/>
      </c>
      <c r="BR221" s="190" t="str">
        <f t="shared" ca="1" si="146"/>
        <v/>
      </c>
      <c r="BS221" s="190"/>
      <c r="BT221"/>
      <c r="BU221"/>
      <c r="BV221"/>
      <c r="BY221" s="99"/>
      <c r="BZ221" s="99"/>
      <c r="CA221" s="280" t="str">
        <f t="shared" si="166"/>
        <v/>
      </c>
      <c r="CB221" s="71" t="str">
        <f t="shared" si="122"/>
        <v>-</v>
      </c>
      <c r="CC221" s="33"/>
      <c r="CD221" s="261" t="str">
        <f t="shared" si="123"/>
        <v/>
      </c>
      <c r="CE221" s="280" t="str">
        <f t="shared" si="167"/>
        <v/>
      </c>
      <c r="CF221" s="71" t="str">
        <f t="shared" ca="1" si="168"/>
        <v/>
      </c>
      <c r="CG221" s="33" t="str">
        <f t="shared" si="126"/>
        <v/>
      </c>
      <c r="CH221" s="261" t="str">
        <f t="shared" ca="1" si="127"/>
        <v/>
      </c>
    </row>
    <row r="222" spans="2:86" ht="13.5" customHeight="1" x14ac:dyDescent="0.2">
      <c r="B222" s="262">
        <v>122</v>
      </c>
      <c r="C222" s="237" t="str">
        <f t="shared" si="91"/>
        <v/>
      </c>
      <c r="D222" s="237" t="str">
        <f t="shared" si="147"/>
        <v/>
      </c>
      <c r="E222" s="263" t="str">
        <f t="shared" si="128"/>
        <v/>
      </c>
      <c r="F222" s="264" t="str">
        <f t="shared" si="129"/>
        <v/>
      </c>
      <c r="G222" s="264" t="str">
        <f t="shared" si="130"/>
        <v/>
      </c>
      <c r="H222" s="240" t="str">
        <f t="shared" si="149"/>
        <v/>
      </c>
      <c r="I222" s="265" t="str">
        <f t="shared" si="150"/>
        <v/>
      </c>
      <c r="J222" s="265" t="str">
        <f t="shared" si="151"/>
        <v/>
      </c>
      <c r="K222" s="240" t="str">
        <f t="shared" si="152"/>
        <v/>
      </c>
      <c r="L222" s="265" t="str">
        <f t="shared" si="153"/>
        <v/>
      </c>
      <c r="M222" s="265" t="str">
        <f t="shared" si="154"/>
        <v/>
      </c>
      <c r="N222" s="240" t="str">
        <f t="shared" si="155"/>
        <v>-</v>
      </c>
      <c r="O222" s="265" t="str">
        <f t="shared" si="156"/>
        <v>-</v>
      </c>
      <c r="P222" s="265" t="str">
        <f t="shared" si="157"/>
        <v>-</v>
      </c>
      <c r="Q222" s="266" t="str">
        <f t="shared" si="158"/>
        <v>-</v>
      </c>
      <c r="R222" s="267" t="str">
        <f t="shared" si="159"/>
        <v>-</v>
      </c>
      <c r="S222" s="268" t="str">
        <f t="shared" si="160"/>
        <v>-</v>
      </c>
      <c r="T222" s="269" t="str">
        <f t="shared" si="104"/>
        <v/>
      </c>
      <c r="U222" s="221">
        <f t="shared" si="105"/>
        <v>122</v>
      </c>
      <c r="V222" s="220" t="str">
        <f t="shared" si="131"/>
        <v>-</v>
      </c>
      <c r="W222" s="221" t="str">
        <f t="shared" si="132"/>
        <v>-</v>
      </c>
      <c r="X222" s="221" t="str">
        <f t="shared" si="106"/>
        <v>-</v>
      </c>
      <c r="Y222" s="221" t="str">
        <f t="shared" si="107"/>
        <v>-</v>
      </c>
      <c r="Z222" s="270">
        <f t="shared" si="133"/>
        <v>0.1</v>
      </c>
      <c r="AA222" s="271" t="str">
        <f>IFERROR(IF(V221=1,AA$100*EXP(-(LN(2)/$D$65+0.04)*X221)*EXP(-(LN(2)/$D$65+0.1)*Y221),IF(V221=2,AA$100*EXP(-(LN(2)/$D$65+0.04)*(VLOOKUP(($F$16-$F$15)-1,U$99:Y221,4,FALSE)))*EXP(-(LN(2)/$D$65+0.1)*(VLOOKUP(($F$16-$F$15)-1,U$99:Y221,5,FALSE)))*EXP(-(LN(2)/$D$65+0.04)*X221)*EXP(-(LN(2)/$D$65+0.1)*Y221),IF(V221=3,AA$100*EXP(-(LN(2)/$D$65+0.04)*(VLOOKUP(($F$16-$F$15)-1,U$99:Y221,4,FALSE)))*EXP(-(LN(2)/$D$65+0.1)*(VLOOKUP(($F$16-$F$15)-1,U$99:Y221,5,FALSE)))*EXP(-(LN(2)/$D$65+0.04)*(VLOOKUP(($F$16-$F$15)*2-1,U$99:Y221,4,FALSE)))*EXP(-(LN(2)/$D$65+0.1)*(VLOOKUP(($F$16-$F$15)*2-1,U$99:Y221,5,FALSE)))*EXP(-(LN(2)/$D$65+0.04)*X221)*EXP(-(LN(2)/$D$65+0.1)*Y221),"-"))),"-")</f>
        <v>-</v>
      </c>
      <c r="AB222" s="271" t="str">
        <f>IFERROR(IF(V222=1,AB$100*EXP(-(LN(2)/$D$65+0.04)*X222)*EXP(-(LN(2)/$D$65+0.1)*Y222),IF(V222=2,AB$100*EXP(-(LN(2)/$D$65+0.04)*(VLOOKUP(($F$16-$F$15)-1,U$100:Y222,4,FALSE)))*EXP(-(LN(2)/$D$65+0.1)*(VLOOKUP(($F$16-$F$15)-1,U$100:Y222,5,FALSE)))*EXP(-(LN(2)/$D$65+0.04)*X222)*EXP(-(LN(2)/$D$65+0.1)*Y222),IF(V222=3,AB$100*EXP(-(LN(2)/$D$65+0.04)*(VLOOKUP(($F$16-$F$15)-1,U$100:Y222,4,FALSE)))*EXP(-(LN(2)/$D$65+0.1)*(VLOOKUP(($F$16-$F$15)-1,U$100:Y222,5,FALSE)))*EXP(-(LN(2)/$D$65+0.04)*(VLOOKUP(($F$16-$F$15)*2-1,U$100:Y222,4,FALSE)))*EXP(-(LN(2)/$D$65+0.1)*(VLOOKUP(($F$16-$F$15)*2-1,U$100:Y222,5,FALSE)))*EXP(-(LN(2)/$D$65+0.04)*X222)*EXP(-(LN(2)/$D$65+0.1)*Y222),"-"))),"-")</f>
        <v>-</v>
      </c>
      <c r="AC222" s="224">
        <f t="shared" si="134"/>
        <v>122</v>
      </c>
      <c r="AD222" s="223" t="str">
        <f t="shared" si="108"/>
        <v>-</v>
      </c>
      <c r="AE222" s="224" t="str">
        <f t="shared" si="135"/>
        <v>-</v>
      </c>
      <c r="AF222" s="224" t="str">
        <f t="shared" si="109"/>
        <v>-</v>
      </c>
      <c r="AG222" s="224" t="str">
        <f t="shared" si="110"/>
        <v>-</v>
      </c>
      <c r="AH222" s="272">
        <f t="shared" si="136"/>
        <v>0.1</v>
      </c>
      <c r="AI222" s="271" t="str">
        <f>IFERROR(IF(AD221=1,AI$100*EXP(-(LN(2)/$D$65+0.04)*AF221)*EXP(-(LN(2)/$D$65+0.1)*AG221),IF(AD221=2,AI$100*EXP(-(LN(2)/$D$65+0.04)*(VLOOKUP(($F$16-$F$15)-1,AC$99:AG221,4,FALSE)))*EXP(-(LN(2)/$D$65+0.1)*(VLOOKUP(($F$16-$F$15)-1,AC$99:AG221,5,FALSE)))*EXP(-(LN(2)/$D$65+0.04)*AF221)*EXP(-(LN(2)/$D$65+0.1)*AG221),IF(AD221=3,AI$100*EXP(-(LN(2)/$D$65+0.04)*(VLOOKUP(($F$16-$F$15)-1,AC$99:AG221,4,FALSE)))*EXP(-(LN(2)/$D$65+0.1)*(VLOOKUP(($F$16-$F$15)-1,AC$99:AG221,5,FALSE)))*EXP(-(LN(2)/$D$65+0.04)*(VLOOKUP(($F$16-$F$15)*2-1,AC$99:AG221,4,FALSE)))*EXP(-(LN(2)/$D$65+0.1)*(VLOOKUP(($F$16-$F$15)*2-1,AC$99:AG221,5,FALSE)))*EXP(-(LN(2)/$D$65+0.04)*AF221)*EXP(-(LN(2)/$D$65+0.1)*AG221),"-"))),"-")</f>
        <v>-</v>
      </c>
      <c r="AJ222" s="271" t="str">
        <f>IFERROR(IF(AD222=1,AJ$100*EXP(-(LN(2)/$D$65+0.04)*AF222)*EXP(-(LN(2)/$D$65+0.1)*AG222),IF(AD222=2,AJ$100*EXP(-(LN(2)/$D$65+0.04)*(VLOOKUP(($F$16-$F$15)-1,AC$100:AG222,4,FALSE)))*EXP(-(LN(2)/$D$65+0.1)*(VLOOKUP(($F$16-$F$15)-1,AC$100:AG222,5,FALSE)))*EXP(-(LN(2)/$D$65+0.04)*AF222)*EXP(-(LN(2)/$D$65+0.1)*AG222),IF(AD222=3,AJ$100*EXP(-(LN(2)/$D$65+0.04)*(VLOOKUP(($F$16-$F$15)-1,AC$100:AG222,4,FALSE)))*EXP(-(LN(2)/$D$65+0.1)*(VLOOKUP(($F$16-$F$15)-1,AC$100:AG222,5,FALSE)))*EXP(-(LN(2)/$D$65+0.04)*(VLOOKUP(($F$16-$F$15)*2-1,AC$100:AG222,4,FALSE)))*EXP(-(LN(2)/$D$65+0.1)*(VLOOKUP(($F$16-$F$15)*2-1,AC$100:AG222,5,FALSE)))*EXP(-(LN(2)/$D$65+0.04)*AF222)*EXP(-(LN(2)/$D$65+0.1)*AG222),"-"))),"-")</f>
        <v>-</v>
      </c>
      <c r="AK222" s="227">
        <f t="shared" si="137"/>
        <v>122</v>
      </c>
      <c r="AL222" s="226" t="str">
        <f t="shared" si="111"/>
        <v>-</v>
      </c>
      <c r="AM222" s="227" t="str">
        <f t="shared" si="138"/>
        <v>-</v>
      </c>
      <c r="AN222" s="227" t="str">
        <f t="shared" si="139"/>
        <v>-</v>
      </c>
      <c r="AO222" s="227" t="str">
        <f t="shared" si="112"/>
        <v>-</v>
      </c>
      <c r="AP222" s="273">
        <f t="shared" si="140"/>
        <v>0.1</v>
      </c>
      <c r="AQ222" s="271" t="str">
        <f>IFERROR(IF(AL221=1,AQ$100*EXP(-(LN(2)/$D$65+0.04)*AN221)*EXP(-(LN(2)/$D$65+0.1)*AO221),IF(AL221=2,AQ$100*EXP(-(LN(2)/$D$65+0.04)*(VLOOKUP(($F$16-$F$15)-1,AK$99:AO221,4,FALSE)))*EXP(-(LN(2)/$D$65+0.1)*(VLOOKUP(($F$16-$F$15)-1,AK$99:AO221,5,FALSE)))*EXP(-(LN(2)/$D$65+0.04)*AN221)*EXP(-(LN(2)/$D$65+0.1)*AO221),IF(AL221=3,AQ$100*EXP(-(LN(2)/$D$65+0.04)*(VLOOKUP(($F$16-$F$15)-1,AK$99:AO221,4,FALSE)))*EXP(-(LN(2)/$D$65+0.1)*(VLOOKUP(($F$16-$F$15)-1,AK$99:AO221,5,FALSE)))*EXP(-(LN(2)/$D$65+0.04)*(VLOOKUP(($F$16-$F$15)*2-1,AK$99:AO221,4,FALSE)))*EXP(-(LN(2)/$D$65+0.1)*(VLOOKUP(($F$16-$F$15)*2-1,AK$99:AO221,5,FALSE)))*EXP(-(LN(2)/$D$65+0.04)*AN221)*EXP(-(LN(2)/$D$65+0.1)*AO221),"-"))),"-")</f>
        <v>-</v>
      </c>
      <c r="AR222" s="271" t="str">
        <f>IFERROR(IF(AL222=1,AR$100*EXP(-(LN(2)/$D$65+0.04)*AN222)*EXP(-(LN(2)/$D$65+0.1)*AO222),IF(AL222=2,AR$100*EXP(-(LN(2)/$D$65+0.04)*(VLOOKUP(($F$16-$F$15)-1,AK$100:AO222,4,FALSE)))*EXP(-(LN(2)/$D$65+0.1)*(VLOOKUP(($F$16-$F$15)-1,AK$100:AO222,5,FALSE)))*EXP(-(LN(2)/$D$65+0.04)*AN222)*EXP(-(LN(2)/$D$65+0.1)*AO222),IF(AL222=3,AR$100*EXP(-(LN(2)/$D$65+0.04)*(VLOOKUP(($F$16-$F$15)-1,AK$100:AO222,4,FALSE)))*EXP(-(LN(2)/$D$65+0.1)*(VLOOKUP(($F$16-$F$15)-1,AK$100:AO222,5,FALSE)))*EXP(-(LN(2)/$D$65+0.04)*(VLOOKUP(($F$16-$F$15)*2-1,AK$100:AO222,4,FALSE)))*EXP(-(LN(2)/$D$65+0.1)*(VLOOKUP(($F$16-$F$15)*2-1,AK$100:AO222,5,FALSE)))*EXP(-(LN(2)/$D$65+0.04)*AN222)*EXP(-(LN(2)/$D$65+0.1)*AO222),"-"))),"-")</f>
        <v>-</v>
      </c>
      <c r="AS222" s="274">
        <f t="shared" si="113"/>
        <v>0</v>
      </c>
      <c r="AT222" s="274">
        <f t="shared" si="114"/>
        <v>0</v>
      </c>
      <c r="AU222" s="274">
        <f t="shared" si="115"/>
        <v>0</v>
      </c>
      <c r="AV222" s="190" t="str">
        <f>IF($B222&lt;$F$22,SUM($T$100:$T222),"")</f>
        <v/>
      </c>
      <c r="AW222" s="190" t="str">
        <f t="shared" si="161"/>
        <v>-</v>
      </c>
      <c r="AX222" s="190" t="str">
        <f t="shared" si="141"/>
        <v/>
      </c>
      <c r="AY222"/>
      <c r="AZ222" s="190" t="str">
        <f ca="1">IF(ISNUMBER(OFFSET(AV222,-$F$21,0)),SUM(OFFSET($T$100,$F$21,0):$T222),"")</f>
        <v/>
      </c>
      <c r="BA222" s="190" t="str">
        <f t="shared" ca="1" si="162"/>
        <v/>
      </c>
      <c r="BB222" s="190" t="str">
        <f t="shared" ca="1" si="148"/>
        <v/>
      </c>
      <c r="BC222" s="190"/>
      <c r="BD222" s="190" t="str">
        <f ca="1">IFERROR(IF(OR(ISNUMBER(I),ISNUMBER($F$14)),IF(AND($B222&gt;=($F$16-$F$15),$B222&lt;$F$22+($F$16-$F$15)),SUM(OFFSET($T$100,($F$16-$F$15),0):$T222),""),""),"")</f>
        <v/>
      </c>
      <c r="BE222" s="190" t="str">
        <f t="shared" ca="1" si="142"/>
        <v/>
      </c>
      <c r="BF222" s="190" t="str">
        <f t="shared" ca="1" si="143"/>
        <v/>
      </c>
      <c r="BG222"/>
      <c r="BH222" s="190" t="str">
        <f ca="1">IF(ISNUMBER(OFFSET(BD222,-$F$21,0)),SUM(OFFSET($T$100,($F$16-$F$15+$F$21),0):$T222),"")</f>
        <v/>
      </c>
      <c r="BI222" s="190" t="str">
        <f t="shared" ca="1" si="163"/>
        <v/>
      </c>
      <c r="BJ222" s="190" t="str">
        <f t="shared" ca="1" si="144"/>
        <v/>
      </c>
      <c r="BK222" s="190"/>
      <c r="BL222" s="190" t="str">
        <f ca="1">IFERROR(IF(OR(ISNUMBER(I),ISNUMBER($F$14)),IF(AND($B222&gt;=($F$17-$F$15),$B222&lt;$F$22+($F$17-$F$15)),SUM(OFFSET($T$100,($F$17-$F$15),0):$T222),""),""),"")</f>
        <v/>
      </c>
      <c r="BM222" s="190" t="str">
        <f t="shared" ca="1" si="164"/>
        <v/>
      </c>
      <c r="BN222" s="190" t="str">
        <f t="shared" ca="1" si="145"/>
        <v/>
      </c>
      <c r="BO222"/>
      <c r="BP222" s="190" t="str">
        <f ca="1">IF(ISNUMBER(OFFSET(BL222,-$F$21,0)),SUM(OFFSET($T$100,($F$17-$F$15+$F$21),0):$T222),"")</f>
        <v/>
      </c>
      <c r="BQ222" s="190" t="str">
        <f t="shared" ca="1" si="165"/>
        <v/>
      </c>
      <c r="BR222" s="190" t="str">
        <f t="shared" ca="1" si="146"/>
        <v/>
      </c>
      <c r="BS222" s="190"/>
      <c r="BT222"/>
      <c r="BU222"/>
      <c r="BV222"/>
      <c r="BY222" s="99"/>
      <c r="BZ222" s="99"/>
      <c r="CA222" s="280" t="str">
        <f t="shared" si="166"/>
        <v/>
      </c>
      <c r="CB222" s="71" t="str">
        <f t="shared" si="122"/>
        <v>-</v>
      </c>
      <c r="CC222" s="33"/>
      <c r="CD222" s="261" t="str">
        <f t="shared" si="123"/>
        <v/>
      </c>
      <c r="CE222" s="280" t="str">
        <f t="shared" si="167"/>
        <v/>
      </c>
      <c r="CF222" s="71" t="str">
        <f t="shared" ca="1" si="168"/>
        <v/>
      </c>
      <c r="CG222" s="33" t="str">
        <f t="shared" si="126"/>
        <v/>
      </c>
      <c r="CH222" s="261" t="str">
        <f t="shared" ca="1" si="127"/>
        <v/>
      </c>
    </row>
    <row r="223" spans="2:86" ht="13.5" customHeight="1" x14ac:dyDescent="0.2">
      <c r="B223" s="262">
        <v>123</v>
      </c>
      <c r="C223" s="237" t="str">
        <f t="shared" si="91"/>
        <v/>
      </c>
      <c r="D223" s="237" t="str">
        <f t="shared" si="147"/>
        <v/>
      </c>
      <c r="E223" s="263" t="str">
        <f t="shared" si="128"/>
        <v/>
      </c>
      <c r="F223" s="264" t="str">
        <f t="shared" si="129"/>
        <v/>
      </c>
      <c r="G223" s="264" t="str">
        <f t="shared" si="130"/>
        <v/>
      </c>
      <c r="H223" s="240" t="str">
        <f t="shared" si="149"/>
        <v/>
      </c>
      <c r="I223" s="265" t="str">
        <f t="shared" si="150"/>
        <v/>
      </c>
      <c r="J223" s="265" t="str">
        <f t="shared" si="151"/>
        <v/>
      </c>
      <c r="K223" s="240" t="str">
        <f t="shared" si="152"/>
        <v/>
      </c>
      <c r="L223" s="265" t="str">
        <f t="shared" si="153"/>
        <v/>
      </c>
      <c r="M223" s="265" t="str">
        <f t="shared" si="154"/>
        <v/>
      </c>
      <c r="N223" s="240" t="str">
        <f t="shared" si="155"/>
        <v>-</v>
      </c>
      <c r="O223" s="265" t="str">
        <f t="shared" si="156"/>
        <v>-</v>
      </c>
      <c r="P223" s="265" t="str">
        <f t="shared" si="157"/>
        <v>-</v>
      </c>
      <c r="Q223" s="266" t="str">
        <f t="shared" si="158"/>
        <v>-</v>
      </c>
      <c r="R223" s="267" t="str">
        <f t="shared" si="159"/>
        <v>-</v>
      </c>
      <c r="S223" s="268" t="str">
        <f t="shared" si="160"/>
        <v>-</v>
      </c>
      <c r="T223" s="269" t="str">
        <f t="shared" si="104"/>
        <v/>
      </c>
      <c r="U223" s="221">
        <f t="shared" si="105"/>
        <v>123</v>
      </c>
      <c r="V223" s="220" t="str">
        <f t="shared" si="131"/>
        <v>-</v>
      </c>
      <c r="W223" s="221" t="str">
        <f t="shared" si="132"/>
        <v>-</v>
      </c>
      <c r="X223" s="221" t="str">
        <f t="shared" si="106"/>
        <v>-</v>
      </c>
      <c r="Y223" s="221" t="str">
        <f t="shared" si="107"/>
        <v>-</v>
      </c>
      <c r="Z223" s="270">
        <f t="shared" si="133"/>
        <v>0.1</v>
      </c>
      <c r="AA223" s="271" t="str">
        <f>IFERROR(IF(V222=1,AA$100*EXP(-(LN(2)/$D$65+0.04)*X222)*EXP(-(LN(2)/$D$65+0.1)*Y222),IF(V222=2,AA$100*EXP(-(LN(2)/$D$65+0.04)*(VLOOKUP(($F$16-$F$15)-1,U$99:Y222,4,FALSE)))*EXP(-(LN(2)/$D$65+0.1)*(VLOOKUP(($F$16-$F$15)-1,U$99:Y222,5,FALSE)))*EXP(-(LN(2)/$D$65+0.04)*X222)*EXP(-(LN(2)/$D$65+0.1)*Y222),IF(V222=3,AA$100*EXP(-(LN(2)/$D$65+0.04)*(VLOOKUP(($F$16-$F$15)-1,U$99:Y222,4,FALSE)))*EXP(-(LN(2)/$D$65+0.1)*(VLOOKUP(($F$16-$F$15)-1,U$99:Y222,5,FALSE)))*EXP(-(LN(2)/$D$65+0.04)*(VLOOKUP(($F$16-$F$15)*2-1,U$99:Y222,4,FALSE)))*EXP(-(LN(2)/$D$65+0.1)*(VLOOKUP(($F$16-$F$15)*2-1,U$99:Y222,5,FALSE)))*EXP(-(LN(2)/$D$65+0.04)*X222)*EXP(-(LN(2)/$D$65+0.1)*Y222),"-"))),"-")</f>
        <v>-</v>
      </c>
      <c r="AB223" s="271" t="str">
        <f>IFERROR(IF(V223=1,AB$100*EXP(-(LN(2)/$D$65+0.04)*X223)*EXP(-(LN(2)/$D$65+0.1)*Y223),IF(V223=2,AB$100*EXP(-(LN(2)/$D$65+0.04)*(VLOOKUP(($F$16-$F$15)-1,U$100:Y223,4,FALSE)))*EXP(-(LN(2)/$D$65+0.1)*(VLOOKUP(($F$16-$F$15)-1,U$100:Y223,5,FALSE)))*EXP(-(LN(2)/$D$65+0.04)*X223)*EXP(-(LN(2)/$D$65+0.1)*Y223),IF(V223=3,AB$100*EXP(-(LN(2)/$D$65+0.04)*(VLOOKUP(($F$16-$F$15)-1,U$100:Y223,4,FALSE)))*EXP(-(LN(2)/$D$65+0.1)*(VLOOKUP(($F$16-$F$15)-1,U$100:Y223,5,FALSE)))*EXP(-(LN(2)/$D$65+0.04)*(VLOOKUP(($F$16-$F$15)*2-1,U$100:Y223,4,FALSE)))*EXP(-(LN(2)/$D$65+0.1)*(VLOOKUP(($F$16-$F$15)*2-1,U$100:Y223,5,FALSE)))*EXP(-(LN(2)/$D$65+0.04)*X223)*EXP(-(LN(2)/$D$65+0.1)*Y223),"-"))),"-")</f>
        <v>-</v>
      </c>
      <c r="AC223" s="224">
        <f t="shared" si="134"/>
        <v>123</v>
      </c>
      <c r="AD223" s="223" t="str">
        <f t="shared" si="108"/>
        <v>-</v>
      </c>
      <c r="AE223" s="224" t="str">
        <f t="shared" si="135"/>
        <v>-</v>
      </c>
      <c r="AF223" s="224" t="str">
        <f t="shared" si="109"/>
        <v>-</v>
      </c>
      <c r="AG223" s="224" t="str">
        <f t="shared" si="110"/>
        <v>-</v>
      </c>
      <c r="AH223" s="272">
        <f t="shared" si="136"/>
        <v>0.1</v>
      </c>
      <c r="AI223" s="271" t="str">
        <f>IFERROR(IF(AD222=1,AI$100*EXP(-(LN(2)/$D$65+0.04)*AF222)*EXP(-(LN(2)/$D$65+0.1)*AG222),IF(AD222=2,AI$100*EXP(-(LN(2)/$D$65+0.04)*(VLOOKUP(($F$16-$F$15)-1,AC$99:AG222,4,FALSE)))*EXP(-(LN(2)/$D$65+0.1)*(VLOOKUP(($F$16-$F$15)-1,AC$99:AG222,5,FALSE)))*EXP(-(LN(2)/$D$65+0.04)*AF222)*EXP(-(LN(2)/$D$65+0.1)*AG222),IF(AD222=3,AI$100*EXP(-(LN(2)/$D$65+0.04)*(VLOOKUP(($F$16-$F$15)-1,AC$99:AG222,4,FALSE)))*EXP(-(LN(2)/$D$65+0.1)*(VLOOKUP(($F$16-$F$15)-1,AC$99:AG222,5,FALSE)))*EXP(-(LN(2)/$D$65+0.04)*(VLOOKUP(($F$16-$F$15)*2-1,AC$99:AG222,4,FALSE)))*EXP(-(LN(2)/$D$65+0.1)*(VLOOKUP(($F$16-$F$15)*2-1,AC$99:AG222,5,FALSE)))*EXP(-(LN(2)/$D$65+0.04)*AF222)*EXP(-(LN(2)/$D$65+0.1)*AG222),"-"))),"-")</f>
        <v>-</v>
      </c>
      <c r="AJ223" s="271" t="str">
        <f>IFERROR(IF(AD223=1,AJ$100*EXP(-(LN(2)/$D$65+0.04)*AF223)*EXP(-(LN(2)/$D$65+0.1)*AG223),IF(AD223=2,AJ$100*EXP(-(LN(2)/$D$65+0.04)*(VLOOKUP(($F$16-$F$15)-1,AC$100:AG223,4,FALSE)))*EXP(-(LN(2)/$D$65+0.1)*(VLOOKUP(($F$16-$F$15)-1,AC$100:AG223,5,FALSE)))*EXP(-(LN(2)/$D$65+0.04)*AF223)*EXP(-(LN(2)/$D$65+0.1)*AG223),IF(AD223=3,AJ$100*EXP(-(LN(2)/$D$65+0.04)*(VLOOKUP(($F$16-$F$15)-1,AC$100:AG223,4,FALSE)))*EXP(-(LN(2)/$D$65+0.1)*(VLOOKUP(($F$16-$F$15)-1,AC$100:AG223,5,FALSE)))*EXP(-(LN(2)/$D$65+0.04)*(VLOOKUP(($F$16-$F$15)*2-1,AC$100:AG223,4,FALSE)))*EXP(-(LN(2)/$D$65+0.1)*(VLOOKUP(($F$16-$F$15)*2-1,AC$100:AG223,5,FALSE)))*EXP(-(LN(2)/$D$65+0.04)*AF223)*EXP(-(LN(2)/$D$65+0.1)*AG223),"-"))),"-")</f>
        <v>-</v>
      </c>
      <c r="AK223" s="227">
        <f t="shared" si="137"/>
        <v>123</v>
      </c>
      <c r="AL223" s="226" t="str">
        <f t="shared" si="111"/>
        <v>-</v>
      </c>
      <c r="AM223" s="227" t="str">
        <f t="shared" si="138"/>
        <v>-</v>
      </c>
      <c r="AN223" s="227" t="str">
        <f t="shared" si="139"/>
        <v>-</v>
      </c>
      <c r="AO223" s="227" t="str">
        <f t="shared" si="112"/>
        <v>-</v>
      </c>
      <c r="AP223" s="273">
        <f t="shared" si="140"/>
        <v>0.1</v>
      </c>
      <c r="AQ223" s="271" t="str">
        <f>IFERROR(IF(AL222=1,AQ$100*EXP(-(LN(2)/$D$65+0.04)*AN222)*EXP(-(LN(2)/$D$65+0.1)*AO222),IF(AL222=2,AQ$100*EXP(-(LN(2)/$D$65+0.04)*(VLOOKUP(($F$16-$F$15)-1,AK$99:AO222,4,FALSE)))*EXP(-(LN(2)/$D$65+0.1)*(VLOOKUP(($F$16-$F$15)-1,AK$99:AO222,5,FALSE)))*EXP(-(LN(2)/$D$65+0.04)*AN222)*EXP(-(LN(2)/$D$65+0.1)*AO222),IF(AL222=3,AQ$100*EXP(-(LN(2)/$D$65+0.04)*(VLOOKUP(($F$16-$F$15)-1,AK$99:AO222,4,FALSE)))*EXP(-(LN(2)/$D$65+0.1)*(VLOOKUP(($F$16-$F$15)-1,AK$99:AO222,5,FALSE)))*EXP(-(LN(2)/$D$65+0.04)*(VLOOKUP(($F$16-$F$15)*2-1,AK$99:AO222,4,FALSE)))*EXP(-(LN(2)/$D$65+0.1)*(VLOOKUP(($F$16-$F$15)*2-1,AK$99:AO222,5,FALSE)))*EXP(-(LN(2)/$D$65+0.04)*AN222)*EXP(-(LN(2)/$D$65+0.1)*AO222),"-"))),"-")</f>
        <v>-</v>
      </c>
      <c r="AR223" s="271" t="str">
        <f>IFERROR(IF(AL223=1,AR$100*EXP(-(LN(2)/$D$65+0.04)*AN223)*EXP(-(LN(2)/$D$65+0.1)*AO223),IF(AL223=2,AR$100*EXP(-(LN(2)/$D$65+0.04)*(VLOOKUP(($F$16-$F$15)-1,AK$100:AO223,4,FALSE)))*EXP(-(LN(2)/$D$65+0.1)*(VLOOKUP(($F$16-$F$15)-1,AK$100:AO223,5,FALSE)))*EXP(-(LN(2)/$D$65+0.04)*AN223)*EXP(-(LN(2)/$D$65+0.1)*AO223),IF(AL223=3,AR$100*EXP(-(LN(2)/$D$65+0.04)*(VLOOKUP(($F$16-$F$15)-1,AK$100:AO223,4,FALSE)))*EXP(-(LN(2)/$D$65+0.1)*(VLOOKUP(($F$16-$F$15)-1,AK$100:AO223,5,FALSE)))*EXP(-(LN(2)/$D$65+0.04)*(VLOOKUP(($F$16-$F$15)*2-1,AK$100:AO223,4,FALSE)))*EXP(-(LN(2)/$D$65+0.1)*(VLOOKUP(($F$16-$F$15)*2-1,AK$100:AO223,5,FALSE)))*EXP(-(LN(2)/$D$65+0.04)*AN223)*EXP(-(LN(2)/$D$65+0.1)*AO223),"-"))),"-")</f>
        <v>-</v>
      </c>
      <c r="AS223" s="274">
        <f t="shared" si="113"/>
        <v>0</v>
      </c>
      <c r="AT223" s="274">
        <f t="shared" si="114"/>
        <v>0</v>
      </c>
      <c r="AU223" s="274">
        <f t="shared" si="115"/>
        <v>0</v>
      </c>
      <c r="AV223" s="190" t="str">
        <f>IF($B223&lt;$F$22,SUM($T$100:$T223),"")</f>
        <v/>
      </c>
      <c r="AW223" s="190" t="str">
        <f t="shared" si="161"/>
        <v>-</v>
      </c>
      <c r="AX223" s="190" t="str">
        <f t="shared" si="141"/>
        <v/>
      </c>
      <c r="AY223"/>
      <c r="AZ223" s="190" t="str">
        <f ca="1">IF(ISNUMBER(OFFSET(AV223,-$F$21,0)),SUM(OFFSET($T$100,$F$21,0):$T223),"")</f>
        <v/>
      </c>
      <c r="BA223" s="190" t="str">
        <f t="shared" ca="1" si="162"/>
        <v/>
      </c>
      <c r="BB223" s="190" t="str">
        <f t="shared" ca="1" si="148"/>
        <v/>
      </c>
      <c r="BC223" s="190"/>
      <c r="BD223" s="190" t="str">
        <f ca="1">IFERROR(IF(OR(ISNUMBER(I),ISNUMBER($F$14)),IF(AND($B223&gt;=($F$16-$F$15),$B223&lt;$F$22+($F$16-$F$15)),SUM(OFFSET($T$100,($F$16-$F$15),0):$T223),""),""),"")</f>
        <v/>
      </c>
      <c r="BE223" s="190" t="str">
        <f t="shared" ca="1" si="142"/>
        <v/>
      </c>
      <c r="BF223" s="190" t="str">
        <f t="shared" ca="1" si="143"/>
        <v/>
      </c>
      <c r="BG223"/>
      <c r="BH223" s="190" t="str">
        <f ca="1">IF(ISNUMBER(OFFSET(BD223,-$F$21,0)),SUM(OFFSET($T$100,($F$16-$F$15+$F$21),0):$T223),"")</f>
        <v/>
      </c>
      <c r="BI223" s="190" t="str">
        <f t="shared" ca="1" si="163"/>
        <v/>
      </c>
      <c r="BJ223" s="190" t="str">
        <f t="shared" ca="1" si="144"/>
        <v/>
      </c>
      <c r="BK223" s="190"/>
      <c r="BL223" s="190" t="str">
        <f ca="1">IFERROR(IF(OR(ISNUMBER(I),ISNUMBER($F$14)),IF(AND($B223&gt;=($F$17-$F$15),$B223&lt;$F$22+($F$17-$F$15)),SUM(OFFSET($T$100,($F$17-$F$15),0):$T223),""),""),"")</f>
        <v/>
      </c>
      <c r="BM223" s="190" t="str">
        <f t="shared" ca="1" si="164"/>
        <v/>
      </c>
      <c r="BN223" s="190" t="str">
        <f t="shared" ca="1" si="145"/>
        <v/>
      </c>
      <c r="BO223"/>
      <c r="BP223" s="190" t="str">
        <f ca="1">IF(ISNUMBER(OFFSET(BL223,-$F$21,0)),SUM(OFFSET($T$100,($F$17-$F$15+$F$21),0):$T223),"")</f>
        <v/>
      </c>
      <c r="BQ223" s="190" t="str">
        <f t="shared" ca="1" si="165"/>
        <v/>
      </c>
      <c r="BR223" s="190" t="str">
        <f t="shared" ca="1" si="146"/>
        <v/>
      </c>
      <c r="BS223" s="190"/>
      <c r="BT223"/>
      <c r="BU223"/>
      <c r="BV223"/>
      <c r="BY223" s="99"/>
      <c r="BZ223" s="99"/>
      <c r="CA223" s="280" t="str">
        <f t="shared" si="166"/>
        <v/>
      </c>
      <c r="CB223" s="71" t="str">
        <f t="shared" si="122"/>
        <v>-</v>
      </c>
      <c r="CC223" s="33"/>
      <c r="CD223" s="261" t="str">
        <f t="shared" si="123"/>
        <v/>
      </c>
      <c r="CE223" s="280" t="str">
        <f t="shared" si="167"/>
        <v/>
      </c>
      <c r="CF223" s="71" t="str">
        <f t="shared" ca="1" si="168"/>
        <v/>
      </c>
      <c r="CG223" s="33" t="str">
        <f t="shared" si="126"/>
        <v/>
      </c>
      <c r="CH223" s="261" t="str">
        <f t="shared" ca="1" si="127"/>
        <v/>
      </c>
    </row>
    <row r="224" spans="2:86" ht="13.5" customHeight="1" x14ac:dyDescent="0.2">
      <c r="B224" s="262">
        <v>124</v>
      </c>
      <c r="C224" s="237" t="str">
        <f t="shared" si="91"/>
        <v/>
      </c>
      <c r="D224" s="237" t="str">
        <f t="shared" si="147"/>
        <v/>
      </c>
      <c r="E224" s="263" t="str">
        <f t="shared" si="128"/>
        <v/>
      </c>
      <c r="F224" s="264" t="str">
        <f t="shared" si="129"/>
        <v/>
      </c>
      <c r="G224" s="264" t="str">
        <f t="shared" si="130"/>
        <v/>
      </c>
      <c r="H224" s="240" t="str">
        <f t="shared" si="149"/>
        <v/>
      </c>
      <c r="I224" s="265" t="str">
        <f t="shared" si="150"/>
        <v/>
      </c>
      <c r="J224" s="265" t="str">
        <f t="shared" si="151"/>
        <v/>
      </c>
      <c r="K224" s="240" t="str">
        <f t="shared" si="152"/>
        <v/>
      </c>
      <c r="L224" s="265" t="str">
        <f t="shared" si="153"/>
        <v/>
      </c>
      <c r="M224" s="265" t="str">
        <f t="shared" si="154"/>
        <v/>
      </c>
      <c r="N224" s="240" t="str">
        <f t="shared" si="155"/>
        <v>-</v>
      </c>
      <c r="O224" s="265" t="str">
        <f t="shared" si="156"/>
        <v>-</v>
      </c>
      <c r="P224" s="265" t="str">
        <f t="shared" si="157"/>
        <v>-</v>
      </c>
      <c r="Q224" s="266" t="str">
        <f t="shared" si="158"/>
        <v>-</v>
      </c>
      <c r="R224" s="267" t="str">
        <f t="shared" si="159"/>
        <v>-</v>
      </c>
      <c r="S224" s="268" t="str">
        <f t="shared" si="160"/>
        <v>-</v>
      </c>
      <c r="T224" s="269" t="str">
        <f t="shared" si="104"/>
        <v/>
      </c>
      <c r="U224" s="221">
        <f t="shared" si="105"/>
        <v>124</v>
      </c>
      <c r="V224" s="220" t="str">
        <f t="shared" si="131"/>
        <v>-</v>
      </c>
      <c r="W224" s="221" t="str">
        <f t="shared" si="132"/>
        <v>-</v>
      </c>
      <c r="X224" s="221" t="str">
        <f t="shared" si="106"/>
        <v>-</v>
      </c>
      <c r="Y224" s="221" t="str">
        <f t="shared" si="107"/>
        <v>-</v>
      </c>
      <c r="Z224" s="270">
        <f t="shared" si="133"/>
        <v>0.1</v>
      </c>
      <c r="AA224" s="271" t="str">
        <f>IFERROR(IF(V223=1,AA$100*EXP(-(LN(2)/$D$65+0.04)*X223)*EXP(-(LN(2)/$D$65+0.1)*Y223),IF(V223=2,AA$100*EXP(-(LN(2)/$D$65+0.04)*(VLOOKUP(($F$16-$F$15)-1,U$99:Y223,4,FALSE)))*EXP(-(LN(2)/$D$65+0.1)*(VLOOKUP(($F$16-$F$15)-1,U$99:Y223,5,FALSE)))*EXP(-(LN(2)/$D$65+0.04)*X223)*EXP(-(LN(2)/$D$65+0.1)*Y223),IF(V223=3,AA$100*EXP(-(LN(2)/$D$65+0.04)*(VLOOKUP(($F$16-$F$15)-1,U$99:Y223,4,FALSE)))*EXP(-(LN(2)/$D$65+0.1)*(VLOOKUP(($F$16-$F$15)-1,U$99:Y223,5,FALSE)))*EXP(-(LN(2)/$D$65+0.04)*(VLOOKUP(($F$16-$F$15)*2-1,U$99:Y223,4,FALSE)))*EXP(-(LN(2)/$D$65+0.1)*(VLOOKUP(($F$16-$F$15)*2-1,U$99:Y223,5,FALSE)))*EXP(-(LN(2)/$D$65+0.04)*X223)*EXP(-(LN(2)/$D$65+0.1)*Y223),"-"))),"-")</f>
        <v>-</v>
      </c>
      <c r="AB224" s="271" t="str">
        <f>IFERROR(IF(V224=1,AB$100*EXP(-(LN(2)/$D$65+0.04)*X224)*EXP(-(LN(2)/$D$65+0.1)*Y224),IF(V224=2,AB$100*EXP(-(LN(2)/$D$65+0.04)*(VLOOKUP(($F$16-$F$15)-1,U$100:Y224,4,FALSE)))*EXP(-(LN(2)/$D$65+0.1)*(VLOOKUP(($F$16-$F$15)-1,U$100:Y224,5,FALSE)))*EXP(-(LN(2)/$D$65+0.04)*X224)*EXP(-(LN(2)/$D$65+0.1)*Y224),IF(V224=3,AB$100*EXP(-(LN(2)/$D$65+0.04)*(VLOOKUP(($F$16-$F$15)-1,U$100:Y224,4,FALSE)))*EXP(-(LN(2)/$D$65+0.1)*(VLOOKUP(($F$16-$F$15)-1,U$100:Y224,5,FALSE)))*EXP(-(LN(2)/$D$65+0.04)*(VLOOKUP(($F$16-$F$15)*2-1,U$100:Y224,4,FALSE)))*EXP(-(LN(2)/$D$65+0.1)*(VLOOKUP(($F$16-$F$15)*2-1,U$100:Y224,5,FALSE)))*EXP(-(LN(2)/$D$65+0.04)*X224)*EXP(-(LN(2)/$D$65+0.1)*Y224),"-"))),"-")</f>
        <v>-</v>
      </c>
      <c r="AC224" s="224">
        <f t="shared" si="134"/>
        <v>124</v>
      </c>
      <c r="AD224" s="223" t="str">
        <f t="shared" si="108"/>
        <v>-</v>
      </c>
      <c r="AE224" s="224" t="str">
        <f t="shared" si="135"/>
        <v>-</v>
      </c>
      <c r="AF224" s="224" t="str">
        <f t="shared" si="109"/>
        <v>-</v>
      </c>
      <c r="AG224" s="224" t="str">
        <f t="shared" si="110"/>
        <v>-</v>
      </c>
      <c r="AH224" s="272">
        <f t="shared" si="136"/>
        <v>0.1</v>
      </c>
      <c r="AI224" s="271" t="str">
        <f>IFERROR(IF(AD223=1,AI$100*EXP(-(LN(2)/$D$65+0.04)*AF223)*EXP(-(LN(2)/$D$65+0.1)*AG223),IF(AD223=2,AI$100*EXP(-(LN(2)/$D$65+0.04)*(VLOOKUP(($F$16-$F$15)-1,AC$99:AG223,4,FALSE)))*EXP(-(LN(2)/$D$65+0.1)*(VLOOKUP(($F$16-$F$15)-1,AC$99:AG223,5,FALSE)))*EXP(-(LN(2)/$D$65+0.04)*AF223)*EXP(-(LN(2)/$D$65+0.1)*AG223),IF(AD223=3,AI$100*EXP(-(LN(2)/$D$65+0.04)*(VLOOKUP(($F$16-$F$15)-1,AC$99:AG223,4,FALSE)))*EXP(-(LN(2)/$D$65+0.1)*(VLOOKUP(($F$16-$F$15)-1,AC$99:AG223,5,FALSE)))*EXP(-(LN(2)/$D$65+0.04)*(VLOOKUP(($F$16-$F$15)*2-1,AC$99:AG223,4,FALSE)))*EXP(-(LN(2)/$D$65+0.1)*(VLOOKUP(($F$16-$F$15)*2-1,AC$99:AG223,5,FALSE)))*EXP(-(LN(2)/$D$65+0.04)*AF223)*EXP(-(LN(2)/$D$65+0.1)*AG223),"-"))),"-")</f>
        <v>-</v>
      </c>
      <c r="AJ224" s="271" t="str">
        <f>IFERROR(IF(AD224=1,AJ$100*EXP(-(LN(2)/$D$65+0.04)*AF224)*EXP(-(LN(2)/$D$65+0.1)*AG224),IF(AD224=2,AJ$100*EXP(-(LN(2)/$D$65+0.04)*(VLOOKUP(($F$16-$F$15)-1,AC$100:AG224,4,FALSE)))*EXP(-(LN(2)/$D$65+0.1)*(VLOOKUP(($F$16-$F$15)-1,AC$100:AG224,5,FALSE)))*EXP(-(LN(2)/$D$65+0.04)*AF224)*EXP(-(LN(2)/$D$65+0.1)*AG224),IF(AD224=3,AJ$100*EXP(-(LN(2)/$D$65+0.04)*(VLOOKUP(($F$16-$F$15)-1,AC$100:AG224,4,FALSE)))*EXP(-(LN(2)/$D$65+0.1)*(VLOOKUP(($F$16-$F$15)-1,AC$100:AG224,5,FALSE)))*EXP(-(LN(2)/$D$65+0.04)*(VLOOKUP(($F$16-$F$15)*2-1,AC$100:AG224,4,FALSE)))*EXP(-(LN(2)/$D$65+0.1)*(VLOOKUP(($F$16-$F$15)*2-1,AC$100:AG224,5,FALSE)))*EXP(-(LN(2)/$D$65+0.04)*AF224)*EXP(-(LN(2)/$D$65+0.1)*AG224),"-"))),"-")</f>
        <v>-</v>
      </c>
      <c r="AK224" s="227">
        <f t="shared" si="137"/>
        <v>124</v>
      </c>
      <c r="AL224" s="226" t="str">
        <f t="shared" si="111"/>
        <v>-</v>
      </c>
      <c r="AM224" s="227" t="str">
        <f t="shared" si="138"/>
        <v>-</v>
      </c>
      <c r="AN224" s="227" t="str">
        <f t="shared" si="139"/>
        <v>-</v>
      </c>
      <c r="AO224" s="227" t="str">
        <f t="shared" si="112"/>
        <v>-</v>
      </c>
      <c r="AP224" s="273">
        <f t="shared" si="140"/>
        <v>0.1</v>
      </c>
      <c r="AQ224" s="271" t="str">
        <f>IFERROR(IF(AL223=1,AQ$100*EXP(-(LN(2)/$D$65+0.04)*AN223)*EXP(-(LN(2)/$D$65+0.1)*AO223),IF(AL223=2,AQ$100*EXP(-(LN(2)/$D$65+0.04)*(VLOOKUP(($F$16-$F$15)-1,AK$99:AO223,4,FALSE)))*EXP(-(LN(2)/$D$65+0.1)*(VLOOKUP(($F$16-$F$15)-1,AK$99:AO223,5,FALSE)))*EXP(-(LN(2)/$D$65+0.04)*AN223)*EXP(-(LN(2)/$D$65+0.1)*AO223),IF(AL223=3,AQ$100*EXP(-(LN(2)/$D$65+0.04)*(VLOOKUP(($F$16-$F$15)-1,AK$99:AO223,4,FALSE)))*EXP(-(LN(2)/$D$65+0.1)*(VLOOKUP(($F$16-$F$15)-1,AK$99:AO223,5,FALSE)))*EXP(-(LN(2)/$D$65+0.04)*(VLOOKUP(($F$16-$F$15)*2-1,AK$99:AO223,4,FALSE)))*EXP(-(LN(2)/$D$65+0.1)*(VLOOKUP(($F$16-$F$15)*2-1,AK$99:AO223,5,FALSE)))*EXP(-(LN(2)/$D$65+0.04)*AN223)*EXP(-(LN(2)/$D$65+0.1)*AO223),"-"))),"-")</f>
        <v>-</v>
      </c>
      <c r="AR224" s="271" t="str">
        <f>IFERROR(IF(AL224=1,AR$100*EXP(-(LN(2)/$D$65+0.04)*AN224)*EXP(-(LN(2)/$D$65+0.1)*AO224),IF(AL224=2,AR$100*EXP(-(LN(2)/$D$65+0.04)*(VLOOKUP(($F$16-$F$15)-1,AK$100:AO224,4,FALSE)))*EXP(-(LN(2)/$D$65+0.1)*(VLOOKUP(($F$16-$F$15)-1,AK$100:AO224,5,FALSE)))*EXP(-(LN(2)/$D$65+0.04)*AN224)*EXP(-(LN(2)/$D$65+0.1)*AO224),IF(AL224=3,AR$100*EXP(-(LN(2)/$D$65+0.04)*(VLOOKUP(($F$16-$F$15)-1,AK$100:AO224,4,FALSE)))*EXP(-(LN(2)/$D$65+0.1)*(VLOOKUP(($F$16-$F$15)-1,AK$100:AO224,5,FALSE)))*EXP(-(LN(2)/$D$65+0.04)*(VLOOKUP(($F$16-$F$15)*2-1,AK$100:AO224,4,FALSE)))*EXP(-(LN(2)/$D$65+0.1)*(VLOOKUP(($F$16-$F$15)*2-1,AK$100:AO224,5,FALSE)))*EXP(-(LN(2)/$D$65+0.04)*AN224)*EXP(-(LN(2)/$D$65+0.1)*AO224),"-"))),"-")</f>
        <v>-</v>
      </c>
      <c r="AS224" s="274">
        <f t="shared" si="113"/>
        <v>0</v>
      </c>
      <c r="AT224" s="274">
        <f t="shared" si="114"/>
        <v>0</v>
      </c>
      <c r="AU224" s="274">
        <f t="shared" si="115"/>
        <v>0</v>
      </c>
      <c r="AV224" s="190" t="str">
        <f>IF($B224&lt;$F$22,SUM($T$100:$T224),"")</f>
        <v/>
      </c>
      <c r="AW224" s="190" t="str">
        <f t="shared" si="161"/>
        <v>-</v>
      </c>
      <c r="AX224" s="190" t="str">
        <f t="shared" si="141"/>
        <v/>
      </c>
      <c r="AY224"/>
      <c r="AZ224" s="190" t="str">
        <f ca="1">IF(ISNUMBER(OFFSET(AV224,-$F$21,0)),SUM(OFFSET($T$100,$F$21,0):$T224),"")</f>
        <v/>
      </c>
      <c r="BA224" s="190" t="str">
        <f t="shared" ca="1" si="162"/>
        <v/>
      </c>
      <c r="BB224" s="190" t="str">
        <f t="shared" ca="1" si="148"/>
        <v/>
      </c>
      <c r="BC224" s="190"/>
      <c r="BD224" s="190" t="str">
        <f ca="1">IFERROR(IF(OR(ISNUMBER(I),ISNUMBER($F$14)),IF(AND($B224&gt;=($F$16-$F$15),$B224&lt;$F$22+($F$16-$F$15)),SUM(OFFSET($T$100,($F$16-$F$15),0):$T224),""),""),"")</f>
        <v/>
      </c>
      <c r="BE224" s="190" t="str">
        <f t="shared" ca="1" si="142"/>
        <v/>
      </c>
      <c r="BF224" s="190" t="str">
        <f t="shared" ca="1" si="143"/>
        <v/>
      </c>
      <c r="BG224"/>
      <c r="BH224" s="190" t="str">
        <f ca="1">IF(ISNUMBER(OFFSET(BD224,-$F$21,0)),SUM(OFFSET($T$100,($F$16-$F$15+$F$21),0):$T224),"")</f>
        <v/>
      </c>
      <c r="BI224" s="190" t="str">
        <f t="shared" ca="1" si="163"/>
        <v/>
      </c>
      <c r="BJ224" s="190" t="str">
        <f t="shared" ca="1" si="144"/>
        <v/>
      </c>
      <c r="BK224" s="190"/>
      <c r="BL224" s="190" t="str">
        <f ca="1">IFERROR(IF(OR(ISNUMBER(I),ISNUMBER($F$14)),IF(AND($B224&gt;=($F$17-$F$15),$B224&lt;$F$22+($F$17-$F$15)),SUM(OFFSET($T$100,($F$17-$F$15),0):$T224),""),""),"")</f>
        <v/>
      </c>
      <c r="BM224" s="190" t="str">
        <f t="shared" ca="1" si="164"/>
        <v/>
      </c>
      <c r="BN224" s="190" t="str">
        <f t="shared" ca="1" si="145"/>
        <v/>
      </c>
      <c r="BO224"/>
      <c r="BP224" s="190" t="str">
        <f ca="1">IF(ISNUMBER(OFFSET(BL224,-$F$21,0)),SUM(OFFSET($T$100,($F$17-$F$15+$F$21),0):$T224),"")</f>
        <v/>
      </c>
      <c r="BQ224" s="190" t="str">
        <f t="shared" ca="1" si="165"/>
        <v/>
      </c>
      <c r="BR224" s="190" t="str">
        <f t="shared" ca="1" si="146"/>
        <v/>
      </c>
      <c r="BS224" s="190"/>
      <c r="BT224"/>
      <c r="BU224"/>
      <c r="BV224"/>
      <c r="BY224" s="99"/>
      <c r="BZ224" s="99"/>
      <c r="CA224" s="280" t="str">
        <f t="shared" si="166"/>
        <v/>
      </c>
      <c r="CB224" s="71" t="str">
        <f t="shared" si="122"/>
        <v>-</v>
      </c>
      <c r="CC224" s="33"/>
      <c r="CD224" s="261" t="str">
        <f t="shared" si="123"/>
        <v/>
      </c>
      <c r="CE224" s="280" t="str">
        <f t="shared" si="167"/>
        <v/>
      </c>
      <c r="CF224" s="71" t="str">
        <f t="shared" ca="1" si="168"/>
        <v/>
      </c>
      <c r="CG224" s="33" t="str">
        <f t="shared" si="126"/>
        <v/>
      </c>
      <c r="CH224" s="261" t="str">
        <f t="shared" ca="1" si="127"/>
        <v/>
      </c>
    </row>
    <row r="225" spans="2:86" ht="13.5" customHeight="1" x14ac:dyDescent="0.2">
      <c r="B225" s="262">
        <v>125</v>
      </c>
      <c r="C225" s="237" t="str">
        <f t="shared" si="91"/>
        <v/>
      </c>
      <c r="D225" s="237" t="str">
        <f t="shared" si="147"/>
        <v/>
      </c>
      <c r="E225" s="263" t="str">
        <f t="shared" si="128"/>
        <v/>
      </c>
      <c r="F225" s="264" t="str">
        <f t="shared" si="129"/>
        <v/>
      </c>
      <c r="G225" s="264" t="str">
        <f t="shared" si="130"/>
        <v/>
      </c>
      <c r="H225" s="240" t="str">
        <f t="shared" si="149"/>
        <v/>
      </c>
      <c r="I225" s="265" t="str">
        <f t="shared" si="150"/>
        <v/>
      </c>
      <c r="J225" s="265" t="str">
        <f t="shared" si="151"/>
        <v/>
      </c>
      <c r="K225" s="240" t="str">
        <f t="shared" si="152"/>
        <v/>
      </c>
      <c r="L225" s="265" t="str">
        <f t="shared" si="153"/>
        <v/>
      </c>
      <c r="M225" s="265" t="str">
        <f t="shared" si="154"/>
        <v/>
      </c>
      <c r="N225" s="240" t="str">
        <f t="shared" si="155"/>
        <v>-</v>
      </c>
      <c r="O225" s="265" t="str">
        <f t="shared" si="156"/>
        <v>-</v>
      </c>
      <c r="P225" s="265" t="str">
        <f t="shared" si="157"/>
        <v>-</v>
      </c>
      <c r="Q225" s="266" t="str">
        <f t="shared" si="158"/>
        <v>-</v>
      </c>
      <c r="R225" s="267" t="str">
        <f t="shared" si="159"/>
        <v>-</v>
      </c>
      <c r="S225" s="268" t="str">
        <f t="shared" si="160"/>
        <v>-</v>
      </c>
      <c r="T225" s="269" t="str">
        <f t="shared" si="104"/>
        <v/>
      </c>
      <c r="U225" s="221">
        <f t="shared" si="105"/>
        <v>125</v>
      </c>
      <c r="V225" s="220" t="str">
        <f t="shared" si="131"/>
        <v>-</v>
      </c>
      <c r="W225" s="221" t="str">
        <f t="shared" si="132"/>
        <v>-</v>
      </c>
      <c r="X225" s="221" t="str">
        <f t="shared" si="106"/>
        <v>-</v>
      </c>
      <c r="Y225" s="221" t="str">
        <f t="shared" si="107"/>
        <v>-</v>
      </c>
      <c r="Z225" s="270">
        <f t="shared" si="133"/>
        <v>0.1</v>
      </c>
      <c r="AA225" s="271" t="str">
        <f>IFERROR(IF(V224=1,AA$100*EXP(-(LN(2)/$D$65+0.04)*X224)*EXP(-(LN(2)/$D$65+0.1)*Y224),IF(V224=2,AA$100*EXP(-(LN(2)/$D$65+0.04)*(VLOOKUP(($F$16-$F$15)-1,U$99:Y224,4,FALSE)))*EXP(-(LN(2)/$D$65+0.1)*(VLOOKUP(($F$16-$F$15)-1,U$99:Y224,5,FALSE)))*EXP(-(LN(2)/$D$65+0.04)*X224)*EXP(-(LN(2)/$D$65+0.1)*Y224),IF(V224=3,AA$100*EXP(-(LN(2)/$D$65+0.04)*(VLOOKUP(($F$16-$F$15)-1,U$99:Y224,4,FALSE)))*EXP(-(LN(2)/$D$65+0.1)*(VLOOKUP(($F$16-$F$15)-1,U$99:Y224,5,FALSE)))*EXP(-(LN(2)/$D$65+0.04)*(VLOOKUP(($F$16-$F$15)*2-1,U$99:Y224,4,FALSE)))*EXP(-(LN(2)/$D$65+0.1)*(VLOOKUP(($F$16-$F$15)*2-1,U$99:Y224,5,FALSE)))*EXP(-(LN(2)/$D$65+0.04)*X224)*EXP(-(LN(2)/$D$65+0.1)*Y224),"-"))),"-")</f>
        <v>-</v>
      </c>
      <c r="AB225" s="271" t="str">
        <f>IFERROR(IF(V225=1,AB$100*EXP(-(LN(2)/$D$65+0.04)*X225)*EXP(-(LN(2)/$D$65+0.1)*Y225),IF(V225=2,AB$100*EXP(-(LN(2)/$D$65+0.04)*(VLOOKUP(($F$16-$F$15)-1,U$100:Y225,4,FALSE)))*EXP(-(LN(2)/$D$65+0.1)*(VLOOKUP(($F$16-$F$15)-1,U$100:Y225,5,FALSE)))*EXP(-(LN(2)/$D$65+0.04)*X225)*EXP(-(LN(2)/$D$65+0.1)*Y225),IF(V225=3,AB$100*EXP(-(LN(2)/$D$65+0.04)*(VLOOKUP(($F$16-$F$15)-1,U$100:Y225,4,FALSE)))*EXP(-(LN(2)/$D$65+0.1)*(VLOOKUP(($F$16-$F$15)-1,U$100:Y225,5,FALSE)))*EXP(-(LN(2)/$D$65+0.04)*(VLOOKUP(($F$16-$F$15)*2-1,U$100:Y225,4,FALSE)))*EXP(-(LN(2)/$D$65+0.1)*(VLOOKUP(($F$16-$F$15)*2-1,U$100:Y225,5,FALSE)))*EXP(-(LN(2)/$D$65+0.04)*X225)*EXP(-(LN(2)/$D$65+0.1)*Y225),"-"))),"-")</f>
        <v>-</v>
      </c>
      <c r="AC225" s="224">
        <f t="shared" si="134"/>
        <v>125</v>
      </c>
      <c r="AD225" s="223" t="str">
        <f t="shared" si="108"/>
        <v>-</v>
      </c>
      <c r="AE225" s="224" t="str">
        <f t="shared" si="135"/>
        <v>-</v>
      </c>
      <c r="AF225" s="224" t="str">
        <f t="shared" si="109"/>
        <v>-</v>
      </c>
      <c r="AG225" s="224" t="str">
        <f t="shared" si="110"/>
        <v>-</v>
      </c>
      <c r="AH225" s="272">
        <f t="shared" si="136"/>
        <v>0.1</v>
      </c>
      <c r="AI225" s="271" t="str">
        <f>IFERROR(IF(AD224=1,AI$100*EXP(-(LN(2)/$D$65+0.04)*AF224)*EXP(-(LN(2)/$D$65+0.1)*AG224),IF(AD224=2,AI$100*EXP(-(LN(2)/$D$65+0.04)*(VLOOKUP(($F$16-$F$15)-1,AC$99:AG224,4,FALSE)))*EXP(-(LN(2)/$D$65+0.1)*(VLOOKUP(($F$16-$F$15)-1,AC$99:AG224,5,FALSE)))*EXP(-(LN(2)/$D$65+0.04)*AF224)*EXP(-(LN(2)/$D$65+0.1)*AG224),IF(AD224=3,AI$100*EXP(-(LN(2)/$D$65+0.04)*(VLOOKUP(($F$16-$F$15)-1,AC$99:AG224,4,FALSE)))*EXP(-(LN(2)/$D$65+0.1)*(VLOOKUP(($F$16-$F$15)-1,AC$99:AG224,5,FALSE)))*EXP(-(LN(2)/$D$65+0.04)*(VLOOKUP(($F$16-$F$15)*2-1,AC$99:AG224,4,FALSE)))*EXP(-(LN(2)/$D$65+0.1)*(VLOOKUP(($F$16-$F$15)*2-1,AC$99:AG224,5,FALSE)))*EXP(-(LN(2)/$D$65+0.04)*AF224)*EXP(-(LN(2)/$D$65+0.1)*AG224),"-"))),"-")</f>
        <v>-</v>
      </c>
      <c r="AJ225" s="271" t="str">
        <f>IFERROR(IF(AD225=1,AJ$100*EXP(-(LN(2)/$D$65+0.04)*AF225)*EXP(-(LN(2)/$D$65+0.1)*AG225),IF(AD225=2,AJ$100*EXP(-(LN(2)/$D$65+0.04)*(VLOOKUP(($F$16-$F$15)-1,AC$100:AG225,4,FALSE)))*EXP(-(LN(2)/$D$65+0.1)*(VLOOKUP(($F$16-$F$15)-1,AC$100:AG225,5,FALSE)))*EXP(-(LN(2)/$D$65+0.04)*AF225)*EXP(-(LN(2)/$D$65+0.1)*AG225),IF(AD225=3,AJ$100*EXP(-(LN(2)/$D$65+0.04)*(VLOOKUP(($F$16-$F$15)-1,AC$100:AG225,4,FALSE)))*EXP(-(LN(2)/$D$65+0.1)*(VLOOKUP(($F$16-$F$15)-1,AC$100:AG225,5,FALSE)))*EXP(-(LN(2)/$D$65+0.04)*(VLOOKUP(($F$16-$F$15)*2-1,AC$100:AG225,4,FALSE)))*EXP(-(LN(2)/$D$65+0.1)*(VLOOKUP(($F$16-$F$15)*2-1,AC$100:AG225,5,FALSE)))*EXP(-(LN(2)/$D$65+0.04)*AF225)*EXP(-(LN(2)/$D$65+0.1)*AG225),"-"))),"-")</f>
        <v>-</v>
      </c>
      <c r="AK225" s="227">
        <f t="shared" si="137"/>
        <v>125</v>
      </c>
      <c r="AL225" s="226" t="str">
        <f t="shared" si="111"/>
        <v>-</v>
      </c>
      <c r="AM225" s="227" t="str">
        <f t="shared" si="138"/>
        <v>-</v>
      </c>
      <c r="AN225" s="227" t="str">
        <f t="shared" si="139"/>
        <v>-</v>
      </c>
      <c r="AO225" s="227" t="str">
        <f t="shared" si="112"/>
        <v>-</v>
      </c>
      <c r="AP225" s="273">
        <f t="shared" si="140"/>
        <v>0.1</v>
      </c>
      <c r="AQ225" s="271" t="str">
        <f>IFERROR(IF(AL224=1,AQ$100*EXP(-(LN(2)/$D$65+0.04)*AN224)*EXP(-(LN(2)/$D$65+0.1)*AO224),IF(AL224=2,AQ$100*EXP(-(LN(2)/$D$65+0.04)*(VLOOKUP(($F$16-$F$15)-1,AK$99:AO224,4,FALSE)))*EXP(-(LN(2)/$D$65+0.1)*(VLOOKUP(($F$16-$F$15)-1,AK$99:AO224,5,FALSE)))*EXP(-(LN(2)/$D$65+0.04)*AN224)*EXP(-(LN(2)/$D$65+0.1)*AO224),IF(AL224=3,AQ$100*EXP(-(LN(2)/$D$65+0.04)*(VLOOKUP(($F$16-$F$15)-1,AK$99:AO224,4,FALSE)))*EXP(-(LN(2)/$D$65+0.1)*(VLOOKUP(($F$16-$F$15)-1,AK$99:AO224,5,FALSE)))*EXP(-(LN(2)/$D$65+0.04)*(VLOOKUP(($F$16-$F$15)*2-1,AK$99:AO224,4,FALSE)))*EXP(-(LN(2)/$D$65+0.1)*(VLOOKUP(($F$16-$F$15)*2-1,AK$99:AO224,5,FALSE)))*EXP(-(LN(2)/$D$65+0.04)*AN224)*EXP(-(LN(2)/$D$65+0.1)*AO224),"-"))),"-")</f>
        <v>-</v>
      </c>
      <c r="AR225" s="271" t="str">
        <f>IFERROR(IF(AL225=1,AR$100*EXP(-(LN(2)/$D$65+0.04)*AN225)*EXP(-(LN(2)/$D$65+0.1)*AO225),IF(AL225=2,AR$100*EXP(-(LN(2)/$D$65+0.04)*(VLOOKUP(($F$16-$F$15)-1,AK$100:AO225,4,FALSE)))*EXP(-(LN(2)/$D$65+0.1)*(VLOOKUP(($F$16-$F$15)-1,AK$100:AO225,5,FALSE)))*EXP(-(LN(2)/$D$65+0.04)*AN225)*EXP(-(LN(2)/$D$65+0.1)*AO225),IF(AL225=3,AR$100*EXP(-(LN(2)/$D$65+0.04)*(VLOOKUP(($F$16-$F$15)-1,AK$100:AO225,4,FALSE)))*EXP(-(LN(2)/$D$65+0.1)*(VLOOKUP(($F$16-$F$15)-1,AK$100:AO225,5,FALSE)))*EXP(-(LN(2)/$D$65+0.04)*(VLOOKUP(($F$16-$F$15)*2-1,AK$100:AO225,4,FALSE)))*EXP(-(LN(2)/$D$65+0.1)*(VLOOKUP(($F$16-$F$15)*2-1,AK$100:AO225,5,FALSE)))*EXP(-(LN(2)/$D$65+0.04)*AN225)*EXP(-(LN(2)/$D$65+0.1)*AO225),"-"))),"-")</f>
        <v>-</v>
      </c>
      <c r="AS225" s="274">
        <f t="shared" si="113"/>
        <v>0</v>
      </c>
      <c r="AT225" s="274">
        <f t="shared" si="114"/>
        <v>0</v>
      </c>
      <c r="AU225" s="274">
        <f t="shared" si="115"/>
        <v>0</v>
      </c>
      <c r="AV225" s="190" t="str">
        <f>IF($B225&lt;$F$22,SUM($T$100:$T225),"")</f>
        <v/>
      </c>
      <c r="AW225" s="190" t="str">
        <f t="shared" si="161"/>
        <v>-</v>
      </c>
      <c r="AX225" s="190" t="str">
        <f t="shared" si="141"/>
        <v/>
      </c>
      <c r="AY225"/>
      <c r="AZ225" s="190" t="str">
        <f ca="1">IF(ISNUMBER(OFFSET(AV225,-$F$21,0)),SUM(OFFSET($T$100,$F$21,0):$T225),"")</f>
        <v/>
      </c>
      <c r="BA225" s="190" t="str">
        <f t="shared" ca="1" si="162"/>
        <v/>
      </c>
      <c r="BB225" s="190" t="str">
        <f t="shared" ca="1" si="148"/>
        <v/>
      </c>
      <c r="BC225" s="190"/>
      <c r="BD225" s="190" t="str">
        <f ca="1">IFERROR(IF(OR(ISNUMBER(I),ISNUMBER($F$14)),IF(AND($B225&gt;=($F$16-$F$15),$B225&lt;$F$22+($F$16-$F$15)),SUM(OFFSET($T$100,($F$16-$F$15),0):$T225),""),""),"")</f>
        <v/>
      </c>
      <c r="BE225" s="190" t="str">
        <f t="shared" ca="1" si="142"/>
        <v/>
      </c>
      <c r="BF225" s="190" t="str">
        <f t="shared" ca="1" si="143"/>
        <v/>
      </c>
      <c r="BG225"/>
      <c r="BH225" s="190" t="str">
        <f ca="1">IF(ISNUMBER(OFFSET(BD225,-$F$21,0)),SUM(OFFSET($T$100,($F$16-$F$15+$F$21),0):$T225),"")</f>
        <v/>
      </c>
      <c r="BI225" s="190" t="str">
        <f t="shared" ca="1" si="163"/>
        <v/>
      </c>
      <c r="BJ225" s="190" t="str">
        <f t="shared" ca="1" si="144"/>
        <v/>
      </c>
      <c r="BK225" s="190"/>
      <c r="BL225" s="190" t="str">
        <f ca="1">IFERROR(IF(OR(ISNUMBER(I),ISNUMBER($F$14)),IF(AND($B225&gt;=($F$17-$F$15),$B225&lt;$F$22+($F$17-$F$15)),SUM(OFFSET($T$100,($F$17-$F$15),0):$T225),""),""),"")</f>
        <v/>
      </c>
      <c r="BM225" s="190" t="str">
        <f t="shared" ca="1" si="164"/>
        <v/>
      </c>
      <c r="BN225" s="190" t="str">
        <f t="shared" ca="1" si="145"/>
        <v/>
      </c>
      <c r="BO225"/>
      <c r="BP225" s="190" t="str">
        <f ca="1">IF(ISNUMBER(OFFSET(BL225,-$F$21,0)),SUM(OFFSET($T$100,($F$17-$F$15+$F$21),0):$T225),"")</f>
        <v/>
      </c>
      <c r="BQ225" s="190" t="str">
        <f t="shared" ca="1" si="165"/>
        <v/>
      </c>
      <c r="BR225" s="190" t="str">
        <f t="shared" ca="1" si="146"/>
        <v/>
      </c>
      <c r="BS225" s="190"/>
      <c r="BT225"/>
      <c r="BU225"/>
      <c r="BV225"/>
      <c r="BY225" s="99"/>
      <c r="BZ225" s="99"/>
      <c r="CA225" s="280" t="str">
        <f t="shared" si="166"/>
        <v/>
      </c>
      <c r="CB225" s="71" t="str">
        <f t="shared" si="122"/>
        <v>-</v>
      </c>
      <c r="CC225" s="33"/>
      <c r="CD225" s="261" t="str">
        <f t="shared" si="123"/>
        <v/>
      </c>
      <c r="CE225" s="280" t="str">
        <f t="shared" si="167"/>
        <v/>
      </c>
      <c r="CF225" s="71" t="str">
        <f t="shared" ca="1" si="168"/>
        <v/>
      </c>
      <c r="CG225" s="33" t="str">
        <f t="shared" si="126"/>
        <v/>
      </c>
      <c r="CH225" s="261" t="str">
        <f t="shared" ca="1" si="127"/>
        <v/>
      </c>
    </row>
    <row r="226" spans="2:86" ht="13.5" customHeight="1" x14ac:dyDescent="0.2">
      <c r="B226" s="262">
        <v>126</v>
      </c>
      <c r="C226" s="237" t="str">
        <f t="shared" si="91"/>
        <v/>
      </c>
      <c r="D226" s="237" t="str">
        <f t="shared" si="147"/>
        <v/>
      </c>
      <c r="E226" s="263" t="str">
        <f t="shared" si="128"/>
        <v/>
      </c>
      <c r="F226" s="264" t="str">
        <f t="shared" si="129"/>
        <v/>
      </c>
      <c r="G226" s="264" t="str">
        <f t="shared" si="130"/>
        <v/>
      </c>
      <c r="H226" s="240" t="str">
        <f t="shared" si="149"/>
        <v/>
      </c>
      <c r="I226" s="265" t="str">
        <f t="shared" si="150"/>
        <v/>
      </c>
      <c r="J226" s="265" t="str">
        <f t="shared" si="151"/>
        <v/>
      </c>
      <c r="K226" s="240" t="str">
        <f t="shared" si="152"/>
        <v/>
      </c>
      <c r="L226" s="265" t="str">
        <f t="shared" si="153"/>
        <v/>
      </c>
      <c r="M226" s="265" t="str">
        <f t="shared" si="154"/>
        <v/>
      </c>
      <c r="N226" s="240" t="str">
        <f t="shared" si="155"/>
        <v>-</v>
      </c>
      <c r="O226" s="265" t="str">
        <f t="shared" si="156"/>
        <v>-</v>
      </c>
      <c r="P226" s="265" t="str">
        <f t="shared" si="157"/>
        <v>-</v>
      </c>
      <c r="Q226" s="266" t="str">
        <f t="shared" si="158"/>
        <v>-</v>
      </c>
      <c r="R226" s="267" t="str">
        <f t="shared" si="159"/>
        <v>-</v>
      </c>
      <c r="S226" s="268" t="str">
        <f t="shared" si="160"/>
        <v>-</v>
      </c>
      <c r="T226" s="269" t="str">
        <f t="shared" si="104"/>
        <v/>
      </c>
      <c r="U226" s="221">
        <f t="shared" si="105"/>
        <v>126</v>
      </c>
      <c r="V226" s="220" t="str">
        <f t="shared" si="131"/>
        <v>-</v>
      </c>
      <c r="W226" s="221" t="str">
        <f t="shared" si="132"/>
        <v>-</v>
      </c>
      <c r="X226" s="221" t="str">
        <f t="shared" si="106"/>
        <v>-</v>
      </c>
      <c r="Y226" s="221" t="str">
        <f t="shared" si="107"/>
        <v>-</v>
      </c>
      <c r="Z226" s="270">
        <f t="shared" si="133"/>
        <v>0.1</v>
      </c>
      <c r="AA226" s="271" t="str">
        <f>IFERROR(IF(V225=1,AA$100*EXP(-(LN(2)/$D$65+0.04)*X225)*EXP(-(LN(2)/$D$65+0.1)*Y225),IF(V225=2,AA$100*EXP(-(LN(2)/$D$65+0.04)*(VLOOKUP(($F$16-$F$15)-1,U$99:Y225,4,FALSE)))*EXP(-(LN(2)/$D$65+0.1)*(VLOOKUP(($F$16-$F$15)-1,U$99:Y225,5,FALSE)))*EXP(-(LN(2)/$D$65+0.04)*X225)*EXP(-(LN(2)/$D$65+0.1)*Y225),IF(V225=3,AA$100*EXP(-(LN(2)/$D$65+0.04)*(VLOOKUP(($F$16-$F$15)-1,U$99:Y225,4,FALSE)))*EXP(-(LN(2)/$D$65+0.1)*(VLOOKUP(($F$16-$F$15)-1,U$99:Y225,5,FALSE)))*EXP(-(LN(2)/$D$65+0.04)*(VLOOKUP(($F$16-$F$15)*2-1,U$99:Y225,4,FALSE)))*EXP(-(LN(2)/$D$65+0.1)*(VLOOKUP(($F$16-$F$15)*2-1,U$99:Y225,5,FALSE)))*EXP(-(LN(2)/$D$65+0.04)*X225)*EXP(-(LN(2)/$D$65+0.1)*Y225),"-"))),"-")</f>
        <v>-</v>
      </c>
      <c r="AB226" s="271" t="str">
        <f>IFERROR(IF(V226=1,AB$100*EXP(-(LN(2)/$D$65+0.04)*X226)*EXP(-(LN(2)/$D$65+0.1)*Y226),IF(V226=2,AB$100*EXP(-(LN(2)/$D$65+0.04)*(VLOOKUP(($F$16-$F$15)-1,U$100:Y226,4,FALSE)))*EXP(-(LN(2)/$D$65+0.1)*(VLOOKUP(($F$16-$F$15)-1,U$100:Y226,5,FALSE)))*EXP(-(LN(2)/$D$65+0.04)*X226)*EXP(-(LN(2)/$D$65+0.1)*Y226),IF(V226=3,AB$100*EXP(-(LN(2)/$D$65+0.04)*(VLOOKUP(($F$16-$F$15)-1,U$100:Y226,4,FALSE)))*EXP(-(LN(2)/$D$65+0.1)*(VLOOKUP(($F$16-$F$15)-1,U$100:Y226,5,FALSE)))*EXP(-(LN(2)/$D$65+0.04)*(VLOOKUP(($F$16-$F$15)*2-1,U$100:Y226,4,FALSE)))*EXP(-(LN(2)/$D$65+0.1)*(VLOOKUP(($F$16-$F$15)*2-1,U$100:Y226,5,FALSE)))*EXP(-(LN(2)/$D$65+0.04)*X226)*EXP(-(LN(2)/$D$65+0.1)*Y226),"-"))),"-")</f>
        <v>-</v>
      </c>
      <c r="AC226" s="224">
        <f t="shared" si="134"/>
        <v>126</v>
      </c>
      <c r="AD226" s="223" t="str">
        <f t="shared" si="108"/>
        <v>-</v>
      </c>
      <c r="AE226" s="224" t="str">
        <f t="shared" si="135"/>
        <v>-</v>
      </c>
      <c r="AF226" s="224" t="str">
        <f t="shared" si="109"/>
        <v>-</v>
      </c>
      <c r="AG226" s="224" t="str">
        <f t="shared" si="110"/>
        <v>-</v>
      </c>
      <c r="AH226" s="272">
        <f t="shared" si="136"/>
        <v>0.1</v>
      </c>
      <c r="AI226" s="271" t="str">
        <f>IFERROR(IF(AD225=1,AI$100*EXP(-(LN(2)/$D$65+0.04)*AF225)*EXP(-(LN(2)/$D$65+0.1)*AG225),IF(AD225=2,AI$100*EXP(-(LN(2)/$D$65+0.04)*(VLOOKUP(($F$16-$F$15)-1,AC$99:AG225,4,FALSE)))*EXP(-(LN(2)/$D$65+0.1)*(VLOOKUP(($F$16-$F$15)-1,AC$99:AG225,5,FALSE)))*EXP(-(LN(2)/$D$65+0.04)*AF225)*EXP(-(LN(2)/$D$65+0.1)*AG225),IF(AD225=3,AI$100*EXP(-(LN(2)/$D$65+0.04)*(VLOOKUP(($F$16-$F$15)-1,AC$99:AG225,4,FALSE)))*EXP(-(LN(2)/$D$65+0.1)*(VLOOKUP(($F$16-$F$15)-1,AC$99:AG225,5,FALSE)))*EXP(-(LN(2)/$D$65+0.04)*(VLOOKUP(($F$16-$F$15)*2-1,AC$99:AG225,4,FALSE)))*EXP(-(LN(2)/$D$65+0.1)*(VLOOKUP(($F$16-$F$15)*2-1,AC$99:AG225,5,FALSE)))*EXP(-(LN(2)/$D$65+0.04)*AF225)*EXP(-(LN(2)/$D$65+0.1)*AG225),"-"))),"-")</f>
        <v>-</v>
      </c>
      <c r="AJ226" s="271" t="str">
        <f>IFERROR(IF(AD226=1,AJ$100*EXP(-(LN(2)/$D$65+0.04)*AF226)*EXP(-(LN(2)/$D$65+0.1)*AG226),IF(AD226=2,AJ$100*EXP(-(LN(2)/$D$65+0.04)*(VLOOKUP(($F$16-$F$15)-1,AC$100:AG226,4,FALSE)))*EXP(-(LN(2)/$D$65+0.1)*(VLOOKUP(($F$16-$F$15)-1,AC$100:AG226,5,FALSE)))*EXP(-(LN(2)/$D$65+0.04)*AF226)*EXP(-(LN(2)/$D$65+0.1)*AG226),IF(AD226=3,AJ$100*EXP(-(LN(2)/$D$65+0.04)*(VLOOKUP(($F$16-$F$15)-1,AC$100:AG226,4,FALSE)))*EXP(-(LN(2)/$D$65+0.1)*(VLOOKUP(($F$16-$F$15)-1,AC$100:AG226,5,FALSE)))*EXP(-(LN(2)/$D$65+0.04)*(VLOOKUP(($F$16-$F$15)*2-1,AC$100:AG226,4,FALSE)))*EXP(-(LN(2)/$D$65+0.1)*(VLOOKUP(($F$16-$F$15)*2-1,AC$100:AG226,5,FALSE)))*EXP(-(LN(2)/$D$65+0.04)*AF226)*EXP(-(LN(2)/$D$65+0.1)*AG226),"-"))),"-")</f>
        <v>-</v>
      </c>
      <c r="AK226" s="227">
        <f t="shared" si="137"/>
        <v>126</v>
      </c>
      <c r="AL226" s="226" t="str">
        <f t="shared" si="111"/>
        <v>-</v>
      </c>
      <c r="AM226" s="227" t="str">
        <f t="shared" si="138"/>
        <v>-</v>
      </c>
      <c r="AN226" s="227" t="str">
        <f t="shared" si="139"/>
        <v>-</v>
      </c>
      <c r="AO226" s="227" t="str">
        <f t="shared" si="112"/>
        <v>-</v>
      </c>
      <c r="AP226" s="273">
        <f t="shared" si="140"/>
        <v>0.1</v>
      </c>
      <c r="AQ226" s="271" t="str">
        <f>IFERROR(IF(AL225=1,AQ$100*EXP(-(LN(2)/$D$65+0.04)*AN225)*EXP(-(LN(2)/$D$65+0.1)*AO225),IF(AL225=2,AQ$100*EXP(-(LN(2)/$D$65+0.04)*(VLOOKUP(($F$16-$F$15)-1,AK$99:AO225,4,FALSE)))*EXP(-(LN(2)/$D$65+0.1)*(VLOOKUP(($F$16-$F$15)-1,AK$99:AO225,5,FALSE)))*EXP(-(LN(2)/$D$65+0.04)*AN225)*EXP(-(LN(2)/$D$65+0.1)*AO225),IF(AL225=3,AQ$100*EXP(-(LN(2)/$D$65+0.04)*(VLOOKUP(($F$16-$F$15)-1,AK$99:AO225,4,FALSE)))*EXP(-(LN(2)/$D$65+0.1)*(VLOOKUP(($F$16-$F$15)-1,AK$99:AO225,5,FALSE)))*EXP(-(LN(2)/$D$65+0.04)*(VLOOKUP(($F$16-$F$15)*2-1,AK$99:AO225,4,FALSE)))*EXP(-(LN(2)/$D$65+0.1)*(VLOOKUP(($F$16-$F$15)*2-1,AK$99:AO225,5,FALSE)))*EXP(-(LN(2)/$D$65+0.04)*AN225)*EXP(-(LN(2)/$D$65+0.1)*AO225),"-"))),"-")</f>
        <v>-</v>
      </c>
      <c r="AR226" s="271" t="str">
        <f>IFERROR(IF(AL226=1,AR$100*EXP(-(LN(2)/$D$65+0.04)*AN226)*EXP(-(LN(2)/$D$65+0.1)*AO226),IF(AL226=2,AR$100*EXP(-(LN(2)/$D$65+0.04)*(VLOOKUP(($F$16-$F$15)-1,AK$100:AO226,4,FALSE)))*EXP(-(LN(2)/$D$65+0.1)*(VLOOKUP(($F$16-$F$15)-1,AK$100:AO226,5,FALSE)))*EXP(-(LN(2)/$D$65+0.04)*AN226)*EXP(-(LN(2)/$D$65+0.1)*AO226),IF(AL226=3,AR$100*EXP(-(LN(2)/$D$65+0.04)*(VLOOKUP(($F$16-$F$15)-1,AK$100:AO226,4,FALSE)))*EXP(-(LN(2)/$D$65+0.1)*(VLOOKUP(($F$16-$F$15)-1,AK$100:AO226,5,FALSE)))*EXP(-(LN(2)/$D$65+0.04)*(VLOOKUP(($F$16-$F$15)*2-1,AK$100:AO226,4,FALSE)))*EXP(-(LN(2)/$D$65+0.1)*(VLOOKUP(($F$16-$F$15)*2-1,AK$100:AO226,5,FALSE)))*EXP(-(LN(2)/$D$65+0.04)*AN226)*EXP(-(LN(2)/$D$65+0.1)*AO226),"-"))),"-")</f>
        <v>-</v>
      </c>
      <c r="AS226" s="274">
        <f t="shared" si="113"/>
        <v>0</v>
      </c>
      <c r="AT226" s="274">
        <f t="shared" si="114"/>
        <v>0</v>
      </c>
      <c r="AU226" s="274">
        <f t="shared" si="115"/>
        <v>0</v>
      </c>
      <c r="AV226" s="190" t="str">
        <f>IF($B226&lt;$F$22,SUM($T$100:$T226),"")</f>
        <v/>
      </c>
      <c r="AW226" s="190" t="str">
        <f t="shared" si="161"/>
        <v>-</v>
      </c>
      <c r="AX226" s="190" t="str">
        <f t="shared" si="141"/>
        <v/>
      </c>
      <c r="AY226"/>
      <c r="AZ226" s="190" t="str">
        <f ca="1">IF(ISNUMBER(OFFSET(AV226,-$F$21,0)),SUM(OFFSET($T$100,$F$21,0):$T226),"")</f>
        <v/>
      </c>
      <c r="BA226" s="190" t="str">
        <f t="shared" ca="1" si="162"/>
        <v/>
      </c>
      <c r="BB226" s="190" t="str">
        <f t="shared" ca="1" si="148"/>
        <v/>
      </c>
      <c r="BC226" s="190"/>
      <c r="BD226" s="190" t="str">
        <f ca="1">IFERROR(IF(OR(ISNUMBER(I),ISNUMBER($F$14)),IF(AND($B226&gt;=($F$16-$F$15),$B226&lt;$F$22+($F$16-$F$15)),SUM(OFFSET($T$100,($F$16-$F$15),0):$T226),""),""),"")</f>
        <v/>
      </c>
      <c r="BE226" s="190" t="str">
        <f t="shared" ca="1" si="142"/>
        <v/>
      </c>
      <c r="BF226" s="190" t="str">
        <f t="shared" ca="1" si="143"/>
        <v/>
      </c>
      <c r="BG226"/>
      <c r="BH226" s="190" t="str">
        <f ca="1">IF(ISNUMBER(OFFSET(BD226,-$F$21,0)),SUM(OFFSET($T$100,($F$16-$F$15+$F$21),0):$T226),"")</f>
        <v/>
      </c>
      <c r="BI226" s="190" t="str">
        <f t="shared" ca="1" si="163"/>
        <v/>
      </c>
      <c r="BJ226" s="190" t="str">
        <f t="shared" ca="1" si="144"/>
        <v/>
      </c>
      <c r="BK226" s="190"/>
      <c r="BL226" s="190" t="str">
        <f ca="1">IFERROR(IF(OR(ISNUMBER(I),ISNUMBER($F$14)),IF(AND($B226&gt;=($F$17-$F$15),$B226&lt;$F$22+($F$17-$F$15)),SUM(OFFSET($T$100,($F$17-$F$15),0):$T226),""),""),"")</f>
        <v/>
      </c>
      <c r="BM226" s="190" t="str">
        <f t="shared" ca="1" si="164"/>
        <v/>
      </c>
      <c r="BN226" s="190" t="str">
        <f t="shared" ca="1" si="145"/>
        <v/>
      </c>
      <c r="BO226"/>
      <c r="BP226" s="190" t="str">
        <f ca="1">IF(ISNUMBER(OFFSET(BL226,-$F$21,0)),SUM(OFFSET($T$100,($F$17-$F$15+$F$21),0):$T226),"")</f>
        <v/>
      </c>
      <c r="BQ226" s="190" t="str">
        <f t="shared" ca="1" si="165"/>
        <v/>
      </c>
      <c r="BR226" s="190" t="str">
        <f t="shared" ca="1" si="146"/>
        <v/>
      </c>
      <c r="BS226" s="190"/>
      <c r="BT226"/>
      <c r="BU226"/>
      <c r="BV226"/>
      <c r="BY226" s="99"/>
      <c r="BZ226" s="99"/>
      <c r="CA226" s="280" t="str">
        <f t="shared" si="166"/>
        <v/>
      </c>
      <c r="CB226" s="71" t="str">
        <f t="shared" si="122"/>
        <v>-</v>
      </c>
      <c r="CC226" s="33"/>
      <c r="CD226" s="261" t="str">
        <f t="shared" si="123"/>
        <v/>
      </c>
      <c r="CE226" s="280" t="str">
        <f t="shared" si="167"/>
        <v/>
      </c>
      <c r="CF226" s="71" t="str">
        <f t="shared" ca="1" si="168"/>
        <v/>
      </c>
      <c r="CG226" s="33" t="str">
        <f t="shared" si="126"/>
        <v/>
      </c>
      <c r="CH226" s="261" t="str">
        <f t="shared" ca="1" si="127"/>
        <v/>
      </c>
    </row>
    <row r="227" spans="2:86" ht="13.5" customHeight="1" x14ac:dyDescent="0.2">
      <c r="B227" s="262">
        <v>127</v>
      </c>
      <c r="C227" s="237" t="str">
        <f t="shared" si="91"/>
        <v/>
      </c>
      <c r="D227" s="237" t="str">
        <f t="shared" si="147"/>
        <v/>
      </c>
      <c r="E227" s="263" t="str">
        <f t="shared" si="128"/>
        <v/>
      </c>
      <c r="F227" s="264" t="str">
        <f t="shared" si="129"/>
        <v/>
      </c>
      <c r="G227" s="264" t="str">
        <f t="shared" si="130"/>
        <v/>
      </c>
      <c r="H227" s="240" t="str">
        <f t="shared" si="149"/>
        <v/>
      </c>
      <c r="I227" s="265" t="str">
        <f t="shared" si="150"/>
        <v/>
      </c>
      <c r="J227" s="265" t="str">
        <f t="shared" si="151"/>
        <v/>
      </c>
      <c r="K227" s="240" t="str">
        <f t="shared" si="152"/>
        <v/>
      </c>
      <c r="L227" s="265" t="str">
        <f t="shared" si="153"/>
        <v/>
      </c>
      <c r="M227" s="265" t="str">
        <f t="shared" si="154"/>
        <v/>
      </c>
      <c r="N227" s="240" t="str">
        <f t="shared" si="155"/>
        <v>-</v>
      </c>
      <c r="O227" s="265" t="str">
        <f t="shared" si="156"/>
        <v>-</v>
      </c>
      <c r="P227" s="265" t="str">
        <f t="shared" si="157"/>
        <v>-</v>
      </c>
      <c r="Q227" s="266" t="str">
        <f t="shared" si="158"/>
        <v>-</v>
      </c>
      <c r="R227" s="267" t="str">
        <f t="shared" si="159"/>
        <v>-</v>
      </c>
      <c r="S227" s="268" t="str">
        <f t="shared" si="160"/>
        <v>-</v>
      </c>
      <c r="T227" s="269" t="str">
        <f t="shared" si="104"/>
        <v/>
      </c>
      <c r="U227" s="221">
        <f t="shared" si="105"/>
        <v>127</v>
      </c>
      <c r="V227" s="220" t="str">
        <f t="shared" si="131"/>
        <v>-</v>
      </c>
      <c r="W227" s="221" t="str">
        <f t="shared" si="132"/>
        <v>-</v>
      </c>
      <c r="X227" s="221" t="str">
        <f t="shared" si="106"/>
        <v>-</v>
      </c>
      <c r="Y227" s="221" t="str">
        <f t="shared" si="107"/>
        <v>-</v>
      </c>
      <c r="Z227" s="270">
        <f t="shared" si="133"/>
        <v>0.1</v>
      </c>
      <c r="AA227" s="271" t="str">
        <f>IFERROR(IF(V226=1,AA$100*EXP(-(LN(2)/$D$65+0.04)*X226)*EXP(-(LN(2)/$D$65+0.1)*Y226),IF(V226=2,AA$100*EXP(-(LN(2)/$D$65+0.04)*(VLOOKUP(($F$16-$F$15)-1,U$99:Y226,4,FALSE)))*EXP(-(LN(2)/$D$65+0.1)*(VLOOKUP(($F$16-$F$15)-1,U$99:Y226,5,FALSE)))*EXP(-(LN(2)/$D$65+0.04)*X226)*EXP(-(LN(2)/$D$65+0.1)*Y226),IF(V226=3,AA$100*EXP(-(LN(2)/$D$65+0.04)*(VLOOKUP(($F$16-$F$15)-1,U$99:Y226,4,FALSE)))*EXP(-(LN(2)/$D$65+0.1)*(VLOOKUP(($F$16-$F$15)-1,U$99:Y226,5,FALSE)))*EXP(-(LN(2)/$D$65+0.04)*(VLOOKUP(($F$16-$F$15)*2-1,U$99:Y226,4,FALSE)))*EXP(-(LN(2)/$D$65+0.1)*(VLOOKUP(($F$16-$F$15)*2-1,U$99:Y226,5,FALSE)))*EXP(-(LN(2)/$D$65+0.04)*X226)*EXP(-(LN(2)/$D$65+0.1)*Y226),"-"))),"-")</f>
        <v>-</v>
      </c>
      <c r="AB227" s="271" t="str">
        <f>IFERROR(IF(V227=1,AB$100*EXP(-(LN(2)/$D$65+0.04)*X227)*EXP(-(LN(2)/$D$65+0.1)*Y227),IF(V227=2,AB$100*EXP(-(LN(2)/$D$65+0.04)*(VLOOKUP(($F$16-$F$15)-1,U$100:Y227,4,FALSE)))*EXP(-(LN(2)/$D$65+0.1)*(VLOOKUP(($F$16-$F$15)-1,U$100:Y227,5,FALSE)))*EXP(-(LN(2)/$D$65+0.04)*X227)*EXP(-(LN(2)/$D$65+0.1)*Y227),IF(V227=3,AB$100*EXP(-(LN(2)/$D$65+0.04)*(VLOOKUP(($F$16-$F$15)-1,U$100:Y227,4,FALSE)))*EXP(-(LN(2)/$D$65+0.1)*(VLOOKUP(($F$16-$F$15)-1,U$100:Y227,5,FALSE)))*EXP(-(LN(2)/$D$65+0.04)*(VLOOKUP(($F$16-$F$15)*2-1,U$100:Y227,4,FALSE)))*EXP(-(LN(2)/$D$65+0.1)*(VLOOKUP(($F$16-$F$15)*2-1,U$100:Y227,5,FALSE)))*EXP(-(LN(2)/$D$65+0.04)*X227)*EXP(-(LN(2)/$D$65+0.1)*Y227),"-"))),"-")</f>
        <v>-</v>
      </c>
      <c r="AC227" s="224">
        <f t="shared" si="134"/>
        <v>127</v>
      </c>
      <c r="AD227" s="223" t="str">
        <f t="shared" si="108"/>
        <v>-</v>
      </c>
      <c r="AE227" s="224" t="str">
        <f t="shared" si="135"/>
        <v>-</v>
      </c>
      <c r="AF227" s="224" t="str">
        <f t="shared" si="109"/>
        <v>-</v>
      </c>
      <c r="AG227" s="224" t="str">
        <f t="shared" si="110"/>
        <v>-</v>
      </c>
      <c r="AH227" s="272">
        <f t="shared" si="136"/>
        <v>0.1</v>
      </c>
      <c r="AI227" s="271" t="str">
        <f>IFERROR(IF(AD226=1,AI$100*EXP(-(LN(2)/$D$65+0.04)*AF226)*EXP(-(LN(2)/$D$65+0.1)*AG226),IF(AD226=2,AI$100*EXP(-(LN(2)/$D$65+0.04)*(VLOOKUP(($F$16-$F$15)-1,AC$99:AG226,4,FALSE)))*EXP(-(LN(2)/$D$65+0.1)*(VLOOKUP(($F$16-$F$15)-1,AC$99:AG226,5,FALSE)))*EXP(-(LN(2)/$D$65+0.04)*AF226)*EXP(-(LN(2)/$D$65+0.1)*AG226),IF(AD226=3,AI$100*EXP(-(LN(2)/$D$65+0.04)*(VLOOKUP(($F$16-$F$15)-1,AC$99:AG226,4,FALSE)))*EXP(-(LN(2)/$D$65+0.1)*(VLOOKUP(($F$16-$F$15)-1,AC$99:AG226,5,FALSE)))*EXP(-(LN(2)/$D$65+0.04)*(VLOOKUP(($F$16-$F$15)*2-1,AC$99:AG226,4,FALSE)))*EXP(-(LN(2)/$D$65+0.1)*(VLOOKUP(($F$16-$F$15)*2-1,AC$99:AG226,5,FALSE)))*EXP(-(LN(2)/$D$65+0.04)*AF226)*EXP(-(LN(2)/$D$65+0.1)*AG226),"-"))),"-")</f>
        <v>-</v>
      </c>
      <c r="AJ227" s="271" t="str">
        <f>IFERROR(IF(AD227=1,AJ$100*EXP(-(LN(2)/$D$65+0.04)*AF227)*EXP(-(LN(2)/$D$65+0.1)*AG227),IF(AD227=2,AJ$100*EXP(-(LN(2)/$D$65+0.04)*(VLOOKUP(($F$16-$F$15)-1,AC$100:AG227,4,FALSE)))*EXP(-(LN(2)/$D$65+0.1)*(VLOOKUP(($F$16-$F$15)-1,AC$100:AG227,5,FALSE)))*EXP(-(LN(2)/$D$65+0.04)*AF227)*EXP(-(LN(2)/$D$65+0.1)*AG227),IF(AD227=3,AJ$100*EXP(-(LN(2)/$D$65+0.04)*(VLOOKUP(($F$16-$F$15)-1,AC$100:AG227,4,FALSE)))*EXP(-(LN(2)/$D$65+0.1)*(VLOOKUP(($F$16-$F$15)-1,AC$100:AG227,5,FALSE)))*EXP(-(LN(2)/$D$65+0.04)*(VLOOKUP(($F$16-$F$15)*2-1,AC$100:AG227,4,FALSE)))*EXP(-(LN(2)/$D$65+0.1)*(VLOOKUP(($F$16-$F$15)*2-1,AC$100:AG227,5,FALSE)))*EXP(-(LN(2)/$D$65+0.04)*AF227)*EXP(-(LN(2)/$D$65+0.1)*AG227),"-"))),"-")</f>
        <v>-</v>
      </c>
      <c r="AK227" s="227">
        <f t="shared" si="137"/>
        <v>127</v>
      </c>
      <c r="AL227" s="226" t="str">
        <f t="shared" si="111"/>
        <v>-</v>
      </c>
      <c r="AM227" s="227" t="str">
        <f t="shared" si="138"/>
        <v>-</v>
      </c>
      <c r="AN227" s="227" t="str">
        <f t="shared" si="139"/>
        <v>-</v>
      </c>
      <c r="AO227" s="227" t="str">
        <f t="shared" si="112"/>
        <v>-</v>
      </c>
      <c r="AP227" s="273">
        <f t="shared" si="140"/>
        <v>0.1</v>
      </c>
      <c r="AQ227" s="271" t="str">
        <f>IFERROR(IF(AL226=1,AQ$100*EXP(-(LN(2)/$D$65+0.04)*AN226)*EXP(-(LN(2)/$D$65+0.1)*AO226),IF(AL226=2,AQ$100*EXP(-(LN(2)/$D$65+0.04)*(VLOOKUP(($F$16-$F$15)-1,AK$99:AO226,4,FALSE)))*EXP(-(LN(2)/$D$65+0.1)*(VLOOKUP(($F$16-$F$15)-1,AK$99:AO226,5,FALSE)))*EXP(-(LN(2)/$D$65+0.04)*AN226)*EXP(-(LN(2)/$D$65+0.1)*AO226),IF(AL226=3,AQ$100*EXP(-(LN(2)/$D$65+0.04)*(VLOOKUP(($F$16-$F$15)-1,AK$99:AO226,4,FALSE)))*EXP(-(LN(2)/$D$65+0.1)*(VLOOKUP(($F$16-$F$15)-1,AK$99:AO226,5,FALSE)))*EXP(-(LN(2)/$D$65+0.04)*(VLOOKUP(($F$16-$F$15)*2-1,AK$99:AO226,4,FALSE)))*EXP(-(LN(2)/$D$65+0.1)*(VLOOKUP(($F$16-$F$15)*2-1,AK$99:AO226,5,FALSE)))*EXP(-(LN(2)/$D$65+0.04)*AN226)*EXP(-(LN(2)/$D$65+0.1)*AO226),"-"))),"-")</f>
        <v>-</v>
      </c>
      <c r="AR227" s="271" t="str">
        <f>IFERROR(IF(AL227=1,AR$100*EXP(-(LN(2)/$D$65+0.04)*AN227)*EXP(-(LN(2)/$D$65+0.1)*AO227),IF(AL227=2,AR$100*EXP(-(LN(2)/$D$65+0.04)*(VLOOKUP(($F$16-$F$15)-1,AK$100:AO227,4,FALSE)))*EXP(-(LN(2)/$D$65+0.1)*(VLOOKUP(($F$16-$F$15)-1,AK$100:AO227,5,FALSE)))*EXP(-(LN(2)/$D$65+0.04)*AN227)*EXP(-(LN(2)/$D$65+0.1)*AO227),IF(AL227=3,AR$100*EXP(-(LN(2)/$D$65+0.04)*(VLOOKUP(($F$16-$F$15)-1,AK$100:AO227,4,FALSE)))*EXP(-(LN(2)/$D$65+0.1)*(VLOOKUP(($F$16-$F$15)-1,AK$100:AO227,5,FALSE)))*EXP(-(LN(2)/$D$65+0.04)*(VLOOKUP(($F$16-$F$15)*2-1,AK$100:AO227,4,FALSE)))*EXP(-(LN(2)/$D$65+0.1)*(VLOOKUP(($F$16-$F$15)*2-1,AK$100:AO227,5,FALSE)))*EXP(-(LN(2)/$D$65+0.04)*AN227)*EXP(-(LN(2)/$D$65+0.1)*AO227),"-"))),"-")</f>
        <v>-</v>
      </c>
      <c r="AS227" s="274">
        <f t="shared" si="113"/>
        <v>0</v>
      </c>
      <c r="AT227" s="274">
        <f t="shared" si="114"/>
        <v>0</v>
      </c>
      <c r="AU227" s="274">
        <f t="shared" si="115"/>
        <v>0</v>
      </c>
      <c r="AV227" s="190" t="str">
        <f>IF($B227&lt;$F$22,SUM($T$100:$T227),"")</f>
        <v/>
      </c>
      <c r="AW227" s="190" t="str">
        <f t="shared" si="161"/>
        <v>-</v>
      </c>
      <c r="AX227" s="190" t="str">
        <f t="shared" si="141"/>
        <v/>
      </c>
      <c r="AY227"/>
      <c r="AZ227" s="190" t="str">
        <f ca="1">IF(ISNUMBER(OFFSET(AV227,-$F$21,0)),SUM(OFFSET($T$100,$F$21,0):$T227),"")</f>
        <v/>
      </c>
      <c r="BA227" s="190" t="str">
        <f t="shared" ca="1" si="162"/>
        <v/>
      </c>
      <c r="BB227" s="190" t="str">
        <f t="shared" ca="1" si="148"/>
        <v/>
      </c>
      <c r="BC227" s="190"/>
      <c r="BD227" s="190" t="str">
        <f ca="1">IFERROR(IF(OR(ISNUMBER(I),ISNUMBER($F$14)),IF(AND($B227&gt;=($F$16-$F$15),$B227&lt;$F$22+($F$16-$F$15)),SUM(OFFSET($T$100,($F$16-$F$15),0):$T227),""),""),"")</f>
        <v/>
      </c>
      <c r="BE227" s="190" t="str">
        <f t="shared" ca="1" si="142"/>
        <v/>
      </c>
      <c r="BF227" s="190" t="str">
        <f t="shared" ca="1" si="143"/>
        <v/>
      </c>
      <c r="BG227"/>
      <c r="BH227" s="190" t="str">
        <f ca="1">IF(ISNUMBER(OFFSET(BD227,-$F$21,0)),SUM(OFFSET($T$100,($F$16-$F$15+$F$21),0):$T227),"")</f>
        <v/>
      </c>
      <c r="BI227" s="190" t="str">
        <f t="shared" ca="1" si="163"/>
        <v/>
      </c>
      <c r="BJ227" s="190" t="str">
        <f t="shared" ca="1" si="144"/>
        <v/>
      </c>
      <c r="BK227" s="190"/>
      <c r="BL227" s="190" t="str">
        <f ca="1">IFERROR(IF(OR(ISNUMBER(I),ISNUMBER($F$14)),IF(AND($B227&gt;=($F$17-$F$15),$B227&lt;$F$22+($F$17-$F$15)),SUM(OFFSET($T$100,($F$17-$F$15),0):$T227),""),""),"")</f>
        <v/>
      </c>
      <c r="BM227" s="190" t="str">
        <f t="shared" ca="1" si="164"/>
        <v/>
      </c>
      <c r="BN227" s="190" t="str">
        <f t="shared" ca="1" si="145"/>
        <v/>
      </c>
      <c r="BO227"/>
      <c r="BP227" s="190" t="str">
        <f ca="1">IF(ISNUMBER(OFFSET(BL227,-$F$21,0)),SUM(OFFSET($T$100,($F$17-$F$15+$F$21),0):$T227),"")</f>
        <v/>
      </c>
      <c r="BQ227" s="190" t="str">
        <f t="shared" ca="1" si="165"/>
        <v/>
      </c>
      <c r="BR227" s="190" t="str">
        <f t="shared" ca="1" si="146"/>
        <v/>
      </c>
      <c r="BS227" s="190"/>
      <c r="BT227"/>
      <c r="BU227"/>
      <c r="BV227"/>
      <c r="BY227" s="99"/>
      <c r="BZ227" s="99"/>
      <c r="CA227" s="280" t="str">
        <f t="shared" si="166"/>
        <v/>
      </c>
      <c r="CB227" s="71" t="str">
        <f t="shared" si="122"/>
        <v>-</v>
      </c>
      <c r="CC227" s="33"/>
      <c r="CD227" s="261" t="str">
        <f t="shared" si="123"/>
        <v/>
      </c>
      <c r="CE227" s="280" t="str">
        <f t="shared" si="167"/>
        <v/>
      </c>
      <c r="CF227" s="71" t="str">
        <f t="shared" ca="1" si="168"/>
        <v/>
      </c>
      <c r="CG227" s="33" t="str">
        <f t="shared" si="126"/>
        <v/>
      </c>
      <c r="CH227" s="261" t="str">
        <f t="shared" ca="1" si="127"/>
        <v/>
      </c>
    </row>
    <row r="228" spans="2:86" ht="13.5" customHeight="1" x14ac:dyDescent="0.2">
      <c r="B228" s="262">
        <v>128</v>
      </c>
      <c r="C228" s="237" t="str">
        <f t="shared" ref="C228:C250" si="169">IF(ISERROR(VLOOKUP(B228,$B$39:$C$73,2,0)),"",VLOOKUP(B228,$B$39:$C$73,2,0))</f>
        <v/>
      </c>
      <c r="D228" s="237" t="str">
        <f t="shared" si="147"/>
        <v/>
      </c>
      <c r="E228" s="263" t="str">
        <f t="shared" si="128"/>
        <v/>
      </c>
      <c r="F228" s="264" t="str">
        <f t="shared" si="129"/>
        <v/>
      </c>
      <c r="G228" s="264" t="str">
        <f t="shared" si="130"/>
        <v/>
      </c>
      <c r="H228" s="240" t="str">
        <f t="shared" ref="H228:H250" si="170">IF(E228&lt;&gt;"",IF($B228&lt;$F$21,"",IF(ISNUMBER(F228),IF(ISNUMBER(I228),(E228*30*50*ffp),""),(E228*30*50*ffp))),"")</f>
        <v/>
      </c>
      <c r="I228" s="265" t="str">
        <f t="shared" ref="I228:I250" si="171">IFERROR(IF(F228&lt;&gt;"",IF($B228&lt;$F$21+$F$16,"",IF(ISNUMBER(G228),IF(ISNUMBER(J228),(F228*30*50*ffp),""),(F228*30*50*ffp))),""),"")</f>
        <v/>
      </c>
      <c r="J228" s="265" t="str">
        <f t="shared" ref="J228:J250" si="172">IFERROR(IF(G228&lt;&gt;"",IF($B228&lt;$F$21+$F$17,"",(G228*30*50*ffp)),""),"")</f>
        <v/>
      </c>
      <c r="K228" s="240" t="str">
        <f t="shared" ref="K228:K250" si="173">IF(E228&lt;&gt;"",((E228*20*50*ffp)/Klevee),"")</f>
        <v/>
      </c>
      <c r="L228" s="265" t="str">
        <f t="shared" ref="L228:L250" si="174">IF(ISNUMBER(F228),((F228*20*50*ffp)/Klevee),"")</f>
        <v/>
      </c>
      <c r="M228" s="265" t="str">
        <f t="shared" ref="M228:M250" si="175">IF(ISNUMBER(G228),((G228*20*50*ffp)/Klevee),"")</f>
        <v/>
      </c>
      <c r="N228" s="240" t="str">
        <f t="shared" ref="N228:N250" si="176">IF(AND(ISNUMBER(I),ISNUMBER($F$14),ISNUMBER($F$20)),IF($B228=0,I*($J$40/100)*$J$42*1,""),"-")</f>
        <v>-</v>
      </c>
      <c r="O228" s="265" t="str">
        <f t="shared" ref="O228:O250" si="177">IF(ISNUMBER($F$14),IF($F$14&gt;1,IF($B228=0+$F$16,I*($J$40/100)*$J$42*1,""),""),"-")</f>
        <v>-</v>
      </c>
      <c r="P228" s="265" t="str">
        <f t="shared" ref="P228:P250" si="178">IF(ISNUMBER($F$14),IF($F$14&gt;2,IF($B228=0+$F$17,I*($J$40/100)*$J$42*1,""),""),"-")</f>
        <v>-</v>
      </c>
      <c r="Q228" s="266" t="str">
        <f t="shared" ref="Q228:Q250" si="179">IF(AND(ISNUMBER(I),ISNUMBER($F$14),ISNUMBER($F$20)),IF($B228=0,I*(dt/100)*$J$45*1,""),"-")</f>
        <v>-</v>
      </c>
      <c r="R228" s="267" t="str">
        <f t="shared" ref="R228:R250" si="180">IF(ISNUMBER($F$14),IF($F$14&gt;1,IF($B228=0+$F$16,I*(dt/100)*$J$45*1,""),""),"-")</f>
        <v>-</v>
      </c>
      <c r="S228" s="268" t="str">
        <f t="shared" ref="S228:S250" si="181">IF(ISNUMBER($F$14),IF($F$14&gt;2,IF($B228=0+$F$17,I*(dt/100)*$J$45*1,""),""),"-")</f>
        <v>-</v>
      </c>
      <c r="T228" s="269" t="str">
        <f t="shared" ref="T228:T250" si="182">IF(SUM(H228:S228)=0,"",SUM(H228:S228))</f>
        <v/>
      </c>
      <c r="U228" s="221">
        <f t="shared" ref="U228:U250" si="183">B228</f>
        <v>128</v>
      </c>
      <c r="V228" s="220" t="str">
        <f t="shared" si="131"/>
        <v>-</v>
      </c>
      <c r="W228" s="221" t="str">
        <f t="shared" si="132"/>
        <v>-</v>
      </c>
      <c r="X228" s="221" t="str">
        <f t="shared" ref="X228:X250" si="184">IFERROR(IF($F$21=0,0,IF(V228=V227,IF(B228-(V228-1)*($F$16-$F$15)&lt;$F$21,X227+1,X227),1)),"-")</f>
        <v>-</v>
      </c>
      <c r="Y228" s="221" t="str">
        <f t="shared" ref="Y228:Y250" si="185">IFERROR(W228-X228,"-")</f>
        <v>-</v>
      </c>
      <c r="Z228" s="270">
        <f t="shared" si="133"/>
        <v>0.1</v>
      </c>
      <c r="AA228" s="271" t="str">
        <f>IFERROR(IF(V227=1,AA$100*EXP(-(LN(2)/$D$65+0.04)*X227)*EXP(-(LN(2)/$D$65+0.1)*Y227),IF(V227=2,AA$100*EXP(-(LN(2)/$D$65+0.04)*(VLOOKUP(($F$16-$F$15)-1,U$99:Y227,4,FALSE)))*EXP(-(LN(2)/$D$65+0.1)*(VLOOKUP(($F$16-$F$15)-1,U$99:Y227,5,FALSE)))*EXP(-(LN(2)/$D$65+0.04)*X227)*EXP(-(LN(2)/$D$65+0.1)*Y227),IF(V227=3,AA$100*EXP(-(LN(2)/$D$65+0.04)*(VLOOKUP(($F$16-$F$15)-1,U$99:Y227,4,FALSE)))*EXP(-(LN(2)/$D$65+0.1)*(VLOOKUP(($F$16-$F$15)-1,U$99:Y227,5,FALSE)))*EXP(-(LN(2)/$D$65+0.04)*(VLOOKUP(($F$16-$F$15)*2-1,U$99:Y227,4,FALSE)))*EXP(-(LN(2)/$D$65+0.1)*(VLOOKUP(($F$16-$F$15)*2-1,U$99:Y227,5,FALSE)))*EXP(-(LN(2)/$D$65+0.04)*X227)*EXP(-(LN(2)/$D$65+0.1)*Y227),"-"))),"-")</f>
        <v>-</v>
      </c>
      <c r="AB228" s="271" t="str">
        <f>IFERROR(IF(V228=1,AB$100*EXP(-(LN(2)/$D$65+0.04)*X228)*EXP(-(LN(2)/$D$65+0.1)*Y228),IF(V228=2,AB$100*EXP(-(LN(2)/$D$65+0.04)*(VLOOKUP(($F$16-$F$15)-1,U$100:Y228,4,FALSE)))*EXP(-(LN(2)/$D$65+0.1)*(VLOOKUP(($F$16-$F$15)-1,U$100:Y228,5,FALSE)))*EXP(-(LN(2)/$D$65+0.04)*X228)*EXP(-(LN(2)/$D$65+0.1)*Y228),IF(V228=3,AB$100*EXP(-(LN(2)/$D$65+0.04)*(VLOOKUP(($F$16-$F$15)-1,U$100:Y228,4,FALSE)))*EXP(-(LN(2)/$D$65+0.1)*(VLOOKUP(($F$16-$F$15)-1,U$100:Y228,5,FALSE)))*EXP(-(LN(2)/$D$65+0.04)*(VLOOKUP(($F$16-$F$15)*2-1,U$100:Y228,4,FALSE)))*EXP(-(LN(2)/$D$65+0.1)*(VLOOKUP(($F$16-$F$15)*2-1,U$100:Y228,5,FALSE)))*EXP(-(LN(2)/$D$65+0.04)*X228)*EXP(-(LN(2)/$D$65+0.1)*Y228),"-"))),"-")</f>
        <v>-</v>
      </c>
      <c r="AC228" s="224">
        <f t="shared" si="134"/>
        <v>128</v>
      </c>
      <c r="AD228" s="223" t="str">
        <f t="shared" ref="AD228:AD250" si="186">IFERROR(IF($F$14-1&gt;0,IF(B228&lt;($F$16-$F$15)*($F$14-1),INT(B228/($F$16-$F$15))+1,AD226),"-"),"-")</f>
        <v>-</v>
      </c>
      <c r="AE228" s="224" t="str">
        <f t="shared" si="135"/>
        <v>-</v>
      </c>
      <c r="AF228" s="224" t="str">
        <f t="shared" ref="AF228:AF250" si="187">IFERROR(IF($F$21=0,0,IF(AD228=AD227,IF(B228-(AD228-1)*($F$16-$F$15)&lt;$F$21,AF227+1,AF227),1)),"-")</f>
        <v>-</v>
      </c>
      <c r="AG228" s="224" t="str">
        <f t="shared" ref="AG228:AG250" si="188">IFERROR(AE228-AF228,"-")</f>
        <v>-</v>
      </c>
      <c r="AH228" s="272">
        <f t="shared" si="136"/>
        <v>0.1</v>
      </c>
      <c r="AI228" s="271" t="str">
        <f>IFERROR(IF(AD227=1,AI$100*EXP(-(LN(2)/$D$65+0.04)*AF227)*EXP(-(LN(2)/$D$65+0.1)*AG227),IF(AD227=2,AI$100*EXP(-(LN(2)/$D$65+0.04)*(VLOOKUP(($F$16-$F$15)-1,AC$99:AG227,4,FALSE)))*EXP(-(LN(2)/$D$65+0.1)*(VLOOKUP(($F$16-$F$15)-1,AC$99:AG227,5,FALSE)))*EXP(-(LN(2)/$D$65+0.04)*AF227)*EXP(-(LN(2)/$D$65+0.1)*AG227),IF(AD227=3,AI$100*EXP(-(LN(2)/$D$65+0.04)*(VLOOKUP(($F$16-$F$15)-1,AC$99:AG227,4,FALSE)))*EXP(-(LN(2)/$D$65+0.1)*(VLOOKUP(($F$16-$F$15)-1,AC$99:AG227,5,FALSE)))*EXP(-(LN(2)/$D$65+0.04)*(VLOOKUP(($F$16-$F$15)*2-1,AC$99:AG227,4,FALSE)))*EXP(-(LN(2)/$D$65+0.1)*(VLOOKUP(($F$16-$F$15)*2-1,AC$99:AG227,5,FALSE)))*EXP(-(LN(2)/$D$65+0.04)*AF227)*EXP(-(LN(2)/$D$65+0.1)*AG227),"-"))),"-")</f>
        <v>-</v>
      </c>
      <c r="AJ228" s="271" t="str">
        <f>IFERROR(IF(AD228=1,AJ$100*EXP(-(LN(2)/$D$65+0.04)*AF228)*EXP(-(LN(2)/$D$65+0.1)*AG228),IF(AD228=2,AJ$100*EXP(-(LN(2)/$D$65+0.04)*(VLOOKUP(($F$16-$F$15)-1,AC$100:AG228,4,FALSE)))*EXP(-(LN(2)/$D$65+0.1)*(VLOOKUP(($F$16-$F$15)-1,AC$100:AG228,5,FALSE)))*EXP(-(LN(2)/$D$65+0.04)*AF228)*EXP(-(LN(2)/$D$65+0.1)*AG228),IF(AD228=3,AJ$100*EXP(-(LN(2)/$D$65+0.04)*(VLOOKUP(($F$16-$F$15)-1,AC$100:AG228,4,FALSE)))*EXP(-(LN(2)/$D$65+0.1)*(VLOOKUP(($F$16-$F$15)-1,AC$100:AG228,5,FALSE)))*EXP(-(LN(2)/$D$65+0.04)*(VLOOKUP(($F$16-$F$15)*2-1,AC$100:AG228,4,FALSE)))*EXP(-(LN(2)/$D$65+0.1)*(VLOOKUP(($F$16-$F$15)*2-1,AC$100:AG228,5,FALSE)))*EXP(-(LN(2)/$D$65+0.04)*AF228)*EXP(-(LN(2)/$D$65+0.1)*AG228),"-"))),"-")</f>
        <v>-</v>
      </c>
      <c r="AK228" s="227">
        <f t="shared" si="137"/>
        <v>128</v>
      </c>
      <c r="AL228" s="226" t="str">
        <f t="shared" ref="AL228:AL250" si="189">IFERROR(IF($F$14-2&gt;0,IF(B228&lt;($F$16-$F$15)*($F$14-2),INT(B228/($F$16-$F$15))+1,AL226),"-"),"-")</f>
        <v>-</v>
      </c>
      <c r="AM228" s="227" t="str">
        <f t="shared" si="138"/>
        <v>-</v>
      </c>
      <c r="AN228" s="227" t="str">
        <f t="shared" si="139"/>
        <v>-</v>
      </c>
      <c r="AO228" s="227" t="str">
        <f t="shared" ref="AO228:AO250" si="190">IFERROR(AM228-AN228,"-")</f>
        <v>-</v>
      </c>
      <c r="AP228" s="273">
        <f t="shared" si="140"/>
        <v>0.1</v>
      </c>
      <c r="AQ228" s="271" t="str">
        <f>IFERROR(IF(AL227=1,AQ$100*EXP(-(LN(2)/$D$65+0.04)*AN227)*EXP(-(LN(2)/$D$65+0.1)*AO227),IF(AL227=2,AQ$100*EXP(-(LN(2)/$D$65+0.04)*(VLOOKUP(($F$16-$F$15)-1,AK$99:AO227,4,FALSE)))*EXP(-(LN(2)/$D$65+0.1)*(VLOOKUP(($F$16-$F$15)-1,AK$99:AO227,5,FALSE)))*EXP(-(LN(2)/$D$65+0.04)*AN227)*EXP(-(LN(2)/$D$65+0.1)*AO227),IF(AL227=3,AQ$100*EXP(-(LN(2)/$D$65+0.04)*(VLOOKUP(($F$16-$F$15)-1,AK$99:AO227,4,FALSE)))*EXP(-(LN(2)/$D$65+0.1)*(VLOOKUP(($F$16-$F$15)-1,AK$99:AO227,5,FALSE)))*EXP(-(LN(2)/$D$65+0.04)*(VLOOKUP(($F$16-$F$15)*2-1,AK$99:AO227,4,FALSE)))*EXP(-(LN(2)/$D$65+0.1)*(VLOOKUP(($F$16-$F$15)*2-1,AK$99:AO227,5,FALSE)))*EXP(-(LN(2)/$D$65+0.04)*AN227)*EXP(-(LN(2)/$D$65+0.1)*AO227),"-"))),"-")</f>
        <v>-</v>
      </c>
      <c r="AR228" s="271" t="str">
        <f>IFERROR(IF(AL228=1,AR$100*EXP(-(LN(2)/$D$65+0.04)*AN228)*EXP(-(LN(2)/$D$65+0.1)*AO228),IF(AL228=2,AR$100*EXP(-(LN(2)/$D$65+0.04)*(VLOOKUP(($F$16-$F$15)-1,AK$100:AO228,4,FALSE)))*EXP(-(LN(2)/$D$65+0.1)*(VLOOKUP(($F$16-$F$15)-1,AK$100:AO228,5,FALSE)))*EXP(-(LN(2)/$D$65+0.04)*AN228)*EXP(-(LN(2)/$D$65+0.1)*AO228),IF(AL228=3,AR$100*EXP(-(LN(2)/$D$65+0.04)*(VLOOKUP(($F$16-$F$15)-1,AK$100:AO228,4,FALSE)))*EXP(-(LN(2)/$D$65+0.1)*(VLOOKUP(($F$16-$F$15)-1,AK$100:AO228,5,FALSE)))*EXP(-(LN(2)/$D$65+0.04)*(VLOOKUP(($F$16-$F$15)*2-1,AK$100:AO228,4,FALSE)))*EXP(-(LN(2)/$D$65+0.1)*(VLOOKUP(($F$16-$F$15)*2-1,AK$100:AO228,5,FALSE)))*EXP(-(LN(2)/$D$65+0.04)*AN228)*EXP(-(LN(2)/$D$65+0.1)*AO228),"-"))),"-")</f>
        <v>-</v>
      </c>
      <c r="AS228" s="274">
        <f t="shared" ref="AS228:AS250" si="191">SUM(H228:J228)</f>
        <v>0</v>
      </c>
      <c r="AT228" s="274">
        <f t="shared" ref="AT228:AT250" si="192">SUM(K228:M228)</f>
        <v>0</v>
      </c>
      <c r="AU228" s="274">
        <f t="shared" ref="AU228:AU250" si="193">SUM(N228:S228)</f>
        <v>0</v>
      </c>
      <c r="AV228" s="190" t="str">
        <f>IF($B228&lt;$F$22,SUM($T$100:$T228),"")</f>
        <v/>
      </c>
      <c r="AW228" s="190" t="str">
        <f t="shared" ref="AW228:AW250" si="194">IF(ISNUMBER(Koc),IF(ISNUMBER(AV228),AV228*(Koc*(Ocse/100)*Pse*Vse)/(Koc*(Ocse/100)*Pse*Vse+1*86400*($B228+1)),""),"-")</f>
        <v>-</v>
      </c>
      <c r="AX228" s="190" t="str">
        <f t="shared" si="141"/>
        <v/>
      </c>
      <c r="AY228"/>
      <c r="AZ228" s="190" t="str">
        <f ca="1">IF(ISNUMBER(OFFSET(AV228,-$F$21,0)),SUM(OFFSET($T$100,$F$21,0):$T228),"")</f>
        <v/>
      </c>
      <c r="BA228" s="190" t="str">
        <f t="shared" ref="BA228:BA250" ca="1" si="195">IF(ISNUMBER(OFFSET(AV228,-$F$21,0)),AZ228*(Koc*(Ocse/100)*Pse*Vse)/(Koc*(Ocse/100)*Pse*Vse+1*86400*($B228+1)),"")</f>
        <v/>
      </c>
      <c r="BB228" s="190" t="str">
        <f t="shared" ca="1" si="148"/>
        <v/>
      </c>
      <c r="BC228" s="190"/>
      <c r="BD228" s="190" t="str">
        <f ca="1">IFERROR(IF(OR(ISNUMBER(I),ISNUMBER($F$14)),IF(AND($B228&gt;=($F$16-$F$15),$B228&lt;$F$22+($F$16-$F$15)),SUM(OFFSET($T$100,($F$16-$F$15),0):$T228),""),""),"")</f>
        <v/>
      </c>
      <c r="BE228" s="190" t="str">
        <f t="shared" ca="1" si="142"/>
        <v/>
      </c>
      <c r="BF228" s="190" t="str">
        <f t="shared" ca="1" si="143"/>
        <v/>
      </c>
      <c r="BG228"/>
      <c r="BH228" s="190" t="str">
        <f ca="1">IF(ISNUMBER(OFFSET(BD228,-$F$21,0)),SUM(OFFSET($T$100,($F$16-$F$15+$F$21),0):$T228),"")</f>
        <v/>
      </c>
      <c r="BI228" s="190" t="str">
        <f t="shared" ref="BI228:BI250" ca="1" si="196">IF(ISNUMBER(OFFSET(BD228,-$F$21,0)),BH228*(Koc*(Ocse/100)*Pse*Vse)/(Koc*(Ocse/100)*Pse*Vse+1*86400*($B228+1)),"")</f>
        <v/>
      </c>
      <c r="BJ228" s="190" t="str">
        <f t="shared" ca="1" si="144"/>
        <v/>
      </c>
      <c r="BK228" s="190"/>
      <c r="BL228" s="190" t="str">
        <f ca="1">IFERROR(IF(OR(ISNUMBER(I),ISNUMBER($F$14)),IF(AND($B228&gt;=($F$17-$F$15),$B228&lt;$F$22+($F$17-$F$15)),SUM(OFFSET($T$100,($F$17-$F$15),0):$T228),""),""),"")</f>
        <v/>
      </c>
      <c r="BM228" s="190" t="str">
        <f t="shared" ref="BM228:BM250" ca="1" si="197">IF(ISNUMBER(BL228),BL228*(Koc*(Ocse/100)*Pse*Vse)/(Koc*(Ocse/100)*Pse*Vse+1*86400*($B228+1)),"")</f>
        <v/>
      </c>
      <c r="BN228" s="190" t="str">
        <f t="shared" ca="1" si="145"/>
        <v/>
      </c>
      <c r="BO228"/>
      <c r="BP228" s="190" t="str">
        <f ca="1">IF(ISNUMBER(OFFSET(BL228,-$F$21,0)),SUM(OFFSET($T$100,($F$17-$F$15+$F$21),0):$T228),"")</f>
        <v/>
      </c>
      <c r="BQ228" s="190" t="str">
        <f t="shared" ref="BQ228:BQ250" ca="1" si="198">IF(ISNUMBER(OFFSET(BL228,-$F$21,0)),BP228*(Koc*(Ocse/100)*Pse*Vse)/(Koc*(Ocse/100)*Pse*Vse+1*86400*($B228+1)),"")</f>
        <v/>
      </c>
      <c r="BR228" s="190" t="str">
        <f t="shared" ca="1" si="146"/>
        <v/>
      </c>
      <c r="BS228" s="190"/>
      <c r="BT228"/>
      <c r="BU228"/>
      <c r="BV228"/>
      <c r="BY228" s="99"/>
      <c r="BZ228" s="99"/>
      <c r="CA228" s="280" t="str">
        <f t="shared" ref="CA228:CA250" si="199">IFERROR(IF($B228&lt;$CA$94,T228*(Koc*(Ocse/100)*Pse*Vse)/(Koc*(Ocse/100)*Pse*Vse+1*86400*$CA$94),""),"-")</f>
        <v/>
      </c>
      <c r="CB228" s="71" t="str">
        <f t="shared" ref="CB228:CB250" si="200">IF(ISNUMBER(T228),IF($B228&lt;$CA$94,(T228-CA228)/(3*86400)*1000,""),"-")</f>
        <v>-</v>
      </c>
      <c r="CC228" s="33"/>
      <c r="CD228" s="261" t="str">
        <f t="shared" ref="CD228:CD250" si="201">IF(CC228=CA$96,CB$96,"")</f>
        <v/>
      </c>
      <c r="CE228" s="280" t="str">
        <f t="shared" ref="CE228:CE250" si="202">IFERROR(IF($B228&lt;$CE$94,T228*(Koc*(Ocse/100)*Pse*Vse)/(Koc*(Ocse/100)*Pse*Vse+1*86400*$CE$94),""),"-")</f>
        <v/>
      </c>
      <c r="CF228" s="71" t="str">
        <f t="shared" ref="CF228:CF250" ca="1" si="203">IFERROR(IF($B228&lt;$CE$94,IF(NOT(ISNUMBER(ffp)),"-",IF($F$70=$AX$87,AX228,IF($F$70=$BB$87,OFFSET(BB228,$F$21,0),IF($F$70=$BF$87,OFFSET(BF228,$F$16,0),IF($F$70=$BJ$87,OFFSET(BJ228,$F$16+$F$21,0),IF($F$70=$BN$87,OFFSET(BN228,$F$17,0),OFFSET(BR228,$F$17+$F$21,0))))))),""),"-")</f>
        <v/>
      </c>
      <c r="CG228" s="33" t="str">
        <f t="shared" ref="CG228:CG250" si="204">IF($B228&lt;$CE$94,$B228&amp;"-"&amp;$B228+1,"")</f>
        <v/>
      </c>
      <c r="CH228" s="261" t="str">
        <f t="shared" ref="CH228:CH250" ca="1" si="205">IF(CG228=CE$96,CF$96,"")</f>
        <v/>
      </c>
    </row>
    <row r="229" spans="2:86" ht="13.5" customHeight="1" x14ac:dyDescent="0.2">
      <c r="B229" s="262">
        <v>129</v>
      </c>
      <c r="C229" s="237" t="str">
        <f t="shared" si="169"/>
        <v/>
      </c>
      <c r="D229" s="237" t="str">
        <f t="shared" si="147"/>
        <v/>
      </c>
      <c r="E229" s="263" t="str">
        <f t="shared" ref="E229:E250" si="206">IF(ISNUMBER($F$14),IF(ISNUMBER(AA229),AA229,""),"")</f>
        <v/>
      </c>
      <c r="F229" s="264" t="str">
        <f t="shared" ref="F229:F250" si="207">IF(OR($F$14=2,$F$14=3),IF(($F$16-$F$15)&gt;B229," ",VLOOKUP((B229-($F$16-$F$15)),$AC$100:$AI$250,7,FALSE)),"")</f>
        <v/>
      </c>
      <c r="G229" s="264" t="str">
        <f t="shared" ref="G229:G250" si="208">IF($F$14=3,IF(($F$16-$F$15)*2&gt;B229," ",VLOOKUP((B229-($F$16-$F$15)*2),$AK$100:$AQ$250,7,FALSE)),"")</f>
        <v/>
      </c>
      <c r="H229" s="240" t="str">
        <f t="shared" si="170"/>
        <v/>
      </c>
      <c r="I229" s="265" t="str">
        <f t="shared" si="171"/>
        <v/>
      </c>
      <c r="J229" s="265" t="str">
        <f t="shared" si="172"/>
        <v/>
      </c>
      <c r="K229" s="240" t="str">
        <f t="shared" si="173"/>
        <v/>
      </c>
      <c r="L229" s="265" t="str">
        <f t="shared" si="174"/>
        <v/>
      </c>
      <c r="M229" s="265" t="str">
        <f t="shared" si="175"/>
        <v/>
      </c>
      <c r="N229" s="240" t="str">
        <f t="shared" si="176"/>
        <v>-</v>
      </c>
      <c r="O229" s="265" t="str">
        <f t="shared" si="177"/>
        <v>-</v>
      </c>
      <c r="P229" s="265" t="str">
        <f t="shared" si="178"/>
        <v>-</v>
      </c>
      <c r="Q229" s="266" t="str">
        <f t="shared" si="179"/>
        <v>-</v>
      </c>
      <c r="R229" s="267" t="str">
        <f t="shared" si="180"/>
        <v>-</v>
      </c>
      <c r="S229" s="268" t="str">
        <f t="shared" si="181"/>
        <v>-</v>
      </c>
      <c r="T229" s="269" t="str">
        <f t="shared" si="182"/>
        <v/>
      </c>
      <c r="U229" s="221">
        <f t="shared" si="183"/>
        <v>129</v>
      </c>
      <c r="V229" s="220" t="str">
        <f t="shared" ref="V229:V250" si="209">IF(ISNUMBER($F$14),IF(B229&lt;($F$16-$F$15)*$F$14,INT(B229/($F$16-$F$15))+1,V227),"-")</f>
        <v>-</v>
      </c>
      <c r="W229" s="221" t="str">
        <f t="shared" ref="W229:W250" si="210">IF(ISNUMBER($F$14),IF(B229&lt;$F$14*($F$16-$F$15),B229-INT(B229/($F$16-$F$15))*($F$16-$F$15)+1,W228+1),"-")</f>
        <v>-</v>
      </c>
      <c r="X229" s="221" t="str">
        <f t="shared" si="184"/>
        <v>-</v>
      </c>
      <c r="Y229" s="221" t="str">
        <f t="shared" si="185"/>
        <v>-</v>
      </c>
      <c r="Z229" s="270">
        <f t="shared" ref="Z229:Z250" si="211">IF(Y229&gt;0,0.1,0.04)</f>
        <v>0.1</v>
      </c>
      <c r="AA229" s="271" t="str">
        <f>IFERROR(IF(V228=1,AA$100*EXP(-(LN(2)/$D$65+0.04)*X228)*EXP(-(LN(2)/$D$65+0.1)*Y228),IF(V228=2,AA$100*EXP(-(LN(2)/$D$65+0.04)*(VLOOKUP(($F$16-$F$15)-1,U$99:Y228,4,FALSE)))*EXP(-(LN(2)/$D$65+0.1)*(VLOOKUP(($F$16-$F$15)-1,U$99:Y228,5,FALSE)))*EXP(-(LN(2)/$D$65+0.04)*X228)*EXP(-(LN(2)/$D$65+0.1)*Y228),IF(V228=3,AA$100*EXP(-(LN(2)/$D$65+0.04)*(VLOOKUP(($F$16-$F$15)-1,U$99:Y228,4,FALSE)))*EXP(-(LN(2)/$D$65+0.1)*(VLOOKUP(($F$16-$F$15)-1,U$99:Y228,5,FALSE)))*EXP(-(LN(2)/$D$65+0.04)*(VLOOKUP(($F$16-$F$15)*2-1,U$99:Y228,4,FALSE)))*EXP(-(LN(2)/$D$65+0.1)*(VLOOKUP(($F$16-$F$15)*2-1,U$99:Y228,5,FALSE)))*EXP(-(LN(2)/$D$65+0.04)*X228)*EXP(-(LN(2)/$D$65+0.1)*Y228),"-"))),"-")</f>
        <v>-</v>
      </c>
      <c r="AB229" s="271" t="str">
        <f>IFERROR(IF(V229=1,AB$100*EXP(-(LN(2)/$D$65+0.04)*X229)*EXP(-(LN(2)/$D$65+0.1)*Y229),IF(V229=2,AB$100*EXP(-(LN(2)/$D$65+0.04)*(VLOOKUP(($F$16-$F$15)-1,U$100:Y229,4,FALSE)))*EXP(-(LN(2)/$D$65+0.1)*(VLOOKUP(($F$16-$F$15)-1,U$100:Y229,5,FALSE)))*EXP(-(LN(2)/$D$65+0.04)*X229)*EXP(-(LN(2)/$D$65+0.1)*Y229),IF(V229=3,AB$100*EXP(-(LN(2)/$D$65+0.04)*(VLOOKUP(($F$16-$F$15)-1,U$100:Y229,4,FALSE)))*EXP(-(LN(2)/$D$65+0.1)*(VLOOKUP(($F$16-$F$15)-1,U$100:Y229,5,FALSE)))*EXP(-(LN(2)/$D$65+0.04)*(VLOOKUP(($F$16-$F$15)*2-1,U$100:Y229,4,FALSE)))*EXP(-(LN(2)/$D$65+0.1)*(VLOOKUP(($F$16-$F$15)*2-1,U$100:Y229,5,FALSE)))*EXP(-(LN(2)/$D$65+0.04)*X229)*EXP(-(LN(2)/$D$65+0.1)*Y229),"-"))),"-")</f>
        <v>-</v>
      </c>
      <c r="AC229" s="224">
        <f t="shared" ref="AC229:AC240" si="212">B229</f>
        <v>129</v>
      </c>
      <c r="AD229" s="223" t="str">
        <f t="shared" si="186"/>
        <v>-</v>
      </c>
      <c r="AE229" s="224" t="str">
        <f t="shared" ref="AE229:AE250" si="213">IFERROR(IF($F$14-1&gt;0,IF(B229&lt;($F$14-1)*($F$16-$F$15),B229-INT(B229/($F$16-$F$15))*($F$16-$F$15)+1,AE228+1),"-"),"-")</f>
        <v>-</v>
      </c>
      <c r="AF229" s="224" t="str">
        <f t="shared" si="187"/>
        <v>-</v>
      </c>
      <c r="AG229" s="224" t="str">
        <f t="shared" si="188"/>
        <v>-</v>
      </c>
      <c r="AH229" s="272">
        <f t="shared" ref="AH229:AH250" si="214">IF(AG229&gt;0,0.1,0.04)</f>
        <v>0.1</v>
      </c>
      <c r="AI229" s="271" t="str">
        <f>IFERROR(IF(AD228=1,AI$100*EXP(-(LN(2)/$D$65+0.04)*AF228)*EXP(-(LN(2)/$D$65+0.1)*AG228),IF(AD228=2,AI$100*EXP(-(LN(2)/$D$65+0.04)*(VLOOKUP(($F$16-$F$15)-1,AC$99:AG228,4,FALSE)))*EXP(-(LN(2)/$D$65+0.1)*(VLOOKUP(($F$16-$F$15)-1,AC$99:AG228,5,FALSE)))*EXP(-(LN(2)/$D$65+0.04)*AF228)*EXP(-(LN(2)/$D$65+0.1)*AG228),IF(AD228=3,AI$100*EXP(-(LN(2)/$D$65+0.04)*(VLOOKUP(($F$16-$F$15)-1,AC$99:AG228,4,FALSE)))*EXP(-(LN(2)/$D$65+0.1)*(VLOOKUP(($F$16-$F$15)-1,AC$99:AG228,5,FALSE)))*EXP(-(LN(2)/$D$65+0.04)*(VLOOKUP(($F$16-$F$15)*2-1,AC$99:AG228,4,FALSE)))*EXP(-(LN(2)/$D$65+0.1)*(VLOOKUP(($F$16-$F$15)*2-1,AC$99:AG228,5,FALSE)))*EXP(-(LN(2)/$D$65+0.04)*AF228)*EXP(-(LN(2)/$D$65+0.1)*AG228),"-"))),"-")</f>
        <v>-</v>
      </c>
      <c r="AJ229" s="271" t="str">
        <f>IFERROR(IF(AD229=1,AJ$100*EXP(-(LN(2)/$D$65+0.04)*AF229)*EXP(-(LN(2)/$D$65+0.1)*AG229),IF(AD229=2,AJ$100*EXP(-(LN(2)/$D$65+0.04)*(VLOOKUP(($F$16-$F$15)-1,AC$100:AG229,4,FALSE)))*EXP(-(LN(2)/$D$65+0.1)*(VLOOKUP(($F$16-$F$15)-1,AC$100:AG229,5,FALSE)))*EXP(-(LN(2)/$D$65+0.04)*AF229)*EXP(-(LN(2)/$D$65+0.1)*AG229),IF(AD229=3,AJ$100*EXP(-(LN(2)/$D$65+0.04)*(VLOOKUP(($F$16-$F$15)-1,AC$100:AG229,4,FALSE)))*EXP(-(LN(2)/$D$65+0.1)*(VLOOKUP(($F$16-$F$15)-1,AC$100:AG229,5,FALSE)))*EXP(-(LN(2)/$D$65+0.04)*(VLOOKUP(($F$16-$F$15)*2-1,AC$100:AG229,4,FALSE)))*EXP(-(LN(2)/$D$65+0.1)*(VLOOKUP(($F$16-$F$15)*2-1,AC$100:AG229,5,FALSE)))*EXP(-(LN(2)/$D$65+0.04)*AF229)*EXP(-(LN(2)/$D$65+0.1)*AG229),"-"))),"-")</f>
        <v>-</v>
      </c>
      <c r="AK229" s="227">
        <f t="shared" ref="AK229:AK250" si="215">B229</f>
        <v>129</v>
      </c>
      <c r="AL229" s="226" t="str">
        <f t="shared" si="189"/>
        <v>-</v>
      </c>
      <c r="AM229" s="227" t="str">
        <f t="shared" ref="AM229:AM250" si="216">IFERROR(IF($F$14-2&gt;0,IF(B229&lt;($F$14-2)*($F$16-$F$15),B229-INT(B229/($F$16-$F$15))*($F$16-$F$15)+1,AM228+1),"-"),"-")</f>
        <v>-</v>
      </c>
      <c r="AN229" s="227" t="str">
        <f t="shared" ref="AN229:AN250" si="217">IFERROR(IF($F$21=0,0,IF(AL229=AL228,IF(B229-(AL229-1)*($F$16-$F$15)&lt;$F$21,AN228+1,AN228),1)),"-")</f>
        <v>-</v>
      </c>
      <c r="AO229" s="227" t="str">
        <f t="shared" si="190"/>
        <v>-</v>
      </c>
      <c r="AP229" s="273">
        <f t="shared" ref="AP229:AP250" si="218">IF(AO229&gt;0,0.1,0.04)</f>
        <v>0.1</v>
      </c>
      <c r="AQ229" s="271" t="str">
        <f>IFERROR(IF(AL228=1,AQ$100*EXP(-(LN(2)/$D$65+0.04)*AN228)*EXP(-(LN(2)/$D$65+0.1)*AO228),IF(AL228=2,AQ$100*EXP(-(LN(2)/$D$65+0.04)*(VLOOKUP(($F$16-$F$15)-1,AK$99:AO228,4,FALSE)))*EXP(-(LN(2)/$D$65+0.1)*(VLOOKUP(($F$16-$F$15)-1,AK$99:AO228,5,FALSE)))*EXP(-(LN(2)/$D$65+0.04)*AN228)*EXP(-(LN(2)/$D$65+0.1)*AO228),IF(AL228=3,AQ$100*EXP(-(LN(2)/$D$65+0.04)*(VLOOKUP(($F$16-$F$15)-1,AK$99:AO228,4,FALSE)))*EXP(-(LN(2)/$D$65+0.1)*(VLOOKUP(($F$16-$F$15)-1,AK$99:AO228,5,FALSE)))*EXP(-(LN(2)/$D$65+0.04)*(VLOOKUP(($F$16-$F$15)*2-1,AK$99:AO228,4,FALSE)))*EXP(-(LN(2)/$D$65+0.1)*(VLOOKUP(($F$16-$F$15)*2-1,AK$99:AO228,5,FALSE)))*EXP(-(LN(2)/$D$65+0.04)*AN228)*EXP(-(LN(2)/$D$65+0.1)*AO228),"-"))),"-")</f>
        <v>-</v>
      </c>
      <c r="AR229" s="271" t="str">
        <f>IFERROR(IF(AL229=1,AR$100*EXP(-(LN(2)/$D$65+0.04)*AN229)*EXP(-(LN(2)/$D$65+0.1)*AO229),IF(AL229=2,AR$100*EXP(-(LN(2)/$D$65+0.04)*(VLOOKUP(($F$16-$F$15)-1,AK$100:AO229,4,FALSE)))*EXP(-(LN(2)/$D$65+0.1)*(VLOOKUP(($F$16-$F$15)-1,AK$100:AO229,5,FALSE)))*EXP(-(LN(2)/$D$65+0.04)*AN229)*EXP(-(LN(2)/$D$65+0.1)*AO229),IF(AL229=3,AR$100*EXP(-(LN(2)/$D$65+0.04)*(VLOOKUP(($F$16-$F$15)-1,AK$100:AO229,4,FALSE)))*EXP(-(LN(2)/$D$65+0.1)*(VLOOKUP(($F$16-$F$15)-1,AK$100:AO229,5,FALSE)))*EXP(-(LN(2)/$D$65+0.04)*(VLOOKUP(($F$16-$F$15)*2-1,AK$100:AO229,4,FALSE)))*EXP(-(LN(2)/$D$65+0.1)*(VLOOKUP(($F$16-$F$15)*2-1,AK$100:AO229,5,FALSE)))*EXP(-(LN(2)/$D$65+0.04)*AN229)*EXP(-(LN(2)/$D$65+0.1)*AO229),"-"))),"-")</f>
        <v>-</v>
      </c>
      <c r="AS229" s="274">
        <f t="shared" si="191"/>
        <v>0</v>
      </c>
      <c r="AT229" s="274">
        <f t="shared" si="192"/>
        <v>0</v>
      </c>
      <c r="AU229" s="274">
        <f t="shared" si="193"/>
        <v>0</v>
      </c>
      <c r="AV229" s="190" t="str">
        <f>IF($B229&lt;$F$22,SUM($T$100:$T229),"")</f>
        <v/>
      </c>
      <c r="AW229" s="190" t="str">
        <f t="shared" si="194"/>
        <v>-</v>
      </c>
      <c r="AX229" s="190" t="str">
        <f t="shared" ref="AX229:AX250" si="219">IF(ISNUMBER(AW229),IF(ISNUMBER(AV229),(AV229-AW229)/(3*86400*($B229+1))*1000,""),"")</f>
        <v/>
      </c>
      <c r="AY229"/>
      <c r="AZ229" s="190" t="str">
        <f ca="1">IF(ISNUMBER(OFFSET(AV229,-$F$21,0)),SUM(OFFSET($T$100,$F$21,0):$T229),"")</f>
        <v/>
      </c>
      <c r="BA229" s="190" t="str">
        <f t="shared" ca="1" si="195"/>
        <v/>
      </c>
      <c r="BB229" s="190" t="str">
        <f t="shared" ca="1" si="148"/>
        <v/>
      </c>
      <c r="BC229" s="190"/>
      <c r="BD229" s="190" t="str">
        <f ca="1">IFERROR(IF(OR(ISNUMBER(I),ISNUMBER($F$14)),IF(AND($B229&gt;=($F$16-$F$15),$B229&lt;$F$22+($F$16-$F$15)),SUM(OFFSET($T$100,($F$16-$F$15),0):$T229),""),""),"")</f>
        <v/>
      </c>
      <c r="BE229" s="190" t="str">
        <f t="shared" ref="BE229:BE250" ca="1" si="220">IF(ISNUMBER(BD229),BD229*(Koc*(Ocse/100)*Pse*Vse)/(Koc*(Ocse/100)*Pse*Vse+1*86400*($B229+1)),"")</f>
        <v/>
      </c>
      <c r="BF229" s="190" t="str">
        <f t="shared" ref="BF229:BF250" ca="1" si="221">IF(ISNUMBER(BD229),(BD229-BE229)/(3*86400*($B229-($F$16-$F$15)+1))*1000,"")</f>
        <v/>
      </c>
      <c r="BG229"/>
      <c r="BH229" s="190" t="str">
        <f ca="1">IF(ISNUMBER(OFFSET(BD229,-$F$21,0)),SUM(OFFSET($T$100,($F$16-$F$15+$F$21),0):$T229),"")</f>
        <v/>
      </c>
      <c r="BI229" s="190" t="str">
        <f t="shared" ca="1" si="196"/>
        <v/>
      </c>
      <c r="BJ229" s="190" t="str">
        <f t="shared" ref="BJ229:BJ250" ca="1" si="222">IF(ISNUMBER(BH229),(BH229-BI229)/(3*86400*((OFFSET($B229,-$F$21,0)-($F$16-$F$15)+1)))*1000,"")</f>
        <v/>
      </c>
      <c r="BK229" s="190"/>
      <c r="BL229" s="190" t="str">
        <f ca="1">IFERROR(IF(OR(ISNUMBER(I),ISNUMBER($F$14)),IF(AND($B229&gt;=($F$17-$F$15),$B229&lt;$F$22+($F$17-$F$15)),SUM(OFFSET($T$100,($F$17-$F$15),0):$T229),""),""),"")</f>
        <v/>
      </c>
      <c r="BM229" s="190" t="str">
        <f t="shared" ca="1" si="197"/>
        <v/>
      </c>
      <c r="BN229" s="190" t="str">
        <f t="shared" ref="BN229:BN250" ca="1" si="223">IF(ISNUMBER(BL229),(BL229-BM229)/(3*86400*($B229-($F$17-$F$15)+1))*1000,"")</f>
        <v/>
      </c>
      <c r="BO229"/>
      <c r="BP229" s="190" t="str">
        <f ca="1">IF(ISNUMBER(OFFSET(BL229,-$F$21,0)),SUM(OFFSET($T$100,($F$17-$F$15+$F$21),0):$T229),"")</f>
        <v/>
      </c>
      <c r="BQ229" s="190" t="str">
        <f t="shared" ca="1" si="198"/>
        <v/>
      </c>
      <c r="BR229" s="190" t="str">
        <f t="shared" ref="BR229:BR250" ca="1" si="224">IF(ISNUMBER(BP229),(BP229-BQ229)/(3*86400*(OFFSET($B229,-$F$21,0)-($F$17-$F$15)+1))*1000,"")</f>
        <v/>
      </c>
      <c r="BS229" s="190"/>
      <c r="BT229"/>
      <c r="BU229"/>
      <c r="BV229"/>
      <c r="BY229" s="99"/>
      <c r="BZ229" s="99"/>
      <c r="CA229" s="280" t="str">
        <f t="shared" si="199"/>
        <v/>
      </c>
      <c r="CB229" s="71" t="str">
        <f t="shared" si="200"/>
        <v>-</v>
      </c>
      <c r="CC229" s="33"/>
      <c r="CD229" s="261" t="str">
        <f t="shared" si="201"/>
        <v/>
      </c>
      <c r="CE229" s="280" t="str">
        <f t="shared" si="202"/>
        <v/>
      </c>
      <c r="CF229" s="71" t="str">
        <f t="shared" ca="1" si="203"/>
        <v/>
      </c>
      <c r="CG229" s="33" t="str">
        <f t="shared" si="204"/>
        <v/>
      </c>
      <c r="CH229" s="261" t="str">
        <f t="shared" ca="1" si="205"/>
        <v/>
      </c>
    </row>
    <row r="230" spans="2:86" ht="13.5" customHeight="1" x14ac:dyDescent="0.2">
      <c r="B230" s="262">
        <v>130</v>
      </c>
      <c r="C230" s="237" t="str">
        <f t="shared" si="169"/>
        <v/>
      </c>
      <c r="D230" s="237" t="str">
        <f t="shared" ref="D230:D250" si="225">IFERROR(IF(B230&lt;$F$22,IF(ISNUMBER($D$65),IF(MAX($BU$101:$BU$120)&lt;B230, "", IF(B230=VLOOKUP(B230, $BU$101:$BU$120,1,1), C230,D229-INDEX($BY$101:$BY$120, MATCH(VLOOKUP(B230, $BU$101:$BU$120,1,1), $BU$101:$BU$120)+1, 1))),D229-VLOOKUP(MAX($BU$101:$BU$120),$BU$101:$BY$120,5)),""),"-")</f>
        <v/>
      </c>
      <c r="E230" s="263" t="str">
        <f t="shared" si="206"/>
        <v/>
      </c>
      <c r="F230" s="264" t="str">
        <f t="shared" si="207"/>
        <v/>
      </c>
      <c r="G230" s="264" t="str">
        <f t="shared" si="208"/>
        <v/>
      </c>
      <c r="H230" s="240" t="str">
        <f t="shared" si="170"/>
        <v/>
      </c>
      <c r="I230" s="265" t="str">
        <f t="shared" si="171"/>
        <v/>
      </c>
      <c r="J230" s="265" t="str">
        <f t="shared" si="172"/>
        <v/>
      </c>
      <c r="K230" s="240" t="str">
        <f t="shared" si="173"/>
        <v/>
      </c>
      <c r="L230" s="265" t="str">
        <f t="shared" si="174"/>
        <v/>
      </c>
      <c r="M230" s="265" t="str">
        <f t="shared" si="175"/>
        <v/>
      </c>
      <c r="N230" s="240" t="str">
        <f t="shared" si="176"/>
        <v>-</v>
      </c>
      <c r="O230" s="265" t="str">
        <f t="shared" si="177"/>
        <v>-</v>
      </c>
      <c r="P230" s="265" t="str">
        <f t="shared" si="178"/>
        <v>-</v>
      </c>
      <c r="Q230" s="266" t="str">
        <f t="shared" si="179"/>
        <v>-</v>
      </c>
      <c r="R230" s="267" t="str">
        <f t="shared" si="180"/>
        <v>-</v>
      </c>
      <c r="S230" s="268" t="str">
        <f t="shared" si="181"/>
        <v>-</v>
      </c>
      <c r="T230" s="269" t="str">
        <f t="shared" si="182"/>
        <v/>
      </c>
      <c r="U230" s="221">
        <f t="shared" si="183"/>
        <v>130</v>
      </c>
      <c r="V230" s="220" t="str">
        <f t="shared" si="209"/>
        <v>-</v>
      </c>
      <c r="W230" s="221" t="str">
        <f t="shared" si="210"/>
        <v>-</v>
      </c>
      <c r="X230" s="221" t="str">
        <f t="shared" si="184"/>
        <v>-</v>
      </c>
      <c r="Y230" s="221" t="str">
        <f t="shared" si="185"/>
        <v>-</v>
      </c>
      <c r="Z230" s="270">
        <f t="shared" si="211"/>
        <v>0.1</v>
      </c>
      <c r="AA230" s="271" t="str">
        <f>IFERROR(IF(V229=1,AA$100*EXP(-(LN(2)/$D$65+0.04)*X229)*EXP(-(LN(2)/$D$65+0.1)*Y229),IF(V229=2,AA$100*EXP(-(LN(2)/$D$65+0.04)*(VLOOKUP(($F$16-$F$15)-1,U$99:Y229,4,FALSE)))*EXP(-(LN(2)/$D$65+0.1)*(VLOOKUP(($F$16-$F$15)-1,U$99:Y229,5,FALSE)))*EXP(-(LN(2)/$D$65+0.04)*X229)*EXP(-(LN(2)/$D$65+0.1)*Y229),IF(V229=3,AA$100*EXP(-(LN(2)/$D$65+0.04)*(VLOOKUP(($F$16-$F$15)-1,U$99:Y229,4,FALSE)))*EXP(-(LN(2)/$D$65+0.1)*(VLOOKUP(($F$16-$F$15)-1,U$99:Y229,5,FALSE)))*EXP(-(LN(2)/$D$65+0.04)*(VLOOKUP(($F$16-$F$15)*2-1,U$99:Y229,4,FALSE)))*EXP(-(LN(2)/$D$65+0.1)*(VLOOKUP(($F$16-$F$15)*2-1,U$99:Y229,5,FALSE)))*EXP(-(LN(2)/$D$65+0.04)*X229)*EXP(-(LN(2)/$D$65+0.1)*Y229),"-"))),"-")</f>
        <v>-</v>
      </c>
      <c r="AB230" s="271" t="str">
        <f>IFERROR(IF(V230=1,AB$100*EXP(-(LN(2)/$D$65+0.04)*X230)*EXP(-(LN(2)/$D$65+0.1)*Y230),IF(V230=2,AB$100*EXP(-(LN(2)/$D$65+0.04)*(VLOOKUP(($F$16-$F$15)-1,U$100:Y230,4,FALSE)))*EXP(-(LN(2)/$D$65+0.1)*(VLOOKUP(($F$16-$F$15)-1,U$100:Y230,5,FALSE)))*EXP(-(LN(2)/$D$65+0.04)*X230)*EXP(-(LN(2)/$D$65+0.1)*Y230),IF(V230=3,AB$100*EXP(-(LN(2)/$D$65+0.04)*(VLOOKUP(($F$16-$F$15)-1,U$100:Y230,4,FALSE)))*EXP(-(LN(2)/$D$65+0.1)*(VLOOKUP(($F$16-$F$15)-1,U$100:Y230,5,FALSE)))*EXP(-(LN(2)/$D$65+0.04)*(VLOOKUP(($F$16-$F$15)*2-1,U$100:Y230,4,FALSE)))*EXP(-(LN(2)/$D$65+0.1)*(VLOOKUP(($F$16-$F$15)*2-1,U$100:Y230,5,FALSE)))*EXP(-(LN(2)/$D$65+0.04)*X230)*EXP(-(LN(2)/$D$65+0.1)*Y230),"-"))),"-")</f>
        <v>-</v>
      </c>
      <c r="AC230" s="224">
        <f t="shared" si="212"/>
        <v>130</v>
      </c>
      <c r="AD230" s="223" t="str">
        <f t="shared" si="186"/>
        <v>-</v>
      </c>
      <c r="AE230" s="224" t="str">
        <f t="shared" si="213"/>
        <v>-</v>
      </c>
      <c r="AF230" s="224" t="str">
        <f t="shared" si="187"/>
        <v>-</v>
      </c>
      <c r="AG230" s="224" t="str">
        <f t="shared" si="188"/>
        <v>-</v>
      </c>
      <c r="AH230" s="272">
        <f t="shared" si="214"/>
        <v>0.1</v>
      </c>
      <c r="AI230" s="271" t="str">
        <f>IFERROR(IF(AD229=1,AI$100*EXP(-(LN(2)/$D$65+0.04)*AF229)*EXP(-(LN(2)/$D$65+0.1)*AG229),IF(AD229=2,AI$100*EXP(-(LN(2)/$D$65+0.04)*(VLOOKUP(($F$16-$F$15)-1,AC$99:AG229,4,FALSE)))*EXP(-(LN(2)/$D$65+0.1)*(VLOOKUP(($F$16-$F$15)-1,AC$99:AG229,5,FALSE)))*EXP(-(LN(2)/$D$65+0.04)*AF229)*EXP(-(LN(2)/$D$65+0.1)*AG229),IF(AD229=3,AI$100*EXP(-(LN(2)/$D$65+0.04)*(VLOOKUP(($F$16-$F$15)-1,AC$99:AG229,4,FALSE)))*EXP(-(LN(2)/$D$65+0.1)*(VLOOKUP(($F$16-$F$15)-1,AC$99:AG229,5,FALSE)))*EXP(-(LN(2)/$D$65+0.04)*(VLOOKUP(($F$16-$F$15)*2-1,AC$99:AG229,4,FALSE)))*EXP(-(LN(2)/$D$65+0.1)*(VLOOKUP(($F$16-$F$15)*2-1,AC$99:AG229,5,FALSE)))*EXP(-(LN(2)/$D$65+0.04)*AF229)*EXP(-(LN(2)/$D$65+0.1)*AG229),"-"))),"-")</f>
        <v>-</v>
      </c>
      <c r="AJ230" s="271" t="str">
        <f>IFERROR(IF(AD230=1,AJ$100*EXP(-(LN(2)/$D$65+0.04)*AF230)*EXP(-(LN(2)/$D$65+0.1)*AG230),IF(AD230=2,AJ$100*EXP(-(LN(2)/$D$65+0.04)*(VLOOKUP(($F$16-$F$15)-1,AC$100:AG230,4,FALSE)))*EXP(-(LN(2)/$D$65+0.1)*(VLOOKUP(($F$16-$F$15)-1,AC$100:AG230,5,FALSE)))*EXP(-(LN(2)/$D$65+0.04)*AF230)*EXP(-(LN(2)/$D$65+0.1)*AG230),IF(AD230=3,AJ$100*EXP(-(LN(2)/$D$65+0.04)*(VLOOKUP(($F$16-$F$15)-1,AC$100:AG230,4,FALSE)))*EXP(-(LN(2)/$D$65+0.1)*(VLOOKUP(($F$16-$F$15)-1,AC$100:AG230,5,FALSE)))*EXP(-(LN(2)/$D$65+0.04)*(VLOOKUP(($F$16-$F$15)*2-1,AC$100:AG230,4,FALSE)))*EXP(-(LN(2)/$D$65+0.1)*(VLOOKUP(($F$16-$F$15)*2-1,AC$100:AG230,5,FALSE)))*EXP(-(LN(2)/$D$65+0.04)*AF230)*EXP(-(LN(2)/$D$65+0.1)*AG230),"-"))),"-")</f>
        <v>-</v>
      </c>
      <c r="AK230" s="227">
        <f t="shared" si="215"/>
        <v>130</v>
      </c>
      <c r="AL230" s="226" t="str">
        <f t="shared" si="189"/>
        <v>-</v>
      </c>
      <c r="AM230" s="227" t="str">
        <f t="shared" si="216"/>
        <v>-</v>
      </c>
      <c r="AN230" s="227" t="str">
        <f t="shared" si="217"/>
        <v>-</v>
      </c>
      <c r="AO230" s="227" t="str">
        <f t="shared" si="190"/>
        <v>-</v>
      </c>
      <c r="AP230" s="273">
        <f t="shared" si="218"/>
        <v>0.1</v>
      </c>
      <c r="AQ230" s="271" t="str">
        <f>IFERROR(IF(AL229=1,AQ$100*EXP(-(LN(2)/$D$65+0.04)*AN229)*EXP(-(LN(2)/$D$65+0.1)*AO229),IF(AL229=2,AQ$100*EXP(-(LN(2)/$D$65+0.04)*(VLOOKUP(($F$16-$F$15)-1,AK$99:AO229,4,FALSE)))*EXP(-(LN(2)/$D$65+0.1)*(VLOOKUP(($F$16-$F$15)-1,AK$99:AO229,5,FALSE)))*EXP(-(LN(2)/$D$65+0.04)*AN229)*EXP(-(LN(2)/$D$65+0.1)*AO229),IF(AL229=3,AQ$100*EXP(-(LN(2)/$D$65+0.04)*(VLOOKUP(($F$16-$F$15)-1,AK$99:AO229,4,FALSE)))*EXP(-(LN(2)/$D$65+0.1)*(VLOOKUP(($F$16-$F$15)-1,AK$99:AO229,5,FALSE)))*EXP(-(LN(2)/$D$65+0.04)*(VLOOKUP(($F$16-$F$15)*2-1,AK$99:AO229,4,FALSE)))*EXP(-(LN(2)/$D$65+0.1)*(VLOOKUP(($F$16-$F$15)*2-1,AK$99:AO229,5,FALSE)))*EXP(-(LN(2)/$D$65+0.04)*AN229)*EXP(-(LN(2)/$D$65+0.1)*AO229),"-"))),"-")</f>
        <v>-</v>
      </c>
      <c r="AR230" s="271" t="str">
        <f>IFERROR(IF(AL230=1,AR$100*EXP(-(LN(2)/$D$65+0.04)*AN230)*EXP(-(LN(2)/$D$65+0.1)*AO230),IF(AL230=2,AR$100*EXP(-(LN(2)/$D$65+0.04)*(VLOOKUP(($F$16-$F$15)-1,AK$100:AO230,4,FALSE)))*EXP(-(LN(2)/$D$65+0.1)*(VLOOKUP(($F$16-$F$15)-1,AK$100:AO230,5,FALSE)))*EXP(-(LN(2)/$D$65+0.04)*AN230)*EXP(-(LN(2)/$D$65+0.1)*AO230),IF(AL230=3,AR$100*EXP(-(LN(2)/$D$65+0.04)*(VLOOKUP(($F$16-$F$15)-1,AK$100:AO230,4,FALSE)))*EXP(-(LN(2)/$D$65+0.1)*(VLOOKUP(($F$16-$F$15)-1,AK$100:AO230,5,FALSE)))*EXP(-(LN(2)/$D$65+0.04)*(VLOOKUP(($F$16-$F$15)*2-1,AK$100:AO230,4,FALSE)))*EXP(-(LN(2)/$D$65+0.1)*(VLOOKUP(($F$16-$F$15)*2-1,AK$100:AO230,5,FALSE)))*EXP(-(LN(2)/$D$65+0.04)*AN230)*EXP(-(LN(2)/$D$65+0.1)*AO230),"-"))),"-")</f>
        <v>-</v>
      </c>
      <c r="AS230" s="274">
        <f t="shared" si="191"/>
        <v>0</v>
      </c>
      <c r="AT230" s="274">
        <f t="shared" si="192"/>
        <v>0</v>
      </c>
      <c r="AU230" s="274">
        <f t="shared" si="193"/>
        <v>0</v>
      </c>
      <c r="AV230" s="190" t="str">
        <f>IF($B230&lt;$F$22,SUM($T$100:$T230),"")</f>
        <v/>
      </c>
      <c r="AW230" s="190" t="str">
        <f t="shared" si="194"/>
        <v>-</v>
      </c>
      <c r="AX230" s="190" t="str">
        <f t="shared" si="219"/>
        <v/>
      </c>
      <c r="AY230"/>
      <c r="AZ230" s="190" t="str">
        <f ca="1">IF(ISNUMBER(OFFSET(AV230,-$F$21,0)),SUM(OFFSET($T$100,$F$21,0):$T230),"")</f>
        <v/>
      </c>
      <c r="BA230" s="190" t="str">
        <f t="shared" ca="1" si="195"/>
        <v/>
      </c>
      <c r="BB230" s="190" t="str">
        <f t="shared" ca="1" si="148"/>
        <v/>
      </c>
      <c r="BC230" s="190"/>
      <c r="BD230" s="190" t="str">
        <f ca="1">IFERROR(IF(OR(ISNUMBER(I),ISNUMBER($F$14)),IF(AND($B230&gt;=($F$16-$F$15),$B230&lt;$F$22+($F$16-$F$15)),SUM(OFFSET($T$100,($F$16-$F$15),0):$T230),""),""),"")</f>
        <v/>
      </c>
      <c r="BE230" s="190" t="str">
        <f t="shared" ca="1" si="220"/>
        <v/>
      </c>
      <c r="BF230" s="190" t="str">
        <f t="shared" ca="1" si="221"/>
        <v/>
      </c>
      <c r="BG230"/>
      <c r="BH230" s="190" t="str">
        <f ca="1">IF(ISNUMBER(OFFSET(BD230,-$F$21,0)),SUM(OFFSET($T$100,($F$16-$F$15+$F$21),0):$T230),"")</f>
        <v/>
      </c>
      <c r="BI230" s="190" t="str">
        <f t="shared" ca="1" si="196"/>
        <v/>
      </c>
      <c r="BJ230" s="190" t="str">
        <f t="shared" ca="1" si="222"/>
        <v/>
      </c>
      <c r="BK230" s="190"/>
      <c r="BL230" s="190" t="str">
        <f ca="1">IFERROR(IF(OR(ISNUMBER(I),ISNUMBER($F$14)),IF(AND($B230&gt;=($F$17-$F$15),$B230&lt;$F$22+($F$17-$F$15)),SUM(OFFSET($T$100,($F$17-$F$15),0):$T230),""),""),"")</f>
        <v/>
      </c>
      <c r="BM230" s="190" t="str">
        <f t="shared" ca="1" si="197"/>
        <v/>
      </c>
      <c r="BN230" s="190" t="str">
        <f t="shared" ca="1" si="223"/>
        <v/>
      </c>
      <c r="BO230"/>
      <c r="BP230" s="190" t="str">
        <f ca="1">IF(ISNUMBER(OFFSET(BL230,-$F$21,0)),SUM(OFFSET($T$100,($F$17-$F$15+$F$21),0):$T230),"")</f>
        <v/>
      </c>
      <c r="BQ230" s="190" t="str">
        <f t="shared" ca="1" si="198"/>
        <v/>
      </c>
      <c r="BR230" s="190" t="str">
        <f t="shared" ca="1" si="224"/>
        <v/>
      </c>
      <c r="BS230" s="190"/>
      <c r="BT230"/>
      <c r="BU230"/>
      <c r="BV230"/>
      <c r="BY230" s="99"/>
      <c r="BZ230" s="99"/>
      <c r="CA230" s="280" t="str">
        <f t="shared" si="199"/>
        <v/>
      </c>
      <c r="CB230" s="71" t="str">
        <f t="shared" si="200"/>
        <v>-</v>
      </c>
      <c r="CC230" s="33"/>
      <c r="CD230" s="261" t="str">
        <f t="shared" si="201"/>
        <v/>
      </c>
      <c r="CE230" s="280" t="str">
        <f t="shared" si="202"/>
        <v/>
      </c>
      <c r="CF230" s="71" t="str">
        <f t="shared" ca="1" si="203"/>
        <v/>
      </c>
      <c r="CG230" s="33" t="str">
        <f t="shared" si="204"/>
        <v/>
      </c>
      <c r="CH230" s="261" t="str">
        <f t="shared" ca="1" si="205"/>
        <v/>
      </c>
    </row>
    <row r="231" spans="2:86" ht="13.5" customHeight="1" x14ac:dyDescent="0.2">
      <c r="B231" s="262">
        <v>131</v>
      </c>
      <c r="C231" s="237" t="str">
        <f t="shared" si="169"/>
        <v/>
      </c>
      <c r="D231" s="237" t="str">
        <f t="shared" si="225"/>
        <v/>
      </c>
      <c r="E231" s="263" t="str">
        <f t="shared" si="206"/>
        <v/>
      </c>
      <c r="F231" s="264" t="str">
        <f t="shared" si="207"/>
        <v/>
      </c>
      <c r="G231" s="264" t="str">
        <f t="shared" si="208"/>
        <v/>
      </c>
      <c r="H231" s="240" t="str">
        <f t="shared" si="170"/>
        <v/>
      </c>
      <c r="I231" s="265" t="str">
        <f t="shared" si="171"/>
        <v/>
      </c>
      <c r="J231" s="265" t="str">
        <f t="shared" si="172"/>
        <v/>
      </c>
      <c r="K231" s="240" t="str">
        <f t="shared" si="173"/>
        <v/>
      </c>
      <c r="L231" s="265" t="str">
        <f t="shared" si="174"/>
        <v/>
      </c>
      <c r="M231" s="265" t="str">
        <f t="shared" si="175"/>
        <v/>
      </c>
      <c r="N231" s="240" t="str">
        <f t="shared" si="176"/>
        <v>-</v>
      </c>
      <c r="O231" s="265" t="str">
        <f t="shared" si="177"/>
        <v>-</v>
      </c>
      <c r="P231" s="265" t="str">
        <f t="shared" si="178"/>
        <v>-</v>
      </c>
      <c r="Q231" s="266" t="str">
        <f t="shared" si="179"/>
        <v>-</v>
      </c>
      <c r="R231" s="267" t="str">
        <f t="shared" si="180"/>
        <v>-</v>
      </c>
      <c r="S231" s="268" t="str">
        <f t="shared" si="181"/>
        <v>-</v>
      </c>
      <c r="T231" s="269" t="str">
        <f t="shared" si="182"/>
        <v/>
      </c>
      <c r="U231" s="221">
        <f t="shared" si="183"/>
        <v>131</v>
      </c>
      <c r="V231" s="220" t="str">
        <f t="shared" si="209"/>
        <v>-</v>
      </c>
      <c r="W231" s="221" t="str">
        <f t="shared" si="210"/>
        <v>-</v>
      </c>
      <c r="X231" s="221" t="str">
        <f t="shared" si="184"/>
        <v>-</v>
      </c>
      <c r="Y231" s="221" t="str">
        <f t="shared" si="185"/>
        <v>-</v>
      </c>
      <c r="Z231" s="270">
        <f t="shared" si="211"/>
        <v>0.1</v>
      </c>
      <c r="AA231" s="271" t="str">
        <f>IFERROR(IF(V230=1,AA$100*EXP(-(LN(2)/$D$65+0.04)*X230)*EXP(-(LN(2)/$D$65+0.1)*Y230),IF(V230=2,AA$100*EXP(-(LN(2)/$D$65+0.04)*(VLOOKUP(($F$16-$F$15)-1,U$99:Y230,4,FALSE)))*EXP(-(LN(2)/$D$65+0.1)*(VLOOKUP(($F$16-$F$15)-1,U$99:Y230,5,FALSE)))*EXP(-(LN(2)/$D$65+0.04)*X230)*EXP(-(LN(2)/$D$65+0.1)*Y230),IF(V230=3,AA$100*EXP(-(LN(2)/$D$65+0.04)*(VLOOKUP(($F$16-$F$15)-1,U$99:Y230,4,FALSE)))*EXP(-(LN(2)/$D$65+0.1)*(VLOOKUP(($F$16-$F$15)-1,U$99:Y230,5,FALSE)))*EXP(-(LN(2)/$D$65+0.04)*(VLOOKUP(($F$16-$F$15)*2-1,U$99:Y230,4,FALSE)))*EXP(-(LN(2)/$D$65+0.1)*(VLOOKUP(($F$16-$F$15)*2-1,U$99:Y230,5,FALSE)))*EXP(-(LN(2)/$D$65+0.04)*X230)*EXP(-(LN(2)/$D$65+0.1)*Y230),"-"))),"-")</f>
        <v>-</v>
      </c>
      <c r="AB231" s="271" t="str">
        <f>IFERROR(IF(V231=1,AB$100*EXP(-(LN(2)/$D$65+0.04)*X231)*EXP(-(LN(2)/$D$65+0.1)*Y231),IF(V231=2,AB$100*EXP(-(LN(2)/$D$65+0.04)*(VLOOKUP(($F$16-$F$15)-1,U$100:Y231,4,FALSE)))*EXP(-(LN(2)/$D$65+0.1)*(VLOOKUP(($F$16-$F$15)-1,U$100:Y231,5,FALSE)))*EXP(-(LN(2)/$D$65+0.04)*X231)*EXP(-(LN(2)/$D$65+0.1)*Y231),IF(V231=3,AB$100*EXP(-(LN(2)/$D$65+0.04)*(VLOOKUP(($F$16-$F$15)-1,U$100:Y231,4,FALSE)))*EXP(-(LN(2)/$D$65+0.1)*(VLOOKUP(($F$16-$F$15)-1,U$100:Y231,5,FALSE)))*EXP(-(LN(2)/$D$65+0.04)*(VLOOKUP(($F$16-$F$15)*2-1,U$100:Y231,4,FALSE)))*EXP(-(LN(2)/$D$65+0.1)*(VLOOKUP(($F$16-$F$15)*2-1,U$100:Y231,5,FALSE)))*EXP(-(LN(2)/$D$65+0.04)*X231)*EXP(-(LN(2)/$D$65+0.1)*Y231),"-"))),"-")</f>
        <v>-</v>
      </c>
      <c r="AC231" s="224">
        <f t="shared" si="212"/>
        <v>131</v>
      </c>
      <c r="AD231" s="223" t="str">
        <f t="shared" si="186"/>
        <v>-</v>
      </c>
      <c r="AE231" s="224" t="str">
        <f t="shared" si="213"/>
        <v>-</v>
      </c>
      <c r="AF231" s="224" t="str">
        <f t="shared" si="187"/>
        <v>-</v>
      </c>
      <c r="AG231" s="224" t="str">
        <f t="shared" si="188"/>
        <v>-</v>
      </c>
      <c r="AH231" s="272">
        <f t="shared" si="214"/>
        <v>0.1</v>
      </c>
      <c r="AI231" s="271" t="str">
        <f>IFERROR(IF(AD230=1,AI$100*EXP(-(LN(2)/$D$65+0.04)*AF230)*EXP(-(LN(2)/$D$65+0.1)*AG230),IF(AD230=2,AI$100*EXP(-(LN(2)/$D$65+0.04)*(VLOOKUP(($F$16-$F$15)-1,AC$99:AG230,4,FALSE)))*EXP(-(LN(2)/$D$65+0.1)*(VLOOKUP(($F$16-$F$15)-1,AC$99:AG230,5,FALSE)))*EXP(-(LN(2)/$D$65+0.04)*AF230)*EXP(-(LN(2)/$D$65+0.1)*AG230),IF(AD230=3,AI$100*EXP(-(LN(2)/$D$65+0.04)*(VLOOKUP(($F$16-$F$15)-1,AC$99:AG230,4,FALSE)))*EXP(-(LN(2)/$D$65+0.1)*(VLOOKUP(($F$16-$F$15)-1,AC$99:AG230,5,FALSE)))*EXP(-(LN(2)/$D$65+0.04)*(VLOOKUP(($F$16-$F$15)*2-1,AC$99:AG230,4,FALSE)))*EXP(-(LN(2)/$D$65+0.1)*(VLOOKUP(($F$16-$F$15)*2-1,AC$99:AG230,5,FALSE)))*EXP(-(LN(2)/$D$65+0.04)*AF230)*EXP(-(LN(2)/$D$65+0.1)*AG230),"-"))),"-")</f>
        <v>-</v>
      </c>
      <c r="AJ231" s="271" t="str">
        <f>IFERROR(IF(AD231=1,AJ$100*EXP(-(LN(2)/$D$65+0.04)*AF231)*EXP(-(LN(2)/$D$65+0.1)*AG231),IF(AD231=2,AJ$100*EXP(-(LN(2)/$D$65+0.04)*(VLOOKUP(($F$16-$F$15)-1,AC$100:AG231,4,FALSE)))*EXP(-(LN(2)/$D$65+0.1)*(VLOOKUP(($F$16-$F$15)-1,AC$100:AG231,5,FALSE)))*EXP(-(LN(2)/$D$65+0.04)*AF231)*EXP(-(LN(2)/$D$65+0.1)*AG231),IF(AD231=3,AJ$100*EXP(-(LN(2)/$D$65+0.04)*(VLOOKUP(($F$16-$F$15)-1,AC$100:AG231,4,FALSE)))*EXP(-(LN(2)/$D$65+0.1)*(VLOOKUP(($F$16-$F$15)-1,AC$100:AG231,5,FALSE)))*EXP(-(LN(2)/$D$65+0.04)*(VLOOKUP(($F$16-$F$15)*2-1,AC$100:AG231,4,FALSE)))*EXP(-(LN(2)/$D$65+0.1)*(VLOOKUP(($F$16-$F$15)*2-1,AC$100:AG231,5,FALSE)))*EXP(-(LN(2)/$D$65+0.04)*AF231)*EXP(-(LN(2)/$D$65+0.1)*AG231),"-"))),"-")</f>
        <v>-</v>
      </c>
      <c r="AK231" s="227">
        <f t="shared" si="215"/>
        <v>131</v>
      </c>
      <c r="AL231" s="226" t="str">
        <f t="shared" si="189"/>
        <v>-</v>
      </c>
      <c r="AM231" s="227" t="str">
        <f t="shared" si="216"/>
        <v>-</v>
      </c>
      <c r="AN231" s="227" t="str">
        <f t="shared" si="217"/>
        <v>-</v>
      </c>
      <c r="AO231" s="227" t="str">
        <f t="shared" si="190"/>
        <v>-</v>
      </c>
      <c r="AP231" s="273">
        <f t="shared" si="218"/>
        <v>0.1</v>
      </c>
      <c r="AQ231" s="271" t="str">
        <f>IFERROR(IF(AL230=1,AQ$100*EXP(-(LN(2)/$D$65+0.04)*AN230)*EXP(-(LN(2)/$D$65+0.1)*AO230),IF(AL230=2,AQ$100*EXP(-(LN(2)/$D$65+0.04)*(VLOOKUP(($F$16-$F$15)-1,AK$99:AO230,4,FALSE)))*EXP(-(LN(2)/$D$65+0.1)*(VLOOKUP(($F$16-$F$15)-1,AK$99:AO230,5,FALSE)))*EXP(-(LN(2)/$D$65+0.04)*AN230)*EXP(-(LN(2)/$D$65+0.1)*AO230),IF(AL230=3,AQ$100*EXP(-(LN(2)/$D$65+0.04)*(VLOOKUP(($F$16-$F$15)-1,AK$99:AO230,4,FALSE)))*EXP(-(LN(2)/$D$65+0.1)*(VLOOKUP(($F$16-$F$15)-1,AK$99:AO230,5,FALSE)))*EXP(-(LN(2)/$D$65+0.04)*(VLOOKUP(($F$16-$F$15)*2-1,AK$99:AO230,4,FALSE)))*EXP(-(LN(2)/$D$65+0.1)*(VLOOKUP(($F$16-$F$15)*2-1,AK$99:AO230,5,FALSE)))*EXP(-(LN(2)/$D$65+0.04)*AN230)*EXP(-(LN(2)/$D$65+0.1)*AO230),"-"))),"-")</f>
        <v>-</v>
      </c>
      <c r="AR231" s="271" t="str">
        <f>IFERROR(IF(AL231=1,AR$100*EXP(-(LN(2)/$D$65+0.04)*AN231)*EXP(-(LN(2)/$D$65+0.1)*AO231),IF(AL231=2,AR$100*EXP(-(LN(2)/$D$65+0.04)*(VLOOKUP(($F$16-$F$15)-1,AK$100:AO231,4,FALSE)))*EXP(-(LN(2)/$D$65+0.1)*(VLOOKUP(($F$16-$F$15)-1,AK$100:AO231,5,FALSE)))*EXP(-(LN(2)/$D$65+0.04)*AN231)*EXP(-(LN(2)/$D$65+0.1)*AO231),IF(AL231=3,AR$100*EXP(-(LN(2)/$D$65+0.04)*(VLOOKUP(($F$16-$F$15)-1,AK$100:AO231,4,FALSE)))*EXP(-(LN(2)/$D$65+0.1)*(VLOOKUP(($F$16-$F$15)-1,AK$100:AO231,5,FALSE)))*EXP(-(LN(2)/$D$65+0.04)*(VLOOKUP(($F$16-$F$15)*2-1,AK$100:AO231,4,FALSE)))*EXP(-(LN(2)/$D$65+0.1)*(VLOOKUP(($F$16-$F$15)*2-1,AK$100:AO231,5,FALSE)))*EXP(-(LN(2)/$D$65+0.04)*AN231)*EXP(-(LN(2)/$D$65+0.1)*AO231),"-"))),"-")</f>
        <v>-</v>
      </c>
      <c r="AS231" s="274">
        <f t="shared" si="191"/>
        <v>0</v>
      </c>
      <c r="AT231" s="274">
        <f t="shared" si="192"/>
        <v>0</v>
      </c>
      <c r="AU231" s="274">
        <f t="shared" si="193"/>
        <v>0</v>
      </c>
      <c r="AV231" s="190" t="str">
        <f>IF($B231&lt;$F$22,SUM($T$100:$T231),"")</f>
        <v/>
      </c>
      <c r="AW231" s="190" t="str">
        <f t="shared" si="194"/>
        <v>-</v>
      </c>
      <c r="AX231" s="190" t="str">
        <f t="shared" si="219"/>
        <v/>
      </c>
      <c r="AY231"/>
      <c r="AZ231" s="190" t="str">
        <f ca="1">IF(ISNUMBER(OFFSET(AV231,-$F$21,0)),SUM(OFFSET($T$100,$F$21,0):$T231),"")</f>
        <v/>
      </c>
      <c r="BA231" s="190" t="str">
        <f t="shared" ca="1" si="195"/>
        <v/>
      </c>
      <c r="BB231" s="190" t="str">
        <f t="shared" ca="1" si="148"/>
        <v/>
      </c>
      <c r="BC231" s="190"/>
      <c r="BD231" s="190" t="str">
        <f ca="1">IFERROR(IF(OR(ISNUMBER(I),ISNUMBER($F$14)),IF(AND($B231&gt;=($F$16-$F$15),$B231&lt;$F$22+($F$16-$F$15)),SUM(OFFSET($T$100,($F$16-$F$15),0):$T231),""),""),"")</f>
        <v/>
      </c>
      <c r="BE231" s="190" t="str">
        <f t="shared" ca="1" si="220"/>
        <v/>
      </c>
      <c r="BF231" s="190" t="str">
        <f t="shared" ca="1" si="221"/>
        <v/>
      </c>
      <c r="BG231"/>
      <c r="BH231" s="190" t="str">
        <f ca="1">IF(ISNUMBER(OFFSET(BD231,-$F$21,0)),SUM(OFFSET($T$100,($F$16-$F$15+$F$21),0):$T231),"")</f>
        <v/>
      </c>
      <c r="BI231" s="190" t="str">
        <f t="shared" ca="1" si="196"/>
        <v/>
      </c>
      <c r="BJ231" s="190" t="str">
        <f t="shared" ca="1" si="222"/>
        <v/>
      </c>
      <c r="BK231" s="190"/>
      <c r="BL231" s="190" t="str">
        <f ca="1">IFERROR(IF(OR(ISNUMBER(I),ISNUMBER($F$14)),IF(AND($B231&gt;=($F$17-$F$15),$B231&lt;$F$22+($F$17-$F$15)),SUM(OFFSET($T$100,($F$17-$F$15),0):$T231),""),""),"")</f>
        <v/>
      </c>
      <c r="BM231" s="190" t="str">
        <f t="shared" ca="1" si="197"/>
        <v/>
      </c>
      <c r="BN231" s="190" t="str">
        <f t="shared" ca="1" si="223"/>
        <v/>
      </c>
      <c r="BO231"/>
      <c r="BP231" s="190" t="str">
        <f ca="1">IF(ISNUMBER(OFFSET(BL231,-$F$21,0)),SUM(OFFSET($T$100,($F$17-$F$15+$F$21),0):$T231),"")</f>
        <v/>
      </c>
      <c r="BQ231" s="190" t="str">
        <f t="shared" ca="1" si="198"/>
        <v/>
      </c>
      <c r="BR231" s="190" t="str">
        <f t="shared" ca="1" si="224"/>
        <v/>
      </c>
      <c r="BS231" s="190"/>
      <c r="BT231"/>
      <c r="BU231"/>
      <c r="BV231"/>
      <c r="BY231" s="99"/>
      <c r="BZ231" s="99"/>
      <c r="CA231" s="280" t="str">
        <f t="shared" si="199"/>
        <v/>
      </c>
      <c r="CB231" s="71" t="str">
        <f t="shared" si="200"/>
        <v>-</v>
      </c>
      <c r="CC231" s="33"/>
      <c r="CD231" s="261" t="str">
        <f t="shared" si="201"/>
        <v/>
      </c>
      <c r="CE231" s="280" t="str">
        <f t="shared" si="202"/>
        <v/>
      </c>
      <c r="CF231" s="71" t="str">
        <f t="shared" ca="1" si="203"/>
        <v/>
      </c>
      <c r="CG231" s="33" t="str">
        <f t="shared" si="204"/>
        <v/>
      </c>
      <c r="CH231" s="261" t="str">
        <f t="shared" ca="1" si="205"/>
        <v/>
      </c>
    </row>
    <row r="232" spans="2:86" ht="13.5" customHeight="1" x14ac:dyDescent="0.2">
      <c r="B232" s="262">
        <v>132</v>
      </c>
      <c r="C232" s="237" t="str">
        <f t="shared" si="169"/>
        <v/>
      </c>
      <c r="D232" s="237" t="str">
        <f t="shared" si="225"/>
        <v/>
      </c>
      <c r="E232" s="263" t="str">
        <f t="shared" si="206"/>
        <v/>
      </c>
      <c r="F232" s="264" t="str">
        <f t="shared" si="207"/>
        <v/>
      </c>
      <c r="G232" s="264" t="str">
        <f t="shared" si="208"/>
        <v/>
      </c>
      <c r="H232" s="240" t="str">
        <f t="shared" si="170"/>
        <v/>
      </c>
      <c r="I232" s="265" t="str">
        <f t="shared" si="171"/>
        <v/>
      </c>
      <c r="J232" s="265" t="str">
        <f t="shared" si="172"/>
        <v/>
      </c>
      <c r="K232" s="240" t="str">
        <f t="shared" si="173"/>
        <v/>
      </c>
      <c r="L232" s="265" t="str">
        <f t="shared" si="174"/>
        <v/>
      </c>
      <c r="M232" s="265" t="str">
        <f t="shared" si="175"/>
        <v/>
      </c>
      <c r="N232" s="240" t="str">
        <f t="shared" si="176"/>
        <v>-</v>
      </c>
      <c r="O232" s="265" t="str">
        <f t="shared" si="177"/>
        <v>-</v>
      </c>
      <c r="P232" s="265" t="str">
        <f t="shared" si="178"/>
        <v>-</v>
      </c>
      <c r="Q232" s="266" t="str">
        <f t="shared" si="179"/>
        <v>-</v>
      </c>
      <c r="R232" s="267" t="str">
        <f t="shared" si="180"/>
        <v>-</v>
      </c>
      <c r="S232" s="268" t="str">
        <f t="shared" si="181"/>
        <v>-</v>
      </c>
      <c r="T232" s="269" t="str">
        <f t="shared" si="182"/>
        <v/>
      </c>
      <c r="U232" s="221">
        <f t="shared" si="183"/>
        <v>132</v>
      </c>
      <c r="V232" s="220" t="str">
        <f t="shared" si="209"/>
        <v>-</v>
      </c>
      <c r="W232" s="221" t="str">
        <f t="shared" si="210"/>
        <v>-</v>
      </c>
      <c r="X232" s="221" t="str">
        <f t="shared" si="184"/>
        <v>-</v>
      </c>
      <c r="Y232" s="221" t="str">
        <f t="shared" si="185"/>
        <v>-</v>
      </c>
      <c r="Z232" s="270">
        <f t="shared" si="211"/>
        <v>0.1</v>
      </c>
      <c r="AA232" s="271" t="str">
        <f>IFERROR(IF(V231=1,AA$100*EXP(-(LN(2)/$D$65+0.04)*X231)*EXP(-(LN(2)/$D$65+0.1)*Y231),IF(V231=2,AA$100*EXP(-(LN(2)/$D$65+0.04)*(VLOOKUP(($F$16-$F$15)-1,U$99:Y231,4,FALSE)))*EXP(-(LN(2)/$D$65+0.1)*(VLOOKUP(($F$16-$F$15)-1,U$99:Y231,5,FALSE)))*EXP(-(LN(2)/$D$65+0.04)*X231)*EXP(-(LN(2)/$D$65+0.1)*Y231),IF(V231=3,AA$100*EXP(-(LN(2)/$D$65+0.04)*(VLOOKUP(($F$16-$F$15)-1,U$99:Y231,4,FALSE)))*EXP(-(LN(2)/$D$65+0.1)*(VLOOKUP(($F$16-$F$15)-1,U$99:Y231,5,FALSE)))*EXP(-(LN(2)/$D$65+0.04)*(VLOOKUP(($F$16-$F$15)*2-1,U$99:Y231,4,FALSE)))*EXP(-(LN(2)/$D$65+0.1)*(VLOOKUP(($F$16-$F$15)*2-1,U$99:Y231,5,FALSE)))*EXP(-(LN(2)/$D$65+0.04)*X231)*EXP(-(LN(2)/$D$65+0.1)*Y231),"-"))),"-")</f>
        <v>-</v>
      </c>
      <c r="AB232" s="271" t="str">
        <f>IFERROR(IF(V232=1,AB$100*EXP(-(LN(2)/$D$65+0.04)*X232)*EXP(-(LN(2)/$D$65+0.1)*Y232),IF(V232=2,AB$100*EXP(-(LN(2)/$D$65+0.04)*(VLOOKUP(($F$16-$F$15)-1,U$100:Y232,4,FALSE)))*EXP(-(LN(2)/$D$65+0.1)*(VLOOKUP(($F$16-$F$15)-1,U$100:Y232,5,FALSE)))*EXP(-(LN(2)/$D$65+0.04)*X232)*EXP(-(LN(2)/$D$65+0.1)*Y232),IF(V232=3,AB$100*EXP(-(LN(2)/$D$65+0.04)*(VLOOKUP(($F$16-$F$15)-1,U$100:Y232,4,FALSE)))*EXP(-(LN(2)/$D$65+0.1)*(VLOOKUP(($F$16-$F$15)-1,U$100:Y232,5,FALSE)))*EXP(-(LN(2)/$D$65+0.04)*(VLOOKUP(($F$16-$F$15)*2-1,U$100:Y232,4,FALSE)))*EXP(-(LN(2)/$D$65+0.1)*(VLOOKUP(($F$16-$F$15)*2-1,U$100:Y232,5,FALSE)))*EXP(-(LN(2)/$D$65+0.04)*X232)*EXP(-(LN(2)/$D$65+0.1)*Y232),"-"))),"-")</f>
        <v>-</v>
      </c>
      <c r="AC232" s="224">
        <f t="shared" si="212"/>
        <v>132</v>
      </c>
      <c r="AD232" s="223" t="str">
        <f t="shared" si="186"/>
        <v>-</v>
      </c>
      <c r="AE232" s="224" t="str">
        <f t="shared" si="213"/>
        <v>-</v>
      </c>
      <c r="AF232" s="224" t="str">
        <f t="shared" si="187"/>
        <v>-</v>
      </c>
      <c r="AG232" s="224" t="str">
        <f t="shared" si="188"/>
        <v>-</v>
      </c>
      <c r="AH232" s="272">
        <f t="shared" si="214"/>
        <v>0.1</v>
      </c>
      <c r="AI232" s="271" t="str">
        <f>IFERROR(IF(AD231=1,AI$100*EXP(-(LN(2)/$D$65+0.04)*AF231)*EXP(-(LN(2)/$D$65+0.1)*AG231),IF(AD231=2,AI$100*EXP(-(LN(2)/$D$65+0.04)*(VLOOKUP(($F$16-$F$15)-1,AC$99:AG231,4,FALSE)))*EXP(-(LN(2)/$D$65+0.1)*(VLOOKUP(($F$16-$F$15)-1,AC$99:AG231,5,FALSE)))*EXP(-(LN(2)/$D$65+0.04)*AF231)*EXP(-(LN(2)/$D$65+0.1)*AG231),IF(AD231=3,AI$100*EXP(-(LN(2)/$D$65+0.04)*(VLOOKUP(($F$16-$F$15)-1,AC$99:AG231,4,FALSE)))*EXP(-(LN(2)/$D$65+0.1)*(VLOOKUP(($F$16-$F$15)-1,AC$99:AG231,5,FALSE)))*EXP(-(LN(2)/$D$65+0.04)*(VLOOKUP(($F$16-$F$15)*2-1,AC$99:AG231,4,FALSE)))*EXP(-(LN(2)/$D$65+0.1)*(VLOOKUP(($F$16-$F$15)*2-1,AC$99:AG231,5,FALSE)))*EXP(-(LN(2)/$D$65+0.04)*AF231)*EXP(-(LN(2)/$D$65+0.1)*AG231),"-"))),"-")</f>
        <v>-</v>
      </c>
      <c r="AJ232" s="271" t="str">
        <f>IFERROR(IF(AD232=1,AJ$100*EXP(-(LN(2)/$D$65+0.04)*AF232)*EXP(-(LN(2)/$D$65+0.1)*AG232),IF(AD232=2,AJ$100*EXP(-(LN(2)/$D$65+0.04)*(VLOOKUP(($F$16-$F$15)-1,AC$100:AG232,4,FALSE)))*EXP(-(LN(2)/$D$65+0.1)*(VLOOKUP(($F$16-$F$15)-1,AC$100:AG232,5,FALSE)))*EXP(-(LN(2)/$D$65+0.04)*AF232)*EXP(-(LN(2)/$D$65+0.1)*AG232),IF(AD232=3,AJ$100*EXP(-(LN(2)/$D$65+0.04)*(VLOOKUP(($F$16-$F$15)-1,AC$100:AG232,4,FALSE)))*EXP(-(LN(2)/$D$65+0.1)*(VLOOKUP(($F$16-$F$15)-1,AC$100:AG232,5,FALSE)))*EXP(-(LN(2)/$D$65+0.04)*(VLOOKUP(($F$16-$F$15)*2-1,AC$100:AG232,4,FALSE)))*EXP(-(LN(2)/$D$65+0.1)*(VLOOKUP(($F$16-$F$15)*2-1,AC$100:AG232,5,FALSE)))*EXP(-(LN(2)/$D$65+0.04)*AF232)*EXP(-(LN(2)/$D$65+0.1)*AG232),"-"))),"-")</f>
        <v>-</v>
      </c>
      <c r="AK232" s="227">
        <f t="shared" si="215"/>
        <v>132</v>
      </c>
      <c r="AL232" s="226" t="str">
        <f t="shared" si="189"/>
        <v>-</v>
      </c>
      <c r="AM232" s="227" t="str">
        <f t="shared" si="216"/>
        <v>-</v>
      </c>
      <c r="AN232" s="227" t="str">
        <f t="shared" si="217"/>
        <v>-</v>
      </c>
      <c r="AO232" s="227" t="str">
        <f t="shared" si="190"/>
        <v>-</v>
      </c>
      <c r="AP232" s="273">
        <f t="shared" si="218"/>
        <v>0.1</v>
      </c>
      <c r="AQ232" s="271" t="str">
        <f>IFERROR(IF(AL231=1,AQ$100*EXP(-(LN(2)/$D$65+0.04)*AN231)*EXP(-(LN(2)/$D$65+0.1)*AO231),IF(AL231=2,AQ$100*EXP(-(LN(2)/$D$65+0.04)*(VLOOKUP(($F$16-$F$15)-1,AK$99:AO231,4,FALSE)))*EXP(-(LN(2)/$D$65+0.1)*(VLOOKUP(($F$16-$F$15)-1,AK$99:AO231,5,FALSE)))*EXP(-(LN(2)/$D$65+0.04)*AN231)*EXP(-(LN(2)/$D$65+0.1)*AO231),IF(AL231=3,AQ$100*EXP(-(LN(2)/$D$65+0.04)*(VLOOKUP(($F$16-$F$15)-1,AK$99:AO231,4,FALSE)))*EXP(-(LN(2)/$D$65+0.1)*(VLOOKUP(($F$16-$F$15)-1,AK$99:AO231,5,FALSE)))*EXP(-(LN(2)/$D$65+0.04)*(VLOOKUP(($F$16-$F$15)*2-1,AK$99:AO231,4,FALSE)))*EXP(-(LN(2)/$D$65+0.1)*(VLOOKUP(($F$16-$F$15)*2-1,AK$99:AO231,5,FALSE)))*EXP(-(LN(2)/$D$65+0.04)*AN231)*EXP(-(LN(2)/$D$65+0.1)*AO231),"-"))),"-")</f>
        <v>-</v>
      </c>
      <c r="AR232" s="271" t="str">
        <f>IFERROR(IF(AL232=1,AR$100*EXP(-(LN(2)/$D$65+0.04)*AN232)*EXP(-(LN(2)/$D$65+0.1)*AO232),IF(AL232=2,AR$100*EXP(-(LN(2)/$D$65+0.04)*(VLOOKUP(($F$16-$F$15)-1,AK$100:AO232,4,FALSE)))*EXP(-(LN(2)/$D$65+0.1)*(VLOOKUP(($F$16-$F$15)-1,AK$100:AO232,5,FALSE)))*EXP(-(LN(2)/$D$65+0.04)*AN232)*EXP(-(LN(2)/$D$65+0.1)*AO232),IF(AL232=3,AR$100*EXP(-(LN(2)/$D$65+0.04)*(VLOOKUP(($F$16-$F$15)-1,AK$100:AO232,4,FALSE)))*EXP(-(LN(2)/$D$65+0.1)*(VLOOKUP(($F$16-$F$15)-1,AK$100:AO232,5,FALSE)))*EXP(-(LN(2)/$D$65+0.04)*(VLOOKUP(($F$16-$F$15)*2-1,AK$100:AO232,4,FALSE)))*EXP(-(LN(2)/$D$65+0.1)*(VLOOKUP(($F$16-$F$15)*2-1,AK$100:AO232,5,FALSE)))*EXP(-(LN(2)/$D$65+0.04)*AN232)*EXP(-(LN(2)/$D$65+0.1)*AO232),"-"))),"-")</f>
        <v>-</v>
      </c>
      <c r="AS232" s="274">
        <f t="shared" si="191"/>
        <v>0</v>
      </c>
      <c r="AT232" s="274">
        <f t="shared" si="192"/>
        <v>0</v>
      </c>
      <c r="AU232" s="274">
        <f t="shared" si="193"/>
        <v>0</v>
      </c>
      <c r="AV232" s="190" t="str">
        <f>IF($B232&lt;$F$22,SUM($T$100:$T232),"")</f>
        <v/>
      </c>
      <c r="AW232" s="190" t="str">
        <f t="shared" si="194"/>
        <v>-</v>
      </c>
      <c r="AX232" s="190" t="str">
        <f t="shared" si="219"/>
        <v/>
      </c>
      <c r="AY232"/>
      <c r="AZ232" s="190" t="str">
        <f ca="1">IF(ISNUMBER(OFFSET(AV232,-$F$21,0)),SUM(OFFSET($T$100,$F$21,0):$T232),"")</f>
        <v/>
      </c>
      <c r="BA232" s="190" t="str">
        <f t="shared" ca="1" si="195"/>
        <v/>
      </c>
      <c r="BB232" s="190" t="str">
        <f t="shared" ca="1" si="148"/>
        <v/>
      </c>
      <c r="BC232" s="190"/>
      <c r="BD232" s="190" t="str">
        <f ca="1">IFERROR(IF(OR(ISNUMBER(I),ISNUMBER($F$14)),IF(AND($B232&gt;=($F$16-$F$15),$B232&lt;$F$22+($F$16-$F$15)),SUM(OFFSET($T$100,($F$16-$F$15),0):$T232),""),""),"")</f>
        <v/>
      </c>
      <c r="BE232" s="190" t="str">
        <f t="shared" ca="1" si="220"/>
        <v/>
      </c>
      <c r="BF232" s="190" t="str">
        <f t="shared" ca="1" si="221"/>
        <v/>
      </c>
      <c r="BG232"/>
      <c r="BH232" s="190" t="str">
        <f ca="1">IF(ISNUMBER(OFFSET(BD232,-$F$21,0)),SUM(OFFSET($T$100,($F$16-$F$15+$F$21),0):$T232),"")</f>
        <v/>
      </c>
      <c r="BI232" s="190" t="str">
        <f t="shared" ca="1" si="196"/>
        <v/>
      </c>
      <c r="BJ232" s="190" t="str">
        <f t="shared" ca="1" si="222"/>
        <v/>
      </c>
      <c r="BK232" s="190"/>
      <c r="BL232" s="190" t="str">
        <f ca="1">IFERROR(IF(OR(ISNUMBER(I),ISNUMBER($F$14)),IF(AND($B232&gt;=($F$17-$F$15),$B232&lt;$F$22+($F$17-$F$15)),SUM(OFFSET($T$100,($F$17-$F$15),0):$T232),""),""),"")</f>
        <v/>
      </c>
      <c r="BM232" s="190" t="str">
        <f t="shared" ca="1" si="197"/>
        <v/>
      </c>
      <c r="BN232" s="190" t="str">
        <f t="shared" ca="1" si="223"/>
        <v/>
      </c>
      <c r="BO232"/>
      <c r="BP232" s="190" t="str">
        <f ca="1">IF(ISNUMBER(OFFSET(BL232,-$F$21,0)),SUM(OFFSET($T$100,($F$17-$F$15+$F$21),0):$T232),"")</f>
        <v/>
      </c>
      <c r="BQ232" s="190" t="str">
        <f t="shared" ca="1" si="198"/>
        <v/>
      </c>
      <c r="BR232" s="190" t="str">
        <f t="shared" ca="1" si="224"/>
        <v/>
      </c>
      <c r="BS232" s="190"/>
      <c r="BT232"/>
      <c r="BU232"/>
      <c r="BV232"/>
      <c r="BY232" s="99"/>
      <c r="BZ232" s="99"/>
      <c r="CA232" s="280" t="str">
        <f t="shared" si="199"/>
        <v/>
      </c>
      <c r="CB232" s="71" t="str">
        <f t="shared" si="200"/>
        <v>-</v>
      </c>
      <c r="CC232" s="33"/>
      <c r="CD232" s="261" t="str">
        <f t="shared" si="201"/>
        <v/>
      </c>
      <c r="CE232" s="280" t="str">
        <f t="shared" si="202"/>
        <v/>
      </c>
      <c r="CF232" s="71" t="str">
        <f t="shared" ca="1" si="203"/>
        <v/>
      </c>
      <c r="CG232" s="33" t="str">
        <f t="shared" si="204"/>
        <v/>
      </c>
      <c r="CH232" s="261" t="str">
        <f t="shared" ca="1" si="205"/>
        <v/>
      </c>
    </row>
    <row r="233" spans="2:86" ht="13.5" customHeight="1" x14ac:dyDescent="0.2">
      <c r="B233" s="262">
        <v>133</v>
      </c>
      <c r="C233" s="237" t="str">
        <f t="shared" si="169"/>
        <v/>
      </c>
      <c r="D233" s="237" t="str">
        <f t="shared" si="225"/>
        <v/>
      </c>
      <c r="E233" s="263" t="str">
        <f t="shared" si="206"/>
        <v/>
      </c>
      <c r="F233" s="264" t="str">
        <f t="shared" si="207"/>
        <v/>
      </c>
      <c r="G233" s="264" t="str">
        <f t="shared" si="208"/>
        <v/>
      </c>
      <c r="H233" s="240" t="str">
        <f t="shared" si="170"/>
        <v/>
      </c>
      <c r="I233" s="265" t="str">
        <f t="shared" si="171"/>
        <v/>
      </c>
      <c r="J233" s="265" t="str">
        <f t="shared" si="172"/>
        <v/>
      </c>
      <c r="K233" s="240" t="str">
        <f t="shared" si="173"/>
        <v/>
      </c>
      <c r="L233" s="265" t="str">
        <f t="shared" si="174"/>
        <v/>
      </c>
      <c r="M233" s="265" t="str">
        <f t="shared" si="175"/>
        <v/>
      </c>
      <c r="N233" s="240" t="str">
        <f t="shared" si="176"/>
        <v>-</v>
      </c>
      <c r="O233" s="265" t="str">
        <f t="shared" si="177"/>
        <v>-</v>
      </c>
      <c r="P233" s="265" t="str">
        <f t="shared" si="178"/>
        <v>-</v>
      </c>
      <c r="Q233" s="266" t="str">
        <f t="shared" si="179"/>
        <v>-</v>
      </c>
      <c r="R233" s="267" t="str">
        <f t="shared" si="180"/>
        <v>-</v>
      </c>
      <c r="S233" s="268" t="str">
        <f t="shared" si="181"/>
        <v>-</v>
      </c>
      <c r="T233" s="269" t="str">
        <f t="shared" si="182"/>
        <v/>
      </c>
      <c r="U233" s="221">
        <f t="shared" si="183"/>
        <v>133</v>
      </c>
      <c r="V233" s="220" t="str">
        <f t="shared" si="209"/>
        <v>-</v>
      </c>
      <c r="W233" s="221" t="str">
        <f t="shared" si="210"/>
        <v>-</v>
      </c>
      <c r="X233" s="221" t="str">
        <f t="shared" si="184"/>
        <v>-</v>
      </c>
      <c r="Y233" s="221" t="str">
        <f t="shared" si="185"/>
        <v>-</v>
      </c>
      <c r="Z233" s="270">
        <f t="shared" si="211"/>
        <v>0.1</v>
      </c>
      <c r="AA233" s="271" t="str">
        <f>IFERROR(IF(V232=1,AA$100*EXP(-(LN(2)/$D$65+0.04)*X232)*EXP(-(LN(2)/$D$65+0.1)*Y232),IF(V232=2,AA$100*EXP(-(LN(2)/$D$65+0.04)*(VLOOKUP(($F$16-$F$15)-1,U$99:Y232,4,FALSE)))*EXP(-(LN(2)/$D$65+0.1)*(VLOOKUP(($F$16-$F$15)-1,U$99:Y232,5,FALSE)))*EXP(-(LN(2)/$D$65+0.04)*X232)*EXP(-(LN(2)/$D$65+0.1)*Y232),IF(V232=3,AA$100*EXP(-(LN(2)/$D$65+0.04)*(VLOOKUP(($F$16-$F$15)-1,U$99:Y232,4,FALSE)))*EXP(-(LN(2)/$D$65+0.1)*(VLOOKUP(($F$16-$F$15)-1,U$99:Y232,5,FALSE)))*EXP(-(LN(2)/$D$65+0.04)*(VLOOKUP(($F$16-$F$15)*2-1,U$99:Y232,4,FALSE)))*EXP(-(LN(2)/$D$65+0.1)*(VLOOKUP(($F$16-$F$15)*2-1,U$99:Y232,5,FALSE)))*EXP(-(LN(2)/$D$65+0.04)*X232)*EXP(-(LN(2)/$D$65+0.1)*Y232),"-"))),"-")</f>
        <v>-</v>
      </c>
      <c r="AB233" s="271" t="str">
        <f>IFERROR(IF(V233=1,AB$100*EXP(-(LN(2)/$D$65+0.04)*X233)*EXP(-(LN(2)/$D$65+0.1)*Y233),IF(V233=2,AB$100*EXP(-(LN(2)/$D$65+0.04)*(VLOOKUP(($F$16-$F$15)-1,U$100:Y233,4,FALSE)))*EXP(-(LN(2)/$D$65+0.1)*(VLOOKUP(($F$16-$F$15)-1,U$100:Y233,5,FALSE)))*EXP(-(LN(2)/$D$65+0.04)*X233)*EXP(-(LN(2)/$D$65+0.1)*Y233),IF(V233=3,AB$100*EXP(-(LN(2)/$D$65+0.04)*(VLOOKUP(($F$16-$F$15)-1,U$100:Y233,4,FALSE)))*EXP(-(LN(2)/$D$65+0.1)*(VLOOKUP(($F$16-$F$15)-1,U$100:Y233,5,FALSE)))*EXP(-(LN(2)/$D$65+0.04)*(VLOOKUP(($F$16-$F$15)*2-1,U$100:Y233,4,FALSE)))*EXP(-(LN(2)/$D$65+0.1)*(VLOOKUP(($F$16-$F$15)*2-1,U$100:Y233,5,FALSE)))*EXP(-(LN(2)/$D$65+0.04)*X233)*EXP(-(LN(2)/$D$65+0.1)*Y233),"-"))),"-")</f>
        <v>-</v>
      </c>
      <c r="AC233" s="224">
        <f t="shared" si="212"/>
        <v>133</v>
      </c>
      <c r="AD233" s="223" t="str">
        <f t="shared" si="186"/>
        <v>-</v>
      </c>
      <c r="AE233" s="224" t="str">
        <f t="shared" si="213"/>
        <v>-</v>
      </c>
      <c r="AF233" s="224" t="str">
        <f t="shared" si="187"/>
        <v>-</v>
      </c>
      <c r="AG233" s="224" t="str">
        <f t="shared" si="188"/>
        <v>-</v>
      </c>
      <c r="AH233" s="272">
        <f t="shared" si="214"/>
        <v>0.1</v>
      </c>
      <c r="AI233" s="271" t="str">
        <f>IFERROR(IF(AD232=1,AI$100*EXP(-(LN(2)/$D$65+0.04)*AF232)*EXP(-(LN(2)/$D$65+0.1)*AG232),IF(AD232=2,AI$100*EXP(-(LN(2)/$D$65+0.04)*(VLOOKUP(($F$16-$F$15)-1,AC$99:AG232,4,FALSE)))*EXP(-(LN(2)/$D$65+0.1)*(VLOOKUP(($F$16-$F$15)-1,AC$99:AG232,5,FALSE)))*EXP(-(LN(2)/$D$65+0.04)*AF232)*EXP(-(LN(2)/$D$65+0.1)*AG232),IF(AD232=3,AI$100*EXP(-(LN(2)/$D$65+0.04)*(VLOOKUP(($F$16-$F$15)-1,AC$99:AG232,4,FALSE)))*EXP(-(LN(2)/$D$65+0.1)*(VLOOKUP(($F$16-$F$15)-1,AC$99:AG232,5,FALSE)))*EXP(-(LN(2)/$D$65+0.04)*(VLOOKUP(($F$16-$F$15)*2-1,AC$99:AG232,4,FALSE)))*EXP(-(LN(2)/$D$65+0.1)*(VLOOKUP(($F$16-$F$15)*2-1,AC$99:AG232,5,FALSE)))*EXP(-(LN(2)/$D$65+0.04)*AF232)*EXP(-(LN(2)/$D$65+0.1)*AG232),"-"))),"-")</f>
        <v>-</v>
      </c>
      <c r="AJ233" s="271" t="str">
        <f>IFERROR(IF(AD233=1,AJ$100*EXP(-(LN(2)/$D$65+0.04)*AF233)*EXP(-(LN(2)/$D$65+0.1)*AG233),IF(AD233=2,AJ$100*EXP(-(LN(2)/$D$65+0.04)*(VLOOKUP(($F$16-$F$15)-1,AC$100:AG233,4,FALSE)))*EXP(-(LN(2)/$D$65+0.1)*(VLOOKUP(($F$16-$F$15)-1,AC$100:AG233,5,FALSE)))*EXP(-(LN(2)/$D$65+0.04)*AF233)*EXP(-(LN(2)/$D$65+0.1)*AG233),IF(AD233=3,AJ$100*EXP(-(LN(2)/$D$65+0.04)*(VLOOKUP(($F$16-$F$15)-1,AC$100:AG233,4,FALSE)))*EXP(-(LN(2)/$D$65+0.1)*(VLOOKUP(($F$16-$F$15)-1,AC$100:AG233,5,FALSE)))*EXP(-(LN(2)/$D$65+0.04)*(VLOOKUP(($F$16-$F$15)*2-1,AC$100:AG233,4,FALSE)))*EXP(-(LN(2)/$D$65+0.1)*(VLOOKUP(($F$16-$F$15)*2-1,AC$100:AG233,5,FALSE)))*EXP(-(LN(2)/$D$65+0.04)*AF233)*EXP(-(LN(2)/$D$65+0.1)*AG233),"-"))),"-")</f>
        <v>-</v>
      </c>
      <c r="AK233" s="227">
        <f t="shared" si="215"/>
        <v>133</v>
      </c>
      <c r="AL233" s="226" t="str">
        <f t="shared" si="189"/>
        <v>-</v>
      </c>
      <c r="AM233" s="227" t="str">
        <f t="shared" si="216"/>
        <v>-</v>
      </c>
      <c r="AN233" s="227" t="str">
        <f t="shared" si="217"/>
        <v>-</v>
      </c>
      <c r="AO233" s="227" t="str">
        <f t="shared" si="190"/>
        <v>-</v>
      </c>
      <c r="AP233" s="273">
        <f t="shared" si="218"/>
        <v>0.1</v>
      </c>
      <c r="AQ233" s="271" t="str">
        <f>IFERROR(IF(AL232=1,AQ$100*EXP(-(LN(2)/$D$65+0.04)*AN232)*EXP(-(LN(2)/$D$65+0.1)*AO232),IF(AL232=2,AQ$100*EXP(-(LN(2)/$D$65+0.04)*(VLOOKUP(($F$16-$F$15)-1,AK$99:AO232,4,FALSE)))*EXP(-(LN(2)/$D$65+0.1)*(VLOOKUP(($F$16-$F$15)-1,AK$99:AO232,5,FALSE)))*EXP(-(LN(2)/$D$65+0.04)*AN232)*EXP(-(LN(2)/$D$65+0.1)*AO232),IF(AL232=3,AQ$100*EXP(-(LN(2)/$D$65+0.04)*(VLOOKUP(($F$16-$F$15)-1,AK$99:AO232,4,FALSE)))*EXP(-(LN(2)/$D$65+0.1)*(VLOOKUP(($F$16-$F$15)-1,AK$99:AO232,5,FALSE)))*EXP(-(LN(2)/$D$65+0.04)*(VLOOKUP(($F$16-$F$15)*2-1,AK$99:AO232,4,FALSE)))*EXP(-(LN(2)/$D$65+0.1)*(VLOOKUP(($F$16-$F$15)*2-1,AK$99:AO232,5,FALSE)))*EXP(-(LN(2)/$D$65+0.04)*AN232)*EXP(-(LN(2)/$D$65+0.1)*AO232),"-"))),"-")</f>
        <v>-</v>
      </c>
      <c r="AR233" s="271" t="str">
        <f>IFERROR(IF(AL233=1,AR$100*EXP(-(LN(2)/$D$65+0.04)*AN233)*EXP(-(LN(2)/$D$65+0.1)*AO233),IF(AL233=2,AR$100*EXP(-(LN(2)/$D$65+0.04)*(VLOOKUP(($F$16-$F$15)-1,AK$100:AO233,4,FALSE)))*EXP(-(LN(2)/$D$65+0.1)*(VLOOKUP(($F$16-$F$15)-1,AK$100:AO233,5,FALSE)))*EXP(-(LN(2)/$D$65+0.04)*AN233)*EXP(-(LN(2)/$D$65+0.1)*AO233),IF(AL233=3,AR$100*EXP(-(LN(2)/$D$65+0.04)*(VLOOKUP(($F$16-$F$15)-1,AK$100:AO233,4,FALSE)))*EXP(-(LN(2)/$D$65+0.1)*(VLOOKUP(($F$16-$F$15)-1,AK$100:AO233,5,FALSE)))*EXP(-(LN(2)/$D$65+0.04)*(VLOOKUP(($F$16-$F$15)*2-1,AK$100:AO233,4,FALSE)))*EXP(-(LN(2)/$D$65+0.1)*(VLOOKUP(($F$16-$F$15)*2-1,AK$100:AO233,5,FALSE)))*EXP(-(LN(2)/$D$65+0.04)*AN233)*EXP(-(LN(2)/$D$65+0.1)*AO233),"-"))),"-")</f>
        <v>-</v>
      </c>
      <c r="AS233" s="274">
        <f t="shared" si="191"/>
        <v>0</v>
      </c>
      <c r="AT233" s="274">
        <f t="shared" si="192"/>
        <v>0</v>
      </c>
      <c r="AU233" s="274">
        <f t="shared" si="193"/>
        <v>0</v>
      </c>
      <c r="AV233" s="190" t="str">
        <f>IF($B233&lt;$F$22,SUM($T$100:$T233),"")</f>
        <v/>
      </c>
      <c r="AW233" s="190" t="str">
        <f t="shared" si="194"/>
        <v>-</v>
      </c>
      <c r="AX233" s="190" t="str">
        <f t="shared" si="219"/>
        <v/>
      </c>
      <c r="AY233"/>
      <c r="AZ233" s="190" t="str">
        <f ca="1">IF(ISNUMBER(OFFSET(AV233,-$F$21,0)),SUM(OFFSET($T$100,$F$21,0):$T233),"")</f>
        <v/>
      </c>
      <c r="BA233" s="190" t="str">
        <f t="shared" ca="1" si="195"/>
        <v/>
      </c>
      <c r="BB233" s="190" t="str">
        <f t="shared" ca="1" si="148"/>
        <v/>
      </c>
      <c r="BC233" s="190"/>
      <c r="BD233" s="190" t="str">
        <f ca="1">IFERROR(IF(OR(ISNUMBER(I),ISNUMBER($F$14)),IF(AND($B233&gt;=($F$16-$F$15),$B233&lt;$F$22+($F$16-$F$15)),SUM(OFFSET($T$100,($F$16-$F$15),0):$T233),""),""),"")</f>
        <v/>
      </c>
      <c r="BE233" s="190" t="str">
        <f t="shared" ca="1" si="220"/>
        <v/>
      </c>
      <c r="BF233" s="190" t="str">
        <f t="shared" ca="1" si="221"/>
        <v/>
      </c>
      <c r="BG233"/>
      <c r="BH233" s="190" t="str">
        <f ca="1">IF(ISNUMBER(OFFSET(BD233,-$F$21,0)),SUM(OFFSET($T$100,($F$16-$F$15+$F$21),0):$T233),"")</f>
        <v/>
      </c>
      <c r="BI233" s="190" t="str">
        <f t="shared" ca="1" si="196"/>
        <v/>
      </c>
      <c r="BJ233" s="190" t="str">
        <f t="shared" ca="1" si="222"/>
        <v/>
      </c>
      <c r="BK233" s="190"/>
      <c r="BL233" s="190" t="str">
        <f ca="1">IFERROR(IF(OR(ISNUMBER(I),ISNUMBER($F$14)),IF(AND($B233&gt;=($F$17-$F$15),$B233&lt;$F$22+($F$17-$F$15)),SUM(OFFSET($T$100,($F$17-$F$15),0):$T233),""),""),"")</f>
        <v/>
      </c>
      <c r="BM233" s="190" t="str">
        <f t="shared" ca="1" si="197"/>
        <v/>
      </c>
      <c r="BN233" s="190" t="str">
        <f t="shared" ca="1" si="223"/>
        <v/>
      </c>
      <c r="BO233"/>
      <c r="BP233" s="190" t="str">
        <f ca="1">IF(ISNUMBER(OFFSET(BL233,-$F$21,0)),SUM(OFFSET($T$100,($F$17-$F$15+$F$21),0):$T233),"")</f>
        <v/>
      </c>
      <c r="BQ233" s="190" t="str">
        <f t="shared" ca="1" si="198"/>
        <v/>
      </c>
      <c r="BR233" s="190" t="str">
        <f t="shared" ca="1" si="224"/>
        <v/>
      </c>
      <c r="BS233" s="190"/>
      <c r="BT233"/>
      <c r="BU233"/>
      <c r="BV233"/>
      <c r="BY233" s="99"/>
      <c r="BZ233" s="99"/>
      <c r="CA233" s="280" t="str">
        <f t="shared" si="199"/>
        <v/>
      </c>
      <c r="CB233" s="71" t="str">
        <f t="shared" si="200"/>
        <v>-</v>
      </c>
      <c r="CC233" s="33"/>
      <c r="CD233" s="261" t="str">
        <f t="shared" si="201"/>
        <v/>
      </c>
      <c r="CE233" s="280" t="str">
        <f t="shared" si="202"/>
        <v/>
      </c>
      <c r="CF233" s="71" t="str">
        <f t="shared" ca="1" si="203"/>
        <v/>
      </c>
      <c r="CG233" s="33" t="str">
        <f t="shared" si="204"/>
        <v/>
      </c>
      <c r="CH233" s="261" t="str">
        <f t="shared" ca="1" si="205"/>
        <v/>
      </c>
    </row>
    <row r="234" spans="2:86" ht="13.5" customHeight="1" x14ac:dyDescent="0.2">
      <c r="B234" s="262">
        <v>134</v>
      </c>
      <c r="C234" s="237" t="str">
        <f t="shared" si="169"/>
        <v/>
      </c>
      <c r="D234" s="237" t="str">
        <f t="shared" si="225"/>
        <v/>
      </c>
      <c r="E234" s="263" t="str">
        <f t="shared" si="206"/>
        <v/>
      </c>
      <c r="F234" s="264" t="str">
        <f t="shared" si="207"/>
        <v/>
      </c>
      <c r="G234" s="264" t="str">
        <f t="shared" si="208"/>
        <v/>
      </c>
      <c r="H234" s="240" t="str">
        <f t="shared" si="170"/>
        <v/>
      </c>
      <c r="I234" s="265" t="str">
        <f t="shared" si="171"/>
        <v/>
      </c>
      <c r="J234" s="265" t="str">
        <f t="shared" si="172"/>
        <v/>
      </c>
      <c r="K234" s="240" t="str">
        <f t="shared" si="173"/>
        <v/>
      </c>
      <c r="L234" s="265" t="str">
        <f t="shared" si="174"/>
        <v/>
      </c>
      <c r="M234" s="265" t="str">
        <f t="shared" si="175"/>
        <v/>
      </c>
      <c r="N234" s="240" t="str">
        <f t="shared" si="176"/>
        <v>-</v>
      </c>
      <c r="O234" s="265" t="str">
        <f t="shared" si="177"/>
        <v>-</v>
      </c>
      <c r="P234" s="265" t="str">
        <f t="shared" si="178"/>
        <v>-</v>
      </c>
      <c r="Q234" s="266" t="str">
        <f t="shared" si="179"/>
        <v>-</v>
      </c>
      <c r="R234" s="267" t="str">
        <f t="shared" si="180"/>
        <v>-</v>
      </c>
      <c r="S234" s="268" t="str">
        <f t="shared" si="181"/>
        <v>-</v>
      </c>
      <c r="T234" s="269" t="str">
        <f t="shared" si="182"/>
        <v/>
      </c>
      <c r="U234" s="221">
        <f t="shared" si="183"/>
        <v>134</v>
      </c>
      <c r="V234" s="220" t="str">
        <f t="shared" si="209"/>
        <v>-</v>
      </c>
      <c r="W234" s="221" t="str">
        <f t="shared" si="210"/>
        <v>-</v>
      </c>
      <c r="X234" s="221" t="str">
        <f t="shared" si="184"/>
        <v>-</v>
      </c>
      <c r="Y234" s="221" t="str">
        <f t="shared" si="185"/>
        <v>-</v>
      </c>
      <c r="Z234" s="270">
        <f t="shared" si="211"/>
        <v>0.1</v>
      </c>
      <c r="AA234" s="271" t="str">
        <f>IFERROR(IF(V233=1,AA$100*EXP(-(LN(2)/$D$65+0.04)*X233)*EXP(-(LN(2)/$D$65+0.1)*Y233),IF(V233=2,AA$100*EXP(-(LN(2)/$D$65+0.04)*(VLOOKUP(($F$16-$F$15)-1,U$99:Y233,4,FALSE)))*EXP(-(LN(2)/$D$65+0.1)*(VLOOKUP(($F$16-$F$15)-1,U$99:Y233,5,FALSE)))*EXP(-(LN(2)/$D$65+0.04)*X233)*EXP(-(LN(2)/$D$65+0.1)*Y233),IF(V233=3,AA$100*EXP(-(LN(2)/$D$65+0.04)*(VLOOKUP(($F$16-$F$15)-1,U$99:Y233,4,FALSE)))*EXP(-(LN(2)/$D$65+0.1)*(VLOOKUP(($F$16-$F$15)-1,U$99:Y233,5,FALSE)))*EXP(-(LN(2)/$D$65+0.04)*(VLOOKUP(($F$16-$F$15)*2-1,U$99:Y233,4,FALSE)))*EXP(-(LN(2)/$D$65+0.1)*(VLOOKUP(($F$16-$F$15)*2-1,U$99:Y233,5,FALSE)))*EXP(-(LN(2)/$D$65+0.04)*X233)*EXP(-(LN(2)/$D$65+0.1)*Y233),"-"))),"-")</f>
        <v>-</v>
      </c>
      <c r="AB234" s="271" t="str">
        <f>IFERROR(IF(V234=1,AB$100*EXP(-(LN(2)/$D$65+0.04)*X234)*EXP(-(LN(2)/$D$65+0.1)*Y234),IF(V234=2,AB$100*EXP(-(LN(2)/$D$65+0.04)*(VLOOKUP(($F$16-$F$15)-1,U$100:Y234,4,FALSE)))*EXP(-(LN(2)/$D$65+0.1)*(VLOOKUP(($F$16-$F$15)-1,U$100:Y234,5,FALSE)))*EXP(-(LN(2)/$D$65+0.04)*X234)*EXP(-(LN(2)/$D$65+0.1)*Y234),IF(V234=3,AB$100*EXP(-(LN(2)/$D$65+0.04)*(VLOOKUP(($F$16-$F$15)-1,U$100:Y234,4,FALSE)))*EXP(-(LN(2)/$D$65+0.1)*(VLOOKUP(($F$16-$F$15)-1,U$100:Y234,5,FALSE)))*EXP(-(LN(2)/$D$65+0.04)*(VLOOKUP(($F$16-$F$15)*2-1,U$100:Y234,4,FALSE)))*EXP(-(LN(2)/$D$65+0.1)*(VLOOKUP(($F$16-$F$15)*2-1,U$100:Y234,5,FALSE)))*EXP(-(LN(2)/$D$65+0.04)*X234)*EXP(-(LN(2)/$D$65+0.1)*Y234),"-"))),"-")</f>
        <v>-</v>
      </c>
      <c r="AC234" s="224">
        <f t="shared" si="212"/>
        <v>134</v>
      </c>
      <c r="AD234" s="223" t="str">
        <f t="shared" si="186"/>
        <v>-</v>
      </c>
      <c r="AE234" s="224" t="str">
        <f t="shared" si="213"/>
        <v>-</v>
      </c>
      <c r="AF234" s="224" t="str">
        <f t="shared" si="187"/>
        <v>-</v>
      </c>
      <c r="AG234" s="224" t="str">
        <f t="shared" si="188"/>
        <v>-</v>
      </c>
      <c r="AH234" s="272">
        <f t="shared" si="214"/>
        <v>0.1</v>
      </c>
      <c r="AI234" s="271" t="str">
        <f>IFERROR(IF(AD233=1,AI$100*EXP(-(LN(2)/$D$65+0.04)*AF233)*EXP(-(LN(2)/$D$65+0.1)*AG233),IF(AD233=2,AI$100*EXP(-(LN(2)/$D$65+0.04)*(VLOOKUP(($F$16-$F$15)-1,AC$99:AG233,4,FALSE)))*EXP(-(LN(2)/$D$65+0.1)*(VLOOKUP(($F$16-$F$15)-1,AC$99:AG233,5,FALSE)))*EXP(-(LN(2)/$D$65+0.04)*AF233)*EXP(-(LN(2)/$D$65+0.1)*AG233),IF(AD233=3,AI$100*EXP(-(LN(2)/$D$65+0.04)*(VLOOKUP(($F$16-$F$15)-1,AC$99:AG233,4,FALSE)))*EXP(-(LN(2)/$D$65+0.1)*(VLOOKUP(($F$16-$F$15)-1,AC$99:AG233,5,FALSE)))*EXP(-(LN(2)/$D$65+0.04)*(VLOOKUP(($F$16-$F$15)*2-1,AC$99:AG233,4,FALSE)))*EXP(-(LN(2)/$D$65+0.1)*(VLOOKUP(($F$16-$F$15)*2-1,AC$99:AG233,5,FALSE)))*EXP(-(LN(2)/$D$65+0.04)*AF233)*EXP(-(LN(2)/$D$65+0.1)*AG233),"-"))),"-")</f>
        <v>-</v>
      </c>
      <c r="AJ234" s="271" t="str">
        <f>IFERROR(IF(AD234=1,AJ$100*EXP(-(LN(2)/$D$65+0.04)*AF234)*EXP(-(LN(2)/$D$65+0.1)*AG234),IF(AD234=2,AJ$100*EXP(-(LN(2)/$D$65+0.04)*(VLOOKUP(($F$16-$F$15)-1,AC$100:AG234,4,FALSE)))*EXP(-(LN(2)/$D$65+0.1)*(VLOOKUP(($F$16-$F$15)-1,AC$100:AG234,5,FALSE)))*EXP(-(LN(2)/$D$65+0.04)*AF234)*EXP(-(LN(2)/$D$65+0.1)*AG234),IF(AD234=3,AJ$100*EXP(-(LN(2)/$D$65+0.04)*(VLOOKUP(($F$16-$F$15)-1,AC$100:AG234,4,FALSE)))*EXP(-(LN(2)/$D$65+0.1)*(VLOOKUP(($F$16-$F$15)-1,AC$100:AG234,5,FALSE)))*EXP(-(LN(2)/$D$65+0.04)*(VLOOKUP(($F$16-$F$15)*2-1,AC$100:AG234,4,FALSE)))*EXP(-(LN(2)/$D$65+0.1)*(VLOOKUP(($F$16-$F$15)*2-1,AC$100:AG234,5,FALSE)))*EXP(-(LN(2)/$D$65+0.04)*AF234)*EXP(-(LN(2)/$D$65+0.1)*AG234),"-"))),"-")</f>
        <v>-</v>
      </c>
      <c r="AK234" s="227">
        <f t="shared" si="215"/>
        <v>134</v>
      </c>
      <c r="AL234" s="226" t="str">
        <f t="shared" si="189"/>
        <v>-</v>
      </c>
      <c r="AM234" s="227" t="str">
        <f t="shared" si="216"/>
        <v>-</v>
      </c>
      <c r="AN234" s="227" t="str">
        <f t="shared" si="217"/>
        <v>-</v>
      </c>
      <c r="AO234" s="227" t="str">
        <f t="shared" si="190"/>
        <v>-</v>
      </c>
      <c r="AP234" s="273">
        <f t="shared" si="218"/>
        <v>0.1</v>
      </c>
      <c r="AQ234" s="271" t="str">
        <f>IFERROR(IF(AL233=1,AQ$100*EXP(-(LN(2)/$D$65+0.04)*AN233)*EXP(-(LN(2)/$D$65+0.1)*AO233),IF(AL233=2,AQ$100*EXP(-(LN(2)/$D$65+0.04)*(VLOOKUP(($F$16-$F$15)-1,AK$99:AO233,4,FALSE)))*EXP(-(LN(2)/$D$65+0.1)*(VLOOKUP(($F$16-$F$15)-1,AK$99:AO233,5,FALSE)))*EXP(-(LN(2)/$D$65+0.04)*AN233)*EXP(-(LN(2)/$D$65+0.1)*AO233),IF(AL233=3,AQ$100*EXP(-(LN(2)/$D$65+0.04)*(VLOOKUP(($F$16-$F$15)-1,AK$99:AO233,4,FALSE)))*EXP(-(LN(2)/$D$65+0.1)*(VLOOKUP(($F$16-$F$15)-1,AK$99:AO233,5,FALSE)))*EXP(-(LN(2)/$D$65+0.04)*(VLOOKUP(($F$16-$F$15)*2-1,AK$99:AO233,4,FALSE)))*EXP(-(LN(2)/$D$65+0.1)*(VLOOKUP(($F$16-$F$15)*2-1,AK$99:AO233,5,FALSE)))*EXP(-(LN(2)/$D$65+0.04)*AN233)*EXP(-(LN(2)/$D$65+0.1)*AO233),"-"))),"-")</f>
        <v>-</v>
      </c>
      <c r="AR234" s="271" t="str">
        <f>IFERROR(IF(AL234=1,AR$100*EXP(-(LN(2)/$D$65+0.04)*AN234)*EXP(-(LN(2)/$D$65+0.1)*AO234),IF(AL234=2,AR$100*EXP(-(LN(2)/$D$65+0.04)*(VLOOKUP(($F$16-$F$15)-1,AK$100:AO234,4,FALSE)))*EXP(-(LN(2)/$D$65+0.1)*(VLOOKUP(($F$16-$F$15)-1,AK$100:AO234,5,FALSE)))*EXP(-(LN(2)/$D$65+0.04)*AN234)*EXP(-(LN(2)/$D$65+0.1)*AO234),IF(AL234=3,AR$100*EXP(-(LN(2)/$D$65+0.04)*(VLOOKUP(($F$16-$F$15)-1,AK$100:AO234,4,FALSE)))*EXP(-(LN(2)/$D$65+0.1)*(VLOOKUP(($F$16-$F$15)-1,AK$100:AO234,5,FALSE)))*EXP(-(LN(2)/$D$65+0.04)*(VLOOKUP(($F$16-$F$15)*2-1,AK$100:AO234,4,FALSE)))*EXP(-(LN(2)/$D$65+0.1)*(VLOOKUP(($F$16-$F$15)*2-1,AK$100:AO234,5,FALSE)))*EXP(-(LN(2)/$D$65+0.04)*AN234)*EXP(-(LN(2)/$D$65+0.1)*AO234),"-"))),"-")</f>
        <v>-</v>
      </c>
      <c r="AS234" s="274">
        <f t="shared" si="191"/>
        <v>0</v>
      </c>
      <c r="AT234" s="274">
        <f t="shared" si="192"/>
        <v>0</v>
      </c>
      <c r="AU234" s="274">
        <f t="shared" si="193"/>
        <v>0</v>
      </c>
      <c r="AV234" s="190" t="str">
        <f>IF($B234&lt;$F$22,SUM($T$100:$T234),"")</f>
        <v/>
      </c>
      <c r="AW234" s="190" t="str">
        <f t="shared" si="194"/>
        <v>-</v>
      </c>
      <c r="AX234" s="190" t="str">
        <f t="shared" si="219"/>
        <v/>
      </c>
      <c r="AY234"/>
      <c r="AZ234" s="190" t="str">
        <f ca="1">IF(ISNUMBER(OFFSET(AV234,-$F$21,0)),SUM(OFFSET($T$100,$F$21,0):$T234),"")</f>
        <v/>
      </c>
      <c r="BA234" s="190" t="str">
        <f t="shared" ca="1" si="195"/>
        <v/>
      </c>
      <c r="BB234" s="190" t="str">
        <f t="shared" ca="1" si="148"/>
        <v/>
      </c>
      <c r="BC234" s="190"/>
      <c r="BD234" s="190" t="str">
        <f ca="1">IFERROR(IF(OR(ISNUMBER(I),ISNUMBER($F$14)),IF(AND($B234&gt;=($F$16-$F$15),$B234&lt;$F$22+($F$16-$F$15)),SUM(OFFSET($T$100,($F$16-$F$15),0):$T234),""),""),"")</f>
        <v/>
      </c>
      <c r="BE234" s="190" t="str">
        <f t="shared" ca="1" si="220"/>
        <v/>
      </c>
      <c r="BF234" s="190" t="str">
        <f t="shared" ca="1" si="221"/>
        <v/>
      </c>
      <c r="BG234"/>
      <c r="BH234" s="190" t="str">
        <f ca="1">IF(ISNUMBER(OFFSET(BD234,-$F$21,0)),SUM(OFFSET($T$100,($F$16-$F$15+$F$21),0):$T234),"")</f>
        <v/>
      </c>
      <c r="BI234" s="190" t="str">
        <f t="shared" ca="1" si="196"/>
        <v/>
      </c>
      <c r="BJ234" s="190" t="str">
        <f t="shared" ca="1" si="222"/>
        <v/>
      </c>
      <c r="BK234" s="190"/>
      <c r="BL234" s="190" t="str">
        <f ca="1">IFERROR(IF(OR(ISNUMBER(I),ISNUMBER($F$14)),IF(AND($B234&gt;=($F$17-$F$15),$B234&lt;$F$22+($F$17-$F$15)),SUM(OFFSET($T$100,($F$17-$F$15),0):$T234),""),""),"")</f>
        <v/>
      </c>
      <c r="BM234" s="190" t="str">
        <f t="shared" ca="1" si="197"/>
        <v/>
      </c>
      <c r="BN234" s="190" t="str">
        <f t="shared" ca="1" si="223"/>
        <v/>
      </c>
      <c r="BO234"/>
      <c r="BP234" s="190" t="str">
        <f ca="1">IF(ISNUMBER(OFFSET(BL234,-$F$21,0)),SUM(OFFSET($T$100,($F$17-$F$15+$F$21),0):$T234),"")</f>
        <v/>
      </c>
      <c r="BQ234" s="190" t="str">
        <f t="shared" ca="1" si="198"/>
        <v/>
      </c>
      <c r="BR234" s="190" t="str">
        <f t="shared" ca="1" si="224"/>
        <v/>
      </c>
      <c r="BS234" s="190"/>
      <c r="BT234"/>
      <c r="BU234"/>
      <c r="BV234"/>
      <c r="BY234" s="99"/>
      <c r="BZ234" s="99"/>
      <c r="CA234" s="280" t="str">
        <f t="shared" si="199"/>
        <v/>
      </c>
      <c r="CB234" s="71" t="str">
        <f t="shared" si="200"/>
        <v>-</v>
      </c>
      <c r="CC234" s="33"/>
      <c r="CD234" s="261" t="str">
        <f t="shared" si="201"/>
        <v/>
      </c>
      <c r="CE234" s="280" t="str">
        <f t="shared" si="202"/>
        <v/>
      </c>
      <c r="CF234" s="71" t="str">
        <f t="shared" ca="1" si="203"/>
        <v/>
      </c>
      <c r="CG234" s="33" t="str">
        <f t="shared" si="204"/>
        <v/>
      </c>
      <c r="CH234" s="261" t="str">
        <f t="shared" ca="1" si="205"/>
        <v/>
      </c>
    </row>
    <row r="235" spans="2:86" ht="13.5" customHeight="1" x14ac:dyDescent="0.2">
      <c r="B235" s="262">
        <v>135</v>
      </c>
      <c r="C235" s="237" t="str">
        <f t="shared" si="169"/>
        <v/>
      </c>
      <c r="D235" s="237" t="str">
        <f t="shared" si="225"/>
        <v/>
      </c>
      <c r="E235" s="263" t="str">
        <f t="shared" si="206"/>
        <v/>
      </c>
      <c r="F235" s="264" t="str">
        <f t="shared" si="207"/>
        <v/>
      </c>
      <c r="G235" s="264" t="str">
        <f t="shared" si="208"/>
        <v/>
      </c>
      <c r="H235" s="240" t="str">
        <f t="shared" si="170"/>
        <v/>
      </c>
      <c r="I235" s="265" t="str">
        <f t="shared" si="171"/>
        <v/>
      </c>
      <c r="J235" s="265" t="str">
        <f t="shared" si="172"/>
        <v/>
      </c>
      <c r="K235" s="240" t="str">
        <f t="shared" si="173"/>
        <v/>
      </c>
      <c r="L235" s="265" t="str">
        <f t="shared" si="174"/>
        <v/>
      </c>
      <c r="M235" s="265" t="str">
        <f t="shared" si="175"/>
        <v/>
      </c>
      <c r="N235" s="240" t="str">
        <f t="shared" si="176"/>
        <v>-</v>
      </c>
      <c r="O235" s="265" t="str">
        <f t="shared" si="177"/>
        <v>-</v>
      </c>
      <c r="P235" s="265" t="str">
        <f t="shared" si="178"/>
        <v>-</v>
      </c>
      <c r="Q235" s="266" t="str">
        <f t="shared" si="179"/>
        <v>-</v>
      </c>
      <c r="R235" s="267" t="str">
        <f t="shared" si="180"/>
        <v>-</v>
      </c>
      <c r="S235" s="268" t="str">
        <f t="shared" si="181"/>
        <v>-</v>
      </c>
      <c r="T235" s="269" t="str">
        <f t="shared" si="182"/>
        <v/>
      </c>
      <c r="U235" s="221">
        <f t="shared" si="183"/>
        <v>135</v>
      </c>
      <c r="V235" s="220" t="str">
        <f t="shared" si="209"/>
        <v>-</v>
      </c>
      <c r="W235" s="221" t="str">
        <f t="shared" si="210"/>
        <v>-</v>
      </c>
      <c r="X235" s="221" t="str">
        <f t="shared" si="184"/>
        <v>-</v>
      </c>
      <c r="Y235" s="221" t="str">
        <f t="shared" si="185"/>
        <v>-</v>
      </c>
      <c r="Z235" s="270">
        <f t="shared" si="211"/>
        <v>0.1</v>
      </c>
      <c r="AA235" s="271" t="str">
        <f>IFERROR(IF(V234=1,AA$100*EXP(-(LN(2)/$D$65+0.04)*X234)*EXP(-(LN(2)/$D$65+0.1)*Y234),IF(V234=2,AA$100*EXP(-(LN(2)/$D$65+0.04)*(VLOOKUP(($F$16-$F$15)-1,U$99:Y234,4,FALSE)))*EXP(-(LN(2)/$D$65+0.1)*(VLOOKUP(($F$16-$F$15)-1,U$99:Y234,5,FALSE)))*EXP(-(LN(2)/$D$65+0.04)*X234)*EXP(-(LN(2)/$D$65+0.1)*Y234),IF(V234=3,AA$100*EXP(-(LN(2)/$D$65+0.04)*(VLOOKUP(($F$16-$F$15)-1,U$99:Y234,4,FALSE)))*EXP(-(LN(2)/$D$65+0.1)*(VLOOKUP(($F$16-$F$15)-1,U$99:Y234,5,FALSE)))*EXP(-(LN(2)/$D$65+0.04)*(VLOOKUP(($F$16-$F$15)*2-1,U$99:Y234,4,FALSE)))*EXP(-(LN(2)/$D$65+0.1)*(VLOOKUP(($F$16-$F$15)*2-1,U$99:Y234,5,FALSE)))*EXP(-(LN(2)/$D$65+0.04)*X234)*EXP(-(LN(2)/$D$65+0.1)*Y234),"-"))),"-")</f>
        <v>-</v>
      </c>
      <c r="AB235" s="271" t="str">
        <f>IFERROR(IF(V235=1,AB$100*EXP(-(LN(2)/$D$65+0.04)*X235)*EXP(-(LN(2)/$D$65+0.1)*Y235),IF(V235=2,AB$100*EXP(-(LN(2)/$D$65+0.04)*(VLOOKUP(($F$16-$F$15)-1,U$100:Y235,4,FALSE)))*EXP(-(LN(2)/$D$65+0.1)*(VLOOKUP(($F$16-$F$15)-1,U$100:Y235,5,FALSE)))*EXP(-(LN(2)/$D$65+0.04)*X235)*EXP(-(LN(2)/$D$65+0.1)*Y235),IF(V235=3,AB$100*EXP(-(LN(2)/$D$65+0.04)*(VLOOKUP(($F$16-$F$15)-1,U$100:Y235,4,FALSE)))*EXP(-(LN(2)/$D$65+0.1)*(VLOOKUP(($F$16-$F$15)-1,U$100:Y235,5,FALSE)))*EXP(-(LN(2)/$D$65+0.04)*(VLOOKUP(($F$16-$F$15)*2-1,U$100:Y235,4,FALSE)))*EXP(-(LN(2)/$D$65+0.1)*(VLOOKUP(($F$16-$F$15)*2-1,U$100:Y235,5,FALSE)))*EXP(-(LN(2)/$D$65+0.04)*X235)*EXP(-(LN(2)/$D$65+0.1)*Y235),"-"))),"-")</f>
        <v>-</v>
      </c>
      <c r="AC235" s="224">
        <f t="shared" si="212"/>
        <v>135</v>
      </c>
      <c r="AD235" s="223" t="str">
        <f t="shared" si="186"/>
        <v>-</v>
      </c>
      <c r="AE235" s="224" t="str">
        <f t="shared" si="213"/>
        <v>-</v>
      </c>
      <c r="AF235" s="224" t="str">
        <f t="shared" si="187"/>
        <v>-</v>
      </c>
      <c r="AG235" s="224" t="str">
        <f t="shared" si="188"/>
        <v>-</v>
      </c>
      <c r="AH235" s="272">
        <f t="shared" si="214"/>
        <v>0.1</v>
      </c>
      <c r="AI235" s="271" t="str">
        <f>IFERROR(IF(AD234=1,AI$100*EXP(-(LN(2)/$D$65+0.04)*AF234)*EXP(-(LN(2)/$D$65+0.1)*AG234),IF(AD234=2,AI$100*EXP(-(LN(2)/$D$65+0.04)*(VLOOKUP(($F$16-$F$15)-1,AC$99:AG234,4,FALSE)))*EXP(-(LN(2)/$D$65+0.1)*(VLOOKUP(($F$16-$F$15)-1,AC$99:AG234,5,FALSE)))*EXP(-(LN(2)/$D$65+0.04)*AF234)*EXP(-(LN(2)/$D$65+0.1)*AG234),IF(AD234=3,AI$100*EXP(-(LN(2)/$D$65+0.04)*(VLOOKUP(($F$16-$F$15)-1,AC$99:AG234,4,FALSE)))*EXP(-(LN(2)/$D$65+0.1)*(VLOOKUP(($F$16-$F$15)-1,AC$99:AG234,5,FALSE)))*EXP(-(LN(2)/$D$65+0.04)*(VLOOKUP(($F$16-$F$15)*2-1,AC$99:AG234,4,FALSE)))*EXP(-(LN(2)/$D$65+0.1)*(VLOOKUP(($F$16-$F$15)*2-1,AC$99:AG234,5,FALSE)))*EXP(-(LN(2)/$D$65+0.04)*AF234)*EXP(-(LN(2)/$D$65+0.1)*AG234),"-"))),"-")</f>
        <v>-</v>
      </c>
      <c r="AJ235" s="271" t="str">
        <f>IFERROR(IF(AD235=1,AJ$100*EXP(-(LN(2)/$D$65+0.04)*AF235)*EXP(-(LN(2)/$D$65+0.1)*AG235),IF(AD235=2,AJ$100*EXP(-(LN(2)/$D$65+0.04)*(VLOOKUP(($F$16-$F$15)-1,AC$100:AG235,4,FALSE)))*EXP(-(LN(2)/$D$65+0.1)*(VLOOKUP(($F$16-$F$15)-1,AC$100:AG235,5,FALSE)))*EXP(-(LN(2)/$D$65+0.04)*AF235)*EXP(-(LN(2)/$D$65+0.1)*AG235),IF(AD235=3,AJ$100*EXP(-(LN(2)/$D$65+0.04)*(VLOOKUP(($F$16-$F$15)-1,AC$100:AG235,4,FALSE)))*EXP(-(LN(2)/$D$65+0.1)*(VLOOKUP(($F$16-$F$15)-1,AC$100:AG235,5,FALSE)))*EXP(-(LN(2)/$D$65+0.04)*(VLOOKUP(($F$16-$F$15)*2-1,AC$100:AG235,4,FALSE)))*EXP(-(LN(2)/$D$65+0.1)*(VLOOKUP(($F$16-$F$15)*2-1,AC$100:AG235,5,FALSE)))*EXP(-(LN(2)/$D$65+0.04)*AF235)*EXP(-(LN(2)/$D$65+0.1)*AG235),"-"))),"-")</f>
        <v>-</v>
      </c>
      <c r="AK235" s="227">
        <f t="shared" si="215"/>
        <v>135</v>
      </c>
      <c r="AL235" s="226" t="str">
        <f t="shared" si="189"/>
        <v>-</v>
      </c>
      <c r="AM235" s="227" t="str">
        <f t="shared" si="216"/>
        <v>-</v>
      </c>
      <c r="AN235" s="227" t="str">
        <f t="shared" si="217"/>
        <v>-</v>
      </c>
      <c r="AO235" s="227" t="str">
        <f t="shared" si="190"/>
        <v>-</v>
      </c>
      <c r="AP235" s="273">
        <f t="shared" si="218"/>
        <v>0.1</v>
      </c>
      <c r="AQ235" s="271" t="str">
        <f>IFERROR(IF(AL234=1,AQ$100*EXP(-(LN(2)/$D$65+0.04)*AN234)*EXP(-(LN(2)/$D$65+0.1)*AO234),IF(AL234=2,AQ$100*EXP(-(LN(2)/$D$65+0.04)*(VLOOKUP(($F$16-$F$15)-1,AK$99:AO234,4,FALSE)))*EXP(-(LN(2)/$D$65+0.1)*(VLOOKUP(($F$16-$F$15)-1,AK$99:AO234,5,FALSE)))*EXP(-(LN(2)/$D$65+0.04)*AN234)*EXP(-(LN(2)/$D$65+0.1)*AO234),IF(AL234=3,AQ$100*EXP(-(LN(2)/$D$65+0.04)*(VLOOKUP(($F$16-$F$15)-1,AK$99:AO234,4,FALSE)))*EXP(-(LN(2)/$D$65+0.1)*(VLOOKUP(($F$16-$F$15)-1,AK$99:AO234,5,FALSE)))*EXP(-(LN(2)/$D$65+0.04)*(VLOOKUP(($F$16-$F$15)*2-1,AK$99:AO234,4,FALSE)))*EXP(-(LN(2)/$D$65+0.1)*(VLOOKUP(($F$16-$F$15)*2-1,AK$99:AO234,5,FALSE)))*EXP(-(LN(2)/$D$65+0.04)*AN234)*EXP(-(LN(2)/$D$65+0.1)*AO234),"-"))),"-")</f>
        <v>-</v>
      </c>
      <c r="AR235" s="271" t="str">
        <f>IFERROR(IF(AL235=1,AR$100*EXP(-(LN(2)/$D$65+0.04)*AN235)*EXP(-(LN(2)/$D$65+0.1)*AO235),IF(AL235=2,AR$100*EXP(-(LN(2)/$D$65+0.04)*(VLOOKUP(($F$16-$F$15)-1,AK$100:AO235,4,FALSE)))*EXP(-(LN(2)/$D$65+0.1)*(VLOOKUP(($F$16-$F$15)-1,AK$100:AO235,5,FALSE)))*EXP(-(LN(2)/$D$65+0.04)*AN235)*EXP(-(LN(2)/$D$65+0.1)*AO235),IF(AL235=3,AR$100*EXP(-(LN(2)/$D$65+0.04)*(VLOOKUP(($F$16-$F$15)-1,AK$100:AO235,4,FALSE)))*EXP(-(LN(2)/$D$65+0.1)*(VLOOKUP(($F$16-$F$15)-1,AK$100:AO235,5,FALSE)))*EXP(-(LN(2)/$D$65+0.04)*(VLOOKUP(($F$16-$F$15)*2-1,AK$100:AO235,4,FALSE)))*EXP(-(LN(2)/$D$65+0.1)*(VLOOKUP(($F$16-$F$15)*2-1,AK$100:AO235,5,FALSE)))*EXP(-(LN(2)/$D$65+0.04)*AN235)*EXP(-(LN(2)/$D$65+0.1)*AO235),"-"))),"-")</f>
        <v>-</v>
      </c>
      <c r="AS235" s="274">
        <f t="shared" si="191"/>
        <v>0</v>
      </c>
      <c r="AT235" s="274">
        <f t="shared" si="192"/>
        <v>0</v>
      </c>
      <c r="AU235" s="274">
        <f t="shared" si="193"/>
        <v>0</v>
      </c>
      <c r="AV235" s="190" t="str">
        <f>IF($B235&lt;$F$22,SUM($T$100:$T235),"")</f>
        <v/>
      </c>
      <c r="AW235" s="190" t="str">
        <f t="shared" si="194"/>
        <v>-</v>
      </c>
      <c r="AX235" s="190" t="str">
        <f t="shared" si="219"/>
        <v/>
      </c>
      <c r="AY235"/>
      <c r="AZ235" s="190" t="str">
        <f ca="1">IF(ISNUMBER(OFFSET(AV235,-$F$21,0)),SUM(OFFSET($T$100,$F$21,0):$T235),"")</f>
        <v/>
      </c>
      <c r="BA235" s="190" t="str">
        <f t="shared" ca="1" si="195"/>
        <v/>
      </c>
      <c r="BB235" s="190" t="str">
        <f t="shared" ca="1" si="148"/>
        <v/>
      </c>
      <c r="BC235" s="190"/>
      <c r="BD235" s="190" t="str">
        <f ca="1">IFERROR(IF(OR(ISNUMBER(I),ISNUMBER($F$14)),IF(AND($B235&gt;=($F$16-$F$15),$B235&lt;$F$22+($F$16-$F$15)),SUM(OFFSET($T$100,($F$16-$F$15),0):$T235),""),""),"")</f>
        <v/>
      </c>
      <c r="BE235" s="190" t="str">
        <f t="shared" ca="1" si="220"/>
        <v/>
      </c>
      <c r="BF235" s="190" t="str">
        <f t="shared" ca="1" si="221"/>
        <v/>
      </c>
      <c r="BG235"/>
      <c r="BH235" s="190" t="str">
        <f ca="1">IF(ISNUMBER(OFFSET(BD235,-$F$21,0)),SUM(OFFSET($T$100,($F$16-$F$15+$F$21),0):$T235),"")</f>
        <v/>
      </c>
      <c r="BI235" s="190" t="str">
        <f t="shared" ca="1" si="196"/>
        <v/>
      </c>
      <c r="BJ235" s="190" t="str">
        <f t="shared" ca="1" si="222"/>
        <v/>
      </c>
      <c r="BK235" s="190"/>
      <c r="BL235" s="190" t="str">
        <f ca="1">IFERROR(IF(OR(ISNUMBER(I),ISNUMBER($F$14)),IF(AND($B235&gt;=($F$17-$F$15),$B235&lt;$F$22+($F$17-$F$15)),SUM(OFFSET($T$100,($F$17-$F$15),0):$T235),""),""),"")</f>
        <v/>
      </c>
      <c r="BM235" s="190" t="str">
        <f t="shared" ca="1" si="197"/>
        <v/>
      </c>
      <c r="BN235" s="190" t="str">
        <f t="shared" ca="1" si="223"/>
        <v/>
      </c>
      <c r="BO235"/>
      <c r="BP235" s="190" t="str">
        <f ca="1">IF(ISNUMBER(OFFSET(BL235,-$F$21,0)),SUM(OFFSET($T$100,($F$17-$F$15+$F$21),0):$T235),"")</f>
        <v/>
      </c>
      <c r="BQ235" s="190" t="str">
        <f t="shared" ca="1" si="198"/>
        <v/>
      </c>
      <c r="BR235" s="190" t="str">
        <f t="shared" ca="1" si="224"/>
        <v/>
      </c>
      <c r="BS235" s="190"/>
      <c r="BT235"/>
      <c r="BU235"/>
      <c r="BV235"/>
      <c r="BY235" s="99"/>
      <c r="BZ235" s="99"/>
      <c r="CA235" s="280" t="str">
        <f t="shared" si="199"/>
        <v/>
      </c>
      <c r="CB235" s="71" t="str">
        <f t="shared" si="200"/>
        <v>-</v>
      </c>
      <c r="CC235" s="33"/>
      <c r="CD235" s="261" t="str">
        <f t="shared" si="201"/>
        <v/>
      </c>
      <c r="CE235" s="280" t="str">
        <f t="shared" si="202"/>
        <v/>
      </c>
      <c r="CF235" s="71" t="str">
        <f t="shared" ca="1" si="203"/>
        <v/>
      </c>
      <c r="CG235" s="33" t="str">
        <f t="shared" si="204"/>
        <v/>
      </c>
      <c r="CH235" s="261" t="str">
        <f t="shared" ca="1" si="205"/>
        <v/>
      </c>
    </row>
    <row r="236" spans="2:86" ht="13.5" customHeight="1" x14ac:dyDescent="0.2">
      <c r="B236" s="262">
        <v>136</v>
      </c>
      <c r="C236" s="237" t="str">
        <f t="shared" si="169"/>
        <v/>
      </c>
      <c r="D236" s="237" t="str">
        <f t="shared" si="225"/>
        <v/>
      </c>
      <c r="E236" s="263" t="str">
        <f t="shared" si="206"/>
        <v/>
      </c>
      <c r="F236" s="264" t="str">
        <f t="shared" si="207"/>
        <v/>
      </c>
      <c r="G236" s="264" t="str">
        <f t="shared" si="208"/>
        <v/>
      </c>
      <c r="H236" s="240" t="str">
        <f t="shared" si="170"/>
        <v/>
      </c>
      <c r="I236" s="265" t="str">
        <f t="shared" si="171"/>
        <v/>
      </c>
      <c r="J236" s="265" t="str">
        <f t="shared" si="172"/>
        <v/>
      </c>
      <c r="K236" s="240" t="str">
        <f t="shared" si="173"/>
        <v/>
      </c>
      <c r="L236" s="265" t="str">
        <f t="shared" si="174"/>
        <v/>
      </c>
      <c r="M236" s="265" t="str">
        <f t="shared" si="175"/>
        <v/>
      </c>
      <c r="N236" s="240" t="str">
        <f t="shared" si="176"/>
        <v>-</v>
      </c>
      <c r="O236" s="265" t="str">
        <f t="shared" si="177"/>
        <v>-</v>
      </c>
      <c r="P236" s="265" t="str">
        <f t="shared" si="178"/>
        <v>-</v>
      </c>
      <c r="Q236" s="266" t="str">
        <f t="shared" si="179"/>
        <v>-</v>
      </c>
      <c r="R236" s="267" t="str">
        <f t="shared" si="180"/>
        <v>-</v>
      </c>
      <c r="S236" s="268" t="str">
        <f t="shared" si="181"/>
        <v>-</v>
      </c>
      <c r="T236" s="269" t="str">
        <f t="shared" si="182"/>
        <v/>
      </c>
      <c r="U236" s="221">
        <f t="shared" si="183"/>
        <v>136</v>
      </c>
      <c r="V236" s="220" t="str">
        <f t="shared" si="209"/>
        <v>-</v>
      </c>
      <c r="W236" s="221" t="str">
        <f t="shared" si="210"/>
        <v>-</v>
      </c>
      <c r="X236" s="221" t="str">
        <f t="shared" si="184"/>
        <v>-</v>
      </c>
      <c r="Y236" s="221" t="str">
        <f t="shared" si="185"/>
        <v>-</v>
      </c>
      <c r="Z236" s="270">
        <f t="shared" si="211"/>
        <v>0.1</v>
      </c>
      <c r="AA236" s="271" t="str">
        <f>IFERROR(IF(V235=1,AA$100*EXP(-(LN(2)/$D$65+0.04)*X235)*EXP(-(LN(2)/$D$65+0.1)*Y235),IF(V235=2,AA$100*EXP(-(LN(2)/$D$65+0.04)*(VLOOKUP(($F$16-$F$15)-1,U$99:Y235,4,FALSE)))*EXP(-(LN(2)/$D$65+0.1)*(VLOOKUP(($F$16-$F$15)-1,U$99:Y235,5,FALSE)))*EXP(-(LN(2)/$D$65+0.04)*X235)*EXP(-(LN(2)/$D$65+0.1)*Y235),IF(V235=3,AA$100*EXP(-(LN(2)/$D$65+0.04)*(VLOOKUP(($F$16-$F$15)-1,U$99:Y235,4,FALSE)))*EXP(-(LN(2)/$D$65+0.1)*(VLOOKUP(($F$16-$F$15)-1,U$99:Y235,5,FALSE)))*EXP(-(LN(2)/$D$65+0.04)*(VLOOKUP(($F$16-$F$15)*2-1,U$99:Y235,4,FALSE)))*EXP(-(LN(2)/$D$65+0.1)*(VLOOKUP(($F$16-$F$15)*2-1,U$99:Y235,5,FALSE)))*EXP(-(LN(2)/$D$65+0.04)*X235)*EXP(-(LN(2)/$D$65+0.1)*Y235),"-"))),"-")</f>
        <v>-</v>
      </c>
      <c r="AB236" s="271" t="str">
        <f>IFERROR(IF(V236=1,AB$100*EXP(-(LN(2)/$D$65+0.04)*X236)*EXP(-(LN(2)/$D$65+0.1)*Y236),IF(V236=2,AB$100*EXP(-(LN(2)/$D$65+0.04)*(VLOOKUP(($F$16-$F$15)-1,U$100:Y236,4,FALSE)))*EXP(-(LN(2)/$D$65+0.1)*(VLOOKUP(($F$16-$F$15)-1,U$100:Y236,5,FALSE)))*EXP(-(LN(2)/$D$65+0.04)*X236)*EXP(-(LN(2)/$D$65+0.1)*Y236),IF(V236=3,AB$100*EXP(-(LN(2)/$D$65+0.04)*(VLOOKUP(($F$16-$F$15)-1,U$100:Y236,4,FALSE)))*EXP(-(LN(2)/$D$65+0.1)*(VLOOKUP(($F$16-$F$15)-1,U$100:Y236,5,FALSE)))*EXP(-(LN(2)/$D$65+0.04)*(VLOOKUP(($F$16-$F$15)*2-1,U$100:Y236,4,FALSE)))*EXP(-(LN(2)/$D$65+0.1)*(VLOOKUP(($F$16-$F$15)*2-1,U$100:Y236,5,FALSE)))*EXP(-(LN(2)/$D$65+0.04)*X236)*EXP(-(LN(2)/$D$65+0.1)*Y236),"-"))),"-")</f>
        <v>-</v>
      </c>
      <c r="AC236" s="224">
        <f t="shared" si="212"/>
        <v>136</v>
      </c>
      <c r="AD236" s="223" t="str">
        <f t="shared" si="186"/>
        <v>-</v>
      </c>
      <c r="AE236" s="224" t="str">
        <f t="shared" si="213"/>
        <v>-</v>
      </c>
      <c r="AF236" s="224" t="str">
        <f t="shared" si="187"/>
        <v>-</v>
      </c>
      <c r="AG236" s="224" t="str">
        <f t="shared" si="188"/>
        <v>-</v>
      </c>
      <c r="AH236" s="272">
        <f t="shared" si="214"/>
        <v>0.1</v>
      </c>
      <c r="AI236" s="271" t="str">
        <f>IFERROR(IF(AD235=1,AI$100*EXP(-(LN(2)/$D$65+0.04)*AF235)*EXP(-(LN(2)/$D$65+0.1)*AG235),IF(AD235=2,AI$100*EXP(-(LN(2)/$D$65+0.04)*(VLOOKUP(($F$16-$F$15)-1,AC$99:AG235,4,FALSE)))*EXP(-(LN(2)/$D$65+0.1)*(VLOOKUP(($F$16-$F$15)-1,AC$99:AG235,5,FALSE)))*EXP(-(LN(2)/$D$65+0.04)*AF235)*EXP(-(LN(2)/$D$65+0.1)*AG235),IF(AD235=3,AI$100*EXP(-(LN(2)/$D$65+0.04)*(VLOOKUP(($F$16-$F$15)-1,AC$99:AG235,4,FALSE)))*EXP(-(LN(2)/$D$65+0.1)*(VLOOKUP(($F$16-$F$15)-1,AC$99:AG235,5,FALSE)))*EXP(-(LN(2)/$D$65+0.04)*(VLOOKUP(($F$16-$F$15)*2-1,AC$99:AG235,4,FALSE)))*EXP(-(LN(2)/$D$65+0.1)*(VLOOKUP(($F$16-$F$15)*2-1,AC$99:AG235,5,FALSE)))*EXP(-(LN(2)/$D$65+0.04)*AF235)*EXP(-(LN(2)/$D$65+0.1)*AG235),"-"))),"-")</f>
        <v>-</v>
      </c>
      <c r="AJ236" s="271" t="str">
        <f>IFERROR(IF(AD236=1,AJ$100*EXP(-(LN(2)/$D$65+0.04)*AF236)*EXP(-(LN(2)/$D$65+0.1)*AG236),IF(AD236=2,AJ$100*EXP(-(LN(2)/$D$65+0.04)*(VLOOKUP(($F$16-$F$15)-1,AC$100:AG236,4,FALSE)))*EXP(-(LN(2)/$D$65+0.1)*(VLOOKUP(($F$16-$F$15)-1,AC$100:AG236,5,FALSE)))*EXP(-(LN(2)/$D$65+0.04)*AF236)*EXP(-(LN(2)/$D$65+0.1)*AG236),IF(AD236=3,AJ$100*EXP(-(LN(2)/$D$65+0.04)*(VLOOKUP(($F$16-$F$15)-1,AC$100:AG236,4,FALSE)))*EXP(-(LN(2)/$D$65+0.1)*(VLOOKUP(($F$16-$F$15)-1,AC$100:AG236,5,FALSE)))*EXP(-(LN(2)/$D$65+0.04)*(VLOOKUP(($F$16-$F$15)*2-1,AC$100:AG236,4,FALSE)))*EXP(-(LN(2)/$D$65+0.1)*(VLOOKUP(($F$16-$F$15)*2-1,AC$100:AG236,5,FALSE)))*EXP(-(LN(2)/$D$65+0.04)*AF236)*EXP(-(LN(2)/$D$65+0.1)*AG236),"-"))),"-")</f>
        <v>-</v>
      </c>
      <c r="AK236" s="227">
        <f t="shared" si="215"/>
        <v>136</v>
      </c>
      <c r="AL236" s="226" t="str">
        <f t="shared" si="189"/>
        <v>-</v>
      </c>
      <c r="AM236" s="227" t="str">
        <f t="shared" si="216"/>
        <v>-</v>
      </c>
      <c r="AN236" s="227" t="str">
        <f t="shared" si="217"/>
        <v>-</v>
      </c>
      <c r="AO236" s="227" t="str">
        <f t="shared" si="190"/>
        <v>-</v>
      </c>
      <c r="AP236" s="273">
        <f t="shared" si="218"/>
        <v>0.1</v>
      </c>
      <c r="AQ236" s="271" t="str">
        <f>IFERROR(IF(AL235=1,AQ$100*EXP(-(LN(2)/$D$65+0.04)*AN235)*EXP(-(LN(2)/$D$65+0.1)*AO235),IF(AL235=2,AQ$100*EXP(-(LN(2)/$D$65+0.04)*(VLOOKUP(($F$16-$F$15)-1,AK$99:AO235,4,FALSE)))*EXP(-(LN(2)/$D$65+0.1)*(VLOOKUP(($F$16-$F$15)-1,AK$99:AO235,5,FALSE)))*EXP(-(LN(2)/$D$65+0.04)*AN235)*EXP(-(LN(2)/$D$65+0.1)*AO235),IF(AL235=3,AQ$100*EXP(-(LN(2)/$D$65+0.04)*(VLOOKUP(($F$16-$F$15)-1,AK$99:AO235,4,FALSE)))*EXP(-(LN(2)/$D$65+0.1)*(VLOOKUP(($F$16-$F$15)-1,AK$99:AO235,5,FALSE)))*EXP(-(LN(2)/$D$65+0.04)*(VLOOKUP(($F$16-$F$15)*2-1,AK$99:AO235,4,FALSE)))*EXP(-(LN(2)/$D$65+0.1)*(VLOOKUP(($F$16-$F$15)*2-1,AK$99:AO235,5,FALSE)))*EXP(-(LN(2)/$D$65+0.04)*AN235)*EXP(-(LN(2)/$D$65+0.1)*AO235),"-"))),"-")</f>
        <v>-</v>
      </c>
      <c r="AR236" s="271" t="str">
        <f>IFERROR(IF(AL236=1,AR$100*EXP(-(LN(2)/$D$65+0.04)*AN236)*EXP(-(LN(2)/$D$65+0.1)*AO236),IF(AL236=2,AR$100*EXP(-(LN(2)/$D$65+0.04)*(VLOOKUP(($F$16-$F$15)-1,AK$100:AO236,4,FALSE)))*EXP(-(LN(2)/$D$65+0.1)*(VLOOKUP(($F$16-$F$15)-1,AK$100:AO236,5,FALSE)))*EXP(-(LN(2)/$D$65+0.04)*AN236)*EXP(-(LN(2)/$D$65+0.1)*AO236),IF(AL236=3,AR$100*EXP(-(LN(2)/$D$65+0.04)*(VLOOKUP(($F$16-$F$15)-1,AK$100:AO236,4,FALSE)))*EXP(-(LN(2)/$D$65+0.1)*(VLOOKUP(($F$16-$F$15)-1,AK$100:AO236,5,FALSE)))*EXP(-(LN(2)/$D$65+0.04)*(VLOOKUP(($F$16-$F$15)*2-1,AK$100:AO236,4,FALSE)))*EXP(-(LN(2)/$D$65+0.1)*(VLOOKUP(($F$16-$F$15)*2-1,AK$100:AO236,5,FALSE)))*EXP(-(LN(2)/$D$65+0.04)*AN236)*EXP(-(LN(2)/$D$65+0.1)*AO236),"-"))),"-")</f>
        <v>-</v>
      </c>
      <c r="AS236" s="274">
        <f t="shared" si="191"/>
        <v>0</v>
      </c>
      <c r="AT236" s="274">
        <f t="shared" si="192"/>
        <v>0</v>
      </c>
      <c r="AU236" s="274">
        <f t="shared" si="193"/>
        <v>0</v>
      </c>
      <c r="AV236" s="190" t="str">
        <f>IF($B236&lt;$F$22,SUM($T$100:$T236),"")</f>
        <v/>
      </c>
      <c r="AW236" s="190" t="str">
        <f t="shared" si="194"/>
        <v>-</v>
      </c>
      <c r="AX236" s="190" t="str">
        <f t="shared" si="219"/>
        <v/>
      </c>
      <c r="AY236"/>
      <c r="AZ236" s="190" t="str">
        <f ca="1">IF(ISNUMBER(OFFSET(AV236,-$F$21,0)),SUM(OFFSET($T$100,$F$21,0):$T236),"")</f>
        <v/>
      </c>
      <c r="BA236" s="190" t="str">
        <f t="shared" ca="1" si="195"/>
        <v/>
      </c>
      <c r="BB236" s="190" t="str">
        <f t="shared" ca="1" si="148"/>
        <v/>
      </c>
      <c r="BC236" s="190"/>
      <c r="BD236" s="190" t="str">
        <f ca="1">IFERROR(IF(OR(ISNUMBER(I),ISNUMBER($F$14)),IF(AND($B236&gt;=($F$16-$F$15),$B236&lt;$F$22+($F$16-$F$15)),SUM(OFFSET($T$100,($F$16-$F$15),0):$T236),""),""),"")</f>
        <v/>
      </c>
      <c r="BE236" s="190" t="str">
        <f t="shared" ca="1" si="220"/>
        <v/>
      </c>
      <c r="BF236" s="190" t="str">
        <f t="shared" ca="1" si="221"/>
        <v/>
      </c>
      <c r="BG236"/>
      <c r="BH236" s="190" t="str">
        <f ca="1">IF(ISNUMBER(OFFSET(BD236,-$F$21,0)),SUM(OFFSET($T$100,($F$16-$F$15+$F$21),0):$T236),"")</f>
        <v/>
      </c>
      <c r="BI236" s="190" t="str">
        <f t="shared" ca="1" si="196"/>
        <v/>
      </c>
      <c r="BJ236" s="190" t="str">
        <f t="shared" ca="1" si="222"/>
        <v/>
      </c>
      <c r="BK236" s="190"/>
      <c r="BL236" s="190" t="str">
        <f ca="1">IFERROR(IF(OR(ISNUMBER(I),ISNUMBER($F$14)),IF(AND($B236&gt;=($F$17-$F$15),$B236&lt;$F$22+($F$17-$F$15)),SUM(OFFSET($T$100,($F$17-$F$15),0):$T236),""),""),"")</f>
        <v/>
      </c>
      <c r="BM236" s="190" t="str">
        <f t="shared" ca="1" si="197"/>
        <v/>
      </c>
      <c r="BN236" s="190" t="str">
        <f t="shared" ca="1" si="223"/>
        <v/>
      </c>
      <c r="BO236"/>
      <c r="BP236" s="190" t="str">
        <f ca="1">IF(ISNUMBER(OFFSET(BL236,-$F$21,0)),SUM(OFFSET($T$100,($F$17-$F$15+$F$21),0):$T236),"")</f>
        <v/>
      </c>
      <c r="BQ236" s="190" t="str">
        <f t="shared" ca="1" si="198"/>
        <v/>
      </c>
      <c r="BR236" s="190" t="str">
        <f t="shared" ca="1" si="224"/>
        <v/>
      </c>
      <c r="BS236" s="190"/>
      <c r="BT236"/>
      <c r="BU236"/>
      <c r="BV236"/>
      <c r="BY236" s="99"/>
      <c r="BZ236" s="99"/>
      <c r="CA236" s="280" t="str">
        <f t="shared" si="199"/>
        <v/>
      </c>
      <c r="CB236" s="71" t="str">
        <f t="shared" si="200"/>
        <v>-</v>
      </c>
      <c r="CC236" s="33"/>
      <c r="CD236" s="261" t="str">
        <f t="shared" si="201"/>
        <v/>
      </c>
      <c r="CE236" s="280" t="str">
        <f t="shared" si="202"/>
        <v/>
      </c>
      <c r="CF236" s="71" t="str">
        <f t="shared" ca="1" si="203"/>
        <v/>
      </c>
      <c r="CG236" s="33" t="str">
        <f t="shared" si="204"/>
        <v/>
      </c>
      <c r="CH236" s="261" t="str">
        <f t="shared" ca="1" si="205"/>
        <v/>
      </c>
    </row>
    <row r="237" spans="2:86" ht="13.5" customHeight="1" x14ac:dyDescent="0.2">
      <c r="B237" s="262">
        <v>137</v>
      </c>
      <c r="C237" s="237" t="str">
        <f t="shared" si="169"/>
        <v/>
      </c>
      <c r="D237" s="237" t="str">
        <f t="shared" si="225"/>
        <v/>
      </c>
      <c r="E237" s="263" t="str">
        <f t="shared" si="206"/>
        <v/>
      </c>
      <c r="F237" s="264" t="str">
        <f t="shared" si="207"/>
        <v/>
      </c>
      <c r="G237" s="264" t="str">
        <f t="shared" si="208"/>
        <v/>
      </c>
      <c r="H237" s="240" t="str">
        <f t="shared" si="170"/>
        <v/>
      </c>
      <c r="I237" s="265" t="str">
        <f t="shared" si="171"/>
        <v/>
      </c>
      <c r="J237" s="265" t="str">
        <f t="shared" si="172"/>
        <v/>
      </c>
      <c r="K237" s="240" t="str">
        <f t="shared" si="173"/>
        <v/>
      </c>
      <c r="L237" s="265" t="str">
        <f t="shared" si="174"/>
        <v/>
      </c>
      <c r="M237" s="265" t="str">
        <f t="shared" si="175"/>
        <v/>
      </c>
      <c r="N237" s="240" t="str">
        <f t="shared" si="176"/>
        <v>-</v>
      </c>
      <c r="O237" s="265" t="str">
        <f t="shared" si="177"/>
        <v>-</v>
      </c>
      <c r="P237" s="265" t="str">
        <f t="shared" si="178"/>
        <v>-</v>
      </c>
      <c r="Q237" s="266" t="str">
        <f t="shared" si="179"/>
        <v>-</v>
      </c>
      <c r="R237" s="267" t="str">
        <f t="shared" si="180"/>
        <v>-</v>
      </c>
      <c r="S237" s="268" t="str">
        <f t="shared" si="181"/>
        <v>-</v>
      </c>
      <c r="T237" s="269" t="str">
        <f t="shared" si="182"/>
        <v/>
      </c>
      <c r="U237" s="221">
        <f t="shared" si="183"/>
        <v>137</v>
      </c>
      <c r="V237" s="220" t="str">
        <f t="shared" si="209"/>
        <v>-</v>
      </c>
      <c r="W237" s="221" t="str">
        <f t="shared" si="210"/>
        <v>-</v>
      </c>
      <c r="X237" s="221" t="str">
        <f t="shared" si="184"/>
        <v>-</v>
      </c>
      <c r="Y237" s="221" t="str">
        <f t="shared" si="185"/>
        <v>-</v>
      </c>
      <c r="Z237" s="270">
        <f t="shared" si="211"/>
        <v>0.1</v>
      </c>
      <c r="AA237" s="271" t="str">
        <f>IFERROR(IF(V236=1,AA$100*EXP(-(LN(2)/$D$65+0.04)*X236)*EXP(-(LN(2)/$D$65+0.1)*Y236),IF(V236=2,AA$100*EXP(-(LN(2)/$D$65+0.04)*(VLOOKUP(($F$16-$F$15)-1,U$99:Y236,4,FALSE)))*EXP(-(LN(2)/$D$65+0.1)*(VLOOKUP(($F$16-$F$15)-1,U$99:Y236,5,FALSE)))*EXP(-(LN(2)/$D$65+0.04)*X236)*EXP(-(LN(2)/$D$65+0.1)*Y236),IF(V236=3,AA$100*EXP(-(LN(2)/$D$65+0.04)*(VLOOKUP(($F$16-$F$15)-1,U$99:Y236,4,FALSE)))*EXP(-(LN(2)/$D$65+0.1)*(VLOOKUP(($F$16-$F$15)-1,U$99:Y236,5,FALSE)))*EXP(-(LN(2)/$D$65+0.04)*(VLOOKUP(($F$16-$F$15)*2-1,U$99:Y236,4,FALSE)))*EXP(-(LN(2)/$D$65+0.1)*(VLOOKUP(($F$16-$F$15)*2-1,U$99:Y236,5,FALSE)))*EXP(-(LN(2)/$D$65+0.04)*X236)*EXP(-(LN(2)/$D$65+0.1)*Y236),"-"))),"-")</f>
        <v>-</v>
      </c>
      <c r="AB237" s="271" t="str">
        <f>IFERROR(IF(V237=1,AB$100*EXP(-(LN(2)/$D$65+0.04)*X237)*EXP(-(LN(2)/$D$65+0.1)*Y237),IF(V237=2,AB$100*EXP(-(LN(2)/$D$65+0.04)*(VLOOKUP(($F$16-$F$15)-1,U$100:Y237,4,FALSE)))*EXP(-(LN(2)/$D$65+0.1)*(VLOOKUP(($F$16-$F$15)-1,U$100:Y237,5,FALSE)))*EXP(-(LN(2)/$D$65+0.04)*X237)*EXP(-(LN(2)/$D$65+0.1)*Y237),IF(V237=3,AB$100*EXP(-(LN(2)/$D$65+0.04)*(VLOOKUP(($F$16-$F$15)-1,U$100:Y237,4,FALSE)))*EXP(-(LN(2)/$D$65+0.1)*(VLOOKUP(($F$16-$F$15)-1,U$100:Y237,5,FALSE)))*EXP(-(LN(2)/$D$65+0.04)*(VLOOKUP(($F$16-$F$15)*2-1,U$100:Y237,4,FALSE)))*EXP(-(LN(2)/$D$65+0.1)*(VLOOKUP(($F$16-$F$15)*2-1,U$100:Y237,5,FALSE)))*EXP(-(LN(2)/$D$65+0.04)*X237)*EXP(-(LN(2)/$D$65+0.1)*Y237),"-"))),"-")</f>
        <v>-</v>
      </c>
      <c r="AC237" s="224">
        <f t="shared" si="212"/>
        <v>137</v>
      </c>
      <c r="AD237" s="223" t="str">
        <f t="shared" si="186"/>
        <v>-</v>
      </c>
      <c r="AE237" s="224" t="str">
        <f t="shared" si="213"/>
        <v>-</v>
      </c>
      <c r="AF237" s="224" t="str">
        <f t="shared" si="187"/>
        <v>-</v>
      </c>
      <c r="AG237" s="224" t="str">
        <f t="shared" si="188"/>
        <v>-</v>
      </c>
      <c r="AH237" s="272">
        <f t="shared" si="214"/>
        <v>0.1</v>
      </c>
      <c r="AI237" s="271" t="str">
        <f>IFERROR(IF(AD236=1,AI$100*EXP(-(LN(2)/$D$65+0.04)*AF236)*EXP(-(LN(2)/$D$65+0.1)*AG236),IF(AD236=2,AI$100*EXP(-(LN(2)/$D$65+0.04)*(VLOOKUP(($F$16-$F$15)-1,AC$99:AG236,4,FALSE)))*EXP(-(LN(2)/$D$65+0.1)*(VLOOKUP(($F$16-$F$15)-1,AC$99:AG236,5,FALSE)))*EXP(-(LN(2)/$D$65+0.04)*AF236)*EXP(-(LN(2)/$D$65+0.1)*AG236),IF(AD236=3,AI$100*EXP(-(LN(2)/$D$65+0.04)*(VLOOKUP(($F$16-$F$15)-1,AC$99:AG236,4,FALSE)))*EXP(-(LN(2)/$D$65+0.1)*(VLOOKUP(($F$16-$F$15)-1,AC$99:AG236,5,FALSE)))*EXP(-(LN(2)/$D$65+0.04)*(VLOOKUP(($F$16-$F$15)*2-1,AC$99:AG236,4,FALSE)))*EXP(-(LN(2)/$D$65+0.1)*(VLOOKUP(($F$16-$F$15)*2-1,AC$99:AG236,5,FALSE)))*EXP(-(LN(2)/$D$65+0.04)*AF236)*EXP(-(LN(2)/$D$65+0.1)*AG236),"-"))),"-")</f>
        <v>-</v>
      </c>
      <c r="AJ237" s="271" t="str">
        <f>IFERROR(IF(AD237=1,AJ$100*EXP(-(LN(2)/$D$65+0.04)*AF237)*EXP(-(LN(2)/$D$65+0.1)*AG237),IF(AD237=2,AJ$100*EXP(-(LN(2)/$D$65+0.04)*(VLOOKUP(($F$16-$F$15)-1,AC$100:AG237,4,FALSE)))*EXP(-(LN(2)/$D$65+0.1)*(VLOOKUP(($F$16-$F$15)-1,AC$100:AG237,5,FALSE)))*EXP(-(LN(2)/$D$65+0.04)*AF237)*EXP(-(LN(2)/$D$65+0.1)*AG237),IF(AD237=3,AJ$100*EXP(-(LN(2)/$D$65+0.04)*(VLOOKUP(($F$16-$F$15)-1,AC$100:AG237,4,FALSE)))*EXP(-(LN(2)/$D$65+0.1)*(VLOOKUP(($F$16-$F$15)-1,AC$100:AG237,5,FALSE)))*EXP(-(LN(2)/$D$65+0.04)*(VLOOKUP(($F$16-$F$15)*2-1,AC$100:AG237,4,FALSE)))*EXP(-(LN(2)/$D$65+0.1)*(VLOOKUP(($F$16-$F$15)*2-1,AC$100:AG237,5,FALSE)))*EXP(-(LN(2)/$D$65+0.04)*AF237)*EXP(-(LN(2)/$D$65+0.1)*AG237),"-"))),"-")</f>
        <v>-</v>
      </c>
      <c r="AK237" s="227">
        <f t="shared" si="215"/>
        <v>137</v>
      </c>
      <c r="AL237" s="226" t="str">
        <f t="shared" si="189"/>
        <v>-</v>
      </c>
      <c r="AM237" s="227" t="str">
        <f t="shared" si="216"/>
        <v>-</v>
      </c>
      <c r="AN237" s="227" t="str">
        <f t="shared" si="217"/>
        <v>-</v>
      </c>
      <c r="AO237" s="227" t="str">
        <f t="shared" si="190"/>
        <v>-</v>
      </c>
      <c r="AP237" s="273">
        <f t="shared" si="218"/>
        <v>0.1</v>
      </c>
      <c r="AQ237" s="271" t="str">
        <f>IFERROR(IF(AL236=1,AQ$100*EXP(-(LN(2)/$D$65+0.04)*AN236)*EXP(-(LN(2)/$D$65+0.1)*AO236),IF(AL236=2,AQ$100*EXP(-(LN(2)/$D$65+0.04)*(VLOOKUP(($F$16-$F$15)-1,AK$99:AO236,4,FALSE)))*EXP(-(LN(2)/$D$65+0.1)*(VLOOKUP(($F$16-$F$15)-1,AK$99:AO236,5,FALSE)))*EXP(-(LN(2)/$D$65+0.04)*AN236)*EXP(-(LN(2)/$D$65+0.1)*AO236),IF(AL236=3,AQ$100*EXP(-(LN(2)/$D$65+0.04)*(VLOOKUP(($F$16-$F$15)-1,AK$99:AO236,4,FALSE)))*EXP(-(LN(2)/$D$65+0.1)*(VLOOKUP(($F$16-$F$15)-1,AK$99:AO236,5,FALSE)))*EXP(-(LN(2)/$D$65+0.04)*(VLOOKUP(($F$16-$F$15)*2-1,AK$99:AO236,4,FALSE)))*EXP(-(LN(2)/$D$65+0.1)*(VLOOKUP(($F$16-$F$15)*2-1,AK$99:AO236,5,FALSE)))*EXP(-(LN(2)/$D$65+0.04)*AN236)*EXP(-(LN(2)/$D$65+0.1)*AO236),"-"))),"-")</f>
        <v>-</v>
      </c>
      <c r="AR237" s="271" t="str">
        <f>IFERROR(IF(AL237=1,AR$100*EXP(-(LN(2)/$D$65+0.04)*AN237)*EXP(-(LN(2)/$D$65+0.1)*AO237),IF(AL237=2,AR$100*EXP(-(LN(2)/$D$65+0.04)*(VLOOKUP(($F$16-$F$15)-1,AK$100:AO237,4,FALSE)))*EXP(-(LN(2)/$D$65+0.1)*(VLOOKUP(($F$16-$F$15)-1,AK$100:AO237,5,FALSE)))*EXP(-(LN(2)/$D$65+0.04)*AN237)*EXP(-(LN(2)/$D$65+0.1)*AO237),IF(AL237=3,AR$100*EXP(-(LN(2)/$D$65+0.04)*(VLOOKUP(($F$16-$F$15)-1,AK$100:AO237,4,FALSE)))*EXP(-(LN(2)/$D$65+0.1)*(VLOOKUP(($F$16-$F$15)-1,AK$100:AO237,5,FALSE)))*EXP(-(LN(2)/$D$65+0.04)*(VLOOKUP(($F$16-$F$15)*2-1,AK$100:AO237,4,FALSE)))*EXP(-(LN(2)/$D$65+0.1)*(VLOOKUP(($F$16-$F$15)*2-1,AK$100:AO237,5,FALSE)))*EXP(-(LN(2)/$D$65+0.04)*AN237)*EXP(-(LN(2)/$D$65+0.1)*AO237),"-"))),"-")</f>
        <v>-</v>
      </c>
      <c r="AS237" s="274">
        <f t="shared" si="191"/>
        <v>0</v>
      </c>
      <c r="AT237" s="274">
        <f t="shared" si="192"/>
        <v>0</v>
      </c>
      <c r="AU237" s="274">
        <f t="shared" si="193"/>
        <v>0</v>
      </c>
      <c r="AV237" s="190" t="str">
        <f>IF($B237&lt;$F$22,SUM($T$100:$T237),"")</f>
        <v/>
      </c>
      <c r="AW237" s="190" t="str">
        <f t="shared" si="194"/>
        <v>-</v>
      </c>
      <c r="AX237" s="190" t="str">
        <f t="shared" si="219"/>
        <v/>
      </c>
      <c r="AY237"/>
      <c r="AZ237" s="190" t="str">
        <f ca="1">IF(ISNUMBER(OFFSET(AV237,-$F$21,0)),SUM(OFFSET($T$100,$F$21,0):$T237),"")</f>
        <v/>
      </c>
      <c r="BA237" s="190" t="str">
        <f t="shared" ca="1" si="195"/>
        <v/>
      </c>
      <c r="BB237" s="190" t="str">
        <f t="shared" ca="1" si="148"/>
        <v/>
      </c>
      <c r="BC237" s="190"/>
      <c r="BD237" s="190" t="str">
        <f ca="1">IFERROR(IF(OR(ISNUMBER(I),ISNUMBER($F$14)),IF(AND($B237&gt;=($F$16-$F$15),$B237&lt;$F$22+($F$16-$F$15)),SUM(OFFSET($T$100,($F$16-$F$15),0):$T237),""),""),"")</f>
        <v/>
      </c>
      <c r="BE237" s="190" t="str">
        <f t="shared" ca="1" si="220"/>
        <v/>
      </c>
      <c r="BF237" s="190" t="str">
        <f t="shared" ca="1" si="221"/>
        <v/>
      </c>
      <c r="BG237"/>
      <c r="BH237" s="190" t="str">
        <f ca="1">IF(ISNUMBER(OFFSET(BD237,-$F$21,0)),SUM(OFFSET($T$100,($F$16-$F$15+$F$21),0):$T237),"")</f>
        <v/>
      </c>
      <c r="BI237" s="190" t="str">
        <f t="shared" ca="1" si="196"/>
        <v/>
      </c>
      <c r="BJ237" s="190" t="str">
        <f t="shared" ca="1" si="222"/>
        <v/>
      </c>
      <c r="BK237" s="190"/>
      <c r="BL237" s="190" t="str">
        <f ca="1">IFERROR(IF(OR(ISNUMBER(I),ISNUMBER($F$14)),IF(AND($B237&gt;=($F$17-$F$15),$B237&lt;$F$22+($F$17-$F$15)),SUM(OFFSET($T$100,($F$17-$F$15),0):$T237),""),""),"")</f>
        <v/>
      </c>
      <c r="BM237" s="190" t="str">
        <f t="shared" ca="1" si="197"/>
        <v/>
      </c>
      <c r="BN237" s="190" t="str">
        <f t="shared" ca="1" si="223"/>
        <v/>
      </c>
      <c r="BO237"/>
      <c r="BP237" s="190" t="str">
        <f ca="1">IF(ISNUMBER(OFFSET(BL237,-$F$21,0)),SUM(OFFSET($T$100,($F$17-$F$15+$F$21),0):$T237),"")</f>
        <v/>
      </c>
      <c r="BQ237" s="190" t="str">
        <f t="shared" ca="1" si="198"/>
        <v/>
      </c>
      <c r="BR237" s="190" t="str">
        <f t="shared" ca="1" si="224"/>
        <v/>
      </c>
      <c r="BS237" s="190"/>
      <c r="BT237"/>
      <c r="BU237"/>
      <c r="BV237"/>
      <c r="BY237" s="99"/>
      <c r="BZ237" s="99"/>
      <c r="CA237" s="280" t="str">
        <f t="shared" si="199"/>
        <v/>
      </c>
      <c r="CB237" s="71" t="str">
        <f t="shared" si="200"/>
        <v>-</v>
      </c>
      <c r="CC237" s="33"/>
      <c r="CD237" s="261" t="str">
        <f t="shared" si="201"/>
        <v/>
      </c>
      <c r="CE237" s="280" t="str">
        <f t="shared" si="202"/>
        <v/>
      </c>
      <c r="CF237" s="71" t="str">
        <f t="shared" ca="1" si="203"/>
        <v/>
      </c>
      <c r="CG237" s="33" t="str">
        <f t="shared" si="204"/>
        <v/>
      </c>
      <c r="CH237" s="261" t="str">
        <f t="shared" ca="1" si="205"/>
        <v/>
      </c>
    </row>
    <row r="238" spans="2:86" ht="13.5" customHeight="1" x14ac:dyDescent="0.2">
      <c r="B238" s="262">
        <v>138</v>
      </c>
      <c r="C238" s="237" t="str">
        <f t="shared" si="169"/>
        <v/>
      </c>
      <c r="D238" s="237" t="str">
        <f t="shared" si="225"/>
        <v/>
      </c>
      <c r="E238" s="263" t="str">
        <f t="shared" si="206"/>
        <v/>
      </c>
      <c r="F238" s="264" t="str">
        <f t="shared" si="207"/>
        <v/>
      </c>
      <c r="G238" s="264" t="str">
        <f t="shared" si="208"/>
        <v/>
      </c>
      <c r="H238" s="240" t="str">
        <f t="shared" si="170"/>
        <v/>
      </c>
      <c r="I238" s="265" t="str">
        <f t="shared" si="171"/>
        <v/>
      </c>
      <c r="J238" s="265" t="str">
        <f t="shared" si="172"/>
        <v/>
      </c>
      <c r="K238" s="240" t="str">
        <f t="shared" si="173"/>
        <v/>
      </c>
      <c r="L238" s="265" t="str">
        <f t="shared" si="174"/>
        <v/>
      </c>
      <c r="M238" s="265" t="str">
        <f t="shared" si="175"/>
        <v/>
      </c>
      <c r="N238" s="240" t="str">
        <f t="shared" si="176"/>
        <v>-</v>
      </c>
      <c r="O238" s="265" t="str">
        <f t="shared" si="177"/>
        <v>-</v>
      </c>
      <c r="P238" s="265" t="str">
        <f t="shared" si="178"/>
        <v>-</v>
      </c>
      <c r="Q238" s="266" t="str">
        <f t="shared" si="179"/>
        <v>-</v>
      </c>
      <c r="R238" s="267" t="str">
        <f t="shared" si="180"/>
        <v>-</v>
      </c>
      <c r="S238" s="268" t="str">
        <f t="shared" si="181"/>
        <v>-</v>
      </c>
      <c r="T238" s="269" t="str">
        <f t="shared" si="182"/>
        <v/>
      </c>
      <c r="U238" s="221">
        <f t="shared" si="183"/>
        <v>138</v>
      </c>
      <c r="V238" s="220" t="str">
        <f t="shared" si="209"/>
        <v>-</v>
      </c>
      <c r="W238" s="221" t="str">
        <f t="shared" si="210"/>
        <v>-</v>
      </c>
      <c r="X238" s="221" t="str">
        <f t="shared" si="184"/>
        <v>-</v>
      </c>
      <c r="Y238" s="221" t="str">
        <f t="shared" si="185"/>
        <v>-</v>
      </c>
      <c r="Z238" s="270">
        <f t="shared" si="211"/>
        <v>0.1</v>
      </c>
      <c r="AA238" s="271" t="str">
        <f>IFERROR(IF(V237=1,AA$100*EXP(-(LN(2)/$D$65+0.04)*X237)*EXP(-(LN(2)/$D$65+0.1)*Y237),IF(V237=2,AA$100*EXP(-(LN(2)/$D$65+0.04)*(VLOOKUP(($F$16-$F$15)-1,U$99:Y237,4,FALSE)))*EXP(-(LN(2)/$D$65+0.1)*(VLOOKUP(($F$16-$F$15)-1,U$99:Y237,5,FALSE)))*EXP(-(LN(2)/$D$65+0.04)*X237)*EXP(-(LN(2)/$D$65+0.1)*Y237),IF(V237=3,AA$100*EXP(-(LN(2)/$D$65+0.04)*(VLOOKUP(($F$16-$F$15)-1,U$99:Y237,4,FALSE)))*EXP(-(LN(2)/$D$65+0.1)*(VLOOKUP(($F$16-$F$15)-1,U$99:Y237,5,FALSE)))*EXP(-(LN(2)/$D$65+0.04)*(VLOOKUP(($F$16-$F$15)*2-1,U$99:Y237,4,FALSE)))*EXP(-(LN(2)/$D$65+0.1)*(VLOOKUP(($F$16-$F$15)*2-1,U$99:Y237,5,FALSE)))*EXP(-(LN(2)/$D$65+0.04)*X237)*EXP(-(LN(2)/$D$65+0.1)*Y237),"-"))),"-")</f>
        <v>-</v>
      </c>
      <c r="AB238" s="271" t="str">
        <f>IFERROR(IF(V238=1,AB$100*EXP(-(LN(2)/$D$65+0.04)*X238)*EXP(-(LN(2)/$D$65+0.1)*Y238),IF(V238=2,AB$100*EXP(-(LN(2)/$D$65+0.04)*(VLOOKUP(($F$16-$F$15)-1,U$100:Y238,4,FALSE)))*EXP(-(LN(2)/$D$65+0.1)*(VLOOKUP(($F$16-$F$15)-1,U$100:Y238,5,FALSE)))*EXP(-(LN(2)/$D$65+0.04)*X238)*EXP(-(LN(2)/$D$65+0.1)*Y238),IF(V238=3,AB$100*EXP(-(LN(2)/$D$65+0.04)*(VLOOKUP(($F$16-$F$15)-1,U$100:Y238,4,FALSE)))*EXP(-(LN(2)/$D$65+0.1)*(VLOOKUP(($F$16-$F$15)-1,U$100:Y238,5,FALSE)))*EXP(-(LN(2)/$D$65+0.04)*(VLOOKUP(($F$16-$F$15)*2-1,U$100:Y238,4,FALSE)))*EXP(-(LN(2)/$D$65+0.1)*(VLOOKUP(($F$16-$F$15)*2-1,U$100:Y238,5,FALSE)))*EXP(-(LN(2)/$D$65+0.04)*X238)*EXP(-(LN(2)/$D$65+0.1)*Y238),"-"))),"-")</f>
        <v>-</v>
      </c>
      <c r="AC238" s="224">
        <f t="shared" si="212"/>
        <v>138</v>
      </c>
      <c r="AD238" s="223" t="str">
        <f t="shared" si="186"/>
        <v>-</v>
      </c>
      <c r="AE238" s="224" t="str">
        <f t="shared" si="213"/>
        <v>-</v>
      </c>
      <c r="AF238" s="224" t="str">
        <f t="shared" si="187"/>
        <v>-</v>
      </c>
      <c r="AG238" s="224" t="str">
        <f t="shared" si="188"/>
        <v>-</v>
      </c>
      <c r="AH238" s="272">
        <f t="shared" si="214"/>
        <v>0.1</v>
      </c>
      <c r="AI238" s="271" t="str">
        <f>IFERROR(IF(AD237=1,AI$100*EXP(-(LN(2)/$D$65+0.04)*AF237)*EXP(-(LN(2)/$D$65+0.1)*AG237),IF(AD237=2,AI$100*EXP(-(LN(2)/$D$65+0.04)*(VLOOKUP(($F$16-$F$15)-1,AC$99:AG237,4,FALSE)))*EXP(-(LN(2)/$D$65+0.1)*(VLOOKUP(($F$16-$F$15)-1,AC$99:AG237,5,FALSE)))*EXP(-(LN(2)/$D$65+0.04)*AF237)*EXP(-(LN(2)/$D$65+0.1)*AG237),IF(AD237=3,AI$100*EXP(-(LN(2)/$D$65+0.04)*(VLOOKUP(($F$16-$F$15)-1,AC$99:AG237,4,FALSE)))*EXP(-(LN(2)/$D$65+0.1)*(VLOOKUP(($F$16-$F$15)-1,AC$99:AG237,5,FALSE)))*EXP(-(LN(2)/$D$65+0.04)*(VLOOKUP(($F$16-$F$15)*2-1,AC$99:AG237,4,FALSE)))*EXP(-(LN(2)/$D$65+0.1)*(VLOOKUP(($F$16-$F$15)*2-1,AC$99:AG237,5,FALSE)))*EXP(-(LN(2)/$D$65+0.04)*AF237)*EXP(-(LN(2)/$D$65+0.1)*AG237),"-"))),"-")</f>
        <v>-</v>
      </c>
      <c r="AJ238" s="271" t="str">
        <f>IFERROR(IF(AD238=1,AJ$100*EXP(-(LN(2)/$D$65+0.04)*AF238)*EXP(-(LN(2)/$D$65+0.1)*AG238),IF(AD238=2,AJ$100*EXP(-(LN(2)/$D$65+0.04)*(VLOOKUP(($F$16-$F$15)-1,AC$100:AG238,4,FALSE)))*EXP(-(LN(2)/$D$65+0.1)*(VLOOKUP(($F$16-$F$15)-1,AC$100:AG238,5,FALSE)))*EXP(-(LN(2)/$D$65+0.04)*AF238)*EXP(-(LN(2)/$D$65+0.1)*AG238),IF(AD238=3,AJ$100*EXP(-(LN(2)/$D$65+0.04)*(VLOOKUP(($F$16-$F$15)-1,AC$100:AG238,4,FALSE)))*EXP(-(LN(2)/$D$65+0.1)*(VLOOKUP(($F$16-$F$15)-1,AC$100:AG238,5,FALSE)))*EXP(-(LN(2)/$D$65+0.04)*(VLOOKUP(($F$16-$F$15)*2-1,AC$100:AG238,4,FALSE)))*EXP(-(LN(2)/$D$65+0.1)*(VLOOKUP(($F$16-$F$15)*2-1,AC$100:AG238,5,FALSE)))*EXP(-(LN(2)/$D$65+0.04)*AF238)*EXP(-(LN(2)/$D$65+0.1)*AG238),"-"))),"-")</f>
        <v>-</v>
      </c>
      <c r="AK238" s="227">
        <f t="shared" si="215"/>
        <v>138</v>
      </c>
      <c r="AL238" s="226" t="str">
        <f t="shared" si="189"/>
        <v>-</v>
      </c>
      <c r="AM238" s="227" t="str">
        <f t="shared" si="216"/>
        <v>-</v>
      </c>
      <c r="AN238" s="227" t="str">
        <f t="shared" si="217"/>
        <v>-</v>
      </c>
      <c r="AO238" s="227" t="str">
        <f t="shared" si="190"/>
        <v>-</v>
      </c>
      <c r="AP238" s="273">
        <f t="shared" si="218"/>
        <v>0.1</v>
      </c>
      <c r="AQ238" s="271" t="str">
        <f>IFERROR(IF(AL237=1,AQ$100*EXP(-(LN(2)/$D$65+0.04)*AN237)*EXP(-(LN(2)/$D$65+0.1)*AO237),IF(AL237=2,AQ$100*EXP(-(LN(2)/$D$65+0.04)*(VLOOKUP(($F$16-$F$15)-1,AK$99:AO237,4,FALSE)))*EXP(-(LN(2)/$D$65+0.1)*(VLOOKUP(($F$16-$F$15)-1,AK$99:AO237,5,FALSE)))*EXP(-(LN(2)/$D$65+0.04)*AN237)*EXP(-(LN(2)/$D$65+0.1)*AO237),IF(AL237=3,AQ$100*EXP(-(LN(2)/$D$65+0.04)*(VLOOKUP(($F$16-$F$15)-1,AK$99:AO237,4,FALSE)))*EXP(-(LN(2)/$D$65+0.1)*(VLOOKUP(($F$16-$F$15)-1,AK$99:AO237,5,FALSE)))*EXP(-(LN(2)/$D$65+0.04)*(VLOOKUP(($F$16-$F$15)*2-1,AK$99:AO237,4,FALSE)))*EXP(-(LN(2)/$D$65+0.1)*(VLOOKUP(($F$16-$F$15)*2-1,AK$99:AO237,5,FALSE)))*EXP(-(LN(2)/$D$65+0.04)*AN237)*EXP(-(LN(2)/$D$65+0.1)*AO237),"-"))),"-")</f>
        <v>-</v>
      </c>
      <c r="AR238" s="271" t="str">
        <f>IFERROR(IF(AL238=1,AR$100*EXP(-(LN(2)/$D$65+0.04)*AN238)*EXP(-(LN(2)/$D$65+0.1)*AO238),IF(AL238=2,AR$100*EXP(-(LN(2)/$D$65+0.04)*(VLOOKUP(($F$16-$F$15)-1,AK$100:AO238,4,FALSE)))*EXP(-(LN(2)/$D$65+0.1)*(VLOOKUP(($F$16-$F$15)-1,AK$100:AO238,5,FALSE)))*EXP(-(LN(2)/$D$65+0.04)*AN238)*EXP(-(LN(2)/$D$65+0.1)*AO238),IF(AL238=3,AR$100*EXP(-(LN(2)/$D$65+0.04)*(VLOOKUP(($F$16-$F$15)-1,AK$100:AO238,4,FALSE)))*EXP(-(LN(2)/$D$65+0.1)*(VLOOKUP(($F$16-$F$15)-1,AK$100:AO238,5,FALSE)))*EXP(-(LN(2)/$D$65+0.04)*(VLOOKUP(($F$16-$F$15)*2-1,AK$100:AO238,4,FALSE)))*EXP(-(LN(2)/$D$65+0.1)*(VLOOKUP(($F$16-$F$15)*2-1,AK$100:AO238,5,FALSE)))*EXP(-(LN(2)/$D$65+0.04)*AN238)*EXP(-(LN(2)/$D$65+0.1)*AO238),"-"))),"-")</f>
        <v>-</v>
      </c>
      <c r="AS238" s="274">
        <f t="shared" si="191"/>
        <v>0</v>
      </c>
      <c r="AT238" s="274">
        <f t="shared" si="192"/>
        <v>0</v>
      </c>
      <c r="AU238" s="274">
        <f t="shared" si="193"/>
        <v>0</v>
      </c>
      <c r="AV238" s="190" t="str">
        <f>IF($B238&lt;$F$22,SUM($T$100:$T238),"")</f>
        <v/>
      </c>
      <c r="AW238" s="190" t="str">
        <f t="shared" si="194"/>
        <v>-</v>
      </c>
      <c r="AX238" s="190" t="str">
        <f t="shared" si="219"/>
        <v/>
      </c>
      <c r="AY238"/>
      <c r="AZ238" s="190" t="str">
        <f ca="1">IF(ISNUMBER(OFFSET(AV238,-$F$21,0)),SUM(OFFSET($T$100,$F$21,0):$T238),"")</f>
        <v/>
      </c>
      <c r="BA238" s="190" t="str">
        <f t="shared" ca="1" si="195"/>
        <v/>
      </c>
      <c r="BB238" s="190" t="str">
        <f t="shared" ca="1" si="148"/>
        <v/>
      </c>
      <c r="BC238" s="190"/>
      <c r="BD238" s="190" t="str">
        <f ca="1">IFERROR(IF(OR(ISNUMBER(I),ISNUMBER($F$14)),IF(AND($B238&gt;=($F$16-$F$15),$B238&lt;$F$22+($F$16-$F$15)),SUM(OFFSET($T$100,($F$16-$F$15),0):$T238),""),""),"")</f>
        <v/>
      </c>
      <c r="BE238" s="190" t="str">
        <f t="shared" ca="1" si="220"/>
        <v/>
      </c>
      <c r="BF238" s="190" t="str">
        <f t="shared" ca="1" si="221"/>
        <v/>
      </c>
      <c r="BG238"/>
      <c r="BH238" s="190" t="str">
        <f ca="1">IF(ISNUMBER(OFFSET(BD238,-$F$21,0)),SUM(OFFSET($T$100,($F$16-$F$15+$F$21),0):$T238),"")</f>
        <v/>
      </c>
      <c r="BI238" s="190" t="str">
        <f t="shared" ca="1" si="196"/>
        <v/>
      </c>
      <c r="BJ238" s="190" t="str">
        <f t="shared" ca="1" si="222"/>
        <v/>
      </c>
      <c r="BK238" s="190"/>
      <c r="BL238" s="190" t="str">
        <f ca="1">IFERROR(IF(OR(ISNUMBER(I),ISNUMBER($F$14)),IF(AND($B238&gt;=($F$17-$F$15),$B238&lt;$F$22+($F$17-$F$15)),SUM(OFFSET($T$100,($F$17-$F$15),0):$T238),""),""),"")</f>
        <v/>
      </c>
      <c r="BM238" s="190" t="str">
        <f t="shared" ca="1" si="197"/>
        <v/>
      </c>
      <c r="BN238" s="190" t="str">
        <f t="shared" ca="1" si="223"/>
        <v/>
      </c>
      <c r="BO238"/>
      <c r="BP238" s="190" t="str">
        <f ca="1">IF(ISNUMBER(OFFSET(BL238,-$F$21,0)),SUM(OFFSET($T$100,($F$17-$F$15+$F$21),0):$T238),"")</f>
        <v/>
      </c>
      <c r="BQ238" s="190" t="str">
        <f t="shared" ca="1" si="198"/>
        <v/>
      </c>
      <c r="BR238" s="190" t="str">
        <f t="shared" ca="1" si="224"/>
        <v/>
      </c>
      <c r="BS238" s="190"/>
      <c r="BT238"/>
      <c r="BU238"/>
      <c r="BV238"/>
      <c r="BY238" s="99"/>
      <c r="BZ238" s="99"/>
      <c r="CA238" s="280" t="str">
        <f t="shared" si="199"/>
        <v/>
      </c>
      <c r="CB238" s="71" t="str">
        <f t="shared" si="200"/>
        <v>-</v>
      </c>
      <c r="CC238" s="33"/>
      <c r="CD238" s="261" t="str">
        <f t="shared" si="201"/>
        <v/>
      </c>
      <c r="CE238" s="280" t="str">
        <f t="shared" si="202"/>
        <v/>
      </c>
      <c r="CF238" s="71" t="str">
        <f t="shared" ca="1" si="203"/>
        <v/>
      </c>
      <c r="CG238" s="33" t="str">
        <f t="shared" si="204"/>
        <v/>
      </c>
      <c r="CH238" s="261" t="str">
        <f t="shared" ca="1" si="205"/>
        <v/>
      </c>
    </row>
    <row r="239" spans="2:86" ht="13.5" customHeight="1" x14ac:dyDescent="0.2">
      <c r="B239" s="262">
        <v>139</v>
      </c>
      <c r="C239" s="237" t="str">
        <f t="shared" si="169"/>
        <v/>
      </c>
      <c r="D239" s="237" t="str">
        <f t="shared" si="225"/>
        <v/>
      </c>
      <c r="E239" s="263" t="str">
        <f t="shared" si="206"/>
        <v/>
      </c>
      <c r="F239" s="264" t="str">
        <f t="shared" si="207"/>
        <v/>
      </c>
      <c r="G239" s="264" t="str">
        <f t="shared" si="208"/>
        <v/>
      </c>
      <c r="H239" s="240" t="str">
        <f t="shared" si="170"/>
        <v/>
      </c>
      <c r="I239" s="265" t="str">
        <f t="shared" si="171"/>
        <v/>
      </c>
      <c r="J239" s="265" t="str">
        <f t="shared" si="172"/>
        <v/>
      </c>
      <c r="K239" s="240" t="str">
        <f t="shared" si="173"/>
        <v/>
      </c>
      <c r="L239" s="265" t="str">
        <f t="shared" si="174"/>
        <v/>
      </c>
      <c r="M239" s="265" t="str">
        <f t="shared" si="175"/>
        <v/>
      </c>
      <c r="N239" s="240" t="str">
        <f t="shared" si="176"/>
        <v>-</v>
      </c>
      <c r="O239" s="265" t="str">
        <f t="shared" si="177"/>
        <v>-</v>
      </c>
      <c r="P239" s="265" t="str">
        <f t="shared" si="178"/>
        <v>-</v>
      </c>
      <c r="Q239" s="266" t="str">
        <f t="shared" si="179"/>
        <v>-</v>
      </c>
      <c r="R239" s="267" t="str">
        <f t="shared" si="180"/>
        <v>-</v>
      </c>
      <c r="S239" s="268" t="str">
        <f t="shared" si="181"/>
        <v>-</v>
      </c>
      <c r="T239" s="269" t="str">
        <f t="shared" si="182"/>
        <v/>
      </c>
      <c r="U239" s="221">
        <f t="shared" si="183"/>
        <v>139</v>
      </c>
      <c r="V239" s="220" t="str">
        <f t="shared" si="209"/>
        <v>-</v>
      </c>
      <c r="W239" s="221" t="str">
        <f t="shared" si="210"/>
        <v>-</v>
      </c>
      <c r="X239" s="221" t="str">
        <f t="shared" si="184"/>
        <v>-</v>
      </c>
      <c r="Y239" s="221" t="str">
        <f t="shared" si="185"/>
        <v>-</v>
      </c>
      <c r="Z239" s="270">
        <f t="shared" si="211"/>
        <v>0.1</v>
      </c>
      <c r="AA239" s="271" t="str">
        <f>IFERROR(IF(V238=1,AA$100*EXP(-(LN(2)/$D$65+0.04)*X238)*EXP(-(LN(2)/$D$65+0.1)*Y238),IF(V238=2,AA$100*EXP(-(LN(2)/$D$65+0.04)*(VLOOKUP(($F$16-$F$15)-1,U$99:Y238,4,FALSE)))*EXP(-(LN(2)/$D$65+0.1)*(VLOOKUP(($F$16-$F$15)-1,U$99:Y238,5,FALSE)))*EXP(-(LN(2)/$D$65+0.04)*X238)*EXP(-(LN(2)/$D$65+0.1)*Y238),IF(V238=3,AA$100*EXP(-(LN(2)/$D$65+0.04)*(VLOOKUP(($F$16-$F$15)-1,U$99:Y238,4,FALSE)))*EXP(-(LN(2)/$D$65+0.1)*(VLOOKUP(($F$16-$F$15)-1,U$99:Y238,5,FALSE)))*EXP(-(LN(2)/$D$65+0.04)*(VLOOKUP(($F$16-$F$15)*2-1,U$99:Y238,4,FALSE)))*EXP(-(LN(2)/$D$65+0.1)*(VLOOKUP(($F$16-$F$15)*2-1,U$99:Y238,5,FALSE)))*EXP(-(LN(2)/$D$65+0.04)*X238)*EXP(-(LN(2)/$D$65+0.1)*Y238),"-"))),"-")</f>
        <v>-</v>
      </c>
      <c r="AB239" s="271" t="str">
        <f>IFERROR(IF(V239=1,AB$100*EXP(-(LN(2)/$D$65+0.04)*X239)*EXP(-(LN(2)/$D$65+0.1)*Y239),IF(V239=2,AB$100*EXP(-(LN(2)/$D$65+0.04)*(VLOOKUP(($F$16-$F$15)-1,U$100:Y239,4,FALSE)))*EXP(-(LN(2)/$D$65+0.1)*(VLOOKUP(($F$16-$F$15)-1,U$100:Y239,5,FALSE)))*EXP(-(LN(2)/$D$65+0.04)*X239)*EXP(-(LN(2)/$D$65+0.1)*Y239),IF(V239=3,AB$100*EXP(-(LN(2)/$D$65+0.04)*(VLOOKUP(($F$16-$F$15)-1,U$100:Y239,4,FALSE)))*EXP(-(LN(2)/$D$65+0.1)*(VLOOKUP(($F$16-$F$15)-1,U$100:Y239,5,FALSE)))*EXP(-(LN(2)/$D$65+0.04)*(VLOOKUP(($F$16-$F$15)*2-1,U$100:Y239,4,FALSE)))*EXP(-(LN(2)/$D$65+0.1)*(VLOOKUP(($F$16-$F$15)*2-1,U$100:Y239,5,FALSE)))*EXP(-(LN(2)/$D$65+0.04)*X239)*EXP(-(LN(2)/$D$65+0.1)*Y239),"-"))),"-")</f>
        <v>-</v>
      </c>
      <c r="AC239" s="224">
        <f t="shared" si="212"/>
        <v>139</v>
      </c>
      <c r="AD239" s="223" t="str">
        <f t="shared" si="186"/>
        <v>-</v>
      </c>
      <c r="AE239" s="224" t="str">
        <f t="shared" si="213"/>
        <v>-</v>
      </c>
      <c r="AF239" s="224" t="str">
        <f t="shared" si="187"/>
        <v>-</v>
      </c>
      <c r="AG239" s="224" t="str">
        <f t="shared" si="188"/>
        <v>-</v>
      </c>
      <c r="AH239" s="272">
        <f t="shared" si="214"/>
        <v>0.1</v>
      </c>
      <c r="AI239" s="271" t="str">
        <f>IFERROR(IF(AD238=1,AI$100*EXP(-(LN(2)/$D$65+0.04)*AF238)*EXP(-(LN(2)/$D$65+0.1)*AG238),IF(AD238=2,AI$100*EXP(-(LN(2)/$D$65+0.04)*(VLOOKUP(($F$16-$F$15)-1,AC$99:AG238,4,FALSE)))*EXP(-(LN(2)/$D$65+0.1)*(VLOOKUP(($F$16-$F$15)-1,AC$99:AG238,5,FALSE)))*EXP(-(LN(2)/$D$65+0.04)*AF238)*EXP(-(LN(2)/$D$65+0.1)*AG238),IF(AD238=3,AI$100*EXP(-(LN(2)/$D$65+0.04)*(VLOOKUP(($F$16-$F$15)-1,AC$99:AG238,4,FALSE)))*EXP(-(LN(2)/$D$65+0.1)*(VLOOKUP(($F$16-$F$15)-1,AC$99:AG238,5,FALSE)))*EXP(-(LN(2)/$D$65+0.04)*(VLOOKUP(($F$16-$F$15)*2-1,AC$99:AG238,4,FALSE)))*EXP(-(LN(2)/$D$65+0.1)*(VLOOKUP(($F$16-$F$15)*2-1,AC$99:AG238,5,FALSE)))*EXP(-(LN(2)/$D$65+0.04)*AF238)*EXP(-(LN(2)/$D$65+0.1)*AG238),"-"))),"-")</f>
        <v>-</v>
      </c>
      <c r="AJ239" s="271" t="str">
        <f>IFERROR(IF(AD239=1,AJ$100*EXP(-(LN(2)/$D$65+0.04)*AF239)*EXP(-(LN(2)/$D$65+0.1)*AG239),IF(AD239=2,AJ$100*EXP(-(LN(2)/$D$65+0.04)*(VLOOKUP(($F$16-$F$15)-1,AC$100:AG239,4,FALSE)))*EXP(-(LN(2)/$D$65+0.1)*(VLOOKUP(($F$16-$F$15)-1,AC$100:AG239,5,FALSE)))*EXP(-(LN(2)/$D$65+0.04)*AF239)*EXP(-(LN(2)/$D$65+0.1)*AG239),IF(AD239=3,AJ$100*EXP(-(LN(2)/$D$65+0.04)*(VLOOKUP(($F$16-$F$15)-1,AC$100:AG239,4,FALSE)))*EXP(-(LN(2)/$D$65+0.1)*(VLOOKUP(($F$16-$F$15)-1,AC$100:AG239,5,FALSE)))*EXP(-(LN(2)/$D$65+0.04)*(VLOOKUP(($F$16-$F$15)*2-1,AC$100:AG239,4,FALSE)))*EXP(-(LN(2)/$D$65+0.1)*(VLOOKUP(($F$16-$F$15)*2-1,AC$100:AG239,5,FALSE)))*EXP(-(LN(2)/$D$65+0.04)*AF239)*EXP(-(LN(2)/$D$65+0.1)*AG239),"-"))),"-")</f>
        <v>-</v>
      </c>
      <c r="AK239" s="227">
        <f t="shared" si="215"/>
        <v>139</v>
      </c>
      <c r="AL239" s="226" t="str">
        <f t="shared" si="189"/>
        <v>-</v>
      </c>
      <c r="AM239" s="227" t="str">
        <f t="shared" si="216"/>
        <v>-</v>
      </c>
      <c r="AN239" s="227" t="str">
        <f t="shared" si="217"/>
        <v>-</v>
      </c>
      <c r="AO239" s="227" t="str">
        <f t="shared" si="190"/>
        <v>-</v>
      </c>
      <c r="AP239" s="273">
        <f t="shared" si="218"/>
        <v>0.1</v>
      </c>
      <c r="AQ239" s="271" t="str">
        <f>IFERROR(IF(AL238=1,AQ$100*EXP(-(LN(2)/$D$65+0.04)*AN238)*EXP(-(LN(2)/$D$65+0.1)*AO238),IF(AL238=2,AQ$100*EXP(-(LN(2)/$D$65+0.04)*(VLOOKUP(($F$16-$F$15)-1,AK$99:AO238,4,FALSE)))*EXP(-(LN(2)/$D$65+0.1)*(VLOOKUP(($F$16-$F$15)-1,AK$99:AO238,5,FALSE)))*EXP(-(LN(2)/$D$65+0.04)*AN238)*EXP(-(LN(2)/$D$65+0.1)*AO238),IF(AL238=3,AQ$100*EXP(-(LN(2)/$D$65+0.04)*(VLOOKUP(($F$16-$F$15)-1,AK$99:AO238,4,FALSE)))*EXP(-(LN(2)/$D$65+0.1)*(VLOOKUP(($F$16-$F$15)-1,AK$99:AO238,5,FALSE)))*EXP(-(LN(2)/$D$65+0.04)*(VLOOKUP(($F$16-$F$15)*2-1,AK$99:AO238,4,FALSE)))*EXP(-(LN(2)/$D$65+0.1)*(VLOOKUP(($F$16-$F$15)*2-1,AK$99:AO238,5,FALSE)))*EXP(-(LN(2)/$D$65+0.04)*AN238)*EXP(-(LN(2)/$D$65+0.1)*AO238),"-"))),"-")</f>
        <v>-</v>
      </c>
      <c r="AR239" s="271" t="str">
        <f>IFERROR(IF(AL239=1,AR$100*EXP(-(LN(2)/$D$65+0.04)*AN239)*EXP(-(LN(2)/$D$65+0.1)*AO239),IF(AL239=2,AR$100*EXP(-(LN(2)/$D$65+0.04)*(VLOOKUP(($F$16-$F$15)-1,AK$100:AO239,4,FALSE)))*EXP(-(LN(2)/$D$65+0.1)*(VLOOKUP(($F$16-$F$15)-1,AK$100:AO239,5,FALSE)))*EXP(-(LN(2)/$D$65+0.04)*AN239)*EXP(-(LN(2)/$D$65+0.1)*AO239),IF(AL239=3,AR$100*EXP(-(LN(2)/$D$65+0.04)*(VLOOKUP(($F$16-$F$15)-1,AK$100:AO239,4,FALSE)))*EXP(-(LN(2)/$D$65+0.1)*(VLOOKUP(($F$16-$F$15)-1,AK$100:AO239,5,FALSE)))*EXP(-(LN(2)/$D$65+0.04)*(VLOOKUP(($F$16-$F$15)*2-1,AK$100:AO239,4,FALSE)))*EXP(-(LN(2)/$D$65+0.1)*(VLOOKUP(($F$16-$F$15)*2-1,AK$100:AO239,5,FALSE)))*EXP(-(LN(2)/$D$65+0.04)*AN239)*EXP(-(LN(2)/$D$65+0.1)*AO239),"-"))),"-")</f>
        <v>-</v>
      </c>
      <c r="AS239" s="274">
        <f t="shared" si="191"/>
        <v>0</v>
      </c>
      <c r="AT239" s="274">
        <f t="shared" si="192"/>
        <v>0</v>
      </c>
      <c r="AU239" s="274">
        <f t="shared" si="193"/>
        <v>0</v>
      </c>
      <c r="AV239" s="190" t="str">
        <f>IF($B239&lt;$F$22,SUM($T$100:$T239),"")</f>
        <v/>
      </c>
      <c r="AW239" s="190" t="str">
        <f t="shared" si="194"/>
        <v>-</v>
      </c>
      <c r="AX239" s="190" t="str">
        <f t="shared" si="219"/>
        <v/>
      </c>
      <c r="AY239"/>
      <c r="AZ239" s="190" t="str">
        <f ca="1">IF(ISNUMBER(OFFSET(AV239,-$F$21,0)),SUM(OFFSET($T$100,$F$21,0):$T239),"")</f>
        <v/>
      </c>
      <c r="BA239" s="190" t="str">
        <f t="shared" ca="1" si="195"/>
        <v/>
      </c>
      <c r="BB239" s="190" t="str">
        <f t="shared" ca="1" si="148"/>
        <v/>
      </c>
      <c r="BC239" s="190"/>
      <c r="BD239" s="190" t="str">
        <f ca="1">IFERROR(IF(OR(ISNUMBER(I),ISNUMBER($F$14)),IF(AND($B239&gt;=($F$16-$F$15),$B239&lt;$F$22+($F$16-$F$15)),SUM(OFFSET($T$100,($F$16-$F$15),0):$T239),""),""),"")</f>
        <v/>
      </c>
      <c r="BE239" s="190" t="str">
        <f t="shared" ca="1" si="220"/>
        <v/>
      </c>
      <c r="BF239" s="190" t="str">
        <f t="shared" ca="1" si="221"/>
        <v/>
      </c>
      <c r="BG239"/>
      <c r="BH239" s="190" t="str">
        <f ca="1">IF(ISNUMBER(OFFSET(BD239,-$F$21,0)),SUM(OFFSET($T$100,($F$16-$F$15+$F$21),0):$T239),"")</f>
        <v/>
      </c>
      <c r="BI239" s="190" t="str">
        <f t="shared" ca="1" si="196"/>
        <v/>
      </c>
      <c r="BJ239" s="190" t="str">
        <f t="shared" ca="1" si="222"/>
        <v/>
      </c>
      <c r="BK239" s="190"/>
      <c r="BL239" s="190" t="str">
        <f ca="1">IFERROR(IF(OR(ISNUMBER(I),ISNUMBER($F$14)),IF(AND($B239&gt;=($F$17-$F$15),$B239&lt;$F$22+($F$17-$F$15)),SUM(OFFSET($T$100,($F$17-$F$15),0):$T239),""),""),"")</f>
        <v/>
      </c>
      <c r="BM239" s="190" t="str">
        <f t="shared" ca="1" si="197"/>
        <v/>
      </c>
      <c r="BN239" s="190" t="str">
        <f t="shared" ca="1" si="223"/>
        <v/>
      </c>
      <c r="BO239"/>
      <c r="BP239" s="190" t="str">
        <f ca="1">IF(ISNUMBER(OFFSET(BL239,-$F$21,0)),SUM(OFFSET($T$100,($F$17-$F$15+$F$21),0):$T239),"")</f>
        <v/>
      </c>
      <c r="BQ239" s="190" t="str">
        <f t="shared" ca="1" si="198"/>
        <v/>
      </c>
      <c r="BR239" s="190" t="str">
        <f t="shared" ca="1" si="224"/>
        <v/>
      </c>
      <c r="BS239" s="190"/>
      <c r="BT239"/>
      <c r="BU239"/>
      <c r="BV239"/>
      <c r="BY239" s="99"/>
      <c r="BZ239" s="99"/>
      <c r="CA239" s="280" t="str">
        <f t="shared" si="199"/>
        <v/>
      </c>
      <c r="CB239" s="71" t="str">
        <f t="shared" si="200"/>
        <v>-</v>
      </c>
      <c r="CC239" s="33"/>
      <c r="CD239" s="261" t="str">
        <f t="shared" si="201"/>
        <v/>
      </c>
      <c r="CE239" s="280" t="str">
        <f t="shared" si="202"/>
        <v/>
      </c>
      <c r="CF239" s="71" t="str">
        <f t="shared" ca="1" si="203"/>
        <v/>
      </c>
      <c r="CG239" s="33" t="str">
        <f t="shared" si="204"/>
        <v/>
      </c>
      <c r="CH239" s="261" t="str">
        <f t="shared" ca="1" si="205"/>
        <v/>
      </c>
    </row>
    <row r="240" spans="2:86" ht="13.5" customHeight="1" x14ac:dyDescent="0.2">
      <c r="B240" s="262">
        <v>140</v>
      </c>
      <c r="C240" s="237" t="str">
        <f t="shared" si="169"/>
        <v/>
      </c>
      <c r="D240" s="237" t="str">
        <f t="shared" si="225"/>
        <v/>
      </c>
      <c r="E240" s="263" t="str">
        <f t="shared" si="206"/>
        <v/>
      </c>
      <c r="F240" s="264" t="str">
        <f t="shared" si="207"/>
        <v/>
      </c>
      <c r="G240" s="264" t="str">
        <f t="shared" si="208"/>
        <v/>
      </c>
      <c r="H240" s="240" t="str">
        <f t="shared" si="170"/>
        <v/>
      </c>
      <c r="I240" s="265" t="str">
        <f t="shared" si="171"/>
        <v/>
      </c>
      <c r="J240" s="265" t="str">
        <f t="shared" si="172"/>
        <v/>
      </c>
      <c r="K240" s="240" t="str">
        <f t="shared" si="173"/>
        <v/>
      </c>
      <c r="L240" s="265" t="str">
        <f t="shared" si="174"/>
        <v/>
      </c>
      <c r="M240" s="265" t="str">
        <f t="shared" si="175"/>
        <v/>
      </c>
      <c r="N240" s="240" t="str">
        <f t="shared" si="176"/>
        <v>-</v>
      </c>
      <c r="O240" s="265" t="str">
        <f t="shared" si="177"/>
        <v>-</v>
      </c>
      <c r="P240" s="265" t="str">
        <f t="shared" si="178"/>
        <v>-</v>
      </c>
      <c r="Q240" s="266" t="str">
        <f t="shared" si="179"/>
        <v>-</v>
      </c>
      <c r="R240" s="267" t="str">
        <f t="shared" si="180"/>
        <v>-</v>
      </c>
      <c r="S240" s="268" t="str">
        <f t="shared" si="181"/>
        <v>-</v>
      </c>
      <c r="T240" s="269" t="str">
        <f t="shared" si="182"/>
        <v/>
      </c>
      <c r="U240" s="221">
        <f t="shared" si="183"/>
        <v>140</v>
      </c>
      <c r="V240" s="220" t="str">
        <f t="shared" si="209"/>
        <v>-</v>
      </c>
      <c r="W240" s="221" t="str">
        <f t="shared" si="210"/>
        <v>-</v>
      </c>
      <c r="X240" s="221" t="str">
        <f t="shared" si="184"/>
        <v>-</v>
      </c>
      <c r="Y240" s="221" t="str">
        <f t="shared" si="185"/>
        <v>-</v>
      </c>
      <c r="Z240" s="270">
        <f t="shared" si="211"/>
        <v>0.1</v>
      </c>
      <c r="AA240" s="271" t="str">
        <f>IFERROR(IF(V239=1,AA$100*EXP(-(LN(2)/$D$65+0.04)*X239)*EXP(-(LN(2)/$D$65+0.1)*Y239),IF(V239=2,AA$100*EXP(-(LN(2)/$D$65+0.04)*(VLOOKUP(($F$16-$F$15)-1,U$99:Y239,4,FALSE)))*EXP(-(LN(2)/$D$65+0.1)*(VLOOKUP(($F$16-$F$15)-1,U$99:Y239,5,FALSE)))*EXP(-(LN(2)/$D$65+0.04)*X239)*EXP(-(LN(2)/$D$65+0.1)*Y239),IF(V239=3,AA$100*EXP(-(LN(2)/$D$65+0.04)*(VLOOKUP(($F$16-$F$15)-1,U$99:Y239,4,FALSE)))*EXP(-(LN(2)/$D$65+0.1)*(VLOOKUP(($F$16-$F$15)-1,U$99:Y239,5,FALSE)))*EXP(-(LN(2)/$D$65+0.04)*(VLOOKUP(($F$16-$F$15)*2-1,U$99:Y239,4,FALSE)))*EXP(-(LN(2)/$D$65+0.1)*(VLOOKUP(($F$16-$F$15)*2-1,U$99:Y239,5,FALSE)))*EXP(-(LN(2)/$D$65+0.04)*X239)*EXP(-(LN(2)/$D$65+0.1)*Y239),"-"))),"-")</f>
        <v>-</v>
      </c>
      <c r="AB240" s="271" t="str">
        <f>IFERROR(IF(V240=1,AB$100*EXP(-(LN(2)/$D$65+0.04)*X240)*EXP(-(LN(2)/$D$65+0.1)*Y240),IF(V240=2,AB$100*EXP(-(LN(2)/$D$65+0.04)*(VLOOKUP(($F$16-$F$15)-1,U$100:Y240,4,FALSE)))*EXP(-(LN(2)/$D$65+0.1)*(VLOOKUP(($F$16-$F$15)-1,U$100:Y240,5,FALSE)))*EXP(-(LN(2)/$D$65+0.04)*X240)*EXP(-(LN(2)/$D$65+0.1)*Y240),IF(V240=3,AB$100*EXP(-(LN(2)/$D$65+0.04)*(VLOOKUP(($F$16-$F$15)-1,U$100:Y240,4,FALSE)))*EXP(-(LN(2)/$D$65+0.1)*(VLOOKUP(($F$16-$F$15)-1,U$100:Y240,5,FALSE)))*EXP(-(LN(2)/$D$65+0.04)*(VLOOKUP(($F$16-$F$15)*2-1,U$100:Y240,4,FALSE)))*EXP(-(LN(2)/$D$65+0.1)*(VLOOKUP(($F$16-$F$15)*2-1,U$100:Y240,5,FALSE)))*EXP(-(LN(2)/$D$65+0.04)*X240)*EXP(-(LN(2)/$D$65+0.1)*Y240),"-"))),"-")</f>
        <v>-</v>
      </c>
      <c r="AC240" s="224">
        <f t="shared" si="212"/>
        <v>140</v>
      </c>
      <c r="AD240" s="223" t="str">
        <f t="shared" si="186"/>
        <v>-</v>
      </c>
      <c r="AE240" s="224" t="str">
        <f t="shared" si="213"/>
        <v>-</v>
      </c>
      <c r="AF240" s="224" t="str">
        <f t="shared" si="187"/>
        <v>-</v>
      </c>
      <c r="AG240" s="224" t="str">
        <f t="shared" si="188"/>
        <v>-</v>
      </c>
      <c r="AH240" s="272">
        <f t="shared" si="214"/>
        <v>0.1</v>
      </c>
      <c r="AI240" s="271" t="str">
        <f>IFERROR(IF(AD239=1,AI$100*EXP(-(LN(2)/$D$65+0.04)*AF239)*EXP(-(LN(2)/$D$65+0.1)*AG239),IF(AD239=2,AI$100*EXP(-(LN(2)/$D$65+0.04)*(VLOOKUP(($F$16-$F$15)-1,AC$99:AG239,4,FALSE)))*EXP(-(LN(2)/$D$65+0.1)*(VLOOKUP(($F$16-$F$15)-1,AC$99:AG239,5,FALSE)))*EXP(-(LN(2)/$D$65+0.04)*AF239)*EXP(-(LN(2)/$D$65+0.1)*AG239),IF(AD239=3,AI$100*EXP(-(LN(2)/$D$65+0.04)*(VLOOKUP(($F$16-$F$15)-1,AC$99:AG239,4,FALSE)))*EXP(-(LN(2)/$D$65+0.1)*(VLOOKUP(($F$16-$F$15)-1,AC$99:AG239,5,FALSE)))*EXP(-(LN(2)/$D$65+0.04)*(VLOOKUP(($F$16-$F$15)*2-1,AC$99:AG239,4,FALSE)))*EXP(-(LN(2)/$D$65+0.1)*(VLOOKUP(($F$16-$F$15)*2-1,AC$99:AG239,5,FALSE)))*EXP(-(LN(2)/$D$65+0.04)*AF239)*EXP(-(LN(2)/$D$65+0.1)*AG239),"-"))),"-")</f>
        <v>-</v>
      </c>
      <c r="AJ240" s="271" t="str">
        <f>IFERROR(IF(AD240=1,AJ$100*EXP(-(LN(2)/$D$65+0.04)*AF240)*EXP(-(LN(2)/$D$65+0.1)*AG240),IF(AD240=2,AJ$100*EXP(-(LN(2)/$D$65+0.04)*(VLOOKUP(($F$16-$F$15)-1,AC$100:AG240,4,FALSE)))*EXP(-(LN(2)/$D$65+0.1)*(VLOOKUP(($F$16-$F$15)-1,AC$100:AG240,5,FALSE)))*EXP(-(LN(2)/$D$65+0.04)*AF240)*EXP(-(LN(2)/$D$65+0.1)*AG240),IF(AD240=3,AJ$100*EXP(-(LN(2)/$D$65+0.04)*(VLOOKUP(($F$16-$F$15)-1,AC$100:AG240,4,FALSE)))*EXP(-(LN(2)/$D$65+0.1)*(VLOOKUP(($F$16-$F$15)-1,AC$100:AG240,5,FALSE)))*EXP(-(LN(2)/$D$65+0.04)*(VLOOKUP(($F$16-$F$15)*2-1,AC$100:AG240,4,FALSE)))*EXP(-(LN(2)/$D$65+0.1)*(VLOOKUP(($F$16-$F$15)*2-1,AC$100:AG240,5,FALSE)))*EXP(-(LN(2)/$D$65+0.04)*AF240)*EXP(-(LN(2)/$D$65+0.1)*AG240),"-"))),"-")</f>
        <v>-</v>
      </c>
      <c r="AK240" s="227">
        <f t="shared" si="215"/>
        <v>140</v>
      </c>
      <c r="AL240" s="226" t="str">
        <f t="shared" si="189"/>
        <v>-</v>
      </c>
      <c r="AM240" s="227" t="str">
        <f t="shared" si="216"/>
        <v>-</v>
      </c>
      <c r="AN240" s="227" t="str">
        <f t="shared" si="217"/>
        <v>-</v>
      </c>
      <c r="AO240" s="227" t="str">
        <f t="shared" si="190"/>
        <v>-</v>
      </c>
      <c r="AP240" s="273">
        <f t="shared" si="218"/>
        <v>0.1</v>
      </c>
      <c r="AQ240" s="271" t="str">
        <f>IFERROR(IF(AL239=1,AQ$100*EXP(-(LN(2)/$D$65+0.04)*AN239)*EXP(-(LN(2)/$D$65+0.1)*AO239),IF(AL239=2,AQ$100*EXP(-(LN(2)/$D$65+0.04)*(VLOOKUP(($F$16-$F$15)-1,AK$99:AO239,4,FALSE)))*EXP(-(LN(2)/$D$65+0.1)*(VLOOKUP(($F$16-$F$15)-1,AK$99:AO239,5,FALSE)))*EXP(-(LN(2)/$D$65+0.04)*AN239)*EXP(-(LN(2)/$D$65+0.1)*AO239),IF(AL239=3,AQ$100*EXP(-(LN(2)/$D$65+0.04)*(VLOOKUP(($F$16-$F$15)-1,AK$99:AO239,4,FALSE)))*EXP(-(LN(2)/$D$65+0.1)*(VLOOKUP(($F$16-$F$15)-1,AK$99:AO239,5,FALSE)))*EXP(-(LN(2)/$D$65+0.04)*(VLOOKUP(($F$16-$F$15)*2-1,AK$99:AO239,4,FALSE)))*EXP(-(LN(2)/$D$65+0.1)*(VLOOKUP(($F$16-$F$15)*2-1,AK$99:AO239,5,FALSE)))*EXP(-(LN(2)/$D$65+0.04)*AN239)*EXP(-(LN(2)/$D$65+0.1)*AO239),"-"))),"-")</f>
        <v>-</v>
      </c>
      <c r="AR240" s="271" t="str">
        <f>IFERROR(IF(AL240=1,AR$100*EXP(-(LN(2)/$D$65+0.04)*AN240)*EXP(-(LN(2)/$D$65+0.1)*AO240),IF(AL240=2,AR$100*EXP(-(LN(2)/$D$65+0.04)*(VLOOKUP(($F$16-$F$15)-1,AK$100:AO240,4,FALSE)))*EXP(-(LN(2)/$D$65+0.1)*(VLOOKUP(($F$16-$F$15)-1,AK$100:AO240,5,FALSE)))*EXP(-(LN(2)/$D$65+0.04)*AN240)*EXP(-(LN(2)/$D$65+0.1)*AO240),IF(AL240=3,AR$100*EXP(-(LN(2)/$D$65+0.04)*(VLOOKUP(($F$16-$F$15)-1,AK$100:AO240,4,FALSE)))*EXP(-(LN(2)/$D$65+0.1)*(VLOOKUP(($F$16-$F$15)-1,AK$100:AO240,5,FALSE)))*EXP(-(LN(2)/$D$65+0.04)*(VLOOKUP(($F$16-$F$15)*2-1,AK$100:AO240,4,FALSE)))*EXP(-(LN(2)/$D$65+0.1)*(VLOOKUP(($F$16-$F$15)*2-1,AK$100:AO240,5,FALSE)))*EXP(-(LN(2)/$D$65+0.04)*AN240)*EXP(-(LN(2)/$D$65+0.1)*AO240),"-"))),"-")</f>
        <v>-</v>
      </c>
      <c r="AS240" s="274">
        <f t="shared" si="191"/>
        <v>0</v>
      </c>
      <c r="AT240" s="274">
        <f t="shared" si="192"/>
        <v>0</v>
      </c>
      <c r="AU240" s="274">
        <f t="shared" si="193"/>
        <v>0</v>
      </c>
      <c r="AV240" s="190" t="str">
        <f>IF($B240&lt;$F$22,SUM($T$100:$T240),"")</f>
        <v/>
      </c>
      <c r="AW240" s="190" t="str">
        <f t="shared" si="194"/>
        <v>-</v>
      </c>
      <c r="AX240" s="190" t="str">
        <f t="shared" si="219"/>
        <v/>
      </c>
      <c r="AY240"/>
      <c r="AZ240" s="190" t="str">
        <f ca="1">IF(ISNUMBER(OFFSET(AV240,-$F$21,0)),SUM(OFFSET($T$100,$F$21,0):$T240),"")</f>
        <v/>
      </c>
      <c r="BA240" s="190" t="str">
        <f t="shared" ca="1" si="195"/>
        <v/>
      </c>
      <c r="BB240" s="190" t="str">
        <f t="shared" ca="1" si="148"/>
        <v/>
      </c>
      <c r="BC240" s="190"/>
      <c r="BD240" s="190" t="str">
        <f ca="1">IFERROR(IF(OR(ISNUMBER(I),ISNUMBER($F$14)),IF(AND($B240&gt;=($F$16-$F$15),$B240&lt;$F$22+($F$16-$F$15)),SUM(OFFSET($T$100,($F$16-$F$15),0):$T240),""),""),"")</f>
        <v/>
      </c>
      <c r="BE240" s="190" t="str">
        <f t="shared" ca="1" si="220"/>
        <v/>
      </c>
      <c r="BF240" s="190" t="str">
        <f t="shared" ca="1" si="221"/>
        <v/>
      </c>
      <c r="BG240"/>
      <c r="BH240" s="190" t="str">
        <f ca="1">IF(ISNUMBER(OFFSET(BD240,-$F$21,0)),SUM(OFFSET($T$100,($F$16-$F$15+$F$21),0):$T240),"")</f>
        <v/>
      </c>
      <c r="BI240" s="190" t="str">
        <f t="shared" ca="1" si="196"/>
        <v/>
      </c>
      <c r="BJ240" s="190" t="str">
        <f t="shared" ca="1" si="222"/>
        <v/>
      </c>
      <c r="BK240" s="190"/>
      <c r="BL240" s="190" t="str">
        <f ca="1">IFERROR(IF(OR(ISNUMBER(I),ISNUMBER($F$14)),IF(AND($B240&gt;=($F$17-$F$15),$B240&lt;$F$22+($F$17-$F$15)),SUM(OFFSET($T$100,($F$17-$F$15),0):$T240),""),""),"")</f>
        <v/>
      </c>
      <c r="BM240" s="190" t="str">
        <f t="shared" ca="1" si="197"/>
        <v/>
      </c>
      <c r="BN240" s="190" t="str">
        <f t="shared" ca="1" si="223"/>
        <v/>
      </c>
      <c r="BO240"/>
      <c r="BP240" s="190" t="str">
        <f ca="1">IF(ISNUMBER(OFFSET(BL240,-$F$21,0)),SUM(OFFSET($T$100,($F$17-$F$15+$F$21),0):$T240),"")</f>
        <v/>
      </c>
      <c r="BQ240" s="190" t="str">
        <f t="shared" ca="1" si="198"/>
        <v/>
      </c>
      <c r="BR240" s="190" t="str">
        <f t="shared" ca="1" si="224"/>
        <v/>
      </c>
      <c r="BS240" s="190"/>
      <c r="BT240"/>
      <c r="BU240"/>
      <c r="BV240"/>
      <c r="BY240" s="99"/>
      <c r="BZ240" s="99"/>
      <c r="CA240" s="280" t="str">
        <f t="shared" si="199"/>
        <v/>
      </c>
      <c r="CB240" s="71" t="str">
        <f t="shared" si="200"/>
        <v>-</v>
      </c>
      <c r="CC240" s="33"/>
      <c r="CD240" s="261" t="str">
        <f t="shared" si="201"/>
        <v/>
      </c>
      <c r="CE240" s="280" t="str">
        <f t="shared" si="202"/>
        <v/>
      </c>
      <c r="CF240" s="71" t="str">
        <f t="shared" ca="1" si="203"/>
        <v/>
      </c>
      <c r="CG240" s="33" t="str">
        <f t="shared" si="204"/>
        <v/>
      </c>
      <c r="CH240" s="261" t="str">
        <f t="shared" ca="1" si="205"/>
        <v/>
      </c>
    </row>
    <row r="241" spans="2:86" ht="13.5" customHeight="1" x14ac:dyDescent="0.2">
      <c r="B241" s="262">
        <v>141</v>
      </c>
      <c r="C241" s="237" t="str">
        <f t="shared" si="169"/>
        <v/>
      </c>
      <c r="D241" s="237" t="str">
        <f t="shared" si="225"/>
        <v/>
      </c>
      <c r="E241" s="263" t="str">
        <f t="shared" si="206"/>
        <v/>
      </c>
      <c r="F241" s="264" t="str">
        <f t="shared" si="207"/>
        <v/>
      </c>
      <c r="G241" s="264" t="str">
        <f t="shared" si="208"/>
        <v/>
      </c>
      <c r="H241" s="240" t="str">
        <f t="shared" si="170"/>
        <v/>
      </c>
      <c r="I241" s="265" t="str">
        <f t="shared" si="171"/>
        <v/>
      </c>
      <c r="J241" s="265" t="str">
        <f t="shared" si="172"/>
        <v/>
      </c>
      <c r="K241" s="240" t="str">
        <f t="shared" si="173"/>
        <v/>
      </c>
      <c r="L241" s="265" t="str">
        <f t="shared" si="174"/>
        <v/>
      </c>
      <c r="M241" s="265" t="str">
        <f t="shared" si="175"/>
        <v/>
      </c>
      <c r="N241" s="240" t="str">
        <f t="shared" si="176"/>
        <v>-</v>
      </c>
      <c r="O241" s="265" t="str">
        <f t="shared" si="177"/>
        <v>-</v>
      </c>
      <c r="P241" s="265" t="str">
        <f t="shared" si="178"/>
        <v>-</v>
      </c>
      <c r="Q241" s="266" t="str">
        <f t="shared" si="179"/>
        <v>-</v>
      </c>
      <c r="R241" s="267" t="str">
        <f t="shared" si="180"/>
        <v>-</v>
      </c>
      <c r="S241" s="268" t="str">
        <f t="shared" si="181"/>
        <v>-</v>
      </c>
      <c r="T241" s="269" t="str">
        <f t="shared" si="182"/>
        <v/>
      </c>
      <c r="U241" s="221">
        <f t="shared" si="183"/>
        <v>141</v>
      </c>
      <c r="V241" s="220" t="str">
        <f t="shared" si="209"/>
        <v>-</v>
      </c>
      <c r="W241" s="221" t="str">
        <f t="shared" si="210"/>
        <v>-</v>
      </c>
      <c r="X241" s="221" t="str">
        <f t="shared" si="184"/>
        <v>-</v>
      </c>
      <c r="Y241" s="221" t="str">
        <f t="shared" si="185"/>
        <v>-</v>
      </c>
      <c r="Z241" s="270">
        <f t="shared" si="211"/>
        <v>0.1</v>
      </c>
      <c r="AA241" s="271" t="str">
        <f>IFERROR(IF(V240=1,AA$100*EXP(-(LN(2)/$D$65+0.04)*X240)*EXP(-(LN(2)/$D$65+0.1)*Y240),IF(V240=2,AA$100*EXP(-(LN(2)/$D$65+0.04)*(VLOOKUP(($F$16-$F$15)-1,U$99:Y240,4,FALSE)))*EXP(-(LN(2)/$D$65+0.1)*(VLOOKUP(($F$16-$F$15)-1,U$99:Y240,5,FALSE)))*EXP(-(LN(2)/$D$65+0.04)*X240)*EXP(-(LN(2)/$D$65+0.1)*Y240),IF(V240=3,AA$100*EXP(-(LN(2)/$D$65+0.04)*(VLOOKUP(($F$16-$F$15)-1,U$99:Y240,4,FALSE)))*EXP(-(LN(2)/$D$65+0.1)*(VLOOKUP(($F$16-$F$15)-1,U$99:Y240,5,FALSE)))*EXP(-(LN(2)/$D$65+0.04)*(VLOOKUP(($F$16-$F$15)*2-1,U$99:Y240,4,FALSE)))*EXP(-(LN(2)/$D$65+0.1)*(VLOOKUP(($F$16-$F$15)*2-1,U$99:Y240,5,FALSE)))*EXP(-(LN(2)/$D$65+0.04)*X240)*EXP(-(LN(2)/$D$65+0.1)*Y240),"-"))),"-")</f>
        <v>-</v>
      </c>
      <c r="AB241" s="271" t="str">
        <f>IFERROR(IF(V241=1,AB$100*EXP(-(LN(2)/$D$65+0.04)*X241)*EXP(-(LN(2)/$D$65+0.1)*Y241),IF(V241=2,AB$100*EXP(-(LN(2)/$D$65+0.04)*(VLOOKUP(($F$16-$F$15)-1,U$100:Y241,4,FALSE)))*EXP(-(LN(2)/$D$65+0.1)*(VLOOKUP(($F$16-$F$15)-1,U$100:Y241,5,FALSE)))*EXP(-(LN(2)/$D$65+0.04)*X241)*EXP(-(LN(2)/$D$65+0.1)*Y241),IF(V241=3,AB$100*EXP(-(LN(2)/$D$65+0.04)*(VLOOKUP(($F$16-$F$15)-1,U$100:Y241,4,FALSE)))*EXP(-(LN(2)/$D$65+0.1)*(VLOOKUP(($F$16-$F$15)-1,U$100:Y241,5,FALSE)))*EXP(-(LN(2)/$D$65+0.04)*(VLOOKUP(($F$16-$F$15)*2-1,U$100:Y241,4,FALSE)))*EXP(-(LN(2)/$D$65+0.1)*(VLOOKUP(($F$16-$F$15)*2-1,U$100:Y241,5,FALSE)))*EXP(-(LN(2)/$D$65+0.04)*X241)*EXP(-(LN(2)/$D$65+0.1)*Y241),"-"))),"-")</f>
        <v>-</v>
      </c>
      <c r="AC241" s="224">
        <f>B241</f>
        <v>141</v>
      </c>
      <c r="AD241" s="223" t="str">
        <f t="shared" si="186"/>
        <v>-</v>
      </c>
      <c r="AE241" s="224" t="str">
        <f t="shared" si="213"/>
        <v>-</v>
      </c>
      <c r="AF241" s="224" t="str">
        <f t="shared" si="187"/>
        <v>-</v>
      </c>
      <c r="AG241" s="224" t="str">
        <f t="shared" si="188"/>
        <v>-</v>
      </c>
      <c r="AH241" s="272">
        <f t="shared" si="214"/>
        <v>0.1</v>
      </c>
      <c r="AI241" s="271" t="str">
        <f>IFERROR(IF(AD240=1,AI$100*EXP(-(LN(2)/$D$65+0.04)*AF240)*EXP(-(LN(2)/$D$65+0.1)*AG240),IF(AD240=2,AI$100*EXP(-(LN(2)/$D$65+0.04)*(VLOOKUP(($F$16-$F$15)-1,AC$99:AG240,4,FALSE)))*EXP(-(LN(2)/$D$65+0.1)*(VLOOKUP(($F$16-$F$15)-1,AC$99:AG240,5,FALSE)))*EXP(-(LN(2)/$D$65+0.04)*AF240)*EXP(-(LN(2)/$D$65+0.1)*AG240),IF(AD240=3,AI$100*EXP(-(LN(2)/$D$65+0.04)*(VLOOKUP(($F$16-$F$15)-1,AC$99:AG240,4,FALSE)))*EXP(-(LN(2)/$D$65+0.1)*(VLOOKUP(($F$16-$F$15)-1,AC$99:AG240,5,FALSE)))*EXP(-(LN(2)/$D$65+0.04)*(VLOOKUP(($F$16-$F$15)*2-1,AC$99:AG240,4,FALSE)))*EXP(-(LN(2)/$D$65+0.1)*(VLOOKUP(($F$16-$F$15)*2-1,AC$99:AG240,5,FALSE)))*EXP(-(LN(2)/$D$65+0.04)*AF240)*EXP(-(LN(2)/$D$65+0.1)*AG240),"-"))),"-")</f>
        <v>-</v>
      </c>
      <c r="AJ241" s="271" t="str">
        <f>IFERROR(IF(AD241=1,AJ$100*EXP(-(LN(2)/$D$65+0.04)*AF241)*EXP(-(LN(2)/$D$65+0.1)*AG241),IF(AD241=2,AJ$100*EXP(-(LN(2)/$D$65+0.04)*(VLOOKUP(($F$16-$F$15)-1,AC$100:AG241,4,FALSE)))*EXP(-(LN(2)/$D$65+0.1)*(VLOOKUP(($F$16-$F$15)-1,AC$100:AG241,5,FALSE)))*EXP(-(LN(2)/$D$65+0.04)*AF241)*EXP(-(LN(2)/$D$65+0.1)*AG241),IF(AD241=3,AJ$100*EXP(-(LN(2)/$D$65+0.04)*(VLOOKUP(($F$16-$F$15)-1,AC$100:AG241,4,FALSE)))*EXP(-(LN(2)/$D$65+0.1)*(VLOOKUP(($F$16-$F$15)-1,AC$100:AG241,5,FALSE)))*EXP(-(LN(2)/$D$65+0.04)*(VLOOKUP(($F$16-$F$15)*2-1,AC$100:AG241,4,FALSE)))*EXP(-(LN(2)/$D$65+0.1)*(VLOOKUP(($F$16-$F$15)*2-1,AC$100:AG241,5,FALSE)))*EXP(-(LN(2)/$D$65+0.04)*AF241)*EXP(-(LN(2)/$D$65+0.1)*AG241),"-"))),"-")</f>
        <v>-</v>
      </c>
      <c r="AK241" s="227">
        <f t="shared" si="215"/>
        <v>141</v>
      </c>
      <c r="AL241" s="226" t="str">
        <f t="shared" si="189"/>
        <v>-</v>
      </c>
      <c r="AM241" s="227" t="str">
        <f t="shared" si="216"/>
        <v>-</v>
      </c>
      <c r="AN241" s="227" t="str">
        <f t="shared" si="217"/>
        <v>-</v>
      </c>
      <c r="AO241" s="227" t="str">
        <f t="shared" si="190"/>
        <v>-</v>
      </c>
      <c r="AP241" s="273">
        <f t="shared" si="218"/>
        <v>0.1</v>
      </c>
      <c r="AQ241" s="271" t="str">
        <f>IFERROR(IF(AL240=1,AQ$100*EXP(-(LN(2)/$D$65+0.04)*AN240)*EXP(-(LN(2)/$D$65+0.1)*AO240),IF(AL240=2,AQ$100*EXP(-(LN(2)/$D$65+0.04)*(VLOOKUP(($F$16-$F$15)-1,AK$99:AO240,4,FALSE)))*EXP(-(LN(2)/$D$65+0.1)*(VLOOKUP(($F$16-$F$15)-1,AK$99:AO240,5,FALSE)))*EXP(-(LN(2)/$D$65+0.04)*AN240)*EXP(-(LN(2)/$D$65+0.1)*AO240),IF(AL240=3,AQ$100*EXP(-(LN(2)/$D$65+0.04)*(VLOOKUP(($F$16-$F$15)-1,AK$99:AO240,4,FALSE)))*EXP(-(LN(2)/$D$65+0.1)*(VLOOKUP(($F$16-$F$15)-1,AK$99:AO240,5,FALSE)))*EXP(-(LN(2)/$D$65+0.04)*(VLOOKUP(($F$16-$F$15)*2-1,AK$99:AO240,4,FALSE)))*EXP(-(LN(2)/$D$65+0.1)*(VLOOKUP(($F$16-$F$15)*2-1,AK$99:AO240,5,FALSE)))*EXP(-(LN(2)/$D$65+0.04)*AN240)*EXP(-(LN(2)/$D$65+0.1)*AO240),"-"))),"-")</f>
        <v>-</v>
      </c>
      <c r="AR241" s="271" t="str">
        <f>IFERROR(IF(AL241=1,AR$100*EXP(-(LN(2)/$D$65+0.04)*AN241)*EXP(-(LN(2)/$D$65+0.1)*AO241),IF(AL241=2,AR$100*EXP(-(LN(2)/$D$65+0.04)*(VLOOKUP(($F$16-$F$15)-1,AK$100:AO241,4,FALSE)))*EXP(-(LN(2)/$D$65+0.1)*(VLOOKUP(($F$16-$F$15)-1,AK$100:AO241,5,FALSE)))*EXP(-(LN(2)/$D$65+0.04)*AN241)*EXP(-(LN(2)/$D$65+0.1)*AO241),IF(AL241=3,AR$100*EXP(-(LN(2)/$D$65+0.04)*(VLOOKUP(($F$16-$F$15)-1,AK$100:AO241,4,FALSE)))*EXP(-(LN(2)/$D$65+0.1)*(VLOOKUP(($F$16-$F$15)-1,AK$100:AO241,5,FALSE)))*EXP(-(LN(2)/$D$65+0.04)*(VLOOKUP(($F$16-$F$15)*2-1,AK$100:AO241,4,FALSE)))*EXP(-(LN(2)/$D$65+0.1)*(VLOOKUP(($F$16-$F$15)*2-1,AK$100:AO241,5,FALSE)))*EXP(-(LN(2)/$D$65+0.04)*AN241)*EXP(-(LN(2)/$D$65+0.1)*AO241),"-"))),"-")</f>
        <v>-</v>
      </c>
      <c r="AS241" s="274">
        <f t="shared" si="191"/>
        <v>0</v>
      </c>
      <c r="AT241" s="274">
        <f t="shared" si="192"/>
        <v>0</v>
      </c>
      <c r="AU241" s="274">
        <f t="shared" si="193"/>
        <v>0</v>
      </c>
      <c r="AV241" s="190" t="str">
        <f>IF($B241&lt;$F$22,SUM($T$100:$T241),"")</f>
        <v/>
      </c>
      <c r="AW241" s="190" t="str">
        <f t="shared" si="194"/>
        <v>-</v>
      </c>
      <c r="AX241" s="190" t="str">
        <f t="shared" si="219"/>
        <v/>
      </c>
      <c r="AY241"/>
      <c r="AZ241" s="190" t="str">
        <f ca="1">IF(ISNUMBER(OFFSET(AV241,-$F$21,0)),SUM(OFFSET($T$100,$F$21,0):$T241),"")</f>
        <v/>
      </c>
      <c r="BA241" s="190" t="str">
        <f t="shared" ca="1" si="195"/>
        <v/>
      </c>
      <c r="BB241" s="190" t="str">
        <f t="shared" ca="1" si="148"/>
        <v/>
      </c>
      <c r="BC241" s="190"/>
      <c r="BD241" s="190" t="str">
        <f ca="1">IFERROR(IF(OR(ISNUMBER(I),ISNUMBER($F$14)),IF(AND($B241&gt;=($F$16-$F$15),$B241&lt;$F$22+($F$16-$F$15)),SUM(OFFSET($T$100,($F$16-$F$15),0):$T241),""),""),"")</f>
        <v/>
      </c>
      <c r="BE241" s="190" t="str">
        <f t="shared" ca="1" si="220"/>
        <v/>
      </c>
      <c r="BF241" s="190" t="str">
        <f t="shared" ca="1" si="221"/>
        <v/>
      </c>
      <c r="BG241"/>
      <c r="BH241" s="190" t="str">
        <f ca="1">IF(ISNUMBER(OFFSET(BD241,-$F$21,0)),SUM(OFFSET($T$100,($F$16-$F$15+$F$21),0):$T241),"")</f>
        <v/>
      </c>
      <c r="BI241" s="190" t="str">
        <f t="shared" ca="1" si="196"/>
        <v/>
      </c>
      <c r="BJ241" s="190" t="str">
        <f t="shared" ca="1" si="222"/>
        <v/>
      </c>
      <c r="BK241" s="190"/>
      <c r="BL241" s="190" t="str">
        <f ca="1">IFERROR(IF(OR(ISNUMBER(I),ISNUMBER($F$14)),IF(AND($B241&gt;=($F$17-$F$15),$B241&lt;$F$22+($F$17-$F$15)),SUM(OFFSET($T$100,($F$17-$F$15),0):$T241),""),""),"")</f>
        <v/>
      </c>
      <c r="BM241" s="190" t="str">
        <f t="shared" ca="1" si="197"/>
        <v/>
      </c>
      <c r="BN241" s="190" t="str">
        <f t="shared" ca="1" si="223"/>
        <v/>
      </c>
      <c r="BO241"/>
      <c r="BP241" s="190" t="str">
        <f ca="1">IF(ISNUMBER(OFFSET(BL241,-$F$21,0)),SUM(OFFSET($T$100,($F$17-$F$15+$F$21),0):$T241),"")</f>
        <v/>
      </c>
      <c r="BQ241" s="190" t="str">
        <f t="shared" ca="1" si="198"/>
        <v/>
      </c>
      <c r="BR241" s="190" t="str">
        <f t="shared" ca="1" si="224"/>
        <v/>
      </c>
      <c r="BS241" s="190"/>
      <c r="BT241"/>
      <c r="BU241"/>
      <c r="BV241"/>
      <c r="BY241" s="99"/>
      <c r="BZ241" s="99"/>
      <c r="CA241" s="280" t="str">
        <f t="shared" si="199"/>
        <v/>
      </c>
      <c r="CB241" s="71" t="str">
        <f t="shared" si="200"/>
        <v>-</v>
      </c>
      <c r="CC241" s="33"/>
      <c r="CD241" s="261" t="str">
        <f t="shared" si="201"/>
        <v/>
      </c>
      <c r="CE241" s="280" t="str">
        <f t="shared" si="202"/>
        <v/>
      </c>
      <c r="CF241" s="71" t="str">
        <f t="shared" ca="1" si="203"/>
        <v/>
      </c>
      <c r="CG241" s="33" t="str">
        <f t="shared" si="204"/>
        <v/>
      </c>
      <c r="CH241" s="261" t="str">
        <f t="shared" ca="1" si="205"/>
        <v/>
      </c>
    </row>
    <row r="242" spans="2:86" ht="13.5" customHeight="1" x14ac:dyDescent="0.2">
      <c r="B242" s="262">
        <v>142</v>
      </c>
      <c r="C242" s="237" t="str">
        <f t="shared" si="169"/>
        <v/>
      </c>
      <c r="D242" s="237" t="str">
        <f t="shared" si="225"/>
        <v/>
      </c>
      <c r="E242" s="263" t="str">
        <f t="shared" si="206"/>
        <v/>
      </c>
      <c r="F242" s="264" t="str">
        <f t="shared" si="207"/>
        <v/>
      </c>
      <c r="G242" s="264" t="str">
        <f t="shared" si="208"/>
        <v/>
      </c>
      <c r="H242" s="240" t="str">
        <f t="shared" si="170"/>
        <v/>
      </c>
      <c r="I242" s="265" t="str">
        <f t="shared" si="171"/>
        <v/>
      </c>
      <c r="J242" s="265" t="str">
        <f t="shared" si="172"/>
        <v/>
      </c>
      <c r="K242" s="240" t="str">
        <f t="shared" si="173"/>
        <v/>
      </c>
      <c r="L242" s="265" t="str">
        <f t="shared" si="174"/>
        <v/>
      </c>
      <c r="M242" s="265" t="str">
        <f t="shared" si="175"/>
        <v/>
      </c>
      <c r="N242" s="240" t="str">
        <f t="shared" si="176"/>
        <v>-</v>
      </c>
      <c r="O242" s="265" t="str">
        <f t="shared" si="177"/>
        <v>-</v>
      </c>
      <c r="P242" s="265" t="str">
        <f t="shared" si="178"/>
        <v>-</v>
      </c>
      <c r="Q242" s="266" t="str">
        <f t="shared" si="179"/>
        <v>-</v>
      </c>
      <c r="R242" s="267" t="str">
        <f t="shared" si="180"/>
        <v>-</v>
      </c>
      <c r="S242" s="268" t="str">
        <f t="shared" si="181"/>
        <v>-</v>
      </c>
      <c r="T242" s="269" t="str">
        <f t="shared" si="182"/>
        <v/>
      </c>
      <c r="U242" s="221">
        <f t="shared" si="183"/>
        <v>142</v>
      </c>
      <c r="V242" s="220" t="str">
        <f t="shared" si="209"/>
        <v>-</v>
      </c>
      <c r="W242" s="221" t="str">
        <f t="shared" si="210"/>
        <v>-</v>
      </c>
      <c r="X242" s="221" t="str">
        <f t="shared" si="184"/>
        <v>-</v>
      </c>
      <c r="Y242" s="221" t="str">
        <f t="shared" si="185"/>
        <v>-</v>
      </c>
      <c r="Z242" s="270">
        <f t="shared" si="211"/>
        <v>0.1</v>
      </c>
      <c r="AA242" s="271" t="str">
        <f>IFERROR(IF(V241=1,AA$100*EXP(-(LN(2)/$D$65+0.04)*X241)*EXP(-(LN(2)/$D$65+0.1)*Y241),IF(V241=2,AA$100*EXP(-(LN(2)/$D$65+0.04)*(VLOOKUP(($F$16-$F$15)-1,U$99:Y241,4,FALSE)))*EXP(-(LN(2)/$D$65+0.1)*(VLOOKUP(($F$16-$F$15)-1,U$99:Y241,5,FALSE)))*EXP(-(LN(2)/$D$65+0.04)*X241)*EXP(-(LN(2)/$D$65+0.1)*Y241),IF(V241=3,AA$100*EXP(-(LN(2)/$D$65+0.04)*(VLOOKUP(($F$16-$F$15)-1,U$99:Y241,4,FALSE)))*EXP(-(LN(2)/$D$65+0.1)*(VLOOKUP(($F$16-$F$15)-1,U$99:Y241,5,FALSE)))*EXP(-(LN(2)/$D$65+0.04)*(VLOOKUP(($F$16-$F$15)*2-1,U$99:Y241,4,FALSE)))*EXP(-(LN(2)/$D$65+0.1)*(VLOOKUP(($F$16-$F$15)*2-1,U$99:Y241,5,FALSE)))*EXP(-(LN(2)/$D$65+0.04)*X241)*EXP(-(LN(2)/$D$65+0.1)*Y241),"-"))),"-")</f>
        <v>-</v>
      </c>
      <c r="AB242" s="271" t="str">
        <f>IFERROR(IF(V242=1,AB$100*EXP(-(LN(2)/$D$65+0.04)*X242)*EXP(-(LN(2)/$D$65+0.1)*Y242),IF(V242=2,AB$100*EXP(-(LN(2)/$D$65+0.04)*(VLOOKUP(($F$16-$F$15)-1,U$100:Y242,4,FALSE)))*EXP(-(LN(2)/$D$65+0.1)*(VLOOKUP(($F$16-$F$15)-1,U$100:Y242,5,FALSE)))*EXP(-(LN(2)/$D$65+0.04)*X242)*EXP(-(LN(2)/$D$65+0.1)*Y242),IF(V242=3,AB$100*EXP(-(LN(2)/$D$65+0.04)*(VLOOKUP(($F$16-$F$15)-1,U$100:Y242,4,FALSE)))*EXP(-(LN(2)/$D$65+0.1)*(VLOOKUP(($F$16-$F$15)-1,U$100:Y242,5,FALSE)))*EXP(-(LN(2)/$D$65+0.04)*(VLOOKUP(($F$16-$F$15)*2-1,U$100:Y242,4,FALSE)))*EXP(-(LN(2)/$D$65+0.1)*(VLOOKUP(($F$16-$F$15)*2-1,U$100:Y242,5,FALSE)))*EXP(-(LN(2)/$D$65+0.04)*X242)*EXP(-(LN(2)/$D$65+0.1)*Y242),"-"))),"-")</f>
        <v>-</v>
      </c>
      <c r="AC242" s="224">
        <f t="shared" ref="AC242:AC250" si="226">B242</f>
        <v>142</v>
      </c>
      <c r="AD242" s="223" t="str">
        <f t="shared" si="186"/>
        <v>-</v>
      </c>
      <c r="AE242" s="224" t="str">
        <f t="shared" si="213"/>
        <v>-</v>
      </c>
      <c r="AF242" s="224" t="str">
        <f t="shared" si="187"/>
        <v>-</v>
      </c>
      <c r="AG242" s="224" t="str">
        <f t="shared" si="188"/>
        <v>-</v>
      </c>
      <c r="AH242" s="272">
        <f t="shared" si="214"/>
        <v>0.1</v>
      </c>
      <c r="AI242" s="271" t="str">
        <f>IFERROR(IF(AD241=1,AI$100*EXP(-(LN(2)/$D$65+0.04)*AF241)*EXP(-(LN(2)/$D$65+0.1)*AG241),IF(AD241=2,AI$100*EXP(-(LN(2)/$D$65+0.04)*(VLOOKUP(($F$16-$F$15)-1,AC$99:AG241,4,FALSE)))*EXP(-(LN(2)/$D$65+0.1)*(VLOOKUP(($F$16-$F$15)-1,AC$99:AG241,5,FALSE)))*EXP(-(LN(2)/$D$65+0.04)*AF241)*EXP(-(LN(2)/$D$65+0.1)*AG241),IF(AD241=3,AI$100*EXP(-(LN(2)/$D$65+0.04)*(VLOOKUP(($F$16-$F$15)-1,AC$99:AG241,4,FALSE)))*EXP(-(LN(2)/$D$65+0.1)*(VLOOKUP(($F$16-$F$15)-1,AC$99:AG241,5,FALSE)))*EXP(-(LN(2)/$D$65+0.04)*(VLOOKUP(($F$16-$F$15)*2-1,AC$99:AG241,4,FALSE)))*EXP(-(LN(2)/$D$65+0.1)*(VLOOKUP(($F$16-$F$15)*2-1,AC$99:AG241,5,FALSE)))*EXP(-(LN(2)/$D$65+0.04)*AF241)*EXP(-(LN(2)/$D$65+0.1)*AG241),"-"))),"-")</f>
        <v>-</v>
      </c>
      <c r="AJ242" s="271" t="str">
        <f>IFERROR(IF(AD242=1,AJ$100*EXP(-(LN(2)/$D$65+0.04)*AF242)*EXP(-(LN(2)/$D$65+0.1)*AG242),IF(AD242=2,AJ$100*EXP(-(LN(2)/$D$65+0.04)*(VLOOKUP(($F$16-$F$15)-1,AC$100:AG242,4,FALSE)))*EXP(-(LN(2)/$D$65+0.1)*(VLOOKUP(($F$16-$F$15)-1,AC$100:AG242,5,FALSE)))*EXP(-(LN(2)/$D$65+0.04)*AF242)*EXP(-(LN(2)/$D$65+0.1)*AG242),IF(AD242=3,AJ$100*EXP(-(LN(2)/$D$65+0.04)*(VLOOKUP(($F$16-$F$15)-1,AC$100:AG242,4,FALSE)))*EXP(-(LN(2)/$D$65+0.1)*(VLOOKUP(($F$16-$F$15)-1,AC$100:AG242,5,FALSE)))*EXP(-(LN(2)/$D$65+0.04)*(VLOOKUP(($F$16-$F$15)*2-1,AC$100:AG242,4,FALSE)))*EXP(-(LN(2)/$D$65+0.1)*(VLOOKUP(($F$16-$F$15)*2-1,AC$100:AG242,5,FALSE)))*EXP(-(LN(2)/$D$65+0.04)*AF242)*EXP(-(LN(2)/$D$65+0.1)*AG242),"-"))),"-")</f>
        <v>-</v>
      </c>
      <c r="AK242" s="227">
        <f t="shared" si="215"/>
        <v>142</v>
      </c>
      <c r="AL242" s="226" t="str">
        <f t="shared" si="189"/>
        <v>-</v>
      </c>
      <c r="AM242" s="227" t="str">
        <f t="shared" si="216"/>
        <v>-</v>
      </c>
      <c r="AN242" s="227" t="str">
        <f t="shared" si="217"/>
        <v>-</v>
      </c>
      <c r="AO242" s="227" t="str">
        <f t="shared" si="190"/>
        <v>-</v>
      </c>
      <c r="AP242" s="273">
        <f t="shared" si="218"/>
        <v>0.1</v>
      </c>
      <c r="AQ242" s="271" t="str">
        <f>IFERROR(IF(AL241=1,AQ$100*EXP(-(LN(2)/$D$65+0.04)*AN241)*EXP(-(LN(2)/$D$65+0.1)*AO241),IF(AL241=2,AQ$100*EXP(-(LN(2)/$D$65+0.04)*(VLOOKUP(($F$16-$F$15)-1,AK$99:AO241,4,FALSE)))*EXP(-(LN(2)/$D$65+0.1)*(VLOOKUP(($F$16-$F$15)-1,AK$99:AO241,5,FALSE)))*EXP(-(LN(2)/$D$65+0.04)*AN241)*EXP(-(LN(2)/$D$65+0.1)*AO241),IF(AL241=3,AQ$100*EXP(-(LN(2)/$D$65+0.04)*(VLOOKUP(($F$16-$F$15)-1,AK$99:AO241,4,FALSE)))*EXP(-(LN(2)/$D$65+0.1)*(VLOOKUP(($F$16-$F$15)-1,AK$99:AO241,5,FALSE)))*EXP(-(LN(2)/$D$65+0.04)*(VLOOKUP(($F$16-$F$15)*2-1,AK$99:AO241,4,FALSE)))*EXP(-(LN(2)/$D$65+0.1)*(VLOOKUP(($F$16-$F$15)*2-1,AK$99:AO241,5,FALSE)))*EXP(-(LN(2)/$D$65+0.04)*AN241)*EXP(-(LN(2)/$D$65+0.1)*AO241),"-"))),"-")</f>
        <v>-</v>
      </c>
      <c r="AR242" s="271" t="str">
        <f>IFERROR(IF(AL242=1,AR$100*EXP(-(LN(2)/$D$65+0.04)*AN242)*EXP(-(LN(2)/$D$65+0.1)*AO242),IF(AL242=2,AR$100*EXP(-(LN(2)/$D$65+0.04)*(VLOOKUP(($F$16-$F$15)-1,AK$100:AO242,4,FALSE)))*EXP(-(LN(2)/$D$65+0.1)*(VLOOKUP(($F$16-$F$15)-1,AK$100:AO242,5,FALSE)))*EXP(-(LN(2)/$D$65+0.04)*AN242)*EXP(-(LN(2)/$D$65+0.1)*AO242),IF(AL242=3,AR$100*EXP(-(LN(2)/$D$65+0.04)*(VLOOKUP(($F$16-$F$15)-1,AK$100:AO242,4,FALSE)))*EXP(-(LN(2)/$D$65+0.1)*(VLOOKUP(($F$16-$F$15)-1,AK$100:AO242,5,FALSE)))*EXP(-(LN(2)/$D$65+0.04)*(VLOOKUP(($F$16-$F$15)*2-1,AK$100:AO242,4,FALSE)))*EXP(-(LN(2)/$D$65+0.1)*(VLOOKUP(($F$16-$F$15)*2-1,AK$100:AO242,5,FALSE)))*EXP(-(LN(2)/$D$65+0.04)*AN242)*EXP(-(LN(2)/$D$65+0.1)*AO242),"-"))),"-")</f>
        <v>-</v>
      </c>
      <c r="AS242" s="274">
        <f t="shared" si="191"/>
        <v>0</v>
      </c>
      <c r="AT242" s="274">
        <f t="shared" si="192"/>
        <v>0</v>
      </c>
      <c r="AU242" s="274">
        <f t="shared" si="193"/>
        <v>0</v>
      </c>
      <c r="AV242" s="190" t="str">
        <f>IF($B242&lt;$F$22,SUM($T$100:$T242),"")</f>
        <v/>
      </c>
      <c r="AW242" s="190" t="str">
        <f t="shared" si="194"/>
        <v>-</v>
      </c>
      <c r="AX242" s="190" t="str">
        <f t="shared" si="219"/>
        <v/>
      </c>
      <c r="AY242"/>
      <c r="AZ242" s="190" t="str">
        <f ca="1">IF(ISNUMBER(OFFSET(AV242,-$F$21,0)),SUM(OFFSET($T$100,$F$21,0):$T242),"")</f>
        <v/>
      </c>
      <c r="BA242" s="190" t="str">
        <f t="shared" ca="1" si="195"/>
        <v/>
      </c>
      <c r="BB242" s="190" t="str">
        <f t="shared" ca="1" si="148"/>
        <v/>
      </c>
      <c r="BC242" s="190"/>
      <c r="BD242" s="190" t="str">
        <f ca="1">IFERROR(IF(OR(ISNUMBER(I),ISNUMBER($F$14)),IF(AND($B242&gt;=($F$16-$F$15),$B242&lt;$F$22+($F$16-$F$15)),SUM(OFFSET($T$100,($F$16-$F$15),0):$T242),""),""),"")</f>
        <v/>
      </c>
      <c r="BE242" s="190" t="str">
        <f t="shared" ca="1" si="220"/>
        <v/>
      </c>
      <c r="BF242" s="190" t="str">
        <f t="shared" ca="1" si="221"/>
        <v/>
      </c>
      <c r="BG242"/>
      <c r="BH242" s="190" t="str">
        <f ca="1">IF(ISNUMBER(OFFSET(BD242,-$F$21,0)),SUM(OFFSET($T$100,($F$16-$F$15+$F$21),0):$T242),"")</f>
        <v/>
      </c>
      <c r="BI242" s="190" t="str">
        <f t="shared" ca="1" si="196"/>
        <v/>
      </c>
      <c r="BJ242" s="190" t="str">
        <f t="shared" ca="1" si="222"/>
        <v/>
      </c>
      <c r="BK242" s="190"/>
      <c r="BL242" s="190" t="str">
        <f ca="1">IFERROR(IF(OR(ISNUMBER(I),ISNUMBER($F$14)),IF(AND($B242&gt;=($F$17-$F$15),$B242&lt;$F$22+($F$17-$F$15)),SUM(OFFSET($T$100,($F$17-$F$15),0):$T242),""),""),"")</f>
        <v/>
      </c>
      <c r="BM242" s="190" t="str">
        <f t="shared" ca="1" si="197"/>
        <v/>
      </c>
      <c r="BN242" s="190" t="str">
        <f t="shared" ca="1" si="223"/>
        <v/>
      </c>
      <c r="BO242"/>
      <c r="BP242" s="190" t="str">
        <f ca="1">IF(ISNUMBER(OFFSET(BL242,-$F$21,0)),SUM(OFFSET($T$100,($F$17-$F$15+$F$21),0):$T242),"")</f>
        <v/>
      </c>
      <c r="BQ242" s="190" t="str">
        <f t="shared" ca="1" si="198"/>
        <v/>
      </c>
      <c r="BR242" s="190" t="str">
        <f t="shared" ca="1" si="224"/>
        <v/>
      </c>
      <c r="BS242" s="190"/>
      <c r="BT242"/>
      <c r="BU242"/>
      <c r="BV242"/>
      <c r="BY242" s="99"/>
      <c r="BZ242" s="99"/>
      <c r="CA242" s="280" t="str">
        <f t="shared" si="199"/>
        <v/>
      </c>
      <c r="CB242" s="71" t="str">
        <f t="shared" si="200"/>
        <v>-</v>
      </c>
      <c r="CC242" s="33"/>
      <c r="CD242" s="261" t="str">
        <f t="shared" si="201"/>
        <v/>
      </c>
      <c r="CE242" s="280" t="str">
        <f t="shared" si="202"/>
        <v/>
      </c>
      <c r="CF242" s="71" t="str">
        <f t="shared" ca="1" si="203"/>
        <v/>
      </c>
      <c r="CG242" s="33" t="str">
        <f t="shared" si="204"/>
        <v/>
      </c>
      <c r="CH242" s="261" t="str">
        <f t="shared" ca="1" si="205"/>
        <v/>
      </c>
    </row>
    <row r="243" spans="2:86" ht="13.5" customHeight="1" x14ac:dyDescent="0.2">
      <c r="B243" s="262">
        <v>143</v>
      </c>
      <c r="C243" s="237" t="str">
        <f t="shared" si="169"/>
        <v/>
      </c>
      <c r="D243" s="237" t="str">
        <f t="shared" si="225"/>
        <v/>
      </c>
      <c r="E243" s="263" t="str">
        <f t="shared" si="206"/>
        <v/>
      </c>
      <c r="F243" s="264" t="str">
        <f t="shared" si="207"/>
        <v/>
      </c>
      <c r="G243" s="264" t="str">
        <f t="shared" si="208"/>
        <v/>
      </c>
      <c r="H243" s="240" t="str">
        <f t="shared" si="170"/>
        <v/>
      </c>
      <c r="I243" s="265" t="str">
        <f t="shared" si="171"/>
        <v/>
      </c>
      <c r="J243" s="265" t="str">
        <f t="shared" si="172"/>
        <v/>
      </c>
      <c r="K243" s="240" t="str">
        <f t="shared" si="173"/>
        <v/>
      </c>
      <c r="L243" s="265" t="str">
        <f t="shared" si="174"/>
        <v/>
      </c>
      <c r="M243" s="265" t="str">
        <f t="shared" si="175"/>
        <v/>
      </c>
      <c r="N243" s="240" t="str">
        <f t="shared" si="176"/>
        <v>-</v>
      </c>
      <c r="O243" s="265" t="str">
        <f t="shared" si="177"/>
        <v>-</v>
      </c>
      <c r="P243" s="265" t="str">
        <f t="shared" si="178"/>
        <v>-</v>
      </c>
      <c r="Q243" s="266" t="str">
        <f t="shared" si="179"/>
        <v>-</v>
      </c>
      <c r="R243" s="267" t="str">
        <f t="shared" si="180"/>
        <v>-</v>
      </c>
      <c r="S243" s="268" t="str">
        <f t="shared" si="181"/>
        <v>-</v>
      </c>
      <c r="T243" s="269" t="str">
        <f t="shared" si="182"/>
        <v/>
      </c>
      <c r="U243" s="221">
        <f t="shared" si="183"/>
        <v>143</v>
      </c>
      <c r="V243" s="220" t="str">
        <f t="shared" si="209"/>
        <v>-</v>
      </c>
      <c r="W243" s="221" t="str">
        <f t="shared" si="210"/>
        <v>-</v>
      </c>
      <c r="X243" s="221" t="str">
        <f t="shared" si="184"/>
        <v>-</v>
      </c>
      <c r="Y243" s="221" t="str">
        <f t="shared" si="185"/>
        <v>-</v>
      </c>
      <c r="Z243" s="270">
        <f t="shared" si="211"/>
        <v>0.1</v>
      </c>
      <c r="AA243" s="271" t="str">
        <f>IFERROR(IF(V242=1,AA$100*EXP(-(LN(2)/$D$65+0.04)*X242)*EXP(-(LN(2)/$D$65+0.1)*Y242),IF(V242=2,AA$100*EXP(-(LN(2)/$D$65+0.04)*(VLOOKUP(($F$16-$F$15)-1,U$99:Y242,4,FALSE)))*EXP(-(LN(2)/$D$65+0.1)*(VLOOKUP(($F$16-$F$15)-1,U$99:Y242,5,FALSE)))*EXP(-(LN(2)/$D$65+0.04)*X242)*EXP(-(LN(2)/$D$65+0.1)*Y242),IF(V242=3,AA$100*EXP(-(LN(2)/$D$65+0.04)*(VLOOKUP(($F$16-$F$15)-1,U$99:Y242,4,FALSE)))*EXP(-(LN(2)/$D$65+0.1)*(VLOOKUP(($F$16-$F$15)-1,U$99:Y242,5,FALSE)))*EXP(-(LN(2)/$D$65+0.04)*(VLOOKUP(($F$16-$F$15)*2-1,U$99:Y242,4,FALSE)))*EXP(-(LN(2)/$D$65+0.1)*(VLOOKUP(($F$16-$F$15)*2-1,U$99:Y242,5,FALSE)))*EXP(-(LN(2)/$D$65+0.04)*X242)*EXP(-(LN(2)/$D$65+0.1)*Y242),"-"))),"-")</f>
        <v>-</v>
      </c>
      <c r="AB243" s="271" t="str">
        <f>IFERROR(IF(V243=1,AB$100*EXP(-(LN(2)/$D$65+0.04)*X243)*EXP(-(LN(2)/$D$65+0.1)*Y243),IF(V243=2,AB$100*EXP(-(LN(2)/$D$65+0.04)*(VLOOKUP(($F$16-$F$15)-1,U$100:Y243,4,FALSE)))*EXP(-(LN(2)/$D$65+0.1)*(VLOOKUP(($F$16-$F$15)-1,U$100:Y243,5,FALSE)))*EXP(-(LN(2)/$D$65+0.04)*X243)*EXP(-(LN(2)/$D$65+0.1)*Y243),IF(V243=3,AB$100*EXP(-(LN(2)/$D$65+0.04)*(VLOOKUP(($F$16-$F$15)-1,U$100:Y243,4,FALSE)))*EXP(-(LN(2)/$D$65+0.1)*(VLOOKUP(($F$16-$F$15)-1,U$100:Y243,5,FALSE)))*EXP(-(LN(2)/$D$65+0.04)*(VLOOKUP(($F$16-$F$15)*2-1,U$100:Y243,4,FALSE)))*EXP(-(LN(2)/$D$65+0.1)*(VLOOKUP(($F$16-$F$15)*2-1,U$100:Y243,5,FALSE)))*EXP(-(LN(2)/$D$65+0.04)*X243)*EXP(-(LN(2)/$D$65+0.1)*Y243),"-"))),"-")</f>
        <v>-</v>
      </c>
      <c r="AC243" s="224">
        <f t="shared" si="226"/>
        <v>143</v>
      </c>
      <c r="AD243" s="223" t="str">
        <f t="shared" si="186"/>
        <v>-</v>
      </c>
      <c r="AE243" s="224" t="str">
        <f t="shared" si="213"/>
        <v>-</v>
      </c>
      <c r="AF243" s="224" t="str">
        <f t="shared" si="187"/>
        <v>-</v>
      </c>
      <c r="AG243" s="224" t="str">
        <f t="shared" si="188"/>
        <v>-</v>
      </c>
      <c r="AH243" s="272">
        <f t="shared" si="214"/>
        <v>0.1</v>
      </c>
      <c r="AI243" s="271" t="str">
        <f>IFERROR(IF(AD242=1,AI$100*EXP(-(LN(2)/$D$65+0.04)*AF242)*EXP(-(LN(2)/$D$65+0.1)*AG242),IF(AD242=2,AI$100*EXP(-(LN(2)/$D$65+0.04)*(VLOOKUP(($F$16-$F$15)-1,AC$99:AG242,4,FALSE)))*EXP(-(LN(2)/$D$65+0.1)*(VLOOKUP(($F$16-$F$15)-1,AC$99:AG242,5,FALSE)))*EXP(-(LN(2)/$D$65+0.04)*AF242)*EXP(-(LN(2)/$D$65+0.1)*AG242),IF(AD242=3,AI$100*EXP(-(LN(2)/$D$65+0.04)*(VLOOKUP(($F$16-$F$15)-1,AC$99:AG242,4,FALSE)))*EXP(-(LN(2)/$D$65+0.1)*(VLOOKUP(($F$16-$F$15)-1,AC$99:AG242,5,FALSE)))*EXP(-(LN(2)/$D$65+0.04)*(VLOOKUP(($F$16-$F$15)*2-1,AC$99:AG242,4,FALSE)))*EXP(-(LN(2)/$D$65+0.1)*(VLOOKUP(($F$16-$F$15)*2-1,AC$99:AG242,5,FALSE)))*EXP(-(LN(2)/$D$65+0.04)*AF242)*EXP(-(LN(2)/$D$65+0.1)*AG242),"-"))),"-")</f>
        <v>-</v>
      </c>
      <c r="AJ243" s="271" t="str">
        <f>IFERROR(IF(AD243=1,AJ$100*EXP(-(LN(2)/$D$65+0.04)*AF243)*EXP(-(LN(2)/$D$65+0.1)*AG243),IF(AD243=2,AJ$100*EXP(-(LN(2)/$D$65+0.04)*(VLOOKUP(($F$16-$F$15)-1,AC$100:AG243,4,FALSE)))*EXP(-(LN(2)/$D$65+0.1)*(VLOOKUP(($F$16-$F$15)-1,AC$100:AG243,5,FALSE)))*EXP(-(LN(2)/$D$65+0.04)*AF243)*EXP(-(LN(2)/$D$65+0.1)*AG243),IF(AD243=3,AJ$100*EXP(-(LN(2)/$D$65+0.04)*(VLOOKUP(($F$16-$F$15)-1,AC$100:AG243,4,FALSE)))*EXP(-(LN(2)/$D$65+0.1)*(VLOOKUP(($F$16-$F$15)-1,AC$100:AG243,5,FALSE)))*EXP(-(LN(2)/$D$65+0.04)*(VLOOKUP(($F$16-$F$15)*2-1,AC$100:AG243,4,FALSE)))*EXP(-(LN(2)/$D$65+0.1)*(VLOOKUP(($F$16-$F$15)*2-1,AC$100:AG243,5,FALSE)))*EXP(-(LN(2)/$D$65+0.04)*AF243)*EXP(-(LN(2)/$D$65+0.1)*AG243),"-"))),"-")</f>
        <v>-</v>
      </c>
      <c r="AK243" s="227">
        <f t="shared" si="215"/>
        <v>143</v>
      </c>
      <c r="AL243" s="226" t="str">
        <f t="shared" si="189"/>
        <v>-</v>
      </c>
      <c r="AM243" s="227" t="str">
        <f t="shared" si="216"/>
        <v>-</v>
      </c>
      <c r="AN243" s="227" t="str">
        <f t="shared" si="217"/>
        <v>-</v>
      </c>
      <c r="AO243" s="227" t="str">
        <f t="shared" si="190"/>
        <v>-</v>
      </c>
      <c r="AP243" s="273">
        <f t="shared" si="218"/>
        <v>0.1</v>
      </c>
      <c r="AQ243" s="271" t="str">
        <f>IFERROR(IF(AL242=1,AQ$100*EXP(-(LN(2)/$D$65+0.04)*AN242)*EXP(-(LN(2)/$D$65+0.1)*AO242),IF(AL242=2,AQ$100*EXP(-(LN(2)/$D$65+0.04)*(VLOOKUP(($F$16-$F$15)-1,AK$99:AO242,4,FALSE)))*EXP(-(LN(2)/$D$65+0.1)*(VLOOKUP(($F$16-$F$15)-1,AK$99:AO242,5,FALSE)))*EXP(-(LN(2)/$D$65+0.04)*AN242)*EXP(-(LN(2)/$D$65+0.1)*AO242),IF(AL242=3,AQ$100*EXP(-(LN(2)/$D$65+0.04)*(VLOOKUP(($F$16-$F$15)-1,AK$99:AO242,4,FALSE)))*EXP(-(LN(2)/$D$65+0.1)*(VLOOKUP(($F$16-$F$15)-1,AK$99:AO242,5,FALSE)))*EXP(-(LN(2)/$D$65+0.04)*(VLOOKUP(($F$16-$F$15)*2-1,AK$99:AO242,4,FALSE)))*EXP(-(LN(2)/$D$65+0.1)*(VLOOKUP(($F$16-$F$15)*2-1,AK$99:AO242,5,FALSE)))*EXP(-(LN(2)/$D$65+0.04)*AN242)*EXP(-(LN(2)/$D$65+0.1)*AO242),"-"))),"-")</f>
        <v>-</v>
      </c>
      <c r="AR243" s="271" t="str">
        <f>IFERROR(IF(AL243=1,AR$100*EXP(-(LN(2)/$D$65+0.04)*AN243)*EXP(-(LN(2)/$D$65+0.1)*AO243),IF(AL243=2,AR$100*EXP(-(LN(2)/$D$65+0.04)*(VLOOKUP(($F$16-$F$15)-1,AK$100:AO243,4,FALSE)))*EXP(-(LN(2)/$D$65+0.1)*(VLOOKUP(($F$16-$F$15)-1,AK$100:AO243,5,FALSE)))*EXP(-(LN(2)/$D$65+0.04)*AN243)*EXP(-(LN(2)/$D$65+0.1)*AO243),IF(AL243=3,AR$100*EXP(-(LN(2)/$D$65+0.04)*(VLOOKUP(($F$16-$F$15)-1,AK$100:AO243,4,FALSE)))*EXP(-(LN(2)/$D$65+0.1)*(VLOOKUP(($F$16-$F$15)-1,AK$100:AO243,5,FALSE)))*EXP(-(LN(2)/$D$65+0.04)*(VLOOKUP(($F$16-$F$15)*2-1,AK$100:AO243,4,FALSE)))*EXP(-(LN(2)/$D$65+0.1)*(VLOOKUP(($F$16-$F$15)*2-1,AK$100:AO243,5,FALSE)))*EXP(-(LN(2)/$D$65+0.04)*AN243)*EXP(-(LN(2)/$D$65+0.1)*AO243),"-"))),"-")</f>
        <v>-</v>
      </c>
      <c r="AS243" s="274">
        <f t="shared" si="191"/>
        <v>0</v>
      </c>
      <c r="AT243" s="274">
        <f t="shared" si="192"/>
        <v>0</v>
      </c>
      <c r="AU243" s="274">
        <f t="shared" si="193"/>
        <v>0</v>
      </c>
      <c r="AV243" s="190" t="str">
        <f>IF($B243&lt;$F$22,SUM($T$100:$T243),"")</f>
        <v/>
      </c>
      <c r="AW243" s="190" t="str">
        <f t="shared" si="194"/>
        <v>-</v>
      </c>
      <c r="AX243" s="190" t="str">
        <f t="shared" si="219"/>
        <v/>
      </c>
      <c r="AY243"/>
      <c r="AZ243" s="190" t="str">
        <f ca="1">IF(ISNUMBER(OFFSET(AV243,-$F$21,0)),SUM(OFFSET($T$100,$F$21,0):$T243),"")</f>
        <v/>
      </c>
      <c r="BA243" s="190" t="str">
        <f t="shared" ca="1" si="195"/>
        <v/>
      </c>
      <c r="BB243" s="190" t="str">
        <f t="shared" ca="1" si="148"/>
        <v/>
      </c>
      <c r="BC243" s="190"/>
      <c r="BD243" s="190" t="str">
        <f ca="1">IFERROR(IF(OR(ISNUMBER(I),ISNUMBER($F$14)),IF(AND($B243&gt;=($F$16-$F$15),$B243&lt;$F$22+($F$16-$F$15)),SUM(OFFSET($T$100,($F$16-$F$15),0):$T243),""),""),"")</f>
        <v/>
      </c>
      <c r="BE243" s="190" t="str">
        <f t="shared" ca="1" si="220"/>
        <v/>
      </c>
      <c r="BF243" s="190" t="str">
        <f t="shared" ca="1" si="221"/>
        <v/>
      </c>
      <c r="BG243"/>
      <c r="BH243" s="190" t="str">
        <f ca="1">IF(ISNUMBER(OFFSET(BD243,-$F$21,0)),SUM(OFFSET($T$100,($F$16-$F$15+$F$21),0):$T243),"")</f>
        <v/>
      </c>
      <c r="BI243" s="190" t="str">
        <f t="shared" ca="1" si="196"/>
        <v/>
      </c>
      <c r="BJ243" s="190" t="str">
        <f t="shared" ca="1" si="222"/>
        <v/>
      </c>
      <c r="BK243" s="190"/>
      <c r="BL243" s="190" t="str">
        <f ca="1">IFERROR(IF(OR(ISNUMBER(I),ISNUMBER($F$14)),IF(AND($B243&gt;=($F$17-$F$15),$B243&lt;$F$22+($F$17-$F$15)),SUM(OFFSET($T$100,($F$17-$F$15),0):$T243),""),""),"")</f>
        <v/>
      </c>
      <c r="BM243" s="190" t="str">
        <f t="shared" ca="1" si="197"/>
        <v/>
      </c>
      <c r="BN243" s="190" t="str">
        <f t="shared" ca="1" si="223"/>
        <v/>
      </c>
      <c r="BO243"/>
      <c r="BP243" s="190" t="str">
        <f ca="1">IF(ISNUMBER(OFFSET(BL243,-$F$21,0)),SUM(OFFSET($T$100,($F$17-$F$15+$F$21),0):$T243),"")</f>
        <v/>
      </c>
      <c r="BQ243" s="190" t="str">
        <f t="shared" ca="1" si="198"/>
        <v/>
      </c>
      <c r="BR243" s="190" t="str">
        <f t="shared" ca="1" si="224"/>
        <v/>
      </c>
      <c r="BS243" s="190"/>
      <c r="BT243"/>
      <c r="BU243"/>
      <c r="BV243"/>
      <c r="BY243" s="99"/>
      <c r="BZ243" s="99"/>
      <c r="CA243" s="280" t="str">
        <f t="shared" si="199"/>
        <v/>
      </c>
      <c r="CB243" s="71" t="str">
        <f t="shared" si="200"/>
        <v>-</v>
      </c>
      <c r="CC243" s="33"/>
      <c r="CD243" s="261" t="str">
        <f t="shared" si="201"/>
        <v/>
      </c>
      <c r="CE243" s="280" t="str">
        <f t="shared" si="202"/>
        <v/>
      </c>
      <c r="CF243" s="71" t="str">
        <f t="shared" ca="1" si="203"/>
        <v/>
      </c>
      <c r="CG243" s="33" t="str">
        <f t="shared" si="204"/>
        <v/>
      </c>
      <c r="CH243" s="261" t="str">
        <f t="shared" ca="1" si="205"/>
        <v/>
      </c>
    </row>
    <row r="244" spans="2:86" ht="13.5" customHeight="1" x14ac:dyDescent="0.2">
      <c r="B244" s="262">
        <v>144</v>
      </c>
      <c r="C244" s="237" t="str">
        <f t="shared" si="169"/>
        <v/>
      </c>
      <c r="D244" s="237" t="str">
        <f t="shared" si="225"/>
        <v/>
      </c>
      <c r="E244" s="263" t="str">
        <f t="shared" si="206"/>
        <v/>
      </c>
      <c r="F244" s="264" t="str">
        <f t="shared" si="207"/>
        <v/>
      </c>
      <c r="G244" s="264" t="str">
        <f t="shared" si="208"/>
        <v/>
      </c>
      <c r="H244" s="240" t="str">
        <f t="shared" si="170"/>
        <v/>
      </c>
      <c r="I244" s="265" t="str">
        <f t="shared" si="171"/>
        <v/>
      </c>
      <c r="J244" s="265" t="str">
        <f t="shared" si="172"/>
        <v/>
      </c>
      <c r="K244" s="240" t="str">
        <f t="shared" si="173"/>
        <v/>
      </c>
      <c r="L244" s="265" t="str">
        <f t="shared" si="174"/>
        <v/>
      </c>
      <c r="M244" s="265" t="str">
        <f t="shared" si="175"/>
        <v/>
      </c>
      <c r="N244" s="240" t="str">
        <f t="shared" si="176"/>
        <v>-</v>
      </c>
      <c r="O244" s="265" t="str">
        <f t="shared" si="177"/>
        <v>-</v>
      </c>
      <c r="P244" s="265" t="str">
        <f t="shared" si="178"/>
        <v>-</v>
      </c>
      <c r="Q244" s="266" t="str">
        <f t="shared" si="179"/>
        <v>-</v>
      </c>
      <c r="R244" s="267" t="str">
        <f t="shared" si="180"/>
        <v>-</v>
      </c>
      <c r="S244" s="268" t="str">
        <f t="shared" si="181"/>
        <v>-</v>
      </c>
      <c r="T244" s="269" t="str">
        <f t="shared" si="182"/>
        <v/>
      </c>
      <c r="U244" s="221">
        <f t="shared" si="183"/>
        <v>144</v>
      </c>
      <c r="V244" s="220" t="str">
        <f t="shared" si="209"/>
        <v>-</v>
      </c>
      <c r="W244" s="221" t="str">
        <f t="shared" si="210"/>
        <v>-</v>
      </c>
      <c r="X244" s="221" t="str">
        <f t="shared" si="184"/>
        <v>-</v>
      </c>
      <c r="Y244" s="221" t="str">
        <f t="shared" si="185"/>
        <v>-</v>
      </c>
      <c r="Z244" s="270">
        <f t="shared" si="211"/>
        <v>0.1</v>
      </c>
      <c r="AA244" s="271" t="str">
        <f>IFERROR(IF(V243=1,AA$100*EXP(-(LN(2)/$D$65+0.04)*X243)*EXP(-(LN(2)/$D$65+0.1)*Y243),IF(V243=2,AA$100*EXP(-(LN(2)/$D$65+0.04)*(VLOOKUP(($F$16-$F$15)-1,U$99:Y243,4,FALSE)))*EXP(-(LN(2)/$D$65+0.1)*(VLOOKUP(($F$16-$F$15)-1,U$99:Y243,5,FALSE)))*EXP(-(LN(2)/$D$65+0.04)*X243)*EXP(-(LN(2)/$D$65+0.1)*Y243),IF(V243=3,AA$100*EXP(-(LN(2)/$D$65+0.04)*(VLOOKUP(($F$16-$F$15)-1,U$99:Y243,4,FALSE)))*EXP(-(LN(2)/$D$65+0.1)*(VLOOKUP(($F$16-$F$15)-1,U$99:Y243,5,FALSE)))*EXP(-(LN(2)/$D$65+0.04)*(VLOOKUP(($F$16-$F$15)*2-1,U$99:Y243,4,FALSE)))*EXP(-(LN(2)/$D$65+0.1)*(VLOOKUP(($F$16-$F$15)*2-1,U$99:Y243,5,FALSE)))*EXP(-(LN(2)/$D$65+0.04)*X243)*EXP(-(LN(2)/$D$65+0.1)*Y243),"-"))),"-")</f>
        <v>-</v>
      </c>
      <c r="AB244" s="271" t="str">
        <f>IFERROR(IF(V244=1,AB$100*EXP(-(LN(2)/$D$65+0.04)*X244)*EXP(-(LN(2)/$D$65+0.1)*Y244),IF(V244=2,AB$100*EXP(-(LN(2)/$D$65+0.04)*(VLOOKUP(($F$16-$F$15)-1,U$100:Y244,4,FALSE)))*EXP(-(LN(2)/$D$65+0.1)*(VLOOKUP(($F$16-$F$15)-1,U$100:Y244,5,FALSE)))*EXP(-(LN(2)/$D$65+0.04)*X244)*EXP(-(LN(2)/$D$65+0.1)*Y244),IF(V244=3,AB$100*EXP(-(LN(2)/$D$65+0.04)*(VLOOKUP(($F$16-$F$15)-1,U$100:Y244,4,FALSE)))*EXP(-(LN(2)/$D$65+0.1)*(VLOOKUP(($F$16-$F$15)-1,U$100:Y244,5,FALSE)))*EXP(-(LN(2)/$D$65+0.04)*(VLOOKUP(($F$16-$F$15)*2-1,U$100:Y244,4,FALSE)))*EXP(-(LN(2)/$D$65+0.1)*(VLOOKUP(($F$16-$F$15)*2-1,U$100:Y244,5,FALSE)))*EXP(-(LN(2)/$D$65+0.04)*X244)*EXP(-(LN(2)/$D$65+0.1)*Y244),"-"))),"-")</f>
        <v>-</v>
      </c>
      <c r="AC244" s="224">
        <f t="shared" si="226"/>
        <v>144</v>
      </c>
      <c r="AD244" s="223" t="str">
        <f t="shared" si="186"/>
        <v>-</v>
      </c>
      <c r="AE244" s="224" t="str">
        <f t="shared" si="213"/>
        <v>-</v>
      </c>
      <c r="AF244" s="224" t="str">
        <f t="shared" si="187"/>
        <v>-</v>
      </c>
      <c r="AG244" s="224" t="str">
        <f t="shared" si="188"/>
        <v>-</v>
      </c>
      <c r="AH244" s="272">
        <f t="shared" si="214"/>
        <v>0.1</v>
      </c>
      <c r="AI244" s="271" t="str">
        <f>IFERROR(IF(AD243=1,AI$100*EXP(-(LN(2)/$D$65+0.04)*AF243)*EXP(-(LN(2)/$D$65+0.1)*AG243),IF(AD243=2,AI$100*EXP(-(LN(2)/$D$65+0.04)*(VLOOKUP(($F$16-$F$15)-1,AC$99:AG243,4,FALSE)))*EXP(-(LN(2)/$D$65+0.1)*(VLOOKUP(($F$16-$F$15)-1,AC$99:AG243,5,FALSE)))*EXP(-(LN(2)/$D$65+0.04)*AF243)*EXP(-(LN(2)/$D$65+0.1)*AG243),IF(AD243=3,AI$100*EXP(-(LN(2)/$D$65+0.04)*(VLOOKUP(($F$16-$F$15)-1,AC$99:AG243,4,FALSE)))*EXP(-(LN(2)/$D$65+0.1)*(VLOOKUP(($F$16-$F$15)-1,AC$99:AG243,5,FALSE)))*EXP(-(LN(2)/$D$65+0.04)*(VLOOKUP(($F$16-$F$15)*2-1,AC$99:AG243,4,FALSE)))*EXP(-(LN(2)/$D$65+0.1)*(VLOOKUP(($F$16-$F$15)*2-1,AC$99:AG243,5,FALSE)))*EXP(-(LN(2)/$D$65+0.04)*AF243)*EXP(-(LN(2)/$D$65+0.1)*AG243),"-"))),"-")</f>
        <v>-</v>
      </c>
      <c r="AJ244" s="271" t="str">
        <f>IFERROR(IF(AD244=1,AJ$100*EXP(-(LN(2)/$D$65+0.04)*AF244)*EXP(-(LN(2)/$D$65+0.1)*AG244),IF(AD244=2,AJ$100*EXP(-(LN(2)/$D$65+0.04)*(VLOOKUP(($F$16-$F$15)-1,AC$100:AG244,4,FALSE)))*EXP(-(LN(2)/$D$65+0.1)*(VLOOKUP(($F$16-$F$15)-1,AC$100:AG244,5,FALSE)))*EXP(-(LN(2)/$D$65+0.04)*AF244)*EXP(-(LN(2)/$D$65+0.1)*AG244),IF(AD244=3,AJ$100*EXP(-(LN(2)/$D$65+0.04)*(VLOOKUP(($F$16-$F$15)-1,AC$100:AG244,4,FALSE)))*EXP(-(LN(2)/$D$65+0.1)*(VLOOKUP(($F$16-$F$15)-1,AC$100:AG244,5,FALSE)))*EXP(-(LN(2)/$D$65+0.04)*(VLOOKUP(($F$16-$F$15)*2-1,AC$100:AG244,4,FALSE)))*EXP(-(LN(2)/$D$65+0.1)*(VLOOKUP(($F$16-$F$15)*2-1,AC$100:AG244,5,FALSE)))*EXP(-(LN(2)/$D$65+0.04)*AF244)*EXP(-(LN(2)/$D$65+0.1)*AG244),"-"))),"-")</f>
        <v>-</v>
      </c>
      <c r="AK244" s="227">
        <f t="shared" si="215"/>
        <v>144</v>
      </c>
      <c r="AL244" s="226" t="str">
        <f t="shared" si="189"/>
        <v>-</v>
      </c>
      <c r="AM244" s="227" t="str">
        <f t="shared" si="216"/>
        <v>-</v>
      </c>
      <c r="AN244" s="227" t="str">
        <f t="shared" si="217"/>
        <v>-</v>
      </c>
      <c r="AO244" s="227" t="str">
        <f t="shared" si="190"/>
        <v>-</v>
      </c>
      <c r="AP244" s="273">
        <f t="shared" si="218"/>
        <v>0.1</v>
      </c>
      <c r="AQ244" s="271" t="str">
        <f>IFERROR(IF(AL243=1,AQ$100*EXP(-(LN(2)/$D$65+0.04)*AN243)*EXP(-(LN(2)/$D$65+0.1)*AO243),IF(AL243=2,AQ$100*EXP(-(LN(2)/$D$65+0.04)*(VLOOKUP(($F$16-$F$15)-1,AK$99:AO243,4,FALSE)))*EXP(-(LN(2)/$D$65+0.1)*(VLOOKUP(($F$16-$F$15)-1,AK$99:AO243,5,FALSE)))*EXP(-(LN(2)/$D$65+0.04)*AN243)*EXP(-(LN(2)/$D$65+0.1)*AO243),IF(AL243=3,AQ$100*EXP(-(LN(2)/$D$65+0.04)*(VLOOKUP(($F$16-$F$15)-1,AK$99:AO243,4,FALSE)))*EXP(-(LN(2)/$D$65+0.1)*(VLOOKUP(($F$16-$F$15)-1,AK$99:AO243,5,FALSE)))*EXP(-(LN(2)/$D$65+0.04)*(VLOOKUP(($F$16-$F$15)*2-1,AK$99:AO243,4,FALSE)))*EXP(-(LN(2)/$D$65+0.1)*(VLOOKUP(($F$16-$F$15)*2-1,AK$99:AO243,5,FALSE)))*EXP(-(LN(2)/$D$65+0.04)*AN243)*EXP(-(LN(2)/$D$65+0.1)*AO243),"-"))),"-")</f>
        <v>-</v>
      </c>
      <c r="AR244" s="271" t="str">
        <f>IFERROR(IF(AL244=1,AR$100*EXP(-(LN(2)/$D$65+0.04)*AN244)*EXP(-(LN(2)/$D$65+0.1)*AO244),IF(AL244=2,AR$100*EXP(-(LN(2)/$D$65+0.04)*(VLOOKUP(($F$16-$F$15)-1,AK$100:AO244,4,FALSE)))*EXP(-(LN(2)/$D$65+0.1)*(VLOOKUP(($F$16-$F$15)-1,AK$100:AO244,5,FALSE)))*EXP(-(LN(2)/$D$65+0.04)*AN244)*EXP(-(LN(2)/$D$65+0.1)*AO244),IF(AL244=3,AR$100*EXP(-(LN(2)/$D$65+0.04)*(VLOOKUP(($F$16-$F$15)-1,AK$100:AO244,4,FALSE)))*EXP(-(LN(2)/$D$65+0.1)*(VLOOKUP(($F$16-$F$15)-1,AK$100:AO244,5,FALSE)))*EXP(-(LN(2)/$D$65+0.04)*(VLOOKUP(($F$16-$F$15)*2-1,AK$100:AO244,4,FALSE)))*EXP(-(LN(2)/$D$65+0.1)*(VLOOKUP(($F$16-$F$15)*2-1,AK$100:AO244,5,FALSE)))*EXP(-(LN(2)/$D$65+0.04)*AN244)*EXP(-(LN(2)/$D$65+0.1)*AO244),"-"))),"-")</f>
        <v>-</v>
      </c>
      <c r="AS244" s="274">
        <f t="shared" si="191"/>
        <v>0</v>
      </c>
      <c r="AT244" s="274">
        <f t="shared" si="192"/>
        <v>0</v>
      </c>
      <c r="AU244" s="274">
        <f t="shared" si="193"/>
        <v>0</v>
      </c>
      <c r="AV244" s="190" t="str">
        <f>IF($B244&lt;$F$22,SUM($T$100:$T244),"")</f>
        <v/>
      </c>
      <c r="AW244" s="190" t="str">
        <f t="shared" si="194"/>
        <v>-</v>
      </c>
      <c r="AX244" s="190" t="str">
        <f t="shared" si="219"/>
        <v/>
      </c>
      <c r="AY244"/>
      <c r="AZ244" s="190" t="str">
        <f ca="1">IF(ISNUMBER(OFFSET(AV244,-$F$21,0)),SUM(OFFSET($T$100,$F$21,0):$T244),"")</f>
        <v/>
      </c>
      <c r="BA244" s="190" t="str">
        <f t="shared" ca="1" si="195"/>
        <v/>
      </c>
      <c r="BB244" s="190" t="str">
        <f t="shared" ca="1" si="148"/>
        <v/>
      </c>
      <c r="BC244" s="190"/>
      <c r="BD244" s="190" t="str">
        <f ca="1">IFERROR(IF(OR(ISNUMBER(I),ISNUMBER($F$14)),IF(AND($B244&gt;=($F$16-$F$15),$B244&lt;$F$22+($F$16-$F$15)),SUM(OFFSET($T$100,($F$16-$F$15),0):$T244),""),""),"")</f>
        <v/>
      </c>
      <c r="BE244" s="190" t="str">
        <f t="shared" ca="1" si="220"/>
        <v/>
      </c>
      <c r="BF244" s="190" t="str">
        <f t="shared" ca="1" si="221"/>
        <v/>
      </c>
      <c r="BG244"/>
      <c r="BH244" s="190" t="str">
        <f ca="1">IF(ISNUMBER(OFFSET(BD244,-$F$21,0)),SUM(OFFSET($T$100,($F$16-$F$15+$F$21),0):$T244),"")</f>
        <v/>
      </c>
      <c r="BI244" s="190" t="str">
        <f t="shared" ca="1" si="196"/>
        <v/>
      </c>
      <c r="BJ244" s="190" t="str">
        <f t="shared" ca="1" si="222"/>
        <v/>
      </c>
      <c r="BK244" s="190"/>
      <c r="BL244" s="190" t="str">
        <f ca="1">IFERROR(IF(OR(ISNUMBER(I),ISNUMBER($F$14)),IF(AND($B244&gt;=($F$17-$F$15),$B244&lt;$F$22+($F$17-$F$15)),SUM(OFFSET($T$100,($F$17-$F$15),0):$T244),""),""),"")</f>
        <v/>
      </c>
      <c r="BM244" s="190" t="str">
        <f t="shared" ca="1" si="197"/>
        <v/>
      </c>
      <c r="BN244" s="190" t="str">
        <f t="shared" ca="1" si="223"/>
        <v/>
      </c>
      <c r="BO244"/>
      <c r="BP244" s="190" t="str">
        <f ca="1">IF(ISNUMBER(OFFSET(BL244,-$F$21,0)),SUM(OFFSET($T$100,($F$17-$F$15+$F$21),0):$T244),"")</f>
        <v/>
      </c>
      <c r="BQ244" s="190" t="str">
        <f t="shared" ca="1" si="198"/>
        <v/>
      </c>
      <c r="BR244" s="190" t="str">
        <f t="shared" ca="1" si="224"/>
        <v/>
      </c>
      <c r="BS244" s="190"/>
      <c r="BT244"/>
      <c r="BU244"/>
      <c r="BV244"/>
      <c r="BY244" s="99"/>
      <c r="BZ244" s="99"/>
      <c r="CA244" s="280" t="str">
        <f t="shared" si="199"/>
        <v/>
      </c>
      <c r="CB244" s="71" t="str">
        <f t="shared" si="200"/>
        <v>-</v>
      </c>
      <c r="CC244" s="33"/>
      <c r="CD244" s="261" t="str">
        <f t="shared" si="201"/>
        <v/>
      </c>
      <c r="CE244" s="280" t="str">
        <f t="shared" si="202"/>
        <v/>
      </c>
      <c r="CF244" s="71" t="str">
        <f t="shared" ca="1" si="203"/>
        <v/>
      </c>
      <c r="CG244" s="33" t="str">
        <f t="shared" si="204"/>
        <v/>
      </c>
      <c r="CH244" s="261" t="str">
        <f t="shared" ca="1" si="205"/>
        <v/>
      </c>
    </row>
    <row r="245" spans="2:86" ht="13.5" customHeight="1" x14ac:dyDescent="0.2">
      <c r="B245" s="262">
        <v>145</v>
      </c>
      <c r="C245" s="237" t="str">
        <f t="shared" si="169"/>
        <v/>
      </c>
      <c r="D245" s="237" t="str">
        <f t="shared" si="225"/>
        <v/>
      </c>
      <c r="E245" s="263" t="str">
        <f t="shared" si="206"/>
        <v/>
      </c>
      <c r="F245" s="264" t="str">
        <f t="shared" si="207"/>
        <v/>
      </c>
      <c r="G245" s="264" t="str">
        <f t="shared" si="208"/>
        <v/>
      </c>
      <c r="H245" s="240" t="str">
        <f t="shared" si="170"/>
        <v/>
      </c>
      <c r="I245" s="265" t="str">
        <f t="shared" si="171"/>
        <v/>
      </c>
      <c r="J245" s="265" t="str">
        <f t="shared" si="172"/>
        <v/>
      </c>
      <c r="K245" s="240" t="str">
        <f t="shared" si="173"/>
        <v/>
      </c>
      <c r="L245" s="265" t="str">
        <f t="shared" si="174"/>
        <v/>
      </c>
      <c r="M245" s="265" t="str">
        <f t="shared" si="175"/>
        <v/>
      </c>
      <c r="N245" s="240" t="str">
        <f t="shared" si="176"/>
        <v>-</v>
      </c>
      <c r="O245" s="265" t="str">
        <f t="shared" si="177"/>
        <v>-</v>
      </c>
      <c r="P245" s="265" t="str">
        <f t="shared" si="178"/>
        <v>-</v>
      </c>
      <c r="Q245" s="266" t="str">
        <f t="shared" si="179"/>
        <v>-</v>
      </c>
      <c r="R245" s="267" t="str">
        <f t="shared" si="180"/>
        <v>-</v>
      </c>
      <c r="S245" s="268" t="str">
        <f t="shared" si="181"/>
        <v>-</v>
      </c>
      <c r="T245" s="269" t="str">
        <f t="shared" si="182"/>
        <v/>
      </c>
      <c r="U245" s="221">
        <f t="shared" si="183"/>
        <v>145</v>
      </c>
      <c r="V245" s="220" t="str">
        <f t="shared" si="209"/>
        <v>-</v>
      </c>
      <c r="W245" s="221" t="str">
        <f t="shared" si="210"/>
        <v>-</v>
      </c>
      <c r="X245" s="221" t="str">
        <f t="shared" si="184"/>
        <v>-</v>
      </c>
      <c r="Y245" s="221" t="str">
        <f t="shared" si="185"/>
        <v>-</v>
      </c>
      <c r="Z245" s="270">
        <f t="shared" si="211"/>
        <v>0.1</v>
      </c>
      <c r="AA245" s="271" t="str">
        <f>IFERROR(IF(V244=1,AA$100*EXP(-(LN(2)/$D$65+0.04)*X244)*EXP(-(LN(2)/$D$65+0.1)*Y244),IF(V244=2,AA$100*EXP(-(LN(2)/$D$65+0.04)*(VLOOKUP(($F$16-$F$15)-1,U$99:Y244,4,FALSE)))*EXP(-(LN(2)/$D$65+0.1)*(VLOOKUP(($F$16-$F$15)-1,U$99:Y244,5,FALSE)))*EXP(-(LN(2)/$D$65+0.04)*X244)*EXP(-(LN(2)/$D$65+0.1)*Y244),IF(V244=3,AA$100*EXP(-(LN(2)/$D$65+0.04)*(VLOOKUP(($F$16-$F$15)-1,U$99:Y244,4,FALSE)))*EXP(-(LN(2)/$D$65+0.1)*(VLOOKUP(($F$16-$F$15)-1,U$99:Y244,5,FALSE)))*EXP(-(LN(2)/$D$65+0.04)*(VLOOKUP(($F$16-$F$15)*2-1,U$99:Y244,4,FALSE)))*EXP(-(LN(2)/$D$65+0.1)*(VLOOKUP(($F$16-$F$15)*2-1,U$99:Y244,5,FALSE)))*EXP(-(LN(2)/$D$65+0.04)*X244)*EXP(-(LN(2)/$D$65+0.1)*Y244),"-"))),"-")</f>
        <v>-</v>
      </c>
      <c r="AB245" s="271" t="str">
        <f>IFERROR(IF(V245=1,AB$100*EXP(-(LN(2)/$D$65+0.04)*X245)*EXP(-(LN(2)/$D$65+0.1)*Y245),IF(V245=2,AB$100*EXP(-(LN(2)/$D$65+0.04)*(VLOOKUP(($F$16-$F$15)-1,U$100:Y245,4,FALSE)))*EXP(-(LN(2)/$D$65+0.1)*(VLOOKUP(($F$16-$F$15)-1,U$100:Y245,5,FALSE)))*EXP(-(LN(2)/$D$65+0.04)*X245)*EXP(-(LN(2)/$D$65+0.1)*Y245),IF(V245=3,AB$100*EXP(-(LN(2)/$D$65+0.04)*(VLOOKUP(($F$16-$F$15)-1,U$100:Y245,4,FALSE)))*EXP(-(LN(2)/$D$65+0.1)*(VLOOKUP(($F$16-$F$15)-1,U$100:Y245,5,FALSE)))*EXP(-(LN(2)/$D$65+0.04)*(VLOOKUP(($F$16-$F$15)*2-1,U$100:Y245,4,FALSE)))*EXP(-(LN(2)/$D$65+0.1)*(VLOOKUP(($F$16-$F$15)*2-1,U$100:Y245,5,FALSE)))*EXP(-(LN(2)/$D$65+0.04)*X245)*EXP(-(LN(2)/$D$65+0.1)*Y245),"-"))),"-")</f>
        <v>-</v>
      </c>
      <c r="AC245" s="224">
        <f t="shared" si="226"/>
        <v>145</v>
      </c>
      <c r="AD245" s="223" t="str">
        <f t="shared" si="186"/>
        <v>-</v>
      </c>
      <c r="AE245" s="224" t="str">
        <f t="shared" si="213"/>
        <v>-</v>
      </c>
      <c r="AF245" s="224" t="str">
        <f t="shared" si="187"/>
        <v>-</v>
      </c>
      <c r="AG245" s="224" t="str">
        <f t="shared" si="188"/>
        <v>-</v>
      </c>
      <c r="AH245" s="272">
        <f t="shared" si="214"/>
        <v>0.1</v>
      </c>
      <c r="AI245" s="271" t="str">
        <f>IFERROR(IF(AD244=1,AI$100*EXP(-(LN(2)/$D$65+0.04)*AF244)*EXP(-(LN(2)/$D$65+0.1)*AG244),IF(AD244=2,AI$100*EXP(-(LN(2)/$D$65+0.04)*(VLOOKUP(($F$16-$F$15)-1,AC$99:AG244,4,FALSE)))*EXP(-(LN(2)/$D$65+0.1)*(VLOOKUP(($F$16-$F$15)-1,AC$99:AG244,5,FALSE)))*EXP(-(LN(2)/$D$65+0.04)*AF244)*EXP(-(LN(2)/$D$65+0.1)*AG244),IF(AD244=3,AI$100*EXP(-(LN(2)/$D$65+0.04)*(VLOOKUP(($F$16-$F$15)-1,AC$99:AG244,4,FALSE)))*EXP(-(LN(2)/$D$65+0.1)*(VLOOKUP(($F$16-$F$15)-1,AC$99:AG244,5,FALSE)))*EXP(-(LN(2)/$D$65+0.04)*(VLOOKUP(($F$16-$F$15)*2-1,AC$99:AG244,4,FALSE)))*EXP(-(LN(2)/$D$65+0.1)*(VLOOKUP(($F$16-$F$15)*2-1,AC$99:AG244,5,FALSE)))*EXP(-(LN(2)/$D$65+0.04)*AF244)*EXP(-(LN(2)/$D$65+0.1)*AG244),"-"))),"-")</f>
        <v>-</v>
      </c>
      <c r="AJ245" s="271" t="str">
        <f>IFERROR(IF(AD245=1,AJ$100*EXP(-(LN(2)/$D$65+0.04)*AF245)*EXP(-(LN(2)/$D$65+0.1)*AG245),IF(AD245=2,AJ$100*EXP(-(LN(2)/$D$65+0.04)*(VLOOKUP(($F$16-$F$15)-1,AC$100:AG245,4,FALSE)))*EXP(-(LN(2)/$D$65+0.1)*(VLOOKUP(($F$16-$F$15)-1,AC$100:AG245,5,FALSE)))*EXP(-(LN(2)/$D$65+0.04)*AF245)*EXP(-(LN(2)/$D$65+0.1)*AG245),IF(AD245=3,AJ$100*EXP(-(LN(2)/$D$65+0.04)*(VLOOKUP(($F$16-$F$15)-1,AC$100:AG245,4,FALSE)))*EXP(-(LN(2)/$D$65+0.1)*(VLOOKUP(($F$16-$F$15)-1,AC$100:AG245,5,FALSE)))*EXP(-(LN(2)/$D$65+0.04)*(VLOOKUP(($F$16-$F$15)*2-1,AC$100:AG245,4,FALSE)))*EXP(-(LN(2)/$D$65+0.1)*(VLOOKUP(($F$16-$F$15)*2-1,AC$100:AG245,5,FALSE)))*EXP(-(LN(2)/$D$65+0.04)*AF245)*EXP(-(LN(2)/$D$65+0.1)*AG245),"-"))),"-")</f>
        <v>-</v>
      </c>
      <c r="AK245" s="227">
        <f t="shared" si="215"/>
        <v>145</v>
      </c>
      <c r="AL245" s="226" t="str">
        <f t="shared" si="189"/>
        <v>-</v>
      </c>
      <c r="AM245" s="227" t="str">
        <f t="shared" si="216"/>
        <v>-</v>
      </c>
      <c r="AN245" s="227" t="str">
        <f t="shared" si="217"/>
        <v>-</v>
      </c>
      <c r="AO245" s="227" t="str">
        <f t="shared" si="190"/>
        <v>-</v>
      </c>
      <c r="AP245" s="273">
        <f t="shared" si="218"/>
        <v>0.1</v>
      </c>
      <c r="AQ245" s="271" t="str">
        <f>IFERROR(IF(AL244=1,AQ$100*EXP(-(LN(2)/$D$65+0.04)*AN244)*EXP(-(LN(2)/$D$65+0.1)*AO244),IF(AL244=2,AQ$100*EXP(-(LN(2)/$D$65+0.04)*(VLOOKUP(($F$16-$F$15)-1,AK$99:AO244,4,FALSE)))*EXP(-(LN(2)/$D$65+0.1)*(VLOOKUP(($F$16-$F$15)-1,AK$99:AO244,5,FALSE)))*EXP(-(LN(2)/$D$65+0.04)*AN244)*EXP(-(LN(2)/$D$65+0.1)*AO244),IF(AL244=3,AQ$100*EXP(-(LN(2)/$D$65+0.04)*(VLOOKUP(($F$16-$F$15)-1,AK$99:AO244,4,FALSE)))*EXP(-(LN(2)/$D$65+0.1)*(VLOOKUP(($F$16-$F$15)-1,AK$99:AO244,5,FALSE)))*EXP(-(LN(2)/$D$65+0.04)*(VLOOKUP(($F$16-$F$15)*2-1,AK$99:AO244,4,FALSE)))*EXP(-(LN(2)/$D$65+0.1)*(VLOOKUP(($F$16-$F$15)*2-1,AK$99:AO244,5,FALSE)))*EXP(-(LN(2)/$D$65+0.04)*AN244)*EXP(-(LN(2)/$D$65+0.1)*AO244),"-"))),"-")</f>
        <v>-</v>
      </c>
      <c r="AR245" s="271" t="str">
        <f>IFERROR(IF(AL245=1,AR$100*EXP(-(LN(2)/$D$65+0.04)*AN245)*EXP(-(LN(2)/$D$65+0.1)*AO245),IF(AL245=2,AR$100*EXP(-(LN(2)/$D$65+0.04)*(VLOOKUP(($F$16-$F$15)-1,AK$100:AO245,4,FALSE)))*EXP(-(LN(2)/$D$65+0.1)*(VLOOKUP(($F$16-$F$15)-1,AK$100:AO245,5,FALSE)))*EXP(-(LN(2)/$D$65+0.04)*AN245)*EXP(-(LN(2)/$D$65+0.1)*AO245),IF(AL245=3,AR$100*EXP(-(LN(2)/$D$65+0.04)*(VLOOKUP(($F$16-$F$15)-1,AK$100:AO245,4,FALSE)))*EXP(-(LN(2)/$D$65+0.1)*(VLOOKUP(($F$16-$F$15)-1,AK$100:AO245,5,FALSE)))*EXP(-(LN(2)/$D$65+0.04)*(VLOOKUP(($F$16-$F$15)*2-1,AK$100:AO245,4,FALSE)))*EXP(-(LN(2)/$D$65+0.1)*(VLOOKUP(($F$16-$F$15)*2-1,AK$100:AO245,5,FALSE)))*EXP(-(LN(2)/$D$65+0.04)*AN245)*EXP(-(LN(2)/$D$65+0.1)*AO245),"-"))),"-")</f>
        <v>-</v>
      </c>
      <c r="AS245" s="274">
        <f t="shared" si="191"/>
        <v>0</v>
      </c>
      <c r="AT245" s="274">
        <f t="shared" si="192"/>
        <v>0</v>
      </c>
      <c r="AU245" s="274">
        <f t="shared" si="193"/>
        <v>0</v>
      </c>
      <c r="AV245" s="190" t="str">
        <f>IF($B245&lt;$F$22,SUM($T$100:$T245),"")</f>
        <v/>
      </c>
      <c r="AW245" s="190" t="str">
        <f t="shared" si="194"/>
        <v>-</v>
      </c>
      <c r="AX245" s="190" t="str">
        <f t="shared" si="219"/>
        <v/>
      </c>
      <c r="AY245"/>
      <c r="AZ245" s="190" t="str">
        <f ca="1">IF(ISNUMBER(OFFSET(AV245,-$F$21,0)),SUM(OFFSET($T$100,$F$21,0):$T245),"")</f>
        <v/>
      </c>
      <c r="BA245" s="190" t="str">
        <f t="shared" ca="1" si="195"/>
        <v/>
      </c>
      <c r="BB245" s="190" t="str">
        <f t="shared" ca="1" si="148"/>
        <v/>
      </c>
      <c r="BC245" s="190"/>
      <c r="BD245" s="190" t="str">
        <f ca="1">IFERROR(IF(OR(ISNUMBER(I),ISNUMBER($F$14)),IF(AND($B245&gt;=($F$16-$F$15),$B245&lt;$F$22+($F$16-$F$15)),SUM(OFFSET($T$100,($F$16-$F$15),0):$T245),""),""),"")</f>
        <v/>
      </c>
      <c r="BE245" s="190" t="str">
        <f t="shared" ca="1" si="220"/>
        <v/>
      </c>
      <c r="BF245" s="190" t="str">
        <f t="shared" ca="1" si="221"/>
        <v/>
      </c>
      <c r="BG245"/>
      <c r="BH245" s="190" t="str">
        <f ca="1">IF(ISNUMBER(OFFSET(BD245,-$F$21,0)),SUM(OFFSET($T$100,($F$16-$F$15+$F$21),0):$T245),"")</f>
        <v/>
      </c>
      <c r="BI245" s="190" t="str">
        <f t="shared" ca="1" si="196"/>
        <v/>
      </c>
      <c r="BJ245" s="190" t="str">
        <f t="shared" ca="1" si="222"/>
        <v/>
      </c>
      <c r="BK245" s="190"/>
      <c r="BL245" s="190" t="str">
        <f ca="1">IFERROR(IF(OR(ISNUMBER(I),ISNUMBER($F$14)),IF(AND($B245&gt;=($F$17-$F$15),$B245&lt;$F$22+($F$17-$F$15)),SUM(OFFSET($T$100,($F$17-$F$15),0):$T245),""),""),"")</f>
        <v/>
      </c>
      <c r="BM245" s="190" t="str">
        <f t="shared" ca="1" si="197"/>
        <v/>
      </c>
      <c r="BN245" s="190" t="str">
        <f t="shared" ca="1" si="223"/>
        <v/>
      </c>
      <c r="BO245"/>
      <c r="BP245" s="190" t="str">
        <f ca="1">IF(ISNUMBER(OFFSET(BL245,-$F$21,0)),SUM(OFFSET($T$100,($F$17-$F$15+$F$21),0):$T245),"")</f>
        <v/>
      </c>
      <c r="BQ245" s="190" t="str">
        <f t="shared" ca="1" si="198"/>
        <v/>
      </c>
      <c r="BR245" s="190" t="str">
        <f t="shared" ca="1" si="224"/>
        <v/>
      </c>
      <c r="BS245" s="190"/>
      <c r="BT245"/>
      <c r="BU245"/>
      <c r="BV245"/>
      <c r="BY245" s="99"/>
      <c r="BZ245" s="99"/>
      <c r="CA245" s="280" t="str">
        <f t="shared" si="199"/>
        <v/>
      </c>
      <c r="CB245" s="71" t="str">
        <f t="shared" si="200"/>
        <v>-</v>
      </c>
      <c r="CC245" s="33"/>
      <c r="CD245" s="261" t="str">
        <f t="shared" si="201"/>
        <v/>
      </c>
      <c r="CE245" s="280" t="str">
        <f t="shared" si="202"/>
        <v/>
      </c>
      <c r="CF245" s="71" t="str">
        <f t="shared" ca="1" si="203"/>
        <v/>
      </c>
      <c r="CG245" s="33" t="str">
        <f t="shared" si="204"/>
        <v/>
      </c>
      <c r="CH245" s="261" t="str">
        <f t="shared" ca="1" si="205"/>
        <v/>
      </c>
    </row>
    <row r="246" spans="2:86" ht="13.5" customHeight="1" x14ac:dyDescent="0.2">
      <c r="B246" s="262">
        <v>146</v>
      </c>
      <c r="C246" s="237" t="str">
        <f t="shared" si="169"/>
        <v/>
      </c>
      <c r="D246" s="237" t="str">
        <f t="shared" si="225"/>
        <v/>
      </c>
      <c r="E246" s="263" t="str">
        <f t="shared" si="206"/>
        <v/>
      </c>
      <c r="F246" s="264" t="str">
        <f t="shared" si="207"/>
        <v/>
      </c>
      <c r="G246" s="264" t="str">
        <f t="shared" si="208"/>
        <v/>
      </c>
      <c r="H246" s="240" t="str">
        <f t="shared" si="170"/>
        <v/>
      </c>
      <c r="I246" s="265" t="str">
        <f t="shared" si="171"/>
        <v/>
      </c>
      <c r="J246" s="265" t="str">
        <f t="shared" si="172"/>
        <v/>
      </c>
      <c r="K246" s="240" t="str">
        <f t="shared" si="173"/>
        <v/>
      </c>
      <c r="L246" s="265" t="str">
        <f t="shared" si="174"/>
        <v/>
      </c>
      <c r="M246" s="265" t="str">
        <f t="shared" si="175"/>
        <v/>
      </c>
      <c r="N246" s="240" t="str">
        <f t="shared" si="176"/>
        <v>-</v>
      </c>
      <c r="O246" s="265" t="str">
        <f t="shared" si="177"/>
        <v>-</v>
      </c>
      <c r="P246" s="265" t="str">
        <f t="shared" si="178"/>
        <v>-</v>
      </c>
      <c r="Q246" s="266" t="str">
        <f t="shared" si="179"/>
        <v>-</v>
      </c>
      <c r="R246" s="267" t="str">
        <f t="shared" si="180"/>
        <v>-</v>
      </c>
      <c r="S246" s="268" t="str">
        <f t="shared" si="181"/>
        <v>-</v>
      </c>
      <c r="T246" s="269" t="str">
        <f t="shared" si="182"/>
        <v/>
      </c>
      <c r="U246" s="221">
        <f t="shared" si="183"/>
        <v>146</v>
      </c>
      <c r="V246" s="220" t="str">
        <f t="shared" si="209"/>
        <v>-</v>
      </c>
      <c r="W246" s="221" t="str">
        <f t="shared" si="210"/>
        <v>-</v>
      </c>
      <c r="X246" s="221" t="str">
        <f t="shared" si="184"/>
        <v>-</v>
      </c>
      <c r="Y246" s="221" t="str">
        <f t="shared" si="185"/>
        <v>-</v>
      </c>
      <c r="Z246" s="270">
        <f t="shared" si="211"/>
        <v>0.1</v>
      </c>
      <c r="AA246" s="271" t="str">
        <f>IFERROR(IF(V245=1,AA$100*EXP(-(LN(2)/$D$65+0.04)*X245)*EXP(-(LN(2)/$D$65+0.1)*Y245),IF(V245=2,AA$100*EXP(-(LN(2)/$D$65+0.04)*(VLOOKUP(($F$16-$F$15)-1,U$99:Y245,4,FALSE)))*EXP(-(LN(2)/$D$65+0.1)*(VLOOKUP(($F$16-$F$15)-1,U$99:Y245,5,FALSE)))*EXP(-(LN(2)/$D$65+0.04)*X245)*EXP(-(LN(2)/$D$65+0.1)*Y245),IF(V245=3,AA$100*EXP(-(LN(2)/$D$65+0.04)*(VLOOKUP(($F$16-$F$15)-1,U$99:Y245,4,FALSE)))*EXP(-(LN(2)/$D$65+0.1)*(VLOOKUP(($F$16-$F$15)-1,U$99:Y245,5,FALSE)))*EXP(-(LN(2)/$D$65+0.04)*(VLOOKUP(($F$16-$F$15)*2-1,U$99:Y245,4,FALSE)))*EXP(-(LN(2)/$D$65+0.1)*(VLOOKUP(($F$16-$F$15)*2-1,U$99:Y245,5,FALSE)))*EXP(-(LN(2)/$D$65+0.04)*X245)*EXP(-(LN(2)/$D$65+0.1)*Y245),"-"))),"-")</f>
        <v>-</v>
      </c>
      <c r="AB246" s="271" t="str">
        <f>IFERROR(IF(V246=1,AB$100*EXP(-(LN(2)/$D$65+0.04)*X246)*EXP(-(LN(2)/$D$65+0.1)*Y246),IF(V246=2,AB$100*EXP(-(LN(2)/$D$65+0.04)*(VLOOKUP(($F$16-$F$15)-1,U$100:Y246,4,FALSE)))*EXP(-(LN(2)/$D$65+0.1)*(VLOOKUP(($F$16-$F$15)-1,U$100:Y246,5,FALSE)))*EXP(-(LN(2)/$D$65+0.04)*X246)*EXP(-(LN(2)/$D$65+0.1)*Y246),IF(V246=3,AB$100*EXP(-(LN(2)/$D$65+0.04)*(VLOOKUP(($F$16-$F$15)-1,U$100:Y246,4,FALSE)))*EXP(-(LN(2)/$D$65+0.1)*(VLOOKUP(($F$16-$F$15)-1,U$100:Y246,5,FALSE)))*EXP(-(LN(2)/$D$65+0.04)*(VLOOKUP(($F$16-$F$15)*2-1,U$100:Y246,4,FALSE)))*EXP(-(LN(2)/$D$65+0.1)*(VLOOKUP(($F$16-$F$15)*2-1,U$100:Y246,5,FALSE)))*EXP(-(LN(2)/$D$65+0.04)*X246)*EXP(-(LN(2)/$D$65+0.1)*Y246),"-"))),"-")</f>
        <v>-</v>
      </c>
      <c r="AC246" s="224">
        <f t="shared" si="226"/>
        <v>146</v>
      </c>
      <c r="AD246" s="223" t="str">
        <f t="shared" si="186"/>
        <v>-</v>
      </c>
      <c r="AE246" s="224" t="str">
        <f t="shared" si="213"/>
        <v>-</v>
      </c>
      <c r="AF246" s="224" t="str">
        <f t="shared" si="187"/>
        <v>-</v>
      </c>
      <c r="AG246" s="224" t="str">
        <f t="shared" si="188"/>
        <v>-</v>
      </c>
      <c r="AH246" s="272">
        <f t="shared" si="214"/>
        <v>0.1</v>
      </c>
      <c r="AI246" s="271" t="str">
        <f>IFERROR(IF(AD245=1,AI$100*EXP(-(LN(2)/$D$65+0.04)*AF245)*EXP(-(LN(2)/$D$65+0.1)*AG245),IF(AD245=2,AI$100*EXP(-(LN(2)/$D$65+0.04)*(VLOOKUP(($F$16-$F$15)-1,AC$99:AG245,4,FALSE)))*EXP(-(LN(2)/$D$65+0.1)*(VLOOKUP(($F$16-$F$15)-1,AC$99:AG245,5,FALSE)))*EXP(-(LN(2)/$D$65+0.04)*AF245)*EXP(-(LN(2)/$D$65+0.1)*AG245),IF(AD245=3,AI$100*EXP(-(LN(2)/$D$65+0.04)*(VLOOKUP(($F$16-$F$15)-1,AC$99:AG245,4,FALSE)))*EXP(-(LN(2)/$D$65+0.1)*(VLOOKUP(($F$16-$F$15)-1,AC$99:AG245,5,FALSE)))*EXP(-(LN(2)/$D$65+0.04)*(VLOOKUP(($F$16-$F$15)*2-1,AC$99:AG245,4,FALSE)))*EXP(-(LN(2)/$D$65+0.1)*(VLOOKUP(($F$16-$F$15)*2-1,AC$99:AG245,5,FALSE)))*EXP(-(LN(2)/$D$65+0.04)*AF245)*EXP(-(LN(2)/$D$65+0.1)*AG245),"-"))),"-")</f>
        <v>-</v>
      </c>
      <c r="AJ246" s="271" t="str">
        <f>IFERROR(IF(AD246=1,AJ$100*EXP(-(LN(2)/$D$65+0.04)*AF246)*EXP(-(LN(2)/$D$65+0.1)*AG246),IF(AD246=2,AJ$100*EXP(-(LN(2)/$D$65+0.04)*(VLOOKUP(($F$16-$F$15)-1,AC$100:AG246,4,FALSE)))*EXP(-(LN(2)/$D$65+0.1)*(VLOOKUP(($F$16-$F$15)-1,AC$100:AG246,5,FALSE)))*EXP(-(LN(2)/$D$65+0.04)*AF246)*EXP(-(LN(2)/$D$65+0.1)*AG246),IF(AD246=3,AJ$100*EXP(-(LN(2)/$D$65+0.04)*(VLOOKUP(($F$16-$F$15)-1,AC$100:AG246,4,FALSE)))*EXP(-(LN(2)/$D$65+0.1)*(VLOOKUP(($F$16-$F$15)-1,AC$100:AG246,5,FALSE)))*EXP(-(LN(2)/$D$65+0.04)*(VLOOKUP(($F$16-$F$15)*2-1,AC$100:AG246,4,FALSE)))*EXP(-(LN(2)/$D$65+0.1)*(VLOOKUP(($F$16-$F$15)*2-1,AC$100:AG246,5,FALSE)))*EXP(-(LN(2)/$D$65+0.04)*AF246)*EXP(-(LN(2)/$D$65+0.1)*AG246),"-"))),"-")</f>
        <v>-</v>
      </c>
      <c r="AK246" s="227">
        <f t="shared" si="215"/>
        <v>146</v>
      </c>
      <c r="AL246" s="226" t="str">
        <f t="shared" si="189"/>
        <v>-</v>
      </c>
      <c r="AM246" s="227" t="str">
        <f t="shared" si="216"/>
        <v>-</v>
      </c>
      <c r="AN246" s="227" t="str">
        <f t="shared" si="217"/>
        <v>-</v>
      </c>
      <c r="AO246" s="227" t="str">
        <f t="shared" si="190"/>
        <v>-</v>
      </c>
      <c r="AP246" s="273">
        <f t="shared" si="218"/>
        <v>0.1</v>
      </c>
      <c r="AQ246" s="271" t="str">
        <f>IFERROR(IF(AL245=1,AQ$100*EXP(-(LN(2)/$D$65+0.04)*AN245)*EXP(-(LN(2)/$D$65+0.1)*AO245),IF(AL245=2,AQ$100*EXP(-(LN(2)/$D$65+0.04)*(VLOOKUP(($F$16-$F$15)-1,AK$99:AO245,4,FALSE)))*EXP(-(LN(2)/$D$65+0.1)*(VLOOKUP(($F$16-$F$15)-1,AK$99:AO245,5,FALSE)))*EXP(-(LN(2)/$D$65+0.04)*AN245)*EXP(-(LN(2)/$D$65+0.1)*AO245),IF(AL245=3,AQ$100*EXP(-(LN(2)/$D$65+0.04)*(VLOOKUP(($F$16-$F$15)-1,AK$99:AO245,4,FALSE)))*EXP(-(LN(2)/$D$65+0.1)*(VLOOKUP(($F$16-$F$15)-1,AK$99:AO245,5,FALSE)))*EXP(-(LN(2)/$D$65+0.04)*(VLOOKUP(($F$16-$F$15)*2-1,AK$99:AO245,4,FALSE)))*EXP(-(LN(2)/$D$65+0.1)*(VLOOKUP(($F$16-$F$15)*2-1,AK$99:AO245,5,FALSE)))*EXP(-(LN(2)/$D$65+0.04)*AN245)*EXP(-(LN(2)/$D$65+0.1)*AO245),"-"))),"-")</f>
        <v>-</v>
      </c>
      <c r="AR246" s="271" t="str">
        <f>IFERROR(IF(AL246=1,AR$100*EXP(-(LN(2)/$D$65+0.04)*AN246)*EXP(-(LN(2)/$D$65+0.1)*AO246),IF(AL246=2,AR$100*EXP(-(LN(2)/$D$65+0.04)*(VLOOKUP(($F$16-$F$15)-1,AK$100:AO246,4,FALSE)))*EXP(-(LN(2)/$D$65+0.1)*(VLOOKUP(($F$16-$F$15)-1,AK$100:AO246,5,FALSE)))*EXP(-(LN(2)/$D$65+0.04)*AN246)*EXP(-(LN(2)/$D$65+0.1)*AO246),IF(AL246=3,AR$100*EXP(-(LN(2)/$D$65+0.04)*(VLOOKUP(($F$16-$F$15)-1,AK$100:AO246,4,FALSE)))*EXP(-(LN(2)/$D$65+0.1)*(VLOOKUP(($F$16-$F$15)-1,AK$100:AO246,5,FALSE)))*EXP(-(LN(2)/$D$65+0.04)*(VLOOKUP(($F$16-$F$15)*2-1,AK$100:AO246,4,FALSE)))*EXP(-(LN(2)/$D$65+0.1)*(VLOOKUP(($F$16-$F$15)*2-1,AK$100:AO246,5,FALSE)))*EXP(-(LN(2)/$D$65+0.04)*AN246)*EXP(-(LN(2)/$D$65+0.1)*AO246),"-"))),"-")</f>
        <v>-</v>
      </c>
      <c r="AS246" s="274">
        <f t="shared" si="191"/>
        <v>0</v>
      </c>
      <c r="AT246" s="274">
        <f t="shared" si="192"/>
        <v>0</v>
      </c>
      <c r="AU246" s="274">
        <f t="shared" si="193"/>
        <v>0</v>
      </c>
      <c r="AV246" s="190" t="str">
        <f>IF($B246&lt;$F$22,SUM($T$100:$T246),"")</f>
        <v/>
      </c>
      <c r="AW246" s="190" t="str">
        <f t="shared" si="194"/>
        <v>-</v>
      </c>
      <c r="AX246" s="190" t="str">
        <f t="shared" si="219"/>
        <v/>
      </c>
      <c r="AY246"/>
      <c r="AZ246" s="190" t="str">
        <f ca="1">IF(ISNUMBER(OFFSET(AV246,-$F$21,0)),SUM(OFFSET($T$100,$F$21,0):$T246),"")</f>
        <v/>
      </c>
      <c r="BA246" s="190" t="str">
        <f t="shared" ca="1" si="195"/>
        <v/>
      </c>
      <c r="BB246" s="190" t="str">
        <f t="shared" ca="1" si="148"/>
        <v/>
      </c>
      <c r="BC246" s="190"/>
      <c r="BD246" s="190" t="str">
        <f ca="1">IFERROR(IF(OR(ISNUMBER(I),ISNUMBER($F$14)),IF(AND($B246&gt;=($F$16-$F$15),$B246&lt;$F$22+($F$16-$F$15)),SUM(OFFSET($T$100,($F$16-$F$15),0):$T246),""),""),"")</f>
        <v/>
      </c>
      <c r="BE246" s="190" t="str">
        <f t="shared" ca="1" si="220"/>
        <v/>
      </c>
      <c r="BF246" s="190" t="str">
        <f t="shared" ca="1" si="221"/>
        <v/>
      </c>
      <c r="BG246"/>
      <c r="BH246" s="190" t="str">
        <f ca="1">IF(ISNUMBER(OFFSET(BD246,-$F$21,0)),SUM(OFFSET($T$100,($F$16-$F$15+$F$21),0):$T246),"")</f>
        <v/>
      </c>
      <c r="BI246" s="190" t="str">
        <f t="shared" ca="1" si="196"/>
        <v/>
      </c>
      <c r="BJ246" s="190" t="str">
        <f t="shared" ca="1" si="222"/>
        <v/>
      </c>
      <c r="BK246" s="190"/>
      <c r="BL246" s="190" t="str">
        <f ca="1">IFERROR(IF(OR(ISNUMBER(I),ISNUMBER($F$14)),IF(AND($B246&gt;=($F$17-$F$15),$B246&lt;$F$22+($F$17-$F$15)),SUM(OFFSET($T$100,($F$17-$F$15),0):$T246),""),""),"")</f>
        <v/>
      </c>
      <c r="BM246" s="190" t="str">
        <f t="shared" ca="1" si="197"/>
        <v/>
      </c>
      <c r="BN246" s="190" t="str">
        <f t="shared" ca="1" si="223"/>
        <v/>
      </c>
      <c r="BO246"/>
      <c r="BP246" s="190" t="str">
        <f ca="1">IF(ISNUMBER(OFFSET(BL246,-$F$21,0)),SUM(OFFSET($T$100,($F$17-$F$15+$F$21),0):$T246),"")</f>
        <v/>
      </c>
      <c r="BQ246" s="190" t="str">
        <f t="shared" ca="1" si="198"/>
        <v/>
      </c>
      <c r="BR246" s="190" t="str">
        <f t="shared" ca="1" si="224"/>
        <v/>
      </c>
      <c r="BS246" s="190"/>
      <c r="BT246"/>
      <c r="BU246"/>
      <c r="BV246"/>
      <c r="BY246" s="99"/>
      <c r="BZ246" s="99"/>
      <c r="CA246" s="280" t="str">
        <f t="shared" si="199"/>
        <v/>
      </c>
      <c r="CB246" s="71" t="str">
        <f t="shared" si="200"/>
        <v>-</v>
      </c>
      <c r="CC246" s="33"/>
      <c r="CD246" s="261" t="str">
        <f t="shared" si="201"/>
        <v/>
      </c>
      <c r="CE246" s="280" t="str">
        <f t="shared" si="202"/>
        <v/>
      </c>
      <c r="CF246" s="71" t="str">
        <f t="shared" ca="1" si="203"/>
        <v/>
      </c>
      <c r="CG246" s="33" t="str">
        <f t="shared" si="204"/>
        <v/>
      </c>
      <c r="CH246" s="261" t="str">
        <f t="shared" ca="1" si="205"/>
        <v/>
      </c>
    </row>
    <row r="247" spans="2:86" ht="13.5" customHeight="1" x14ac:dyDescent="0.2">
      <c r="B247" s="262">
        <v>147</v>
      </c>
      <c r="C247" s="237" t="str">
        <f t="shared" si="169"/>
        <v/>
      </c>
      <c r="D247" s="237" t="str">
        <f t="shared" si="225"/>
        <v/>
      </c>
      <c r="E247" s="263" t="str">
        <f t="shared" si="206"/>
        <v/>
      </c>
      <c r="F247" s="264" t="str">
        <f t="shared" si="207"/>
        <v/>
      </c>
      <c r="G247" s="264" t="str">
        <f t="shared" si="208"/>
        <v/>
      </c>
      <c r="H247" s="240" t="str">
        <f t="shared" si="170"/>
        <v/>
      </c>
      <c r="I247" s="265" t="str">
        <f t="shared" si="171"/>
        <v/>
      </c>
      <c r="J247" s="265" t="str">
        <f t="shared" si="172"/>
        <v/>
      </c>
      <c r="K247" s="240" t="str">
        <f t="shared" si="173"/>
        <v/>
      </c>
      <c r="L247" s="265" t="str">
        <f t="shared" si="174"/>
        <v/>
      </c>
      <c r="M247" s="265" t="str">
        <f t="shared" si="175"/>
        <v/>
      </c>
      <c r="N247" s="240" t="str">
        <f t="shared" si="176"/>
        <v>-</v>
      </c>
      <c r="O247" s="265" t="str">
        <f t="shared" si="177"/>
        <v>-</v>
      </c>
      <c r="P247" s="265" t="str">
        <f t="shared" si="178"/>
        <v>-</v>
      </c>
      <c r="Q247" s="266" t="str">
        <f t="shared" si="179"/>
        <v>-</v>
      </c>
      <c r="R247" s="267" t="str">
        <f t="shared" si="180"/>
        <v>-</v>
      </c>
      <c r="S247" s="268" t="str">
        <f t="shared" si="181"/>
        <v>-</v>
      </c>
      <c r="T247" s="269" t="str">
        <f t="shared" si="182"/>
        <v/>
      </c>
      <c r="U247" s="221">
        <f t="shared" si="183"/>
        <v>147</v>
      </c>
      <c r="V247" s="220" t="str">
        <f t="shared" si="209"/>
        <v>-</v>
      </c>
      <c r="W247" s="221" t="str">
        <f t="shared" si="210"/>
        <v>-</v>
      </c>
      <c r="X247" s="221" t="str">
        <f t="shared" si="184"/>
        <v>-</v>
      </c>
      <c r="Y247" s="221" t="str">
        <f t="shared" si="185"/>
        <v>-</v>
      </c>
      <c r="Z247" s="270">
        <f t="shared" si="211"/>
        <v>0.1</v>
      </c>
      <c r="AA247" s="271" t="str">
        <f>IFERROR(IF(V246=1,AA$100*EXP(-(LN(2)/$D$65+0.04)*X246)*EXP(-(LN(2)/$D$65+0.1)*Y246),IF(V246=2,AA$100*EXP(-(LN(2)/$D$65+0.04)*(VLOOKUP(($F$16-$F$15)-1,U$99:Y246,4,FALSE)))*EXP(-(LN(2)/$D$65+0.1)*(VLOOKUP(($F$16-$F$15)-1,U$99:Y246,5,FALSE)))*EXP(-(LN(2)/$D$65+0.04)*X246)*EXP(-(LN(2)/$D$65+0.1)*Y246),IF(V246=3,AA$100*EXP(-(LN(2)/$D$65+0.04)*(VLOOKUP(($F$16-$F$15)-1,U$99:Y246,4,FALSE)))*EXP(-(LN(2)/$D$65+0.1)*(VLOOKUP(($F$16-$F$15)-1,U$99:Y246,5,FALSE)))*EXP(-(LN(2)/$D$65+0.04)*(VLOOKUP(($F$16-$F$15)*2-1,U$99:Y246,4,FALSE)))*EXP(-(LN(2)/$D$65+0.1)*(VLOOKUP(($F$16-$F$15)*2-1,U$99:Y246,5,FALSE)))*EXP(-(LN(2)/$D$65+0.04)*X246)*EXP(-(LN(2)/$D$65+0.1)*Y246),"-"))),"-")</f>
        <v>-</v>
      </c>
      <c r="AB247" s="271" t="str">
        <f>IFERROR(IF(V247=1,AB$100*EXP(-(LN(2)/$D$65+0.04)*X247)*EXP(-(LN(2)/$D$65+0.1)*Y247),IF(V247=2,AB$100*EXP(-(LN(2)/$D$65+0.04)*(VLOOKUP(($F$16-$F$15)-1,U$100:Y247,4,FALSE)))*EXP(-(LN(2)/$D$65+0.1)*(VLOOKUP(($F$16-$F$15)-1,U$100:Y247,5,FALSE)))*EXP(-(LN(2)/$D$65+0.04)*X247)*EXP(-(LN(2)/$D$65+0.1)*Y247),IF(V247=3,AB$100*EXP(-(LN(2)/$D$65+0.04)*(VLOOKUP(($F$16-$F$15)-1,U$100:Y247,4,FALSE)))*EXP(-(LN(2)/$D$65+0.1)*(VLOOKUP(($F$16-$F$15)-1,U$100:Y247,5,FALSE)))*EXP(-(LN(2)/$D$65+0.04)*(VLOOKUP(($F$16-$F$15)*2-1,U$100:Y247,4,FALSE)))*EXP(-(LN(2)/$D$65+0.1)*(VLOOKUP(($F$16-$F$15)*2-1,U$100:Y247,5,FALSE)))*EXP(-(LN(2)/$D$65+0.04)*X247)*EXP(-(LN(2)/$D$65+0.1)*Y247),"-"))),"-")</f>
        <v>-</v>
      </c>
      <c r="AC247" s="224">
        <f t="shared" si="226"/>
        <v>147</v>
      </c>
      <c r="AD247" s="223" t="str">
        <f t="shared" si="186"/>
        <v>-</v>
      </c>
      <c r="AE247" s="224" t="str">
        <f t="shared" si="213"/>
        <v>-</v>
      </c>
      <c r="AF247" s="224" t="str">
        <f t="shared" si="187"/>
        <v>-</v>
      </c>
      <c r="AG247" s="224" t="str">
        <f t="shared" si="188"/>
        <v>-</v>
      </c>
      <c r="AH247" s="272">
        <f t="shared" si="214"/>
        <v>0.1</v>
      </c>
      <c r="AI247" s="271" t="str">
        <f>IFERROR(IF(AD246=1,AI$100*EXP(-(LN(2)/$D$65+0.04)*AF246)*EXP(-(LN(2)/$D$65+0.1)*AG246),IF(AD246=2,AI$100*EXP(-(LN(2)/$D$65+0.04)*(VLOOKUP(($F$16-$F$15)-1,AC$99:AG246,4,FALSE)))*EXP(-(LN(2)/$D$65+0.1)*(VLOOKUP(($F$16-$F$15)-1,AC$99:AG246,5,FALSE)))*EXP(-(LN(2)/$D$65+0.04)*AF246)*EXP(-(LN(2)/$D$65+0.1)*AG246),IF(AD246=3,AI$100*EXP(-(LN(2)/$D$65+0.04)*(VLOOKUP(($F$16-$F$15)-1,AC$99:AG246,4,FALSE)))*EXP(-(LN(2)/$D$65+0.1)*(VLOOKUP(($F$16-$F$15)-1,AC$99:AG246,5,FALSE)))*EXP(-(LN(2)/$D$65+0.04)*(VLOOKUP(($F$16-$F$15)*2-1,AC$99:AG246,4,FALSE)))*EXP(-(LN(2)/$D$65+0.1)*(VLOOKUP(($F$16-$F$15)*2-1,AC$99:AG246,5,FALSE)))*EXP(-(LN(2)/$D$65+0.04)*AF246)*EXP(-(LN(2)/$D$65+0.1)*AG246),"-"))),"-")</f>
        <v>-</v>
      </c>
      <c r="AJ247" s="271" t="str">
        <f>IFERROR(IF(AD247=1,AJ$100*EXP(-(LN(2)/$D$65+0.04)*AF247)*EXP(-(LN(2)/$D$65+0.1)*AG247),IF(AD247=2,AJ$100*EXP(-(LN(2)/$D$65+0.04)*(VLOOKUP(($F$16-$F$15)-1,AC$100:AG247,4,FALSE)))*EXP(-(LN(2)/$D$65+0.1)*(VLOOKUP(($F$16-$F$15)-1,AC$100:AG247,5,FALSE)))*EXP(-(LN(2)/$D$65+0.04)*AF247)*EXP(-(LN(2)/$D$65+0.1)*AG247),IF(AD247=3,AJ$100*EXP(-(LN(2)/$D$65+0.04)*(VLOOKUP(($F$16-$F$15)-1,AC$100:AG247,4,FALSE)))*EXP(-(LN(2)/$D$65+0.1)*(VLOOKUP(($F$16-$F$15)-1,AC$100:AG247,5,FALSE)))*EXP(-(LN(2)/$D$65+0.04)*(VLOOKUP(($F$16-$F$15)*2-1,AC$100:AG247,4,FALSE)))*EXP(-(LN(2)/$D$65+0.1)*(VLOOKUP(($F$16-$F$15)*2-1,AC$100:AG247,5,FALSE)))*EXP(-(LN(2)/$D$65+0.04)*AF247)*EXP(-(LN(2)/$D$65+0.1)*AG247),"-"))),"-")</f>
        <v>-</v>
      </c>
      <c r="AK247" s="227">
        <f t="shared" si="215"/>
        <v>147</v>
      </c>
      <c r="AL247" s="226" t="str">
        <f t="shared" si="189"/>
        <v>-</v>
      </c>
      <c r="AM247" s="227" t="str">
        <f t="shared" si="216"/>
        <v>-</v>
      </c>
      <c r="AN247" s="227" t="str">
        <f t="shared" si="217"/>
        <v>-</v>
      </c>
      <c r="AO247" s="227" t="str">
        <f t="shared" si="190"/>
        <v>-</v>
      </c>
      <c r="AP247" s="273">
        <f t="shared" si="218"/>
        <v>0.1</v>
      </c>
      <c r="AQ247" s="271" t="str">
        <f>IFERROR(IF(AL246=1,AQ$100*EXP(-(LN(2)/$D$65+0.04)*AN246)*EXP(-(LN(2)/$D$65+0.1)*AO246),IF(AL246=2,AQ$100*EXP(-(LN(2)/$D$65+0.04)*(VLOOKUP(($F$16-$F$15)-1,AK$99:AO246,4,FALSE)))*EXP(-(LN(2)/$D$65+0.1)*(VLOOKUP(($F$16-$F$15)-1,AK$99:AO246,5,FALSE)))*EXP(-(LN(2)/$D$65+0.04)*AN246)*EXP(-(LN(2)/$D$65+0.1)*AO246),IF(AL246=3,AQ$100*EXP(-(LN(2)/$D$65+0.04)*(VLOOKUP(($F$16-$F$15)-1,AK$99:AO246,4,FALSE)))*EXP(-(LN(2)/$D$65+0.1)*(VLOOKUP(($F$16-$F$15)-1,AK$99:AO246,5,FALSE)))*EXP(-(LN(2)/$D$65+0.04)*(VLOOKUP(($F$16-$F$15)*2-1,AK$99:AO246,4,FALSE)))*EXP(-(LN(2)/$D$65+0.1)*(VLOOKUP(($F$16-$F$15)*2-1,AK$99:AO246,5,FALSE)))*EXP(-(LN(2)/$D$65+0.04)*AN246)*EXP(-(LN(2)/$D$65+0.1)*AO246),"-"))),"-")</f>
        <v>-</v>
      </c>
      <c r="AR247" s="271" t="str">
        <f>IFERROR(IF(AL247=1,AR$100*EXP(-(LN(2)/$D$65+0.04)*AN247)*EXP(-(LN(2)/$D$65+0.1)*AO247),IF(AL247=2,AR$100*EXP(-(LN(2)/$D$65+0.04)*(VLOOKUP(($F$16-$F$15)-1,AK$100:AO247,4,FALSE)))*EXP(-(LN(2)/$D$65+0.1)*(VLOOKUP(($F$16-$F$15)-1,AK$100:AO247,5,FALSE)))*EXP(-(LN(2)/$D$65+0.04)*AN247)*EXP(-(LN(2)/$D$65+0.1)*AO247),IF(AL247=3,AR$100*EXP(-(LN(2)/$D$65+0.04)*(VLOOKUP(($F$16-$F$15)-1,AK$100:AO247,4,FALSE)))*EXP(-(LN(2)/$D$65+0.1)*(VLOOKUP(($F$16-$F$15)-1,AK$100:AO247,5,FALSE)))*EXP(-(LN(2)/$D$65+0.04)*(VLOOKUP(($F$16-$F$15)*2-1,AK$100:AO247,4,FALSE)))*EXP(-(LN(2)/$D$65+0.1)*(VLOOKUP(($F$16-$F$15)*2-1,AK$100:AO247,5,FALSE)))*EXP(-(LN(2)/$D$65+0.04)*AN247)*EXP(-(LN(2)/$D$65+0.1)*AO247),"-"))),"-")</f>
        <v>-</v>
      </c>
      <c r="AS247" s="274">
        <f t="shared" si="191"/>
        <v>0</v>
      </c>
      <c r="AT247" s="274">
        <f t="shared" si="192"/>
        <v>0</v>
      </c>
      <c r="AU247" s="274">
        <f t="shared" si="193"/>
        <v>0</v>
      </c>
      <c r="AV247" s="190" t="str">
        <f>IF($B247&lt;$F$22,SUM($T$100:$T247),"")</f>
        <v/>
      </c>
      <c r="AW247" s="190" t="str">
        <f t="shared" si="194"/>
        <v>-</v>
      </c>
      <c r="AX247" s="190" t="str">
        <f t="shared" si="219"/>
        <v/>
      </c>
      <c r="AY247"/>
      <c r="AZ247" s="190" t="str">
        <f ca="1">IF(ISNUMBER(OFFSET(AV247,-$F$21,0)),SUM(OFFSET($T$100,$F$21,0):$T247),"")</f>
        <v/>
      </c>
      <c r="BA247" s="190" t="str">
        <f t="shared" ca="1" si="195"/>
        <v/>
      </c>
      <c r="BB247" s="190" t="str">
        <f t="shared" ca="1" si="148"/>
        <v/>
      </c>
      <c r="BC247" s="190"/>
      <c r="BD247" s="190" t="str">
        <f ca="1">IFERROR(IF(OR(ISNUMBER(I),ISNUMBER($F$14)),IF(AND($B247&gt;=($F$16-$F$15),$B247&lt;$F$22+($F$16-$F$15)),SUM(OFFSET($T$100,($F$16-$F$15),0):$T247),""),""),"")</f>
        <v/>
      </c>
      <c r="BE247" s="190" t="str">
        <f t="shared" ca="1" si="220"/>
        <v/>
      </c>
      <c r="BF247" s="190" t="str">
        <f t="shared" ca="1" si="221"/>
        <v/>
      </c>
      <c r="BG247"/>
      <c r="BH247" s="190" t="str">
        <f ca="1">IF(ISNUMBER(OFFSET(BD247,-$F$21,0)),SUM(OFFSET($T$100,($F$16-$F$15+$F$21),0):$T247),"")</f>
        <v/>
      </c>
      <c r="BI247" s="190" t="str">
        <f t="shared" ca="1" si="196"/>
        <v/>
      </c>
      <c r="BJ247" s="190" t="str">
        <f t="shared" ca="1" si="222"/>
        <v/>
      </c>
      <c r="BK247" s="190"/>
      <c r="BL247" s="190" t="str">
        <f ca="1">IFERROR(IF(OR(ISNUMBER(I),ISNUMBER($F$14)),IF(AND($B247&gt;=($F$17-$F$15),$B247&lt;$F$22+($F$17-$F$15)),SUM(OFFSET($T$100,($F$17-$F$15),0):$T247),""),""),"")</f>
        <v/>
      </c>
      <c r="BM247" s="190" t="str">
        <f t="shared" ca="1" si="197"/>
        <v/>
      </c>
      <c r="BN247" s="190" t="str">
        <f t="shared" ca="1" si="223"/>
        <v/>
      </c>
      <c r="BO247"/>
      <c r="BP247" s="190" t="str">
        <f ca="1">IF(ISNUMBER(OFFSET(BL247,-$F$21,0)),SUM(OFFSET($T$100,($F$17-$F$15+$F$21),0):$T247),"")</f>
        <v/>
      </c>
      <c r="BQ247" s="190" t="str">
        <f t="shared" ca="1" si="198"/>
        <v/>
      </c>
      <c r="BR247" s="190" t="str">
        <f t="shared" ca="1" si="224"/>
        <v/>
      </c>
      <c r="BS247" s="190"/>
      <c r="BT247"/>
      <c r="BU247"/>
      <c r="BV247"/>
      <c r="BY247" s="99"/>
      <c r="BZ247" s="99"/>
      <c r="CA247" s="280" t="str">
        <f t="shared" si="199"/>
        <v/>
      </c>
      <c r="CB247" s="71" t="str">
        <f t="shared" si="200"/>
        <v>-</v>
      </c>
      <c r="CC247" s="33"/>
      <c r="CD247" s="261" t="str">
        <f t="shared" si="201"/>
        <v/>
      </c>
      <c r="CE247" s="280" t="str">
        <f t="shared" si="202"/>
        <v/>
      </c>
      <c r="CF247" s="71" t="str">
        <f t="shared" ca="1" si="203"/>
        <v/>
      </c>
      <c r="CG247" s="33" t="str">
        <f t="shared" si="204"/>
        <v/>
      </c>
      <c r="CH247" s="261" t="str">
        <f t="shared" ca="1" si="205"/>
        <v/>
      </c>
    </row>
    <row r="248" spans="2:86" ht="13.5" customHeight="1" x14ac:dyDescent="0.2">
      <c r="B248" s="262">
        <v>148</v>
      </c>
      <c r="C248" s="237" t="str">
        <f t="shared" si="169"/>
        <v/>
      </c>
      <c r="D248" s="237" t="str">
        <f t="shared" si="225"/>
        <v/>
      </c>
      <c r="E248" s="263" t="str">
        <f t="shared" si="206"/>
        <v/>
      </c>
      <c r="F248" s="264" t="str">
        <f t="shared" si="207"/>
        <v/>
      </c>
      <c r="G248" s="264" t="str">
        <f t="shared" si="208"/>
        <v/>
      </c>
      <c r="H248" s="240" t="str">
        <f t="shared" si="170"/>
        <v/>
      </c>
      <c r="I248" s="265" t="str">
        <f t="shared" si="171"/>
        <v/>
      </c>
      <c r="J248" s="265" t="str">
        <f t="shared" si="172"/>
        <v/>
      </c>
      <c r="K248" s="240" t="str">
        <f t="shared" si="173"/>
        <v/>
      </c>
      <c r="L248" s="265" t="str">
        <f t="shared" si="174"/>
        <v/>
      </c>
      <c r="M248" s="265" t="str">
        <f t="shared" si="175"/>
        <v/>
      </c>
      <c r="N248" s="240" t="str">
        <f t="shared" si="176"/>
        <v>-</v>
      </c>
      <c r="O248" s="265" t="str">
        <f t="shared" si="177"/>
        <v>-</v>
      </c>
      <c r="P248" s="265" t="str">
        <f t="shared" si="178"/>
        <v>-</v>
      </c>
      <c r="Q248" s="266" t="str">
        <f t="shared" si="179"/>
        <v>-</v>
      </c>
      <c r="R248" s="267" t="str">
        <f t="shared" si="180"/>
        <v>-</v>
      </c>
      <c r="S248" s="268" t="str">
        <f t="shared" si="181"/>
        <v>-</v>
      </c>
      <c r="T248" s="269" t="str">
        <f t="shared" si="182"/>
        <v/>
      </c>
      <c r="U248" s="221">
        <f t="shared" si="183"/>
        <v>148</v>
      </c>
      <c r="V248" s="220" t="str">
        <f t="shared" si="209"/>
        <v>-</v>
      </c>
      <c r="W248" s="221" t="str">
        <f t="shared" si="210"/>
        <v>-</v>
      </c>
      <c r="X248" s="221" t="str">
        <f t="shared" si="184"/>
        <v>-</v>
      </c>
      <c r="Y248" s="221" t="str">
        <f t="shared" si="185"/>
        <v>-</v>
      </c>
      <c r="Z248" s="270">
        <f t="shared" si="211"/>
        <v>0.1</v>
      </c>
      <c r="AA248" s="271" t="str">
        <f>IFERROR(IF(V247=1,AA$100*EXP(-(LN(2)/$D$65+0.04)*X247)*EXP(-(LN(2)/$D$65+0.1)*Y247),IF(V247=2,AA$100*EXP(-(LN(2)/$D$65+0.04)*(VLOOKUP(($F$16-$F$15)-1,U$99:Y247,4,FALSE)))*EXP(-(LN(2)/$D$65+0.1)*(VLOOKUP(($F$16-$F$15)-1,U$99:Y247,5,FALSE)))*EXP(-(LN(2)/$D$65+0.04)*X247)*EXP(-(LN(2)/$D$65+0.1)*Y247),IF(V247=3,AA$100*EXP(-(LN(2)/$D$65+0.04)*(VLOOKUP(($F$16-$F$15)-1,U$99:Y247,4,FALSE)))*EXP(-(LN(2)/$D$65+0.1)*(VLOOKUP(($F$16-$F$15)-1,U$99:Y247,5,FALSE)))*EXP(-(LN(2)/$D$65+0.04)*(VLOOKUP(($F$16-$F$15)*2-1,U$99:Y247,4,FALSE)))*EXP(-(LN(2)/$D$65+0.1)*(VLOOKUP(($F$16-$F$15)*2-1,U$99:Y247,5,FALSE)))*EXP(-(LN(2)/$D$65+0.04)*X247)*EXP(-(LN(2)/$D$65+0.1)*Y247),"-"))),"-")</f>
        <v>-</v>
      </c>
      <c r="AB248" s="271" t="str">
        <f>IFERROR(IF(V248=1,AB$100*EXP(-(LN(2)/$D$65+0.04)*X248)*EXP(-(LN(2)/$D$65+0.1)*Y248),IF(V248=2,AB$100*EXP(-(LN(2)/$D$65+0.04)*(VLOOKUP(($F$16-$F$15)-1,U$100:Y248,4,FALSE)))*EXP(-(LN(2)/$D$65+0.1)*(VLOOKUP(($F$16-$F$15)-1,U$100:Y248,5,FALSE)))*EXP(-(LN(2)/$D$65+0.04)*X248)*EXP(-(LN(2)/$D$65+0.1)*Y248),IF(V248=3,AB$100*EXP(-(LN(2)/$D$65+0.04)*(VLOOKUP(($F$16-$F$15)-1,U$100:Y248,4,FALSE)))*EXP(-(LN(2)/$D$65+0.1)*(VLOOKUP(($F$16-$F$15)-1,U$100:Y248,5,FALSE)))*EXP(-(LN(2)/$D$65+0.04)*(VLOOKUP(($F$16-$F$15)*2-1,U$100:Y248,4,FALSE)))*EXP(-(LN(2)/$D$65+0.1)*(VLOOKUP(($F$16-$F$15)*2-1,U$100:Y248,5,FALSE)))*EXP(-(LN(2)/$D$65+0.04)*X248)*EXP(-(LN(2)/$D$65+0.1)*Y248),"-"))),"-")</f>
        <v>-</v>
      </c>
      <c r="AC248" s="224">
        <f t="shared" si="226"/>
        <v>148</v>
      </c>
      <c r="AD248" s="223" t="str">
        <f t="shared" si="186"/>
        <v>-</v>
      </c>
      <c r="AE248" s="224" t="str">
        <f t="shared" si="213"/>
        <v>-</v>
      </c>
      <c r="AF248" s="224" t="str">
        <f t="shared" si="187"/>
        <v>-</v>
      </c>
      <c r="AG248" s="224" t="str">
        <f t="shared" si="188"/>
        <v>-</v>
      </c>
      <c r="AH248" s="272">
        <f t="shared" si="214"/>
        <v>0.1</v>
      </c>
      <c r="AI248" s="271" t="str">
        <f>IFERROR(IF(AD247=1,AI$100*EXP(-(LN(2)/$D$65+0.04)*AF247)*EXP(-(LN(2)/$D$65+0.1)*AG247),IF(AD247=2,AI$100*EXP(-(LN(2)/$D$65+0.04)*(VLOOKUP(($F$16-$F$15)-1,AC$99:AG247,4,FALSE)))*EXP(-(LN(2)/$D$65+0.1)*(VLOOKUP(($F$16-$F$15)-1,AC$99:AG247,5,FALSE)))*EXP(-(LN(2)/$D$65+0.04)*AF247)*EXP(-(LN(2)/$D$65+0.1)*AG247),IF(AD247=3,AI$100*EXP(-(LN(2)/$D$65+0.04)*(VLOOKUP(($F$16-$F$15)-1,AC$99:AG247,4,FALSE)))*EXP(-(LN(2)/$D$65+0.1)*(VLOOKUP(($F$16-$F$15)-1,AC$99:AG247,5,FALSE)))*EXP(-(LN(2)/$D$65+0.04)*(VLOOKUP(($F$16-$F$15)*2-1,AC$99:AG247,4,FALSE)))*EXP(-(LN(2)/$D$65+0.1)*(VLOOKUP(($F$16-$F$15)*2-1,AC$99:AG247,5,FALSE)))*EXP(-(LN(2)/$D$65+0.04)*AF247)*EXP(-(LN(2)/$D$65+0.1)*AG247),"-"))),"-")</f>
        <v>-</v>
      </c>
      <c r="AJ248" s="271" t="str">
        <f>IFERROR(IF(AD248=1,AJ$100*EXP(-(LN(2)/$D$65+0.04)*AF248)*EXP(-(LN(2)/$D$65+0.1)*AG248),IF(AD248=2,AJ$100*EXP(-(LN(2)/$D$65+0.04)*(VLOOKUP(($F$16-$F$15)-1,AC$100:AG248,4,FALSE)))*EXP(-(LN(2)/$D$65+0.1)*(VLOOKUP(($F$16-$F$15)-1,AC$100:AG248,5,FALSE)))*EXP(-(LN(2)/$D$65+0.04)*AF248)*EXP(-(LN(2)/$D$65+0.1)*AG248),IF(AD248=3,AJ$100*EXP(-(LN(2)/$D$65+0.04)*(VLOOKUP(($F$16-$F$15)-1,AC$100:AG248,4,FALSE)))*EXP(-(LN(2)/$D$65+0.1)*(VLOOKUP(($F$16-$F$15)-1,AC$100:AG248,5,FALSE)))*EXP(-(LN(2)/$D$65+0.04)*(VLOOKUP(($F$16-$F$15)*2-1,AC$100:AG248,4,FALSE)))*EXP(-(LN(2)/$D$65+0.1)*(VLOOKUP(($F$16-$F$15)*2-1,AC$100:AG248,5,FALSE)))*EXP(-(LN(2)/$D$65+0.04)*AF248)*EXP(-(LN(2)/$D$65+0.1)*AG248),"-"))),"-")</f>
        <v>-</v>
      </c>
      <c r="AK248" s="227">
        <f t="shared" si="215"/>
        <v>148</v>
      </c>
      <c r="AL248" s="226" t="str">
        <f t="shared" si="189"/>
        <v>-</v>
      </c>
      <c r="AM248" s="227" t="str">
        <f t="shared" si="216"/>
        <v>-</v>
      </c>
      <c r="AN248" s="227" t="str">
        <f t="shared" si="217"/>
        <v>-</v>
      </c>
      <c r="AO248" s="227" t="str">
        <f t="shared" si="190"/>
        <v>-</v>
      </c>
      <c r="AP248" s="273">
        <f t="shared" si="218"/>
        <v>0.1</v>
      </c>
      <c r="AQ248" s="271" t="str">
        <f>IFERROR(IF(AL247=1,AQ$100*EXP(-(LN(2)/$D$65+0.04)*AN247)*EXP(-(LN(2)/$D$65+0.1)*AO247),IF(AL247=2,AQ$100*EXP(-(LN(2)/$D$65+0.04)*(VLOOKUP(($F$16-$F$15)-1,AK$99:AO247,4,FALSE)))*EXP(-(LN(2)/$D$65+0.1)*(VLOOKUP(($F$16-$F$15)-1,AK$99:AO247,5,FALSE)))*EXP(-(LN(2)/$D$65+0.04)*AN247)*EXP(-(LN(2)/$D$65+0.1)*AO247),IF(AL247=3,AQ$100*EXP(-(LN(2)/$D$65+0.04)*(VLOOKUP(($F$16-$F$15)-1,AK$99:AO247,4,FALSE)))*EXP(-(LN(2)/$D$65+0.1)*(VLOOKUP(($F$16-$F$15)-1,AK$99:AO247,5,FALSE)))*EXP(-(LN(2)/$D$65+0.04)*(VLOOKUP(($F$16-$F$15)*2-1,AK$99:AO247,4,FALSE)))*EXP(-(LN(2)/$D$65+0.1)*(VLOOKUP(($F$16-$F$15)*2-1,AK$99:AO247,5,FALSE)))*EXP(-(LN(2)/$D$65+0.04)*AN247)*EXP(-(LN(2)/$D$65+0.1)*AO247),"-"))),"-")</f>
        <v>-</v>
      </c>
      <c r="AR248" s="271" t="str">
        <f>IFERROR(IF(AL248=1,AR$100*EXP(-(LN(2)/$D$65+0.04)*AN248)*EXP(-(LN(2)/$D$65+0.1)*AO248),IF(AL248=2,AR$100*EXP(-(LN(2)/$D$65+0.04)*(VLOOKUP(($F$16-$F$15)-1,AK$100:AO248,4,FALSE)))*EXP(-(LN(2)/$D$65+0.1)*(VLOOKUP(($F$16-$F$15)-1,AK$100:AO248,5,FALSE)))*EXP(-(LN(2)/$D$65+0.04)*AN248)*EXP(-(LN(2)/$D$65+0.1)*AO248),IF(AL248=3,AR$100*EXP(-(LN(2)/$D$65+0.04)*(VLOOKUP(($F$16-$F$15)-1,AK$100:AO248,4,FALSE)))*EXP(-(LN(2)/$D$65+0.1)*(VLOOKUP(($F$16-$F$15)-1,AK$100:AO248,5,FALSE)))*EXP(-(LN(2)/$D$65+0.04)*(VLOOKUP(($F$16-$F$15)*2-1,AK$100:AO248,4,FALSE)))*EXP(-(LN(2)/$D$65+0.1)*(VLOOKUP(($F$16-$F$15)*2-1,AK$100:AO248,5,FALSE)))*EXP(-(LN(2)/$D$65+0.04)*AN248)*EXP(-(LN(2)/$D$65+0.1)*AO248),"-"))),"-")</f>
        <v>-</v>
      </c>
      <c r="AS248" s="274">
        <f t="shared" si="191"/>
        <v>0</v>
      </c>
      <c r="AT248" s="274">
        <f t="shared" si="192"/>
        <v>0</v>
      </c>
      <c r="AU248" s="274">
        <f t="shared" si="193"/>
        <v>0</v>
      </c>
      <c r="AV248" s="190" t="str">
        <f>IF($B248&lt;$F$22,SUM($T$100:$T248),"")</f>
        <v/>
      </c>
      <c r="AW248" s="190" t="str">
        <f t="shared" si="194"/>
        <v>-</v>
      </c>
      <c r="AX248" s="190" t="str">
        <f t="shared" si="219"/>
        <v/>
      </c>
      <c r="AY248"/>
      <c r="AZ248" s="190" t="str">
        <f ca="1">IF(ISNUMBER(OFFSET(AV248,-$F$21,0)),SUM(OFFSET($T$100,$F$21,0):$T248),"")</f>
        <v/>
      </c>
      <c r="BA248" s="190" t="str">
        <f t="shared" ca="1" si="195"/>
        <v/>
      </c>
      <c r="BB248" s="190" t="str">
        <f t="shared" ca="1" si="148"/>
        <v/>
      </c>
      <c r="BC248" s="190"/>
      <c r="BD248" s="190" t="str">
        <f ca="1">IFERROR(IF(OR(ISNUMBER(I),ISNUMBER($F$14)),IF(AND($B248&gt;=($F$16-$F$15),$B248&lt;$F$22+($F$16-$F$15)),SUM(OFFSET($T$100,($F$16-$F$15),0):$T248),""),""),"")</f>
        <v/>
      </c>
      <c r="BE248" s="190" t="str">
        <f t="shared" ca="1" si="220"/>
        <v/>
      </c>
      <c r="BF248" s="190" t="str">
        <f t="shared" ca="1" si="221"/>
        <v/>
      </c>
      <c r="BG248"/>
      <c r="BH248" s="190" t="str">
        <f ca="1">IF(ISNUMBER(OFFSET(BD248,-$F$21,0)),SUM(OFFSET($T$100,($F$16-$F$15+$F$21),0):$T248),"")</f>
        <v/>
      </c>
      <c r="BI248" s="190" t="str">
        <f t="shared" ca="1" si="196"/>
        <v/>
      </c>
      <c r="BJ248" s="190" t="str">
        <f t="shared" ca="1" si="222"/>
        <v/>
      </c>
      <c r="BK248" s="190"/>
      <c r="BL248" s="190" t="str">
        <f ca="1">IFERROR(IF(OR(ISNUMBER(I),ISNUMBER($F$14)),IF(AND($B248&gt;=($F$17-$F$15),$B248&lt;$F$22+($F$17-$F$15)),SUM(OFFSET($T$100,($F$17-$F$15),0):$T248),""),""),"")</f>
        <v/>
      </c>
      <c r="BM248" s="190" t="str">
        <f t="shared" ca="1" si="197"/>
        <v/>
      </c>
      <c r="BN248" s="190" t="str">
        <f t="shared" ca="1" si="223"/>
        <v/>
      </c>
      <c r="BO248"/>
      <c r="BP248" s="190" t="str">
        <f ca="1">IF(ISNUMBER(OFFSET(BL248,-$F$21,0)),SUM(OFFSET($T$100,($F$17-$F$15+$F$21),0):$T248),"")</f>
        <v/>
      </c>
      <c r="BQ248" s="190" t="str">
        <f t="shared" ca="1" si="198"/>
        <v/>
      </c>
      <c r="BR248" s="190" t="str">
        <f t="shared" ca="1" si="224"/>
        <v/>
      </c>
      <c r="BS248" s="190"/>
      <c r="BT248"/>
      <c r="BU248"/>
      <c r="BV248"/>
      <c r="BY248" s="99"/>
      <c r="BZ248" s="99"/>
      <c r="CA248" s="280" t="str">
        <f t="shared" si="199"/>
        <v/>
      </c>
      <c r="CB248" s="71" t="str">
        <f t="shared" si="200"/>
        <v>-</v>
      </c>
      <c r="CC248" s="33"/>
      <c r="CD248" s="261" t="str">
        <f t="shared" si="201"/>
        <v/>
      </c>
      <c r="CE248" s="280" t="str">
        <f t="shared" si="202"/>
        <v/>
      </c>
      <c r="CF248" s="71" t="str">
        <f t="shared" ca="1" si="203"/>
        <v/>
      </c>
      <c r="CG248" s="33" t="str">
        <f t="shared" si="204"/>
        <v/>
      </c>
      <c r="CH248" s="261" t="str">
        <f t="shared" ca="1" si="205"/>
        <v/>
      </c>
    </row>
    <row r="249" spans="2:86" ht="13.5" customHeight="1" x14ac:dyDescent="0.2">
      <c r="B249" s="262">
        <v>149</v>
      </c>
      <c r="C249" s="237" t="str">
        <f t="shared" si="169"/>
        <v/>
      </c>
      <c r="D249" s="237" t="str">
        <f t="shared" si="225"/>
        <v/>
      </c>
      <c r="E249" s="263" t="str">
        <f t="shared" si="206"/>
        <v/>
      </c>
      <c r="F249" s="264" t="str">
        <f t="shared" si="207"/>
        <v/>
      </c>
      <c r="G249" s="264" t="str">
        <f t="shared" si="208"/>
        <v/>
      </c>
      <c r="H249" s="240" t="str">
        <f t="shared" si="170"/>
        <v/>
      </c>
      <c r="I249" s="265" t="str">
        <f t="shared" si="171"/>
        <v/>
      </c>
      <c r="J249" s="265" t="str">
        <f t="shared" si="172"/>
        <v/>
      </c>
      <c r="K249" s="240" t="str">
        <f t="shared" si="173"/>
        <v/>
      </c>
      <c r="L249" s="265" t="str">
        <f t="shared" si="174"/>
        <v/>
      </c>
      <c r="M249" s="265" t="str">
        <f t="shared" si="175"/>
        <v/>
      </c>
      <c r="N249" s="240" t="str">
        <f t="shared" si="176"/>
        <v>-</v>
      </c>
      <c r="O249" s="265" t="str">
        <f t="shared" si="177"/>
        <v>-</v>
      </c>
      <c r="P249" s="265" t="str">
        <f t="shared" si="178"/>
        <v>-</v>
      </c>
      <c r="Q249" s="266" t="str">
        <f t="shared" si="179"/>
        <v>-</v>
      </c>
      <c r="R249" s="267" t="str">
        <f t="shared" si="180"/>
        <v>-</v>
      </c>
      <c r="S249" s="268" t="str">
        <f t="shared" si="181"/>
        <v>-</v>
      </c>
      <c r="T249" s="269" t="str">
        <f t="shared" si="182"/>
        <v/>
      </c>
      <c r="U249" s="221">
        <f t="shared" si="183"/>
        <v>149</v>
      </c>
      <c r="V249" s="220" t="str">
        <f t="shared" si="209"/>
        <v>-</v>
      </c>
      <c r="W249" s="221" t="str">
        <f t="shared" si="210"/>
        <v>-</v>
      </c>
      <c r="X249" s="221" t="str">
        <f t="shared" si="184"/>
        <v>-</v>
      </c>
      <c r="Y249" s="221" t="str">
        <f t="shared" si="185"/>
        <v>-</v>
      </c>
      <c r="Z249" s="270">
        <f t="shared" si="211"/>
        <v>0.1</v>
      </c>
      <c r="AA249" s="271" t="str">
        <f>IFERROR(IF(V248=1,AA$100*EXP(-(LN(2)/$D$65+0.04)*X248)*EXP(-(LN(2)/$D$65+0.1)*Y248),IF(V248=2,AA$100*EXP(-(LN(2)/$D$65+0.04)*(VLOOKUP(($F$16-$F$15)-1,U$99:Y248,4,FALSE)))*EXP(-(LN(2)/$D$65+0.1)*(VLOOKUP(($F$16-$F$15)-1,U$99:Y248,5,FALSE)))*EXP(-(LN(2)/$D$65+0.04)*X248)*EXP(-(LN(2)/$D$65+0.1)*Y248),IF(V248=3,AA$100*EXP(-(LN(2)/$D$65+0.04)*(VLOOKUP(($F$16-$F$15)-1,U$99:Y248,4,FALSE)))*EXP(-(LN(2)/$D$65+0.1)*(VLOOKUP(($F$16-$F$15)-1,U$99:Y248,5,FALSE)))*EXP(-(LN(2)/$D$65+0.04)*(VLOOKUP(($F$16-$F$15)*2-1,U$99:Y248,4,FALSE)))*EXP(-(LN(2)/$D$65+0.1)*(VLOOKUP(($F$16-$F$15)*2-1,U$99:Y248,5,FALSE)))*EXP(-(LN(2)/$D$65+0.04)*X248)*EXP(-(LN(2)/$D$65+0.1)*Y248),"-"))),"-")</f>
        <v>-</v>
      </c>
      <c r="AB249" s="271" t="str">
        <f>IFERROR(IF(V249=1,AB$100*EXP(-(LN(2)/$D$65+0.04)*X249)*EXP(-(LN(2)/$D$65+0.1)*Y249),IF(V249=2,AB$100*EXP(-(LN(2)/$D$65+0.04)*(VLOOKUP(($F$16-$F$15)-1,U$100:Y249,4,FALSE)))*EXP(-(LN(2)/$D$65+0.1)*(VLOOKUP(($F$16-$F$15)-1,U$100:Y249,5,FALSE)))*EXP(-(LN(2)/$D$65+0.04)*X249)*EXP(-(LN(2)/$D$65+0.1)*Y249),IF(V249=3,AB$100*EXP(-(LN(2)/$D$65+0.04)*(VLOOKUP(($F$16-$F$15)-1,U$100:Y249,4,FALSE)))*EXP(-(LN(2)/$D$65+0.1)*(VLOOKUP(($F$16-$F$15)-1,U$100:Y249,5,FALSE)))*EXP(-(LN(2)/$D$65+0.04)*(VLOOKUP(($F$16-$F$15)*2-1,U$100:Y249,4,FALSE)))*EXP(-(LN(2)/$D$65+0.1)*(VLOOKUP(($F$16-$F$15)*2-1,U$100:Y249,5,FALSE)))*EXP(-(LN(2)/$D$65+0.04)*X249)*EXP(-(LN(2)/$D$65+0.1)*Y249),"-"))),"-")</f>
        <v>-</v>
      </c>
      <c r="AC249" s="224">
        <f t="shared" si="226"/>
        <v>149</v>
      </c>
      <c r="AD249" s="223" t="str">
        <f t="shared" si="186"/>
        <v>-</v>
      </c>
      <c r="AE249" s="224" t="str">
        <f t="shared" si="213"/>
        <v>-</v>
      </c>
      <c r="AF249" s="224" t="str">
        <f t="shared" si="187"/>
        <v>-</v>
      </c>
      <c r="AG249" s="224" t="str">
        <f t="shared" si="188"/>
        <v>-</v>
      </c>
      <c r="AH249" s="272">
        <f t="shared" si="214"/>
        <v>0.1</v>
      </c>
      <c r="AI249" s="271" t="str">
        <f>IFERROR(IF(AD248=1,AI$100*EXP(-(LN(2)/$D$65+0.04)*AF248)*EXP(-(LN(2)/$D$65+0.1)*AG248),IF(AD248=2,AI$100*EXP(-(LN(2)/$D$65+0.04)*(VLOOKUP(($F$16-$F$15)-1,AC$99:AG248,4,FALSE)))*EXP(-(LN(2)/$D$65+0.1)*(VLOOKUP(($F$16-$F$15)-1,AC$99:AG248,5,FALSE)))*EXP(-(LN(2)/$D$65+0.04)*AF248)*EXP(-(LN(2)/$D$65+0.1)*AG248),IF(AD248=3,AI$100*EXP(-(LN(2)/$D$65+0.04)*(VLOOKUP(($F$16-$F$15)-1,AC$99:AG248,4,FALSE)))*EXP(-(LN(2)/$D$65+0.1)*(VLOOKUP(($F$16-$F$15)-1,AC$99:AG248,5,FALSE)))*EXP(-(LN(2)/$D$65+0.04)*(VLOOKUP(($F$16-$F$15)*2-1,AC$99:AG248,4,FALSE)))*EXP(-(LN(2)/$D$65+0.1)*(VLOOKUP(($F$16-$F$15)*2-1,AC$99:AG248,5,FALSE)))*EXP(-(LN(2)/$D$65+0.04)*AF248)*EXP(-(LN(2)/$D$65+0.1)*AG248),"-"))),"-")</f>
        <v>-</v>
      </c>
      <c r="AJ249" s="271" t="str">
        <f>IFERROR(IF(AD249=1,AJ$100*EXP(-(LN(2)/$D$65+0.04)*AF249)*EXP(-(LN(2)/$D$65+0.1)*AG249),IF(AD249=2,AJ$100*EXP(-(LN(2)/$D$65+0.04)*(VLOOKUP(($F$16-$F$15)-1,AC$100:AG249,4,FALSE)))*EXP(-(LN(2)/$D$65+0.1)*(VLOOKUP(($F$16-$F$15)-1,AC$100:AG249,5,FALSE)))*EXP(-(LN(2)/$D$65+0.04)*AF249)*EXP(-(LN(2)/$D$65+0.1)*AG249),IF(AD249=3,AJ$100*EXP(-(LN(2)/$D$65+0.04)*(VLOOKUP(($F$16-$F$15)-1,AC$100:AG249,4,FALSE)))*EXP(-(LN(2)/$D$65+0.1)*(VLOOKUP(($F$16-$F$15)-1,AC$100:AG249,5,FALSE)))*EXP(-(LN(2)/$D$65+0.04)*(VLOOKUP(($F$16-$F$15)*2-1,AC$100:AG249,4,FALSE)))*EXP(-(LN(2)/$D$65+0.1)*(VLOOKUP(($F$16-$F$15)*2-1,AC$100:AG249,5,FALSE)))*EXP(-(LN(2)/$D$65+0.04)*AF249)*EXP(-(LN(2)/$D$65+0.1)*AG249),"-"))),"-")</f>
        <v>-</v>
      </c>
      <c r="AK249" s="227">
        <f t="shared" si="215"/>
        <v>149</v>
      </c>
      <c r="AL249" s="226" t="str">
        <f t="shared" si="189"/>
        <v>-</v>
      </c>
      <c r="AM249" s="227" t="str">
        <f t="shared" si="216"/>
        <v>-</v>
      </c>
      <c r="AN249" s="227" t="str">
        <f t="shared" si="217"/>
        <v>-</v>
      </c>
      <c r="AO249" s="227" t="str">
        <f t="shared" si="190"/>
        <v>-</v>
      </c>
      <c r="AP249" s="273">
        <f t="shared" si="218"/>
        <v>0.1</v>
      </c>
      <c r="AQ249" s="271" t="str">
        <f>IFERROR(IF(AL248=1,AQ$100*EXP(-(LN(2)/$D$65+0.04)*AN248)*EXP(-(LN(2)/$D$65+0.1)*AO248),IF(AL248=2,AQ$100*EXP(-(LN(2)/$D$65+0.04)*(VLOOKUP(($F$16-$F$15)-1,AK$99:AO248,4,FALSE)))*EXP(-(LN(2)/$D$65+0.1)*(VLOOKUP(($F$16-$F$15)-1,AK$99:AO248,5,FALSE)))*EXP(-(LN(2)/$D$65+0.04)*AN248)*EXP(-(LN(2)/$D$65+0.1)*AO248),IF(AL248=3,AQ$100*EXP(-(LN(2)/$D$65+0.04)*(VLOOKUP(($F$16-$F$15)-1,AK$99:AO248,4,FALSE)))*EXP(-(LN(2)/$D$65+0.1)*(VLOOKUP(($F$16-$F$15)-1,AK$99:AO248,5,FALSE)))*EXP(-(LN(2)/$D$65+0.04)*(VLOOKUP(($F$16-$F$15)*2-1,AK$99:AO248,4,FALSE)))*EXP(-(LN(2)/$D$65+0.1)*(VLOOKUP(($F$16-$F$15)*2-1,AK$99:AO248,5,FALSE)))*EXP(-(LN(2)/$D$65+0.04)*AN248)*EXP(-(LN(2)/$D$65+0.1)*AO248),"-"))),"-")</f>
        <v>-</v>
      </c>
      <c r="AR249" s="271" t="str">
        <f>IFERROR(IF(AL249=1,AR$100*EXP(-(LN(2)/$D$65+0.04)*AN249)*EXP(-(LN(2)/$D$65+0.1)*AO249),IF(AL249=2,AR$100*EXP(-(LN(2)/$D$65+0.04)*(VLOOKUP(($F$16-$F$15)-1,AK$100:AO249,4,FALSE)))*EXP(-(LN(2)/$D$65+0.1)*(VLOOKUP(($F$16-$F$15)-1,AK$100:AO249,5,FALSE)))*EXP(-(LN(2)/$D$65+0.04)*AN249)*EXP(-(LN(2)/$D$65+0.1)*AO249),IF(AL249=3,AR$100*EXP(-(LN(2)/$D$65+0.04)*(VLOOKUP(($F$16-$F$15)-1,AK$100:AO249,4,FALSE)))*EXP(-(LN(2)/$D$65+0.1)*(VLOOKUP(($F$16-$F$15)-1,AK$100:AO249,5,FALSE)))*EXP(-(LN(2)/$D$65+0.04)*(VLOOKUP(($F$16-$F$15)*2-1,AK$100:AO249,4,FALSE)))*EXP(-(LN(2)/$D$65+0.1)*(VLOOKUP(($F$16-$F$15)*2-1,AK$100:AO249,5,FALSE)))*EXP(-(LN(2)/$D$65+0.04)*AN249)*EXP(-(LN(2)/$D$65+0.1)*AO249),"-"))),"-")</f>
        <v>-</v>
      </c>
      <c r="AS249" s="274">
        <f t="shared" si="191"/>
        <v>0</v>
      </c>
      <c r="AT249" s="274">
        <f t="shared" si="192"/>
        <v>0</v>
      </c>
      <c r="AU249" s="274">
        <f t="shared" si="193"/>
        <v>0</v>
      </c>
      <c r="AV249" s="190" t="str">
        <f>IF($B249&lt;$F$22,SUM($T$100:$T249),"")</f>
        <v/>
      </c>
      <c r="AW249" s="190" t="str">
        <f t="shared" si="194"/>
        <v>-</v>
      </c>
      <c r="AX249" s="190" t="str">
        <f t="shared" si="219"/>
        <v/>
      </c>
      <c r="AY249"/>
      <c r="AZ249" s="190" t="str">
        <f ca="1">IF(ISNUMBER(OFFSET(AV249,-$F$21,0)),SUM(OFFSET($T$100,$F$21,0):$T249),"")</f>
        <v/>
      </c>
      <c r="BA249" s="190" t="str">
        <f t="shared" ca="1" si="195"/>
        <v/>
      </c>
      <c r="BB249" s="190" t="str">
        <f ca="1">IF(ISNUMBER(AZ249),(AZ249-BA249)/(3*86400*(OFFSET($B249,-$F$21,0)+1))*1000,"")</f>
        <v/>
      </c>
      <c r="BC249" s="190"/>
      <c r="BD249" s="190" t="str">
        <f ca="1">IFERROR(IF(OR(ISNUMBER(I),ISNUMBER($F$14)),IF(AND($B249&gt;=($F$16-$F$15),$B249&lt;$F$22+($F$16-$F$15)),SUM(OFFSET($T$100,($F$16-$F$15),0):$T249),""),""),"")</f>
        <v/>
      </c>
      <c r="BE249" s="190" t="str">
        <f t="shared" ca="1" si="220"/>
        <v/>
      </c>
      <c r="BF249" s="190" t="str">
        <f t="shared" ca="1" si="221"/>
        <v/>
      </c>
      <c r="BG249"/>
      <c r="BH249" s="190" t="str">
        <f ca="1">IF(ISNUMBER(OFFSET(BD249,-$F$21,0)),SUM(OFFSET($T$100,($F$16-$F$15+$F$21),0):$T249),"")</f>
        <v/>
      </c>
      <c r="BI249" s="190" t="str">
        <f t="shared" ca="1" si="196"/>
        <v/>
      </c>
      <c r="BJ249" s="190" t="str">
        <f t="shared" ca="1" si="222"/>
        <v/>
      </c>
      <c r="BK249" s="190"/>
      <c r="BL249" s="190" t="str">
        <f ca="1">IFERROR(IF(OR(ISNUMBER(I),ISNUMBER($F$14)),IF(AND($B249&gt;=($F$17-$F$15),$B249&lt;$F$22+($F$17-$F$15)),SUM(OFFSET($T$100,($F$17-$F$15),0):$T249),""),""),"")</f>
        <v/>
      </c>
      <c r="BM249" s="190" t="str">
        <f t="shared" ca="1" si="197"/>
        <v/>
      </c>
      <c r="BN249" s="190" t="str">
        <f t="shared" ca="1" si="223"/>
        <v/>
      </c>
      <c r="BO249"/>
      <c r="BP249" s="190" t="str">
        <f ca="1">IF(ISNUMBER(OFFSET(BL249,-$F$21,0)),SUM(OFFSET($T$100,($F$17-$F$15+$F$21),0):$T249),"")</f>
        <v/>
      </c>
      <c r="BQ249" s="190" t="str">
        <f t="shared" ca="1" si="198"/>
        <v/>
      </c>
      <c r="BR249" s="190" t="str">
        <f t="shared" ca="1" si="224"/>
        <v/>
      </c>
      <c r="BS249" s="190"/>
      <c r="BT249"/>
      <c r="BU249"/>
      <c r="BV249"/>
      <c r="BY249" s="99"/>
      <c r="BZ249" s="99"/>
      <c r="CA249" s="280" t="str">
        <f t="shared" si="199"/>
        <v/>
      </c>
      <c r="CB249" s="71" t="str">
        <f t="shared" si="200"/>
        <v>-</v>
      </c>
      <c r="CC249" s="33"/>
      <c r="CD249" s="261" t="str">
        <f t="shared" si="201"/>
        <v/>
      </c>
      <c r="CE249" s="280" t="str">
        <f t="shared" si="202"/>
        <v/>
      </c>
      <c r="CF249" s="71" t="str">
        <f t="shared" ca="1" si="203"/>
        <v/>
      </c>
      <c r="CG249" s="33" t="str">
        <f t="shared" si="204"/>
        <v/>
      </c>
      <c r="CH249" s="261" t="str">
        <f t="shared" ca="1" si="205"/>
        <v/>
      </c>
    </row>
    <row r="250" spans="2:86" ht="13.5" customHeight="1" x14ac:dyDescent="0.2">
      <c r="B250" s="262">
        <v>150</v>
      </c>
      <c r="C250" s="237" t="str">
        <f t="shared" si="169"/>
        <v/>
      </c>
      <c r="D250" s="237" t="str">
        <f t="shared" si="225"/>
        <v/>
      </c>
      <c r="E250" s="263" t="str">
        <f t="shared" si="206"/>
        <v/>
      </c>
      <c r="F250" s="264" t="str">
        <f t="shared" si="207"/>
        <v/>
      </c>
      <c r="G250" s="264" t="str">
        <f t="shared" si="208"/>
        <v/>
      </c>
      <c r="H250" s="240" t="str">
        <f t="shared" si="170"/>
        <v/>
      </c>
      <c r="I250" s="265" t="str">
        <f t="shared" si="171"/>
        <v/>
      </c>
      <c r="J250" s="265" t="str">
        <f t="shared" si="172"/>
        <v/>
      </c>
      <c r="K250" s="240" t="str">
        <f t="shared" si="173"/>
        <v/>
      </c>
      <c r="L250" s="265" t="str">
        <f t="shared" si="174"/>
        <v/>
      </c>
      <c r="M250" s="265" t="str">
        <f t="shared" si="175"/>
        <v/>
      </c>
      <c r="N250" s="240" t="str">
        <f t="shared" si="176"/>
        <v>-</v>
      </c>
      <c r="O250" s="265" t="str">
        <f t="shared" si="177"/>
        <v>-</v>
      </c>
      <c r="P250" s="265" t="str">
        <f t="shared" si="178"/>
        <v>-</v>
      </c>
      <c r="Q250" s="266" t="str">
        <f t="shared" si="179"/>
        <v>-</v>
      </c>
      <c r="R250" s="267" t="str">
        <f t="shared" si="180"/>
        <v>-</v>
      </c>
      <c r="S250" s="268" t="str">
        <f t="shared" si="181"/>
        <v>-</v>
      </c>
      <c r="T250" s="269" t="str">
        <f t="shared" si="182"/>
        <v/>
      </c>
      <c r="U250" s="221">
        <f t="shared" si="183"/>
        <v>150</v>
      </c>
      <c r="V250" s="220" t="str">
        <f t="shared" si="209"/>
        <v>-</v>
      </c>
      <c r="W250" s="221" t="str">
        <f t="shared" si="210"/>
        <v>-</v>
      </c>
      <c r="X250" s="221" t="str">
        <f t="shared" si="184"/>
        <v>-</v>
      </c>
      <c r="Y250" s="221" t="str">
        <f t="shared" si="185"/>
        <v>-</v>
      </c>
      <c r="Z250" s="270">
        <f t="shared" si="211"/>
        <v>0.1</v>
      </c>
      <c r="AA250" s="271" t="str">
        <f>IFERROR(IF(V249=1,AA$100*EXP(-(LN(2)/$D$65+0.04)*X249)*EXP(-(LN(2)/$D$65+0.1)*Y249),IF(V249=2,AA$100*EXP(-(LN(2)/$D$65+0.04)*(VLOOKUP(($F$16-$F$15)-1,U$99:Y249,4,FALSE)))*EXP(-(LN(2)/$D$65+0.1)*(VLOOKUP(($F$16-$F$15)-1,U$99:Y249,5,FALSE)))*EXP(-(LN(2)/$D$65+0.04)*X249)*EXP(-(LN(2)/$D$65+0.1)*Y249),IF(V249=3,AA$100*EXP(-(LN(2)/$D$65+0.04)*(VLOOKUP(($F$16-$F$15)-1,U$99:Y249,4,FALSE)))*EXP(-(LN(2)/$D$65+0.1)*(VLOOKUP(($F$16-$F$15)-1,U$99:Y249,5,FALSE)))*EXP(-(LN(2)/$D$65+0.04)*(VLOOKUP(($F$16-$F$15)*2-1,U$99:Y249,4,FALSE)))*EXP(-(LN(2)/$D$65+0.1)*(VLOOKUP(($F$16-$F$15)*2-1,U$99:Y249,5,FALSE)))*EXP(-(LN(2)/$D$65+0.04)*X249)*EXP(-(LN(2)/$D$65+0.1)*Y249),"-"))),"-")</f>
        <v>-</v>
      </c>
      <c r="AB250" s="271" t="str">
        <f>IFERROR(IF(V250=1,AB$100*EXP(-(LN(2)/$D$65+0.04)*X250)*EXP(-(LN(2)/$D$65+0.1)*Y250),IF(V250=2,AB$100*EXP(-(LN(2)/$D$65+0.04)*(VLOOKUP(($F$16-$F$15)-1,U$100:Y250,4,FALSE)))*EXP(-(LN(2)/$D$65+0.1)*(VLOOKUP(($F$16-$F$15)-1,U$100:Y250,5,FALSE)))*EXP(-(LN(2)/$D$65+0.04)*X250)*EXP(-(LN(2)/$D$65+0.1)*Y250),IF(V250=3,AB$100*EXP(-(LN(2)/$D$65+0.04)*(VLOOKUP(($F$16-$F$15)-1,U$100:Y250,4,FALSE)))*EXP(-(LN(2)/$D$65+0.1)*(VLOOKUP(($F$16-$F$15)-1,U$100:Y250,5,FALSE)))*EXP(-(LN(2)/$D$65+0.04)*(VLOOKUP(($F$16-$F$15)*2-1,U$100:Y250,4,FALSE)))*EXP(-(LN(2)/$D$65+0.1)*(VLOOKUP(($F$16-$F$15)*2-1,U$100:Y250,5,FALSE)))*EXP(-(LN(2)/$D$65+0.04)*X250)*EXP(-(LN(2)/$D$65+0.1)*Y250),"-"))),"-")</f>
        <v>-</v>
      </c>
      <c r="AC250" s="224">
        <f t="shared" si="226"/>
        <v>150</v>
      </c>
      <c r="AD250" s="223" t="str">
        <f t="shared" si="186"/>
        <v>-</v>
      </c>
      <c r="AE250" s="224" t="str">
        <f t="shared" si="213"/>
        <v>-</v>
      </c>
      <c r="AF250" s="224" t="str">
        <f t="shared" si="187"/>
        <v>-</v>
      </c>
      <c r="AG250" s="224" t="str">
        <f t="shared" si="188"/>
        <v>-</v>
      </c>
      <c r="AH250" s="272">
        <f t="shared" si="214"/>
        <v>0.1</v>
      </c>
      <c r="AI250" s="271" t="str">
        <f>IFERROR(IF(AD249=1,AI$100*EXP(-(LN(2)/$D$65+0.04)*AF249)*EXP(-(LN(2)/$D$65+0.1)*AG249),IF(AD249=2,AI$100*EXP(-(LN(2)/$D$65+0.04)*(VLOOKUP(($F$16-$F$15)-1,AC$99:AG249,4,FALSE)))*EXP(-(LN(2)/$D$65+0.1)*(VLOOKUP(($F$16-$F$15)-1,AC$99:AG249,5,FALSE)))*EXP(-(LN(2)/$D$65+0.04)*AF249)*EXP(-(LN(2)/$D$65+0.1)*AG249),IF(AD249=3,AI$100*EXP(-(LN(2)/$D$65+0.04)*(VLOOKUP(($F$16-$F$15)-1,AC$99:AG249,4,FALSE)))*EXP(-(LN(2)/$D$65+0.1)*(VLOOKUP(($F$16-$F$15)-1,AC$99:AG249,5,FALSE)))*EXP(-(LN(2)/$D$65+0.04)*(VLOOKUP(($F$16-$F$15)*2-1,AC$99:AG249,4,FALSE)))*EXP(-(LN(2)/$D$65+0.1)*(VLOOKUP(($F$16-$F$15)*2-1,AC$99:AG249,5,FALSE)))*EXP(-(LN(2)/$D$65+0.04)*AF249)*EXP(-(LN(2)/$D$65+0.1)*AG249),"-"))),"-")</f>
        <v>-</v>
      </c>
      <c r="AJ250" s="271" t="str">
        <f>IFERROR(IF(AD250=1,AJ$100*EXP(-(LN(2)/$D$65+0.04)*AF250)*EXP(-(LN(2)/$D$65+0.1)*AG250),IF(AD250=2,AJ$100*EXP(-(LN(2)/$D$65+0.04)*(VLOOKUP(($F$16-$F$15)-1,AC$100:AG250,4,FALSE)))*EXP(-(LN(2)/$D$65+0.1)*(VLOOKUP(($F$16-$F$15)-1,AC$100:AG250,5,FALSE)))*EXP(-(LN(2)/$D$65+0.04)*AF250)*EXP(-(LN(2)/$D$65+0.1)*AG250),IF(AD250=3,AJ$100*EXP(-(LN(2)/$D$65+0.04)*(VLOOKUP(($F$16-$F$15)-1,AC$100:AG250,4,FALSE)))*EXP(-(LN(2)/$D$65+0.1)*(VLOOKUP(($F$16-$F$15)-1,AC$100:AG250,5,FALSE)))*EXP(-(LN(2)/$D$65+0.04)*(VLOOKUP(($F$16-$F$15)*2-1,AC$100:AG250,4,FALSE)))*EXP(-(LN(2)/$D$65+0.1)*(VLOOKUP(($F$16-$F$15)*2-1,AC$100:AG250,5,FALSE)))*EXP(-(LN(2)/$D$65+0.04)*AF250)*EXP(-(LN(2)/$D$65+0.1)*AG250),"-"))),"-")</f>
        <v>-</v>
      </c>
      <c r="AK250" s="227">
        <f t="shared" si="215"/>
        <v>150</v>
      </c>
      <c r="AL250" s="226" t="str">
        <f t="shared" si="189"/>
        <v>-</v>
      </c>
      <c r="AM250" s="227" t="str">
        <f t="shared" si="216"/>
        <v>-</v>
      </c>
      <c r="AN250" s="227" t="str">
        <f t="shared" si="217"/>
        <v>-</v>
      </c>
      <c r="AO250" s="227" t="str">
        <f t="shared" si="190"/>
        <v>-</v>
      </c>
      <c r="AP250" s="273">
        <f t="shared" si="218"/>
        <v>0.1</v>
      </c>
      <c r="AQ250" s="271" t="str">
        <f>IFERROR(IF(AL249=1,AQ$100*EXP(-(LN(2)/$D$65+0.04)*AN249)*EXP(-(LN(2)/$D$65+0.1)*AO249),IF(AL249=2,AQ$100*EXP(-(LN(2)/$D$65+0.04)*(VLOOKUP(($F$16-$F$15)-1,AK$99:AO249,4,FALSE)))*EXP(-(LN(2)/$D$65+0.1)*(VLOOKUP(($F$16-$F$15)-1,AK$99:AO249,5,FALSE)))*EXP(-(LN(2)/$D$65+0.04)*AN249)*EXP(-(LN(2)/$D$65+0.1)*AO249),IF(AL249=3,AQ$100*EXP(-(LN(2)/$D$65+0.04)*(VLOOKUP(($F$16-$F$15)-1,AK$99:AO249,4,FALSE)))*EXP(-(LN(2)/$D$65+0.1)*(VLOOKUP(($F$16-$F$15)-1,AK$99:AO249,5,FALSE)))*EXP(-(LN(2)/$D$65+0.04)*(VLOOKUP(($F$16-$F$15)*2-1,AK$99:AO249,4,FALSE)))*EXP(-(LN(2)/$D$65+0.1)*(VLOOKUP(($F$16-$F$15)*2-1,AK$99:AO249,5,FALSE)))*EXP(-(LN(2)/$D$65+0.04)*AN249)*EXP(-(LN(2)/$D$65+0.1)*AO249),"-"))),"-")</f>
        <v>-</v>
      </c>
      <c r="AR250" s="271" t="str">
        <f>IFERROR(IF(AL250=1,AR$100*EXP(-(LN(2)/$D$65+0.04)*AN250)*EXP(-(LN(2)/$D$65+0.1)*AO250),IF(AL250=2,AR$100*EXP(-(LN(2)/$D$65+0.04)*(VLOOKUP(($F$16-$F$15)-1,AK$100:AO250,4,FALSE)))*EXP(-(LN(2)/$D$65+0.1)*(VLOOKUP(($F$16-$F$15)-1,AK$100:AO250,5,FALSE)))*EXP(-(LN(2)/$D$65+0.04)*AN250)*EXP(-(LN(2)/$D$65+0.1)*AO250),IF(AL250=3,AR$100*EXP(-(LN(2)/$D$65+0.04)*(VLOOKUP(($F$16-$F$15)-1,AK$100:AO250,4,FALSE)))*EXP(-(LN(2)/$D$65+0.1)*(VLOOKUP(($F$16-$F$15)-1,AK$100:AO250,5,FALSE)))*EXP(-(LN(2)/$D$65+0.04)*(VLOOKUP(($F$16-$F$15)*2-1,AK$100:AO250,4,FALSE)))*EXP(-(LN(2)/$D$65+0.1)*(VLOOKUP(($F$16-$F$15)*2-1,AK$100:AO250,5,FALSE)))*EXP(-(LN(2)/$D$65+0.04)*AN250)*EXP(-(LN(2)/$D$65+0.1)*AO250),"-"))),"-")</f>
        <v>-</v>
      </c>
      <c r="AS250" s="274">
        <f t="shared" si="191"/>
        <v>0</v>
      </c>
      <c r="AT250" s="274">
        <f t="shared" si="192"/>
        <v>0</v>
      </c>
      <c r="AU250" s="274">
        <f t="shared" si="193"/>
        <v>0</v>
      </c>
      <c r="AV250" s="253" t="str">
        <f>IF($B250&lt;$F$22,SUM($T$100:$T250),"")</f>
        <v/>
      </c>
      <c r="AW250" s="253" t="str">
        <f t="shared" si="194"/>
        <v>-</v>
      </c>
      <c r="AX250" s="253" t="str">
        <f t="shared" si="219"/>
        <v/>
      </c>
      <c r="AY250" s="252"/>
      <c r="AZ250" s="253" t="str">
        <f ca="1">IF(ISNUMBER(OFFSET(AV250,-$F$21,0)),SUM(OFFSET($T$100,$F$21,0):$T250),"")</f>
        <v/>
      </c>
      <c r="BA250" s="253" t="str">
        <f t="shared" ca="1" si="195"/>
        <v/>
      </c>
      <c r="BB250" s="253" t="str">
        <f ca="1">IF(ISNUMBER(AZ250),(AZ250-BA250)/(3*86400*(OFFSET($B250,-$F$21,0)+1))*1000,"")</f>
        <v/>
      </c>
      <c r="BC250" s="253"/>
      <c r="BD250" s="253" t="str">
        <f ca="1">IFERROR(IF(OR(ISNUMBER(I),ISNUMBER($F$14)),IF(AND($B250&gt;=($F$16-$F$15),$B250&lt;$F$22+($F$16-$F$15)),SUM(OFFSET($T$100,($F$16-$F$15),0):$T250),""),""),"")</f>
        <v/>
      </c>
      <c r="BE250" s="253" t="str">
        <f t="shared" ca="1" si="220"/>
        <v/>
      </c>
      <c r="BF250" s="253" t="str">
        <f t="shared" ca="1" si="221"/>
        <v/>
      </c>
      <c r="BG250" s="252"/>
      <c r="BH250" s="253" t="str">
        <f ca="1">IF(ISNUMBER(OFFSET(BD250,-$F$21,0)),SUM(OFFSET($T$100,($F$16-$F$15+$F$21),0):$T250),"")</f>
        <v/>
      </c>
      <c r="BI250" s="253" t="str">
        <f t="shared" ca="1" si="196"/>
        <v/>
      </c>
      <c r="BJ250" s="253" t="str">
        <f t="shared" ca="1" si="222"/>
        <v/>
      </c>
      <c r="BK250" s="253"/>
      <c r="BL250" s="253" t="str">
        <f ca="1">IFERROR(IF(OR(ISNUMBER(I),ISNUMBER($F$14)),IF(AND($B250&gt;=($F$17-$F$15),$B250&lt;$F$22+($F$17-$F$15)),SUM(OFFSET($T$100,($F$17-$F$15),0):$T250),""),""),"")</f>
        <v/>
      </c>
      <c r="BM250" s="253" t="str">
        <f t="shared" ca="1" si="197"/>
        <v/>
      </c>
      <c r="BN250" s="253" t="str">
        <f t="shared" ca="1" si="223"/>
        <v/>
      </c>
      <c r="BO250" s="252"/>
      <c r="BP250" s="253" t="str">
        <f ca="1">IF(ISNUMBER(OFFSET(BL250,-$F$21,0)),SUM(OFFSET($T$100,($F$17-$F$15+$F$21),0):$T250),"")</f>
        <v/>
      </c>
      <c r="BQ250" s="253" t="str">
        <f t="shared" ca="1" si="198"/>
        <v/>
      </c>
      <c r="BR250" s="253" t="str">
        <f t="shared" ca="1" si="224"/>
        <v/>
      </c>
      <c r="BS250" s="253"/>
      <c r="BT250"/>
      <c r="BU250"/>
      <c r="BV250"/>
      <c r="BY250" s="99"/>
      <c r="BZ250" s="99"/>
      <c r="CA250" s="280" t="str">
        <f t="shared" si="199"/>
        <v/>
      </c>
      <c r="CB250" s="71" t="str">
        <f t="shared" si="200"/>
        <v>-</v>
      </c>
      <c r="CC250" s="33"/>
      <c r="CD250" s="261" t="str">
        <f t="shared" si="201"/>
        <v/>
      </c>
      <c r="CE250" s="280" t="str">
        <f t="shared" si="202"/>
        <v/>
      </c>
      <c r="CF250" s="71" t="str">
        <f t="shared" ca="1" si="203"/>
        <v/>
      </c>
      <c r="CG250" s="33" t="str">
        <f t="shared" si="204"/>
        <v/>
      </c>
      <c r="CH250" s="261" t="str">
        <f t="shared" ca="1" si="205"/>
        <v/>
      </c>
    </row>
  </sheetData>
  <sheetProtection algorithmName="SHA-512" hashValue="stCRByLqDfmq3KSAXFImBYzwSiTvA5B2tVQiUAy18TlH0DUv75RDIScmfZ5fMkFl651SBiWzl3Wu72qfV1q1rA==" saltValue="GfSOhitq4LtuFF9yCN69cw==" spinCount="100000" sheet="1" objects="1" scenarios="1" selectLockedCells="1"/>
  <mergeCells count="108">
    <mergeCell ref="BU94:BY94"/>
    <mergeCell ref="AW97:AW98"/>
    <mergeCell ref="BA97:BA98"/>
    <mergeCell ref="BE97:BE98"/>
    <mergeCell ref="BF97:BF98"/>
    <mergeCell ref="BH97:BH98"/>
    <mergeCell ref="BI97:BI98"/>
    <mergeCell ref="BJ97:BJ98"/>
    <mergeCell ref="BL97:BL98"/>
    <mergeCell ref="BM97:BM98"/>
    <mergeCell ref="BN97:BN98"/>
    <mergeCell ref="BP97:BP98"/>
    <mergeCell ref="BQ97:BQ98"/>
    <mergeCell ref="BR97:BR98"/>
    <mergeCell ref="B5:C5"/>
    <mergeCell ref="D5:J5"/>
    <mergeCell ref="B6:C6"/>
    <mergeCell ref="D6:J6"/>
    <mergeCell ref="C11:E11"/>
    <mergeCell ref="H11:J11"/>
    <mergeCell ref="C12:E12"/>
    <mergeCell ref="H12:J12"/>
    <mergeCell ref="B2:D3"/>
    <mergeCell ref="C13:E13"/>
    <mergeCell ref="H13:J13"/>
    <mergeCell ref="C14:E14"/>
    <mergeCell ref="H14:J14"/>
    <mergeCell ref="B15:B17"/>
    <mergeCell ref="C15:E17"/>
    <mergeCell ref="G15:G17"/>
    <mergeCell ref="H15:J17"/>
    <mergeCell ref="B18:B19"/>
    <mergeCell ref="C18:E19"/>
    <mergeCell ref="F18:F19"/>
    <mergeCell ref="G18:G19"/>
    <mergeCell ref="H18:J19"/>
    <mergeCell ref="C20:E20"/>
    <mergeCell ref="H20:J20"/>
    <mergeCell ref="C21:E21"/>
    <mergeCell ref="H21:J21"/>
    <mergeCell ref="C22:E22"/>
    <mergeCell ref="H22:J22"/>
    <mergeCell ref="C23:E23"/>
    <mergeCell ref="H23:J23"/>
    <mergeCell ref="H25:K34"/>
    <mergeCell ref="B26:C26"/>
    <mergeCell ref="B27:C27"/>
    <mergeCell ref="B31:C31"/>
    <mergeCell ref="B36:D36"/>
    <mergeCell ref="B37:B38"/>
    <mergeCell ref="C37:C38"/>
    <mergeCell ref="D37:D38"/>
    <mergeCell ref="G38:I38"/>
    <mergeCell ref="G39:I39"/>
    <mergeCell ref="F40:F41"/>
    <mergeCell ref="G40:I41"/>
    <mergeCell ref="G42:I42"/>
    <mergeCell ref="F43:F44"/>
    <mergeCell ref="G43:I44"/>
    <mergeCell ref="G45:I45"/>
    <mergeCell ref="F46:F47"/>
    <mergeCell ref="G46:I47"/>
    <mergeCell ref="F48:F49"/>
    <mergeCell ref="G48:J49"/>
    <mergeCell ref="G50:I50"/>
    <mergeCell ref="G51:I51"/>
    <mergeCell ref="B65:C65"/>
    <mergeCell ref="G66:H66"/>
    <mergeCell ref="C69:E69"/>
    <mergeCell ref="C70:E70"/>
    <mergeCell ref="C71:E71"/>
    <mergeCell ref="B93:C93"/>
    <mergeCell ref="G52:I52"/>
    <mergeCell ref="G53:I53"/>
    <mergeCell ref="G54:I54"/>
    <mergeCell ref="G55:I55"/>
    <mergeCell ref="G56:I56"/>
    <mergeCell ref="B61:E64"/>
    <mergeCell ref="B95:B99"/>
    <mergeCell ref="C95:C99"/>
    <mergeCell ref="D95:D99"/>
    <mergeCell ref="E95:E99"/>
    <mergeCell ref="F95:F99"/>
    <mergeCell ref="G95:G99"/>
    <mergeCell ref="H95:H99"/>
    <mergeCell ref="I95:I99"/>
    <mergeCell ref="B94:D94"/>
    <mergeCell ref="E94:G94"/>
    <mergeCell ref="H94:J94"/>
    <mergeCell ref="S95:S99"/>
    <mergeCell ref="T94:T99"/>
    <mergeCell ref="BD97:BD98"/>
    <mergeCell ref="AV97:AV98"/>
    <mergeCell ref="AX97:AX98"/>
    <mergeCell ref="AZ97:AZ98"/>
    <mergeCell ref="BB97:BB98"/>
    <mergeCell ref="J95:J99"/>
    <mergeCell ref="K95:K99"/>
    <mergeCell ref="L95:L99"/>
    <mergeCell ref="M95:M99"/>
    <mergeCell ref="N95:N99"/>
    <mergeCell ref="O95:O99"/>
    <mergeCell ref="P95:P99"/>
    <mergeCell ref="Q95:Q99"/>
    <mergeCell ref="R95:R99"/>
    <mergeCell ref="K94:M94"/>
    <mergeCell ref="N94:P94"/>
    <mergeCell ref="Q94:S94"/>
  </mergeCells>
  <phoneticPr fontId="3"/>
  <conditionalFormatting sqref="B100:B114">
    <cfRule type="expression" dxfId="555" priority="3473" stopIfTrue="1">
      <formula>MAX($BG$99:$BG$120)+14&lt;$B100</formula>
    </cfRule>
  </conditionalFormatting>
  <conditionalFormatting sqref="D65">
    <cfRule type="expression" dxfId="554" priority="314" stopIfTrue="1">
      <formula>$G$13=7</formula>
    </cfRule>
    <cfRule type="expression" dxfId="553" priority="313" stopIfTrue="1">
      <formula>$G$13=8</formula>
    </cfRule>
    <cfRule type="expression" dxfId="552" priority="312" stopIfTrue="1">
      <formula>$G$13=""</formula>
    </cfRule>
    <cfRule type="expression" dxfId="551" priority="332" stopIfTrue="1">
      <formula>AND(ISNUMBER(D65),MAX($C65:$C65)=D65,$G$13=8)</formula>
    </cfRule>
    <cfRule type="expression" dxfId="550" priority="331" stopIfTrue="1">
      <formula>AND(ISNUMBER(D65),MAX($C65:$C65)=D65,$G$13=7)</formula>
    </cfRule>
    <cfRule type="expression" dxfId="549" priority="330" stopIfTrue="1">
      <formula>AND(ISNUMBER(D65),MAX($C65:$C65)=D65,$G$13=6)</formula>
    </cfRule>
    <cfRule type="expression" dxfId="548" priority="329" stopIfTrue="1">
      <formula>AND(ISNUMBER(D65),MAX($C65:$C65)=D65,$G$13=5)</formula>
    </cfRule>
    <cfRule type="expression" dxfId="547" priority="328" stopIfTrue="1">
      <formula>AND(ISNUMBER(D65),MAX($C65:$C65)=D65,$G$13=4)</formula>
    </cfRule>
    <cfRule type="expression" dxfId="546" priority="327" stopIfTrue="1">
      <formula>AND(ISNUMBER(D65),MAX($C65:$C65)=D65,$G$13=3)</formula>
    </cfRule>
    <cfRule type="expression" dxfId="545" priority="326" stopIfTrue="1">
      <formula>AND(ISNUMBER(D65),MAX($C65:$C65)=D65,$G$13=2)</formula>
    </cfRule>
    <cfRule type="expression" dxfId="544" priority="325" stopIfTrue="1">
      <formula>AND(ISNUMBER(D65),MAX($C65:$C65)=D65,$G$13=1)</formula>
    </cfRule>
    <cfRule type="expression" dxfId="543" priority="324" stopIfTrue="1">
      <formula>AND(ISNUMBER(D65),MAX($C65:$C65)=D65,$G$13=0)</formula>
    </cfRule>
    <cfRule type="expression" dxfId="542" priority="323" stopIfTrue="1">
      <formula>AND(ISNUMBER(D65),MAX($C65:$C65)=D65,$G$13="")</formula>
    </cfRule>
    <cfRule type="expression" dxfId="541" priority="322" stopIfTrue="1">
      <formula>$G$13=0</formula>
    </cfRule>
    <cfRule type="expression" dxfId="540" priority="320" stopIfTrue="1">
      <formula>$G$13=2</formula>
    </cfRule>
    <cfRule type="expression" dxfId="539" priority="321" stopIfTrue="1">
      <formula>$G$13=1</formula>
    </cfRule>
    <cfRule type="expression" dxfId="538" priority="319" stopIfTrue="1">
      <formula>$G$13=3</formula>
    </cfRule>
    <cfRule type="expression" dxfId="537" priority="318" stopIfTrue="1">
      <formula>$G$13=4</formula>
    </cfRule>
    <cfRule type="expression" dxfId="536" priority="317" stopIfTrue="1">
      <formula>$G$13=5</formula>
    </cfRule>
    <cfRule type="expression" dxfId="535" priority="316" stopIfTrue="1">
      <formula>$G$13=6</formula>
    </cfRule>
  </conditionalFormatting>
  <conditionalFormatting sqref="F70">
    <cfRule type="expression" dxfId="534" priority="1" stopIfTrue="1">
      <formula>$G$13=""</formula>
    </cfRule>
    <cfRule type="expression" dxfId="533" priority="2" stopIfTrue="1">
      <formula>$G$13=8</formula>
    </cfRule>
    <cfRule type="expression" dxfId="532" priority="3" stopIfTrue="1">
      <formula>$G$13=7</formula>
    </cfRule>
    <cfRule type="expression" dxfId="531" priority="4" stopIfTrue="1">
      <formula>$G$13=6</formula>
    </cfRule>
    <cfRule type="expression" dxfId="530" priority="5" stopIfTrue="1">
      <formula>$G$13=5</formula>
    </cfRule>
    <cfRule type="expression" dxfId="529" priority="6" stopIfTrue="1">
      <formula>$G$13=4</formula>
    </cfRule>
    <cfRule type="expression" dxfId="528" priority="7" stopIfTrue="1">
      <formula>$G$13=3</formula>
    </cfRule>
    <cfRule type="expression" dxfId="527" priority="8" stopIfTrue="1">
      <formula>$G$13=2</formula>
    </cfRule>
    <cfRule type="expression" dxfId="526" priority="9" stopIfTrue="1">
      <formula>$G$13=1</formula>
    </cfRule>
    <cfRule type="expression" dxfId="525" priority="10" stopIfTrue="1">
      <formula>$G$13=0</formula>
    </cfRule>
    <cfRule type="expression" dxfId="524" priority="11" stopIfTrue="1">
      <formula>AND(ISNUMBER(F70),MAX($C70:$C70)=F70,$G$13="")</formula>
    </cfRule>
    <cfRule type="expression" dxfId="523" priority="12" stopIfTrue="1">
      <formula>AND(ISNUMBER(F70),MAX($C70:$C70)=F70,$G$13=0)</formula>
    </cfRule>
    <cfRule type="expression" dxfId="522" priority="13" stopIfTrue="1">
      <formula>AND(ISNUMBER(F70),MAX($C70:$C70)=F70,$G$13=1)</formula>
    </cfRule>
    <cfRule type="expression" dxfId="521" priority="14" stopIfTrue="1">
      <formula>AND(ISNUMBER(F70),MAX($C70:$C70)=F70,$G$13=2)</formula>
    </cfRule>
    <cfRule type="expression" dxfId="520" priority="15" stopIfTrue="1">
      <formula>AND(ISNUMBER(F70),MAX($C70:$C70)=F70,$G$13=3)</formula>
    </cfRule>
    <cfRule type="expression" dxfId="519" priority="16" stopIfTrue="1">
      <formula>AND(ISNUMBER(F70),MAX($C70:$C70)=F70,$G$13=4)</formula>
    </cfRule>
    <cfRule type="expression" dxfId="518" priority="18" stopIfTrue="1">
      <formula>AND(ISNUMBER(F70),MAX($C70:$C70)=F70,$G$13=6)</formula>
    </cfRule>
    <cfRule type="expression" dxfId="517" priority="19" stopIfTrue="1">
      <formula>AND(ISNUMBER(F70),MAX($C70:$C70)=F70,$G$13=7)</formula>
    </cfRule>
    <cfRule type="expression" dxfId="516" priority="20" stopIfTrue="1">
      <formula>AND(ISNUMBER(F70),MAX($C70:$C70)=F70,$G$13=8)</formula>
    </cfRule>
    <cfRule type="expression" dxfId="515" priority="17" stopIfTrue="1">
      <formula>AND(ISNUMBER(F70),MAX($C70:$C70)=F70,$G$13=5)</formula>
    </cfRule>
  </conditionalFormatting>
  <conditionalFormatting sqref="F71">
    <cfRule type="expression" dxfId="514" priority="21" stopIfTrue="1">
      <formula>$I$66=""</formula>
    </cfRule>
    <cfRule type="expression" dxfId="513" priority="22" stopIfTrue="1">
      <formula>$I$66=0</formula>
    </cfRule>
    <cfRule type="expression" dxfId="512" priority="23" stopIfTrue="1">
      <formula>$I$66=1</formula>
    </cfRule>
    <cfRule type="expression" dxfId="511" priority="24" stopIfTrue="1">
      <formula>$I$66=2</formula>
    </cfRule>
    <cfRule type="expression" dxfId="510" priority="25" stopIfTrue="1">
      <formula>$I$66=3</formula>
    </cfRule>
    <cfRule type="expression" dxfId="509" priority="26" stopIfTrue="1">
      <formula>$I$66=4</formula>
    </cfRule>
    <cfRule type="expression" dxfId="508" priority="27" stopIfTrue="1">
      <formula>$I$66=5</formula>
    </cfRule>
    <cfRule type="expression" dxfId="507" priority="28" stopIfTrue="1">
      <formula>$I$66=7</formula>
    </cfRule>
    <cfRule type="expression" dxfId="506" priority="29" stopIfTrue="1">
      <formula>$I$66=8</formula>
    </cfRule>
  </conditionalFormatting>
  <conditionalFormatting sqref="I3">
    <cfRule type="expression" dxfId="505" priority="341" stopIfTrue="1">
      <formula>$G$13=2</formula>
    </cfRule>
    <cfRule type="expression" dxfId="504" priority="340" stopIfTrue="1">
      <formula>$G$13=3</formula>
    </cfRule>
    <cfRule type="expression" dxfId="503" priority="338" stopIfTrue="1">
      <formula>$G$13=5</formula>
    </cfRule>
    <cfRule type="expression" dxfId="502" priority="339" stopIfTrue="1">
      <formula>$G$13=4</formula>
    </cfRule>
    <cfRule type="expression" dxfId="501" priority="337" stopIfTrue="1">
      <formula>$G$13=6</formula>
    </cfRule>
    <cfRule type="expression" dxfId="500" priority="335" stopIfTrue="1">
      <formula>$G$13=7</formula>
    </cfRule>
    <cfRule type="expression" dxfId="499" priority="334" stopIfTrue="1">
      <formula>$G$13=8</formula>
    </cfRule>
    <cfRule type="expression" dxfId="498" priority="333" stopIfTrue="1">
      <formula>$G$13=""</formula>
    </cfRule>
    <cfRule type="expression" dxfId="497" priority="343" stopIfTrue="1">
      <formula>$G$13=0</formula>
    </cfRule>
    <cfRule type="expression" dxfId="496" priority="353" stopIfTrue="1">
      <formula>AND(ISNUMBER(I3),MAX($C71:$C71)=I3,$G$13=8)</formula>
    </cfRule>
    <cfRule type="expression" dxfId="495" priority="352" stopIfTrue="1">
      <formula>AND(ISNUMBER(I3),MAX($C71:$C71)=I3,$G$13=7)</formula>
    </cfRule>
    <cfRule type="expression" dxfId="494" priority="351" stopIfTrue="1">
      <formula>AND(ISNUMBER(I3),MAX($C71:$C71)=I3,$G$13=6)</formula>
    </cfRule>
    <cfRule type="expression" dxfId="493" priority="350" stopIfTrue="1">
      <formula>AND(ISNUMBER(I3),MAX($C71:$C71)=I3,$G$13=5)</formula>
    </cfRule>
    <cfRule type="expression" dxfId="492" priority="349" stopIfTrue="1">
      <formula>AND(ISNUMBER(I3),MAX($C71:$C71)=I3,$G$13=4)</formula>
    </cfRule>
    <cfRule type="expression" dxfId="491" priority="348" stopIfTrue="1">
      <formula>AND(ISNUMBER(I3),MAX($C71:$C71)=I3,$G$13=3)</formula>
    </cfRule>
    <cfRule type="expression" dxfId="490" priority="347" stopIfTrue="1">
      <formula>AND(ISNUMBER(I3),MAX($C71:$C71)=I3,$G$13=2)</formula>
    </cfRule>
    <cfRule type="expression" dxfId="489" priority="346" stopIfTrue="1">
      <formula>AND(ISNUMBER(I3),MAX($C71:$C71)=I3,$G$13=1)</formula>
    </cfRule>
    <cfRule type="expression" dxfId="488" priority="345" stopIfTrue="1">
      <formula>AND(ISNUMBER(I3),MAX($C71:$C71)=I3,$G$13=0)</formula>
    </cfRule>
    <cfRule type="expression" dxfId="487" priority="344" stopIfTrue="1">
      <formula>AND(ISNUMBER(I3),MAX($C71:$C71)=I3,$G$13="")</formula>
    </cfRule>
    <cfRule type="expression" dxfId="486" priority="342" stopIfTrue="1">
      <formula>$G$13=1</formula>
    </cfRule>
  </conditionalFormatting>
  <conditionalFormatting sqref="Q100:Q114">
    <cfRule type="expression" dxfId="485" priority="30" stopIfTrue="1">
      <formula>MAX($BU$99:$BU$120)+14&lt;$B100</formula>
    </cfRule>
  </conditionalFormatting>
  <conditionalFormatting sqref="R100:T104 R105:S114">
    <cfRule type="expression" dxfId="484" priority="206" stopIfTrue="1">
      <formula>MAX($BG$99:$BG$120)+14&lt;$B100</formula>
    </cfRule>
  </conditionalFormatting>
  <conditionalFormatting sqref="T100:T104">
    <cfRule type="expression" dxfId="483" priority="207">
      <formula>MAX($BG$101:$BG$120)+4&lt;$B100</formula>
    </cfRule>
  </conditionalFormatting>
  <conditionalFormatting sqref="V99:V104">
    <cfRule type="expression" dxfId="482" priority="94" stopIfTrue="1">
      <formula>MAX($BU$99:$BU$120)+14&lt;$B99</formula>
    </cfRule>
    <cfRule type="expression" dxfId="481" priority="95">
      <formula>MAX($BU$101:$BU$120)+4&lt;$B99</formula>
    </cfRule>
  </conditionalFormatting>
  <conditionalFormatting sqref="AX88">
    <cfRule type="expression" dxfId="480" priority="40" stopIfTrue="1">
      <formula>$I$66=""</formula>
    </cfRule>
    <cfRule type="expression" dxfId="479" priority="42" stopIfTrue="1">
      <formula>$I$66=1</formula>
    </cfRule>
    <cfRule type="expression" dxfId="478" priority="43" stopIfTrue="1">
      <formula>$I$66=2</formula>
    </cfRule>
    <cfRule type="expression" dxfId="477" priority="44" stopIfTrue="1">
      <formula>$I$66=3</formula>
    </cfRule>
    <cfRule type="expression" dxfId="476" priority="45" stopIfTrue="1">
      <formula>$I$66=4</formula>
    </cfRule>
    <cfRule type="expression" dxfId="475" priority="46" stopIfTrue="1">
      <formula>$I$66=5</formula>
    </cfRule>
    <cfRule type="expression" dxfId="474" priority="47" stopIfTrue="1">
      <formula>$I$66=7</formula>
    </cfRule>
    <cfRule type="expression" dxfId="473" priority="48" stopIfTrue="1">
      <formula>$I$66=8</formula>
    </cfRule>
    <cfRule type="expression" dxfId="472" priority="41" stopIfTrue="1">
      <formula>$I$66=0</formula>
    </cfRule>
  </conditionalFormatting>
  <conditionalFormatting sqref="BB88">
    <cfRule type="expression" dxfId="471" priority="49" stopIfTrue="1">
      <formula>$I$66=""</formula>
    </cfRule>
    <cfRule type="expression" dxfId="470" priority="50" stopIfTrue="1">
      <formula>$I$66=0</formula>
    </cfRule>
    <cfRule type="expression" dxfId="469" priority="54" stopIfTrue="1">
      <formula>$I$66=4</formula>
    </cfRule>
    <cfRule type="expression" dxfId="468" priority="56" stopIfTrue="1">
      <formula>$I$66=7</formula>
    </cfRule>
    <cfRule type="expression" dxfId="467" priority="57" stopIfTrue="1">
      <formula>$I$66=8</formula>
    </cfRule>
    <cfRule type="expression" dxfId="466" priority="55" stopIfTrue="1">
      <formula>$I$66=5</formula>
    </cfRule>
    <cfRule type="expression" dxfId="465" priority="53" stopIfTrue="1">
      <formula>$I$66=3</formula>
    </cfRule>
    <cfRule type="expression" dxfId="464" priority="52" stopIfTrue="1">
      <formula>$I$66=2</formula>
    </cfRule>
    <cfRule type="expression" dxfId="463" priority="51" stopIfTrue="1">
      <formula>$I$66=1</formula>
    </cfRule>
  </conditionalFormatting>
  <conditionalFormatting sqref="BF88">
    <cfRule type="expression" dxfId="462" priority="66" stopIfTrue="1">
      <formula>$I$66=8</formula>
    </cfRule>
    <cfRule type="expression" dxfId="461" priority="64" stopIfTrue="1">
      <formula>$I$66=5</formula>
    </cfRule>
    <cfRule type="expression" dxfId="460" priority="63" stopIfTrue="1">
      <formula>$I$66=4</formula>
    </cfRule>
    <cfRule type="expression" dxfId="459" priority="62" stopIfTrue="1">
      <formula>$I$66=3</formula>
    </cfRule>
    <cfRule type="expression" dxfId="458" priority="61" stopIfTrue="1">
      <formula>$I$66=2</formula>
    </cfRule>
    <cfRule type="expression" dxfId="457" priority="60" stopIfTrue="1">
      <formula>$I$66=1</formula>
    </cfRule>
    <cfRule type="expression" dxfId="456" priority="59" stopIfTrue="1">
      <formula>$I$66=0</formula>
    </cfRule>
    <cfRule type="expression" dxfId="455" priority="58" stopIfTrue="1">
      <formula>$I$66=""</formula>
    </cfRule>
    <cfRule type="expression" dxfId="454" priority="65" stopIfTrue="1">
      <formula>$I$66=7</formula>
    </cfRule>
  </conditionalFormatting>
  <conditionalFormatting sqref="BJ88">
    <cfRule type="expression" dxfId="453" priority="74" stopIfTrue="1">
      <formula>$I$66=7</formula>
    </cfRule>
    <cfRule type="expression" dxfId="452" priority="73" stopIfTrue="1">
      <formula>$I$66=5</formula>
    </cfRule>
    <cfRule type="expression" dxfId="451" priority="72" stopIfTrue="1">
      <formula>$I$66=4</formula>
    </cfRule>
    <cfRule type="expression" dxfId="450" priority="71" stopIfTrue="1">
      <formula>$I$66=3</formula>
    </cfRule>
    <cfRule type="expression" dxfId="449" priority="70" stopIfTrue="1">
      <formula>$I$66=2</formula>
    </cfRule>
    <cfRule type="expression" dxfId="448" priority="69" stopIfTrue="1">
      <formula>$I$66=1</formula>
    </cfRule>
    <cfRule type="expression" dxfId="447" priority="68" stopIfTrue="1">
      <formula>$I$66=0</formula>
    </cfRule>
    <cfRule type="expression" dxfId="446" priority="67" stopIfTrue="1">
      <formula>$I$66=""</formula>
    </cfRule>
    <cfRule type="expression" dxfId="445" priority="75" stopIfTrue="1">
      <formula>$I$66=8</formula>
    </cfRule>
  </conditionalFormatting>
  <conditionalFormatting sqref="BN88">
    <cfRule type="expression" dxfId="444" priority="80" stopIfTrue="1">
      <formula>$I$66=3</formula>
    </cfRule>
    <cfRule type="expression" dxfId="443" priority="79" stopIfTrue="1">
      <formula>$I$66=2</formula>
    </cfRule>
    <cfRule type="expression" dxfId="442" priority="78" stopIfTrue="1">
      <formula>$I$66=1</formula>
    </cfRule>
    <cfRule type="expression" dxfId="441" priority="77" stopIfTrue="1">
      <formula>$I$66=0</formula>
    </cfRule>
    <cfRule type="expression" dxfId="440" priority="83" stopIfTrue="1">
      <formula>$I$66=7</formula>
    </cfRule>
    <cfRule type="expression" dxfId="439" priority="82" stopIfTrue="1">
      <formula>$I$66=5</formula>
    </cfRule>
    <cfRule type="expression" dxfId="438" priority="84" stopIfTrue="1">
      <formula>$I$66=8</formula>
    </cfRule>
    <cfRule type="expression" dxfId="437" priority="81" stopIfTrue="1">
      <formula>$I$66=4</formula>
    </cfRule>
    <cfRule type="expression" dxfId="436" priority="76" stopIfTrue="1">
      <formula>$I$66=""</formula>
    </cfRule>
  </conditionalFormatting>
  <conditionalFormatting sqref="BR88">
    <cfRule type="expression" dxfId="435" priority="93" stopIfTrue="1">
      <formula>$I$66=8</formula>
    </cfRule>
    <cfRule type="expression" dxfId="434" priority="86" stopIfTrue="1">
      <formula>$I$66=0</formula>
    </cfRule>
    <cfRule type="expression" dxfId="433" priority="85" stopIfTrue="1">
      <formula>$I$66=""</formula>
    </cfRule>
    <cfRule type="expression" dxfId="432" priority="91" stopIfTrue="1">
      <formula>$I$66=5</formula>
    </cfRule>
    <cfRule type="expression" dxfId="431" priority="92" stopIfTrue="1">
      <formula>$I$66=7</formula>
    </cfRule>
    <cfRule type="expression" dxfId="430" priority="90" stopIfTrue="1">
      <formula>$I$66=4</formula>
    </cfRule>
    <cfRule type="expression" dxfId="429" priority="89" stopIfTrue="1">
      <formula>$I$66=3</formula>
    </cfRule>
    <cfRule type="expression" dxfId="428" priority="88" stopIfTrue="1">
      <formula>$I$66=2</formula>
    </cfRule>
    <cfRule type="expression" dxfId="427" priority="87" stopIfTrue="1">
      <formula>$I$66=1</formula>
    </cfRule>
  </conditionalFormatting>
  <hyperlinks>
    <hyperlink ref="C72" location="入力及び計算結果!A1" display="「入力及び計算結果」に戻る" xr:uid="{00000000-0004-0000-0800-000000000000}"/>
  </hyperlinks>
  <pageMargins left="0.7" right="0.7" top="0.75" bottom="0.75" header="0.3" footer="0.3"/>
  <pageSetup paperSize="9"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O250"/>
  <sheetViews>
    <sheetView topLeftCell="A69" zoomScale="90" zoomScaleNormal="90" workbookViewId="0">
      <selection activeCell="I66" sqref="I66"/>
    </sheetView>
  </sheetViews>
  <sheetFormatPr defaultRowHeight="13" x14ac:dyDescent="0.2"/>
  <cols>
    <col min="1" max="1" width="2.453125" style="91" customWidth="1"/>
    <col min="2" max="2" width="12.08984375" customWidth="1"/>
    <col min="3" max="3" width="23.90625" customWidth="1"/>
    <col min="4" max="9" width="12.453125" customWidth="1"/>
    <col min="10" max="10" width="17.453125" customWidth="1"/>
    <col min="11" max="21" width="12.453125" customWidth="1"/>
    <col min="22" max="22" width="12.08984375" customWidth="1"/>
    <col min="23" max="23" width="11.90625" bestFit="1" customWidth="1"/>
    <col min="24" max="24" width="9.26953125" customWidth="1"/>
    <col min="25" max="25" width="19.7265625" customWidth="1"/>
    <col min="26" max="26" width="5.7265625" customWidth="1"/>
    <col min="27" max="28" width="13.90625" customWidth="1"/>
    <col min="29" max="29" width="12.453125" customWidth="1"/>
    <col min="30" max="30" width="12.08984375" customWidth="1"/>
    <col min="31" max="31" width="11.90625" bestFit="1" customWidth="1"/>
    <col min="32" max="32" width="9.26953125" customWidth="1"/>
    <col min="33" max="33" width="19.7265625" customWidth="1"/>
    <col min="34" max="34" width="5.7265625" customWidth="1"/>
    <col min="35" max="36" width="13.90625" customWidth="1"/>
    <col min="37" max="37" width="12.453125" customWidth="1"/>
    <col min="38" max="38" width="12.08984375" customWidth="1"/>
    <col min="39" max="39" width="11.90625" bestFit="1" customWidth="1"/>
    <col min="40" max="40" width="9.26953125" customWidth="1"/>
    <col min="41" max="41" width="19.7265625" customWidth="1"/>
    <col min="42" max="42" width="5.7265625" customWidth="1"/>
    <col min="43" max="47" width="13.90625" customWidth="1"/>
    <col min="48" max="48" width="11.453125" customWidth="1"/>
    <col min="49" max="50" width="13.453125" customWidth="1"/>
    <col min="51" max="51" width="11.90625" style="99" customWidth="1"/>
    <col min="52" max="52" width="12.453125" style="99" customWidth="1"/>
    <col min="53" max="53" width="13.7265625" style="143" customWidth="1"/>
    <col min="54" max="54" width="14.453125" style="99" customWidth="1"/>
    <col min="55" max="55" width="12.453125" style="143" customWidth="1"/>
    <col min="56" max="56" width="16.08984375" style="143" customWidth="1"/>
    <col min="57" max="57" width="13.26953125" style="143" customWidth="1"/>
    <col min="58" max="58" width="14.453125" style="143" customWidth="1"/>
    <col min="59" max="59" width="11.90625" style="99" customWidth="1"/>
    <col min="60" max="60" width="12.453125" style="99" customWidth="1"/>
    <col min="61" max="61" width="13.453125" style="143" customWidth="1"/>
    <col min="62" max="62" width="14.453125" style="99" customWidth="1"/>
    <col min="63" max="63" width="12.7265625" style="143" customWidth="1"/>
    <col min="64" max="64" width="16.08984375" style="143" customWidth="1"/>
    <col min="65" max="65" width="13.26953125" style="143" customWidth="1"/>
    <col min="66" max="66" width="14.453125" style="143" customWidth="1"/>
    <col min="67" max="67" width="11.90625" style="99" customWidth="1"/>
    <col min="68" max="68" width="12.453125" style="99" customWidth="1"/>
    <col min="69" max="69" width="14.08984375" style="143" customWidth="1"/>
    <col min="70" max="70" width="14.90625" style="99" customWidth="1"/>
    <col min="71" max="71" width="16.08984375" style="143" customWidth="1"/>
    <col min="72" max="72" width="8.7265625" style="143" customWidth="1"/>
    <col min="73" max="73" width="10.7265625" style="80" customWidth="1"/>
    <col min="74" max="74" width="14.08984375" style="143" customWidth="1"/>
    <col min="75" max="75" width="14.08984375" style="99" customWidth="1"/>
    <col min="76" max="76" width="9.08984375" style="99" customWidth="1"/>
    <col min="77" max="77" width="9.08984375" style="80" customWidth="1"/>
    <col min="78" max="78" width="13.08984375" style="80" customWidth="1"/>
    <col min="79" max="81" width="9.08984375" style="80" customWidth="1"/>
    <col min="82" max="82" width="13.08984375" style="80" customWidth="1"/>
    <col min="83" max="84" width="9.08984375" style="80" customWidth="1"/>
    <col min="85" max="87" width="9.08984375" style="99" customWidth="1"/>
    <col min="89" max="89" width="11.453125" bestFit="1" customWidth="1"/>
    <col min="90" max="90" width="5.08984375" customWidth="1"/>
    <col min="92" max="92" width="11.453125" bestFit="1" customWidth="1"/>
    <col min="93" max="93" width="5.08984375" customWidth="1"/>
    <col min="95" max="95" width="11.453125" bestFit="1" customWidth="1"/>
    <col min="96" max="96" width="5.08984375" customWidth="1"/>
  </cols>
  <sheetData>
    <row r="1" spans="2:84" ht="15" customHeight="1" x14ac:dyDescent="0.2">
      <c r="B1" s="17" t="str">
        <f>入力及び計算結果!B1</f>
        <v>ver.1.0（2026/07/01）</v>
      </c>
      <c r="C1" s="39"/>
      <c r="D1" s="39"/>
    </row>
    <row r="2" spans="2:84" ht="15" customHeight="1" x14ac:dyDescent="0.2">
      <c r="B2" s="606" t="s">
        <v>349</v>
      </c>
      <c r="C2" s="606"/>
      <c r="D2" s="606"/>
      <c r="F2" s="89"/>
      <c r="G2" s="21" t="s">
        <v>96</v>
      </c>
      <c r="AW2" s="99"/>
      <c r="AX2" s="99"/>
      <c r="AY2" s="143"/>
      <c r="BB2" s="143"/>
      <c r="BE2" s="99"/>
      <c r="BF2" s="99"/>
      <c r="BG2" s="143"/>
      <c r="BJ2" s="143"/>
      <c r="BM2" s="99"/>
      <c r="BN2" s="99"/>
      <c r="BO2" s="143"/>
      <c r="BR2" s="143"/>
      <c r="BS2" s="80"/>
      <c r="BU2" s="99"/>
      <c r="BV2" s="99"/>
      <c r="BW2" s="80"/>
      <c r="BX2" s="80"/>
      <c r="CE2" s="99"/>
      <c r="CF2" s="99"/>
    </row>
    <row r="3" spans="2:84" ht="15" customHeight="1" x14ac:dyDescent="0.2">
      <c r="B3" s="606"/>
      <c r="C3" s="606"/>
      <c r="D3" s="606"/>
      <c r="F3" s="22"/>
      <c r="G3" t="s">
        <v>97</v>
      </c>
      <c r="I3" s="23"/>
      <c r="J3" s="21" t="s">
        <v>98</v>
      </c>
      <c r="W3" s="99"/>
      <c r="X3" s="99"/>
      <c r="Y3" s="99"/>
      <c r="Z3" s="99"/>
      <c r="AA3" s="99"/>
      <c r="AB3" s="99"/>
      <c r="AE3" s="99"/>
      <c r="AF3" s="99"/>
      <c r="AG3" s="99"/>
      <c r="AH3" s="99"/>
      <c r="AI3" s="99"/>
      <c r="AJ3" s="99"/>
      <c r="AM3" s="99"/>
      <c r="AN3" s="99"/>
      <c r="AO3" s="99"/>
      <c r="AP3" s="99"/>
      <c r="AQ3" s="99"/>
      <c r="AR3" s="99"/>
      <c r="AS3" s="99"/>
      <c r="AT3" s="99"/>
      <c r="AU3" s="99"/>
      <c r="AV3" s="99"/>
      <c r="AW3" s="99"/>
      <c r="AX3" s="99"/>
      <c r="BA3" s="144"/>
      <c r="BB3" s="80"/>
      <c r="BC3" s="144"/>
      <c r="BD3" s="144"/>
      <c r="BE3" s="144"/>
      <c r="BF3" s="144"/>
      <c r="BI3" s="144"/>
      <c r="BJ3" s="80"/>
      <c r="BK3" s="144"/>
      <c r="BL3" s="144"/>
      <c r="BM3" s="144"/>
      <c r="BN3" s="144"/>
      <c r="BQ3" s="144"/>
      <c r="BR3" s="80"/>
      <c r="BS3" s="144"/>
      <c r="BT3" s="144"/>
      <c r="BV3" s="144"/>
      <c r="BW3" s="80"/>
      <c r="BX3" s="80"/>
    </row>
    <row r="4" spans="2:84" ht="13.5" customHeight="1" thickBot="1" x14ac:dyDescent="0.25">
      <c r="B4" s="39"/>
      <c r="C4" s="39"/>
      <c r="D4" s="39"/>
      <c r="W4" s="99"/>
      <c r="X4" s="99"/>
      <c r="Y4" s="99"/>
      <c r="Z4" s="99"/>
      <c r="AA4" s="99"/>
      <c r="AB4" s="99"/>
      <c r="AE4" s="99"/>
      <c r="AF4" s="99"/>
      <c r="AG4" s="99"/>
      <c r="AH4" s="99"/>
      <c r="AI4" s="99"/>
      <c r="AJ4" s="99"/>
      <c r="AM4" s="99"/>
      <c r="AN4" s="99"/>
      <c r="AO4" s="99"/>
      <c r="AP4" s="99"/>
      <c r="AQ4" s="99"/>
      <c r="AR4" s="99"/>
      <c r="AS4" s="99"/>
      <c r="AT4" s="99"/>
      <c r="AU4" s="99"/>
      <c r="AV4" s="99"/>
      <c r="AW4" s="99"/>
      <c r="AX4" s="99"/>
      <c r="BA4" s="144"/>
      <c r="BB4" s="80"/>
      <c r="BC4" s="144"/>
      <c r="BD4" s="144"/>
      <c r="BE4" s="144"/>
      <c r="BF4" s="144"/>
      <c r="BI4" s="144"/>
      <c r="BJ4" s="80"/>
      <c r="BK4" s="144"/>
      <c r="BL4" s="144"/>
      <c r="BM4" s="144"/>
      <c r="BN4" s="144"/>
      <c r="BQ4" s="144"/>
      <c r="BR4" s="80"/>
      <c r="BS4" s="144"/>
      <c r="BT4" s="144"/>
      <c r="BV4" s="144"/>
      <c r="BW4" s="80"/>
      <c r="BX4" s="80"/>
    </row>
    <row r="5" spans="2:84" ht="13.5" customHeight="1" thickTop="1" thickBot="1" x14ac:dyDescent="0.25">
      <c r="B5" s="531" t="s">
        <v>155</v>
      </c>
      <c r="C5" s="532"/>
      <c r="D5" s="533" t="str">
        <f>IF(ISBLANK(入力及び計算結果!C6),"",IF(ISBLANK(入力及び計算結果!F7),"",IF(AND(OR(入力及び計算結果!F7=0,入力及び計算結果!F7=2),入力及び計算結果!F8=1),入力及び計算結果!C6,"")))</f>
        <v/>
      </c>
      <c r="E5" s="534"/>
      <c r="F5" s="534"/>
      <c r="G5" s="534"/>
      <c r="H5" s="534"/>
      <c r="I5" s="534"/>
      <c r="J5" s="535"/>
    </row>
    <row r="6" spans="2:84" ht="27" customHeight="1" thickTop="1" thickBot="1" x14ac:dyDescent="0.25">
      <c r="B6" s="536" t="s">
        <v>156</v>
      </c>
      <c r="C6" s="532"/>
      <c r="D6" s="533" t="str">
        <f>IF(ISBLANK(入力及び計算結果!E40),"",入力及び計算結果!E40)</f>
        <v/>
      </c>
      <c r="E6" s="534"/>
      <c r="F6" s="534"/>
      <c r="G6" s="534"/>
      <c r="H6" s="534"/>
      <c r="I6" s="534"/>
      <c r="J6" s="535"/>
    </row>
    <row r="7" spans="2:84" ht="13.5" customHeight="1" thickTop="1" x14ac:dyDescent="0.2">
      <c r="B7" s="145" t="s">
        <v>157</v>
      </c>
      <c r="C7" s="145"/>
      <c r="D7" s="145"/>
      <c r="E7" s="145"/>
      <c r="F7" s="145"/>
      <c r="G7" s="145"/>
      <c r="H7" s="145"/>
      <c r="I7" s="145"/>
    </row>
    <row r="8" spans="2:84" ht="13.5" customHeight="1" x14ac:dyDescent="0.2">
      <c r="B8" s="145"/>
      <c r="C8" s="145"/>
      <c r="D8" s="145"/>
      <c r="E8" s="145"/>
      <c r="F8" s="145"/>
      <c r="G8" s="145"/>
      <c r="H8" s="145"/>
      <c r="I8" s="145"/>
    </row>
    <row r="9" spans="2:84" ht="13.5" customHeight="1" x14ac:dyDescent="0.2">
      <c r="B9" s="91"/>
    </row>
    <row r="10" spans="2:84" ht="13.5" customHeight="1" x14ac:dyDescent="0.2">
      <c r="B10" s="40" t="s">
        <v>158</v>
      </c>
    </row>
    <row r="11" spans="2:84" ht="13.5" customHeight="1" x14ac:dyDescent="0.2">
      <c r="B11" s="95" t="s">
        <v>159</v>
      </c>
      <c r="C11" s="537" t="s">
        <v>160</v>
      </c>
      <c r="D11" s="537"/>
      <c r="E11" s="537"/>
      <c r="F11" s="95" t="s">
        <v>161</v>
      </c>
      <c r="G11" s="95" t="s">
        <v>162</v>
      </c>
      <c r="H11" s="537" t="s">
        <v>163</v>
      </c>
      <c r="I11" s="537"/>
      <c r="J11" s="537"/>
    </row>
    <row r="12" spans="2:84" ht="13.5" customHeight="1" thickBot="1" x14ac:dyDescent="0.25">
      <c r="B12" s="43" t="s">
        <v>164</v>
      </c>
      <c r="C12" s="380" t="s">
        <v>103</v>
      </c>
      <c r="D12" s="452"/>
      <c r="E12" s="453"/>
      <c r="F12" s="146">
        <v>50</v>
      </c>
      <c r="G12" s="43" t="s">
        <v>165</v>
      </c>
      <c r="H12" s="438"/>
      <c r="I12" s="439"/>
      <c r="J12" s="440"/>
    </row>
    <row r="13" spans="2:84" ht="13.5" customHeight="1" thickTop="1" thickBot="1" x14ac:dyDescent="0.25">
      <c r="B13" s="87" t="s">
        <v>166</v>
      </c>
      <c r="C13" s="375" t="s">
        <v>167</v>
      </c>
      <c r="D13" s="375"/>
      <c r="E13" s="401"/>
      <c r="F13" s="147" t="str">
        <f>IF(ISBLANK(入力及び計算結果!E28),"",入力及び計算結果!E28)</f>
        <v/>
      </c>
      <c r="G13" s="69" t="s">
        <v>168</v>
      </c>
      <c r="H13" s="545" t="s">
        <v>169</v>
      </c>
      <c r="I13" s="545"/>
      <c r="J13" s="545"/>
    </row>
    <row r="14" spans="2:84" ht="13.5" customHeight="1" thickTop="1" thickBot="1" x14ac:dyDescent="0.25">
      <c r="B14" s="149" t="s">
        <v>170</v>
      </c>
      <c r="C14" s="401" t="s">
        <v>171</v>
      </c>
      <c r="D14" s="402"/>
      <c r="E14" s="403"/>
      <c r="F14" s="147" t="str">
        <f>IF(ISBLANK(入力及び計算結果!E30),"",入力及び計算結果!E30)</f>
        <v/>
      </c>
      <c r="G14" s="75"/>
      <c r="H14" s="528" t="s">
        <v>348</v>
      </c>
      <c r="I14" s="529"/>
      <c r="J14" s="530"/>
    </row>
    <row r="15" spans="2:84" ht="13.5" customHeight="1" thickTop="1" x14ac:dyDescent="0.2">
      <c r="B15" s="526" t="s">
        <v>173</v>
      </c>
      <c r="C15" s="547" t="s">
        <v>174</v>
      </c>
      <c r="D15" s="539"/>
      <c r="E15" s="539"/>
      <c r="F15" s="151">
        <v>0</v>
      </c>
      <c r="G15" s="526" t="s">
        <v>146</v>
      </c>
      <c r="H15" s="550"/>
      <c r="I15" s="551"/>
      <c r="J15" s="552"/>
    </row>
    <row r="16" spans="2:84" ht="13.5" customHeight="1" x14ac:dyDescent="0.2">
      <c r="B16" s="546"/>
      <c r="C16" s="548"/>
      <c r="D16" s="549"/>
      <c r="E16" s="549"/>
      <c r="F16" s="152">
        <v>14</v>
      </c>
      <c r="G16" s="546"/>
      <c r="H16" s="553"/>
      <c r="I16" s="554"/>
      <c r="J16" s="555"/>
    </row>
    <row r="17" spans="2:76" ht="13.5" customHeight="1" thickBot="1" x14ac:dyDescent="0.25">
      <c r="B17" s="546"/>
      <c r="C17" s="548"/>
      <c r="D17" s="549"/>
      <c r="E17" s="549"/>
      <c r="F17" s="153">
        <v>28</v>
      </c>
      <c r="G17" s="546"/>
      <c r="H17" s="553"/>
      <c r="I17" s="554"/>
      <c r="J17" s="555"/>
    </row>
    <row r="18" spans="2:76" ht="27" customHeight="1" thickTop="1" thickBot="1" x14ac:dyDescent="0.25">
      <c r="B18" s="526" t="s">
        <v>124</v>
      </c>
      <c r="C18" s="538" t="s">
        <v>175</v>
      </c>
      <c r="D18" s="539"/>
      <c r="E18" s="539"/>
      <c r="F18" s="542" t="str">
        <f>IF(ISBLANK(入力及び計算結果!E31),"",入力及び計算結果!E31)</f>
        <v/>
      </c>
      <c r="G18" s="543"/>
      <c r="H18" s="476" t="s">
        <v>54</v>
      </c>
      <c r="I18" s="476"/>
      <c r="J18" s="476"/>
    </row>
    <row r="19" spans="2:76" ht="27" customHeight="1" thickTop="1" thickBot="1" x14ac:dyDescent="0.25">
      <c r="B19" s="527"/>
      <c r="C19" s="540"/>
      <c r="D19" s="541"/>
      <c r="E19" s="541"/>
      <c r="F19" s="542"/>
      <c r="G19" s="544"/>
      <c r="H19" s="476"/>
      <c r="I19" s="476"/>
      <c r="J19" s="476"/>
    </row>
    <row r="20" spans="2:76" ht="27" customHeight="1" thickTop="1" thickBot="1" x14ac:dyDescent="0.25">
      <c r="B20" s="148" t="s">
        <v>176</v>
      </c>
      <c r="C20" s="401" t="s">
        <v>177</v>
      </c>
      <c r="D20" s="402"/>
      <c r="E20" s="402"/>
      <c r="F20" s="147" t="str">
        <f>IF(ISBLANK(入力及び計算結果!E33),"",入力及び計算結果!E33)</f>
        <v/>
      </c>
      <c r="G20" s="69"/>
      <c r="H20" s="398"/>
      <c r="I20" s="399"/>
      <c r="J20" s="400"/>
    </row>
    <row r="21" spans="2:76" ht="13.5" customHeight="1" thickTop="1" thickBot="1" x14ac:dyDescent="0.25">
      <c r="B21" s="87" t="s">
        <v>178</v>
      </c>
      <c r="C21" s="375" t="s">
        <v>179</v>
      </c>
      <c r="D21" s="375"/>
      <c r="E21" s="401"/>
      <c r="F21" s="147" t="str">
        <f>IF(ISBLANK(入力及び計算結果!E34),"",入力及び計算結果!E34)</f>
        <v/>
      </c>
      <c r="G21" s="69" t="s">
        <v>146</v>
      </c>
      <c r="H21" s="398" t="s">
        <v>180</v>
      </c>
      <c r="I21" s="399"/>
      <c r="J21" s="400"/>
    </row>
    <row r="22" spans="2:76" ht="13.5" customHeight="1" thickTop="1" thickBot="1" x14ac:dyDescent="0.25">
      <c r="B22" s="87" t="s">
        <v>181</v>
      </c>
      <c r="C22" s="401" t="s">
        <v>105</v>
      </c>
      <c r="D22" s="402"/>
      <c r="E22" s="410"/>
      <c r="F22" s="157">
        <v>21</v>
      </c>
      <c r="G22" s="69" t="s">
        <v>146</v>
      </c>
      <c r="H22" s="401"/>
      <c r="I22" s="402"/>
      <c r="J22" s="410"/>
    </row>
    <row r="23" spans="2:76" ht="13.5" customHeight="1" thickTop="1" thickBot="1" x14ac:dyDescent="0.25">
      <c r="B23" s="87" t="s">
        <v>182</v>
      </c>
      <c r="C23" s="375" t="s">
        <v>183</v>
      </c>
      <c r="D23" s="375"/>
      <c r="E23" s="401"/>
      <c r="F23" s="147" t="str">
        <f>IF(ISBLANK(入力及び計算結果!E36),"",入力及び計算結果!E36)</f>
        <v/>
      </c>
      <c r="G23" s="69" t="s">
        <v>184</v>
      </c>
      <c r="H23" s="398"/>
      <c r="I23" s="399"/>
      <c r="J23" s="400"/>
    </row>
    <row r="24" spans="2:76" ht="13.5" customHeight="1" thickTop="1" x14ac:dyDescent="0.2">
      <c r="B24" s="91"/>
      <c r="H24" s="67"/>
      <c r="I24" s="67"/>
      <c r="W24" s="99"/>
      <c r="X24" s="99"/>
      <c r="Y24" s="99"/>
      <c r="Z24" s="99"/>
      <c r="AA24" s="99"/>
      <c r="AB24" s="99"/>
      <c r="AE24" s="99"/>
      <c r="AF24" s="99"/>
      <c r="AG24" s="99"/>
      <c r="AH24" s="99"/>
      <c r="AI24" s="99"/>
      <c r="AJ24" s="99"/>
      <c r="AM24" s="99"/>
      <c r="AN24" s="99"/>
      <c r="AO24" s="99"/>
      <c r="AP24" s="99"/>
      <c r="AQ24" s="99"/>
      <c r="AR24" s="99"/>
      <c r="AS24" s="99"/>
      <c r="AT24" s="99"/>
      <c r="AU24" s="99"/>
      <c r="AV24" s="99"/>
      <c r="AW24" s="99"/>
      <c r="AX24" s="99"/>
      <c r="BX24" s="80"/>
    </row>
    <row r="25" spans="2:76" ht="13.5" customHeight="1" thickBot="1" x14ac:dyDescent="0.25">
      <c r="B25" s="40" t="s">
        <v>185</v>
      </c>
      <c r="H25" s="570" t="s">
        <v>186</v>
      </c>
      <c r="I25" s="570"/>
      <c r="J25" s="570"/>
      <c r="K25" s="570"/>
      <c r="W25" s="99"/>
      <c r="X25" s="99"/>
      <c r="Y25" s="99"/>
      <c r="Z25" s="99"/>
      <c r="AA25" s="99"/>
      <c r="AB25" s="99"/>
      <c r="AE25" s="99"/>
      <c r="AF25" s="99"/>
      <c r="AG25" s="99"/>
      <c r="AH25" s="99"/>
      <c r="AI25" s="99"/>
      <c r="AJ25" s="99"/>
      <c r="AM25" s="99"/>
      <c r="AN25" s="99"/>
      <c r="AO25" s="99"/>
      <c r="AP25" s="99"/>
      <c r="AQ25" s="99"/>
      <c r="AR25" s="99"/>
      <c r="AS25" s="99"/>
      <c r="AT25" s="99"/>
      <c r="AU25" s="99"/>
      <c r="AV25" s="99"/>
      <c r="AW25" s="99"/>
      <c r="AX25" s="99"/>
      <c r="BX25" s="80"/>
    </row>
    <row r="26" spans="2:76" ht="13.5" customHeight="1" thickTop="1" thickBot="1" x14ac:dyDescent="0.25">
      <c r="B26" s="556" t="s">
        <v>187</v>
      </c>
      <c r="C26" s="557"/>
      <c r="D26" s="103" t="str">
        <f>IF(ISBLANK(No.8!D26),"",No.8!D26)</f>
        <v/>
      </c>
      <c r="E26" s="104" t="s">
        <v>146</v>
      </c>
      <c r="G26" s="100"/>
      <c r="H26" s="570"/>
      <c r="I26" s="570"/>
      <c r="J26" s="570"/>
      <c r="K26" s="570"/>
      <c r="W26" s="99"/>
      <c r="X26" s="99"/>
      <c r="Y26" s="99"/>
      <c r="Z26" s="99"/>
      <c r="AA26" s="99"/>
      <c r="AB26" s="99"/>
      <c r="AE26" s="99"/>
      <c r="AF26" s="99"/>
      <c r="AG26" s="99"/>
      <c r="AH26" s="99"/>
      <c r="AI26" s="99"/>
      <c r="AJ26" s="99"/>
      <c r="AM26" s="99"/>
      <c r="AN26" s="99"/>
      <c r="AO26" s="99"/>
      <c r="AP26" s="99"/>
      <c r="AQ26" s="99"/>
      <c r="AR26" s="99"/>
      <c r="AS26" s="99"/>
      <c r="AT26" s="99"/>
      <c r="AU26" s="99"/>
      <c r="AV26" s="99"/>
      <c r="AW26" s="99"/>
      <c r="AX26" s="99"/>
      <c r="BX26" s="80"/>
    </row>
    <row r="27" spans="2:76" ht="13.5" customHeight="1" thickTop="1" thickBot="1" x14ac:dyDescent="0.25">
      <c r="B27" s="380" t="s">
        <v>188</v>
      </c>
      <c r="C27" s="506"/>
      <c r="D27" s="103" t="str">
        <f>IF(ISBLANK(No.8!D27),"",No.8!D27)</f>
        <v/>
      </c>
      <c r="E27" s="104" t="s">
        <v>146</v>
      </c>
      <c r="G27" s="100"/>
      <c r="H27" s="570"/>
      <c r="I27" s="570"/>
      <c r="J27" s="570"/>
      <c r="K27" s="570"/>
      <c r="W27" s="99"/>
      <c r="X27" s="99"/>
      <c r="Y27" s="99"/>
      <c r="Z27" s="99"/>
      <c r="AA27" s="99"/>
      <c r="AB27" s="99"/>
      <c r="AE27" s="99"/>
      <c r="AF27" s="99"/>
      <c r="AG27" s="99"/>
      <c r="AH27" s="99"/>
      <c r="AI27" s="99"/>
      <c r="AJ27" s="99"/>
      <c r="AM27" s="99"/>
      <c r="AN27" s="99"/>
      <c r="AO27" s="99"/>
      <c r="AP27" s="99"/>
      <c r="AQ27" s="99"/>
      <c r="AR27" s="99"/>
      <c r="AS27" s="99"/>
      <c r="AT27" s="99"/>
      <c r="AU27" s="99"/>
      <c r="AV27" s="99"/>
      <c r="AW27" s="99"/>
      <c r="AX27" s="99"/>
      <c r="BX27" s="80"/>
    </row>
    <row r="28" spans="2:76" ht="13.5" customHeight="1" thickTop="1" x14ac:dyDescent="0.2">
      <c r="B28" s="91"/>
      <c r="C28" s="116" t="s">
        <v>189</v>
      </c>
      <c r="D28" s="158">
        <f>IF(ISBLANK(No.8!D28),"",No.8!D28)</f>
        <v>0</v>
      </c>
      <c r="G28" s="100"/>
      <c r="H28" s="570"/>
      <c r="I28" s="570"/>
      <c r="J28" s="570"/>
      <c r="K28" s="570"/>
      <c r="W28" s="99"/>
      <c r="X28" s="99"/>
      <c r="Y28" s="99"/>
      <c r="Z28" s="99"/>
      <c r="AA28" s="99"/>
      <c r="AB28" s="99"/>
      <c r="AE28" s="99"/>
      <c r="AF28" s="99"/>
      <c r="AG28" s="99"/>
      <c r="AH28" s="99"/>
      <c r="AI28" s="99"/>
      <c r="AJ28" s="99"/>
      <c r="AM28" s="99"/>
      <c r="AN28" s="99"/>
      <c r="AO28" s="99"/>
      <c r="AP28" s="99"/>
      <c r="AQ28" s="99"/>
      <c r="AR28" s="99"/>
      <c r="AS28" s="99"/>
      <c r="AT28" s="99"/>
      <c r="AU28" s="99"/>
      <c r="AV28" s="99"/>
      <c r="AW28" s="99"/>
      <c r="AX28" s="99"/>
      <c r="BX28" s="80"/>
    </row>
    <row r="29" spans="2:76" ht="13.5" customHeight="1" x14ac:dyDescent="0.2">
      <c r="B29" s="91"/>
      <c r="C29" s="116" t="s">
        <v>190</v>
      </c>
      <c r="D29" s="159">
        <f>IF(ISBLANK(No.8!D29),"",No.8!D29)</f>
        <v>0</v>
      </c>
      <c r="G29" s="100"/>
      <c r="H29" s="570"/>
      <c r="I29" s="570"/>
      <c r="J29" s="570"/>
      <c r="K29" s="570"/>
      <c r="W29" s="99"/>
      <c r="X29" s="99"/>
      <c r="Y29" s="99"/>
      <c r="Z29" s="99"/>
      <c r="AA29" s="99"/>
      <c r="AB29" s="99"/>
      <c r="AE29" s="99"/>
      <c r="AF29" s="99"/>
      <c r="AG29" s="99"/>
      <c r="AH29" s="99"/>
      <c r="AI29" s="99"/>
      <c r="AJ29" s="99"/>
      <c r="AM29" s="99"/>
      <c r="AN29" s="99"/>
      <c r="AO29" s="99"/>
      <c r="AP29" s="99"/>
      <c r="AQ29" s="99"/>
      <c r="AR29" s="99"/>
      <c r="AS29" s="99"/>
      <c r="AT29" s="99"/>
      <c r="AU29" s="99"/>
      <c r="AV29" s="99"/>
      <c r="AW29" s="99"/>
      <c r="AX29" s="99"/>
      <c r="BX29" s="80"/>
    </row>
    <row r="30" spans="2:76" ht="13.5" customHeight="1" thickBot="1" x14ac:dyDescent="0.25">
      <c r="B30" t="s">
        <v>191</v>
      </c>
      <c r="G30" s="100"/>
      <c r="H30" s="570"/>
      <c r="I30" s="570"/>
      <c r="J30" s="570"/>
      <c r="K30" s="570"/>
      <c r="W30" s="99"/>
      <c r="X30" s="99"/>
      <c r="Y30" s="99"/>
      <c r="Z30" s="99"/>
      <c r="AA30" s="99"/>
      <c r="AB30" s="99"/>
      <c r="AE30" s="99"/>
      <c r="AF30" s="99"/>
      <c r="AG30" s="99"/>
      <c r="AH30" s="99"/>
      <c r="AI30" s="99"/>
      <c r="AJ30" s="99"/>
      <c r="AM30" s="99"/>
      <c r="AN30" s="99"/>
      <c r="AO30" s="99"/>
      <c r="AP30" s="99"/>
      <c r="AQ30" s="99"/>
      <c r="AR30" s="99"/>
      <c r="AS30" s="99"/>
      <c r="AT30" s="99"/>
      <c r="AU30" s="99"/>
      <c r="AV30" s="99"/>
      <c r="AW30" s="99"/>
      <c r="AX30" s="99"/>
      <c r="BX30" s="80"/>
    </row>
    <row r="31" spans="2:76" ht="13.5" customHeight="1" thickTop="1" thickBot="1" x14ac:dyDescent="0.25">
      <c r="B31" s="380" t="s">
        <v>192</v>
      </c>
      <c r="C31" s="506"/>
      <c r="D31" s="103" t="str">
        <f>IF(ISBLANK(No.8!D31),"",No.8!D31)</f>
        <v/>
      </c>
      <c r="E31" s="104" t="s">
        <v>146</v>
      </c>
      <c r="G31" s="100"/>
      <c r="H31" s="570"/>
      <c r="I31" s="570"/>
      <c r="J31" s="570"/>
      <c r="K31" s="570"/>
      <c r="W31" s="99"/>
      <c r="X31" s="99"/>
      <c r="Y31" s="99"/>
      <c r="Z31" s="99"/>
      <c r="AA31" s="99"/>
      <c r="AB31" s="99"/>
      <c r="AE31" s="99"/>
      <c r="AF31" s="99"/>
      <c r="AG31" s="99"/>
      <c r="AH31" s="99"/>
      <c r="AI31" s="99"/>
      <c r="AJ31" s="99"/>
      <c r="AM31" s="99"/>
      <c r="AN31" s="99"/>
      <c r="AO31" s="99"/>
      <c r="AP31" s="99"/>
      <c r="AQ31" s="99"/>
      <c r="AR31" s="99"/>
      <c r="AS31" s="99"/>
      <c r="AT31" s="99"/>
      <c r="AU31" s="99"/>
      <c r="AV31" s="99"/>
      <c r="AW31" s="99"/>
      <c r="AX31" s="99"/>
      <c r="BX31" s="80"/>
    </row>
    <row r="32" spans="2:76" ht="13.5" customHeight="1" thickTop="1" x14ac:dyDescent="0.2">
      <c r="B32" s="91"/>
      <c r="C32" s="117" t="s">
        <v>193</v>
      </c>
      <c r="D32" s="159">
        <f>IF(ISBLANK(No.8!D32),"",No.8!D32)</f>
        <v>0</v>
      </c>
      <c r="G32" s="100"/>
      <c r="H32" s="570"/>
      <c r="I32" s="570"/>
      <c r="J32" s="570"/>
      <c r="K32" s="570"/>
      <c r="W32" s="99"/>
      <c r="X32" s="99"/>
      <c r="Y32" s="99"/>
      <c r="Z32" s="99"/>
      <c r="AA32" s="99"/>
      <c r="AB32" s="99"/>
      <c r="AE32" s="99"/>
      <c r="AF32" s="99"/>
      <c r="AG32" s="99"/>
      <c r="AH32" s="99"/>
      <c r="AI32" s="99"/>
      <c r="AJ32" s="99"/>
      <c r="AM32" s="99"/>
      <c r="AN32" s="99"/>
      <c r="AO32" s="99"/>
      <c r="AP32" s="99"/>
      <c r="AQ32" s="99"/>
      <c r="AR32" s="99"/>
      <c r="AS32" s="99"/>
      <c r="AT32" s="99"/>
      <c r="AU32" s="99"/>
      <c r="AV32" s="99"/>
      <c r="AW32" s="99"/>
      <c r="AX32" s="99"/>
      <c r="BX32" s="80"/>
    </row>
    <row r="33" spans="2:76" ht="13.5" customHeight="1" x14ac:dyDescent="0.2">
      <c r="B33" s="91"/>
      <c r="C33" s="117"/>
      <c r="G33" s="100"/>
      <c r="H33" s="570"/>
      <c r="I33" s="570"/>
      <c r="J33" s="570"/>
      <c r="K33" s="570"/>
      <c r="W33" s="99"/>
      <c r="X33" s="99"/>
      <c r="Y33" s="99"/>
      <c r="Z33" s="99"/>
      <c r="AA33" s="99"/>
      <c r="AB33" s="99"/>
      <c r="AE33" s="99"/>
      <c r="AF33" s="99"/>
      <c r="AG33" s="99"/>
      <c r="AH33" s="99"/>
      <c r="AI33" s="99"/>
      <c r="AJ33" s="99"/>
      <c r="AM33" s="99"/>
      <c r="AN33" s="99"/>
      <c r="AO33" s="99"/>
      <c r="AP33" s="99"/>
      <c r="AQ33" s="99"/>
      <c r="AR33" s="99"/>
      <c r="AS33" s="99"/>
      <c r="AT33" s="99"/>
      <c r="AU33" s="99"/>
      <c r="AV33" s="99"/>
      <c r="AW33" s="99"/>
      <c r="AX33" s="99"/>
      <c r="BX33" s="80"/>
    </row>
    <row r="34" spans="2:76" ht="13.5" customHeight="1" x14ac:dyDescent="0.2">
      <c r="B34" s="91"/>
      <c r="C34" s="116" t="s">
        <v>194</v>
      </c>
      <c r="D34" s="159">
        <f>IF(ISBLANK(No.8!D34),"",No.8!D34)</f>
        <v>0</v>
      </c>
      <c r="G34" s="100"/>
      <c r="H34" s="570"/>
      <c r="I34" s="570"/>
      <c r="J34" s="570"/>
      <c r="K34" s="570"/>
      <c r="W34" s="99"/>
      <c r="X34" s="99"/>
      <c r="Y34" s="99"/>
      <c r="Z34" s="99"/>
      <c r="AA34" s="99"/>
      <c r="AB34" s="99"/>
      <c r="AE34" s="99"/>
      <c r="AF34" s="99"/>
      <c r="AG34" s="99"/>
      <c r="AH34" s="99"/>
      <c r="AI34" s="99"/>
      <c r="AJ34" s="99"/>
      <c r="AM34" s="99"/>
      <c r="AN34" s="99"/>
      <c r="AO34" s="99"/>
      <c r="AP34" s="99"/>
      <c r="AQ34" s="99"/>
      <c r="AR34" s="99"/>
      <c r="AS34" s="99"/>
      <c r="AT34" s="99"/>
      <c r="AU34" s="99"/>
      <c r="AV34" s="99"/>
      <c r="AW34" s="99"/>
      <c r="AX34" s="99"/>
      <c r="BX34" s="80"/>
    </row>
    <row r="35" spans="2:76" ht="13.5" customHeight="1" x14ac:dyDescent="0.2">
      <c r="B35" s="91"/>
      <c r="G35" s="100"/>
      <c r="H35" s="100"/>
      <c r="I35" s="100"/>
      <c r="J35" s="100"/>
      <c r="W35" s="99"/>
      <c r="X35" s="99"/>
      <c r="Y35" s="99"/>
      <c r="Z35" s="99"/>
      <c r="AA35" s="99"/>
      <c r="AB35" s="99"/>
      <c r="AE35" s="99"/>
      <c r="AF35" s="99"/>
      <c r="AG35" s="99"/>
      <c r="AH35" s="99"/>
      <c r="AI35" s="99"/>
      <c r="AJ35" s="99"/>
      <c r="AM35" s="99"/>
      <c r="AN35" s="99"/>
      <c r="AO35" s="99"/>
      <c r="AP35" s="99"/>
      <c r="AQ35" s="99"/>
      <c r="AR35" s="99"/>
      <c r="AS35" s="99"/>
      <c r="AT35" s="99"/>
      <c r="AU35" s="99"/>
      <c r="AV35" s="99"/>
      <c r="AW35" s="99"/>
      <c r="AX35" s="99"/>
      <c r="BX35" s="80"/>
    </row>
    <row r="36" spans="2:76" ht="13.5" customHeight="1" thickBot="1" x14ac:dyDescent="0.25">
      <c r="B36" s="569" t="s">
        <v>195</v>
      </c>
      <c r="C36" s="569"/>
      <c r="D36" s="569"/>
      <c r="F36" s="160" t="s">
        <v>196</v>
      </c>
      <c r="W36" s="99"/>
      <c r="X36" s="99"/>
      <c r="Y36" s="99"/>
      <c r="Z36" s="99"/>
      <c r="AA36" s="99"/>
      <c r="AB36" s="99"/>
      <c r="AE36" s="99"/>
      <c r="AF36" s="99"/>
      <c r="AG36" s="99"/>
      <c r="AH36" s="99"/>
      <c r="AI36" s="99"/>
      <c r="AJ36" s="99"/>
      <c r="AM36" s="99"/>
      <c r="AN36" s="99"/>
      <c r="AO36" s="99"/>
      <c r="AP36" s="99"/>
      <c r="AQ36" s="99"/>
      <c r="AR36" s="99"/>
      <c r="AS36" s="99"/>
      <c r="AT36" s="99"/>
      <c r="AU36" s="99"/>
      <c r="AV36" s="99"/>
      <c r="AW36" s="99"/>
      <c r="AX36" s="99"/>
      <c r="BX36" s="80"/>
    </row>
    <row r="37" spans="2:76" ht="13.5" customHeight="1" thickTop="1" x14ac:dyDescent="0.2">
      <c r="B37" s="567" t="s">
        <v>197</v>
      </c>
      <c r="C37" s="567" t="s">
        <v>198</v>
      </c>
      <c r="D37" s="505" t="s">
        <v>199</v>
      </c>
      <c r="F37" s="71" t="s">
        <v>159</v>
      </c>
      <c r="G37" s="45" t="s">
        <v>160</v>
      </c>
      <c r="H37" s="161"/>
      <c r="I37" s="162"/>
      <c r="J37" s="71" t="s">
        <v>161</v>
      </c>
      <c r="K37" s="71" t="s">
        <v>162</v>
      </c>
      <c r="W37" s="99"/>
      <c r="X37" s="99"/>
      <c r="Y37" s="99"/>
      <c r="Z37" s="99"/>
      <c r="AA37" s="99"/>
      <c r="AB37" s="99"/>
      <c r="AE37" s="99"/>
      <c r="AF37" s="99"/>
      <c r="AG37" s="99"/>
      <c r="AH37" s="99"/>
      <c r="AI37" s="99"/>
      <c r="AJ37" s="99"/>
      <c r="AM37" s="99"/>
      <c r="AN37" s="99"/>
      <c r="AO37" s="99"/>
      <c r="AP37" s="99"/>
      <c r="AQ37" s="99"/>
      <c r="AR37" s="99"/>
      <c r="AS37" s="99"/>
      <c r="AT37" s="99"/>
      <c r="AU37" s="99"/>
      <c r="AV37" s="99"/>
      <c r="AW37" s="99"/>
      <c r="AX37" s="99"/>
      <c r="BX37" s="80"/>
    </row>
    <row r="38" spans="2:76" ht="13.5" customHeight="1" x14ac:dyDescent="0.2">
      <c r="B38" s="568"/>
      <c r="C38" s="568"/>
      <c r="D38" s="505"/>
      <c r="F38" s="46" t="s">
        <v>200</v>
      </c>
      <c r="G38" s="401" t="s">
        <v>201</v>
      </c>
      <c r="H38" s="402"/>
      <c r="I38" s="410"/>
      <c r="J38" s="163">
        <v>30</v>
      </c>
      <c r="K38" s="87" t="s">
        <v>202</v>
      </c>
      <c r="W38" s="99"/>
      <c r="X38" s="99"/>
      <c r="Y38" s="99"/>
      <c r="Z38" s="99"/>
      <c r="AA38" s="99"/>
      <c r="AB38" s="99"/>
      <c r="AE38" s="99"/>
      <c r="AF38" s="99"/>
      <c r="AG38" s="99"/>
      <c r="AH38" s="99"/>
      <c r="AI38" s="99"/>
      <c r="AJ38" s="99"/>
      <c r="AM38" s="99"/>
      <c r="AN38" s="99"/>
      <c r="AO38" s="99"/>
      <c r="AP38" s="99"/>
      <c r="AQ38" s="99"/>
      <c r="AR38" s="99"/>
      <c r="AS38" s="99"/>
      <c r="AT38" s="99"/>
      <c r="AU38" s="99"/>
      <c r="AV38" s="99"/>
      <c r="AW38" s="99"/>
      <c r="AX38" s="99"/>
      <c r="BX38" s="80"/>
    </row>
    <row r="39" spans="2:76" ht="13.5" customHeight="1" x14ac:dyDescent="0.2">
      <c r="B39" s="164" t="str">
        <f>IF(ISBLANK(入力及び計算結果!E41),"",入力及び計算結果!E41)</f>
        <v/>
      </c>
      <c r="C39" s="164" t="str">
        <f>IF(ISBLANK(入力及び計算結果!E42),"",入力及び計算結果!E42)</f>
        <v/>
      </c>
      <c r="D39" s="165" t="str">
        <f>IF(ISNUMBER(C39),LN(C39/C$39),"")</f>
        <v/>
      </c>
      <c r="F39" s="46" t="s">
        <v>203</v>
      </c>
      <c r="G39" s="401" t="s">
        <v>204</v>
      </c>
      <c r="H39" s="402"/>
      <c r="I39" s="410"/>
      <c r="J39" s="163">
        <v>20</v>
      </c>
      <c r="K39" s="46" t="s">
        <v>202</v>
      </c>
      <c r="W39" s="99"/>
      <c r="X39" s="99"/>
      <c r="Y39" s="99"/>
      <c r="Z39" s="99"/>
      <c r="AA39" s="99"/>
      <c r="AB39" s="99"/>
      <c r="AE39" s="99"/>
      <c r="AF39" s="99"/>
      <c r="AG39" s="99"/>
      <c r="AH39" s="99"/>
      <c r="AI39" s="99"/>
      <c r="AJ39" s="99"/>
      <c r="AM39" s="99"/>
      <c r="AN39" s="99"/>
      <c r="AO39" s="99"/>
      <c r="AP39" s="99"/>
      <c r="AQ39" s="99"/>
      <c r="AR39" s="99"/>
      <c r="AS39" s="99"/>
      <c r="AT39" s="99"/>
      <c r="AU39" s="99"/>
      <c r="AV39" s="99"/>
      <c r="AW39" s="99"/>
      <c r="AX39" s="99"/>
      <c r="BX39" s="80"/>
    </row>
    <row r="40" spans="2:76" ht="13.5" customHeight="1" x14ac:dyDescent="0.2">
      <c r="B40" s="164" t="str">
        <f>IF(ISBLANK(入力及び計算結果!F41),"",入力及び計算結果!F41)</f>
        <v/>
      </c>
      <c r="C40" s="164" t="str">
        <f>IF(ISBLANK(入力及び計算結果!F42),"",入力及び計算結果!F42)</f>
        <v/>
      </c>
      <c r="D40" s="165" t="str">
        <f>IF(ISNUMBER(C40),LN(C40/C$39),"")</f>
        <v/>
      </c>
      <c r="F40" s="526" t="s">
        <v>77</v>
      </c>
      <c r="G40" s="558" t="s">
        <v>205</v>
      </c>
      <c r="H40" s="559"/>
      <c r="I40" s="560"/>
      <c r="J40" s="166">
        <f>IF(F20=0,0,0.3)</f>
        <v>0.3</v>
      </c>
      <c r="K40" s="150" t="s">
        <v>206</v>
      </c>
      <c r="W40" s="99"/>
      <c r="X40" s="99"/>
      <c r="Y40" s="99"/>
      <c r="Z40" s="99"/>
      <c r="AA40" s="99"/>
      <c r="AB40" s="99"/>
      <c r="AE40" s="99"/>
      <c r="AF40" s="99"/>
      <c r="AG40" s="99"/>
      <c r="AH40" s="99"/>
      <c r="AI40" s="99"/>
      <c r="AJ40" s="99"/>
      <c r="AM40" s="99"/>
      <c r="AN40" s="99"/>
      <c r="AO40" s="99"/>
      <c r="AP40" s="99"/>
      <c r="AQ40" s="99"/>
      <c r="AR40" s="99"/>
      <c r="AS40" s="99"/>
      <c r="AT40" s="99"/>
      <c r="AU40" s="99"/>
      <c r="AV40" s="99"/>
      <c r="AW40" s="99"/>
      <c r="AX40" s="99"/>
      <c r="BX40" s="80"/>
    </row>
    <row r="41" spans="2:76" ht="13.5" customHeight="1" x14ac:dyDescent="0.2">
      <c r="B41" s="164" t="str">
        <f>IF(ISBLANK(入力及び計算結果!G41),"",入力及び計算結果!G41)</f>
        <v/>
      </c>
      <c r="C41" s="164" t="str">
        <f>IF(ISBLANK(入力及び計算結果!G42),"",入力及び計算結果!G42)</f>
        <v/>
      </c>
      <c r="D41" s="165" t="str">
        <f>IF(ISNUMBER(C41),LN(C41/C$39),"")</f>
        <v/>
      </c>
      <c r="F41" s="527"/>
      <c r="G41" s="561"/>
      <c r="H41" s="562"/>
      <c r="I41" s="563"/>
      <c r="J41" s="167"/>
      <c r="K41" s="155"/>
      <c r="W41" s="99"/>
      <c r="X41" s="99"/>
      <c r="Y41" s="99"/>
      <c r="Z41" s="99"/>
      <c r="AA41" s="99"/>
      <c r="AB41" s="99"/>
      <c r="AE41" s="99"/>
      <c r="AF41" s="99"/>
      <c r="AG41" s="99"/>
      <c r="AH41" s="99"/>
      <c r="AI41" s="99"/>
      <c r="AJ41" s="99"/>
      <c r="AM41" s="99"/>
      <c r="AN41" s="99"/>
      <c r="AO41" s="99"/>
      <c r="AP41" s="99"/>
      <c r="AQ41" s="99"/>
      <c r="AR41" s="99"/>
      <c r="AS41" s="99"/>
      <c r="AT41" s="99"/>
      <c r="AU41" s="99"/>
      <c r="AV41" s="99"/>
      <c r="AW41" s="99"/>
      <c r="AX41" s="99"/>
      <c r="BX41" s="80"/>
    </row>
    <row r="42" spans="2:76" ht="13.5" customHeight="1" x14ac:dyDescent="0.2">
      <c r="B42" s="164" t="str">
        <f>IF(ISBLANK(入力及び計算結果!H41),"",入力及び計算結果!H41)</f>
        <v/>
      </c>
      <c r="C42" s="164" t="str">
        <f>IF(ISBLANK(入力及び計算結果!H42),"",入力及び計算結果!H42)</f>
        <v/>
      </c>
      <c r="D42" s="165" t="str">
        <f>IF(ISNUMBER(C42),LN(C42/C$39),"")</f>
        <v/>
      </c>
      <c r="F42" s="46" t="s">
        <v>207</v>
      </c>
      <c r="G42" s="401" t="s">
        <v>208</v>
      </c>
      <c r="H42" s="402"/>
      <c r="I42" s="410"/>
      <c r="J42" s="163">
        <v>0.8</v>
      </c>
      <c r="K42" s="46" t="s">
        <v>209</v>
      </c>
      <c r="W42" s="99"/>
      <c r="X42" s="99"/>
      <c r="Y42" s="99"/>
      <c r="Z42" s="99"/>
      <c r="AA42" s="99"/>
      <c r="AB42" s="99"/>
      <c r="AE42" s="99"/>
      <c r="AF42" s="99"/>
      <c r="AG42" s="99"/>
      <c r="AH42" s="99"/>
      <c r="AI42" s="99"/>
      <c r="AJ42" s="99"/>
      <c r="AM42" s="99"/>
      <c r="AN42" s="99"/>
      <c r="AO42" s="99"/>
      <c r="AP42" s="99"/>
      <c r="AQ42" s="99"/>
      <c r="AR42" s="99"/>
      <c r="AS42" s="99"/>
      <c r="AT42" s="99"/>
      <c r="AU42" s="99"/>
      <c r="AV42" s="99"/>
      <c r="AW42" s="99"/>
      <c r="AX42" s="99"/>
      <c r="BX42" s="80"/>
    </row>
    <row r="43" spans="2:76" ht="13.5" customHeight="1" x14ac:dyDescent="0.2">
      <c r="B43" s="164" t="str">
        <f>IF(ISBLANK(入力及び計算結果!I41),"",入力及び計算結果!I41)</f>
        <v/>
      </c>
      <c r="C43" s="164" t="str">
        <f>IF(ISBLANK(入力及び計算結果!I42),"",入力及び計算結果!I42)</f>
        <v/>
      </c>
      <c r="D43" s="165" t="str">
        <f>IF(ISNUMBER(C43),LN(C43/C$39),"")</f>
        <v/>
      </c>
      <c r="F43" s="526" t="s">
        <v>210</v>
      </c>
      <c r="G43" s="538" t="s">
        <v>211</v>
      </c>
      <c r="H43" s="482"/>
      <c r="I43" s="564"/>
      <c r="J43" s="166">
        <f>IF(F20=0,0,4)</f>
        <v>4</v>
      </c>
      <c r="K43" s="150" t="s">
        <v>206</v>
      </c>
      <c r="W43" s="99"/>
      <c r="X43" s="99"/>
      <c r="Y43" s="99"/>
      <c r="Z43" s="99"/>
      <c r="AA43" s="99"/>
      <c r="AB43" s="99"/>
      <c r="AE43" s="99"/>
      <c r="AF43" s="99"/>
      <c r="AG43" s="99"/>
      <c r="AH43" s="99"/>
      <c r="AI43" s="99"/>
      <c r="AJ43" s="99"/>
      <c r="AM43" s="99"/>
      <c r="AN43" s="99"/>
      <c r="AO43" s="99"/>
      <c r="AP43" s="99"/>
      <c r="AQ43" s="99"/>
      <c r="AR43" s="99"/>
      <c r="AS43" s="99"/>
      <c r="AT43" s="99"/>
      <c r="AU43" s="99"/>
      <c r="AV43" s="99"/>
      <c r="AW43" s="99"/>
      <c r="AX43" s="99"/>
      <c r="BX43" s="80"/>
    </row>
    <row r="44" spans="2:76" ht="13.5" customHeight="1" x14ac:dyDescent="0.2">
      <c r="B44" s="164" t="str">
        <f>IF(ISBLANK(入力及び計算結果!J41),"",入力及び計算結果!J41)</f>
        <v/>
      </c>
      <c r="C44" s="164" t="str">
        <f>IF(ISBLANK(入力及び計算結果!J42),"",入力及び計算結果!J42)</f>
        <v/>
      </c>
      <c r="D44" s="165" t="str">
        <f t="shared" ref="D44:D59" si="0">IF(ISNUMBER(C44),LN(C44/C$39),"")</f>
        <v/>
      </c>
      <c r="F44" s="527"/>
      <c r="G44" s="565"/>
      <c r="H44" s="489"/>
      <c r="I44" s="566"/>
      <c r="J44" s="167"/>
      <c r="K44" s="155"/>
      <c r="W44" s="99"/>
      <c r="X44" s="99"/>
      <c r="Y44" s="99"/>
      <c r="Z44" s="99"/>
      <c r="AA44" s="99"/>
      <c r="AB44" s="99"/>
      <c r="AE44" s="99"/>
      <c r="AF44" s="99"/>
      <c r="AG44" s="99"/>
      <c r="AH44" s="99"/>
      <c r="AI44" s="99"/>
      <c r="AJ44" s="99"/>
      <c r="AM44" s="99"/>
      <c r="AN44" s="99"/>
      <c r="AO44" s="99"/>
      <c r="AP44" s="99"/>
      <c r="AQ44" s="99"/>
      <c r="AR44" s="99"/>
      <c r="AS44" s="99"/>
      <c r="AT44" s="99"/>
      <c r="AU44" s="99"/>
      <c r="AV44" s="99"/>
      <c r="AW44" s="99"/>
      <c r="AX44" s="99"/>
      <c r="BX44" s="80"/>
    </row>
    <row r="45" spans="2:76" ht="13.5" customHeight="1" x14ac:dyDescent="0.2">
      <c r="B45" s="164" t="str">
        <f>IF(ISBLANK(入力及び計算結果!K41),"",入力及び計算結果!K41)</f>
        <v/>
      </c>
      <c r="C45" s="164" t="str">
        <f>IF(ISBLANK(入力及び計算結果!K42),"",入力及び計算結果!K42)</f>
        <v/>
      </c>
      <c r="D45" s="165" t="str">
        <f t="shared" si="0"/>
        <v/>
      </c>
      <c r="F45" s="46" t="s">
        <v>212</v>
      </c>
      <c r="G45" s="401" t="s">
        <v>213</v>
      </c>
      <c r="H45" s="402"/>
      <c r="I45" s="410"/>
      <c r="J45" s="163">
        <v>0.33</v>
      </c>
      <c r="K45" s="46" t="s">
        <v>209</v>
      </c>
      <c r="W45" s="99"/>
      <c r="X45" s="99"/>
      <c r="Y45" s="99"/>
      <c r="Z45" s="99"/>
      <c r="AA45" s="99"/>
      <c r="AB45" s="99"/>
      <c r="AE45" s="99"/>
      <c r="AF45" s="99"/>
      <c r="AG45" s="99"/>
      <c r="AH45" s="99"/>
      <c r="AI45" s="99"/>
      <c r="AJ45" s="99"/>
      <c r="AM45" s="99"/>
      <c r="AN45" s="99"/>
      <c r="AO45" s="99"/>
      <c r="AP45" s="99"/>
      <c r="AQ45" s="99"/>
      <c r="AR45" s="99"/>
      <c r="AS45" s="99"/>
      <c r="AT45" s="99"/>
      <c r="AU45" s="99"/>
      <c r="AV45" s="99"/>
      <c r="AW45" s="99"/>
      <c r="AX45" s="99"/>
      <c r="BX45" s="80"/>
    </row>
    <row r="46" spans="2:76" ht="13.5" customHeight="1" x14ac:dyDescent="0.2">
      <c r="B46" s="164" t="str">
        <f>IF(ISBLANK(入力及び計算結果!L41),"",入力及び計算結果!L41)</f>
        <v/>
      </c>
      <c r="C46" s="164" t="str">
        <f>IF(ISBLANK(入力及び計算結果!L42),"",入力及び計算結果!L42)</f>
        <v/>
      </c>
      <c r="D46" s="165" t="str">
        <f t="shared" si="0"/>
        <v/>
      </c>
      <c r="F46" s="526" t="s">
        <v>214</v>
      </c>
      <c r="G46" s="547" t="s">
        <v>215</v>
      </c>
      <c r="H46" s="539"/>
      <c r="I46" s="571"/>
      <c r="J46" s="166">
        <v>1</v>
      </c>
      <c r="K46" s="150" t="s">
        <v>146</v>
      </c>
      <c r="W46" s="99"/>
      <c r="X46" s="99"/>
      <c r="Y46" s="99"/>
      <c r="Z46" s="99"/>
      <c r="AA46" s="99"/>
      <c r="AB46" s="99"/>
      <c r="AE46" s="99"/>
      <c r="AF46" s="99"/>
      <c r="AG46" s="99"/>
      <c r="AH46" s="99"/>
      <c r="AI46" s="99"/>
      <c r="AJ46" s="99"/>
      <c r="AM46" s="99"/>
      <c r="AN46" s="99"/>
      <c r="AO46" s="99"/>
      <c r="AP46" s="99"/>
      <c r="AQ46" s="99"/>
      <c r="AR46" s="99"/>
      <c r="AS46" s="99"/>
      <c r="AT46" s="99"/>
      <c r="AU46" s="99"/>
      <c r="AV46" s="99"/>
      <c r="AW46" s="99"/>
      <c r="AX46" s="99"/>
      <c r="BX46" s="80"/>
    </row>
    <row r="47" spans="2:76" ht="13.5" customHeight="1" x14ac:dyDescent="0.2">
      <c r="B47" s="164" t="str">
        <f>IF(ISBLANK(入力及び計算結果!M41),"",入力及び計算結果!M41)</f>
        <v/>
      </c>
      <c r="C47" s="164" t="str">
        <f>IF(ISBLANK(入力及び計算結果!M42),"",入力及び計算結果!M42)</f>
        <v/>
      </c>
      <c r="D47" s="165" t="str">
        <f t="shared" si="0"/>
        <v/>
      </c>
      <c r="F47" s="527"/>
      <c r="G47" s="540"/>
      <c r="H47" s="541"/>
      <c r="I47" s="572"/>
      <c r="J47" s="167"/>
      <c r="K47" s="155"/>
      <c r="W47" s="99"/>
      <c r="X47" s="99"/>
      <c r="Y47" s="99"/>
      <c r="Z47" s="99"/>
      <c r="AA47" s="99"/>
      <c r="AB47" s="99"/>
      <c r="AE47" s="99"/>
      <c r="AF47" s="99"/>
      <c r="AG47" s="99"/>
      <c r="AH47" s="99"/>
      <c r="AI47" s="99"/>
      <c r="AJ47" s="99"/>
      <c r="AM47" s="99"/>
      <c r="AN47" s="99"/>
      <c r="AO47" s="99"/>
      <c r="AP47" s="99"/>
      <c r="AQ47" s="99"/>
      <c r="AR47" s="99"/>
      <c r="AS47" s="99"/>
      <c r="AT47" s="99"/>
      <c r="AU47" s="99"/>
      <c r="AV47" s="99"/>
      <c r="AW47" s="99"/>
      <c r="AX47" s="99"/>
      <c r="BX47" s="80"/>
    </row>
    <row r="48" spans="2:76" ht="13.5" customHeight="1" x14ac:dyDescent="0.2">
      <c r="B48" s="164" t="str">
        <f>IF(ISBLANK(入力及び計算結果!N41),"",入力及び計算結果!N41)</f>
        <v/>
      </c>
      <c r="C48" s="164" t="str">
        <f>IF(ISBLANK(入力及び計算結果!N42),"",入力及び計算結果!N42)</f>
        <v/>
      </c>
      <c r="D48" s="165" t="str">
        <f t="shared" si="0"/>
        <v/>
      </c>
      <c r="F48" s="526" t="s">
        <v>216</v>
      </c>
      <c r="G48" s="538" t="s">
        <v>217</v>
      </c>
      <c r="H48" s="539"/>
      <c r="I48" s="539"/>
      <c r="J48" s="571"/>
      <c r="K48" s="150" t="s">
        <v>218</v>
      </c>
      <c r="W48" s="99"/>
      <c r="X48" s="99"/>
      <c r="Y48" s="99"/>
      <c r="Z48" s="99"/>
      <c r="AA48" s="99"/>
      <c r="AB48" s="99"/>
      <c r="AE48" s="99"/>
      <c r="AF48" s="99"/>
      <c r="AG48" s="99"/>
      <c r="AH48" s="99"/>
      <c r="AI48" s="99"/>
      <c r="AJ48" s="99"/>
      <c r="AM48" s="99"/>
      <c r="AN48" s="99"/>
      <c r="AO48" s="99"/>
      <c r="AP48" s="99"/>
      <c r="AQ48" s="99"/>
      <c r="AR48" s="99"/>
      <c r="AS48" s="99"/>
      <c r="AT48" s="99"/>
      <c r="AU48" s="99"/>
      <c r="AV48" s="99"/>
      <c r="AW48" s="99"/>
      <c r="AX48" s="99"/>
      <c r="BX48" s="80"/>
    </row>
    <row r="49" spans="1:87" ht="13.5" customHeight="1" x14ac:dyDescent="0.2">
      <c r="B49" s="4"/>
      <c r="C49" s="4"/>
      <c r="D49" s="165" t="str">
        <f t="shared" si="0"/>
        <v/>
      </c>
      <c r="F49" s="527"/>
      <c r="G49" s="540"/>
      <c r="H49" s="541"/>
      <c r="I49" s="541"/>
      <c r="J49" s="572"/>
      <c r="K49" s="155"/>
      <c r="W49" s="99"/>
      <c r="X49" s="99"/>
      <c r="Y49" s="99"/>
      <c r="Z49" s="99"/>
      <c r="AA49" s="99"/>
      <c r="AB49" s="99"/>
      <c r="AE49" s="99"/>
      <c r="AF49" s="99"/>
      <c r="AG49" s="99"/>
      <c r="AH49" s="99"/>
      <c r="AI49" s="99"/>
      <c r="AJ49" s="99"/>
      <c r="AM49" s="99"/>
      <c r="AN49" s="99"/>
      <c r="AO49" s="99"/>
      <c r="AP49" s="99"/>
      <c r="AQ49" s="99"/>
      <c r="AR49" s="99"/>
      <c r="AS49" s="99"/>
      <c r="AT49" s="99"/>
      <c r="AU49" s="99"/>
      <c r="AV49" s="99"/>
      <c r="AW49" s="99"/>
      <c r="AX49" s="99"/>
      <c r="BX49" s="80"/>
    </row>
    <row r="50" spans="1:87" ht="13.5" customHeight="1" x14ac:dyDescent="0.2">
      <c r="B50" s="4"/>
      <c r="C50" s="4"/>
      <c r="D50" s="165" t="str">
        <f t="shared" si="0"/>
        <v/>
      </c>
      <c r="F50" s="43" t="s">
        <v>219</v>
      </c>
      <c r="G50" s="380" t="s">
        <v>220</v>
      </c>
      <c r="H50" s="452"/>
      <c r="I50" s="453"/>
      <c r="J50" s="168">
        <v>2000</v>
      </c>
      <c r="K50" s="87" t="s">
        <v>218</v>
      </c>
      <c r="W50" s="99"/>
      <c r="X50" s="99"/>
      <c r="Y50" s="99"/>
      <c r="Z50" s="99"/>
      <c r="AA50" s="99"/>
      <c r="AB50" s="99"/>
      <c r="AE50" s="99"/>
      <c r="AF50" s="99"/>
      <c r="AG50" s="99"/>
      <c r="AH50" s="99"/>
      <c r="AI50" s="99"/>
      <c r="AJ50" s="99"/>
      <c r="AM50" s="99"/>
      <c r="AN50" s="99"/>
      <c r="AO50" s="99"/>
      <c r="AP50" s="99"/>
      <c r="AQ50" s="99"/>
      <c r="AR50" s="99"/>
      <c r="AS50" s="99"/>
      <c r="AT50" s="99"/>
      <c r="AU50" s="99"/>
      <c r="AV50" s="99"/>
      <c r="AW50" s="99"/>
      <c r="AX50" s="99"/>
      <c r="BX50" s="80"/>
    </row>
    <row r="51" spans="1:87" ht="13.5" customHeight="1" x14ac:dyDescent="0.2">
      <c r="B51" s="4"/>
      <c r="C51" s="4"/>
      <c r="D51" s="165" t="str">
        <f t="shared" si="0"/>
        <v/>
      </c>
      <c r="F51" s="27" t="s">
        <v>221</v>
      </c>
      <c r="G51" s="380" t="s">
        <v>222</v>
      </c>
      <c r="H51" s="452"/>
      <c r="I51" s="453"/>
      <c r="J51" s="168">
        <v>1</v>
      </c>
      <c r="K51" s="87" t="s">
        <v>223</v>
      </c>
      <c r="W51" s="99"/>
      <c r="X51" s="99"/>
      <c r="Y51" s="99"/>
      <c r="Z51" s="99"/>
      <c r="AA51" s="99"/>
      <c r="AB51" s="99"/>
      <c r="AE51" s="99"/>
      <c r="AF51" s="99"/>
      <c r="AG51" s="99"/>
      <c r="AH51" s="99"/>
      <c r="AI51" s="99"/>
      <c r="AJ51" s="99"/>
      <c r="AM51" s="99"/>
      <c r="AN51" s="99"/>
      <c r="AO51" s="99"/>
      <c r="AP51" s="99"/>
      <c r="AQ51" s="99"/>
      <c r="AR51" s="99"/>
      <c r="AS51" s="99"/>
      <c r="AT51" s="99"/>
      <c r="AU51" s="99"/>
      <c r="AV51" s="99"/>
      <c r="AW51" s="99"/>
      <c r="AX51" s="99"/>
      <c r="BX51" s="80"/>
    </row>
    <row r="52" spans="1:87" ht="13.5" customHeight="1" x14ac:dyDescent="0.2">
      <c r="B52" s="4"/>
      <c r="C52" s="4"/>
      <c r="D52" s="165" t="str">
        <f t="shared" si="0"/>
        <v/>
      </c>
      <c r="F52" s="27" t="s">
        <v>224</v>
      </c>
      <c r="G52" s="380" t="s">
        <v>225</v>
      </c>
      <c r="H52" s="452"/>
      <c r="I52" s="453"/>
      <c r="J52" s="168">
        <v>1.2</v>
      </c>
      <c r="K52" s="87" t="s">
        <v>206</v>
      </c>
      <c r="W52" s="99"/>
      <c r="X52" s="99"/>
      <c r="Y52" s="99"/>
      <c r="Z52" s="99"/>
      <c r="AA52" s="99"/>
      <c r="AB52" s="99"/>
      <c r="AE52" s="99"/>
      <c r="AF52" s="99"/>
      <c r="AG52" s="99"/>
      <c r="AH52" s="99"/>
      <c r="AI52" s="99"/>
      <c r="AJ52" s="99"/>
      <c r="AM52" s="99"/>
      <c r="AN52" s="99"/>
      <c r="AO52" s="99"/>
      <c r="AP52" s="99"/>
      <c r="AQ52" s="99"/>
      <c r="AR52" s="99"/>
      <c r="AS52" s="99"/>
      <c r="AT52" s="99"/>
      <c r="AU52" s="99"/>
      <c r="AV52" s="99"/>
      <c r="AW52" s="99"/>
      <c r="AX52" s="99"/>
      <c r="BX52" s="80"/>
    </row>
    <row r="53" spans="1:87" ht="13.5" customHeight="1" x14ac:dyDescent="0.2">
      <c r="B53" s="4"/>
      <c r="C53" s="4"/>
      <c r="D53" s="165" t="str">
        <f t="shared" si="0"/>
        <v/>
      </c>
      <c r="F53" s="27" t="s">
        <v>226</v>
      </c>
      <c r="G53" s="380" t="s">
        <v>227</v>
      </c>
      <c r="H53" s="452"/>
      <c r="I53" s="453"/>
      <c r="J53" s="168">
        <v>1</v>
      </c>
      <c r="K53" s="87" t="s">
        <v>223</v>
      </c>
      <c r="W53" s="99"/>
      <c r="X53" s="99"/>
      <c r="Y53" s="99"/>
      <c r="Z53" s="99"/>
      <c r="AA53" s="99"/>
      <c r="AB53" s="99"/>
      <c r="AE53" s="99"/>
      <c r="AF53" s="99"/>
      <c r="AG53" s="99"/>
      <c r="AH53" s="99"/>
      <c r="AI53" s="99"/>
      <c r="AJ53" s="99"/>
      <c r="AM53" s="99"/>
      <c r="AN53" s="99"/>
      <c r="AO53" s="99"/>
      <c r="AP53" s="99"/>
      <c r="AQ53" s="99"/>
      <c r="AR53" s="99"/>
      <c r="AS53" s="99"/>
      <c r="AT53" s="99"/>
      <c r="AU53" s="99"/>
      <c r="AV53" s="99"/>
      <c r="AW53" s="99"/>
      <c r="AX53" s="99"/>
      <c r="BX53" s="80"/>
    </row>
    <row r="54" spans="1:87" ht="13.5" customHeight="1" x14ac:dyDescent="0.2">
      <c r="B54" s="4"/>
      <c r="C54" s="5"/>
      <c r="D54" s="165" t="str">
        <f t="shared" si="0"/>
        <v/>
      </c>
      <c r="F54" s="27" t="s">
        <v>228</v>
      </c>
      <c r="G54" s="576" t="s">
        <v>229</v>
      </c>
      <c r="H54" s="577"/>
      <c r="I54" s="578"/>
      <c r="J54" s="168">
        <v>2.4</v>
      </c>
      <c r="K54" s="87" t="s">
        <v>230</v>
      </c>
      <c r="W54" s="99"/>
      <c r="X54" s="99"/>
      <c r="Y54" s="99"/>
      <c r="Z54" s="99"/>
      <c r="AA54" s="99"/>
      <c r="AB54" s="99"/>
      <c r="AE54" s="99"/>
      <c r="AF54" s="99"/>
      <c r="AG54" s="99"/>
      <c r="AH54" s="99"/>
      <c r="AI54" s="99"/>
      <c r="AJ54" s="99"/>
      <c r="AM54" s="99"/>
      <c r="AN54" s="99"/>
      <c r="AO54" s="99"/>
      <c r="AP54" s="99"/>
      <c r="AQ54" s="99"/>
      <c r="AR54" s="99"/>
      <c r="AS54" s="99"/>
      <c r="AT54" s="99"/>
      <c r="AU54" s="99"/>
      <c r="AV54" s="99"/>
      <c r="AW54" s="99"/>
      <c r="AX54" s="99"/>
      <c r="BX54" s="80"/>
    </row>
    <row r="55" spans="1:87" ht="13.5" customHeight="1" x14ac:dyDescent="0.2">
      <c r="B55" s="4"/>
      <c r="C55" s="4"/>
      <c r="D55" s="165" t="str">
        <f t="shared" si="0"/>
        <v/>
      </c>
      <c r="F55" s="27" t="s">
        <v>231</v>
      </c>
      <c r="G55" s="380" t="s">
        <v>232</v>
      </c>
      <c r="H55" s="452"/>
      <c r="I55" s="453"/>
      <c r="J55" s="168">
        <v>2.9</v>
      </c>
      <c r="K55" s="87" t="s">
        <v>206</v>
      </c>
      <c r="W55" s="99"/>
      <c r="X55" s="99"/>
      <c r="Y55" s="99"/>
      <c r="Z55" s="99"/>
      <c r="AA55" s="99"/>
      <c r="AB55" s="99"/>
      <c r="AE55" s="99"/>
      <c r="AF55" s="99"/>
      <c r="AG55" s="99"/>
      <c r="AH55" s="99"/>
      <c r="AI55" s="99"/>
      <c r="AJ55" s="99"/>
      <c r="AM55" s="99"/>
      <c r="AN55" s="99"/>
      <c r="AO55" s="99"/>
      <c r="AP55" s="99"/>
      <c r="AQ55" s="99"/>
      <c r="AR55" s="99"/>
      <c r="AS55" s="99"/>
      <c r="AT55" s="99"/>
      <c r="AU55" s="99"/>
      <c r="AV55" s="99"/>
      <c r="AW55" s="99"/>
      <c r="AX55" s="99"/>
      <c r="BX55" s="80"/>
    </row>
    <row r="56" spans="1:87" ht="13.5" customHeight="1" x14ac:dyDescent="0.2">
      <c r="B56" s="4"/>
      <c r="C56" s="4"/>
      <c r="D56" s="165" t="str">
        <f t="shared" si="0"/>
        <v/>
      </c>
      <c r="F56" s="27" t="s">
        <v>233</v>
      </c>
      <c r="G56" s="380" t="s">
        <v>234</v>
      </c>
      <c r="H56" s="452"/>
      <c r="I56" s="453"/>
      <c r="J56" s="169" t="str">
        <f>IF(ISNUMBER(Koc),(Plevee/rws)*Koc*(Oclevee/100)+1,"-")</f>
        <v>-</v>
      </c>
      <c r="K56" s="170" t="s">
        <v>230</v>
      </c>
      <c r="W56" s="99"/>
      <c r="X56" s="99"/>
      <c r="Y56" s="99"/>
      <c r="Z56" s="99"/>
      <c r="AA56" s="99"/>
      <c r="AB56" s="99"/>
      <c r="AE56" s="99"/>
      <c r="AF56" s="99"/>
      <c r="AG56" s="99"/>
      <c r="AH56" s="99"/>
      <c r="AI56" s="99"/>
      <c r="AJ56" s="99"/>
      <c r="AM56" s="99"/>
      <c r="AN56" s="99"/>
      <c r="AO56" s="99"/>
      <c r="AP56" s="99"/>
      <c r="AQ56" s="99"/>
      <c r="AR56" s="99"/>
      <c r="AS56" s="99"/>
      <c r="AT56" s="99"/>
      <c r="AU56" s="99"/>
      <c r="AV56" s="99"/>
      <c r="AW56" s="99"/>
      <c r="AX56" s="99"/>
      <c r="BX56" s="80"/>
    </row>
    <row r="57" spans="1:87" ht="13.5" customHeight="1" x14ac:dyDescent="0.2">
      <c r="B57" s="4"/>
      <c r="C57" s="4"/>
      <c r="D57" s="165" t="str">
        <f t="shared" si="0"/>
        <v/>
      </c>
      <c r="F57" s="171"/>
      <c r="H57" s="67"/>
      <c r="I57" s="67"/>
      <c r="J57" s="172"/>
      <c r="W57" s="99"/>
      <c r="X57" s="99"/>
      <c r="Y57" s="99"/>
      <c r="Z57" s="99"/>
      <c r="AA57" s="99"/>
      <c r="AB57" s="99"/>
      <c r="AE57" s="99"/>
      <c r="AF57" s="99"/>
      <c r="AG57" s="99"/>
      <c r="AH57" s="99"/>
      <c r="AI57" s="99"/>
      <c r="AJ57" s="99"/>
      <c r="AM57" s="99"/>
      <c r="AN57" s="99"/>
      <c r="AO57" s="99"/>
      <c r="AP57" s="99"/>
      <c r="AQ57" s="99"/>
      <c r="AR57" s="99"/>
      <c r="AS57" s="99"/>
      <c r="AT57" s="99"/>
      <c r="AU57" s="99"/>
      <c r="AV57" s="99"/>
      <c r="AW57" s="99"/>
      <c r="AX57" s="99"/>
      <c r="BX57" s="80"/>
    </row>
    <row r="58" spans="1:87" ht="13.5" customHeight="1" x14ac:dyDescent="0.2">
      <c r="B58" s="4"/>
      <c r="C58" s="4"/>
      <c r="D58" s="165" t="str">
        <f t="shared" si="0"/>
        <v/>
      </c>
      <c r="F58" s="123"/>
      <c r="H58" s="67"/>
      <c r="I58" s="67"/>
      <c r="W58" s="99"/>
      <c r="X58" s="99"/>
      <c r="Y58" s="99"/>
      <c r="Z58" s="99"/>
      <c r="AA58" s="99"/>
      <c r="AB58" s="99"/>
      <c r="AE58" s="99"/>
      <c r="AF58" s="99"/>
      <c r="AG58" s="99"/>
      <c r="AH58" s="99"/>
      <c r="AI58" s="99"/>
      <c r="AJ58" s="99"/>
      <c r="AM58" s="99"/>
      <c r="AN58" s="99"/>
      <c r="AO58" s="99"/>
      <c r="AP58" s="99"/>
      <c r="AQ58" s="99"/>
      <c r="AR58" s="99"/>
      <c r="AS58" s="99"/>
      <c r="AT58" s="99"/>
      <c r="AU58" s="99"/>
      <c r="AV58" s="99"/>
      <c r="AW58" s="99"/>
      <c r="AX58" s="99"/>
      <c r="BX58" s="80"/>
    </row>
    <row r="59" spans="1:87" ht="13.5" customHeight="1" thickBot="1" x14ac:dyDescent="0.25">
      <c r="B59" s="6"/>
      <c r="C59" s="6"/>
      <c r="D59" s="165" t="str">
        <f t="shared" si="0"/>
        <v/>
      </c>
      <c r="H59" s="67"/>
      <c r="I59" s="67"/>
      <c r="W59" s="99"/>
      <c r="X59" s="99"/>
      <c r="Y59" s="99"/>
      <c r="Z59" s="99"/>
      <c r="AA59" s="99"/>
      <c r="AB59" s="99"/>
      <c r="AE59" s="99"/>
      <c r="AF59" s="99"/>
      <c r="AG59" s="99"/>
      <c r="AH59" s="99"/>
      <c r="AI59" s="99"/>
      <c r="AJ59" s="99"/>
      <c r="AM59" s="99"/>
      <c r="AN59" s="99"/>
      <c r="AO59" s="99"/>
      <c r="AP59" s="99"/>
      <c r="AQ59" s="99"/>
      <c r="AR59" s="99"/>
      <c r="AS59" s="99"/>
      <c r="AT59" s="99"/>
      <c r="AU59" s="99"/>
      <c r="AV59" s="99"/>
      <c r="AW59" s="99"/>
      <c r="AX59" s="99"/>
      <c r="BX59" s="80"/>
    </row>
    <row r="60" spans="1:87" ht="13.5" customHeight="1" thickTop="1" x14ac:dyDescent="0.2">
      <c r="B60" s="91"/>
      <c r="H60" s="67"/>
      <c r="I60" s="67"/>
      <c r="W60" s="99"/>
      <c r="X60" s="99"/>
      <c r="Y60" s="99"/>
      <c r="Z60" s="99"/>
      <c r="AA60" s="99"/>
      <c r="AB60" s="99"/>
      <c r="AE60" s="99"/>
      <c r="AF60" s="99"/>
      <c r="AG60" s="99"/>
      <c r="AH60" s="99"/>
      <c r="AI60" s="99"/>
      <c r="AJ60" s="99"/>
      <c r="AM60" s="99"/>
      <c r="AN60" s="99"/>
      <c r="AO60" s="99"/>
      <c r="AP60" s="99"/>
      <c r="AQ60" s="99"/>
      <c r="AR60" s="99"/>
      <c r="AS60" s="99"/>
      <c r="AT60" s="99"/>
      <c r="AU60" s="99"/>
      <c r="AV60" s="99"/>
      <c r="AW60" s="99"/>
      <c r="AX60" s="99"/>
      <c r="BX60" s="80"/>
    </row>
    <row r="61" spans="1:87" ht="13.5" customHeight="1" x14ac:dyDescent="0.2">
      <c r="A61"/>
      <c r="B61" s="579" t="s">
        <v>235</v>
      </c>
      <c r="C61" s="522"/>
      <c r="D61" s="522"/>
      <c r="E61" s="522"/>
      <c r="V61" s="67"/>
      <c r="W61" s="67"/>
      <c r="X61" s="67"/>
      <c r="Y61" s="67"/>
      <c r="Z61" s="67"/>
      <c r="AA61" s="67"/>
      <c r="AB61" s="67"/>
      <c r="AD61" s="67"/>
      <c r="AE61" s="67"/>
      <c r="AF61" s="67"/>
      <c r="AG61" s="67"/>
      <c r="AH61" s="67"/>
      <c r="AI61" s="67"/>
      <c r="AJ61" s="67"/>
      <c r="AL61" s="67"/>
      <c r="AM61" s="67"/>
      <c r="AN61" s="67"/>
      <c r="AO61" s="67"/>
      <c r="AP61" s="67"/>
      <c r="AQ61" s="67"/>
      <c r="AR61" s="67"/>
      <c r="AS61" s="67"/>
      <c r="AT61" s="67"/>
      <c r="AU61" s="67"/>
      <c r="AV61" s="67"/>
      <c r="AW61" s="67"/>
      <c r="AX61" s="67"/>
      <c r="AY61" s="67"/>
      <c r="AZ61" s="80"/>
      <c r="BA61" s="144"/>
      <c r="BB61" s="80"/>
      <c r="BC61" s="144"/>
      <c r="BD61" s="144"/>
      <c r="BE61" s="144"/>
      <c r="BF61" s="144"/>
      <c r="BG61" s="67"/>
      <c r="BH61" s="80"/>
      <c r="BI61" s="144"/>
      <c r="BJ61" s="80"/>
      <c r="BK61" s="144"/>
      <c r="BL61" s="144"/>
      <c r="BM61" s="144"/>
      <c r="BN61" s="144"/>
      <c r="BO61" s="67"/>
      <c r="BP61" s="80"/>
      <c r="BQ61" s="144"/>
      <c r="BR61" s="80"/>
      <c r="BS61" s="144"/>
      <c r="BT61" s="144"/>
      <c r="BV61" s="144"/>
      <c r="BW61" s="80"/>
      <c r="BX61" s="67"/>
      <c r="BY61" s="67"/>
      <c r="CB61"/>
      <c r="CC61"/>
      <c r="CD61"/>
      <c r="CE61"/>
      <c r="CF61"/>
      <c r="CG61"/>
      <c r="CH61"/>
      <c r="CI61"/>
    </row>
    <row r="62" spans="1:87" ht="13.5" customHeight="1" x14ac:dyDescent="0.2">
      <c r="A62"/>
      <c r="B62" s="522"/>
      <c r="C62" s="522"/>
      <c r="D62" s="522"/>
      <c r="E62" s="522"/>
      <c r="V62" s="67"/>
      <c r="W62" s="67"/>
      <c r="X62" s="67"/>
      <c r="Y62" s="67"/>
      <c r="Z62" s="67"/>
      <c r="AA62" s="67"/>
      <c r="AB62" s="67"/>
      <c r="AD62" s="67"/>
      <c r="AE62" s="67"/>
      <c r="AF62" s="67"/>
      <c r="AG62" s="67"/>
      <c r="AH62" s="67"/>
      <c r="AI62" s="67"/>
      <c r="AJ62" s="67"/>
      <c r="AL62" s="67"/>
      <c r="AM62" s="67"/>
      <c r="AN62" s="67"/>
      <c r="AO62" s="67"/>
      <c r="AP62" s="67"/>
      <c r="AQ62" s="67"/>
      <c r="AR62" s="67"/>
      <c r="AS62" s="67"/>
      <c r="AT62" s="67"/>
      <c r="AU62" s="67"/>
      <c r="AV62" s="67"/>
      <c r="AW62" s="67"/>
      <c r="AX62" s="67"/>
      <c r="AY62" s="67"/>
      <c r="AZ62" s="80"/>
      <c r="BA62" s="144"/>
      <c r="BB62" s="80"/>
      <c r="BC62" s="144"/>
      <c r="BD62" s="144"/>
      <c r="BE62" s="144"/>
      <c r="BF62" s="144"/>
      <c r="BG62" s="67"/>
      <c r="BH62" s="80"/>
      <c r="BI62" s="144"/>
      <c r="BJ62" s="80"/>
      <c r="BK62" s="144"/>
      <c r="BL62" s="144"/>
      <c r="BM62" s="144"/>
      <c r="BN62" s="144"/>
      <c r="BO62" s="67"/>
      <c r="BP62" s="80"/>
      <c r="BQ62" s="144"/>
      <c r="BR62" s="80"/>
      <c r="BS62" s="144"/>
      <c r="BT62" s="144"/>
      <c r="BV62" s="144"/>
      <c r="BW62" s="80"/>
      <c r="BX62" s="67"/>
      <c r="BY62" s="67"/>
      <c r="CB62"/>
      <c r="CC62"/>
      <c r="CD62"/>
      <c r="CE62"/>
      <c r="CF62"/>
      <c r="CG62"/>
      <c r="CH62"/>
      <c r="CI62"/>
    </row>
    <row r="63" spans="1:87" ht="13.5" customHeight="1" x14ac:dyDescent="0.2">
      <c r="A63"/>
      <c r="B63" s="522"/>
      <c r="C63" s="522"/>
      <c r="D63" s="522"/>
      <c r="E63" s="522"/>
      <c r="V63" s="67"/>
      <c r="W63" s="67"/>
      <c r="X63" s="67"/>
      <c r="Y63" s="67"/>
      <c r="Z63" s="67"/>
      <c r="AA63" s="67"/>
      <c r="AB63" s="67"/>
      <c r="AD63" s="67"/>
      <c r="AE63" s="67"/>
      <c r="AF63" s="67"/>
      <c r="AG63" s="67"/>
      <c r="AH63" s="67"/>
      <c r="AI63" s="67"/>
      <c r="AJ63" s="67"/>
      <c r="AL63" s="67"/>
      <c r="AM63" s="67"/>
      <c r="AN63" s="67"/>
      <c r="AO63" s="67"/>
      <c r="AP63" s="67"/>
      <c r="AQ63" s="67"/>
      <c r="AR63" s="67"/>
      <c r="AS63" s="67"/>
      <c r="AT63" s="67"/>
      <c r="AU63" s="67"/>
      <c r="AV63" s="67"/>
      <c r="AW63" s="67"/>
      <c r="AX63" s="67"/>
      <c r="AY63" s="67"/>
      <c r="AZ63" s="80"/>
      <c r="BA63" s="144"/>
      <c r="BB63" s="80"/>
      <c r="BC63" s="144"/>
      <c r="BD63" s="144"/>
      <c r="BE63" s="144"/>
      <c r="BF63" s="144"/>
      <c r="BG63" s="67"/>
      <c r="BH63" s="80"/>
      <c r="BI63" s="144"/>
      <c r="BJ63" s="80"/>
      <c r="BK63" s="144"/>
      <c r="BL63" s="144"/>
      <c r="BM63" s="144"/>
      <c r="BN63" s="144"/>
      <c r="BO63" s="67"/>
      <c r="BP63" s="80"/>
      <c r="BQ63" s="144"/>
      <c r="BR63" s="80"/>
      <c r="BS63" s="144"/>
      <c r="BT63" s="144"/>
      <c r="BV63" s="144"/>
      <c r="BW63" s="80"/>
      <c r="BX63" s="67"/>
      <c r="BY63" s="67"/>
      <c r="CB63"/>
      <c r="CC63"/>
      <c r="CD63"/>
      <c r="CE63"/>
      <c r="CF63"/>
      <c r="CG63"/>
      <c r="CH63"/>
      <c r="CI63"/>
    </row>
    <row r="64" spans="1:87" ht="13.5" customHeight="1" x14ac:dyDescent="0.2">
      <c r="A64"/>
      <c r="B64" s="522"/>
      <c r="C64" s="522"/>
      <c r="D64" s="522"/>
      <c r="E64" s="522"/>
      <c r="V64" s="67"/>
      <c r="W64" s="67"/>
      <c r="X64" s="67"/>
      <c r="Y64" s="67"/>
      <c r="Z64" s="67"/>
      <c r="AA64" s="67"/>
      <c r="AB64" s="67"/>
      <c r="AD64" s="67"/>
      <c r="AE64" s="67"/>
      <c r="AF64" s="67"/>
      <c r="AG64" s="67"/>
      <c r="AH64" s="67"/>
      <c r="AI64" s="67"/>
      <c r="AJ64" s="67"/>
      <c r="AL64" s="67"/>
      <c r="AM64" s="67"/>
      <c r="AN64" s="67"/>
      <c r="AO64" s="67"/>
      <c r="AP64" s="67"/>
      <c r="AQ64" s="67"/>
      <c r="AR64" s="67"/>
      <c r="AS64" s="67"/>
      <c r="AT64" s="67"/>
      <c r="AU64" s="67"/>
      <c r="AV64" s="67"/>
      <c r="AW64" s="67"/>
      <c r="AX64" s="67"/>
      <c r="AY64" s="67"/>
      <c r="AZ64" s="80"/>
      <c r="BA64" s="144"/>
      <c r="BB64" s="80"/>
      <c r="BC64" s="144"/>
      <c r="BD64" s="144"/>
      <c r="BE64" s="144"/>
      <c r="BF64" s="144"/>
      <c r="BG64" s="67"/>
      <c r="BH64" s="80"/>
      <c r="BI64" s="144"/>
      <c r="BJ64" s="80"/>
      <c r="BK64" s="144"/>
      <c r="BL64" s="144"/>
      <c r="BM64" s="144"/>
      <c r="BN64" s="144"/>
      <c r="BO64" s="67"/>
      <c r="BP64" s="80"/>
      <c r="BQ64" s="144"/>
      <c r="BR64" s="80"/>
      <c r="BS64" s="144"/>
      <c r="BT64" s="144"/>
      <c r="BV64" s="144"/>
      <c r="BW64" s="80"/>
      <c r="BX64" s="67"/>
      <c r="BY64" s="67"/>
      <c r="CB64"/>
      <c r="CC64"/>
      <c r="CD64"/>
      <c r="CE64"/>
      <c r="CF64"/>
      <c r="CG64"/>
      <c r="CH64"/>
      <c r="CI64"/>
    </row>
    <row r="65" spans="1:91" ht="13.5" customHeight="1" thickBot="1" x14ac:dyDescent="0.25">
      <c r="B65" s="380" t="s">
        <v>236</v>
      </c>
      <c r="C65" s="452"/>
      <c r="D65" s="23" t="str">
        <f>IF(ISERR(LN(2)/(-SLOPE(D39:D59,B39:B59))),"",(LN(2)/(-SLOPE(D39:D59,B39:B59))))</f>
        <v/>
      </c>
      <c r="E65" s="104" t="s">
        <v>146</v>
      </c>
      <c r="H65" s="67"/>
      <c r="I65" s="67"/>
      <c r="W65" s="99"/>
      <c r="X65" s="99"/>
      <c r="Y65" s="99"/>
      <c r="Z65" s="67"/>
      <c r="AA65" s="99"/>
      <c r="AB65" s="99"/>
      <c r="AE65" s="99"/>
      <c r="AF65" s="99"/>
      <c r="AG65" s="99"/>
      <c r="AH65" s="67"/>
      <c r="AI65" s="99"/>
      <c r="AJ65" s="99"/>
      <c r="AM65" s="99"/>
      <c r="AN65" s="99"/>
      <c r="AO65" s="99"/>
      <c r="AP65" s="67"/>
      <c r="AQ65" s="99"/>
      <c r="AR65" s="99"/>
      <c r="AS65" s="99"/>
      <c r="AT65" s="99"/>
      <c r="AU65" s="99"/>
      <c r="AV65" s="99"/>
      <c r="AW65" s="99"/>
      <c r="AX65" s="99"/>
      <c r="BX65" s="80"/>
    </row>
    <row r="66" spans="1:91" ht="13.5" customHeight="1" thickTop="1" thickBot="1" x14ac:dyDescent="0.25">
      <c r="B66" s="91"/>
      <c r="C66" s="173"/>
      <c r="G66" s="507" t="s">
        <v>117</v>
      </c>
      <c r="H66" s="580"/>
      <c r="I66" s="2"/>
      <c r="W66" s="99"/>
      <c r="X66" s="99"/>
      <c r="Y66" s="99"/>
      <c r="Z66" s="67"/>
      <c r="AA66" s="99"/>
      <c r="AB66" s="99"/>
      <c r="AE66" s="99"/>
      <c r="AF66" s="99"/>
      <c r="AG66" s="99"/>
      <c r="AH66" s="67"/>
      <c r="AI66" s="99"/>
      <c r="AJ66" s="99"/>
      <c r="AM66" s="99"/>
      <c r="AN66" s="99"/>
      <c r="AO66" s="99"/>
      <c r="AP66" s="67"/>
      <c r="AQ66" s="99"/>
      <c r="AR66" s="99"/>
      <c r="AS66" s="99"/>
      <c r="AT66" s="99"/>
      <c r="AU66" s="99"/>
      <c r="AV66" s="99"/>
      <c r="AW66" s="99"/>
      <c r="AX66" s="99"/>
      <c r="BX66" s="80"/>
    </row>
    <row r="67" spans="1:91" ht="13.5" customHeight="1" thickTop="1" x14ac:dyDescent="0.2">
      <c r="B67" s="91"/>
      <c r="C67" s="123"/>
      <c r="G67" s="79" t="s">
        <v>120</v>
      </c>
      <c r="H67" s="115"/>
      <c r="I67" s="115"/>
      <c r="Q67" s="99"/>
      <c r="R67" s="99"/>
      <c r="S67" s="99"/>
      <c r="T67" s="99"/>
      <c r="U67" s="67"/>
      <c r="V67" s="67"/>
      <c r="W67" s="99"/>
      <c r="X67" s="99"/>
      <c r="Y67" s="99"/>
      <c r="Z67" s="99"/>
      <c r="AA67" s="99"/>
      <c r="AB67" s="99"/>
      <c r="AC67" s="67"/>
      <c r="AD67" s="67"/>
      <c r="AE67" s="99"/>
      <c r="AF67" s="99"/>
      <c r="AG67" s="99"/>
      <c r="AH67" s="99"/>
      <c r="AI67" s="99"/>
      <c r="AJ67" s="99"/>
      <c r="AK67" s="67"/>
      <c r="AL67" s="67"/>
      <c r="AM67" s="99"/>
      <c r="AN67" s="99"/>
      <c r="AO67" s="99"/>
      <c r="AP67" s="99"/>
      <c r="AQ67" s="99"/>
      <c r="AR67" s="99"/>
      <c r="AS67" s="99"/>
      <c r="AT67" s="99"/>
      <c r="AU67" s="143"/>
      <c r="AV67" s="99"/>
      <c r="AW67" s="143"/>
      <c r="AX67" s="143"/>
      <c r="AY67" s="143"/>
      <c r="AZ67" s="143"/>
      <c r="BA67" s="99"/>
      <c r="BD67" s="99"/>
      <c r="BG67" s="143"/>
      <c r="BH67" s="143"/>
      <c r="BI67" s="99"/>
      <c r="BL67" s="99"/>
      <c r="BO67" s="143"/>
      <c r="BP67" s="143"/>
      <c r="BR67" s="143"/>
      <c r="BT67" s="80"/>
      <c r="BV67" s="80"/>
      <c r="BW67" s="80"/>
      <c r="BX67" s="80"/>
      <c r="CA67" s="99"/>
      <c r="CB67" s="99"/>
      <c r="CC67" s="99"/>
      <c r="CD67" s="99"/>
      <c r="CE67" s="99"/>
      <c r="CF67" s="99"/>
      <c r="CI67"/>
    </row>
    <row r="68" spans="1:91" ht="13.5" customHeight="1" thickBot="1" x14ac:dyDescent="0.25">
      <c r="B68" s="91"/>
      <c r="C68" s="40" t="s">
        <v>237</v>
      </c>
      <c r="Q68" s="99"/>
      <c r="R68" s="99"/>
      <c r="S68" s="99"/>
      <c r="T68" s="99"/>
      <c r="U68" s="67"/>
      <c r="V68" s="67"/>
      <c r="W68" s="99"/>
      <c r="X68" s="99"/>
      <c r="Y68" s="99"/>
      <c r="Z68" s="99"/>
      <c r="AA68" s="99"/>
      <c r="AB68" s="99"/>
      <c r="AC68" s="67"/>
      <c r="AD68" s="67"/>
      <c r="AE68" s="99"/>
      <c r="AF68" s="99"/>
      <c r="AG68" s="99"/>
      <c r="AH68" s="99"/>
      <c r="AI68" s="99"/>
      <c r="AJ68" s="99"/>
      <c r="AK68" s="67"/>
      <c r="AL68" s="67"/>
      <c r="AM68" s="99"/>
      <c r="AN68" s="99"/>
      <c r="AO68" s="99"/>
      <c r="AP68" s="99"/>
      <c r="AQ68" s="99"/>
      <c r="AR68" s="99"/>
      <c r="AS68" s="99"/>
      <c r="AT68" s="99"/>
      <c r="AU68" s="143"/>
      <c r="AV68" s="99"/>
      <c r="AW68" s="143"/>
      <c r="AX68" s="143"/>
      <c r="AY68" s="143"/>
      <c r="AZ68" s="143"/>
      <c r="BA68" s="99"/>
      <c r="BD68" s="99"/>
      <c r="BG68" s="143"/>
      <c r="BH68" s="143"/>
      <c r="BI68" s="99"/>
      <c r="BL68" s="99"/>
      <c r="BO68" s="143"/>
      <c r="BP68" s="143"/>
      <c r="BR68" s="143"/>
      <c r="BT68" s="80"/>
      <c r="BV68" s="80"/>
      <c r="BW68" s="80"/>
      <c r="BX68" s="80"/>
      <c r="CA68" s="99"/>
      <c r="CB68" s="99"/>
      <c r="CC68" s="99"/>
      <c r="CD68" s="99"/>
      <c r="CE68" s="99"/>
      <c r="CF68" s="99"/>
      <c r="CI68"/>
    </row>
    <row r="69" spans="1:91" ht="103.5" customHeight="1" thickTop="1" thickBot="1" x14ac:dyDescent="0.25">
      <c r="B69" s="91"/>
      <c r="C69" s="607" t="s">
        <v>238</v>
      </c>
      <c r="D69" s="608"/>
      <c r="E69" s="609"/>
      <c r="F69" s="174" t="str">
        <f>IF(NOT(ISNUMBER(F70)),"-",IF(F70=AJ87,AH84,IF(F70=AN87,AL84,IF(F70=AR87,AP84,IF(F70=AV87,AT84,IF(F70=AZ87,AX84,"-"))))))</f>
        <v>-</v>
      </c>
      <c r="Q69" s="99"/>
      <c r="R69" s="99"/>
      <c r="S69" s="99"/>
      <c r="T69" s="99"/>
      <c r="U69" s="67"/>
      <c r="V69" s="67"/>
      <c r="W69" s="99"/>
      <c r="X69" s="99"/>
      <c r="Y69" s="99"/>
      <c r="Z69" s="99"/>
      <c r="AA69" s="99"/>
      <c r="AB69" s="99"/>
      <c r="AC69" s="67"/>
      <c r="AD69" s="67"/>
      <c r="AE69" s="99"/>
      <c r="AF69" s="99"/>
      <c r="AG69" s="99"/>
      <c r="AH69" s="99"/>
      <c r="AI69" s="99"/>
      <c r="AJ69" s="99"/>
      <c r="AK69" s="67"/>
      <c r="AL69" s="67"/>
      <c r="AM69" s="99"/>
      <c r="AN69" s="99"/>
      <c r="AO69" s="99"/>
      <c r="AP69" s="99"/>
      <c r="AQ69" s="99"/>
      <c r="AR69" s="99"/>
      <c r="AS69" s="80"/>
      <c r="AT69" s="80"/>
      <c r="AU69" s="144"/>
      <c r="AV69" s="80"/>
      <c r="AW69" s="144"/>
      <c r="AX69" s="144"/>
      <c r="AY69" s="144"/>
      <c r="AZ69" s="144"/>
      <c r="BA69" s="80"/>
      <c r="BB69" s="80"/>
      <c r="BC69" s="144"/>
      <c r="BD69" s="80"/>
      <c r="BE69" s="144"/>
      <c r="BF69" s="144"/>
      <c r="BG69" s="144"/>
      <c r="BH69" s="144"/>
      <c r="BI69" s="80"/>
      <c r="BJ69" s="80"/>
      <c r="BK69" s="144"/>
      <c r="BL69" s="80"/>
      <c r="BM69" s="144"/>
      <c r="BN69" s="144"/>
      <c r="BO69" s="144"/>
      <c r="BP69" s="144"/>
      <c r="BQ69" s="144"/>
      <c r="BR69" s="144"/>
      <c r="BS69" s="144"/>
      <c r="BT69" s="80"/>
      <c r="BV69" s="80"/>
      <c r="BW69" s="80"/>
      <c r="BX69" s="80"/>
      <c r="CA69" s="99"/>
      <c r="CB69" s="99"/>
      <c r="CC69" s="99"/>
      <c r="CD69" s="99"/>
      <c r="CE69" s="99"/>
      <c r="CF69"/>
      <c r="CG69"/>
      <c r="CH69"/>
      <c r="CI69"/>
    </row>
    <row r="70" spans="1:91" ht="13.5" customHeight="1" thickTop="1" x14ac:dyDescent="0.2">
      <c r="C70" s="610" t="s">
        <v>152</v>
      </c>
      <c r="D70" s="611"/>
      <c r="E70" s="612"/>
      <c r="F70" s="175" t="str">
        <f>IF(NOT(AND(ISNUMBER(ffp),ISNUMBER(F14),ISNUMBER(F13))),"-",IF(MAX(AX87,BB87,BF87,BJ87,BN87,BR87)&gt;0,MAX(AX87,BB87,BF87,BJ87,BN87,BR87),"-"))</f>
        <v>-</v>
      </c>
      <c r="Q70" s="99"/>
      <c r="R70" s="99"/>
      <c r="S70" s="99"/>
      <c r="T70" s="99"/>
      <c r="U70" s="67"/>
      <c r="V70" s="67"/>
      <c r="W70" s="99"/>
      <c r="X70" s="99"/>
      <c r="Y70" s="99"/>
      <c r="Z70" s="99"/>
      <c r="AA70" s="99"/>
      <c r="AB70" s="99"/>
      <c r="AC70" s="67"/>
      <c r="AD70" s="67"/>
      <c r="AE70" s="99"/>
      <c r="AF70" s="99"/>
      <c r="AG70" s="99"/>
      <c r="AH70" s="99"/>
      <c r="AI70" s="99"/>
      <c r="AJ70" s="99"/>
      <c r="AK70" s="67"/>
      <c r="AL70" s="67"/>
      <c r="AM70" s="99"/>
      <c r="AN70" s="99"/>
      <c r="AO70" s="99"/>
      <c r="AP70" s="99"/>
      <c r="AQ70" s="99"/>
      <c r="AR70" s="99"/>
      <c r="AS70" s="80"/>
      <c r="AT70" s="80"/>
      <c r="AU70" s="144"/>
      <c r="AV70" s="80"/>
      <c r="AW70" s="144"/>
      <c r="AX70" s="144"/>
      <c r="AY70" s="144"/>
      <c r="AZ70" s="144"/>
      <c r="BA70" s="80"/>
      <c r="BB70" s="80"/>
      <c r="BC70" s="144"/>
      <c r="BD70" s="80"/>
      <c r="BE70" s="144"/>
      <c r="BF70" s="144"/>
      <c r="BG70" s="144"/>
      <c r="BH70" s="144"/>
      <c r="BI70" s="80"/>
      <c r="BJ70" s="80"/>
      <c r="BK70" s="144"/>
      <c r="BL70" s="80"/>
      <c r="BM70" s="144"/>
      <c r="BN70" s="144"/>
      <c r="BO70" s="144"/>
      <c r="BP70" s="144"/>
      <c r="BQ70" s="144"/>
      <c r="BR70" s="144"/>
      <c r="BS70" s="144"/>
      <c r="BT70" s="80"/>
      <c r="BV70" s="80"/>
      <c r="BW70" s="80"/>
      <c r="BX70" s="80"/>
      <c r="CA70" s="99"/>
      <c r="CB70" s="99"/>
      <c r="CC70" s="99"/>
      <c r="CD70" s="99"/>
      <c r="CE70" s="99"/>
      <c r="CF70"/>
      <c r="CG70"/>
      <c r="CH70"/>
      <c r="CI70"/>
    </row>
    <row r="71" spans="1:91" ht="13.5" customHeight="1" thickBot="1" x14ac:dyDescent="0.25">
      <c r="C71" s="573" t="s">
        <v>239</v>
      </c>
      <c r="D71" s="574"/>
      <c r="E71" s="575"/>
      <c r="F71" s="176" t="str">
        <f>IF(NOT(ISNUMBER(ffp)),"-",IF(F70=AX87,AX88,IF(F70=BB87,BB88,IF(F70=BF87,BF88,IF(F70=BJ87,BJ88,IF(F70=BN87,BN88,BR88))))))</f>
        <v>-</v>
      </c>
      <c r="Q71" s="99"/>
      <c r="R71" s="99"/>
      <c r="S71" s="99"/>
      <c r="T71" s="99"/>
      <c r="U71" s="67"/>
      <c r="V71" s="67"/>
      <c r="W71" s="99"/>
      <c r="X71" s="99"/>
      <c r="Y71" s="99"/>
      <c r="Z71" s="99"/>
      <c r="AA71" s="99"/>
      <c r="AB71" s="99"/>
      <c r="AC71" s="67"/>
      <c r="AD71" s="67"/>
      <c r="AE71" s="99"/>
      <c r="AF71" s="99"/>
      <c r="AG71" s="99"/>
      <c r="AH71" s="99"/>
      <c r="AI71" s="99"/>
      <c r="AJ71" s="99"/>
      <c r="AK71" s="67"/>
      <c r="AL71" s="67"/>
      <c r="AM71" s="99"/>
      <c r="AN71" s="99"/>
      <c r="AO71" s="99"/>
      <c r="AP71" s="99"/>
      <c r="AQ71" s="99"/>
      <c r="AR71" s="99"/>
      <c r="AS71" s="80"/>
      <c r="AT71" s="80"/>
      <c r="AU71" s="144"/>
      <c r="AV71" s="80"/>
      <c r="AW71" s="144"/>
      <c r="AX71" s="144"/>
      <c r="AY71" s="144"/>
      <c r="AZ71" s="144"/>
      <c r="BA71" s="80"/>
      <c r="BB71" s="80"/>
      <c r="BC71" s="144"/>
      <c r="BD71" s="80"/>
      <c r="BE71" s="144"/>
      <c r="BF71" s="144"/>
      <c r="BG71" s="144"/>
      <c r="BH71" s="144"/>
      <c r="BI71" s="80"/>
      <c r="BJ71" s="80"/>
      <c r="BK71" s="144"/>
      <c r="BL71" s="80"/>
      <c r="BM71" s="144"/>
      <c r="BN71" s="144"/>
      <c r="BO71" s="144"/>
      <c r="BP71" s="144"/>
      <c r="BQ71" s="144"/>
      <c r="BR71" s="144"/>
      <c r="BS71" s="144"/>
      <c r="BT71" s="80"/>
      <c r="BV71" s="80"/>
      <c r="BW71" s="80"/>
      <c r="BX71" s="80"/>
      <c r="CA71" s="99"/>
      <c r="CB71" s="99"/>
      <c r="CC71" s="99"/>
      <c r="CD71" s="99"/>
      <c r="CE71" s="99"/>
      <c r="CF71"/>
      <c r="CG71"/>
      <c r="CH71"/>
      <c r="CI71"/>
    </row>
    <row r="72" spans="1:91" ht="13.5" customHeight="1" thickTop="1" x14ac:dyDescent="0.2">
      <c r="C72" s="10" t="s">
        <v>129</v>
      </c>
      <c r="D72" s="177"/>
      <c r="E72" s="177"/>
      <c r="F72" s="177"/>
      <c r="G72" s="177"/>
      <c r="H72" s="178"/>
      <c r="I72" s="179"/>
      <c r="Q72" s="99"/>
      <c r="R72" s="99"/>
      <c r="S72" s="99"/>
      <c r="T72" s="99"/>
      <c r="U72" s="67"/>
      <c r="V72" s="67"/>
      <c r="W72" s="99"/>
      <c r="X72" s="99"/>
      <c r="Y72" s="99"/>
      <c r="Z72" s="99"/>
      <c r="AA72" s="99"/>
      <c r="AB72" s="99"/>
      <c r="AC72" s="67"/>
      <c r="AD72" s="67"/>
      <c r="AE72" s="99"/>
      <c r="AF72" s="99"/>
      <c r="AG72" s="99"/>
      <c r="AH72" s="99"/>
      <c r="AI72" s="99"/>
      <c r="AJ72" s="99"/>
      <c r="AK72" s="67"/>
      <c r="AL72" s="67"/>
      <c r="AM72" s="99"/>
      <c r="AN72" s="99"/>
      <c r="AO72" s="99"/>
      <c r="AP72" s="99"/>
      <c r="AQ72" s="99"/>
      <c r="AR72" s="99"/>
      <c r="AS72" s="99"/>
      <c r="AT72" s="99"/>
      <c r="AU72" s="143"/>
      <c r="AV72" s="99"/>
      <c r="AW72" s="143"/>
      <c r="AX72" s="143"/>
      <c r="AY72" s="143"/>
      <c r="AZ72" s="143"/>
      <c r="BA72" s="99"/>
      <c r="BD72" s="99"/>
      <c r="BG72" s="143"/>
      <c r="BH72" s="143"/>
      <c r="BI72" s="99"/>
      <c r="BL72" s="99"/>
      <c r="BO72" s="143"/>
      <c r="BP72" s="143"/>
      <c r="BR72" s="143"/>
      <c r="BT72" s="80"/>
      <c r="BV72" s="80"/>
      <c r="BW72" s="80"/>
      <c r="BX72" s="80"/>
      <c r="CA72" s="99"/>
      <c r="CB72" s="99"/>
      <c r="CC72" s="99"/>
      <c r="CD72" s="99"/>
      <c r="CE72" s="99"/>
      <c r="CF72" s="99"/>
      <c r="CI72"/>
    </row>
    <row r="73" spans="1:91" ht="13.5" customHeight="1" x14ac:dyDescent="0.2">
      <c r="H73" s="67"/>
      <c r="I73" s="67"/>
      <c r="W73" s="99"/>
      <c r="X73" s="99"/>
      <c r="Y73" s="99"/>
      <c r="Z73" s="67"/>
      <c r="AA73" s="99"/>
      <c r="AB73" s="99"/>
      <c r="AE73" s="99"/>
      <c r="AF73" s="99"/>
      <c r="AG73" s="99"/>
      <c r="AH73" s="67"/>
      <c r="AI73" s="99"/>
      <c r="AJ73" s="99"/>
      <c r="AM73" s="99"/>
      <c r="AN73" s="99"/>
      <c r="AO73" s="99"/>
      <c r="AP73" s="67"/>
      <c r="AQ73" s="99"/>
      <c r="AR73" s="99"/>
      <c r="AS73" s="99"/>
      <c r="AT73" s="99"/>
      <c r="AU73" s="99"/>
      <c r="AV73" s="99"/>
      <c r="AW73" s="99"/>
      <c r="AX73" s="99"/>
      <c r="BX73" s="80"/>
    </row>
    <row r="74" spans="1:91" s="67" customFormat="1" ht="27" customHeight="1" x14ac:dyDescent="0.2">
      <c r="A74" s="180"/>
      <c r="B74" s="181" t="s">
        <v>240</v>
      </c>
      <c r="C74" s="182"/>
      <c r="D74" s="182"/>
      <c r="E74" s="182"/>
      <c r="F74" s="182"/>
      <c r="G74" s="182"/>
      <c r="H74" s="182"/>
      <c r="I74" s="182"/>
      <c r="J74" s="182"/>
      <c r="K74" s="182"/>
      <c r="T74" s="183"/>
      <c r="U74" s="183"/>
      <c r="V74" s="99"/>
      <c r="W74"/>
      <c r="X74"/>
      <c r="Y74"/>
      <c r="AA74"/>
      <c r="AB74"/>
      <c r="AC74" s="183"/>
      <c r="AD74" s="99"/>
      <c r="AE74"/>
      <c r="AF74"/>
      <c r="AG74"/>
      <c r="AI74"/>
      <c r="AJ74"/>
      <c r="AK74" s="183"/>
      <c r="AL74" s="99"/>
      <c r="AM74"/>
      <c r="AN74"/>
      <c r="AO74"/>
      <c r="AQ74"/>
      <c r="AR74"/>
      <c r="AS74"/>
      <c r="AT74"/>
      <c r="AU74"/>
      <c r="AV74"/>
      <c r="AW74"/>
      <c r="AX74"/>
      <c r="AY74" s="99"/>
      <c r="AZ74" s="99"/>
      <c r="BA74" s="143"/>
      <c r="BB74" s="99"/>
      <c r="BC74" s="143"/>
      <c r="BD74" s="143"/>
      <c r="BE74" s="143"/>
      <c r="BF74" s="143"/>
      <c r="BG74" s="99"/>
      <c r="BH74" s="99"/>
      <c r="BI74" s="143"/>
      <c r="BJ74" s="99"/>
      <c r="BK74" s="143"/>
      <c r="BL74" s="143"/>
      <c r="BM74" s="143"/>
      <c r="BN74" s="143"/>
      <c r="BO74" s="99"/>
      <c r="BP74" s="99"/>
      <c r="BQ74" s="143"/>
      <c r="BR74" s="99"/>
      <c r="BS74" s="143"/>
      <c r="BT74" s="143"/>
      <c r="BU74" s="80"/>
      <c r="BV74" s="143"/>
      <c r="BW74" s="99"/>
      <c r="BX74" s="99"/>
      <c r="BY74" s="80"/>
      <c r="BZ74" s="80"/>
      <c r="CA74" s="80"/>
      <c r="CB74" s="80"/>
      <c r="CC74" s="80"/>
      <c r="CD74" s="80"/>
      <c r="CE74" s="80"/>
      <c r="CF74" s="80"/>
      <c r="CI74" s="99"/>
      <c r="CJ74" s="99"/>
      <c r="CK74" s="99"/>
      <c r="CL74" s="99"/>
      <c r="CM74" s="99"/>
    </row>
    <row r="75" spans="1:91" x14ac:dyDescent="0.2">
      <c r="B75" s="100"/>
      <c r="C75" s="100"/>
      <c r="T75" s="184"/>
      <c r="U75" s="184"/>
      <c r="V75" s="99"/>
      <c r="Z75" s="67"/>
      <c r="AC75" s="184"/>
      <c r="AD75" s="99"/>
      <c r="AH75" s="67"/>
      <c r="AK75" s="184"/>
      <c r="AL75" s="99"/>
      <c r="AP75" s="67"/>
      <c r="CG75"/>
      <c r="CH75"/>
      <c r="CJ75" s="99"/>
      <c r="CK75" s="99"/>
      <c r="CL75" s="99"/>
      <c r="CM75" s="99"/>
    </row>
    <row r="76" spans="1:91" x14ac:dyDescent="0.2">
      <c r="B76" s="92"/>
      <c r="C76" s="92"/>
      <c r="T76" s="177"/>
      <c r="U76" s="177"/>
      <c r="V76" s="99"/>
      <c r="Z76" s="67"/>
      <c r="AC76" s="177"/>
      <c r="AD76" s="99"/>
      <c r="AH76" s="67"/>
      <c r="AK76" s="177"/>
      <c r="AL76" s="99"/>
      <c r="AP76" s="67"/>
      <c r="CG76"/>
      <c r="CH76"/>
      <c r="CJ76" s="99"/>
      <c r="CK76" s="99"/>
      <c r="CL76" s="99"/>
      <c r="CM76" s="99"/>
    </row>
    <row r="77" spans="1:91" x14ac:dyDescent="0.2">
      <c r="B77" s="92"/>
      <c r="C77" s="92"/>
      <c r="D77" s="92"/>
      <c r="E77" s="92"/>
      <c r="F77" s="92"/>
      <c r="V77" s="99"/>
      <c r="Z77" s="67"/>
      <c r="AD77" s="99"/>
      <c r="AH77" s="67"/>
      <c r="AL77" s="99"/>
      <c r="AP77" s="67"/>
      <c r="CG77"/>
      <c r="CH77"/>
      <c r="CJ77" s="99"/>
      <c r="CK77" s="99"/>
      <c r="CL77" s="99"/>
      <c r="CM77" s="99"/>
    </row>
    <row r="78" spans="1:91" x14ac:dyDescent="0.2">
      <c r="D78" s="92"/>
      <c r="E78" s="92"/>
      <c r="F78" s="92"/>
      <c r="V78" s="99"/>
      <c r="AD78" s="99"/>
      <c r="AL78" s="99"/>
      <c r="CG78"/>
      <c r="CH78"/>
      <c r="CJ78" s="99"/>
      <c r="CK78" s="99"/>
      <c r="CL78" s="99"/>
      <c r="CM78" s="99"/>
    </row>
    <row r="79" spans="1:91" x14ac:dyDescent="0.2">
      <c r="V79" s="99"/>
      <c r="AD79" s="99"/>
      <c r="AL79" s="99"/>
      <c r="CG79"/>
      <c r="CH79"/>
      <c r="CJ79" s="99"/>
      <c r="CK79" s="99"/>
      <c r="CL79" s="99"/>
      <c r="CM79" s="99"/>
    </row>
    <row r="80" spans="1:91" x14ac:dyDescent="0.2">
      <c r="V80" s="99"/>
      <c r="AD80" s="99"/>
      <c r="AL80" s="99"/>
      <c r="CG80"/>
      <c r="CH80"/>
      <c r="CJ80" s="99"/>
      <c r="CK80" s="99"/>
      <c r="CL80" s="99"/>
      <c r="CM80" s="99"/>
    </row>
    <row r="81" spans="2:93" x14ac:dyDescent="0.2">
      <c r="V81" s="99"/>
      <c r="AD81" s="99"/>
      <c r="AL81" s="99"/>
      <c r="CH81"/>
      <c r="CJ81" s="99"/>
      <c r="CK81" s="99"/>
      <c r="CL81" s="99"/>
      <c r="CM81" s="99"/>
    </row>
    <row r="82" spans="2:93" x14ac:dyDescent="0.2">
      <c r="V82" s="185"/>
      <c r="AD82" s="185"/>
      <c r="AL82" s="185"/>
      <c r="CJ82" s="99"/>
      <c r="CK82" s="99"/>
      <c r="CL82" s="99"/>
      <c r="CM82" s="99"/>
    </row>
    <row r="83" spans="2:93" x14ac:dyDescent="0.2">
      <c r="CJ83" s="99"/>
      <c r="CK83" s="99"/>
      <c r="CL83" s="99"/>
      <c r="CM83" s="99"/>
    </row>
    <row r="84" spans="2:93" x14ac:dyDescent="0.2">
      <c r="AV84" s="79" t="str">
        <f>_xlfn.CONCAT("1回目散布から",F22,"日")</f>
        <v>1回目散布から21日</v>
      </c>
      <c r="AZ84" s="79" t="str">
        <f>_xlfn.CONCAT("1回目散布の止水期間終了から",F22,"日")</f>
        <v>1回目散布の止水期間終了から21日</v>
      </c>
      <c r="BD84" s="79" t="str">
        <f>_xlfn.CONCAT("2回目散布から",F22,"日")</f>
        <v>2回目散布から21日</v>
      </c>
      <c r="BH84" s="79" t="str">
        <f>_xlfn.CONCAT("2回目散布の止水期間終了から",F22,"日")</f>
        <v>2回目散布の止水期間終了から21日</v>
      </c>
      <c r="BL84" s="79" t="str">
        <f>_xlfn.CONCAT("3回目散布から",F22,"日")</f>
        <v>3回目散布から21日</v>
      </c>
      <c r="BP84" s="79" t="str">
        <f>_xlfn.CONCAT("3回目散布の止水期間終了から",F22,"日")</f>
        <v>3回目散布の止水期間終了から21日</v>
      </c>
      <c r="CJ84" s="99"/>
      <c r="CK84" s="99"/>
      <c r="CL84" s="99"/>
      <c r="CM84" s="99"/>
    </row>
    <row r="85" spans="2:93" x14ac:dyDescent="0.2">
      <c r="AT85" s="186"/>
      <c r="AV85" s="44" t="s">
        <v>241</v>
      </c>
      <c r="AW85" s="87" t="s">
        <v>242</v>
      </c>
      <c r="AX85" s="187">
        <f>IF(ISNUMBER($F$22),VLOOKUP($F$22-1,$U$100:$AX$250,28),"-")</f>
        <v>0</v>
      </c>
      <c r="AZ85" s="44" t="s">
        <v>241</v>
      </c>
      <c r="BA85" s="87" t="s">
        <v>242</v>
      </c>
      <c r="BB85" s="187" t="str">
        <f>IFERROR(VLOOKUP($F$22+$F$21-1,$U$100:$BB$250,32),"-")</f>
        <v>-</v>
      </c>
      <c r="BD85" s="44" t="s">
        <v>241</v>
      </c>
      <c r="BE85" s="87" t="s">
        <v>242</v>
      </c>
      <c r="BF85" s="187" t="str">
        <f ca="1">IF(ISNUMBER($F$22),VLOOKUP($F$22-1+$F$16,$U$100:$BF$250,36),"-")</f>
        <v/>
      </c>
      <c r="BH85" s="44" t="s">
        <v>241</v>
      </c>
      <c r="BI85" s="87" t="s">
        <v>242</v>
      </c>
      <c r="BJ85" s="187" t="str">
        <f>IFERROR(VLOOKUP($F$22+$F$21-1+$F$16,$U$100:$BJ$250,40),"-")</f>
        <v>-</v>
      </c>
      <c r="BL85" s="44" t="s">
        <v>241</v>
      </c>
      <c r="BM85" s="87" t="s">
        <v>242</v>
      </c>
      <c r="BN85" s="187" t="str">
        <f ca="1">IF(ISNUMBER($F$22),VLOOKUP($F$22-1+$F$17,$U$100:$BN$250,44),"-")</f>
        <v/>
      </c>
      <c r="BP85" s="44" t="s">
        <v>241</v>
      </c>
      <c r="BQ85" s="87" t="s">
        <v>242</v>
      </c>
      <c r="BR85" s="187" t="str">
        <f>IFERROR(VLOOKUP($F$22+$F$21-1+$F$17,$U$100:$BR$250,48),"-")</f>
        <v>-</v>
      </c>
      <c r="CJ85" s="99"/>
      <c r="CK85" s="99"/>
      <c r="CL85" s="99"/>
      <c r="CM85" s="99"/>
    </row>
    <row r="86" spans="2:93" x14ac:dyDescent="0.2">
      <c r="AV86" s="44" t="s">
        <v>243</v>
      </c>
      <c r="AW86" s="188" t="s">
        <v>244</v>
      </c>
      <c r="AX86" s="187" t="str">
        <f xml:space="preserve"> IF(ISNUMBER($F$22),VLOOKUP($F$22-1,$U$100:$AX$250,29),"-")</f>
        <v>-</v>
      </c>
      <c r="AZ86" s="44" t="s">
        <v>243</v>
      </c>
      <c r="BA86" s="188" t="s">
        <v>244</v>
      </c>
      <c r="BB86" s="187" t="str">
        <f>IFERROR(VLOOKUP($F$22+$F$21-1,$U$100:$BB$250,33),"-")</f>
        <v>-</v>
      </c>
      <c r="BD86" s="44" t="s">
        <v>243</v>
      </c>
      <c r="BE86" s="188" t="s">
        <v>244</v>
      </c>
      <c r="BF86" s="187" t="str">
        <f ca="1">IF(ISNUMBER($F$22),VLOOKUP($F$22-1+$F$16,$U$100:$BF$250,37),"-")</f>
        <v/>
      </c>
      <c r="BH86" s="44" t="s">
        <v>243</v>
      </c>
      <c r="BI86" s="188" t="s">
        <v>244</v>
      </c>
      <c r="BJ86" s="187" t="str">
        <f>IFERROR(VLOOKUP($F$22+$F$21-1+$F$16,$U$100:$BJ$250,41),"-")</f>
        <v>-</v>
      </c>
      <c r="BL86" s="44" t="s">
        <v>243</v>
      </c>
      <c r="BM86" s="188" t="s">
        <v>244</v>
      </c>
      <c r="BN86" s="187" t="str">
        <f ca="1">IF(ISNUMBER($F$22),VLOOKUP($F$22-1+$F$17,$U$100:$BN$250,45),"-")</f>
        <v/>
      </c>
      <c r="BP86" s="44" t="s">
        <v>243</v>
      </c>
      <c r="BQ86" s="188" t="s">
        <v>244</v>
      </c>
      <c r="BR86" s="187" t="str">
        <f>IFERROR(VLOOKUP($F$22+$F$21-1+$F$17,$U$100:$BR$250,49),"-")</f>
        <v>-</v>
      </c>
      <c r="CJ86" s="99"/>
      <c r="CK86" s="99"/>
      <c r="CL86" s="99"/>
      <c r="CM86" s="99"/>
    </row>
    <row r="87" spans="2:93" x14ac:dyDescent="0.2">
      <c r="AV87" s="27" t="s">
        <v>152</v>
      </c>
      <c r="AW87" s="27"/>
      <c r="AX87" s="189" t="str">
        <f>IF(ISNUMBER($F$22),VLOOKUP($F$22-1,$U$100:$AX$250,30),"-")</f>
        <v/>
      </c>
      <c r="AZ87" s="27" t="s">
        <v>152</v>
      </c>
      <c r="BA87" s="27"/>
      <c r="BB87" s="189" t="str">
        <f>IFERROR(VLOOKUP($F$22+$F$21-1,$U$100:$BB$250,34),"-")</f>
        <v>-</v>
      </c>
      <c r="BD87" s="27" t="s">
        <v>152</v>
      </c>
      <c r="BE87" s="27"/>
      <c r="BF87" s="189" t="str">
        <f ca="1">IF(ISNUMBER($F$22),VLOOKUP($F$22-1+$F$16,$U$100:$BF$250,38),"-")</f>
        <v/>
      </c>
      <c r="BH87" s="27" t="s">
        <v>152</v>
      </c>
      <c r="BI87" s="27"/>
      <c r="BJ87" s="189" t="str">
        <f>IFERROR(VLOOKUP($F$22+$F$21-1+$F$16,$U$100:$BJ$250,42),"-")</f>
        <v>-</v>
      </c>
      <c r="BL87" s="27" t="s">
        <v>152</v>
      </c>
      <c r="BM87" s="27"/>
      <c r="BN87" s="189" t="str">
        <f ca="1">IF(ISNUMBER($F$22),VLOOKUP($F$22-1+$F$17,$U$100:$BN$250,46),"-")</f>
        <v/>
      </c>
      <c r="BP87" s="27" t="s">
        <v>152</v>
      </c>
      <c r="BQ87" s="27"/>
      <c r="BR87" s="189" t="str">
        <f>IFERROR(VLOOKUP($F$22+$F$21-1+$F$17,$U$100:$BR$250,50),"-")</f>
        <v>-</v>
      </c>
      <c r="CJ87" s="99"/>
      <c r="CK87" s="99"/>
      <c r="CL87" s="99"/>
      <c r="CM87" s="99"/>
    </row>
    <row r="88" spans="2:93" x14ac:dyDescent="0.2">
      <c r="AV88" s="27" t="s">
        <v>245</v>
      </c>
      <c r="AW88" s="27"/>
      <c r="AX88" s="23" t="str">
        <f>IF(ISNUMBER(AX87),IF(ISBLANK(ffp),"-",IF(k=0,"分解を考慮せず",AX87*EXP(-0.17*k))),"-")</f>
        <v>-</v>
      </c>
      <c r="AZ88" s="27" t="s">
        <v>245</v>
      </c>
      <c r="BA88" s="27"/>
      <c r="BB88" s="23" t="str">
        <f>IFERROR(IF(ISBLANK(ffp),"-",IF(k=0,"分解を考慮せず",BB87*EXP(-0.17*k))),"-")</f>
        <v>分解を考慮せず</v>
      </c>
      <c r="BD88" s="27" t="s">
        <v>245</v>
      </c>
      <c r="BE88" s="27"/>
      <c r="BF88" s="23" t="str">
        <f ca="1">IF(ISNUMBER(BF87),IF(ISBLANK(ffp),"-",IF(k=0,"分解を考慮せず",BF87*EXP(-0.17*k))),"-")</f>
        <v>-</v>
      </c>
      <c r="BH88" s="27" t="s">
        <v>245</v>
      </c>
      <c r="BI88" s="27"/>
      <c r="BJ88" s="23" t="str">
        <f>IF(ISNUMBER(BJ87),IF(ISBLANK(ffp),"-",IF(k=0,"分解を考慮せず",BJ87*EXP(-0.17*k))),"-")</f>
        <v>-</v>
      </c>
      <c r="BL88" s="27" t="s">
        <v>245</v>
      </c>
      <c r="BM88" s="27"/>
      <c r="BN88" s="23" t="str">
        <f ca="1">IF(ISNUMBER(BN87),IF(ISBLANK(ffp),"-",IF(k=0,"分解を考慮せず",BN87*EXP(-0.17*k))),"-")</f>
        <v>-</v>
      </c>
      <c r="BP88" s="27" t="s">
        <v>245</v>
      </c>
      <c r="BQ88" s="27"/>
      <c r="BR88" s="23" t="str">
        <f>IF(ISNUMBER(BR87),IF(ISBLANK(ffp),"-",IF(k=0,"分解を考慮せず",BR87*EXP(-0.17*k))),"-")</f>
        <v>-</v>
      </c>
      <c r="CJ88" s="99"/>
      <c r="CK88" s="99"/>
      <c r="CL88" s="99"/>
      <c r="CM88" s="99"/>
    </row>
    <row r="89" spans="2:93" x14ac:dyDescent="0.2">
      <c r="AV89" s="79"/>
      <c r="AW89" s="99"/>
      <c r="AX89" s="143"/>
      <c r="AZ89" s="79"/>
      <c r="BB89" s="143"/>
      <c r="BD89" s="79"/>
      <c r="BE89" s="99"/>
      <c r="BH89" s="79"/>
      <c r="BJ89" s="143"/>
      <c r="BL89" s="79"/>
      <c r="BM89" s="99"/>
      <c r="BP89" s="79"/>
      <c r="BR89" s="143"/>
      <c r="BT89" s="99"/>
      <c r="BU89" s="99"/>
      <c r="BV89" s="80"/>
      <c r="BW89" s="80"/>
      <c r="BX89" s="80"/>
      <c r="CD89" s="99"/>
      <c r="CE89" s="99"/>
      <c r="CF89" s="99"/>
      <c r="CJ89" s="99"/>
    </row>
    <row r="90" spans="2:93" x14ac:dyDescent="0.2">
      <c r="AV90" s="99"/>
      <c r="AW90" s="99"/>
      <c r="AX90" s="143"/>
      <c r="BB90" s="143"/>
      <c r="BD90" s="99"/>
      <c r="BE90" s="99"/>
      <c r="BJ90" s="143"/>
      <c r="BL90" s="99"/>
      <c r="BM90" s="99"/>
      <c r="BR90" s="143"/>
      <c r="BT90" s="99"/>
      <c r="BU90" s="99"/>
      <c r="BV90" s="80"/>
      <c r="BW90" s="80"/>
      <c r="BX90" s="80"/>
      <c r="CD90" s="99"/>
      <c r="CE90" s="99"/>
      <c r="CF90" s="99"/>
      <c r="CJ90" s="99"/>
    </row>
    <row r="91" spans="2:93" x14ac:dyDescent="0.2">
      <c r="AV91" s="21"/>
      <c r="AX91" s="190"/>
      <c r="AY91"/>
      <c r="AZ91" s="21"/>
      <c r="BB91" s="190"/>
      <c r="BD91" s="21"/>
      <c r="BF91" s="190"/>
      <c r="BG91"/>
      <c r="BH91" s="21"/>
      <c r="BJ91" s="190"/>
      <c r="BL91" s="21"/>
      <c r="BN91" s="190"/>
      <c r="BO91"/>
      <c r="BP91" s="21"/>
      <c r="BR91" s="190"/>
      <c r="BT91" s="99"/>
      <c r="BU91" s="99"/>
      <c r="BV91" s="80"/>
      <c r="BW91" s="80"/>
      <c r="BX91" s="80"/>
      <c r="CD91" s="99"/>
      <c r="CE91" s="99"/>
      <c r="CF91" s="99"/>
      <c r="CJ91" s="99"/>
    </row>
    <row r="92" spans="2:93" x14ac:dyDescent="0.2">
      <c r="AV92" s="21"/>
      <c r="AX92" s="191"/>
      <c r="AY92"/>
      <c r="AZ92" s="21"/>
      <c r="BB92" s="191"/>
      <c r="BD92" s="21"/>
      <c r="BF92" s="191"/>
      <c r="BG92"/>
      <c r="BH92" s="21"/>
      <c r="BJ92" s="191"/>
      <c r="BL92" s="21"/>
      <c r="BN92" s="191"/>
      <c r="BO92"/>
      <c r="BP92" s="21"/>
      <c r="BR92" s="191"/>
      <c r="BT92" s="99"/>
      <c r="BU92" s="99"/>
      <c r="BV92" s="80"/>
      <c r="BW92" s="80"/>
      <c r="BX92" s="80"/>
      <c r="CD92" s="99"/>
      <c r="CE92" s="99"/>
      <c r="CF92" s="99"/>
      <c r="CJ92" s="99"/>
    </row>
    <row r="93" spans="2:93" ht="13.5" thickBot="1" x14ac:dyDescent="0.25">
      <c r="B93" s="605"/>
      <c r="C93" s="605"/>
      <c r="D93" s="192"/>
      <c r="E93" s="99"/>
      <c r="F93" s="99"/>
      <c r="G93" s="99"/>
      <c r="H93" s="99"/>
      <c r="I93" s="99"/>
      <c r="J93" s="99"/>
      <c r="K93" s="99"/>
      <c r="L93" s="99"/>
      <c r="M93" s="99"/>
      <c r="N93" s="99"/>
      <c r="O93" s="99"/>
      <c r="P93" s="99"/>
      <c r="Q93" s="99"/>
      <c r="R93" s="99"/>
      <c r="S93" s="99"/>
      <c r="T93" s="99"/>
      <c r="AV93" s="21"/>
      <c r="AX93" s="190"/>
      <c r="AY93"/>
      <c r="AZ93" s="193"/>
      <c r="BB93" s="190"/>
      <c r="BC93" s="190"/>
      <c r="BD93" s="21"/>
      <c r="BF93" s="190"/>
      <c r="BG93"/>
      <c r="BH93" s="193"/>
      <c r="BJ93" s="190"/>
      <c r="BK93" s="190"/>
      <c r="BL93" s="21"/>
      <c r="BN93" s="190"/>
      <c r="BO93"/>
      <c r="BP93" s="193"/>
      <c r="BR93" s="190"/>
      <c r="BS93" s="190"/>
      <c r="BT93"/>
      <c r="BU93"/>
      <c r="BV93" s="80"/>
      <c r="BW93" s="80" t="s">
        <v>246</v>
      </c>
      <c r="BX93" s="80"/>
      <c r="CD93" s="99"/>
      <c r="CE93" s="99"/>
      <c r="CF93" s="99"/>
      <c r="CJ93" s="99"/>
    </row>
    <row r="94" spans="2:93" ht="27" customHeight="1" thickTop="1" x14ac:dyDescent="0.2">
      <c r="B94" s="599"/>
      <c r="C94" s="600"/>
      <c r="D94" s="601"/>
      <c r="E94" s="599" t="s">
        <v>247</v>
      </c>
      <c r="F94" s="600"/>
      <c r="G94" s="600"/>
      <c r="H94" s="599" t="s">
        <v>248</v>
      </c>
      <c r="I94" s="600"/>
      <c r="J94" s="600"/>
      <c r="K94" s="599" t="s">
        <v>249</v>
      </c>
      <c r="L94" s="600"/>
      <c r="M94" s="600"/>
      <c r="N94" s="599" t="s">
        <v>250</v>
      </c>
      <c r="O94" s="600"/>
      <c r="P94" s="600"/>
      <c r="Q94" s="599" t="s">
        <v>251</v>
      </c>
      <c r="R94" s="600"/>
      <c r="S94" s="600"/>
      <c r="T94" s="602" t="s">
        <v>252</v>
      </c>
      <c r="U94" s="194"/>
      <c r="V94" s="194"/>
      <c r="W94" s="194"/>
      <c r="X94" s="194"/>
      <c r="Y94" s="194"/>
      <c r="Z94" s="194"/>
      <c r="AA94" s="194"/>
      <c r="AB94" s="194"/>
      <c r="AC94" s="194"/>
      <c r="AD94" s="194"/>
      <c r="AE94" s="194"/>
      <c r="AF94" s="194"/>
      <c r="AG94" s="194"/>
      <c r="AH94" s="194"/>
      <c r="AI94" s="194"/>
      <c r="AJ94" s="194"/>
      <c r="AK94" s="194"/>
      <c r="AL94" s="194"/>
      <c r="AM94" s="194"/>
      <c r="AN94" s="194"/>
      <c r="AO94" s="194"/>
      <c r="AP94" s="194"/>
      <c r="AQ94" s="194"/>
      <c r="AR94" s="194"/>
      <c r="AS94" s="194"/>
      <c r="AT94" s="194"/>
      <c r="AU94" s="194"/>
      <c r="AV94" s="145"/>
      <c r="AX94" s="195"/>
      <c r="AY94"/>
      <c r="AZ94" s="196"/>
      <c r="BB94" s="195"/>
      <c r="BC94" s="190"/>
      <c r="BD94" s="145"/>
      <c r="BF94" s="195"/>
      <c r="BG94"/>
      <c r="BH94" s="196"/>
      <c r="BJ94" s="195"/>
      <c r="BK94" s="190"/>
      <c r="BL94" s="145"/>
      <c r="BN94" s="195"/>
      <c r="BO94"/>
      <c r="BP94" s="196"/>
      <c r="BR94" s="195"/>
      <c r="BS94" s="190"/>
      <c r="BT94"/>
      <c r="BU94" s="581" t="s">
        <v>253</v>
      </c>
      <c r="BV94" s="582"/>
      <c r="BW94" s="582"/>
      <c r="BX94" s="582"/>
      <c r="BY94" s="583"/>
      <c r="BZ94"/>
      <c r="CA94" s="199">
        <v>21</v>
      </c>
      <c r="CB94" s="200"/>
      <c r="CC94" s="201"/>
      <c r="CD94" s="197"/>
      <c r="CE94" s="199">
        <f>F22</f>
        <v>21</v>
      </c>
      <c r="CF94" s="200"/>
      <c r="CG94" s="201"/>
      <c r="CH94" s="197"/>
      <c r="CI94" s="202"/>
      <c r="CJ94" s="99"/>
      <c r="CK94" s="99"/>
      <c r="CL94" s="99"/>
      <c r="CM94" s="99"/>
      <c r="CN94" s="99"/>
      <c r="CO94" s="99"/>
    </row>
    <row r="95" spans="2:93" ht="13.5" customHeight="1" x14ac:dyDescent="0.2">
      <c r="B95" s="584" t="s">
        <v>254</v>
      </c>
      <c r="C95" s="587" t="s">
        <v>255</v>
      </c>
      <c r="D95" s="590" t="s">
        <v>256</v>
      </c>
      <c r="E95" s="593" t="s">
        <v>257</v>
      </c>
      <c r="F95" s="596" t="s">
        <v>258</v>
      </c>
      <c r="G95" s="596" t="s">
        <v>259</v>
      </c>
      <c r="H95" s="593" t="s">
        <v>257</v>
      </c>
      <c r="I95" s="596" t="s">
        <v>258</v>
      </c>
      <c r="J95" s="596" t="s">
        <v>259</v>
      </c>
      <c r="K95" s="593" t="s">
        <v>257</v>
      </c>
      <c r="L95" s="596" t="s">
        <v>258</v>
      </c>
      <c r="M95" s="596" t="s">
        <v>259</v>
      </c>
      <c r="N95" s="593" t="s">
        <v>257</v>
      </c>
      <c r="O95" s="596" t="s">
        <v>258</v>
      </c>
      <c r="P95" s="596" t="s">
        <v>259</v>
      </c>
      <c r="Q95" s="593" t="s">
        <v>257</v>
      </c>
      <c r="R95" s="596" t="s">
        <v>258</v>
      </c>
      <c r="S95" s="596" t="s">
        <v>259</v>
      </c>
      <c r="T95" s="603"/>
      <c r="U95" s="194"/>
      <c r="V95" s="194"/>
      <c r="W95" s="194"/>
      <c r="X95" s="194"/>
      <c r="Y95" s="194"/>
      <c r="Z95" s="194"/>
      <c r="AA95" s="194"/>
      <c r="AB95" s="194"/>
      <c r="AC95" s="194"/>
      <c r="AD95" s="194"/>
      <c r="AE95" s="194"/>
      <c r="AF95" s="194"/>
      <c r="AG95" s="194"/>
      <c r="AH95" s="194"/>
      <c r="AI95" s="194"/>
      <c r="AJ95" s="194"/>
      <c r="AK95" s="194"/>
      <c r="AL95" s="194"/>
      <c r="AM95" s="194"/>
      <c r="AN95" s="194"/>
      <c r="AO95" s="194"/>
      <c r="AP95" s="194"/>
      <c r="AQ95" s="194"/>
      <c r="AR95" s="194"/>
      <c r="AS95" s="194"/>
      <c r="AT95" s="194"/>
      <c r="AU95" s="194"/>
      <c r="AV95" s="99"/>
      <c r="AW95" s="99"/>
      <c r="AX95" s="143"/>
      <c r="AZ95" s="143"/>
      <c r="BB95" s="143"/>
      <c r="BC95" s="190"/>
      <c r="BD95" s="99"/>
      <c r="BE95" s="99"/>
      <c r="BH95" s="143"/>
      <c r="BJ95" s="143"/>
      <c r="BK95" s="190"/>
      <c r="BL95" s="99"/>
      <c r="BM95" s="99"/>
      <c r="BP95" s="143"/>
      <c r="BR95" s="143"/>
      <c r="BS95" s="190"/>
      <c r="BT95"/>
      <c r="BU95" s="204" t="s">
        <v>260</v>
      </c>
      <c r="BV95" s="203" t="s">
        <v>261</v>
      </c>
      <c r="BW95" s="31" t="s">
        <v>262</v>
      </c>
      <c r="BX95" s="31" t="s">
        <v>263</v>
      </c>
      <c r="BY95" s="205" t="s">
        <v>264</v>
      </c>
      <c r="BZ95"/>
      <c r="CA95" s="206" t="s">
        <v>265</v>
      </c>
      <c r="CB95" s="71" t="s">
        <v>266</v>
      </c>
      <c r="CC95" s="71"/>
      <c r="CD95" s="207"/>
      <c r="CE95" s="206" t="s">
        <v>265</v>
      </c>
      <c r="CF95" s="71" t="s">
        <v>266</v>
      </c>
      <c r="CG95" s="71"/>
      <c r="CH95" s="207"/>
      <c r="CI95" s="202"/>
      <c r="CJ95" s="99"/>
      <c r="CK95" s="99"/>
      <c r="CL95" s="99"/>
      <c r="CM95" s="99"/>
      <c r="CN95" s="99"/>
      <c r="CO95" s="99"/>
    </row>
    <row r="96" spans="2:93" ht="13.5" customHeight="1" x14ac:dyDescent="0.2">
      <c r="B96" s="585"/>
      <c r="C96" s="588"/>
      <c r="D96" s="591"/>
      <c r="E96" s="594"/>
      <c r="F96" s="597"/>
      <c r="G96" s="597"/>
      <c r="H96" s="594"/>
      <c r="I96" s="597"/>
      <c r="J96" s="597"/>
      <c r="K96" s="594"/>
      <c r="L96" s="597"/>
      <c r="M96" s="597"/>
      <c r="N96" s="594"/>
      <c r="O96" s="597"/>
      <c r="P96" s="597"/>
      <c r="Q96" s="594"/>
      <c r="R96" s="597"/>
      <c r="S96" s="597"/>
      <c r="T96" s="603"/>
      <c r="U96" s="194"/>
      <c r="V96" s="194"/>
      <c r="W96" s="194"/>
      <c r="X96" s="194"/>
      <c r="Y96" s="194"/>
      <c r="Z96" s="194"/>
      <c r="AA96" s="194"/>
      <c r="AB96" s="194"/>
      <c r="AC96" s="194"/>
      <c r="AD96" s="194"/>
      <c r="AE96" s="194"/>
      <c r="AF96" s="194"/>
      <c r="AG96" s="194"/>
      <c r="AH96" s="194"/>
      <c r="AI96" s="194"/>
      <c r="AJ96" s="194"/>
      <c r="AK96" s="194"/>
      <c r="AL96" s="194"/>
      <c r="AM96" s="194"/>
      <c r="AN96" s="194"/>
      <c r="AO96" s="194"/>
      <c r="AP96" s="194"/>
      <c r="AQ96" s="194"/>
      <c r="AR96" s="194"/>
      <c r="AS96" s="194"/>
      <c r="AT96" s="194"/>
      <c r="AU96" s="194"/>
      <c r="AV96" s="99"/>
      <c r="AW96" s="99"/>
      <c r="AX96" s="143"/>
      <c r="AZ96" s="143"/>
      <c r="BB96" s="143"/>
      <c r="BC96" s="191"/>
      <c r="BD96" s="99"/>
      <c r="BE96" s="99"/>
      <c r="BH96" s="143"/>
      <c r="BJ96" s="143"/>
      <c r="BK96" s="191"/>
      <c r="BL96" s="99"/>
      <c r="BM96" s="99"/>
      <c r="BP96" s="143"/>
      <c r="BR96" s="143"/>
      <c r="BS96" s="191"/>
      <c r="BT96"/>
      <c r="BU96" s="210"/>
      <c r="BV96" s="208"/>
      <c r="BW96" s="24"/>
      <c r="BX96" s="24"/>
      <c r="BY96" s="209"/>
      <c r="BZ96"/>
      <c r="CA96" s="206" t="str">
        <f>IF(CB96&gt;0,VLOOKUP(CB96,CB100:CC250,2,FALSE),"-")</f>
        <v>-</v>
      </c>
      <c r="CB96" s="71">
        <f>MAX(CB100:CB250)</f>
        <v>0</v>
      </c>
      <c r="CC96" s="71"/>
      <c r="CD96" s="207"/>
      <c r="CE96" s="206" t="str">
        <f ca="1">IF(CF96&gt;0,VLOOKUP(CF96,CF100:CG250,2,FALSE),"-")</f>
        <v>-</v>
      </c>
      <c r="CF96" s="71">
        <f ca="1">MAX(CF100:CF250)</f>
        <v>0</v>
      </c>
      <c r="CG96" s="71"/>
      <c r="CH96" s="207"/>
      <c r="CI96" s="202"/>
      <c r="CJ96" s="99"/>
      <c r="CK96" s="99"/>
      <c r="CL96" s="99"/>
      <c r="CM96" s="99"/>
      <c r="CN96" s="99"/>
      <c r="CO96" s="99"/>
    </row>
    <row r="97" spans="2:93" ht="13.5" customHeight="1" x14ac:dyDescent="0.2">
      <c r="B97" s="585"/>
      <c r="C97" s="588"/>
      <c r="D97" s="591"/>
      <c r="E97" s="594"/>
      <c r="F97" s="597"/>
      <c r="G97" s="597"/>
      <c r="H97" s="594"/>
      <c r="I97" s="597"/>
      <c r="J97" s="597"/>
      <c r="K97" s="594"/>
      <c r="L97" s="597"/>
      <c r="M97" s="597"/>
      <c r="N97" s="594"/>
      <c r="O97" s="597"/>
      <c r="P97" s="597"/>
      <c r="Q97" s="594"/>
      <c r="R97" s="597"/>
      <c r="S97" s="597"/>
      <c r="T97" s="603"/>
      <c r="U97" s="194"/>
      <c r="V97" s="194"/>
      <c r="W97" s="194"/>
      <c r="X97" s="194"/>
      <c r="Y97" s="194"/>
      <c r="Z97" s="194"/>
      <c r="AA97" s="194" t="s">
        <v>267</v>
      </c>
      <c r="AB97" s="194" t="s">
        <v>268</v>
      </c>
      <c r="AC97" s="194"/>
      <c r="AD97" s="194"/>
      <c r="AE97" s="194"/>
      <c r="AF97" s="194"/>
      <c r="AG97" s="194"/>
      <c r="AH97" s="194"/>
      <c r="AI97" s="194" t="s">
        <v>267</v>
      </c>
      <c r="AJ97" s="194" t="s">
        <v>268</v>
      </c>
      <c r="AK97" s="194"/>
      <c r="AL97" s="194"/>
      <c r="AM97" s="194"/>
      <c r="AN97" s="194"/>
      <c r="AO97" s="194"/>
      <c r="AP97" s="194"/>
      <c r="AQ97" s="194" t="s">
        <v>267</v>
      </c>
      <c r="AR97" s="194" t="s">
        <v>268</v>
      </c>
      <c r="AS97" s="194"/>
      <c r="AT97" s="194"/>
      <c r="AU97" s="194"/>
      <c r="AV97" s="605" t="s">
        <v>269</v>
      </c>
      <c r="AW97" s="605" t="s">
        <v>270</v>
      </c>
      <c r="AX97" s="605" t="s">
        <v>271</v>
      </c>
      <c r="AY97"/>
      <c r="AZ97" s="605" t="s">
        <v>272</v>
      </c>
      <c r="BA97" s="605" t="s">
        <v>273</v>
      </c>
      <c r="BB97" s="605" t="s">
        <v>274</v>
      </c>
      <c r="BC97" s="190"/>
      <c r="BD97" s="605" t="s">
        <v>269</v>
      </c>
      <c r="BE97" s="605" t="s">
        <v>270</v>
      </c>
      <c r="BF97" s="605" t="s">
        <v>271</v>
      </c>
      <c r="BG97"/>
      <c r="BH97" s="605" t="s">
        <v>272</v>
      </c>
      <c r="BI97" s="605" t="s">
        <v>273</v>
      </c>
      <c r="BJ97" s="605" t="s">
        <v>274</v>
      </c>
      <c r="BK97" s="190"/>
      <c r="BL97" s="605" t="s">
        <v>269</v>
      </c>
      <c r="BM97" s="605" t="s">
        <v>270</v>
      </c>
      <c r="BN97" s="605" t="s">
        <v>271</v>
      </c>
      <c r="BO97"/>
      <c r="BP97" s="605" t="s">
        <v>272</v>
      </c>
      <c r="BQ97" s="605" t="s">
        <v>273</v>
      </c>
      <c r="BR97" s="605" t="s">
        <v>274</v>
      </c>
      <c r="BS97" s="190"/>
      <c r="BT97"/>
      <c r="BU97" s="210"/>
      <c r="BV97" s="208"/>
      <c r="BW97" s="24"/>
      <c r="BX97" s="24"/>
      <c r="BY97" s="209"/>
      <c r="BZ97"/>
      <c r="CA97" s="211" t="str">
        <f>CA96</f>
        <v>-</v>
      </c>
      <c r="CB97" s="212">
        <f>IF(ISNUMBER(CB96),ROUND(CB96,IF($I$66="",4,$I$66)),"-")</f>
        <v>0</v>
      </c>
      <c r="CC97" s="212"/>
      <c r="CD97" s="213"/>
      <c r="CE97" s="211" t="str">
        <f ca="1">CE96</f>
        <v>-</v>
      </c>
      <c r="CF97" s="212">
        <f ca="1">IF(ISNUMBER(CF96),ROUND(CF96,IF($I$66="",4,$I$66)),"-")</f>
        <v>0</v>
      </c>
      <c r="CG97" s="212"/>
      <c r="CH97" s="213"/>
      <c r="CI97" s="202"/>
      <c r="CJ97" s="99"/>
      <c r="CK97" s="99"/>
      <c r="CL97" s="99"/>
      <c r="CM97" s="99"/>
      <c r="CN97" s="99"/>
      <c r="CO97" s="99"/>
    </row>
    <row r="98" spans="2:93" ht="13.5" customHeight="1" x14ac:dyDescent="0.2">
      <c r="B98" s="585"/>
      <c r="C98" s="588"/>
      <c r="D98" s="591"/>
      <c r="E98" s="594"/>
      <c r="F98" s="597"/>
      <c r="G98" s="597"/>
      <c r="H98" s="594"/>
      <c r="I98" s="597"/>
      <c r="J98" s="597"/>
      <c r="K98" s="594"/>
      <c r="L98" s="597"/>
      <c r="M98" s="597"/>
      <c r="N98" s="594"/>
      <c r="O98" s="597"/>
      <c r="P98" s="597"/>
      <c r="Q98" s="594"/>
      <c r="R98" s="597"/>
      <c r="S98" s="597"/>
      <c r="T98" s="603"/>
      <c r="U98" s="214" t="s">
        <v>275</v>
      </c>
      <c r="V98" s="214" t="s">
        <v>276</v>
      </c>
      <c r="W98" s="214" t="s">
        <v>277</v>
      </c>
      <c r="X98" s="214" t="s">
        <v>278</v>
      </c>
      <c r="Y98" s="214" t="s">
        <v>279</v>
      </c>
      <c r="Z98" s="214" t="s">
        <v>280</v>
      </c>
      <c r="AA98" s="214" t="s">
        <v>281</v>
      </c>
      <c r="AB98" s="214" t="s">
        <v>281</v>
      </c>
      <c r="AC98" s="215" t="s">
        <v>275</v>
      </c>
      <c r="AD98" s="215" t="s">
        <v>276</v>
      </c>
      <c r="AE98" s="215" t="s">
        <v>277</v>
      </c>
      <c r="AF98" s="215" t="s">
        <v>278</v>
      </c>
      <c r="AG98" s="215" t="s">
        <v>279</v>
      </c>
      <c r="AH98" s="215" t="s">
        <v>280</v>
      </c>
      <c r="AI98" s="215" t="s">
        <v>281</v>
      </c>
      <c r="AJ98" s="215" t="s">
        <v>281</v>
      </c>
      <c r="AK98" s="216" t="s">
        <v>275</v>
      </c>
      <c r="AL98" s="216" t="s">
        <v>276</v>
      </c>
      <c r="AM98" s="216" t="s">
        <v>277</v>
      </c>
      <c r="AN98" s="216" t="s">
        <v>278</v>
      </c>
      <c r="AO98" s="216" t="s">
        <v>279</v>
      </c>
      <c r="AP98" s="216" t="s">
        <v>280</v>
      </c>
      <c r="AQ98" s="216" t="s">
        <v>281</v>
      </c>
      <c r="AR98" s="216" t="s">
        <v>281</v>
      </c>
      <c r="AS98" s="194" t="s">
        <v>282</v>
      </c>
      <c r="AT98" s="194" t="s">
        <v>283</v>
      </c>
      <c r="AU98" s="194" t="s">
        <v>284</v>
      </c>
      <c r="AV98" s="605"/>
      <c r="AW98" s="605"/>
      <c r="AX98" s="605"/>
      <c r="AY98"/>
      <c r="AZ98" s="605"/>
      <c r="BA98" s="605"/>
      <c r="BB98" s="605"/>
      <c r="BC98" s="190"/>
      <c r="BD98" s="605"/>
      <c r="BE98" s="605"/>
      <c r="BF98" s="605"/>
      <c r="BG98"/>
      <c r="BH98" s="605"/>
      <c r="BI98" s="605"/>
      <c r="BJ98" s="605"/>
      <c r="BK98" s="190"/>
      <c r="BL98" s="605"/>
      <c r="BM98" s="605"/>
      <c r="BN98" s="605"/>
      <c r="BO98"/>
      <c r="BP98" s="605"/>
      <c r="BQ98" s="605"/>
      <c r="BR98" s="605"/>
      <c r="BS98" s="190"/>
      <c r="BT98"/>
      <c r="BU98" s="210"/>
      <c r="BV98" s="208"/>
      <c r="BW98" s="24"/>
      <c r="BX98" s="24"/>
      <c r="BY98" s="209"/>
      <c r="BZ98"/>
      <c r="CA98" s="206"/>
      <c r="CB98" s="71"/>
      <c r="CC98" s="71"/>
      <c r="CD98" s="207"/>
      <c r="CE98" s="206"/>
      <c r="CF98" s="71"/>
      <c r="CG98" s="71"/>
      <c r="CH98" s="207"/>
      <c r="CI98" s="202"/>
      <c r="CJ98" s="99"/>
      <c r="CK98" s="99"/>
      <c r="CL98" s="99"/>
      <c r="CM98" s="99"/>
      <c r="CN98" s="99"/>
      <c r="CO98" s="99"/>
    </row>
    <row r="99" spans="2:93" ht="13.5" customHeight="1" thickBot="1" x14ac:dyDescent="0.25">
      <c r="B99" s="586"/>
      <c r="C99" s="589"/>
      <c r="D99" s="592"/>
      <c r="E99" s="595"/>
      <c r="F99" s="598"/>
      <c r="G99" s="598"/>
      <c r="H99" s="595"/>
      <c r="I99" s="598"/>
      <c r="J99" s="598"/>
      <c r="K99" s="595"/>
      <c r="L99" s="598"/>
      <c r="M99" s="598"/>
      <c r="N99" s="595"/>
      <c r="O99" s="598"/>
      <c r="P99" s="598"/>
      <c r="Q99" s="595"/>
      <c r="R99" s="598"/>
      <c r="S99" s="598"/>
      <c r="T99" s="604"/>
      <c r="U99" s="219"/>
      <c r="V99" s="220" t="str">
        <f>IF(ISNUMBER($F$14),IF(B99&lt;($F$16-$F$15)*$F$14,INT(B99/($F$16-$F$15))+1,V97),"-")</f>
        <v>-</v>
      </c>
      <c r="W99" s="221">
        <v>0</v>
      </c>
      <c r="X99" s="221">
        <v>0</v>
      </c>
      <c r="Y99" s="221">
        <f>W99-X99</f>
        <v>0</v>
      </c>
      <c r="Z99" s="219"/>
      <c r="AA99" s="219"/>
      <c r="AB99" s="219"/>
      <c r="AC99" s="222"/>
      <c r="AD99" s="223" t="str">
        <f>IFERROR(IF($F$14-1&gt;0,IF(B99&lt;($F$16-$F$15)*($F$14-1),INT(B99/($F$16-$F$15))+1,AD97),"-"),"-")</f>
        <v>-</v>
      </c>
      <c r="AE99" s="224">
        <v>0</v>
      </c>
      <c r="AF99" s="224">
        <v>0</v>
      </c>
      <c r="AG99" s="224">
        <f>AE99-AF99</f>
        <v>0</v>
      </c>
      <c r="AH99" s="222"/>
      <c r="AI99" s="222"/>
      <c r="AJ99" s="222"/>
      <c r="AK99" s="225"/>
      <c r="AL99" s="226" t="str">
        <f>IFERROR(IF($F$14-2&gt;0,IF(B99&lt;($F$16-$F$15)*($F$14-2),INT(B99/($F$16-$F$15))+1,AL97),"-"),"-")</f>
        <v>-</v>
      </c>
      <c r="AM99" s="227">
        <v>0</v>
      </c>
      <c r="AN99" s="227">
        <v>0</v>
      </c>
      <c r="AO99" s="227">
        <f>AM99-AN99</f>
        <v>0</v>
      </c>
      <c r="AP99" s="225"/>
      <c r="AQ99" s="225"/>
      <c r="AR99" s="225"/>
      <c r="AV99" s="228"/>
      <c r="AX99" s="190"/>
      <c r="AY99"/>
      <c r="AZ99" s="190"/>
      <c r="BA99" s="190"/>
      <c r="BB99" s="190"/>
      <c r="BC99" s="190"/>
      <c r="BD99" s="228"/>
      <c r="BE99"/>
      <c r="BF99" s="190"/>
      <c r="BG99"/>
      <c r="BH99" s="190"/>
      <c r="BI99" s="190"/>
      <c r="BJ99" s="190"/>
      <c r="BK99" s="190"/>
      <c r="BL99" s="228"/>
      <c r="BM99"/>
      <c r="BN99" s="190"/>
      <c r="BO99"/>
      <c r="BP99" s="190"/>
      <c r="BQ99" s="190"/>
      <c r="BR99" s="190"/>
      <c r="BS99" s="190"/>
      <c r="BT99"/>
      <c r="BU99" s="229"/>
      <c r="BV99" s="217"/>
      <c r="BW99" s="230"/>
      <c r="BX99" s="230"/>
      <c r="BY99" s="218"/>
      <c r="BZ99"/>
      <c r="CA99" s="231" t="s">
        <v>285</v>
      </c>
      <c r="CB99" s="232" t="s">
        <v>286</v>
      </c>
      <c r="CC99" s="233" t="s">
        <v>287</v>
      </c>
      <c r="CD99" s="234" t="s">
        <v>288</v>
      </c>
      <c r="CE99" s="231" t="s">
        <v>285</v>
      </c>
      <c r="CF99" s="232" t="s">
        <v>286</v>
      </c>
      <c r="CG99" s="233" t="s">
        <v>287</v>
      </c>
      <c r="CH99" s="234" t="s">
        <v>288</v>
      </c>
      <c r="CI99" s="202"/>
      <c r="CJ99" s="99"/>
      <c r="CK99" s="99"/>
      <c r="CL99" s="99"/>
      <c r="CM99" s="99"/>
      <c r="CN99" s="99"/>
      <c r="CO99" s="99"/>
    </row>
    <row r="100" spans="2:93" ht="13.5" customHeight="1" thickTop="1" x14ac:dyDescent="0.2">
      <c r="B100" s="235">
        <v>0</v>
      </c>
      <c r="C100" s="236" t="str">
        <f t="shared" ref="C100:C163" si="1">IF(ISERROR(VLOOKUP(B100,$B$39:$C$73,2,0)),"",VLOOKUP(B100,$B$39:$C$73,2,0))</f>
        <v/>
      </c>
      <c r="D100" s="237" t="str">
        <f>IF(ISNUMBER(C100),C100,"-")</f>
        <v>-</v>
      </c>
      <c r="E100" s="238" t="str">
        <f>IF(ISNUMBER($F$14),IF(ISNUMBER(AA100),AA100,""),"")</f>
        <v/>
      </c>
      <c r="F100" s="239" t="str">
        <f>IF(OR($F$14=2,$F$14=3),IF(($F$16-$F$15)&gt;B100," ",VLOOKUP((B100-($F$16-$F$15)),$AC$100:$AI$250,7,FALSE)),"")</f>
        <v/>
      </c>
      <c r="G100" s="239" t="str">
        <f>IF($F$14=3,IF(($F$16-$F$15)*2&gt;B100," ",VLOOKUP((B100-($F$16-$F$15)*2),$AK$100:$AQ$250,7,FALSE)),"")</f>
        <v/>
      </c>
      <c r="H100" s="240" t="str">
        <f>IF(E100&lt;&gt;"",IF($B100&lt;$F$21,"",IF(ISNUMBER(F100),IF(ISNUMBER(I100),(E100*30*50*ffp),""),(E100*30*50*ffp))),"")</f>
        <v/>
      </c>
      <c r="I100" s="241" t="str">
        <f t="shared" ref="I100:I131" si="2">IFERROR(IF(F100&lt;&gt;"",IF($B100&lt;$F$21+$F$16,"",IF(ISNUMBER(G100),IF(ISNUMBER(J100),(F100*30*50*ffp),""),(F100*30*50*ffp))),""),"")</f>
        <v/>
      </c>
      <c r="J100" s="241" t="str">
        <f t="shared" ref="J100:J131" si="3">IFERROR(IF(G100&lt;&gt;"",IF($B100&lt;$F$21+$F$17,"",(G100*30*50*ffp)),""),"")</f>
        <v/>
      </c>
      <c r="K100" s="242" t="str">
        <f t="shared" ref="K100:K131" si="4">IF(E100&lt;&gt;"",((E100*20*50*ffp)/Klevee),"")</f>
        <v/>
      </c>
      <c r="L100" s="241" t="str">
        <f t="shared" ref="L100:L131" si="5">IF(ISNUMBER(F100),((F100*20*50*ffp)/Klevee),"")</f>
        <v/>
      </c>
      <c r="M100" s="241" t="str">
        <f t="shared" ref="M100:M131" si="6">IF(ISNUMBER(G100),((G100*20*50*ffp)/Klevee),"")</f>
        <v/>
      </c>
      <c r="N100" s="242" t="str">
        <f t="shared" ref="N100:N131" si="7">IF(AND(ISNUMBER(I),ISNUMBER($F$14),ISNUMBER($F$20)),IF($B100=0,I*($J$40/100)*$J$42*1,""),"-")</f>
        <v>-</v>
      </c>
      <c r="O100" s="241" t="str">
        <f t="shared" ref="O100:O131" si="8">IF(ISNUMBER($F$14),IF($F$14&gt;1,IF($B100=0+$F$16,I*($J$40/100)*$J$42*1,""),""),"-")</f>
        <v>-</v>
      </c>
      <c r="P100" s="241" t="str">
        <f t="shared" ref="P100:P131" si="9">IF(ISNUMBER($F$14),IF($F$14&gt;2,IF($B100=0+$F$17,I*($J$40/100)*$J$42*1,""),""),"-")</f>
        <v>-</v>
      </c>
      <c r="Q100" s="243" t="str">
        <f t="shared" ref="Q100:Q131" si="10">IF(AND(ISNUMBER(I),ISNUMBER($F$14),ISNUMBER($F$20)),IF($B100=0,I*(dt/100)*$J$45*1,""),"-")</f>
        <v>-</v>
      </c>
      <c r="R100" s="244" t="str">
        <f t="shared" ref="R100:R131" si="11">IF(ISNUMBER($F$14),IF($F$14&gt;1,IF($B100=0+$F$16,I*(dt/100)*$J$45*1,""),""),"-")</f>
        <v>-</v>
      </c>
      <c r="S100" s="245" t="str">
        <f t="shared" ref="S100:S131" si="12">IF(ISNUMBER($F$14),IF($F$14&gt;2,IF($B100=0+$F$17,I*(dt/100)*$J$45*1,""),""),"-")</f>
        <v>-</v>
      </c>
      <c r="T100" s="246" t="str">
        <f t="shared" ref="T100:T163" si="13">IF(SUM(H100:S100)=0,"",SUM(H100:S100))</f>
        <v/>
      </c>
      <c r="U100" s="247">
        <f t="shared" ref="U100:U163" si="14">B100</f>
        <v>0</v>
      </c>
      <c r="V100" s="248" t="str">
        <f>IF(ISNUMBER($F$14),IF(B100&lt;($F$16-$F$15)*$F$14,INT(B100/($F$16-$F$15))+1,V98),"-")</f>
        <v>-</v>
      </c>
      <c r="W100" s="247" t="str">
        <f>IF(ISNUMBER($F$14),IF(B100&lt;$F$14*($F$16-$F$15),B100-INT(B100/($F$16-$F$15))*($F$16-$F$15)+1,W99+1),"-")</f>
        <v>-</v>
      </c>
      <c r="X100" s="247" t="str">
        <f t="shared" ref="X100:X163" si="15">IFERROR(IF($F$21=0,0,IF(V100=V99,IF(B100-(V100-1)*($F$16-$F$15)&lt;$F$21,X99+1,X99),1)),"-")</f>
        <v>-</v>
      </c>
      <c r="Y100" s="247" t="str">
        <f t="shared" ref="Y100:Y163" si="16">IFERROR(W100-X100,"-")</f>
        <v>-</v>
      </c>
      <c r="Z100" s="249">
        <f>IF(Y100&gt;0,0.1,0.04)</f>
        <v>0.1</v>
      </c>
      <c r="AA100" s="250" t="str">
        <f>IFERROR(IF(V99=1,D100*EXP(-(0.04*X99+0.1*Y99)),IF(V99=2,D100*EXP(-(0.04*($F$21+X99)+0.1*(($F$16-$F$15)-$F$21+Y99))),D100*EXP(-(0.04*($F$21*2+X99)+0.1*((($F$16-$F$15)-$F$21)*2-Y99))))),"-")</f>
        <v>-</v>
      </c>
      <c r="AB100" s="250" t="str">
        <f t="shared" ref="AB100:AB114" si="17">IFERROR(IF(V100=1,D100*EXP(-(0.04*X100+0.1*Y100)),IF(V100=2,D100*EXP(-(0.04*($F$21+X100)+0.1*(($F$16-$F$15)-$F$21+Y100))),D100*EXP(-(0.04*($F$21*2+X100)+0.1*((($F$16-$F$15)-$F$21)*2-Y100))))),"-")</f>
        <v>-</v>
      </c>
      <c r="AC100" s="247">
        <f>B100</f>
        <v>0</v>
      </c>
      <c r="AD100" s="248" t="str">
        <f t="shared" ref="AD100:AD163" si="18">IFERROR(IF($F$14-1&gt;0,IF(B100&lt;($F$16-$F$15)*($F$14-1),INT(B100/($F$16-$F$15))+1,AD98),"-"),"-")</f>
        <v>-</v>
      </c>
      <c r="AE100" s="247" t="str">
        <f>IFERROR(IF($F$14-1&gt;0,IF(B100&lt;($F$14-1)*($F$16-$F$15),B100-INT(B100/($F$16-$F$15))*($F$16-$F$15)+1,AE99+1),"-"),"-")</f>
        <v>-</v>
      </c>
      <c r="AF100" s="247" t="str">
        <f t="shared" ref="AF100:AF163" si="19">IFERROR(IF($F$21=0,0,IF(AD100=AD99,IF(B100-(AD100-1)*($F$16-$F$15)&lt;$F$21,AF99+1,AF99),1)),"-")</f>
        <v>-</v>
      </c>
      <c r="AG100" s="247" t="str">
        <f t="shared" ref="AG100:AG163" si="20">IFERROR(AE100-AF100,"-")</f>
        <v>-</v>
      </c>
      <c r="AH100" s="249">
        <f>IF(AG100&gt;0,0.1,0.04)</f>
        <v>0.1</v>
      </c>
      <c r="AI100" s="250" t="str">
        <f t="shared" ref="AI100:AI114" si="21">IFERROR(IF(AD99=1,D100*EXP(-(0.04*AF99+0.1*AG99)),IF(AD99=2,D100*EXP(-(0.04*($F$21+AF99)+0.1*(($F$16-$F$15)-$F$21+AG99))),D100*EXP(-(0.04*($F$21*2+AF99)+0.1*((($F$16-$F$15)-$F$21)*2-AG99))))),"-")</f>
        <v>-</v>
      </c>
      <c r="AJ100" s="250" t="str">
        <f>IFERROR(IF(AD100=1,D100*EXP(-(0.04*AF100+0.1*AG100)),IF(AD100=2,D100*EXP(-(0.04*($F$21+AF100)+0.1*(($F$16-$F$15)-$F$21+AG100))),D100*EXP(-(0.04*($F$21*2+AF100)+0.1*((($F$16-$F$15)-$F$21)*2-AG100))))),"-")</f>
        <v>-</v>
      </c>
      <c r="AK100" s="247">
        <f>B100</f>
        <v>0</v>
      </c>
      <c r="AL100" s="248" t="str">
        <f t="shared" ref="AL100:AL163" si="22">IFERROR(IF($F$14-2&gt;0,IF(B100&lt;($F$16-$F$15)*($F$14-2),INT(B100/($F$16-$F$15))+1,AL98),"-"),"-")</f>
        <v>-</v>
      </c>
      <c r="AM100" s="247" t="str">
        <f>IFERROR(IF($F$14-2&gt;0,IF(B100&lt;($F$14-2)*($F$16-$F$15),B100-INT(B100/($F$16-$F$15))*($F$16-$F$15)+1,AM99+1),"-"),"-")</f>
        <v>-</v>
      </c>
      <c r="AN100" s="247" t="str">
        <f>IFERROR(IF($F$21=0,0,IF(AL100=AL99,IF(B100-(AL100-1)*($F$16-$F$15)&lt;$F$21,AN99+1,AN99),1)),"-")</f>
        <v>-</v>
      </c>
      <c r="AO100" s="247" t="str">
        <f t="shared" ref="AO100:AO163" si="23">IFERROR(AM100-AN100,"-")</f>
        <v>-</v>
      </c>
      <c r="AP100" s="249">
        <f>IF(AO100&gt;0,0.1,0.04)</f>
        <v>0.1</v>
      </c>
      <c r="AQ100" s="250" t="str">
        <f>IFERROR(IF(AL99=1,D100*EXP(-(0.04*AN99+0.1*AO99)),IF(AL99=2,D100*EXP(-(0.04*($F$21+AN99)+0.1*(($F$16-$F$15)-$F$21+AO99))),D100*EXP(-(0.04*($F$21*2+AN99)+0.1*((($F$16-$F$15)-$F$21)*2-AO99))))),"-")</f>
        <v>-</v>
      </c>
      <c r="AR100" s="250" t="str">
        <f>IFERROR(IF(AL100=1,D100*EXP(-(0.04*AN100+0.1*AO100)),IF(AL100=2,D100*EXP(-(0.04*($F$21+AN100)+0.1*(($F$16-$F$15)-$F$21+AO100))),D100*EXP(-(0.04*($F$21*2+AN100)+0.1*((($F$16-$F$15)-$F$21)*2-AO100))))),"-")</f>
        <v>-</v>
      </c>
      <c r="AS100" s="250">
        <f t="shared" ref="AS100:AS163" si="24">SUM(H100:J100)</f>
        <v>0</v>
      </c>
      <c r="AT100" s="250">
        <f t="shared" ref="AT100:AT163" si="25">SUM(K100:M100)</f>
        <v>0</v>
      </c>
      <c r="AU100" s="250">
        <f t="shared" ref="AU100:AU163" si="26">SUM(N100:S100)</f>
        <v>0</v>
      </c>
      <c r="AV100" s="251">
        <f>IF($B100&lt;$F$22,SUM($T$100:$T100),"")</f>
        <v>0</v>
      </c>
      <c r="AW100" s="251" t="str">
        <f>IF(ISNUMBER(Koc),IF(ISNUMBER(AV100),AV100*(Koc*(Ocse/100)*Pse*Vse)/(Koc*(Ocse/100)*Pse*Vse+1*86400*($B100+1)),""),"-")</f>
        <v>-</v>
      </c>
      <c r="AX100" s="251" t="str">
        <f>IF(ISNUMBER(AW100),IF(ISNUMBER(AV100),(AV100-AW100)/(3*86400*($B100+1))*1000,""),"")</f>
        <v/>
      </c>
      <c r="AY100" s="252"/>
      <c r="AZ100" s="251" t="str">
        <f ca="1">IF(ISNUMBER(OFFSET(AV100,-$F$21,0)),SUM(OFFSET($T$100,$F$21,0):$T100),"")</f>
        <v/>
      </c>
      <c r="BA100" s="251" t="str">
        <f t="shared" ref="BA100:BA131" ca="1" si="27">IF(ISNUMBER(OFFSET(AV100,-$F$21,0)),AZ100*(Koc*(Ocse/100)*Pse*Vse)/(Koc*(Ocse/100)*Pse*Vse+1*86400*($B100+1)),"")</f>
        <v/>
      </c>
      <c r="BB100" s="251" t="str">
        <f ca="1">IF(ISNUMBER(AZ100),(AZ100-BA100)/(3*86400*(OFFSET($B100,-$F$21,0)+1))*1000,"")</f>
        <v/>
      </c>
      <c r="BC100" s="253"/>
      <c r="BD100" s="251" t="str">
        <f ca="1">IFERROR(IF(OR(ISNUMBER(I),ISNUMBER($F$14)),IF(AND($B100&gt;=($F$16-$F$15),$B100&lt;$F$22+($F$16-$F$15)),SUM(OFFSET($T$100,($F$16-$F$15),0):$T100),""),""),"")</f>
        <v/>
      </c>
      <c r="BE100" s="251" t="str">
        <f ca="1">IF(ISNUMBER(BD100),BD100*(Koc*(Ocse/100)*Pse*Vse)/(Koc*(Ocse/100)*Pse*Vse+1*86400*($B100+1)),"")</f>
        <v/>
      </c>
      <c r="BF100" s="251" t="str">
        <f ca="1">IF(ISNUMBER(BD100),(BD100-BE100)/(3*86400*($B100-($F$16-$F$15)+1))*1000,"")</f>
        <v/>
      </c>
      <c r="BG100" s="252"/>
      <c r="BH100" s="253" t="str">
        <f ca="1">IF(ISNUMBER(OFFSET(BD100,-$F$21,0)),SUM(OFFSET($T$100,($F$16-$F$15+$F$21),0):$T100),"")</f>
        <v/>
      </c>
      <c r="BI100" s="253" t="str">
        <f t="shared" ref="BI100:BI131" ca="1" si="28">IF(ISNUMBER(OFFSET(BD100,-$F$21,0)),BH100*(Koc*(Ocse/100)*Pse*Vse)/(Koc*(Ocse/100)*Pse*Vse+1*86400*($B100+1)),"")</f>
        <v/>
      </c>
      <c r="BJ100" s="253" t="str">
        <f ca="1">IF(ISNUMBER(BH100),(BH100-BI100)/(3*86400*((OFFSET($B100,-$F$21,0)-($F$16-$F$15)+1)))*1000,"")</f>
        <v/>
      </c>
      <c r="BK100" s="253"/>
      <c r="BL100" s="251" t="str">
        <f ca="1">IFERROR(IF(OR(ISNUMBER(I),ISNUMBER($F$14)),IF(AND($B100&gt;=($F$17-$F$15),$B100&lt;$F$22+($F$17-$F$15)),SUM(OFFSET($T$100,($F$17-$F$15),0):$T100),""),""),"")</f>
        <v/>
      </c>
      <c r="BM100" s="251" t="str">
        <f t="shared" ref="BM100:BM131" ca="1" si="29">IF(ISNUMBER(BL100),BL100*(Koc*(Ocse/100)*Pse*Vse)/(Koc*(Ocse/100)*Pse*Vse+1*86400*($B100+1)),"")</f>
        <v/>
      </c>
      <c r="BN100" s="251" t="str">
        <f ca="1">IF(ISNUMBER(BL100),(BL100-BM100)/(3*86400*($B100-($F$17-$F$15)+1))*1000,"")</f>
        <v/>
      </c>
      <c r="BO100" s="252"/>
      <c r="BP100" s="251" t="str">
        <f ca="1">IF(ISNUMBER(OFFSET(BL100,-$F$21,0)),SUM(OFFSET($T$100,($F$17-$F$15+$F$21),0):$T100),"")</f>
        <v/>
      </c>
      <c r="BQ100" s="251" t="str">
        <f ca="1">IF(ISNUMBER(OFFSET(BL100,-$F$21,0)),BP100*(Koc*(Ocse/100)*Pse*Vse)/(Koc*(Ocse/100)*Pse*Vse+1*86400*($B100+1)),"")</f>
        <v/>
      </c>
      <c r="BR100" s="251" t="str">
        <f ca="1">IF(ISNUMBER(BP100),(BP100-BQ100)/(3*86400*(OFFSET($B100,-$F$21,0)-($F$17-$F$15)+1))*1000,"")</f>
        <v/>
      </c>
      <c r="BS100" s="253"/>
      <c r="BT100"/>
      <c r="BU100" s="254" t="str">
        <f>IF(B39&lt;&gt;"",B39,"")</f>
        <v/>
      </c>
      <c r="BV100" s="255">
        <v>0</v>
      </c>
      <c r="BW100" s="256"/>
      <c r="BX100" s="256"/>
      <c r="BY100" s="257"/>
      <c r="BZ100"/>
      <c r="CA100" s="258" t="str">
        <f t="shared" ref="CA100:CA131" si="30">IFERROR(IF($B100&lt;$CA$94,T100*(Koc*(Ocse/100)*Pse*Vse)/(Koc*(Ocse/100)*Pse*Vse+1*86400*$CA$94),""),"-")</f>
        <v>-</v>
      </c>
      <c r="CB100" s="33" t="str">
        <f t="shared" ref="CB100:CB163" si="31">IF(ISNUMBER(T100),IF($B100&lt;$CA$94,(T100-CA100)/(3*86400)*1000,""),"-")</f>
        <v>-</v>
      </c>
      <c r="CC100" s="33" t="str">
        <f t="shared" ref="CC100:CC120" si="32">$B100&amp;"-"&amp;$B100+1</f>
        <v>0-1</v>
      </c>
      <c r="CD100" s="259" t="str">
        <f t="shared" ref="CD100:CD163" si="33">IF(CC100=CA$96,CB$96,"")</f>
        <v/>
      </c>
      <c r="CE100" s="260" t="str">
        <f t="shared" ref="CE100:CE131" si="34">IFERROR(IF($B100&lt;$CE$94,T100*(Koc*(Ocse/100)*Pse*Vse)/(Koc*(Ocse/100)*Pse*Vse+1*86400*$CE$94),""),"-")</f>
        <v>-</v>
      </c>
      <c r="CF100" s="33" t="str">
        <f t="shared" ref="CF100:CF131" ca="1" si="35">IFERROR(IF($B100&lt;$CE$94,IF(NOT(ISNUMBER(ffp)),"-",IF($F$70=$AX$87,AX100,IF($F$70=$BB$87,OFFSET(BB100,$F$21,0),IF($F$70=$BF$87,OFFSET(BF100,$F$16,0),IF($F$70=$BJ$87,OFFSET(BJ100,$F$16+$F$21,0),IF($F$70=$BN$87,OFFSET(BN100,$F$17,0),OFFSET(BR100,$F$17+$F$21,0))))))),""),"-")</f>
        <v>-</v>
      </c>
      <c r="CG100" s="33" t="str">
        <f t="shared" ref="CG100:CG163" si="36">IF($B100&lt;$CE$94,$B100&amp;"-"&amp;$B100+1,"")</f>
        <v>0-1</v>
      </c>
      <c r="CH100" s="261" t="str">
        <f t="shared" ref="CH100:CH163" ca="1" si="37">IF(CG100=CE$96,CF$96,"")</f>
        <v/>
      </c>
      <c r="CI100" s="202"/>
      <c r="CJ100" s="99"/>
      <c r="CK100" s="99"/>
      <c r="CL100" s="99"/>
      <c r="CM100" s="99"/>
      <c r="CN100" s="99"/>
      <c r="CO100" s="99"/>
    </row>
    <row r="101" spans="2:93" ht="13.5" customHeight="1" x14ac:dyDescent="0.2">
      <c r="B101" s="262">
        <v>1</v>
      </c>
      <c r="C101" s="236" t="str">
        <f t="shared" si="1"/>
        <v/>
      </c>
      <c r="D101" s="237" t="str">
        <f>IFERROR(IF(B101&lt;$F$22,IF(ISNUMBER($D$65),IF(MAX($BU$101:$BU$120)&lt;B101, "", IF(B101=VLOOKUP(B101, $BU$101:$BU$120,1,1), C101,D100-INDEX($BY$101:$BY$120, MATCH(VLOOKUP(B101, $BU$101:$BU$120,1,1), $BU$101:$BU$120)+1, 1))),D100-VLOOKUP(MAX($BU$101:$BU$120),$BU$101:$BY$120,5)),""),"-")</f>
        <v>-</v>
      </c>
      <c r="E101" s="263" t="str">
        <f t="shared" ref="E101:E164" si="38">IF(ISNUMBER($F$14),IF(ISNUMBER(AA101),AA101,""),"")</f>
        <v/>
      </c>
      <c r="F101" s="264" t="str">
        <f t="shared" ref="F101:F164" si="39">IF(OR($F$14=2,$F$14=3),IF(($F$16-$F$15)&gt;B101," ",VLOOKUP((B101-($F$16-$F$15)),$AC$100:$AI$250,7,FALSE)),"")</f>
        <v/>
      </c>
      <c r="G101" s="264" t="str">
        <f t="shared" ref="G101:G164" si="40">IF($F$14=3,IF(($F$16-$F$15)*2&gt;B101," ",VLOOKUP((B101-($F$16-$F$15)*2),$AK$100:$AQ$250,7,FALSE)),"")</f>
        <v/>
      </c>
      <c r="H101" s="240" t="str">
        <f t="shared" ref="H101:H131" si="41">IF(E101&lt;&gt;"",IF($B101&lt;$F$21,"",IF(ISNUMBER(F101),IF(ISNUMBER(I101),(E101*30*50*ffp),""),(E101*30*50*ffp))),"")</f>
        <v/>
      </c>
      <c r="I101" s="265" t="str">
        <f t="shared" si="2"/>
        <v/>
      </c>
      <c r="J101" s="265" t="str">
        <f t="shared" si="3"/>
        <v/>
      </c>
      <c r="K101" s="240" t="str">
        <f t="shared" si="4"/>
        <v/>
      </c>
      <c r="L101" s="265" t="str">
        <f t="shared" si="5"/>
        <v/>
      </c>
      <c r="M101" s="265" t="str">
        <f t="shared" si="6"/>
        <v/>
      </c>
      <c r="N101" s="240" t="str">
        <f t="shared" si="7"/>
        <v>-</v>
      </c>
      <c r="O101" s="265" t="str">
        <f t="shared" si="8"/>
        <v>-</v>
      </c>
      <c r="P101" s="265" t="str">
        <f t="shared" si="9"/>
        <v>-</v>
      </c>
      <c r="Q101" s="266" t="str">
        <f t="shared" si="10"/>
        <v>-</v>
      </c>
      <c r="R101" s="267" t="str">
        <f t="shared" si="11"/>
        <v>-</v>
      </c>
      <c r="S101" s="268" t="str">
        <f t="shared" si="12"/>
        <v>-</v>
      </c>
      <c r="T101" s="269" t="str">
        <f t="shared" si="13"/>
        <v/>
      </c>
      <c r="U101" s="221">
        <f t="shared" si="14"/>
        <v>1</v>
      </c>
      <c r="V101" s="220" t="str">
        <f t="shared" ref="V101:V164" si="42">IF(ISNUMBER($F$14),IF(B101&lt;($F$16-$F$15)*$F$14,INT(B101/($F$16-$F$15))+1,V99),"-")</f>
        <v>-</v>
      </c>
      <c r="W101" s="221" t="str">
        <f t="shared" ref="W101:W164" si="43">IF(ISNUMBER($F$14),IF(B101&lt;$F$14*($F$16-$F$15),B101-INT(B101/($F$16-$F$15))*($F$16-$F$15)+1,W100+1),"-")</f>
        <v>-</v>
      </c>
      <c r="X101" s="221" t="str">
        <f t="shared" si="15"/>
        <v>-</v>
      </c>
      <c r="Y101" s="221" t="str">
        <f t="shared" si="16"/>
        <v>-</v>
      </c>
      <c r="Z101" s="270">
        <f t="shared" ref="Z101:Z164" si="44">IF(Y101&gt;0,0.1,0.04)</f>
        <v>0.1</v>
      </c>
      <c r="AA101" s="271" t="str">
        <f>IFERROR(IF(V100=1,D101*EXP(-(0.04*X100+0.1*Y100)),IF(V100=2,D101*EXP(-(0.04*($F$21+X100)+0.1*(($F$16-$F$15)-$F$21+Y100))),D101*EXP(-(0.04*($F$21*2+X100)+0.1*((($F$16-$F$15)-$F$21)*2-Y100))))),"-")</f>
        <v>-</v>
      </c>
      <c r="AB101" s="271" t="str">
        <f t="shared" si="17"/>
        <v>-</v>
      </c>
      <c r="AC101" s="224">
        <f t="shared" ref="AC101:AC164" si="45">B101</f>
        <v>1</v>
      </c>
      <c r="AD101" s="223" t="str">
        <f t="shared" si="18"/>
        <v>-</v>
      </c>
      <c r="AE101" s="224" t="str">
        <f t="shared" ref="AE101:AE164" si="46">IFERROR(IF($F$14-1&gt;0,IF(B101&lt;($F$14-1)*($F$16-$F$15),B101-INT(B101/($F$16-$F$15))*($F$16-$F$15)+1,AE100+1),"-"),"-")</f>
        <v>-</v>
      </c>
      <c r="AF101" s="224" t="str">
        <f t="shared" si="19"/>
        <v>-</v>
      </c>
      <c r="AG101" s="224" t="str">
        <f t="shared" si="20"/>
        <v>-</v>
      </c>
      <c r="AH101" s="272">
        <f t="shared" ref="AH101:AH164" si="47">IF(AG101&gt;0,0.1,0.04)</f>
        <v>0.1</v>
      </c>
      <c r="AI101" s="271" t="str">
        <f t="shared" si="21"/>
        <v>-</v>
      </c>
      <c r="AJ101" s="271" t="str">
        <f t="shared" ref="AJ101:AJ112" si="48">IFERROR(IF(AD101=1,D101*EXP(-(0.04*AF101+0.1*AG101)),IF(AD101=2,D101*EXP(-(0.04*($F$21+AF101)+0.1*(($F$16-$F$15)-$F$21+AG101))),D101*EXP(-(0.04*($F$21*2+AF101)+0.1*((($F$16-$F$15)-$F$21)*2-AG101))))),"-")</f>
        <v>-</v>
      </c>
      <c r="AK101" s="227">
        <f t="shared" ref="AK101:AK164" si="49">B101</f>
        <v>1</v>
      </c>
      <c r="AL101" s="226" t="str">
        <f t="shared" si="22"/>
        <v>-</v>
      </c>
      <c r="AM101" s="227" t="str">
        <f t="shared" ref="AM101:AM164" si="50">IFERROR(IF($F$14-2&gt;0,IF(B101&lt;($F$14-2)*($F$16-$F$15),B101-INT(B101/($F$16-$F$15))*($F$16-$F$15)+1,AM100+1),"-"),"-")</f>
        <v>-</v>
      </c>
      <c r="AN101" s="227" t="str">
        <f t="shared" ref="AN101:AN164" si="51">IFERROR(IF($F$21=0,0,IF(AL101=AL100,IF(B101-(AL101-1)*($F$16-$F$15)&lt;$F$21,AN100+1,AN100),1)),"-")</f>
        <v>-</v>
      </c>
      <c r="AO101" s="227" t="str">
        <f t="shared" si="23"/>
        <v>-</v>
      </c>
      <c r="AP101" s="273">
        <f t="shared" ref="AP101:AP164" si="52">IF(AO101&gt;0,0.1,0.04)</f>
        <v>0.1</v>
      </c>
      <c r="AQ101" s="271" t="str">
        <f t="shared" ref="AQ101:AQ113" si="53">IFERROR(IF(AL100=1,D101*EXP(-(0.04*AN100+0.1*AO100)),IF(AL100=2,D101*EXP(-(0.04*($F$21+AN100)+0.1*(($F$16-$F$15)-$F$21+AO100))),D101*EXP(-(0.04*($F$21*2+AN100)+0.1*((($F$16-$F$15)-$F$21)*2-AO100))))),"-")</f>
        <v>-</v>
      </c>
      <c r="AR101" s="271" t="str">
        <f t="shared" ref="AR101:AR113" si="54">IFERROR(IF(AL101=1,D101*EXP(-(0.04*AN101+0.1*AO101)),IF(AL101=2,D101*EXP(-(0.04*($F$21+AN101)+0.1*(($F$16-$F$15)-$F$21+AO101))),D101*EXP(-(0.04*($F$21*2+AN101)+0.1*((($F$16-$F$15)-$F$21)*2-AO101))))),"-")</f>
        <v>-</v>
      </c>
      <c r="AS101" s="274">
        <f t="shared" si="24"/>
        <v>0</v>
      </c>
      <c r="AT101" s="274">
        <f t="shared" si="25"/>
        <v>0</v>
      </c>
      <c r="AU101" s="274">
        <f t="shared" si="26"/>
        <v>0</v>
      </c>
      <c r="AV101" s="275">
        <f>IF($B101&lt;$F$22,SUM($T$100:$T101),"")</f>
        <v>0</v>
      </c>
      <c r="AW101" s="275" t="str">
        <f t="shared" ref="AW101:AW131" si="55">IF(ISNUMBER(Koc),IF(ISNUMBER(AV101),AV101*(Koc*(Ocse/100)*Pse*Vse)/(Koc*(Ocse/100)*Pse*Vse+1*86400*($B101+1)),""),"-")</f>
        <v>-</v>
      </c>
      <c r="AX101" s="275" t="str">
        <f t="shared" ref="AX101:AX164" si="56">IF(ISNUMBER(AW101),IF(ISNUMBER(AV101),(AV101-AW101)/(3*86400*($B101+1))*1000,""),"")</f>
        <v/>
      </c>
      <c r="AY101"/>
      <c r="AZ101" s="275" t="str">
        <f ca="1">IF(ISNUMBER(OFFSET(AV101,-$F$21,0)),SUM(OFFSET($T$100,$F$21,0):$T101),"")</f>
        <v/>
      </c>
      <c r="BA101" s="275" t="str">
        <f t="shared" ca="1" si="27"/>
        <v/>
      </c>
      <c r="BB101" s="275" t="str">
        <f t="shared" ref="BB101:BB119" ca="1" si="57">IF(ISNUMBER(AZ101),(AZ101-BA101)/(3*86400*(OFFSET($B101,-$F$21,0)+1))*1000,"")</f>
        <v/>
      </c>
      <c r="BC101" s="190"/>
      <c r="BD101" s="275" t="str">
        <f ca="1">IFERROR(IF(OR(ISNUMBER(I),ISNUMBER($F$14)),IF(AND($B101&gt;=($F$16-$F$15),$B101&lt;$F$22+($F$16-$F$15)),SUM(OFFSET($T$100,($F$16-$F$15),0):$T101),""),""),"")</f>
        <v/>
      </c>
      <c r="BE101" s="275" t="str">
        <f t="shared" ref="BE101:BE164" ca="1" si="58">IF(ISNUMBER(BD101),BD101*(Koc*(Ocse/100)*Pse*Vse)/(Koc*(Ocse/100)*Pse*Vse+1*86400*($B101+1)),"")</f>
        <v/>
      </c>
      <c r="BF101" s="275" t="str">
        <f t="shared" ref="BF101:BF164" ca="1" si="59">IF(ISNUMBER(BD101),(BD101-BE101)/(3*86400*($B101-($F$16-$F$15)+1))*1000,"")</f>
        <v/>
      </c>
      <c r="BG101"/>
      <c r="BH101" s="190" t="str">
        <f ca="1">IF(ISNUMBER(OFFSET(BD101,-$F$21,0)),SUM(OFFSET($T$100,($F$16-$F$15+$F$21),0):$T101),"")</f>
        <v/>
      </c>
      <c r="BI101" s="190" t="str">
        <f t="shared" ca="1" si="28"/>
        <v/>
      </c>
      <c r="BJ101" s="190" t="str">
        <f t="shared" ref="BJ101:BJ164" ca="1" si="60">IF(ISNUMBER(BH101),(BH101-BI101)/(3*86400*((OFFSET($B101,-$F$21,0)-($F$16-$F$15)+1)))*1000,"")</f>
        <v/>
      </c>
      <c r="BK101" s="190"/>
      <c r="BL101" s="275" t="str">
        <f ca="1">IFERROR(IF(OR(ISNUMBER(I),ISNUMBER($F$14)),IF(AND($B101&gt;=($F$17-$F$15),$B101&lt;$F$22+($F$17-$F$15)),SUM(OFFSET($T$100,($F$17-$F$15),0):$T101),""),""),"")</f>
        <v/>
      </c>
      <c r="BM101" s="275" t="str">
        <f t="shared" ca="1" si="29"/>
        <v/>
      </c>
      <c r="BN101" s="275" t="str">
        <f t="shared" ref="BN101:BN164" ca="1" si="61">IF(ISNUMBER(BL101),(BL101-BM101)/(3*86400*($B101-($F$17-$F$15)+1))*1000,"")</f>
        <v/>
      </c>
      <c r="BO101"/>
      <c r="BP101" s="275" t="str">
        <f ca="1">IF(ISNUMBER(OFFSET(BL101,-$F$21,0)),SUM(OFFSET($T$100,($F$17-$F$15+$F$21),0):$T101),"")</f>
        <v/>
      </c>
      <c r="BQ101" s="275" t="str">
        <f t="shared" ref="BQ101:BQ131" ca="1" si="62">IF(ISNUMBER(OFFSET(BL101,-$F$21,0)),BP101*(Koc*(Ocse/100)*Pse*Vse)/(Koc*(Ocse/100)*Pse*Vse+1*86400*($B101+1)),"")</f>
        <v/>
      </c>
      <c r="BR101" s="275" t="str">
        <f t="shared" ref="BR101:BR164" ca="1" si="63">IF(ISNUMBER(BP101),(BP101-BQ101)/(3*86400*(OFFSET($B101,-$F$21,0)-($F$17-$F$15)+1))*1000,"")</f>
        <v/>
      </c>
      <c r="BS101" s="190"/>
      <c r="BT101"/>
      <c r="BU101" s="276" t="str">
        <f t="shared" ref="BU101:BU120" si="64">IF(B40&lt;&gt;"",B40,"end")</f>
        <v>end</v>
      </c>
      <c r="BV101" s="277">
        <v>1</v>
      </c>
      <c r="BW101" s="278">
        <f>IF(BU101&lt;&gt;"",MIN(BU100:BU101),"")</f>
        <v>0</v>
      </c>
      <c r="BX101" s="278">
        <f>IF(BU101&lt;&gt;"",MAX(BU100:BU101),"")</f>
        <v>0</v>
      </c>
      <c r="BY101" s="279" t="str">
        <f t="shared" ref="BY101:BY120" si="65">IF(B40&lt;&gt;"",(C39-C40)/(B40-B39),"")</f>
        <v/>
      </c>
      <c r="BZ101"/>
      <c r="CA101" s="280" t="str">
        <f t="shared" si="30"/>
        <v>-</v>
      </c>
      <c r="CB101" s="71" t="str">
        <f t="shared" si="31"/>
        <v>-</v>
      </c>
      <c r="CC101" s="33" t="str">
        <f t="shared" si="32"/>
        <v>1-2</v>
      </c>
      <c r="CD101" s="259" t="str">
        <f t="shared" si="33"/>
        <v/>
      </c>
      <c r="CE101" s="280" t="str">
        <f t="shared" si="34"/>
        <v>-</v>
      </c>
      <c r="CF101" s="71" t="str">
        <f t="shared" ca="1" si="35"/>
        <v>-</v>
      </c>
      <c r="CG101" s="33" t="str">
        <f t="shared" si="36"/>
        <v>1-2</v>
      </c>
      <c r="CH101" s="261" t="str">
        <f t="shared" ca="1" si="37"/>
        <v/>
      </c>
      <c r="CI101" s="202"/>
      <c r="CJ101" s="99"/>
      <c r="CK101" s="99"/>
      <c r="CL101" s="99"/>
      <c r="CM101" s="99"/>
      <c r="CN101" s="99"/>
      <c r="CO101" s="99"/>
    </row>
    <row r="102" spans="2:93" ht="13.5" customHeight="1" x14ac:dyDescent="0.2">
      <c r="B102" s="262">
        <v>2</v>
      </c>
      <c r="C102" s="237" t="str">
        <f t="shared" si="1"/>
        <v/>
      </c>
      <c r="D102" s="237" t="str">
        <f t="shared" ref="D102:D165" si="66">IFERROR(IF(B102&lt;$F$22,IF(ISNUMBER($D$65),IF(MAX($BU$101:$BU$120)&lt;B102, "", IF(B102=VLOOKUP(B102, $BU$101:$BU$120,1,1), C102,D101-INDEX($BY$101:$BY$120, MATCH(VLOOKUP(B102, $BU$101:$BU$120,1,1), $BU$101:$BU$120)+1, 1))),D101-VLOOKUP(MAX($BU$101:$BU$120),$BU$101:$BY$120,5)),""),"-")</f>
        <v>-</v>
      </c>
      <c r="E102" s="263" t="str">
        <f t="shared" si="38"/>
        <v/>
      </c>
      <c r="F102" s="264" t="str">
        <f t="shared" si="39"/>
        <v/>
      </c>
      <c r="G102" s="264" t="str">
        <f t="shared" si="40"/>
        <v/>
      </c>
      <c r="H102" s="240" t="str">
        <f t="shared" si="41"/>
        <v/>
      </c>
      <c r="I102" s="265" t="str">
        <f t="shared" si="2"/>
        <v/>
      </c>
      <c r="J102" s="265" t="str">
        <f t="shared" si="3"/>
        <v/>
      </c>
      <c r="K102" s="240" t="str">
        <f t="shared" si="4"/>
        <v/>
      </c>
      <c r="L102" s="265" t="str">
        <f t="shared" si="5"/>
        <v/>
      </c>
      <c r="M102" s="265" t="str">
        <f t="shared" si="6"/>
        <v/>
      </c>
      <c r="N102" s="240" t="str">
        <f t="shared" si="7"/>
        <v>-</v>
      </c>
      <c r="O102" s="265" t="str">
        <f t="shared" si="8"/>
        <v>-</v>
      </c>
      <c r="P102" s="265" t="str">
        <f t="shared" si="9"/>
        <v>-</v>
      </c>
      <c r="Q102" s="266" t="str">
        <f t="shared" si="10"/>
        <v>-</v>
      </c>
      <c r="R102" s="267" t="str">
        <f t="shared" si="11"/>
        <v>-</v>
      </c>
      <c r="S102" s="268" t="str">
        <f t="shared" si="12"/>
        <v>-</v>
      </c>
      <c r="T102" s="269" t="str">
        <f t="shared" si="13"/>
        <v/>
      </c>
      <c r="U102" s="221">
        <f t="shared" si="14"/>
        <v>2</v>
      </c>
      <c r="V102" s="220" t="str">
        <f t="shared" si="42"/>
        <v>-</v>
      </c>
      <c r="W102" s="221" t="str">
        <f t="shared" si="43"/>
        <v>-</v>
      </c>
      <c r="X102" s="221" t="str">
        <f t="shared" si="15"/>
        <v>-</v>
      </c>
      <c r="Y102" s="221" t="str">
        <f t="shared" si="16"/>
        <v>-</v>
      </c>
      <c r="Z102" s="270">
        <f t="shared" si="44"/>
        <v>0.1</v>
      </c>
      <c r="AA102" s="271" t="str">
        <f t="shared" ref="AA102:AA114" si="67">IFERROR(IF(V101=1,D102*EXP(-(0.04*X101+0.1*Y101)),IF(V101=2,D102*EXP(-(0.04*($F$21+X101)+0.1*(($F$16-$F$15)-$F$21+Y101))),D102*EXP(-(0.04*($F$21*2+X101)+0.1*((($F$16-$F$15)-$F$21)*2-Y101))))),"-")</f>
        <v>-</v>
      </c>
      <c r="AB102" s="271" t="str">
        <f t="shared" si="17"/>
        <v>-</v>
      </c>
      <c r="AC102" s="224">
        <f t="shared" si="45"/>
        <v>2</v>
      </c>
      <c r="AD102" s="223" t="str">
        <f t="shared" si="18"/>
        <v>-</v>
      </c>
      <c r="AE102" s="224" t="str">
        <f t="shared" si="46"/>
        <v>-</v>
      </c>
      <c r="AF102" s="224" t="str">
        <f t="shared" si="19"/>
        <v>-</v>
      </c>
      <c r="AG102" s="224" t="str">
        <f t="shared" si="20"/>
        <v>-</v>
      </c>
      <c r="AH102" s="272">
        <f t="shared" si="47"/>
        <v>0.1</v>
      </c>
      <c r="AI102" s="271" t="str">
        <f t="shared" si="21"/>
        <v>-</v>
      </c>
      <c r="AJ102" s="271" t="str">
        <f t="shared" si="48"/>
        <v>-</v>
      </c>
      <c r="AK102" s="227">
        <f t="shared" si="49"/>
        <v>2</v>
      </c>
      <c r="AL102" s="226" t="str">
        <f t="shared" si="22"/>
        <v>-</v>
      </c>
      <c r="AM102" s="227" t="str">
        <f t="shared" si="50"/>
        <v>-</v>
      </c>
      <c r="AN102" s="227" t="str">
        <f t="shared" si="51"/>
        <v>-</v>
      </c>
      <c r="AO102" s="227" t="str">
        <f t="shared" si="23"/>
        <v>-</v>
      </c>
      <c r="AP102" s="273">
        <f t="shared" si="52"/>
        <v>0.1</v>
      </c>
      <c r="AQ102" s="271" t="str">
        <f t="shared" si="53"/>
        <v>-</v>
      </c>
      <c r="AR102" s="271" t="str">
        <f t="shared" si="54"/>
        <v>-</v>
      </c>
      <c r="AS102" s="274">
        <f t="shared" si="24"/>
        <v>0</v>
      </c>
      <c r="AT102" s="274">
        <f t="shared" si="25"/>
        <v>0</v>
      </c>
      <c r="AU102" s="274">
        <f t="shared" si="26"/>
        <v>0</v>
      </c>
      <c r="AV102" s="275">
        <f>IF($B102&lt;$F$22,SUM($T$100:$T102),"")</f>
        <v>0</v>
      </c>
      <c r="AW102" s="275" t="str">
        <f t="shared" si="55"/>
        <v>-</v>
      </c>
      <c r="AX102" s="275" t="str">
        <f t="shared" si="56"/>
        <v/>
      </c>
      <c r="AY102"/>
      <c r="AZ102" s="275" t="str">
        <f ca="1">IF(ISNUMBER(OFFSET(AV102,-$F$21,0)),SUM(OFFSET($T$100,$F$21,0):$T102),"")</f>
        <v/>
      </c>
      <c r="BA102" s="275" t="str">
        <f t="shared" ca="1" si="27"/>
        <v/>
      </c>
      <c r="BB102" s="275" t="str">
        <f t="shared" ca="1" si="57"/>
        <v/>
      </c>
      <c r="BC102" s="190"/>
      <c r="BD102" s="275" t="str">
        <f ca="1">IFERROR(IF(OR(ISNUMBER(I),ISNUMBER($F$14)),IF(AND($B102&gt;=($F$16-$F$15),$B102&lt;$F$22+($F$16-$F$15)),SUM(OFFSET($T$100,($F$16-$F$15),0):$T102),""),""),"")</f>
        <v/>
      </c>
      <c r="BE102" s="275" t="str">
        <f t="shared" ca="1" si="58"/>
        <v/>
      </c>
      <c r="BF102" s="275" t="str">
        <f t="shared" ca="1" si="59"/>
        <v/>
      </c>
      <c r="BG102"/>
      <c r="BH102" s="190" t="str">
        <f ca="1">IF(ISNUMBER(OFFSET(BD102,-$F$21,0)),SUM(OFFSET($T$100,($F$16-$F$15+$F$21),0):$T102),"")</f>
        <v/>
      </c>
      <c r="BI102" s="190" t="str">
        <f t="shared" ca="1" si="28"/>
        <v/>
      </c>
      <c r="BJ102" s="190" t="str">
        <f t="shared" ca="1" si="60"/>
        <v/>
      </c>
      <c r="BK102" s="190"/>
      <c r="BL102" s="275" t="str">
        <f ca="1">IFERROR(IF(OR(ISNUMBER(I),ISNUMBER($F$14)),IF(AND($B102&gt;=($F$17-$F$15),$B102&lt;$F$22+($F$17-$F$15)),SUM(OFFSET($T$100,($F$17-$F$15),0):$T102),""),""),"")</f>
        <v/>
      </c>
      <c r="BM102" s="275" t="str">
        <f t="shared" ca="1" si="29"/>
        <v/>
      </c>
      <c r="BN102" s="275" t="str">
        <f t="shared" ca="1" si="61"/>
        <v/>
      </c>
      <c r="BO102"/>
      <c r="BP102" s="275" t="str">
        <f ca="1">IF(ISNUMBER(OFFSET(BL102,-$F$21,0)),SUM(OFFSET($T$100,($F$17-$F$15+$F$21),0):$T102),"")</f>
        <v/>
      </c>
      <c r="BQ102" s="275" t="str">
        <f t="shared" ca="1" si="62"/>
        <v/>
      </c>
      <c r="BR102" s="275" t="str">
        <f t="shared" ca="1" si="63"/>
        <v/>
      </c>
      <c r="BS102" s="190"/>
      <c r="BT102"/>
      <c r="BU102" s="276" t="str">
        <f t="shared" si="64"/>
        <v>end</v>
      </c>
      <c r="BV102" s="277">
        <v>2</v>
      </c>
      <c r="BW102" s="278">
        <f>IF(BU102&lt;&gt;"",MIN(BU101:BU102),"")</f>
        <v>0</v>
      </c>
      <c r="BX102" s="278">
        <f>IF(BU102&lt;&gt;"",MAX(BU101:BU102),"")</f>
        <v>0</v>
      </c>
      <c r="BY102" s="279" t="str">
        <f t="shared" si="65"/>
        <v/>
      </c>
      <c r="BZ102"/>
      <c r="CA102" s="280" t="str">
        <f t="shared" si="30"/>
        <v>-</v>
      </c>
      <c r="CB102" s="71" t="str">
        <f t="shared" si="31"/>
        <v>-</v>
      </c>
      <c r="CC102" s="33" t="str">
        <f t="shared" si="32"/>
        <v>2-3</v>
      </c>
      <c r="CD102" s="259" t="str">
        <f t="shared" si="33"/>
        <v/>
      </c>
      <c r="CE102" s="280" t="str">
        <f t="shared" si="34"/>
        <v>-</v>
      </c>
      <c r="CF102" s="71" t="str">
        <f t="shared" ca="1" si="35"/>
        <v>-</v>
      </c>
      <c r="CG102" s="33" t="str">
        <f t="shared" si="36"/>
        <v>2-3</v>
      </c>
      <c r="CH102" s="261" t="str">
        <f t="shared" ca="1" si="37"/>
        <v/>
      </c>
      <c r="CI102" s="202"/>
      <c r="CJ102" s="99"/>
      <c r="CK102" s="99"/>
      <c r="CL102" s="99"/>
      <c r="CM102" s="99"/>
      <c r="CN102" s="99"/>
      <c r="CO102" s="99"/>
    </row>
    <row r="103" spans="2:93" ht="13.5" customHeight="1" x14ac:dyDescent="0.2">
      <c r="B103" s="262">
        <v>3</v>
      </c>
      <c r="C103" s="236" t="str">
        <f t="shared" si="1"/>
        <v/>
      </c>
      <c r="D103" s="237" t="str">
        <f t="shared" si="66"/>
        <v>-</v>
      </c>
      <c r="E103" s="263" t="str">
        <f t="shared" si="38"/>
        <v/>
      </c>
      <c r="F103" s="264" t="str">
        <f t="shared" si="39"/>
        <v/>
      </c>
      <c r="G103" s="264" t="str">
        <f t="shared" si="40"/>
        <v/>
      </c>
      <c r="H103" s="240" t="str">
        <f t="shared" si="41"/>
        <v/>
      </c>
      <c r="I103" s="265" t="str">
        <f t="shared" si="2"/>
        <v/>
      </c>
      <c r="J103" s="265" t="str">
        <f t="shared" si="3"/>
        <v/>
      </c>
      <c r="K103" s="240" t="str">
        <f t="shared" si="4"/>
        <v/>
      </c>
      <c r="L103" s="265" t="str">
        <f t="shared" si="5"/>
        <v/>
      </c>
      <c r="M103" s="265" t="str">
        <f t="shared" si="6"/>
        <v/>
      </c>
      <c r="N103" s="240" t="str">
        <f t="shared" si="7"/>
        <v>-</v>
      </c>
      <c r="O103" s="265" t="str">
        <f t="shared" si="8"/>
        <v>-</v>
      </c>
      <c r="P103" s="265" t="str">
        <f t="shared" si="9"/>
        <v>-</v>
      </c>
      <c r="Q103" s="266" t="str">
        <f t="shared" si="10"/>
        <v>-</v>
      </c>
      <c r="R103" s="267" t="str">
        <f t="shared" si="11"/>
        <v>-</v>
      </c>
      <c r="S103" s="268" t="str">
        <f t="shared" si="12"/>
        <v>-</v>
      </c>
      <c r="T103" s="269" t="str">
        <f t="shared" si="13"/>
        <v/>
      </c>
      <c r="U103" s="221">
        <f t="shared" si="14"/>
        <v>3</v>
      </c>
      <c r="V103" s="220" t="str">
        <f t="shared" si="42"/>
        <v>-</v>
      </c>
      <c r="W103" s="221" t="str">
        <f t="shared" si="43"/>
        <v>-</v>
      </c>
      <c r="X103" s="221" t="str">
        <f t="shared" si="15"/>
        <v>-</v>
      </c>
      <c r="Y103" s="221" t="str">
        <f t="shared" si="16"/>
        <v>-</v>
      </c>
      <c r="Z103" s="270">
        <f t="shared" si="44"/>
        <v>0.1</v>
      </c>
      <c r="AA103" s="271" t="str">
        <f t="shared" si="67"/>
        <v>-</v>
      </c>
      <c r="AB103" s="271" t="str">
        <f t="shared" si="17"/>
        <v>-</v>
      </c>
      <c r="AC103" s="224">
        <f t="shared" si="45"/>
        <v>3</v>
      </c>
      <c r="AD103" s="223" t="str">
        <f t="shared" si="18"/>
        <v>-</v>
      </c>
      <c r="AE103" s="224" t="str">
        <f t="shared" si="46"/>
        <v>-</v>
      </c>
      <c r="AF103" s="224" t="str">
        <f t="shared" si="19"/>
        <v>-</v>
      </c>
      <c r="AG103" s="224" t="str">
        <f t="shared" si="20"/>
        <v>-</v>
      </c>
      <c r="AH103" s="272">
        <f t="shared" si="47"/>
        <v>0.1</v>
      </c>
      <c r="AI103" s="271" t="str">
        <f t="shared" si="21"/>
        <v>-</v>
      </c>
      <c r="AJ103" s="271" t="str">
        <f t="shared" si="48"/>
        <v>-</v>
      </c>
      <c r="AK103" s="227">
        <f t="shared" si="49"/>
        <v>3</v>
      </c>
      <c r="AL103" s="226" t="str">
        <f t="shared" si="22"/>
        <v>-</v>
      </c>
      <c r="AM103" s="227" t="str">
        <f t="shared" si="50"/>
        <v>-</v>
      </c>
      <c r="AN103" s="227" t="str">
        <f t="shared" si="51"/>
        <v>-</v>
      </c>
      <c r="AO103" s="227" t="str">
        <f t="shared" si="23"/>
        <v>-</v>
      </c>
      <c r="AP103" s="273">
        <f t="shared" si="52"/>
        <v>0.1</v>
      </c>
      <c r="AQ103" s="271" t="str">
        <f t="shared" si="53"/>
        <v>-</v>
      </c>
      <c r="AR103" s="271" t="str">
        <f t="shared" si="54"/>
        <v>-</v>
      </c>
      <c r="AS103" s="274">
        <f t="shared" si="24"/>
        <v>0</v>
      </c>
      <c r="AT103" s="274">
        <f t="shared" si="25"/>
        <v>0</v>
      </c>
      <c r="AU103" s="274">
        <f t="shared" si="26"/>
        <v>0</v>
      </c>
      <c r="AV103" s="275">
        <f>IF($B103&lt;$F$22,SUM($T$100:$T103),"")</f>
        <v>0</v>
      </c>
      <c r="AW103" s="275" t="str">
        <f t="shared" si="55"/>
        <v>-</v>
      </c>
      <c r="AX103" s="275" t="str">
        <f t="shared" si="56"/>
        <v/>
      </c>
      <c r="AY103"/>
      <c r="AZ103" s="275" t="str">
        <f ca="1">IF(ISNUMBER(OFFSET(AV103,-$F$21,0)),SUM(OFFSET($T$100,$F$21,0):$T103),"")</f>
        <v/>
      </c>
      <c r="BA103" s="275" t="str">
        <f t="shared" ca="1" si="27"/>
        <v/>
      </c>
      <c r="BB103" s="275" t="str">
        <f t="shared" ca="1" si="57"/>
        <v/>
      </c>
      <c r="BC103" s="190"/>
      <c r="BD103" s="275" t="str">
        <f ca="1">IFERROR(IF(OR(ISNUMBER(I),ISNUMBER($F$14)),IF(AND($B103&gt;=($F$16-$F$15),$B103&lt;$F$22+($F$16-$F$15)),SUM(OFFSET($T$100,($F$16-$F$15),0):$T103),""),""),"")</f>
        <v/>
      </c>
      <c r="BE103" s="275" t="str">
        <f t="shared" ca="1" si="58"/>
        <v/>
      </c>
      <c r="BF103" s="275" t="str">
        <f t="shared" ca="1" si="59"/>
        <v/>
      </c>
      <c r="BG103"/>
      <c r="BH103" s="190" t="str">
        <f ca="1">IF(ISNUMBER(OFFSET(BD103,-$F$21,0)),SUM(OFFSET($T$100,($F$16-$F$15+$F$21),0):$T103),"")</f>
        <v/>
      </c>
      <c r="BI103" s="190" t="str">
        <f t="shared" ca="1" si="28"/>
        <v/>
      </c>
      <c r="BJ103" s="190" t="str">
        <f t="shared" ca="1" si="60"/>
        <v/>
      </c>
      <c r="BK103" s="190"/>
      <c r="BL103" s="275" t="str">
        <f ca="1">IFERROR(IF(OR(ISNUMBER(I),ISNUMBER($F$14)),IF(AND($B103&gt;=($F$17-$F$15),$B103&lt;$F$22+($F$17-$F$15)),SUM(OFFSET($T$100,($F$17-$F$15),0):$T103),""),""),"")</f>
        <v/>
      </c>
      <c r="BM103" s="275" t="str">
        <f t="shared" ca="1" si="29"/>
        <v/>
      </c>
      <c r="BN103" s="275" t="str">
        <f t="shared" ca="1" si="61"/>
        <v/>
      </c>
      <c r="BO103"/>
      <c r="BP103" s="275" t="str">
        <f ca="1">IF(ISNUMBER(OFFSET(BL103,-$F$21,0)),SUM(OFFSET($T$100,($F$17-$F$15+$F$21),0):$T103),"")</f>
        <v/>
      </c>
      <c r="BQ103" s="275" t="str">
        <f t="shared" ca="1" si="62"/>
        <v/>
      </c>
      <c r="BR103" s="275" t="str">
        <f t="shared" ca="1" si="63"/>
        <v/>
      </c>
      <c r="BS103" s="190"/>
      <c r="BT103"/>
      <c r="BU103" s="276" t="str">
        <f t="shared" si="64"/>
        <v>end</v>
      </c>
      <c r="BV103" s="277">
        <v>3</v>
      </c>
      <c r="BW103" s="278">
        <f>IF(BU103&lt;&gt;"",MIN(BU102:BU103),"")</f>
        <v>0</v>
      </c>
      <c r="BX103" s="278">
        <f>IF(BU103&lt;&gt;"",MAX(BU102:BU103),"")</f>
        <v>0</v>
      </c>
      <c r="BY103" s="279" t="str">
        <f t="shared" si="65"/>
        <v/>
      </c>
      <c r="BZ103"/>
      <c r="CA103" s="280" t="str">
        <f t="shared" si="30"/>
        <v>-</v>
      </c>
      <c r="CB103" s="71" t="str">
        <f t="shared" si="31"/>
        <v>-</v>
      </c>
      <c r="CC103" s="33" t="str">
        <f t="shared" si="32"/>
        <v>3-4</v>
      </c>
      <c r="CD103" s="259" t="str">
        <f t="shared" si="33"/>
        <v/>
      </c>
      <c r="CE103" s="280" t="str">
        <f t="shared" si="34"/>
        <v>-</v>
      </c>
      <c r="CF103" s="71" t="str">
        <f t="shared" ca="1" si="35"/>
        <v>-</v>
      </c>
      <c r="CG103" s="33" t="str">
        <f t="shared" si="36"/>
        <v>3-4</v>
      </c>
      <c r="CH103" s="261" t="str">
        <f t="shared" ca="1" si="37"/>
        <v/>
      </c>
      <c r="CI103" s="202"/>
      <c r="CJ103" s="99"/>
      <c r="CK103" s="99"/>
      <c r="CL103" s="99"/>
      <c r="CM103" s="99"/>
      <c r="CN103" s="99"/>
      <c r="CO103" s="99"/>
    </row>
    <row r="104" spans="2:93" ht="13.5" customHeight="1" x14ac:dyDescent="0.2">
      <c r="B104" s="262">
        <v>4</v>
      </c>
      <c r="C104" s="237" t="str">
        <f t="shared" si="1"/>
        <v/>
      </c>
      <c r="D104" s="237" t="str">
        <f t="shared" si="66"/>
        <v>-</v>
      </c>
      <c r="E104" s="263" t="str">
        <f t="shared" si="38"/>
        <v/>
      </c>
      <c r="F104" s="264" t="str">
        <f t="shared" si="39"/>
        <v/>
      </c>
      <c r="G104" s="264" t="str">
        <f t="shared" si="40"/>
        <v/>
      </c>
      <c r="H104" s="240" t="str">
        <f t="shared" si="41"/>
        <v/>
      </c>
      <c r="I104" s="265" t="str">
        <f t="shared" si="2"/>
        <v/>
      </c>
      <c r="J104" s="265" t="str">
        <f t="shared" si="3"/>
        <v/>
      </c>
      <c r="K104" s="240" t="str">
        <f t="shared" si="4"/>
        <v/>
      </c>
      <c r="L104" s="265" t="str">
        <f t="shared" si="5"/>
        <v/>
      </c>
      <c r="M104" s="265" t="str">
        <f t="shared" si="6"/>
        <v/>
      </c>
      <c r="N104" s="240" t="str">
        <f t="shared" si="7"/>
        <v>-</v>
      </c>
      <c r="O104" s="265" t="str">
        <f t="shared" si="8"/>
        <v>-</v>
      </c>
      <c r="P104" s="265" t="str">
        <f t="shared" si="9"/>
        <v>-</v>
      </c>
      <c r="Q104" s="266" t="str">
        <f t="shared" si="10"/>
        <v>-</v>
      </c>
      <c r="R104" s="267" t="str">
        <f t="shared" si="11"/>
        <v>-</v>
      </c>
      <c r="S104" s="268" t="str">
        <f t="shared" si="12"/>
        <v>-</v>
      </c>
      <c r="T104" s="269" t="str">
        <f t="shared" si="13"/>
        <v/>
      </c>
      <c r="U104" s="221">
        <f t="shared" si="14"/>
        <v>4</v>
      </c>
      <c r="V104" s="220" t="str">
        <f t="shared" si="42"/>
        <v>-</v>
      </c>
      <c r="W104" s="221" t="str">
        <f t="shared" si="43"/>
        <v>-</v>
      </c>
      <c r="X104" s="221" t="str">
        <f t="shared" si="15"/>
        <v>-</v>
      </c>
      <c r="Y104" s="221" t="str">
        <f t="shared" si="16"/>
        <v>-</v>
      </c>
      <c r="Z104" s="270">
        <f t="shared" si="44"/>
        <v>0.1</v>
      </c>
      <c r="AA104" s="271" t="str">
        <f t="shared" si="67"/>
        <v>-</v>
      </c>
      <c r="AB104" s="271" t="str">
        <f t="shared" si="17"/>
        <v>-</v>
      </c>
      <c r="AC104" s="224">
        <f t="shared" si="45"/>
        <v>4</v>
      </c>
      <c r="AD104" s="223" t="str">
        <f t="shared" si="18"/>
        <v>-</v>
      </c>
      <c r="AE104" s="224" t="str">
        <f t="shared" si="46"/>
        <v>-</v>
      </c>
      <c r="AF104" s="224" t="str">
        <f t="shared" si="19"/>
        <v>-</v>
      </c>
      <c r="AG104" s="224" t="str">
        <f t="shared" si="20"/>
        <v>-</v>
      </c>
      <c r="AH104" s="272">
        <f t="shared" si="47"/>
        <v>0.1</v>
      </c>
      <c r="AI104" s="271" t="str">
        <f t="shared" si="21"/>
        <v>-</v>
      </c>
      <c r="AJ104" s="271" t="str">
        <f t="shared" si="48"/>
        <v>-</v>
      </c>
      <c r="AK104" s="227">
        <f t="shared" si="49"/>
        <v>4</v>
      </c>
      <c r="AL104" s="226" t="str">
        <f t="shared" si="22"/>
        <v>-</v>
      </c>
      <c r="AM104" s="227" t="str">
        <f t="shared" si="50"/>
        <v>-</v>
      </c>
      <c r="AN104" s="227" t="str">
        <f t="shared" si="51"/>
        <v>-</v>
      </c>
      <c r="AO104" s="227" t="str">
        <f t="shared" si="23"/>
        <v>-</v>
      </c>
      <c r="AP104" s="273">
        <f t="shared" si="52"/>
        <v>0.1</v>
      </c>
      <c r="AQ104" s="271" t="str">
        <f t="shared" si="53"/>
        <v>-</v>
      </c>
      <c r="AR104" s="271" t="str">
        <f t="shared" si="54"/>
        <v>-</v>
      </c>
      <c r="AS104" s="274">
        <f t="shared" si="24"/>
        <v>0</v>
      </c>
      <c r="AT104" s="274">
        <f t="shared" si="25"/>
        <v>0</v>
      </c>
      <c r="AU104" s="274">
        <f t="shared" si="26"/>
        <v>0</v>
      </c>
      <c r="AV104" s="275">
        <f>IF($B104&lt;$F$22,SUM($T$100:$T104),"")</f>
        <v>0</v>
      </c>
      <c r="AW104" s="275" t="str">
        <f t="shared" si="55"/>
        <v>-</v>
      </c>
      <c r="AX104" s="275" t="str">
        <f t="shared" si="56"/>
        <v/>
      </c>
      <c r="AY104"/>
      <c r="AZ104" s="275" t="str">
        <f ca="1">IF(ISNUMBER(OFFSET(AV104,-$F$21,0)),SUM(OFFSET($T$100,$F$21,0):$T104),"")</f>
        <v/>
      </c>
      <c r="BA104" s="275" t="str">
        <f t="shared" ca="1" si="27"/>
        <v/>
      </c>
      <c r="BB104" s="275" t="str">
        <f t="shared" ca="1" si="57"/>
        <v/>
      </c>
      <c r="BC104" s="190"/>
      <c r="BD104" s="275" t="str">
        <f ca="1">IFERROR(IF(OR(ISNUMBER(I),ISNUMBER($F$14)),IF(AND($B104&gt;=($F$16-$F$15),$B104&lt;$F$22+($F$16-$F$15)),SUM(OFFSET($T$100,($F$16-$F$15),0):$T104),""),""),"")</f>
        <v/>
      </c>
      <c r="BE104" s="275" t="str">
        <f t="shared" ca="1" si="58"/>
        <v/>
      </c>
      <c r="BF104" s="275" t="str">
        <f t="shared" ca="1" si="59"/>
        <v/>
      </c>
      <c r="BG104"/>
      <c r="BH104" s="190" t="str">
        <f ca="1">IF(ISNUMBER(OFFSET(BD104,-$F$21,0)),SUM(OFFSET($T$100,($F$16-$F$15+$F$21),0):$T104),"")</f>
        <v/>
      </c>
      <c r="BI104" s="190" t="str">
        <f t="shared" ca="1" si="28"/>
        <v/>
      </c>
      <c r="BJ104" s="190" t="str">
        <f t="shared" ca="1" si="60"/>
        <v/>
      </c>
      <c r="BK104" s="190"/>
      <c r="BL104" s="275" t="str">
        <f ca="1">IFERROR(IF(OR(ISNUMBER(I),ISNUMBER($F$14)),IF(AND($B104&gt;=($F$17-$F$15),$B104&lt;$F$22+($F$17-$F$15)),SUM(OFFSET($T$100,($F$17-$F$15),0):$T104),""),""),"")</f>
        <v/>
      </c>
      <c r="BM104" s="275" t="str">
        <f t="shared" ca="1" si="29"/>
        <v/>
      </c>
      <c r="BN104" s="275" t="str">
        <f t="shared" ca="1" si="61"/>
        <v/>
      </c>
      <c r="BO104"/>
      <c r="BP104" s="275" t="str">
        <f ca="1">IF(ISNUMBER(OFFSET(BL104,-$F$21,0)),SUM(OFFSET($T$100,($F$17-$F$15+$F$21),0):$T104),"")</f>
        <v/>
      </c>
      <c r="BQ104" s="275" t="str">
        <f t="shared" ca="1" si="62"/>
        <v/>
      </c>
      <c r="BR104" s="275" t="str">
        <f t="shared" ca="1" si="63"/>
        <v/>
      </c>
      <c r="BS104" s="190"/>
      <c r="BT104"/>
      <c r="BU104" s="276" t="str">
        <f t="shared" si="64"/>
        <v>end</v>
      </c>
      <c r="BV104" s="277">
        <v>4</v>
      </c>
      <c r="BW104" s="278">
        <f>IF(BU104&lt;&gt;"",MIN(BU103:BU104),"")</f>
        <v>0</v>
      </c>
      <c r="BX104" s="278">
        <f>IF(BU104&lt;&gt;"",MAX(BU103:BU104),"")</f>
        <v>0</v>
      </c>
      <c r="BY104" s="279" t="str">
        <f t="shared" si="65"/>
        <v/>
      </c>
      <c r="BZ104"/>
      <c r="CA104" s="281" t="str">
        <f t="shared" si="30"/>
        <v>-</v>
      </c>
      <c r="CB104" s="31" t="str">
        <f t="shared" si="31"/>
        <v>-</v>
      </c>
      <c r="CC104" s="24" t="str">
        <f t="shared" si="32"/>
        <v>4-5</v>
      </c>
      <c r="CD104" s="282" t="str">
        <f t="shared" si="33"/>
        <v/>
      </c>
      <c r="CE104" s="281" t="str">
        <f t="shared" si="34"/>
        <v>-</v>
      </c>
      <c r="CF104" s="31" t="str">
        <f t="shared" ca="1" si="35"/>
        <v>-</v>
      </c>
      <c r="CG104" s="24" t="str">
        <f t="shared" si="36"/>
        <v>4-5</v>
      </c>
      <c r="CH104" s="283" t="str">
        <f t="shared" ca="1" si="37"/>
        <v/>
      </c>
      <c r="CI104" s="202"/>
      <c r="CJ104" s="99"/>
      <c r="CK104" s="99"/>
      <c r="CL104" s="99"/>
      <c r="CM104" s="99"/>
      <c r="CN104" s="99"/>
      <c r="CO104" s="99"/>
    </row>
    <row r="105" spans="2:93" ht="13.5" customHeight="1" x14ac:dyDescent="0.2">
      <c r="B105" s="262">
        <v>5</v>
      </c>
      <c r="C105" s="237" t="str">
        <f t="shared" si="1"/>
        <v/>
      </c>
      <c r="D105" s="237" t="str">
        <f t="shared" si="66"/>
        <v>-</v>
      </c>
      <c r="E105" s="263" t="str">
        <f t="shared" si="38"/>
        <v/>
      </c>
      <c r="F105" s="264" t="str">
        <f t="shared" si="39"/>
        <v/>
      </c>
      <c r="G105" s="264" t="str">
        <f t="shared" si="40"/>
        <v/>
      </c>
      <c r="H105" s="240" t="str">
        <f t="shared" si="41"/>
        <v/>
      </c>
      <c r="I105" s="265" t="str">
        <f t="shared" si="2"/>
        <v/>
      </c>
      <c r="J105" s="265" t="str">
        <f t="shared" si="3"/>
        <v/>
      </c>
      <c r="K105" s="240" t="str">
        <f t="shared" si="4"/>
        <v/>
      </c>
      <c r="L105" s="265" t="str">
        <f t="shared" si="5"/>
        <v/>
      </c>
      <c r="M105" s="265" t="str">
        <f t="shared" si="6"/>
        <v/>
      </c>
      <c r="N105" s="240" t="str">
        <f t="shared" si="7"/>
        <v>-</v>
      </c>
      <c r="O105" s="265" t="str">
        <f t="shared" si="8"/>
        <v>-</v>
      </c>
      <c r="P105" s="265" t="str">
        <f t="shared" si="9"/>
        <v>-</v>
      </c>
      <c r="Q105" s="266" t="str">
        <f t="shared" si="10"/>
        <v>-</v>
      </c>
      <c r="R105" s="267" t="str">
        <f t="shared" si="11"/>
        <v>-</v>
      </c>
      <c r="S105" s="268" t="str">
        <f t="shared" si="12"/>
        <v>-</v>
      </c>
      <c r="T105" s="269" t="str">
        <f t="shared" si="13"/>
        <v/>
      </c>
      <c r="U105" s="221">
        <f t="shared" si="14"/>
        <v>5</v>
      </c>
      <c r="V105" s="220" t="str">
        <f t="shared" si="42"/>
        <v>-</v>
      </c>
      <c r="W105" s="221" t="str">
        <f t="shared" si="43"/>
        <v>-</v>
      </c>
      <c r="X105" s="221" t="str">
        <f t="shared" si="15"/>
        <v>-</v>
      </c>
      <c r="Y105" s="221" t="str">
        <f t="shared" si="16"/>
        <v>-</v>
      </c>
      <c r="Z105" s="270">
        <f t="shared" si="44"/>
        <v>0.1</v>
      </c>
      <c r="AA105" s="271" t="str">
        <f t="shared" si="67"/>
        <v>-</v>
      </c>
      <c r="AB105" s="271" t="str">
        <f t="shared" si="17"/>
        <v>-</v>
      </c>
      <c r="AC105" s="224">
        <f t="shared" si="45"/>
        <v>5</v>
      </c>
      <c r="AD105" s="223" t="str">
        <f t="shared" si="18"/>
        <v>-</v>
      </c>
      <c r="AE105" s="224" t="str">
        <f t="shared" si="46"/>
        <v>-</v>
      </c>
      <c r="AF105" s="224" t="str">
        <f t="shared" si="19"/>
        <v>-</v>
      </c>
      <c r="AG105" s="224" t="str">
        <f t="shared" si="20"/>
        <v>-</v>
      </c>
      <c r="AH105" s="272">
        <f t="shared" si="47"/>
        <v>0.1</v>
      </c>
      <c r="AI105" s="271" t="str">
        <f t="shared" si="21"/>
        <v>-</v>
      </c>
      <c r="AJ105" s="271" t="str">
        <f t="shared" si="48"/>
        <v>-</v>
      </c>
      <c r="AK105" s="227">
        <f t="shared" si="49"/>
        <v>5</v>
      </c>
      <c r="AL105" s="226" t="str">
        <f t="shared" si="22"/>
        <v>-</v>
      </c>
      <c r="AM105" s="227" t="str">
        <f t="shared" si="50"/>
        <v>-</v>
      </c>
      <c r="AN105" s="227" t="str">
        <f t="shared" si="51"/>
        <v>-</v>
      </c>
      <c r="AO105" s="227" t="str">
        <f t="shared" si="23"/>
        <v>-</v>
      </c>
      <c r="AP105" s="273">
        <f t="shared" si="52"/>
        <v>0.1</v>
      </c>
      <c r="AQ105" s="271" t="str">
        <f t="shared" si="53"/>
        <v>-</v>
      </c>
      <c r="AR105" s="271" t="str">
        <f t="shared" si="54"/>
        <v>-</v>
      </c>
      <c r="AS105" s="274">
        <f t="shared" si="24"/>
        <v>0</v>
      </c>
      <c r="AT105" s="274">
        <f t="shared" si="25"/>
        <v>0</v>
      </c>
      <c r="AU105" s="274">
        <f t="shared" si="26"/>
        <v>0</v>
      </c>
      <c r="AV105" s="275">
        <f>IF($B105&lt;$F$22,SUM($T$100:$T105),"")</f>
        <v>0</v>
      </c>
      <c r="AW105" s="275" t="str">
        <f t="shared" si="55"/>
        <v>-</v>
      </c>
      <c r="AX105" s="275" t="str">
        <f t="shared" si="56"/>
        <v/>
      </c>
      <c r="AY105"/>
      <c r="AZ105" s="275" t="str">
        <f ca="1">IF(ISNUMBER(OFFSET(AV105,-$F$21,0)),SUM(OFFSET($T$100,$F$21,0):$T105),"")</f>
        <v/>
      </c>
      <c r="BA105" s="275" t="str">
        <f t="shared" ca="1" si="27"/>
        <v/>
      </c>
      <c r="BB105" s="275" t="str">
        <f t="shared" ca="1" si="57"/>
        <v/>
      </c>
      <c r="BC105" s="190"/>
      <c r="BD105" s="275" t="str">
        <f ca="1">IFERROR(IF(OR(ISNUMBER(I),ISNUMBER($F$14)),IF(AND($B105&gt;=($F$16-$F$15),$B105&lt;$F$22+($F$16-$F$15)),SUM(OFFSET($T$100,($F$16-$F$15),0):$T105),""),""),"")</f>
        <v/>
      </c>
      <c r="BE105" s="275" t="str">
        <f t="shared" ca="1" si="58"/>
        <v/>
      </c>
      <c r="BF105" s="275" t="str">
        <f t="shared" ca="1" si="59"/>
        <v/>
      </c>
      <c r="BG105"/>
      <c r="BH105" s="190" t="str">
        <f ca="1">IF(ISNUMBER(OFFSET(BD105,-$F$21,0)),SUM(OFFSET($T$100,($F$16-$F$15+$F$21),0):$T105),"")</f>
        <v/>
      </c>
      <c r="BI105" s="190" t="str">
        <f t="shared" ca="1" si="28"/>
        <v/>
      </c>
      <c r="BJ105" s="190" t="str">
        <f t="shared" ca="1" si="60"/>
        <v/>
      </c>
      <c r="BK105" s="190"/>
      <c r="BL105" s="275" t="str">
        <f ca="1">IFERROR(IF(OR(ISNUMBER(I),ISNUMBER($F$14)),IF(AND($B105&gt;=($F$17-$F$15),$B105&lt;$F$22+($F$17-$F$15)),SUM(OFFSET($T$100,($F$17-$F$15),0):$T105),""),""),"")</f>
        <v/>
      </c>
      <c r="BM105" s="275" t="str">
        <f t="shared" ca="1" si="29"/>
        <v/>
      </c>
      <c r="BN105" s="275" t="str">
        <f t="shared" ca="1" si="61"/>
        <v/>
      </c>
      <c r="BO105"/>
      <c r="BP105" s="275" t="str">
        <f ca="1">IF(ISNUMBER(OFFSET(BL105,-$F$21,0)),SUM(OFFSET($T$100,($F$17-$F$15+$F$21),0):$T105),"")</f>
        <v/>
      </c>
      <c r="BQ105" s="275" t="str">
        <f t="shared" ca="1" si="62"/>
        <v/>
      </c>
      <c r="BR105" s="275" t="str">
        <f t="shared" ca="1" si="63"/>
        <v/>
      </c>
      <c r="BS105" s="190"/>
      <c r="BT105"/>
      <c r="BU105" s="276" t="str">
        <f t="shared" si="64"/>
        <v>end</v>
      </c>
      <c r="BV105" s="277">
        <v>5</v>
      </c>
      <c r="BW105" s="278">
        <f>IF(BU105&lt;&gt;"",MIN(BU104:BU105),"")</f>
        <v>0</v>
      </c>
      <c r="BX105" s="278">
        <f>IF(BU105&lt;&gt;"",MAX(BU104:BU105),"")</f>
        <v>0</v>
      </c>
      <c r="BY105" s="279" t="str">
        <f t="shared" si="65"/>
        <v/>
      </c>
      <c r="BZ105"/>
      <c r="CA105" s="284" t="str">
        <f t="shared" si="30"/>
        <v>-</v>
      </c>
      <c r="CB105" s="285" t="str">
        <f t="shared" si="31"/>
        <v>-</v>
      </c>
      <c r="CC105" s="285" t="str">
        <f t="shared" si="32"/>
        <v>5-6</v>
      </c>
      <c r="CD105" s="286" t="str">
        <f t="shared" si="33"/>
        <v/>
      </c>
      <c r="CE105" s="287" t="str">
        <f t="shared" si="34"/>
        <v>-</v>
      </c>
      <c r="CF105" s="285" t="str">
        <f t="shared" ca="1" si="35"/>
        <v>-</v>
      </c>
      <c r="CG105" s="285" t="str">
        <f t="shared" si="36"/>
        <v>5-6</v>
      </c>
      <c r="CH105" s="288" t="str">
        <f t="shared" ca="1" si="37"/>
        <v/>
      </c>
      <c r="CJ105" s="99"/>
      <c r="CK105" s="99"/>
      <c r="CL105" s="99"/>
      <c r="CM105" s="99"/>
      <c r="CN105" s="99"/>
      <c r="CO105" s="99"/>
    </row>
    <row r="106" spans="2:93" ht="13.5" customHeight="1" x14ac:dyDescent="0.2">
      <c r="B106" s="262">
        <v>6</v>
      </c>
      <c r="C106" s="237" t="str">
        <f t="shared" si="1"/>
        <v/>
      </c>
      <c r="D106" s="237" t="str">
        <f t="shared" si="66"/>
        <v>-</v>
      </c>
      <c r="E106" s="263" t="str">
        <f t="shared" si="38"/>
        <v/>
      </c>
      <c r="F106" s="264" t="str">
        <f t="shared" si="39"/>
        <v/>
      </c>
      <c r="G106" s="264" t="str">
        <f t="shared" si="40"/>
        <v/>
      </c>
      <c r="H106" s="240" t="str">
        <f t="shared" si="41"/>
        <v/>
      </c>
      <c r="I106" s="265" t="str">
        <f t="shared" si="2"/>
        <v/>
      </c>
      <c r="J106" s="265" t="str">
        <f t="shared" si="3"/>
        <v/>
      </c>
      <c r="K106" s="240" t="str">
        <f t="shared" si="4"/>
        <v/>
      </c>
      <c r="L106" s="265" t="str">
        <f t="shared" si="5"/>
        <v/>
      </c>
      <c r="M106" s="265" t="str">
        <f t="shared" si="6"/>
        <v/>
      </c>
      <c r="N106" s="240" t="str">
        <f t="shared" si="7"/>
        <v>-</v>
      </c>
      <c r="O106" s="265" t="str">
        <f t="shared" si="8"/>
        <v>-</v>
      </c>
      <c r="P106" s="265" t="str">
        <f t="shared" si="9"/>
        <v>-</v>
      </c>
      <c r="Q106" s="266" t="str">
        <f t="shared" si="10"/>
        <v>-</v>
      </c>
      <c r="R106" s="267" t="str">
        <f t="shared" si="11"/>
        <v>-</v>
      </c>
      <c r="S106" s="268" t="str">
        <f t="shared" si="12"/>
        <v>-</v>
      </c>
      <c r="T106" s="269" t="str">
        <f t="shared" si="13"/>
        <v/>
      </c>
      <c r="U106" s="221">
        <f t="shared" si="14"/>
        <v>6</v>
      </c>
      <c r="V106" s="220" t="str">
        <f t="shared" si="42"/>
        <v>-</v>
      </c>
      <c r="W106" s="221" t="str">
        <f t="shared" si="43"/>
        <v>-</v>
      </c>
      <c r="X106" s="221" t="str">
        <f t="shared" si="15"/>
        <v>-</v>
      </c>
      <c r="Y106" s="221" t="str">
        <f t="shared" si="16"/>
        <v>-</v>
      </c>
      <c r="Z106" s="270">
        <f t="shared" si="44"/>
        <v>0.1</v>
      </c>
      <c r="AA106" s="271" t="str">
        <f t="shared" si="67"/>
        <v>-</v>
      </c>
      <c r="AB106" s="271" t="str">
        <f t="shared" si="17"/>
        <v>-</v>
      </c>
      <c r="AC106" s="224">
        <f t="shared" si="45"/>
        <v>6</v>
      </c>
      <c r="AD106" s="223" t="str">
        <f t="shared" si="18"/>
        <v>-</v>
      </c>
      <c r="AE106" s="224" t="str">
        <f t="shared" si="46"/>
        <v>-</v>
      </c>
      <c r="AF106" s="224" t="str">
        <f t="shared" si="19"/>
        <v>-</v>
      </c>
      <c r="AG106" s="224" t="str">
        <f t="shared" si="20"/>
        <v>-</v>
      </c>
      <c r="AH106" s="272">
        <f t="shared" si="47"/>
        <v>0.1</v>
      </c>
      <c r="AI106" s="271" t="str">
        <f t="shared" si="21"/>
        <v>-</v>
      </c>
      <c r="AJ106" s="271" t="str">
        <f t="shared" si="48"/>
        <v>-</v>
      </c>
      <c r="AK106" s="227">
        <f t="shared" si="49"/>
        <v>6</v>
      </c>
      <c r="AL106" s="226" t="str">
        <f t="shared" si="22"/>
        <v>-</v>
      </c>
      <c r="AM106" s="227" t="str">
        <f t="shared" si="50"/>
        <v>-</v>
      </c>
      <c r="AN106" s="227" t="str">
        <f t="shared" si="51"/>
        <v>-</v>
      </c>
      <c r="AO106" s="227" t="str">
        <f t="shared" si="23"/>
        <v>-</v>
      </c>
      <c r="AP106" s="273">
        <f t="shared" si="52"/>
        <v>0.1</v>
      </c>
      <c r="AQ106" s="271" t="str">
        <f t="shared" si="53"/>
        <v>-</v>
      </c>
      <c r="AR106" s="271" t="str">
        <f t="shared" si="54"/>
        <v>-</v>
      </c>
      <c r="AS106" s="274">
        <f t="shared" si="24"/>
        <v>0</v>
      </c>
      <c r="AT106" s="274">
        <f t="shared" si="25"/>
        <v>0</v>
      </c>
      <c r="AU106" s="274">
        <f t="shared" si="26"/>
        <v>0</v>
      </c>
      <c r="AV106" s="275">
        <f>IF($B106&lt;$F$22,SUM($T$100:$T106),"")</f>
        <v>0</v>
      </c>
      <c r="AW106" s="275" t="str">
        <f t="shared" si="55"/>
        <v>-</v>
      </c>
      <c r="AX106" s="275" t="str">
        <f t="shared" si="56"/>
        <v/>
      </c>
      <c r="AY106"/>
      <c r="AZ106" s="275" t="str">
        <f ca="1">IF(ISNUMBER(OFFSET(AV106,-$F$21,0)),SUM(OFFSET($T$100,$F$21,0):$T106),"")</f>
        <v/>
      </c>
      <c r="BA106" s="275" t="str">
        <f t="shared" ca="1" si="27"/>
        <v/>
      </c>
      <c r="BB106" s="275" t="str">
        <f t="shared" ca="1" si="57"/>
        <v/>
      </c>
      <c r="BC106" s="190"/>
      <c r="BD106" s="275" t="str">
        <f ca="1">IFERROR(IF(OR(ISNUMBER(I),ISNUMBER($F$14)),IF(AND($B106&gt;=($F$16-$F$15),$B106&lt;$F$22+($F$16-$F$15)),SUM(OFFSET($T$100,($F$16-$F$15),0):$T106),""),""),"")</f>
        <v/>
      </c>
      <c r="BE106" s="275" t="str">
        <f t="shared" ca="1" si="58"/>
        <v/>
      </c>
      <c r="BF106" s="275" t="str">
        <f t="shared" ca="1" si="59"/>
        <v/>
      </c>
      <c r="BG106"/>
      <c r="BH106" s="190" t="str">
        <f ca="1">IF(ISNUMBER(OFFSET(BD106,-$F$21,0)),SUM(OFFSET($T$100,($F$16-$F$15+$F$21),0):$T106),"")</f>
        <v/>
      </c>
      <c r="BI106" s="190" t="str">
        <f t="shared" ca="1" si="28"/>
        <v/>
      </c>
      <c r="BJ106" s="190" t="str">
        <f t="shared" ca="1" si="60"/>
        <v/>
      </c>
      <c r="BK106" s="190"/>
      <c r="BL106" s="275" t="str">
        <f ca="1">IFERROR(IF(OR(ISNUMBER(I),ISNUMBER($F$14)),IF(AND($B106&gt;=($F$17-$F$15),$B106&lt;$F$22+($F$17-$F$15)),SUM(OFFSET($T$100,($F$17-$F$15),0):$T106),""),""),"")</f>
        <v/>
      </c>
      <c r="BM106" s="275" t="str">
        <f t="shared" ca="1" si="29"/>
        <v/>
      </c>
      <c r="BN106" s="275" t="str">
        <f t="shared" ca="1" si="61"/>
        <v/>
      </c>
      <c r="BO106"/>
      <c r="BP106" s="275" t="str">
        <f ca="1">IF(ISNUMBER(OFFSET(BL106,-$F$21,0)),SUM(OFFSET($T$100,($F$17-$F$15+$F$21),0):$T106),"")</f>
        <v/>
      </c>
      <c r="BQ106" s="275" t="str">
        <f t="shared" ca="1" si="62"/>
        <v/>
      </c>
      <c r="BR106" s="275" t="str">
        <f t="shared" ca="1" si="63"/>
        <v/>
      </c>
      <c r="BS106" s="190"/>
      <c r="BT106"/>
      <c r="BU106" s="276" t="str">
        <f t="shared" si="64"/>
        <v>end</v>
      </c>
      <c r="BV106" s="277">
        <v>6</v>
      </c>
      <c r="BW106" s="278" t="str">
        <f>IF(AND(BU106="end",BU105="end"), "", IF(BU106&lt;&gt;"",MIN(BU105:BU106),""))</f>
        <v/>
      </c>
      <c r="BX106" s="278" t="str">
        <f>IF(AND(BU106="end",BU105="end"), "", IF(BU106&lt;&gt;"",MAX(BU105:BU106),""))</f>
        <v/>
      </c>
      <c r="BY106" s="279" t="str">
        <f t="shared" si="65"/>
        <v/>
      </c>
      <c r="BZ106"/>
      <c r="CA106" s="284" t="str">
        <f t="shared" si="30"/>
        <v>-</v>
      </c>
      <c r="CB106" s="285" t="str">
        <f t="shared" si="31"/>
        <v>-</v>
      </c>
      <c r="CC106" s="285" t="str">
        <f t="shared" si="32"/>
        <v>6-7</v>
      </c>
      <c r="CD106" s="286" t="str">
        <f t="shared" si="33"/>
        <v/>
      </c>
      <c r="CE106" s="287" t="str">
        <f t="shared" si="34"/>
        <v>-</v>
      </c>
      <c r="CF106" s="285" t="str">
        <f t="shared" ca="1" si="35"/>
        <v>-</v>
      </c>
      <c r="CG106" s="285" t="str">
        <f t="shared" si="36"/>
        <v>6-7</v>
      </c>
      <c r="CH106" s="288" t="str">
        <f t="shared" ca="1" si="37"/>
        <v/>
      </c>
      <c r="CJ106" s="99"/>
      <c r="CK106" s="99"/>
      <c r="CL106" s="99"/>
      <c r="CM106" s="99"/>
      <c r="CN106" s="99"/>
      <c r="CO106" s="99"/>
    </row>
    <row r="107" spans="2:93" ht="13.5" customHeight="1" x14ac:dyDescent="0.2">
      <c r="B107" s="262">
        <v>7</v>
      </c>
      <c r="C107" s="236" t="str">
        <f t="shared" si="1"/>
        <v/>
      </c>
      <c r="D107" s="237" t="str">
        <f t="shared" si="66"/>
        <v>-</v>
      </c>
      <c r="E107" s="263" t="str">
        <f t="shared" si="38"/>
        <v/>
      </c>
      <c r="F107" s="264" t="str">
        <f t="shared" si="39"/>
        <v/>
      </c>
      <c r="G107" s="264" t="str">
        <f t="shared" si="40"/>
        <v/>
      </c>
      <c r="H107" s="240" t="str">
        <f t="shared" si="41"/>
        <v/>
      </c>
      <c r="I107" s="265" t="str">
        <f t="shared" si="2"/>
        <v/>
      </c>
      <c r="J107" s="265" t="str">
        <f t="shared" si="3"/>
        <v/>
      </c>
      <c r="K107" s="240" t="str">
        <f t="shared" si="4"/>
        <v/>
      </c>
      <c r="L107" s="265" t="str">
        <f t="shared" si="5"/>
        <v/>
      </c>
      <c r="M107" s="265" t="str">
        <f t="shared" si="6"/>
        <v/>
      </c>
      <c r="N107" s="240" t="str">
        <f t="shared" si="7"/>
        <v>-</v>
      </c>
      <c r="O107" s="265" t="str">
        <f t="shared" si="8"/>
        <v>-</v>
      </c>
      <c r="P107" s="265" t="str">
        <f t="shared" si="9"/>
        <v>-</v>
      </c>
      <c r="Q107" s="266" t="str">
        <f t="shared" si="10"/>
        <v>-</v>
      </c>
      <c r="R107" s="267" t="str">
        <f t="shared" si="11"/>
        <v>-</v>
      </c>
      <c r="S107" s="268" t="str">
        <f t="shared" si="12"/>
        <v>-</v>
      </c>
      <c r="T107" s="269" t="str">
        <f t="shared" si="13"/>
        <v/>
      </c>
      <c r="U107" s="221">
        <f t="shared" si="14"/>
        <v>7</v>
      </c>
      <c r="V107" s="220" t="str">
        <f t="shared" si="42"/>
        <v>-</v>
      </c>
      <c r="W107" s="221" t="str">
        <f t="shared" si="43"/>
        <v>-</v>
      </c>
      <c r="X107" s="221" t="str">
        <f t="shared" si="15"/>
        <v>-</v>
      </c>
      <c r="Y107" s="221" t="str">
        <f t="shared" si="16"/>
        <v>-</v>
      </c>
      <c r="Z107" s="270">
        <f t="shared" si="44"/>
        <v>0.1</v>
      </c>
      <c r="AA107" s="271" t="str">
        <f t="shared" si="67"/>
        <v>-</v>
      </c>
      <c r="AB107" s="271" t="str">
        <f t="shared" si="17"/>
        <v>-</v>
      </c>
      <c r="AC107" s="224">
        <f t="shared" si="45"/>
        <v>7</v>
      </c>
      <c r="AD107" s="223" t="str">
        <f t="shared" si="18"/>
        <v>-</v>
      </c>
      <c r="AE107" s="224" t="str">
        <f t="shared" si="46"/>
        <v>-</v>
      </c>
      <c r="AF107" s="224" t="str">
        <f t="shared" si="19"/>
        <v>-</v>
      </c>
      <c r="AG107" s="224" t="str">
        <f t="shared" si="20"/>
        <v>-</v>
      </c>
      <c r="AH107" s="272">
        <f t="shared" si="47"/>
        <v>0.1</v>
      </c>
      <c r="AI107" s="271" t="str">
        <f t="shared" si="21"/>
        <v>-</v>
      </c>
      <c r="AJ107" s="271" t="str">
        <f t="shared" si="48"/>
        <v>-</v>
      </c>
      <c r="AK107" s="227">
        <f t="shared" si="49"/>
        <v>7</v>
      </c>
      <c r="AL107" s="226" t="str">
        <f t="shared" si="22"/>
        <v>-</v>
      </c>
      <c r="AM107" s="227" t="str">
        <f t="shared" si="50"/>
        <v>-</v>
      </c>
      <c r="AN107" s="227" t="str">
        <f t="shared" si="51"/>
        <v>-</v>
      </c>
      <c r="AO107" s="227" t="str">
        <f t="shared" si="23"/>
        <v>-</v>
      </c>
      <c r="AP107" s="273">
        <f t="shared" si="52"/>
        <v>0.1</v>
      </c>
      <c r="AQ107" s="271" t="str">
        <f t="shared" si="53"/>
        <v>-</v>
      </c>
      <c r="AR107" s="271" t="str">
        <f t="shared" si="54"/>
        <v>-</v>
      </c>
      <c r="AS107" s="274">
        <f t="shared" si="24"/>
        <v>0</v>
      </c>
      <c r="AT107" s="274">
        <f t="shared" si="25"/>
        <v>0</v>
      </c>
      <c r="AU107" s="274">
        <f t="shared" si="26"/>
        <v>0</v>
      </c>
      <c r="AV107" s="275">
        <f>IF($B107&lt;$F$22,SUM($T$100:$T107),"")</f>
        <v>0</v>
      </c>
      <c r="AW107" s="275" t="str">
        <f t="shared" si="55"/>
        <v>-</v>
      </c>
      <c r="AX107" s="275" t="str">
        <f t="shared" si="56"/>
        <v/>
      </c>
      <c r="AY107"/>
      <c r="AZ107" s="275" t="str">
        <f ca="1">IF(ISNUMBER(OFFSET(AV107,-$F$21,0)),SUM(OFFSET($T$100,$F$21,0):$T107),"")</f>
        <v/>
      </c>
      <c r="BA107" s="275" t="str">
        <f t="shared" ca="1" si="27"/>
        <v/>
      </c>
      <c r="BB107" s="275" t="str">
        <f t="shared" ca="1" si="57"/>
        <v/>
      </c>
      <c r="BC107" s="190"/>
      <c r="BD107" s="275" t="str">
        <f ca="1">IFERROR(IF(OR(ISNUMBER(I),ISNUMBER($F$14)),IF(AND($B107&gt;=($F$16-$F$15),$B107&lt;$F$22+($F$16-$F$15)),SUM(OFFSET($T$100,($F$16-$F$15),0):$T107),""),""),"")</f>
        <v/>
      </c>
      <c r="BE107" s="275" t="str">
        <f t="shared" ca="1" si="58"/>
        <v/>
      </c>
      <c r="BF107" s="275" t="str">
        <f t="shared" ca="1" si="59"/>
        <v/>
      </c>
      <c r="BG107"/>
      <c r="BH107" s="190" t="str">
        <f ca="1">IF(ISNUMBER(OFFSET(BD107,-$F$21,0)),SUM(OFFSET($T$100,($F$16-$F$15+$F$21),0):$T107),"")</f>
        <v/>
      </c>
      <c r="BI107" s="190" t="str">
        <f t="shared" ca="1" si="28"/>
        <v/>
      </c>
      <c r="BJ107" s="190" t="str">
        <f t="shared" ca="1" si="60"/>
        <v/>
      </c>
      <c r="BK107" s="190"/>
      <c r="BL107" s="275" t="str">
        <f ca="1">IFERROR(IF(OR(ISNUMBER(I),ISNUMBER($F$14)),IF(AND($B107&gt;=($F$17-$F$15),$B107&lt;$F$22+($F$17-$F$15)),SUM(OFFSET($T$100,($F$17-$F$15),0):$T107),""),""),"")</f>
        <v/>
      </c>
      <c r="BM107" s="275" t="str">
        <f t="shared" ca="1" si="29"/>
        <v/>
      </c>
      <c r="BN107" s="275" t="str">
        <f t="shared" ca="1" si="61"/>
        <v/>
      </c>
      <c r="BO107"/>
      <c r="BP107" s="275" t="str">
        <f ca="1">IF(ISNUMBER(OFFSET(BL107,-$F$21,0)),SUM(OFFSET($T$100,($F$17-$F$15+$F$21),0):$T107),"")</f>
        <v/>
      </c>
      <c r="BQ107" s="275" t="str">
        <f t="shared" ca="1" si="62"/>
        <v/>
      </c>
      <c r="BR107" s="275" t="str">
        <f t="shared" ca="1" si="63"/>
        <v/>
      </c>
      <c r="BS107" s="190"/>
      <c r="BT107"/>
      <c r="BU107" s="276" t="str">
        <f t="shared" si="64"/>
        <v>end</v>
      </c>
      <c r="BV107" s="277">
        <v>7</v>
      </c>
      <c r="BW107" s="278" t="str">
        <f>IF(AND(BU107="end",BU106="end"), "", IF(BU107&lt;&gt;"",MIN(BU106:BU107),""))</f>
        <v/>
      </c>
      <c r="BX107" s="278" t="str">
        <f t="shared" ref="BX107:BX120" si="68">IF(AND(BU107="end",BU106="end"), "", IF(BU107&lt;&gt;"",MAX(BU106:BU107),""))</f>
        <v/>
      </c>
      <c r="BY107" s="279" t="str">
        <f t="shared" si="65"/>
        <v/>
      </c>
      <c r="BZ107"/>
      <c r="CA107" s="284" t="str">
        <f t="shared" si="30"/>
        <v>-</v>
      </c>
      <c r="CB107" s="285" t="str">
        <f t="shared" si="31"/>
        <v>-</v>
      </c>
      <c r="CC107" s="285" t="str">
        <f t="shared" si="32"/>
        <v>7-8</v>
      </c>
      <c r="CD107" s="286" t="str">
        <f t="shared" si="33"/>
        <v/>
      </c>
      <c r="CE107" s="287" t="str">
        <f t="shared" si="34"/>
        <v>-</v>
      </c>
      <c r="CF107" s="285" t="str">
        <f t="shared" ca="1" si="35"/>
        <v>-</v>
      </c>
      <c r="CG107" s="285" t="str">
        <f t="shared" si="36"/>
        <v>7-8</v>
      </c>
      <c r="CH107" s="288" t="str">
        <f t="shared" ca="1" si="37"/>
        <v/>
      </c>
      <c r="CJ107" s="99"/>
      <c r="CK107" s="99"/>
      <c r="CL107" s="99"/>
      <c r="CM107" s="99"/>
      <c r="CN107" s="99"/>
      <c r="CO107" s="99"/>
    </row>
    <row r="108" spans="2:93" ht="13.5" customHeight="1" x14ac:dyDescent="0.2">
      <c r="B108" s="262">
        <v>8</v>
      </c>
      <c r="C108" s="237" t="str">
        <f t="shared" si="1"/>
        <v/>
      </c>
      <c r="D108" s="237" t="str">
        <f t="shared" si="66"/>
        <v>-</v>
      </c>
      <c r="E108" s="263" t="str">
        <f t="shared" si="38"/>
        <v/>
      </c>
      <c r="F108" s="264" t="str">
        <f t="shared" si="39"/>
        <v/>
      </c>
      <c r="G108" s="264" t="str">
        <f t="shared" si="40"/>
        <v/>
      </c>
      <c r="H108" s="240" t="str">
        <f t="shared" si="41"/>
        <v/>
      </c>
      <c r="I108" s="265" t="str">
        <f t="shared" si="2"/>
        <v/>
      </c>
      <c r="J108" s="265" t="str">
        <f t="shared" si="3"/>
        <v/>
      </c>
      <c r="K108" s="240" t="str">
        <f t="shared" si="4"/>
        <v/>
      </c>
      <c r="L108" s="265" t="str">
        <f t="shared" si="5"/>
        <v/>
      </c>
      <c r="M108" s="265" t="str">
        <f t="shared" si="6"/>
        <v/>
      </c>
      <c r="N108" s="240" t="str">
        <f t="shared" si="7"/>
        <v>-</v>
      </c>
      <c r="O108" s="265" t="str">
        <f t="shared" si="8"/>
        <v>-</v>
      </c>
      <c r="P108" s="265" t="str">
        <f t="shared" si="9"/>
        <v>-</v>
      </c>
      <c r="Q108" s="266" t="str">
        <f t="shared" si="10"/>
        <v>-</v>
      </c>
      <c r="R108" s="267" t="str">
        <f t="shared" si="11"/>
        <v>-</v>
      </c>
      <c r="S108" s="268" t="str">
        <f t="shared" si="12"/>
        <v>-</v>
      </c>
      <c r="T108" s="269" t="str">
        <f t="shared" si="13"/>
        <v/>
      </c>
      <c r="U108" s="221">
        <f t="shared" si="14"/>
        <v>8</v>
      </c>
      <c r="V108" s="220" t="str">
        <f t="shared" si="42"/>
        <v>-</v>
      </c>
      <c r="W108" s="221" t="str">
        <f t="shared" si="43"/>
        <v>-</v>
      </c>
      <c r="X108" s="221" t="str">
        <f t="shared" si="15"/>
        <v>-</v>
      </c>
      <c r="Y108" s="221" t="str">
        <f t="shared" si="16"/>
        <v>-</v>
      </c>
      <c r="Z108" s="270">
        <f t="shared" si="44"/>
        <v>0.1</v>
      </c>
      <c r="AA108" s="271" t="str">
        <f t="shared" si="67"/>
        <v>-</v>
      </c>
      <c r="AB108" s="271" t="str">
        <f t="shared" si="17"/>
        <v>-</v>
      </c>
      <c r="AC108" s="224">
        <f t="shared" si="45"/>
        <v>8</v>
      </c>
      <c r="AD108" s="223" t="str">
        <f t="shared" si="18"/>
        <v>-</v>
      </c>
      <c r="AE108" s="224" t="str">
        <f t="shared" si="46"/>
        <v>-</v>
      </c>
      <c r="AF108" s="224" t="str">
        <f t="shared" si="19"/>
        <v>-</v>
      </c>
      <c r="AG108" s="224" t="str">
        <f t="shared" si="20"/>
        <v>-</v>
      </c>
      <c r="AH108" s="272">
        <f t="shared" si="47"/>
        <v>0.1</v>
      </c>
      <c r="AI108" s="271" t="str">
        <f t="shared" si="21"/>
        <v>-</v>
      </c>
      <c r="AJ108" s="271" t="str">
        <f t="shared" si="48"/>
        <v>-</v>
      </c>
      <c r="AK108" s="227">
        <f t="shared" si="49"/>
        <v>8</v>
      </c>
      <c r="AL108" s="226" t="str">
        <f t="shared" si="22"/>
        <v>-</v>
      </c>
      <c r="AM108" s="227" t="str">
        <f t="shared" si="50"/>
        <v>-</v>
      </c>
      <c r="AN108" s="227" t="str">
        <f t="shared" si="51"/>
        <v>-</v>
      </c>
      <c r="AO108" s="227" t="str">
        <f t="shared" si="23"/>
        <v>-</v>
      </c>
      <c r="AP108" s="273">
        <f t="shared" si="52"/>
        <v>0.1</v>
      </c>
      <c r="AQ108" s="271" t="str">
        <f t="shared" si="53"/>
        <v>-</v>
      </c>
      <c r="AR108" s="271" t="str">
        <f t="shared" si="54"/>
        <v>-</v>
      </c>
      <c r="AS108" s="274">
        <f t="shared" si="24"/>
        <v>0</v>
      </c>
      <c r="AT108" s="274">
        <f t="shared" si="25"/>
        <v>0</v>
      </c>
      <c r="AU108" s="274">
        <f t="shared" si="26"/>
        <v>0</v>
      </c>
      <c r="AV108" s="275">
        <f>IF($B108&lt;$F$22,SUM($T$100:$T108),"")</f>
        <v>0</v>
      </c>
      <c r="AW108" s="275" t="str">
        <f t="shared" si="55"/>
        <v>-</v>
      </c>
      <c r="AX108" s="275" t="str">
        <f t="shared" si="56"/>
        <v/>
      </c>
      <c r="AY108"/>
      <c r="AZ108" s="275" t="str">
        <f ca="1">IF(ISNUMBER(OFFSET(AV108,-$F$21,0)),SUM(OFFSET($T$100,$F$21,0):$T108),"")</f>
        <v/>
      </c>
      <c r="BA108" s="275" t="str">
        <f t="shared" ca="1" si="27"/>
        <v/>
      </c>
      <c r="BB108" s="275" t="str">
        <f t="shared" ca="1" si="57"/>
        <v/>
      </c>
      <c r="BC108" s="190"/>
      <c r="BD108" s="275" t="str">
        <f ca="1">IFERROR(IF(OR(ISNUMBER(I),ISNUMBER($F$14)),IF(AND($B108&gt;=($F$16-$F$15),$B108&lt;$F$22+($F$16-$F$15)),SUM(OFFSET($T$100,($F$16-$F$15),0):$T108),""),""),"")</f>
        <v/>
      </c>
      <c r="BE108" s="275" t="str">
        <f t="shared" ca="1" si="58"/>
        <v/>
      </c>
      <c r="BF108" s="275" t="str">
        <f t="shared" ca="1" si="59"/>
        <v/>
      </c>
      <c r="BG108"/>
      <c r="BH108" s="190" t="str">
        <f ca="1">IF(ISNUMBER(OFFSET(BD108,-$F$21,0)),SUM(OFFSET($T$100,($F$16-$F$15+$F$21),0):$T108),"")</f>
        <v/>
      </c>
      <c r="BI108" s="190" t="str">
        <f t="shared" ca="1" si="28"/>
        <v/>
      </c>
      <c r="BJ108" s="190" t="str">
        <f t="shared" ca="1" si="60"/>
        <v/>
      </c>
      <c r="BK108" s="190"/>
      <c r="BL108" s="275" t="str">
        <f ca="1">IFERROR(IF(OR(ISNUMBER(I),ISNUMBER($F$14)),IF(AND($B108&gt;=($F$17-$F$15),$B108&lt;$F$22+($F$17-$F$15)),SUM(OFFSET($T$100,($F$17-$F$15),0):$T108),""),""),"")</f>
        <v/>
      </c>
      <c r="BM108" s="275" t="str">
        <f t="shared" ca="1" si="29"/>
        <v/>
      </c>
      <c r="BN108" s="275" t="str">
        <f t="shared" ca="1" si="61"/>
        <v/>
      </c>
      <c r="BO108"/>
      <c r="BP108" s="275" t="str">
        <f ca="1">IF(ISNUMBER(OFFSET(BL108,-$F$21,0)),SUM(OFFSET($T$100,($F$17-$F$15+$F$21),0):$T108),"")</f>
        <v/>
      </c>
      <c r="BQ108" s="275" t="str">
        <f t="shared" ca="1" si="62"/>
        <v/>
      </c>
      <c r="BR108" s="275" t="str">
        <f t="shared" ca="1" si="63"/>
        <v/>
      </c>
      <c r="BS108" s="190"/>
      <c r="BT108"/>
      <c r="BU108" s="276" t="str">
        <f t="shared" si="64"/>
        <v>end</v>
      </c>
      <c r="BV108" s="277">
        <v>8</v>
      </c>
      <c r="BW108" s="278" t="str">
        <f t="shared" ref="BW108:BW120" si="69">IF(AND(BU108="end",BU107="end"), "", IF(BU108&lt;&gt;"",MIN(BU107:BU108),""))</f>
        <v/>
      </c>
      <c r="BX108" s="278" t="str">
        <f t="shared" si="68"/>
        <v/>
      </c>
      <c r="BY108" s="279" t="str">
        <f t="shared" si="65"/>
        <v/>
      </c>
      <c r="BZ108"/>
      <c r="CA108" s="284" t="str">
        <f t="shared" si="30"/>
        <v>-</v>
      </c>
      <c r="CB108" s="285" t="str">
        <f t="shared" si="31"/>
        <v>-</v>
      </c>
      <c r="CC108" s="285" t="str">
        <f t="shared" si="32"/>
        <v>8-9</v>
      </c>
      <c r="CD108" s="286" t="str">
        <f t="shared" si="33"/>
        <v/>
      </c>
      <c r="CE108" s="287" t="str">
        <f t="shared" si="34"/>
        <v>-</v>
      </c>
      <c r="CF108" s="285" t="str">
        <f t="shared" ca="1" si="35"/>
        <v>-</v>
      </c>
      <c r="CG108" s="285" t="str">
        <f t="shared" si="36"/>
        <v>8-9</v>
      </c>
      <c r="CH108" s="288" t="str">
        <f t="shared" ca="1" si="37"/>
        <v/>
      </c>
      <c r="CJ108" s="99"/>
      <c r="CK108" s="99"/>
      <c r="CL108" s="99"/>
      <c r="CM108" s="99"/>
      <c r="CN108" s="99"/>
      <c r="CO108" s="99"/>
    </row>
    <row r="109" spans="2:93" ht="13.5" customHeight="1" x14ac:dyDescent="0.2">
      <c r="B109" s="262">
        <v>9</v>
      </c>
      <c r="C109" s="237" t="str">
        <f t="shared" si="1"/>
        <v/>
      </c>
      <c r="D109" s="237" t="str">
        <f t="shared" si="66"/>
        <v>-</v>
      </c>
      <c r="E109" s="263" t="str">
        <f t="shared" si="38"/>
        <v/>
      </c>
      <c r="F109" s="264" t="str">
        <f t="shared" si="39"/>
        <v/>
      </c>
      <c r="G109" s="264" t="str">
        <f t="shared" si="40"/>
        <v/>
      </c>
      <c r="H109" s="240" t="str">
        <f t="shared" si="41"/>
        <v/>
      </c>
      <c r="I109" s="265" t="str">
        <f t="shared" si="2"/>
        <v/>
      </c>
      <c r="J109" s="265" t="str">
        <f t="shared" si="3"/>
        <v/>
      </c>
      <c r="K109" s="240" t="str">
        <f t="shared" si="4"/>
        <v/>
      </c>
      <c r="L109" s="265" t="str">
        <f t="shared" si="5"/>
        <v/>
      </c>
      <c r="M109" s="265" t="str">
        <f t="shared" si="6"/>
        <v/>
      </c>
      <c r="N109" s="240" t="str">
        <f t="shared" si="7"/>
        <v>-</v>
      </c>
      <c r="O109" s="265" t="str">
        <f t="shared" si="8"/>
        <v>-</v>
      </c>
      <c r="P109" s="265" t="str">
        <f t="shared" si="9"/>
        <v>-</v>
      </c>
      <c r="Q109" s="266" t="str">
        <f t="shared" si="10"/>
        <v>-</v>
      </c>
      <c r="R109" s="267" t="str">
        <f t="shared" si="11"/>
        <v>-</v>
      </c>
      <c r="S109" s="268" t="str">
        <f t="shared" si="12"/>
        <v>-</v>
      </c>
      <c r="T109" s="269" t="str">
        <f t="shared" si="13"/>
        <v/>
      </c>
      <c r="U109" s="221">
        <f t="shared" si="14"/>
        <v>9</v>
      </c>
      <c r="V109" s="220" t="str">
        <f t="shared" si="42"/>
        <v>-</v>
      </c>
      <c r="W109" s="221" t="str">
        <f t="shared" si="43"/>
        <v>-</v>
      </c>
      <c r="X109" s="221" t="str">
        <f t="shared" si="15"/>
        <v>-</v>
      </c>
      <c r="Y109" s="221" t="str">
        <f t="shared" si="16"/>
        <v>-</v>
      </c>
      <c r="Z109" s="270">
        <f t="shared" si="44"/>
        <v>0.1</v>
      </c>
      <c r="AA109" s="271" t="str">
        <f t="shared" si="67"/>
        <v>-</v>
      </c>
      <c r="AB109" s="271" t="str">
        <f t="shared" si="17"/>
        <v>-</v>
      </c>
      <c r="AC109" s="224">
        <f t="shared" si="45"/>
        <v>9</v>
      </c>
      <c r="AD109" s="223" t="str">
        <f t="shared" si="18"/>
        <v>-</v>
      </c>
      <c r="AE109" s="224" t="str">
        <f t="shared" si="46"/>
        <v>-</v>
      </c>
      <c r="AF109" s="224" t="str">
        <f t="shared" si="19"/>
        <v>-</v>
      </c>
      <c r="AG109" s="224" t="str">
        <f t="shared" si="20"/>
        <v>-</v>
      </c>
      <c r="AH109" s="272">
        <f t="shared" si="47"/>
        <v>0.1</v>
      </c>
      <c r="AI109" s="271" t="str">
        <f t="shared" si="21"/>
        <v>-</v>
      </c>
      <c r="AJ109" s="271" t="str">
        <f t="shared" si="48"/>
        <v>-</v>
      </c>
      <c r="AK109" s="227">
        <f t="shared" si="49"/>
        <v>9</v>
      </c>
      <c r="AL109" s="226" t="str">
        <f t="shared" si="22"/>
        <v>-</v>
      </c>
      <c r="AM109" s="227" t="str">
        <f t="shared" si="50"/>
        <v>-</v>
      </c>
      <c r="AN109" s="227" t="str">
        <f t="shared" si="51"/>
        <v>-</v>
      </c>
      <c r="AO109" s="227" t="str">
        <f t="shared" si="23"/>
        <v>-</v>
      </c>
      <c r="AP109" s="273">
        <f t="shared" si="52"/>
        <v>0.1</v>
      </c>
      <c r="AQ109" s="271" t="str">
        <f t="shared" si="53"/>
        <v>-</v>
      </c>
      <c r="AR109" s="271" t="str">
        <f t="shared" si="54"/>
        <v>-</v>
      </c>
      <c r="AS109" s="274">
        <f t="shared" si="24"/>
        <v>0</v>
      </c>
      <c r="AT109" s="274">
        <f t="shared" si="25"/>
        <v>0</v>
      </c>
      <c r="AU109" s="274">
        <f t="shared" si="26"/>
        <v>0</v>
      </c>
      <c r="AV109" s="275">
        <f>IF($B109&lt;$F$22,SUM($T$100:$T109),"")</f>
        <v>0</v>
      </c>
      <c r="AW109" s="275" t="str">
        <f t="shared" si="55"/>
        <v>-</v>
      </c>
      <c r="AX109" s="275" t="str">
        <f t="shared" si="56"/>
        <v/>
      </c>
      <c r="AY109"/>
      <c r="AZ109" s="275" t="str">
        <f ca="1">IF(ISNUMBER(OFFSET(AV109,-$F$21,0)),SUM(OFFSET($T$100,$F$21,0):$T109),"")</f>
        <v/>
      </c>
      <c r="BA109" s="275" t="str">
        <f t="shared" ca="1" si="27"/>
        <v/>
      </c>
      <c r="BB109" s="275" t="str">
        <f t="shared" ca="1" si="57"/>
        <v/>
      </c>
      <c r="BC109" s="190"/>
      <c r="BD109" s="275" t="str">
        <f ca="1">IFERROR(IF(OR(ISNUMBER(I),ISNUMBER($F$14)),IF(AND($B109&gt;=($F$16-$F$15),$B109&lt;$F$22+($F$16-$F$15)),SUM(OFFSET($T$100,($F$16-$F$15),0):$T109),""),""),"")</f>
        <v/>
      </c>
      <c r="BE109" s="275" t="str">
        <f t="shared" ca="1" si="58"/>
        <v/>
      </c>
      <c r="BF109" s="275" t="str">
        <f t="shared" ca="1" si="59"/>
        <v/>
      </c>
      <c r="BG109"/>
      <c r="BH109" s="190" t="str">
        <f ca="1">IF(ISNUMBER(OFFSET(BD109,-$F$21,0)),SUM(OFFSET($T$100,($F$16-$F$15+$F$21),0):$T109),"")</f>
        <v/>
      </c>
      <c r="BI109" s="190" t="str">
        <f t="shared" ca="1" si="28"/>
        <v/>
      </c>
      <c r="BJ109" s="190" t="str">
        <f t="shared" ca="1" si="60"/>
        <v/>
      </c>
      <c r="BK109" s="190"/>
      <c r="BL109" s="275" t="str">
        <f ca="1">IFERROR(IF(OR(ISNUMBER(I),ISNUMBER($F$14)),IF(AND($B109&gt;=($F$17-$F$15),$B109&lt;$F$22+($F$17-$F$15)),SUM(OFFSET($T$100,($F$17-$F$15),0):$T109),""),""),"")</f>
        <v/>
      </c>
      <c r="BM109" s="275" t="str">
        <f t="shared" ca="1" si="29"/>
        <v/>
      </c>
      <c r="BN109" s="275" t="str">
        <f t="shared" ca="1" si="61"/>
        <v/>
      </c>
      <c r="BO109"/>
      <c r="BP109" s="275" t="str">
        <f ca="1">IF(ISNUMBER(OFFSET(BL109,-$F$21,0)),SUM(OFFSET($T$100,($F$17-$F$15+$F$21),0):$T109),"")</f>
        <v/>
      </c>
      <c r="BQ109" s="275" t="str">
        <f t="shared" ca="1" si="62"/>
        <v/>
      </c>
      <c r="BR109" s="275" t="str">
        <f t="shared" ca="1" si="63"/>
        <v/>
      </c>
      <c r="BS109" s="190"/>
      <c r="BT109"/>
      <c r="BU109" s="276" t="str">
        <f t="shared" si="64"/>
        <v>end</v>
      </c>
      <c r="BV109" s="277">
        <v>9</v>
      </c>
      <c r="BW109" s="278" t="str">
        <f t="shared" si="69"/>
        <v/>
      </c>
      <c r="BX109" s="278" t="str">
        <f t="shared" si="68"/>
        <v/>
      </c>
      <c r="BY109" s="279" t="str">
        <f t="shared" si="65"/>
        <v/>
      </c>
      <c r="BZ109"/>
      <c r="CA109" s="284" t="str">
        <f t="shared" si="30"/>
        <v>-</v>
      </c>
      <c r="CB109" s="285" t="str">
        <f t="shared" si="31"/>
        <v>-</v>
      </c>
      <c r="CC109" s="285" t="str">
        <f t="shared" si="32"/>
        <v>9-10</v>
      </c>
      <c r="CD109" s="286" t="str">
        <f t="shared" si="33"/>
        <v/>
      </c>
      <c r="CE109" s="287" t="str">
        <f t="shared" si="34"/>
        <v>-</v>
      </c>
      <c r="CF109" s="285" t="str">
        <f t="shared" ca="1" si="35"/>
        <v>-</v>
      </c>
      <c r="CG109" s="285" t="str">
        <f t="shared" si="36"/>
        <v>9-10</v>
      </c>
      <c r="CH109" s="288" t="str">
        <f t="shared" ca="1" si="37"/>
        <v/>
      </c>
      <c r="CJ109" s="99"/>
      <c r="CK109" s="99"/>
      <c r="CL109" s="99"/>
      <c r="CM109" s="99"/>
      <c r="CN109" s="99"/>
      <c r="CO109" s="99"/>
    </row>
    <row r="110" spans="2:93" ht="13.5" customHeight="1" x14ac:dyDescent="0.2">
      <c r="B110" s="262">
        <v>10</v>
      </c>
      <c r="C110" s="237" t="str">
        <f t="shared" si="1"/>
        <v/>
      </c>
      <c r="D110" s="237" t="str">
        <f t="shared" si="66"/>
        <v>-</v>
      </c>
      <c r="E110" s="263" t="str">
        <f t="shared" si="38"/>
        <v/>
      </c>
      <c r="F110" s="264" t="str">
        <f t="shared" si="39"/>
        <v/>
      </c>
      <c r="G110" s="264" t="str">
        <f t="shared" si="40"/>
        <v/>
      </c>
      <c r="H110" s="240" t="str">
        <f t="shared" si="41"/>
        <v/>
      </c>
      <c r="I110" s="265" t="str">
        <f t="shared" si="2"/>
        <v/>
      </c>
      <c r="J110" s="265" t="str">
        <f t="shared" si="3"/>
        <v/>
      </c>
      <c r="K110" s="240" t="str">
        <f t="shared" si="4"/>
        <v/>
      </c>
      <c r="L110" s="265" t="str">
        <f t="shared" si="5"/>
        <v/>
      </c>
      <c r="M110" s="265" t="str">
        <f t="shared" si="6"/>
        <v/>
      </c>
      <c r="N110" s="240" t="str">
        <f t="shared" si="7"/>
        <v>-</v>
      </c>
      <c r="O110" s="265" t="str">
        <f t="shared" si="8"/>
        <v>-</v>
      </c>
      <c r="P110" s="265" t="str">
        <f t="shared" si="9"/>
        <v>-</v>
      </c>
      <c r="Q110" s="266" t="str">
        <f t="shared" si="10"/>
        <v>-</v>
      </c>
      <c r="R110" s="267" t="str">
        <f t="shared" si="11"/>
        <v>-</v>
      </c>
      <c r="S110" s="268" t="str">
        <f t="shared" si="12"/>
        <v>-</v>
      </c>
      <c r="T110" s="269" t="str">
        <f t="shared" si="13"/>
        <v/>
      </c>
      <c r="U110" s="221">
        <f t="shared" si="14"/>
        <v>10</v>
      </c>
      <c r="V110" s="220" t="str">
        <f t="shared" si="42"/>
        <v>-</v>
      </c>
      <c r="W110" s="221" t="str">
        <f t="shared" si="43"/>
        <v>-</v>
      </c>
      <c r="X110" s="221" t="str">
        <f t="shared" si="15"/>
        <v>-</v>
      </c>
      <c r="Y110" s="221" t="str">
        <f t="shared" si="16"/>
        <v>-</v>
      </c>
      <c r="Z110" s="270">
        <f t="shared" si="44"/>
        <v>0.1</v>
      </c>
      <c r="AA110" s="271" t="str">
        <f t="shared" si="67"/>
        <v>-</v>
      </c>
      <c r="AB110" s="271" t="str">
        <f t="shared" si="17"/>
        <v>-</v>
      </c>
      <c r="AC110" s="224">
        <f t="shared" si="45"/>
        <v>10</v>
      </c>
      <c r="AD110" s="223" t="str">
        <f t="shared" si="18"/>
        <v>-</v>
      </c>
      <c r="AE110" s="224" t="str">
        <f t="shared" si="46"/>
        <v>-</v>
      </c>
      <c r="AF110" s="224" t="str">
        <f t="shared" si="19"/>
        <v>-</v>
      </c>
      <c r="AG110" s="224" t="str">
        <f t="shared" si="20"/>
        <v>-</v>
      </c>
      <c r="AH110" s="272">
        <f t="shared" si="47"/>
        <v>0.1</v>
      </c>
      <c r="AI110" s="271" t="str">
        <f t="shared" si="21"/>
        <v>-</v>
      </c>
      <c r="AJ110" s="271" t="str">
        <f t="shared" si="48"/>
        <v>-</v>
      </c>
      <c r="AK110" s="227">
        <f t="shared" si="49"/>
        <v>10</v>
      </c>
      <c r="AL110" s="226" t="str">
        <f t="shared" si="22"/>
        <v>-</v>
      </c>
      <c r="AM110" s="227" t="str">
        <f t="shared" si="50"/>
        <v>-</v>
      </c>
      <c r="AN110" s="227" t="str">
        <f t="shared" si="51"/>
        <v>-</v>
      </c>
      <c r="AO110" s="227" t="str">
        <f t="shared" si="23"/>
        <v>-</v>
      </c>
      <c r="AP110" s="273">
        <f t="shared" si="52"/>
        <v>0.1</v>
      </c>
      <c r="AQ110" s="271" t="str">
        <f t="shared" si="53"/>
        <v>-</v>
      </c>
      <c r="AR110" s="271" t="str">
        <f t="shared" si="54"/>
        <v>-</v>
      </c>
      <c r="AS110" s="274">
        <f t="shared" si="24"/>
        <v>0</v>
      </c>
      <c r="AT110" s="274">
        <f t="shared" si="25"/>
        <v>0</v>
      </c>
      <c r="AU110" s="274">
        <f t="shared" si="26"/>
        <v>0</v>
      </c>
      <c r="AV110" s="275">
        <f>IF($B110&lt;$F$22,SUM($T$100:$T110),"")</f>
        <v>0</v>
      </c>
      <c r="AW110" s="275" t="str">
        <f t="shared" si="55"/>
        <v>-</v>
      </c>
      <c r="AX110" s="275" t="str">
        <f t="shared" si="56"/>
        <v/>
      </c>
      <c r="AY110"/>
      <c r="AZ110" s="275" t="str">
        <f ca="1">IF(ISNUMBER(OFFSET(AV110,-$F$21,0)),SUM(OFFSET($T$100,$F$21,0):$T110),"")</f>
        <v/>
      </c>
      <c r="BA110" s="275" t="str">
        <f t="shared" ca="1" si="27"/>
        <v/>
      </c>
      <c r="BB110" s="275" t="str">
        <f t="shared" ca="1" si="57"/>
        <v/>
      </c>
      <c r="BC110" s="190"/>
      <c r="BD110" s="275" t="str">
        <f ca="1">IFERROR(IF(OR(ISNUMBER(I),ISNUMBER($F$14)),IF(AND($B110&gt;=($F$16-$F$15),$B110&lt;$F$22+($F$16-$F$15)),SUM(OFFSET($T$100,($F$16-$F$15),0):$T110),""),""),"")</f>
        <v/>
      </c>
      <c r="BE110" s="275" t="str">
        <f t="shared" ca="1" si="58"/>
        <v/>
      </c>
      <c r="BF110" s="275" t="str">
        <f t="shared" ca="1" si="59"/>
        <v/>
      </c>
      <c r="BG110"/>
      <c r="BH110" s="190" t="str">
        <f ca="1">IF(ISNUMBER(OFFSET(BD110,-$F$21,0)),SUM(OFFSET($T$100,($F$16-$F$15+$F$21),0):$T110),"")</f>
        <v/>
      </c>
      <c r="BI110" s="190" t="str">
        <f t="shared" ca="1" si="28"/>
        <v/>
      </c>
      <c r="BJ110" s="190" t="str">
        <f t="shared" ca="1" si="60"/>
        <v/>
      </c>
      <c r="BK110" s="190"/>
      <c r="BL110" s="275" t="str">
        <f ca="1">IFERROR(IF(OR(ISNUMBER(I),ISNUMBER($F$14)),IF(AND($B110&gt;=($F$17-$F$15),$B110&lt;$F$22+($F$17-$F$15)),SUM(OFFSET($T$100,($F$17-$F$15),0):$T110),""),""),"")</f>
        <v/>
      </c>
      <c r="BM110" s="275" t="str">
        <f t="shared" ca="1" si="29"/>
        <v/>
      </c>
      <c r="BN110" s="275" t="str">
        <f t="shared" ca="1" si="61"/>
        <v/>
      </c>
      <c r="BO110"/>
      <c r="BP110" s="275" t="str">
        <f ca="1">IF(ISNUMBER(OFFSET(BL110,-$F$21,0)),SUM(OFFSET($T$100,($F$17-$F$15+$F$21),0):$T110),"")</f>
        <v/>
      </c>
      <c r="BQ110" s="275" t="str">
        <f t="shared" ca="1" si="62"/>
        <v/>
      </c>
      <c r="BR110" s="275" t="str">
        <f t="shared" ca="1" si="63"/>
        <v/>
      </c>
      <c r="BS110" s="190"/>
      <c r="BT110"/>
      <c r="BU110" s="276" t="str">
        <f t="shared" si="64"/>
        <v>end</v>
      </c>
      <c r="BV110" s="277">
        <v>10</v>
      </c>
      <c r="BW110" s="278" t="str">
        <f t="shared" si="69"/>
        <v/>
      </c>
      <c r="BX110" s="278" t="str">
        <f t="shared" si="68"/>
        <v/>
      </c>
      <c r="BY110" s="279" t="str">
        <f t="shared" si="65"/>
        <v/>
      </c>
      <c r="BZ110"/>
      <c r="CA110" s="284" t="str">
        <f t="shared" si="30"/>
        <v>-</v>
      </c>
      <c r="CB110" s="285" t="str">
        <f t="shared" si="31"/>
        <v>-</v>
      </c>
      <c r="CC110" s="285" t="str">
        <f t="shared" si="32"/>
        <v>10-11</v>
      </c>
      <c r="CD110" s="286" t="str">
        <f t="shared" si="33"/>
        <v/>
      </c>
      <c r="CE110" s="287" t="str">
        <f t="shared" si="34"/>
        <v>-</v>
      </c>
      <c r="CF110" s="285" t="str">
        <f t="shared" ca="1" si="35"/>
        <v>-</v>
      </c>
      <c r="CG110" s="285" t="str">
        <f t="shared" si="36"/>
        <v>10-11</v>
      </c>
      <c r="CH110" s="288" t="str">
        <f t="shared" ca="1" si="37"/>
        <v/>
      </c>
      <c r="CJ110" s="99"/>
      <c r="CK110" s="99"/>
      <c r="CL110" s="99"/>
      <c r="CM110" s="99"/>
      <c r="CN110" s="99"/>
      <c r="CO110" s="99"/>
    </row>
    <row r="111" spans="2:93" ht="13.5" customHeight="1" x14ac:dyDescent="0.2">
      <c r="B111" s="262">
        <v>11</v>
      </c>
      <c r="C111" s="237" t="str">
        <f t="shared" si="1"/>
        <v/>
      </c>
      <c r="D111" s="237" t="str">
        <f t="shared" si="66"/>
        <v>-</v>
      </c>
      <c r="E111" s="263" t="str">
        <f t="shared" si="38"/>
        <v/>
      </c>
      <c r="F111" s="264" t="str">
        <f t="shared" si="39"/>
        <v/>
      </c>
      <c r="G111" s="264" t="str">
        <f t="shared" si="40"/>
        <v/>
      </c>
      <c r="H111" s="240" t="str">
        <f t="shared" si="41"/>
        <v/>
      </c>
      <c r="I111" s="265" t="str">
        <f t="shared" si="2"/>
        <v/>
      </c>
      <c r="J111" s="265" t="str">
        <f t="shared" si="3"/>
        <v/>
      </c>
      <c r="K111" s="240" t="str">
        <f t="shared" si="4"/>
        <v/>
      </c>
      <c r="L111" s="265" t="str">
        <f t="shared" si="5"/>
        <v/>
      </c>
      <c r="M111" s="265" t="str">
        <f t="shared" si="6"/>
        <v/>
      </c>
      <c r="N111" s="240" t="str">
        <f t="shared" si="7"/>
        <v>-</v>
      </c>
      <c r="O111" s="265" t="str">
        <f t="shared" si="8"/>
        <v>-</v>
      </c>
      <c r="P111" s="265" t="str">
        <f t="shared" si="9"/>
        <v>-</v>
      </c>
      <c r="Q111" s="266" t="str">
        <f t="shared" si="10"/>
        <v>-</v>
      </c>
      <c r="R111" s="267" t="str">
        <f t="shared" si="11"/>
        <v>-</v>
      </c>
      <c r="S111" s="268" t="str">
        <f t="shared" si="12"/>
        <v>-</v>
      </c>
      <c r="T111" s="269" t="str">
        <f t="shared" si="13"/>
        <v/>
      </c>
      <c r="U111" s="221">
        <f t="shared" si="14"/>
        <v>11</v>
      </c>
      <c r="V111" s="220" t="str">
        <f t="shared" si="42"/>
        <v>-</v>
      </c>
      <c r="W111" s="221" t="str">
        <f t="shared" si="43"/>
        <v>-</v>
      </c>
      <c r="X111" s="221" t="str">
        <f t="shared" si="15"/>
        <v>-</v>
      </c>
      <c r="Y111" s="221" t="str">
        <f t="shared" si="16"/>
        <v>-</v>
      </c>
      <c r="Z111" s="270">
        <f t="shared" si="44"/>
        <v>0.1</v>
      </c>
      <c r="AA111" s="271" t="str">
        <f t="shared" si="67"/>
        <v>-</v>
      </c>
      <c r="AB111" s="271" t="str">
        <f t="shared" si="17"/>
        <v>-</v>
      </c>
      <c r="AC111" s="224">
        <f t="shared" si="45"/>
        <v>11</v>
      </c>
      <c r="AD111" s="223" t="str">
        <f t="shared" si="18"/>
        <v>-</v>
      </c>
      <c r="AE111" s="224" t="str">
        <f t="shared" si="46"/>
        <v>-</v>
      </c>
      <c r="AF111" s="224" t="str">
        <f t="shared" si="19"/>
        <v>-</v>
      </c>
      <c r="AG111" s="224" t="str">
        <f t="shared" si="20"/>
        <v>-</v>
      </c>
      <c r="AH111" s="272">
        <f t="shared" si="47"/>
        <v>0.1</v>
      </c>
      <c r="AI111" s="271" t="str">
        <f t="shared" si="21"/>
        <v>-</v>
      </c>
      <c r="AJ111" s="271" t="str">
        <f t="shared" si="48"/>
        <v>-</v>
      </c>
      <c r="AK111" s="227">
        <f t="shared" si="49"/>
        <v>11</v>
      </c>
      <c r="AL111" s="226" t="str">
        <f t="shared" si="22"/>
        <v>-</v>
      </c>
      <c r="AM111" s="227" t="str">
        <f t="shared" si="50"/>
        <v>-</v>
      </c>
      <c r="AN111" s="227" t="str">
        <f t="shared" si="51"/>
        <v>-</v>
      </c>
      <c r="AO111" s="227" t="str">
        <f t="shared" si="23"/>
        <v>-</v>
      </c>
      <c r="AP111" s="273">
        <f t="shared" si="52"/>
        <v>0.1</v>
      </c>
      <c r="AQ111" s="271" t="str">
        <f t="shared" si="53"/>
        <v>-</v>
      </c>
      <c r="AR111" s="271" t="str">
        <f t="shared" si="54"/>
        <v>-</v>
      </c>
      <c r="AS111" s="274">
        <f t="shared" si="24"/>
        <v>0</v>
      </c>
      <c r="AT111" s="274">
        <f t="shared" si="25"/>
        <v>0</v>
      </c>
      <c r="AU111" s="274">
        <f t="shared" si="26"/>
        <v>0</v>
      </c>
      <c r="AV111" s="275">
        <f>IF($B111&lt;$F$22,SUM($T$100:$T111),"")</f>
        <v>0</v>
      </c>
      <c r="AW111" s="275" t="str">
        <f t="shared" si="55"/>
        <v>-</v>
      </c>
      <c r="AX111" s="275" t="str">
        <f t="shared" si="56"/>
        <v/>
      </c>
      <c r="AY111"/>
      <c r="AZ111" s="275" t="str">
        <f ca="1">IF(ISNUMBER(OFFSET(AV111,-$F$21,0)),SUM(OFFSET($T$100,$F$21,0):$T111),"")</f>
        <v/>
      </c>
      <c r="BA111" s="275" t="str">
        <f t="shared" ca="1" si="27"/>
        <v/>
      </c>
      <c r="BB111" s="275" t="str">
        <f t="shared" ca="1" si="57"/>
        <v/>
      </c>
      <c r="BC111" s="190"/>
      <c r="BD111" s="275" t="str">
        <f ca="1">IFERROR(IF(OR(ISNUMBER(I),ISNUMBER($F$14)),IF(AND($B111&gt;=($F$16-$F$15),$B111&lt;$F$22+($F$16-$F$15)),SUM(OFFSET($T$100,($F$16-$F$15),0):$T111),""),""),"")</f>
        <v/>
      </c>
      <c r="BE111" s="275" t="str">
        <f t="shared" ca="1" si="58"/>
        <v/>
      </c>
      <c r="BF111" s="275" t="str">
        <f t="shared" ca="1" si="59"/>
        <v/>
      </c>
      <c r="BG111"/>
      <c r="BH111" s="190" t="str">
        <f ca="1">IF(ISNUMBER(OFFSET(BD111,-$F$21,0)),SUM(OFFSET($T$100,($F$16-$F$15+$F$21),0):$T111),"")</f>
        <v/>
      </c>
      <c r="BI111" s="190" t="str">
        <f t="shared" ca="1" si="28"/>
        <v/>
      </c>
      <c r="BJ111" s="190" t="str">
        <f t="shared" ca="1" si="60"/>
        <v/>
      </c>
      <c r="BK111" s="190"/>
      <c r="BL111" s="275" t="str">
        <f ca="1">IFERROR(IF(OR(ISNUMBER(I),ISNUMBER($F$14)),IF(AND($B111&gt;=($F$17-$F$15),$B111&lt;$F$22+($F$17-$F$15)),SUM(OFFSET($T$100,($F$17-$F$15),0):$T111),""),""),"")</f>
        <v/>
      </c>
      <c r="BM111" s="275" t="str">
        <f t="shared" ca="1" si="29"/>
        <v/>
      </c>
      <c r="BN111" s="275" t="str">
        <f t="shared" ca="1" si="61"/>
        <v/>
      </c>
      <c r="BO111"/>
      <c r="BP111" s="275" t="str">
        <f ca="1">IF(ISNUMBER(OFFSET(BL111,-$F$21,0)),SUM(OFFSET($T$100,($F$17-$F$15+$F$21),0):$T111),"")</f>
        <v/>
      </c>
      <c r="BQ111" s="275" t="str">
        <f t="shared" ca="1" si="62"/>
        <v/>
      </c>
      <c r="BR111" s="275" t="str">
        <f t="shared" ca="1" si="63"/>
        <v/>
      </c>
      <c r="BS111" s="190"/>
      <c r="BT111"/>
      <c r="BU111" s="276" t="str">
        <f t="shared" si="64"/>
        <v>end</v>
      </c>
      <c r="BV111" s="277">
        <v>11</v>
      </c>
      <c r="BW111" s="278" t="str">
        <f t="shared" si="69"/>
        <v/>
      </c>
      <c r="BX111" s="278" t="str">
        <f t="shared" si="68"/>
        <v/>
      </c>
      <c r="BY111" s="279" t="str">
        <f t="shared" si="65"/>
        <v/>
      </c>
      <c r="BZ111"/>
      <c r="CA111" s="284" t="str">
        <f t="shared" si="30"/>
        <v>-</v>
      </c>
      <c r="CB111" s="285" t="str">
        <f t="shared" si="31"/>
        <v>-</v>
      </c>
      <c r="CC111" s="285" t="str">
        <f t="shared" si="32"/>
        <v>11-12</v>
      </c>
      <c r="CD111" s="286" t="str">
        <f t="shared" si="33"/>
        <v/>
      </c>
      <c r="CE111" s="287" t="str">
        <f t="shared" si="34"/>
        <v>-</v>
      </c>
      <c r="CF111" s="285" t="str">
        <f t="shared" ca="1" si="35"/>
        <v>-</v>
      </c>
      <c r="CG111" s="285" t="str">
        <f t="shared" si="36"/>
        <v>11-12</v>
      </c>
      <c r="CH111" s="288" t="str">
        <f t="shared" ca="1" si="37"/>
        <v/>
      </c>
      <c r="CJ111" s="99"/>
      <c r="CK111" s="99"/>
      <c r="CL111" s="99"/>
      <c r="CM111" s="99"/>
      <c r="CN111" s="99"/>
      <c r="CO111" s="99"/>
    </row>
    <row r="112" spans="2:93" ht="13.5" customHeight="1" x14ac:dyDescent="0.2">
      <c r="B112" s="262">
        <v>12</v>
      </c>
      <c r="C112" s="237" t="str">
        <f t="shared" si="1"/>
        <v/>
      </c>
      <c r="D112" s="237" t="str">
        <f t="shared" si="66"/>
        <v>-</v>
      </c>
      <c r="E112" s="263" t="str">
        <f t="shared" si="38"/>
        <v/>
      </c>
      <c r="F112" s="264" t="str">
        <f t="shared" si="39"/>
        <v/>
      </c>
      <c r="G112" s="264" t="str">
        <f t="shared" si="40"/>
        <v/>
      </c>
      <c r="H112" s="240" t="str">
        <f t="shared" si="41"/>
        <v/>
      </c>
      <c r="I112" s="265" t="str">
        <f t="shared" si="2"/>
        <v/>
      </c>
      <c r="J112" s="265" t="str">
        <f t="shared" si="3"/>
        <v/>
      </c>
      <c r="K112" s="240" t="str">
        <f t="shared" si="4"/>
        <v/>
      </c>
      <c r="L112" s="265" t="str">
        <f t="shared" si="5"/>
        <v/>
      </c>
      <c r="M112" s="265" t="str">
        <f t="shared" si="6"/>
        <v/>
      </c>
      <c r="N112" s="240" t="str">
        <f t="shared" si="7"/>
        <v>-</v>
      </c>
      <c r="O112" s="265" t="str">
        <f t="shared" si="8"/>
        <v>-</v>
      </c>
      <c r="P112" s="265" t="str">
        <f t="shared" si="9"/>
        <v>-</v>
      </c>
      <c r="Q112" s="266" t="str">
        <f t="shared" si="10"/>
        <v>-</v>
      </c>
      <c r="R112" s="267" t="str">
        <f t="shared" si="11"/>
        <v>-</v>
      </c>
      <c r="S112" s="268" t="str">
        <f t="shared" si="12"/>
        <v>-</v>
      </c>
      <c r="T112" s="269" t="str">
        <f t="shared" si="13"/>
        <v/>
      </c>
      <c r="U112" s="221">
        <f t="shared" si="14"/>
        <v>12</v>
      </c>
      <c r="V112" s="220" t="str">
        <f t="shared" si="42"/>
        <v>-</v>
      </c>
      <c r="W112" s="221" t="str">
        <f t="shared" si="43"/>
        <v>-</v>
      </c>
      <c r="X112" s="221" t="str">
        <f t="shared" si="15"/>
        <v>-</v>
      </c>
      <c r="Y112" s="221" t="str">
        <f t="shared" si="16"/>
        <v>-</v>
      </c>
      <c r="Z112" s="270">
        <f t="shared" si="44"/>
        <v>0.1</v>
      </c>
      <c r="AA112" s="271" t="str">
        <f t="shared" si="67"/>
        <v>-</v>
      </c>
      <c r="AB112" s="271" t="str">
        <f t="shared" si="17"/>
        <v>-</v>
      </c>
      <c r="AC112" s="224">
        <f t="shared" si="45"/>
        <v>12</v>
      </c>
      <c r="AD112" s="223" t="str">
        <f t="shared" si="18"/>
        <v>-</v>
      </c>
      <c r="AE112" s="224" t="str">
        <f t="shared" si="46"/>
        <v>-</v>
      </c>
      <c r="AF112" s="224" t="str">
        <f t="shared" si="19"/>
        <v>-</v>
      </c>
      <c r="AG112" s="224" t="str">
        <f t="shared" si="20"/>
        <v>-</v>
      </c>
      <c r="AH112" s="272">
        <f t="shared" si="47"/>
        <v>0.1</v>
      </c>
      <c r="AI112" s="271" t="str">
        <f t="shared" si="21"/>
        <v>-</v>
      </c>
      <c r="AJ112" s="271" t="str">
        <f t="shared" si="48"/>
        <v>-</v>
      </c>
      <c r="AK112" s="227">
        <f t="shared" si="49"/>
        <v>12</v>
      </c>
      <c r="AL112" s="226" t="str">
        <f t="shared" si="22"/>
        <v>-</v>
      </c>
      <c r="AM112" s="227" t="str">
        <f t="shared" si="50"/>
        <v>-</v>
      </c>
      <c r="AN112" s="227" t="str">
        <f t="shared" si="51"/>
        <v>-</v>
      </c>
      <c r="AO112" s="227" t="str">
        <f t="shared" si="23"/>
        <v>-</v>
      </c>
      <c r="AP112" s="273">
        <f t="shared" si="52"/>
        <v>0.1</v>
      </c>
      <c r="AQ112" s="271" t="str">
        <f t="shared" si="53"/>
        <v>-</v>
      </c>
      <c r="AR112" s="271" t="str">
        <f t="shared" si="54"/>
        <v>-</v>
      </c>
      <c r="AS112" s="274">
        <f t="shared" si="24"/>
        <v>0</v>
      </c>
      <c r="AT112" s="274">
        <f t="shared" si="25"/>
        <v>0</v>
      </c>
      <c r="AU112" s="274">
        <f t="shared" si="26"/>
        <v>0</v>
      </c>
      <c r="AV112" s="275">
        <f>IF($B112&lt;$F$22,SUM($T$100:$T112),"")</f>
        <v>0</v>
      </c>
      <c r="AW112" s="275" t="str">
        <f t="shared" si="55"/>
        <v>-</v>
      </c>
      <c r="AX112" s="275" t="str">
        <f t="shared" si="56"/>
        <v/>
      </c>
      <c r="AY112"/>
      <c r="AZ112" s="275" t="str">
        <f ca="1">IF(ISNUMBER(OFFSET(AV112,-$F$21,0)),SUM(OFFSET($T$100,$F$21,0):$T112),"")</f>
        <v/>
      </c>
      <c r="BA112" s="275" t="str">
        <f t="shared" ca="1" si="27"/>
        <v/>
      </c>
      <c r="BB112" s="275" t="str">
        <f t="shared" ca="1" si="57"/>
        <v/>
      </c>
      <c r="BC112" s="190"/>
      <c r="BD112" s="275" t="str">
        <f ca="1">IFERROR(IF(OR(ISNUMBER(I),ISNUMBER($F$14)),IF(AND($B112&gt;=($F$16-$F$15),$B112&lt;$F$22+($F$16-$F$15)),SUM(OFFSET($T$100,($F$16-$F$15),0):$T112),""),""),"")</f>
        <v/>
      </c>
      <c r="BE112" s="275" t="str">
        <f t="shared" ca="1" si="58"/>
        <v/>
      </c>
      <c r="BF112" s="275" t="str">
        <f t="shared" ca="1" si="59"/>
        <v/>
      </c>
      <c r="BG112"/>
      <c r="BH112" s="190" t="str">
        <f ca="1">IF(ISNUMBER(OFFSET(BD112,-$F$21,0)),SUM(OFFSET($T$100,($F$16-$F$15+$F$21),0):$T112),"")</f>
        <v/>
      </c>
      <c r="BI112" s="190" t="str">
        <f t="shared" ca="1" si="28"/>
        <v/>
      </c>
      <c r="BJ112" s="190" t="str">
        <f t="shared" ca="1" si="60"/>
        <v/>
      </c>
      <c r="BK112" s="190"/>
      <c r="BL112" s="275" t="str">
        <f ca="1">IFERROR(IF(OR(ISNUMBER(I),ISNUMBER($F$14)),IF(AND($B112&gt;=($F$17-$F$15),$B112&lt;$F$22+($F$17-$F$15)),SUM(OFFSET($T$100,($F$17-$F$15),0):$T112),""),""),"")</f>
        <v/>
      </c>
      <c r="BM112" s="275" t="str">
        <f t="shared" ca="1" si="29"/>
        <v/>
      </c>
      <c r="BN112" s="275" t="str">
        <f t="shared" ca="1" si="61"/>
        <v/>
      </c>
      <c r="BO112"/>
      <c r="BP112" s="275" t="str">
        <f ca="1">IF(ISNUMBER(OFFSET(BL112,-$F$21,0)),SUM(OFFSET($T$100,($F$17-$F$15+$F$21),0):$T112),"")</f>
        <v/>
      </c>
      <c r="BQ112" s="275" t="str">
        <f t="shared" ca="1" si="62"/>
        <v/>
      </c>
      <c r="BR112" s="275" t="str">
        <f t="shared" ca="1" si="63"/>
        <v/>
      </c>
      <c r="BS112" s="190"/>
      <c r="BT112"/>
      <c r="BU112" s="276" t="str">
        <f t="shared" si="64"/>
        <v>end</v>
      </c>
      <c r="BV112" s="277">
        <v>12</v>
      </c>
      <c r="BW112" s="278" t="str">
        <f t="shared" si="69"/>
        <v/>
      </c>
      <c r="BX112" s="278" t="str">
        <f t="shared" si="68"/>
        <v/>
      </c>
      <c r="BY112" s="279" t="str">
        <f t="shared" si="65"/>
        <v/>
      </c>
      <c r="BZ112"/>
      <c r="CA112" s="284" t="str">
        <f t="shared" si="30"/>
        <v>-</v>
      </c>
      <c r="CB112" s="285" t="str">
        <f t="shared" si="31"/>
        <v>-</v>
      </c>
      <c r="CC112" s="285" t="str">
        <f t="shared" si="32"/>
        <v>12-13</v>
      </c>
      <c r="CD112" s="286" t="str">
        <f t="shared" si="33"/>
        <v/>
      </c>
      <c r="CE112" s="287" t="str">
        <f t="shared" si="34"/>
        <v>-</v>
      </c>
      <c r="CF112" s="285" t="str">
        <f t="shared" ca="1" si="35"/>
        <v>-</v>
      </c>
      <c r="CG112" s="285" t="str">
        <f t="shared" si="36"/>
        <v>12-13</v>
      </c>
      <c r="CH112" s="288" t="str">
        <f t="shared" ca="1" si="37"/>
        <v/>
      </c>
      <c r="CJ112" s="99"/>
      <c r="CK112" s="99"/>
      <c r="CL112" s="99"/>
      <c r="CM112" s="99"/>
      <c r="CN112" s="99"/>
      <c r="CO112" s="99"/>
    </row>
    <row r="113" spans="2:93" ht="13.5" customHeight="1" x14ac:dyDescent="0.2">
      <c r="B113" s="262">
        <v>13</v>
      </c>
      <c r="C113" s="237" t="str">
        <f t="shared" si="1"/>
        <v/>
      </c>
      <c r="D113" s="237" t="str">
        <f t="shared" si="66"/>
        <v>-</v>
      </c>
      <c r="E113" s="263" t="str">
        <f t="shared" si="38"/>
        <v/>
      </c>
      <c r="F113" s="289" t="str">
        <f t="shared" si="39"/>
        <v/>
      </c>
      <c r="G113" s="264" t="str">
        <f t="shared" si="40"/>
        <v/>
      </c>
      <c r="H113" s="240" t="str">
        <f>IF(E113&lt;&gt;"",IF($B113&lt;$F$21,"",IF(ISNUMBER(F113),IF(ISNUMBER(I113),(E113*30*50*ffp),""),(E113*30*50*ffp))),"")</f>
        <v/>
      </c>
      <c r="I113" s="265" t="str">
        <f t="shared" si="2"/>
        <v/>
      </c>
      <c r="J113" s="265" t="str">
        <f t="shared" si="3"/>
        <v/>
      </c>
      <c r="K113" s="240" t="str">
        <f t="shared" si="4"/>
        <v/>
      </c>
      <c r="L113" s="265" t="str">
        <f t="shared" si="5"/>
        <v/>
      </c>
      <c r="M113" s="265" t="str">
        <f t="shared" si="6"/>
        <v/>
      </c>
      <c r="N113" s="240" t="str">
        <f t="shared" si="7"/>
        <v>-</v>
      </c>
      <c r="O113" s="265" t="str">
        <f t="shared" si="8"/>
        <v>-</v>
      </c>
      <c r="P113" s="265" t="str">
        <f t="shared" si="9"/>
        <v>-</v>
      </c>
      <c r="Q113" s="266" t="str">
        <f t="shared" si="10"/>
        <v>-</v>
      </c>
      <c r="R113" s="267" t="str">
        <f t="shared" si="11"/>
        <v>-</v>
      </c>
      <c r="S113" s="268" t="str">
        <f t="shared" si="12"/>
        <v>-</v>
      </c>
      <c r="T113" s="269" t="str">
        <f t="shared" si="13"/>
        <v/>
      </c>
      <c r="U113" s="221">
        <f t="shared" si="14"/>
        <v>13</v>
      </c>
      <c r="V113" s="220" t="str">
        <f t="shared" si="42"/>
        <v>-</v>
      </c>
      <c r="W113" s="221" t="str">
        <f t="shared" si="43"/>
        <v>-</v>
      </c>
      <c r="X113" s="221" t="str">
        <f t="shared" si="15"/>
        <v>-</v>
      </c>
      <c r="Y113" s="221" t="str">
        <f t="shared" si="16"/>
        <v>-</v>
      </c>
      <c r="Z113" s="270">
        <f t="shared" si="44"/>
        <v>0.1</v>
      </c>
      <c r="AA113" s="271" t="str">
        <f t="shared" si="67"/>
        <v>-</v>
      </c>
      <c r="AB113" s="271" t="str">
        <f t="shared" si="17"/>
        <v>-</v>
      </c>
      <c r="AC113" s="224">
        <f t="shared" si="45"/>
        <v>13</v>
      </c>
      <c r="AD113" s="223" t="str">
        <f t="shared" si="18"/>
        <v>-</v>
      </c>
      <c r="AE113" s="224" t="str">
        <f t="shared" si="46"/>
        <v>-</v>
      </c>
      <c r="AF113" s="224" t="str">
        <f t="shared" si="19"/>
        <v>-</v>
      </c>
      <c r="AG113" s="224" t="str">
        <f t="shared" si="20"/>
        <v>-</v>
      </c>
      <c r="AH113" s="272">
        <f t="shared" si="47"/>
        <v>0.1</v>
      </c>
      <c r="AI113" s="271" t="str">
        <f t="shared" si="21"/>
        <v>-</v>
      </c>
      <c r="AJ113" s="271" t="str">
        <f>IFERROR(IF(AD113=1,D113*EXP(-(0.04*AF113+0.1*AG113)),IF(AD113=2,D113*EXP(-(0.04*($F$21+AF113)+0.1*(($F$16-$F$15)-$F$21+AG113))),D113*EXP(-(0.04*($F$21*2+AF113)+0.1*((($F$16-$F$15)-$F$21)*2-AG113))))),"-")</f>
        <v>-</v>
      </c>
      <c r="AK113" s="227">
        <f t="shared" si="49"/>
        <v>13</v>
      </c>
      <c r="AL113" s="226" t="str">
        <f t="shared" si="22"/>
        <v>-</v>
      </c>
      <c r="AM113" s="227" t="str">
        <f t="shared" si="50"/>
        <v>-</v>
      </c>
      <c r="AN113" s="227" t="str">
        <f t="shared" si="51"/>
        <v>-</v>
      </c>
      <c r="AO113" s="227" t="str">
        <f t="shared" si="23"/>
        <v>-</v>
      </c>
      <c r="AP113" s="273">
        <f t="shared" si="52"/>
        <v>0.1</v>
      </c>
      <c r="AQ113" s="271" t="str">
        <f t="shared" si="53"/>
        <v>-</v>
      </c>
      <c r="AR113" s="271" t="str">
        <f t="shared" si="54"/>
        <v>-</v>
      </c>
      <c r="AS113" s="274">
        <f t="shared" si="24"/>
        <v>0</v>
      </c>
      <c r="AT113" s="274">
        <f t="shared" si="25"/>
        <v>0</v>
      </c>
      <c r="AU113" s="274">
        <f t="shared" si="26"/>
        <v>0</v>
      </c>
      <c r="AV113" s="275">
        <f>IF($B113&lt;$F$22,SUM($T$100:$T113),"")</f>
        <v>0</v>
      </c>
      <c r="AW113" s="275" t="str">
        <f t="shared" si="55"/>
        <v>-</v>
      </c>
      <c r="AX113" s="275" t="str">
        <f t="shared" si="56"/>
        <v/>
      </c>
      <c r="AY113"/>
      <c r="AZ113" s="275" t="str">
        <f ca="1">IF(ISNUMBER(OFFSET(AV113,-$F$21,0)),SUM(OFFSET($T$100,$F$21,0):$T113),"")</f>
        <v/>
      </c>
      <c r="BA113" s="275" t="str">
        <f t="shared" ca="1" si="27"/>
        <v/>
      </c>
      <c r="BB113" s="275" t="str">
        <f t="shared" ca="1" si="57"/>
        <v/>
      </c>
      <c r="BC113" s="190"/>
      <c r="BD113" s="275" t="str">
        <f ca="1">IFERROR(IF(OR(ISNUMBER(I),ISNUMBER($F$14)),IF(AND($B113&gt;=($F$16-$F$15),$B113&lt;$F$22+($F$16-$F$15)),SUM(OFFSET($T$100,($F$16-$F$15),0):$T113),""),""),"")</f>
        <v/>
      </c>
      <c r="BE113" s="275" t="str">
        <f t="shared" ca="1" si="58"/>
        <v/>
      </c>
      <c r="BF113" s="275" t="str">
        <f t="shared" ca="1" si="59"/>
        <v/>
      </c>
      <c r="BG113"/>
      <c r="BH113" s="190" t="str">
        <f ca="1">IF(ISNUMBER(OFFSET(BD113,-$F$21,0)),SUM(OFFSET($T$100,($F$16-$F$15+$F$21),0):$T113),"")</f>
        <v/>
      </c>
      <c r="BI113" s="190" t="str">
        <f t="shared" ca="1" si="28"/>
        <v/>
      </c>
      <c r="BJ113" s="190" t="str">
        <f t="shared" ca="1" si="60"/>
        <v/>
      </c>
      <c r="BK113" s="190"/>
      <c r="BL113" s="275" t="str">
        <f ca="1">IFERROR(IF(OR(ISNUMBER(I),ISNUMBER($F$14)),IF(AND($B113&gt;=($F$17-$F$15),$B113&lt;$F$22+($F$17-$F$15)),SUM(OFFSET($T$100,($F$17-$F$15),0):$T113),""),""),"")</f>
        <v/>
      </c>
      <c r="BM113" s="275" t="str">
        <f t="shared" ca="1" si="29"/>
        <v/>
      </c>
      <c r="BN113" s="275" t="str">
        <f t="shared" ca="1" si="61"/>
        <v/>
      </c>
      <c r="BO113"/>
      <c r="BP113" s="275" t="str">
        <f ca="1">IF(ISNUMBER(OFFSET(BL113,-$F$21,0)),SUM(OFFSET($T$100,($F$17-$F$15+$F$21),0):$T113),"")</f>
        <v/>
      </c>
      <c r="BQ113" s="275" t="str">
        <f t="shared" ca="1" si="62"/>
        <v/>
      </c>
      <c r="BR113" s="275" t="str">
        <f t="shared" ca="1" si="63"/>
        <v/>
      </c>
      <c r="BS113" s="190"/>
      <c r="BT113"/>
      <c r="BU113" s="276" t="str">
        <f t="shared" si="64"/>
        <v>end</v>
      </c>
      <c r="BV113" s="277">
        <v>13</v>
      </c>
      <c r="BW113" s="278" t="str">
        <f t="shared" si="69"/>
        <v/>
      </c>
      <c r="BX113" s="278" t="str">
        <f t="shared" si="68"/>
        <v/>
      </c>
      <c r="BY113" s="279" t="str">
        <f t="shared" si="65"/>
        <v/>
      </c>
      <c r="BZ113"/>
      <c r="CA113" s="284" t="str">
        <f t="shared" si="30"/>
        <v>-</v>
      </c>
      <c r="CB113" s="285" t="str">
        <f t="shared" si="31"/>
        <v>-</v>
      </c>
      <c r="CC113" s="285" t="str">
        <f t="shared" si="32"/>
        <v>13-14</v>
      </c>
      <c r="CD113" s="286" t="str">
        <f t="shared" si="33"/>
        <v/>
      </c>
      <c r="CE113" s="287" t="str">
        <f t="shared" si="34"/>
        <v>-</v>
      </c>
      <c r="CF113" s="285" t="str">
        <f t="shared" ca="1" si="35"/>
        <v>-</v>
      </c>
      <c r="CG113" s="285" t="str">
        <f t="shared" si="36"/>
        <v>13-14</v>
      </c>
      <c r="CH113" s="288" t="str">
        <f t="shared" ca="1" si="37"/>
        <v/>
      </c>
      <c r="CJ113" s="99"/>
      <c r="CK113" s="99"/>
      <c r="CL113" s="99"/>
      <c r="CM113" s="99"/>
      <c r="CN113" s="99"/>
      <c r="CO113" s="99"/>
    </row>
    <row r="114" spans="2:93" ht="13.5" customHeight="1" x14ac:dyDescent="0.2">
      <c r="B114" s="262">
        <v>14</v>
      </c>
      <c r="C114" s="236" t="str">
        <f t="shared" si="1"/>
        <v/>
      </c>
      <c r="D114" s="237" t="str">
        <f t="shared" si="66"/>
        <v>-</v>
      </c>
      <c r="E114" s="290" t="str">
        <f t="shared" si="38"/>
        <v/>
      </c>
      <c r="F114" s="264" t="str">
        <f t="shared" si="39"/>
        <v/>
      </c>
      <c r="G114" s="291" t="str">
        <f t="shared" si="40"/>
        <v/>
      </c>
      <c r="H114" s="240" t="str">
        <f>IF(E114&lt;&gt;"",IF($B114&lt;$F$21,"",IF(ISNUMBER(F114),IF(ISNUMBER(I114),(E114*30*50*ffp),""),(E114*30*50*ffp))),"")</f>
        <v/>
      </c>
      <c r="I114" s="265" t="str">
        <f t="shared" si="2"/>
        <v/>
      </c>
      <c r="J114" s="265" t="str">
        <f t="shared" si="3"/>
        <v/>
      </c>
      <c r="K114" s="240" t="str">
        <f t="shared" si="4"/>
        <v/>
      </c>
      <c r="L114" s="265" t="str">
        <f t="shared" si="5"/>
        <v/>
      </c>
      <c r="M114" s="265" t="str">
        <f t="shared" si="6"/>
        <v/>
      </c>
      <c r="N114" s="240" t="str">
        <f t="shared" si="7"/>
        <v>-</v>
      </c>
      <c r="O114" s="265" t="str">
        <f t="shared" si="8"/>
        <v>-</v>
      </c>
      <c r="P114" s="265" t="str">
        <f t="shared" si="9"/>
        <v>-</v>
      </c>
      <c r="Q114" s="266" t="str">
        <f t="shared" si="10"/>
        <v>-</v>
      </c>
      <c r="R114" s="267" t="str">
        <f t="shared" si="11"/>
        <v>-</v>
      </c>
      <c r="S114" s="268" t="str">
        <f t="shared" si="12"/>
        <v>-</v>
      </c>
      <c r="T114" s="269" t="str">
        <f t="shared" si="13"/>
        <v/>
      </c>
      <c r="U114" s="221">
        <f t="shared" si="14"/>
        <v>14</v>
      </c>
      <c r="V114" s="220" t="str">
        <f t="shared" si="42"/>
        <v>-</v>
      </c>
      <c r="W114" s="221" t="str">
        <f t="shared" si="43"/>
        <v>-</v>
      </c>
      <c r="X114" s="221" t="str">
        <f t="shared" si="15"/>
        <v>-</v>
      </c>
      <c r="Y114" s="221" t="str">
        <f t="shared" si="16"/>
        <v>-</v>
      </c>
      <c r="Z114" s="270">
        <f t="shared" si="44"/>
        <v>0.1</v>
      </c>
      <c r="AA114" s="271" t="str">
        <f t="shared" si="67"/>
        <v>-</v>
      </c>
      <c r="AB114" s="292" t="str">
        <f t="shared" si="17"/>
        <v>-</v>
      </c>
      <c r="AC114" s="224">
        <f t="shared" si="45"/>
        <v>14</v>
      </c>
      <c r="AD114" s="223" t="str">
        <f t="shared" si="18"/>
        <v>-</v>
      </c>
      <c r="AE114" s="224" t="str">
        <f t="shared" si="46"/>
        <v>-</v>
      </c>
      <c r="AF114" s="224" t="str">
        <f t="shared" si="19"/>
        <v>-</v>
      </c>
      <c r="AG114" s="224" t="str">
        <f t="shared" si="20"/>
        <v>-</v>
      </c>
      <c r="AH114" s="272">
        <f t="shared" si="47"/>
        <v>0.1</v>
      </c>
      <c r="AI114" s="271" t="str">
        <f t="shared" si="21"/>
        <v>-</v>
      </c>
      <c r="AJ114" s="292" t="str">
        <f>IFERROR(IF(AD114=1,D114*EXP(-(0.04*AF114+0.1*AG114)),IF(AD114=2,D114*EXP(-(0.04*($F$21+AF114)+0.1*(($F$16-$F$15)-$F$21+AG114))),D114*EXP(-(0.04*($F$21*2+AF114)+0.1*((($F$16-$F$15)-$F$21)*2-AG114))))),"-")</f>
        <v>-</v>
      </c>
      <c r="AK114" s="227">
        <f t="shared" si="49"/>
        <v>14</v>
      </c>
      <c r="AL114" s="226" t="str">
        <f t="shared" si="22"/>
        <v>-</v>
      </c>
      <c r="AM114" s="227" t="str">
        <f t="shared" si="50"/>
        <v>-</v>
      </c>
      <c r="AN114" s="227" t="str">
        <f t="shared" si="51"/>
        <v>-</v>
      </c>
      <c r="AO114" s="227" t="str">
        <f t="shared" si="23"/>
        <v>-</v>
      </c>
      <c r="AP114" s="273">
        <f t="shared" si="52"/>
        <v>0.1</v>
      </c>
      <c r="AQ114" s="271" t="str">
        <f>IFERROR(IF(AL113=1,D114*EXP(-(0.04*AN113+0.1*AO113)),IF(AL113=2,D114*EXP(-(0.04*($F$21+AN113)+0.1*(($F$16-$F$15)-$F$21+AO113))),D114*EXP(-(0.04*($F$21*2+AN113)+0.1*((($F$16-$F$15)-$F$21)*2-AO113))))),"-")</f>
        <v>-</v>
      </c>
      <c r="AR114" s="292" t="str">
        <f>IFERROR(IF(AL114=1,D114*EXP(-(0.04*AN114+0.1*AO114)),IF(AL114=2,D114*EXP(-(0.04*($F$21+AN114)+0.1*(($F$16-$F$15)-$F$21+AO114))),D114*EXP(-(0.04*($F$21*2+AN114)+0.1*((($F$16-$F$15)-$F$21)*2-AO114))))),"-")</f>
        <v>-</v>
      </c>
      <c r="AS114" s="274">
        <f t="shared" si="24"/>
        <v>0</v>
      </c>
      <c r="AT114" s="274">
        <f t="shared" si="25"/>
        <v>0</v>
      </c>
      <c r="AU114" s="274">
        <f t="shared" si="26"/>
        <v>0</v>
      </c>
      <c r="AV114" s="275">
        <f>IF($B114&lt;$F$22,SUM($T$100:$T114),"")</f>
        <v>0</v>
      </c>
      <c r="AW114" s="275" t="str">
        <f t="shared" si="55"/>
        <v>-</v>
      </c>
      <c r="AX114" s="275" t="str">
        <f t="shared" si="56"/>
        <v/>
      </c>
      <c r="AY114"/>
      <c r="AZ114" s="275" t="str">
        <f ca="1">IF(ISNUMBER(OFFSET(AV114,-$F$21,0)),SUM(OFFSET($T$100,$F$21,0):$T114),"")</f>
        <v/>
      </c>
      <c r="BA114" s="275" t="str">
        <f t="shared" ca="1" si="27"/>
        <v/>
      </c>
      <c r="BB114" s="275" t="str">
        <f t="shared" ca="1" si="57"/>
        <v/>
      </c>
      <c r="BC114" s="190"/>
      <c r="BD114" s="275" t="str">
        <f ca="1">IFERROR(IF(OR(ISNUMBER(I),ISNUMBER($F$14)),IF(AND($B114&gt;=($F$16-$F$15),$B114&lt;$F$22+($F$16-$F$15)),SUM(OFFSET($T$100,($F$16-$F$15),0):$T114),""),""),"")</f>
        <v/>
      </c>
      <c r="BE114" s="275" t="str">
        <f t="shared" ca="1" si="58"/>
        <v/>
      </c>
      <c r="BF114" s="275" t="str">
        <f ca="1">IF(ISNUMBER(BD114),(BD114-BE114)/(3*86400*($B114-($F$16-$F$15)+1))*1000,"")</f>
        <v/>
      </c>
      <c r="BG114"/>
      <c r="BH114" s="190" t="str">
        <f ca="1">IF(ISNUMBER(OFFSET(BD114,-$F$21,0)),SUM(OFFSET($T$100,($F$16-$F$15+$F$21),0):$T114),"")</f>
        <v/>
      </c>
      <c r="BI114" s="190" t="str">
        <f t="shared" ca="1" si="28"/>
        <v/>
      </c>
      <c r="BJ114" s="190" t="str">
        <f t="shared" ca="1" si="60"/>
        <v/>
      </c>
      <c r="BK114" s="190"/>
      <c r="BL114" s="275" t="str">
        <f ca="1">IFERROR(IF(OR(ISNUMBER(I),ISNUMBER($F$14)),IF(AND($B114&gt;=($F$17-$F$15),$B114&lt;$F$22+($F$17-$F$15)),SUM(OFFSET($T$100,($F$17-$F$15),0):$T114),""),""),"")</f>
        <v/>
      </c>
      <c r="BM114" s="275" t="str">
        <f t="shared" ca="1" si="29"/>
        <v/>
      </c>
      <c r="BN114" s="275" t="str">
        <f t="shared" ca="1" si="61"/>
        <v/>
      </c>
      <c r="BO114"/>
      <c r="BP114" s="275" t="str">
        <f ca="1">IF(ISNUMBER(OFFSET(BL114,-$F$21,0)),SUM(OFFSET($T$100,($F$17-$F$15+$F$21),0):$T114),"")</f>
        <v/>
      </c>
      <c r="BQ114" s="275" t="str">
        <f t="shared" ca="1" si="62"/>
        <v/>
      </c>
      <c r="BR114" s="275" t="str">
        <f t="shared" ca="1" si="63"/>
        <v/>
      </c>
      <c r="BS114" s="190"/>
      <c r="BT114"/>
      <c r="BU114" s="276" t="str">
        <f t="shared" si="64"/>
        <v>end</v>
      </c>
      <c r="BV114" s="277">
        <v>14</v>
      </c>
      <c r="BW114" s="278" t="str">
        <f t="shared" si="69"/>
        <v/>
      </c>
      <c r="BX114" s="278" t="str">
        <f t="shared" si="68"/>
        <v/>
      </c>
      <c r="BY114" s="279" t="str">
        <f t="shared" si="65"/>
        <v/>
      </c>
      <c r="BZ114"/>
      <c r="CA114" s="284" t="str">
        <f t="shared" si="30"/>
        <v>-</v>
      </c>
      <c r="CB114" s="285" t="str">
        <f t="shared" si="31"/>
        <v>-</v>
      </c>
      <c r="CC114" s="285" t="str">
        <f t="shared" si="32"/>
        <v>14-15</v>
      </c>
      <c r="CD114" s="286" t="str">
        <f t="shared" si="33"/>
        <v/>
      </c>
      <c r="CE114" s="287" t="str">
        <f t="shared" si="34"/>
        <v>-</v>
      </c>
      <c r="CF114" s="285" t="str">
        <f t="shared" ca="1" si="35"/>
        <v>-</v>
      </c>
      <c r="CG114" s="285" t="str">
        <f t="shared" si="36"/>
        <v>14-15</v>
      </c>
      <c r="CH114" s="288" t="str">
        <f t="shared" ca="1" si="37"/>
        <v/>
      </c>
      <c r="CJ114" s="99"/>
      <c r="CK114" s="99"/>
      <c r="CL114" s="99"/>
      <c r="CM114" s="99"/>
      <c r="CN114" s="99"/>
      <c r="CO114" s="99"/>
    </row>
    <row r="115" spans="2:93" ht="13.5" customHeight="1" x14ac:dyDescent="0.2">
      <c r="B115" s="293">
        <v>15</v>
      </c>
      <c r="C115" s="237" t="str">
        <f t="shared" si="1"/>
        <v/>
      </c>
      <c r="D115" s="237" t="str">
        <f t="shared" si="66"/>
        <v>-</v>
      </c>
      <c r="E115" s="290" t="str">
        <f t="shared" si="38"/>
        <v/>
      </c>
      <c r="F115" s="264" t="str">
        <f t="shared" si="39"/>
        <v/>
      </c>
      <c r="G115" s="291" t="str">
        <f t="shared" si="40"/>
        <v/>
      </c>
      <c r="H115" s="240" t="str">
        <f t="shared" si="41"/>
        <v/>
      </c>
      <c r="I115" s="265" t="str">
        <f t="shared" si="2"/>
        <v/>
      </c>
      <c r="J115" s="265" t="str">
        <f t="shared" si="3"/>
        <v/>
      </c>
      <c r="K115" s="240" t="str">
        <f t="shared" si="4"/>
        <v/>
      </c>
      <c r="L115" s="265" t="str">
        <f t="shared" si="5"/>
        <v/>
      </c>
      <c r="M115" s="265" t="str">
        <f t="shared" si="6"/>
        <v/>
      </c>
      <c r="N115" s="240" t="str">
        <f t="shared" si="7"/>
        <v>-</v>
      </c>
      <c r="O115" s="265" t="str">
        <f t="shared" si="8"/>
        <v>-</v>
      </c>
      <c r="P115" s="265" t="str">
        <f t="shared" si="9"/>
        <v>-</v>
      </c>
      <c r="Q115" s="266" t="str">
        <f t="shared" si="10"/>
        <v>-</v>
      </c>
      <c r="R115" s="267" t="str">
        <f t="shared" si="11"/>
        <v>-</v>
      </c>
      <c r="S115" s="268" t="str">
        <f t="shared" si="12"/>
        <v>-</v>
      </c>
      <c r="T115" s="269" t="str">
        <f t="shared" si="13"/>
        <v/>
      </c>
      <c r="U115" s="221">
        <f t="shared" si="14"/>
        <v>15</v>
      </c>
      <c r="V115" s="220" t="str">
        <f t="shared" si="42"/>
        <v>-</v>
      </c>
      <c r="W115" s="221" t="str">
        <f t="shared" si="43"/>
        <v>-</v>
      </c>
      <c r="X115" s="221" t="str">
        <f t="shared" si="15"/>
        <v>-</v>
      </c>
      <c r="Y115" s="221" t="str">
        <f t="shared" si="16"/>
        <v>-</v>
      </c>
      <c r="Z115" s="270">
        <f t="shared" si="44"/>
        <v>0.1</v>
      </c>
      <c r="AA115" s="292" t="str">
        <f>IFERROR(IF(V114=1,AA100*EXP(-(LN(2)/$D$65+0.04)*X114)*EXP(-(LN(2)/$D$65+0.1)*Y114),IF(V114=2,AA100*EXP(-(LN(2)/$D$65+0.04)*(VLOOKUP(($F$16-$F$15)-1,U99:Y114,4,FALSE)))*EXP(-(LN(2)/$D$65+0.1)*(VLOOKUP(($F$16-$F$15)-1,U99:Y114,5,FALSE)))*EXP(-(LN(2)/$D$65+0.04)*X114)*EXP(-(LN(2)/$D$65+0.1)*Y114),AA100*EXP(-(LN(2)/$D$65+0.04)*(VLOOKUP(($F$16-$F$15)-1,U99:Y114,4,FALSE)))*EXP(-(LN(2)/$D$65+0.1)*(VLOOKUP(($F$16-$F$15)-1,U99:Y114,5,FALSE)))*EXP(-(LN(2)/$D$65+0.04)*(VLOOKUP(($F$16-$F$15)*2-1,U99:Y114,4,FALSE)))*EXP(-(LN(2)/$D$65+0.1)*(VLOOKUP(($F$16-$F$15)*2-1,U99:Y114,5,FALSE)))*EXP(-(LN(2)/$D$65+0.04)*X114)*EXP(-(LN(2)/$D$65+0.1)*Y114))),"-")</f>
        <v>-</v>
      </c>
      <c r="AB115" s="271" t="str">
        <f>IFERROR(IF(V115=1,AB$100*EXP(-(LN(2)/$D$65+0.04)*X115)*EXP(-(LN(2)/$D$65+0.1)*Y115),IF(V115=2,AB$100*EXP(-(LN(2)/$D$65+0.04)*(VLOOKUP(($F$16-$F$15)-1,U$100:Y115,4,FALSE)))*EXP(-(LN(2)/$D$65+0.1)*(VLOOKUP(($F$16-$F$15)-1,U$100:Y115,5,FALSE)))*EXP(-(LN(2)/$D$65+0.04)*X115)*EXP(-(LN(2)/$D$65+0.1)*Y115),IF(V115=3,AB$100*EXP(-(LN(2)/$D$65+0.04)*(VLOOKUP(($F$16-$F$15)-1,U$100:Y115,4,FALSE)))*EXP(-(LN(2)/$D$65+0.1)*(VLOOKUP(($F$16-$F$15)-1,U$100:Y115,5,FALSE)))*EXP(-(LN(2)/$D$65+0.04)*(VLOOKUP(($F$16-$F$15)*2-1,U$100:Y115,4,FALSE)))*EXP(-(LN(2)/$D$65+0.1)*(VLOOKUP(($F$16-$F$15)*2-1,U$100:Y115,5,FALSE)))*EXP(-(LN(2)/$D$65+0.04)*X115)*EXP(-(LN(2)/$D$65+0.1)*Y115),"-"))),"-")</f>
        <v>-</v>
      </c>
      <c r="AC115" s="224">
        <f t="shared" si="45"/>
        <v>15</v>
      </c>
      <c r="AD115" s="223" t="str">
        <f t="shared" si="18"/>
        <v>-</v>
      </c>
      <c r="AE115" s="224" t="str">
        <f t="shared" si="46"/>
        <v>-</v>
      </c>
      <c r="AF115" s="224" t="str">
        <f t="shared" si="19"/>
        <v>-</v>
      </c>
      <c r="AG115" s="224" t="str">
        <f t="shared" si="20"/>
        <v>-</v>
      </c>
      <c r="AH115" s="272">
        <f t="shared" si="47"/>
        <v>0.1</v>
      </c>
      <c r="AI115" s="292" t="str">
        <f>IFERROR(IF(AD114=1,AI100*EXP(-(LN(2)/$D$65+0.04)*AF114)*EXP(-(LN(2)/$D$65+0.1)*AG114),IF(AD114=2,AI100*EXP(-(LN(2)/$D$65+0.04)*(VLOOKUP(($F$16-$F$15)-1,AC99:AG114,4,FALSE)))*EXP(-(LN(2)/$D$65+0.1)*(VLOOKUP(($F$16-$F$15)-1,AC99:AG114,5,FALSE)))*EXP(-(LN(2)/$D$65+0.04)*AF114)*EXP(-(LN(2)/$D$65+0.1)*AG114),AI100*EXP(-(LN(2)/$D$65+0.04)*(VLOOKUP(($F$16-$F$15)-1,AC99:AG114,4,FALSE)))*EXP(-(LN(2)/$D$65+0.1)*(VLOOKUP(($F$16-$F$15)-1,AC99:AG114,5,FALSE)))*EXP(-(LN(2)/$D$65+0.04)*(VLOOKUP(($F$16-$F$15)*2-1,AC99:AG114,4,FALSE)))*EXP(-(LN(2)/$D$65+0.1)*(VLOOKUP(($F$16-$F$15)*2-1,AC99:AG114,5,FALSE)))*EXP(-(LN(2)/$D$65+0.04)*AF114)*EXP(-(LN(2)/$D$65+0.1)*AG114))),"-")</f>
        <v>-</v>
      </c>
      <c r="AJ115" s="271" t="str">
        <f>IFERROR(IF(AD115=1,AJ$100*EXP(-(LN(2)/$D$65+0.04)*AF115)*EXP(-(LN(2)/$D$65+0.1)*AG115),IF(AD115=2,AJ$100*EXP(-(LN(2)/$D$65+0.04)*(VLOOKUP(($F$16-$F$15)-1,AC$100:AG115,4,FALSE)))*EXP(-(LN(2)/$D$65+0.1)*(VLOOKUP(($F$16-$F$15)-1,AC$100:AG115,5,FALSE)))*EXP(-(LN(2)/$D$65+0.04)*AF115)*EXP(-(LN(2)/$D$65+0.1)*AG115),IF(AD115=3,AJ$100*EXP(-(LN(2)/$D$65+0.04)*(VLOOKUP(($F$16-$F$15)-1,AC$100:AG115,4,FALSE)))*EXP(-(LN(2)/$D$65+0.1)*(VLOOKUP(($F$16-$F$15)-1,AC$100:AG115,5,FALSE)))*EXP(-(LN(2)/$D$65+0.04)*(VLOOKUP(($F$16-$F$15)*2-1,AC$100:AG115,4,FALSE)))*EXP(-(LN(2)/$D$65+0.1)*(VLOOKUP(($F$16-$F$15)*2-1,AC$100:AG115,5,FALSE)))*EXP(-(LN(2)/$D$65+0.04)*AF115)*EXP(-(LN(2)/$D$65+0.1)*AG115),"-"))),"-")</f>
        <v>-</v>
      </c>
      <c r="AK115" s="227">
        <f t="shared" si="49"/>
        <v>15</v>
      </c>
      <c r="AL115" s="226" t="str">
        <f t="shared" si="22"/>
        <v>-</v>
      </c>
      <c r="AM115" s="227" t="str">
        <f t="shared" si="50"/>
        <v>-</v>
      </c>
      <c r="AN115" s="227" t="str">
        <f t="shared" si="51"/>
        <v>-</v>
      </c>
      <c r="AO115" s="227" t="str">
        <f t="shared" si="23"/>
        <v>-</v>
      </c>
      <c r="AP115" s="273">
        <f t="shared" si="52"/>
        <v>0.1</v>
      </c>
      <c r="AQ115" s="292" t="str">
        <f>IFERROR(IF(AL114=1,AQ100*EXP(-(LN(2)/$D$65+0.04)*AN114)*EXP(-(LN(2)/$D$65+0.1)*AO114),IF(AL114=2,AQ100*EXP(-(LN(2)/$D$65+0.04)*(VLOOKUP(($F$16-$F$15)-1,AK99:AO114,4,FALSE)))*EXP(-(LN(2)/$D$65+0.1)*(VLOOKUP(($F$16-$F$15)-1,AK99:AO114,5,FALSE)))*EXP(-(LN(2)/$D$65+0.04)*AN114)*EXP(-(LN(2)/$D$65+0.1)*AO114),AQ100*EXP(-(LN(2)/$D$65+0.04)*(VLOOKUP(($F$16-$F$15)-1,AK99:AO114,4,FALSE)))*EXP(-(LN(2)/$D$65+0.1)*(VLOOKUP(($F$16-$F$15)-1,AK99:AO114,5,FALSE)))*EXP(-(LN(2)/$D$65+0.04)*(VLOOKUP(($F$16-$F$15)*2-1,AK99:AO114,4,FALSE)))*EXP(-(LN(2)/$D$65+0.1)*(VLOOKUP(($F$16-$F$15)*2-1,AK99:AO114,5,FALSE)))*EXP(-(LN(2)/$D$65+0.04)*AN114)*EXP(-(LN(2)/$D$65+0.1)*AO114))),"-")</f>
        <v>-</v>
      </c>
      <c r="AR115" s="271" t="str">
        <f>IFERROR(IF(AL115=1,AR$100*EXP(-(LN(2)/$D$65+0.04)*AN115)*EXP(-(LN(2)/$D$65+0.1)*AO115),IF(AL115=2,AR$100*EXP(-(LN(2)/$D$65+0.04)*(VLOOKUP(($F$16-$F$15)-1,AK$100:AO115,4,FALSE)))*EXP(-(LN(2)/$D$65+0.1)*(VLOOKUP(($F$16-$F$15)-1,AK$100:AO115,5,FALSE)))*EXP(-(LN(2)/$D$65+0.04)*AN115)*EXP(-(LN(2)/$D$65+0.1)*AO115),IF(AL115=3,AR$100*EXP(-(LN(2)/$D$65+0.04)*(VLOOKUP(($F$16-$F$15)-1,AK$100:AO115,4,FALSE)))*EXP(-(LN(2)/$D$65+0.1)*(VLOOKUP(($F$16-$F$15)-1,AK$100:AO115,5,FALSE)))*EXP(-(LN(2)/$D$65+0.04)*(VLOOKUP(($F$16-$F$15)*2-1,AK$100:AO115,4,FALSE)))*EXP(-(LN(2)/$D$65+0.1)*(VLOOKUP(($F$16-$F$15)*2-1,AK$100:AO115,5,FALSE)))*EXP(-(LN(2)/$D$65+0.04)*AN115)*EXP(-(LN(2)/$D$65+0.1)*AO115),"-"))),"-")</f>
        <v>-</v>
      </c>
      <c r="AS115" s="294">
        <f t="shared" si="24"/>
        <v>0</v>
      </c>
      <c r="AT115" s="294">
        <f t="shared" si="25"/>
        <v>0</v>
      </c>
      <c r="AU115" s="294">
        <f t="shared" si="26"/>
        <v>0</v>
      </c>
      <c r="AV115" s="275">
        <f>IF($B115&lt;$F$22,SUM($T$100:$T115),"")</f>
        <v>0</v>
      </c>
      <c r="AW115" s="275" t="str">
        <f t="shared" si="55"/>
        <v>-</v>
      </c>
      <c r="AX115" s="275" t="str">
        <f t="shared" si="56"/>
        <v/>
      </c>
      <c r="AY115"/>
      <c r="AZ115" s="275" t="str">
        <f ca="1">IF(ISNUMBER(OFFSET(AV115,-$F$21,0)),SUM(OFFSET($T$100,$F$21,0):$T115),"")</f>
        <v/>
      </c>
      <c r="BA115" s="275" t="str">
        <f t="shared" ca="1" si="27"/>
        <v/>
      </c>
      <c r="BB115" s="275" t="str">
        <f t="shared" ca="1" si="57"/>
        <v/>
      </c>
      <c r="BC115" s="190"/>
      <c r="BD115" s="275" t="str">
        <f ca="1">IFERROR(IF(OR(ISNUMBER(I),ISNUMBER($F$14)),IF(AND($B115&gt;=($F$16-$F$15),$B115&lt;$F$22+($F$16-$F$15)),SUM(OFFSET($T$100,($F$16-$F$15),0):$T115),""),""),"")</f>
        <v/>
      </c>
      <c r="BE115" s="275" t="str">
        <f t="shared" ca="1" si="58"/>
        <v/>
      </c>
      <c r="BF115" s="275" t="str">
        <f t="shared" ca="1" si="59"/>
        <v/>
      </c>
      <c r="BG115"/>
      <c r="BH115" s="190" t="str">
        <f ca="1">IF(ISNUMBER(OFFSET(BD115,-$F$21,0)),SUM(OFFSET($T$100,($F$16-$F$15+$F$21),0):$T115),"")</f>
        <v/>
      </c>
      <c r="BI115" s="190" t="str">
        <f t="shared" ca="1" si="28"/>
        <v/>
      </c>
      <c r="BJ115" s="190" t="str">
        <f t="shared" ca="1" si="60"/>
        <v/>
      </c>
      <c r="BK115" s="190"/>
      <c r="BL115" s="275" t="str">
        <f ca="1">IFERROR(IF(OR(ISNUMBER(I),ISNUMBER($F$14)),IF(AND($B115&gt;=($F$17-$F$15),$B115&lt;$F$22+($F$17-$F$15)),SUM(OFFSET($T$100,($F$17-$F$15),0):$T115),""),""),"")</f>
        <v/>
      </c>
      <c r="BM115" s="275" t="str">
        <f t="shared" ca="1" si="29"/>
        <v/>
      </c>
      <c r="BN115" s="275" t="str">
        <f t="shared" ca="1" si="61"/>
        <v/>
      </c>
      <c r="BO115"/>
      <c r="BP115" s="275" t="str">
        <f ca="1">IF(ISNUMBER(OFFSET(BL115,-$F$21,0)),SUM(OFFSET($T$100,($F$17-$F$15+$F$21),0):$T115),"")</f>
        <v/>
      </c>
      <c r="BQ115" s="275" t="str">
        <f t="shared" ca="1" si="62"/>
        <v/>
      </c>
      <c r="BR115" s="275" t="str">
        <f t="shared" ca="1" si="63"/>
        <v/>
      </c>
      <c r="BS115" s="190"/>
      <c r="BT115"/>
      <c r="BU115" s="276" t="str">
        <f t="shared" si="64"/>
        <v>end</v>
      </c>
      <c r="BV115" s="277">
        <v>15</v>
      </c>
      <c r="BW115" s="278" t="str">
        <f>IF(AND(BU115="end",BU114="end"), "", IF(BU115&lt;&gt;"",MIN(BU114:BU115),""))</f>
        <v/>
      </c>
      <c r="BX115" s="278" t="str">
        <f>IF(AND(BU115="end",BU114="end"), "", IF(BU115&lt;&gt;"",MAX(BU114:BU115),""))</f>
        <v/>
      </c>
      <c r="BY115" s="279" t="str">
        <f t="shared" si="65"/>
        <v/>
      </c>
      <c r="BZ115"/>
      <c r="CA115" s="258" t="str">
        <f t="shared" si="30"/>
        <v>-</v>
      </c>
      <c r="CB115" s="33" t="str">
        <f t="shared" si="31"/>
        <v>-</v>
      </c>
      <c r="CC115" s="33" t="str">
        <f t="shared" si="32"/>
        <v>15-16</v>
      </c>
      <c r="CD115" s="261" t="str">
        <f t="shared" si="33"/>
        <v/>
      </c>
      <c r="CE115" s="258" t="str">
        <f t="shared" si="34"/>
        <v>-</v>
      </c>
      <c r="CF115" s="33" t="str">
        <f t="shared" ca="1" si="35"/>
        <v>-</v>
      </c>
      <c r="CG115" s="33" t="str">
        <f t="shared" si="36"/>
        <v>15-16</v>
      </c>
      <c r="CH115" s="261" t="str">
        <f t="shared" ca="1" si="37"/>
        <v/>
      </c>
      <c r="CI115" s="202"/>
      <c r="CJ115" s="99"/>
      <c r="CK115" s="99"/>
      <c r="CL115" s="99"/>
      <c r="CM115" s="99"/>
      <c r="CN115" s="99"/>
      <c r="CO115" s="99"/>
    </row>
    <row r="116" spans="2:93" ht="13.5" customHeight="1" x14ac:dyDescent="0.2">
      <c r="B116" s="262">
        <v>16</v>
      </c>
      <c r="C116" s="237" t="str">
        <f t="shared" si="1"/>
        <v/>
      </c>
      <c r="D116" s="237" t="str">
        <f t="shared" si="66"/>
        <v>-</v>
      </c>
      <c r="E116" s="290" t="str">
        <f t="shared" si="38"/>
        <v/>
      </c>
      <c r="F116" s="264" t="str">
        <f t="shared" si="39"/>
        <v/>
      </c>
      <c r="G116" s="291" t="str">
        <f t="shared" si="40"/>
        <v/>
      </c>
      <c r="H116" s="240" t="str">
        <f t="shared" si="41"/>
        <v/>
      </c>
      <c r="I116" s="265" t="str">
        <f t="shared" si="2"/>
        <v/>
      </c>
      <c r="J116" s="265" t="str">
        <f t="shared" si="3"/>
        <v/>
      </c>
      <c r="K116" s="240" t="str">
        <f t="shared" si="4"/>
        <v/>
      </c>
      <c r="L116" s="265" t="str">
        <f t="shared" si="5"/>
        <v/>
      </c>
      <c r="M116" s="265" t="str">
        <f t="shared" si="6"/>
        <v/>
      </c>
      <c r="N116" s="240" t="str">
        <f t="shared" si="7"/>
        <v>-</v>
      </c>
      <c r="O116" s="265" t="str">
        <f t="shared" si="8"/>
        <v>-</v>
      </c>
      <c r="P116" s="265" t="str">
        <f t="shared" si="9"/>
        <v>-</v>
      </c>
      <c r="Q116" s="266" t="str">
        <f t="shared" si="10"/>
        <v>-</v>
      </c>
      <c r="R116" s="267" t="str">
        <f t="shared" si="11"/>
        <v>-</v>
      </c>
      <c r="S116" s="268" t="str">
        <f t="shared" si="12"/>
        <v>-</v>
      </c>
      <c r="T116" s="269" t="str">
        <f t="shared" si="13"/>
        <v/>
      </c>
      <c r="U116" s="221">
        <f t="shared" si="14"/>
        <v>16</v>
      </c>
      <c r="V116" s="220" t="str">
        <f t="shared" si="42"/>
        <v>-</v>
      </c>
      <c r="W116" s="221" t="str">
        <f t="shared" si="43"/>
        <v>-</v>
      </c>
      <c r="X116" s="221" t="str">
        <f t="shared" si="15"/>
        <v>-</v>
      </c>
      <c r="Y116" s="221" t="str">
        <f t="shared" si="16"/>
        <v>-</v>
      </c>
      <c r="Z116" s="270">
        <f t="shared" si="44"/>
        <v>0.1</v>
      </c>
      <c r="AA116" s="271" t="str">
        <f>IFERROR(IF(V115=1,AA$100*EXP(-(LN(2)/$D$65+0.04)*X115)*EXP(-(LN(2)/$D$65+0.1)*Y115),IF(V115=2,AA$100*EXP(-(LN(2)/$D$65+0.04)*(VLOOKUP(($F$16-$F$15)-1,U$99:Y115,4,FALSE)))*EXP(-(LN(2)/$D$65+0.1)*(VLOOKUP(($F$16-$F$15)-1,U$99:Y115,5,FALSE)))*EXP(-(LN(2)/$D$65+0.04)*X115)*EXP(-(LN(2)/$D$65+0.1)*Y115),IF(V115=3,AA$100*EXP(-(LN(2)/$D$65+0.04)*(VLOOKUP(($F$16-$F$15)-1,U$99:Y115,4,FALSE)))*EXP(-(LN(2)/$D$65+0.1)*(VLOOKUP(($F$16-$F$15)-1,U$99:Y115,5,FALSE)))*EXP(-(LN(2)/$D$65+0.04)*(VLOOKUP(($F$16-$F$15)*2-1,U$99:Y115,4,FALSE)))*EXP(-(LN(2)/$D$65+0.1)*(VLOOKUP(($F$16-$F$15)*2-1,U$99:Y115,5,FALSE)))*EXP(-(LN(2)/$D$65+0.04)*X115)*EXP(-(LN(2)/$D$65+0.1)*Y115),"-"))),"-")</f>
        <v>-</v>
      </c>
      <c r="AB116" s="271" t="str">
        <f>IFERROR(IF(V116=1,AB$100*EXP(-(LN(2)/$D$65+0.04)*X116)*EXP(-(LN(2)/$D$65+0.1)*Y116),IF(V116=2,AB$100*EXP(-(LN(2)/$D$65+0.04)*(VLOOKUP(($F$16-$F$15)-1,U$100:Y116,4,FALSE)))*EXP(-(LN(2)/$D$65+0.1)*(VLOOKUP(($F$16-$F$15)-1,U$100:Y116,5,FALSE)))*EXP(-(LN(2)/$D$65+0.04)*X116)*EXP(-(LN(2)/$D$65+0.1)*Y116),IF(V116=3,AB$100*EXP(-(LN(2)/$D$65+0.04)*(VLOOKUP(($F$16-$F$15)-1,U$100:Y116,4,FALSE)))*EXP(-(LN(2)/$D$65+0.1)*(VLOOKUP(($F$16-$F$15)-1,U$100:Y116,5,FALSE)))*EXP(-(LN(2)/$D$65+0.04)*(VLOOKUP(($F$16-$F$15)*2-1,U$100:Y116,4,FALSE)))*EXP(-(LN(2)/$D$65+0.1)*(VLOOKUP(($F$16-$F$15)*2-1,U$100:Y116,5,FALSE)))*EXP(-(LN(2)/$D$65+0.04)*X116)*EXP(-(LN(2)/$D$65+0.1)*Y116),"-"))),"-")</f>
        <v>-</v>
      </c>
      <c r="AC116" s="224">
        <f t="shared" si="45"/>
        <v>16</v>
      </c>
      <c r="AD116" s="223" t="str">
        <f t="shared" si="18"/>
        <v>-</v>
      </c>
      <c r="AE116" s="224" t="str">
        <f t="shared" si="46"/>
        <v>-</v>
      </c>
      <c r="AF116" s="224" t="str">
        <f t="shared" si="19"/>
        <v>-</v>
      </c>
      <c r="AG116" s="224" t="str">
        <f t="shared" si="20"/>
        <v>-</v>
      </c>
      <c r="AH116" s="272">
        <f t="shared" si="47"/>
        <v>0.1</v>
      </c>
      <c r="AI116" s="271" t="str">
        <f>IFERROR(IF(AD115=1,AI$100*EXP(-(LN(2)/$D$65+0.04)*AF115)*EXP(-(LN(2)/$D$65+0.1)*AG115),IF(AD115=2,AI$100*EXP(-(LN(2)/$D$65+0.04)*(VLOOKUP(($F$16-$F$15)-1,AC$99:AG115,4,FALSE)))*EXP(-(LN(2)/$D$65+0.1)*(VLOOKUP(($F$16-$F$15)-1,AC$99:AG115,5,FALSE)))*EXP(-(LN(2)/$D$65+0.04)*AF115)*EXP(-(LN(2)/$D$65+0.1)*AG115),IF(AD115=3,AI$100*EXP(-(LN(2)/$D$65+0.04)*(VLOOKUP(($F$16-$F$15)-1,AC$99:AG115,4,FALSE)))*EXP(-(LN(2)/$D$65+0.1)*(VLOOKUP(($F$16-$F$15)-1,AC$99:AG115,5,FALSE)))*EXP(-(LN(2)/$D$65+0.04)*(VLOOKUP(($F$16-$F$15)*2-1,AC$99:AG115,4,FALSE)))*EXP(-(LN(2)/$D$65+0.1)*(VLOOKUP(($F$16-$F$15)*2-1,AC$99:AG115,5,FALSE)))*EXP(-(LN(2)/$D$65+0.04)*AF115)*EXP(-(LN(2)/$D$65+0.1)*AG115),"-"))),"-")</f>
        <v>-</v>
      </c>
      <c r="AJ116" s="271" t="str">
        <f>IFERROR(IF(AD116=1,AJ$100*EXP(-(LN(2)/$D$65+0.04)*AF116)*EXP(-(LN(2)/$D$65+0.1)*AG116),IF(AD116=2,AJ$100*EXP(-(LN(2)/$D$65+0.04)*(VLOOKUP(($F$16-$F$15)-1,AC$100:AG116,4,FALSE)))*EXP(-(LN(2)/$D$65+0.1)*(VLOOKUP(($F$16-$F$15)-1,AC$100:AG116,5,FALSE)))*EXP(-(LN(2)/$D$65+0.04)*AF116)*EXP(-(LN(2)/$D$65+0.1)*AG116),IF(AD116=3,AJ$100*EXP(-(LN(2)/$D$65+0.04)*(VLOOKUP(($F$16-$F$15)-1,AC$100:AG116,4,FALSE)))*EXP(-(LN(2)/$D$65+0.1)*(VLOOKUP(($F$16-$F$15)-1,AC$100:AG116,5,FALSE)))*EXP(-(LN(2)/$D$65+0.04)*(VLOOKUP(($F$16-$F$15)*2-1,AC$100:AG116,4,FALSE)))*EXP(-(LN(2)/$D$65+0.1)*(VLOOKUP(($F$16-$F$15)*2-1,AC$100:AG116,5,FALSE)))*EXP(-(LN(2)/$D$65+0.04)*AF116)*EXP(-(LN(2)/$D$65+0.1)*AG116),"-"))),"-")</f>
        <v>-</v>
      </c>
      <c r="AK116" s="227">
        <f t="shared" si="49"/>
        <v>16</v>
      </c>
      <c r="AL116" s="226" t="str">
        <f t="shared" si="22"/>
        <v>-</v>
      </c>
      <c r="AM116" s="227" t="str">
        <f t="shared" si="50"/>
        <v>-</v>
      </c>
      <c r="AN116" s="227" t="str">
        <f t="shared" si="51"/>
        <v>-</v>
      </c>
      <c r="AO116" s="227" t="str">
        <f t="shared" si="23"/>
        <v>-</v>
      </c>
      <c r="AP116" s="273">
        <f t="shared" si="52"/>
        <v>0.1</v>
      </c>
      <c r="AQ116" s="271" t="str">
        <f>IFERROR(IF(AL115=1,AQ$100*EXP(-(LN(2)/$D$65+0.04)*AN115)*EXP(-(LN(2)/$D$65+0.1)*AO115),IF(AL115=2,AQ$100*EXP(-(LN(2)/$D$65+0.04)*(VLOOKUP(($F$16-$F$15)-1,AK$99:AO115,4,FALSE)))*EXP(-(LN(2)/$D$65+0.1)*(VLOOKUP(($F$16-$F$15)-1,AK$99:AO115,5,FALSE)))*EXP(-(LN(2)/$D$65+0.04)*AN115)*EXP(-(LN(2)/$D$65+0.1)*AO115),IF(AL115=3,AQ$100*EXP(-(LN(2)/$D$65+0.04)*(VLOOKUP(($F$16-$F$15)-1,AK$99:AO115,4,FALSE)))*EXP(-(LN(2)/$D$65+0.1)*(VLOOKUP(($F$16-$F$15)-1,AK$99:AO115,5,FALSE)))*EXP(-(LN(2)/$D$65+0.04)*(VLOOKUP(($F$16-$F$15)*2-1,AK$99:AO115,4,FALSE)))*EXP(-(LN(2)/$D$65+0.1)*(VLOOKUP(($F$16-$F$15)*2-1,AK$99:AO115,5,FALSE)))*EXP(-(LN(2)/$D$65+0.04)*AN115)*EXP(-(LN(2)/$D$65+0.1)*AO115),"-"))),"-")</f>
        <v>-</v>
      </c>
      <c r="AR116" s="271" t="str">
        <f>IFERROR(IF(AL116=1,AR$100*EXP(-(LN(2)/$D$65+0.04)*AN116)*EXP(-(LN(2)/$D$65+0.1)*AO116),IF(AL116=2,AR$100*EXP(-(LN(2)/$D$65+0.04)*(VLOOKUP(($F$16-$F$15)-1,AK$100:AO116,4,FALSE)))*EXP(-(LN(2)/$D$65+0.1)*(VLOOKUP(($F$16-$F$15)-1,AK$100:AO116,5,FALSE)))*EXP(-(LN(2)/$D$65+0.04)*AN116)*EXP(-(LN(2)/$D$65+0.1)*AO116),IF(AL116=3,AR$100*EXP(-(LN(2)/$D$65+0.04)*(VLOOKUP(($F$16-$F$15)-1,AK$100:AO116,4,FALSE)))*EXP(-(LN(2)/$D$65+0.1)*(VLOOKUP(($F$16-$F$15)-1,AK$100:AO116,5,FALSE)))*EXP(-(LN(2)/$D$65+0.04)*(VLOOKUP(($F$16-$F$15)*2-1,AK$100:AO116,4,FALSE)))*EXP(-(LN(2)/$D$65+0.1)*(VLOOKUP(($F$16-$F$15)*2-1,AK$100:AO116,5,FALSE)))*EXP(-(LN(2)/$D$65+0.04)*AN116)*EXP(-(LN(2)/$D$65+0.1)*AO116),"-"))),"-")</f>
        <v>-</v>
      </c>
      <c r="AS116" s="274">
        <f t="shared" si="24"/>
        <v>0</v>
      </c>
      <c r="AT116" s="274">
        <f t="shared" si="25"/>
        <v>0</v>
      </c>
      <c r="AU116" s="274">
        <f t="shared" si="26"/>
        <v>0</v>
      </c>
      <c r="AV116" s="275">
        <f>IF($B116&lt;$F$22,SUM($T$100:$T116),"")</f>
        <v>0</v>
      </c>
      <c r="AW116" s="275" t="str">
        <f t="shared" si="55"/>
        <v>-</v>
      </c>
      <c r="AX116" s="275" t="str">
        <f t="shared" si="56"/>
        <v/>
      </c>
      <c r="AY116"/>
      <c r="AZ116" s="275" t="str">
        <f ca="1">IF(ISNUMBER(OFFSET(AV116,-$F$21,0)),SUM(OFFSET($T$100,$F$21,0):$T116),"")</f>
        <v/>
      </c>
      <c r="BA116" s="275" t="str">
        <f t="shared" ca="1" si="27"/>
        <v/>
      </c>
      <c r="BB116" s="275" t="str">
        <f t="shared" ca="1" si="57"/>
        <v/>
      </c>
      <c r="BC116" s="190"/>
      <c r="BD116" s="275" t="str">
        <f ca="1">IFERROR(IF(OR(ISNUMBER(I),ISNUMBER($F$14)),IF(AND($B116&gt;=($F$16-$F$15),$B116&lt;$F$22+($F$16-$F$15)),SUM(OFFSET($T$100,($F$16-$F$15),0):$T116),""),""),"")</f>
        <v/>
      </c>
      <c r="BE116" s="275" t="str">
        <f t="shared" ca="1" si="58"/>
        <v/>
      </c>
      <c r="BF116" s="275" t="str">
        <f t="shared" ca="1" si="59"/>
        <v/>
      </c>
      <c r="BG116"/>
      <c r="BH116" s="190" t="str">
        <f ca="1">IF(ISNUMBER(OFFSET(BD116,-$F$21,0)),SUM(OFFSET($T$100,($F$16-$F$15+$F$21),0):$T116),"")</f>
        <v/>
      </c>
      <c r="BI116" s="190" t="str">
        <f t="shared" ca="1" si="28"/>
        <v/>
      </c>
      <c r="BJ116" s="190" t="str">
        <f t="shared" ca="1" si="60"/>
        <v/>
      </c>
      <c r="BK116" s="190"/>
      <c r="BL116" s="275" t="str">
        <f ca="1">IFERROR(IF(OR(ISNUMBER(I),ISNUMBER($F$14)),IF(AND($B116&gt;=($F$17-$F$15),$B116&lt;$F$22+($F$17-$F$15)),SUM(OFFSET($T$100,($F$17-$F$15),0):$T116),""),""),"")</f>
        <v/>
      </c>
      <c r="BM116" s="275" t="str">
        <f t="shared" ca="1" si="29"/>
        <v/>
      </c>
      <c r="BN116" s="275" t="str">
        <f t="shared" ca="1" si="61"/>
        <v/>
      </c>
      <c r="BO116"/>
      <c r="BP116" s="275" t="str">
        <f ca="1">IF(ISNUMBER(OFFSET(BL116,-$F$21,0)),SUM(OFFSET($T$100,($F$17-$F$15+$F$21),0):$T116),"")</f>
        <v/>
      </c>
      <c r="BQ116" s="275" t="str">
        <f t="shared" ca="1" si="62"/>
        <v/>
      </c>
      <c r="BR116" s="275" t="str">
        <f t="shared" ca="1" si="63"/>
        <v/>
      </c>
      <c r="BS116" s="190"/>
      <c r="BT116"/>
      <c r="BU116" s="276" t="str">
        <f t="shared" si="64"/>
        <v>end</v>
      </c>
      <c r="BV116" s="277">
        <v>16</v>
      </c>
      <c r="BW116" s="278" t="str">
        <f t="shared" si="69"/>
        <v/>
      </c>
      <c r="BX116" s="278" t="str">
        <f t="shared" si="68"/>
        <v/>
      </c>
      <c r="BY116" s="279" t="str">
        <f t="shared" si="65"/>
        <v/>
      </c>
      <c r="BZ116"/>
      <c r="CA116" s="280" t="str">
        <f t="shared" si="30"/>
        <v>-</v>
      </c>
      <c r="CB116" s="71" t="str">
        <f t="shared" si="31"/>
        <v>-</v>
      </c>
      <c r="CC116" s="33" t="str">
        <f t="shared" si="32"/>
        <v>16-17</v>
      </c>
      <c r="CD116" s="261" t="str">
        <f t="shared" si="33"/>
        <v/>
      </c>
      <c r="CE116" s="280" t="str">
        <f t="shared" si="34"/>
        <v>-</v>
      </c>
      <c r="CF116" s="71" t="str">
        <f t="shared" ca="1" si="35"/>
        <v>-</v>
      </c>
      <c r="CG116" s="33" t="str">
        <f t="shared" si="36"/>
        <v>16-17</v>
      </c>
      <c r="CH116" s="261" t="str">
        <f t="shared" ca="1" si="37"/>
        <v/>
      </c>
      <c r="CI116" s="202"/>
      <c r="CJ116" s="99"/>
      <c r="CK116" s="99"/>
      <c r="CL116" s="99"/>
      <c r="CM116" s="99"/>
      <c r="CN116" s="99"/>
      <c r="CO116" s="99"/>
    </row>
    <row r="117" spans="2:93" ht="13.5" customHeight="1" x14ac:dyDescent="0.2">
      <c r="B117" s="262">
        <v>17</v>
      </c>
      <c r="C117" s="237" t="str">
        <f t="shared" si="1"/>
        <v/>
      </c>
      <c r="D117" s="237" t="str">
        <f t="shared" si="66"/>
        <v>-</v>
      </c>
      <c r="E117" s="290" t="str">
        <f t="shared" si="38"/>
        <v/>
      </c>
      <c r="F117" s="264" t="str">
        <f t="shared" si="39"/>
        <v/>
      </c>
      <c r="G117" s="291" t="str">
        <f t="shared" si="40"/>
        <v/>
      </c>
      <c r="H117" s="240" t="str">
        <f t="shared" si="41"/>
        <v/>
      </c>
      <c r="I117" s="265" t="str">
        <f t="shared" si="2"/>
        <v/>
      </c>
      <c r="J117" s="265" t="str">
        <f t="shared" si="3"/>
        <v/>
      </c>
      <c r="K117" s="240" t="str">
        <f t="shared" si="4"/>
        <v/>
      </c>
      <c r="L117" s="265" t="str">
        <f t="shared" si="5"/>
        <v/>
      </c>
      <c r="M117" s="265" t="str">
        <f t="shared" si="6"/>
        <v/>
      </c>
      <c r="N117" s="240" t="str">
        <f t="shared" si="7"/>
        <v>-</v>
      </c>
      <c r="O117" s="265" t="str">
        <f t="shared" si="8"/>
        <v>-</v>
      </c>
      <c r="P117" s="265" t="str">
        <f t="shared" si="9"/>
        <v>-</v>
      </c>
      <c r="Q117" s="266" t="str">
        <f t="shared" si="10"/>
        <v>-</v>
      </c>
      <c r="R117" s="267" t="str">
        <f t="shared" si="11"/>
        <v>-</v>
      </c>
      <c r="S117" s="268" t="str">
        <f t="shared" si="12"/>
        <v>-</v>
      </c>
      <c r="T117" s="269" t="str">
        <f t="shared" si="13"/>
        <v/>
      </c>
      <c r="U117" s="221">
        <f t="shared" si="14"/>
        <v>17</v>
      </c>
      <c r="V117" s="220" t="str">
        <f t="shared" si="42"/>
        <v>-</v>
      </c>
      <c r="W117" s="221" t="str">
        <f t="shared" si="43"/>
        <v>-</v>
      </c>
      <c r="X117" s="221" t="str">
        <f t="shared" si="15"/>
        <v>-</v>
      </c>
      <c r="Y117" s="221" t="str">
        <f t="shared" si="16"/>
        <v>-</v>
      </c>
      <c r="Z117" s="270">
        <f t="shared" si="44"/>
        <v>0.1</v>
      </c>
      <c r="AA117" s="271" t="str">
        <f>IFERROR(IF(V116=1,AA$100*EXP(-(LN(2)/$D$65+0.04)*X116)*EXP(-(LN(2)/$D$65+0.1)*Y116),IF(V116=2,AA$100*EXP(-(LN(2)/$D$65+0.04)*(VLOOKUP(($F$16-$F$15)-1,U$99:Y116,4,FALSE)))*EXP(-(LN(2)/$D$65+0.1)*(VLOOKUP(($F$16-$F$15)-1,U$99:Y116,5,FALSE)))*EXP(-(LN(2)/$D$65+0.04)*X116)*EXP(-(LN(2)/$D$65+0.1)*Y116),IF(V116=3,AA$100*EXP(-(LN(2)/$D$65+0.04)*(VLOOKUP(($F$16-$F$15)-1,U$99:Y116,4,FALSE)))*EXP(-(LN(2)/$D$65+0.1)*(VLOOKUP(($F$16-$F$15)-1,U$99:Y116,5,FALSE)))*EXP(-(LN(2)/$D$65+0.04)*(VLOOKUP(($F$16-$F$15)*2-1,U$99:Y116,4,FALSE)))*EXP(-(LN(2)/$D$65+0.1)*(VLOOKUP(($F$16-$F$15)*2-1,U$99:Y116,5,FALSE)))*EXP(-(LN(2)/$D$65+0.04)*X116)*EXP(-(LN(2)/$D$65+0.1)*Y116),"-"))),"-")</f>
        <v>-</v>
      </c>
      <c r="AB117" s="271" t="str">
        <f>IFERROR(IF(V117=1,AB$100*EXP(-(LN(2)/$D$65+0.04)*X117)*EXP(-(LN(2)/$D$65+0.1)*Y117),IF(V117=2,AB$100*EXP(-(LN(2)/$D$65+0.04)*(VLOOKUP(($F$16-$F$15)-1,U$100:Y117,4,FALSE)))*EXP(-(LN(2)/$D$65+0.1)*(VLOOKUP(($F$16-$F$15)-1,U$100:Y117,5,FALSE)))*EXP(-(LN(2)/$D$65+0.04)*X117)*EXP(-(LN(2)/$D$65+0.1)*Y117),IF(V117=3,AB$100*EXP(-(LN(2)/$D$65+0.04)*(VLOOKUP(($F$16-$F$15)-1,U$100:Y117,4,FALSE)))*EXP(-(LN(2)/$D$65+0.1)*(VLOOKUP(($F$16-$F$15)-1,U$100:Y117,5,FALSE)))*EXP(-(LN(2)/$D$65+0.04)*(VLOOKUP(($F$16-$F$15)*2-1,U$100:Y117,4,FALSE)))*EXP(-(LN(2)/$D$65+0.1)*(VLOOKUP(($F$16-$F$15)*2-1,U$100:Y117,5,FALSE)))*EXP(-(LN(2)/$D$65+0.04)*X117)*EXP(-(LN(2)/$D$65+0.1)*Y117),"-"))),"-")</f>
        <v>-</v>
      </c>
      <c r="AC117" s="224">
        <f t="shared" si="45"/>
        <v>17</v>
      </c>
      <c r="AD117" s="223" t="str">
        <f t="shared" si="18"/>
        <v>-</v>
      </c>
      <c r="AE117" s="224" t="str">
        <f t="shared" si="46"/>
        <v>-</v>
      </c>
      <c r="AF117" s="224" t="str">
        <f t="shared" si="19"/>
        <v>-</v>
      </c>
      <c r="AG117" s="224" t="str">
        <f t="shared" si="20"/>
        <v>-</v>
      </c>
      <c r="AH117" s="272">
        <f t="shared" si="47"/>
        <v>0.1</v>
      </c>
      <c r="AI117" s="271" t="str">
        <f>IFERROR(IF(AD116=1,AI$100*EXP(-(LN(2)/$D$65+0.04)*AF116)*EXP(-(LN(2)/$D$65+0.1)*AG116),IF(AD116=2,AI$100*EXP(-(LN(2)/$D$65+0.04)*(VLOOKUP(($F$16-$F$15)-1,AC$99:AG116,4,FALSE)))*EXP(-(LN(2)/$D$65+0.1)*(VLOOKUP(($F$16-$F$15)-1,AC$99:AG116,5,FALSE)))*EXP(-(LN(2)/$D$65+0.04)*AF116)*EXP(-(LN(2)/$D$65+0.1)*AG116),IF(AD116=3,AI$100*EXP(-(LN(2)/$D$65+0.04)*(VLOOKUP(($F$16-$F$15)-1,AC$99:AG116,4,FALSE)))*EXP(-(LN(2)/$D$65+0.1)*(VLOOKUP(($F$16-$F$15)-1,AC$99:AG116,5,FALSE)))*EXP(-(LN(2)/$D$65+0.04)*(VLOOKUP(($F$16-$F$15)*2-1,AC$99:AG116,4,FALSE)))*EXP(-(LN(2)/$D$65+0.1)*(VLOOKUP(($F$16-$F$15)*2-1,AC$99:AG116,5,FALSE)))*EXP(-(LN(2)/$D$65+0.04)*AF116)*EXP(-(LN(2)/$D$65+0.1)*AG116),"-"))),"-")</f>
        <v>-</v>
      </c>
      <c r="AJ117" s="271" t="str">
        <f>IFERROR(IF(AD117=1,AJ$100*EXP(-(LN(2)/$D$65+0.04)*AF117)*EXP(-(LN(2)/$D$65+0.1)*AG117),IF(AD117=2,AJ$100*EXP(-(LN(2)/$D$65+0.04)*(VLOOKUP(($F$16-$F$15)-1,AC$100:AG117,4,FALSE)))*EXP(-(LN(2)/$D$65+0.1)*(VLOOKUP(($F$16-$F$15)-1,AC$100:AG117,5,FALSE)))*EXP(-(LN(2)/$D$65+0.04)*AF117)*EXP(-(LN(2)/$D$65+0.1)*AG117),IF(AD117=3,AJ$100*EXP(-(LN(2)/$D$65+0.04)*(VLOOKUP(($F$16-$F$15)-1,AC$100:AG117,4,FALSE)))*EXP(-(LN(2)/$D$65+0.1)*(VLOOKUP(($F$16-$F$15)-1,AC$100:AG117,5,FALSE)))*EXP(-(LN(2)/$D$65+0.04)*(VLOOKUP(($F$16-$F$15)*2-1,AC$100:AG117,4,FALSE)))*EXP(-(LN(2)/$D$65+0.1)*(VLOOKUP(($F$16-$F$15)*2-1,AC$100:AG117,5,FALSE)))*EXP(-(LN(2)/$D$65+0.04)*AF117)*EXP(-(LN(2)/$D$65+0.1)*AG117),"-"))),"-")</f>
        <v>-</v>
      </c>
      <c r="AK117" s="227">
        <f t="shared" si="49"/>
        <v>17</v>
      </c>
      <c r="AL117" s="226" t="str">
        <f t="shared" si="22"/>
        <v>-</v>
      </c>
      <c r="AM117" s="227" t="str">
        <f t="shared" si="50"/>
        <v>-</v>
      </c>
      <c r="AN117" s="227" t="str">
        <f t="shared" si="51"/>
        <v>-</v>
      </c>
      <c r="AO117" s="227" t="str">
        <f t="shared" si="23"/>
        <v>-</v>
      </c>
      <c r="AP117" s="273">
        <f t="shared" si="52"/>
        <v>0.1</v>
      </c>
      <c r="AQ117" s="271" t="str">
        <f>IFERROR(IF(AL116=1,AQ$100*EXP(-(LN(2)/$D$65+0.04)*AN116)*EXP(-(LN(2)/$D$65+0.1)*AO116),IF(AL116=2,AQ$100*EXP(-(LN(2)/$D$65+0.04)*(VLOOKUP(($F$16-$F$15)-1,AK$99:AO116,4,FALSE)))*EXP(-(LN(2)/$D$65+0.1)*(VLOOKUP(($F$16-$F$15)-1,AK$99:AO116,5,FALSE)))*EXP(-(LN(2)/$D$65+0.04)*AN116)*EXP(-(LN(2)/$D$65+0.1)*AO116),IF(AL116=3,AQ$100*EXP(-(LN(2)/$D$65+0.04)*(VLOOKUP(($F$16-$F$15)-1,AK$99:AO116,4,FALSE)))*EXP(-(LN(2)/$D$65+0.1)*(VLOOKUP(($F$16-$F$15)-1,AK$99:AO116,5,FALSE)))*EXP(-(LN(2)/$D$65+0.04)*(VLOOKUP(($F$16-$F$15)*2-1,AK$99:AO116,4,FALSE)))*EXP(-(LN(2)/$D$65+0.1)*(VLOOKUP(($F$16-$F$15)*2-1,AK$99:AO116,5,FALSE)))*EXP(-(LN(2)/$D$65+0.04)*AN116)*EXP(-(LN(2)/$D$65+0.1)*AO116),"-"))),"-")</f>
        <v>-</v>
      </c>
      <c r="AR117" s="271" t="str">
        <f>IFERROR(IF(AL117=1,AR$100*EXP(-(LN(2)/$D$65+0.04)*AN117)*EXP(-(LN(2)/$D$65+0.1)*AO117),IF(AL117=2,AR$100*EXP(-(LN(2)/$D$65+0.04)*(VLOOKUP(($F$16-$F$15)-1,AK$100:AO117,4,FALSE)))*EXP(-(LN(2)/$D$65+0.1)*(VLOOKUP(($F$16-$F$15)-1,AK$100:AO117,5,FALSE)))*EXP(-(LN(2)/$D$65+0.04)*AN117)*EXP(-(LN(2)/$D$65+0.1)*AO117),IF(AL117=3,AR$100*EXP(-(LN(2)/$D$65+0.04)*(VLOOKUP(($F$16-$F$15)-1,AK$100:AO117,4,FALSE)))*EXP(-(LN(2)/$D$65+0.1)*(VLOOKUP(($F$16-$F$15)-1,AK$100:AO117,5,FALSE)))*EXP(-(LN(2)/$D$65+0.04)*(VLOOKUP(($F$16-$F$15)*2-1,AK$100:AO117,4,FALSE)))*EXP(-(LN(2)/$D$65+0.1)*(VLOOKUP(($F$16-$F$15)*2-1,AK$100:AO117,5,FALSE)))*EXP(-(LN(2)/$D$65+0.04)*AN117)*EXP(-(LN(2)/$D$65+0.1)*AO117),"-"))),"-")</f>
        <v>-</v>
      </c>
      <c r="AS117" s="274">
        <f t="shared" si="24"/>
        <v>0</v>
      </c>
      <c r="AT117" s="274">
        <f t="shared" si="25"/>
        <v>0</v>
      </c>
      <c r="AU117" s="274">
        <f t="shared" si="26"/>
        <v>0</v>
      </c>
      <c r="AV117" s="275">
        <f>IF($B117&lt;$F$22,SUM($T$100:$T117),"")</f>
        <v>0</v>
      </c>
      <c r="AW117" s="275" t="str">
        <f t="shared" si="55"/>
        <v>-</v>
      </c>
      <c r="AX117" s="275" t="str">
        <f t="shared" si="56"/>
        <v/>
      </c>
      <c r="AY117"/>
      <c r="AZ117" s="275" t="str">
        <f ca="1">IF(ISNUMBER(OFFSET(AV117,-$F$21,0)),SUM(OFFSET($T$100,$F$21,0):$T117),"")</f>
        <v/>
      </c>
      <c r="BA117" s="275" t="str">
        <f t="shared" ca="1" si="27"/>
        <v/>
      </c>
      <c r="BB117" s="275" t="str">
        <f t="shared" ca="1" si="57"/>
        <v/>
      </c>
      <c r="BC117" s="190"/>
      <c r="BD117" s="275" t="str">
        <f ca="1">IFERROR(IF(OR(ISNUMBER(I),ISNUMBER($F$14)),IF(AND($B117&gt;=($F$16-$F$15),$B117&lt;$F$22+($F$16-$F$15)),SUM(OFFSET($T$100,($F$16-$F$15),0):$T117),""),""),"")</f>
        <v/>
      </c>
      <c r="BE117" s="275" t="str">
        <f t="shared" ca="1" si="58"/>
        <v/>
      </c>
      <c r="BF117" s="275" t="str">
        <f t="shared" ca="1" si="59"/>
        <v/>
      </c>
      <c r="BG117"/>
      <c r="BH117" s="190" t="str">
        <f ca="1">IF(ISNUMBER(OFFSET(BD117,-$F$21,0)),SUM(OFFSET($T$100,($F$16-$F$15+$F$21),0):$T117),"")</f>
        <v/>
      </c>
      <c r="BI117" s="190" t="str">
        <f t="shared" ca="1" si="28"/>
        <v/>
      </c>
      <c r="BJ117" s="190" t="str">
        <f t="shared" ca="1" si="60"/>
        <v/>
      </c>
      <c r="BK117" s="190"/>
      <c r="BL117" s="275" t="str">
        <f ca="1">IFERROR(IF(OR(ISNUMBER(I),ISNUMBER($F$14)),IF(AND($B117&gt;=($F$17-$F$15),$B117&lt;$F$22+($F$17-$F$15)),SUM(OFFSET($T$100,($F$17-$F$15),0):$T117),""),""),"")</f>
        <v/>
      </c>
      <c r="BM117" s="275" t="str">
        <f t="shared" ca="1" si="29"/>
        <v/>
      </c>
      <c r="BN117" s="275" t="str">
        <f t="shared" ca="1" si="61"/>
        <v/>
      </c>
      <c r="BO117"/>
      <c r="BP117" s="275" t="str">
        <f ca="1">IF(ISNUMBER(OFFSET(BL117,-$F$21,0)),SUM(OFFSET($T$100,($F$17-$F$15+$F$21),0):$T117),"")</f>
        <v/>
      </c>
      <c r="BQ117" s="275" t="str">
        <f t="shared" ca="1" si="62"/>
        <v/>
      </c>
      <c r="BR117" s="275" t="str">
        <f t="shared" ca="1" si="63"/>
        <v/>
      </c>
      <c r="BS117" s="190"/>
      <c r="BT117"/>
      <c r="BU117" s="276" t="str">
        <f t="shared" si="64"/>
        <v>end</v>
      </c>
      <c r="BV117" s="277">
        <v>17</v>
      </c>
      <c r="BW117" s="278" t="str">
        <f t="shared" si="69"/>
        <v/>
      </c>
      <c r="BX117" s="278" t="str">
        <f t="shared" si="68"/>
        <v/>
      </c>
      <c r="BY117" s="279" t="str">
        <f t="shared" si="65"/>
        <v/>
      </c>
      <c r="BZ117"/>
      <c r="CA117" s="280" t="str">
        <f t="shared" si="30"/>
        <v>-</v>
      </c>
      <c r="CB117" s="71" t="str">
        <f t="shared" si="31"/>
        <v>-</v>
      </c>
      <c r="CC117" s="33" t="str">
        <f t="shared" si="32"/>
        <v>17-18</v>
      </c>
      <c r="CD117" s="261" t="str">
        <f t="shared" si="33"/>
        <v/>
      </c>
      <c r="CE117" s="280" t="str">
        <f t="shared" si="34"/>
        <v>-</v>
      </c>
      <c r="CF117" s="71" t="str">
        <f t="shared" ca="1" si="35"/>
        <v>-</v>
      </c>
      <c r="CG117" s="33" t="str">
        <f t="shared" si="36"/>
        <v>17-18</v>
      </c>
      <c r="CH117" s="261" t="str">
        <f t="shared" ca="1" si="37"/>
        <v/>
      </c>
      <c r="CI117" s="202"/>
      <c r="CJ117" s="99"/>
      <c r="CK117" s="99"/>
      <c r="CL117" s="99"/>
      <c r="CM117" s="99"/>
      <c r="CN117" s="99"/>
      <c r="CO117" s="99"/>
    </row>
    <row r="118" spans="2:93" ht="13.5" customHeight="1" x14ac:dyDescent="0.2">
      <c r="B118" s="262">
        <v>18</v>
      </c>
      <c r="C118" s="237" t="str">
        <f t="shared" si="1"/>
        <v/>
      </c>
      <c r="D118" s="237" t="str">
        <f t="shared" si="66"/>
        <v>-</v>
      </c>
      <c r="E118" s="290" t="str">
        <f t="shared" si="38"/>
        <v/>
      </c>
      <c r="F118" s="264" t="str">
        <f t="shared" si="39"/>
        <v/>
      </c>
      <c r="G118" s="291" t="str">
        <f t="shared" si="40"/>
        <v/>
      </c>
      <c r="H118" s="240" t="str">
        <f t="shared" si="41"/>
        <v/>
      </c>
      <c r="I118" s="265" t="str">
        <f t="shared" si="2"/>
        <v/>
      </c>
      <c r="J118" s="265" t="str">
        <f t="shared" si="3"/>
        <v/>
      </c>
      <c r="K118" s="240" t="str">
        <f t="shared" si="4"/>
        <v/>
      </c>
      <c r="L118" s="265" t="str">
        <f t="shared" si="5"/>
        <v/>
      </c>
      <c r="M118" s="265" t="str">
        <f t="shared" si="6"/>
        <v/>
      </c>
      <c r="N118" s="240" t="str">
        <f t="shared" si="7"/>
        <v>-</v>
      </c>
      <c r="O118" s="265" t="str">
        <f t="shared" si="8"/>
        <v>-</v>
      </c>
      <c r="P118" s="265" t="str">
        <f t="shared" si="9"/>
        <v>-</v>
      </c>
      <c r="Q118" s="266" t="str">
        <f t="shared" si="10"/>
        <v>-</v>
      </c>
      <c r="R118" s="267" t="str">
        <f t="shared" si="11"/>
        <v>-</v>
      </c>
      <c r="S118" s="268" t="str">
        <f t="shared" si="12"/>
        <v>-</v>
      </c>
      <c r="T118" s="269" t="str">
        <f t="shared" si="13"/>
        <v/>
      </c>
      <c r="U118" s="221">
        <f t="shared" si="14"/>
        <v>18</v>
      </c>
      <c r="V118" s="220" t="str">
        <f t="shared" si="42"/>
        <v>-</v>
      </c>
      <c r="W118" s="221" t="str">
        <f t="shared" si="43"/>
        <v>-</v>
      </c>
      <c r="X118" s="221" t="str">
        <f t="shared" si="15"/>
        <v>-</v>
      </c>
      <c r="Y118" s="221" t="str">
        <f t="shared" si="16"/>
        <v>-</v>
      </c>
      <c r="Z118" s="270">
        <f t="shared" si="44"/>
        <v>0.1</v>
      </c>
      <c r="AA118" s="271" t="str">
        <f>IFERROR(IF(V117=1,AA$100*EXP(-(LN(2)/$D$65+0.04)*X117)*EXP(-(LN(2)/$D$65+0.1)*Y117),IF(V117=2,AA$100*EXP(-(LN(2)/$D$65+0.04)*(VLOOKUP(($F$16-$F$15)-1,U$99:Y117,4,FALSE)))*EXP(-(LN(2)/$D$65+0.1)*(VLOOKUP(($F$16-$F$15)-1,U$99:Y117,5,FALSE)))*EXP(-(LN(2)/$D$65+0.04)*X117)*EXP(-(LN(2)/$D$65+0.1)*Y117),IF(V117=3,AA$100*EXP(-(LN(2)/$D$65+0.04)*(VLOOKUP(($F$16-$F$15)-1,U$99:Y117,4,FALSE)))*EXP(-(LN(2)/$D$65+0.1)*(VLOOKUP(($F$16-$F$15)-1,U$99:Y117,5,FALSE)))*EXP(-(LN(2)/$D$65+0.04)*(VLOOKUP(($F$16-$F$15)*2-1,U$99:Y117,4,FALSE)))*EXP(-(LN(2)/$D$65+0.1)*(VLOOKUP(($F$16-$F$15)*2-1,U$99:Y117,5,FALSE)))*EXP(-(LN(2)/$D$65+0.04)*X117)*EXP(-(LN(2)/$D$65+0.1)*Y117),"-"))),"-")</f>
        <v>-</v>
      </c>
      <c r="AB118" s="271" t="str">
        <f>IFERROR(IF(V118=1,AB$100*EXP(-(LN(2)/$D$65+0.04)*X118)*EXP(-(LN(2)/$D$65+0.1)*Y118),IF(V118=2,AB$100*EXP(-(LN(2)/$D$65+0.04)*(VLOOKUP(($F$16-$F$15)-1,U$100:Y118,4,FALSE)))*EXP(-(LN(2)/$D$65+0.1)*(VLOOKUP(($F$16-$F$15)-1,U$100:Y118,5,FALSE)))*EXP(-(LN(2)/$D$65+0.04)*X118)*EXP(-(LN(2)/$D$65+0.1)*Y118),IF(V118=3,AB$100*EXP(-(LN(2)/$D$65+0.04)*(VLOOKUP(($F$16-$F$15)-1,U$100:Y118,4,FALSE)))*EXP(-(LN(2)/$D$65+0.1)*(VLOOKUP(($F$16-$F$15)-1,U$100:Y118,5,FALSE)))*EXP(-(LN(2)/$D$65+0.04)*(VLOOKUP(($F$16-$F$15)*2-1,U$100:Y118,4,FALSE)))*EXP(-(LN(2)/$D$65+0.1)*(VLOOKUP(($F$16-$F$15)*2-1,U$100:Y118,5,FALSE)))*EXP(-(LN(2)/$D$65+0.04)*X118)*EXP(-(LN(2)/$D$65+0.1)*Y118),"-"))),"-")</f>
        <v>-</v>
      </c>
      <c r="AC118" s="224">
        <f t="shared" si="45"/>
        <v>18</v>
      </c>
      <c r="AD118" s="223" t="str">
        <f t="shared" si="18"/>
        <v>-</v>
      </c>
      <c r="AE118" s="224" t="str">
        <f t="shared" si="46"/>
        <v>-</v>
      </c>
      <c r="AF118" s="224" t="str">
        <f t="shared" si="19"/>
        <v>-</v>
      </c>
      <c r="AG118" s="224" t="str">
        <f t="shared" si="20"/>
        <v>-</v>
      </c>
      <c r="AH118" s="272">
        <f t="shared" si="47"/>
        <v>0.1</v>
      </c>
      <c r="AI118" s="271" t="str">
        <f>IFERROR(IF(AD117=1,AI$100*EXP(-(LN(2)/$D$65+0.04)*AF117)*EXP(-(LN(2)/$D$65+0.1)*AG117),IF(AD117=2,AI$100*EXP(-(LN(2)/$D$65+0.04)*(VLOOKUP(($F$16-$F$15)-1,AC$99:AG117,4,FALSE)))*EXP(-(LN(2)/$D$65+0.1)*(VLOOKUP(($F$16-$F$15)-1,AC$99:AG117,5,FALSE)))*EXP(-(LN(2)/$D$65+0.04)*AF117)*EXP(-(LN(2)/$D$65+0.1)*AG117),IF(AD117=3,AI$100*EXP(-(LN(2)/$D$65+0.04)*(VLOOKUP(($F$16-$F$15)-1,AC$99:AG117,4,FALSE)))*EXP(-(LN(2)/$D$65+0.1)*(VLOOKUP(($F$16-$F$15)-1,AC$99:AG117,5,FALSE)))*EXP(-(LN(2)/$D$65+0.04)*(VLOOKUP(($F$16-$F$15)*2-1,AC$99:AG117,4,FALSE)))*EXP(-(LN(2)/$D$65+0.1)*(VLOOKUP(($F$16-$F$15)*2-1,AC$99:AG117,5,FALSE)))*EXP(-(LN(2)/$D$65+0.04)*AF117)*EXP(-(LN(2)/$D$65+0.1)*AG117),"-"))),"-")</f>
        <v>-</v>
      </c>
      <c r="AJ118" s="271" t="str">
        <f>IFERROR(IF(AD118=1,AJ$100*EXP(-(LN(2)/$D$65+0.04)*AF118)*EXP(-(LN(2)/$D$65+0.1)*AG118),IF(AD118=2,AJ$100*EXP(-(LN(2)/$D$65+0.04)*(VLOOKUP(($F$16-$F$15)-1,AC$100:AG118,4,FALSE)))*EXP(-(LN(2)/$D$65+0.1)*(VLOOKUP(($F$16-$F$15)-1,AC$100:AG118,5,FALSE)))*EXP(-(LN(2)/$D$65+0.04)*AF118)*EXP(-(LN(2)/$D$65+0.1)*AG118),IF(AD118=3,AJ$100*EXP(-(LN(2)/$D$65+0.04)*(VLOOKUP(($F$16-$F$15)-1,AC$100:AG118,4,FALSE)))*EXP(-(LN(2)/$D$65+0.1)*(VLOOKUP(($F$16-$F$15)-1,AC$100:AG118,5,FALSE)))*EXP(-(LN(2)/$D$65+0.04)*(VLOOKUP(($F$16-$F$15)*2-1,AC$100:AG118,4,FALSE)))*EXP(-(LN(2)/$D$65+0.1)*(VLOOKUP(($F$16-$F$15)*2-1,AC$100:AG118,5,FALSE)))*EXP(-(LN(2)/$D$65+0.04)*AF118)*EXP(-(LN(2)/$D$65+0.1)*AG118),"-"))),"-")</f>
        <v>-</v>
      </c>
      <c r="AK118" s="227">
        <f t="shared" si="49"/>
        <v>18</v>
      </c>
      <c r="AL118" s="226" t="str">
        <f t="shared" si="22"/>
        <v>-</v>
      </c>
      <c r="AM118" s="227" t="str">
        <f t="shared" si="50"/>
        <v>-</v>
      </c>
      <c r="AN118" s="227" t="str">
        <f t="shared" si="51"/>
        <v>-</v>
      </c>
      <c r="AO118" s="227" t="str">
        <f t="shared" si="23"/>
        <v>-</v>
      </c>
      <c r="AP118" s="273">
        <f t="shared" si="52"/>
        <v>0.1</v>
      </c>
      <c r="AQ118" s="271" t="str">
        <f>IFERROR(IF(AL117=1,AQ$100*EXP(-(LN(2)/$D$65+0.04)*AN117)*EXP(-(LN(2)/$D$65+0.1)*AO117),IF(AL117=2,AQ$100*EXP(-(LN(2)/$D$65+0.04)*(VLOOKUP(($F$16-$F$15)-1,AK$99:AO117,4,FALSE)))*EXP(-(LN(2)/$D$65+0.1)*(VLOOKUP(($F$16-$F$15)-1,AK$99:AO117,5,FALSE)))*EXP(-(LN(2)/$D$65+0.04)*AN117)*EXP(-(LN(2)/$D$65+0.1)*AO117),IF(AL117=3,AQ$100*EXP(-(LN(2)/$D$65+0.04)*(VLOOKUP(($F$16-$F$15)-1,AK$99:AO117,4,FALSE)))*EXP(-(LN(2)/$D$65+0.1)*(VLOOKUP(($F$16-$F$15)-1,AK$99:AO117,5,FALSE)))*EXP(-(LN(2)/$D$65+0.04)*(VLOOKUP(($F$16-$F$15)*2-1,AK$99:AO117,4,FALSE)))*EXP(-(LN(2)/$D$65+0.1)*(VLOOKUP(($F$16-$F$15)*2-1,AK$99:AO117,5,FALSE)))*EXP(-(LN(2)/$D$65+0.04)*AN117)*EXP(-(LN(2)/$D$65+0.1)*AO117),"-"))),"-")</f>
        <v>-</v>
      </c>
      <c r="AR118" s="271" t="str">
        <f>IFERROR(IF(AL118=1,AR$100*EXP(-(LN(2)/$D$65+0.04)*AN118)*EXP(-(LN(2)/$D$65+0.1)*AO118),IF(AL118=2,AR$100*EXP(-(LN(2)/$D$65+0.04)*(VLOOKUP(($F$16-$F$15)-1,AK$100:AO118,4,FALSE)))*EXP(-(LN(2)/$D$65+0.1)*(VLOOKUP(($F$16-$F$15)-1,AK$100:AO118,5,FALSE)))*EXP(-(LN(2)/$D$65+0.04)*AN118)*EXP(-(LN(2)/$D$65+0.1)*AO118),IF(AL118=3,AR$100*EXP(-(LN(2)/$D$65+0.04)*(VLOOKUP(($F$16-$F$15)-1,AK$100:AO118,4,FALSE)))*EXP(-(LN(2)/$D$65+0.1)*(VLOOKUP(($F$16-$F$15)-1,AK$100:AO118,5,FALSE)))*EXP(-(LN(2)/$D$65+0.04)*(VLOOKUP(($F$16-$F$15)*2-1,AK$100:AO118,4,FALSE)))*EXP(-(LN(2)/$D$65+0.1)*(VLOOKUP(($F$16-$F$15)*2-1,AK$100:AO118,5,FALSE)))*EXP(-(LN(2)/$D$65+0.04)*AN118)*EXP(-(LN(2)/$D$65+0.1)*AO118),"-"))),"-")</f>
        <v>-</v>
      </c>
      <c r="AS118" s="274">
        <f t="shared" si="24"/>
        <v>0</v>
      </c>
      <c r="AT118" s="274">
        <f t="shared" si="25"/>
        <v>0</v>
      </c>
      <c r="AU118" s="274">
        <f t="shared" si="26"/>
        <v>0</v>
      </c>
      <c r="AV118" s="275">
        <f>IF($B118&lt;$F$22,SUM($T$100:$T118),"")</f>
        <v>0</v>
      </c>
      <c r="AW118" s="275" t="str">
        <f t="shared" si="55"/>
        <v>-</v>
      </c>
      <c r="AX118" s="275" t="str">
        <f t="shared" si="56"/>
        <v/>
      </c>
      <c r="AY118"/>
      <c r="AZ118" s="275" t="str">
        <f ca="1">IF(ISNUMBER(OFFSET(AV118,-$F$21,0)),SUM(OFFSET($T$100,$F$21,0):$T118),"")</f>
        <v/>
      </c>
      <c r="BA118" s="275" t="str">
        <f t="shared" ca="1" si="27"/>
        <v/>
      </c>
      <c r="BB118" s="275" t="str">
        <f t="shared" ca="1" si="57"/>
        <v/>
      </c>
      <c r="BC118" s="190"/>
      <c r="BD118" s="275" t="str">
        <f ca="1">IFERROR(IF(OR(ISNUMBER(I),ISNUMBER($F$14)),IF(AND($B118&gt;=($F$16-$F$15),$B118&lt;$F$22+($F$16-$F$15)),SUM(OFFSET($T$100,($F$16-$F$15),0):$T118),""),""),"")</f>
        <v/>
      </c>
      <c r="BE118" s="275" t="str">
        <f t="shared" ca="1" si="58"/>
        <v/>
      </c>
      <c r="BF118" s="275" t="str">
        <f t="shared" ca="1" si="59"/>
        <v/>
      </c>
      <c r="BG118"/>
      <c r="BH118" s="190" t="str">
        <f ca="1">IF(ISNUMBER(OFFSET(BD118,-$F$21,0)),SUM(OFFSET($T$100,($F$16-$F$15+$F$21),0):$T118),"")</f>
        <v/>
      </c>
      <c r="BI118" s="190" t="str">
        <f t="shared" ca="1" si="28"/>
        <v/>
      </c>
      <c r="BJ118" s="190" t="str">
        <f t="shared" ca="1" si="60"/>
        <v/>
      </c>
      <c r="BK118" s="190"/>
      <c r="BL118" s="275" t="str">
        <f ca="1">IFERROR(IF(OR(ISNUMBER(I),ISNUMBER($F$14)),IF(AND($B118&gt;=($F$17-$F$15),$B118&lt;$F$22+($F$17-$F$15)),SUM(OFFSET($T$100,($F$17-$F$15),0):$T118),""),""),"")</f>
        <v/>
      </c>
      <c r="BM118" s="275" t="str">
        <f t="shared" ca="1" si="29"/>
        <v/>
      </c>
      <c r="BN118" s="275" t="str">
        <f t="shared" ca="1" si="61"/>
        <v/>
      </c>
      <c r="BO118"/>
      <c r="BP118" s="275" t="str">
        <f ca="1">IF(ISNUMBER(OFFSET(BL118,-$F$21,0)),SUM(OFFSET($T$100,($F$17-$F$15+$F$21),0):$T118),"")</f>
        <v/>
      </c>
      <c r="BQ118" s="275" t="str">
        <f t="shared" ca="1" si="62"/>
        <v/>
      </c>
      <c r="BR118" s="275" t="str">
        <f t="shared" ca="1" si="63"/>
        <v/>
      </c>
      <c r="BS118" s="190"/>
      <c r="BT118"/>
      <c r="BU118" s="276" t="str">
        <f t="shared" si="64"/>
        <v>end</v>
      </c>
      <c r="BV118" s="277">
        <v>18</v>
      </c>
      <c r="BW118" s="278" t="str">
        <f t="shared" si="69"/>
        <v/>
      </c>
      <c r="BX118" s="278" t="str">
        <f t="shared" si="68"/>
        <v/>
      </c>
      <c r="BY118" s="279" t="str">
        <f t="shared" si="65"/>
        <v/>
      </c>
      <c r="BZ118"/>
      <c r="CA118" s="280" t="str">
        <f t="shared" si="30"/>
        <v>-</v>
      </c>
      <c r="CB118" s="71" t="str">
        <f t="shared" si="31"/>
        <v>-</v>
      </c>
      <c r="CC118" s="33" t="str">
        <f t="shared" si="32"/>
        <v>18-19</v>
      </c>
      <c r="CD118" s="261" t="str">
        <f t="shared" si="33"/>
        <v/>
      </c>
      <c r="CE118" s="280" t="str">
        <f t="shared" si="34"/>
        <v>-</v>
      </c>
      <c r="CF118" s="71" t="str">
        <f t="shared" ca="1" si="35"/>
        <v>-</v>
      </c>
      <c r="CG118" s="33" t="str">
        <f t="shared" si="36"/>
        <v>18-19</v>
      </c>
      <c r="CH118" s="261" t="str">
        <f t="shared" ca="1" si="37"/>
        <v/>
      </c>
      <c r="CI118" s="202"/>
      <c r="CJ118" s="99"/>
      <c r="CK118" s="99"/>
      <c r="CL118" s="99"/>
      <c r="CM118" s="99"/>
      <c r="CN118" s="99"/>
      <c r="CO118" s="99"/>
    </row>
    <row r="119" spans="2:93" ht="13.5" customHeight="1" x14ac:dyDescent="0.2">
      <c r="B119" s="262">
        <v>19</v>
      </c>
      <c r="C119" s="237" t="str">
        <f t="shared" si="1"/>
        <v/>
      </c>
      <c r="D119" s="237" t="str">
        <f t="shared" si="66"/>
        <v>-</v>
      </c>
      <c r="E119" s="290" t="str">
        <f t="shared" si="38"/>
        <v/>
      </c>
      <c r="F119" s="264" t="str">
        <f t="shared" si="39"/>
        <v/>
      </c>
      <c r="G119" s="291" t="str">
        <f t="shared" si="40"/>
        <v/>
      </c>
      <c r="H119" s="240" t="str">
        <f t="shared" si="41"/>
        <v/>
      </c>
      <c r="I119" s="265" t="str">
        <f t="shared" si="2"/>
        <v/>
      </c>
      <c r="J119" s="265" t="str">
        <f t="shared" si="3"/>
        <v/>
      </c>
      <c r="K119" s="240" t="str">
        <f t="shared" si="4"/>
        <v/>
      </c>
      <c r="L119" s="265" t="str">
        <f t="shared" si="5"/>
        <v/>
      </c>
      <c r="M119" s="265" t="str">
        <f t="shared" si="6"/>
        <v/>
      </c>
      <c r="N119" s="240" t="str">
        <f t="shared" si="7"/>
        <v>-</v>
      </c>
      <c r="O119" s="265" t="str">
        <f t="shared" si="8"/>
        <v>-</v>
      </c>
      <c r="P119" s="265" t="str">
        <f t="shared" si="9"/>
        <v>-</v>
      </c>
      <c r="Q119" s="266" t="str">
        <f t="shared" si="10"/>
        <v>-</v>
      </c>
      <c r="R119" s="267" t="str">
        <f t="shared" si="11"/>
        <v>-</v>
      </c>
      <c r="S119" s="268" t="str">
        <f t="shared" si="12"/>
        <v>-</v>
      </c>
      <c r="T119" s="269" t="str">
        <f t="shared" si="13"/>
        <v/>
      </c>
      <c r="U119" s="221">
        <f t="shared" si="14"/>
        <v>19</v>
      </c>
      <c r="V119" s="220" t="str">
        <f t="shared" si="42"/>
        <v>-</v>
      </c>
      <c r="W119" s="221" t="str">
        <f t="shared" si="43"/>
        <v>-</v>
      </c>
      <c r="X119" s="221" t="str">
        <f t="shared" si="15"/>
        <v>-</v>
      </c>
      <c r="Y119" s="221" t="str">
        <f t="shared" si="16"/>
        <v>-</v>
      </c>
      <c r="Z119" s="270">
        <f t="shared" si="44"/>
        <v>0.1</v>
      </c>
      <c r="AA119" s="271" t="str">
        <f>IFERROR(IF(V118=1,AA$100*EXP(-(LN(2)/$D$65+0.04)*X118)*EXP(-(LN(2)/$D$65+0.1)*Y118),IF(V118=2,AA$100*EXP(-(LN(2)/$D$65+0.04)*(VLOOKUP(($F$16-$F$15)-1,U$99:Y118,4,FALSE)))*EXP(-(LN(2)/$D$65+0.1)*(VLOOKUP(($F$16-$F$15)-1,U$99:Y118,5,FALSE)))*EXP(-(LN(2)/$D$65+0.04)*X118)*EXP(-(LN(2)/$D$65+0.1)*Y118),IF(V118=3,AA$100*EXP(-(LN(2)/$D$65+0.04)*(VLOOKUP(($F$16-$F$15)-1,U$99:Y118,4,FALSE)))*EXP(-(LN(2)/$D$65+0.1)*(VLOOKUP(($F$16-$F$15)-1,U$99:Y118,5,FALSE)))*EXP(-(LN(2)/$D$65+0.04)*(VLOOKUP(($F$16-$F$15)*2-1,U$99:Y118,4,FALSE)))*EXP(-(LN(2)/$D$65+0.1)*(VLOOKUP(($F$16-$F$15)*2-1,U$99:Y118,5,FALSE)))*EXP(-(LN(2)/$D$65+0.04)*X118)*EXP(-(LN(2)/$D$65+0.1)*Y118),"-"))),"-")</f>
        <v>-</v>
      </c>
      <c r="AB119" s="271" t="str">
        <f>IFERROR(IF(V119=1,AB$100*EXP(-(LN(2)/$D$65+0.04)*X119)*EXP(-(LN(2)/$D$65+0.1)*Y119),IF(V119=2,AB$100*EXP(-(LN(2)/$D$65+0.04)*(VLOOKUP(($F$16-$F$15)-1,U$100:Y119,4,FALSE)))*EXP(-(LN(2)/$D$65+0.1)*(VLOOKUP(($F$16-$F$15)-1,U$100:Y119,5,FALSE)))*EXP(-(LN(2)/$D$65+0.04)*X119)*EXP(-(LN(2)/$D$65+0.1)*Y119),IF(V119=3,AB$100*EXP(-(LN(2)/$D$65+0.04)*(VLOOKUP(($F$16-$F$15)-1,U$100:Y119,4,FALSE)))*EXP(-(LN(2)/$D$65+0.1)*(VLOOKUP(($F$16-$F$15)-1,U$100:Y119,5,FALSE)))*EXP(-(LN(2)/$D$65+0.04)*(VLOOKUP(($F$16-$F$15)*2-1,U$100:Y119,4,FALSE)))*EXP(-(LN(2)/$D$65+0.1)*(VLOOKUP(($F$16-$F$15)*2-1,U$100:Y119,5,FALSE)))*EXP(-(LN(2)/$D$65+0.04)*X119)*EXP(-(LN(2)/$D$65+0.1)*Y119),"-"))),"-")</f>
        <v>-</v>
      </c>
      <c r="AC119" s="224">
        <f t="shared" si="45"/>
        <v>19</v>
      </c>
      <c r="AD119" s="223" t="str">
        <f t="shared" si="18"/>
        <v>-</v>
      </c>
      <c r="AE119" s="224" t="str">
        <f t="shared" si="46"/>
        <v>-</v>
      </c>
      <c r="AF119" s="224" t="str">
        <f t="shared" si="19"/>
        <v>-</v>
      </c>
      <c r="AG119" s="224" t="str">
        <f t="shared" si="20"/>
        <v>-</v>
      </c>
      <c r="AH119" s="272">
        <f t="shared" si="47"/>
        <v>0.1</v>
      </c>
      <c r="AI119" s="271" t="str">
        <f>IFERROR(IF(AD118=1,AI$100*EXP(-(LN(2)/$D$65+0.04)*AF118)*EXP(-(LN(2)/$D$65+0.1)*AG118),IF(AD118=2,AI$100*EXP(-(LN(2)/$D$65+0.04)*(VLOOKUP(($F$16-$F$15)-1,AC$99:AG118,4,FALSE)))*EXP(-(LN(2)/$D$65+0.1)*(VLOOKUP(($F$16-$F$15)-1,AC$99:AG118,5,FALSE)))*EXP(-(LN(2)/$D$65+0.04)*AF118)*EXP(-(LN(2)/$D$65+0.1)*AG118),IF(AD118=3,AI$100*EXP(-(LN(2)/$D$65+0.04)*(VLOOKUP(($F$16-$F$15)-1,AC$99:AG118,4,FALSE)))*EXP(-(LN(2)/$D$65+0.1)*(VLOOKUP(($F$16-$F$15)-1,AC$99:AG118,5,FALSE)))*EXP(-(LN(2)/$D$65+0.04)*(VLOOKUP(($F$16-$F$15)*2-1,AC$99:AG118,4,FALSE)))*EXP(-(LN(2)/$D$65+0.1)*(VLOOKUP(($F$16-$F$15)*2-1,AC$99:AG118,5,FALSE)))*EXP(-(LN(2)/$D$65+0.04)*AF118)*EXP(-(LN(2)/$D$65+0.1)*AG118),"-"))),"-")</f>
        <v>-</v>
      </c>
      <c r="AJ119" s="271" t="str">
        <f>IFERROR(IF(AD119=1,AJ$100*EXP(-(LN(2)/$D$65+0.04)*AF119)*EXP(-(LN(2)/$D$65+0.1)*AG119),IF(AD119=2,AJ$100*EXP(-(LN(2)/$D$65+0.04)*(VLOOKUP(($F$16-$F$15)-1,AC$100:AG119,4,FALSE)))*EXP(-(LN(2)/$D$65+0.1)*(VLOOKUP(($F$16-$F$15)-1,AC$100:AG119,5,FALSE)))*EXP(-(LN(2)/$D$65+0.04)*AF119)*EXP(-(LN(2)/$D$65+0.1)*AG119),IF(AD119=3,AJ$100*EXP(-(LN(2)/$D$65+0.04)*(VLOOKUP(($F$16-$F$15)-1,AC$100:AG119,4,FALSE)))*EXP(-(LN(2)/$D$65+0.1)*(VLOOKUP(($F$16-$F$15)-1,AC$100:AG119,5,FALSE)))*EXP(-(LN(2)/$D$65+0.04)*(VLOOKUP(($F$16-$F$15)*2-1,AC$100:AG119,4,FALSE)))*EXP(-(LN(2)/$D$65+0.1)*(VLOOKUP(($F$16-$F$15)*2-1,AC$100:AG119,5,FALSE)))*EXP(-(LN(2)/$D$65+0.04)*AF119)*EXP(-(LN(2)/$D$65+0.1)*AG119),"-"))),"-")</f>
        <v>-</v>
      </c>
      <c r="AK119" s="227">
        <f t="shared" si="49"/>
        <v>19</v>
      </c>
      <c r="AL119" s="226" t="str">
        <f t="shared" si="22"/>
        <v>-</v>
      </c>
      <c r="AM119" s="227" t="str">
        <f t="shared" si="50"/>
        <v>-</v>
      </c>
      <c r="AN119" s="227" t="str">
        <f t="shared" si="51"/>
        <v>-</v>
      </c>
      <c r="AO119" s="227" t="str">
        <f t="shared" si="23"/>
        <v>-</v>
      </c>
      <c r="AP119" s="273">
        <f t="shared" si="52"/>
        <v>0.1</v>
      </c>
      <c r="AQ119" s="271" t="str">
        <f>IFERROR(IF(AL118=1,AQ$100*EXP(-(LN(2)/$D$65+0.04)*AN118)*EXP(-(LN(2)/$D$65+0.1)*AO118),IF(AL118=2,AQ$100*EXP(-(LN(2)/$D$65+0.04)*(VLOOKUP(($F$16-$F$15)-1,AK$99:AO118,4,FALSE)))*EXP(-(LN(2)/$D$65+0.1)*(VLOOKUP(($F$16-$F$15)-1,AK$99:AO118,5,FALSE)))*EXP(-(LN(2)/$D$65+0.04)*AN118)*EXP(-(LN(2)/$D$65+0.1)*AO118),IF(AL118=3,AQ$100*EXP(-(LN(2)/$D$65+0.04)*(VLOOKUP(($F$16-$F$15)-1,AK$99:AO118,4,FALSE)))*EXP(-(LN(2)/$D$65+0.1)*(VLOOKUP(($F$16-$F$15)-1,AK$99:AO118,5,FALSE)))*EXP(-(LN(2)/$D$65+0.04)*(VLOOKUP(($F$16-$F$15)*2-1,AK$99:AO118,4,FALSE)))*EXP(-(LN(2)/$D$65+0.1)*(VLOOKUP(($F$16-$F$15)*2-1,AK$99:AO118,5,FALSE)))*EXP(-(LN(2)/$D$65+0.04)*AN118)*EXP(-(LN(2)/$D$65+0.1)*AO118),"-"))),"-")</f>
        <v>-</v>
      </c>
      <c r="AR119" s="271" t="str">
        <f>IFERROR(IF(AL119=1,AR$100*EXP(-(LN(2)/$D$65+0.04)*AN119)*EXP(-(LN(2)/$D$65+0.1)*AO119),IF(AL119=2,AR$100*EXP(-(LN(2)/$D$65+0.04)*(VLOOKUP(($F$16-$F$15)-1,AK$100:AO119,4,FALSE)))*EXP(-(LN(2)/$D$65+0.1)*(VLOOKUP(($F$16-$F$15)-1,AK$100:AO119,5,FALSE)))*EXP(-(LN(2)/$D$65+0.04)*AN119)*EXP(-(LN(2)/$D$65+0.1)*AO119),IF(AL119=3,AR$100*EXP(-(LN(2)/$D$65+0.04)*(VLOOKUP(($F$16-$F$15)-1,AK$100:AO119,4,FALSE)))*EXP(-(LN(2)/$D$65+0.1)*(VLOOKUP(($F$16-$F$15)-1,AK$100:AO119,5,FALSE)))*EXP(-(LN(2)/$D$65+0.04)*(VLOOKUP(($F$16-$F$15)*2-1,AK$100:AO119,4,FALSE)))*EXP(-(LN(2)/$D$65+0.1)*(VLOOKUP(($F$16-$F$15)*2-1,AK$100:AO119,5,FALSE)))*EXP(-(LN(2)/$D$65+0.04)*AN119)*EXP(-(LN(2)/$D$65+0.1)*AO119),"-"))),"-")</f>
        <v>-</v>
      </c>
      <c r="AS119" s="274">
        <f t="shared" si="24"/>
        <v>0</v>
      </c>
      <c r="AT119" s="274">
        <f t="shared" si="25"/>
        <v>0</v>
      </c>
      <c r="AU119" s="274">
        <f t="shared" si="26"/>
        <v>0</v>
      </c>
      <c r="AV119" s="275">
        <f>IF($B119&lt;$F$22,SUM($T$100:$T119),"")</f>
        <v>0</v>
      </c>
      <c r="AW119" s="275" t="str">
        <f t="shared" si="55"/>
        <v>-</v>
      </c>
      <c r="AX119" s="275" t="str">
        <f t="shared" si="56"/>
        <v/>
      </c>
      <c r="AY119"/>
      <c r="AZ119" s="275" t="str">
        <f ca="1">IF(ISNUMBER(OFFSET(AV119,-$F$21,0)),SUM(OFFSET($T$100,$F$21,0):$T119),"")</f>
        <v/>
      </c>
      <c r="BA119" s="275" t="str">
        <f t="shared" ca="1" si="27"/>
        <v/>
      </c>
      <c r="BB119" s="275" t="str">
        <f t="shared" ca="1" si="57"/>
        <v/>
      </c>
      <c r="BC119" s="190"/>
      <c r="BD119" s="275" t="str">
        <f ca="1">IFERROR(IF(OR(ISNUMBER(I),ISNUMBER($F$14)),IF(AND($B119&gt;=($F$16-$F$15),$B119&lt;$F$22+($F$16-$F$15)),SUM(OFFSET($T$100,($F$16-$F$15),0):$T119),""),""),"")</f>
        <v/>
      </c>
      <c r="BE119" s="275" t="str">
        <f t="shared" ca="1" si="58"/>
        <v/>
      </c>
      <c r="BF119" s="275" t="str">
        <f t="shared" ca="1" si="59"/>
        <v/>
      </c>
      <c r="BG119"/>
      <c r="BH119" s="190" t="str">
        <f ca="1">IF(ISNUMBER(OFFSET(BD119,-$F$21,0)),SUM(OFFSET($T$100,($F$16-$F$15+$F$21),0):$T119),"")</f>
        <v/>
      </c>
      <c r="BI119" s="190" t="str">
        <f t="shared" ca="1" si="28"/>
        <v/>
      </c>
      <c r="BJ119" s="190" t="str">
        <f t="shared" ca="1" si="60"/>
        <v/>
      </c>
      <c r="BK119" s="190"/>
      <c r="BL119" s="275" t="str">
        <f ca="1">IFERROR(IF(OR(ISNUMBER(I),ISNUMBER($F$14)),IF(AND($B119&gt;=($F$17-$F$15),$B119&lt;$F$22+($F$17-$F$15)),SUM(OFFSET($T$100,($F$17-$F$15),0):$T119),""),""),"")</f>
        <v/>
      </c>
      <c r="BM119" s="275" t="str">
        <f t="shared" ca="1" si="29"/>
        <v/>
      </c>
      <c r="BN119" s="275" t="str">
        <f t="shared" ca="1" si="61"/>
        <v/>
      </c>
      <c r="BO119"/>
      <c r="BP119" s="275" t="str">
        <f ca="1">IF(ISNUMBER(OFFSET(BL119,-$F$21,0)),SUM(OFFSET($T$100,($F$17-$F$15+$F$21),0):$T119),"")</f>
        <v/>
      </c>
      <c r="BQ119" s="275" t="str">
        <f t="shared" ca="1" si="62"/>
        <v/>
      </c>
      <c r="BR119" s="275" t="str">
        <f t="shared" ca="1" si="63"/>
        <v/>
      </c>
      <c r="BS119" s="190"/>
      <c r="BT119"/>
      <c r="BU119" s="276" t="str">
        <f t="shared" si="64"/>
        <v>end</v>
      </c>
      <c r="BV119" s="277">
        <v>19</v>
      </c>
      <c r="BW119" s="278" t="str">
        <f t="shared" si="69"/>
        <v/>
      </c>
      <c r="BX119" s="278" t="str">
        <f t="shared" si="68"/>
        <v/>
      </c>
      <c r="BY119" s="279" t="str">
        <f t="shared" si="65"/>
        <v/>
      </c>
      <c r="BZ119"/>
      <c r="CA119" s="280" t="str">
        <f t="shared" si="30"/>
        <v>-</v>
      </c>
      <c r="CB119" s="71" t="str">
        <f t="shared" si="31"/>
        <v>-</v>
      </c>
      <c r="CC119" s="33" t="str">
        <f t="shared" si="32"/>
        <v>19-20</v>
      </c>
      <c r="CD119" s="261" t="str">
        <f t="shared" si="33"/>
        <v/>
      </c>
      <c r="CE119" s="280" t="str">
        <f t="shared" si="34"/>
        <v>-</v>
      </c>
      <c r="CF119" s="71" t="str">
        <f t="shared" ca="1" si="35"/>
        <v>-</v>
      </c>
      <c r="CG119" s="33" t="str">
        <f t="shared" si="36"/>
        <v>19-20</v>
      </c>
      <c r="CH119" s="261" t="str">
        <f t="shared" ca="1" si="37"/>
        <v/>
      </c>
      <c r="CI119" s="202"/>
      <c r="CJ119" s="99"/>
      <c r="CK119" s="99"/>
      <c r="CL119" s="99"/>
      <c r="CM119" s="99"/>
      <c r="CN119" s="99"/>
      <c r="CO119" s="99"/>
    </row>
    <row r="120" spans="2:93" ht="13.5" customHeight="1" x14ac:dyDescent="0.2">
      <c r="B120" s="262">
        <v>20</v>
      </c>
      <c r="C120" s="237" t="str">
        <f t="shared" si="1"/>
        <v/>
      </c>
      <c r="D120" s="237" t="str">
        <f t="shared" si="66"/>
        <v>-</v>
      </c>
      <c r="E120" s="290" t="str">
        <f t="shared" si="38"/>
        <v/>
      </c>
      <c r="F120" s="264" t="str">
        <f t="shared" si="39"/>
        <v/>
      </c>
      <c r="G120" s="291" t="str">
        <f t="shared" si="40"/>
        <v/>
      </c>
      <c r="H120" s="240" t="str">
        <f t="shared" si="41"/>
        <v/>
      </c>
      <c r="I120" s="265" t="str">
        <f t="shared" si="2"/>
        <v/>
      </c>
      <c r="J120" s="265" t="str">
        <f t="shared" si="3"/>
        <v/>
      </c>
      <c r="K120" s="240" t="str">
        <f t="shared" si="4"/>
        <v/>
      </c>
      <c r="L120" s="265" t="str">
        <f t="shared" si="5"/>
        <v/>
      </c>
      <c r="M120" s="265" t="str">
        <f t="shared" si="6"/>
        <v/>
      </c>
      <c r="N120" s="240" t="str">
        <f t="shared" si="7"/>
        <v>-</v>
      </c>
      <c r="O120" s="265" t="str">
        <f t="shared" si="8"/>
        <v>-</v>
      </c>
      <c r="P120" s="265" t="str">
        <f t="shared" si="9"/>
        <v>-</v>
      </c>
      <c r="Q120" s="266" t="str">
        <f t="shared" si="10"/>
        <v>-</v>
      </c>
      <c r="R120" s="267" t="str">
        <f t="shared" si="11"/>
        <v>-</v>
      </c>
      <c r="S120" s="268" t="str">
        <f t="shared" si="12"/>
        <v>-</v>
      </c>
      <c r="T120" s="269" t="str">
        <f t="shared" si="13"/>
        <v/>
      </c>
      <c r="U120" s="221">
        <f t="shared" si="14"/>
        <v>20</v>
      </c>
      <c r="V120" s="220" t="str">
        <f t="shared" si="42"/>
        <v>-</v>
      </c>
      <c r="W120" s="221" t="str">
        <f t="shared" si="43"/>
        <v>-</v>
      </c>
      <c r="X120" s="221" t="str">
        <f t="shared" si="15"/>
        <v>-</v>
      </c>
      <c r="Y120" s="221" t="str">
        <f t="shared" si="16"/>
        <v>-</v>
      </c>
      <c r="Z120" s="270">
        <f t="shared" si="44"/>
        <v>0.1</v>
      </c>
      <c r="AA120" s="271" t="str">
        <f>IFERROR(IF(V119=1,AA$100*EXP(-(LN(2)/$D$65+0.04)*X119)*EXP(-(LN(2)/$D$65+0.1)*Y119),IF(V119=2,AA$100*EXP(-(LN(2)/$D$65+0.04)*(VLOOKUP(($F$16-$F$15)-1,U$99:Y119,4,FALSE)))*EXP(-(LN(2)/$D$65+0.1)*(VLOOKUP(($F$16-$F$15)-1,U$99:Y119,5,FALSE)))*EXP(-(LN(2)/$D$65+0.04)*X119)*EXP(-(LN(2)/$D$65+0.1)*Y119),IF(V119=3,AA$100*EXP(-(LN(2)/$D$65+0.04)*(VLOOKUP(($F$16-$F$15)-1,U$99:Y119,4,FALSE)))*EXP(-(LN(2)/$D$65+0.1)*(VLOOKUP(($F$16-$F$15)-1,U$99:Y119,5,FALSE)))*EXP(-(LN(2)/$D$65+0.04)*(VLOOKUP(($F$16-$F$15)*2-1,U$99:Y119,4,FALSE)))*EXP(-(LN(2)/$D$65+0.1)*(VLOOKUP(($F$16-$F$15)*2-1,U$99:Y119,5,FALSE)))*EXP(-(LN(2)/$D$65+0.04)*X119)*EXP(-(LN(2)/$D$65+0.1)*Y119),"-"))),"-")</f>
        <v>-</v>
      </c>
      <c r="AB120" s="271" t="str">
        <f>IFERROR(IF(V120=1,AB$100*EXP(-(LN(2)/$D$65+0.04)*X120)*EXP(-(LN(2)/$D$65+0.1)*Y120),IF(V120=2,AB$100*EXP(-(LN(2)/$D$65+0.04)*(VLOOKUP(($F$16-$F$15)-1,U$100:Y120,4,FALSE)))*EXP(-(LN(2)/$D$65+0.1)*(VLOOKUP(($F$16-$F$15)-1,U$100:Y120,5,FALSE)))*EXP(-(LN(2)/$D$65+0.04)*X120)*EXP(-(LN(2)/$D$65+0.1)*Y120),IF(V120=3,AB$100*EXP(-(LN(2)/$D$65+0.04)*(VLOOKUP(($F$16-$F$15)-1,U$100:Y120,4,FALSE)))*EXP(-(LN(2)/$D$65+0.1)*(VLOOKUP(($F$16-$F$15)-1,U$100:Y120,5,FALSE)))*EXP(-(LN(2)/$D$65+0.04)*(VLOOKUP(($F$16-$F$15)*2-1,U$100:Y120,4,FALSE)))*EXP(-(LN(2)/$D$65+0.1)*(VLOOKUP(($F$16-$F$15)*2-1,U$100:Y120,5,FALSE)))*EXP(-(LN(2)/$D$65+0.04)*X120)*EXP(-(LN(2)/$D$65+0.1)*Y120),"-"))),"-")</f>
        <v>-</v>
      </c>
      <c r="AC120" s="224">
        <f t="shared" si="45"/>
        <v>20</v>
      </c>
      <c r="AD120" s="223" t="str">
        <f t="shared" si="18"/>
        <v>-</v>
      </c>
      <c r="AE120" s="224" t="str">
        <f t="shared" si="46"/>
        <v>-</v>
      </c>
      <c r="AF120" s="224" t="str">
        <f t="shared" si="19"/>
        <v>-</v>
      </c>
      <c r="AG120" s="224" t="str">
        <f t="shared" si="20"/>
        <v>-</v>
      </c>
      <c r="AH120" s="272">
        <f t="shared" si="47"/>
        <v>0.1</v>
      </c>
      <c r="AI120" s="271" t="str">
        <f>IFERROR(IF(AD119=1,AI$100*EXP(-(LN(2)/$D$65+0.04)*AF119)*EXP(-(LN(2)/$D$65+0.1)*AG119),IF(AD119=2,AI$100*EXP(-(LN(2)/$D$65+0.04)*(VLOOKUP(($F$16-$F$15)-1,AC$99:AG119,4,FALSE)))*EXP(-(LN(2)/$D$65+0.1)*(VLOOKUP(($F$16-$F$15)-1,AC$99:AG119,5,FALSE)))*EXP(-(LN(2)/$D$65+0.04)*AF119)*EXP(-(LN(2)/$D$65+0.1)*AG119),IF(AD119=3,AI$100*EXP(-(LN(2)/$D$65+0.04)*(VLOOKUP(($F$16-$F$15)-1,AC$99:AG119,4,FALSE)))*EXP(-(LN(2)/$D$65+0.1)*(VLOOKUP(($F$16-$F$15)-1,AC$99:AG119,5,FALSE)))*EXP(-(LN(2)/$D$65+0.04)*(VLOOKUP(($F$16-$F$15)*2-1,AC$99:AG119,4,FALSE)))*EXP(-(LN(2)/$D$65+0.1)*(VLOOKUP(($F$16-$F$15)*2-1,AC$99:AG119,5,FALSE)))*EXP(-(LN(2)/$D$65+0.04)*AF119)*EXP(-(LN(2)/$D$65+0.1)*AG119),"-"))),"-")</f>
        <v>-</v>
      </c>
      <c r="AJ120" s="271" t="str">
        <f>IFERROR(IF(AD120=1,AJ$100*EXP(-(LN(2)/$D$65+0.04)*AF120)*EXP(-(LN(2)/$D$65+0.1)*AG120),IF(AD120=2,AJ$100*EXP(-(LN(2)/$D$65+0.04)*(VLOOKUP(($F$16-$F$15)-1,AC$100:AG120,4,FALSE)))*EXP(-(LN(2)/$D$65+0.1)*(VLOOKUP(($F$16-$F$15)-1,AC$100:AG120,5,FALSE)))*EXP(-(LN(2)/$D$65+0.04)*AF120)*EXP(-(LN(2)/$D$65+0.1)*AG120),IF(AD120=3,AJ$100*EXP(-(LN(2)/$D$65+0.04)*(VLOOKUP(($F$16-$F$15)-1,AC$100:AG120,4,FALSE)))*EXP(-(LN(2)/$D$65+0.1)*(VLOOKUP(($F$16-$F$15)-1,AC$100:AG120,5,FALSE)))*EXP(-(LN(2)/$D$65+0.04)*(VLOOKUP(($F$16-$F$15)*2-1,AC$100:AG120,4,FALSE)))*EXP(-(LN(2)/$D$65+0.1)*(VLOOKUP(($F$16-$F$15)*2-1,AC$100:AG120,5,FALSE)))*EXP(-(LN(2)/$D$65+0.04)*AF120)*EXP(-(LN(2)/$D$65+0.1)*AG120),"-"))),"-")</f>
        <v>-</v>
      </c>
      <c r="AK120" s="227">
        <f t="shared" si="49"/>
        <v>20</v>
      </c>
      <c r="AL120" s="226" t="str">
        <f t="shared" si="22"/>
        <v>-</v>
      </c>
      <c r="AM120" s="227" t="str">
        <f t="shared" si="50"/>
        <v>-</v>
      </c>
      <c r="AN120" s="227" t="str">
        <f t="shared" si="51"/>
        <v>-</v>
      </c>
      <c r="AO120" s="227" t="str">
        <f t="shared" si="23"/>
        <v>-</v>
      </c>
      <c r="AP120" s="273">
        <f t="shared" si="52"/>
        <v>0.1</v>
      </c>
      <c r="AQ120" s="271" t="str">
        <f>IFERROR(IF(AL119=1,AQ$100*EXP(-(LN(2)/$D$65+0.04)*AN119)*EXP(-(LN(2)/$D$65+0.1)*AO119),IF(AL119=2,AQ$100*EXP(-(LN(2)/$D$65+0.04)*(VLOOKUP(($F$16-$F$15)-1,AK$99:AO119,4,FALSE)))*EXP(-(LN(2)/$D$65+0.1)*(VLOOKUP(($F$16-$F$15)-1,AK$99:AO119,5,FALSE)))*EXP(-(LN(2)/$D$65+0.04)*AN119)*EXP(-(LN(2)/$D$65+0.1)*AO119),IF(AL119=3,AQ$100*EXP(-(LN(2)/$D$65+0.04)*(VLOOKUP(($F$16-$F$15)-1,AK$99:AO119,4,FALSE)))*EXP(-(LN(2)/$D$65+0.1)*(VLOOKUP(($F$16-$F$15)-1,AK$99:AO119,5,FALSE)))*EXP(-(LN(2)/$D$65+0.04)*(VLOOKUP(($F$16-$F$15)*2-1,AK$99:AO119,4,FALSE)))*EXP(-(LN(2)/$D$65+0.1)*(VLOOKUP(($F$16-$F$15)*2-1,AK$99:AO119,5,FALSE)))*EXP(-(LN(2)/$D$65+0.04)*AN119)*EXP(-(LN(2)/$D$65+0.1)*AO119),"-"))),"-")</f>
        <v>-</v>
      </c>
      <c r="AR120" s="271" t="str">
        <f>IFERROR(IF(AL120=1,AR$100*EXP(-(LN(2)/$D$65+0.04)*AN120)*EXP(-(LN(2)/$D$65+0.1)*AO120),IF(AL120=2,AR$100*EXP(-(LN(2)/$D$65+0.04)*(VLOOKUP(($F$16-$F$15)-1,AK$100:AO120,4,FALSE)))*EXP(-(LN(2)/$D$65+0.1)*(VLOOKUP(($F$16-$F$15)-1,AK$100:AO120,5,FALSE)))*EXP(-(LN(2)/$D$65+0.04)*AN120)*EXP(-(LN(2)/$D$65+0.1)*AO120),IF(AL120=3,AR$100*EXP(-(LN(2)/$D$65+0.04)*(VLOOKUP(($F$16-$F$15)-1,AK$100:AO120,4,FALSE)))*EXP(-(LN(2)/$D$65+0.1)*(VLOOKUP(($F$16-$F$15)-1,AK$100:AO120,5,FALSE)))*EXP(-(LN(2)/$D$65+0.04)*(VLOOKUP(($F$16-$F$15)*2-1,AK$100:AO120,4,FALSE)))*EXP(-(LN(2)/$D$65+0.1)*(VLOOKUP(($F$16-$F$15)*2-1,AK$100:AO120,5,FALSE)))*EXP(-(LN(2)/$D$65+0.04)*AN120)*EXP(-(LN(2)/$D$65+0.1)*AO120),"-"))),"-")</f>
        <v>-</v>
      </c>
      <c r="AS120" s="274">
        <f t="shared" si="24"/>
        <v>0</v>
      </c>
      <c r="AT120" s="274">
        <f t="shared" si="25"/>
        <v>0</v>
      </c>
      <c r="AU120" s="274">
        <f t="shared" si="26"/>
        <v>0</v>
      </c>
      <c r="AV120" s="253">
        <f>IF($B120&lt;$F$22,SUM($T$100:$T120),"")</f>
        <v>0</v>
      </c>
      <c r="AW120" s="253" t="str">
        <f t="shared" si="55"/>
        <v>-</v>
      </c>
      <c r="AX120" s="253" t="str">
        <f t="shared" si="56"/>
        <v/>
      </c>
      <c r="AY120" s="295"/>
      <c r="AZ120" s="253" t="str">
        <f ca="1">IF(ISNUMBER(OFFSET(AV120,-$F$21,0)),SUM(OFFSET($T$100,$F$21,0):$T120),"")</f>
        <v/>
      </c>
      <c r="BA120" s="253" t="str">
        <f t="shared" ca="1" si="27"/>
        <v/>
      </c>
      <c r="BB120" s="253" t="str">
        <f ca="1">IF(ISNUMBER(AZ120),(AZ120-BA120)/(3*86400*(OFFSET($B120,-$F$21,0)+1))*1000,"")</f>
        <v/>
      </c>
      <c r="BC120" s="253"/>
      <c r="BD120" s="253" t="str">
        <f ca="1">IFERROR(IF(OR(ISNUMBER(I),ISNUMBER($F$14)),IF(AND($B120&gt;=($F$16-$F$15),$B120&lt;$F$22+($F$16-$F$15)),SUM(OFFSET($T$100,($F$16-$F$15),0):$T120),""),""),"")</f>
        <v/>
      </c>
      <c r="BE120" s="253" t="str">
        <f t="shared" ca="1" si="58"/>
        <v/>
      </c>
      <c r="BF120" s="253" t="str">
        <f t="shared" ca="1" si="59"/>
        <v/>
      </c>
      <c r="BG120" s="295"/>
      <c r="BH120" s="253" t="str">
        <f ca="1">IF(ISNUMBER(OFFSET(BD120,-$F$21,0)),SUM(OFFSET($T$100,($F$16-$F$15+$F$21),0):$T120),"")</f>
        <v/>
      </c>
      <c r="BI120" s="253" t="str">
        <f t="shared" ca="1" si="28"/>
        <v/>
      </c>
      <c r="BJ120" s="253" t="str">
        <f t="shared" ca="1" si="60"/>
        <v/>
      </c>
      <c r="BK120" s="253"/>
      <c r="BL120" s="253" t="str">
        <f ca="1">IFERROR(IF(OR(ISNUMBER(I),ISNUMBER($F$14)),IF(AND($B120&gt;=($F$17-$F$15),$B120&lt;$F$22+($F$17-$F$15)),SUM(OFFSET($T$100,($F$17-$F$15),0):$T120),""),""),"")</f>
        <v/>
      </c>
      <c r="BM120" s="253" t="str">
        <f t="shared" ca="1" si="29"/>
        <v/>
      </c>
      <c r="BN120" s="253" t="str">
        <f t="shared" ca="1" si="61"/>
        <v/>
      </c>
      <c r="BO120" s="295"/>
      <c r="BP120" s="253" t="str">
        <f ca="1">IF(ISNUMBER(OFFSET(BL120,-$F$21,0)),SUM(OFFSET($T$100,($F$17-$F$15+$F$21),0):$T120),"")</f>
        <v/>
      </c>
      <c r="BQ120" s="253" t="str">
        <f t="shared" ca="1" si="62"/>
        <v/>
      </c>
      <c r="BR120" s="253" t="str">
        <f t="shared" ca="1" si="63"/>
        <v/>
      </c>
      <c r="BS120" s="253"/>
      <c r="BT120" s="296"/>
      <c r="BU120" s="297" t="str">
        <f t="shared" si="64"/>
        <v>end</v>
      </c>
      <c r="BV120" s="277">
        <v>20</v>
      </c>
      <c r="BW120" s="298" t="str">
        <f t="shared" si="69"/>
        <v/>
      </c>
      <c r="BX120" s="298" t="str">
        <f t="shared" si="68"/>
        <v/>
      </c>
      <c r="BY120" s="299" t="str">
        <f t="shared" si="65"/>
        <v/>
      </c>
      <c r="BZ120" s="67"/>
      <c r="CA120" s="280" t="str">
        <f t="shared" si="30"/>
        <v>-</v>
      </c>
      <c r="CB120" s="71" t="str">
        <f t="shared" si="31"/>
        <v>-</v>
      </c>
      <c r="CC120" s="33" t="str">
        <f t="shared" si="32"/>
        <v>20-21</v>
      </c>
      <c r="CD120" s="261" t="str">
        <f t="shared" si="33"/>
        <v/>
      </c>
      <c r="CE120" s="280" t="str">
        <f t="shared" si="34"/>
        <v>-</v>
      </c>
      <c r="CF120" s="71" t="str">
        <f t="shared" ca="1" si="35"/>
        <v>-</v>
      </c>
      <c r="CG120" s="33" t="str">
        <f t="shared" si="36"/>
        <v>20-21</v>
      </c>
      <c r="CH120" s="261" t="str">
        <f t="shared" ca="1" si="37"/>
        <v/>
      </c>
      <c r="CI120" s="202"/>
      <c r="CJ120" s="99"/>
      <c r="CK120" s="99"/>
      <c r="CL120" s="99"/>
      <c r="CM120" s="99"/>
      <c r="CN120" s="99"/>
      <c r="CO120" s="99"/>
    </row>
    <row r="121" spans="2:93" ht="13.5" customHeight="1" x14ac:dyDescent="0.2">
      <c r="B121" s="262">
        <v>21</v>
      </c>
      <c r="C121" s="237" t="str">
        <f t="shared" si="1"/>
        <v/>
      </c>
      <c r="D121" s="237" t="str">
        <f t="shared" si="66"/>
        <v/>
      </c>
      <c r="E121" s="290" t="str">
        <f t="shared" si="38"/>
        <v/>
      </c>
      <c r="F121" s="264" t="str">
        <f t="shared" si="39"/>
        <v/>
      </c>
      <c r="G121" s="291" t="str">
        <f t="shared" si="40"/>
        <v/>
      </c>
      <c r="H121" s="240" t="str">
        <f t="shared" si="41"/>
        <v/>
      </c>
      <c r="I121" s="265" t="str">
        <f t="shared" si="2"/>
        <v/>
      </c>
      <c r="J121" s="265" t="str">
        <f t="shared" si="3"/>
        <v/>
      </c>
      <c r="K121" s="240" t="str">
        <f t="shared" si="4"/>
        <v/>
      </c>
      <c r="L121" s="265" t="str">
        <f t="shared" si="5"/>
        <v/>
      </c>
      <c r="M121" s="265" t="str">
        <f t="shared" si="6"/>
        <v/>
      </c>
      <c r="N121" s="240" t="str">
        <f t="shared" si="7"/>
        <v>-</v>
      </c>
      <c r="O121" s="265" t="str">
        <f t="shared" si="8"/>
        <v>-</v>
      </c>
      <c r="P121" s="265" t="str">
        <f t="shared" si="9"/>
        <v>-</v>
      </c>
      <c r="Q121" s="266" t="str">
        <f t="shared" si="10"/>
        <v>-</v>
      </c>
      <c r="R121" s="267" t="str">
        <f t="shared" si="11"/>
        <v>-</v>
      </c>
      <c r="S121" s="268" t="str">
        <f t="shared" si="12"/>
        <v>-</v>
      </c>
      <c r="T121" s="269" t="str">
        <f t="shared" si="13"/>
        <v/>
      </c>
      <c r="U121" s="221">
        <f t="shared" si="14"/>
        <v>21</v>
      </c>
      <c r="V121" s="220" t="str">
        <f t="shared" si="42"/>
        <v>-</v>
      </c>
      <c r="W121" s="221" t="str">
        <f t="shared" si="43"/>
        <v>-</v>
      </c>
      <c r="X121" s="221" t="str">
        <f t="shared" si="15"/>
        <v>-</v>
      </c>
      <c r="Y121" s="221" t="str">
        <f t="shared" si="16"/>
        <v>-</v>
      </c>
      <c r="Z121" s="270">
        <f t="shared" si="44"/>
        <v>0.1</v>
      </c>
      <c r="AA121" s="271" t="str">
        <f>IFERROR(IF(V120=1,AA$100*EXP(-(LN(2)/$D$65+0.04)*X120)*EXP(-(LN(2)/$D$65+0.1)*Y120),IF(V120=2,AA$100*EXP(-(LN(2)/$D$65+0.04)*(VLOOKUP(($F$16-$F$15)-1,U$99:Y120,4,FALSE)))*EXP(-(LN(2)/$D$65+0.1)*(VLOOKUP(($F$16-$F$15)-1,U$99:Y120,5,FALSE)))*EXP(-(LN(2)/$D$65+0.04)*X120)*EXP(-(LN(2)/$D$65+0.1)*Y120),IF(V120=3,AA$100*EXP(-(LN(2)/$D$65+0.04)*(VLOOKUP(($F$16-$F$15)-1,U$99:Y120,4,FALSE)))*EXP(-(LN(2)/$D$65+0.1)*(VLOOKUP(($F$16-$F$15)-1,U$99:Y120,5,FALSE)))*EXP(-(LN(2)/$D$65+0.04)*(VLOOKUP(($F$16-$F$15)*2-1,U$99:Y120,4,FALSE)))*EXP(-(LN(2)/$D$65+0.1)*(VLOOKUP(($F$16-$F$15)*2-1,U$99:Y120,5,FALSE)))*EXP(-(LN(2)/$D$65+0.04)*X120)*EXP(-(LN(2)/$D$65+0.1)*Y120),"-"))),"-")</f>
        <v>-</v>
      </c>
      <c r="AB121" s="271" t="str">
        <f>IFERROR(IF(V121=1,AB$100*EXP(-(LN(2)/$D$65+0.04)*X121)*EXP(-(LN(2)/$D$65+0.1)*Y121),IF(V121=2,AB$100*EXP(-(LN(2)/$D$65+0.04)*(VLOOKUP(($F$16-$F$15)-1,U$100:Y121,4,FALSE)))*EXP(-(LN(2)/$D$65+0.1)*(VLOOKUP(($F$16-$F$15)-1,U$100:Y121,5,FALSE)))*EXP(-(LN(2)/$D$65+0.04)*X121)*EXP(-(LN(2)/$D$65+0.1)*Y121),IF(V121=3,AB$100*EXP(-(LN(2)/$D$65+0.04)*(VLOOKUP(($F$16-$F$15)-1,U$100:Y121,4,FALSE)))*EXP(-(LN(2)/$D$65+0.1)*(VLOOKUP(($F$16-$F$15)-1,U$100:Y121,5,FALSE)))*EXP(-(LN(2)/$D$65+0.04)*(VLOOKUP(($F$16-$F$15)*2-1,U$100:Y121,4,FALSE)))*EXP(-(LN(2)/$D$65+0.1)*(VLOOKUP(($F$16-$F$15)*2-1,U$100:Y121,5,FALSE)))*EXP(-(LN(2)/$D$65+0.04)*X121)*EXP(-(LN(2)/$D$65+0.1)*Y121),"-"))),"-")</f>
        <v>-</v>
      </c>
      <c r="AC121" s="224">
        <f t="shared" si="45"/>
        <v>21</v>
      </c>
      <c r="AD121" s="223" t="str">
        <f t="shared" si="18"/>
        <v>-</v>
      </c>
      <c r="AE121" s="224" t="str">
        <f t="shared" si="46"/>
        <v>-</v>
      </c>
      <c r="AF121" s="224" t="str">
        <f t="shared" si="19"/>
        <v>-</v>
      </c>
      <c r="AG121" s="224" t="str">
        <f t="shared" si="20"/>
        <v>-</v>
      </c>
      <c r="AH121" s="272">
        <f t="shared" si="47"/>
        <v>0.1</v>
      </c>
      <c r="AI121" s="271" t="str">
        <f>IFERROR(IF(AD120=1,AI$100*EXP(-(LN(2)/$D$65+0.04)*AF120)*EXP(-(LN(2)/$D$65+0.1)*AG120),IF(AD120=2,AI$100*EXP(-(LN(2)/$D$65+0.04)*(VLOOKUP(($F$16-$F$15)-1,AC$99:AG120,4,FALSE)))*EXP(-(LN(2)/$D$65+0.1)*(VLOOKUP(($F$16-$F$15)-1,AC$99:AG120,5,FALSE)))*EXP(-(LN(2)/$D$65+0.04)*AF120)*EXP(-(LN(2)/$D$65+0.1)*AG120),IF(AD120=3,AI$100*EXP(-(LN(2)/$D$65+0.04)*(VLOOKUP(($F$16-$F$15)-1,AC$99:AG120,4,FALSE)))*EXP(-(LN(2)/$D$65+0.1)*(VLOOKUP(($F$16-$F$15)-1,AC$99:AG120,5,FALSE)))*EXP(-(LN(2)/$D$65+0.04)*(VLOOKUP(($F$16-$F$15)*2-1,AC$99:AG120,4,FALSE)))*EXP(-(LN(2)/$D$65+0.1)*(VLOOKUP(($F$16-$F$15)*2-1,AC$99:AG120,5,FALSE)))*EXP(-(LN(2)/$D$65+0.04)*AF120)*EXP(-(LN(2)/$D$65+0.1)*AG120),"-"))),"-")</f>
        <v>-</v>
      </c>
      <c r="AJ121" s="271" t="str">
        <f>IFERROR(IF(AD121=1,AJ$100*EXP(-(LN(2)/$D$65+0.04)*AF121)*EXP(-(LN(2)/$D$65+0.1)*AG121),IF(AD121=2,AJ$100*EXP(-(LN(2)/$D$65+0.04)*(VLOOKUP(($F$16-$F$15)-1,AC$100:AG121,4,FALSE)))*EXP(-(LN(2)/$D$65+0.1)*(VLOOKUP(($F$16-$F$15)-1,AC$100:AG121,5,FALSE)))*EXP(-(LN(2)/$D$65+0.04)*AF121)*EXP(-(LN(2)/$D$65+0.1)*AG121),IF(AD121=3,AJ$100*EXP(-(LN(2)/$D$65+0.04)*(VLOOKUP(($F$16-$F$15)-1,AC$100:AG121,4,FALSE)))*EXP(-(LN(2)/$D$65+0.1)*(VLOOKUP(($F$16-$F$15)-1,AC$100:AG121,5,FALSE)))*EXP(-(LN(2)/$D$65+0.04)*(VLOOKUP(($F$16-$F$15)*2-1,AC$100:AG121,4,FALSE)))*EXP(-(LN(2)/$D$65+0.1)*(VLOOKUP(($F$16-$F$15)*2-1,AC$100:AG121,5,FALSE)))*EXP(-(LN(2)/$D$65+0.04)*AF121)*EXP(-(LN(2)/$D$65+0.1)*AG121),"-"))),"-")</f>
        <v>-</v>
      </c>
      <c r="AK121" s="227">
        <f t="shared" si="49"/>
        <v>21</v>
      </c>
      <c r="AL121" s="226" t="str">
        <f t="shared" si="22"/>
        <v>-</v>
      </c>
      <c r="AM121" s="227" t="str">
        <f t="shared" si="50"/>
        <v>-</v>
      </c>
      <c r="AN121" s="227" t="str">
        <f t="shared" si="51"/>
        <v>-</v>
      </c>
      <c r="AO121" s="227" t="str">
        <f t="shared" si="23"/>
        <v>-</v>
      </c>
      <c r="AP121" s="273">
        <f t="shared" si="52"/>
        <v>0.1</v>
      </c>
      <c r="AQ121" s="271" t="str">
        <f>IFERROR(IF(AL120=1,AQ$100*EXP(-(LN(2)/$D$65+0.04)*AN120)*EXP(-(LN(2)/$D$65+0.1)*AO120),IF(AL120=2,AQ$100*EXP(-(LN(2)/$D$65+0.04)*(VLOOKUP(($F$16-$F$15)-1,AK$99:AO120,4,FALSE)))*EXP(-(LN(2)/$D$65+0.1)*(VLOOKUP(($F$16-$F$15)-1,AK$99:AO120,5,FALSE)))*EXP(-(LN(2)/$D$65+0.04)*AN120)*EXP(-(LN(2)/$D$65+0.1)*AO120),IF(AL120=3,AQ$100*EXP(-(LN(2)/$D$65+0.04)*(VLOOKUP(($F$16-$F$15)-1,AK$99:AO120,4,FALSE)))*EXP(-(LN(2)/$D$65+0.1)*(VLOOKUP(($F$16-$F$15)-1,AK$99:AO120,5,FALSE)))*EXP(-(LN(2)/$D$65+0.04)*(VLOOKUP(($F$16-$F$15)*2-1,AK$99:AO120,4,FALSE)))*EXP(-(LN(2)/$D$65+0.1)*(VLOOKUP(($F$16-$F$15)*2-1,AK$99:AO120,5,FALSE)))*EXP(-(LN(2)/$D$65+0.04)*AN120)*EXP(-(LN(2)/$D$65+0.1)*AO120),"-"))),"-")</f>
        <v>-</v>
      </c>
      <c r="AR121" s="271" t="str">
        <f>IFERROR(IF(AL121=1,AR$100*EXP(-(LN(2)/$D$65+0.04)*AN121)*EXP(-(LN(2)/$D$65+0.1)*AO121),IF(AL121=2,AR$100*EXP(-(LN(2)/$D$65+0.04)*(VLOOKUP(($F$16-$F$15)-1,AK$100:AO121,4,FALSE)))*EXP(-(LN(2)/$D$65+0.1)*(VLOOKUP(($F$16-$F$15)-1,AK$100:AO121,5,FALSE)))*EXP(-(LN(2)/$D$65+0.04)*AN121)*EXP(-(LN(2)/$D$65+0.1)*AO121),IF(AL121=3,AR$100*EXP(-(LN(2)/$D$65+0.04)*(VLOOKUP(($F$16-$F$15)-1,AK$100:AO121,4,FALSE)))*EXP(-(LN(2)/$D$65+0.1)*(VLOOKUP(($F$16-$F$15)-1,AK$100:AO121,5,FALSE)))*EXP(-(LN(2)/$D$65+0.04)*(VLOOKUP(($F$16-$F$15)*2-1,AK$100:AO121,4,FALSE)))*EXP(-(LN(2)/$D$65+0.1)*(VLOOKUP(($F$16-$F$15)*2-1,AK$100:AO121,5,FALSE)))*EXP(-(LN(2)/$D$65+0.04)*AN121)*EXP(-(LN(2)/$D$65+0.1)*AO121),"-"))),"-")</f>
        <v>-</v>
      </c>
      <c r="AS121" s="274">
        <f t="shared" si="24"/>
        <v>0</v>
      </c>
      <c r="AT121" s="274">
        <f t="shared" si="25"/>
        <v>0</v>
      </c>
      <c r="AU121" s="274">
        <f t="shared" si="26"/>
        <v>0</v>
      </c>
      <c r="AV121" s="190" t="str">
        <f>IF($B121&lt;$F$22,SUM($T$100:$T121),"")</f>
        <v/>
      </c>
      <c r="AW121" s="190" t="str">
        <f t="shared" si="55"/>
        <v>-</v>
      </c>
      <c r="AX121" s="190" t="str">
        <f t="shared" si="56"/>
        <v/>
      </c>
      <c r="AY121"/>
      <c r="AZ121" s="190" t="str">
        <f ca="1">IF(ISNUMBER(OFFSET(AV121,-$F$21,0)),SUM(OFFSET($T$100,$F$21,0):$T121),"")</f>
        <v/>
      </c>
      <c r="BA121" s="190" t="str">
        <f t="shared" ca="1" si="27"/>
        <v/>
      </c>
      <c r="BB121" s="190" t="str">
        <f t="shared" ref="BB121:BB184" ca="1" si="70">IF(ISNUMBER(AZ121),(AZ121-BA121)/(3*86400*(OFFSET($B121,-$F$21,0)+1))*1000,"")</f>
        <v/>
      </c>
      <c r="BC121" s="190"/>
      <c r="BD121" s="190" t="str">
        <f ca="1">IFERROR(IF(OR(ISNUMBER(I),ISNUMBER($F$14)),IF(AND($B121&gt;=($F$16-$F$15),$B121&lt;$F$22+($F$16-$F$15)),SUM(OFFSET($T$100,($F$16-$F$15),0):$T121),""),""),"")</f>
        <v/>
      </c>
      <c r="BE121" s="190" t="str">
        <f t="shared" ca="1" si="58"/>
        <v/>
      </c>
      <c r="BF121" s="190" t="str">
        <f t="shared" ca="1" si="59"/>
        <v/>
      </c>
      <c r="BG121"/>
      <c r="BH121" s="190" t="str">
        <f ca="1">IF(ISNUMBER(OFFSET(BD121,-$F$21,0)),SUM(OFFSET($T$100,($F$16-$F$15+$F$21),0):$T121),"")</f>
        <v/>
      </c>
      <c r="BI121" s="190" t="str">
        <f t="shared" ca="1" si="28"/>
        <v/>
      </c>
      <c r="BJ121" s="190" t="str">
        <f t="shared" ca="1" si="60"/>
        <v/>
      </c>
      <c r="BK121" s="190"/>
      <c r="BL121" s="190" t="str">
        <f ca="1">IFERROR(IF(OR(ISNUMBER(I),ISNUMBER($F$14)),IF(AND($B121&gt;=($F$17-$F$15),$B121&lt;$F$22+($F$17-$F$15)),SUM(OFFSET($T$100,($F$17-$F$15),0):$T121),""),""),"")</f>
        <v/>
      </c>
      <c r="BM121" s="190" t="str">
        <f t="shared" ca="1" si="29"/>
        <v/>
      </c>
      <c r="BN121" s="190" t="str">
        <f t="shared" ca="1" si="61"/>
        <v/>
      </c>
      <c r="BO121"/>
      <c r="BP121" s="190" t="str">
        <f ca="1">IF(ISNUMBER(OFFSET(BL121,-$F$21,0)),SUM(OFFSET($T$100,($F$17-$F$15+$F$21),0):$T121),"")</f>
        <v/>
      </c>
      <c r="BQ121" s="190" t="str">
        <f t="shared" ca="1" si="62"/>
        <v/>
      </c>
      <c r="BR121" s="190" t="str">
        <f t="shared" ca="1" si="63"/>
        <v/>
      </c>
      <c r="BS121" s="190"/>
      <c r="BT121"/>
      <c r="BU121" s="300" t="s">
        <v>289</v>
      </c>
      <c r="BV121" s="301"/>
      <c r="BW121" s="300"/>
      <c r="BX121" s="300"/>
      <c r="BY121" s="300"/>
      <c r="BZ121" s="302"/>
      <c r="CA121" s="280" t="str">
        <f t="shared" si="30"/>
        <v/>
      </c>
      <c r="CB121" s="71" t="str">
        <f t="shared" si="31"/>
        <v>-</v>
      </c>
      <c r="CC121" s="33"/>
      <c r="CD121" s="261" t="str">
        <f t="shared" si="33"/>
        <v/>
      </c>
      <c r="CE121" s="280" t="str">
        <f t="shared" si="34"/>
        <v/>
      </c>
      <c r="CF121" s="71" t="str">
        <f t="shared" ca="1" si="35"/>
        <v/>
      </c>
      <c r="CG121" s="33" t="str">
        <f t="shared" si="36"/>
        <v/>
      </c>
      <c r="CH121" s="261" t="str">
        <f t="shared" ca="1" si="37"/>
        <v/>
      </c>
      <c r="CI121" s="202"/>
      <c r="CJ121" s="99"/>
      <c r="CK121" s="99"/>
      <c r="CL121" s="99"/>
      <c r="CM121" s="99"/>
      <c r="CN121" s="99"/>
      <c r="CO121" s="99"/>
    </row>
    <row r="122" spans="2:93" ht="13.5" customHeight="1" x14ac:dyDescent="0.2">
      <c r="B122" s="262">
        <v>22</v>
      </c>
      <c r="C122" s="237" t="str">
        <f t="shared" si="1"/>
        <v/>
      </c>
      <c r="D122" s="237" t="str">
        <f t="shared" si="66"/>
        <v/>
      </c>
      <c r="E122" s="290" t="str">
        <f t="shared" si="38"/>
        <v/>
      </c>
      <c r="F122" s="264" t="str">
        <f t="shared" si="39"/>
        <v/>
      </c>
      <c r="G122" s="291" t="str">
        <f t="shared" si="40"/>
        <v/>
      </c>
      <c r="H122" s="240" t="str">
        <f t="shared" si="41"/>
        <v/>
      </c>
      <c r="I122" s="265" t="str">
        <f t="shared" si="2"/>
        <v/>
      </c>
      <c r="J122" s="265" t="str">
        <f t="shared" si="3"/>
        <v/>
      </c>
      <c r="K122" s="240" t="str">
        <f t="shared" si="4"/>
        <v/>
      </c>
      <c r="L122" s="265" t="str">
        <f t="shared" si="5"/>
        <v/>
      </c>
      <c r="M122" s="265" t="str">
        <f t="shared" si="6"/>
        <v/>
      </c>
      <c r="N122" s="240" t="str">
        <f t="shared" si="7"/>
        <v>-</v>
      </c>
      <c r="O122" s="265" t="str">
        <f t="shared" si="8"/>
        <v>-</v>
      </c>
      <c r="P122" s="265" t="str">
        <f t="shared" si="9"/>
        <v>-</v>
      </c>
      <c r="Q122" s="266" t="str">
        <f t="shared" si="10"/>
        <v>-</v>
      </c>
      <c r="R122" s="267" t="str">
        <f t="shared" si="11"/>
        <v>-</v>
      </c>
      <c r="S122" s="268" t="str">
        <f t="shared" si="12"/>
        <v>-</v>
      </c>
      <c r="T122" s="269" t="str">
        <f t="shared" si="13"/>
        <v/>
      </c>
      <c r="U122" s="221">
        <f t="shared" si="14"/>
        <v>22</v>
      </c>
      <c r="V122" s="220" t="str">
        <f t="shared" si="42"/>
        <v>-</v>
      </c>
      <c r="W122" s="221" t="str">
        <f t="shared" si="43"/>
        <v>-</v>
      </c>
      <c r="X122" s="221" t="str">
        <f t="shared" si="15"/>
        <v>-</v>
      </c>
      <c r="Y122" s="221" t="str">
        <f t="shared" si="16"/>
        <v>-</v>
      </c>
      <c r="Z122" s="270">
        <f t="shared" si="44"/>
        <v>0.1</v>
      </c>
      <c r="AA122" s="271" t="str">
        <f>IFERROR(IF(V121=1,AA$100*EXP(-(LN(2)/$D$65+0.04)*X121)*EXP(-(LN(2)/$D$65+0.1)*Y121),IF(V121=2,AA$100*EXP(-(LN(2)/$D$65+0.04)*(VLOOKUP(($F$16-$F$15)-1,U$99:Y121,4,FALSE)))*EXP(-(LN(2)/$D$65+0.1)*(VLOOKUP(($F$16-$F$15)-1,U$99:Y121,5,FALSE)))*EXP(-(LN(2)/$D$65+0.04)*X121)*EXP(-(LN(2)/$D$65+0.1)*Y121),IF(V121=3,AA$100*EXP(-(LN(2)/$D$65+0.04)*(VLOOKUP(($F$16-$F$15)-1,U$99:Y121,4,FALSE)))*EXP(-(LN(2)/$D$65+0.1)*(VLOOKUP(($F$16-$F$15)-1,U$99:Y121,5,FALSE)))*EXP(-(LN(2)/$D$65+0.04)*(VLOOKUP(($F$16-$F$15)*2-1,U$99:Y121,4,FALSE)))*EXP(-(LN(2)/$D$65+0.1)*(VLOOKUP(($F$16-$F$15)*2-1,U$99:Y121,5,FALSE)))*EXP(-(LN(2)/$D$65+0.04)*X121)*EXP(-(LN(2)/$D$65+0.1)*Y121),"-"))),"-")</f>
        <v>-</v>
      </c>
      <c r="AB122" s="271" t="str">
        <f>IFERROR(IF(V122=1,AB$100*EXP(-(LN(2)/$D$65+0.04)*X122)*EXP(-(LN(2)/$D$65+0.1)*Y122),IF(V122=2,AB$100*EXP(-(LN(2)/$D$65+0.04)*(VLOOKUP(($F$16-$F$15)-1,U$100:Y122,4,FALSE)))*EXP(-(LN(2)/$D$65+0.1)*(VLOOKUP(($F$16-$F$15)-1,U$100:Y122,5,FALSE)))*EXP(-(LN(2)/$D$65+0.04)*X122)*EXP(-(LN(2)/$D$65+0.1)*Y122),IF(V122=3,AB$100*EXP(-(LN(2)/$D$65+0.04)*(VLOOKUP(($F$16-$F$15)-1,U$100:Y122,4,FALSE)))*EXP(-(LN(2)/$D$65+0.1)*(VLOOKUP(($F$16-$F$15)-1,U$100:Y122,5,FALSE)))*EXP(-(LN(2)/$D$65+0.04)*(VLOOKUP(($F$16-$F$15)*2-1,U$100:Y122,4,FALSE)))*EXP(-(LN(2)/$D$65+0.1)*(VLOOKUP(($F$16-$F$15)*2-1,U$100:Y122,5,FALSE)))*EXP(-(LN(2)/$D$65+0.04)*X122)*EXP(-(LN(2)/$D$65+0.1)*Y122),"-"))),"-")</f>
        <v>-</v>
      </c>
      <c r="AC122" s="224">
        <f t="shared" si="45"/>
        <v>22</v>
      </c>
      <c r="AD122" s="223" t="str">
        <f t="shared" si="18"/>
        <v>-</v>
      </c>
      <c r="AE122" s="224" t="str">
        <f t="shared" si="46"/>
        <v>-</v>
      </c>
      <c r="AF122" s="224" t="str">
        <f t="shared" si="19"/>
        <v>-</v>
      </c>
      <c r="AG122" s="224" t="str">
        <f t="shared" si="20"/>
        <v>-</v>
      </c>
      <c r="AH122" s="272">
        <f t="shared" si="47"/>
        <v>0.1</v>
      </c>
      <c r="AI122" s="271" t="str">
        <f>IFERROR(IF(AD121=1,AI$100*EXP(-(LN(2)/$D$65+0.04)*AF121)*EXP(-(LN(2)/$D$65+0.1)*AG121),IF(AD121=2,AI$100*EXP(-(LN(2)/$D$65+0.04)*(VLOOKUP(($F$16-$F$15)-1,AC$99:AG121,4,FALSE)))*EXP(-(LN(2)/$D$65+0.1)*(VLOOKUP(($F$16-$F$15)-1,AC$99:AG121,5,FALSE)))*EXP(-(LN(2)/$D$65+0.04)*AF121)*EXP(-(LN(2)/$D$65+0.1)*AG121),IF(AD121=3,AI$100*EXP(-(LN(2)/$D$65+0.04)*(VLOOKUP(($F$16-$F$15)-1,AC$99:AG121,4,FALSE)))*EXP(-(LN(2)/$D$65+0.1)*(VLOOKUP(($F$16-$F$15)-1,AC$99:AG121,5,FALSE)))*EXP(-(LN(2)/$D$65+0.04)*(VLOOKUP(($F$16-$F$15)*2-1,AC$99:AG121,4,FALSE)))*EXP(-(LN(2)/$D$65+0.1)*(VLOOKUP(($F$16-$F$15)*2-1,AC$99:AG121,5,FALSE)))*EXP(-(LN(2)/$D$65+0.04)*AF121)*EXP(-(LN(2)/$D$65+0.1)*AG121),"-"))),"-")</f>
        <v>-</v>
      </c>
      <c r="AJ122" s="271" t="str">
        <f>IFERROR(IF(AD122=1,AJ$100*EXP(-(LN(2)/$D$65+0.04)*AF122)*EXP(-(LN(2)/$D$65+0.1)*AG122),IF(AD122=2,AJ$100*EXP(-(LN(2)/$D$65+0.04)*(VLOOKUP(($F$16-$F$15)-1,AC$100:AG122,4,FALSE)))*EXP(-(LN(2)/$D$65+0.1)*(VLOOKUP(($F$16-$F$15)-1,AC$100:AG122,5,FALSE)))*EXP(-(LN(2)/$D$65+0.04)*AF122)*EXP(-(LN(2)/$D$65+0.1)*AG122),IF(AD122=3,AJ$100*EXP(-(LN(2)/$D$65+0.04)*(VLOOKUP(($F$16-$F$15)-1,AC$100:AG122,4,FALSE)))*EXP(-(LN(2)/$D$65+0.1)*(VLOOKUP(($F$16-$F$15)-1,AC$100:AG122,5,FALSE)))*EXP(-(LN(2)/$D$65+0.04)*(VLOOKUP(($F$16-$F$15)*2-1,AC$100:AG122,4,FALSE)))*EXP(-(LN(2)/$D$65+0.1)*(VLOOKUP(($F$16-$F$15)*2-1,AC$100:AG122,5,FALSE)))*EXP(-(LN(2)/$D$65+0.04)*AF122)*EXP(-(LN(2)/$D$65+0.1)*AG122),"-"))),"-")</f>
        <v>-</v>
      </c>
      <c r="AK122" s="227">
        <f t="shared" si="49"/>
        <v>22</v>
      </c>
      <c r="AL122" s="226" t="str">
        <f t="shared" si="22"/>
        <v>-</v>
      </c>
      <c r="AM122" s="227" t="str">
        <f t="shared" si="50"/>
        <v>-</v>
      </c>
      <c r="AN122" s="227" t="str">
        <f t="shared" si="51"/>
        <v>-</v>
      </c>
      <c r="AO122" s="227" t="str">
        <f t="shared" si="23"/>
        <v>-</v>
      </c>
      <c r="AP122" s="273">
        <f t="shared" si="52"/>
        <v>0.1</v>
      </c>
      <c r="AQ122" s="271" t="str">
        <f>IFERROR(IF(AL121=1,AQ$100*EXP(-(LN(2)/$D$65+0.04)*AN121)*EXP(-(LN(2)/$D$65+0.1)*AO121),IF(AL121=2,AQ$100*EXP(-(LN(2)/$D$65+0.04)*(VLOOKUP(($F$16-$F$15)-1,AK$99:AO121,4,FALSE)))*EXP(-(LN(2)/$D$65+0.1)*(VLOOKUP(($F$16-$F$15)-1,AK$99:AO121,5,FALSE)))*EXP(-(LN(2)/$D$65+0.04)*AN121)*EXP(-(LN(2)/$D$65+0.1)*AO121),IF(AL121=3,AQ$100*EXP(-(LN(2)/$D$65+0.04)*(VLOOKUP(($F$16-$F$15)-1,AK$99:AO121,4,FALSE)))*EXP(-(LN(2)/$D$65+0.1)*(VLOOKUP(($F$16-$F$15)-1,AK$99:AO121,5,FALSE)))*EXP(-(LN(2)/$D$65+0.04)*(VLOOKUP(($F$16-$F$15)*2-1,AK$99:AO121,4,FALSE)))*EXP(-(LN(2)/$D$65+0.1)*(VLOOKUP(($F$16-$F$15)*2-1,AK$99:AO121,5,FALSE)))*EXP(-(LN(2)/$D$65+0.04)*AN121)*EXP(-(LN(2)/$D$65+0.1)*AO121),"-"))),"-")</f>
        <v>-</v>
      </c>
      <c r="AR122" s="271" t="str">
        <f>IFERROR(IF(AL122=1,AR$100*EXP(-(LN(2)/$D$65+0.04)*AN122)*EXP(-(LN(2)/$D$65+0.1)*AO122),IF(AL122=2,AR$100*EXP(-(LN(2)/$D$65+0.04)*(VLOOKUP(($F$16-$F$15)-1,AK$100:AO122,4,FALSE)))*EXP(-(LN(2)/$D$65+0.1)*(VLOOKUP(($F$16-$F$15)-1,AK$100:AO122,5,FALSE)))*EXP(-(LN(2)/$D$65+0.04)*AN122)*EXP(-(LN(2)/$D$65+0.1)*AO122),IF(AL122=3,AR$100*EXP(-(LN(2)/$D$65+0.04)*(VLOOKUP(($F$16-$F$15)-1,AK$100:AO122,4,FALSE)))*EXP(-(LN(2)/$D$65+0.1)*(VLOOKUP(($F$16-$F$15)-1,AK$100:AO122,5,FALSE)))*EXP(-(LN(2)/$D$65+0.04)*(VLOOKUP(($F$16-$F$15)*2-1,AK$100:AO122,4,FALSE)))*EXP(-(LN(2)/$D$65+0.1)*(VLOOKUP(($F$16-$F$15)*2-1,AK$100:AO122,5,FALSE)))*EXP(-(LN(2)/$D$65+0.04)*AN122)*EXP(-(LN(2)/$D$65+0.1)*AO122),"-"))),"-")</f>
        <v>-</v>
      </c>
      <c r="AS122" s="274">
        <f t="shared" si="24"/>
        <v>0</v>
      </c>
      <c r="AT122" s="274">
        <f t="shared" si="25"/>
        <v>0</v>
      </c>
      <c r="AU122" s="274">
        <f t="shared" si="26"/>
        <v>0</v>
      </c>
      <c r="AV122" s="190" t="str">
        <f>IF($B122&lt;$F$22,SUM($T$100:$T122),"")</f>
        <v/>
      </c>
      <c r="AW122" s="190" t="str">
        <f t="shared" si="55"/>
        <v>-</v>
      </c>
      <c r="AX122" s="190" t="str">
        <f t="shared" si="56"/>
        <v/>
      </c>
      <c r="AY122"/>
      <c r="AZ122" s="190" t="str">
        <f ca="1">IF(ISNUMBER(OFFSET(AV122,-$F$21,0)),SUM(OFFSET($T$100,$F$21,0):$T122),"")</f>
        <v/>
      </c>
      <c r="BA122" s="190" t="str">
        <f t="shared" ca="1" si="27"/>
        <v/>
      </c>
      <c r="BB122" s="190" t="str">
        <f t="shared" ca="1" si="70"/>
        <v/>
      </c>
      <c r="BC122" s="190"/>
      <c r="BD122" s="190" t="str">
        <f ca="1">IFERROR(IF(OR(ISNUMBER(I),ISNUMBER($F$14)),IF(AND($B122&gt;=($F$16-$F$15),$B122&lt;$F$22+($F$16-$F$15)),SUM(OFFSET($T$100,($F$16-$F$15),0):$T122),""),""),"")</f>
        <v/>
      </c>
      <c r="BE122" s="190" t="str">
        <f t="shared" ca="1" si="58"/>
        <v/>
      </c>
      <c r="BF122" s="190" t="str">
        <f t="shared" ca="1" si="59"/>
        <v/>
      </c>
      <c r="BG122"/>
      <c r="BH122" s="190" t="str">
        <f ca="1">IF(ISNUMBER(OFFSET(BD122,-$F$21,0)),SUM(OFFSET($T$100,($F$16-$F$15+$F$21),0):$T122),"")</f>
        <v/>
      </c>
      <c r="BI122" s="190" t="str">
        <f t="shared" ca="1" si="28"/>
        <v/>
      </c>
      <c r="BJ122" s="190" t="str">
        <f t="shared" ca="1" si="60"/>
        <v/>
      </c>
      <c r="BK122" s="190"/>
      <c r="BL122" s="190" t="str">
        <f ca="1">IFERROR(IF(OR(ISNUMBER(I),ISNUMBER($F$14)),IF(AND($B122&gt;=($F$17-$F$15),$B122&lt;$F$22+($F$17-$F$15)),SUM(OFFSET($T$100,($F$17-$F$15),0):$T122),""),""),"")</f>
        <v/>
      </c>
      <c r="BM122" s="190" t="str">
        <f t="shared" ca="1" si="29"/>
        <v/>
      </c>
      <c r="BN122" s="190" t="str">
        <f t="shared" ca="1" si="61"/>
        <v/>
      </c>
      <c r="BO122"/>
      <c r="BP122" s="190" t="str">
        <f ca="1">IF(ISNUMBER(OFFSET(BL122,-$F$21,0)),SUM(OFFSET($T$100,($F$17-$F$15+$F$21),0):$T122),"")</f>
        <v/>
      </c>
      <c r="BQ122" s="190" t="str">
        <f t="shared" ca="1" si="62"/>
        <v/>
      </c>
      <c r="BR122" s="190" t="str">
        <f t="shared" ca="1" si="63"/>
        <v/>
      </c>
      <c r="BS122" s="190"/>
      <c r="BT122"/>
      <c r="BU122" s="185"/>
      <c r="BV122" s="303"/>
      <c r="BW122" s="185"/>
      <c r="BX122" s="185"/>
      <c r="BY122" s="185"/>
      <c r="BZ122" s="302"/>
      <c r="CA122" s="280" t="str">
        <f t="shared" si="30"/>
        <v/>
      </c>
      <c r="CB122" s="71" t="str">
        <f t="shared" si="31"/>
        <v>-</v>
      </c>
      <c r="CC122" s="33"/>
      <c r="CD122" s="261" t="str">
        <f t="shared" si="33"/>
        <v/>
      </c>
      <c r="CE122" s="280" t="str">
        <f t="shared" si="34"/>
        <v/>
      </c>
      <c r="CF122" s="71" t="str">
        <f t="shared" ca="1" si="35"/>
        <v/>
      </c>
      <c r="CG122" s="33" t="str">
        <f t="shared" si="36"/>
        <v/>
      </c>
      <c r="CH122" s="261" t="str">
        <f t="shared" ca="1" si="37"/>
        <v/>
      </c>
      <c r="CI122" s="202"/>
      <c r="CJ122" s="99"/>
      <c r="CK122" s="99"/>
      <c r="CL122" s="99"/>
      <c r="CM122" s="99"/>
      <c r="CN122" s="99"/>
      <c r="CO122" s="99"/>
    </row>
    <row r="123" spans="2:93" ht="13.5" customHeight="1" x14ac:dyDescent="0.2">
      <c r="B123" s="262">
        <v>23</v>
      </c>
      <c r="C123" s="237" t="str">
        <f t="shared" si="1"/>
        <v/>
      </c>
      <c r="D123" s="237" t="str">
        <f t="shared" si="66"/>
        <v/>
      </c>
      <c r="E123" s="290" t="str">
        <f t="shared" si="38"/>
        <v/>
      </c>
      <c r="F123" s="264" t="str">
        <f t="shared" si="39"/>
        <v/>
      </c>
      <c r="G123" s="291" t="str">
        <f t="shared" si="40"/>
        <v/>
      </c>
      <c r="H123" s="240" t="str">
        <f t="shared" si="41"/>
        <v/>
      </c>
      <c r="I123" s="265" t="str">
        <f t="shared" si="2"/>
        <v/>
      </c>
      <c r="J123" s="265" t="str">
        <f t="shared" si="3"/>
        <v/>
      </c>
      <c r="K123" s="240" t="str">
        <f t="shared" si="4"/>
        <v/>
      </c>
      <c r="L123" s="265" t="str">
        <f t="shared" si="5"/>
        <v/>
      </c>
      <c r="M123" s="265" t="str">
        <f t="shared" si="6"/>
        <v/>
      </c>
      <c r="N123" s="240" t="str">
        <f t="shared" si="7"/>
        <v>-</v>
      </c>
      <c r="O123" s="265" t="str">
        <f t="shared" si="8"/>
        <v>-</v>
      </c>
      <c r="P123" s="265" t="str">
        <f t="shared" si="9"/>
        <v>-</v>
      </c>
      <c r="Q123" s="266" t="str">
        <f t="shared" si="10"/>
        <v>-</v>
      </c>
      <c r="R123" s="267" t="str">
        <f t="shared" si="11"/>
        <v>-</v>
      </c>
      <c r="S123" s="268" t="str">
        <f t="shared" si="12"/>
        <v>-</v>
      </c>
      <c r="T123" s="269" t="str">
        <f t="shared" si="13"/>
        <v/>
      </c>
      <c r="U123" s="221">
        <f t="shared" si="14"/>
        <v>23</v>
      </c>
      <c r="V123" s="220" t="str">
        <f t="shared" si="42"/>
        <v>-</v>
      </c>
      <c r="W123" s="221" t="str">
        <f t="shared" si="43"/>
        <v>-</v>
      </c>
      <c r="X123" s="221" t="str">
        <f t="shared" si="15"/>
        <v>-</v>
      </c>
      <c r="Y123" s="221" t="str">
        <f t="shared" si="16"/>
        <v>-</v>
      </c>
      <c r="Z123" s="270">
        <f t="shared" si="44"/>
        <v>0.1</v>
      </c>
      <c r="AA123" s="271" t="str">
        <f>IFERROR(IF(V122=1,AA$100*EXP(-(LN(2)/$D$65+0.04)*X122)*EXP(-(LN(2)/$D$65+0.1)*Y122),IF(V122=2,AA$100*EXP(-(LN(2)/$D$65+0.04)*(VLOOKUP(($F$16-$F$15)-1,U$99:Y122,4,FALSE)))*EXP(-(LN(2)/$D$65+0.1)*(VLOOKUP(($F$16-$F$15)-1,U$99:Y122,5,FALSE)))*EXP(-(LN(2)/$D$65+0.04)*X122)*EXP(-(LN(2)/$D$65+0.1)*Y122),IF(V122=3,AA$100*EXP(-(LN(2)/$D$65+0.04)*(VLOOKUP(($F$16-$F$15)-1,U$99:Y122,4,FALSE)))*EXP(-(LN(2)/$D$65+0.1)*(VLOOKUP(($F$16-$F$15)-1,U$99:Y122,5,FALSE)))*EXP(-(LN(2)/$D$65+0.04)*(VLOOKUP(($F$16-$F$15)*2-1,U$99:Y122,4,FALSE)))*EXP(-(LN(2)/$D$65+0.1)*(VLOOKUP(($F$16-$F$15)*2-1,U$99:Y122,5,FALSE)))*EXP(-(LN(2)/$D$65+0.04)*X122)*EXP(-(LN(2)/$D$65+0.1)*Y122),"-"))),"-")</f>
        <v>-</v>
      </c>
      <c r="AB123" s="271" t="str">
        <f>IFERROR(IF(V123=1,AB$100*EXP(-(LN(2)/$D$65+0.04)*X123)*EXP(-(LN(2)/$D$65+0.1)*Y123),IF(V123=2,AB$100*EXP(-(LN(2)/$D$65+0.04)*(VLOOKUP(($F$16-$F$15)-1,U$100:Y123,4,FALSE)))*EXP(-(LN(2)/$D$65+0.1)*(VLOOKUP(($F$16-$F$15)-1,U$100:Y123,5,FALSE)))*EXP(-(LN(2)/$D$65+0.04)*X123)*EXP(-(LN(2)/$D$65+0.1)*Y123),IF(V123=3,AB$100*EXP(-(LN(2)/$D$65+0.04)*(VLOOKUP(($F$16-$F$15)-1,U$100:Y123,4,FALSE)))*EXP(-(LN(2)/$D$65+0.1)*(VLOOKUP(($F$16-$F$15)-1,U$100:Y123,5,FALSE)))*EXP(-(LN(2)/$D$65+0.04)*(VLOOKUP(($F$16-$F$15)*2-1,U$100:Y123,4,FALSE)))*EXP(-(LN(2)/$D$65+0.1)*(VLOOKUP(($F$16-$F$15)*2-1,U$100:Y123,5,FALSE)))*EXP(-(LN(2)/$D$65+0.04)*X123)*EXP(-(LN(2)/$D$65+0.1)*Y123),"-"))),"-")</f>
        <v>-</v>
      </c>
      <c r="AC123" s="224">
        <f t="shared" si="45"/>
        <v>23</v>
      </c>
      <c r="AD123" s="223" t="str">
        <f t="shared" si="18"/>
        <v>-</v>
      </c>
      <c r="AE123" s="224" t="str">
        <f t="shared" si="46"/>
        <v>-</v>
      </c>
      <c r="AF123" s="224" t="str">
        <f t="shared" si="19"/>
        <v>-</v>
      </c>
      <c r="AG123" s="224" t="str">
        <f t="shared" si="20"/>
        <v>-</v>
      </c>
      <c r="AH123" s="272">
        <f t="shared" si="47"/>
        <v>0.1</v>
      </c>
      <c r="AI123" s="271" t="str">
        <f>IFERROR(IF(AD122=1,AI$100*EXP(-(LN(2)/$D$65+0.04)*AF122)*EXP(-(LN(2)/$D$65+0.1)*AG122),IF(AD122=2,AI$100*EXP(-(LN(2)/$D$65+0.04)*(VLOOKUP(($F$16-$F$15)-1,AC$99:AG122,4,FALSE)))*EXP(-(LN(2)/$D$65+0.1)*(VLOOKUP(($F$16-$F$15)-1,AC$99:AG122,5,FALSE)))*EXP(-(LN(2)/$D$65+0.04)*AF122)*EXP(-(LN(2)/$D$65+0.1)*AG122),IF(AD122=3,AI$100*EXP(-(LN(2)/$D$65+0.04)*(VLOOKUP(($F$16-$F$15)-1,AC$99:AG122,4,FALSE)))*EXP(-(LN(2)/$D$65+0.1)*(VLOOKUP(($F$16-$F$15)-1,AC$99:AG122,5,FALSE)))*EXP(-(LN(2)/$D$65+0.04)*(VLOOKUP(($F$16-$F$15)*2-1,AC$99:AG122,4,FALSE)))*EXP(-(LN(2)/$D$65+0.1)*(VLOOKUP(($F$16-$F$15)*2-1,AC$99:AG122,5,FALSE)))*EXP(-(LN(2)/$D$65+0.04)*AF122)*EXP(-(LN(2)/$D$65+0.1)*AG122),"-"))),"-")</f>
        <v>-</v>
      </c>
      <c r="AJ123" s="271" t="str">
        <f>IFERROR(IF(AD123=1,AJ$100*EXP(-(LN(2)/$D$65+0.04)*AF123)*EXP(-(LN(2)/$D$65+0.1)*AG123),IF(AD123=2,AJ$100*EXP(-(LN(2)/$D$65+0.04)*(VLOOKUP(($F$16-$F$15)-1,AC$100:AG123,4,FALSE)))*EXP(-(LN(2)/$D$65+0.1)*(VLOOKUP(($F$16-$F$15)-1,AC$100:AG123,5,FALSE)))*EXP(-(LN(2)/$D$65+0.04)*AF123)*EXP(-(LN(2)/$D$65+0.1)*AG123),IF(AD123=3,AJ$100*EXP(-(LN(2)/$D$65+0.04)*(VLOOKUP(($F$16-$F$15)-1,AC$100:AG123,4,FALSE)))*EXP(-(LN(2)/$D$65+0.1)*(VLOOKUP(($F$16-$F$15)-1,AC$100:AG123,5,FALSE)))*EXP(-(LN(2)/$D$65+0.04)*(VLOOKUP(($F$16-$F$15)*2-1,AC$100:AG123,4,FALSE)))*EXP(-(LN(2)/$D$65+0.1)*(VLOOKUP(($F$16-$F$15)*2-1,AC$100:AG123,5,FALSE)))*EXP(-(LN(2)/$D$65+0.04)*AF123)*EXP(-(LN(2)/$D$65+0.1)*AG123),"-"))),"-")</f>
        <v>-</v>
      </c>
      <c r="AK123" s="227">
        <f t="shared" si="49"/>
        <v>23</v>
      </c>
      <c r="AL123" s="226" t="str">
        <f t="shared" si="22"/>
        <v>-</v>
      </c>
      <c r="AM123" s="227" t="str">
        <f t="shared" si="50"/>
        <v>-</v>
      </c>
      <c r="AN123" s="227" t="str">
        <f t="shared" si="51"/>
        <v>-</v>
      </c>
      <c r="AO123" s="227" t="str">
        <f t="shared" si="23"/>
        <v>-</v>
      </c>
      <c r="AP123" s="273">
        <f t="shared" si="52"/>
        <v>0.1</v>
      </c>
      <c r="AQ123" s="271" t="str">
        <f>IFERROR(IF(AL122=1,AQ$100*EXP(-(LN(2)/$D$65+0.04)*AN122)*EXP(-(LN(2)/$D$65+0.1)*AO122),IF(AL122=2,AQ$100*EXP(-(LN(2)/$D$65+0.04)*(VLOOKUP(($F$16-$F$15)-1,AK$99:AO122,4,FALSE)))*EXP(-(LN(2)/$D$65+0.1)*(VLOOKUP(($F$16-$F$15)-1,AK$99:AO122,5,FALSE)))*EXP(-(LN(2)/$D$65+0.04)*AN122)*EXP(-(LN(2)/$D$65+0.1)*AO122),IF(AL122=3,AQ$100*EXP(-(LN(2)/$D$65+0.04)*(VLOOKUP(($F$16-$F$15)-1,AK$99:AO122,4,FALSE)))*EXP(-(LN(2)/$D$65+0.1)*(VLOOKUP(($F$16-$F$15)-1,AK$99:AO122,5,FALSE)))*EXP(-(LN(2)/$D$65+0.04)*(VLOOKUP(($F$16-$F$15)*2-1,AK$99:AO122,4,FALSE)))*EXP(-(LN(2)/$D$65+0.1)*(VLOOKUP(($F$16-$F$15)*2-1,AK$99:AO122,5,FALSE)))*EXP(-(LN(2)/$D$65+0.04)*AN122)*EXP(-(LN(2)/$D$65+0.1)*AO122),"-"))),"-")</f>
        <v>-</v>
      </c>
      <c r="AR123" s="271" t="str">
        <f>IFERROR(IF(AL123=1,AR$100*EXP(-(LN(2)/$D$65+0.04)*AN123)*EXP(-(LN(2)/$D$65+0.1)*AO123),IF(AL123=2,AR$100*EXP(-(LN(2)/$D$65+0.04)*(VLOOKUP(($F$16-$F$15)-1,AK$100:AO123,4,FALSE)))*EXP(-(LN(2)/$D$65+0.1)*(VLOOKUP(($F$16-$F$15)-1,AK$100:AO123,5,FALSE)))*EXP(-(LN(2)/$D$65+0.04)*AN123)*EXP(-(LN(2)/$D$65+0.1)*AO123),IF(AL123=3,AR$100*EXP(-(LN(2)/$D$65+0.04)*(VLOOKUP(($F$16-$F$15)-1,AK$100:AO123,4,FALSE)))*EXP(-(LN(2)/$D$65+0.1)*(VLOOKUP(($F$16-$F$15)-1,AK$100:AO123,5,FALSE)))*EXP(-(LN(2)/$D$65+0.04)*(VLOOKUP(($F$16-$F$15)*2-1,AK$100:AO123,4,FALSE)))*EXP(-(LN(2)/$D$65+0.1)*(VLOOKUP(($F$16-$F$15)*2-1,AK$100:AO123,5,FALSE)))*EXP(-(LN(2)/$D$65+0.04)*AN123)*EXP(-(LN(2)/$D$65+0.1)*AO123),"-"))),"-")</f>
        <v>-</v>
      </c>
      <c r="AS123" s="274">
        <f t="shared" si="24"/>
        <v>0</v>
      </c>
      <c r="AT123" s="274">
        <f t="shared" si="25"/>
        <v>0</v>
      </c>
      <c r="AU123" s="274">
        <f t="shared" si="26"/>
        <v>0</v>
      </c>
      <c r="AV123" s="190" t="str">
        <f>IF($B123&lt;$F$22,SUM($T$100:$T123),"")</f>
        <v/>
      </c>
      <c r="AW123" s="190" t="str">
        <f t="shared" si="55"/>
        <v>-</v>
      </c>
      <c r="AX123" s="190" t="str">
        <f t="shared" si="56"/>
        <v/>
      </c>
      <c r="AY123"/>
      <c r="AZ123" s="190" t="str">
        <f ca="1">IF(ISNUMBER(OFFSET(AV123,-$F$21,0)),SUM(OFFSET($T$100,$F$21,0):$T123),"")</f>
        <v/>
      </c>
      <c r="BA123" s="190" t="str">
        <f t="shared" ca="1" si="27"/>
        <v/>
      </c>
      <c r="BB123" s="190" t="str">
        <f t="shared" ca="1" si="70"/>
        <v/>
      </c>
      <c r="BC123" s="190"/>
      <c r="BD123" s="190" t="str">
        <f ca="1">IFERROR(IF(OR(ISNUMBER(I),ISNUMBER($F$14)),IF(AND($B123&gt;=($F$16-$F$15),$B123&lt;$F$22+($F$16-$F$15)),SUM(OFFSET($T$100,($F$16-$F$15),0):$T123),""),""),"")</f>
        <v/>
      </c>
      <c r="BE123" s="190" t="str">
        <f t="shared" ca="1" si="58"/>
        <v/>
      </c>
      <c r="BF123" s="190" t="str">
        <f t="shared" ca="1" si="59"/>
        <v/>
      </c>
      <c r="BG123"/>
      <c r="BH123" s="190" t="str">
        <f ca="1">IF(ISNUMBER(OFFSET(BD123,-$F$21,0)),SUM(OFFSET($T$100,($F$16-$F$15+$F$21),0):$T123),"")</f>
        <v/>
      </c>
      <c r="BI123" s="190" t="str">
        <f t="shared" ca="1" si="28"/>
        <v/>
      </c>
      <c r="BJ123" s="190" t="str">
        <f t="shared" ca="1" si="60"/>
        <v/>
      </c>
      <c r="BK123" s="190"/>
      <c r="BL123" s="190" t="str">
        <f ca="1">IFERROR(IF(OR(ISNUMBER(I),ISNUMBER($F$14)),IF(AND($B123&gt;=($F$17-$F$15),$B123&lt;$F$22+($F$17-$F$15)),SUM(OFFSET($T$100,($F$17-$F$15),0):$T123),""),""),"")</f>
        <v/>
      </c>
      <c r="BM123" s="190" t="str">
        <f t="shared" ca="1" si="29"/>
        <v/>
      </c>
      <c r="BN123" s="190" t="str">
        <f t="shared" ca="1" si="61"/>
        <v/>
      </c>
      <c r="BO123"/>
      <c r="BP123" s="190" t="str">
        <f ca="1">IF(ISNUMBER(OFFSET(BL123,-$F$21,0)),SUM(OFFSET($T$100,($F$17-$F$15+$F$21),0):$T123),"")</f>
        <v/>
      </c>
      <c r="BQ123" s="190" t="str">
        <f t="shared" ca="1" si="62"/>
        <v/>
      </c>
      <c r="BR123" s="190" t="str">
        <f t="shared" ca="1" si="63"/>
        <v/>
      </c>
      <c r="BS123" s="190"/>
      <c r="BT123"/>
      <c r="BU123" s="185"/>
      <c r="BV123" s="304"/>
      <c r="BW123" s="185"/>
      <c r="BX123" s="185"/>
      <c r="BY123" s="185"/>
      <c r="BZ123"/>
      <c r="CA123" s="280" t="str">
        <f t="shared" si="30"/>
        <v/>
      </c>
      <c r="CB123" s="71" t="str">
        <f t="shared" si="31"/>
        <v>-</v>
      </c>
      <c r="CC123" s="33"/>
      <c r="CD123" s="261" t="str">
        <f t="shared" si="33"/>
        <v/>
      </c>
      <c r="CE123" s="280" t="str">
        <f t="shared" si="34"/>
        <v/>
      </c>
      <c r="CF123" s="71" t="str">
        <f t="shared" ca="1" si="35"/>
        <v/>
      </c>
      <c r="CG123" s="33" t="str">
        <f t="shared" si="36"/>
        <v/>
      </c>
      <c r="CH123" s="261" t="str">
        <f t="shared" ca="1" si="37"/>
        <v/>
      </c>
      <c r="CI123" s="202"/>
      <c r="CJ123" s="99"/>
      <c r="CK123" s="99"/>
      <c r="CL123" s="99"/>
      <c r="CM123" s="99"/>
      <c r="CN123" s="99"/>
      <c r="CO123" s="99"/>
    </row>
    <row r="124" spans="2:93" ht="13.5" customHeight="1" x14ac:dyDescent="0.2">
      <c r="B124" s="262">
        <v>24</v>
      </c>
      <c r="C124" s="237" t="str">
        <f t="shared" si="1"/>
        <v/>
      </c>
      <c r="D124" s="237" t="str">
        <f t="shared" si="66"/>
        <v/>
      </c>
      <c r="E124" s="290" t="str">
        <f t="shared" si="38"/>
        <v/>
      </c>
      <c r="F124" s="264" t="str">
        <f t="shared" si="39"/>
        <v/>
      </c>
      <c r="G124" s="291" t="str">
        <f t="shared" si="40"/>
        <v/>
      </c>
      <c r="H124" s="240" t="str">
        <f t="shared" si="41"/>
        <v/>
      </c>
      <c r="I124" s="265" t="str">
        <f t="shared" si="2"/>
        <v/>
      </c>
      <c r="J124" s="265" t="str">
        <f t="shared" si="3"/>
        <v/>
      </c>
      <c r="K124" s="240" t="str">
        <f t="shared" si="4"/>
        <v/>
      </c>
      <c r="L124" s="265" t="str">
        <f t="shared" si="5"/>
        <v/>
      </c>
      <c r="M124" s="265" t="str">
        <f t="shared" si="6"/>
        <v/>
      </c>
      <c r="N124" s="240" t="str">
        <f t="shared" si="7"/>
        <v>-</v>
      </c>
      <c r="O124" s="265" t="str">
        <f t="shared" si="8"/>
        <v>-</v>
      </c>
      <c r="P124" s="265" t="str">
        <f t="shared" si="9"/>
        <v>-</v>
      </c>
      <c r="Q124" s="266" t="str">
        <f t="shared" si="10"/>
        <v>-</v>
      </c>
      <c r="R124" s="267" t="str">
        <f t="shared" si="11"/>
        <v>-</v>
      </c>
      <c r="S124" s="268" t="str">
        <f t="shared" si="12"/>
        <v>-</v>
      </c>
      <c r="T124" s="269" t="str">
        <f t="shared" si="13"/>
        <v/>
      </c>
      <c r="U124" s="221">
        <f t="shared" si="14"/>
        <v>24</v>
      </c>
      <c r="V124" s="220" t="str">
        <f t="shared" si="42"/>
        <v>-</v>
      </c>
      <c r="W124" s="221" t="str">
        <f t="shared" si="43"/>
        <v>-</v>
      </c>
      <c r="X124" s="221" t="str">
        <f t="shared" si="15"/>
        <v>-</v>
      </c>
      <c r="Y124" s="221" t="str">
        <f t="shared" si="16"/>
        <v>-</v>
      </c>
      <c r="Z124" s="270">
        <f t="shared" si="44"/>
        <v>0.1</v>
      </c>
      <c r="AA124" s="271" t="str">
        <f>IFERROR(IF(V123=1,AA$100*EXP(-(LN(2)/$D$65+0.04)*X123)*EXP(-(LN(2)/$D$65+0.1)*Y123),IF(V123=2,AA$100*EXP(-(LN(2)/$D$65+0.04)*(VLOOKUP(($F$16-$F$15)-1,U$99:Y123,4,FALSE)))*EXP(-(LN(2)/$D$65+0.1)*(VLOOKUP(($F$16-$F$15)-1,U$99:Y123,5,FALSE)))*EXP(-(LN(2)/$D$65+0.04)*X123)*EXP(-(LN(2)/$D$65+0.1)*Y123),IF(V123=3,AA$100*EXP(-(LN(2)/$D$65+0.04)*(VLOOKUP(($F$16-$F$15)-1,U$99:Y123,4,FALSE)))*EXP(-(LN(2)/$D$65+0.1)*(VLOOKUP(($F$16-$F$15)-1,U$99:Y123,5,FALSE)))*EXP(-(LN(2)/$D$65+0.04)*(VLOOKUP(($F$16-$F$15)*2-1,U$99:Y123,4,FALSE)))*EXP(-(LN(2)/$D$65+0.1)*(VLOOKUP(($F$16-$F$15)*2-1,U$99:Y123,5,FALSE)))*EXP(-(LN(2)/$D$65+0.04)*X123)*EXP(-(LN(2)/$D$65+0.1)*Y123),"-"))),"-")</f>
        <v>-</v>
      </c>
      <c r="AB124" s="271" t="str">
        <f>IFERROR(IF(V124=1,AB$100*EXP(-(LN(2)/$D$65+0.04)*X124)*EXP(-(LN(2)/$D$65+0.1)*Y124),IF(V124=2,AB$100*EXP(-(LN(2)/$D$65+0.04)*(VLOOKUP(($F$16-$F$15)-1,U$100:Y124,4,FALSE)))*EXP(-(LN(2)/$D$65+0.1)*(VLOOKUP(($F$16-$F$15)-1,U$100:Y124,5,FALSE)))*EXP(-(LN(2)/$D$65+0.04)*X124)*EXP(-(LN(2)/$D$65+0.1)*Y124),IF(V124=3,AB$100*EXP(-(LN(2)/$D$65+0.04)*(VLOOKUP(($F$16-$F$15)-1,U$100:Y124,4,FALSE)))*EXP(-(LN(2)/$D$65+0.1)*(VLOOKUP(($F$16-$F$15)-1,U$100:Y124,5,FALSE)))*EXP(-(LN(2)/$D$65+0.04)*(VLOOKUP(($F$16-$F$15)*2-1,U$100:Y124,4,FALSE)))*EXP(-(LN(2)/$D$65+0.1)*(VLOOKUP(($F$16-$F$15)*2-1,U$100:Y124,5,FALSE)))*EXP(-(LN(2)/$D$65+0.04)*X124)*EXP(-(LN(2)/$D$65+0.1)*Y124),"-"))),"-")</f>
        <v>-</v>
      </c>
      <c r="AC124" s="224">
        <f t="shared" si="45"/>
        <v>24</v>
      </c>
      <c r="AD124" s="223" t="str">
        <f t="shared" si="18"/>
        <v>-</v>
      </c>
      <c r="AE124" s="224" t="str">
        <f t="shared" si="46"/>
        <v>-</v>
      </c>
      <c r="AF124" s="224" t="str">
        <f t="shared" si="19"/>
        <v>-</v>
      </c>
      <c r="AG124" s="224" t="str">
        <f t="shared" si="20"/>
        <v>-</v>
      </c>
      <c r="AH124" s="272">
        <f t="shared" si="47"/>
        <v>0.1</v>
      </c>
      <c r="AI124" s="271" t="str">
        <f>IFERROR(IF(AD123=1,AI$100*EXP(-(LN(2)/$D$65+0.04)*AF123)*EXP(-(LN(2)/$D$65+0.1)*AG123),IF(AD123=2,AI$100*EXP(-(LN(2)/$D$65+0.04)*(VLOOKUP(($F$16-$F$15)-1,AC$99:AG123,4,FALSE)))*EXP(-(LN(2)/$D$65+0.1)*(VLOOKUP(($F$16-$F$15)-1,AC$99:AG123,5,FALSE)))*EXP(-(LN(2)/$D$65+0.04)*AF123)*EXP(-(LN(2)/$D$65+0.1)*AG123),IF(AD123=3,AI$100*EXP(-(LN(2)/$D$65+0.04)*(VLOOKUP(($F$16-$F$15)-1,AC$99:AG123,4,FALSE)))*EXP(-(LN(2)/$D$65+0.1)*(VLOOKUP(($F$16-$F$15)-1,AC$99:AG123,5,FALSE)))*EXP(-(LN(2)/$D$65+0.04)*(VLOOKUP(($F$16-$F$15)*2-1,AC$99:AG123,4,FALSE)))*EXP(-(LN(2)/$D$65+0.1)*(VLOOKUP(($F$16-$F$15)*2-1,AC$99:AG123,5,FALSE)))*EXP(-(LN(2)/$D$65+0.04)*AF123)*EXP(-(LN(2)/$D$65+0.1)*AG123),"-"))),"-")</f>
        <v>-</v>
      </c>
      <c r="AJ124" s="271" t="str">
        <f>IFERROR(IF(AD124=1,AJ$100*EXP(-(LN(2)/$D$65+0.04)*AF124)*EXP(-(LN(2)/$D$65+0.1)*AG124),IF(AD124=2,AJ$100*EXP(-(LN(2)/$D$65+0.04)*(VLOOKUP(($F$16-$F$15)-1,AC$100:AG124,4,FALSE)))*EXP(-(LN(2)/$D$65+0.1)*(VLOOKUP(($F$16-$F$15)-1,AC$100:AG124,5,FALSE)))*EXP(-(LN(2)/$D$65+0.04)*AF124)*EXP(-(LN(2)/$D$65+0.1)*AG124),IF(AD124=3,AJ$100*EXP(-(LN(2)/$D$65+0.04)*(VLOOKUP(($F$16-$F$15)-1,AC$100:AG124,4,FALSE)))*EXP(-(LN(2)/$D$65+0.1)*(VLOOKUP(($F$16-$F$15)-1,AC$100:AG124,5,FALSE)))*EXP(-(LN(2)/$D$65+0.04)*(VLOOKUP(($F$16-$F$15)*2-1,AC$100:AG124,4,FALSE)))*EXP(-(LN(2)/$D$65+0.1)*(VLOOKUP(($F$16-$F$15)*2-1,AC$100:AG124,5,FALSE)))*EXP(-(LN(2)/$D$65+0.04)*AF124)*EXP(-(LN(2)/$D$65+0.1)*AG124),"-"))),"-")</f>
        <v>-</v>
      </c>
      <c r="AK124" s="227">
        <f t="shared" si="49"/>
        <v>24</v>
      </c>
      <c r="AL124" s="226" t="str">
        <f t="shared" si="22"/>
        <v>-</v>
      </c>
      <c r="AM124" s="227" t="str">
        <f t="shared" si="50"/>
        <v>-</v>
      </c>
      <c r="AN124" s="227" t="str">
        <f t="shared" si="51"/>
        <v>-</v>
      </c>
      <c r="AO124" s="227" t="str">
        <f t="shared" si="23"/>
        <v>-</v>
      </c>
      <c r="AP124" s="273">
        <f t="shared" si="52"/>
        <v>0.1</v>
      </c>
      <c r="AQ124" s="271" t="str">
        <f>IFERROR(IF(AL123=1,AQ$100*EXP(-(LN(2)/$D$65+0.04)*AN123)*EXP(-(LN(2)/$D$65+0.1)*AO123),IF(AL123=2,AQ$100*EXP(-(LN(2)/$D$65+0.04)*(VLOOKUP(($F$16-$F$15)-1,AK$99:AO123,4,FALSE)))*EXP(-(LN(2)/$D$65+0.1)*(VLOOKUP(($F$16-$F$15)-1,AK$99:AO123,5,FALSE)))*EXP(-(LN(2)/$D$65+0.04)*AN123)*EXP(-(LN(2)/$D$65+0.1)*AO123),IF(AL123=3,AQ$100*EXP(-(LN(2)/$D$65+0.04)*(VLOOKUP(($F$16-$F$15)-1,AK$99:AO123,4,FALSE)))*EXP(-(LN(2)/$D$65+0.1)*(VLOOKUP(($F$16-$F$15)-1,AK$99:AO123,5,FALSE)))*EXP(-(LN(2)/$D$65+0.04)*(VLOOKUP(($F$16-$F$15)*2-1,AK$99:AO123,4,FALSE)))*EXP(-(LN(2)/$D$65+0.1)*(VLOOKUP(($F$16-$F$15)*2-1,AK$99:AO123,5,FALSE)))*EXP(-(LN(2)/$D$65+0.04)*AN123)*EXP(-(LN(2)/$D$65+0.1)*AO123),"-"))),"-")</f>
        <v>-</v>
      </c>
      <c r="AR124" s="271" t="str">
        <f>IFERROR(IF(AL124=1,AR$100*EXP(-(LN(2)/$D$65+0.04)*AN124)*EXP(-(LN(2)/$D$65+0.1)*AO124),IF(AL124=2,AR$100*EXP(-(LN(2)/$D$65+0.04)*(VLOOKUP(($F$16-$F$15)-1,AK$100:AO124,4,FALSE)))*EXP(-(LN(2)/$D$65+0.1)*(VLOOKUP(($F$16-$F$15)-1,AK$100:AO124,5,FALSE)))*EXP(-(LN(2)/$D$65+0.04)*AN124)*EXP(-(LN(2)/$D$65+0.1)*AO124),IF(AL124=3,AR$100*EXP(-(LN(2)/$D$65+0.04)*(VLOOKUP(($F$16-$F$15)-1,AK$100:AO124,4,FALSE)))*EXP(-(LN(2)/$D$65+0.1)*(VLOOKUP(($F$16-$F$15)-1,AK$100:AO124,5,FALSE)))*EXP(-(LN(2)/$D$65+0.04)*(VLOOKUP(($F$16-$F$15)*2-1,AK$100:AO124,4,FALSE)))*EXP(-(LN(2)/$D$65+0.1)*(VLOOKUP(($F$16-$F$15)*2-1,AK$100:AO124,5,FALSE)))*EXP(-(LN(2)/$D$65+0.04)*AN124)*EXP(-(LN(2)/$D$65+0.1)*AO124),"-"))),"-")</f>
        <v>-</v>
      </c>
      <c r="AS124" s="274">
        <f t="shared" si="24"/>
        <v>0</v>
      </c>
      <c r="AT124" s="274">
        <f t="shared" si="25"/>
        <v>0</v>
      </c>
      <c r="AU124" s="274">
        <f t="shared" si="26"/>
        <v>0</v>
      </c>
      <c r="AV124" s="190" t="str">
        <f>IF($B124&lt;$F$22,SUM($T$100:$T124),"")</f>
        <v/>
      </c>
      <c r="AW124" s="190" t="str">
        <f t="shared" si="55"/>
        <v>-</v>
      </c>
      <c r="AX124" s="190" t="str">
        <f t="shared" si="56"/>
        <v/>
      </c>
      <c r="AY124"/>
      <c r="AZ124" s="190" t="str">
        <f ca="1">IF(ISNUMBER(OFFSET(AV124,-$F$21,0)),SUM(OFFSET($T$100,$F$21,0):$T124),"")</f>
        <v/>
      </c>
      <c r="BA124" s="190" t="str">
        <f t="shared" ca="1" si="27"/>
        <v/>
      </c>
      <c r="BB124" s="190" t="str">
        <f t="shared" ca="1" si="70"/>
        <v/>
      </c>
      <c r="BC124" s="190"/>
      <c r="BD124" s="190" t="str">
        <f ca="1">IFERROR(IF(OR(ISNUMBER(I),ISNUMBER($F$14)),IF(AND($B124&gt;=($F$16-$F$15),$B124&lt;$F$22+($F$16-$F$15)),SUM(OFFSET($T$100,($F$16-$F$15),0):$T124),""),""),"")</f>
        <v/>
      </c>
      <c r="BE124" s="190" t="str">
        <f t="shared" ca="1" si="58"/>
        <v/>
      </c>
      <c r="BF124" s="190" t="str">
        <f t="shared" ca="1" si="59"/>
        <v/>
      </c>
      <c r="BG124"/>
      <c r="BH124" s="190" t="str">
        <f ca="1">IF(ISNUMBER(OFFSET(BD124,-$F$21,0)),SUM(OFFSET($T$100,($F$16-$F$15+$F$21),0):$T124),"")</f>
        <v/>
      </c>
      <c r="BI124" s="190" t="str">
        <f t="shared" ca="1" si="28"/>
        <v/>
      </c>
      <c r="BJ124" s="190" t="str">
        <f t="shared" ca="1" si="60"/>
        <v/>
      </c>
      <c r="BK124" s="190"/>
      <c r="BL124" s="190" t="str">
        <f ca="1">IFERROR(IF(OR(ISNUMBER(I),ISNUMBER($F$14)),IF(AND($B124&gt;=($F$17-$F$15),$B124&lt;$F$22+($F$17-$F$15)),SUM(OFFSET($T$100,($F$17-$F$15),0):$T124),""),""),"")</f>
        <v/>
      </c>
      <c r="BM124" s="190" t="str">
        <f t="shared" ca="1" si="29"/>
        <v/>
      </c>
      <c r="BN124" s="190" t="str">
        <f t="shared" ca="1" si="61"/>
        <v/>
      </c>
      <c r="BO124"/>
      <c r="BP124" s="190" t="str">
        <f ca="1">IF(ISNUMBER(OFFSET(BL124,-$F$21,0)),SUM(OFFSET($T$100,($F$17-$F$15+$F$21),0):$T124),"")</f>
        <v/>
      </c>
      <c r="BQ124" s="190" t="str">
        <f t="shared" ca="1" si="62"/>
        <v/>
      </c>
      <c r="BR124" s="190" t="str">
        <f t="shared" ca="1" si="63"/>
        <v/>
      </c>
      <c r="BS124" s="190"/>
      <c r="BT124"/>
      <c r="BU124" s="185"/>
      <c r="BV124" s="184"/>
      <c r="BW124" s="185"/>
      <c r="BX124" s="185"/>
      <c r="BY124" s="185"/>
      <c r="BZ124"/>
      <c r="CA124" s="280" t="str">
        <f t="shared" si="30"/>
        <v/>
      </c>
      <c r="CB124" s="71" t="str">
        <f t="shared" si="31"/>
        <v>-</v>
      </c>
      <c r="CC124" s="33"/>
      <c r="CD124" s="261" t="str">
        <f t="shared" si="33"/>
        <v/>
      </c>
      <c r="CE124" s="280" t="str">
        <f t="shared" si="34"/>
        <v/>
      </c>
      <c r="CF124" s="71" t="str">
        <f t="shared" ca="1" si="35"/>
        <v/>
      </c>
      <c r="CG124" s="33" t="str">
        <f t="shared" si="36"/>
        <v/>
      </c>
      <c r="CH124" s="261" t="str">
        <f t="shared" ca="1" si="37"/>
        <v/>
      </c>
      <c r="CI124" s="202"/>
      <c r="CJ124" s="99"/>
      <c r="CK124" s="99"/>
      <c r="CL124" s="99"/>
      <c r="CM124" s="99"/>
      <c r="CN124" s="99"/>
      <c r="CO124" s="99"/>
    </row>
    <row r="125" spans="2:93" ht="13.5" customHeight="1" x14ac:dyDescent="0.2">
      <c r="B125" s="262">
        <v>25</v>
      </c>
      <c r="C125" s="237" t="str">
        <f t="shared" si="1"/>
        <v/>
      </c>
      <c r="D125" s="237" t="str">
        <f t="shared" si="66"/>
        <v/>
      </c>
      <c r="E125" s="290" t="str">
        <f t="shared" si="38"/>
        <v/>
      </c>
      <c r="F125" s="264" t="str">
        <f t="shared" si="39"/>
        <v/>
      </c>
      <c r="G125" s="291" t="str">
        <f t="shared" si="40"/>
        <v/>
      </c>
      <c r="H125" s="240" t="str">
        <f t="shared" si="41"/>
        <v/>
      </c>
      <c r="I125" s="265" t="str">
        <f t="shared" si="2"/>
        <v/>
      </c>
      <c r="J125" s="265" t="str">
        <f t="shared" si="3"/>
        <v/>
      </c>
      <c r="K125" s="240" t="str">
        <f t="shared" si="4"/>
        <v/>
      </c>
      <c r="L125" s="265" t="str">
        <f t="shared" si="5"/>
        <v/>
      </c>
      <c r="M125" s="265" t="str">
        <f t="shared" si="6"/>
        <v/>
      </c>
      <c r="N125" s="240" t="str">
        <f t="shared" si="7"/>
        <v>-</v>
      </c>
      <c r="O125" s="265" t="str">
        <f t="shared" si="8"/>
        <v>-</v>
      </c>
      <c r="P125" s="265" t="str">
        <f t="shared" si="9"/>
        <v>-</v>
      </c>
      <c r="Q125" s="266" t="str">
        <f t="shared" si="10"/>
        <v>-</v>
      </c>
      <c r="R125" s="267" t="str">
        <f t="shared" si="11"/>
        <v>-</v>
      </c>
      <c r="S125" s="268" t="str">
        <f t="shared" si="12"/>
        <v>-</v>
      </c>
      <c r="T125" s="269" t="str">
        <f t="shared" si="13"/>
        <v/>
      </c>
      <c r="U125" s="221">
        <f t="shared" si="14"/>
        <v>25</v>
      </c>
      <c r="V125" s="220" t="str">
        <f t="shared" si="42"/>
        <v>-</v>
      </c>
      <c r="W125" s="221" t="str">
        <f t="shared" si="43"/>
        <v>-</v>
      </c>
      <c r="X125" s="221" t="str">
        <f t="shared" si="15"/>
        <v>-</v>
      </c>
      <c r="Y125" s="221" t="str">
        <f t="shared" si="16"/>
        <v>-</v>
      </c>
      <c r="Z125" s="270">
        <f t="shared" si="44"/>
        <v>0.1</v>
      </c>
      <c r="AA125" s="271" t="str">
        <f>IFERROR(IF(V124=1,AA$100*EXP(-(LN(2)/$D$65+0.04)*X124)*EXP(-(LN(2)/$D$65+0.1)*Y124),IF(V124=2,AA$100*EXP(-(LN(2)/$D$65+0.04)*(VLOOKUP(($F$16-$F$15)-1,U$99:Y124,4,FALSE)))*EXP(-(LN(2)/$D$65+0.1)*(VLOOKUP(($F$16-$F$15)-1,U$99:Y124,5,FALSE)))*EXP(-(LN(2)/$D$65+0.04)*X124)*EXP(-(LN(2)/$D$65+0.1)*Y124),IF(V124=3,AA$100*EXP(-(LN(2)/$D$65+0.04)*(VLOOKUP(($F$16-$F$15)-1,U$99:Y124,4,FALSE)))*EXP(-(LN(2)/$D$65+0.1)*(VLOOKUP(($F$16-$F$15)-1,U$99:Y124,5,FALSE)))*EXP(-(LN(2)/$D$65+0.04)*(VLOOKUP(($F$16-$F$15)*2-1,U$99:Y124,4,FALSE)))*EXP(-(LN(2)/$D$65+0.1)*(VLOOKUP(($F$16-$F$15)*2-1,U$99:Y124,5,FALSE)))*EXP(-(LN(2)/$D$65+0.04)*X124)*EXP(-(LN(2)/$D$65+0.1)*Y124),"-"))),"-")</f>
        <v>-</v>
      </c>
      <c r="AB125" s="271" t="str">
        <f>IFERROR(IF(V125=1,AB$100*EXP(-(LN(2)/$D$65+0.04)*X125)*EXP(-(LN(2)/$D$65+0.1)*Y125),IF(V125=2,AB$100*EXP(-(LN(2)/$D$65+0.04)*(VLOOKUP(($F$16-$F$15)-1,U$100:Y125,4,FALSE)))*EXP(-(LN(2)/$D$65+0.1)*(VLOOKUP(($F$16-$F$15)-1,U$100:Y125,5,FALSE)))*EXP(-(LN(2)/$D$65+0.04)*X125)*EXP(-(LN(2)/$D$65+0.1)*Y125),IF(V125=3,AB$100*EXP(-(LN(2)/$D$65+0.04)*(VLOOKUP(($F$16-$F$15)-1,U$100:Y125,4,FALSE)))*EXP(-(LN(2)/$D$65+0.1)*(VLOOKUP(($F$16-$F$15)-1,U$100:Y125,5,FALSE)))*EXP(-(LN(2)/$D$65+0.04)*(VLOOKUP(($F$16-$F$15)*2-1,U$100:Y125,4,FALSE)))*EXP(-(LN(2)/$D$65+0.1)*(VLOOKUP(($F$16-$F$15)*2-1,U$100:Y125,5,FALSE)))*EXP(-(LN(2)/$D$65+0.04)*X125)*EXP(-(LN(2)/$D$65+0.1)*Y125),"-"))),"-")</f>
        <v>-</v>
      </c>
      <c r="AC125" s="224">
        <f t="shared" si="45"/>
        <v>25</v>
      </c>
      <c r="AD125" s="223" t="str">
        <f t="shared" si="18"/>
        <v>-</v>
      </c>
      <c r="AE125" s="224" t="str">
        <f t="shared" si="46"/>
        <v>-</v>
      </c>
      <c r="AF125" s="224" t="str">
        <f t="shared" si="19"/>
        <v>-</v>
      </c>
      <c r="AG125" s="224" t="str">
        <f t="shared" si="20"/>
        <v>-</v>
      </c>
      <c r="AH125" s="272">
        <f t="shared" si="47"/>
        <v>0.1</v>
      </c>
      <c r="AI125" s="271" t="str">
        <f>IFERROR(IF(AD124=1,AI$100*EXP(-(LN(2)/$D$65+0.04)*AF124)*EXP(-(LN(2)/$D$65+0.1)*AG124),IF(AD124=2,AI$100*EXP(-(LN(2)/$D$65+0.04)*(VLOOKUP(($F$16-$F$15)-1,AC$99:AG124,4,FALSE)))*EXP(-(LN(2)/$D$65+0.1)*(VLOOKUP(($F$16-$F$15)-1,AC$99:AG124,5,FALSE)))*EXP(-(LN(2)/$D$65+0.04)*AF124)*EXP(-(LN(2)/$D$65+0.1)*AG124),IF(AD124=3,AI$100*EXP(-(LN(2)/$D$65+0.04)*(VLOOKUP(($F$16-$F$15)-1,AC$99:AG124,4,FALSE)))*EXP(-(LN(2)/$D$65+0.1)*(VLOOKUP(($F$16-$F$15)-1,AC$99:AG124,5,FALSE)))*EXP(-(LN(2)/$D$65+0.04)*(VLOOKUP(($F$16-$F$15)*2-1,AC$99:AG124,4,FALSE)))*EXP(-(LN(2)/$D$65+0.1)*(VLOOKUP(($F$16-$F$15)*2-1,AC$99:AG124,5,FALSE)))*EXP(-(LN(2)/$D$65+0.04)*AF124)*EXP(-(LN(2)/$D$65+0.1)*AG124),"-"))),"-")</f>
        <v>-</v>
      </c>
      <c r="AJ125" s="271" t="str">
        <f>IFERROR(IF(AD125=1,AJ$100*EXP(-(LN(2)/$D$65+0.04)*AF125)*EXP(-(LN(2)/$D$65+0.1)*AG125),IF(AD125=2,AJ$100*EXP(-(LN(2)/$D$65+0.04)*(VLOOKUP(($F$16-$F$15)-1,AC$100:AG125,4,FALSE)))*EXP(-(LN(2)/$D$65+0.1)*(VLOOKUP(($F$16-$F$15)-1,AC$100:AG125,5,FALSE)))*EXP(-(LN(2)/$D$65+0.04)*AF125)*EXP(-(LN(2)/$D$65+0.1)*AG125),IF(AD125=3,AJ$100*EXP(-(LN(2)/$D$65+0.04)*(VLOOKUP(($F$16-$F$15)-1,AC$100:AG125,4,FALSE)))*EXP(-(LN(2)/$D$65+0.1)*(VLOOKUP(($F$16-$F$15)-1,AC$100:AG125,5,FALSE)))*EXP(-(LN(2)/$D$65+0.04)*(VLOOKUP(($F$16-$F$15)*2-1,AC$100:AG125,4,FALSE)))*EXP(-(LN(2)/$D$65+0.1)*(VLOOKUP(($F$16-$F$15)*2-1,AC$100:AG125,5,FALSE)))*EXP(-(LN(2)/$D$65+0.04)*AF125)*EXP(-(LN(2)/$D$65+0.1)*AG125),"-"))),"-")</f>
        <v>-</v>
      </c>
      <c r="AK125" s="227">
        <f t="shared" si="49"/>
        <v>25</v>
      </c>
      <c r="AL125" s="226" t="str">
        <f t="shared" si="22"/>
        <v>-</v>
      </c>
      <c r="AM125" s="227" t="str">
        <f t="shared" si="50"/>
        <v>-</v>
      </c>
      <c r="AN125" s="227" t="str">
        <f t="shared" si="51"/>
        <v>-</v>
      </c>
      <c r="AO125" s="227" t="str">
        <f t="shared" si="23"/>
        <v>-</v>
      </c>
      <c r="AP125" s="273">
        <f t="shared" si="52"/>
        <v>0.1</v>
      </c>
      <c r="AQ125" s="271" t="str">
        <f>IFERROR(IF(AL124=1,AQ$100*EXP(-(LN(2)/$D$65+0.04)*AN124)*EXP(-(LN(2)/$D$65+0.1)*AO124),IF(AL124=2,AQ$100*EXP(-(LN(2)/$D$65+0.04)*(VLOOKUP(($F$16-$F$15)-1,AK$99:AO124,4,FALSE)))*EXP(-(LN(2)/$D$65+0.1)*(VLOOKUP(($F$16-$F$15)-1,AK$99:AO124,5,FALSE)))*EXP(-(LN(2)/$D$65+0.04)*AN124)*EXP(-(LN(2)/$D$65+0.1)*AO124),IF(AL124=3,AQ$100*EXP(-(LN(2)/$D$65+0.04)*(VLOOKUP(($F$16-$F$15)-1,AK$99:AO124,4,FALSE)))*EXP(-(LN(2)/$D$65+0.1)*(VLOOKUP(($F$16-$F$15)-1,AK$99:AO124,5,FALSE)))*EXP(-(LN(2)/$D$65+0.04)*(VLOOKUP(($F$16-$F$15)*2-1,AK$99:AO124,4,FALSE)))*EXP(-(LN(2)/$D$65+0.1)*(VLOOKUP(($F$16-$F$15)*2-1,AK$99:AO124,5,FALSE)))*EXP(-(LN(2)/$D$65+0.04)*AN124)*EXP(-(LN(2)/$D$65+0.1)*AO124),"-"))),"-")</f>
        <v>-</v>
      </c>
      <c r="AR125" s="271" t="str">
        <f>IFERROR(IF(AL125=1,AR$100*EXP(-(LN(2)/$D$65+0.04)*AN125)*EXP(-(LN(2)/$D$65+0.1)*AO125),IF(AL125=2,AR$100*EXP(-(LN(2)/$D$65+0.04)*(VLOOKUP(($F$16-$F$15)-1,AK$100:AO125,4,FALSE)))*EXP(-(LN(2)/$D$65+0.1)*(VLOOKUP(($F$16-$F$15)-1,AK$100:AO125,5,FALSE)))*EXP(-(LN(2)/$D$65+0.04)*AN125)*EXP(-(LN(2)/$D$65+0.1)*AO125),IF(AL125=3,AR$100*EXP(-(LN(2)/$D$65+0.04)*(VLOOKUP(($F$16-$F$15)-1,AK$100:AO125,4,FALSE)))*EXP(-(LN(2)/$D$65+0.1)*(VLOOKUP(($F$16-$F$15)-1,AK$100:AO125,5,FALSE)))*EXP(-(LN(2)/$D$65+0.04)*(VLOOKUP(($F$16-$F$15)*2-1,AK$100:AO125,4,FALSE)))*EXP(-(LN(2)/$D$65+0.1)*(VLOOKUP(($F$16-$F$15)*2-1,AK$100:AO125,5,FALSE)))*EXP(-(LN(2)/$D$65+0.04)*AN125)*EXP(-(LN(2)/$D$65+0.1)*AO125),"-"))),"-")</f>
        <v>-</v>
      </c>
      <c r="AS125" s="274">
        <f t="shared" si="24"/>
        <v>0</v>
      </c>
      <c r="AT125" s="274">
        <f t="shared" si="25"/>
        <v>0</v>
      </c>
      <c r="AU125" s="274">
        <f t="shared" si="26"/>
        <v>0</v>
      </c>
      <c r="AV125" s="190" t="str">
        <f>IF($B125&lt;$F$22,SUM($T$100:$T125),"")</f>
        <v/>
      </c>
      <c r="AW125" s="190" t="str">
        <f t="shared" si="55"/>
        <v>-</v>
      </c>
      <c r="AX125" s="190" t="str">
        <f t="shared" si="56"/>
        <v/>
      </c>
      <c r="AY125"/>
      <c r="AZ125" s="190" t="str">
        <f ca="1">IF(ISNUMBER(OFFSET(AV125,-$F$21,0)),SUM(OFFSET($T$100,$F$21,0):$T125),"")</f>
        <v/>
      </c>
      <c r="BA125" s="190" t="str">
        <f t="shared" ca="1" si="27"/>
        <v/>
      </c>
      <c r="BB125" s="190" t="str">
        <f t="shared" ca="1" si="70"/>
        <v/>
      </c>
      <c r="BC125" s="190"/>
      <c r="BD125" s="190" t="str">
        <f ca="1">IFERROR(IF(OR(ISNUMBER(I),ISNUMBER($F$14)),IF(AND($B125&gt;=($F$16-$F$15),$B125&lt;$F$22+($F$16-$F$15)),SUM(OFFSET($T$100,($F$16-$F$15),0):$T125),""),""),"")</f>
        <v/>
      </c>
      <c r="BE125" s="190" t="str">
        <f t="shared" ca="1" si="58"/>
        <v/>
      </c>
      <c r="BF125" s="190" t="str">
        <f t="shared" ca="1" si="59"/>
        <v/>
      </c>
      <c r="BG125"/>
      <c r="BH125" s="190" t="str">
        <f ca="1">IF(ISNUMBER(OFFSET(BD125,-$F$21,0)),SUM(OFFSET($T$100,($F$16-$F$15+$F$21),0):$T125),"")</f>
        <v/>
      </c>
      <c r="BI125" s="190" t="str">
        <f t="shared" ca="1" si="28"/>
        <v/>
      </c>
      <c r="BJ125" s="190" t="str">
        <f t="shared" ca="1" si="60"/>
        <v/>
      </c>
      <c r="BK125" s="190"/>
      <c r="BL125" s="190" t="str">
        <f ca="1">IFERROR(IF(OR(ISNUMBER(I),ISNUMBER($F$14)),IF(AND($B125&gt;=($F$17-$F$15),$B125&lt;$F$22+($F$17-$F$15)),SUM(OFFSET($T$100,($F$17-$F$15),0):$T125),""),""),"")</f>
        <v/>
      </c>
      <c r="BM125" s="190" t="str">
        <f t="shared" ca="1" si="29"/>
        <v/>
      </c>
      <c r="BN125" s="190" t="str">
        <f t="shared" ca="1" si="61"/>
        <v/>
      </c>
      <c r="BO125"/>
      <c r="BP125" s="190" t="str">
        <f ca="1">IF(ISNUMBER(OFFSET(BL125,-$F$21,0)),SUM(OFFSET($T$100,($F$17-$F$15+$F$21),0):$T125),"")</f>
        <v/>
      </c>
      <c r="BQ125" s="190" t="str">
        <f t="shared" ca="1" si="62"/>
        <v/>
      </c>
      <c r="BR125" s="190" t="str">
        <f t="shared" ca="1" si="63"/>
        <v/>
      </c>
      <c r="BS125" s="190"/>
      <c r="BT125"/>
      <c r="BU125" s="185"/>
      <c r="BV125" s="177"/>
      <c r="BW125" s="185"/>
      <c r="BX125" s="185"/>
      <c r="BY125" s="185"/>
      <c r="BZ125"/>
      <c r="CA125" s="280" t="str">
        <f t="shared" si="30"/>
        <v/>
      </c>
      <c r="CB125" s="71" t="str">
        <f t="shared" si="31"/>
        <v>-</v>
      </c>
      <c r="CC125" s="33"/>
      <c r="CD125" s="261" t="str">
        <f t="shared" si="33"/>
        <v/>
      </c>
      <c r="CE125" s="280" t="str">
        <f t="shared" si="34"/>
        <v/>
      </c>
      <c r="CF125" s="71" t="str">
        <f t="shared" ca="1" si="35"/>
        <v/>
      </c>
      <c r="CG125" s="33" t="str">
        <f t="shared" si="36"/>
        <v/>
      </c>
      <c r="CH125" s="261" t="str">
        <f t="shared" ca="1" si="37"/>
        <v/>
      </c>
      <c r="CI125" s="202"/>
      <c r="CJ125" s="99"/>
      <c r="CK125" s="99"/>
      <c r="CL125" s="99"/>
      <c r="CM125" s="99"/>
      <c r="CN125" s="99"/>
      <c r="CO125" s="99"/>
    </row>
    <row r="126" spans="2:93" ht="13.5" customHeight="1" x14ac:dyDescent="0.2">
      <c r="B126" s="262">
        <v>26</v>
      </c>
      <c r="C126" s="237" t="str">
        <f t="shared" si="1"/>
        <v/>
      </c>
      <c r="D126" s="237" t="str">
        <f t="shared" si="66"/>
        <v/>
      </c>
      <c r="E126" s="290" t="str">
        <f t="shared" si="38"/>
        <v/>
      </c>
      <c r="F126" s="264" t="str">
        <f t="shared" si="39"/>
        <v/>
      </c>
      <c r="G126" s="291" t="str">
        <f t="shared" si="40"/>
        <v/>
      </c>
      <c r="H126" s="240" t="str">
        <f t="shared" si="41"/>
        <v/>
      </c>
      <c r="I126" s="265" t="str">
        <f t="shared" si="2"/>
        <v/>
      </c>
      <c r="J126" s="265" t="str">
        <f t="shared" si="3"/>
        <v/>
      </c>
      <c r="K126" s="240" t="str">
        <f t="shared" si="4"/>
        <v/>
      </c>
      <c r="L126" s="265" t="str">
        <f t="shared" si="5"/>
        <v/>
      </c>
      <c r="M126" s="265" t="str">
        <f t="shared" si="6"/>
        <v/>
      </c>
      <c r="N126" s="240" t="str">
        <f t="shared" si="7"/>
        <v>-</v>
      </c>
      <c r="O126" s="265" t="str">
        <f t="shared" si="8"/>
        <v>-</v>
      </c>
      <c r="P126" s="265" t="str">
        <f t="shared" si="9"/>
        <v>-</v>
      </c>
      <c r="Q126" s="266" t="str">
        <f t="shared" si="10"/>
        <v>-</v>
      </c>
      <c r="R126" s="267" t="str">
        <f t="shared" si="11"/>
        <v>-</v>
      </c>
      <c r="S126" s="268" t="str">
        <f t="shared" si="12"/>
        <v>-</v>
      </c>
      <c r="T126" s="269" t="str">
        <f t="shared" si="13"/>
        <v/>
      </c>
      <c r="U126" s="221">
        <f t="shared" si="14"/>
        <v>26</v>
      </c>
      <c r="V126" s="220" t="str">
        <f t="shared" si="42"/>
        <v>-</v>
      </c>
      <c r="W126" s="221" t="str">
        <f t="shared" si="43"/>
        <v>-</v>
      </c>
      <c r="X126" s="221" t="str">
        <f t="shared" si="15"/>
        <v>-</v>
      </c>
      <c r="Y126" s="221" t="str">
        <f t="shared" si="16"/>
        <v>-</v>
      </c>
      <c r="Z126" s="270">
        <f t="shared" si="44"/>
        <v>0.1</v>
      </c>
      <c r="AA126" s="271" t="str">
        <f>IFERROR(IF(V125=1,AA$100*EXP(-(LN(2)/$D$65+0.04)*X125)*EXP(-(LN(2)/$D$65+0.1)*Y125),IF(V125=2,AA$100*EXP(-(LN(2)/$D$65+0.04)*(VLOOKUP(($F$16-$F$15)-1,U$99:Y125,4,FALSE)))*EXP(-(LN(2)/$D$65+0.1)*(VLOOKUP(($F$16-$F$15)-1,U$99:Y125,5,FALSE)))*EXP(-(LN(2)/$D$65+0.04)*X125)*EXP(-(LN(2)/$D$65+0.1)*Y125),IF(V125=3,AA$100*EXP(-(LN(2)/$D$65+0.04)*(VLOOKUP(($F$16-$F$15)-1,U$99:Y125,4,FALSE)))*EXP(-(LN(2)/$D$65+0.1)*(VLOOKUP(($F$16-$F$15)-1,U$99:Y125,5,FALSE)))*EXP(-(LN(2)/$D$65+0.04)*(VLOOKUP(($F$16-$F$15)*2-1,U$99:Y125,4,FALSE)))*EXP(-(LN(2)/$D$65+0.1)*(VLOOKUP(($F$16-$F$15)*2-1,U$99:Y125,5,FALSE)))*EXP(-(LN(2)/$D$65+0.04)*X125)*EXP(-(LN(2)/$D$65+0.1)*Y125),"-"))),"-")</f>
        <v>-</v>
      </c>
      <c r="AB126" s="271" t="str">
        <f>IFERROR(IF(V126=1,AB$100*EXP(-(LN(2)/$D$65+0.04)*X126)*EXP(-(LN(2)/$D$65+0.1)*Y126),IF(V126=2,AB$100*EXP(-(LN(2)/$D$65+0.04)*(VLOOKUP(($F$16-$F$15)-1,U$100:Y126,4,FALSE)))*EXP(-(LN(2)/$D$65+0.1)*(VLOOKUP(($F$16-$F$15)-1,U$100:Y126,5,FALSE)))*EXP(-(LN(2)/$D$65+0.04)*X126)*EXP(-(LN(2)/$D$65+0.1)*Y126),IF(V126=3,AB$100*EXP(-(LN(2)/$D$65+0.04)*(VLOOKUP(($F$16-$F$15)-1,U$100:Y126,4,FALSE)))*EXP(-(LN(2)/$D$65+0.1)*(VLOOKUP(($F$16-$F$15)-1,U$100:Y126,5,FALSE)))*EXP(-(LN(2)/$D$65+0.04)*(VLOOKUP(($F$16-$F$15)*2-1,U$100:Y126,4,FALSE)))*EXP(-(LN(2)/$D$65+0.1)*(VLOOKUP(($F$16-$F$15)*2-1,U$100:Y126,5,FALSE)))*EXP(-(LN(2)/$D$65+0.04)*X126)*EXP(-(LN(2)/$D$65+0.1)*Y126),"-"))),"-")</f>
        <v>-</v>
      </c>
      <c r="AC126" s="224">
        <f t="shared" si="45"/>
        <v>26</v>
      </c>
      <c r="AD126" s="223" t="str">
        <f t="shared" si="18"/>
        <v>-</v>
      </c>
      <c r="AE126" s="224" t="str">
        <f t="shared" si="46"/>
        <v>-</v>
      </c>
      <c r="AF126" s="224" t="str">
        <f t="shared" si="19"/>
        <v>-</v>
      </c>
      <c r="AG126" s="224" t="str">
        <f t="shared" si="20"/>
        <v>-</v>
      </c>
      <c r="AH126" s="272">
        <f t="shared" si="47"/>
        <v>0.1</v>
      </c>
      <c r="AI126" s="271" t="str">
        <f>IFERROR(IF(AD125=1,AI$100*EXP(-(LN(2)/$D$65+0.04)*AF125)*EXP(-(LN(2)/$D$65+0.1)*AG125),IF(AD125=2,AI$100*EXP(-(LN(2)/$D$65+0.04)*(VLOOKUP(($F$16-$F$15)-1,AC$99:AG125,4,FALSE)))*EXP(-(LN(2)/$D$65+0.1)*(VLOOKUP(($F$16-$F$15)-1,AC$99:AG125,5,FALSE)))*EXP(-(LN(2)/$D$65+0.04)*AF125)*EXP(-(LN(2)/$D$65+0.1)*AG125),IF(AD125=3,AI$100*EXP(-(LN(2)/$D$65+0.04)*(VLOOKUP(($F$16-$F$15)-1,AC$99:AG125,4,FALSE)))*EXP(-(LN(2)/$D$65+0.1)*(VLOOKUP(($F$16-$F$15)-1,AC$99:AG125,5,FALSE)))*EXP(-(LN(2)/$D$65+0.04)*(VLOOKUP(($F$16-$F$15)*2-1,AC$99:AG125,4,FALSE)))*EXP(-(LN(2)/$D$65+0.1)*(VLOOKUP(($F$16-$F$15)*2-1,AC$99:AG125,5,FALSE)))*EXP(-(LN(2)/$D$65+0.04)*AF125)*EXP(-(LN(2)/$D$65+0.1)*AG125),"-"))),"-")</f>
        <v>-</v>
      </c>
      <c r="AJ126" s="271" t="str">
        <f>IFERROR(IF(AD126=1,AJ$100*EXP(-(LN(2)/$D$65+0.04)*AF126)*EXP(-(LN(2)/$D$65+0.1)*AG126),IF(AD126=2,AJ$100*EXP(-(LN(2)/$D$65+0.04)*(VLOOKUP(($F$16-$F$15)-1,AC$100:AG126,4,FALSE)))*EXP(-(LN(2)/$D$65+0.1)*(VLOOKUP(($F$16-$F$15)-1,AC$100:AG126,5,FALSE)))*EXP(-(LN(2)/$D$65+0.04)*AF126)*EXP(-(LN(2)/$D$65+0.1)*AG126),IF(AD126=3,AJ$100*EXP(-(LN(2)/$D$65+0.04)*(VLOOKUP(($F$16-$F$15)-1,AC$100:AG126,4,FALSE)))*EXP(-(LN(2)/$D$65+0.1)*(VLOOKUP(($F$16-$F$15)-1,AC$100:AG126,5,FALSE)))*EXP(-(LN(2)/$D$65+0.04)*(VLOOKUP(($F$16-$F$15)*2-1,AC$100:AG126,4,FALSE)))*EXP(-(LN(2)/$D$65+0.1)*(VLOOKUP(($F$16-$F$15)*2-1,AC$100:AG126,5,FALSE)))*EXP(-(LN(2)/$D$65+0.04)*AF126)*EXP(-(LN(2)/$D$65+0.1)*AG126),"-"))),"-")</f>
        <v>-</v>
      </c>
      <c r="AK126" s="227">
        <f t="shared" si="49"/>
        <v>26</v>
      </c>
      <c r="AL126" s="226" t="str">
        <f t="shared" si="22"/>
        <v>-</v>
      </c>
      <c r="AM126" s="227" t="str">
        <f t="shared" si="50"/>
        <v>-</v>
      </c>
      <c r="AN126" s="227" t="str">
        <f t="shared" si="51"/>
        <v>-</v>
      </c>
      <c r="AO126" s="227" t="str">
        <f t="shared" si="23"/>
        <v>-</v>
      </c>
      <c r="AP126" s="273">
        <f t="shared" si="52"/>
        <v>0.1</v>
      </c>
      <c r="AQ126" s="271" t="str">
        <f>IFERROR(IF(AL125=1,AQ$100*EXP(-(LN(2)/$D$65+0.04)*AN125)*EXP(-(LN(2)/$D$65+0.1)*AO125),IF(AL125=2,AQ$100*EXP(-(LN(2)/$D$65+0.04)*(VLOOKUP(($F$16-$F$15)-1,AK$99:AO125,4,FALSE)))*EXP(-(LN(2)/$D$65+0.1)*(VLOOKUP(($F$16-$F$15)-1,AK$99:AO125,5,FALSE)))*EXP(-(LN(2)/$D$65+0.04)*AN125)*EXP(-(LN(2)/$D$65+0.1)*AO125),IF(AL125=3,AQ$100*EXP(-(LN(2)/$D$65+0.04)*(VLOOKUP(($F$16-$F$15)-1,AK$99:AO125,4,FALSE)))*EXP(-(LN(2)/$D$65+0.1)*(VLOOKUP(($F$16-$F$15)-1,AK$99:AO125,5,FALSE)))*EXP(-(LN(2)/$D$65+0.04)*(VLOOKUP(($F$16-$F$15)*2-1,AK$99:AO125,4,FALSE)))*EXP(-(LN(2)/$D$65+0.1)*(VLOOKUP(($F$16-$F$15)*2-1,AK$99:AO125,5,FALSE)))*EXP(-(LN(2)/$D$65+0.04)*AN125)*EXP(-(LN(2)/$D$65+0.1)*AO125),"-"))),"-")</f>
        <v>-</v>
      </c>
      <c r="AR126" s="271" t="str">
        <f>IFERROR(IF(AL126=1,AR$100*EXP(-(LN(2)/$D$65+0.04)*AN126)*EXP(-(LN(2)/$D$65+0.1)*AO126),IF(AL126=2,AR$100*EXP(-(LN(2)/$D$65+0.04)*(VLOOKUP(($F$16-$F$15)-1,AK$100:AO126,4,FALSE)))*EXP(-(LN(2)/$D$65+0.1)*(VLOOKUP(($F$16-$F$15)-1,AK$100:AO126,5,FALSE)))*EXP(-(LN(2)/$D$65+0.04)*AN126)*EXP(-(LN(2)/$D$65+0.1)*AO126),IF(AL126=3,AR$100*EXP(-(LN(2)/$D$65+0.04)*(VLOOKUP(($F$16-$F$15)-1,AK$100:AO126,4,FALSE)))*EXP(-(LN(2)/$D$65+0.1)*(VLOOKUP(($F$16-$F$15)-1,AK$100:AO126,5,FALSE)))*EXP(-(LN(2)/$D$65+0.04)*(VLOOKUP(($F$16-$F$15)*2-1,AK$100:AO126,4,FALSE)))*EXP(-(LN(2)/$D$65+0.1)*(VLOOKUP(($F$16-$F$15)*2-1,AK$100:AO126,5,FALSE)))*EXP(-(LN(2)/$D$65+0.04)*AN126)*EXP(-(LN(2)/$D$65+0.1)*AO126),"-"))),"-")</f>
        <v>-</v>
      </c>
      <c r="AS126" s="274">
        <f t="shared" si="24"/>
        <v>0</v>
      </c>
      <c r="AT126" s="274">
        <f t="shared" si="25"/>
        <v>0</v>
      </c>
      <c r="AU126" s="274">
        <f t="shared" si="26"/>
        <v>0</v>
      </c>
      <c r="AV126" s="190" t="str">
        <f>IF($B126&lt;$F$22,SUM($T$100:$T126),"")</f>
        <v/>
      </c>
      <c r="AW126" s="190" t="str">
        <f t="shared" si="55"/>
        <v>-</v>
      </c>
      <c r="AX126" s="190" t="str">
        <f t="shared" si="56"/>
        <v/>
      </c>
      <c r="AY126"/>
      <c r="AZ126" s="190" t="str">
        <f ca="1">IF(ISNUMBER(OFFSET(AV126,-$F$21,0)),SUM(OFFSET($T$100,$F$21,0):$T126),"")</f>
        <v/>
      </c>
      <c r="BA126" s="190" t="str">
        <f t="shared" ca="1" si="27"/>
        <v/>
      </c>
      <c r="BB126" s="190" t="str">
        <f t="shared" ca="1" si="70"/>
        <v/>
      </c>
      <c r="BC126" s="190"/>
      <c r="BD126" s="190" t="str">
        <f ca="1">IFERROR(IF(OR(ISNUMBER(I),ISNUMBER($F$14)),IF(AND($B126&gt;=($F$16-$F$15),$B126&lt;$F$22+($F$16-$F$15)),SUM(OFFSET($T$100,($F$16-$F$15),0):$T126),""),""),"")</f>
        <v/>
      </c>
      <c r="BE126" s="190" t="str">
        <f t="shared" ca="1" si="58"/>
        <v/>
      </c>
      <c r="BF126" s="190" t="str">
        <f t="shared" ca="1" si="59"/>
        <v/>
      </c>
      <c r="BG126"/>
      <c r="BH126" s="190" t="str">
        <f ca="1">IF(ISNUMBER(OFFSET(BD126,-$F$21,0)),SUM(OFFSET($T$100,($F$16-$F$15+$F$21),0):$T126),"")</f>
        <v/>
      </c>
      <c r="BI126" s="190" t="str">
        <f t="shared" ca="1" si="28"/>
        <v/>
      </c>
      <c r="BJ126" s="190" t="str">
        <f t="shared" ca="1" si="60"/>
        <v/>
      </c>
      <c r="BK126" s="190"/>
      <c r="BL126" s="190" t="str">
        <f ca="1">IFERROR(IF(OR(ISNUMBER(I),ISNUMBER($F$14)),IF(AND($B126&gt;=($F$17-$F$15),$B126&lt;$F$22+($F$17-$F$15)),SUM(OFFSET($T$100,($F$17-$F$15),0):$T126),""),""),"")</f>
        <v/>
      </c>
      <c r="BM126" s="190" t="str">
        <f t="shared" ca="1" si="29"/>
        <v/>
      </c>
      <c r="BN126" s="190" t="str">
        <f t="shared" ca="1" si="61"/>
        <v/>
      </c>
      <c r="BO126"/>
      <c r="BP126" s="190" t="str">
        <f ca="1">IF(ISNUMBER(OFFSET(BL126,-$F$21,0)),SUM(OFFSET($T$100,($F$17-$F$15+$F$21),0):$T126),"")</f>
        <v/>
      </c>
      <c r="BQ126" s="190" t="str">
        <f t="shared" ca="1" si="62"/>
        <v/>
      </c>
      <c r="BR126" s="190" t="str">
        <f t="shared" ca="1" si="63"/>
        <v/>
      </c>
      <c r="BS126" s="190"/>
      <c r="BT126"/>
      <c r="BU126" s="185"/>
      <c r="BV126"/>
      <c r="BW126" s="185" t="str">
        <f>IF(BU126&lt;&gt;"",MIN(BU125:BU126),"")</f>
        <v/>
      </c>
      <c r="BX126" s="185" t="str">
        <f>IF(BU126&lt;&gt;"",MAX(BU125:BU126),"")</f>
        <v/>
      </c>
      <c r="BY126" s="185" t="str">
        <f>IF(B76&lt;&gt;"",(C75-C76)/(B76-B75),"")</f>
        <v/>
      </c>
      <c r="BZ126"/>
      <c r="CA126" s="280" t="str">
        <f t="shared" si="30"/>
        <v/>
      </c>
      <c r="CB126" s="71" t="str">
        <f t="shared" si="31"/>
        <v>-</v>
      </c>
      <c r="CC126" s="33"/>
      <c r="CD126" s="261" t="str">
        <f t="shared" si="33"/>
        <v/>
      </c>
      <c r="CE126" s="280" t="str">
        <f t="shared" si="34"/>
        <v/>
      </c>
      <c r="CF126" s="71" t="str">
        <f t="shared" ca="1" si="35"/>
        <v/>
      </c>
      <c r="CG126" s="33" t="str">
        <f t="shared" si="36"/>
        <v/>
      </c>
      <c r="CH126" s="261" t="str">
        <f t="shared" ca="1" si="37"/>
        <v/>
      </c>
      <c r="CI126" s="202"/>
      <c r="CJ126" s="99"/>
      <c r="CK126" s="99"/>
      <c r="CL126" s="99"/>
      <c r="CM126" s="99"/>
      <c r="CN126" s="99"/>
      <c r="CO126" s="99"/>
    </row>
    <row r="127" spans="2:93" ht="13.5" customHeight="1" x14ac:dyDescent="0.2">
      <c r="B127" s="262">
        <v>27</v>
      </c>
      <c r="C127" s="237" t="str">
        <f t="shared" si="1"/>
        <v/>
      </c>
      <c r="D127" s="237" t="str">
        <f t="shared" si="66"/>
        <v/>
      </c>
      <c r="E127" s="290" t="str">
        <f t="shared" si="38"/>
        <v/>
      </c>
      <c r="F127" s="264" t="str">
        <f t="shared" si="39"/>
        <v/>
      </c>
      <c r="G127" s="305" t="str">
        <f t="shared" si="40"/>
        <v/>
      </c>
      <c r="H127" s="240" t="str">
        <f t="shared" si="41"/>
        <v/>
      </c>
      <c r="I127" s="265" t="str">
        <f t="shared" si="2"/>
        <v/>
      </c>
      <c r="J127" s="265" t="str">
        <f t="shared" si="3"/>
        <v/>
      </c>
      <c r="K127" s="240" t="str">
        <f t="shared" si="4"/>
        <v/>
      </c>
      <c r="L127" s="265" t="str">
        <f t="shared" si="5"/>
        <v/>
      </c>
      <c r="M127" s="265" t="str">
        <f t="shared" si="6"/>
        <v/>
      </c>
      <c r="N127" s="240" t="str">
        <f t="shared" si="7"/>
        <v>-</v>
      </c>
      <c r="O127" s="265" t="str">
        <f t="shared" si="8"/>
        <v>-</v>
      </c>
      <c r="P127" s="265" t="str">
        <f t="shared" si="9"/>
        <v>-</v>
      </c>
      <c r="Q127" s="266" t="str">
        <f t="shared" si="10"/>
        <v>-</v>
      </c>
      <c r="R127" s="267" t="str">
        <f t="shared" si="11"/>
        <v>-</v>
      </c>
      <c r="S127" s="268" t="str">
        <f t="shared" si="12"/>
        <v>-</v>
      </c>
      <c r="T127" s="269" t="str">
        <f t="shared" si="13"/>
        <v/>
      </c>
      <c r="U127" s="221">
        <f t="shared" si="14"/>
        <v>27</v>
      </c>
      <c r="V127" s="220" t="str">
        <f t="shared" si="42"/>
        <v>-</v>
      </c>
      <c r="W127" s="221" t="str">
        <f t="shared" si="43"/>
        <v>-</v>
      </c>
      <c r="X127" s="221" t="str">
        <f t="shared" si="15"/>
        <v>-</v>
      </c>
      <c r="Y127" s="221" t="str">
        <f t="shared" si="16"/>
        <v>-</v>
      </c>
      <c r="Z127" s="270">
        <f t="shared" si="44"/>
        <v>0.1</v>
      </c>
      <c r="AA127" s="271" t="str">
        <f>IFERROR(IF(V126=1,AA$100*EXP(-(LN(2)/$D$65+0.04)*X126)*EXP(-(LN(2)/$D$65+0.1)*Y126),IF(V126=2,AA$100*EXP(-(LN(2)/$D$65+0.04)*(VLOOKUP(($F$16-$F$15)-1,U$99:Y126,4,FALSE)))*EXP(-(LN(2)/$D$65+0.1)*(VLOOKUP(($F$16-$F$15)-1,U$99:Y126,5,FALSE)))*EXP(-(LN(2)/$D$65+0.04)*X126)*EXP(-(LN(2)/$D$65+0.1)*Y126),IF(V126=3,AA$100*EXP(-(LN(2)/$D$65+0.04)*(VLOOKUP(($F$16-$F$15)-1,U$99:Y126,4,FALSE)))*EXP(-(LN(2)/$D$65+0.1)*(VLOOKUP(($F$16-$F$15)-1,U$99:Y126,5,FALSE)))*EXP(-(LN(2)/$D$65+0.04)*(VLOOKUP(($F$16-$F$15)*2-1,U$99:Y126,4,FALSE)))*EXP(-(LN(2)/$D$65+0.1)*(VLOOKUP(($F$16-$F$15)*2-1,U$99:Y126,5,FALSE)))*EXP(-(LN(2)/$D$65+0.04)*X126)*EXP(-(LN(2)/$D$65+0.1)*Y126),"-"))),"-")</f>
        <v>-</v>
      </c>
      <c r="AB127" s="271" t="str">
        <f>IFERROR(IF(V127=1,AB$100*EXP(-(LN(2)/$D$65+0.04)*X127)*EXP(-(LN(2)/$D$65+0.1)*Y127),IF(V127=2,AB$100*EXP(-(LN(2)/$D$65+0.04)*(VLOOKUP(($F$16-$F$15)-1,U$100:Y127,4,FALSE)))*EXP(-(LN(2)/$D$65+0.1)*(VLOOKUP(($F$16-$F$15)-1,U$100:Y127,5,FALSE)))*EXP(-(LN(2)/$D$65+0.04)*X127)*EXP(-(LN(2)/$D$65+0.1)*Y127),IF(V127=3,AB$100*EXP(-(LN(2)/$D$65+0.04)*(VLOOKUP(($F$16-$F$15)-1,U$100:Y127,4,FALSE)))*EXP(-(LN(2)/$D$65+0.1)*(VLOOKUP(($F$16-$F$15)-1,U$100:Y127,5,FALSE)))*EXP(-(LN(2)/$D$65+0.04)*(VLOOKUP(($F$16-$F$15)*2-1,U$100:Y127,4,FALSE)))*EXP(-(LN(2)/$D$65+0.1)*(VLOOKUP(($F$16-$F$15)*2-1,U$100:Y127,5,FALSE)))*EXP(-(LN(2)/$D$65+0.04)*X127)*EXP(-(LN(2)/$D$65+0.1)*Y127),"-"))),"-")</f>
        <v>-</v>
      </c>
      <c r="AC127" s="224">
        <f t="shared" si="45"/>
        <v>27</v>
      </c>
      <c r="AD127" s="223" t="str">
        <f t="shared" si="18"/>
        <v>-</v>
      </c>
      <c r="AE127" s="224" t="str">
        <f t="shared" si="46"/>
        <v>-</v>
      </c>
      <c r="AF127" s="224" t="str">
        <f t="shared" si="19"/>
        <v>-</v>
      </c>
      <c r="AG127" s="224" t="str">
        <f t="shared" si="20"/>
        <v>-</v>
      </c>
      <c r="AH127" s="272">
        <f t="shared" si="47"/>
        <v>0.1</v>
      </c>
      <c r="AI127" s="271" t="str">
        <f>IFERROR(IF(AD126=1,AI$100*EXP(-(LN(2)/$D$65+0.04)*AF126)*EXP(-(LN(2)/$D$65+0.1)*AG126),IF(AD126=2,AI$100*EXP(-(LN(2)/$D$65+0.04)*(VLOOKUP(($F$16-$F$15)-1,AC$99:AG126,4,FALSE)))*EXP(-(LN(2)/$D$65+0.1)*(VLOOKUP(($F$16-$F$15)-1,AC$99:AG126,5,FALSE)))*EXP(-(LN(2)/$D$65+0.04)*AF126)*EXP(-(LN(2)/$D$65+0.1)*AG126),IF(AD126=3,AI$100*EXP(-(LN(2)/$D$65+0.04)*(VLOOKUP(($F$16-$F$15)-1,AC$99:AG126,4,FALSE)))*EXP(-(LN(2)/$D$65+0.1)*(VLOOKUP(($F$16-$F$15)-1,AC$99:AG126,5,FALSE)))*EXP(-(LN(2)/$D$65+0.04)*(VLOOKUP(($F$16-$F$15)*2-1,AC$99:AG126,4,FALSE)))*EXP(-(LN(2)/$D$65+0.1)*(VLOOKUP(($F$16-$F$15)*2-1,AC$99:AG126,5,FALSE)))*EXP(-(LN(2)/$D$65+0.04)*AF126)*EXP(-(LN(2)/$D$65+0.1)*AG126),"-"))),"-")</f>
        <v>-</v>
      </c>
      <c r="AJ127" s="271" t="str">
        <f>IFERROR(IF(AD127=1,AJ$100*EXP(-(LN(2)/$D$65+0.04)*AF127)*EXP(-(LN(2)/$D$65+0.1)*AG127),IF(AD127=2,AJ$100*EXP(-(LN(2)/$D$65+0.04)*(VLOOKUP(($F$16-$F$15)-1,AC$100:AG127,4,FALSE)))*EXP(-(LN(2)/$D$65+0.1)*(VLOOKUP(($F$16-$F$15)-1,AC$100:AG127,5,FALSE)))*EXP(-(LN(2)/$D$65+0.04)*AF127)*EXP(-(LN(2)/$D$65+0.1)*AG127),IF(AD127=3,AJ$100*EXP(-(LN(2)/$D$65+0.04)*(VLOOKUP(($F$16-$F$15)-1,AC$100:AG127,4,FALSE)))*EXP(-(LN(2)/$D$65+0.1)*(VLOOKUP(($F$16-$F$15)-1,AC$100:AG127,5,FALSE)))*EXP(-(LN(2)/$D$65+0.04)*(VLOOKUP(($F$16-$F$15)*2-1,AC$100:AG127,4,FALSE)))*EXP(-(LN(2)/$D$65+0.1)*(VLOOKUP(($F$16-$F$15)*2-1,AC$100:AG127,5,FALSE)))*EXP(-(LN(2)/$D$65+0.04)*AF127)*EXP(-(LN(2)/$D$65+0.1)*AG127),"-"))),"-")</f>
        <v>-</v>
      </c>
      <c r="AK127" s="227">
        <f t="shared" si="49"/>
        <v>27</v>
      </c>
      <c r="AL127" s="226" t="str">
        <f t="shared" si="22"/>
        <v>-</v>
      </c>
      <c r="AM127" s="227" t="str">
        <f t="shared" si="50"/>
        <v>-</v>
      </c>
      <c r="AN127" s="227" t="str">
        <f t="shared" si="51"/>
        <v>-</v>
      </c>
      <c r="AO127" s="227" t="str">
        <f t="shared" si="23"/>
        <v>-</v>
      </c>
      <c r="AP127" s="273">
        <f t="shared" si="52"/>
        <v>0.1</v>
      </c>
      <c r="AQ127" s="271" t="str">
        <f>IFERROR(IF(AL126=1,AQ$100*EXP(-(LN(2)/$D$65+0.04)*AN126)*EXP(-(LN(2)/$D$65+0.1)*AO126),IF(AL126=2,AQ$100*EXP(-(LN(2)/$D$65+0.04)*(VLOOKUP(($F$16-$F$15)-1,AK$99:AO126,4,FALSE)))*EXP(-(LN(2)/$D$65+0.1)*(VLOOKUP(($F$16-$F$15)-1,AK$99:AO126,5,FALSE)))*EXP(-(LN(2)/$D$65+0.04)*AN126)*EXP(-(LN(2)/$D$65+0.1)*AO126),IF(AL126=3,AQ$100*EXP(-(LN(2)/$D$65+0.04)*(VLOOKUP(($F$16-$F$15)-1,AK$99:AO126,4,FALSE)))*EXP(-(LN(2)/$D$65+0.1)*(VLOOKUP(($F$16-$F$15)-1,AK$99:AO126,5,FALSE)))*EXP(-(LN(2)/$D$65+0.04)*(VLOOKUP(($F$16-$F$15)*2-1,AK$99:AO126,4,FALSE)))*EXP(-(LN(2)/$D$65+0.1)*(VLOOKUP(($F$16-$F$15)*2-1,AK$99:AO126,5,FALSE)))*EXP(-(LN(2)/$D$65+0.04)*AN126)*EXP(-(LN(2)/$D$65+0.1)*AO126),"-"))),"-")</f>
        <v>-</v>
      </c>
      <c r="AR127" s="271" t="str">
        <f>IFERROR(IF(AL127=1,AR$100*EXP(-(LN(2)/$D$65+0.04)*AN127)*EXP(-(LN(2)/$D$65+0.1)*AO127),IF(AL127=2,AR$100*EXP(-(LN(2)/$D$65+0.04)*(VLOOKUP(($F$16-$F$15)-1,AK$100:AO127,4,FALSE)))*EXP(-(LN(2)/$D$65+0.1)*(VLOOKUP(($F$16-$F$15)-1,AK$100:AO127,5,FALSE)))*EXP(-(LN(2)/$D$65+0.04)*AN127)*EXP(-(LN(2)/$D$65+0.1)*AO127),IF(AL127=3,AR$100*EXP(-(LN(2)/$D$65+0.04)*(VLOOKUP(($F$16-$F$15)-1,AK$100:AO127,4,FALSE)))*EXP(-(LN(2)/$D$65+0.1)*(VLOOKUP(($F$16-$F$15)-1,AK$100:AO127,5,FALSE)))*EXP(-(LN(2)/$D$65+0.04)*(VLOOKUP(($F$16-$F$15)*2-1,AK$100:AO127,4,FALSE)))*EXP(-(LN(2)/$D$65+0.1)*(VLOOKUP(($F$16-$F$15)*2-1,AK$100:AO127,5,FALSE)))*EXP(-(LN(2)/$D$65+0.04)*AN127)*EXP(-(LN(2)/$D$65+0.1)*AO127),"-"))),"-")</f>
        <v>-</v>
      </c>
      <c r="AS127" s="274">
        <f t="shared" si="24"/>
        <v>0</v>
      </c>
      <c r="AT127" s="274">
        <f t="shared" si="25"/>
        <v>0</v>
      </c>
      <c r="AU127" s="274">
        <f t="shared" si="26"/>
        <v>0</v>
      </c>
      <c r="AV127" s="190" t="str">
        <f>IF($B127&lt;$F$22,SUM($T$100:$T127),"")</f>
        <v/>
      </c>
      <c r="AW127" s="190" t="str">
        <f t="shared" si="55"/>
        <v>-</v>
      </c>
      <c r="AX127" s="190" t="str">
        <f t="shared" si="56"/>
        <v/>
      </c>
      <c r="AY127"/>
      <c r="AZ127" s="190" t="str">
        <f ca="1">IF(ISNUMBER(OFFSET(AV127,-$F$21,0)),SUM(OFFSET($T$100,$F$21,0):$T127),"")</f>
        <v/>
      </c>
      <c r="BA127" s="190" t="str">
        <f t="shared" ca="1" si="27"/>
        <v/>
      </c>
      <c r="BB127" s="190" t="str">
        <f t="shared" ca="1" si="70"/>
        <v/>
      </c>
      <c r="BC127" s="190"/>
      <c r="BD127" s="190" t="str">
        <f ca="1">IFERROR(IF(OR(ISNUMBER(I),ISNUMBER($F$14)),IF(AND($B127&gt;=($F$16-$F$15),$B127&lt;$F$22+($F$16-$F$15)),SUM(OFFSET($T$100,($F$16-$F$15),0):$T127),""),""),"")</f>
        <v/>
      </c>
      <c r="BE127" s="190" t="str">
        <f t="shared" ca="1" si="58"/>
        <v/>
      </c>
      <c r="BF127" s="190" t="str">
        <f t="shared" ca="1" si="59"/>
        <v/>
      </c>
      <c r="BG127"/>
      <c r="BH127" s="190" t="str">
        <f ca="1">IF(ISNUMBER(OFFSET(BD127,-$F$21,0)),SUM(OFFSET($T$100,($F$16-$F$15+$F$21),0):$T127),"")</f>
        <v/>
      </c>
      <c r="BI127" s="190" t="str">
        <f t="shared" ca="1" si="28"/>
        <v/>
      </c>
      <c r="BJ127" s="190" t="str">
        <f t="shared" ca="1" si="60"/>
        <v/>
      </c>
      <c r="BK127" s="190"/>
      <c r="BL127" s="190" t="str">
        <f ca="1">IFERROR(IF(OR(ISNUMBER(I),ISNUMBER($F$14)),IF(AND($B127&gt;=($F$17-$F$15),$B127&lt;$F$22+($F$17-$F$15)),SUM(OFFSET($T$100,($F$17-$F$15),0):$T127),""),""),"")</f>
        <v/>
      </c>
      <c r="BM127" s="190" t="str">
        <f t="shared" ca="1" si="29"/>
        <v/>
      </c>
      <c r="BN127" s="190" t="str">
        <f t="shared" ca="1" si="61"/>
        <v/>
      </c>
      <c r="BO127"/>
      <c r="BP127" s="190" t="str">
        <f ca="1">IF(ISNUMBER(OFFSET(BL127,-$F$21,0)),SUM(OFFSET($T$100,($F$17-$F$15+$F$21),0):$T127),"")</f>
        <v/>
      </c>
      <c r="BQ127" s="190" t="str">
        <f t="shared" ca="1" si="62"/>
        <v/>
      </c>
      <c r="BR127" s="190" t="str">
        <f t="shared" ca="1" si="63"/>
        <v/>
      </c>
      <c r="BS127" s="190"/>
      <c r="BT127"/>
      <c r="BU127"/>
      <c r="BV127"/>
      <c r="BY127" s="99"/>
      <c r="BZ127" s="99"/>
      <c r="CA127" s="280" t="str">
        <f t="shared" si="30"/>
        <v/>
      </c>
      <c r="CB127" s="71" t="str">
        <f t="shared" si="31"/>
        <v>-</v>
      </c>
      <c r="CC127" s="33"/>
      <c r="CD127" s="261" t="str">
        <f t="shared" si="33"/>
        <v/>
      </c>
      <c r="CE127" s="280" t="str">
        <f t="shared" si="34"/>
        <v/>
      </c>
      <c r="CF127" s="71" t="str">
        <f t="shared" ca="1" si="35"/>
        <v/>
      </c>
      <c r="CG127" s="33" t="str">
        <f t="shared" si="36"/>
        <v/>
      </c>
      <c r="CH127" s="261" t="str">
        <f t="shared" ca="1" si="37"/>
        <v/>
      </c>
      <c r="CI127" s="202"/>
      <c r="CJ127" s="99"/>
      <c r="CK127" s="99"/>
      <c r="CL127" s="99"/>
      <c r="CM127" s="99"/>
      <c r="CN127" s="99"/>
      <c r="CO127" s="99"/>
    </row>
    <row r="128" spans="2:93" ht="13.5" customHeight="1" x14ac:dyDescent="0.2">
      <c r="B128" s="262">
        <v>28</v>
      </c>
      <c r="C128" s="237" t="str">
        <f t="shared" si="1"/>
        <v/>
      </c>
      <c r="D128" s="237" t="str">
        <f t="shared" si="66"/>
        <v/>
      </c>
      <c r="E128" s="290" t="str">
        <f t="shared" si="38"/>
        <v/>
      </c>
      <c r="F128" s="264" t="str">
        <f t="shared" si="39"/>
        <v/>
      </c>
      <c r="G128" s="306" t="str">
        <f t="shared" si="40"/>
        <v/>
      </c>
      <c r="H128" s="240" t="str">
        <f t="shared" si="41"/>
        <v/>
      </c>
      <c r="I128" s="265" t="str">
        <f t="shared" si="2"/>
        <v/>
      </c>
      <c r="J128" s="265" t="str">
        <f t="shared" si="3"/>
        <v/>
      </c>
      <c r="K128" s="240" t="str">
        <f t="shared" si="4"/>
        <v/>
      </c>
      <c r="L128" s="265" t="str">
        <f t="shared" si="5"/>
        <v/>
      </c>
      <c r="M128" s="265" t="str">
        <f t="shared" si="6"/>
        <v/>
      </c>
      <c r="N128" s="240" t="str">
        <f t="shared" si="7"/>
        <v>-</v>
      </c>
      <c r="O128" s="265" t="str">
        <f t="shared" si="8"/>
        <v>-</v>
      </c>
      <c r="P128" s="265" t="str">
        <f t="shared" si="9"/>
        <v>-</v>
      </c>
      <c r="Q128" s="266" t="str">
        <f t="shared" si="10"/>
        <v>-</v>
      </c>
      <c r="R128" s="267" t="str">
        <f t="shared" si="11"/>
        <v>-</v>
      </c>
      <c r="S128" s="268" t="str">
        <f t="shared" si="12"/>
        <v>-</v>
      </c>
      <c r="T128" s="269" t="str">
        <f t="shared" si="13"/>
        <v/>
      </c>
      <c r="U128" s="221">
        <f t="shared" si="14"/>
        <v>28</v>
      </c>
      <c r="V128" s="220" t="str">
        <f t="shared" si="42"/>
        <v>-</v>
      </c>
      <c r="W128" s="221" t="str">
        <f t="shared" si="43"/>
        <v>-</v>
      </c>
      <c r="X128" s="221" t="str">
        <f t="shared" si="15"/>
        <v>-</v>
      </c>
      <c r="Y128" s="221" t="str">
        <f t="shared" si="16"/>
        <v>-</v>
      </c>
      <c r="Z128" s="270">
        <f t="shared" si="44"/>
        <v>0.1</v>
      </c>
      <c r="AA128" s="271" t="str">
        <f>IFERROR(IF(V127=1,AA$100*EXP(-(LN(2)/$D$65+0.04)*X127)*EXP(-(LN(2)/$D$65+0.1)*Y127),IF(V127=2,AA$100*EXP(-(LN(2)/$D$65+0.04)*(VLOOKUP(($F$16-$F$15)-1,U$99:Y127,4,FALSE)))*EXP(-(LN(2)/$D$65+0.1)*(VLOOKUP(($F$16-$F$15)-1,U$99:Y127,5,FALSE)))*EXP(-(LN(2)/$D$65+0.04)*X127)*EXP(-(LN(2)/$D$65+0.1)*Y127),IF(V127=3,AA$100*EXP(-(LN(2)/$D$65+0.04)*(VLOOKUP(($F$16-$F$15)-1,U$99:Y127,4,FALSE)))*EXP(-(LN(2)/$D$65+0.1)*(VLOOKUP(($F$16-$F$15)-1,U$99:Y127,5,FALSE)))*EXP(-(LN(2)/$D$65+0.04)*(VLOOKUP(($F$16-$F$15)*2-1,U$99:Y127,4,FALSE)))*EXP(-(LN(2)/$D$65+0.1)*(VLOOKUP(($F$16-$F$15)*2-1,U$99:Y127,5,FALSE)))*EXP(-(LN(2)/$D$65+0.04)*X127)*EXP(-(LN(2)/$D$65+0.1)*Y127),"-"))),"-")</f>
        <v>-</v>
      </c>
      <c r="AB128" s="271" t="str">
        <f>IFERROR(IF(V128=1,AB$100*EXP(-(LN(2)/$D$65+0.04)*X128)*EXP(-(LN(2)/$D$65+0.1)*Y128),IF(V128=2,AB$100*EXP(-(LN(2)/$D$65+0.04)*(VLOOKUP(($F$16-$F$15)-1,U$100:Y128,4,FALSE)))*EXP(-(LN(2)/$D$65+0.1)*(VLOOKUP(($F$16-$F$15)-1,U$100:Y128,5,FALSE)))*EXP(-(LN(2)/$D$65+0.04)*X128)*EXP(-(LN(2)/$D$65+0.1)*Y128),IF(V128=3,AB$100*EXP(-(LN(2)/$D$65+0.04)*(VLOOKUP(($F$16-$F$15)-1,U$100:Y128,4,FALSE)))*EXP(-(LN(2)/$D$65+0.1)*(VLOOKUP(($F$16-$F$15)-1,U$100:Y128,5,FALSE)))*EXP(-(LN(2)/$D$65+0.04)*(VLOOKUP(($F$16-$F$15)*2-1,U$100:Y128,4,FALSE)))*EXP(-(LN(2)/$D$65+0.1)*(VLOOKUP(($F$16-$F$15)*2-1,U$100:Y128,5,FALSE)))*EXP(-(LN(2)/$D$65+0.04)*X128)*EXP(-(LN(2)/$D$65+0.1)*Y128),"-"))),"-")</f>
        <v>-</v>
      </c>
      <c r="AC128" s="224">
        <f t="shared" si="45"/>
        <v>28</v>
      </c>
      <c r="AD128" s="223" t="str">
        <f t="shared" si="18"/>
        <v>-</v>
      </c>
      <c r="AE128" s="224" t="str">
        <f t="shared" si="46"/>
        <v>-</v>
      </c>
      <c r="AF128" s="224" t="str">
        <f t="shared" si="19"/>
        <v>-</v>
      </c>
      <c r="AG128" s="224" t="str">
        <f t="shared" si="20"/>
        <v>-</v>
      </c>
      <c r="AH128" s="272">
        <f t="shared" si="47"/>
        <v>0.1</v>
      </c>
      <c r="AI128" s="271" t="str">
        <f>IFERROR(IF(AD127=1,AI$100*EXP(-(LN(2)/$D$65+0.04)*AF127)*EXP(-(LN(2)/$D$65+0.1)*AG127),IF(AD127=2,AI$100*EXP(-(LN(2)/$D$65+0.04)*(VLOOKUP(($F$16-$F$15)-1,AC$99:AG127,4,FALSE)))*EXP(-(LN(2)/$D$65+0.1)*(VLOOKUP(($F$16-$F$15)-1,AC$99:AG127,5,FALSE)))*EXP(-(LN(2)/$D$65+0.04)*AF127)*EXP(-(LN(2)/$D$65+0.1)*AG127),IF(AD127=3,AI$100*EXP(-(LN(2)/$D$65+0.04)*(VLOOKUP(($F$16-$F$15)-1,AC$99:AG127,4,FALSE)))*EXP(-(LN(2)/$D$65+0.1)*(VLOOKUP(($F$16-$F$15)-1,AC$99:AG127,5,FALSE)))*EXP(-(LN(2)/$D$65+0.04)*(VLOOKUP(($F$16-$F$15)*2-1,AC$99:AG127,4,FALSE)))*EXP(-(LN(2)/$D$65+0.1)*(VLOOKUP(($F$16-$F$15)*2-1,AC$99:AG127,5,FALSE)))*EXP(-(LN(2)/$D$65+0.04)*AF127)*EXP(-(LN(2)/$D$65+0.1)*AG127),"-"))),"-")</f>
        <v>-</v>
      </c>
      <c r="AJ128" s="271" t="str">
        <f>IFERROR(IF(AD128=1,AJ$100*EXP(-(LN(2)/$D$65+0.04)*AF128)*EXP(-(LN(2)/$D$65+0.1)*AG128),IF(AD128=2,AJ$100*EXP(-(LN(2)/$D$65+0.04)*(VLOOKUP(($F$16-$F$15)-1,AC$100:AG128,4,FALSE)))*EXP(-(LN(2)/$D$65+0.1)*(VLOOKUP(($F$16-$F$15)-1,AC$100:AG128,5,FALSE)))*EXP(-(LN(2)/$D$65+0.04)*AF128)*EXP(-(LN(2)/$D$65+0.1)*AG128),IF(AD128=3,AJ$100*EXP(-(LN(2)/$D$65+0.04)*(VLOOKUP(($F$16-$F$15)-1,AC$100:AG128,4,FALSE)))*EXP(-(LN(2)/$D$65+0.1)*(VLOOKUP(($F$16-$F$15)-1,AC$100:AG128,5,FALSE)))*EXP(-(LN(2)/$D$65+0.04)*(VLOOKUP(($F$16-$F$15)*2-1,AC$100:AG128,4,FALSE)))*EXP(-(LN(2)/$D$65+0.1)*(VLOOKUP(($F$16-$F$15)*2-1,AC$100:AG128,5,FALSE)))*EXP(-(LN(2)/$D$65+0.04)*AF128)*EXP(-(LN(2)/$D$65+0.1)*AG128),"-"))),"-")</f>
        <v>-</v>
      </c>
      <c r="AK128" s="227">
        <f t="shared" si="49"/>
        <v>28</v>
      </c>
      <c r="AL128" s="226" t="str">
        <f t="shared" si="22"/>
        <v>-</v>
      </c>
      <c r="AM128" s="227" t="str">
        <f t="shared" si="50"/>
        <v>-</v>
      </c>
      <c r="AN128" s="227" t="str">
        <f t="shared" si="51"/>
        <v>-</v>
      </c>
      <c r="AO128" s="227" t="str">
        <f t="shared" si="23"/>
        <v>-</v>
      </c>
      <c r="AP128" s="273">
        <f t="shared" si="52"/>
        <v>0.1</v>
      </c>
      <c r="AQ128" s="271" t="str">
        <f>IFERROR(IF(AL127=1,AQ$100*EXP(-(LN(2)/$D$65+0.04)*AN127)*EXP(-(LN(2)/$D$65+0.1)*AO127),IF(AL127=2,AQ$100*EXP(-(LN(2)/$D$65+0.04)*(VLOOKUP(($F$16-$F$15)-1,AK$99:AO127,4,FALSE)))*EXP(-(LN(2)/$D$65+0.1)*(VLOOKUP(($F$16-$F$15)-1,AK$99:AO127,5,FALSE)))*EXP(-(LN(2)/$D$65+0.04)*AN127)*EXP(-(LN(2)/$D$65+0.1)*AO127),IF(AL127=3,AQ$100*EXP(-(LN(2)/$D$65+0.04)*(VLOOKUP(($F$16-$F$15)-1,AK$99:AO127,4,FALSE)))*EXP(-(LN(2)/$D$65+0.1)*(VLOOKUP(($F$16-$F$15)-1,AK$99:AO127,5,FALSE)))*EXP(-(LN(2)/$D$65+0.04)*(VLOOKUP(($F$16-$F$15)*2-1,AK$99:AO127,4,FALSE)))*EXP(-(LN(2)/$D$65+0.1)*(VLOOKUP(($F$16-$F$15)*2-1,AK$99:AO127,5,FALSE)))*EXP(-(LN(2)/$D$65+0.04)*AN127)*EXP(-(LN(2)/$D$65+0.1)*AO127),"-"))),"-")</f>
        <v>-</v>
      </c>
      <c r="AR128" s="271" t="str">
        <f>IFERROR(IF(AL128=1,AR$100*EXP(-(LN(2)/$D$65+0.04)*AN128)*EXP(-(LN(2)/$D$65+0.1)*AO128),IF(AL128=2,AR$100*EXP(-(LN(2)/$D$65+0.04)*(VLOOKUP(($F$16-$F$15)-1,AK$100:AO128,4,FALSE)))*EXP(-(LN(2)/$D$65+0.1)*(VLOOKUP(($F$16-$F$15)-1,AK$100:AO128,5,FALSE)))*EXP(-(LN(2)/$D$65+0.04)*AN128)*EXP(-(LN(2)/$D$65+0.1)*AO128),IF(AL128=3,AR$100*EXP(-(LN(2)/$D$65+0.04)*(VLOOKUP(($F$16-$F$15)-1,AK$100:AO128,4,FALSE)))*EXP(-(LN(2)/$D$65+0.1)*(VLOOKUP(($F$16-$F$15)-1,AK$100:AO128,5,FALSE)))*EXP(-(LN(2)/$D$65+0.04)*(VLOOKUP(($F$16-$F$15)*2-1,AK$100:AO128,4,FALSE)))*EXP(-(LN(2)/$D$65+0.1)*(VLOOKUP(($F$16-$F$15)*2-1,AK$100:AO128,5,FALSE)))*EXP(-(LN(2)/$D$65+0.04)*AN128)*EXP(-(LN(2)/$D$65+0.1)*AO128),"-"))),"-")</f>
        <v>-</v>
      </c>
      <c r="AS128" s="274">
        <f t="shared" si="24"/>
        <v>0</v>
      </c>
      <c r="AT128" s="274">
        <f t="shared" si="25"/>
        <v>0</v>
      </c>
      <c r="AU128" s="274">
        <f t="shared" si="26"/>
        <v>0</v>
      </c>
      <c r="AV128" s="190" t="str">
        <f>IF($B128&lt;$F$22,SUM($T$100:$T128),"")</f>
        <v/>
      </c>
      <c r="AW128" s="190" t="str">
        <f t="shared" si="55"/>
        <v>-</v>
      </c>
      <c r="AX128" s="190" t="str">
        <f t="shared" si="56"/>
        <v/>
      </c>
      <c r="AY128"/>
      <c r="AZ128" s="190" t="str">
        <f ca="1">IF(ISNUMBER(OFFSET(AV128,-$F$21,0)),SUM(OFFSET($T$100,$F$21,0):$T128),"")</f>
        <v/>
      </c>
      <c r="BA128" s="190" t="str">
        <f t="shared" ca="1" si="27"/>
        <v/>
      </c>
      <c r="BB128" s="190" t="str">
        <f t="shared" ca="1" si="70"/>
        <v/>
      </c>
      <c r="BC128" s="190"/>
      <c r="BD128" s="190" t="str">
        <f ca="1">IFERROR(IF(OR(ISNUMBER(I),ISNUMBER($F$14)),IF(AND($B128&gt;=($F$16-$F$15),$B128&lt;$F$22+($F$16-$F$15)),SUM(OFFSET($T$100,($F$16-$F$15),0):$T128),""),""),"")</f>
        <v/>
      </c>
      <c r="BE128" s="190" t="str">
        <f t="shared" ca="1" si="58"/>
        <v/>
      </c>
      <c r="BF128" s="190" t="str">
        <f t="shared" ca="1" si="59"/>
        <v/>
      </c>
      <c r="BG128"/>
      <c r="BH128" s="190" t="str">
        <f ca="1">IF(ISNUMBER(OFFSET(BD128,-$F$21,0)),SUM(OFFSET($T$100,($F$16-$F$15+$F$21),0):$T128),"")</f>
        <v/>
      </c>
      <c r="BI128" s="190" t="str">
        <f t="shared" ca="1" si="28"/>
        <v/>
      </c>
      <c r="BJ128" s="190" t="str">
        <f t="shared" ca="1" si="60"/>
        <v/>
      </c>
      <c r="BK128" s="190"/>
      <c r="BL128" s="190" t="str">
        <f ca="1">IFERROR(IF(OR(ISNUMBER(I),ISNUMBER($F$14)),IF(AND($B128&gt;=($F$17-$F$15),$B128&lt;$F$22+($F$17-$F$15)),SUM(OFFSET($T$100,($F$17-$F$15),0):$T128),""),""),"")</f>
        <v/>
      </c>
      <c r="BM128" s="190" t="str">
        <f t="shared" ca="1" si="29"/>
        <v/>
      </c>
      <c r="BN128" s="190" t="str">
        <f t="shared" ca="1" si="61"/>
        <v/>
      </c>
      <c r="BO128"/>
      <c r="BP128" s="190" t="str">
        <f ca="1">IF(ISNUMBER(OFFSET(BL128,-$F$21,0)),SUM(OFFSET($T$100,($F$17-$F$15+$F$21),0):$T128),"")</f>
        <v/>
      </c>
      <c r="BQ128" s="190" t="str">
        <f t="shared" ca="1" si="62"/>
        <v/>
      </c>
      <c r="BR128" s="190" t="str">
        <f t="shared" ca="1" si="63"/>
        <v/>
      </c>
      <c r="BS128" s="190"/>
      <c r="BT128"/>
      <c r="BU128"/>
      <c r="BV128"/>
      <c r="BY128" s="99"/>
      <c r="BZ128" s="99"/>
      <c r="CA128" s="280" t="str">
        <f t="shared" si="30"/>
        <v/>
      </c>
      <c r="CB128" s="71" t="str">
        <f t="shared" si="31"/>
        <v>-</v>
      </c>
      <c r="CC128" s="33"/>
      <c r="CD128" s="261" t="str">
        <f t="shared" si="33"/>
        <v/>
      </c>
      <c r="CE128" s="280" t="str">
        <f t="shared" si="34"/>
        <v/>
      </c>
      <c r="CF128" s="71" t="str">
        <f t="shared" ca="1" si="35"/>
        <v/>
      </c>
      <c r="CG128" s="33" t="str">
        <f t="shared" si="36"/>
        <v/>
      </c>
      <c r="CH128" s="261" t="str">
        <f t="shared" ca="1" si="37"/>
        <v/>
      </c>
      <c r="CI128" s="202"/>
      <c r="CJ128" s="99"/>
      <c r="CK128" s="99"/>
      <c r="CL128" s="99"/>
      <c r="CM128" s="99"/>
      <c r="CN128" s="99"/>
      <c r="CO128" s="99"/>
    </row>
    <row r="129" spans="2:93" ht="13.5" customHeight="1" x14ac:dyDescent="0.2">
      <c r="B129" s="262">
        <v>29</v>
      </c>
      <c r="C129" s="237" t="str">
        <f t="shared" si="1"/>
        <v/>
      </c>
      <c r="D129" s="237" t="str">
        <f t="shared" si="66"/>
        <v/>
      </c>
      <c r="E129" s="290" t="str">
        <f t="shared" si="38"/>
        <v/>
      </c>
      <c r="F129" s="264" t="str">
        <f t="shared" si="39"/>
        <v/>
      </c>
      <c r="G129" s="291" t="str">
        <f t="shared" si="40"/>
        <v/>
      </c>
      <c r="H129" s="240" t="str">
        <f t="shared" si="41"/>
        <v/>
      </c>
      <c r="I129" s="265" t="str">
        <f t="shared" si="2"/>
        <v/>
      </c>
      <c r="J129" s="265" t="str">
        <f t="shared" si="3"/>
        <v/>
      </c>
      <c r="K129" s="240" t="str">
        <f t="shared" si="4"/>
        <v/>
      </c>
      <c r="L129" s="265" t="str">
        <f t="shared" si="5"/>
        <v/>
      </c>
      <c r="M129" s="265" t="str">
        <f t="shared" si="6"/>
        <v/>
      </c>
      <c r="N129" s="240" t="str">
        <f t="shared" si="7"/>
        <v>-</v>
      </c>
      <c r="O129" s="265" t="str">
        <f t="shared" si="8"/>
        <v>-</v>
      </c>
      <c r="P129" s="265" t="str">
        <f t="shared" si="9"/>
        <v>-</v>
      </c>
      <c r="Q129" s="266" t="str">
        <f t="shared" si="10"/>
        <v>-</v>
      </c>
      <c r="R129" s="267" t="str">
        <f t="shared" si="11"/>
        <v>-</v>
      </c>
      <c r="S129" s="268" t="str">
        <f t="shared" si="12"/>
        <v>-</v>
      </c>
      <c r="T129" s="269" t="str">
        <f t="shared" si="13"/>
        <v/>
      </c>
      <c r="U129" s="221">
        <f t="shared" si="14"/>
        <v>29</v>
      </c>
      <c r="V129" s="220" t="str">
        <f t="shared" si="42"/>
        <v>-</v>
      </c>
      <c r="W129" s="221" t="str">
        <f t="shared" si="43"/>
        <v>-</v>
      </c>
      <c r="X129" s="221" t="str">
        <f t="shared" si="15"/>
        <v>-</v>
      </c>
      <c r="Y129" s="221" t="str">
        <f t="shared" si="16"/>
        <v>-</v>
      </c>
      <c r="Z129" s="270">
        <f t="shared" si="44"/>
        <v>0.1</v>
      </c>
      <c r="AA129" s="271" t="str">
        <f>IFERROR(IF(V128=1,AA$100*EXP(-(LN(2)/$D$65+0.04)*X128)*EXP(-(LN(2)/$D$65+0.1)*Y128),IF(V128=2,AA$100*EXP(-(LN(2)/$D$65+0.04)*(VLOOKUP(($F$16-$F$15)-1,U$99:Y128,4,FALSE)))*EXP(-(LN(2)/$D$65+0.1)*(VLOOKUP(($F$16-$F$15)-1,U$99:Y128,5,FALSE)))*EXP(-(LN(2)/$D$65+0.04)*X128)*EXP(-(LN(2)/$D$65+0.1)*Y128),IF(V128=3,AA$100*EXP(-(LN(2)/$D$65+0.04)*(VLOOKUP(($F$16-$F$15)-1,U$99:Y128,4,FALSE)))*EXP(-(LN(2)/$D$65+0.1)*(VLOOKUP(($F$16-$F$15)-1,U$99:Y128,5,FALSE)))*EXP(-(LN(2)/$D$65+0.04)*(VLOOKUP(($F$16-$F$15)*2-1,U$99:Y128,4,FALSE)))*EXP(-(LN(2)/$D$65+0.1)*(VLOOKUP(($F$16-$F$15)*2-1,U$99:Y128,5,FALSE)))*EXP(-(LN(2)/$D$65+0.04)*X128)*EXP(-(LN(2)/$D$65+0.1)*Y128),"-"))),"-")</f>
        <v>-</v>
      </c>
      <c r="AB129" s="271" t="str">
        <f>IFERROR(IF(V129=1,AB$100*EXP(-(LN(2)/$D$65+0.04)*X129)*EXP(-(LN(2)/$D$65+0.1)*Y129),IF(V129=2,AB$100*EXP(-(LN(2)/$D$65+0.04)*(VLOOKUP(($F$16-$F$15)-1,U$100:Y129,4,FALSE)))*EXP(-(LN(2)/$D$65+0.1)*(VLOOKUP(($F$16-$F$15)-1,U$100:Y129,5,FALSE)))*EXP(-(LN(2)/$D$65+0.04)*X129)*EXP(-(LN(2)/$D$65+0.1)*Y129),IF(V129=3,AB$100*EXP(-(LN(2)/$D$65+0.04)*(VLOOKUP(($F$16-$F$15)-1,U$100:Y129,4,FALSE)))*EXP(-(LN(2)/$D$65+0.1)*(VLOOKUP(($F$16-$F$15)-1,U$100:Y129,5,FALSE)))*EXP(-(LN(2)/$D$65+0.04)*(VLOOKUP(($F$16-$F$15)*2-1,U$100:Y129,4,FALSE)))*EXP(-(LN(2)/$D$65+0.1)*(VLOOKUP(($F$16-$F$15)*2-1,U$100:Y129,5,FALSE)))*EXP(-(LN(2)/$D$65+0.04)*X129)*EXP(-(LN(2)/$D$65+0.1)*Y129),"-"))),"-")</f>
        <v>-</v>
      </c>
      <c r="AC129" s="224">
        <f t="shared" si="45"/>
        <v>29</v>
      </c>
      <c r="AD129" s="223" t="str">
        <f t="shared" si="18"/>
        <v>-</v>
      </c>
      <c r="AE129" s="224" t="str">
        <f t="shared" si="46"/>
        <v>-</v>
      </c>
      <c r="AF129" s="224" t="str">
        <f t="shared" si="19"/>
        <v>-</v>
      </c>
      <c r="AG129" s="224" t="str">
        <f t="shared" si="20"/>
        <v>-</v>
      </c>
      <c r="AH129" s="272">
        <f t="shared" si="47"/>
        <v>0.1</v>
      </c>
      <c r="AI129" s="271" t="str">
        <f>IFERROR(IF(AD128=1,AI$100*EXP(-(LN(2)/$D$65+0.04)*AF128)*EXP(-(LN(2)/$D$65+0.1)*AG128),IF(AD128=2,AI$100*EXP(-(LN(2)/$D$65+0.04)*(VLOOKUP(($F$16-$F$15)-1,AC$99:AG128,4,FALSE)))*EXP(-(LN(2)/$D$65+0.1)*(VLOOKUP(($F$16-$F$15)-1,AC$99:AG128,5,FALSE)))*EXP(-(LN(2)/$D$65+0.04)*AF128)*EXP(-(LN(2)/$D$65+0.1)*AG128),IF(AD128=3,AI$100*EXP(-(LN(2)/$D$65+0.04)*(VLOOKUP(($F$16-$F$15)-1,AC$99:AG128,4,FALSE)))*EXP(-(LN(2)/$D$65+0.1)*(VLOOKUP(($F$16-$F$15)-1,AC$99:AG128,5,FALSE)))*EXP(-(LN(2)/$D$65+0.04)*(VLOOKUP(($F$16-$F$15)*2-1,AC$99:AG128,4,FALSE)))*EXP(-(LN(2)/$D$65+0.1)*(VLOOKUP(($F$16-$F$15)*2-1,AC$99:AG128,5,FALSE)))*EXP(-(LN(2)/$D$65+0.04)*AF128)*EXP(-(LN(2)/$D$65+0.1)*AG128),"-"))),"-")</f>
        <v>-</v>
      </c>
      <c r="AJ129" s="271" t="str">
        <f>IFERROR(IF(AD129=1,AJ$100*EXP(-(LN(2)/$D$65+0.04)*AF129)*EXP(-(LN(2)/$D$65+0.1)*AG129),IF(AD129=2,AJ$100*EXP(-(LN(2)/$D$65+0.04)*(VLOOKUP(($F$16-$F$15)-1,AC$100:AG129,4,FALSE)))*EXP(-(LN(2)/$D$65+0.1)*(VLOOKUP(($F$16-$F$15)-1,AC$100:AG129,5,FALSE)))*EXP(-(LN(2)/$D$65+0.04)*AF129)*EXP(-(LN(2)/$D$65+0.1)*AG129),IF(AD129=3,AJ$100*EXP(-(LN(2)/$D$65+0.04)*(VLOOKUP(($F$16-$F$15)-1,AC$100:AG129,4,FALSE)))*EXP(-(LN(2)/$D$65+0.1)*(VLOOKUP(($F$16-$F$15)-1,AC$100:AG129,5,FALSE)))*EXP(-(LN(2)/$D$65+0.04)*(VLOOKUP(($F$16-$F$15)*2-1,AC$100:AG129,4,FALSE)))*EXP(-(LN(2)/$D$65+0.1)*(VLOOKUP(($F$16-$F$15)*2-1,AC$100:AG129,5,FALSE)))*EXP(-(LN(2)/$D$65+0.04)*AF129)*EXP(-(LN(2)/$D$65+0.1)*AG129),"-"))),"-")</f>
        <v>-</v>
      </c>
      <c r="AK129" s="227">
        <f t="shared" si="49"/>
        <v>29</v>
      </c>
      <c r="AL129" s="226" t="str">
        <f t="shared" si="22"/>
        <v>-</v>
      </c>
      <c r="AM129" s="227" t="str">
        <f t="shared" si="50"/>
        <v>-</v>
      </c>
      <c r="AN129" s="227" t="str">
        <f t="shared" si="51"/>
        <v>-</v>
      </c>
      <c r="AO129" s="227" t="str">
        <f t="shared" si="23"/>
        <v>-</v>
      </c>
      <c r="AP129" s="273">
        <f t="shared" si="52"/>
        <v>0.1</v>
      </c>
      <c r="AQ129" s="271" t="str">
        <f>IFERROR(IF(AL128=1,AQ$100*EXP(-(LN(2)/$D$65+0.04)*AN128)*EXP(-(LN(2)/$D$65+0.1)*AO128),IF(AL128=2,AQ$100*EXP(-(LN(2)/$D$65+0.04)*(VLOOKUP(($F$16-$F$15)-1,AK$99:AO128,4,FALSE)))*EXP(-(LN(2)/$D$65+0.1)*(VLOOKUP(($F$16-$F$15)-1,AK$99:AO128,5,FALSE)))*EXP(-(LN(2)/$D$65+0.04)*AN128)*EXP(-(LN(2)/$D$65+0.1)*AO128),IF(AL128=3,AQ$100*EXP(-(LN(2)/$D$65+0.04)*(VLOOKUP(($F$16-$F$15)-1,AK$99:AO128,4,FALSE)))*EXP(-(LN(2)/$D$65+0.1)*(VLOOKUP(($F$16-$F$15)-1,AK$99:AO128,5,FALSE)))*EXP(-(LN(2)/$D$65+0.04)*(VLOOKUP(($F$16-$F$15)*2-1,AK$99:AO128,4,FALSE)))*EXP(-(LN(2)/$D$65+0.1)*(VLOOKUP(($F$16-$F$15)*2-1,AK$99:AO128,5,FALSE)))*EXP(-(LN(2)/$D$65+0.04)*AN128)*EXP(-(LN(2)/$D$65+0.1)*AO128),"-"))),"-")</f>
        <v>-</v>
      </c>
      <c r="AR129" s="271" t="str">
        <f>IFERROR(IF(AL129=1,AR$100*EXP(-(LN(2)/$D$65+0.04)*AN129)*EXP(-(LN(2)/$D$65+0.1)*AO129),IF(AL129=2,AR$100*EXP(-(LN(2)/$D$65+0.04)*(VLOOKUP(($F$16-$F$15)-1,AK$100:AO129,4,FALSE)))*EXP(-(LN(2)/$D$65+0.1)*(VLOOKUP(($F$16-$F$15)-1,AK$100:AO129,5,FALSE)))*EXP(-(LN(2)/$D$65+0.04)*AN129)*EXP(-(LN(2)/$D$65+0.1)*AO129),IF(AL129=3,AR$100*EXP(-(LN(2)/$D$65+0.04)*(VLOOKUP(($F$16-$F$15)-1,AK$100:AO129,4,FALSE)))*EXP(-(LN(2)/$D$65+0.1)*(VLOOKUP(($F$16-$F$15)-1,AK$100:AO129,5,FALSE)))*EXP(-(LN(2)/$D$65+0.04)*(VLOOKUP(($F$16-$F$15)*2-1,AK$100:AO129,4,FALSE)))*EXP(-(LN(2)/$D$65+0.1)*(VLOOKUP(($F$16-$F$15)*2-1,AK$100:AO129,5,FALSE)))*EXP(-(LN(2)/$D$65+0.04)*AN129)*EXP(-(LN(2)/$D$65+0.1)*AO129),"-"))),"-")</f>
        <v>-</v>
      </c>
      <c r="AS129" s="274">
        <f t="shared" si="24"/>
        <v>0</v>
      </c>
      <c r="AT129" s="274">
        <f t="shared" si="25"/>
        <v>0</v>
      </c>
      <c r="AU129" s="274">
        <f t="shared" si="26"/>
        <v>0</v>
      </c>
      <c r="AV129" s="190" t="str">
        <f>IF($B129&lt;$F$22,SUM($T$100:$T129),"")</f>
        <v/>
      </c>
      <c r="AW129" s="190" t="str">
        <f t="shared" si="55"/>
        <v>-</v>
      </c>
      <c r="AX129" s="190" t="str">
        <f t="shared" si="56"/>
        <v/>
      </c>
      <c r="AY129"/>
      <c r="AZ129" s="190" t="str">
        <f ca="1">IF(ISNUMBER(OFFSET(AV129,-$F$21,0)),SUM(OFFSET($T$100,$F$21,0):$T129),"")</f>
        <v/>
      </c>
      <c r="BA129" s="190" t="str">
        <f t="shared" ca="1" si="27"/>
        <v/>
      </c>
      <c r="BB129" s="190" t="str">
        <f t="shared" ca="1" si="70"/>
        <v/>
      </c>
      <c r="BC129" s="190"/>
      <c r="BD129" s="190" t="str">
        <f ca="1">IFERROR(IF(OR(ISNUMBER(I),ISNUMBER($F$14)),IF(AND($B129&gt;=($F$16-$F$15),$B129&lt;$F$22+($F$16-$F$15)),SUM(OFFSET($T$100,($F$16-$F$15),0):$T129),""),""),"")</f>
        <v/>
      </c>
      <c r="BE129" s="190" t="str">
        <f t="shared" ca="1" si="58"/>
        <v/>
      </c>
      <c r="BF129" s="190" t="str">
        <f t="shared" ca="1" si="59"/>
        <v/>
      </c>
      <c r="BG129"/>
      <c r="BH129" s="190" t="str">
        <f ca="1">IF(ISNUMBER(OFFSET(BD129,-$F$21,0)),SUM(OFFSET($T$100,($F$16-$F$15+$F$21),0):$T129),"")</f>
        <v/>
      </c>
      <c r="BI129" s="190" t="str">
        <f t="shared" ca="1" si="28"/>
        <v/>
      </c>
      <c r="BJ129" s="190" t="str">
        <f t="shared" ca="1" si="60"/>
        <v/>
      </c>
      <c r="BK129" s="190"/>
      <c r="BL129" s="190" t="str">
        <f ca="1">IFERROR(IF(OR(ISNUMBER(I),ISNUMBER($F$14)),IF(AND($B129&gt;=($F$17-$F$15),$B129&lt;$F$22+($F$17-$F$15)),SUM(OFFSET($T$100,($F$17-$F$15),0):$T129),""),""),"")</f>
        <v/>
      </c>
      <c r="BM129" s="190" t="str">
        <f t="shared" ca="1" si="29"/>
        <v/>
      </c>
      <c r="BN129" s="190" t="str">
        <f t="shared" ca="1" si="61"/>
        <v/>
      </c>
      <c r="BO129"/>
      <c r="BP129" s="190" t="str">
        <f ca="1">IF(ISNUMBER(OFFSET(BL129,-$F$21,0)),SUM(OFFSET($T$100,($F$17-$F$15+$F$21),0):$T129),"")</f>
        <v/>
      </c>
      <c r="BQ129" s="190" t="str">
        <f t="shared" ca="1" si="62"/>
        <v/>
      </c>
      <c r="BR129" s="190" t="str">
        <f t="shared" ca="1" si="63"/>
        <v/>
      </c>
      <c r="BS129" s="190"/>
      <c r="BT129"/>
      <c r="BU129"/>
      <c r="BV129"/>
      <c r="BY129" s="99"/>
      <c r="BZ129" s="99"/>
      <c r="CA129" s="280" t="str">
        <f t="shared" si="30"/>
        <v/>
      </c>
      <c r="CB129" s="71" t="str">
        <f t="shared" si="31"/>
        <v>-</v>
      </c>
      <c r="CC129" s="33"/>
      <c r="CD129" s="261" t="str">
        <f t="shared" si="33"/>
        <v/>
      </c>
      <c r="CE129" s="280" t="str">
        <f t="shared" si="34"/>
        <v/>
      </c>
      <c r="CF129" s="71" t="str">
        <f t="shared" ca="1" si="35"/>
        <v/>
      </c>
      <c r="CG129" s="33" t="str">
        <f t="shared" si="36"/>
        <v/>
      </c>
      <c r="CH129" s="261" t="str">
        <f t="shared" ca="1" si="37"/>
        <v/>
      </c>
      <c r="CI129" s="202"/>
      <c r="CJ129" s="99"/>
      <c r="CK129" s="99"/>
      <c r="CL129" s="99"/>
      <c r="CM129" s="99"/>
      <c r="CN129" s="99"/>
      <c r="CO129" s="99"/>
    </row>
    <row r="130" spans="2:93" ht="13.5" customHeight="1" x14ac:dyDescent="0.2">
      <c r="B130" s="262">
        <v>30</v>
      </c>
      <c r="C130" s="237" t="str">
        <f t="shared" si="1"/>
        <v/>
      </c>
      <c r="D130" s="237" t="str">
        <f t="shared" si="66"/>
        <v/>
      </c>
      <c r="E130" s="290" t="str">
        <f t="shared" si="38"/>
        <v/>
      </c>
      <c r="F130" s="264" t="str">
        <f t="shared" si="39"/>
        <v/>
      </c>
      <c r="G130" s="291" t="str">
        <f t="shared" si="40"/>
        <v/>
      </c>
      <c r="H130" s="240" t="str">
        <f t="shared" si="41"/>
        <v/>
      </c>
      <c r="I130" s="265" t="str">
        <f t="shared" si="2"/>
        <v/>
      </c>
      <c r="J130" s="265" t="str">
        <f t="shared" si="3"/>
        <v/>
      </c>
      <c r="K130" s="240" t="str">
        <f t="shared" si="4"/>
        <v/>
      </c>
      <c r="L130" s="265" t="str">
        <f t="shared" si="5"/>
        <v/>
      </c>
      <c r="M130" s="265" t="str">
        <f t="shared" si="6"/>
        <v/>
      </c>
      <c r="N130" s="240" t="str">
        <f t="shared" si="7"/>
        <v>-</v>
      </c>
      <c r="O130" s="265" t="str">
        <f t="shared" si="8"/>
        <v>-</v>
      </c>
      <c r="P130" s="265" t="str">
        <f t="shared" si="9"/>
        <v>-</v>
      </c>
      <c r="Q130" s="266" t="str">
        <f t="shared" si="10"/>
        <v>-</v>
      </c>
      <c r="R130" s="267" t="str">
        <f t="shared" si="11"/>
        <v>-</v>
      </c>
      <c r="S130" s="268" t="str">
        <f t="shared" si="12"/>
        <v>-</v>
      </c>
      <c r="T130" s="269" t="str">
        <f t="shared" si="13"/>
        <v/>
      </c>
      <c r="U130" s="221">
        <f t="shared" si="14"/>
        <v>30</v>
      </c>
      <c r="V130" s="220" t="str">
        <f t="shared" si="42"/>
        <v>-</v>
      </c>
      <c r="W130" s="221" t="str">
        <f t="shared" si="43"/>
        <v>-</v>
      </c>
      <c r="X130" s="221" t="str">
        <f t="shared" si="15"/>
        <v>-</v>
      </c>
      <c r="Y130" s="221" t="str">
        <f t="shared" si="16"/>
        <v>-</v>
      </c>
      <c r="Z130" s="270">
        <f t="shared" si="44"/>
        <v>0.1</v>
      </c>
      <c r="AA130" s="271" t="str">
        <f>IFERROR(IF(V129=1,AA$100*EXP(-(LN(2)/$D$65+0.04)*X129)*EXP(-(LN(2)/$D$65+0.1)*Y129),IF(V129=2,AA$100*EXP(-(LN(2)/$D$65+0.04)*(VLOOKUP(($F$16-$F$15)-1,U$99:Y129,4,FALSE)))*EXP(-(LN(2)/$D$65+0.1)*(VLOOKUP(($F$16-$F$15)-1,U$99:Y129,5,FALSE)))*EXP(-(LN(2)/$D$65+0.04)*X129)*EXP(-(LN(2)/$D$65+0.1)*Y129),IF(V129=3,AA$100*EXP(-(LN(2)/$D$65+0.04)*(VLOOKUP(($F$16-$F$15)-1,U$99:Y129,4,FALSE)))*EXP(-(LN(2)/$D$65+0.1)*(VLOOKUP(($F$16-$F$15)-1,U$99:Y129,5,FALSE)))*EXP(-(LN(2)/$D$65+0.04)*(VLOOKUP(($F$16-$F$15)*2-1,U$99:Y129,4,FALSE)))*EXP(-(LN(2)/$D$65+0.1)*(VLOOKUP(($F$16-$F$15)*2-1,U$99:Y129,5,FALSE)))*EXP(-(LN(2)/$D$65+0.04)*X129)*EXP(-(LN(2)/$D$65+0.1)*Y129),"-"))),"-")</f>
        <v>-</v>
      </c>
      <c r="AB130" s="271" t="str">
        <f>IFERROR(IF(V130=1,AB$100*EXP(-(LN(2)/$D$65+0.04)*X130)*EXP(-(LN(2)/$D$65+0.1)*Y130),IF(V130=2,AB$100*EXP(-(LN(2)/$D$65+0.04)*(VLOOKUP(($F$16-$F$15)-1,U$100:Y130,4,FALSE)))*EXP(-(LN(2)/$D$65+0.1)*(VLOOKUP(($F$16-$F$15)-1,U$100:Y130,5,FALSE)))*EXP(-(LN(2)/$D$65+0.04)*X130)*EXP(-(LN(2)/$D$65+0.1)*Y130),IF(V130=3,AB$100*EXP(-(LN(2)/$D$65+0.04)*(VLOOKUP(($F$16-$F$15)-1,U$100:Y130,4,FALSE)))*EXP(-(LN(2)/$D$65+0.1)*(VLOOKUP(($F$16-$F$15)-1,U$100:Y130,5,FALSE)))*EXP(-(LN(2)/$D$65+0.04)*(VLOOKUP(($F$16-$F$15)*2-1,U$100:Y130,4,FALSE)))*EXP(-(LN(2)/$D$65+0.1)*(VLOOKUP(($F$16-$F$15)*2-1,U$100:Y130,5,FALSE)))*EXP(-(LN(2)/$D$65+0.04)*X130)*EXP(-(LN(2)/$D$65+0.1)*Y130),"-"))),"-")</f>
        <v>-</v>
      </c>
      <c r="AC130" s="224">
        <f t="shared" si="45"/>
        <v>30</v>
      </c>
      <c r="AD130" s="223" t="str">
        <f t="shared" si="18"/>
        <v>-</v>
      </c>
      <c r="AE130" s="224" t="str">
        <f t="shared" si="46"/>
        <v>-</v>
      </c>
      <c r="AF130" s="224" t="str">
        <f t="shared" si="19"/>
        <v>-</v>
      </c>
      <c r="AG130" s="224" t="str">
        <f t="shared" si="20"/>
        <v>-</v>
      </c>
      <c r="AH130" s="272">
        <f t="shared" si="47"/>
        <v>0.1</v>
      </c>
      <c r="AI130" s="271" t="str">
        <f>IFERROR(IF(AD129=1,AI$100*EXP(-(LN(2)/$D$65+0.04)*AF129)*EXP(-(LN(2)/$D$65+0.1)*AG129),IF(AD129=2,AI$100*EXP(-(LN(2)/$D$65+0.04)*(VLOOKUP(($F$16-$F$15)-1,AC$99:AG129,4,FALSE)))*EXP(-(LN(2)/$D$65+0.1)*(VLOOKUP(($F$16-$F$15)-1,AC$99:AG129,5,FALSE)))*EXP(-(LN(2)/$D$65+0.04)*AF129)*EXP(-(LN(2)/$D$65+0.1)*AG129),IF(AD129=3,AI$100*EXP(-(LN(2)/$D$65+0.04)*(VLOOKUP(($F$16-$F$15)-1,AC$99:AG129,4,FALSE)))*EXP(-(LN(2)/$D$65+0.1)*(VLOOKUP(($F$16-$F$15)-1,AC$99:AG129,5,FALSE)))*EXP(-(LN(2)/$D$65+0.04)*(VLOOKUP(($F$16-$F$15)*2-1,AC$99:AG129,4,FALSE)))*EXP(-(LN(2)/$D$65+0.1)*(VLOOKUP(($F$16-$F$15)*2-1,AC$99:AG129,5,FALSE)))*EXP(-(LN(2)/$D$65+0.04)*AF129)*EXP(-(LN(2)/$D$65+0.1)*AG129),"-"))),"-")</f>
        <v>-</v>
      </c>
      <c r="AJ130" s="271" t="str">
        <f>IFERROR(IF(AD130=1,AJ$100*EXP(-(LN(2)/$D$65+0.04)*AF130)*EXP(-(LN(2)/$D$65+0.1)*AG130),IF(AD130=2,AJ$100*EXP(-(LN(2)/$D$65+0.04)*(VLOOKUP(($F$16-$F$15)-1,AC$100:AG130,4,FALSE)))*EXP(-(LN(2)/$D$65+0.1)*(VLOOKUP(($F$16-$F$15)-1,AC$100:AG130,5,FALSE)))*EXP(-(LN(2)/$D$65+0.04)*AF130)*EXP(-(LN(2)/$D$65+0.1)*AG130),IF(AD130=3,AJ$100*EXP(-(LN(2)/$D$65+0.04)*(VLOOKUP(($F$16-$F$15)-1,AC$100:AG130,4,FALSE)))*EXP(-(LN(2)/$D$65+0.1)*(VLOOKUP(($F$16-$F$15)-1,AC$100:AG130,5,FALSE)))*EXP(-(LN(2)/$D$65+0.04)*(VLOOKUP(($F$16-$F$15)*2-1,AC$100:AG130,4,FALSE)))*EXP(-(LN(2)/$D$65+0.1)*(VLOOKUP(($F$16-$F$15)*2-1,AC$100:AG130,5,FALSE)))*EXP(-(LN(2)/$D$65+0.04)*AF130)*EXP(-(LN(2)/$D$65+0.1)*AG130),"-"))),"-")</f>
        <v>-</v>
      </c>
      <c r="AK130" s="227">
        <f t="shared" si="49"/>
        <v>30</v>
      </c>
      <c r="AL130" s="226" t="str">
        <f t="shared" si="22"/>
        <v>-</v>
      </c>
      <c r="AM130" s="227" t="str">
        <f t="shared" si="50"/>
        <v>-</v>
      </c>
      <c r="AN130" s="227" t="str">
        <f t="shared" si="51"/>
        <v>-</v>
      </c>
      <c r="AO130" s="227" t="str">
        <f t="shared" si="23"/>
        <v>-</v>
      </c>
      <c r="AP130" s="273">
        <f t="shared" si="52"/>
        <v>0.1</v>
      </c>
      <c r="AQ130" s="271" t="str">
        <f>IFERROR(IF(AL129=1,AQ$100*EXP(-(LN(2)/$D$65+0.04)*AN129)*EXP(-(LN(2)/$D$65+0.1)*AO129),IF(AL129=2,AQ$100*EXP(-(LN(2)/$D$65+0.04)*(VLOOKUP(($F$16-$F$15)-1,AK$99:AO129,4,FALSE)))*EXP(-(LN(2)/$D$65+0.1)*(VLOOKUP(($F$16-$F$15)-1,AK$99:AO129,5,FALSE)))*EXP(-(LN(2)/$D$65+0.04)*AN129)*EXP(-(LN(2)/$D$65+0.1)*AO129),IF(AL129=3,AQ$100*EXP(-(LN(2)/$D$65+0.04)*(VLOOKUP(($F$16-$F$15)-1,AK$99:AO129,4,FALSE)))*EXP(-(LN(2)/$D$65+0.1)*(VLOOKUP(($F$16-$F$15)-1,AK$99:AO129,5,FALSE)))*EXP(-(LN(2)/$D$65+0.04)*(VLOOKUP(($F$16-$F$15)*2-1,AK$99:AO129,4,FALSE)))*EXP(-(LN(2)/$D$65+0.1)*(VLOOKUP(($F$16-$F$15)*2-1,AK$99:AO129,5,FALSE)))*EXP(-(LN(2)/$D$65+0.04)*AN129)*EXP(-(LN(2)/$D$65+0.1)*AO129),"-"))),"-")</f>
        <v>-</v>
      </c>
      <c r="AR130" s="271" t="str">
        <f>IFERROR(IF(AL130=1,AR$100*EXP(-(LN(2)/$D$65+0.04)*AN130)*EXP(-(LN(2)/$D$65+0.1)*AO130),IF(AL130=2,AR$100*EXP(-(LN(2)/$D$65+0.04)*(VLOOKUP(($F$16-$F$15)-1,AK$100:AO130,4,FALSE)))*EXP(-(LN(2)/$D$65+0.1)*(VLOOKUP(($F$16-$F$15)-1,AK$100:AO130,5,FALSE)))*EXP(-(LN(2)/$D$65+0.04)*AN130)*EXP(-(LN(2)/$D$65+0.1)*AO130),IF(AL130=3,AR$100*EXP(-(LN(2)/$D$65+0.04)*(VLOOKUP(($F$16-$F$15)-1,AK$100:AO130,4,FALSE)))*EXP(-(LN(2)/$D$65+0.1)*(VLOOKUP(($F$16-$F$15)-1,AK$100:AO130,5,FALSE)))*EXP(-(LN(2)/$D$65+0.04)*(VLOOKUP(($F$16-$F$15)*2-1,AK$100:AO130,4,FALSE)))*EXP(-(LN(2)/$D$65+0.1)*(VLOOKUP(($F$16-$F$15)*2-1,AK$100:AO130,5,FALSE)))*EXP(-(LN(2)/$D$65+0.04)*AN130)*EXP(-(LN(2)/$D$65+0.1)*AO130),"-"))),"-")</f>
        <v>-</v>
      </c>
      <c r="AS130" s="274">
        <f t="shared" si="24"/>
        <v>0</v>
      </c>
      <c r="AT130" s="274">
        <f t="shared" si="25"/>
        <v>0</v>
      </c>
      <c r="AU130" s="274">
        <f t="shared" si="26"/>
        <v>0</v>
      </c>
      <c r="AV130" s="190" t="str">
        <f>IF($B130&lt;$F$22,SUM($T$100:$T130),"")</f>
        <v/>
      </c>
      <c r="AW130" s="190" t="str">
        <f t="shared" si="55"/>
        <v>-</v>
      </c>
      <c r="AX130" s="190" t="str">
        <f t="shared" si="56"/>
        <v/>
      </c>
      <c r="AY130"/>
      <c r="AZ130" s="190" t="str">
        <f ca="1">IF(ISNUMBER(OFFSET(AV130,-$F$21,0)),SUM(OFFSET($T$100,$F$21,0):$T130),"")</f>
        <v/>
      </c>
      <c r="BA130" s="190" t="str">
        <f t="shared" ca="1" si="27"/>
        <v/>
      </c>
      <c r="BB130" s="190" t="str">
        <f t="shared" ca="1" si="70"/>
        <v/>
      </c>
      <c r="BC130" s="190"/>
      <c r="BD130" s="190" t="str">
        <f ca="1">IFERROR(IF(OR(ISNUMBER(I),ISNUMBER($F$14)),IF(AND($B130&gt;=($F$16-$F$15),$B130&lt;$F$22+($F$16-$F$15)),SUM(OFFSET($T$100,($F$16-$F$15),0):$T130),""),""),"")</f>
        <v/>
      </c>
      <c r="BE130" s="190" t="str">
        <f t="shared" ca="1" si="58"/>
        <v/>
      </c>
      <c r="BF130" s="190" t="str">
        <f t="shared" ca="1" si="59"/>
        <v/>
      </c>
      <c r="BG130"/>
      <c r="BH130" s="190" t="str">
        <f ca="1">IF(ISNUMBER(OFFSET(BD130,-$F$21,0)),SUM(OFFSET($T$100,($F$16-$F$15+$F$21),0):$T130),"")</f>
        <v/>
      </c>
      <c r="BI130" s="190" t="str">
        <f t="shared" ca="1" si="28"/>
        <v/>
      </c>
      <c r="BJ130" s="190" t="str">
        <f t="shared" ca="1" si="60"/>
        <v/>
      </c>
      <c r="BK130" s="190"/>
      <c r="BL130" s="190" t="str">
        <f ca="1">IFERROR(IF(OR(ISNUMBER(I),ISNUMBER($F$14)),IF(AND($B130&gt;=($F$17-$F$15),$B130&lt;$F$22+($F$17-$F$15)),SUM(OFFSET($T$100,($F$17-$F$15),0):$T130),""),""),"")</f>
        <v/>
      </c>
      <c r="BM130" s="190" t="str">
        <f t="shared" ca="1" si="29"/>
        <v/>
      </c>
      <c r="BN130" s="190" t="str">
        <f t="shared" ca="1" si="61"/>
        <v/>
      </c>
      <c r="BO130"/>
      <c r="BP130" s="190" t="str">
        <f ca="1">IF(ISNUMBER(OFFSET(BL130,-$F$21,0)),SUM(OFFSET($T$100,($F$17-$F$15+$F$21),0):$T130),"")</f>
        <v/>
      </c>
      <c r="BQ130" s="190" t="str">
        <f t="shared" ca="1" si="62"/>
        <v/>
      </c>
      <c r="BR130" s="190" t="str">
        <f t="shared" ca="1" si="63"/>
        <v/>
      </c>
      <c r="BS130" s="190"/>
      <c r="BT130"/>
      <c r="BU130"/>
      <c r="BV130"/>
      <c r="BY130" s="99"/>
      <c r="BZ130" s="99"/>
      <c r="CA130" s="280" t="str">
        <f t="shared" si="30"/>
        <v/>
      </c>
      <c r="CB130" s="71" t="str">
        <f t="shared" si="31"/>
        <v>-</v>
      </c>
      <c r="CC130" s="33"/>
      <c r="CD130" s="261" t="str">
        <f t="shared" si="33"/>
        <v/>
      </c>
      <c r="CE130" s="280" t="str">
        <f t="shared" si="34"/>
        <v/>
      </c>
      <c r="CF130" s="71" t="str">
        <f t="shared" ca="1" si="35"/>
        <v/>
      </c>
      <c r="CG130" s="33" t="str">
        <f t="shared" si="36"/>
        <v/>
      </c>
      <c r="CH130" s="261" t="str">
        <f t="shared" ca="1" si="37"/>
        <v/>
      </c>
      <c r="CI130" s="202"/>
      <c r="CJ130" s="99"/>
      <c r="CK130" s="99"/>
      <c r="CL130" s="99"/>
      <c r="CM130" s="99"/>
      <c r="CN130" s="99"/>
      <c r="CO130" s="99"/>
    </row>
    <row r="131" spans="2:93" ht="13.5" customHeight="1" x14ac:dyDescent="0.2">
      <c r="B131" s="262">
        <v>31</v>
      </c>
      <c r="C131" s="237" t="str">
        <f t="shared" si="1"/>
        <v/>
      </c>
      <c r="D131" s="237" t="str">
        <f t="shared" si="66"/>
        <v/>
      </c>
      <c r="E131" s="290" t="str">
        <f t="shared" si="38"/>
        <v/>
      </c>
      <c r="F131" s="264" t="str">
        <f t="shared" si="39"/>
        <v/>
      </c>
      <c r="G131" s="291" t="str">
        <f t="shared" si="40"/>
        <v/>
      </c>
      <c r="H131" s="240" t="str">
        <f t="shared" si="41"/>
        <v/>
      </c>
      <c r="I131" s="265" t="str">
        <f t="shared" si="2"/>
        <v/>
      </c>
      <c r="J131" s="265" t="str">
        <f t="shared" si="3"/>
        <v/>
      </c>
      <c r="K131" s="240" t="str">
        <f t="shared" si="4"/>
        <v/>
      </c>
      <c r="L131" s="265" t="str">
        <f t="shared" si="5"/>
        <v/>
      </c>
      <c r="M131" s="265" t="str">
        <f t="shared" si="6"/>
        <v/>
      </c>
      <c r="N131" s="240" t="str">
        <f t="shared" si="7"/>
        <v>-</v>
      </c>
      <c r="O131" s="265" t="str">
        <f t="shared" si="8"/>
        <v>-</v>
      </c>
      <c r="P131" s="265" t="str">
        <f t="shared" si="9"/>
        <v>-</v>
      </c>
      <c r="Q131" s="266" t="str">
        <f t="shared" si="10"/>
        <v>-</v>
      </c>
      <c r="R131" s="267" t="str">
        <f t="shared" si="11"/>
        <v>-</v>
      </c>
      <c r="S131" s="268" t="str">
        <f t="shared" si="12"/>
        <v>-</v>
      </c>
      <c r="T131" s="269" t="str">
        <f t="shared" si="13"/>
        <v/>
      </c>
      <c r="U131" s="221">
        <f t="shared" si="14"/>
        <v>31</v>
      </c>
      <c r="V131" s="220" t="str">
        <f t="shared" si="42"/>
        <v>-</v>
      </c>
      <c r="W131" s="221" t="str">
        <f t="shared" si="43"/>
        <v>-</v>
      </c>
      <c r="X131" s="221" t="str">
        <f t="shared" si="15"/>
        <v>-</v>
      </c>
      <c r="Y131" s="221" t="str">
        <f t="shared" si="16"/>
        <v>-</v>
      </c>
      <c r="Z131" s="270">
        <f t="shared" si="44"/>
        <v>0.1</v>
      </c>
      <c r="AA131" s="271" t="str">
        <f>IFERROR(IF(V130=1,AA$100*EXP(-(LN(2)/$D$65+0.04)*X130)*EXP(-(LN(2)/$D$65+0.1)*Y130),IF(V130=2,AA$100*EXP(-(LN(2)/$D$65+0.04)*(VLOOKUP(($F$16-$F$15)-1,U$99:Y130,4,FALSE)))*EXP(-(LN(2)/$D$65+0.1)*(VLOOKUP(($F$16-$F$15)-1,U$99:Y130,5,FALSE)))*EXP(-(LN(2)/$D$65+0.04)*X130)*EXP(-(LN(2)/$D$65+0.1)*Y130),IF(V130=3,AA$100*EXP(-(LN(2)/$D$65+0.04)*(VLOOKUP(($F$16-$F$15)-1,U$99:Y130,4,FALSE)))*EXP(-(LN(2)/$D$65+0.1)*(VLOOKUP(($F$16-$F$15)-1,U$99:Y130,5,FALSE)))*EXP(-(LN(2)/$D$65+0.04)*(VLOOKUP(($F$16-$F$15)*2-1,U$99:Y130,4,FALSE)))*EXP(-(LN(2)/$D$65+0.1)*(VLOOKUP(($F$16-$F$15)*2-1,U$99:Y130,5,FALSE)))*EXP(-(LN(2)/$D$65+0.04)*X130)*EXP(-(LN(2)/$D$65+0.1)*Y130),"-"))),"-")</f>
        <v>-</v>
      </c>
      <c r="AB131" s="271" t="str">
        <f>IFERROR(IF(V131=1,AB$100*EXP(-(LN(2)/$D$65+0.04)*X131)*EXP(-(LN(2)/$D$65+0.1)*Y131),IF(V131=2,AB$100*EXP(-(LN(2)/$D$65+0.04)*(VLOOKUP(($F$16-$F$15)-1,U$100:Y131,4,FALSE)))*EXP(-(LN(2)/$D$65+0.1)*(VLOOKUP(($F$16-$F$15)-1,U$100:Y131,5,FALSE)))*EXP(-(LN(2)/$D$65+0.04)*X131)*EXP(-(LN(2)/$D$65+0.1)*Y131),IF(V131=3,AB$100*EXP(-(LN(2)/$D$65+0.04)*(VLOOKUP(($F$16-$F$15)-1,U$100:Y131,4,FALSE)))*EXP(-(LN(2)/$D$65+0.1)*(VLOOKUP(($F$16-$F$15)-1,U$100:Y131,5,FALSE)))*EXP(-(LN(2)/$D$65+0.04)*(VLOOKUP(($F$16-$F$15)*2-1,U$100:Y131,4,FALSE)))*EXP(-(LN(2)/$D$65+0.1)*(VLOOKUP(($F$16-$F$15)*2-1,U$100:Y131,5,FALSE)))*EXP(-(LN(2)/$D$65+0.04)*X131)*EXP(-(LN(2)/$D$65+0.1)*Y131),"-"))),"-")</f>
        <v>-</v>
      </c>
      <c r="AC131" s="224">
        <f t="shared" si="45"/>
        <v>31</v>
      </c>
      <c r="AD131" s="223" t="str">
        <f t="shared" si="18"/>
        <v>-</v>
      </c>
      <c r="AE131" s="224" t="str">
        <f t="shared" si="46"/>
        <v>-</v>
      </c>
      <c r="AF131" s="224" t="str">
        <f t="shared" si="19"/>
        <v>-</v>
      </c>
      <c r="AG131" s="224" t="str">
        <f t="shared" si="20"/>
        <v>-</v>
      </c>
      <c r="AH131" s="272">
        <f t="shared" si="47"/>
        <v>0.1</v>
      </c>
      <c r="AI131" s="271" t="str">
        <f>IFERROR(IF(AD130=1,AI$100*EXP(-(LN(2)/$D$65+0.04)*AF130)*EXP(-(LN(2)/$D$65+0.1)*AG130),IF(AD130=2,AI$100*EXP(-(LN(2)/$D$65+0.04)*(VLOOKUP(($F$16-$F$15)-1,AC$99:AG130,4,FALSE)))*EXP(-(LN(2)/$D$65+0.1)*(VLOOKUP(($F$16-$F$15)-1,AC$99:AG130,5,FALSE)))*EXP(-(LN(2)/$D$65+0.04)*AF130)*EXP(-(LN(2)/$D$65+0.1)*AG130),IF(AD130=3,AI$100*EXP(-(LN(2)/$D$65+0.04)*(VLOOKUP(($F$16-$F$15)-1,AC$99:AG130,4,FALSE)))*EXP(-(LN(2)/$D$65+0.1)*(VLOOKUP(($F$16-$F$15)-1,AC$99:AG130,5,FALSE)))*EXP(-(LN(2)/$D$65+0.04)*(VLOOKUP(($F$16-$F$15)*2-1,AC$99:AG130,4,FALSE)))*EXP(-(LN(2)/$D$65+0.1)*(VLOOKUP(($F$16-$F$15)*2-1,AC$99:AG130,5,FALSE)))*EXP(-(LN(2)/$D$65+0.04)*AF130)*EXP(-(LN(2)/$D$65+0.1)*AG130),"-"))),"-")</f>
        <v>-</v>
      </c>
      <c r="AJ131" s="271" t="str">
        <f>IFERROR(IF(AD131=1,AJ$100*EXP(-(LN(2)/$D$65+0.04)*AF131)*EXP(-(LN(2)/$D$65+0.1)*AG131),IF(AD131=2,AJ$100*EXP(-(LN(2)/$D$65+0.04)*(VLOOKUP(($F$16-$F$15)-1,AC$100:AG131,4,FALSE)))*EXP(-(LN(2)/$D$65+0.1)*(VLOOKUP(($F$16-$F$15)-1,AC$100:AG131,5,FALSE)))*EXP(-(LN(2)/$D$65+0.04)*AF131)*EXP(-(LN(2)/$D$65+0.1)*AG131),IF(AD131=3,AJ$100*EXP(-(LN(2)/$D$65+0.04)*(VLOOKUP(($F$16-$F$15)-1,AC$100:AG131,4,FALSE)))*EXP(-(LN(2)/$D$65+0.1)*(VLOOKUP(($F$16-$F$15)-1,AC$100:AG131,5,FALSE)))*EXP(-(LN(2)/$D$65+0.04)*(VLOOKUP(($F$16-$F$15)*2-1,AC$100:AG131,4,FALSE)))*EXP(-(LN(2)/$D$65+0.1)*(VLOOKUP(($F$16-$F$15)*2-1,AC$100:AG131,5,FALSE)))*EXP(-(LN(2)/$D$65+0.04)*AF131)*EXP(-(LN(2)/$D$65+0.1)*AG131),"-"))),"-")</f>
        <v>-</v>
      </c>
      <c r="AK131" s="227">
        <f t="shared" si="49"/>
        <v>31</v>
      </c>
      <c r="AL131" s="226" t="str">
        <f t="shared" si="22"/>
        <v>-</v>
      </c>
      <c r="AM131" s="227" t="str">
        <f t="shared" si="50"/>
        <v>-</v>
      </c>
      <c r="AN131" s="227" t="str">
        <f t="shared" si="51"/>
        <v>-</v>
      </c>
      <c r="AO131" s="227" t="str">
        <f t="shared" si="23"/>
        <v>-</v>
      </c>
      <c r="AP131" s="273">
        <f t="shared" si="52"/>
        <v>0.1</v>
      </c>
      <c r="AQ131" s="271" t="str">
        <f>IFERROR(IF(AL130=1,AQ$100*EXP(-(LN(2)/$D$65+0.04)*AN130)*EXP(-(LN(2)/$D$65+0.1)*AO130),IF(AL130=2,AQ$100*EXP(-(LN(2)/$D$65+0.04)*(VLOOKUP(($F$16-$F$15)-1,AK$99:AO130,4,FALSE)))*EXP(-(LN(2)/$D$65+0.1)*(VLOOKUP(($F$16-$F$15)-1,AK$99:AO130,5,FALSE)))*EXP(-(LN(2)/$D$65+0.04)*AN130)*EXP(-(LN(2)/$D$65+0.1)*AO130),IF(AL130=3,AQ$100*EXP(-(LN(2)/$D$65+0.04)*(VLOOKUP(($F$16-$F$15)-1,AK$99:AO130,4,FALSE)))*EXP(-(LN(2)/$D$65+0.1)*(VLOOKUP(($F$16-$F$15)-1,AK$99:AO130,5,FALSE)))*EXP(-(LN(2)/$D$65+0.04)*(VLOOKUP(($F$16-$F$15)*2-1,AK$99:AO130,4,FALSE)))*EXP(-(LN(2)/$D$65+0.1)*(VLOOKUP(($F$16-$F$15)*2-1,AK$99:AO130,5,FALSE)))*EXP(-(LN(2)/$D$65+0.04)*AN130)*EXP(-(LN(2)/$D$65+0.1)*AO130),"-"))),"-")</f>
        <v>-</v>
      </c>
      <c r="AR131" s="271" t="str">
        <f>IFERROR(IF(AL131=1,AR$100*EXP(-(LN(2)/$D$65+0.04)*AN131)*EXP(-(LN(2)/$D$65+0.1)*AO131),IF(AL131=2,AR$100*EXP(-(LN(2)/$D$65+0.04)*(VLOOKUP(($F$16-$F$15)-1,AK$100:AO131,4,FALSE)))*EXP(-(LN(2)/$D$65+0.1)*(VLOOKUP(($F$16-$F$15)-1,AK$100:AO131,5,FALSE)))*EXP(-(LN(2)/$D$65+0.04)*AN131)*EXP(-(LN(2)/$D$65+0.1)*AO131),IF(AL131=3,AR$100*EXP(-(LN(2)/$D$65+0.04)*(VLOOKUP(($F$16-$F$15)-1,AK$100:AO131,4,FALSE)))*EXP(-(LN(2)/$D$65+0.1)*(VLOOKUP(($F$16-$F$15)-1,AK$100:AO131,5,FALSE)))*EXP(-(LN(2)/$D$65+0.04)*(VLOOKUP(($F$16-$F$15)*2-1,AK$100:AO131,4,FALSE)))*EXP(-(LN(2)/$D$65+0.1)*(VLOOKUP(($F$16-$F$15)*2-1,AK$100:AO131,5,FALSE)))*EXP(-(LN(2)/$D$65+0.04)*AN131)*EXP(-(LN(2)/$D$65+0.1)*AO131),"-"))),"-")</f>
        <v>-</v>
      </c>
      <c r="AS131" s="274">
        <f t="shared" si="24"/>
        <v>0</v>
      </c>
      <c r="AT131" s="274">
        <f t="shared" si="25"/>
        <v>0</v>
      </c>
      <c r="AU131" s="274">
        <f t="shared" si="26"/>
        <v>0</v>
      </c>
      <c r="AV131" s="190" t="str">
        <f>IF($B131&lt;$F$22,SUM($T$100:$T131),"")</f>
        <v/>
      </c>
      <c r="AW131" s="190" t="str">
        <f t="shared" si="55"/>
        <v>-</v>
      </c>
      <c r="AX131" s="190" t="str">
        <f t="shared" si="56"/>
        <v/>
      </c>
      <c r="AY131"/>
      <c r="AZ131" s="190" t="str">
        <f ca="1">IF(ISNUMBER(OFFSET(AV131,-$F$21,0)),SUM(OFFSET($T$100,$F$21,0):$T131),"")</f>
        <v/>
      </c>
      <c r="BA131" s="190" t="str">
        <f t="shared" ca="1" si="27"/>
        <v/>
      </c>
      <c r="BB131" s="190" t="str">
        <f t="shared" ca="1" si="70"/>
        <v/>
      </c>
      <c r="BC131" s="190"/>
      <c r="BD131" s="190" t="str">
        <f ca="1">IFERROR(IF(OR(ISNUMBER(I),ISNUMBER($F$14)),IF(AND($B131&gt;=($F$16-$F$15),$B131&lt;$F$22+($F$16-$F$15)),SUM(OFFSET($T$100,($F$16-$F$15),0):$T131),""),""),"")</f>
        <v/>
      </c>
      <c r="BE131" s="190" t="str">
        <f t="shared" ca="1" si="58"/>
        <v/>
      </c>
      <c r="BF131" s="190" t="str">
        <f t="shared" ca="1" si="59"/>
        <v/>
      </c>
      <c r="BG131"/>
      <c r="BH131" s="190" t="str">
        <f ca="1">IF(ISNUMBER(OFFSET(BD131,-$F$21,0)),SUM(OFFSET($T$100,($F$16-$F$15+$F$21),0):$T131),"")</f>
        <v/>
      </c>
      <c r="BI131" s="190" t="str">
        <f t="shared" ca="1" si="28"/>
        <v/>
      </c>
      <c r="BJ131" s="190" t="str">
        <f t="shared" ca="1" si="60"/>
        <v/>
      </c>
      <c r="BK131" s="190"/>
      <c r="BL131" s="190" t="str">
        <f ca="1">IFERROR(IF(OR(ISNUMBER(I),ISNUMBER($F$14)),IF(AND($B131&gt;=($F$17-$F$15),$B131&lt;$F$22+($F$17-$F$15)),SUM(OFFSET($T$100,($F$17-$F$15),0):$T131),""),""),"")</f>
        <v/>
      </c>
      <c r="BM131" s="190" t="str">
        <f t="shared" ca="1" si="29"/>
        <v/>
      </c>
      <c r="BN131" s="190" t="str">
        <f t="shared" ca="1" si="61"/>
        <v/>
      </c>
      <c r="BO131"/>
      <c r="BP131" s="190" t="str">
        <f ca="1">IF(ISNUMBER(OFFSET(BL131,-$F$21,0)),SUM(OFFSET($T$100,($F$17-$F$15+$F$21),0):$T131),"")</f>
        <v/>
      </c>
      <c r="BQ131" s="190" t="str">
        <f t="shared" ca="1" si="62"/>
        <v/>
      </c>
      <c r="BR131" s="190" t="str">
        <f t="shared" ca="1" si="63"/>
        <v/>
      </c>
      <c r="BS131" s="190"/>
      <c r="BT131"/>
      <c r="BU131"/>
      <c r="BV131"/>
      <c r="BY131" s="99"/>
      <c r="BZ131" s="99"/>
      <c r="CA131" s="280" t="str">
        <f t="shared" si="30"/>
        <v/>
      </c>
      <c r="CB131" s="71" t="str">
        <f t="shared" si="31"/>
        <v>-</v>
      </c>
      <c r="CC131" s="33"/>
      <c r="CD131" s="261" t="str">
        <f t="shared" si="33"/>
        <v/>
      </c>
      <c r="CE131" s="280" t="str">
        <f t="shared" si="34"/>
        <v/>
      </c>
      <c r="CF131" s="71" t="str">
        <f t="shared" ca="1" si="35"/>
        <v/>
      </c>
      <c r="CG131" s="33" t="str">
        <f t="shared" si="36"/>
        <v/>
      </c>
      <c r="CH131" s="261" t="str">
        <f t="shared" ca="1" si="37"/>
        <v/>
      </c>
      <c r="CI131" s="202"/>
      <c r="CJ131" s="99"/>
      <c r="CK131" s="99"/>
      <c r="CL131" s="99"/>
      <c r="CM131" s="99"/>
      <c r="CN131" s="99"/>
      <c r="CO131" s="99"/>
    </row>
    <row r="132" spans="2:93" ht="13.5" customHeight="1" x14ac:dyDescent="0.2">
      <c r="B132" s="262">
        <v>32</v>
      </c>
      <c r="C132" s="237" t="str">
        <f t="shared" si="1"/>
        <v/>
      </c>
      <c r="D132" s="237" t="str">
        <f t="shared" si="66"/>
        <v/>
      </c>
      <c r="E132" s="290" t="str">
        <f t="shared" si="38"/>
        <v/>
      </c>
      <c r="F132" s="264" t="str">
        <f t="shared" si="39"/>
        <v/>
      </c>
      <c r="G132" s="291" t="str">
        <f t="shared" si="40"/>
        <v/>
      </c>
      <c r="H132" s="240" t="str">
        <f t="shared" ref="H132:H163" si="71">IF(E132&lt;&gt;"",IF($B132&lt;$F$21,"",IF(ISNUMBER(F132),IF(ISNUMBER(I132),(E132*30*50*ffp),""),(E132*30*50*ffp))),"")</f>
        <v/>
      </c>
      <c r="I132" s="265" t="str">
        <f t="shared" ref="I132:I163" si="72">IFERROR(IF(F132&lt;&gt;"",IF($B132&lt;$F$21+$F$16,"",IF(ISNUMBER(G132),IF(ISNUMBER(J132),(F132*30*50*ffp),""),(F132*30*50*ffp))),""),"")</f>
        <v/>
      </c>
      <c r="J132" s="265" t="str">
        <f t="shared" ref="J132:J163" si="73">IFERROR(IF(G132&lt;&gt;"",IF($B132&lt;$F$21+$F$17,"",(G132*30*50*ffp)),""),"")</f>
        <v/>
      </c>
      <c r="K132" s="240" t="str">
        <f t="shared" ref="K132:K163" si="74">IF(E132&lt;&gt;"",((E132*20*50*ffp)/Klevee),"")</f>
        <v/>
      </c>
      <c r="L132" s="265" t="str">
        <f t="shared" ref="L132:L163" si="75">IF(ISNUMBER(F132),((F132*20*50*ffp)/Klevee),"")</f>
        <v/>
      </c>
      <c r="M132" s="265" t="str">
        <f t="shared" ref="M132:M163" si="76">IF(ISNUMBER(G132),((G132*20*50*ffp)/Klevee),"")</f>
        <v/>
      </c>
      <c r="N132" s="240" t="str">
        <f t="shared" ref="N132:N163" si="77">IF(AND(ISNUMBER(I),ISNUMBER($F$14),ISNUMBER($F$20)),IF($B132=0,I*($J$40/100)*$J$42*1,""),"-")</f>
        <v>-</v>
      </c>
      <c r="O132" s="265" t="str">
        <f t="shared" ref="O132:O163" si="78">IF(ISNUMBER($F$14),IF($F$14&gt;1,IF($B132=0+$F$16,I*($J$40/100)*$J$42*1,""),""),"-")</f>
        <v>-</v>
      </c>
      <c r="P132" s="265" t="str">
        <f t="shared" ref="P132:P163" si="79">IF(ISNUMBER($F$14),IF($F$14&gt;2,IF($B132=0+$F$17,I*($J$40/100)*$J$42*1,""),""),"-")</f>
        <v>-</v>
      </c>
      <c r="Q132" s="266" t="str">
        <f t="shared" ref="Q132:Q163" si="80">IF(AND(ISNUMBER(I),ISNUMBER($F$14),ISNUMBER($F$20)),IF($B132=0,I*(dt/100)*$J$45*1,""),"-")</f>
        <v>-</v>
      </c>
      <c r="R132" s="267" t="str">
        <f t="shared" ref="R132:R163" si="81">IF(ISNUMBER($F$14),IF($F$14&gt;1,IF($B132=0+$F$16,I*(dt/100)*$J$45*1,""),""),"-")</f>
        <v>-</v>
      </c>
      <c r="S132" s="268" t="str">
        <f t="shared" ref="S132:S163" si="82">IF(ISNUMBER($F$14),IF($F$14&gt;2,IF($B132=0+$F$17,I*(dt/100)*$J$45*1,""),""),"-")</f>
        <v>-</v>
      </c>
      <c r="T132" s="269" t="str">
        <f t="shared" si="13"/>
        <v/>
      </c>
      <c r="U132" s="221">
        <f t="shared" si="14"/>
        <v>32</v>
      </c>
      <c r="V132" s="220" t="str">
        <f t="shared" si="42"/>
        <v>-</v>
      </c>
      <c r="W132" s="221" t="str">
        <f t="shared" si="43"/>
        <v>-</v>
      </c>
      <c r="X132" s="221" t="str">
        <f t="shared" si="15"/>
        <v>-</v>
      </c>
      <c r="Y132" s="221" t="str">
        <f t="shared" si="16"/>
        <v>-</v>
      </c>
      <c r="Z132" s="270">
        <f t="shared" si="44"/>
        <v>0.1</v>
      </c>
      <c r="AA132" s="271" t="str">
        <f>IFERROR(IF(V131=1,AA$100*EXP(-(LN(2)/$D$65+0.04)*X131)*EXP(-(LN(2)/$D$65+0.1)*Y131),IF(V131=2,AA$100*EXP(-(LN(2)/$D$65+0.04)*(VLOOKUP(($F$16-$F$15)-1,U$99:Y131,4,FALSE)))*EXP(-(LN(2)/$D$65+0.1)*(VLOOKUP(($F$16-$F$15)-1,U$99:Y131,5,FALSE)))*EXP(-(LN(2)/$D$65+0.04)*X131)*EXP(-(LN(2)/$D$65+0.1)*Y131),IF(V131=3,AA$100*EXP(-(LN(2)/$D$65+0.04)*(VLOOKUP(($F$16-$F$15)-1,U$99:Y131,4,FALSE)))*EXP(-(LN(2)/$D$65+0.1)*(VLOOKUP(($F$16-$F$15)-1,U$99:Y131,5,FALSE)))*EXP(-(LN(2)/$D$65+0.04)*(VLOOKUP(($F$16-$F$15)*2-1,U$99:Y131,4,FALSE)))*EXP(-(LN(2)/$D$65+0.1)*(VLOOKUP(($F$16-$F$15)*2-1,U$99:Y131,5,FALSE)))*EXP(-(LN(2)/$D$65+0.04)*X131)*EXP(-(LN(2)/$D$65+0.1)*Y131),"-"))),"-")</f>
        <v>-</v>
      </c>
      <c r="AB132" s="271" t="str">
        <f>IFERROR(IF(V132=1,AB$100*EXP(-(LN(2)/$D$65+0.04)*X132)*EXP(-(LN(2)/$D$65+0.1)*Y132),IF(V132=2,AB$100*EXP(-(LN(2)/$D$65+0.04)*(VLOOKUP(($F$16-$F$15)-1,U$100:Y132,4,FALSE)))*EXP(-(LN(2)/$D$65+0.1)*(VLOOKUP(($F$16-$F$15)-1,U$100:Y132,5,FALSE)))*EXP(-(LN(2)/$D$65+0.04)*X132)*EXP(-(LN(2)/$D$65+0.1)*Y132),IF(V132=3,AB$100*EXP(-(LN(2)/$D$65+0.04)*(VLOOKUP(($F$16-$F$15)-1,U$100:Y132,4,FALSE)))*EXP(-(LN(2)/$D$65+0.1)*(VLOOKUP(($F$16-$F$15)-1,U$100:Y132,5,FALSE)))*EXP(-(LN(2)/$D$65+0.04)*(VLOOKUP(($F$16-$F$15)*2-1,U$100:Y132,4,FALSE)))*EXP(-(LN(2)/$D$65+0.1)*(VLOOKUP(($F$16-$F$15)*2-1,U$100:Y132,5,FALSE)))*EXP(-(LN(2)/$D$65+0.04)*X132)*EXP(-(LN(2)/$D$65+0.1)*Y132),"-"))),"-")</f>
        <v>-</v>
      </c>
      <c r="AC132" s="224">
        <f t="shared" si="45"/>
        <v>32</v>
      </c>
      <c r="AD132" s="223" t="str">
        <f t="shared" si="18"/>
        <v>-</v>
      </c>
      <c r="AE132" s="224" t="str">
        <f t="shared" si="46"/>
        <v>-</v>
      </c>
      <c r="AF132" s="224" t="str">
        <f t="shared" si="19"/>
        <v>-</v>
      </c>
      <c r="AG132" s="224" t="str">
        <f t="shared" si="20"/>
        <v>-</v>
      </c>
      <c r="AH132" s="272">
        <f t="shared" si="47"/>
        <v>0.1</v>
      </c>
      <c r="AI132" s="271" t="str">
        <f>IFERROR(IF(AD131=1,AI$100*EXP(-(LN(2)/$D$65+0.04)*AF131)*EXP(-(LN(2)/$D$65+0.1)*AG131),IF(AD131=2,AI$100*EXP(-(LN(2)/$D$65+0.04)*(VLOOKUP(($F$16-$F$15)-1,AC$99:AG131,4,FALSE)))*EXP(-(LN(2)/$D$65+0.1)*(VLOOKUP(($F$16-$F$15)-1,AC$99:AG131,5,FALSE)))*EXP(-(LN(2)/$D$65+0.04)*AF131)*EXP(-(LN(2)/$D$65+0.1)*AG131),IF(AD131=3,AI$100*EXP(-(LN(2)/$D$65+0.04)*(VLOOKUP(($F$16-$F$15)-1,AC$99:AG131,4,FALSE)))*EXP(-(LN(2)/$D$65+0.1)*(VLOOKUP(($F$16-$F$15)-1,AC$99:AG131,5,FALSE)))*EXP(-(LN(2)/$D$65+0.04)*(VLOOKUP(($F$16-$F$15)*2-1,AC$99:AG131,4,FALSE)))*EXP(-(LN(2)/$D$65+0.1)*(VLOOKUP(($F$16-$F$15)*2-1,AC$99:AG131,5,FALSE)))*EXP(-(LN(2)/$D$65+0.04)*AF131)*EXP(-(LN(2)/$D$65+0.1)*AG131),"-"))),"-")</f>
        <v>-</v>
      </c>
      <c r="AJ132" s="271" t="str">
        <f>IFERROR(IF(AD132=1,AJ$100*EXP(-(LN(2)/$D$65+0.04)*AF132)*EXP(-(LN(2)/$D$65+0.1)*AG132),IF(AD132=2,AJ$100*EXP(-(LN(2)/$D$65+0.04)*(VLOOKUP(($F$16-$F$15)-1,AC$100:AG132,4,FALSE)))*EXP(-(LN(2)/$D$65+0.1)*(VLOOKUP(($F$16-$F$15)-1,AC$100:AG132,5,FALSE)))*EXP(-(LN(2)/$D$65+0.04)*AF132)*EXP(-(LN(2)/$D$65+0.1)*AG132),IF(AD132=3,AJ$100*EXP(-(LN(2)/$D$65+0.04)*(VLOOKUP(($F$16-$F$15)-1,AC$100:AG132,4,FALSE)))*EXP(-(LN(2)/$D$65+0.1)*(VLOOKUP(($F$16-$F$15)-1,AC$100:AG132,5,FALSE)))*EXP(-(LN(2)/$D$65+0.04)*(VLOOKUP(($F$16-$F$15)*2-1,AC$100:AG132,4,FALSE)))*EXP(-(LN(2)/$D$65+0.1)*(VLOOKUP(($F$16-$F$15)*2-1,AC$100:AG132,5,FALSE)))*EXP(-(LN(2)/$D$65+0.04)*AF132)*EXP(-(LN(2)/$D$65+0.1)*AG132),"-"))),"-")</f>
        <v>-</v>
      </c>
      <c r="AK132" s="227">
        <f t="shared" si="49"/>
        <v>32</v>
      </c>
      <c r="AL132" s="226" t="str">
        <f t="shared" si="22"/>
        <v>-</v>
      </c>
      <c r="AM132" s="227" t="str">
        <f t="shared" si="50"/>
        <v>-</v>
      </c>
      <c r="AN132" s="227" t="str">
        <f t="shared" si="51"/>
        <v>-</v>
      </c>
      <c r="AO132" s="227" t="str">
        <f t="shared" si="23"/>
        <v>-</v>
      </c>
      <c r="AP132" s="273">
        <f t="shared" si="52"/>
        <v>0.1</v>
      </c>
      <c r="AQ132" s="271" t="str">
        <f>IFERROR(IF(AL131=1,AQ$100*EXP(-(LN(2)/$D$65+0.04)*AN131)*EXP(-(LN(2)/$D$65+0.1)*AO131),IF(AL131=2,AQ$100*EXP(-(LN(2)/$D$65+0.04)*(VLOOKUP(($F$16-$F$15)-1,AK$99:AO131,4,FALSE)))*EXP(-(LN(2)/$D$65+0.1)*(VLOOKUP(($F$16-$F$15)-1,AK$99:AO131,5,FALSE)))*EXP(-(LN(2)/$D$65+0.04)*AN131)*EXP(-(LN(2)/$D$65+0.1)*AO131),IF(AL131=3,AQ$100*EXP(-(LN(2)/$D$65+0.04)*(VLOOKUP(($F$16-$F$15)-1,AK$99:AO131,4,FALSE)))*EXP(-(LN(2)/$D$65+0.1)*(VLOOKUP(($F$16-$F$15)-1,AK$99:AO131,5,FALSE)))*EXP(-(LN(2)/$D$65+0.04)*(VLOOKUP(($F$16-$F$15)*2-1,AK$99:AO131,4,FALSE)))*EXP(-(LN(2)/$D$65+0.1)*(VLOOKUP(($F$16-$F$15)*2-1,AK$99:AO131,5,FALSE)))*EXP(-(LN(2)/$D$65+0.04)*AN131)*EXP(-(LN(2)/$D$65+0.1)*AO131),"-"))),"-")</f>
        <v>-</v>
      </c>
      <c r="AR132" s="271" t="str">
        <f>IFERROR(IF(AL132=1,AR$100*EXP(-(LN(2)/$D$65+0.04)*AN132)*EXP(-(LN(2)/$D$65+0.1)*AO132),IF(AL132=2,AR$100*EXP(-(LN(2)/$D$65+0.04)*(VLOOKUP(($F$16-$F$15)-1,AK$100:AO132,4,FALSE)))*EXP(-(LN(2)/$D$65+0.1)*(VLOOKUP(($F$16-$F$15)-1,AK$100:AO132,5,FALSE)))*EXP(-(LN(2)/$D$65+0.04)*AN132)*EXP(-(LN(2)/$D$65+0.1)*AO132),IF(AL132=3,AR$100*EXP(-(LN(2)/$D$65+0.04)*(VLOOKUP(($F$16-$F$15)-1,AK$100:AO132,4,FALSE)))*EXP(-(LN(2)/$D$65+0.1)*(VLOOKUP(($F$16-$F$15)-1,AK$100:AO132,5,FALSE)))*EXP(-(LN(2)/$D$65+0.04)*(VLOOKUP(($F$16-$F$15)*2-1,AK$100:AO132,4,FALSE)))*EXP(-(LN(2)/$D$65+0.1)*(VLOOKUP(($F$16-$F$15)*2-1,AK$100:AO132,5,FALSE)))*EXP(-(LN(2)/$D$65+0.04)*AN132)*EXP(-(LN(2)/$D$65+0.1)*AO132),"-"))),"-")</f>
        <v>-</v>
      </c>
      <c r="AS132" s="274">
        <f t="shared" si="24"/>
        <v>0</v>
      </c>
      <c r="AT132" s="274">
        <f t="shared" si="25"/>
        <v>0</v>
      </c>
      <c r="AU132" s="274">
        <f t="shared" si="26"/>
        <v>0</v>
      </c>
      <c r="AV132" s="190" t="str">
        <f>IF($B132&lt;$F$22,SUM($T$100:$T132),"")</f>
        <v/>
      </c>
      <c r="AW132" s="190" t="str">
        <f t="shared" ref="AW132:AW163" si="83">IF(ISNUMBER(Koc),IF(ISNUMBER(AV132),AV132*(Koc*(Ocse/100)*Pse*Vse)/(Koc*(Ocse/100)*Pse*Vse+1*86400*($B132+1)),""),"-")</f>
        <v>-</v>
      </c>
      <c r="AX132" s="190" t="str">
        <f t="shared" si="56"/>
        <v/>
      </c>
      <c r="AY132"/>
      <c r="AZ132" s="190" t="str">
        <f ca="1">IF(ISNUMBER(OFFSET(AV132,-$F$21,0)),SUM(OFFSET($T$100,$F$21,0):$T132),"")</f>
        <v/>
      </c>
      <c r="BA132" s="190" t="str">
        <f t="shared" ref="BA132:BA163" ca="1" si="84">IF(ISNUMBER(OFFSET(AV132,-$F$21,0)),AZ132*(Koc*(Ocse/100)*Pse*Vse)/(Koc*(Ocse/100)*Pse*Vse+1*86400*($B132+1)),"")</f>
        <v/>
      </c>
      <c r="BB132" s="190" t="str">
        <f t="shared" ca="1" si="70"/>
        <v/>
      </c>
      <c r="BC132" s="190"/>
      <c r="BD132" s="190" t="str">
        <f ca="1">IFERROR(IF(OR(ISNUMBER(I),ISNUMBER($F$14)),IF(AND($B132&gt;=($F$16-$F$15),$B132&lt;$F$22+($F$16-$F$15)),SUM(OFFSET($T$100,($F$16-$F$15),0):$T132),""),""),"")</f>
        <v/>
      </c>
      <c r="BE132" s="190" t="str">
        <f t="shared" ca="1" si="58"/>
        <v/>
      </c>
      <c r="BF132" s="190" t="str">
        <f t="shared" ca="1" si="59"/>
        <v/>
      </c>
      <c r="BG132"/>
      <c r="BH132" s="190" t="str">
        <f ca="1">IF(ISNUMBER(OFFSET(BD132,-$F$21,0)),SUM(OFFSET($T$100,($F$16-$F$15+$F$21),0):$T132),"")</f>
        <v/>
      </c>
      <c r="BI132" s="190" t="str">
        <f t="shared" ref="BI132:BI163" ca="1" si="85">IF(ISNUMBER(OFFSET(BD132,-$F$21,0)),BH132*(Koc*(Ocse/100)*Pse*Vse)/(Koc*(Ocse/100)*Pse*Vse+1*86400*($B132+1)),"")</f>
        <v/>
      </c>
      <c r="BJ132" s="190" t="str">
        <f t="shared" ca="1" si="60"/>
        <v/>
      </c>
      <c r="BK132" s="190"/>
      <c r="BL132" s="190" t="str">
        <f ca="1">IFERROR(IF(OR(ISNUMBER(I),ISNUMBER($F$14)),IF(AND($B132&gt;=($F$17-$F$15),$B132&lt;$F$22+($F$17-$F$15)),SUM(OFFSET($T$100,($F$17-$F$15),0):$T132),""),""),"")</f>
        <v/>
      </c>
      <c r="BM132" s="190" t="str">
        <f t="shared" ref="BM132:BM163" ca="1" si="86">IF(ISNUMBER(BL132),BL132*(Koc*(Ocse/100)*Pse*Vse)/(Koc*(Ocse/100)*Pse*Vse+1*86400*($B132+1)),"")</f>
        <v/>
      </c>
      <c r="BN132" s="190" t="str">
        <f t="shared" ca="1" si="61"/>
        <v/>
      </c>
      <c r="BO132"/>
      <c r="BP132" s="190" t="str">
        <f ca="1">IF(ISNUMBER(OFFSET(BL132,-$F$21,0)),SUM(OFFSET($T$100,($F$17-$F$15+$F$21),0):$T132),"")</f>
        <v/>
      </c>
      <c r="BQ132" s="190" t="str">
        <f t="shared" ref="BQ132:BQ163" ca="1" si="87">IF(ISNUMBER(OFFSET(BL132,-$F$21,0)),BP132*(Koc*(Ocse/100)*Pse*Vse)/(Koc*(Ocse/100)*Pse*Vse+1*86400*($B132+1)),"")</f>
        <v/>
      </c>
      <c r="BR132" s="190" t="str">
        <f t="shared" ca="1" si="63"/>
        <v/>
      </c>
      <c r="BS132" s="190"/>
      <c r="BT132"/>
      <c r="BU132"/>
      <c r="BV132"/>
      <c r="BY132" s="99"/>
      <c r="BZ132" s="99"/>
      <c r="CA132" s="280" t="str">
        <f t="shared" ref="CA132:CA163" si="88">IFERROR(IF($B132&lt;$CA$94,T132*(Koc*(Ocse/100)*Pse*Vse)/(Koc*(Ocse/100)*Pse*Vse+1*86400*$CA$94),""),"-")</f>
        <v/>
      </c>
      <c r="CB132" s="71" t="str">
        <f t="shared" si="31"/>
        <v>-</v>
      </c>
      <c r="CC132" s="33"/>
      <c r="CD132" s="261" t="str">
        <f t="shared" si="33"/>
        <v/>
      </c>
      <c r="CE132" s="280" t="str">
        <f t="shared" ref="CE132:CE163" si="89">IFERROR(IF($B132&lt;$CE$94,T132*(Koc*(Ocse/100)*Pse*Vse)/(Koc*(Ocse/100)*Pse*Vse+1*86400*$CE$94),""),"-")</f>
        <v/>
      </c>
      <c r="CF132" s="71" t="str">
        <f t="shared" ref="CF132:CF163" ca="1" si="90">IFERROR(IF($B132&lt;$CE$94,IF(NOT(ISNUMBER(ffp)),"-",IF($F$70=$AX$87,AX132,IF($F$70=$BB$87,OFFSET(BB132,$F$21,0),IF($F$70=$BF$87,OFFSET(BF132,$F$16,0),IF($F$70=$BJ$87,OFFSET(BJ132,$F$16+$F$21,0),IF($F$70=$BN$87,OFFSET(BN132,$F$17,0),OFFSET(BR132,$F$17+$F$21,0))))))),""),"-")</f>
        <v/>
      </c>
      <c r="CG132" s="33" t="str">
        <f t="shared" si="36"/>
        <v/>
      </c>
      <c r="CH132" s="261" t="str">
        <f t="shared" ca="1" si="37"/>
        <v/>
      </c>
      <c r="CI132" s="202"/>
      <c r="CJ132" s="99"/>
      <c r="CK132" s="99"/>
      <c r="CL132" s="99"/>
      <c r="CM132" s="99"/>
      <c r="CN132" s="99"/>
      <c r="CO132" s="99"/>
    </row>
    <row r="133" spans="2:93" ht="13.5" customHeight="1" x14ac:dyDescent="0.2">
      <c r="B133" s="262">
        <v>33</v>
      </c>
      <c r="C133" s="237" t="str">
        <f t="shared" si="1"/>
        <v/>
      </c>
      <c r="D133" s="237" t="str">
        <f t="shared" si="66"/>
        <v/>
      </c>
      <c r="E133" s="290" t="str">
        <f t="shared" si="38"/>
        <v/>
      </c>
      <c r="F133" s="264" t="str">
        <f t="shared" si="39"/>
        <v/>
      </c>
      <c r="G133" s="291" t="str">
        <f t="shared" si="40"/>
        <v/>
      </c>
      <c r="H133" s="240" t="str">
        <f t="shared" si="71"/>
        <v/>
      </c>
      <c r="I133" s="265" t="str">
        <f t="shared" si="72"/>
        <v/>
      </c>
      <c r="J133" s="265" t="str">
        <f t="shared" si="73"/>
        <v/>
      </c>
      <c r="K133" s="240" t="str">
        <f t="shared" si="74"/>
        <v/>
      </c>
      <c r="L133" s="265" t="str">
        <f t="shared" si="75"/>
        <v/>
      </c>
      <c r="M133" s="265" t="str">
        <f t="shared" si="76"/>
        <v/>
      </c>
      <c r="N133" s="240" t="str">
        <f t="shared" si="77"/>
        <v>-</v>
      </c>
      <c r="O133" s="265" t="str">
        <f t="shared" si="78"/>
        <v>-</v>
      </c>
      <c r="P133" s="265" t="str">
        <f t="shared" si="79"/>
        <v>-</v>
      </c>
      <c r="Q133" s="266" t="str">
        <f t="shared" si="80"/>
        <v>-</v>
      </c>
      <c r="R133" s="267" t="str">
        <f t="shared" si="81"/>
        <v>-</v>
      </c>
      <c r="S133" s="268" t="str">
        <f t="shared" si="82"/>
        <v>-</v>
      </c>
      <c r="T133" s="269" t="str">
        <f t="shared" si="13"/>
        <v/>
      </c>
      <c r="U133" s="221">
        <f t="shared" si="14"/>
        <v>33</v>
      </c>
      <c r="V133" s="220" t="str">
        <f t="shared" si="42"/>
        <v>-</v>
      </c>
      <c r="W133" s="221" t="str">
        <f t="shared" si="43"/>
        <v>-</v>
      </c>
      <c r="X133" s="221" t="str">
        <f t="shared" si="15"/>
        <v>-</v>
      </c>
      <c r="Y133" s="221" t="str">
        <f t="shared" si="16"/>
        <v>-</v>
      </c>
      <c r="Z133" s="270">
        <f t="shared" si="44"/>
        <v>0.1</v>
      </c>
      <c r="AA133" s="271" t="str">
        <f>IFERROR(IF(V132=1,AA$100*EXP(-(LN(2)/$D$65+0.04)*X132)*EXP(-(LN(2)/$D$65+0.1)*Y132),IF(V132=2,AA$100*EXP(-(LN(2)/$D$65+0.04)*(VLOOKUP(($F$16-$F$15)-1,U$99:Y132,4,FALSE)))*EXP(-(LN(2)/$D$65+0.1)*(VLOOKUP(($F$16-$F$15)-1,U$99:Y132,5,FALSE)))*EXP(-(LN(2)/$D$65+0.04)*X132)*EXP(-(LN(2)/$D$65+0.1)*Y132),IF(V132=3,AA$100*EXP(-(LN(2)/$D$65+0.04)*(VLOOKUP(($F$16-$F$15)-1,U$99:Y132,4,FALSE)))*EXP(-(LN(2)/$D$65+0.1)*(VLOOKUP(($F$16-$F$15)-1,U$99:Y132,5,FALSE)))*EXP(-(LN(2)/$D$65+0.04)*(VLOOKUP(($F$16-$F$15)*2-1,U$99:Y132,4,FALSE)))*EXP(-(LN(2)/$D$65+0.1)*(VLOOKUP(($F$16-$F$15)*2-1,U$99:Y132,5,FALSE)))*EXP(-(LN(2)/$D$65+0.04)*X132)*EXP(-(LN(2)/$D$65+0.1)*Y132),"-"))),"-")</f>
        <v>-</v>
      </c>
      <c r="AB133" s="271" t="str">
        <f>IFERROR(IF(V133=1,AB$100*EXP(-(LN(2)/$D$65+0.04)*X133)*EXP(-(LN(2)/$D$65+0.1)*Y133),IF(V133=2,AB$100*EXP(-(LN(2)/$D$65+0.04)*(VLOOKUP(($F$16-$F$15)-1,U$100:Y133,4,FALSE)))*EXP(-(LN(2)/$D$65+0.1)*(VLOOKUP(($F$16-$F$15)-1,U$100:Y133,5,FALSE)))*EXP(-(LN(2)/$D$65+0.04)*X133)*EXP(-(LN(2)/$D$65+0.1)*Y133),IF(V133=3,AB$100*EXP(-(LN(2)/$D$65+0.04)*(VLOOKUP(($F$16-$F$15)-1,U$100:Y133,4,FALSE)))*EXP(-(LN(2)/$D$65+0.1)*(VLOOKUP(($F$16-$F$15)-1,U$100:Y133,5,FALSE)))*EXP(-(LN(2)/$D$65+0.04)*(VLOOKUP(($F$16-$F$15)*2-1,U$100:Y133,4,FALSE)))*EXP(-(LN(2)/$D$65+0.1)*(VLOOKUP(($F$16-$F$15)*2-1,U$100:Y133,5,FALSE)))*EXP(-(LN(2)/$D$65+0.04)*X133)*EXP(-(LN(2)/$D$65+0.1)*Y133),"-"))),"-")</f>
        <v>-</v>
      </c>
      <c r="AC133" s="224">
        <f t="shared" si="45"/>
        <v>33</v>
      </c>
      <c r="AD133" s="223" t="str">
        <f t="shared" si="18"/>
        <v>-</v>
      </c>
      <c r="AE133" s="224" t="str">
        <f t="shared" si="46"/>
        <v>-</v>
      </c>
      <c r="AF133" s="224" t="str">
        <f t="shared" si="19"/>
        <v>-</v>
      </c>
      <c r="AG133" s="224" t="str">
        <f t="shared" si="20"/>
        <v>-</v>
      </c>
      <c r="AH133" s="272">
        <f t="shared" si="47"/>
        <v>0.1</v>
      </c>
      <c r="AI133" s="271" t="str">
        <f>IFERROR(IF(AD132=1,AI$100*EXP(-(LN(2)/$D$65+0.04)*AF132)*EXP(-(LN(2)/$D$65+0.1)*AG132),IF(AD132=2,AI$100*EXP(-(LN(2)/$D$65+0.04)*(VLOOKUP(($F$16-$F$15)-1,AC$99:AG132,4,FALSE)))*EXP(-(LN(2)/$D$65+0.1)*(VLOOKUP(($F$16-$F$15)-1,AC$99:AG132,5,FALSE)))*EXP(-(LN(2)/$D$65+0.04)*AF132)*EXP(-(LN(2)/$D$65+0.1)*AG132),IF(AD132=3,AI$100*EXP(-(LN(2)/$D$65+0.04)*(VLOOKUP(($F$16-$F$15)-1,AC$99:AG132,4,FALSE)))*EXP(-(LN(2)/$D$65+0.1)*(VLOOKUP(($F$16-$F$15)-1,AC$99:AG132,5,FALSE)))*EXP(-(LN(2)/$D$65+0.04)*(VLOOKUP(($F$16-$F$15)*2-1,AC$99:AG132,4,FALSE)))*EXP(-(LN(2)/$D$65+0.1)*(VLOOKUP(($F$16-$F$15)*2-1,AC$99:AG132,5,FALSE)))*EXP(-(LN(2)/$D$65+0.04)*AF132)*EXP(-(LN(2)/$D$65+0.1)*AG132),"-"))),"-")</f>
        <v>-</v>
      </c>
      <c r="AJ133" s="271" t="str">
        <f>IFERROR(IF(AD133=1,AJ$100*EXP(-(LN(2)/$D$65+0.04)*AF133)*EXP(-(LN(2)/$D$65+0.1)*AG133),IF(AD133=2,AJ$100*EXP(-(LN(2)/$D$65+0.04)*(VLOOKUP(($F$16-$F$15)-1,AC$100:AG133,4,FALSE)))*EXP(-(LN(2)/$D$65+0.1)*(VLOOKUP(($F$16-$F$15)-1,AC$100:AG133,5,FALSE)))*EXP(-(LN(2)/$D$65+0.04)*AF133)*EXP(-(LN(2)/$D$65+0.1)*AG133),IF(AD133=3,AJ$100*EXP(-(LN(2)/$D$65+0.04)*(VLOOKUP(($F$16-$F$15)-1,AC$100:AG133,4,FALSE)))*EXP(-(LN(2)/$D$65+0.1)*(VLOOKUP(($F$16-$F$15)-1,AC$100:AG133,5,FALSE)))*EXP(-(LN(2)/$D$65+0.04)*(VLOOKUP(($F$16-$F$15)*2-1,AC$100:AG133,4,FALSE)))*EXP(-(LN(2)/$D$65+0.1)*(VLOOKUP(($F$16-$F$15)*2-1,AC$100:AG133,5,FALSE)))*EXP(-(LN(2)/$D$65+0.04)*AF133)*EXP(-(LN(2)/$D$65+0.1)*AG133),"-"))),"-")</f>
        <v>-</v>
      </c>
      <c r="AK133" s="227">
        <f t="shared" si="49"/>
        <v>33</v>
      </c>
      <c r="AL133" s="226" t="str">
        <f t="shared" si="22"/>
        <v>-</v>
      </c>
      <c r="AM133" s="227" t="str">
        <f t="shared" si="50"/>
        <v>-</v>
      </c>
      <c r="AN133" s="227" t="str">
        <f t="shared" si="51"/>
        <v>-</v>
      </c>
      <c r="AO133" s="227" t="str">
        <f t="shared" si="23"/>
        <v>-</v>
      </c>
      <c r="AP133" s="273">
        <f t="shared" si="52"/>
        <v>0.1</v>
      </c>
      <c r="AQ133" s="271" t="str">
        <f>IFERROR(IF(AL132=1,AQ$100*EXP(-(LN(2)/$D$65+0.04)*AN132)*EXP(-(LN(2)/$D$65+0.1)*AO132),IF(AL132=2,AQ$100*EXP(-(LN(2)/$D$65+0.04)*(VLOOKUP(($F$16-$F$15)-1,AK$99:AO132,4,FALSE)))*EXP(-(LN(2)/$D$65+0.1)*(VLOOKUP(($F$16-$F$15)-1,AK$99:AO132,5,FALSE)))*EXP(-(LN(2)/$D$65+0.04)*AN132)*EXP(-(LN(2)/$D$65+0.1)*AO132),IF(AL132=3,AQ$100*EXP(-(LN(2)/$D$65+0.04)*(VLOOKUP(($F$16-$F$15)-1,AK$99:AO132,4,FALSE)))*EXP(-(LN(2)/$D$65+0.1)*(VLOOKUP(($F$16-$F$15)-1,AK$99:AO132,5,FALSE)))*EXP(-(LN(2)/$D$65+0.04)*(VLOOKUP(($F$16-$F$15)*2-1,AK$99:AO132,4,FALSE)))*EXP(-(LN(2)/$D$65+0.1)*(VLOOKUP(($F$16-$F$15)*2-1,AK$99:AO132,5,FALSE)))*EXP(-(LN(2)/$D$65+0.04)*AN132)*EXP(-(LN(2)/$D$65+0.1)*AO132),"-"))),"-")</f>
        <v>-</v>
      </c>
      <c r="AR133" s="271" t="str">
        <f>IFERROR(IF(AL133=1,AR$100*EXP(-(LN(2)/$D$65+0.04)*AN133)*EXP(-(LN(2)/$D$65+0.1)*AO133),IF(AL133=2,AR$100*EXP(-(LN(2)/$D$65+0.04)*(VLOOKUP(($F$16-$F$15)-1,AK$100:AO133,4,FALSE)))*EXP(-(LN(2)/$D$65+0.1)*(VLOOKUP(($F$16-$F$15)-1,AK$100:AO133,5,FALSE)))*EXP(-(LN(2)/$D$65+0.04)*AN133)*EXP(-(LN(2)/$D$65+0.1)*AO133),IF(AL133=3,AR$100*EXP(-(LN(2)/$D$65+0.04)*(VLOOKUP(($F$16-$F$15)-1,AK$100:AO133,4,FALSE)))*EXP(-(LN(2)/$D$65+0.1)*(VLOOKUP(($F$16-$F$15)-1,AK$100:AO133,5,FALSE)))*EXP(-(LN(2)/$D$65+0.04)*(VLOOKUP(($F$16-$F$15)*2-1,AK$100:AO133,4,FALSE)))*EXP(-(LN(2)/$D$65+0.1)*(VLOOKUP(($F$16-$F$15)*2-1,AK$100:AO133,5,FALSE)))*EXP(-(LN(2)/$D$65+0.04)*AN133)*EXP(-(LN(2)/$D$65+0.1)*AO133),"-"))),"-")</f>
        <v>-</v>
      </c>
      <c r="AS133" s="274">
        <f t="shared" si="24"/>
        <v>0</v>
      </c>
      <c r="AT133" s="274">
        <f t="shared" si="25"/>
        <v>0</v>
      </c>
      <c r="AU133" s="274">
        <f t="shared" si="26"/>
        <v>0</v>
      </c>
      <c r="AV133" s="190" t="str">
        <f>IF($B133&lt;$F$22,SUM($T$100:$T133),"")</f>
        <v/>
      </c>
      <c r="AW133" s="190" t="str">
        <f t="shared" si="83"/>
        <v>-</v>
      </c>
      <c r="AX133" s="190" t="str">
        <f t="shared" si="56"/>
        <v/>
      </c>
      <c r="AY133"/>
      <c r="AZ133" s="190" t="str">
        <f ca="1">IF(ISNUMBER(OFFSET(AV133,-$F$21,0)),SUM(OFFSET($T$100,$F$21,0):$T133),"")</f>
        <v/>
      </c>
      <c r="BA133" s="190" t="str">
        <f t="shared" ca="1" si="84"/>
        <v/>
      </c>
      <c r="BB133" s="190" t="str">
        <f t="shared" ca="1" si="70"/>
        <v/>
      </c>
      <c r="BC133" s="190"/>
      <c r="BD133" s="190" t="str">
        <f ca="1">IFERROR(IF(OR(ISNUMBER(I),ISNUMBER($F$14)),IF(AND($B133&gt;=($F$16-$F$15),$B133&lt;$F$22+($F$16-$F$15)),SUM(OFFSET($T$100,($F$16-$F$15),0):$T133),""),""),"")</f>
        <v/>
      </c>
      <c r="BE133" s="190" t="str">
        <f t="shared" ca="1" si="58"/>
        <v/>
      </c>
      <c r="BF133" s="190" t="str">
        <f t="shared" ca="1" si="59"/>
        <v/>
      </c>
      <c r="BG133"/>
      <c r="BH133" s="190" t="str">
        <f ca="1">IF(ISNUMBER(OFFSET(BD133,-$F$21,0)),SUM(OFFSET($T$100,($F$16-$F$15+$F$21),0):$T133),"")</f>
        <v/>
      </c>
      <c r="BI133" s="190" t="str">
        <f t="shared" ca="1" si="85"/>
        <v/>
      </c>
      <c r="BJ133" s="190" t="str">
        <f t="shared" ca="1" si="60"/>
        <v/>
      </c>
      <c r="BK133" s="190"/>
      <c r="BL133" s="190" t="str">
        <f ca="1">IFERROR(IF(OR(ISNUMBER(I),ISNUMBER($F$14)),IF(AND($B133&gt;=($F$17-$F$15),$B133&lt;$F$22+($F$17-$F$15)),SUM(OFFSET($T$100,($F$17-$F$15),0):$T133),""),""),"")</f>
        <v/>
      </c>
      <c r="BM133" s="190" t="str">
        <f t="shared" ca="1" si="86"/>
        <v/>
      </c>
      <c r="BN133" s="190" t="str">
        <f t="shared" ca="1" si="61"/>
        <v/>
      </c>
      <c r="BO133"/>
      <c r="BP133" s="190" t="str">
        <f ca="1">IF(ISNUMBER(OFFSET(BL133,-$F$21,0)),SUM(OFFSET($T$100,($F$17-$F$15+$F$21),0):$T133),"")</f>
        <v/>
      </c>
      <c r="BQ133" s="190" t="str">
        <f t="shared" ca="1" si="87"/>
        <v/>
      </c>
      <c r="BR133" s="190" t="str">
        <f t="shared" ca="1" si="63"/>
        <v/>
      </c>
      <c r="BS133" s="190"/>
      <c r="BT133"/>
      <c r="BU133"/>
      <c r="BV133"/>
      <c r="BY133" s="99"/>
      <c r="BZ133" s="99"/>
      <c r="CA133" s="280" t="str">
        <f t="shared" si="88"/>
        <v/>
      </c>
      <c r="CB133" s="71" t="str">
        <f t="shared" si="31"/>
        <v>-</v>
      </c>
      <c r="CC133" s="33"/>
      <c r="CD133" s="261" t="str">
        <f t="shared" si="33"/>
        <v/>
      </c>
      <c r="CE133" s="280" t="str">
        <f t="shared" si="89"/>
        <v/>
      </c>
      <c r="CF133" s="71" t="str">
        <f t="shared" ca="1" si="90"/>
        <v/>
      </c>
      <c r="CG133" s="33" t="str">
        <f t="shared" si="36"/>
        <v/>
      </c>
      <c r="CH133" s="261" t="str">
        <f t="shared" ca="1" si="37"/>
        <v/>
      </c>
      <c r="CI133" s="202"/>
      <c r="CJ133" s="99"/>
      <c r="CK133" s="99"/>
      <c r="CL133" s="99"/>
      <c r="CM133" s="99"/>
      <c r="CN133" s="99"/>
      <c r="CO133" s="99"/>
    </row>
    <row r="134" spans="2:93" ht="13.5" customHeight="1" x14ac:dyDescent="0.2">
      <c r="B134" s="262">
        <v>34</v>
      </c>
      <c r="C134" s="237" t="str">
        <f t="shared" si="1"/>
        <v/>
      </c>
      <c r="D134" s="237" t="str">
        <f t="shared" si="66"/>
        <v/>
      </c>
      <c r="E134" s="290" t="str">
        <f t="shared" si="38"/>
        <v/>
      </c>
      <c r="F134" s="264" t="str">
        <f t="shared" si="39"/>
        <v/>
      </c>
      <c r="G134" s="291" t="str">
        <f t="shared" si="40"/>
        <v/>
      </c>
      <c r="H134" s="240" t="str">
        <f t="shared" si="71"/>
        <v/>
      </c>
      <c r="I134" s="265" t="str">
        <f t="shared" si="72"/>
        <v/>
      </c>
      <c r="J134" s="265" t="str">
        <f t="shared" si="73"/>
        <v/>
      </c>
      <c r="K134" s="240" t="str">
        <f t="shared" si="74"/>
        <v/>
      </c>
      <c r="L134" s="265" t="str">
        <f t="shared" si="75"/>
        <v/>
      </c>
      <c r="M134" s="265" t="str">
        <f t="shared" si="76"/>
        <v/>
      </c>
      <c r="N134" s="240" t="str">
        <f t="shared" si="77"/>
        <v>-</v>
      </c>
      <c r="O134" s="265" t="str">
        <f t="shared" si="78"/>
        <v>-</v>
      </c>
      <c r="P134" s="265" t="str">
        <f t="shared" si="79"/>
        <v>-</v>
      </c>
      <c r="Q134" s="266" t="str">
        <f t="shared" si="80"/>
        <v>-</v>
      </c>
      <c r="R134" s="267" t="str">
        <f t="shared" si="81"/>
        <v>-</v>
      </c>
      <c r="S134" s="268" t="str">
        <f t="shared" si="82"/>
        <v>-</v>
      </c>
      <c r="T134" s="269" t="str">
        <f t="shared" si="13"/>
        <v/>
      </c>
      <c r="U134" s="221">
        <f t="shared" si="14"/>
        <v>34</v>
      </c>
      <c r="V134" s="220" t="str">
        <f t="shared" si="42"/>
        <v>-</v>
      </c>
      <c r="W134" s="221" t="str">
        <f t="shared" si="43"/>
        <v>-</v>
      </c>
      <c r="X134" s="221" t="str">
        <f t="shared" si="15"/>
        <v>-</v>
      </c>
      <c r="Y134" s="221" t="str">
        <f t="shared" si="16"/>
        <v>-</v>
      </c>
      <c r="Z134" s="270">
        <f t="shared" si="44"/>
        <v>0.1</v>
      </c>
      <c r="AA134" s="271" t="str">
        <f>IFERROR(IF(V133=1,AA$100*EXP(-(LN(2)/$D$65+0.04)*X133)*EXP(-(LN(2)/$D$65+0.1)*Y133),IF(V133=2,AA$100*EXP(-(LN(2)/$D$65+0.04)*(VLOOKUP(($F$16-$F$15)-1,U$99:Y133,4,FALSE)))*EXP(-(LN(2)/$D$65+0.1)*(VLOOKUP(($F$16-$F$15)-1,U$99:Y133,5,FALSE)))*EXP(-(LN(2)/$D$65+0.04)*X133)*EXP(-(LN(2)/$D$65+0.1)*Y133),IF(V133=3,AA$100*EXP(-(LN(2)/$D$65+0.04)*(VLOOKUP(($F$16-$F$15)-1,U$99:Y133,4,FALSE)))*EXP(-(LN(2)/$D$65+0.1)*(VLOOKUP(($F$16-$F$15)-1,U$99:Y133,5,FALSE)))*EXP(-(LN(2)/$D$65+0.04)*(VLOOKUP(($F$16-$F$15)*2-1,U$99:Y133,4,FALSE)))*EXP(-(LN(2)/$D$65+0.1)*(VLOOKUP(($F$16-$F$15)*2-1,U$99:Y133,5,FALSE)))*EXP(-(LN(2)/$D$65+0.04)*X133)*EXP(-(LN(2)/$D$65+0.1)*Y133),"-"))),"-")</f>
        <v>-</v>
      </c>
      <c r="AB134" s="271" t="str">
        <f>IFERROR(IF(V134=1,AB$100*EXP(-(LN(2)/$D$65+0.04)*X134)*EXP(-(LN(2)/$D$65+0.1)*Y134),IF(V134=2,AB$100*EXP(-(LN(2)/$D$65+0.04)*(VLOOKUP(($F$16-$F$15)-1,U$100:Y134,4,FALSE)))*EXP(-(LN(2)/$D$65+0.1)*(VLOOKUP(($F$16-$F$15)-1,U$100:Y134,5,FALSE)))*EXP(-(LN(2)/$D$65+0.04)*X134)*EXP(-(LN(2)/$D$65+0.1)*Y134),IF(V134=3,AB$100*EXP(-(LN(2)/$D$65+0.04)*(VLOOKUP(($F$16-$F$15)-1,U$100:Y134,4,FALSE)))*EXP(-(LN(2)/$D$65+0.1)*(VLOOKUP(($F$16-$F$15)-1,U$100:Y134,5,FALSE)))*EXP(-(LN(2)/$D$65+0.04)*(VLOOKUP(($F$16-$F$15)*2-1,U$100:Y134,4,FALSE)))*EXP(-(LN(2)/$D$65+0.1)*(VLOOKUP(($F$16-$F$15)*2-1,U$100:Y134,5,FALSE)))*EXP(-(LN(2)/$D$65+0.04)*X134)*EXP(-(LN(2)/$D$65+0.1)*Y134),"-"))),"-")</f>
        <v>-</v>
      </c>
      <c r="AC134" s="224">
        <f t="shared" si="45"/>
        <v>34</v>
      </c>
      <c r="AD134" s="223" t="str">
        <f t="shared" si="18"/>
        <v>-</v>
      </c>
      <c r="AE134" s="224" t="str">
        <f t="shared" si="46"/>
        <v>-</v>
      </c>
      <c r="AF134" s="224" t="str">
        <f t="shared" si="19"/>
        <v>-</v>
      </c>
      <c r="AG134" s="224" t="str">
        <f t="shared" si="20"/>
        <v>-</v>
      </c>
      <c r="AH134" s="272">
        <f t="shared" si="47"/>
        <v>0.1</v>
      </c>
      <c r="AI134" s="271" t="str">
        <f>IFERROR(IF(AD133=1,AI$100*EXP(-(LN(2)/$D$65+0.04)*AF133)*EXP(-(LN(2)/$D$65+0.1)*AG133),IF(AD133=2,AI$100*EXP(-(LN(2)/$D$65+0.04)*(VLOOKUP(($F$16-$F$15)-1,AC$99:AG133,4,FALSE)))*EXP(-(LN(2)/$D$65+0.1)*(VLOOKUP(($F$16-$F$15)-1,AC$99:AG133,5,FALSE)))*EXP(-(LN(2)/$D$65+0.04)*AF133)*EXP(-(LN(2)/$D$65+0.1)*AG133),IF(AD133=3,AI$100*EXP(-(LN(2)/$D$65+0.04)*(VLOOKUP(($F$16-$F$15)-1,AC$99:AG133,4,FALSE)))*EXP(-(LN(2)/$D$65+0.1)*(VLOOKUP(($F$16-$F$15)-1,AC$99:AG133,5,FALSE)))*EXP(-(LN(2)/$D$65+0.04)*(VLOOKUP(($F$16-$F$15)*2-1,AC$99:AG133,4,FALSE)))*EXP(-(LN(2)/$D$65+0.1)*(VLOOKUP(($F$16-$F$15)*2-1,AC$99:AG133,5,FALSE)))*EXP(-(LN(2)/$D$65+0.04)*AF133)*EXP(-(LN(2)/$D$65+0.1)*AG133),"-"))),"-")</f>
        <v>-</v>
      </c>
      <c r="AJ134" s="271" t="str">
        <f>IFERROR(IF(AD134=1,AJ$100*EXP(-(LN(2)/$D$65+0.04)*AF134)*EXP(-(LN(2)/$D$65+0.1)*AG134),IF(AD134=2,AJ$100*EXP(-(LN(2)/$D$65+0.04)*(VLOOKUP(($F$16-$F$15)-1,AC$100:AG134,4,FALSE)))*EXP(-(LN(2)/$D$65+0.1)*(VLOOKUP(($F$16-$F$15)-1,AC$100:AG134,5,FALSE)))*EXP(-(LN(2)/$D$65+0.04)*AF134)*EXP(-(LN(2)/$D$65+0.1)*AG134),IF(AD134=3,AJ$100*EXP(-(LN(2)/$D$65+0.04)*(VLOOKUP(($F$16-$F$15)-1,AC$100:AG134,4,FALSE)))*EXP(-(LN(2)/$D$65+0.1)*(VLOOKUP(($F$16-$F$15)-1,AC$100:AG134,5,FALSE)))*EXP(-(LN(2)/$D$65+0.04)*(VLOOKUP(($F$16-$F$15)*2-1,AC$100:AG134,4,FALSE)))*EXP(-(LN(2)/$D$65+0.1)*(VLOOKUP(($F$16-$F$15)*2-1,AC$100:AG134,5,FALSE)))*EXP(-(LN(2)/$D$65+0.04)*AF134)*EXP(-(LN(2)/$D$65+0.1)*AG134),"-"))),"-")</f>
        <v>-</v>
      </c>
      <c r="AK134" s="227">
        <f t="shared" si="49"/>
        <v>34</v>
      </c>
      <c r="AL134" s="226" t="str">
        <f t="shared" si="22"/>
        <v>-</v>
      </c>
      <c r="AM134" s="227" t="str">
        <f t="shared" si="50"/>
        <v>-</v>
      </c>
      <c r="AN134" s="227" t="str">
        <f t="shared" si="51"/>
        <v>-</v>
      </c>
      <c r="AO134" s="227" t="str">
        <f t="shared" si="23"/>
        <v>-</v>
      </c>
      <c r="AP134" s="273">
        <f t="shared" si="52"/>
        <v>0.1</v>
      </c>
      <c r="AQ134" s="271" t="str">
        <f>IFERROR(IF(AL133=1,AQ$100*EXP(-(LN(2)/$D$65+0.04)*AN133)*EXP(-(LN(2)/$D$65+0.1)*AO133),IF(AL133=2,AQ$100*EXP(-(LN(2)/$D$65+0.04)*(VLOOKUP(($F$16-$F$15)-1,AK$99:AO133,4,FALSE)))*EXP(-(LN(2)/$D$65+0.1)*(VLOOKUP(($F$16-$F$15)-1,AK$99:AO133,5,FALSE)))*EXP(-(LN(2)/$D$65+0.04)*AN133)*EXP(-(LN(2)/$D$65+0.1)*AO133),IF(AL133=3,AQ$100*EXP(-(LN(2)/$D$65+0.04)*(VLOOKUP(($F$16-$F$15)-1,AK$99:AO133,4,FALSE)))*EXP(-(LN(2)/$D$65+0.1)*(VLOOKUP(($F$16-$F$15)-1,AK$99:AO133,5,FALSE)))*EXP(-(LN(2)/$D$65+0.04)*(VLOOKUP(($F$16-$F$15)*2-1,AK$99:AO133,4,FALSE)))*EXP(-(LN(2)/$D$65+0.1)*(VLOOKUP(($F$16-$F$15)*2-1,AK$99:AO133,5,FALSE)))*EXP(-(LN(2)/$D$65+0.04)*AN133)*EXP(-(LN(2)/$D$65+0.1)*AO133),"-"))),"-")</f>
        <v>-</v>
      </c>
      <c r="AR134" s="271" t="str">
        <f>IFERROR(IF(AL134=1,AR$100*EXP(-(LN(2)/$D$65+0.04)*AN134)*EXP(-(LN(2)/$D$65+0.1)*AO134),IF(AL134=2,AR$100*EXP(-(LN(2)/$D$65+0.04)*(VLOOKUP(($F$16-$F$15)-1,AK$100:AO134,4,FALSE)))*EXP(-(LN(2)/$D$65+0.1)*(VLOOKUP(($F$16-$F$15)-1,AK$100:AO134,5,FALSE)))*EXP(-(LN(2)/$D$65+0.04)*AN134)*EXP(-(LN(2)/$D$65+0.1)*AO134),IF(AL134=3,AR$100*EXP(-(LN(2)/$D$65+0.04)*(VLOOKUP(($F$16-$F$15)-1,AK$100:AO134,4,FALSE)))*EXP(-(LN(2)/$D$65+0.1)*(VLOOKUP(($F$16-$F$15)-1,AK$100:AO134,5,FALSE)))*EXP(-(LN(2)/$D$65+0.04)*(VLOOKUP(($F$16-$F$15)*2-1,AK$100:AO134,4,FALSE)))*EXP(-(LN(2)/$D$65+0.1)*(VLOOKUP(($F$16-$F$15)*2-1,AK$100:AO134,5,FALSE)))*EXP(-(LN(2)/$D$65+0.04)*AN134)*EXP(-(LN(2)/$D$65+0.1)*AO134),"-"))),"-")</f>
        <v>-</v>
      </c>
      <c r="AS134" s="274">
        <f t="shared" si="24"/>
        <v>0</v>
      </c>
      <c r="AT134" s="274">
        <f t="shared" si="25"/>
        <v>0</v>
      </c>
      <c r="AU134" s="274">
        <f t="shared" si="26"/>
        <v>0</v>
      </c>
      <c r="AV134" s="190" t="str">
        <f>IF($B134&lt;$F$22,SUM($T$100:$T134),"")</f>
        <v/>
      </c>
      <c r="AW134" s="190" t="str">
        <f t="shared" si="83"/>
        <v>-</v>
      </c>
      <c r="AX134" s="190" t="str">
        <f t="shared" si="56"/>
        <v/>
      </c>
      <c r="AY134"/>
      <c r="AZ134" s="190" t="str">
        <f ca="1">IF(ISNUMBER(OFFSET(AV134,-$F$21,0)),SUM(OFFSET($T$100,$F$21,0):$T134),"")</f>
        <v/>
      </c>
      <c r="BA134" s="190" t="str">
        <f t="shared" ca="1" si="84"/>
        <v/>
      </c>
      <c r="BB134" s="190" t="str">
        <f t="shared" ca="1" si="70"/>
        <v/>
      </c>
      <c r="BC134" s="190"/>
      <c r="BD134" s="190" t="str">
        <f ca="1">IFERROR(IF(OR(ISNUMBER(I),ISNUMBER($F$14)),IF(AND($B134&gt;=($F$16-$F$15),$B134&lt;$F$22+($F$16-$F$15)),SUM(OFFSET($T$100,($F$16-$F$15),0):$T134),""),""),"")</f>
        <v/>
      </c>
      <c r="BE134" s="190" t="str">
        <f t="shared" ca="1" si="58"/>
        <v/>
      </c>
      <c r="BF134" s="190" t="str">
        <f t="shared" ca="1" si="59"/>
        <v/>
      </c>
      <c r="BG134"/>
      <c r="BH134" s="190" t="str">
        <f ca="1">IF(ISNUMBER(OFFSET(BD134,-$F$21,0)),SUM(OFFSET($T$100,($F$16-$F$15+$F$21),0):$T134),"")</f>
        <v/>
      </c>
      <c r="BI134" s="190" t="str">
        <f t="shared" ca="1" si="85"/>
        <v/>
      </c>
      <c r="BJ134" s="190" t="str">
        <f t="shared" ca="1" si="60"/>
        <v/>
      </c>
      <c r="BK134" s="190"/>
      <c r="BL134" s="190" t="str">
        <f ca="1">IFERROR(IF(OR(ISNUMBER(I),ISNUMBER($F$14)),IF(AND($B134&gt;=($F$17-$F$15),$B134&lt;$F$22+($F$17-$F$15)),SUM(OFFSET($T$100,($F$17-$F$15),0):$T134),""),""),"")</f>
        <v/>
      </c>
      <c r="BM134" s="190" t="str">
        <f t="shared" ca="1" si="86"/>
        <v/>
      </c>
      <c r="BN134" s="190" t="str">
        <f t="shared" ca="1" si="61"/>
        <v/>
      </c>
      <c r="BO134"/>
      <c r="BP134" s="190" t="str">
        <f ca="1">IF(ISNUMBER(OFFSET(BL134,-$F$21,0)),SUM(OFFSET($T$100,($F$17-$F$15+$F$21),0):$T134),"")</f>
        <v/>
      </c>
      <c r="BQ134" s="190" t="str">
        <f t="shared" ca="1" si="87"/>
        <v/>
      </c>
      <c r="BR134" s="190" t="str">
        <f t="shared" ca="1" si="63"/>
        <v/>
      </c>
      <c r="BS134" s="190"/>
      <c r="BT134"/>
      <c r="BU134"/>
      <c r="BV134"/>
      <c r="BY134" s="99"/>
      <c r="BZ134" s="99"/>
      <c r="CA134" s="280" t="str">
        <f t="shared" si="88"/>
        <v/>
      </c>
      <c r="CB134" s="71" t="str">
        <f t="shared" si="31"/>
        <v>-</v>
      </c>
      <c r="CC134" s="33"/>
      <c r="CD134" s="261" t="str">
        <f t="shared" si="33"/>
        <v/>
      </c>
      <c r="CE134" s="280" t="str">
        <f t="shared" si="89"/>
        <v/>
      </c>
      <c r="CF134" s="71" t="str">
        <f t="shared" ca="1" si="90"/>
        <v/>
      </c>
      <c r="CG134" s="33" t="str">
        <f t="shared" si="36"/>
        <v/>
      </c>
      <c r="CH134" s="261" t="str">
        <f t="shared" ca="1" si="37"/>
        <v/>
      </c>
      <c r="CI134" s="202"/>
      <c r="CJ134" s="99"/>
      <c r="CK134" s="99"/>
      <c r="CL134" s="99"/>
      <c r="CM134" s="99"/>
      <c r="CN134" s="99"/>
      <c r="CO134" s="99"/>
    </row>
    <row r="135" spans="2:93" ht="13.5" customHeight="1" x14ac:dyDescent="0.2">
      <c r="B135" s="262">
        <v>35</v>
      </c>
      <c r="C135" s="237" t="str">
        <f t="shared" si="1"/>
        <v/>
      </c>
      <c r="D135" s="237" t="str">
        <f t="shared" si="66"/>
        <v/>
      </c>
      <c r="E135" s="290" t="str">
        <f t="shared" si="38"/>
        <v/>
      </c>
      <c r="F135" s="264" t="str">
        <f t="shared" si="39"/>
        <v/>
      </c>
      <c r="G135" s="291" t="str">
        <f t="shared" si="40"/>
        <v/>
      </c>
      <c r="H135" s="240" t="str">
        <f t="shared" si="71"/>
        <v/>
      </c>
      <c r="I135" s="265" t="str">
        <f t="shared" si="72"/>
        <v/>
      </c>
      <c r="J135" s="265" t="str">
        <f t="shared" si="73"/>
        <v/>
      </c>
      <c r="K135" s="240" t="str">
        <f t="shared" si="74"/>
        <v/>
      </c>
      <c r="L135" s="265" t="str">
        <f t="shared" si="75"/>
        <v/>
      </c>
      <c r="M135" s="265" t="str">
        <f t="shared" si="76"/>
        <v/>
      </c>
      <c r="N135" s="240" t="str">
        <f t="shared" si="77"/>
        <v>-</v>
      </c>
      <c r="O135" s="265" t="str">
        <f t="shared" si="78"/>
        <v>-</v>
      </c>
      <c r="P135" s="265" t="str">
        <f t="shared" si="79"/>
        <v>-</v>
      </c>
      <c r="Q135" s="266" t="str">
        <f t="shared" si="80"/>
        <v>-</v>
      </c>
      <c r="R135" s="267" t="str">
        <f t="shared" si="81"/>
        <v>-</v>
      </c>
      <c r="S135" s="268" t="str">
        <f t="shared" si="82"/>
        <v>-</v>
      </c>
      <c r="T135" s="269" t="str">
        <f t="shared" si="13"/>
        <v/>
      </c>
      <c r="U135" s="221">
        <f t="shared" si="14"/>
        <v>35</v>
      </c>
      <c r="V135" s="220" t="str">
        <f t="shared" si="42"/>
        <v>-</v>
      </c>
      <c r="W135" s="221" t="str">
        <f t="shared" si="43"/>
        <v>-</v>
      </c>
      <c r="X135" s="221" t="str">
        <f t="shared" si="15"/>
        <v>-</v>
      </c>
      <c r="Y135" s="221" t="str">
        <f t="shared" si="16"/>
        <v>-</v>
      </c>
      <c r="Z135" s="270">
        <f t="shared" si="44"/>
        <v>0.1</v>
      </c>
      <c r="AA135" s="271" t="str">
        <f>IFERROR(IF(V134=1,AA$100*EXP(-(LN(2)/$D$65+0.04)*X134)*EXP(-(LN(2)/$D$65+0.1)*Y134),IF(V134=2,AA$100*EXP(-(LN(2)/$D$65+0.04)*(VLOOKUP(($F$16-$F$15)-1,U$99:Y134,4,FALSE)))*EXP(-(LN(2)/$D$65+0.1)*(VLOOKUP(($F$16-$F$15)-1,U$99:Y134,5,FALSE)))*EXP(-(LN(2)/$D$65+0.04)*X134)*EXP(-(LN(2)/$D$65+0.1)*Y134),IF(V134=3,AA$100*EXP(-(LN(2)/$D$65+0.04)*(VLOOKUP(($F$16-$F$15)-1,U$99:Y134,4,FALSE)))*EXP(-(LN(2)/$D$65+0.1)*(VLOOKUP(($F$16-$F$15)-1,U$99:Y134,5,FALSE)))*EXP(-(LN(2)/$D$65+0.04)*(VLOOKUP(($F$16-$F$15)*2-1,U$99:Y134,4,FALSE)))*EXP(-(LN(2)/$D$65+0.1)*(VLOOKUP(($F$16-$F$15)*2-1,U$99:Y134,5,FALSE)))*EXP(-(LN(2)/$D$65+0.04)*X134)*EXP(-(LN(2)/$D$65+0.1)*Y134),"-"))),"-")</f>
        <v>-</v>
      </c>
      <c r="AB135" s="271" t="str">
        <f>IFERROR(IF(V135=1,AB$100*EXP(-(LN(2)/$D$65+0.04)*X135)*EXP(-(LN(2)/$D$65+0.1)*Y135),IF(V135=2,AB$100*EXP(-(LN(2)/$D$65+0.04)*(VLOOKUP(($F$16-$F$15)-1,U$100:Y135,4,FALSE)))*EXP(-(LN(2)/$D$65+0.1)*(VLOOKUP(($F$16-$F$15)-1,U$100:Y135,5,FALSE)))*EXP(-(LN(2)/$D$65+0.04)*X135)*EXP(-(LN(2)/$D$65+0.1)*Y135),IF(V135=3,AB$100*EXP(-(LN(2)/$D$65+0.04)*(VLOOKUP(($F$16-$F$15)-1,U$100:Y135,4,FALSE)))*EXP(-(LN(2)/$D$65+0.1)*(VLOOKUP(($F$16-$F$15)-1,U$100:Y135,5,FALSE)))*EXP(-(LN(2)/$D$65+0.04)*(VLOOKUP(($F$16-$F$15)*2-1,U$100:Y135,4,FALSE)))*EXP(-(LN(2)/$D$65+0.1)*(VLOOKUP(($F$16-$F$15)*2-1,U$100:Y135,5,FALSE)))*EXP(-(LN(2)/$D$65+0.04)*X135)*EXP(-(LN(2)/$D$65+0.1)*Y135),"-"))),"-")</f>
        <v>-</v>
      </c>
      <c r="AC135" s="224">
        <f t="shared" si="45"/>
        <v>35</v>
      </c>
      <c r="AD135" s="223" t="str">
        <f t="shared" si="18"/>
        <v>-</v>
      </c>
      <c r="AE135" s="224" t="str">
        <f t="shared" si="46"/>
        <v>-</v>
      </c>
      <c r="AF135" s="224" t="str">
        <f t="shared" si="19"/>
        <v>-</v>
      </c>
      <c r="AG135" s="224" t="str">
        <f t="shared" si="20"/>
        <v>-</v>
      </c>
      <c r="AH135" s="272">
        <f t="shared" si="47"/>
        <v>0.1</v>
      </c>
      <c r="AI135" s="271" t="str">
        <f>IFERROR(IF(AD134=1,AI$100*EXP(-(LN(2)/$D$65+0.04)*AF134)*EXP(-(LN(2)/$D$65+0.1)*AG134),IF(AD134=2,AI$100*EXP(-(LN(2)/$D$65+0.04)*(VLOOKUP(($F$16-$F$15)-1,AC$99:AG134,4,FALSE)))*EXP(-(LN(2)/$D$65+0.1)*(VLOOKUP(($F$16-$F$15)-1,AC$99:AG134,5,FALSE)))*EXP(-(LN(2)/$D$65+0.04)*AF134)*EXP(-(LN(2)/$D$65+0.1)*AG134),IF(AD134=3,AI$100*EXP(-(LN(2)/$D$65+0.04)*(VLOOKUP(($F$16-$F$15)-1,AC$99:AG134,4,FALSE)))*EXP(-(LN(2)/$D$65+0.1)*(VLOOKUP(($F$16-$F$15)-1,AC$99:AG134,5,FALSE)))*EXP(-(LN(2)/$D$65+0.04)*(VLOOKUP(($F$16-$F$15)*2-1,AC$99:AG134,4,FALSE)))*EXP(-(LN(2)/$D$65+0.1)*(VLOOKUP(($F$16-$F$15)*2-1,AC$99:AG134,5,FALSE)))*EXP(-(LN(2)/$D$65+0.04)*AF134)*EXP(-(LN(2)/$D$65+0.1)*AG134),"-"))),"-")</f>
        <v>-</v>
      </c>
      <c r="AJ135" s="271" t="str">
        <f>IFERROR(IF(AD135=1,AJ$100*EXP(-(LN(2)/$D$65+0.04)*AF135)*EXP(-(LN(2)/$D$65+0.1)*AG135),IF(AD135=2,AJ$100*EXP(-(LN(2)/$D$65+0.04)*(VLOOKUP(($F$16-$F$15)-1,AC$100:AG135,4,FALSE)))*EXP(-(LN(2)/$D$65+0.1)*(VLOOKUP(($F$16-$F$15)-1,AC$100:AG135,5,FALSE)))*EXP(-(LN(2)/$D$65+0.04)*AF135)*EXP(-(LN(2)/$D$65+0.1)*AG135),IF(AD135=3,AJ$100*EXP(-(LN(2)/$D$65+0.04)*(VLOOKUP(($F$16-$F$15)-1,AC$100:AG135,4,FALSE)))*EXP(-(LN(2)/$D$65+0.1)*(VLOOKUP(($F$16-$F$15)-1,AC$100:AG135,5,FALSE)))*EXP(-(LN(2)/$D$65+0.04)*(VLOOKUP(($F$16-$F$15)*2-1,AC$100:AG135,4,FALSE)))*EXP(-(LN(2)/$D$65+0.1)*(VLOOKUP(($F$16-$F$15)*2-1,AC$100:AG135,5,FALSE)))*EXP(-(LN(2)/$D$65+0.04)*AF135)*EXP(-(LN(2)/$D$65+0.1)*AG135),"-"))),"-")</f>
        <v>-</v>
      </c>
      <c r="AK135" s="227">
        <f t="shared" si="49"/>
        <v>35</v>
      </c>
      <c r="AL135" s="226" t="str">
        <f t="shared" si="22"/>
        <v>-</v>
      </c>
      <c r="AM135" s="227" t="str">
        <f t="shared" si="50"/>
        <v>-</v>
      </c>
      <c r="AN135" s="227" t="str">
        <f t="shared" si="51"/>
        <v>-</v>
      </c>
      <c r="AO135" s="227" t="str">
        <f t="shared" si="23"/>
        <v>-</v>
      </c>
      <c r="AP135" s="273">
        <f t="shared" si="52"/>
        <v>0.1</v>
      </c>
      <c r="AQ135" s="271" t="str">
        <f>IFERROR(IF(AL134=1,AQ$100*EXP(-(LN(2)/$D$65+0.04)*AN134)*EXP(-(LN(2)/$D$65+0.1)*AO134),IF(AL134=2,AQ$100*EXP(-(LN(2)/$D$65+0.04)*(VLOOKUP(($F$16-$F$15)-1,AK$99:AO134,4,FALSE)))*EXP(-(LN(2)/$D$65+0.1)*(VLOOKUP(($F$16-$F$15)-1,AK$99:AO134,5,FALSE)))*EXP(-(LN(2)/$D$65+0.04)*AN134)*EXP(-(LN(2)/$D$65+0.1)*AO134),IF(AL134=3,AQ$100*EXP(-(LN(2)/$D$65+0.04)*(VLOOKUP(($F$16-$F$15)-1,AK$99:AO134,4,FALSE)))*EXP(-(LN(2)/$D$65+0.1)*(VLOOKUP(($F$16-$F$15)-1,AK$99:AO134,5,FALSE)))*EXP(-(LN(2)/$D$65+0.04)*(VLOOKUP(($F$16-$F$15)*2-1,AK$99:AO134,4,FALSE)))*EXP(-(LN(2)/$D$65+0.1)*(VLOOKUP(($F$16-$F$15)*2-1,AK$99:AO134,5,FALSE)))*EXP(-(LN(2)/$D$65+0.04)*AN134)*EXP(-(LN(2)/$D$65+0.1)*AO134),"-"))),"-")</f>
        <v>-</v>
      </c>
      <c r="AR135" s="271" t="str">
        <f>IFERROR(IF(AL135=1,AR$100*EXP(-(LN(2)/$D$65+0.04)*AN135)*EXP(-(LN(2)/$D$65+0.1)*AO135),IF(AL135=2,AR$100*EXP(-(LN(2)/$D$65+0.04)*(VLOOKUP(($F$16-$F$15)-1,AK$100:AO135,4,FALSE)))*EXP(-(LN(2)/$D$65+0.1)*(VLOOKUP(($F$16-$F$15)-1,AK$100:AO135,5,FALSE)))*EXP(-(LN(2)/$D$65+0.04)*AN135)*EXP(-(LN(2)/$D$65+0.1)*AO135),IF(AL135=3,AR$100*EXP(-(LN(2)/$D$65+0.04)*(VLOOKUP(($F$16-$F$15)-1,AK$100:AO135,4,FALSE)))*EXP(-(LN(2)/$D$65+0.1)*(VLOOKUP(($F$16-$F$15)-1,AK$100:AO135,5,FALSE)))*EXP(-(LN(2)/$D$65+0.04)*(VLOOKUP(($F$16-$F$15)*2-1,AK$100:AO135,4,FALSE)))*EXP(-(LN(2)/$D$65+0.1)*(VLOOKUP(($F$16-$F$15)*2-1,AK$100:AO135,5,FALSE)))*EXP(-(LN(2)/$D$65+0.04)*AN135)*EXP(-(LN(2)/$D$65+0.1)*AO135),"-"))),"-")</f>
        <v>-</v>
      </c>
      <c r="AS135" s="274">
        <f t="shared" si="24"/>
        <v>0</v>
      </c>
      <c r="AT135" s="274">
        <f t="shared" si="25"/>
        <v>0</v>
      </c>
      <c r="AU135" s="274">
        <f t="shared" si="26"/>
        <v>0</v>
      </c>
      <c r="AV135" s="190" t="str">
        <f>IF($B135&lt;$F$22,SUM($T$100:$T135),"")</f>
        <v/>
      </c>
      <c r="AW135" s="190" t="str">
        <f t="shared" si="83"/>
        <v>-</v>
      </c>
      <c r="AX135" s="190" t="str">
        <f t="shared" si="56"/>
        <v/>
      </c>
      <c r="AY135"/>
      <c r="AZ135" s="190" t="str">
        <f ca="1">IF(ISNUMBER(OFFSET(AV135,-$F$21,0)),SUM(OFFSET($T$100,$F$21,0):$T135),"")</f>
        <v/>
      </c>
      <c r="BA135" s="190" t="str">
        <f t="shared" ca="1" si="84"/>
        <v/>
      </c>
      <c r="BB135" s="190" t="str">
        <f t="shared" ca="1" si="70"/>
        <v/>
      </c>
      <c r="BC135" s="190"/>
      <c r="BD135" s="190" t="str">
        <f ca="1">IFERROR(IF(OR(ISNUMBER(I),ISNUMBER($F$14)),IF(AND($B135&gt;=($F$16-$F$15),$B135&lt;$F$22+($F$16-$F$15)),SUM(OFFSET($T$100,($F$16-$F$15),0):$T135),""),""),"")</f>
        <v/>
      </c>
      <c r="BE135" s="190" t="str">
        <f t="shared" ca="1" si="58"/>
        <v/>
      </c>
      <c r="BF135" s="190" t="str">
        <f t="shared" ca="1" si="59"/>
        <v/>
      </c>
      <c r="BG135"/>
      <c r="BH135" s="190" t="str">
        <f ca="1">IF(ISNUMBER(OFFSET(BD135,-$F$21,0)),SUM(OFFSET($T$100,($F$16-$F$15+$F$21),0):$T135),"")</f>
        <v/>
      </c>
      <c r="BI135" s="190" t="str">
        <f t="shared" ca="1" si="85"/>
        <v/>
      </c>
      <c r="BJ135" s="190" t="str">
        <f t="shared" ca="1" si="60"/>
        <v/>
      </c>
      <c r="BK135" s="190"/>
      <c r="BL135" s="190" t="str">
        <f ca="1">IFERROR(IF(OR(ISNUMBER(I),ISNUMBER($F$14)),IF(AND($B135&gt;=($F$17-$F$15),$B135&lt;$F$22+($F$17-$F$15)),SUM(OFFSET($T$100,($F$17-$F$15),0):$T135),""),""),"")</f>
        <v/>
      </c>
      <c r="BM135" s="190" t="str">
        <f t="shared" ca="1" si="86"/>
        <v/>
      </c>
      <c r="BN135" s="190" t="str">
        <f t="shared" ca="1" si="61"/>
        <v/>
      </c>
      <c r="BO135"/>
      <c r="BP135" s="190" t="str">
        <f ca="1">IF(ISNUMBER(OFFSET(BL135,-$F$21,0)),SUM(OFFSET($T$100,($F$17-$F$15+$F$21),0):$T135),"")</f>
        <v/>
      </c>
      <c r="BQ135" s="190" t="str">
        <f t="shared" ca="1" si="87"/>
        <v/>
      </c>
      <c r="BR135" s="190" t="str">
        <f t="shared" ca="1" si="63"/>
        <v/>
      </c>
      <c r="BS135" s="190"/>
      <c r="BT135"/>
      <c r="BU135"/>
      <c r="BV135"/>
      <c r="BY135" s="99"/>
      <c r="BZ135" s="99"/>
      <c r="CA135" s="280" t="str">
        <f t="shared" si="88"/>
        <v/>
      </c>
      <c r="CB135" s="71" t="str">
        <f t="shared" si="31"/>
        <v>-</v>
      </c>
      <c r="CC135" s="33"/>
      <c r="CD135" s="261" t="str">
        <f t="shared" si="33"/>
        <v/>
      </c>
      <c r="CE135" s="280" t="str">
        <f t="shared" si="89"/>
        <v/>
      </c>
      <c r="CF135" s="71" t="str">
        <f t="shared" ca="1" si="90"/>
        <v/>
      </c>
      <c r="CG135" s="33" t="str">
        <f t="shared" si="36"/>
        <v/>
      </c>
      <c r="CH135" s="261" t="str">
        <f t="shared" ca="1" si="37"/>
        <v/>
      </c>
      <c r="CI135" s="202"/>
      <c r="CJ135" s="99"/>
      <c r="CK135" s="99"/>
      <c r="CL135" s="99"/>
      <c r="CM135" s="99"/>
      <c r="CN135" s="99"/>
      <c r="CO135" s="99"/>
    </row>
    <row r="136" spans="2:93" ht="13.5" customHeight="1" x14ac:dyDescent="0.2">
      <c r="B136" s="262">
        <v>36</v>
      </c>
      <c r="C136" s="237" t="str">
        <f t="shared" si="1"/>
        <v/>
      </c>
      <c r="D136" s="237" t="str">
        <f t="shared" si="66"/>
        <v/>
      </c>
      <c r="E136" s="290" t="str">
        <f t="shared" si="38"/>
        <v/>
      </c>
      <c r="F136" s="264" t="str">
        <f t="shared" si="39"/>
        <v/>
      </c>
      <c r="G136" s="291" t="str">
        <f t="shared" si="40"/>
        <v/>
      </c>
      <c r="H136" s="240" t="str">
        <f t="shared" si="71"/>
        <v/>
      </c>
      <c r="I136" s="265" t="str">
        <f t="shared" si="72"/>
        <v/>
      </c>
      <c r="J136" s="265" t="str">
        <f t="shared" si="73"/>
        <v/>
      </c>
      <c r="K136" s="240" t="str">
        <f t="shared" si="74"/>
        <v/>
      </c>
      <c r="L136" s="265" t="str">
        <f t="shared" si="75"/>
        <v/>
      </c>
      <c r="M136" s="265" t="str">
        <f t="shared" si="76"/>
        <v/>
      </c>
      <c r="N136" s="240" t="str">
        <f t="shared" si="77"/>
        <v>-</v>
      </c>
      <c r="O136" s="265" t="str">
        <f t="shared" si="78"/>
        <v>-</v>
      </c>
      <c r="P136" s="265" t="str">
        <f t="shared" si="79"/>
        <v>-</v>
      </c>
      <c r="Q136" s="266" t="str">
        <f t="shared" si="80"/>
        <v>-</v>
      </c>
      <c r="R136" s="267" t="str">
        <f t="shared" si="81"/>
        <v>-</v>
      </c>
      <c r="S136" s="268" t="str">
        <f t="shared" si="82"/>
        <v>-</v>
      </c>
      <c r="T136" s="269" t="str">
        <f t="shared" si="13"/>
        <v/>
      </c>
      <c r="U136" s="221">
        <f t="shared" si="14"/>
        <v>36</v>
      </c>
      <c r="V136" s="220" t="str">
        <f t="shared" si="42"/>
        <v>-</v>
      </c>
      <c r="W136" s="221" t="str">
        <f t="shared" si="43"/>
        <v>-</v>
      </c>
      <c r="X136" s="221" t="str">
        <f t="shared" si="15"/>
        <v>-</v>
      </c>
      <c r="Y136" s="221" t="str">
        <f t="shared" si="16"/>
        <v>-</v>
      </c>
      <c r="Z136" s="270">
        <f t="shared" si="44"/>
        <v>0.1</v>
      </c>
      <c r="AA136" s="271" t="str">
        <f>IFERROR(IF(V135=1,AA$100*EXP(-(LN(2)/$D$65+0.04)*X135)*EXP(-(LN(2)/$D$65+0.1)*Y135),IF(V135=2,AA$100*EXP(-(LN(2)/$D$65+0.04)*(VLOOKUP(($F$16-$F$15)-1,U$99:Y135,4,FALSE)))*EXP(-(LN(2)/$D$65+0.1)*(VLOOKUP(($F$16-$F$15)-1,U$99:Y135,5,FALSE)))*EXP(-(LN(2)/$D$65+0.04)*X135)*EXP(-(LN(2)/$D$65+0.1)*Y135),IF(V135=3,AA$100*EXP(-(LN(2)/$D$65+0.04)*(VLOOKUP(($F$16-$F$15)-1,U$99:Y135,4,FALSE)))*EXP(-(LN(2)/$D$65+0.1)*(VLOOKUP(($F$16-$F$15)-1,U$99:Y135,5,FALSE)))*EXP(-(LN(2)/$D$65+0.04)*(VLOOKUP(($F$16-$F$15)*2-1,U$99:Y135,4,FALSE)))*EXP(-(LN(2)/$D$65+0.1)*(VLOOKUP(($F$16-$F$15)*2-1,U$99:Y135,5,FALSE)))*EXP(-(LN(2)/$D$65+0.04)*X135)*EXP(-(LN(2)/$D$65+0.1)*Y135),"-"))),"-")</f>
        <v>-</v>
      </c>
      <c r="AB136" s="271" t="str">
        <f>IFERROR(IF(V136=1,AB$100*EXP(-(LN(2)/$D$65+0.04)*X136)*EXP(-(LN(2)/$D$65+0.1)*Y136),IF(V136=2,AB$100*EXP(-(LN(2)/$D$65+0.04)*(VLOOKUP(($F$16-$F$15)-1,U$100:Y136,4,FALSE)))*EXP(-(LN(2)/$D$65+0.1)*(VLOOKUP(($F$16-$F$15)-1,U$100:Y136,5,FALSE)))*EXP(-(LN(2)/$D$65+0.04)*X136)*EXP(-(LN(2)/$D$65+0.1)*Y136),IF(V136=3,AB$100*EXP(-(LN(2)/$D$65+0.04)*(VLOOKUP(($F$16-$F$15)-1,U$100:Y136,4,FALSE)))*EXP(-(LN(2)/$D$65+0.1)*(VLOOKUP(($F$16-$F$15)-1,U$100:Y136,5,FALSE)))*EXP(-(LN(2)/$D$65+0.04)*(VLOOKUP(($F$16-$F$15)*2-1,U$100:Y136,4,FALSE)))*EXP(-(LN(2)/$D$65+0.1)*(VLOOKUP(($F$16-$F$15)*2-1,U$100:Y136,5,FALSE)))*EXP(-(LN(2)/$D$65+0.04)*X136)*EXP(-(LN(2)/$D$65+0.1)*Y136),"-"))),"-")</f>
        <v>-</v>
      </c>
      <c r="AC136" s="224">
        <f t="shared" si="45"/>
        <v>36</v>
      </c>
      <c r="AD136" s="223" t="str">
        <f t="shared" si="18"/>
        <v>-</v>
      </c>
      <c r="AE136" s="224" t="str">
        <f t="shared" si="46"/>
        <v>-</v>
      </c>
      <c r="AF136" s="224" t="str">
        <f t="shared" si="19"/>
        <v>-</v>
      </c>
      <c r="AG136" s="224" t="str">
        <f t="shared" si="20"/>
        <v>-</v>
      </c>
      <c r="AH136" s="272">
        <f t="shared" si="47"/>
        <v>0.1</v>
      </c>
      <c r="AI136" s="271" t="str">
        <f>IFERROR(IF(AD135=1,AI$100*EXP(-(LN(2)/$D$65+0.04)*AF135)*EXP(-(LN(2)/$D$65+0.1)*AG135),IF(AD135=2,AI$100*EXP(-(LN(2)/$D$65+0.04)*(VLOOKUP(($F$16-$F$15)-1,AC$99:AG135,4,FALSE)))*EXP(-(LN(2)/$D$65+0.1)*(VLOOKUP(($F$16-$F$15)-1,AC$99:AG135,5,FALSE)))*EXP(-(LN(2)/$D$65+0.04)*AF135)*EXP(-(LN(2)/$D$65+0.1)*AG135),IF(AD135=3,AI$100*EXP(-(LN(2)/$D$65+0.04)*(VLOOKUP(($F$16-$F$15)-1,AC$99:AG135,4,FALSE)))*EXP(-(LN(2)/$D$65+0.1)*(VLOOKUP(($F$16-$F$15)-1,AC$99:AG135,5,FALSE)))*EXP(-(LN(2)/$D$65+0.04)*(VLOOKUP(($F$16-$F$15)*2-1,AC$99:AG135,4,FALSE)))*EXP(-(LN(2)/$D$65+0.1)*(VLOOKUP(($F$16-$F$15)*2-1,AC$99:AG135,5,FALSE)))*EXP(-(LN(2)/$D$65+0.04)*AF135)*EXP(-(LN(2)/$D$65+0.1)*AG135),"-"))),"-")</f>
        <v>-</v>
      </c>
      <c r="AJ136" s="271" t="str">
        <f>IFERROR(IF(AD136=1,AJ$100*EXP(-(LN(2)/$D$65+0.04)*AF136)*EXP(-(LN(2)/$D$65+0.1)*AG136),IF(AD136=2,AJ$100*EXP(-(LN(2)/$D$65+0.04)*(VLOOKUP(($F$16-$F$15)-1,AC$100:AG136,4,FALSE)))*EXP(-(LN(2)/$D$65+0.1)*(VLOOKUP(($F$16-$F$15)-1,AC$100:AG136,5,FALSE)))*EXP(-(LN(2)/$D$65+0.04)*AF136)*EXP(-(LN(2)/$D$65+0.1)*AG136),IF(AD136=3,AJ$100*EXP(-(LN(2)/$D$65+0.04)*(VLOOKUP(($F$16-$F$15)-1,AC$100:AG136,4,FALSE)))*EXP(-(LN(2)/$D$65+0.1)*(VLOOKUP(($F$16-$F$15)-1,AC$100:AG136,5,FALSE)))*EXP(-(LN(2)/$D$65+0.04)*(VLOOKUP(($F$16-$F$15)*2-1,AC$100:AG136,4,FALSE)))*EXP(-(LN(2)/$D$65+0.1)*(VLOOKUP(($F$16-$F$15)*2-1,AC$100:AG136,5,FALSE)))*EXP(-(LN(2)/$D$65+0.04)*AF136)*EXP(-(LN(2)/$D$65+0.1)*AG136),"-"))),"-")</f>
        <v>-</v>
      </c>
      <c r="AK136" s="227">
        <f t="shared" si="49"/>
        <v>36</v>
      </c>
      <c r="AL136" s="226" t="str">
        <f t="shared" si="22"/>
        <v>-</v>
      </c>
      <c r="AM136" s="227" t="str">
        <f t="shared" si="50"/>
        <v>-</v>
      </c>
      <c r="AN136" s="227" t="str">
        <f t="shared" si="51"/>
        <v>-</v>
      </c>
      <c r="AO136" s="227" t="str">
        <f t="shared" si="23"/>
        <v>-</v>
      </c>
      <c r="AP136" s="273">
        <f t="shared" si="52"/>
        <v>0.1</v>
      </c>
      <c r="AQ136" s="271" t="str">
        <f>IFERROR(IF(AL135=1,AQ$100*EXP(-(LN(2)/$D$65+0.04)*AN135)*EXP(-(LN(2)/$D$65+0.1)*AO135),IF(AL135=2,AQ$100*EXP(-(LN(2)/$D$65+0.04)*(VLOOKUP(($F$16-$F$15)-1,AK$99:AO135,4,FALSE)))*EXP(-(LN(2)/$D$65+0.1)*(VLOOKUP(($F$16-$F$15)-1,AK$99:AO135,5,FALSE)))*EXP(-(LN(2)/$D$65+0.04)*AN135)*EXP(-(LN(2)/$D$65+0.1)*AO135),IF(AL135=3,AQ$100*EXP(-(LN(2)/$D$65+0.04)*(VLOOKUP(($F$16-$F$15)-1,AK$99:AO135,4,FALSE)))*EXP(-(LN(2)/$D$65+0.1)*(VLOOKUP(($F$16-$F$15)-1,AK$99:AO135,5,FALSE)))*EXP(-(LN(2)/$D$65+0.04)*(VLOOKUP(($F$16-$F$15)*2-1,AK$99:AO135,4,FALSE)))*EXP(-(LN(2)/$D$65+0.1)*(VLOOKUP(($F$16-$F$15)*2-1,AK$99:AO135,5,FALSE)))*EXP(-(LN(2)/$D$65+0.04)*AN135)*EXP(-(LN(2)/$D$65+0.1)*AO135),"-"))),"-")</f>
        <v>-</v>
      </c>
      <c r="AR136" s="271" t="str">
        <f>IFERROR(IF(AL136=1,AR$100*EXP(-(LN(2)/$D$65+0.04)*AN136)*EXP(-(LN(2)/$D$65+0.1)*AO136),IF(AL136=2,AR$100*EXP(-(LN(2)/$D$65+0.04)*(VLOOKUP(($F$16-$F$15)-1,AK$100:AO136,4,FALSE)))*EXP(-(LN(2)/$D$65+0.1)*(VLOOKUP(($F$16-$F$15)-1,AK$100:AO136,5,FALSE)))*EXP(-(LN(2)/$D$65+0.04)*AN136)*EXP(-(LN(2)/$D$65+0.1)*AO136),IF(AL136=3,AR$100*EXP(-(LN(2)/$D$65+0.04)*(VLOOKUP(($F$16-$F$15)-1,AK$100:AO136,4,FALSE)))*EXP(-(LN(2)/$D$65+0.1)*(VLOOKUP(($F$16-$F$15)-1,AK$100:AO136,5,FALSE)))*EXP(-(LN(2)/$D$65+0.04)*(VLOOKUP(($F$16-$F$15)*2-1,AK$100:AO136,4,FALSE)))*EXP(-(LN(2)/$D$65+0.1)*(VLOOKUP(($F$16-$F$15)*2-1,AK$100:AO136,5,FALSE)))*EXP(-(LN(2)/$D$65+0.04)*AN136)*EXP(-(LN(2)/$D$65+0.1)*AO136),"-"))),"-")</f>
        <v>-</v>
      </c>
      <c r="AS136" s="274">
        <f t="shared" si="24"/>
        <v>0</v>
      </c>
      <c r="AT136" s="274">
        <f t="shared" si="25"/>
        <v>0</v>
      </c>
      <c r="AU136" s="274">
        <f t="shared" si="26"/>
        <v>0</v>
      </c>
      <c r="AV136" s="190" t="str">
        <f>IF($B136&lt;$F$22,SUM($T$100:$T136),"")</f>
        <v/>
      </c>
      <c r="AW136" s="190" t="str">
        <f t="shared" si="83"/>
        <v>-</v>
      </c>
      <c r="AX136" s="190" t="str">
        <f t="shared" si="56"/>
        <v/>
      </c>
      <c r="AY136"/>
      <c r="AZ136" s="190" t="str">
        <f ca="1">IF(ISNUMBER(OFFSET(AV136,-$F$21,0)),SUM(OFFSET($T$100,$F$21,0):$T136),"")</f>
        <v/>
      </c>
      <c r="BA136" s="190" t="str">
        <f t="shared" ca="1" si="84"/>
        <v/>
      </c>
      <c r="BB136" s="190" t="str">
        <f t="shared" ca="1" si="70"/>
        <v/>
      </c>
      <c r="BC136" s="190"/>
      <c r="BD136" s="190" t="str">
        <f ca="1">IFERROR(IF(OR(ISNUMBER(I),ISNUMBER($F$14)),IF(AND($B136&gt;=($F$16-$F$15),$B136&lt;$F$22+($F$16-$F$15)),SUM(OFFSET($T$100,($F$16-$F$15),0):$T136),""),""),"")</f>
        <v/>
      </c>
      <c r="BE136" s="190" t="str">
        <f t="shared" ca="1" si="58"/>
        <v/>
      </c>
      <c r="BF136" s="190" t="str">
        <f t="shared" ca="1" si="59"/>
        <v/>
      </c>
      <c r="BG136"/>
      <c r="BH136" s="190" t="str">
        <f ca="1">IF(ISNUMBER(OFFSET(BD136,-$F$21,0)),SUM(OFFSET($T$100,($F$16-$F$15+$F$21),0):$T136),"")</f>
        <v/>
      </c>
      <c r="BI136" s="190" t="str">
        <f t="shared" ca="1" si="85"/>
        <v/>
      </c>
      <c r="BJ136" s="190" t="str">
        <f t="shared" ca="1" si="60"/>
        <v/>
      </c>
      <c r="BK136" s="190"/>
      <c r="BL136" s="190" t="str">
        <f ca="1">IFERROR(IF(OR(ISNUMBER(I),ISNUMBER($F$14)),IF(AND($B136&gt;=($F$17-$F$15),$B136&lt;$F$22+($F$17-$F$15)),SUM(OFFSET($T$100,($F$17-$F$15),0):$T136),""),""),"")</f>
        <v/>
      </c>
      <c r="BM136" s="190" t="str">
        <f t="shared" ca="1" si="86"/>
        <v/>
      </c>
      <c r="BN136" s="190" t="str">
        <f t="shared" ca="1" si="61"/>
        <v/>
      </c>
      <c r="BO136"/>
      <c r="BP136" s="190" t="str">
        <f ca="1">IF(ISNUMBER(OFFSET(BL136,-$F$21,0)),SUM(OFFSET($T$100,($F$17-$F$15+$F$21),0):$T136),"")</f>
        <v/>
      </c>
      <c r="BQ136" s="190" t="str">
        <f t="shared" ca="1" si="87"/>
        <v/>
      </c>
      <c r="BR136" s="190" t="str">
        <f t="shared" ca="1" si="63"/>
        <v/>
      </c>
      <c r="BS136" s="190"/>
      <c r="BT136"/>
      <c r="BU136"/>
      <c r="BV136"/>
      <c r="BY136" s="99"/>
      <c r="BZ136" s="99"/>
      <c r="CA136" s="280" t="str">
        <f t="shared" si="88"/>
        <v/>
      </c>
      <c r="CB136" s="71" t="str">
        <f t="shared" si="31"/>
        <v>-</v>
      </c>
      <c r="CC136" s="33"/>
      <c r="CD136" s="261" t="str">
        <f t="shared" si="33"/>
        <v/>
      </c>
      <c r="CE136" s="280" t="str">
        <f t="shared" si="89"/>
        <v/>
      </c>
      <c r="CF136" s="71" t="str">
        <f t="shared" ca="1" si="90"/>
        <v/>
      </c>
      <c r="CG136" s="33" t="str">
        <f t="shared" si="36"/>
        <v/>
      </c>
      <c r="CH136" s="261" t="str">
        <f t="shared" ca="1" si="37"/>
        <v/>
      </c>
      <c r="CI136" s="202"/>
      <c r="CJ136" s="99"/>
      <c r="CK136" s="99"/>
      <c r="CL136" s="99"/>
      <c r="CM136" s="99"/>
      <c r="CN136" s="99"/>
      <c r="CO136" s="99"/>
    </row>
    <row r="137" spans="2:93" ht="13.5" customHeight="1" x14ac:dyDescent="0.2">
      <c r="B137" s="262">
        <v>37</v>
      </c>
      <c r="C137" s="237" t="str">
        <f t="shared" si="1"/>
        <v/>
      </c>
      <c r="D137" s="237" t="str">
        <f t="shared" si="66"/>
        <v/>
      </c>
      <c r="E137" s="290" t="str">
        <f t="shared" si="38"/>
        <v/>
      </c>
      <c r="F137" s="264" t="str">
        <f t="shared" si="39"/>
        <v/>
      </c>
      <c r="G137" s="291" t="str">
        <f t="shared" si="40"/>
        <v/>
      </c>
      <c r="H137" s="240" t="str">
        <f t="shared" si="71"/>
        <v/>
      </c>
      <c r="I137" s="265" t="str">
        <f t="shared" si="72"/>
        <v/>
      </c>
      <c r="J137" s="265" t="str">
        <f t="shared" si="73"/>
        <v/>
      </c>
      <c r="K137" s="240" t="str">
        <f t="shared" si="74"/>
        <v/>
      </c>
      <c r="L137" s="265" t="str">
        <f t="shared" si="75"/>
        <v/>
      </c>
      <c r="M137" s="265" t="str">
        <f t="shared" si="76"/>
        <v/>
      </c>
      <c r="N137" s="240" t="str">
        <f t="shared" si="77"/>
        <v>-</v>
      </c>
      <c r="O137" s="265" t="str">
        <f t="shared" si="78"/>
        <v>-</v>
      </c>
      <c r="P137" s="265" t="str">
        <f t="shared" si="79"/>
        <v>-</v>
      </c>
      <c r="Q137" s="266" t="str">
        <f t="shared" si="80"/>
        <v>-</v>
      </c>
      <c r="R137" s="267" t="str">
        <f t="shared" si="81"/>
        <v>-</v>
      </c>
      <c r="S137" s="268" t="str">
        <f t="shared" si="82"/>
        <v>-</v>
      </c>
      <c r="T137" s="269" t="str">
        <f t="shared" si="13"/>
        <v/>
      </c>
      <c r="U137" s="221">
        <f t="shared" si="14"/>
        <v>37</v>
      </c>
      <c r="V137" s="220" t="str">
        <f t="shared" si="42"/>
        <v>-</v>
      </c>
      <c r="W137" s="221" t="str">
        <f t="shared" si="43"/>
        <v>-</v>
      </c>
      <c r="X137" s="221" t="str">
        <f t="shared" si="15"/>
        <v>-</v>
      </c>
      <c r="Y137" s="221" t="str">
        <f t="shared" si="16"/>
        <v>-</v>
      </c>
      <c r="Z137" s="270">
        <f t="shared" si="44"/>
        <v>0.1</v>
      </c>
      <c r="AA137" s="271" t="str">
        <f>IFERROR(IF(V136=1,AA$100*EXP(-(LN(2)/$D$65+0.04)*X136)*EXP(-(LN(2)/$D$65+0.1)*Y136),IF(V136=2,AA$100*EXP(-(LN(2)/$D$65+0.04)*(VLOOKUP(($F$16-$F$15)-1,U$99:Y136,4,FALSE)))*EXP(-(LN(2)/$D$65+0.1)*(VLOOKUP(($F$16-$F$15)-1,U$99:Y136,5,FALSE)))*EXP(-(LN(2)/$D$65+0.04)*X136)*EXP(-(LN(2)/$D$65+0.1)*Y136),IF(V136=3,AA$100*EXP(-(LN(2)/$D$65+0.04)*(VLOOKUP(($F$16-$F$15)-1,U$99:Y136,4,FALSE)))*EXP(-(LN(2)/$D$65+0.1)*(VLOOKUP(($F$16-$F$15)-1,U$99:Y136,5,FALSE)))*EXP(-(LN(2)/$D$65+0.04)*(VLOOKUP(($F$16-$F$15)*2-1,U$99:Y136,4,FALSE)))*EXP(-(LN(2)/$D$65+0.1)*(VLOOKUP(($F$16-$F$15)*2-1,U$99:Y136,5,FALSE)))*EXP(-(LN(2)/$D$65+0.04)*X136)*EXP(-(LN(2)/$D$65+0.1)*Y136),"-"))),"-")</f>
        <v>-</v>
      </c>
      <c r="AB137" s="271" t="str">
        <f>IFERROR(IF(V137=1,AB$100*EXP(-(LN(2)/$D$65+0.04)*X137)*EXP(-(LN(2)/$D$65+0.1)*Y137),IF(V137=2,AB$100*EXP(-(LN(2)/$D$65+0.04)*(VLOOKUP(($F$16-$F$15)-1,U$100:Y137,4,FALSE)))*EXP(-(LN(2)/$D$65+0.1)*(VLOOKUP(($F$16-$F$15)-1,U$100:Y137,5,FALSE)))*EXP(-(LN(2)/$D$65+0.04)*X137)*EXP(-(LN(2)/$D$65+0.1)*Y137),IF(V137=3,AB$100*EXP(-(LN(2)/$D$65+0.04)*(VLOOKUP(($F$16-$F$15)-1,U$100:Y137,4,FALSE)))*EXP(-(LN(2)/$D$65+0.1)*(VLOOKUP(($F$16-$F$15)-1,U$100:Y137,5,FALSE)))*EXP(-(LN(2)/$D$65+0.04)*(VLOOKUP(($F$16-$F$15)*2-1,U$100:Y137,4,FALSE)))*EXP(-(LN(2)/$D$65+0.1)*(VLOOKUP(($F$16-$F$15)*2-1,U$100:Y137,5,FALSE)))*EXP(-(LN(2)/$D$65+0.04)*X137)*EXP(-(LN(2)/$D$65+0.1)*Y137),"-"))),"-")</f>
        <v>-</v>
      </c>
      <c r="AC137" s="224">
        <f t="shared" si="45"/>
        <v>37</v>
      </c>
      <c r="AD137" s="223" t="str">
        <f t="shared" si="18"/>
        <v>-</v>
      </c>
      <c r="AE137" s="224" t="str">
        <f t="shared" si="46"/>
        <v>-</v>
      </c>
      <c r="AF137" s="224" t="str">
        <f t="shared" si="19"/>
        <v>-</v>
      </c>
      <c r="AG137" s="224" t="str">
        <f t="shared" si="20"/>
        <v>-</v>
      </c>
      <c r="AH137" s="272">
        <f t="shared" si="47"/>
        <v>0.1</v>
      </c>
      <c r="AI137" s="271" t="str">
        <f>IFERROR(IF(AD136=1,AI$100*EXP(-(LN(2)/$D$65+0.04)*AF136)*EXP(-(LN(2)/$D$65+0.1)*AG136),IF(AD136=2,AI$100*EXP(-(LN(2)/$D$65+0.04)*(VLOOKUP(($F$16-$F$15)-1,AC$99:AG136,4,FALSE)))*EXP(-(LN(2)/$D$65+0.1)*(VLOOKUP(($F$16-$F$15)-1,AC$99:AG136,5,FALSE)))*EXP(-(LN(2)/$D$65+0.04)*AF136)*EXP(-(LN(2)/$D$65+0.1)*AG136),IF(AD136=3,AI$100*EXP(-(LN(2)/$D$65+0.04)*(VLOOKUP(($F$16-$F$15)-1,AC$99:AG136,4,FALSE)))*EXP(-(LN(2)/$D$65+0.1)*(VLOOKUP(($F$16-$F$15)-1,AC$99:AG136,5,FALSE)))*EXP(-(LN(2)/$D$65+0.04)*(VLOOKUP(($F$16-$F$15)*2-1,AC$99:AG136,4,FALSE)))*EXP(-(LN(2)/$D$65+0.1)*(VLOOKUP(($F$16-$F$15)*2-1,AC$99:AG136,5,FALSE)))*EXP(-(LN(2)/$D$65+0.04)*AF136)*EXP(-(LN(2)/$D$65+0.1)*AG136),"-"))),"-")</f>
        <v>-</v>
      </c>
      <c r="AJ137" s="271" t="str">
        <f>IFERROR(IF(AD137=1,AJ$100*EXP(-(LN(2)/$D$65+0.04)*AF137)*EXP(-(LN(2)/$D$65+0.1)*AG137),IF(AD137=2,AJ$100*EXP(-(LN(2)/$D$65+0.04)*(VLOOKUP(($F$16-$F$15)-1,AC$100:AG137,4,FALSE)))*EXP(-(LN(2)/$D$65+0.1)*(VLOOKUP(($F$16-$F$15)-1,AC$100:AG137,5,FALSE)))*EXP(-(LN(2)/$D$65+0.04)*AF137)*EXP(-(LN(2)/$D$65+0.1)*AG137),IF(AD137=3,AJ$100*EXP(-(LN(2)/$D$65+0.04)*(VLOOKUP(($F$16-$F$15)-1,AC$100:AG137,4,FALSE)))*EXP(-(LN(2)/$D$65+0.1)*(VLOOKUP(($F$16-$F$15)-1,AC$100:AG137,5,FALSE)))*EXP(-(LN(2)/$D$65+0.04)*(VLOOKUP(($F$16-$F$15)*2-1,AC$100:AG137,4,FALSE)))*EXP(-(LN(2)/$D$65+0.1)*(VLOOKUP(($F$16-$F$15)*2-1,AC$100:AG137,5,FALSE)))*EXP(-(LN(2)/$D$65+0.04)*AF137)*EXP(-(LN(2)/$D$65+0.1)*AG137),"-"))),"-")</f>
        <v>-</v>
      </c>
      <c r="AK137" s="227">
        <f t="shared" si="49"/>
        <v>37</v>
      </c>
      <c r="AL137" s="226" t="str">
        <f t="shared" si="22"/>
        <v>-</v>
      </c>
      <c r="AM137" s="227" t="str">
        <f t="shared" si="50"/>
        <v>-</v>
      </c>
      <c r="AN137" s="227" t="str">
        <f t="shared" si="51"/>
        <v>-</v>
      </c>
      <c r="AO137" s="227" t="str">
        <f t="shared" si="23"/>
        <v>-</v>
      </c>
      <c r="AP137" s="273">
        <f t="shared" si="52"/>
        <v>0.1</v>
      </c>
      <c r="AQ137" s="271" t="str">
        <f>IFERROR(IF(AL136=1,AQ$100*EXP(-(LN(2)/$D$65+0.04)*AN136)*EXP(-(LN(2)/$D$65+0.1)*AO136),IF(AL136=2,AQ$100*EXP(-(LN(2)/$D$65+0.04)*(VLOOKUP(($F$16-$F$15)-1,AK$99:AO136,4,FALSE)))*EXP(-(LN(2)/$D$65+0.1)*(VLOOKUP(($F$16-$F$15)-1,AK$99:AO136,5,FALSE)))*EXP(-(LN(2)/$D$65+0.04)*AN136)*EXP(-(LN(2)/$D$65+0.1)*AO136),IF(AL136=3,AQ$100*EXP(-(LN(2)/$D$65+0.04)*(VLOOKUP(($F$16-$F$15)-1,AK$99:AO136,4,FALSE)))*EXP(-(LN(2)/$D$65+0.1)*(VLOOKUP(($F$16-$F$15)-1,AK$99:AO136,5,FALSE)))*EXP(-(LN(2)/$D$65+0.04)*(VLOOKUP(($F$16-$F$15)*2-1,AK$99:AO136,4,FALSE)))*EXP(-(LN(2)/$D$65+0.1)*(VLOOKUP(($F$16-$F$15)*2-1,AK$99:AO136,5,FALSE)))*EXP(-(LN(2)/$D$65+0.04)*AN136)*EXP(-(LN(2)/$D$65+0.1)*AO136),"-"))),"-")</f>
        <v>-</v>
      </c>
      <c r="AR137" s="271" t="str">
        <f>IFERROR(IF(AL137=1,AR$100*EXP(-(LN(2)/$D$65+0.04)*AN137)*EXP(-(LN(2)/$D$65+0.1)*AO137),IF(AL137=2,AR$100*EXP(-(LN(2)/$D$65+0.04)*(VLOOKUP(($F$16-$F$15)-1,AK$100:AO137,4,FALSE)))*EXP(-(LN(2)/$D$65+0.1)*(VLOOKUP(($F$16-$F$15)-1,AK$100:AO137,5,FALSE)))*EXP(-(LN(2)/$D$65+0.04)*AN137)*EXP(-(LN(2)/$D$65+0.1)*AO137),IF(AL137=3,AR$100*EXP(-(LN(2)/$D$65+0.04)*(VLOOKUP(($F$16-$F$15)-1,AK$100:AO137,4,FALSE)))*EXP(-(LN(2)/$D$65+0.1)*(VLOOKUP(($F$16-$F$15)-1,AK$100:AO137,5,FALSE)))*EXP(-(LN(2)/$D$65+0.04)*(VLOOKUP(($F$16-$F$15)*2-1,AK$100:AO137,4,FALSE)))*EXP(-(LN(2)/$D$65+0.1)*(VLOOKUP(($F$16-$F$15)*2-1,AK$100:AO137,5,FALSE)))*EXP(-(LN(2)/$D$65+0.04)*AN137)*EXP(-(LN(2)/$D$65+0.1)*AO137),"-"))),"-")</f>
        <v>-</v>
      </c>
      <c r="AS137" s="274">
        <f t="shared" si="24"/>
        <v>0</v>
      </c>
      <c r="AT137" s="274">
        <f t="shared" si="25"/>
        <v>0</v>
      </c>
      <c r="AU137" s="274">
        <f t="shared" si="26"/>
        <v>0</v>
      </c>
      <c r="AV137" s="190" t="str">
        <f>IF($B137&lt;$F$22,SUM($T$100:$T137),"")</f>
        <v/>
      </c>
      <c r="AW137" s="190" t="str">
        <f t="shared" si="83"/>
        <v>-</v>
      </c>
      <c r="AX137" s="190" t="str">
        <f t="shared" si="56"/>
        <v/>
      </c>
      <c r="AY137"/>
      <c r="AZ137" s="190" t="str">
        <f ca="1">IF(ISNUMBER(OFFSET(AV137,-$F$21,0)),SUM(OFFSET($T$100,$F$21,0):$T137),"")</f>
        <v/>
      </c>
      <c r="BA137" s="190" t="str">
        <f t="shared" ca="1" si="84"/>
        <v/>
      </c>
      <c r="BB137" s="190" t="str">
        <f t="shared" ca="1" si="70"/>
        <v/>
      </c>
      <c r="BC137" s="190"/>
      <c r="BD137" s="190" t="str">
        <f ca="1">IFERROR(IF(OR(ISNUMBER(I),ISNUMBER($F$14)),IF(AND($B137&gt;=($F$16-$F$15),$B137&lt;$F$22+($F$16-$F$15)),SUM(OFFSET($T$100,($F$16-$F$15),0):$T137),""),""),"")</f>
        <v/>
      </c>
      <c r="BE137" s="190" t="str">
        <f t="shared" ca="1" si="58"/>
        <v/>
      </c>
      <c r="BF137" s="190" t="str">
        <f t="shared" ca="1" si="59"/>
        <v/>
      </c>
      <c r="BG137"/>
      <c r="BH137" s="190" t="str">
        <f ca="1">IF(ISNUMBER(OFFSET(BD137,-$F$21,0)),SUM(OFFSET($T$100,($F$16-$F$15+$F$21),0):$T137),"")</f>
        <v/>
      </c>
      <c r="BI137" s="190" t="str">
        <f t="shared" ca="1" si="85"/>
        <v/>
      </c>
      <c r="BJ137" s="190" t="str">
        <f t="shared" ca="1" si="60"/>
        <v/>
      </c>
      <c r="BK137" s="190"/>
      <c r="BL137" s="190" t="str">
        <f ca="1">IFERROR(IF(OR(ISNUMBER(I),ISNUMBER($F$14)),IF(AND($B137&gt;=($F$17-$F$15),$B137&lt;$F$22+($F$17-$F$15)),SUM(OFFSET($T$100,($F$17-$F$15),0):$T137),""),""),"")</f>
        <v/>
      </c>
      <c r="BM137" s="190" t="str">
        <f t="shared" ca="1" si="86"/>
        <v/>
      </c>
      <c r="BN137" s="190" t="str">
        <f t="shared" ca="1" si="61"/>
        <v/>
      </c>
      <c r="BO137"/>
      <c r="BP137" s="190" t="str">
        <f ca="1">IF(ISNUMBER(OFFSET(BL137,-$F$21,0)),SUM(OFFSET($T$100,($F$17-$F$15+$F$21),0):$T137),"")</f>
        <v/>
      </c>
      <c r="BQ137" s="190" t="str">
        <f t="shared" ca="1" si="87"/>
        <v/>
      </c>
      <c r="BR137" s="190" t="str">
        <f t="shared" ca="1" si="63"/>
        <v/>
      </c>
      <c r="BS137" s="190"/>
      <c r="BT137"/>
      <c r="BU137"/>
      <c r="BV137"/>
      <c r="BY137" s="99"/>
      <c r="BZ137" s="99"/>
      <c r="CA137" s="280" t="str">
        <f t="shared" si="88"/>
        <v/>
      </c>
      <c r="CB137" s="71" t="str">
        <f t="shared" si="31"/>
        <v>-</v>
      </c>
      <c r="CC137" s="33"/>
      <c r="CD137" s="261" t="str">
        <f t="shared" si="33"/>
        <v/>
      </c>
      <c r="CE137" s="280" t="str">
        <f t="shared" si="89"/>
        <v/>
      </c>
      <c r="CF137" s="71" t="str">
        <f t="shared" ca="1" si="90"/>
        <v/>
      </c>
      <c r="CG137" s="33" t="str">
        <f t="shared" si="36"/>
        <v/>
      </c>
      <c r="CH137" s="261" t="str">
        <f t="shared" ca="1" si="37"/>
        <v/>
      </c>
      <c r="CI137" s="202"/>
      <c r="CJ137" s="99"/>
      <c r="CK137" s="99"/>
      <c r="CL137" s="99"/>
      <c r="CM137" s="99"/>
      <c r="CN137" s="99"/>
      <c r="CO137" s="99"/>
    </row>
    <row r="138" spans="2:93" ht="13.5" customHeight="1" x14ac:dyDescent="0.2">
      <c r="B138" s="262">
        <v>38</v>
      </c>
      <c r="C138" s="237" t="str">
        <f t="shared" si="1"/>
        <v/>
      </c>
      <c r="D138" s="237" t="str">
        <f t="shared" si="66"/>
        <v/>
      </c>
      <c r="E138" s="290" t="str">
        <f t="shared" si="38"/>
        <v/>
      </c>
      <c r="F138" s="264" t="str">
        <f t="shared" si="39"/>
        <v/>
      </c>
      <c r="G138" s="291" t="str">
        <f t="shared" si="40"/>
        <v/>
      </c>
      <c r="H138" s="240" t="str">
        <f t="shared" si="71"/>
        <v/>
      </c>
      <c r="I138" s="265" t="str">
        <f t="shared" si="72"/>
        <v/>
      </c>
      <c r="J138" s="265" t="str">
        <f t="shared" si="73"/>
        <v/>
      </c>
      <c r="K138" s="240" t="str">
        <f t="shared" si="74"/>
        <v/>
      </c>
      <c r="L138" s="265" t="str">
        <f t="shared" si="75"/>
        <v/>
      </c>
      <c r="M138" s="265" t="str">
        <f t="shared" si="76"/>
        <v/>
      </c>
      <c r="N138" s="240" t="str">
        <f t="shared" si="77"/>
        <v>-</v>
      </c>
      <c r="O138" s="265" t="str">
        <f t="shared" si="78"/>
        <v>-</v>
      </c>
      <c r="P138" s="265" t="str">
        <f t="shared" si="79"/>
        <v>-</v>
      </c>
      <c r="Q138" s="266" t="str">
        <f t="shared" si="80"/>
        <v>-</v>
      </c>
      <c r="R138" s="267" t="str">
        <f t="shared" si="81"/>
        <v>-</v>
      </c>
      <c r="S138" s="268" t="str">
        <f t="shared" si="82"/>
        <v>-</v>
      </c>
      <c r="T138" s="269" t="str">
        <f t="shared" si="13"/>
        <v/>
      </c>
      <c r="U138" s="221">
        <f t="shared" si="14"/>
        <v>38</v>
      </c>
      <c r="V138" s="220" t="str">
        <f t="shared" si="42"/>
        <v>-</v>
      </c>
      <c r="W138" s="221" t="str">
        <f t="shared" si="43"/>
        <v>-</v>
      </c>
      <c r="X138" s="221" t="str">
        <f t="shared" si="15"/>
        <v>-</v>
      </c>
      <c r="Y138" s="221" t="str">
        <f t="shared" si="16"/>
        <v>-</v>
      </c>
      <c r="Z138" s="270">
        <f t="shared" si="44"/>
        <v>0.1</v>
      </c>
      <c r="AA138" s="271" t="str">
        <f>IFERROR(IF(V137=1,AA$100*EXP(-(LN(2)/$D$65+0.04)*X137)*EXP(-(LN(2)/$D$65+0.1)*Y137),IF(V137=2,AA$100*EXP(-(LN(2)/$D$65+0.04)*(VLOOKUP(($F$16-$F$15)-1,U$99:Y137,4,FALSE)))*EXP(-(LN(2)/$D$65+0.1)*(VLOOKUP(($F$16-$F$15)-1,U$99:Y137,5,FALSE)))*EXP(-(LN(2)/$D$65+0.04)*X137)*EXP(-(LN(2)/$D$65+0.1)*Y137),IF(V137=3,AA$100*EXP(-(LN(2)/$D$65+0.04)*(VLOOKUP(($F$16-$F$15)-1,U$99:Y137,4,FALSE)))*EXP(-(LN(2)/$D$65+0.1)*(VLOOKUP(($F$16-$F$15)-1,U$99:Y137,5,FALSE)))*EXP(-(LN(2)/$D$65+0.04)*(VLOOKUP(($F$16-$F$15)*2-1,U$99:Y137,4,FALSE)))*EXP(-(LN(2)/$D$65+0.1)*(VLOOKUP(($F$16-$F$15)*2-1,U$99:Y137,5,FALSE)))*EXP(-(LN(2)/$D$65+0.04)*X137)*EXP(-(LN(2)/$D$65+0.1)*Y137),"-"))),"-")</f>
        <v>-</v>
      </c>
      <c r="AB138" s="271" t="str">
        <f>IFERROR(IF(V138=1,AB$100*EXP(-(LN(2)/$D$65+0.04)*X138)*EXP(-(LN(2)/$D$65+0.1)*Y138),IF(V138=2,AB$100*EXP(-(LN(2)/$D$65+0.04)*(VLOOKUP(($F$16-$F$15)-1,U$100:Y138,4,FALSE)))*EXP(-(LN(2)/$D$65+0.1)*(VLOOKUP(($F$16-$F$15)-1,U$100:Y138,5,FALSE)))*EXP(-(LN(2)/$D$65+0.04)*X138)*EXP(-(LN(2)/$D$65+0.1)*Y138),IF(V138=3,AB$100*EXP(-(LN(2)/$D$65+0.04)*(VLOOKUP(($F$16-$F$15)-1,U$100:Y138,4,FALSE)))*EXP(-(LN(2)/$D$65+0.1)*(VLOOKUP(($F$16-$F$15)-1,U$100:Y138,5,FALSE)))*EXP(-(LN(2)/$D$65+0.04)*(VLOOKUP(($F$16-$F$15)*2-1,U$100:Y138,4,FALSE)))*EXP(-(LN(2)/$D$65+0.1)*(VLOOKUP(($F$16-$F$15)*2-1,U$100:Y138,5,FALSE)))*EXP(-(LN(2)/$D$65+0.04)*X138)*EXP(-(LN(2)/$D$65+0.1)*Y138),"-"))),"-")</f>
        <v>-</v>
      </c>
      <c r="AC138" s="224">
        <f t="shared" si="45"/>
        <v>38</v>
      </c>
      <c r="AD138" s="223" t="str">
        <f t="shared" si="18"/>
        <v>-</v>
      </c>
      <c r="AE138" s="224" t="str">
        <f t="shared" si="46"/>
        <v>-</v>
      </c>
      <c r="AF138" s="224" t="str">
        <f t="shared" si="19"/>
        <v>-</v>
      </c>
      <c r="AG138" s="224" t="str">
        <f t="shared" si="20"/>
        <v>-</v>
      </c>
      <c r="AH138" s="272">
        <f t="shared" si="47"/>
        <v>0.1</v>
      </c>
      <c r="AI138" s="271" t="str">
        <f>IFERROR(IF(AD137=1,AI$100*EXP(-(LN(2)/$D$65+0.04)*AF137)*EXP(-(LN(2)/$D$65+0.1)*AG137),IF(AD137=2,AI$100*EXP(-(LN(2)/$D$65+0.04)*(VLOOKUP(($F$16-$F$15)-1,AC$99:AG137,4,FALSE)))*EXP(-(LN(2)/$D$65+0.1)*(VLOOKUP(($F$16-$F$15)-1,AC$99:AG137,5,FALSE)))*EXP(-(LN(2)/$D$65+0.04)*AF137)*EXP(-(LN(2)/$D$65+0.1)*AG137),IF(AD137=3,AI$100*EXP(-(LN(2)/$D$65+0.04)*(VLOOKUP(($F$16-$F$15)-1,AC$99:AG137,4,FALSE)))*EXP(-(LN(2)/$D$65+0.1)*(VLOOKUP(($F$16-$F$15)-1,AC$99:AG137,5,FALSE)))*EXP(-(LN(2)/$D$65+0.04)*(VLOOKUP(($F$16-$F$15)*2-1,AC$99:AG137,4,FALSE)))*EXP(-(LN(2)/$D$65+0.1)*(VLOOKUP(($F$16-$F$15)*2-1,AC$99:AG137,5,FALSE)))*EXP(-(LN(2)/$D$65+0.04)*AF137)*EXP(-(LN(2)/$D$65+0.1)*AG137),"-"))),"-")</f>
        <v>-</v>
      </c>
      <c r="AJ138" s="271" t="str">
        <f>IFERROR(IF(AD138=1,AJ$100*EXP(-(LN(2)/$D$65+0.04)*AF138)*EXP(-(LN(2)/$D$65+0.1)*AG138),IF(AD138=2,AJ$100*EXP(-(LN(2)/$D$65+0.04)*(VLOOKUP(($F$16-$F$15)-1,AC$100:AG138,4,FALSE)))*EXP(-(LN(2)/$D$65+0.1)*(VLOOKUP(($F$16-$F$15)-1,AC$100:AG138,5,FALSE)))*EXP(-(LN(2)/$D$65+0.04)*AF138)*EXP(-(LN(2)/$D$65+0.1)*AG138),IF(AD138=3,AJ$100*EXP(-(LN(2)/$D$65+0.04)*(VLOOKUP(($F$16-$F$15)-1,AC$100:AG138,4,FALSE)))*EXP(-(LN(2)/$D$65+0.1)*(VLOOKUP(($F$16-$F$15)-1,AC$100:AG138,5,FALSE)))*EXP(-(LN(2)/$D$65+0.04)*(VLOOKUP(($F$16-$F$15)*2-1,AC$100:AG138,4,FALSE)))*EXP(-(LN(2)/$D$65+0.1)*(VLOOKUP(($F$16-$F$15)*2-1,AC$100:AG138,5,FALSE)))*EXP(-(LN(2)/$D$65+0.04)*AF138)*EXP(-(LN(2)/$D$65+0.1)*AG138),"-"))),"-")</f>
        <v>-</v>
      </c>
      <c r="AK138" s="227">
        <f t="shared" si="49"/>
        <v>38</v>
      </c>
      <c r="AL138" s="226" t="str">
        <f t="shared" si="22"/>
        <v>-</v>
      </c>
      <c r="AM138" s="227" t="str">
        <f t="shared" si="50"/>
        <v>-</v>
      </c>
      <c r="AN138" s="227" t="str">
        <f t="shared" si="51"/>
        <v>-</v>
      </c>
      <c r="AO138" s="227" t="str">
        <f t="shared" si="23"/>
        <v>-</v>
      </c>
      <c r="AP138" s="273">
        <f t="shared" si="52"/>
        <v>0.1</v>
      </c>
      <c r="AQ138" s="271" t="str">
        <f>IFERROR(IF(AL137=1,AQ$100*EXP(-(LN(2)/$D$65+0.04)*AN137)*EXP(-(LN(2)/$D$65+0.1)*AO137),IF(AL137=2,AQ$100*EXP(-(LN(2)/$D$65+0.04)*(VLOOKUP(($F$16-$F$15)-1,AK$99:AO137,4,FALSE)))*EXP(-(LN(2)/$D$65+0.1)*(VLOOKUP(($F$16-$F$15)-1,AK$99:AO137,5,FALSE)))*EXP(-(LN(2)/$D$65+0.04)*AN137)*EXP(-(LN(2)/$D$65+0.1)*AO137),IF(AL137=3,AQ$100*EXP(-(LN(2)/$D$65+0.04)*(VLOOKUP(($F$16-$F$15)-1,AK$99:AO137,4,FALSE)))*EXP(-(LN(2)/$D$65+0.1)*(VLOOKUP(($F$16-$F$15)-1,AK$99:AO137,5,FALSE)))*EXP(-(LN(2)/$D$65+0.04)*(VLOOKUP(($F$16-$F$15)*2-1,AK$99:AO137,4,FALSE)))*EXP(-(LN(2)/$D$65+0.1)*(VLOOKUP(($F$16-$F$15)*2-1,AK$99:AO137,5,FALSE)))*EXP(-(LN(2)/$D$65+0.04)*AN137)*EXP(-(LN(2)/$D$65+0.1)*AO137),"-"))),"-")</f>
        <v>-</v>
      </c>
      <c r="AR138" s="271" t="str">
        <f>IFERROR(IF(AL138=1,AR$100*EXP(-(LN(2)/$D$65+0.04)*AN138)*EXP(-(LN(2)/$D$65+0.1)*AO138),IF(AL138=2,AR$100*EXP(-(LN(2)/$D$65+0.04)*(VLOOKUP(($F$16-$F$15)-1,AK$100:AO138,4,FALSE)))*EXP(-(LN(2)/$D$65+0.1)*(VLOOKUP(($F$16-$F$15)-1,AK$100:AO138,5,FALSE)))*EXP(-(LN(2)/$D$65+0.04)*AN138)*EXP(-(LN(2)/$D$65+0.1)*AO138),IF(AL138=3,AR$100*EXP(-(LN(2)/$D$65+0.04)*(VLOOKUP(($F$16-$F$15)-1,AK$100:AO138,4,FALSE)))*EXP(-(LN(2)/$D$65+0.1)*(VLOOKUP(($F$16-$F$15)-1,AK$100:AO138,5,FALSE)))*EXP(-(LN(2)/$D$65+0.04)*(VLOOKUP(($F$16-$F$15)*2-1,AK$100:AO138,4,FALSE)))*EXP(-(LN(2)/$D$65+0.1)*(VLOOKUP(($F$16-$F$15)*2-1,AK$100:AO138,5,FALSE)))*EXP(-(LN(2)/$D$65+0.04)*AN138)*EXP(-(LN(2)/$D$65+0.1)*AO138),"-"))),"-")</f>
        <v>-</v>
      </c>
      <c r="AS138" s="274">
        <f t="shared" si="24"/>
        <v>0</v>
      </c>
      <c r="AT138" s="274">
        <f t="shared" si="25"/>
        <v>0</v>
      </c>
      <c r="AU138" s="274">
        <f t="shared" si="26"/>
        <v>0</v>
      </c>
      <c r="AV138" s="190" t="str">
        <f>IF($B138&lt;$F$22,SUM($T$100:$T138),"")</f>
        <v/>
      </c>
      <c r="AW138" s="190" t="str">
        <f t="shared" si="83"/>
        <v>-</v>
      </c>
      <c r="AX138" s="190" t="str">
        <f t="shared" si="56"/>
        <v/>
      </c>
      <c r="AY138"/>
      <c r="AZ138" s="190" t="str">
        <f ca="1">IF(ISNUMBER(OFFSET(AV138,-$F$21,0)),SUM(OFFSET($T$100,$F$21,0):$T138),"")</f>
        <v/>
      </c>
      <c r="BA138" s="190" t="str">
        <f t="shared" ca="1" si="84"/>
        <v/>
      </c>
      <c r="BB138" s="190" t="str">
        <f t="shared" ca="1" si="70"/>
        <v/>
      </c>
      <c r="BC138" s="190"/>
      <c r="BD138" s="190" t="str">
        <f ca="1">IFERROR(IF(OR(ISNUMBER(I),ISNUMBER($F$14)),IF(AND($B138&gt;=($F$16-$F$15),$B138&lt;$F$22+($F$16-$F$15)),SUM(OFFSET($T$100,($F$16-$F$15),0):$T138),""),""),"")</f>
        <v/>
      </c>
      <c r="BE138" s="190" t="str">
        <f t="shared" ca="1" si="58"/>
        <v/>
      </c>
      <c r="BF138" s="190" t="str">
        <f t="shared" ca="1" si="59"/>
        <v/>
      </c>
      <c r="BG138"/>
      <c r="BH138" s="190" t="str">
        <f ca="1">IF(ISNUMBER(OFFSET(BD138,-$F$21,0)),SUM(OFFSET($T$100,($F$16-$F$15+$F$21),0):$T138),"")</f>
        <v/>
      </c>
      <c r="BI138" s="190" t="str">
        <f t="shared" ca="1" si="85"/>
        <v/>
      </c>
      <c r="BJ138" s="190" t="str">
        <f t="shared" ca="1" si="60"/>
        <v/>
      </c>
      <c r="BK138" s="190"/>
      <c r="BL138" s="190" t="str">
        <f ca="1">IFERROR(IF(OR(ISNUMBER(I),ISNUMBER($F$14)),IF(AND($B138&gt;=($F$17-$F$15),$B138&lt;$F$22+($F$17-$F$15)),SUM(OFFSET($T$100,($F$17-$F$15),0):$T138),""),""),"")</f>
        <v/>
      </c>
      <c r="BM138" s="190" t="str">
        <f t="shared" ca="1" si="86"/>
        <v/>
      </c>
      <c r="BN138" s="190" t="str">
        <f t="shared" ca="1" si="61"/>
        <v/>
      </c>
      <c r="BO138"/>
      <c r="BP138" s="190" t="str">
        <f ca="1">IF(ISNUMBER(OFFSET(BL138,-$F$21,0)),SUM(OFFSET($T$100,($F$17-$F$15+$F$21),0):$T138),"")</f>
        <v/>
      </c>
      <c r="BQ138" s="190" t="str">
        <f t="shared" ca="1" si="87"/>
        <v/>
      </c>
      <c r="BR138" s="190" t="str">
        <f t="shared" ca="1" si="63"/>
        <v/>
      </c>
      <c r="BS138" s="190"/>
      <c r="BT138"/>
      <c r="BU138"/>
      <c r="BV138"/>
      <c r="BY138" s="99"/>
      <c r="BZ138" s="99"/>
      <c r="CA138" s="280" t="str">
        <f t="shared" si="88"/>
        <v/>
      </c>
      <c r="CB138" s="71" t="str">
        <f t="shared" si="31"/>
        <v>-</v>
      </c>
      <c r="CC138" s="33"/>
      <c r="CD138" s="261" t="str">
        <f t="shared" si="33"/>
        <v/>
      </c>
      <c r="CE138" s="280" t="str">
        <f t="shared" si="89"/>
        <v/>
      </c>
      <c r="CF138" s="71" t="str">
        <f t="shared" ca="1" si="90"/>
        <v/>
      </c>
      <c r="CG138" s="33" t="str">
        <f t="shared" si="36"/>
        <v/>
      </c>
      <c r="CH138" s="261" t="str">
        <f t="shared" ca="1" si="37"/>
        <v/>
      </c>
      <c r="CI138" s="202"/>
      <c r="CJ138" s="99"/>
      <c r="CK138" s="99"/>
      <c r="CL138" s="99"/>
      <c r="CM138" s="99"/>
      <c r="CN138" s="99"/>
      <c r="CO138" s="99"/>
    </row>
    <row r="139" spans="2:93" ht="13.5" customHeight="1" x14ac:dyDescent="0.2">
      <c r="B139" s="262">
        <v>39</v>
      </c>
      <c r="C139" s="237" t="str">
        <f t="shared" si="1"/>
        <v/>
      </c>
      <c r="D139" s="237" t="str">
        <f t="shared" si="66"/>
        <v/>
      </c>
      <c r="E139" s="290" t="str">
        <f t="shared" si="38"/>
        <v/>
      </c>
      <c r="F139" s="264" t="str">
        <f t="shared" si="39"/>
        <v/>
      </c>
      <c r="G139" s="291" t="str">
        <f t="shared" si="40"/>
        <v/>
      </c>
      <c r="H139" s="240" t="str">
        <f t="shared" si="71"/>
        <v/>
      </c>
      <c r="I139" s="265" t="str">
        <f t="shared" si="72"/>
        <v/>
      </c>
      <c r="J139" s="265" t="str">
        <f t="shared" si="73"/>
        <v/>
      </c>
      <c r="K139" s="240" t="str">
        <f t="shared" si="74"/>
        <v/>
      </c>
      <c r="L139" s="265" t="str">
        <f t="shared" si="75"/>
        <v/>
      </c>
      <c r="M139" s="265" t="str">
        <f t="shared" si="76"/>
        <v/>
      </c>
      <c r="N139" s="240" t="str">
        <f t="shared" si="77"/>
        <v>-</v>
      </c>
      <c r="O139" s="265" t="str">
        <f t="shared" si="78"/>
        <v>-</v>
      </c>
      <c r="P139" s="265" t="str">
        <f t="shared" si="79"/>
        <v>-</v>
      </c>
      <c r="Q139" s="266" t="str">
        <f t="shared" si="80"/>
        <v>-</v>
      </c>
      <c r="R139" s="267" t="str">
        <f t="shared" si="81"/>
        <v>-</v>
      </c>
      <c r="S139" s="268" t="str">
        <f t="shared" si="82"/>
        <v>-</v>
      </c>
      <c r="T139" s="269" t="str">
        <f t="shared" si="13"/>
        <v/>
      </c>
      <c r="U139" s="221">
        <f t="shared" si="14"/>
        <v>39</v>
      </c>
      <c r="V139" s="220" t="str">
        <f t="shared" si="42"/>
        <v>-</v>
      </c>
      <c r="W139" s="221" t="str">
        <f t="shared" si="43"/>
        <v>-</v>
      </c>
      <c r="X139" s="221" t="str">
        <f t="shared" si="15"/>
        <v>-</v>
      </c>
      <c r="Y139" s="221" t="str">
        <f t="shared" si="16"/>
        <v>-</v>
      </c>
      <c r="Z139" s="270">
        <f t="shared" si="44"/>
        <v>0.1</v>
      </c>
      <c r="AA139" s="271" t="str">
        <f>IFERROR(IF(V138=1,AA$100*EXP(-(LN(2)/$D$65+0.04)*X138)*EXP(-(LN(2)/$D$65+0.1)*Y138),IF(V138=2,AA$100*EXP(-(LN(2)/$D$65+0.04)*(VLOOKUP(($F$16-$F$15)-1,U$99:Y138,4,FALSE)))*EXP(-(LN(2)/$D$65+0.1)*(VLOOKUP(($F$16-$F$15)-1,U$99:Y138,5,FALSE)))*EXP(-(LN(2)/$D$65+0.04)*X138)*EXP(-(LN(2)/$D$65+0.1)*Y138),IF(V138=3,AA$100*EXP(-(LN(2)/$D$65+0.04)*(VLOOKUP(($F$16-$F$15)-1,U$99:Y138,4,FALSE)))*EXP(-(LN(2)/$D$65+0.1)*(VLOOKUP(($F$16-$F$15)-1,U$99:Y138,5,FALSE)))*EXP(-(LN(2)/$D$65+0.04)*(VLOOKUP(($F$16-$F$15)*2-1,U$99:Y138,4,FALSE)))*EXP(-(LN(2)/$D$65+0.1)*(VLOOKUP(($F$16-$F$15)*2-1,U$99:Y138,5,FALSE)))*EXP(-(LN(2)/$D$65+0.04)*X138)*EXP(-(LN(2)/$D$65+0.1)*Y138),"-"))),"-")</f>
        <v>-</v>
      </c>
      <c r="AB139" s="271" t="str">
        <f>IFERROR(IF(V139=1,AB$100*EXP(-(LN(2)/$D$65+0.04)*X139)*EXP(-(LN(2)/$D$65+0.1)*Y139),IF(V139=2,AB$100*EXP(-(LN(2)/$D$65+0.04)*(VLOOKUP(($F$16-$F$15)-1,U$100:Y139,4,FALSE)))*EXP(-(LN(2)/$D$65+0.1)*(VLOOKUP(($F$16-$F$15)-1,U$100:Y139,5,FALSE)))*EXP(-(LN(2)/$D$65+0.04)*X139)*EXP(-(LN(2)/$D$65+0.1)*Y139),IF(V139=3,AB$100*EXP(-(LN(2)/$D$65+0.04)*(VLOOKUP(($F$16-$F$15)-1,U$100:Y139,4,FALSE)))*EXP(-(LN(2)/$D$65+0.1)*(VLOOKUP(($F$16-$F$15)-1,U$100:Y139,5,FALSE)))*EXP(-(LN(2)/$D$65+0.04)*(VLOOKUP(($F$16-$F$15)*2-1,U$100:Y139,4,FALSE)))*EXP(-(LN(2)/$D$65+0.1)*(VLOOKUP(($F$16-$F$15)*2-1,U$100:Y139,5,FALSE)))*EXP(-(LN(2)/$D$65+0.04)*X139)*EXP(-(LN(2)/$D$65+0.1)*Y139),"-"))),"-")</f>
        <v>-</v>
      </c>
      <c r="AC139" s="224">
        <f t="shared" si="45"/>
        <v>39</v>
      </c>
      <c r="AD139" s="223" t="str">
        <f t="shared" si="18"/>
        <v>-</v>
      </c>
      <c r="AE139" s="224" t="str">
        <f t="shared" si="46"/>
        <v>-</v>
      </c>
      <c r="AF139" s="224" t="str">
        <f t="shared" si="19"/>
        <v>-</v>
      </c>
      <c r="AG139" s="224" t="str">
        <f t="shared" si="20"/>
        <v>-</v>
      </c>
      <c r="AH139" s="272">
        <f t="shared" si="47"/>
        <v>0.1</v>
      </c>
      <c r="AI139" s="271" t="str">
        <f>IFERROR(IF(AD138=1,AI$100*EXP(-(LN(2)/$D$65+0.04)*AF138)*EXP(-(LN(2)/$D$65+0.1)*AG138),IF(AD138=2,AI$100*EXP(-(LN(2)/$D$65+0.04)*(VLOOKUP(($F$16-$F$15)-1,AC$99:AG138,4,FALSE)))*EXP(-(LN(2)/$D$65+0.1)*(VLOOKUP(($F$16-$F$15)-1,AC$99:AG138,5,FALSE)))*EXP(-(LN(2)/$D$65+0.04)*AF138)*EXP(-(LN(2)/$D$65+0.1)*AG138),IF(AD138=3,AI$100*EXP(-(LN(2)/$D$65+0.04)*(VLOOKUP(($F$16-$F$15)-1,AC$99:AG138,4,FALSE)))*EXP(-(LN(2)/$D$65+0.1)*(VLOOKUP(($F$16-$F$15)-1,AC$99:AG138,5,FALSE)))*EXP(-(LN(2)/$D$65+0.04)*(VLOOKUP(($F$16-$F$15)*2-1,AC$99:AG138,4,FALSE)))*EXP(-(LN(2)/$D$65+0.1)*(VLOOKUP(($F$16-$F$15)*2-1,AC$99:AG138,5,FALSE)))*EXP(-(LN(2)/$D$65+0.04)*AF138)*EXP(-(LN(2)/$D$65+0.1)*AG138),"-"))),"-")</f>
        <v>-</v>
      </c>
      <c r="AJ139" s="271" t="str">
        <f>IFERROR(IF(AD139=1,AJ$100*EXP(-(LN(2)/$D$65+0.04)*AF139)*EXP(-(LN(2)/$D$65+0.1)*AG139),IF(AD139=2,AJ$100*EXP(-(LN(2)/$D$65+0.04)*(VLOOKUP(($F$16-$F$15)-1,AC$100:AG139,4,FALSE)))*EXP(-(LN(2)/$D$65+0.1)*(VLOOKUP(($F$16-$F$15)-1,AC$100:AG139,5,FALSE)))*EXP(-(LN(2)/$D$65+0.04)*AF139)*EXP(-(LN(2)/$D$65+0.1)*AG139),IF(AD139=3,AJ$100*EXP(-(LN(2)/$D$65+0.04)*(VLOOKUP(($F$16-$F$15)-1,AC$100:AG139,4,FALSE)))*EXP(-(LN(2)/$D$65+0.1)*(VLOOKUP(($F$16-$F$15)-1,AC$100:AG139,5,FALSE)))*EXP(-(LN(2)/$D$65+0.04)*(VLOOKUP(($F$16-$F$15)*2-1,AC$100:AG139,4,FALSE)))*EXP(-(LN(2)/$D$65+0.1)*(VLOOKUP(($F$16-$F$15)*2-1,AC$100:AG139,5,FALSE)))*EXP(-(LN(2)/$D$65+0.04)*AF139)*EXP(-(LN(2)/$D$65+0.1)*AG139),"-"))),"-")</f>
        <v>-</v>
      </c>
      <c r="AK139" s="227">
        <f t="shared" si="49"/>
        <v>39</v>
      </c>
      <c r="AL139" s="226" t="str">
        <f t="shared" si="22"/>
        <v>-</v>
      </c>
      <c r="AM139" s="227" t="str">
        <f t="shared" si="50"/>
        <v>-</v>
      </c>
      <c r="AN139" s="227" t="str">
        <f t="shared" si="51"/>
        <v>-</v>
      </c>
      <c r="AO139" s="227" t="str">
        <f t="shared" si="23"/>
        <v>-</v>
      </c>
      <c r="AP139" s="273">
        <f t="shared" si="52"/>
        <v>0.1</v>
      </c>
      <c r="AQ139" s="271" t="str">
        <f>IFERROR(IF(AL138=1,AQ$100*EXP(-(LN(2)/$D$65+0.04)*AN138)*EXP(-(LN(2)/$D$65+0.1)*AO138),IF(AL138=2,AQ$100*EXP(-(LN(2)/$D$65+0.04)*(VLOOKUP(($F$16-$F$15)-1,AK$99:AO138,4,FALSE)))*EXP(-(LN(2)/$D$65+0.1)*(VLOOKUP(($F$16-$F$15)-1,AK$99:AO138,5,FALSE)))*EXP(-(LN(2)/$D$65+0.04)*AN138)*EXP(-(LN(2)/$D$65+0.1)*AO138),IF(AL138=3,AQ$100*EXP(-(LN(2)/$D$65+0.04)*(VLOOKUP(($F$16-$F$15)-1,AK$99:AO138,4,FALSE)))*EXP(-(LN(2)/$D$65+0.1)*(VLOOKUP(($F$16-$F$15)-1,AK$99:AO138,5,FALSE)))*EXP(-(LN(2)/$D$65+0.04)*(VLOOKUP(($F$16-$F$15)*2-1,AK$99:AO138,4,FALSE)))*EXP(-(LN(2)/$D$65+0.1)*(VLOOKUP(($F$16-$F$15)*2-1,AK$99:AO138,5,FALSE)))*EXP(-(LN(2)/$D$65+0.04)*AN138)*EXP(-(LN(2)/$D$65+0.1)*AO138),"-"))),"-")</f>
        <v>-</v>
      </c>
      <c r="AR139" s="271" t="str">
        <f>IFERROR(IF(AL139=1,AR$100*EXP(-(LN(2)/$D$65+0.04)*AN139)*EXP(-(LN(2)/$D$65+0.1)*AO139),IF(AL139=2,AR$100*EXP(-(LN(2)/$D$65+0.04)*(VLOOKUP(($F$16-$F$15)-1,AK$100:AO139,4,FALSE)))*EXP(-(LN(2)/$D$65+0.1)*(VLOOKUP(($F$16-$F$15)-1,AK$100:AO139,5,FALSE)))*EXP(-(LN(2)/$D$65+0.04)*AN139)*EXP(-(LN(2)/$D$65+0.1)*AO139),IF(AL139=3,AR$100*EXP(-(LN(2)/$D$65+0.04)*(VLOOKUP(($F$16-$F$15)-1,AK$100:AO139,4,FALSE)))*EXP(-(LN(2)/$D$65+0.1)*(VLOOKUP(($F$16-$F$15)-1,AK$100:AO139,5,FALSE)))*EXP(-(LN(2)/$D$65+0.04)*(VLOOKUP(($F$16-$F$15)*2-1,AK$100:AO139,4,FALSE)))*EXP(-(LN(2)/$D$65+0.1)*(VLOOKUP(($F$16-$F$15)*2-1,AK$100:AO139,5,FALSE)))*EXP(-(LN(2)/$D$65+0.04)*AN139)*EXP(-(LN(2)/$D$65+0.1)*AO139),"-"))),"-")</f>
        <v>-</v>
      </c>
      <c r="AS139" s="274">
        <f t="shared" si="24"/>
        <v>0</v>
      </c>
      <c r="AT139" s="274">
        <f t="shared" si="25"/>
        <v>0</v>
      </c>
      <c r="AU139" s="274">
        <f t="shared" si="26"/>
        <v>0</v>
      </c>
      <c r="AV139" s="190" t="str">
        <f>IF($B139&lt;$F$22,SUM($T$100:$T139),"")</f>
        <v/>
      </c>
      <c r="AW139" s="190" t="str">
        <f t="shared" si="83"/>
        <v>-</v>
      </c>
      <c r="AX139" s="190" t="str">
        <f t="shared" si="56"/>
        <v/>
      </c>
      <c r="AY139"/>
      <c r="AZ139" s="190" t="str">
        <f ca="1">IF(ISNUMBER(OFFSET(AV139,-$F$21,0)),SUM(OFFSET($T$100,$F$21,0):$T139),"")</f>
        <v/>
      </c>
      <c r="BA139" s="190" t="str">
        <f t="shared" ca="1" si="84"/>
        <v/>
      </c>
      <c r="BB139" s="190" t="str">
        <f t="shared" ca="1" si="70"/>
        <v/>
      </c>
      <c r="BC139" s="190"/>
      <c r="BD139" s="190" t="str">
        <f ca="1">IFERROR(IF(OR(ISNUMBER(I),ISNUMBER($F$14)),IF(AND($B139&gt;=($F$16-$F$15),$B139&lt;$F$22+($F$16-$F$15)),SUM(OFFSET($T$100,($F$16-$F$15),0):$T139),""),""),"")</f>
        <v/>
      </c>
      <c r="BE139" s="190" t="str">
        <f t="shared" ca="1" si="58"/>
        <v/>
      </c>
      <c r="BF139" s="190" t="str">
        <f t="shared" ca="1" si="59"/>
        <v/>
      </c>
      <c r="BG139"/>
      <c r="BH139" s="190" t="str">
        <f ca="1">IF(ISNUMBER(OFFSET(BD139,-$F$21,0)),SUM(OFFSET($T$100,($F$16-$F$15+$F$21),0):$T139),"")</f>
        <v/>
      </c>
      <c r="BI139" s="190" t="str">
        <f t="shared" ca="1" si="85"/>
        <v/>
      </c>
      <c r="BJ139" s="190" t="str">
        <f t="shared" ca="1" si="60"/>
        <v/>
      </c>
      <c r="BK139" s="190"/>
      <c r="BL139" s="190" t="str">
        <f ca="1">IFERROR(IF(OR(ISNUMBER(I),ISNUMBER($F$14)),IF(AND($B139&gt;=($F$17-$F$15),$B139&lt;$F$22+($F$17-$F$15)),SUM(OFFSET($T$100,($F$17-$F$15),0):$T139),""),""),"")</f>
        <v/>
      </c>
      <c r="BM139" s="190" t="str">
        <f t="shared" ca="1" si="86"/>
        <v/>
      </c>
      <c r="BN139" s="190" t="str">
        <f t="shared" ca="1" si="61"/>
        <v/>
      </c>
      <c r="BO139"/>
      <c r="BP139" s="190" t="str">
        <f ca="1">IF(ISNUMBER(OFFSET(BL139,-$F$21,0)),SUM(OFFSET($T$100,($F$17-$F$15+$F$21),0):$T139),"")</f>
        <v/>
      </c>
      <c r="BQ139" s="190" t="str">
        <f t="shared" ca="1" si="87"/>
        <v/>
      </c>
      <c r="BR139" s="190" t="str">
        <f t="shared" ca="1" si="63"/>
        <v/>
      </c>
      <c r="BS139" s="190"/>
      <c r="BT139"/>
      <c r="BU139"/>
      <c r="BV139"/>
      <c r="BY139" s="99"/>
      <c r="BZ139" s="99"/>
      <c r="CA139" s="280" t="str">
        <f t="shared" si="88"/>
        <v/>
      </c>
      <c r="CB139" s="71" t="str">
        <f t="shared" si="31"/>
        <v>-</v>
      </c>
      <c r="CC139" s="33"/>
      <c r="CD139" s="261" t="str">
        <f t="shared" si="33"/>
        <v/>
      </c>
      <c r="CE139" s="280" t="str">
        <f t="shared" si="89"/>
        <v/>
      </c>
      <c r="CF139" s="71" t="str">
        <f t="shared" ca="1" si="90"/>
        <v/>
      </c>
      <c r="CG139" s="33" t="str">
        <f t="shared" si="36"/>
        <v/>
      </c>
      <c r="CH139" s="261" t="str">
        <f t="shared" ca="1" si="37"/>
        <v/>
      </c>
      <c r="CI139" s="202"/>
      <c r="CJ139" s="99"/>
      <c r="CK139" s="99"/>
      <c r="CL139" s="99"/>
      <c r="CM139" s="99"/>
      <c r="CN139" s="99"/>
      <c r="CO139" s="99"/>
    </row>
    <row r="140" spans="2:93" ht="13.5" customHeight="1" x14ac:dyDescent="0.2">
      <c r="B140" s="262">
        <v>40</v>
      </c>
      <c r="C140" s="237" t="str">
        <f t="shared" si="1"/>
        <v/>
      </c>
      <c r="D140" s="237" t="str">
        <f t="shared" si="66"/>
        <v/>
      </c>
      <c r="E140" s="290" t="str">
        <f t="shared" si="38"/>
        <v/>
      </c>
      <c r="F140" s="264" t="str">
        <f t="shared" si="39"/>
        <v/>
      </c>
      <c r="G140" s="291" t="str">
        <f t="shared" si="40"/>
        <v/>
      </c>
      <c r="H140" s="240" t="str">
        <f t="shared" si="71"/>
        <v/>
      </c>
      <c r="I140" s="265" t="str">
        <f t="shared" si="72"/>
        <v/>
      </c>
      <c r="J140" s="265" t="str">
        <f t="shared" si="73"/>
        <v/>
      </c>
      <c r="K140" s="240" t="str">
        <f t="shared" si="74"/>
        <v/>
      </c>
      <c r="L140" s="265" t="str">
        <f t="shared" si="75"/>
        <v/>
      </c>
      <c r="M140" s="265" t="str">
        <f t="shared" si="76"/>
        <v/>
      </c>
      <c r="N140" s="240" t="str">
        <f t="shared" si="77"/>
        <v>-</v>
      </c>
      <c r="O140" s="265" t="str">
        <f t="shared" si="78"/>
        <v>-</v>
      </c>
      <c r="P140" s="265" t="str">
        <f t="shared" si="79"/>
        <v>-</v>
      </c>
      <c r="Q140" s="266" t="str">
        <f t="shared" si="80"/>
        <v>-</v>
      </c>
      <c r="R140" s="267" t="str">
        <f t="shared" si="81"/>
        <v>-</v>
      </c>
      <c r="S140" s="268" t="str">
        <f t="shared" si="82"/>
        <v>-</v>
      </c>
      <c r="T140" s="269" t="str">
        <f t="shared" si="13"/>
        <v/>
      </c>
      <c r="U140" s="221">
        <f t="shared" si="14"/>
        <v>40</v>
      </c>
      <c r="V140" s="220" t="str">
        <f t="shared" si="42"/>
        <v>-</v>
      </c>
      <c r="W140" s="221" t="str">
        <f t="shared" si="43"/>
        <v>-</v>
      </c>
      <c r="X140" s="221" t="str">
        <f t="shared" si="15"/>
        <v>-</v>
      </c>
      <c r="Y140" s="221" t="str">
        <f t="shared" si="16"/>
        <v>-</v>
      </c>
      <c r="Z140" s="270">
        <f t="shared" si="44"/>
        <v>0.1</v>
      </c>
      <c r="AA140" s="271" t="str">
        <f>IFERROR(IF(V139=1,AA$100*EXP(-(LN(2)/$D$65+0.04)*X139)*EXP(-(LN(2)/$D$65+0.1)*Y139),IF(V139=2,AA$100*EXP(-(LN(2)/$D$65+0.04)*(VLOOKUP(($F$16-$F$15)-1,U$99:Y139,4,FALSE)))*EXP(-(LN(2)/$D$65+0.1)*(VLOOKUP(($F$16-$F$15)-1,U$99:Y139,5,FALSE)))*EXP(-(LN(2)/$D$65+0.04)*X139)*EXP(-(LN(2)/$D$65+0.1)*Y139),IF(V139=3,AA$100*EXP(-(LN(2)/$D$65+0.04)*(VLOOKUP(($F$16-$F$15)-1,U$99:Y139,4,FALSE)))*EXP(-(LN(2)/$D$65+0.1)*(VLOOKUP(($F$16-$F$15)-1,U$99:Y139,5,FALSE)))*EXP(-(LN(2)/$D$65+0.04)*(VLOOKUP(($F$16-$F$15)*2-1,U$99:Y139,4,FALSE)))*EXP(-(LN(2)/$D$65+0.1)*(VLOOKUP(($F$16-$F$15)*2-1,U$99:Y139,5,FALSE)))*EXP(-(LN(2)/$D$65+0.04)*X139)*EXP(-(LN(2)/$D$65+0.1)*Y139),"-"))),"-")</f>
        <v>-</v>
      </c>
      <c r="AB140" s="271" t="str">
        <f>IFERROR(IF(V140=1,AB$100*EXP(-(LN(2)/$D$65+0.04)*X140)*EXP(-(LN(2)/$D$65+0.1)*Y140),IF(V140=2,AB$100*EXP(-(LN(2)/$D$65+0.04)*(VLOOKUP(($F$16-$F$15)-1,U$100:Y140,4,FALSE)))*EXP(-(LN(2)/$D$65+0.1)*(VLOOKUP(($F$16-$F$15)-1,U$100:Y140,5,FALSE)))*EXP(-(LN(2)/$D$65+0.04)*X140)*EXP(-(LN(2)/$D$65+0.1)*Y140),IF(V140=3,AB$100*EXP(-(LN(2)/$D$65+0.04)*(VLOOKUP(($F$16-$F$15)-1,U$100:Y140,4,FALSE)))*EXP(-(LN(2)/$D$65+0.1)*(VLOOKUP(($F$16-$F$15)-1,U$100:Y140,5,FALSE)))*EXP(-(LN(2)/$D$65+0.04)*(VLOOKUP(($F$16-$F$15)*2-1,U$100:Y140,4,FALSE)))*EXP(-(LN(2)/$D$65+0.1)*(VLOOKUP(($F$16-$F$15)*2-1,U$100:Y140,5,FALSE)))*EXP(-(LN(2)/$D$65+0.04)*X140)*EXP(-(LN(2)/$D$65+0.1)*Y140),"-"))),"-")</f>
        <v>-</v>
      </c>
      <c r="AC140" s="224">
        <f t="shared" si="45"/>
        <v>40</v>
      </c>
      <c r="AD140" s="223" t="str">
        <f t="shared" si="18"/>
        <v>-</v>
      </c>
      <c r="AE140" s="224" t="str">
        <f t="shared" si="46"/>
        <v>-</v>
      </c>
      <c r="AF140" s="224" t="str">
        <f t="shared" si="19"/>
        <v>-</v>
      </c>
      <c r="AG140" s="224" t="str">
        <f t="shared" si="20"/>
        <v>-</v>
      </c>
      <c r="AH140" s="272">
        <f t="shared" si="47"/>
        <v>0.1</v>
      </c>
      <c r="AI140" s="271" t="str">
        <f>IFERROR(IF(AD139=1,AI$100*EXP(-(LN(2)/$D$65+0.04)*AF139)*EXP(-(LN(2)/$D$65+0.1)*AG139),IF(AD139=2,AI$100*EXP(-(LN(2)/$D$65+0.04)*(VLOOKUP(($F$16-$F$15)-1,AC$99:AG139,4,FALSE)))*EXP(-(LN(2)/$D$65+0.1)*(VLOOKUP(($F$16-$F$15)-1,AC$99:AG139,5,FALSE)))*EXP(-(LN(2)/$D$65+0.04)*AF139)*EXP(-(LN(2)/$D$65+0.1)*AG139),IF(AD139=3,AI$100*EXP(-(LN(2)/$D$65+0.04)*(VLOOKUP(($F$16-$F$15)-1,AC$99:AG139,4,FALSE)))*EXP(-(LN(2)/$D$65+0.1)*(VLOOKUP(($F$16-$F$15)-1,AC$99:AG139,5,FALSE)))*EXP(-(LN(2)/$D$65+0.04)*(VLOOKUP(($F$16-$F$15)*2-1,AC$99:AG139,4,FALSE)))*EXP(-(LN(2)/$D$65+0.1)*(VLOOKUP(($F$16-$F$15)*2-1,AC$99:AG139,5,FALSE)))*EXP(-(LN(2)/$D$65+0.04)*AF139)*EXP(-(LN(2)/$D$65+0.1)*AG139),"-"))),"-")</f>
        <v>-</v>
      </c>
      <c r="AJ140" s="271" t="str">
        <f>IFERROR(IF(AD140=1,AJ$100*EXP(-(LN(2)/$D$65+0.04)*AF140)*EXP(-(LN(2)/$D$65+0.1)*AG140),IF(AD140=2,AJ$100*EXP(-(LN(2)/$D$65+0.04)*(VLOOKUP(($F$16-$F$15)-1,AC$100:AG140,4,FALSE)))*EXP(-(LN(2)/$D$65+0.1)*(VLOOKUP(($F$16-$F$15)-1,AC$100:AG140,5,FALSE)))*EXP(-(LN(2)/$D$65+0.04)*AF140)*EXP(-(LN(2)/$D$65+0.1)*AG140),IF(AD140=3,AJ$100*EXP(-(LN(2)/$D$65+0.04)*(VLOOKUP(($F$16-$F$15)-1,AC$100:AG140,4,FALSE)))*EXP(-(LN(2)/$D$65+0.1)*(VLOOKUP(($F$16-$F$15)-1,AC$100:AG140,5,FALSE)))*EXP(-(LN(2)/$D$65+0.04)*(VLOOKUP(($F$16-$F$15)*2-1,AC$100:AG140,4,FALSE)))*EXP(-(LN(2)/$D$65+0.1)*(VLOOKUP(($F$16-$F$15)*2-1,AC$100:AG140,5,FALSE)))*EXP(-(LN(2)/$D$65+0.04)*AF140)*EXP(-(LN(2)/$D$65+0.1)*AG140),"-"))),"-")</f>
        <v>-</v>
      </c>
      <c r="AK140" s="227">
        <f t="shared" si="49"/>
        <v>40</v>
      </c>
      <c r="AL140" s="226" t="str">
        <f t="shared" si="22"/>
        <v>-</v>
      </c>
      <c r="AM140" s="227" t="str">
        <f t="shared" si="50"/>
        <v>-</v>
      </c>
      <c r="AN140" s="227" t="str">
        <f t="shared" si="51"/>
        <v>-</v>
      </c>
      <c r="AO140" s="227" t="str">
        <f t="shared" si="23"/>
        <v>-</v>
      </c>
      <c r="AP140" s="273">
        <f t="shared" si="52"/>
        <v>0.1</v>
      </c>
      <c r="AQ140" s="271" t="str">
        <f>IFERROR(IF(AL139=1,AQ$100*EXP(-(LN(2)/$D$65+0.04)*AN139)*EXP(-(LN(2)/$D$65+0.1)*AO139),IF(AL139=2,AQ$100*EXP(-(LN(2)/$D$65+0.04)*(VLOOKUP(($F$16-$F$15)-1,AK$99:AO139,4,FALSE)))*EXP(-(LN(2)/$D$65+0.1)*(VLOOKUP(($F$16-$F$15)-1,AK$99:AO139,5,FALSE)))*EXP(-(LN(2)/$D$65+0.04)*AN139)*EXP(-(LN(2)/$D$65+0.1)*AO139),IF(AL139=3,AQ$100*EXP(-(LN(2)/$D$65+0.04)*(VLOOKUP(($F$16-$F$15)-1,AK$99:AO139,4,FALSE)))*EXP(-(LN(2)/$D$65+0.1)*(VLOOKUP(($F$16-$F$15)-1,AK$99:AO139,5,FALSE)))*EXP(-(LN(2)/$D$65+0.04)*(VLOOKUP(($F$16-$F$15)*2-1,AK$99:AO139,4,FALSE)))*EXP(-(LN(2)/$D$65+0.1)*(VLOOKUP(($F$16-$F$15)*2-1,AK$99:AO139,5,FALSE)))*EXP(-(LN(2)/$D$65+0.04)*AN139)*EXP(-(LN(2)/$D$65+0.1)*AO139),"-"))),"-")</f>
        <v>-</v>
      </c>
      <c r="AR140" s="271" t="str">
        <f>IFERROR(IF(AL140=1,AR$100*EXP(-(LN(2)/$D$65+0.04)*AN140)*EXP(-(LN(2)/$D$65+0.1)*AO140),IF(AL140=2,AR$100*EXP(-(LN(2)/$D$65+0.04)*(VLOOKUP(($F$16-$F$15)-1,AK$100:AO140,4,FALSE)))*EXP(-(LN(2)/$D$65+0.1)*(VLOOKUP(($F$16-$F$15)-1,AK$100:AO140,5,FALSE)))*EXP(-(LN(2)/$D$65+0.04)*AN140)*EXP(-(LN(2)/$D$65+0.1)*AO140),IF(AL140=3,AR$100*EXP(-(LN(2)/$D$65+0.04)*(VLOOKUP(($F$16-$F$15)-1,AK$100:AO140,4,FALSE)))*EXP(-(LN(2)/$D$65+0.1)*(VLOOKUP(($F$16-$F$15)-1,AK$100:AO140,5,FALSE)))*EXP(-(LN(2)/$D$65+0.04)*(VLOOKUP(($F$16-$F$15)*2-1,AK$100:AO140,4,FALSE)))*EXP(-(LN(2)/$D$65+0.1)*(VLOOKUP(($F$16-$F$15)*2-1,AK$100:AO140,5,FALSE)))*EXP(-(LN(2)/$D$65+0.04)*AN140)*EXP(-(LN(2)/$D$65+0.1)*AO140),"-"))),"-")</f>
        <v>-</v>
      </c>
      <c r="AS140" s="274">
        <f t="shared" si="24"/>
        <v>0</v>
      </c>
      <c r="AT140" s="274">
        <f t="shared" si="25"/>
        <v>0</v>
      </c>
      <c r="AU140" s="274">
        <f t="shared" si="26"/>
        <v>0</v>
      </c>
      <c r="AV140" s="190" t="str">
        <f>IF($B140&lt;$F$22,SUM($T$100:$T140),"")</f>
        <v/>
      </c>
      <c r="AW140" s="190" t="str">
        <f t="shared" si="83"/>
        <v>-</v>
      </c>
      <c r="AX140" s="190" t="str">
        <f t="shared" si="56"/>
        <v/>
      </c>
      <c r="AY140"/>
      <c r="AZ140" s="190" t="str">
        <f ca="1">IF(ISNUMBER(OFFSET(AV140,-$F$21,0)),SUM(OFFSET($T$100,$F$21,0):$T140),"")</f>
        <v/>
      </c>
      <c r="BA140" s="190" t="str">
        <f t="shared" ca="1" si="84"/>
        <v/>
      </c>
      <c r="BB140" s="190" t="str">
        <f t="shared" ca="1" si="70"/>
        <v/>
      </c>
      <c r="BC140" s="190"/>
      <c r="BD140" s="190" t="str">
        <f ca="1">IFERROR(IF(OR(ISNUMBER(I),ISNUMBER($F$14)),IF(AND($B140&gt;=($F$16-$F$15),$B140&lt;$F$22+($F$16-$F$15)),SUM(OFFSET($T$100,($F$16-$F$15),0):$T140),""),""),"")</f>
        <v/>
      </c>
      <c r="BE140" s="190" t="str">
        <f t="shared" ca="1" si="58"/>
        <v/>
      </c>
      <c r="BF140" s="190" t="str">
        <f t="shared" ca="1" si="59"/>
        <v/>
      </c>
      <c r="BG140"/>
      <c r="BH140" s="190" t="str">
        <f ca="1">IF(ISNUMBER(OFFSET(BD140,-$F$21,0)),SUM(OFFSET($T$100,($F$16-$F$15+$F$21),0):$T140),"")</f>
        <v/>
      </c>
      <c r="BI140" s="190" t="str">
        <f t="shared" ca="1" si="85"/>
        <v/>
      </c>
      <c r="BJ140" s="190" t="str">
        <f t="shared" ca="1" si="60"/>
        <v/>
      </c>
      <c r="BK140" s="190"/>
      <c r="BL140" s="190" t="str">
        <f ca="1">IFERROR(IF(OR(ISNUMBER(I),ISNUMBER($F$14)),IF(AND($B140&gt;=($F$17-$F$15),$B140&lt;$F$22+($F$17-$F$15)),SUM(OFFSET($T$100,($F$17-$F$15),0):$T140),""),""),"")</f>
        <v/>
      </c>
      <c r="BM140" s="190" t="str">
        <f t="shared" ca="1" si="86"/>
        <v/>
      </c>
      <c r="BN140" s="190" t="str">
        <f t="shared" ca="1" si="61"/>
        <v/>
      </c>
      <c r="BO140"/>
      <c r="BP140" s="190" t="str">
        <f ca="1">IF(ISNUMBER(OFFSET(BL140,-$F$21,0)),SUM(OFFSET($T$100,($F$17-$F$15+$F$21),0):$T140),"")</f>
        <v/>
      </c>
      <c r="BQ140" s="190" t="str">
        <f t="shared" ca="1" si="87"/>
        <v/>
      </c>
      <c r="BR140" s="190" t="str">
        <f t="shared" ca="1" si="63"/>
        <v/>
      </c>
      <c r="BS140" s="190"/>
      <c r="BT140"/>
      <c r="BU140"/>
      <c r="BV140"/>
      <c r="BY140" s="99"/>
      <c r="BZ140" s="99"/>
      <c r="CA140" s="280" t="str">
        <f t="shared" si="88"/>
        <v/>
      </c>
      <c r="CB140" s="71" t="str">
        <f t="shared" si="31"/>
        <v>-</v>
      </c>
      <c r="CC140" s="33"/>
      <c r="CD140" s="261" t="str">
        <f t="shared" si="33"/>
        <v/>
      </c>
      <c r="CE140" s="280" t="str">
        <f t="shared" si="89"/>
        <v/>
      </c>
      <c r="CF140" s="71" t="str">
        <f t="shared" ca="1" si="90"/>
        <v/>
      </c>
      <c r="CG140" s="33" t="str">
        <f t="shared" si="36"/>
        <v/>
      </c>
      <c r="CH140" s="261" t="str">
        <f t="shared" ca="1" si="37"/>
        <v/>
      </c>
      <c r="CI140" s="202"/>
      <c r="CJ140" s="99"/>
      <c r="CK140" s="99"/>
      <c r="CL140" s="99"/>
      <c r="CM140" s="99"/>
      <c r="CN140" s="99"/>
      <c r="CO140" s="99"/>
    </row>
    <row r="141" spans="2:93" ht="13.5" customHeight="1" x14ac:dyDescent="0.2">
      <c r="B141" s="262">
        <v>41</v>
      </c>
      <c r="C141" s="237" t="str">
        <f t="shared" si="1"/>
        <v/>
      </c>
      <c r="D141" s="237" t="str">
        <f t="shared" si="66"/>
        <v/>
      </c>
      <c r="E141" s="290" t="str">
        <f t="shared" si="38"/>
        <v/>
      </c>
      <c r="F141" s="264" t="str">
        <f t="shared" si="39"/>
        <v/>
      </c>
      <c r="G141" s="291" t="str">
        <f t="shared" si="40"/>
        <v/>
      </c>
      <c r="H141" s="240" t="str">
        <f t="shared" si="71"/>
        <v/>
      </c>
      <c r="I141" s="265" t="str">
        <f t="shared" si="72"/>
        <v/>
      </c>
      <c r="J141" s="265" t="str">
        <f t="shared" si="73"/>
        <v/>
      </c>
      <c r="K141" s="240" t="str">
        <f t="shared" si="74"/>
        <v/>
      </c>
      <c r="L141" s="265" t="str">
        <f t="shared" si="75"/>
        <v/>
      </c>
      <c r="M141" s="265" t="str">
        <f t="shared" si="76"/>
        <v/>
      </c>
      <c r="N141" s="240" t="str">
        <f t="shared" si="77"/>
        <v>-</v>
      </c>
      <c r="O141" s="265" t="str">
        <f t="shared" si="78"/>
        <v>-</v>
      </c>
      <c r="P141" s="265" t="str">
        <f t="shared" si="79"/>
        <v>-</v>
      </c>
      <c r="Q141" s="266" t="str">
        <f t="shared" si="80"/>
        <v>-</v>
      </c>
      <c r="R141" s="267" t="str">
        <f t="shared" si="81"/>
        <v>-</v>
      </c>
      <c r="S141" s="268" t="str">
        <f t="shared" si="82"/>
        <v>-</v>
      </c>
      <c r="T141" s="269" t="str">
        <f t="shared" si="13"/>
        <v/>
      </c>
      <c r="U141" s="221">
        <f t="shared" si="14"/>
        <v>41</v>
      </c>
      <c r="V141" s="220" t="str">
        <f t="shared" si="42"/>
        <v>-</v>
      </c>
      <c r="W141" s="221" t="str">
        <f t="shared" si="43"/>
        <v>-</v>
      </c>
      <c r="X141" s="221" t="str">
        <f t="shared" si="15"/>
        <v>-</v>
      </c>
      <c r="Y141" s="221" t="str">
        <f t="shared" si="16"/>
        <v>-</v>
      </c>
      <c r="Z141" s="270">
        <f t="shared" si="44"/>
        <v>0.1</v>
      </c>
      <c r="AA141" s="271" t="str">
        <f>IFERROR(IF(V140=1,AA$100*EXP(-(LN(2)/$D$65+0.04)*X140)*EXP(-(LN(2)/$D$65+0.1)*Y140),IF(V140=2,AA$100*EXP(-(LN(2)/$D$65+0.04)*(VLOOKUP(($F$16-$F$15)-1,U$99:Y140,4,FALSE)))*EXP(-(LN(2)/$D$65+0.1)*(VLOOKUP(($F$16-$F$15)-1,U$99:Y140,5,FALSE)))*EXP(-(LN(2)/$D$65+0.04)*X140)*EXP(-(LN(2)/$D$65+0.1)*Y140),IF(V140=3,AA$100*EXP(-(LN(2)/$D$65+0.04)*(VLOOKUP(($F$16-$F$15)-1,U$99:Y140,4,FALSE)))*EXP(-(LN(2)/$D$65+0.1)*(VLOOKUP(($F$16-$F$15)-1,U$99:Y140,5,FALSE)))*EXP(-(LN(2)/$D$65+0.04)*(VLOOKUP(($F$16-$F$15)*2-1,U$99:Y140,4,FALSE)))*EXP(-(LN(2)/$D$65+0.1)*(VLOOKUP(($F$16-$F$15)*2-1,U$99:Y140,5,FALSE)))*EXP(-(LN(2)/$D$65+0.04)*X140)*EXP(-(LN(2)/$D$65+0.1)*Y140),"-"))),"-")</f>
        <v>-</v>
      </c>
      <c r="AB141" s="271" t="str">
        <f>IFERROR(IF(V141=1,AB$100*EXP(-(LN(2)/$D$65+0.04)*X141)*EXP(-(LN(2)/$D$65+0.1)*Y141),IF(V141=2,AB$100*EXP(-(LN(2)/$D$65+0.04)*(VLOOKUP(($F$16-$F$15)-1,U$100:Y141,4,FALSE)))*EXP(-(LN(2)/$D$65+0.1)*(VLOOKUP(($F$16-$F$15)-1,U$100:Y141,5,FALSE)))*EXP(-(LN(2)/$D$65+0.04)*X141)*EXP(-(LN(2)/$D$65+0.1)*Y141),IF(V141=3,AB$100*EXP(-(LN(2)/$D$65+0.04)*(VLOOKUP(($F$16-$F$15)-1,U$100:Y141,4,FALSE)))*EXP(-(LN(2)/$D$65+0.1)*(VLOOKUP(($F$16-$F$15)-1,U$100:Y141,5,FALSE)))*EXP(-(LN(2)/$D$65+0.04)*(VLOOKUP(($F$16-$F$15)*2-1,U$100:Y141,4,FALSE)))*EXP(-(LN(2)/$D$65+0.1)*(VLOOKUP(($F$16-$F$15)*2-1,U$100:Y141,5,FALSE)))*EXP(-(LN(2)/$D$65+0.04)*X141)*EXP(-(LN(2)/$D$65+0.1)*Y141),"-"))),"-")</f>
        <v>-</v>
      </c>
      <c r="AC141" s="224">
        <f t="shared" si="45"/>
        <v>41</v>
      </c>
      <c r="AD141" s="223" t="str">
        <f t="shared" si="18"/>
        <v>-</v>
      </c>
      <c r="AE141" s="224" t="str">
        <f t="shared" si="46"/>
        <v>-</v>
      </c>
      <c r="AF141" s="224" t="str">
        <f t="shared" si="19"/>
        <v>-</v>
      </c>
      <c r="AG141" s="224" t="str">
        <f t="shared" si="20"/>
        <v>-</v>
      </c>
      <c r="AH141" s="272">
        <f t="shared" si="47"/>
        <v>0.1</v>
      </c>
      <c r="AI141" s="271" t="str">
        <f>IFERROR(IF(AD140=1,AI$100*EXP(-(LN(2)/$D$65+0.04)*AF140)*EXP(-(LN(2)/$D$65+0.1)*AG140),IF(AD140=2,AI$100*EXP(-(LN(2)/$D$65+0.04)*(VLOOKUP(($F$16-$F$15)-1,AC$99:AG140,4,FALSE)))*EXP(-(LN(2)/$D$65+0.1)*(VLOOKUP(($F$16-$F$15)-1,AC$99:AG140,5,FALSE)))*EXP(-(LN(2)/$D$65+0.04)*AF140)*EXP(-(LN(2)/$D$65+0.1)*AG140),IF(AD140=3,AI$100*EXP(-(LN(2)/$D$65+0.04)*(VLOOKUP(($F$16-$F$15)-1,AC$99:AG140,4,FALSE)))*EXP(-(LN(2)/$D$65+0.1)*(VLOOKUP(($F$16-$F$15)-1,AC$99:AG140,5,FALSE)))*EXP(-(LN(2)/$D$65+0.04)*(VLOOKUP(($F$16-$F$15)*2-1,AC$99:AG140,4,FALSE)))*EXP(-(LN(2)/$D$65+0.1)*(VLOOKUP(($F$16-$F$15)*2-1,AC$99:AG140,5,FALSE)))*EXP(-(LN(2)/$D$65+0.04)*AF140)*EXP(-(LN(2)/$D$65+0.1)*AG140),"-"))),"-")</f>
        <v>-</v>
      </c>
      <c r="AJ141" s="271" t="str">
        <f>IFERROR(IF(AD141=1,AJ$100*EXP(-(LN(2)/$D$65+0.04)*AF141)*EXP(-(LN(2)/$D$65+0.1)*AG141),IF(AD141=2,AJ$100*EXP(-(LN(2)/$D$65+0.04)*(VLOOKUP(($F$16-$F$15)-1,AC$100:AG141,4,FALSE)))*EXP(-(LN(2)/$D$65+0.1)*(VLOOKUP(($F$16-$F$15)-1,AC$100:AG141,5,FALSE)))*EXP(-(LN(2)/$D$65+0.04)*AF141)*EXP(-(LN(2)/$D$65+0.1)*AG141),IF(AD141=3,AJ$100*EXP(-(LN(2)/$D$65+0.04)*(VLOOKUP(($F$16-$F$15)-1,AC$100:AG141,4,FALSE)))*EXP(-(LN(2)/$D$65+0.1)*(VLOOKUP(($F$16-$F$15)-1,AC$100:AG141,5,FALSE)))*EXP(-(LN(2)/$D$65+0.04)*(VLOOKUP(($F$16-$F$15)*2-1,AC$100:AG141,4,FALSE)))*EXP(-(LN(2)/$D$65+0.1)*(VLOOKUP(($F$16-$F$15)*2-1,AC$100:AG141,5,FALSE)))*EXP(-(LN(2)/$D$65+0.04)*AF141)*EXP(-(LN(2)/$D$65+0.1)*AG141),"-"))),"-")</f>
        <v>-</v>
      </c>
      <c r="AK141" s="227">
        <f t="shared" si="49"/>
        <v>41</v>
      </c>
      <c r="AL141" s="226" t="str">
        <f t="shared" si="22"/>
        <v>-</v>
      </c>
      <c r="AM141" s="227" t="str">
        <f t="shared" si="50"/>
        <v>-</v>
      </c>
      <c r="AN141" s="227" t="str">
        <f t="shared" si="51"/>
        <v>-</v>
      </c>
      <c r="AO141" s="227" t="str">
        <f t="shared" si="23"/>
        <v>-</v>
      </c>
      <c r="AP141" s="273">
        <f t="shared" si="52"/>
        <v>0.1</v>
      </c>
      <c r="AQ141" s="271" t="str">
        <f>IFERROR(IF(AL140=1,AQ$100*EXP(-(LN(2)/$D$65+0.04)*AN140)*EXP(-(LN(2)/$D$65+0.1)*AO140),IF(AL140=2,AQ$100*EXP(-(LN(2)/$D$65+0.04)*(VLOOKUP(($F$16-$F$15)-1,AK$99:AO140,4,FALSE)))*EXP(-(LN(2)/$D$65+0.1)*(VLOOKUP(($F$16-$F$15)-1,AK$99:AO140,5,FALSE)))*EXP(-(LN(2)/$D$65+0.04)*AN140)*EXP(-(LN(2)/$D$65+0.1)*AO140),IF(AL140=3,AQ$100*EXP(-(LN(2)/$D$65+0.04)*(VLOOKUP(($F$16-$F$15)-1,AK$99:AO140,4,FALSE)))*EXP(-(LN(2)/$D$65+0.1)*(VLOOKUP(($F$16-$F$15)-1,AK$99:AO140,5,FALSE)))*EXP(-(LN(2)/$D$65+0.04)*(VLOOKUP(($F$16-$F$15)*2-1,AK$99:AO140,4,FALSE)))*EXP(-(LN(2)/$D$65+0.1)*(VLOOKUP(($F$16-$F$15)*2-1,AK$99:AO140,5,FALSE)))*EXP(-(LN(2)/$D$65+0.04)*AN140)*EXP(-(LN(2)/$D$65+0.1)*AO140),"-"))),"-")</f>
        <v>-</v>
      </c>
      <c r="AR141" s="271" t="str">
        <f>IFERROR(IF(AL141=1,AR$100*EXP(-(LN(2)/$D$65+0.04)*AN141)*EXP(-(LN(2)/$D$65+0.1)*AO141),IF(AL141=2,AR$100*EXP(-(LN(2)/$D$65+0.04)*(VLOOKUP(($F$16-$F$15)-1,AK$100:AO141,4,FALSE)))*EXP(-(LN(2)/$D$65+0.1)*(VLOOKUP(($F$16-$F$15)-1,AK$100:AO141,5,FALSE)))*EXP(-(LN(2)/$D$65+0.04)*AN141)*EXP(-(LN(2)/$D$65+0.1)*AO141),IF(AL141=3,AR$100*EXP(-(LN(2)/$D$65+0.04)*(VLOOKUP(($F$16-$F$15)-1,AK$100:AO141,4,FALSE)))*EXP(-(LN(2)/$D$65+0.1)*(VLOOKUP(($F$16-$F$15)-1,AK$100:AO141,5,FALSE)))*EXP(-(LN(2)/$D$65+0.04)*(VLOOKUP(($F$16-$F$15)*2-1,AK$100:AO141,4,FALSE)))*EXP(-(LN(2)/$D$65+0.1)*(VLOOKUP(($F$16-$F$15)*2-1,AK$100:AO141,5,FALSE)))*EXP(-(LN(2)/$D$65+0.04)*AN141)*EXP(-(LN(2)/$D$65+0.1)*AO141),"-"))),"-")</f>
        <v>-</v>
      </c>
      <c r="AS141" s="274">
        <f t="shared" si="24"/>
        <v>0</v>
      </c>
      <c r="AT141" s="274">
        <f t="shared" si="25"/>
        <v>0</v>
      </c>
      <c r="AU141" s="274">
        <f t="shared" si="26"/>
        <v>0</v>
      </c>
      <c r="AV141" s="190" t="str">
        <f>IF($B141&lt;$F$22,SUM($T$100:$T141),"")</f>
        <v/>
      </c>
      <c r="AW141" s="190" t="str">
        <f t="shared" si="83"/>
        <v>-</v>
      </c>
      <c r="AX141" s="190" t="str">
        <f t="shared" si="56"/>
        <v/>
      </c>
      <c r="AY141"/>
      <c r="AZ141" s="190" t="str">
        <f ca="1">IF(ISNUMBER(OFFSET(AV141,-$F$21,0)),SUM(OFFSET($T$100,$F$21,0):$T141),"")</f>
        <v/>
      </c>
      <c r="BA141" s="190" t="str">
        <f t="shared" ca="1" si="84"/>
        <v/>
      </c>
      <c r="BB141" s="190" t="str">
        <f t="shared" ca="1" si="70"/>
        <v/>
      </c>
      <c r="BC141" s="190"/>
      <c r="BD141" s="190" t="str">
        <f ca="1">IFERROR(IF(OR(ISNUMBER(I),ISNUMBER($F$14)),IF(AND($B141&gt;=($F$16-$F$15),$B141&lt;$F$22+($F$16-$F$15)),SUM(OFFSET($T$100,($F$16-$F$15),0):$T141),""),""),"")</f>
        <v/>
      </c>
      <c r="BE141" s="190" t="str">
        <f t="shared" ca="1" si="58"/>
        <v/>
      </c>
      <c r="BF141" s="190" t="str">
        <f t="shared" ca="1" si="59"/>
        <v/>
      </c>
      <c r="BG141"/>
      <c r="BH141" s="190" t="str">
        <f ca="1">IF(ISNUMBER(OFFSET(BD141,-$F$21,0)),SUM(OFFSET($T$100,($F$16-$F$15+$F$21),0):$T141),"")</f>
        <v/>
      </c>
      <c r="BI141" s="190" t="str">
        <f t="shared" ca="1" si="85"/>
        <v/>
      </c>
      <c r="BJ141" s="190" t="str">
        <f t="shared" ca="1" si="60"/>
        <v/>
      </c>
      <c r="BK141" s="190"/>
      <c r="BL141" s="190" t="str">
        <f ca="1">IFERROR(IF(OR(ISNUMBER(I),ISNUMBER($F$14)),IF(AND($B141&gt;=($F$17-$F$15),$B141&lt;$F$22+($F$17-$F$15)),SUM(OFFSET($T$100,($F$17-$F$15),0):$T141),""),""),"")</f>
        <v/>
      </c>
      <c r="BM141" s="190" t="str">
        <f t="shared" ca="1" si="86"/>
        <v/>
      </c>
      <c r="BN141" s="190" t="str">
        <f t="shared" ca="1" si="61"/>
        <v/>
      </c>
      <c r="BO141"/>
      <c r="BP141" s="190" t="str">
        <f ca="1">IF(ISNUMBER(OFFSET(BL141,-$F$21,0)),SUM(OFFSET($T$100,($F$17-$F$15+$F$21),0):$T141),"")</f>
        <v/>
      </c>
      <c r="BQ141" s="190" t="str">
        <f t="shared" ca="1" si="87"/>
        <v/>
      </c>
      <c r="BR141" s="190" t="str">
        <f t="shared" ca="1" si="63"/>
        <v/>
      </c>
      <c r="BS141" s="190"/>
      <c r="BT141"/>
      <c r="BU141"/>
      <c r="BV141"/>
      <c r="BY141" s="99"/>
      <c r="BZ141" s="99"/>
      <c r="CA141" s="280" t="str">
        <f t="shared" si="88"/>
        <v/>
      </c>
      <c r="CB141" s="71" t="str">
        <f t="shared" si="31"/>
        <v>-</v>
      </c>
      <c r="CC141" s="33"/>
      <c r="CD141" s="261" t="str">
        <f t="shared" si="33"/>
        <v/>
      </c>
      <c r="CE141" s="280" t="str">
        <f t="shared" si="89"/>
        <v/>
      </c>
      <c r="CF141" s="71" t="str">
        <f t="shared" ca="1" si="90"/>
        <v/>
      </c>
      <c r="CG141" s="33" t="str">
        <f t="shared" si="36"/>
        <v/>
      </c>
      <c r="CH141" s="261" t="str">
        <f t="shared" ca="1" si="37"/>
        <v/>
      </c>
      <c r="CI141" s="202"/>
      <c r="CJ141" s="99"/>
      <c r="CK141" s="99"/>
      <c r="CL141" s="99"/>
      <c r="CM141" s="99"/>
      <c r="CN141" s="99"/>
      <c r="CO141" s="99"/>
    </row>
    <row r="142" spans="2:93" ht="13.5" customHeight="1" x14ac:dyDescent="0.2">
      <c r="B142" s="262">
        <v>42</v>
      </c>
      <c r="C142" s="237" t="str">
        <f t="shared" si="1"/>
        <v/>
      </c>
      <c r="D142" s="237" t="str">
        <f t="shared" si="66"/>
        <v/>
      </c>
      <c r="E142" s="290" t="str">
        <f t="shared" si="38"/>
        <v/>
      </c>
      <c r="F142" s="264" t="str">
        <f t="shared" si="39"/>
        <v/>
      </c>
      <c r="G142" s="291" t="str">
        <f t="shared" si="40"/>
        <v/>
      </c>
      <c r="H142" s="240" t="str">
        <f t="shared" si="71"/>
        <v/>
      </c>
      <c r="I142" s="265" t="str">
        <f t="shared" si="72"/>
        <v/>
      </c>
      <c r="J142" s="265" t="str">
        <f t="shared" si="73"/>
        <v/>
      </c>
      <c r="K142" s="240" t="str">
        <f t="shared" si="74"/>
        <v/>
      </c>
      <c r="L142" s="265" t="str">
        <f t="shared" si="75"/>
        <v/>
      </c>
      <c r="M142" s="265" t="str">
        <f t="shared" si="76"/>
        <v/>
      </c>
      <c r="N142" s="240" t="str">
        <f t="shared" si="77"/>
        <v>-</v>
      </c>
      <c r="O142" s="265" t="str">
        <f t="shared" si="78"/>
        <v>-</v>
      </c>
      <c r="P142" s="265" t="str">
        <f t="shared" si="79"/>
        <v>-</v>
      </c>
      <c r="Q142" s="266" t="str">
        <f t="shared" si="80"/>
        <v>-</v>
      </c>
      <c r="R142" s="267" t="str">
        <f t="shared" si="81"/>
        <v>-</v>
      </c>
      <c r="S142" s="268" t="str">
        <f t="shared" si="82"/>
        <v>-</v>
      </c>
      <c r="T142" s="269" t="str">
        <f t="shared" si="13"/>
        <v/>
      </c>
      <c r="U142" s="221">
        <f t="shared" si="14"/>
        <v>42</v>
      </c>
      <c r="V142" s="220" t="str">
        <f t="shared" si="42"/>
        <v>-</v>
      </c>
      <c r="W142" s="221" t="str">
        <f t="shared" si="43"/>
        <v>-</v>
      </c>
      <c r="X142" s="221" t="str">
        <f t="shared" si="15"/>
        <v>-</v>
      </c>
      <c r="Y142" s="221" t="str">
        <f t="shared" si="16"/>
        <v>-</v>
      </c>
      <c r="Z142" s="270">
        <f t="shared" si="44"/>
        <v>0.1</v>
      </c>
      <c r="AA142" s="271" t="str">
        <f>IFERROR(IF(V141=1,AA$100*EXP(-(LN(2)/$D$65+0.04)*X141)*EXP(-(LN(2)/$D$65+0.1)*Y141),IF(V141=2,AA$100*EXP(-(LN(2)/$D$65+0.04)*(VLOOKUP(($F$16-$F$15)-1,U$99:Y141,4,FALSE)))*EXP(-(LN(2)/$D$65+0.1)*(VLOOKUP(($F$16-$F$15)-1,U$99:Y141,5,FALSE)))*EXP(-(LN(2)/$D$65+0.04)*X141)*EXP(-(LN(2)/$D$65+0.1)*Y141),IF(V141=3,AA$100*EXP(-(LN(2)/$D$65+0.04)*(VLOOKUP(($F$16-$F$15)-1,U$99:Y141,4,FALSE)))*EXP(-(LN(2)/$D$65+0.1)*(VLOOKUP(($F$16-$F$15)-1,U$99:Y141,5,FALSE)))*EXP(-(LN(2)/$D$65+0.04)*(VLOOKUP(($F$16-$F$15)*2-1,U$99:Y141,4,FALSE)))*EXP(-(LN(2)/$D$65+0.1)*(VLOOKUP(($F$16-$F$15)*2-1,U$99:Y141,5,FALSE)))*EXP(-(LN(2)/$D$65+0.04)*X141)*EXP(-(LN(2)/$D$65+0.1)*Y141),"-"))),"-")</f>
        <v>-</v>
      </c>
      <c r="AB142" s="271" t="str">
        <f>IFERROR(IF(V142=1,AB$100*EXP(-(LN(2)/$D$65+0.04)*X142)*EXP(-(LN(2)/$D$65+0.1)*Y142),IF(V142=2,AB$100*EXP(-(LN(2)/$D$65+0.04)*(VLOOKUP(($F$16-$F$15)-1,U$100:Y142,4,FALSE)))*EXP(-(LN(2)/$D$65+0.1)*(VLOOKUP(($F$16-$F$15)-1,U$100:Y142,5,FALSE)))*EXP(-(LN(2)/$D$65+0.04)*X142)*EXP(-(LN(2)/$D$65+0.1)*Y142),IF(V142=3,AB$100*EXP(-(LN(2)/$D$65+0.04)*(VLOOKUP(($F$16-$F$15)-1,U$100:Y142,4,FALSE)))*EXP(-(LN(2)/$D$65+0.1)*(VLOOKUP(($F$16-$F$15)-1,U$100:Y142,5,FALSE)))*EXP(-(LN(2)/$D$65+0.04)*(VLOOKUP(($F$16-$F$15)*2-1,U$100:Y142,4,FALSE)))*EXP(-(LN(2)/$D$65+0.1)*(VLOOKUP(($F$16-$F$15)*2-1,U$100:Y142,5,FALSE)))*EXP(-(LN(2)/$D$65+0.04)*X142)*EXP(-(LN(2)/$D$65+0.1)*Y142),"-"))),"-")</f>
        <v>-</v>
      </c>
      <c r="AC142" s="224">
        <f t="shared" si="45"/>
        <v>42</v>
      </c>
      <c r="AD142" s="223" t="str">
        <f t="shared" si="18"/>
        <v>-</v>
      </c>
      <c r="AE142" s="224" t="str">
        <f t="shared" si="46"/>
        <v>-</v>
      </c>
      <c r="AF142" s="224" t="str">
        <f t="shared" si="19"/>
        <v>-</v>
      </c>
      <c r="AG142" s="224" t="str">
        <f t="shared" si="20"/>
        <v>-</v>
      </c>
      <c r="AH142" s="272">
        <f t="shared" si="47"/>
        <v>0.1</v>
      </c>
      <c r="AI142" s="271" t="str">
        <f>IFERROR(IF(AD141=1,AI$100*EXP(-(LN(2)/$D$65+0.04)*AF141)*EXP(-(LN(2)/$D$65+0.1)*AG141),IF(AD141=2,AI$100*EXP(-(LN(2)/$D$65+0.04)*(VLOOKUP(($F$16-$F$15)-1,AC$99:AG141,4,FALSE)))*EXP(-(LN(2)/$D$65+0.1)*(VLOOKUP(($F$16-$F$15)-1,AC$99:AG141,5,FALSE)))*EXP(-(LN(2)/$D$65+0.04)*AF141)*EXP(-(LN(2)/$D$65+0.1)*AG141),IF(AD141=3,AI$100*EXP(-(LN(2)/$D$65+0.04)*(VLOOKUP(($F$16-$F$15)-1,AC$99:AG141,4,FALSE)))*EXP(-(LN(2)/$D$65+0.1)*(VLOOKUP(($F$16-$F$15)-1,AC$99:AG141,5,FALSE)))*EXP(-(LN(2)/$D$65+0.04)*(VLOOKUP(($F$16-$F$15)*2-1,AC$99:AG141,4,FALSE)))*EXP(-(LN(2)/$D$65+0.1)*(VLOOKUP(($F$16-$F$15)*2-1,AC$99:AG141,5,FALSE)))*EXP(-(LN(2)/$D$65+0.04)*AF141)*EXP(-(LN(2)/$D$65+0.1)*AG141),"-"))),"-")</f>
        <v>-</v>
      </c>
      <c r="AJ142" s="271" t="str">
        <f>IFERROR(IF(AD142=1,AJ$100*EXP(-(LN(2)/$D$65+0.04)*AF142)*EXP(-(LN(2)/$D$65+0.1)*AG142),IF(AD142=2,AJ$100*EXP(-(LN(2)/$D$65+0.04)*(VLOOKUP(($F$16-$F$15)-1,AC$100:AG142,4,FALSE)))*EXP(-(LN(2)/$D$65+0.1)*(VLOOKUP(($F$16-$F$15)-1,AC$100:AG142,5,FALSE)))*EXP(-(LN(2)/$D$65+0.04)*AF142)*EXP(-(LN(2)/$D$65+0.1)*AG142),IF(AD142=3,AJ$100*EXP(-(LN(2)/$D$65+0.04)*(VLOOKUP(($F$16-$F$15)-1,AC$100:AG142,4,FALSE)))*EXP(-(LN(2)/$D$65+0.1)*(VLOOKUP(($F$16-$F$15)-1,AC$100:AG142,5,FALSE)))*EXP(-(LN(2)/$D$65+0.04)*(VLOOKUP(($F$16-$F$15)*2-1,AC$100:AG142,4,FALSE)))*EXP(-(LN(2)/$D$65+0.1)*(VLOOKUP(($F$16-$F$15)*2-1,AC$100:AG142,5,FALSE)))*EXP(-(LN(2)/$D$65+0.04)*AF142)*EXP(-(LN(2)/$D$65+0.1)*AG142),"-"))),"-")</f>
        <v>-</v>
      </c>
      <c r="AK142" s="227">
        <f t="shared" si="49"/>
        <v>42</v>
      </c>
      <c r="AL142" s="226" t="str">
        <f t="shared" si="22"/>
        <v>-</v>
      </c>
      <c r="AM142" s="227" t="str">
        <f t="shared" si="50"/>
        <v>-</v>
      </c>
      <c r="AN142" s="227" t="str">
        <f t="shared" si="51"/>
        <v>-</v>
      </c>
      <c r="AO142" s="227" t="str">
        <f t="shared" si="23"/>
        <v>-</v>
      </c>
      <c r="AP142" s="273">
        <f t="shared" si="52"/>
        <v>0.1</v>
      </c>
      <c r="AQ142" s="271" t="str">
        <f>IFERROR(IF(AL141=1,AQ$100*EXP(-(LN(2)/$D$65+0.04)*AN141)*EXP(-(LN(2)/$D$65+0.1)*AO141),IF(AL141=2,AQ$100*EXP(-(LN(2)/$D$65+0.04)*(VLOOKUP(($F$16-$F$15)-1,AK$99:AO141,4,FALSE)))*EXP(-(LN(2)/$D$65+0.1)*(VLOOKUP(($F$16-$F$15)-1,AK$99:AO141,5,FALSE)))*EXP(-(LN(2)/$D$65+0.04)*AN141)*EXP(-(LN(2)/$D$65+0.1)*AO141),IF(AL141=3,AQ$100*EXP(-(LN(2)/$D$65+0.04)*(VLOOKUP(($F$16-$F$15)-1,AK$99:AO141,4,FALSE)))*EXP(-(LN(2)/$D$65+0.1)*(VLOOKUP(($F$16-$F$15)-1,AK$99:AO141,5,FALSE)))*EXP(-(LN(2)/$D$65+0.04)*(VLOOKUP(($F$16-$F$15)*2-1,AK$99:AO141,4,FALSE)))*EXP(-(LN(2)/$D$65+0.1)*(VLOOKUP(($F$16-$F$15)*2-1,AK$99:AO141,5,FALSE)))*EXP(-(LN(2)/$D$65+0.04)*AN141)*EXP(-(LN(2)/$D$65+0.1)*AO141),"-"))),"-")</f>
        <v>-</v>
      </c>
      <c r="AR142" s="271" t="str">
        <f>IFERROR(IF(AL142=1,AR$100*EXP(-(LN(2)/$D$65+0.04)*AN142)*EXP(-(LN(2)/$D$65+0.1)*AO142),IF(AL142=2,AR$100*EXP(-(LN(2)/$D$65+0.04)*(VLOOKUP(($F$16-$F$15)-1,AK$100:AO142,4,FALSE)))*EXP(-(LN(2)/$D$65+0.1)*(VLOOKUP(($F$16-$F$15)-1,AK$100:AO142,5,FALSE)))*EXP(-(LN(2)/$D$65+0.04)*AN142)*EXP(-(LN(2)/$D$65+0.1)*AO142),IF(AL142=3,AR$100*EXP(-(LN(2)/$D$65+0.04)*(VLOOKUP(($F$16-$F$15)-1,AK$100:AO142,4,FALSE)))*EXP(-(LN(2)/$D$65+0.1)*(VLOOKUP(($F$16-$F$15)-1,AK$100:AO142,5,FALSE)))*EXP(-(LN(2)/$D$65+0.04)*(VLOOKUP(($F$16-$F$15)*2-1,AK$100:AO142,4,FALSE)))*EXP(-(LN(2)/$D$65+0.1)*(VLOOKUP(($F$16-$F$15)*2-1,AK$100:AO142,5,FALSE)))*EXP(-(LN(2)/$D$65+0.04)*AN142)*EXP(-(LN(2)/$D$65+0.1)*AO142),"-"))),"-")</f>
        <v>-</v>
      </c>
      <c r="AS142" s="274">
        <f t="shared" si="24"/>
        <v>0</v>
      </c>
      <c r="AT142" s="274">
        <f t="shared" si="25"/>
        <v>0</v>
      </c>
      <c r="AU142" s="274">
        <f t="shared" si="26"/>
        <v>0</v>
      </c>
      <c r="AV142" s="190" t="str">
        <f>IF($B142&lt;$F$22,SUM($T$100:$T142),"")</f>
        <v/>
      </c>
      <c r="AW142" s="190" t="str">
        <f t="shared" si="83"/>
        <v>-</v>
      </c>
      <c r="AX142" s="190" t="str">
        <f t="shared" si="56"/>
        <v/>
      </c>
      <c r="AY142"/>
      <c r="AZ142" s="190" t="str">
        <f ca="1">IF(ISNUMBER(OFFSET(AV142,-$F$21,0)),SUM(OFFSET($T$100,$F$21,0):$T142),"")</f>
        <v/>
      </c>
      <c r="BA142" s="190" t="str">
        <f t="shared" ca="1" si="84"/>
        <v/>
      </c>
      <c r="BB142" s="190" t="str">
        <f t="shared" ca="1" si="70"/>
        <v/>
      </c>
      <c r="BC142" s="190"/>
      <c r="BD142" s="190" t="str">
        <f ca="1">IFERROR(IF(OR(ISNUMBER(I),ISNUMBER($F$14)),IF(AND($B142&gt;=($F$16-$F$15),$B142&lt;$F$22+($F$16-$F$15)),SUM(OFFSET($T$100,($F$16-$F$15),0):$T142),""),""),"")</f>
        <v/>
      </c>
      <c r="BE142" s="190" t="str">
        <f t="shared" ca="1" si="58"/>
        <v/>
      </c>
      <c r="BF142" s="190" t="str">
        <f t="shared" ca="1" si="59"/>
        <v/>
      </c>
      <c r="BG142"/>
      <c r="BH142" s="190" t="str">
        <f ca="1">IF(ISNUMBER(OFFSET(BD142,-$F$21,0)),SUM(OFFSET($T$100,($F$16-$F$15+$F$21),0):$T142),"")</f>
        <v/>
      </c>
      <c r="BI142" s="190" t="str">
        <f t="shared" ca="1" si="85"/>
        <v/>
      </c>
      <c r="BJ142" s="190" t="str">
        <f t="shared" ca="1" si="60"/>
        <v/>
      </c>
      <c r="BK142" s="190"/>
      <c r="BL142" s="190" t="str">
        <f ca="1">IFERROR(IF(OR(ISNUMBER(I),ISNUMBER($F$14)),IF(AND($B142&gt;=($F$17-$F$15),$B142&lt;$F$22+($F$17-$F$15)),SUM(OFFSET($T$100,($F$17-$F$15),0):$T142),""),""),"")</f>
        <v/>
      </c>
      <c r="BM142" s="190" t="str">
        <f t="shared" ca="1" si="86"/>
        <v/>
      </c>
      <c r="BN142" s="190" t="str">
        <f t="shared" ca="1" si="61"/>
        <v/>
      </c>
      <c r="BO142"/>
      <c r="BP142" s="190" t="str">
        <f ca="1">IF(ISNUMBER(OFFSET(BL142,-$F$21,0)),SUM(OFFSET($T$100,($F$17-$F$15+$F$21),0):$T142),"")</f>
        <v/>
      </c>
      <c r="BQ142" s="190" t="str">
        <f t="shared" ca="1" si="87"/>
        <v/>
      </c>
      <c r="BR142" s="190" t="str">
        <f t="shared" ca="1" si="63"/>
        <v/>
      </c>
      <c r="BS142" s="190"/>
      <c r="BT142"/>
      <c r="BU142"/>
      <c r="BV142"/>
      <c r="BY142" s="99"/>
      <c r="BZ142" s="99"/>
      <c r="CA142" s="280" t="str">
        <f t="shared" si="88"/>
        <v/>
      </c>
      <c r="CB142" s="71" t="str">
        <f t="shared" si="31"/>
        <v>-</v>
      </c>
      <c r="CC142" s="33"/>
      <c r="CD142" s="261" t="str">
        <f t="shared" si="33"/>
        <v/>
      </c>
      <c r="CE142" s="280" t="str">
        <f t="shared" si="89"/>
        <v/>
      </c>
      <c r="CF142" s="71" t="str">
        <f t="shared" ca="1" si="90"/>
        <v/>
      </c>
      <c r="CG142" s="33" t="str">
        <f t="shared" si="36"/>
        <v/>
      </c>
      <c r="CH142" s="261" t="str">
        <f t="shared" ca="1" si="37"/>
        <v/>
      </c>
      <c r="CI142" s="202"/>
      <c r="CJ142" s="99"/>
      <c r="CK142" s="99"/>
      <c r="CL142" s="99"/>
      <c r="CM142" s="99"/>
      <c r="CN142" s="99"/>
      <c r="CO142" s="99"/>
    </row>
    <row r="143" spans="2:93" ht="13.5" customHeight="1" x14ac:dyDescent="0.2">
      <c r="B143" s="262">
        <v>43</v>
      </c>
      <c r="C143" s="237" t="str">
        <f t="shared" si="1"/>
        <v/>
      </c>
      <c r="D143" s="237" t="str">
        <f t="shared" si="66"/>
        <v/>
      </c>
      <c r="E143" s="290" t="str">
        <f t="shared" si="38"/>
        <v/>
      </c>
      <c r="F143" s="264" t="str">
        <f t="shared" si="39"/>
        <v/>
      </c>
      <c r="G143" s="291" t="str">
        <f t="shared" si="40"/>
        <v/>
      </c>
      <c r="H143" s="240" t="str">
        <f t="shared" si="71"/>
        <v/>
      </c>
      <c r="I143" s="265" t="str">
        <f t="shared" si="72"/>
        <v/>
      </c>
      <c r="J143" s="265" t="str">
        <f t="shared" si="73"/>
        <v/>
      </c>
      <c r="K143" s="240" t="str">
        <f t="shared" si="74"/>
        <v/>
      </c>
      <c r="L143" s="265" t="str">
        <f t="shared" si="75"/>
        <v/>
      </c>
      <c r="M143" s="265" t="str">
        <f t="shared" si="76"/>
        <v/>
      </c>
      <c r="N143" s="240" t="str">
        <f t="shared" si="77"/>
        <v>-</v>
      </c>
      <c r="O143" s="265" t="str">
        <f t="shared" si="78"/>
        <v>-</v>
      </c>
      <c r="P143" s="265" t="str">
        <f t="shared" si="79"/>
        <v>-</v>
      </c>
      <c r="Q143" s="266" t="str">
        <f t="shared" si="80"/>
        <v>-</v>
      </c>
      <c r="R143" s="267" t="str">
        <f t="shared" si="81"/>
        <v>-</v>
      </c>
      <c r="S143" s="268" t="str">
        <f t="shared" si="82"/>
        <v>-</v>
      </c>
      <c r="T143" s="269" t="str">
        <f t="shared" si="13"/>
        <v/>
      </c>
      <c r="U143" s="221">
        <f t="shared" si="14"/>
        <v>43</v>
      </c>
      <c r="V143" s="220" t="str">
        <f t="shared" si="42"/>
        <v>-</v>
      </c>
      <c r="W143" s="221" t="str">
        <f t="shared" si="43"/>
        <v>-</v>
      </c>
      <c r="X143" s="221" t="str">
        <f t="shared" si="15"/>
        <v>-</v>
      </c>
      <c r="Y143" s="221" t="str">
        <f t="shared" si="16"/>
        <v>-</v>
      </c>
      <c r="Z143" s="270">
        <f t="shared" si="44"/>
        <v>0.1</v>
      </c>
      <c r="AA143" s="271" t="str">
        <f>IFERROR(IF(V142=1,AA$100*EXP(-(LN(2)/$D$65+0.04)*X142)*EXP(-(LN(2)/$D$65+0.1)*Y142),IF(V142=2,AA$100*EXP(-(LN(2)/$D$65+0.04)*(VLOOKUP(($F$16-$F$15)-1,U$99:Y142,4,FALSE)))*EXP(-(LN(2)/$D$65+0.1)*(VLOOKUP(($F$16-$F$15)-1,U$99:Y142,5,FALSE)))*EXP(-(LN(2)/$D$65+0.04)*X142)*EXP(-(LN(2)/$D$65+0.1)*Y142),IF(V142=3,AA$100*EXP(-(LN(2)/$D$65+0.04)*(VLOOKUP(($F$16-$F$15)-1,U$99:Y142,4,FALSE)))*EXP(-(LN(2)/$D$65+0.1)*(VLOOKUP(($F$16-$F$15)-1,U$99:Y142,5,FALSE)))*EXP(-(LN(2)/$D$65+0.04)*(VLOOKUP(($F$16-$F$15)*2-1,U$99:Y142,4,FALSE)))*EXP(-(LN(2)/$D$65+0.1)*(VLOOKUP(($F$16-$F$15)*2-1,U$99:Y142,5,FALSE)))*EXP(-(LN(2)/$D$65+0.04)*X142)*EXP(-(LN(2)/$D$65+0.1)*Y142),"-"))),"-")</f>
        <v>-</v>
      </c>
      <c r="AB143" s="271" t="str">
        <f>IFERROR(IF(V143=1,AB$100*EXP(-(LN(2)/$D$65+0.04)*X143)*EXP(-(LN(2)/$D$65+0.1)*Y143),IF(V143=2,AB$100*EXP(-(LN(2)/$D$65+0.04)*(VLOOKUP(($F$16-$F$15)-1,U$100:Y143,4,FALSE)))*EXP(-(LN(2)/$D$65+0.1)*(VLOOKUP(($F$16-$F$15)-1,U$100:Y143,5,FALSE)))*EXP(-(LN(2)/$D$65+0.04)*X143)*EXP(-(LN(2)/$D$65+0.1)*Y143),IF(V143=3,AB$100*EXP(-(LN(2)/$D$65+0.04)*(VLOOKUP(($F$16-$F$15)-1,U$100:Y143,4,FALSE)))*EXP(-(LN(2)/$D$65+0.1)*(VLOOKUP(($F$16-$F$15)-1,U$100:Y143,5,FALSE)))*EXP(-(LN(2)/$D$65+0.04)*(VLOOKUP(($F$16-$F$15)*2-1,U$100:Y143,4,FALSE)))*EXP(-(LN(2)/$D$65+0.1)*(VLOOKUP(($F$16-$F$15)*2-1,U$100:Y143,5,FALSE)))*EXP(-(LN(2)/$D$65+0.04)*X143)*EXP(-(LN(2)/$D$65+0.1)*Y143),"-"))),"-")</f>
        <v>-</v>
      </c>
      <c r="AC143" s="224">
        <f t="shared" si="45"/>
        <v>43</v>
      </c>
      <c r="AD143" s="223" t="str">
        <f t="shared" si="18"/>
        <v>-</v>
      </c>
      <c r="AE143" s="224" t="str">
        <f t="shared" si="46"/>
        <v>-</v>
      </c>
      <c r="AF143" s="224" t="str">
        <f t="shared" si="19"/>
        <v>-</v>
      </c>
      <c r="AG143" s="224" t="str">
        <f t="shared" si="20"/>
        <v>-</v>
      </c>
      <c r="AH143" s="272">
        <f t="shared" si="47"/>
        <v>0.1</v>
      </c>
      <c r="AI143" s="271" t="str">
        <f>IFERROR(IF(AD142=1,AI$100*EXP(-(LN(2)/$D$65+0.04)*AF142)*EXP(-(LN(2)/$D$65+0.1)*AG142),IF(AD142=2,AI$100*EXP(-(LN(2)/$D$65+0.04)*(VLOOKUP(($F$16-$F$15)-1,AC$99:AG142,4,FALSE)))*EXP(-(LN(2)/$D$65+0.1)*(VLOOKUP(($F$16-$F$15)-1,AC$99:AG142,5,FALSE)))*EXP(-(LN(2)/$D$65+0.04)*AF142)*EXP(-(LN(2)/$D$65+0.1)*AG142),IF(AD142=3,AI$100*EXP(-(LN(2)/$D$65+0.04)*(VLOOKUP(($F$16-$F$15)-1,AC$99:AG142,4,FALSE)))*EXP(-(LN(2)/$D$65+0.1)*(VLOOKUP(($F$16-$F$15)-1,AC$99:AG142,5,FALSE)))*EXP(-(LN(2)/$D$65+0.04)*(VLOOKUP(($F$16-$F$15)*2-1,AC$99:AG142,4,FALSE)))*EXP(-(LN(2)/$D$65+0.1)*(VLOOKUP(($F$16-$F$15)*2-1,AC$99:AG142,5,FALSE)))*EXP(-(LN(2)/$D$65+0.04)*AF142)*EXP(-(LN(2)/$D$65+0.1)*AG142),"-"))),"-")</f>
        <v>-</v>
      </c>
      <c r="AJ143" s="271" t="str">
        <f>IFERROR(IF(AD143=1,AJ$100*EXP(-(LN(2)/$D$65+0.04)*AF143)*EXP(-(LN(2)/$D$65+0.1)*AG143),IF(AD143=2,AJ$100*EXP(-(LN(2)/$D$65+0.04)*(VLOOKUP(($F$16-$F$15)-1,AC$100:AG143,4,FALSE)))*EXP(-(LN(2)/$D$65+0.1)*(VLOOKUP(($F$16-$F$15)-1,AC$100:AG143,5,FALSE)))*EXP(-(LN(2)/$D$65+0.04)*AF143)*EXP(-(LN(2)/$D$65+0.1)*AG143),IF(AD143=3,AJ$100*EXP(-(LN(2)/$D$65+0.04)*(VLOOKUP(($F$16-$F$15)-1,AC$100:AG143,4,FALSE)))*EXP(-(LN(2)/$D$65+0.1)*(VLOOKUP(($F$16-$F$15)-1,AC$100:AG143,5,FALSE)))*EXP(-(LN(2)/$D$65+0.04)*(VLOOKUP(($F$16-$F$15)*2-1,AC$100:AG143,4,FALSE)))*EXP(-(LN(2)/$D$65+0.1)*(VLOOKUP(($F$16-$F$15)*2-1,AC$100:AG143,5,FALSE)))*EXP(-(LN(2)/$D$65+0.04)*AF143)*EXP(-(LN(2)/$D$65+0.1)*AG143),"-"))),"-")</f>
        <v>-</v>
      </c>
      <c r="AK143" s="227">
        <f t="shared" si="49"/>
        <v>43</v>
      </c>
      <c r="AL143" s="226" t="str">
        <f t="shared" si="22"/>
        <v>-</v>
      </c>
      <c r="AM143" s="227" t="str">
        <f t="shared" si="50"/>
        <v>-</v>
      </c>
      <c r="AN143" s="227" t="str">
        <f t="shared" si="51"/>
        <v>-</v>
      </c>
      <c r="AO143" s="227" t="str">
        <f t="shared" si="23"/>
        <v>-</v>
      </c>
      <c r="AP143" s="273">
        <f t="shared" si="52"/>
        <v>0.1</v>
      </c>
      <c r="AQ143" s="271" t="str">
        <f>IFERROR(IF(AL142=1,AQ$100*EXP(-(LN(2)/$D$65+0.04)*AN142)*EXP(-(LN(2)/$D$65+0.1)*AO142),IF(AL142=2,AQ$100*EXP(-(LN(2)/$D$65+0.04)*(VLOOKUP(($F$16-$F$15)-1,AK$99:AO142,4,FALSE)))*EXP(-(LN(2)/$D$65+0.1)*(VLOOKUP(($F$16-$F$15)-1,AK$99:AO142,5,FALSE)))*EXP(-(LN(2)/$D$65+0.04)*AN142)*EXP(-(LN(2)/$D$65+0.1)*AO142),IF(AL142=3,AQ$100*EXP(-(LN(2)/$D$65+0.04)*(VLOOKUP(($F$16-$F$15)-1,AK$99:AO142,4,FALSE)))*EXP(-(LN(2)/$D$65+0.1)*(VLOOKUP(($F$16-$F$15)-1,AK$99:AO142,5,FALSE)))*EXP(-(LN(2)/$D$65+0.04)*(VLOOKUP(($F$16-$F$15)*2-1,AK$99:AO142,4,FALSE)))*EXP(-(LN(2)/$D$65+0.1)*(VLOOKUP(($F$16-$F$15)*2-1,AK$99:AO142,5,FALSE)))*EXP(-(LN(2)/$D$65+0.04)*AN142)*EXP(-(LN(2)/$D$65+0.1)*AO142),"-"))),"-")</f>
        <v>-</v>
      </c>
      <c r="AR143" s="271" t="str">
        <f>IFERROR(IF(AL143=1,AR$100*EXP(-(LN(2)/$D$65+0.04)*AN143)*EXP(-(LN(2)/$D$65+0.1)*AO143),IF(AL143=2,AR$100*EXP(-(LN(2)/$D$65+0.04)*(VLOOKUP(($F$16-$F$15)-1,AK$100:AO143,4,FALSE)))*EXP(-(LN(2)/$D$65+0.1)*(VLOOKUP(($F$16-$F$15)-1,AK$100:AO143,5,FALSE)))*EXP(-(LN(2)/$D$65+0.04)*AN143)*EXP(-(LN(2)/$D$65+0.1)*AO143),IF(AL143=3,AR$100*EXP(-(LN(2)/$D$65+0.04)*(VLOOKUP(($F$16-$F$15)-1,AK$100:AO143,4,FALSE)))*EXP(-(LN(2)/$D$65+0.1)*(VLOOKUP(($F$16-$F$15)-1,AK$100:AO143,5,FALSE)))*EXP(-(LN(2)/$D$65+0.04)*(VLOOKUP(($F$16-$F$15)*2-1,AK$100:AO143,4,FALSE)))*EXP(-(LN(2)/$D$65+0.1)*(VLOOKUP(($F$16-$F$15)*2-1,AK$100:AO143,5,FALSE)))*EXP(-(LN(2)/$D$65+0.04)*AN143)*EXP(-(LN(2)/$D$65+0.1)*AO143),"-"))),"-")</f>
        <v>-</v>
      </c>
      <c r="AS143" s="274">
        <f t="shared" si="24"/>
        <v>0</v>
      </c>
      <c r="AT143" s="274">
        <f t="shared" si="25"/>
        <v>0</v>
      </c>
      <c r="AU143" s="274">
        <f t="shared" si="26"/>
        <v>0</v>
      </c>
      <c r="AV143" s="190" t="str">
        <f>IF($B143&lt;$F$22,SUM($T$100:$T143),"")</f>
        <v/>
      </c>
      <c r="AW143" s="190" t="str">
        <f t="shared" si="83"/>
        <v>-</v>
      </c>
      <c r="AX143" s="190" t="str">
        <f t="shared" si="56"/>
        <v/>
      </c>
      <c r="AY143"/>
      <c r="AZ143" s="190" t="str">
        <f ca="1">IF(ISNUMBER(OFFSET(AV143,-$F$21,0)),SUM(OFFSET($T$100,$F$21,0):$T143),"")</f>
        <v/>
      </c>
      <c r="BA143" s="190" t="str">
        <f t="shared" ca="1" si="84"/>
        <v/>
      </c>
      <c r="BB143" s="190" t="str">
        <f t="shared" ca="1" si="70"/>
        <v/>
      </c>
      <c r="BC143" s="190"/>
      <c r="BD143" s="190" t="str">
        <f ca="1">IFERROR(IF(OR(ISNUMBER(I),ISNUMBER($F$14)),IF(AND($B143&gt;=($F$16-$F$15),$B143&lt;$F$22+($F$16-$F$15)),SUM(OFFSET($T$100,($F$16-$F$15),0):$T143),""),""),"")</f>
        <v/>
      </c>
      <c r="BE143" s="190" t="str">
        <f t="shared" ca="1" si="58"/>
        <v/>
      </c>
      <c r="BF143" s="190" t="str">
        <f t="shared" ca="1" si="59"/>
        <v/>
      </c>
      <c r="BG143"/>
      <c r="BH143" s="190" t="str">
        <f ca="1">IF(ISNUMBER(OFFSET(BD143,-$F$21,0)),SUM(OFFSET($T$100,($F$16-$F$15+$F$21),0):$T143),"")</f>
        <v/>
      </c>
      <c r="BI143" s="190" t="str">
        <f t="shared" ca="1" si="85"/>
        <v/>
      </c>
      <c r="BJ143" s="190" t="str">
        <f t="shared" ca="1" si="60"/>
        <v/>
      </c>
      <c r="BK143" s="190"/>
      <c r="BL143" s="190" t="str">
        <f ca="1">IFERROR(IF(OR(ISNUMBER(I),ISNUMBER($F$14)),IF(AND($B143&gt;=($F$17-$F$15),$B143&lt;$F$22+($F$17-$F$15)),SUM(OFFSET($T$100,($F$17-$F$15),0):$T143),""),""),"")</f>
        <v/>
      </c>
      <c r="BM143" s="190" t="str">
        <f t="shared" ca="1" si="86"/>
        <v/>
      </c>
      <c r="BN143" s="190" t="str">
        <f t="shared" ca="1" si="61"/>
        <v/>
      </c>
      <c r="BO143"/>
      <c r="BP143" s="190" t="str">
        <f ca="1">IF(ISNUMBER(OFFSET(BL143,-$F$21,0)),SUM(OFFSET($T$100,($F$17-$F$15+$F$21),0):$T143),"")</f>
        <v/>
      </c>
      <c r="BQ143" s="190" t="str">
        <f t="shared" ca="1" si="87"/>
        <v/>
      </c>
      <c r="BR143" s="190" t="str">
        <f t="shared" ca="1" si="63"/>
        <v/>
      </c>
      <c r="BS143" s="190"/>
      <c r="BT143"/>
      <c r="BU143"/>
      <c r="BV143"/>
      <c r="BY143" s="99"/>
      <c r="BZ143" s="99"/>
      <c r="CA143" s="280" t="str">
        <f t="shared" si="88"/>
        <v/>
      </c>
      <c r="CB143" s="71" t="str">
        <f t="shared" si="31"/>
        <v>-</v>
      </c>
      <c r="CC143" s="33"/>
      <c r="CD143" s="261" t="str">
        <f t="shared" si="33"/>
        <v/>
      </c>
      <c r="CE143" s="280" t="str">
        <f t="shared" si="89"/>
        <v/>
      </c>
      <c r="CF143" s="71" t="str">
        <f t="shared" ca="1" si="90"/>
        <v/>
      </c>
      <c r="CG143" s="33" t="str">
        <f t="shared" si="36"/>
        <v/>
      </c>
      <c r="CH143" s="261" t="str">
        <f t="shared" ca="1" si="37"/>
        <v/>
      </c>
      <c r="CI143" s="202"/>
      <c r="CJ143" s="99"/>
      <c r="CK143" s="99"/>
      <c r="CL143" s="99"/>
      <c r="CM143" s="99"/>
      <c r="CN143" s="99"/>
      <c r="CO143" s="99"/>
    </row>
    <row r="144" spans="2:93" ht="13.5" customHeight="1" x14ac:dyDescent="0.2">
      <c r="B144" s="262">
        <v>44</v>
      </c>
      <c r="C144" s="237" t="str">
        <f t="shared" si="1"/>
        <v/>
      </c>
      <c r="D144" s="237" t="str">
        <f t="shared" si="66"/>
        <v/>
      </c>
      <c r="E144" s="290" t="str">
        <f t="shared" si="38"/>
        <v/>
      </c>
      <c r="F144" s="264" t="str">
        <f t="shared" si="39"/>
        <v/>
      </c>
      <c r="G144" s="291" t="str">
        <f t="shared" si="40"/>
        <v/>
      </c>
      <c r="H144" s="240" t="str">
        <f t="shared" si="71"/>
        <v/>
      </c>
      <c r="I144" s="265" t="str">
        <f t="shared" si="72"/>
        <v/>
      </c>
      <c r="J144" s="265" t="str">
        <f t="shared" si="73"/>
        <v/>
      </c>
      <c r="K144" s="240" t="str">
        <f t="shared" si="74"/>
        <v/>
      </c>
      <c r="L144" s="265" t="str">
        <f t="shared" si="75"/>
        <v/>
      </c>
      <c r="M144" s="265" t="str">
        <f t="shared" si="76"/>
        <v/>
      </c>
      <c r="N144" s="240" t="str">
        <f t="shared" si="77"/>
        <v>-</v>
      </c>
      <c r="O144" s="265" t="str">
        <f t="shared" si="78"/>
        <v>-</v>
      </c>
      <c r="P144" s="265" t="str">
        <f t="shared" si="79"/>
        <v>-</v>
      </c>
      <c r="Q144" s="266" t="str">
        <f t="shared" si="80"/>
        <v>-</v>
      </c>
      <c r="R144" s="267" t="str">
        <f t="shared" si="81"/>
        <v>-</v>
      </c>
      <c r="S144" s="268" t="str">
        <f t="shared" si="82"/>
        <v>-</v>
      </c>
      <c r="T144" s="269" t="str">
        <f t="shared" si="13"/>
        <v/>
      </c>
      <c r="U144" s="221">
        <f t="shared" si="14"/>
        <v>44</v>
      </c>
      <c r="V144" s="220" t="str">
        <f t="shared" si="42"/>
        <v>-</v>
      </c>
      <c r="W144" s="221" t="str">
        <f t="shared" si="43"/>
        <v>-</v>
      </c>
      <c r="X144" s="221" t="str">
        <f t="shared" si="15"/>
        <v>-</v>
      </c>
      <c r="Y144" s="221" t="str">
        <f t="shared" si="16"/>
        <v>-</v>
      </c>
      <c r="Z144" s="270">
        <f t="shared" si="44"/>
        <v>0.1</v>
      </c>
      <c r="AA144" s="271" t="str">
        <f>IFERROR(IF(V143=1,AA$100*EXP(-(LN(2)/$D$65+0.04)*X143)*EXP(-(LN(2)/$D$65+0.1)*Y143),IF(V143=2,AA$100*EXP(-(LN(2)/$D$65+0.04)*(VLOOKUP(($F$16-$F$15)-1,U$99:Y143,4,FALSE)))*EXP(-(LN(2)/$D$65+0.1)*(VLOOKUP(($F$16-$F$15)-1,U$99:Y143,5,FALSE)))*EXP(-(LN(2)/$D$65+0.04)*X143)*EXP(-(LN(2)/$D$65+0.1)*Y143),IF(V143=3,AA$100*EXP(-(LN(2)/$D$65+0.04)*(VLOOKUP(($F$16-$F$15)-1,U$99:Y143,4,FALSE)))*EXP(-(LN(2)/$D$65+0.1)*(VLOOKUP(($F$16-$F$15)-1,U$99:Y143,5,FALSE)))*EXP(-(LN(2)/$D$65+0.04)*(VLOOKUP(($F$16-$F$15)*2-1,U$99:Y143,4,FALSE)))*EXP(-(LN(2)/$D$65+0.1)*(VLOOKUP(($F$16-$F$15)*2-1,U$99:Y143,5,FALSE)))*EXP(-(LN(2)/$D$65+0.04)*X143)*EXP(-(LN(2)/$D$65+0.1)*Y143),"-"))),"-")</f>
        <v>-</v>
      </c>
      <c r="AB144" s="271" t="str">
        <f>IFERROR(IF(V144=1,AB$100*EXP(-(LN(2)/$D$65+0.04)*X144)*EXP(-(LN(2)/$D$65+0.1)*Y144),IF(V144=2,AB$100*EXP(-(LN(2)/$D$65+0.04)*(VLOOKUP(($F$16-$F$15)-1,U$100:Y144,4,FALSE)))*EXP(-(LN(2)/$D$65+0.1)*(VLOOKUP(($F$16-$F$15)-1,U$100:Y144,5,FALSE)))*EXP(-(LN(2)/$D$65+0.04)*X144)*EXP(-(LN(2)/$D$65+0.1)*Y144),IF(V144=3,AB$100*EXP(-(LN(2)/$D$65+0.04)*(VLOOKUP(($F$16-$F$15)-1,U$100:Y144,4,FALSE)))*EXP(-(LN(2)/$D$65+0.1)*(VLOOKUP(($F$16-$F$15)-1,U$100:Y144,5,FALSE)))*EXP(-(LN(2)/$D$65+0.04)*(VLOOKUP(($F$16-$F$15)*2-1,U$100:Y144,4,FALSE)))*EXP(-(LN(2)/$D$65+0.1)*(VLOOKUP(($F$16-$F$15)*2-1,U$100:Y144,5,FALSE)))*EXP(-(LN(2)/$D$65+0.04)*X144)*EXP(-(LN(2)/$D$65+0.1)*Y144),"-"))),"-")</f>
        <v>-</v>
      </c>
      <c r="AC144" s="224">
        <f t="shared" si="45"/>
        <v>44</v>
      </c>
      <c r="AD144" s="223" t="str">
        <f t="shared" si="18"/>
        <v>-</v>
      </c>
      <c r="AE144" s="224" t="str">
        <f t="shared" si="46"/>
        <v>-</v>
      </c>
      <c r="AF144" s="224" t="str">
        <f t="shared" si="19"/>
        <v>-</v>
      </c>
      <c r="AG144" s="224" t="str">
        <f t="shared" si="20"/>
        <v>-</v>
      </c>
      <c r="AH144" s="272">
        <f t="shared" si="47"/>
        <v>0.1</v>
      </c>
      <c r="AI144" s="271" t="str">
        <f>IFERROR(IF(AD143=1,AI$100*EXP(-(LN(2)/$D$65+0.04)*AF143)*EXP(-(LN(2)/$D$65+0.1)*AG143),IF(AD143=2,AI$100*EXP(-(LN(2)/$D$65+0.04)*(VLOOKUP(($F$16-$F$15)-1,AC$99:AG143,4,FALSE)))*EXP(-(LN(2)/$D$65+0.1)*(VLOOKUP(($F$16-$F$15)-1,AC$99:AG143,5,FALSE)))*EXP(-(LN(2)/$D$65+0.04)*AF143)*EXP(-(LN(2)/$D$65+0.1)*AG143),IF(AD143=3,AI$100*EXP(-(LN(2)/$D$65+0.04)*(VLOOKUP(($F$16-$F$15)-1,AC$99:AG143,4,FALSE)))*EXP(-(LN(2)/$D$65+0.1)*(VLOOKUP(($F$16-$F$15)-1,AC$99:AG143,5,FALSE)))*EXP(-(LN(2)/$D$65+0.04)*(VLOOKUP(($F$16-$F$15)*2-1,AC$99:AG143,4,FALSE)))*EXP(-(LN(2)/$D$65+0.1)*(VLOOKUP(($F$16-$F$15)*2-1,AC$99:AG143,5,FALSE)))*EXP(-(LN(2)/$D$65+0.04)*AF143)*EXP(-(LN(2)/$D$65+0.1)*AG143),"-"))),"-")</f>
        <v>-</v>
      </c>
      <c r="AJ144" s="271" t="str">
        <f>IFERROR(IF(AD144=1,AJ$100*EXP(-(LN(2)/$D$65+0.04)*AF144)*EXP(-(LN(2)/$D$65+0.1)*AG144),IF(AD144=2,AJ$100*EXP(-(LN(2)/$D$65+0.04)*(VLOOKUP(($F$16-$F$15)-1,AC$100:AG144,4,FALSE)))*EXP(-(LN(2)/$D$65+0.1)*(VLOOKUP(($F$16-$F$15)-1,AC$100:AG144,5,FALSE)))*EXP(-(LN(2)/$D$65+0.04)*AF144)*EXP(-(LN(2)/$D$65+0.1)*AG144),IF(AD144=3,AJ$100*EXP(-(LN(2)/$D$65+0.04)*(VLOOKUP(($F$16-$F$15)-1,AC$100:AG144,4,FALSE)))*EXP(-(LN(2)/$D$65+0.1)*(VLOOKUP(($F$16-$F$15)-1,AC$100:AG144,5,FALSE)))*EXP(-(LN(2)/$D$65+0.04)*(VLOOKUP(($F$16-$F$15)*2-1,AC$100:AG144,4,FALSE)))*EXP(-(LN(2)/$D$65+0.1)*(VLOOKUP(($F$16-$F$15)*2-1,AC$100:AG144,5,FALSE)))*EXP(-(LN(2)/$D$65+0.04)*AF144)*EXP(-(LN(2)/$D$65+0.1)*AG144),"-"))),"-")</f>
        <v>-</v>
      </c>
      <c r="AK144" s="227">
        <f t="shared" si="49"/>
        <v>44</v>
      </c>
      <c r="AL144" s="226" t="str">
        <f t="shared" si="22"/>
        <v>-</v>
      </c>
      <c r="AM144" s="227" t="str">
        <f t="shared" si="50"/>
        <v>-</v>
      </c>
      <c r="AN144" s="227" t="str">
        <f t="shared" si="51"/>
        <v>-</v>
      </c>
      <c r="AO144" s="227" t="str">
        <f t="shared" si="23"/>
        <v>-</v>
      </c>
      <c r="AP144" s="273">
        <f t="shared" si="52"/>
        <v>0.1</v>
      </c>
      <c r="AQ144" s="271" t="str">
        <f>IFERROR(IF(AL143=1,AQ$100*EXP(-(LN(2)/$D$65+0.04)*AN143)*EXP(-(LN(2)/$D$65+0.1)*AO143),IF(AL143=2,AQ$100*EXP(-(LN(2)/$D$65+0.04)*(VLOOKUP(($F$16-$F$15)-1,AK$99:AO143,4,FALSE)))*EXP(-(LN(2)/$D$65+0.1)*(VLOOKUP(($F$16-$F$15)-1,AK$99:AO143,5,FALSE)))*EXP(-(LN(2)/$D$65+0.04)*AN143)*EXP(-(LN(2)/$D$65+0.1)*AO143),IF(AL143=3,AQ$100*EXP(-(LN(2)/$D$65+0.04)*(VLOOKUP(($F$16-$F$15)-1,AK$99:AO143,4,FALSE)))*EXP(-(LN(2)/$D$65+0.1)*(VLOOKUP(($F$16-$F$15)-1,AK$99:AO143,5,FALSE)))*EXP(-(LN(2)/$D$65+0.04)*(VLOOKUP(($F$16-$F$15)*2-1,AK$99:AO143,4,FALSE)))*EXP(-(LN(2)/$D$65+0.1)*(VLOOKUP(($F$16-$F$15)*2-1,AK$99:AO143,5,FALSE)))*EXP(-(LN(2)/$D$65+0.04)*AN143)*EXP(-(LN(2)/$D$65+0.1)*AO143),"-"))),"-")</f>
        <v>-</v>
      </c>
      <c r="AR144" s="271" t="str">
        <f>IFERROR(IF(AL144=1,AR$100*EXP(-(LN(2)/$D$65+0.04)*AN144)*EXP(-(LN(2)/$D$65+0.1)*AO144),IF(AL144=2,AR$100*EXP(-(LN(2)/$D$65+0.04)*(VLOOKUP(($F$16-$F$15)-1,AK$100:AO144,4,FALSE)))*EXP(-(LN(2)/$D$65+0.1)*(VLOOKUP(($F$16-$F$15)-1,AK$100:AO144,5,FALSE)))*EXP(-(LN(2)/$D$65+0.04)*AN144)*EXP(-(LN(2)/$D$65+0.1)*AO144),IF(AL144=3,AR$100*EXP(-(LN(2)/$D$65+0.04)*(VLOOKUP(($F$16-$F$15)-1,AK$100:AO144,4,FALSE)))*EXP(-(LN(2)/$D$65+0.1)*(VLOOKUP(($F$16-$F$15)-1,AK$100:AO144,5,FALSE)))*EXP(-(LN(2)/$D$65+0.04)*(VLOOKUP(($F$16-$F$15)*2-1,AK$100:AO144,4,FALSE)))*EXP(-(LN(2)/$D$65+0.1)*(VLOOKUP(($F$16-$F$15)*2-1,AK$100:AO144,5,FALSE)))*EXP(-(LN(2)/$D$65+0.04)*AN144)*EXP(-(LN(2)/$D$65+0.1)*AO144),"-"))),"-")</f>
        <v>-</v>
      </c>
      <c r="AS144" s="274">
        <f t="shared" si="24"/>
        <v>0</v>
      </c>
      <c r="AT144" s="274">
        <f t="shared" si="25"/>
        <v>0</v>
      </c>
      <c r="AU144" s="274">
        <f t="shared" si="26"/>
        <v>0</v>
      </c>
      <c r="AV144" s="190" t="str">
        <f>IF($B144&lt;$F$22,SUM($T$100:$T144),"")</f>
        <v/>
      </c>
      <c r="AW144" s="190" t="str">
        <f t="shared" si="83"/>
        <v>-</v>
      </c>
      <c r="AX144" s="190" t="str">
        <f t="shared" si="56"/>
        <v/>
      </c>
      <c r="AY144"/>
      <c r="AZ144" s="190" t="str">
        <f ca="1">IF(ISNUMBER(OFFSET(AV144,-$F$21,0)),SUM(OFFSET($T$100,$F$21,0):$T144),"")</f>
        <v/>
      </c>
      <c r="BA144" s="190" t="str">
        <f t="shared" ca="1" si="84"/>
        <v/>
      </c>
      <c r="BB144" s="190" t="str">
        <f t="shared" ca="1" si="70"/>
        <v/>
      </c>
      <c r="BC144" s="190"/>
      <c r="BD144" s="190" t="str">
        <f ca="1">IFERROR(IF(OR(ISNUMBER(I),ISNUMBER($F$14)),IF(AND($B144&gt;=($F$16-$F$15),$B144&lt;$F$22+($F$16-$F$15)),SUM(OFFSET($T$100,($F$16-$F$15),0):$T144),""),""),"")</f>
        <v/>
      </c>
      <c r="BE144" s="190" t="str">
        <f t="shared" ca="1" si="58"/>
        <v/>
      </c>
      <c r="BF144" s="190" t="str">
        <f t="shared" ca="1" si="59"/>
        <v/>
      </c>
      <c r="BG144"/>
      <c r="BH144" s="190" t="str">
        <f ca="1">IF(ISNUMBER(OFFSET(BD144,-$F$21,0)),SUM(OFFSET($T$100,($F$16-$F$15+$F$21),0):$T144),"")</f>
        <v/>
      </c>
      <c r="BI144" s="190" t="str">
        <f t="shared" ca="1" si="85"/>
        <v/>
      </c>
      <c r="BJ144" s="190" t="str">
        <f t="shared" ca="1" si="60"/>
        <v/>
      </c>
      <c r="BK144" s="190"/>
      <c r="BL144" s="190" t="str">
        <f ca="1">IFERROR(IF(OR(ISNUMBER(I),ISNUMBER($F$14)),IF(AND($B144&gt;=($F$17-$F$15),$B144&lt;$F$22+($F$17-$F$15)),SUM(OFFSET($T$100,($F$17-$F$15),0):$T144),""),""),"")</f>
        <v/>
      </c>
      <c r="BM144" s="190" t="str">
        <f t="shared" ca="1" si="86"/>
        <v/>
      </c>
      <c r="BN144" s="190" t="str">
        <f t="shared" ca="1" si="61"/>
        <v/>
      </c>
      <c r="BO144"/>
      <c r="BP144" s="190" t="str">
        <f ca="1">IF(ISNUMBER(OFFSET(BL144,-$F$21,0)),SUM(OFFSET($T$100,($F$17-$F$15+$F$21),0):$T144),"")</f>
        <v/>
      </c>
      <c r="BQ144" s="190" t="str">
        <f t="shared" ca="1" si="87"/>
        <v/>
      </c>
      <c r="BR144" s="190" t="str">
        <f t="shared" ca="1" si="63"/>
        <v/>
      </c>
      <c r="BS144" s="190"/>
      <c r="BT144"/>
      <c r="BU144"/>
      <c r="BV144"/>
      <c r="BY144" s="99"/>
      <c r="BZ144" s="99"/>
      <c r="CA144" s="280" t="str">
        <f t="shared" si="88"/>
        <v/>
      </c>
      <c r="CB144" s="71" t="str">
        <f t="shared" si="31"/>
        <v>-</v>
      </c>
      <c r="CC144" s="33"/>
      <c r="CD144" s="261" t="str">
        <f t="shared" si="33"/>
        <v/>
      </c>
      <c r="CE144" s="280" t="str">
        <f t="shared" si="89"/>
        <v/>
      </c>
      <c r="CF144" s="71" t="str">
        <f t="shared" ca="1" si="90"/>
        <v/>
      </c>
      <c r="CG144" s="33" t="str">
        <f t="shared" si="36"/>
        <v/>
      </c>
      <c r="CH144" s="261" t="str">
        <f t="shared" ca="1" si="37"/>
        <v/>
      </c>
      <c r="CI144" s="202"/>
      <c r="CJ144" s="99"/>
      <c r="CK144" s="99"/>
      <c r="CL144" s="99"/>
      <c r="CM144" s="99"/>
      <c r="CN144" s="99"/>
      <c r="CO144" s="99"/>
    </row>
    <row r="145" spans="2:93" ht="13.5" customHeight="1" x14ac:dyDescent="0.2">
      <c r="B145" s="262">
        <v>45</v>
      </c>
      <c r="C145" s="237" t="str">
        <f t="shared" si="1"/>
        <v/>
      </c>
      <c r="D145" s="237" t="str">
        <f t="shared" si="66"/>
        <v/>
      </c>
      <c r="E145" s="290" t="str">
        <f t="shared" si="38"/>
        <v/>
      </c>
      <c r="F145" s="264" t="str">
        <f t="shared" si="39"/>
        <v/>
      </c>
      <c r="G145" s="291" t="str">
        <f t="shared" si="40"/>
        <v/>
      </c>
      <c r="H145" s="240" t="str">
        <f t="shared" si="71"/>
        <v/>
      </c>
      <c r="I145" s="265" t="str">
        <f t="shared" si="72"/>
        <v/>
      </c>
      <c r="J145" s="265" t="str">
        <f t="shared" si="73"/>
        <v/>
      </c>
      <c r="K145" s="240" t="str">
        <f t="shared" si="74"/>
        <v/>
      </c>
      <c r="L145" s="265" t="str">
        <f t="shared" si="75"/>
        <v/>
      </c>
      <c r="M145" s="265" t="str">
        <f t="shared" si="76"/>
        <v/>
      </c>
      <c r="N145" s="240" t="str">
        <f t="shared" si="77"/>
        <v>-</v>
      </c>
      <c r="O145" s="265" t="str">
        <f t="shared" si="78"/>
        <v>-</v>
      </c>
      <c r="P145" s="265" t="str">
        <f t="shared" si="79"/>
        <v>-</v>
      </c>
      <c r="Q145" s="266" t="str">
        <f t="shared" si="80"/>
        <v>-</v>
      </c>
      <c r="R145" s="267" t="str">
        <f t="shared" si="81"/>
        <v>-</v>
      </c>
      <c r="S145" s="268" t="str">
        <f t="shared" si="82"/>
        <v>-</v>
      </c>
      <c r="T145" s="269" t="str">
        <f t="shared" si="13"/>
        <v/>
      </c>
      <c r="U145" s="221">
        <f t="shared" si="14"/>
        <v>45</v>
      </c>
      <c r="V145" s="220" t="str">
        <f t="shared" si="42"/>
        <v>-</v>
      </c>
      <c r="W145" s="221" t="str">
        <f t="shared" si="43"/>
        <v>-</v>
      </c>
      <c r="X145" s="221" t="str">
        <f t="shared" si="15"/>
        <v>-</v>
      </c>
      <c r="Y145" s="221" t="str">
        <f t="shared" si="16"/>
        <v>-</v>
      </c>
      <c r="Z145" s="270">
        <f t="shared" si="44"/>
        <v>0.1</v>
      </c>
      <c r="AA145" s="271" t="str">
        <f>IFERROR(IF(V144=1,AA$100*EXP(-(LN(2)/$D$65+0.04)*X144)*EXP(-(LN(2)/$D$65+0.1)*Y144),IF(V144=2,AA$100*EXP(-(LN(2)/$D$65+0.04)*(VLOOKUP(($F$16-$F$15)-1,U$99:Y144,4,FALSE)))*EXP(-(LN(2)/$D$65+0.1)*(VLOOKUP(($F$16-$F$15)-1,U$99:Y144,5,FALSE)))*EXP(-(LN(2)/$D$65+0.04)*X144)*EXP(-(LN(2)/$D$65+0.1)*Y144),IF(V144=3,AA$100*EXP(-(LN(2)/$D$65+0.04)*(VLOOKUP(($F$16-$F$15)-1,U$99:Y144,4,FALSE)))*EXP(-(LN(2)/$D$65+0.1)*(VLOOKUP(($F$16-$F$15)-1,U$99:Y144,5,FALSE)))*EXP(-(LN(2)/$D$65+0.04)*(VLOOKUP(($F$16-$F$15)*2-1,U$99:Y144,4,FALSE)))*EXP(-(LN(2)/$D$65+0.1)*(VLOOKUP(($F$16-$F$15)*2-1,U$99:Y144,5,FALSE)))*EXP(-(LN(2)/$D$65+0.04)*X144)*EXP(-(LN(2)/$D$65+0.1)*Y144),"-"))),"-")</f>
        <v>-</v>
      </c>
      <c r="AB145" s="271" t="str">
        <f>IFERROR(IF(V145=1,AB$100*EXP(-(LN(2)/$D$65+0.04)*X145)*EXP(-(LN(2)/$D$65+0.1)*Y145),IF(V145=2,AB$100*EXP(-(LN(2)/$D$65+0.04)*(VLOOKUP(($F$16-$F$15)-1,U$100:Y145,4,FALSE)))*EXP(-(LN(2)/$D$65+0.1)*(VLOOKUP(($F$16-$F$15)-1,U$100:Y145,5,FALSE)))*EXP(-(LN(2)/$D$65+0.04)*X145)*EXP(-(LN(2)/$D$65+0.1)*Y145),IF(V145=3,AB$100*EXP(-(LN(2)/$D$65+0.04)*(VLOOKUP(($F$16-$F$15)-1,U$100:Y145,4,FALSE)))*EXP(-(LN(2)/$D$65+0.1)*(VLOOKUP(($F$16-$F$15)-1,U$100:Y145,5,FALSE)))*EXP(-(LN(2)/$D$65+0.04)*(VLOOKUP(($F$16-$F$15)*2-1,U$100:Y145,4,FALSE)))*EXP(-(LN(2)/$D$65+0.1)*(VLOOKUP(($F$16-$F$15)*2-1,U$100:Y145,5,FALSE)))*EXP(-(LN(2)/$D$65+0.04)*X145)*EXP(-(LN(2)/$D$65+0.1)*Y145),"-"))),"-")</f>
        <v>-</v>
      </c>
      <c r="AC145" s="224">
        <f t="shared" si="45"/>
        <v>45</v>
      </c>
      <c r="AD145" s="223" t="str">
        <f t="shared" si="18"/>
        <v>-</v>
      </c>
      <c r="AE145" s="224" t="str">
        <f t="shared" si="46"/>
        <v>-</v>
      </c>
      <c r="AF145" s="224" t="str">
        <f t="shared" si="19"/>
        <v>-</v>
      </c>
      <c r="AG145" s="224" t="str">
        <f t="shared" si="20"/>
        <v>-</v>
      </c>
      <c r="AH145" s="272">
        <f t="shared" si="47"/>
        <v>0.1</v>
      </c>
      <c r="AI145" s="271" t="str">
        <f>IFERROR(IF(AD144=1,AI$100*EXP(-(LN(2)/$D$65+0.04)*AF144)*EXP(-(LN(2)/$D$65+0.1)*AG144),IF(AD144=2,AI$100*EXP(-(LN(2)/$D$65+0.04)*(VLOOKUP(($F$16-$F$15)-1,AC$99:AG144,4,FALSE)))*EXP(-(LN(2)/$D$65+0.1)*(VLOOKUP(($F$16-$F$15)-1,AC$99:AG144,5,FALSE)))*EXP(-(LN(2)/$D$65+0.04)*AF144)*EXP(-(LN(2)/$D$65+0.1)*AG144),IF(AD144=3,AI$100*EXP(-(LN(2)/$D$65+0.04)*(VLOOKUP(($F$16-$F$15)-1,AC$99:AG144,4,FALSE)))*EXP(-(LN(2)/$D$65+0.1)*(VLOOKUP(($F$16-$F$15)-1,AC$99:AG144,5,FALSE)))*EXP(-(LN(2)/$D$65+0.04)*(VLOOKUP(($F$16-$F$15)*2-1,AC$99:AG144,4,FALSE)))*EXP(-(LN(2)/$D$65+0.1)*(VLOOKUP(($F$16-$F$15)*2-1,AC$99:AG144,5,FALSE)))*EXP(-(LN(2)/$D$65+0.04)*AF144)*EXP(-(LN(2)/$D$65+0.1)*AG144),"-"))),"-")</f>
        <v>-</v>
      </c>
      <c r="AJ145" s="271" t="str">
        <f>IFERROR(IF(AD145=1,AJ$100*EXP(-(LN(2)/$D$65+0.04)*AF145)*EXP(-(LN(2)/$D$65+0.1)*AG145),IF(AD145=2,AJ$100*EXP(-(LN(2)/$D$65+0.04)*(VLOOKUP(($F$16-$F$15)-1,AC$100:AG145,4,FALSE)))*EXP(-(LN(2)/$D$65+0.1)*(VLOOKUP(($F$16-$F$15)-1,AC$100:AG145,5,FALSE)))*EXP(-(LN(2)/$D$65+0.04)*AF145)*EXP(-(LN(2)/$D$65+0.1)*AG145),IF(AD145=3,AJ$100*EXP(-(LN(2)/$D$65+0.04)*(VLOOKUP(($F$16-$F$15)-1,AC$100:AG145,4,FALSE)))*EXP(-(LN(2)/$D$65+0.1)*(VLOOKUP(($F$16-$F$15)-1,AC$100:AG145,5,FALSE)))*EXP(-(LN(2)/$D$65+0.04)*(VLOOKUP(($F$16-$F$15)*2-1,AC$100:AG145,4,FALSE)))*EXP(-(LN(2)/$D$65+0.1)*(VLOOKUP(($F$16-$F$15)*2-1,AC$100:AG145,5,FALSE)))*EXP(-(LN(2)/$D$65+0.04)*AF145)*EXP(-(LN(2)/$D$65+0.1)*AG145),"-"))),"-")</f>
        <v>-</v>
      </c>
      <c r="AK145" s="227">
        <f t="shared" si="49"/>
        <v>45</v>
      </c>
      <c r="AL145" s="226" t="str">
        <f t="shared" si="22"/>
        <v>-</v>
      </c>
      <c r="AM145" s="227" t="str">
        <f t="shared" si="50"/>
        <v>-</v>
      </c>
      <c r="AN145" s="227" t="str">
        <f t="shared" si="51"/>
        <v>-</v>
      </c>
      <c r="AO145" s="227" t="str">
        <f t="shared" si="23"/>
        <v>-</v>
      </c>
      <c r="AP145" s="273">
        <f t="shared" si="52"/>
        <v>0.1</v>
      </c>
      <c r="AQ145" s="271" t="str">
        <f>IFERROR(IF(AL144=1,AQ$100*EXP(-(LN(2)/$D$65+0.04)*AN144)*EXP(-(LN(2)/$D$65+0.1)*AO144),IF(AL144=2,AQ$100*EXP(-(LN(2)/$D$65+0.04)*(VLOOKUP(($F$16-$F$15)-1,AK$99:AO144,4,FALSE)))*EXP(-(LN(2)/$D$65+0.1)*(VLOOKUP(($F$16-$F$15)-1,AK$99:AO144,5,FALSE)))*EXP(-(LN(2)/$D$65+0.04)*AN144)*EXP(-(LN(2)/$D$65+0.1)*AO144),IF(AL144=3,AQ$100*EXP(-(LN(2)/$D$65+0.04)*(VLOOKUP(($F$16-$F$15)-1,AK$99:AO144,4,FALSE)))*EXP(-(LN(2)/$D$65+0.1)*(VLOOKUP(($F$16-$F$15)-1,AK$99:AO144,5,FALSE)))*EXP(-(LN(2)/$D$65+0.04)*(VLOOKUP(($F$16-$F$15)*2-1,AK$99:AO144,4,FALSE)))*EXP(-(LN(2)/$D$65+0.1)*(VLOOKUP(($F$16-$F$15)*2-1,AK$99:AO144,5,FALSE)))*EXP(-(LN(2)/$D$65+0.04)*AN144)*EXP(-(LN(2)/$D$65+0.1)*AO144),"-"))),"-")</f>
        <v>-</v>
      </c>
      <c r="AR145" s="271" t="str">
        <f>IFERROR(IF(AL145=1,AR$100*EXP(-(LN(2)/$D$65+0.04)*AN145)*EXP(-(LN(2)/$D$65+0.1)*AO145),IF(AL145=2,AR$100*EXP(-(LN(2)/$D$65+0.04)*(VLOOKUP(($F$16-$F$15)-1,AK$100:AO145,4,FALSE)))*EXP(-(LN(2)/$D$65+0.1)*(VLOOKUP(($F$16-$F$15)-1,AK$100:AO145,5,FALSE)))*EXP(-(LN(2)/$D$65+0.04)*AN145)*EXP(-(LN(2)/$D$65+0.1)*AO145),IF(AL145=3,AR$100*EXP(-(LN(2)/$D$65+0.04)*(VLOOKUP(($F$16-$F$15)-1,AK$100:AO145,4,FALSE)))*EXP(-(LN(2)/$D$65+0.1)*(VLOOKUP(($F$16-$F$15)-1,AK$100:AO145,5,FALSE)))*EXP(-(LN(2)/$D$65+0.04)*(VLOOKUP(($F$16-$F$15)*2-1,AK$100:AO145,4,FALSE)))*EXP(-(LN(2)/$D$65+0.1)*(VLOOKUP(($F$16-$F$15)*2-1,AK$100:AO145,5,FALSE)))*EXP(-(LN(2)/$D$65+0.04)*AN145)*EXP(-(LN(2)/$D$65+0.1)*AO145),"-"))),"-")</f>
        <v>-</v>
      </c>
      <c r="AS145" s="274">
        <f t="shared" si="24"/>
        <v>0</v>
      </c>
      <c r="AT145" s="274">
        <f t="shared" si="25"/>
        <v>0</v>
      </c>
      <c r="AU145" s="274">
        <f t="shared" si="26"/>
        <v>0</v>
      </c>
      <c r="AV145" s="190" t="str">
        <f>IF($B145&lt;$F$22,SUM($T$100:$T145),"")</f>
        <v/>
      </c>
      <c r="AW145" s="190" t="str">
        <f t="shared" si="83"/>
        <v>-</v>
      </c>
      <c r="AX145" s="190" t="str">
        <f t="shared" si="56"/>
        <v/>
      </c>
      <c r="AY145"/>
      <c r="AZ145" s="190" t="str">
        <f ca="1">IF(ISNUMBER(OFFSET(AV145,-$F$21,0)),SUM(OFFSET($T$100,$F$21,0):$T145),"")</f>
        <v/>
      </c>
      <c r="BA145" s="190" t="str">
        <f t="shared" ca="1" si="84"/>
        <v/>
      </c>
      <c r="BB145" s="190" t="str">
        <f t="shared" ca="1" si="70"/>
        <v/>
      </c>
      <c r="BC145" s="190"/>
      <c r="BD145" s="190" t="str">
        <f ca="1">IFERROR(IF(OR(ISNUMBER(I),ISNUMBER($F$14)),IF(AND($B145&gt;=($F$16-$F$15),$B145&lt;$F$22+($F$16-$F$15)),SUM(OFFSET($T$100,($F$16-$F$15),0):$T145),""),""),"")</f>
        <v/>
      </c>
      <c r="BE145" s="190" t="str">
        <f t="shared" ca="1" si="58"/>
        <v/>
      </c>
      <c r="BF145" s="190" t="str">
        <f t="shared" ca="1" si="59"/>
        <v/>
      </c>
      <c r="BG145"/>
      <c r="BH145" s="190" t="str">
        <f ca="1">IF(ISNUMBER(OFFSET(BD145,-$F$21,0)),SUM(OFFSET($T$100,($F$16-$F$15+$F$21),0):$T145),"")</f>
        <v/>
      </c>
      <c r="BI145" s="190" t="str">
        <f t="shared" ca="1" si="85"/>
        <v/>
      </c>
      <c r="BJ145" s="190" t="str">
        <f t="shared" ca="1" si="60"/>
        <v/>
      </c>
      <c r="BK145" s="190"/>
      <c r="BL145" s="190" t="str">
        <f ca="1">IFERROR(IF(OR(ISNUMBER(I),ISNUMBER($F$14)),IF(AND($B145&gt;=($F$17-$F$15),$B145&lt;$F$22+($F$17-$F$15)),SUM(OFFSET($T$100,($F$17-$F$15),0):$T145),""),""),"")</f>
        <v/>
      </c>
      <c r="BM145" s="190" t="str">
        <f t="shared" ca="1" si="86"/>
        <v/>
      </c>
      <c r="BN145" s="190" t="str">
        <f t="shared" ca="1" si="61"/>
        <v/>
      </c>
      <c r="BO145"/>
      <c r="BP145" s="190" t="str">
        <f ca="1">IF(ISNUMBER(OFFSET(BL145,-$F$21,0)),SUM(OFFSET($T$100,($F$17-$F$15+$F$21),0):$T145),"")</f>
        <v/>
      </c>
      <c r="BQ145" s="190" t="str">
        <f t="shared" ca="1" si="87"/>
        <v/>
      </c>
      <c r="BR145" s="190" t="str">
        <f t="shared" ca="1" si="63"/>
        <v/>
      </c>
      <c r="BS145" s="190"/>
      <c r="BT145"/>
      <c r="BU145"/>
      <c r="BV145"/>
      <c r="BY145" s="99"/>
      <c r="BZ145" s="99"/>
      <c r="CA145" s="280" t="str">
        <f t="shared" si="88"/>
        <v/>
      </c>
      <c r="CB145" s="71" t="str">
        <f t="shared" si="31"/>
        <v>-</v>
      </c>
      <c r="CC145" s="33"/>
      <c r="CD145" s="261" t="str">
        <f t="shared" si="33"/>
        <v/>
      </c>
      <c r="CE145" s="280" t="str">
        <f t="shared" si="89"/>
        <v/>
      </c>
      <c r="CF145" s="71" t="str">
        <f t="shared" ca="1" si="90"/>
        <v/>
      </c>
      <c r="CG145" s="33" t="str">
        <f t="shared" si="36"/>
        <v/>
      </c>
      <c r="CH145" s="261" t="str">
        <f t="shared" ca="1" si="37"/>
        <v/>
      </c>
      <c r="CI145" s="202"/>
      <c r="CJ145" s="99"/>
      <c r="CK145" s="99"/>
      <c r="CL145" s="99"/>
      <c r="CM145" s="99"/>
      <c r="CN145" s="99"/>
      <c r="CO145" s="99"/>
    </row>
    <row r="146" spans="2:93" ht="13.5" customHeight="1" x14ac:dyDescent="0.2">
      <c r="B146" s="262">
        <v>46</v>
      </c>
      <c r="C146" s="237" t="str">
        <f t="shared" si="1"/>
        <v/>
      </c>
      <c r="D146" s="237" t="str">
        <f t="shared" si="66"/>
        <v/>
      </c>
      <c r="E146" s="290" t="str">
        <f t="shared" si="38"/>
        <v/>
      </c>
      <c r="F146" s="264" t="str">
        <f t="shared" si="39"/>
        <v/>
      </c>
      <c r="G146" s="291" t="str">
        <f t="shared" si="40"/>
        <v/>
      </c>
      <c r="H146" s="240" t="str">
        <f t="shared" si="71"/>
        <v/>
      </c>
      <c r="I146" s="265" t="str">
        <f t="shared" si="72"/>
        <v/>
      </c>
      <c r="J146" s="265" t="str">
        <f t="shared" si="73"/>
        <v/>
      </c>
      <c r="K146" s="240" t="str">
        <f t="shared" si="74"/>
        <v/>
      </c>
      <c r="L146" s="265" t="str">
        <f t="shared" si="75"/>
        <v/>
      </c>
      <c r="M146" s="265" t="str">
        <f t="shared" si="76"/>
        <v/>
      </c>
      <c r="N146" s="240" t="str">
        <f t="shared" si="77"/>
        <v>-</v>
      </c>
      <c r="O146" s="265" t="str">
        <f t="shared" si="78"/>
        <v>-</v>
      </c>
      <c r="P146" s="265" t="str">
        <f t="shared" si="79"/>
        <v>-</v>
      </c>
      <c r="Q146" s="266" t="str">
        <f t="shared" si="80"/>
        <v>-</v>
      </c>
      <c r="R146" s="267" t="str">
        <f t="shared" si="81"/>
        <v>-</v>
      </c>
      <c r="S146" s="268" t="str">
        <f t="shared" si="82"/>
        <v>-</v>
      </c>
      <c r="T146" s="269" t="str">
        <f t="shared" si="13"/>
        <v/>
      </c>
      <c r="U146" s="221">
        <f t="shared" si="14"/>
        <v>46</v>
      </c>
      <c r="V146" s="220" t="str">
        <f t="shared" si="42"/>
        <v>-</v>
      </c>
      <c r="W146" s="221" t="str">
        <f t="shared" si="43"/>
        <v>-</v>
      </c>
      <c r="X146" s="221" t="str">
        <f t="shared" si="15"/>
        <v>-</v>
      </c>
      <c r="Y146" s="221" t="str">
        <f t="shared" si="16"/>
        <v>-</v>
      </c>
      <c r="Z146" s="270">
        <f t="shared" si="44"/>
        <v>0.1</v>
      </c>
      <c r="AA146" s="271" t="str">
        <f>IFERROR(IF(V145=1,AA$100*EXP(-(LN(2)/$D$65+0.04)*X145)*EXP(-(LN(2)/$D$65+0.1)*Y145),IF(V145=2,AA$100*EXP(-(LN(2)/$D$65+0.04)*(VLOOKUP(($F$16-$F$15)-1,U$99:Y145,4,FALSE)))*EXP(-(LN(2)/$D$65+0.1)*(VLOOKUP(($F$16-$F$15)-1,U$99:Y145,5,FALSE)))*EXP(-(LN(2)/$D$65+0.04)*X145)*EXP(-(LN(2)/$D$65+0.1)*Y145),IF(V145=3,AA$100*EXP(-(LN(2)/$D$65+0.04)*(VLOOKUP(($F$16-$F$15)-1,U$99:Y145,4,FALSE)))*EXP(-(LN(2)/$D$65+0.1)*(VLOOKUP(($F$16-$F$15)-1,U$99:Y145,5,FALSE)))*EXP(-(LN(2)/$D$65+0.04)*(VLOOKUP(($F$16-$F$15)*2-1,U$99:Y145,4,FALSE)))*EXP(-(LN(2)/$D$65+0.1)*(VLOOKUP(($F$16-$F$15)*2-1,U$99:Y145,5,FALSE)))*EXP(-(LN(2)/$D$65+0.04)*X145)*EXP(-(LN(2)/$D$65+0.1)*Y145),"-"))),"-")</f>
        <v>-</v>
      </c>
      <c r="AB146" s="271" t="str">
        <f>IFERROR(IF(V146=1,AB$100*EXP(-(LN(2)/$D$65+0.04)*X146)*EXP(-(LN(2)/$D$65+0.1)*Y146),IF(V146=2,AB$100*EXP(-(LN(2)/$D$65+0.04)*(VLOOKUP(($F$16-$F$15)-1,U$100:Y146,4,FALSE)))*EXP(-(LN(2)/$D$65+0.1)*(VLOOKUP(($F$16-$F$15)-1,U$100:Y146,5,FALSE)))*EXP(-(LN(2)/$D$65+0.04)*X146)*EXP(-(LN(2)/$D$65+0.1)*Y146),IF(V146=3,AB$100*EXP(-(LN(2)/$D$65+0.04)*(VLOOKUP(($F$16-$F$15)-1,U$100:Y146,4,FALSE)))*EXP(-(LN(2)/$D$65+0.1)*(VLOOKUP(($F$16-$F$15)-1,U$100:Y146,5,FALSE)))*EXP(-(LN(2)/$D$65+0.04)*(VLOOKUP(($F$16-$F$15)*2-1,U$100:Y146,4,FALSE)))*EXP(-(LN(2)/$D$65+0.1)*(VLOOKUP(($F$16-$F$15)*2-1,U$100:Y146,5,FALSE)))*EXP(-(LN(2)/$D$65+0.04)*X146)*EXP(-(LN(2)/$D$65+0.1)*Y146),"-"))),"-")</f>
        <v>-</v>
      </c>
      <c r="AC146" s="224">
        <f t="shared" si="45"/>
        <v>46</v>
      </c>
      <c r="AD146" s="223" t="str">
        <f t="shared" si="18"/>
        <v>-</v>
      </c>
      <c r="AE146" s="224" t="str">
        <f t="shared" si="46"/>
        <v>-</v>
      </c>
      <c r="AF146" s="224" t="str">
        <f t="shared" si="19"/>
        <v>-</v>
      </c>
      <c r="AG146" s="224" t="str">
        <f t="shared" si="20"/>
        <v>-</v>
      </c>
      <c r="AH146" s="272">
        <f t="shared" si="47"/>
        <v>0.1</v>
      </c>
      <c r="AI146" s="271" t="str">
        <f>IFERROR(IF(AD145=1,AI$100*EXP(-(LN(2)/$D$65+0.04)*AF145)*EXP(-(LN(2)/$D$65+0.1)*AG145),IF(AD145=2,AI$100*EXP(-(LN(2)/$D$65+0.04)*(VLOOKUP(($F$16-$F$15)-1,AC$99:AG145,4,FALSE)))*EXP(-(LN(2)/$D$65+0.1)*(VLOOKUP(($F$16-$F$15)-1,AC$99:AG145,5,FALSE)))*EXP(-(LN(2)/$D$65+0.04)*AF145)*EXP(-(LN(2)/$D$65+0.1)*AG145),IF(AD145=3,AI$100*EXP(-(LN(2)/$D$65+0.04)*(VLOOKUP(($F$16-$F$15)-1,AC$99:AG145,4,FALSE)))*EXP(-(LN(2)/$D$65+0.1)*(VLOOKUP(($F$16-$F$15)-1,AC$99:AG145,5,FALSE)))*EXP(-(LN(2)/$D$65+0.04)*(VLOOKUP(($F$16-$F$15)*2-1,AC$99:AG145,4,FALSE)))*EXP(-(LN(2)/$D$65+0.1)*(VLOOKUP(($F$16-$F$15)*2-1,AC$99:AG145,5,FALSE)))*EXP(-(LN(2)/$D$65+0.04)*AF145)*EXP(-(LN(2)/$D$65+0.1)*AG145),"-"))),"-")</f>
        <v>-</v>
      </c>
      <c r="AJ146" s="271" t="str">
        <f>IFERROR(IF(AD146=1,AJ$100*EXP(-(LN(2)/$D$65+0.04)*AF146)*EXP(-(LN(2)/$D$65+0.1)*AG146),IF(AD146=2,AJ$100*EXP(-(LN(2)/$D$65+0.04)*(VLOOKUP(($F$16-$F$15)-1,AC$100:AG146,4,FALSE)))*EXP(-(LN(2)/$D$65+0.1)*(VLOOKUP(($F$16-$F$15)-1,AC$100:AG146,5,FALSE)))*EXP(-(LN(2)/$D$65+0.04)*AF146)*EXP(-(LN(2)/$D$65+0.1)*AG146),IF(AD146=3,AJ$100*EXP(-(LN(2)/$D$65+0.04)*(VLOOKUP(($F$16-$F$15)-1,AC$100:AG146,4,FALSE)))*EXP(-(LN(2)/$D$65+0.1)*(VLOOKUP(($F$16-$F$15)-1,AC$100:AG146,5,FALSE)))*EXP(-(LN(2)/$D$65+0.04)*(VLOOKUP(($F$16-$F$15)*2-1,AC$100:AG146,4,FALSE)))*EXP(-(LN(2)/$D$65+0.1)*(VLOOKUP(($F$16-$F$15)*2-1,AC$100:AG146,5,FALSE)))*EXP(-(LN(2)/$D$65+0.04)*AF146)*EXP(-(LN(2)/$D$65+0.1)*AG146),"-"))),"-")</f>
        <v>-</v>
      </c>
      <c r="AK146" s="227">
        <f t="shared" si="49"/>
        <v>46</v>
      </c>
      <c r="AL146" s="226" t="str">
        <f t="shared" si="22"/>
        <v>-</v>
      </c>
      <c r="AM146" s="227" t="str">
        <f t="shared" si="50"/>
        <v>-</v>
      </c>
      <c r="AN146" s="227" t="str">
        <f t="shared" si="51"/>
        <v>-</v>
      </c>
      <c r="AO146" s="227" t="str">
        <f t="shared" si="23"/>
        <v>-</v>
      </c>
      <c r="AP146" s="273">
        <f t="shared" si="52"/>
        <v>0.1</v>
      </c>
      <c r="AQ146" s="271" t="str">
        <f>IFERROR(IF(AL145=1,AQ$100*EXP(-(LN(2)/$D$65+0.04)*AN145)*EXP(-(LN(2)/$D$65+0.1)*AO145),IF(AL145=2,AQ$100*EXP(-(LN(2)/$D$65+0.04)*(VLOOKUP(($F$16-$F$15)-1,AK$99:AO145,4,FALSE)))*EXP(-(LN(2)/$D$65+0.1)*(VLOOKUP(($F$16-$F$15)-1,AK$99:AO145,5,FALSE)))*EXP(-(LN(2)/$D$65+0.04)*AN145)*EXP(-(LN(2)/$D$65+0.1)*AO145),IF(AL145=3,AQ$100*EXP(-(LN(2)/$D$65+0.04)*(VLOOKUP(($F$16-$F$15)-1,AK$99:AO145,4,FALSE)))*EXP(-(LN(2)/$D$65+0.1)*(VLOOKUP(($F$16-$F$15)-1,AK$99:AO145,5,FALSE)))*EXP(-(LN(2)/$D$65+0.04)*(VLOOKUP(($F$16-$F$15)*2-1,AK$99:AO145,4,FALSE)))*EXP(-(LN(2)/$D$65+0.1)*(VLOOKUP(($F$16-$F$15)*2-1,AK$99:AO145,5,FALSE)))*EXP(-(LN(2)/$D$65+0.04)*AN145)*EXP(-(LN(2)/$D$65+0.1)*AO145),"-"))),"-")</f>
        <v>-</v>
      </c>
      <c r="AR146" s="271" t="str">
        <f>IFERROR(IF(AL146=1,AR$100*EXP(-(LN(2)/$D$65+0.04)*AN146)*EXP(-(LN(2)/$D$65+0.1)*AO146),IF(AL146=2,AR$100*EXP(-(LN(2)/$D$65+0.04)*(VLOOKUP(($F$16-$F$15)-1,AK$100:AO146,4,FALSE)))*EXP(-(LN(2)/$D$65+0.1)*(VLOOKUP(($F$16-$F$15)-1,AK$100:AO146,5,FALSE)))*EXP(-(LN(2)/$D$65+0.04)*AN146)*EXP(-(LN(2)/$D$65+0.1)*AO146),IF(AL146=3,AR$100*EXP(-(LN(2)/$D$65+0.04)*(VLOOKUP(($F$16-$F$15)-1,AK$100:AO146,4,FALSE)))*EXP(-(LN(2)/$D$65+0.1)*(VLOOKUP(($F$16-$F$15)-1,AK$100:AO146,5,FALSE)))*EXP(-(LN(2)/$D$65+0.04)*(VLOOKUP(($F$16-$F$15)*2-1,AK$100:AO146,4,FALSE)))*EXP(-(LN(2)/$D$65+0.1)*(VLOOKUP(($F$16-$F$15)*2-1,AK$100:AO146,5,FALSE)))*EXP(-(LN(2)/$D$65+0.04)*AN146)*EXP(-(LN(2)/$D$65+0.1)*AO146),"-"))),"-")</f>
        <v>-</v>
      </c>
      <c r="AS146" s="274">
        <f t="shared" si="24"/>
        <v>0</v>
      </c>
      <c r="AT146" s="274">
        <f t="shared" si="25"/>
        <v>0</v>
      </c>
      <c r="AU146" s="274">
        <f t="shared" si="26"/>
        <v>0</v>
      </c>
      <c r="AV146" s="190" t="str">
        <f>IF($B146&lt;$F$22,SUM($T$100:$T146),"")</f>
        <v/>
      </c>
      <c r="AW146" s="190" t="str">
        <f t="shared" si="83"/>
        <v>-</v>
      </c>
      <c r="AX146" s="190" t="str">
        <f t="shared" si="56"/>
        <v/>
      </c>
      <c r="AY146"/>
      <c r="AZ146" s="190" t="str">
        <f ca="1">IF(ISNUMBER(OFFSET(AV146,-$F$21,0)),SUM(OFFSET($T$100,$F$21,0):$T146),"")</f>
        <v/>
      </c>
      <c r="BA146" s="190" t="str">
        <f t="shared" ca="1" si="84"/>
        <v/>
      </c>
      <c r="BB146" s="190" t="str">
        <f t="shared" ca="1" si="70"/>
        <v/>
      </c>
      <c r="BC146" s="190"/>
      <c r="BD146" s="190" t="str">
        <f ca="1">IFERROR(IF(OR(ISNUMBER(I),ISNUMBER($F$14)),IF(AND($B146&gt;=($F$16-$F$15),$B146&lt;$F$22+($F$16-$F$15)),SUM(OFFSET($T$100,($F$16-$F$15),0):$T146),""),""),"")</f>
        <v/>
      </c>
      <c r="BE146" s="190" t="str">
        <f t="shared" ca="1" si="58"/>
        <v/>
      </c>
      <c r="BF146" s="190" t="str">
        <f t="shared" ca="1" si="59"/>
        <v/>
      </c>
      <c r="BG146"/>
      <c r="BH146" s="190" t="str">
        <f ca="1">IF(ISNUMBER(OFFSET(BD146,-$F$21,0)),SUM(OFFSET($T$100,($F$16-$F$15+$F$21),0):$T146),"")</f>
        <v/>
      </c>
      <c r="BI146" s="190" t="str">
        <f t="shared" ca="1" si="85"/>
        <v/>
      </c>
      <c r="BJ146" s="190" t="str">
        <f t="shared" ca="1" si="60"/>
        <v/>
      </c>
      <c r="BK146" s="190"/>
      <c r="BL146" s="190" t="str">
        <f ca="1">IFERROR(IF(OR(ISNUMBER(I),ISNUMBER($F$14)),IF(AND($B146&gt;=($F$17-$F$15),$B146&lt;$F$22+($F$17-$F$15)),SUM(OFFSET($T$100,($F$17-$F$15),0):$T146),""),""),"")</f>
        <v/>
      </c>
      <c r="BM146" s="190" t="str">
        <f t="shared" ca="1" si="86"/>
        <v/>
      </c>
      <c r="BN146" s="190" t="str">
        <f t="shared" ca="1" si="61"/>
        <v/>
      </c>
      <c r="BO146"/>
      <c r="BP146" s="190" t="str">
        <f ca="1">IF(ISNUMBER(OFFSET(BL146,-$F$21,0)),SUM(OFFSET($T$100,($F$17-$F$15+$F$21),0):$T146),"")</f>
        <v/>
      </c>
      <c r="BQ146" s="190" t="str">
        <f t="shared" ca="1" si="87"/>
        <v/>
      </c>
      <c r="BR146" s="190" t="str">
        <f t="shared" ca="1" si="63"/>
        <v/>
      </c>
      <c r="BS146" s="190"/>
      <c r="BT146"/>
      <c r="BU146"/>
      <c r="BV146"/>
      <c r="BY146" s="99"/>
      <c r="BZ146" s="99"/>
      <c r="CA146" s="280" t="str">
        <f t="shared" si="88"/>
        <v/>
      </c>
      <c r="CB146" s="71" t="str">
        <f t="shared" si="31"/>
        <v>-</v>
      </c>
      <c r="CC146" s="33"/>
      <c r="CD146" s="261" t="str">
        <f t="shared" si="33"/>
        <v/>
      </c>
      <c r="CE146" s="280" t="str">
        <f t="shared" si="89"/>
        <v/>
      </c>
      <c r="CF146" s="71" t="str">
        <f t="shared" ca="1" si="90"/>
        <v/>
      </c>
      <c r="CG146" s="33" t="str">
        <f t="shared" si="36"/>
        <v/>
      </c>
      <c r="CH146" s="261" t="str">
        <f t="shared" ca="1" si="37"/>
        <v/>
      </c>
      <c r="CI146" s="202"/>
      <c r="CJ146" s="99"/>
      <c r="CK146" s="99"/>
      <c r="CL146" s="99"/>
      <c r="CM146" s="99"/>
      <c r="CN146" s="99"/>
      <c r="CO146" s="99"/>
    </row>
    <row r="147" spans="2:93" ht="13.5" customHeight="1" x14ac:dyDescent="0.2">
      <c r="B147" s="262">
        <v>47</v>
      </c>
      <c r="C147" s="237" t="str">
        <f t="shared" si="1"/>
        <v/>
      </c>
      <c r="D147" s="237" t="str">
        <f t="shared" si="66"/>
        <v/>
      </c>
      <c r="E147" s="290" t="str">
        <f t="shared" si="38"/>
        <v/>
      </c>
      <c r="F147" s="264" t="str">
        <f t="shared" si="39"/>
        <v/>
      </c>
      <c r="G147" s="291" t="str">
        <f t="shared" si="40"/>
        <v/>
      </c>
      <c r="H147" s="240" t="str">
        <f t="shared" si="71"/>
        <v/>
      </c>
      <c r="I147" s="265" t="str">
        <f t="shared" si="72"/>
        <v/>
      </c>
      <c r="J147" s="265" t="str">
        <f t="shared" si="73"/>
        <v/>
      </c>
      <c r="K147" s="240" t="str">
        <f t="shared" si="74"/>
        <v/>
      </c>
      <c r="L147" s="265" t="str">
        <f t="shared" si="75"/>
        <v/>
      </c>
      <c r="M147" s="265" t="str">
        <f t="shared" si="76"/>
        <v/>
      </c>
      <c r="N147" s="240" t="str">
        <f t="shared" si="77"/>
        <v>-</v>
      </c>
      <c r="O147" s="265" t="str">
        <f t="shared" si="78"/>
        <v>-</v>
      </c>
      <c r="P147" s="265" t="str">
        <f t="shared" si="79"/>
        <v>-</v>
      </c>
      <c r="Q147" s="266" t="str">
        <f t="shared" si="80"/>
        <v>-</v>
      </c>
      <c r="R147" s="267" t="str">
        <f t="shared" si="81"/>
        <v>-</v>
      </c>
      <c r="S147" s="268" t="str">
        <f t="shared" si="82"/>
        <v>-</v>
      </c>
      <c r="T147" s="269" t="str">
        <f t="shared" si="13"/>
        <v/>
      </c>
      <c r="U147" s="221">
        <f t="shared" si="14"/>
        <v>47</v>
      </c>
      <c r="V147" s="220" t="str">
        <f t="shared" si="42"/>
        <v>-</v>
      </c>
      <c r="W147" s="221" t="str">
        <f t="shared" si="43"/>
        <v>-</v>
      </c>
      <c r="X147" s="221" t="str">
        <f t="shared" si="15"/>
        <v>-</v>
      </c>
      <c r="Y147" s="221" t="str">
        <f t="shared" si="16"/>
        <v>-</v>
      </c>
      <c r="Z147" s="270">
        <f t="shared" si="44"/>
        <v>0.1</v>
      </c>
      <c r="AA147" s="271" t="str">
        <f>IFERROR(IF(V146=1,AA$100*EXP(-(LN(2)/$D$65+0.04)*X146)*EXP(-(LN(2)/$D$65+0.1)*Y146),IF(V146=2,AA$100*EXP(-(LN(2)/$D$65+0.04)*(VLOOKUP(($F$16-$F$15)-1,U$99:Y146,4,FALSE)))*EXP(-(LN(2)/$D$65+0.1)*(VLOOKUP(($F$16-$F$15)-1,U$99:Y146,5,FALSE)))*EXP(-(LN(2)/$D$65+0.04)*X146)*EXP(-(LN(2)/$D$65+0.1)*Y146),IF(V146=3,AA$100*EXP(-(LN(2)/$D$65+0.04)*(VLOOKUP(($F$16-$F$15)-1,U$99:Y146,4,FALSE)))*EXP(-(LN(2)/$D$65+0.1)*(VLOOKUP(($F$16-$F$15)-1,U$99:Y146,5,FALSE)))*EXP(-(LN(2)/$D$65+0.04)*(VLOOKUP(($F$16-$F$15)*2-1,U$99:Y146,4,FALSE)))*EXP(-(LN(2)/$D$65+0.1)*(VLOOKUP(($F$16-$F$15)*2-1,U$99:Y146,5,FALSE)))*EXP(-(LN(2)/$D$65+0.04)*X146)*EXP(-(LN(2)/$D$65+0.1)*Y146),"-"))),"-")</f>
        <v>-</v>
      </c>
      <c r="AB147" s="271" t="str">
        <f>IFERROR(IF(V147=1,AB$100*EXP(-(LN(2)/$D$65+0.04)*X147)*EXP(-(LN(2)/$D$65+0.1)*Y147),IF(V147=2,AB$100*EXP(-(LN(2)/$D$65+0.04)*(VLOOKUP(($F$16-$F$15)-1,U$100:Y147,4,FALSE)))*EXP(-(LN(2)/$D$65+0.1)*(VLOOKUP(($F$16-$F$15)-1,U$100:Y147,5,FALSE)))*EXP(-(LN(2)/$D$65+0.04)*X147)*EXP(-(LN(2)/$D$65+0.1)*Y147),IF(V147=3,AB$100*EXP(-(LN(2)/$D$65+0.04)*(VLOOKUP(($F$16-$F$15)-1,U$100:Y147,4,FALSE)))*EXP(-(LN(2)/$D$65+0.1)*(VLOOKUP(($F$16-$F$15)-1,U$100:Y147,5,FALSE)))*EXP(-(LN(2)/$D$65+0.04)*(VLOOKUP(($F$16-$F$15)*2-1,U$100:Y147,4,FALSE)))*EXP(-(LN(2)/$D$65+0.1)*(VLOOKUP(($F$16-$F$15)*2-1,U$100:Y147,5,FALSE)))*EXP(-(LN(2)/$D$65+0.04)*X147)*EXP(-(LN(2)/$D$65+0.1)*Y147),"-"))),"-")</f>
        <v>-</v>
      </c>
      <c r="AC147" s="224">
        <f t="shared" si="45"/>
        <v>47</v>
      </c>
      <c r="AD147" s="223" t="str">
        <f t="shared" si="18"/>
        <v>-</v>
      </c>
      <c r="AE147" s="224" t="str">
        <f t="shared" si="46"/>
        <v>-</v>
      </c>
      <c r="AF147" s="224" t="str">
        <f t="shared" si="19"/>
        <v>-</v>
      </c>
      <c r="AG147" s="224" t="str">
        <f t="shared" si="20"/>
        <v>-</v>
      </c>
      <c r="AH147" s="272">
        <f t="shared" si="47"/>
        <v>0.1</v>
      </c>
      <c r="AI147" s="271" t="str">
        <f>IFERROR(IF(AD146=1,AI$100*EXP(-(LN(2)/$D$65+0.04)*AF146)*EXP(-(LN(2)/$D$65+0.1)*AG146),IF(AD146=2,AI$100*EXP(-(LN(2)/$D$65+0.04)*(VLOOKUP(($F$16-$F$15)-1,AC$99:AG146,4,FALSE)))*EXP(-(LN(2)/$D$65+0.1)*(VLOOKUP(($F$16-$F$15)-1,AC$99:AG146,5,FALSE)))*EXP(-(LN(2)/$D$65+0.04)*AF146)*EXP(-(LN(2)/$D$65+0.1)*AG146),IF(AD146=3,AI$100*EXP(-(LN(2)/$D$65+0.04)*(VLOOKUP(($F$16-$F$15)-1,AC$99:AG146,4,FALSE)))*EXP(-(LN(2)/$D$65+0.1)*(VLOOKUP(($F$16-$F$15)-1,AC$99:AG146,5,FALSE)))*EXP(-(LN(2)/$D$65+0.04)*(VLOOKUP(($F$16-$F$15)*2-1,AC$99:AG146,4,FALSE)))*EXP(-(LN(2)/$D$65+0.1)*(VLOOKUP(($F$16-$F$15)*2-1,AC$99:AG146,5,FALSE)))*EXP(-(LN(2)/$D$65+0.04)*AF146)*EXP(-(LN(2)/$D$65+0.1)*AG146),"-"))),"-")</f>
        <v>-</v>
      </c>
      <c r="AJ147" s="271" t="str">
        <f>IFERROR(IF(AD147=1,AJ$100*EXP(-(LN(2)/$D$65+0.04)*AF147)*EXP(-(LN(2)/$D$65+0.1)*AG147),IF(AD147=2,AJ$100*EXP(-(LN(2)/$D$65+0.04)*(VLOOKUP(($F$16-$F$15)-1,AC$100:AG147,4,FALSE)))*EXP(-(LN(2)/$D$65+0.1)*(VLOOKUP(($F$16-$F$15)-1,AC$100:AG147,5,FALSE)))*EXP(-(LN(2)/$D$65+0.04)*AF147)*EXP(-(LN(2)/$D$65+0.1)*AG147),IF(AD147=3,AJ$100*EXP(-(LN(2)/$D$65+0.04)*(VLOOKUP(($F$16-$F$15)-1,AC$100:AG147,4,FALSE)))*EXP(-(LN(2)/$D$65+0.1)*(VLOOKUP(($F$16-$F$15)-1,AC$100:AG147,5,FALSE)))*EXP(-(LN(2)/$D$65+0.04)*(VLOOKUP(($F$16-$F$15)*2-1,AC$100:AG147,4,FALSE)))*EXP(-(LN(2)/$D$65+0.1)*(VLOOKUP(($F$16-$F$15)*2-1,AC$100:AG147,5,FALSE)))*EXP(-(LN(2)/$D$65+0.04)*AF147)*EXP(-(LN(2)/$D$65+0.1)*AG147),"-"))),"-")</f>
        <v>-</v>
      </c>
      <c r="AK147" s="227">
        <f t="shared" si="49"/>
        <v>47</v>
      </c>
      <c r="AL147" s="226" t="str">
        <f t="shared" si="22"/>
        <v>-</v>
      </c>
      <c r="AM147" s="227" t="str">
        <f t="shared" si="50"/>
        <v>-</v>
      </c>
      <c r="AN147" s="227" t="str">
        <f t="shared" si="51"/>
        <v>-</v>
      </c>
      <c r="AO147" s="227" t="str">
        <f t="shared" si="23"/>
        <v>-</v>
      </c>
      <c r="AP147" s="273">
        <f t="shared" si="52"/>
        <v>0.1</v>
      </c>
      <c r="AQ147" s="271" t="str">
        <f>IFERROR(IF(AL146=1,AQ$100*EXP(-(LN(2)/$D$65+0.04)*AN146)*EXP(-(LN(2)/$D$65+0.1)*AO146),IF(AL146=2,AQ$100*EXP(-(LN(2)/$D$65+0.04)*(VLOOKUP(($F$16-$F$15)-1,AK$99:AO146,4,FALSE)))*EXP(-(LN(2)/$D$65+0.1)*(VLOOKUP(($F$16-$F$15)-1,AK$99:AO146,5,FALSE)))*EXP(-(LN(2)/$D$65+0.04)*AN146)*EXP(-(LN(2)/$D$65+0.1)*AO146),IF(AL146=3,AQ$100*EXP(-(LN(2)/$D$65+0.04)*(VLOOKUP(($F$16-$F$15)-1,AK$99:AO146,4,FALSE)))*EXP(-(LN(2)/$D$65+0.1)*(VLOOKUP(($F$16-$F$15)-1,AK$99:AO146,5,FALSE)))*EXP(-(LN(2)/$D$65+0.04)*(VLOOKUP(($F$16-$F$15)*2-1,AK$99:AO146,4,FALSE)))*EXP(-(LN(2)/$D$65+0.1)*(VLOOKUP(($F$16-$F$15)*2-1,AK$99:AO146,5,FALSE)))*EXP(-(LN(2)/$D$65+0.04)*AN146)*EXP(-(LN(2)/$D$65+0.1)*AO146),"-"))),"-")</f>
        <v>-</v>
      </c>
      <c r="AR147" s="271" t="str">
        <f>IFERROR(IF(AL147=1,AR$100*EXP(-(LN(2)/$D$65+0.04)*AN147)*EXP(-(LN(2)/$D$65+0.1)*AO147),IF(AL147=2,AR$100*EXP(-(LN(2)/$D$65+0.04)*(VLOOKUP(($F$16-$F$15)-1,AK$100:AO147,4,FALSE)))*EXP(-(LN(2)/$D$65+0.1)*(VLOOKUP(($F$16-$F$15)-1,AK$100:AO147,5,FALSE)))*EXP(-(LN(2)/$D$65+0.04)*AN147)*EXP(-(LN(2)/$D$65+0.1)*AO147),IF(AL147=3,AR$100*EXP(-(LN(2)/$D$65+0.04)*(VLOOKUP(($F$16-$F$15)-1,AK$100:AO147,4,FALSE)))*EXP(-(LN(2)/$D$65+0.1)*(VLOOKUP(($F$16-$F$15)-1,AK$100:AO147,5,FALSE)))*EXP(-(LN(2)/$D$65+0.04)*(VLOOKUP(($F$16-$F$15)*2-1,AK$100:AO147,4,FALSE)))*EXP(-(LN(2)/$D$65+0.1)*(VLOOKUP(($F$16-$F$15)*2-1,AK$100:AO147,5,FALSE)))*EXP(-(LN(2)/$D$65+0.04)*AN147)*EXP(-(LN(2)/$D$65+0.1)*AO147),"-"))),"-")</f>
        <v>-</v>
      </c>
      <c r="AS147" s="274">
        <f t="shared" si="24"/>
        <v>0</v>
      </c>
      <c r="AT147" s="274">
        <f t="shared" si="25"/>
        <v>0</v>
      </c>
      <c r="AU147" s="274">
        <f t="shared" si="26"/>
        <v>0</v>
      </c>
      <c r="AV147" s="190" t="str">
        <f>IF($B147&lt;$F$22,SUM($T$100:$T147),"")</f>
        <v/>
      </c>
      <c r="AW147" s="190" t="str">
        <f t="shared" si="83"/>
        <v>-</v>
      </c>
      <c r="AX147" s="190" t="str">
        <f t="shared" si="56"/>
        <v/>
      </c>
      <c r="AY147"/>
      <c r="AZ147" s="190" t="str">
        <f ca="1">IF(ISNUMBER(OFFSET(AV147,-$F$21,0)),SUM(OFFSET($T$100,$F$21,0):$T147),"")</f>
        <v/>
      </c>
      <c r="BA147" s="190" t="str">
        <f t="shared" ca="1" si="84"/>
        <v/>
      </c>
      <c r="BB147" s="190" t="str">
        <f t="shared" ca="1" si="70"/>
        <v/>
      </c>
      <c r="BC147" s="190"/>
      <c r="BD147" s="190" t="str">
        <f ca="1">IFERROR(IF(OR(ISNUMBER(I),ISNUMBER($F$14)),IF(AND($B147&gt;=($F$16-$F$15),$B147&lt;$F$22+($F$16-$F$15)),SUM(OFFSET($T$100,($F$16-$F$15),0):$T147),""),""),"")</f>
        <v/>
      </c>
      <c r="BE147" s="190" t="str">
        <f t="shared" ca="1" si="58"/>
        <v/>
      </c>
      <c r="BF147" s="190" t="str">
        <f t="shared" ca="1" si="59"/>
        <v/>
      </c>
      <c r="BG147"/>
      <c r="BH147" s="190" t="str">
        <f ca="1">IF(ISNUMBER(OFFSET(BD147,-$F$21,0)),SUM(OFFSET($T$100,($F$16-$F$15+$F$21),0):$T147),"")</f>
        <v/>
      </c>
      <c r="BI147" s="190" t="str">
        <f t="shared" ca="1" si="85"/>
        <v/>
      </c>
      <c r="BJ147" s="190" t="str">
        <f t="shared" ca="1" si="60"/>
        <v/>
      </c>
      <c r="BK147" s="190"/>
      <c r="BL147" s="190" t="str">
        <f ca="1">IFERROR(IF(OR(ISNUMBER(I),ISNUMBER($F$14)),IF(AND($B147&gt;=($F$17-$F$15),$B147&lt;$F$22+($F$17-$F$15)),SUM(OFFSET($T$100,($F$17-$F$15),0):$T147),""),""),"")</f>
        <v/>
      </c>
      <c r="BM147" s="190" t="str">
        <f t="shared" ca="1" si="86"/>
        <v/>
      </c>
      <c r="BN147" s="190" t="str">
        <f t="shared" ca="1" si="61"/>
        <v/>
      </c>
      <c r="BO147"/>
      <c r="BP147" s="190" t="str">
        <f ca="1">IF(ISNUMBER(OFFSET(BL147,-$F$21,0)),SUM(OFFSET($T$100,($F$17-$F$15+$F$21),0):$T147),"")</f>
        <v/>
      </c>
      <c r="BQ147" s="190" t="str">
        <f t="shared" ca="1" si="87"/>
        <v/>
      </c>
      <c r="BR147" s="190" t="str">
        <f t="shared" ca="1" si="63"/>
        <v/>
      </c>
      <c r="BS147" s="190"/>
      <c r="BT147"/>
      <c r="BU147"/>
      <c r="BV147"/>
      <c r="BY147" s="99"/>
      <c r="BZ147" s="99"/>
      <c r="CA147" s="280" t="str">
        <f t="shared" si="88"/>
        <v/>
      </c>
      <c r="CB147" s="71" t="str">
        <f t="shared" si="31"/>
        <v>-</v>
      </c>
      <c r="CC147" s="33"/>
      <c r="CD147" s="261" t="str">
        <f t="shared" si="33"/>
        <v/>
      </c>
      <c r="CE147" s="280" t="str">
        <f t="shared" si="89"/>
        <v/>
      </c>
      <c r="CF147" s="71" t="str">
        <f t="shared" ca="1" si="90"/>
        <v/>
      </c>
      <c r="CG147" s="33" t="str">
        <f t="shared" si="36"/>
        <v/>
      </c>
      <c r="CH147" s="261" t="str">
        <f t="shared" ca="1" si="37"/>
        <v/>
      </c>
      <c r="CI147" s="202"/>
      <c r="CJ147" s="99"/>
      <c r="CK147" s="99"/>
      <c r="CL147" s="99"/>
      <c r="CM147" s="99"/>
      <c r="CN147" s="99"/>
      <c r="CO147" s="99"/>
    </row>
    <row r="148" spans="2:93" ht="13.5" customHeight="1" x14ac:dyDescent="0.2">
      <c r="B148" s="262">
        <v>48</v>
      </c>
      <c r="C148" s="237" t="str">
        <f t="shared" si="1"/>
        <v/>
      </c>
      <c r="D148" s="237" t="str">
        <f t="shared" si="66"/>
        <v/>
      </c>
      <c r="E148" s="290" t="str">
        <f t="shared" si="38"/>
        <v/>
      </c>
      <c r="F148" s="264" t="str">
        <f t="shared" si="39"/>
        <v/>
      </c>
      <c r="G148" s="291" t="str">
        <f t="shared" si="40"/>
        <v/>
      </c>
      <c r="H148" s="240" t="str">
        <f t="shared" si="71"/>
        <v/>
      </c>
      <c r="I148" s="265" t="str">
        <f t="shared" si="72"/>
        <v/>
      </c>
      <c r="J148" s="265" t="str">
        <f t="shared" si="73"/>
        <v/>
      </c>
      <c r="K148" s="240" t="str">
        <f t="shared" si="74"/>
        <v/>
      </c>
      <c r="L148" s="265" t="str">
        <f t="shared" si="75"/>
        <v/>
      </c>
      <c r="M148" s="265" t="str">
        <f t="shared" si="76"/>
        <v/>
      </c>
      <c r="N148" s="240" t="str">
        <f t="shared" si="77"/>
        <v>-</v>
      </c>
      <c r="O148" s="265" t="str">
        <f t="shared" si="78"/>
        <v>-</v>
      </c>
      <c r="P148" s="265" t="str">
        <f t="shared" si="79"/>
        <v>-</v>
      </c>
      <c r="Q148" s="266" t="str">
        <f t="shared" si="80"/>
        <v>-</v>
      </c>
      <c r="R148" s="267" t="str">
        <f t="shared" si="81"/>
        <v>-</v>
      </c>
      <c r="S148" s="268" t="str">
        <f t="shared" si="82"/>
        <v>-</v>
      </c>
      <c r="T148" s="269" t="str">
        <f t="shared" si="13"/>
        <v/>
      </c>
      <c r="U148" s="221">
        <f t="shared" si="14"/>
        <v>48</v>
      </c>
      <c r="V148" s="220" t="str">
        <f t="shared" si="42"/>
        <v>-</v>
      </c>
      <c r="W148" s="221" t="str">
        <f t="shared" si="43"/>
        <v>-</v>
      </c>
      <c r="X148" s="221" t="str">
        <f t="shared" si="15"/>
        <v>-</v>
      </c>
      <c r="Y148" s="221" t="str">
        <f t="shared" si="16"/>
        <v>-</v>
      </c>
      <c r="Z148" s="270">
        <f t="shared" si="44"/>
        <v>0.1</v>
      </c>
      <c r="AA148" s="271" t="str">
        <f>IFERROR(IF(V147=1,AA$100*EXP(-(LN(2)/$D$65+0.04)*X147)*EXP(-(LN(2)/$D$65+0.1)*Y147),IF(V147=2,AA$100*EXP(-(LN(2)/$D$65+0.04)*(VLOOKUP(($F$16-$F$15)-1,U$99:Y147,4,FALSE)))*EXP(-(LN(2)/$D$65+0.1)*(VLOOKUP(($F$16-$F$15)-1,U$99:Y147,5,FALSE)))*EXP(-(LN(2)/$D$65+0.04)*X147)*EXP(-(LN(2)/$D$65+0.1)*Y147),IF(V147=3,AA$100*EXP(-(LN(2)/$D$65+0.04)*(VLOOKUP(($F$16-$F$15)-1,U$99:Y147,4,FALSE)))*EXP(-(LN(2)/$D$65+0.1)*(VLOOKUP(($F$16-$F$15)-1,U$99:Y147,5,FALSE)))*EXP(-(LN(2)/$D$65+0.04)*(VLOOKUP(($F$16-$F$15)*2-1,U$99:Y147,4,FALSE)))*EXP(-(LN(2)/$D$65+0.1)*(VLOOKUP(($F$16-$F$15)*2-1,U$99:Y147,5,FALSE)))*EXP(-(LN(2)/$D$65+0.04)*X147)*EXP(-(LN(2)/$D$65+0.1)*Y147),"-"))),"-")</f>
        <v>-</v>
      </c>
      <c r="AB148" s="271" t="str">
        <f>IFERROR(IF(V148=1,AB$100*EXP(-(LN(2)/$D$65+0.04)*X148)*EXP(-(LN(2)/$D$65+0.1)*Y148),IF(V148=2,AB$100*EXP(-(LN(2)/$D$65+0.04)*(VLOOKUP(($F$16-$F$15)-1,U$100:Y148,4,FALSE)))*EXP(-(LN(2)/$D$65+0.1)*(VLOOKUP(($F$16-$F$15)-1,U$100:Y148,5,FALSE)))*EXP(-(LN(2)/$D$65+0.04)*X148)*EXP(-(LN(2)/$D$65+0.1)*Y148),IF(V148=3,AB$100*EXP(-(LN(2)/$D$65+0.04)*(VLOOKUP(($F$16-$F$15)-1,U$100:Y148,4,FALSE)))*EXP(-(LN(2)/$D$65+0.1)*(VLOOKUP(($F$16-$F$15)-1,U$100:Y148,5,FALSE)))*EXP(-(LN(2)/$D$65+0.04)*(VLOOKUP(($F$16-$F$15)*2-1,U$100:Y148,4,FALSE)))*EXP(-(LN(2)/$D$65+0.1)*(VLOOKUP(($F$16-$F$15)*2-1,U$100:Y148,5,FALSE)))*EXP(-(LN(2)/$D$65+0.04)*X148)*EXP(-(LN(2)/$D$65+0.1)*Y148),"-"))),"-")</f>
        <v>-</v>
      </c>
      <c r="AC148" s="224">
        <f t="shared" si="45"/>
        <v>48</v>
      </c>
      <c r="AD148" s="223" t="str">
        <f t="shared" si="18"/>
        <v>-</v>
      </c>
      <c r="AE148" s="224" t="str">
        <f t="shared" si="46"/>
        <v>-</v>
      </c>
      <c r="AF148" s="224" t="str">
        <f t="shared" si="19"/>
        <v>-</v>
      </c>
      <c r="AG148" s="224" t="str">
        <f t="shared" si="20"/>
        <v>-</v>
      </c>
      <c r="AH148" s="272">
        <f t="shared" si="47"/>
        <v>0.1</v>
      </c>
      <c r="AI148" s="271" t="str">
        <f>IFERROR(IF(AD147=1,AI$100*EXP(-(LN(2)/$D$65+0.04)*AF147)*EXP(-(LN(2)/$D$65+0.1)*AG147),IF(AD147=2,AI$100*EXP(-(LN(2)/$D$65+0.04)*(VLOOKUP(($F$16-$F$15)-1,AC$99:AG147,4,FALSE)))*EXP(-(LN(2)/$D$65+0.1)*(VLOOKUP(($F$16-$F$15)-1,AC$99:AG147,5,FALSE)))*EXP(-(LN(2)/$D$65+0.04)*AF147)*EXP(-(LN(2)/$D$65+0.1)*AG147),IF(AD147=3,AI$100*EXP(-(LN(2)/$D$65+0.04)*(VLOOKUP(($F$16-$F$15)-1,AC$99:AG147,4,FALSE)))*EXP(-(LN(2)/$D$65+0.1)*(VLOOKUP(($F$16-$F$15)-1,AC$99:AG147,5,FALSE)))*EXP(-(LN(2)/$D$65+0.04)*(VLOOKUP(($F$16-$F$15)*2-1,AC$99:AG147,4,FALSE)))*EXP(-(LN(2)/$D$65+0.1)*(VLOOKUP(($F$16-$F$15)*2-1,AC$99:AG147,5,FALSE)))*EXP(-(LN(2)/$D$65+0.04)*AF147)*EXP(-(LN(2)/$D$65+0.1)*AG147),"-"))),"-")</f>
        <v>-</v>
      </c>
      <c r="AJ148" s="271" t="str">
        <f>IFERROR(IF(AD148=1,AJ$100*EXP(-(LN(2)/$D$65+0.04)*AF148)*EXP(-(LN(2)/$D$65+0.1)*AG148),IF(AD148=2,AJ$100*EXP(-(LN(2)/$D$65+0.04)*(VLOOKUP(($F$16-$F$15)-1,AC$100:AG148,4,FALSE)))*EXP(-(LN(2)/$D$65+0.1)*(VLOOKUP(($F$16-$F$15)-1,AC$100:AG148,5,FALSE)))*EXP(-(LN(2)/$D$65+0.04)*AF148)*EXP(-(LN(2)/$D$65+0.1)*AG148),IF(AD148=3,AJ$100*EXP(-(LN(2)/$D$65+0.04)*(VLOOKUP(($F$16-$F$15)-1,AC$100:AG148,4,FALSE)))*EXP(-(LN(2)/$D$65+0.1)*(VLOOKUP(($F$16-$F$15)-1,AC$100:AG148,5,FALSE)))*EXP(-(LN(2)/$D$65+0.04)*(VLOOKUP(($F$16-$F$15)*2-1,AC$100:AG148,4,FALSE)))*EXP(-(LN(2)/$D$65+0.1)*(VLOOKUP(($F$16-$F$15)*2-1,AC$100:AG148,5,FALSE)))*EXP(-(LN(2)/$D$65+0.04)*AF148)*EXP(-(LN(2)/$D$65+0.1)*AG148),"-"))),"-")</f>
        <v>-</v>
      </c>
      <c r="AK148" s="227">
        <f t="shared" si="49"/>
        <v>48</v>
      </c>
      <c r="AL148" s="226" t="str">
        <f t="shared" si="22"/>
        <v>-</v>
      </c>
      <c r="AM148" s="227" t="str">
        <f t="shared" si="50"/>
        <v>-</v>
      </c>
      <c r="AN148" s="227" t="str">
        <f t="shared" si="51"/>
        <v>-</v>
      </c>
      <c r="AO148" s="227" t="str">
        <f t="shared" si="23"/>
        <v>-</v>
      </c>
      <c r="AP148" s="273">
        <f t="shared" si="52"/>
        <v>0.1</v>
      </c>
      <c r="AQ148" s="271" t="str">
        <f>IFERROR(IF(AL147=1,AQ$100*EXP(-(LN(2)/$D$65+0.04)*AN147)*EXP(-(LN(2)/$D$65+0.1)*AO147),IF(AL147=2,AQ$100*EXP(-(LN(2)/$D$65+0.04)*(VLOOKUP(($F$16-$F$15)-1,AK$99:AO147,4,FALSE)))*EXP(-(LN(2)/$D$65+0.1)*(VLOOKUP(($F$16-$F$15)-1,AK$99:AO147,5,FALSE)))*EXP(-(LN(2)/$D$65+0.04)*AN147)*EXP(-(LN(2)/$D$65+0.1)*AO147),IF(AL147=3,AQ$100*EXP(-(LN(2)/$D$65+0.04)*(VLOOKUP(($F$16-$F$15)-1,AK$99:AO147,4,FALSE)))*EXP(-(LN(2)/$D$65+0.1)*(VLOOKUP(($F$16-$F$15)-1,AK$99:AO147,5,FALSE)))*EXP(-(LN(2)/$D$65+0.04)*(VLOOKUP(($F$16-$F$15)*2-1,AK$99:AO147,4,FALSE)))*EXP(-(LN(2)/$D$65+0.1)*(VLOOKUP(($F$16-$F$15)*2-1,AK$99:AO147,5,FALSE)))*EXP(-(LN(2)/$D$65+0.04)*AN147)*EXP(-(LN(2)/$D$65+0.1)*AO147),"-"))),"-")</f>
        <v>-</v>
      </c>
      <c r="AR148" s="271" t="str">
        <f>IFERROR(IF(AL148=1,AR$100*EXP(-(LN(2)/$D$65+0.04)*AN148)*EXP(-(LN(2)/$D$65+0.1)*AO148),IF(AL148=2,AR$100*EXP(-(LN(2)/$D$65+0.04)*(VLOOKUP(($F$16-$F$15)-1,AK$100:AO148,4,FALSE)))*EXP(-(LN(2)/$D$65+0.1)*(VLOOKUP(($F$16-$F$15)-1,AK$100:AO148,5,FALSE)))*EXP(-(LN(2)/$D$65+0.04)*AN148)*EXP(-(LN(2)/$D$65+0.1)*AO148),IF(AL148=3,AR$100*EXP(-(LN(2)/$D$65+0.04)*(VLOOKUP(($F$16-$F$15)-1,AK$100:AO148,4,FALSE)))*EXP(-(LN(2)/$D$65+0.1)*(VLOOKUP(($F$16-$F$15)-1,AK$100:AO148,5,FALSE)))*EXP(-(LN(2)/$D$65+0.04)*(VLOOKUP(($F$16-$F$15)*2-1,AK$100:AO148,4,FALSE)))*EXP(-(LN(2)/$D$65+0.1)*(VLOOKUP(($F$16-$F$15)*2-1,AK$100:AO148,5,FALSE)))*EXP(-(LN(2)/$D$65+0.04)*AN148)*EXP(-(LN(2)/$D$65+0.1)*AO148),"-"))),"-")</f>
        <v>-</v>
      </c>
      <c r="AS148" s="274">
        <f t="shared" si="24"/>
        <v>0</v>
      </c>
      <c r="AT148" s="274">
        <f t="shared" si="25"/>
        <v>0</v>
      </c>
      <c r="AU148" s="274">
        <f t="shared" si="26"/>
        <v>0</v>
      </c>
      <c r="AV148" s="190" t="str">
        <f>IF($B148&lt;$F$22,SUM($T$100:$T148),"")</f>
        <v/>
      </c>
      <c r="AW148" s="190" t="str">
        <f t="shared" si="83"/>
        <v>-</v>
      </c>
      <c r="AX148" s="190" t="str">
        <f t="shared" si="56"/>
        <v/>
      </c>
      <c r="AY148"/>
      <c r="AZ148" s="190" t="str">
        <f ca="1">IF(ISNUMBER(OFFSET(AV148,-$F$21,0)),SUM(OFFSET($T$100,$F$21,0):$T148),"")</f>
        <v/>
      </c>
      <c r="BA148" s="190" t="str">
        <f t="shared" ca="1" si="84"/>
        <v/>
      </c>
      <c r="BB148" s="190" t="str">
        <f t="shared" ca="1" si="70"/>
        <v/>
      </c>
      <c r="BC148" s="190"/>
      <c r="BD148" s="190" t="str">
        <f ca="1">IFERROR(IF(OR(ISNUMBER(I),ISNUMBER($F$14)),IF(AND($B148&gt;=($F$16-$F$15),$B148&lt;$F$22+($F$16-$F$15)),SUM(OFFSET($T$100,($F$16-$F$15),0):$T148),""),""),"")</f>
        <v/>
      </c>
      <c r="BE148" s="190" t="str">
        <f t="shared" ca="1" si="58"/>
        <v/>
      </c>
      <c r="BF148" s="190" t="str">
        <f t="shared" ca="1" si="59"/>
        <v/>
      </c>
      <c r="BG148"/>
      <c r="BH148" s="190" t="str">
        <f ca="1">IF(ISNUMBER(OFFSET(BD148,-$F$21,0)),SUM(OFFSET($T$100,($F$16-$F$15+$F$21),0):$T148),"")</f>
        <v/>
      </c>
      <c r="BI148" s="190" t="str">
        <f t="shared" ca="1" si="85"/>
        <v/>
      </c>
      <c r="BJ148" s="190" t="str">
        <f t="shared" ca="1" si="60"/>
        <v/>
      </c>
      <c r="BK148" s="190"/>
      <c r="BL148" s="190" t="str">
        <f ca="1">IFERROR(IF(OR(ISNUMBER(I),ISNUMBER($F$14)),IF(AND($B148&gt;=($F$17-$F$15),$B148&lt;$F$22+($F$17-$F$15)),SUM(OFFSET($T$100,($F$17-$F$15),0):$T148),""),""),"")</f>
        <v/>
      </c>
      <c r="BM148" s="190" t="str">
        <f t="shared" ca="1" si="86"/>
        <v/>
      </c>
      <c r="BN148" s="190" t="str">
        <f t="shared" ca="1" si="61"/>
        <v/>
      </c>
      <c r="BO148"/>
      <c r="BP148" s="190" t="str">
        <f ca="1">IF(ISNUMBER(OFFSET(BL148,-$F$21,0)),SUM(OFFSET($T$100,($F$17-$F$15+$F$21),0):$T148),"")</f>
        <v/>
      </c>
      <c r="BQ148" s="190" t="str">
        <f t="shared" ca="1" si="87"/>
        <v/>
      </c>
      <c r="BR148" s="190" t="str">
        <f t="shared" ca="1" si="63"/>
        <v/>
      </c>
      <c r="BS148" s="190"/>
      <c r="BT148"/>
      <c r="BU148"/>
      <c r="BV148"/>
      <c r="BY148" s="99"/>
      <c r="BZ148" s="99"/>
      <c r="CA148" s="280" t="str">
        <f t="shared" si="88"/>
        <v/>
      </c>
      <c r="CB148" s="71" t="str">
        <f t="shared" si="31"/>
        <v>-</v>
      </c>
      <c r="CC148" s="33"/>
      <c r="CD148" s="261" t="str">
        <f t="shared" si="33"/>
        <v/>
      </c>
      <c r="CE148" s="280" t="str">
        <f t="shared" si="89"/>
        <v/>
      </c>
      <c r="CF148" s="71" t="str">
        <f t="shared" ca="1" si="90"/>
        <v/>
      </c>
      <c r="CG148" s="33" t="str">
        <f t="shared" si="36"/>
        <v/>
      </c>
      <c r="CH148" s="261" t="str">
        <f t="shared" ca="1" si="37"/>
        <v/>
      </c>
      <c r="CI148" s="202"/>
      <c r="CJ148" s="99"/>
      <c r="CK148" s="99"/>
      <c r="CL148" s="99"/>
      <c r="CM148" s="99"/>
      <c r="CN148" s="99"/>
      <c r="CO148" s="99"/>
    </row>
    <row r="149" spans="2:93" ht="13.5" customHeight="1" x14ac:dyDescent="0.2">
      <c r="B149" s="262">
        <v>49</v>
      </c>
      <c r="C149" s="237" t="str">
        <f t="shared" si="1"/>
        <v/>
      </c>
      <c r="D149" s="237" t="str">
        <f t="shared" si="66"/>
        <v/>
      </c>
      <c r="E149" s="290" t="str">
        <f t="shared" si="38"/>
        <v/>
      </c>
      <c r="F149" s="264" t="str">
        <f t="shared" si="39"/>
        <v/>
      </c>
      <c r="G149" s="291" t="str">
        <f t="shared" si="40"/>
        <v/>
      </c>
      <c r="H149" s="240" t="str">
        <f t="shared" si="71"/>
        <v/>
      </c>
      <c r="I149" s="265" t="str">
        <f t="shared" si="72"/>
        <v/>
      </c>
      <c r="J149" s="265" t="str">
        <f t="shared" si="73"/>
        <v/>
      </c>
      <c r="K149" s="240" t="str">
        <f t="shared" si="74"/>
        <v/>
      </c>
      <c r="L149" s="265" t="str">
        <f t="shared" si="75"/>
        <v/>
      </c>
      <c r="M149" s="265" t="str">
        <f t="shared" si="76"/>
        <v/>
      </c>
      <c r="N149" s="240" t="str">
        <f t="shared" si="77"/>
        <v>-</v>
      </c>
      <c r="O149" s="265" t="str">
        <f t="shared" si="78"/>
        <v>-</v>
      </c>
      <c r="P149" s="265" t="str">
        <f t="shared" si="79"/>
        <v>-</v>
      </c>
      <c r="Q149" s="266" t="str">
        <f t="shared" si="80"/>
        <v>-</v>
      </c>
      <c r="R149" s="267" t="str">
        <f t="shared" si="81"/>
        <v>-</v>
      </c>
      <c r="S149" s="268" t="str">
        <f t="shared" si="82"/>
        <v>-</v>
      </c>
      <c r="T149" s="269" t="str">
        <f t="shared" si="13"/>
        <v/>
      </c>
      <c r="U149" s="221">
        <f t="shared" si="14"/>
        <v>49</v>
      </c>
      <c r="V149" s="220" t="str">
        <f t="shared" si="42"/>
        <v>-</v>
      </c>
      <c r="W149" s="221" t="str">
        <f t="shared" si="43"/>
        <v>-</v>
      </c>
      <c r="X149" s="221" t="str">
        <f t="shared" si="15"/>
        <v>-</v>
      </c>
      <c r="Y149" s="221" t="str">
        <f t="shared" si="16"/>
        <v>-</v>
      </c>
      <c r="Z149" s="270">
        <f t="shared" si="44"/>
        <v>0.1</v>
      </c>
      <c r="AA149" s="271" t="str">
        <f>IFERROR(IF(V148=1,AA$100*EXP(-(LN(2)/$D$65+0.04)*X148)*EXP(-(LN(2)/$D$65+0.1)*Y148),IF(V148=2,AA$100*EXP(-(LN(2)/$D$65+0.04)*(VLOOKUP(($F$16-$F$15)-1,U$99:Y148,4,FALSE)))*EXP(-(LN(2)/$D$65+0.1)*(VLOOKUP(($F$16-$F$15)-1,U$99:Y148,5,FALSE)))*EXP(-(LN(2)/$D$65+0.04)*X148)*EXP(-(LN(2)/$D$65+0.1)*Y148),IF(V148=3,AA$100*EXP(-(LN(2)/$D$65+0.04)*(VLOOKUP(($F$16-$F$15)-1,U$99:Y148,4,FALSE)))*EXP(-(LN(2)/$D$65+0.1)*(VLOOKUP(($F$16-$F$15)-1,U$99:Y148,5,FALSE)))*EXP(-(LN(2)/$D$65+0.04)*(VLOOKUP(($F$16-$F$15)*2-1,U$99:Y148,4,FALSE)))*EXP(-(LN(2)/$D$65+0.1)*(VLOOKUP(($F$16-$F$15)*2-1,U$99:Y148,5,FALSE)))*EXP(-(LN(2)/$D$65+0.04)*X148)*EXP(-(LN(2)/$D$65+0.1)*Y148),"-"))),"-")</f>
        <v>-</v>
      </c>
      <c r="AB149" s="271" t="str">
        <f>IFERROR(IF(V149=1,AB$100*EXP(-(LN(2)/$D$65+0.04)*X149)*EXP(-(LN(2)/$D$65+0.1)*Y149),IF(V149=2,AB$100*EXP(-(LN(2)/$D$65+0.04)*(VLOOKUP(($F$16-$F$15)-1,U$100:Y149,4,FALSE)))*EXP(-(LN(2)/$D$65+0.1)*(VLOOKUP(($F$16-$F$15)-1,U$100:Y149,5,FALSE)))*EXP(-(LN(2)/$D$65+0.04)*X149)*EXP(-(LN(2)/$D$65+0.1)*Y149),IF(V149=3,AB$100*EXP(-(LN(2)/$D$65+0.04)*(VLOOKUP(($F$16-$F$15)-1,U$100:Y149,4,FALSE)))*EXP(-(LN(2)/$D$65+0.1)*(VLOOKUP(($F$16-$F$15)-1,U$100:Y149,5,FALSE)))*EXP(-(LN(2)/$D$65+0.04)*(VLOOKUP(($F$16-$F$15)*2-1,U$100:Y149,4,FALSE)))*EXP(-(LN(2)/$D$65+0.1)*(VLOOKUP(($F$16-$F$15)*2-1,U$100:Y149,5,FALSE)))*EXP(-(LN(2)/$D$65+0.04)*X149)*EXP(-(LN(2)/$D$65+0.1)*Y149),"-"))),"-")</f>
        <v>-</v>
      </c>
      <c r="AC149" s="224">
        <f t="shared" si="45"/>
        <v>49</v>
      </c>
      <c r="AD149" s="223" t="str">
        <f t="shared" si="18"/>
        <v>-</v>
      </c>
      <c r="AE149" s="224" t="str">
        <f t="shared" si="46"/>
        <v>-</v>
      </c>
      <c r="AF149" s="224" t="str">
        <f t="shared" si="19"/>
        <v>-</v>
      </c>
      <c r="AG149" s="224" t="str">
        <f t="shared" si="20"/>
        <v>-</v>
      </c>
      <c r="AH149" s="272">
        <f t="shared" si="47"/>
        <v>0.1</v>
      </c>
      <c r="AI149" s="271" t="str">
        <f>IFERROR(IF(AD148=1,AI$100*EXP(-(LN(2)/$D$65+0.04)*AF148)*EXP(-(LN(2)/$D$65+0.1)*AG148),IF(AD148=2,AI$100*EXP(-(LN(2)/$D$65+0.04)*(VLOOKUP(($F$16-$F$15)-1,AC$99:AG148,4,FALSE)))*EXP(-(LN(2)/$D$65+0.1)*(VLOOKUP(($F$16-$F$15)-1,AC$99:AG148,5,FALSE)))*EXP(-(LN(2)/$D$65+0.04)*AF148)*EXP(-(LN(2)/$D$65+0.1)*AG148),IF(AD148=3,AI$100*EXP(-(LN(2)/$D$65+0.04)*(VLOOKUP(($F$16-$F$15)-1,AC$99:AG148,4,FALSE)))*EXP(-(LN(2)/$D$65+0.1)*(VLOOKUP(($F$16-$F$15)-1,AC$99:AG148,5,FALSE)))*EXP(-(LN(2)/$D$65+0.04)*(VLOOKUP(($F$16-$F$15)*2-1,AC$99:AG148,4,FALSE)))*EXP(-(LN(2)/$D$65+0.1)*(VLOOKUP(($F$16-$F$15)*2-1,AC$99:AG148,5,FALSE)))*EXP(-(LN(2)/$D$65+0.04)*AF148)*EXP(-(LN(2)/$D$65+0.1)*AG148),"-"))),"-")</f>
        <v>-</v>
      </c>
      <c r="AJ149" s="271" t="str">
        <f>IFERROR(IF(AD149=1,AJ$100*EXP(-(LN(2)/$D$65+0.04)*AF149)*EXP(-(LN(2)/$D$65+0.1)*AG149),IF(AD149=2,AJ$100*EXP(-(LN(2)/$D$65+0.04)*(VLOOKUP(($F$16-$F$15)-1,AC$100:AG149,4,FALSE)))*EXP(-(LN(2)/$D$65+0.1)*(VLOOKUP(($F$16-$F$15)-1,AC$100:AG149,5,FALSE)))*EXP(-(LN(2)/$D$65+0.04)*AF149)*EXP(-(LN(2)/$D$65+0.1)*AG149),IF(AD149=3,AJ$100*EXP(-(LN(2)/$D$65+0.04)*(VLOOKUP(($F$16-$F$15)-1,AC$100:AG149,4,FALSE)))*EXP(-(LN(2)/$D$65+0.1)*(VLOOKUP(($F$16-$F$15)-1,AC$100:AG149,5,FALSE)))*EXP(-(LN(2)/$D$65+0.04)*(VLOOKUP(($F$16-$F$15)*2-1,AC$100:AG149,4,FALSE)))*EXP(-(LN(2)/$D$65+0.1)*(VLOOKUP(($F$16-$F$15)*2-1,AC$100:AG149,5,FALSE)))*EXP(-(LN(2)/$D$65+0.04)*AF149)*EXP(-(LN(2)/$D$65+0.1)*AG149),"-"))),"-")</f>
        <v>-</v>
      </c>
      <c r="AK149" s="227">
        <f t="shared" si="49"/>
        <v>49</v>
      </c>
      <c r="AL149" s="226" t="str">
        <f t="shared" si="22"/>
        <v>-</v>
      </c>
      <c r="AM149" s="227" t="str">
        <f t="shared" si="50"/>
        <v>-</v>
      </c>
      <c r="AN149" s="227" t="str">
        <f t="shared" si="51"/>
        <v>-</v>
      </c>
      <c r="AO149" s="227" t="str">
        <f t="shared" si="23"/>
        <v>-</v>
      </c>
      <c r="AP149" s="273">
        <f t="shared" si="52"/>
        <v>0.1</v>
      </c>
      <c r="AQ149" s="271" t="str">
        <f>IFERROR(IF(AL148=1,AQ$100*EXP(-(LN(2)/$D$65+0.04)*AN148)*EXP(-(LN(2)/$D$65+0.1)*AO148),IF(AL148=2,AQ$100*EXP(-(LN(2)/$D$65+0.04)*(VLOOKUP(($F$16-$F$15)-1,AK$99:AO148,4,FALSE)))*EXP(-(LN(2)/$D$65+0.1)*(VLOOKUP(($F$16-$F$15)-1,AK$99:AO148,5,FALSE)))*EXP(-(LN(2)/$D$65+0.04)*AN148)*EXP(-(LN(2)/$D$65+0.1)*AO148),IF(AL148=3,AQ$100*EXP(-(LN(2)/$D$65+0.04)*(VLOOKUP(($F$16-$F$15)-1,AK$99:AO148,4,FALSE)))*EXP(-(LN(2)/$D$65+0.1)*(VLOOKUP(($F$16-$F$15)-1,AK$99:AO148,5,FALSE)))*EXP(-(LN(2)/$D$65+0.04)*(VLOOKUP(($F$16-$F$15)*2-1,AK$99:AO148,4,FALSE)))*EXP(-(LN(2)/$D$65+0.1)*(VLOOKUP(($F$16-$F$15)*2-1,AK$99:AO148,5,FALSE)))*EXP(-(LN(2)/$D$65+0.04)*AN148)*EXP(-(LN(2)/$D$65+0.1)*AO148),"-"))),"-")</f>
        <v>-</v>
      </c>
      <c r="AR149" s="271" t="str">
        <f>IFERROR(IF(AL149=1,AR$100*EXP(-(LN(2)/$D$65+0.04)*AN149)*EXP(-(LN(2)/$D$65+0.1)*AO149),IF(AL149=2,AR$100*EXP(-(LN(2)/$D$65+0.04)*(VLOOKUP(($F$16-$F$15)-1,AK$100:AO149,4,FALSE)))*EXP(-(LN(2)/$D$65+0.1)*(VLOOKUP(($F$16-$F$15)-1,AK$100:AO149,5,FALSE)))*EXP(-(LN(2)/$D$65+0.04)*AN149)*EXP(-(LN(2)/$D$65+0.1)*AO149),IF(AL149=3,AR$100*EXP(-(LN(2)/$D$65+0.04)*(VLOOKUP(($F$16-$F$15)-1,AK$100:AO149,4,FALSE)))*EXP(-(LN(2)/$D$65+0.1)*(VLOOKUP(($F$16-$F$15)-1,AK$100:AO149,5,FALSE)))*EXP(-(LN(2)/$D$65+0.04)*(VLOOKUP(($F$16-$F$15)*2-1,AK$100:AO149,4,FALSE)))*EXP(-(LN(2)/$D$65+0.1)*(VLOOKUP(($F$16-$F$15)*2-1,AK$100:AO149,5,FALSE)))*EXP(-(LN(2)/$D$65+0.04)*AN149)*EXP(-(LN(2)/$D$65+0.1)*AO149),"-"))),"-")</f>
        <v>-</v>
      </c>
      <c r="AS149" s="274">
        <f t="shared" si="24"/>
        <v>0</v>
      </c>
      <c r="AT149" s="274">
        <f t="shared" si="25"/>
        <v>0</v>
      </c>
      <c r="AU149" s="274">
        <f t="shared" si="26"/>
        <v>0</v>
      </c>
      <c r="AV149" s="190" t="str">
        <f>IF($B149&lt;$F$22,SUM($T$100:$T149),"")</f>
        <v/>
      </c>
      <c r="AW149" s="190" t="str">
        <f t="shared" si="83"/>
        <v>-</v>
      </c>
      <c r="AX149" s="190" t="str">
        <f t="shared" si="56"/>
        <v/>
      </c>
      <c r="AY149"/>
      <c r="AZ149" s="190" t="str">
        <f ca="1">IF(ISNUMBER(OFFSET(AV149,-$F$21,0)),SUM(OFFSET($T$100,$F$21,0):$T149),"")</f>
        <v/>
      </c>
      <c r="BA149" s="190" t="str">
        <f t="shared" ca="1" si="84"/>
        <v/>
      </c>
      <c r="BB149" s="190" t="str">
        <f t="shared" ca="1" si="70"/>
        <v/>
      </c>
      <c r="BC149" s="190"/>
      <c r="BD149" s="190" t="str">
        <f ca="1">IFERROR(IF(OR(ISNUMBER(I),ISNUMBER($F$14)),IF(AND($B149&gt;=($F$16-$F$15),$B149&lt;$F$22+($F$16-$F$15)),SUM(OFFSET($T$100,($F$16-$F$15),0):$T149),""),""),"")</f>
        <v/>
      </c>
      <c r="BE149" s="190" t="str">
        <f t="shared" ca="1" si="58"/>
        <v/>
      </c>
      <c r="BF149" s="190" t="str">
        <f t="shared" ca="1" si="59"/>
        <v/>
      </c>
      <c r="BG149"/>
      <c r="BH149" s="190" t="str">
        <f ca="1">IF(ISNUMBER(OFFSET(BD149,-$F$21,0)),SUM(OFFSET($T$100,($F$16-$F$15+$F$21),0):$T149),"")</f>
        <v/>
      </c>
      <c r="BI149" s="190" t="str">
        <f t="shared" ca="1" si="85"/>
        <v/>
      </c>
      <c r="BJ149" s="190" t="str">
        <f t="shared" ca="1" si="60"/>
        <v/>
      </c>
      <c r="BK149" s="190"/>
      <c r="BL149" s="190" t="str">
        <f ca="1">IFERROR(IF(OR(ISNUMBER(I),ISNUMBER($F$14)),IF(AND($B149&gt;=($F$17-$F$15),$B149&lt;$F$22+($F$17-$F$15)),SUM(OFFSET($T$100,($F$17-$F$15),0):$T149),""),""),"")</f>
        <v/>
      </c>
      <c r="BM149" s="190" t="str">
        <f t="shared" ca="1" si="86"/>
        <v/>
      </c>
      <c r="BN149" s="190" t="str">
        <f t="shared" ca="1" si="61"/>
        <v/>
      </c>
      <c r="BO149"/>
      <c r="BP149" s="190" t="str">
        <f ca="1">IF(ISNUMBER(OFFSET(BL149,-$F$21,0)),SUM(OFFSET($T$100,($F$17-$F$15+$F$21),0):$T149),"")</f>
        <v/>
      </c>
      <c r="BQ149" s="190" t="str">
        <f t="shared" ca="1" si="87"/>
        <v/>
      </c>
      <c r="BR149" s="190" t="str">
        <f t="shared" ca="1" si="63"/>
        <v/>
      </c>
      <c r="BS149" s="190"/>
      <c r="BT149"/>
      <c r="BU149"/>
      <c r="BV149"/>
      <c r="BY149" s="99"/>
      <c r="BZ149" s="99"/>
      <c r="CA149" s="280" t="str">
        <f t="shared" si="88"/>
        <v/>
      </c>
      <c r="CB149" s="71" t="str">
        <f t="shared" si="31"/>
        <v>-</v>
      </c>
      <c r="CC149" s="33"/>
      <c r="CD149" s="261" t="str">
        <f t="shared" si="33"/>
        <v/>
      </c>
      <c r="CE149" s="280" t="str">
        <f t="shared" si="89"/>
        <v/>
      </c>
      <c r="CF149" s="71" t="str">
        <f t="shared" ca="1" si="90"/>
        <v/>
      </c>
      <c r="CG149" s="33" t="str">
        <f t="shared" si="36"/>
        <v/>
      </c>
      <c r="CH149" s="261" t="str">
        <f t="shared" ca="1" si="37"/>
        <v/>
      </c>
      <c r="CI149" s="202"/>
      <c r="CJ149" s="99"/>
      <c r="CK149" s="99"/>
      <c r="CL149" s="99"/>
      <c r="CM149" s="99"/>
      <c r="CN149" s="99"/>
      <c r="CO149" s="99"/>
    </row>
    <row r="150" spans="2:93" ht="13.5" customHeight="1" x14ac:dyDescent="0.2">
      <c r="B150" s="262">
        <v>50</v>
      </c>
      <c r="C150" s="237" t="str">
        <f t="shared" si="1"/>
        <v/>
      </c>
      <c r="D150" s="237" t="str">
        <f t="shared" si="66"/>
        <v/>
      </c>
      <c r="E150" s="290" t="str">
        <f t="shared" si="38"/>
        <v/>
      </c>
      <c r="F150" s="264" t="str">
        <f t="shared" si="39"/>
        <v/>
      </c>
      <c r="G150" s="291" t="str">
        <f t="shared" si="40"/>
        <v/>
      </c>
      <c r="H150" s="240" t="str">
        <f t="shared" si="71"/>
        <v/>
      </c>
      <c r="I150" s="265" t="str">
        <f t="shared" si="72"/>
        <v/>
      </c>
      <c r="J150" s="265" t="str">
        <f t="shared" si="73"/>
        <v/>
      </c>
      <c r="K150" s="240" t="str">
        <f t="shared" si="74"/>
        <v/>
      </c>
      <c r="L150" s="265" t="str">
        <f t="shared" si="75"/>
        <v/>
      </c>
      <c r="M150" s="265" t="str">
        <f t="shared" si="76"/>
        <v/>
      </c>
      <c r="N150" s="240" t="str">
        <f t="shared" si="77"/>
        <v>-</v>
      </c>
      <c r="O150" s="265" t="str">
        <f t="shared" si="78"/>
        <v>-</v>
      </c>
      <c r="P150" s="265" t="str">
        <f t="shared" si="79"/>
        <v>-</v>
      </c>
      <c r="Q150" s="266" t="str">
        <f t="shared" si="80"/>
        <v>-</v>
      </c>
      <c r="R150" s="267" t="str">
        <f t="shared" si="81"/>
        <v>-</v>
      </c>
      <c r="S150" s="268" t="str">
        <f t="shared" si="82"/>
        <v>-</v>
      </c>
      <c r="T150" s="269" t="str">
        <f t="shared" si="13"/>
        <v/>
      </c>
      <c r="U150" s="221">
        <f t="shared" si="14"/>
        <v>50</v>
      </c>
      <c r="V150" s="220" t="str">
        <f t="shared" si="42"/>
        <v>-</v>
      </c>
      <c r="W150" s="221" t="str">
        <f t="shared" si="43"/>
        <v>-</v>
      </c>
      <c r="X150" s="221" t="str">
        <f t="shared" si="15"/>
        <v>-</v>
      </c>
      <c r="Y150" s="221" t="str">
        <f t="shared" si="16"/>
        <v>-</v>
      </c>
      <c r="Z150" s="270">
        <f t="shared" si="44"/>
        <v>0.1</v>
      </c>
      <c r="AA150" s="271" t="str">
        <f>IFERROR(IF(V149=1,AA$100*EXP(-(LN(2)/$D$65+0.04)*X149)*EXP(-(LN(2)/$D$65+0.1)*Y149),IF(V149=2,AA$100*EXP(-(LN(2)/$D$65+0.04)*(VLOOKUP(($F$16-$F$15)-1,U$99:Y149,4,FALSE)))*EXP(-(LN(2)/$D$65+0.1)*(VLOOKUP(($F$16-$F$15)-1,U$99:Y149,5,FALSE)))*EXP(-(LN(2)/$D$65+0.04)*X149)*EXP(-(LN(2)/$D$65+0.1)*Y149),IF(V149=3,AA$100*EXP(-(LN(2)/$D$65+0.04)*(VLOOKUP(($F$16-$F$15)-1,U$99:Y149,4,FALSE)))*EXP(-(LN(2)/$D$65+0.1)*(VLOOKUP(($F$16-$F$15)-1,U$99:Y149,5,FALSE)))*EXP(-(LN(2)/$D$65+0.04)*(VLOOKUP(($F$16-$F$15)*2-1,U$99:Y149,4,FALSE)))*EXP(-(LN(2)/$D$65+0.1)*(VLOOKUP(($F$16-$F$15)*2-1,U$99:Y149,5,FALSE)))*EXP(-(LN(2)/$D$65+0.04)*X149)*EXP(-(LN(2)/$D$65+0.1)*Y149),"-"))),"-")</f>
        <v>-</v>
      </c>
      <c r="AB150" s="271" t="str">
        <f>IFERROR(IF(V150=1,AB$100*EXP(-(LN(2)/$D$65+0.04)*X150)*EXP(-(LN(2)/$D$65+0.1)*Y150),IF(V150=2,AB$100*EXP(-(LN(2)/$D$65+0.04)*(VLOOKUP(($F$16-$F$15)-1,U$100:Y150,4,FALSE)))*EXP(-(LN(2)/$D$65+0.1)*(VLOOKUP(($F$16-$F$15)-1,U$100:Y150,5,FALSE)))*EXP(-(LN(2)/$D$65+0.04)*X150)*EXP(-(LN(2)/$D$65+0.1)*Y150),IF(V150=3,AB$100*EXP(-(LN(2)/$D$65+0.04)*(VLOOKUP(($F$16-$F$15)-1,U$100:Y150,4,FALSE)))*EXP(-(LN(2)/$D$65+0.1)*(VLOOKUP(($F$16-$F$15)-1,U$100:Y150,5,FALSE)))*EXP(-(LN(2)/$D$65+0.04)*(VLOOKUP(($F$16-$F$15)*2-1,U$100:Y150,4,FALSE)))*EXP(-(LN(2)/$D$65+0.1)*(VLOOKUP(($F$16-$F$15)*2-1,U$100:Y150,5,FALSE)))*EXP(-(LN(2)/$D$65+0.04)*X150)*EXP(-(LN(2)/$D$65+0.1)*Y150),"-"))),"-")</f>
        <v>-</v>
      </c>
      <c r="AC150" s="224">
        <f t="shared" si="45"/>
        <v>50</v>
      </c>
      <c r="AD150" s="223" t="str">
        <f t="shared" si="18"/>
        <v>-</v>
      </c>
      <c r="AE150" s="224" t="str">
        <f t="shared" si="46"/>
        <v>-</v>
      </c>
      <c r="AF150" s="224" t="str">
        <f t="shared" si="19"/>
        <v>-</v>
      </c>
      <c r="AG150" s="224" t="str">
        <f t="shared" si="20"/>
        <v>-</v>
      </c>
      <c r="AH150" s="272">
        <f t="shared" si="47"/>
        <v>0.1</v>
      </c>
      <c r="AI150" s="271" t="str">
        <f>IFERROR(IF(AD149=1,AI$100*EXP(-(LN(2)/$D$65+0.04)*AF149)*EXP(-(LN(2)/$D$65+0.1)*AG149),IF(AD149=2,AI$100*EXP(-(LN(2)/$D$65+0.04)*(VLOOKUP(($F$16-$F$15)-1,AC$99:AG149,4,FALSE)))*EXP(-(LN(2)/$D$65+0.1)*(VLOOKUP(($F$16-$F$15)-1,AC$99:AG149,5,FALSE)))*EXP(-(LN(2)/$D$65+0.04)*AF149)*EXP(-(LN(2)/$D$65+0.1)*AG149),IF(AD149=3,AI$100*EXP(-(LN(2)/$D$65+0.04)*(VLOOKUP(($F$16-$F$15)-1,AC$99:AG149,4,FALSE)))*EXP(-(LN(2)/$D$65+0.1)*(VLOOKUP(($F$16-$F$15)-1,AC$99:AG149,5,FALSE)))*EXP(-(LN(2)/$D$65+0.04)*(VLOOKUP(($F$16-$F$15)*2-1,AC$99:AG149,4,FALSE)))*EXP(-(LN(2)/$D$65+0.1)*(VLOOKUP(($F$16-$F$15)*2-1,AC$99:AG149,5,FALSE)))*EXP(-(LN(2)/$D$65+0.04)*AF149)*EXP(-(LN(2)/$D$65+0.1)*AG149),"-"))),"-")</f>
        <v>-</v>
      </c>
      <c r="AJ150" s="271" t="str">
        <f>IFERROR(IF(AD150=1,AJ$100*EXP(-(LN(2)/$D$65+0.04)*AF150)*EXP(-(LN(2)/$D$65+0.1)*AG150),IF(AD150=2,AJ$100*EXP(-(LN(2)/$D$65+0.04)*(VLOOKUP(($F$16-$F$15)-1,AC$100:AG150,4,FALSE)))*EXP(-(LN(2)/$D$65+0.1)*(VLOOKUP(($F$16-$F$15)-1,AC$100:AG150,5,FALSE)))*EXP(-(LN(2)/$D$65+0.04)*AF150)*EXP(-(LN(2)/$D$65+0.1)*AG150),IF(AD150=3,AJ$100*EXP(-(LN(2)/$D$65+0.04)*(VLOOKUP(($F$16-$F$15)-1,AC$100:AG150,4,FALSE)))*EXP(-(LN(2)/$D$65+0.1)*(VLOOKUP(($F$16-$F$15)-1,AC$100:AG150,5,FALSE)))*EXP(-(LN(2)/$D$65+0.04)*(VLOOKUP(($F$16-$F$15)*2-1,AC$100:AG150,4,FALSE)))*EXP(-(LN(2)/$D$65+0.1)*(VLOOKUP(($F$16-$F$15)*2-1,AC$100:AG150,5,FALSE)))*EXP(-(LN(2)/$D$65+0.04)*AF150)*EXP(-(LN(2)/$D$65+0.1)*AG150),"-"))),"-")</f>
        <v>-</v>
      </c>
      <c r="AK150" s="227">
        <f t="shared" si="49"/>
        <v>50</v>
      </c>
      <c r="AL150" s="226" t="str">
        <f t="shared" si="22"/>
        <v>-</v>
      </c>
      <c r="AM150" s="227" t="str">
        <f t="shared" si="50"/>
        <v>-</v>
      </c>
      <c r="AN150" s="227" t="str">
        <f t="shared" si="51"/>
        <v>-</v>
      </c>
      <c r="AO150" s="227" t="str">
        <f t="shared" si="23"/>
        <v>-</v>
      </c>
      <c r="AP150" s="273">
        <f t="shared" si="52"/>
        <v>0.1</v>
      </c>
      <c r="AQ150" s="271" t="str">
        <f>IFERROR(IF(AL149=1,AQ$100*EXP(-(LN(2)/$D$65+0.04)*AN149)*EXP(-(LN(2)/$D$65+0.1)*AO149),IF(AL149=2,AQ$100*EXP(-(LN(2)/$D$65+0.04)*(VLOOKUP(($F$16-$F$15)-1,AK$99:AO149,4,FALSE)))*EXP(-(LN(2)/$D$65+0.1)*(VLOOKUP(($F$16-$F$15)-1,AK$99:AO149,5,FALSE)))*EXP(-(LN(2)/$D$65+0.04)*AN149)*EXP(-(LN(2)/$D$65+0.1)*AO149),IF(AL149=3,AQ$100*EXP(-(LN(2)/$D$65+0.04)*(VLOOKUP(($F$16-$F$15)-1,AK$99:AO149,4,FALSE)))*EXP(-(LN(2)/$D$65+0.1)*(VLOOKUP(($F$16-$F$15)-1,AK$99:AO149,5,FALSE)))*EXP(-(LN(2)/$D$65+0.04)*(VLOOKUP(($F$16-$F$15)*2-1,AK$99:AO149,4,FALSE)))*EXP(-(LN(2)/$D$65+0.1)*(VLOOKUP(($F$16-$F$15)*2-1,AK$99:AO149,5,FALSE)))*EXP(-(LN(2)/$D$65+0.04)*AN149)*EXP(-(LN(2)/$D$65+0.1)*AO149),"-"))),"-")</f>
        <v>-</v>
      </c>
      <c r="AR150" s="271" t="str">
        <f>IFERROR(IF(AL150=1,AR$100*EXP(-(LN(2)/$D$65+0.04)*AN150)*EXP(-(LN(2)/$D$65+0.1)*AO150),IF(AL150=2,AR$100*EXP(-(LN(2)/$D$65+0.04)*(VLOOKUP(($F$16-$F$15)-1,AK$100:AO150,4,FALSE)))*EXP(-(LN(2)/$D$65+0.1)*(VLOOKUP(($F$16-$F$15)-1,AK$100:AO150,5,FALSE)))*EXP(-(LN(2)/$D$65+0.04)*AN150)*EXP(-(LN(2)/$D$65+0.1)*AO150),IF(AL150=3,AR$100*EXP(-(LN(2)/$D$65+0.04)*(VLOOKUP(($F$16-$F$15)-1,AK$100:AO150,4,FALSE)))*EXP(-(LN(2)/$D$65+0.1)*(VLOOKUP(($F$16-$F$15)-1,AK$100:AO150,5,FALSE)))*EXP(-(LN(2)/$D$65+0.04)*(VLOOKUP(($F$16-$F$15)*2-1,AK$100:AO150,4,FALSE)))*EXP(-(LN(2)/$D$65+0.1)*(VLOOKUP(($F$16-$F$15)*2-1,AK$100:AO150,5,FALSE)))*EXP(-(LN(2)/$D$65+0.04)*AN150)*EXP(-(LN(2)/$D$65+0.1)*AO150),"-"))),"-")</f>
        <v>-</v>
      </c>
      <c r="AS150" s="274">
        <f t="shared" si="24"/>
        <v>0</v>
      </c>
      <c r="AT150" s="274">
        <f t="shared" si="25"/>
        <v>0</v>
      </c>
      <c r="AU150" s="274">
        <f t="shared" si="26"/>
        <v>0</v>
      </c>
      <c r="AV150" s="190" t="str">
        <f>IF($B150&lt;$F$22,SUM($T$100:$T150),"")</f>
        <v/>
      </c>
      <c r="AW150" s="190" t="str">
        <f t="shared" si="83"/>
        <v>-</v>
      </c>
      <c r="AX150" s="190" t="str">
        <f t="shared" si="56"/>
        <v/>
      </c>
      <c r="AY150"/>
      <c r="AZ150" s="190" t="str">
        <f ca="1">IF(ISNUMBER(OFFSET(AV150,-$F$21,0)),SUM(OFFSET($T$100,$F$21,0):$T150),"")</f>
        <v/>
      </c>
      <c r="BA150" s="190" t="str">
        <f t="shared" ca="1" si="84"/>
        <v/>
      </c>
      <c r="BB150" s="190" t="str">
        <f t="shared" ca="1" si="70"/>
        <v/>
      </c>
      <c r="BC150" s="190"/>
      <c r="BD150" s="190" t="str">
        <f ca="1">IFERROR(IF(OR(ISNUMBER(I),ISNUMBER($F$14)),IF(AND($B150&gt;=($F$16-$F$15),$B150&lt;$F$22+($F$16-$F$15)),SUM(OFFSET($T$100,($F$16-$F$15),0):$T150),""),""),"")</f>
        <v/>
      </c>
      <c r="BE150" s="190" t="str">
        <f t="shared" ca="1" si="58"/>
        <v/>
      </c>
      <c r="BF150" s="190" t="str">
        <f t="shared" ca="1" si="59"/>
        <v/>
      </c>
      <c r="BG150"/>
      <c r="BH150" s="190" t="str">
        <f ca="1">IF(ISNUMBER(OFFSET(BD150,-$F$21,0)),SUM(OFFSET($T$100,($F$16-$F$15+$F$21),0):$T150),"")</f>
        <v/>
      </c>
      <c r="BI150" s="190" t="str">
        <f t="shared" ca="1" si="85"/>
        <v/>
      </c>
      <c r="BJ150" s="190" t="str">
        <f t="shared" ca="1" si="60"/>
        <v/>
      </c>
      <c r="BK150" s="190"/>
      <c r="BL150" s="190" t="str">
        <f ca="1">IFERROR(IF(OR(ISNUMBER(I),ISNUMBER($F$14)),IF(AND($B150&gt;=($F$17-$F$15),$B150&lt;$F$22+($F$17-$F$15)),SUM(OFFSET($T$100,($F$17-$F$15),0):$T150),""),""),"")</f>
        <v/>
      </c>
      <c r="BM150" s="190" t="str">
        <f t="shared" ca="1" si="86"/>
        <v/>
      </c>
      <c r="BN150" s="190" t="str">
        <f t="shared" ca="1" si="61"/>
        <v/>
      </c>
      <c r="BO150"/>
      <c r="BP150" s="190" t="str">
        <f ca="1">IF(ISNUMBER(OFFSET(BL150,-$F$21,0)),SUM(OFFSET($T$100,($F$17-$F$15+$F$21),0):$T150),"")</f>
        <v/>
      </c>
      <c r="BQ150" s="190" t="str">
        <f t="shared" ca="1" si="87"/>
        <v/>
      </c>
      <c r="BR150" s="190" t="str">
        <f t="shared" ca="1" si="63"/>
        <v/>
      </c>
      <c r="BS150" s="190"/>
      <c r="BT150"/>
      <c r="BU150"/>
      <c r="BV150"/>
      <c r="BY150" s="99"/>
      <c r="BZ150" s="99"/>
      <c r="CA150" s="280" t="str">
        <f t="shared" si="88"/>
        <v/>
      </c>
      <c r="CB150" s="71" t="str">
        <f t="shared" si="31"/>
        <v>-</v>
      </c>
      <c r="CC150" s="33"/>
      <c r="CD150" s="261" t="str">
        <f t="shared" si="33"/>
        <v/>
      </c>
      <c r="CE150" s="280" t="str">
        <f t="shared" si="89"/>
        <v/>
      </c>
      <c r="CF150" s="71" t="str">
        <f t="shared" ca="1" si="90"/>
        <v/>
      </c>
      <c r="CG150" s="33" t="str">
        <f t="shared" si="36"/>
        <v/>
      </c>
      <c r="CH150" s="261" t="str">
        <f t="shared" ca="1" si="37"/>
        <v/>
      </c>
      <c r="CI150" s="202"/>
      <c r="CJ150" s="99"/>
      <c r="CK150" s="99"/>
      <c r="CL150" s="99"/>
      <c r="CM150" s="99"/>
      <c r="CN150" s="99"/>
      <c r="CO150" s="99"/>
    </row>
    <row r="151" spans="2:93" ht="13.5" customHeight="1" x14ac:dyDescent="0.2">
      <c r="B151" s="262">
        <v>51</v>
      </c>
      <c r="C151" s="237" t="str">
        <f t="shared" si="1"/>
        <v/>
      </c>
      <c r="D151" s="237" t="str">
        <f t="shared" si="66"/>
        <v/>
      </c>
      <c r="E151" s="290" t="str">
        <f t="shared" si="38"/>
        <v/>
      </c>
      <c r="F151" s="264" t="str">
        <f t="shared" si="39"/>
        <v/>
      </c>
      <c r="G151" s="291" t="str">
        <f t="shared" si="40"/>
        <v/>
      </c>
      <c r="H151" s="240" t="str">
        <f t="shared" si="71"/>
        <v/>
      </c>
      <c r="I151" s="265" t="str">
        <f t="shared" si="72"/>
        <v/>
      </c>
      <c r="J151" s="265" t="str">
        <f t="shared" si="73"/>
        <v/>
      </c>
      <c r="K151" s="240" t="str">
        <f t="shared" si="74"/>
        <v/>
      </c>
      <c r="L151" s="265" t="str">
        <f t="shared" si="75"/>
        <v/>
      </c>
      <c r="M151" s="265" t="str">
        <f t="shared" si="76"/>
        <v/>
      </c>
      <c r="N151" s="240" t="str">
        <f t="shared" si="77"/>
        <v>-</v>
      </c>
      <c r="O151" s="265" t="str">
        <f t="shared" si="78"/>
        <v>-</v>
      </c>
      <c r="P151" s="265" t="str">
        <f t="shared" si="79"/>
        <v>-</v>
      </c>
      <c r="Q151" s="266" t="str">
        <f t="shared" si="80"/>
        <v>-</v>
      </c>
      <c r="R151" s="267" t="str">
        <f t="shared" si="81"/>
        <v>-</v>
      </c>
      <c r="S151" s="268" t="str">
        <f t="shared" si="82"/>
        <v>-</v>
      </c>
      <c r="T151" s="269" t="str">
        <f t="shared" si="13"/>
        <v/>
      </c>
      <c r="U151" s="221">
        <f t="shared" si="14"/>
        <v>51</v>
      </c>
      <c r="V151" s="220" t="str">
        <f t="shared" si="42"/>
        <v>-</v>
      </c>
      <c r="W151" s="221" t="str">
        <f t="shared" si="43"/>
        <v>-</v>
      </c>
      <c r="X151" s="221" t="str">
        <f t="shared" si="15"/>
        <v>-</v>
      </c>
      <c r="Y151" s="221" t="str">
        <f t="shared" si="16"/>
        <v>-</v>
      </c>
      <c r="Z151" s="270">
        <f t="shared" si="44"/>
        <v>0.1</v>
      </c>
      <c r="AA151" s="271" t="str">
        <f>IFERROR(IF(V150=1,AA$100*EXP(-(LN(2)/$D$65+0.04)*X150)*EXP(-(LN(2)/$D$65+0.1)*Y150),IF(V150=2,AA$100*EXP(-(LN(2)/$D$65+0.04)*(VLOOKUP(($F$16-$F$15)-1,U$99:Y150,4,FALSE)))*EXP(-(LN(2)/$D$65+0.1)*(VLOOKUP(($F$16-$F$15)-1,U$99:Y150,5,FALSE)))*EXP(-(LN(2)/$D$65+0.04)*X150)*EXP(-(LN(2)/$D$65+0.1)*Y150),IF(V150=3,AA$100*EXP(-(LN(2)/$D$65+0.04)*(VLOOKUP(($F$16-$F$15)-1,U$99:Y150,4,FALSE)))*EXP(-(LN(2)/$D$65+0.1)*(VLOOKUP(($F$16-$F$15)-1,U$99:Y150,5,FALSE)))*EXP(-(LN(2)/$D$65+0.04)*(VLOOKUP(($F$16-$F$15)*2-1,U$99:Y150,4,FALSE)))*EXP(-(LN(2)/$D$65+0.1)*(VLOOKUP(($F$16-$F$15)*2-1,U$99:Y150,5,FALSE)))*EXP(-(LN(2)/$D$65+0.04)*X150)*EXP(-(LN(2)/$D$65+0.1)*Y150),"-"))),"-")</f>
        <v>-</v>
      </c>
      <c r="AB151" s="271" t="str">
        <f>IFERROR(IF(V151=1,AB$100*EXP(-(LN(2)/$D$65+0.04)*X151)*EXP(-(LN(2)/$D$65+0.1)*Y151),IF(V151=2,AB$100*EXP(-(LN(2)/$D$65+0.04)*(VLOOKUP(($F$16-$F$15)-1,U$100:Y151,4,FALSE)))*EXP(-(LN(2)/$D$65+0.1)*(VLOOKUP(($F$16-$F$15)-1,U$100:Y151,5,FALSE)))*EXP(-(LN(2)/$D$65+0.04)*X151)*EXP(-(LN(2)/$D$65+0.1)*Y151),IF(V151=3,AB$100*EXP(-(LN(2)/$D$65+0.04)*(VLOOKUP(($F$16-$F$15)-1,U$100:Y151,4,FALSE)))*EXP(-(LN(2)/$D$65+0.1)*(VLOOKUP(($F$16-$F$15)-1,U$100:Y151,5,FALSE)))*EXP(-(LN(2)/$D$65+0.04)*(VLOOKUP(($F$16-$F$15)*2-1,U$100:Y151,4,FALSE)))*EXP(-(LN(2)/$D$65+0.1)*(VLOOKUP(($F$16-$F$15)*2-1,U$100:Y151,5,FALSE)))*EXP(-(LN(2)/$D$65+0.04)*X151)*EXP(-(LN(2)/$D$65+0.1)*Y151),"-"))),"-")</f>
        <v>-</v>
      </c>
      <c r="AC151" s="224">
        <f t="shared" si="45"/>
        <v>51</v>
      </c>
      <c r="AD151" s="223" t="str">
        <f t="shared" si="18"/>
        <v>-</v>
      </c>
      <c r="AE151" s="224" t="str">
        <f t="shared" si="46"/>
        <v>-</v>
      </c>
      <c r="AF151" s="224" t="str">
        <f t="shared" si="19"/>
        <v>-</v>
      </c>
      <c r="AG151" s="224" t="str">
        <f t="shared" si="20"/>
        <v>-</v>
      </c>
      <c r="AH151" s="272">
        <f t="shared" si="47"/>
        <v>0.1</v>
      </c>
      <c r="AI151" s="271" t="str">
        <f>IFERROR(IF(AD150=1,AI$100*EXP(-(LN(2)/$D$65+0.04)*AF150)*EXP(-(LN(2)/$D$65+0.1)*AG150),IF(AD150=2,AI$100*EXP(-(LN(2)/$D$65+0.04)*(VLOOKUP(($F$16-$F$15)-1,AC$99:AG150,4,FALSE)))*EXP(-(LN(2)/$D$65+0.1)*(VLOOKUP(($F$16-$F$15)-1,AC$99:AG150,5,FALSE)))*EXP(-(LN(2)/$D$65+0.04)*AF150)*EXP(-(LN(2)/$D$65+0.1)*AG150),IF(AD150=3,AI$100*EXP(-(LN(2)/$D$65+0.04)*(VLOOKUP(($F$16-$F$15)-1,AC$99:AG150,4,FALSE)))*EXP(-(LN(2)/$D$65+0.1)*(VLOOKUP(($F$16-$F$15)-1,AC$99:AG150,5,FALSE)))*EXP(-(LN(2)/$D$65+0.04)*(VLOOKUP(($F$16-$F$15)*2-1,AC$99:AG150,4,FALSE)))*EXP(-(LN(2)/$D$65+0.1)*(VLOOKUP(($F$16-$F$15)*2-1,AC$99:AG150,5,FALSE)))*EXP(-(LN(2)/$D$65+0.04)*AF150)*EXP(-(LN(2)/$D$65+0.1)*AG150),"-"))),"-")</f>
        <v>-</v>
      </c>
      <c r="AJ151" s="271" t="str">
        <f>IFERROR(IF(AD151=1,AJ$100*EXP(-(LN(2)/$D$65+0.04)*AF151)*EXP(-(LN(2)/$D$65+0.1)*AG151),IF(AD151=2,AJ$100*EXP(-(LN(2)/$D$65+0.04)*(VLOOKUP(($F$16-$F$15)-1,AC$100:AG151,4,FALSE)))*EXP(-(LN(2)/$D$65+0.1)*(VLOOKUP(($F$16-$F$15)-1,AC$100:AG151,5,FALSE)))*EXP(-(LN(2)/$D$65+0.04)*AF151)*EXP(-(LN(2)/$D$65+0.1)*AG151),IF(AD151=3,AJ$100*EXP(-(LN(2)/$D$65+0.04)*(VLOOKUP(($F$16-$F$15)-1,AC$100:AG151,4,FALSE)))*EXP(-(LN(2)/$D$65+0.1)*(VLOOKUP(($F$16-$F$15)-1,AC$100:AG151,5,FALSE)))*EXP(-(LN(2)/$D$65+0.04)*(VLOOKUP(($F$16-$F$15)*2-1,AC$100:AG151,4,FALSE)))*EXP(-(LN(2)/$D$65+0.1)*(VLOOKUP(($F$16-$F$15)*2-1,AC$100:AG151,5,FALSE)))*EXP(-(LN(2)/$D$65+0.04)*AF151)*EXP(-(LN(2)/$D$65+0.1)*AG151),"-"))),"-")</f>
        <v>-</v>
      </c>
      <c r="AK151" s="227">
        <f t="shared" si="49"/>
        <v>51</v>
      </c>
      <c r="AL151" s="226" t="str">
        <f t="shared" si="22"/>
        <v>-</v>
      </c>
      <c r="AM151" s="227" t="str">
        <f t="shared" si="50"/>
        <v>-</v>
      </c>
      <c r="AN151" s="227" t="str">
        <f t="shared" si="51"/>
        <v>-</v>
      </c>
      <c r="AO151" s="227" t="str">
        <f t="shared" si="23"/>
        <v>-</v>
      </c>
      <c r="AP151" s="273">
        <f t="shared" si="52"/>
        <v>0.1</v>
      </c>
      <c r="AQ151" s="271" t="str">
        <f>IFERROR(IF(AL150=1,AQ$100*EXP(-(LN(2)/$D$65+0.04)*AN150)*EXP(-(LN(2)/$D$65+0.1)*AO150),IF(AL150=2,AQ$100*EXP(-(LN(2)/$D$65+0.04)*(VLOOKUP(($F$16-$F$15)-1,AK$99:AO150,4,FALSE)))*EXP(-(LN(2)/$D$65+0.1)*(VLOOKUP(($F$16-$F$15)-1,AK$99:AO150,5,FALSE)))*EXP(-(LN(2)/$D$65+0.04)*AN150)*EXP(-(LN(2)/$D$65+0.1)*AO150),IF(AL150=3,AQ$100*EXP(-(LN(2)/$D$65+0.04)*(VLOOKUP(($F$16-$F$15)-1,AK$99:AO150,4,FALSE)))*EXP(-(LN(2)/$D$65+0.1)*(VLOOKUP(($F$16-$F$15)-1,AK$99:AO150,5,FALSE)))*EXP(-(LN(2)/$D$65+0.04)*(VLOOKUP(($F$16-$F$15)*2-1,AK$99:AO150,4,FALSE)))*EXP(-(LN(2)/$D$65+0.1)*(VLOOKUP(($F$16-$F$15)*2-1,AK$99:AO150,5,FALSE)))*EXP(-(LN(2)/$D$65+0.04)*AN150)*EXP(-(LN(2)/$D$65+0.1)*AO150),"-"))),"-")</f>
        <v>-</v>
      </c>
      <c r="AR151" s="271" t="str">
        <f>IFERROR(IF(AL151=1,AR$100*EXP(-(LN(2)/$D$65+0.04)*AN151)*EXP(-(LN(2)/$D$65+0.1)*AO151),IF(AL151=2,AR$100*EXP(-(LN(2)/$D$65+0.04)*(VLOOKUP(($F$16-$F$15)-1,AK$100:AO151,4,FALSE)))*EXP(-(LN(2)/$D$65+0.1)*(VLOOKUP(($F$16-$F$15)-1,AK$100:AO151,5,FALSE)))*EXP(-(LN(2)/$D$65+0.04)*AN151)*EXP(-(LN(2)/$D$65+0.1)*AO151),IF(AL151=3,AR$100*EXP(-(LN(2)/$D$65+0.04)*(VLOOKUP(($F$16-$F$15)-1,AK$100:AO151,4,FALSE)))*EXP(-(LN(2)/$D$65+0.1)*(VLOOKUP(($F$16-$F$15)-1,AK$100:AO151,5,FALSE)))*EXP(-(LN(2)/$D$65+0.04)*(VLOOKUP(($F$16-$F$15)*2-1,AK$100:AO151,4,FALSE)))*EXP(-(LN(2)/$D$65+0.1)*(VLOOKUP(($F$16-$F$15)*2-1,AK$100:AO151,5,FALSE)))*EXP(-(LN(2)/$D$65+0.04)*AN151)*EXP(-(LN(2)/$D$65+0.1)*AO151),"-"))),"-")</f>
        <v>-</v>
      </c>
      <c r="AS151" s="274">
        <f t="shared" si="24"/>
        <v>0</v>
      </c>
      <c r="AT151" s="274">
        <f t="shared" si="25"/>
        <v>0</v>
      </c>
      <c r="AU151" s="274">
        <f t="shared" si="26"/>
        <v>0</v>
      </c>
      <c r="AV151" s="190" t="str">
        <f>IF($B151&lt;$F$22,SUM($T$100:$T151),"")</f>
        <v/>
      </c>
      <c r="AW151" s="190" t="str">
        <f t="shared" si="83"/>
        <v>-</v>
      </c>
      <c r="AX151" s="190" t="str">
        <f t="shared" si="56"/>
        <v/>
      </c>
      <c r="AY151"/>
      <c r="AZ151" s="190" t="str">
        <f ca="1">IF(ISNUMBER(OFFSET(AV151,-$F$21,0)),SUM(OFFSET($T$100,$F$21,0):$T151),"")</f>
        <v/>
      </c>
      <c r="BA151" s="190" t="str">
        <f t="shared" ca="1" si="84"/>
        <v/>
      </c>
      <c r="BB151" s="190" t="str">
        <f t="shared" ca="1" si="70"/>
        <v/>
      </c>
      <c r="BC151" s="190"/>
      <c r="BD151" s="190" t="str">
        <f ca="1">IFERROR(IF(OR(ISNUMBER(I),ISNUMBER($F$14)),IF(AND($B151&gt;=($F$16-$F$15),$B151&lt;$F$22+($F$16-$F$15)),SUM(OFFSET($T$100,($F$16-$F$15),0):$T151),""),""),"")</f>
        <v/>
      </c>
      <c r="BE151" s="190" t="str">
        <f t="shared" ca="1" si="58"/>
        <v/>
      </c>
      <c r="BF151" s="190" t="str">
        <f t="shared" ca="1" si="59"/>
        <v/>
      </c>
      <c r="BG151"/>
      <c r="BH151" s="190" t="str">
        <f ca="1">IF(ISNUMBER(OFFSET(BD151,-$F$21,0)),SUM(OFFSET($T$100,($F$16-$F$15+$F$21),0):$T151),"")</f>
        <v/>
      </c>
      <c r="BI151" s="190" t="str">
        <f t="shared" ca="1" si="85"/>
        <v/>
      </c>
      <c r="BJ151" s="190" t="str">
        <f t="shared" ca="1" si="60"/>
        <v/>
      </c>
      <c r="BK151" s="190"/>
      <c r="BL151" s="190" t="str">
        <f ca="1">IFERROR(IF(OR(ISNUMBER(I),ISNUMBER($F$14)),IF(AND($B151&gt;=($F$17-$F$15),$B151&lt;$F$22+($F$17-$F$15)),SUM(OFFSET($T$100,($F$17-$F$15),0):$T151),""),""),"")</f>
        <v/>
      </c>
      <c r="BM151" s="190" t="str">
        <f t="shared" ca="1" si="86"/>
        <v/>
      </c>
      <c r="BN151" s="190" t="str">
        <f t="shared" ca="1" si="61"/>
        <v/>
      </c>
      <c r="BO151"/>
      <c r="BP151" s="190" t="str">
        <f ca="1">IF(ISNUMBER(OFFSET(BL151,-$F$21,0)),SUM(OFFSET($T$100,($F$17-$F$15+$F$21),0):$T151),"")</f>
        <v/>
      </c>
      <c r="BQ151" s="190" t="str">
        <f t="shared" ca="1" si="87"/>
        <v/>
      </c>
      <c r="BR151" s="190" t="str">
        <f t="shared" ca="1" si="63"/>
        <v/>
      </c>
      <c r="BS151" s="190"/>
      <c r="BT151"/>
      <c r="BU151"/>
      <c r="BV151"/>
      <c r="BY151" s="99"/>
      <c r="BZ151" s="99"/>
      <c r="CA151" s="280" t="str">
        <f t="shared" si="88"/>
        <v/>
      </c>
      <c r="CB151" s="71" t="str">
        <f t="shared" si="31"/>
        <v>-</v>
      </c>
      <c r="CC151" s="33"/>
      <c r="CD151" s="261" t="str">
        <f t="shared" si="33"/>
        <v/>
      </c>
      <c r="CE151" s="280" t="str">
        <f t="shared" si="89"/>
        <v/>
      </c>
      <c r="CF151" s="71" t="str">
        <f t="shared" ca="1" si="90"/>
        <v/>
      </c>
      <c r="CG151" s="33" t="str">
        <f t="shared" si="36"/>
        <v/>
      </c>
      <c r="CH151" s="261" t="str">
        <f t="shared" ca="1" si="37"/>
        <v/>
      </c>
      <c r="CI151" s="202"/>
      <c r="CJ151" s="99"/>
      <c r="CK151" s="99"/>
      <c r="CL151" s="99"/>
      <c r="CM151" s="99"/>
      <c r="CN151" s="99"/>
      <c r="CO151" s="99"/>
    </row>
    <row r="152" spans="2:93" ht="13.5" customHeight="1" x14ac:dyDescent="0.2">
      <c r="B152" s="262">
        <v>52</v>
      </c>
      <c r="C152" s="237" t="str">
        <f t="shared" si="1"/>
        <v/>
      </c>
      <c r="D152" s="237" t="str">
        <f t="shared" si="66"/>
        <v/>
      </c>
      <c r="E152" s="290" t="str">
        <f t="shared" si="38"/>
        <v/>
      </c>
      <c r="F152" s="264" t="str">
        <f t="shared" si="39"/>
        <v/>
      </c>
      <c r="G152" s="291" t="str">
        <f t="shared" si="40"/>
        <v/>
      </c>
      <c r="H152" s="240" t="str">
        <f t="shared" si="71"/>
        <v/>
      </c>
      <c r="I152" s="265" t="str">
        <f t="shared" si="72"/>
        <v/>
      </c>
      <c r="J152" s="265" t="str">
        <f t="shared" si="73"/>
        <v/>
      </c>
      <c r="K152" s="240" t="str">
        <f t="shared" si="74"/>
        <v/>
      </c>
      <c r="L152" s="265" t="str">
        <f t="shared" si="75"/>
        <v/>
      </c>
      <c r="M152" s="265" t="str">
        <f t="shared" si="76"/>
        <v/>
      </c>
      <c r="N152" s="240" t="str">
        <f t="shared" si="77"/>
        <v>-</v>
      </c>
      <c r="O152" s="265" t="str">
        <f t="shared" si="78"/>
        <v>-</v>
      </c>
      <c r="P152" s="265" t="str">
        <f t="shared" si="79"/>
        <v>-</v>
      </c>
      <c r="Q152" s="266" t="str">
        <f t="shared" si="80"/>
        <v>-</v>
      </c>
      <c r="R152" s="267" t="str">
        <f t="shared" si="81"/>
        <v>-</v>
      </c>
      <c r="S152" s="268" t="str">
        <f t="shared" si="82"/>
        <v>-</v>
      </c>
      <c r="T152" s="269" t="str">
        <f t="shared" si="13"/>
        <v/>
      </c>
      <c r="U152" s="221">
        <f t="shared" si="14"/>
        <v>52</v>
      </c>
      <c r="V152" s="220" t="str">
        <f t="shared" si="42"/>
        <v>-</v>
      </c>
      <c r="W152" s="221" t="str">
        <f t="shared" si="43"/>
        <v>-</v>
      </c>
      <c r="X152" s="221" t="str">
        <f t="shared" si="15"/>
        <v>-</v>
      </c>
      <c r="Y152" s="221" t="str">
        <f t="shared" si="16"/>
        <v>-</v>
      </c>
      <c r="Z152" s="270">
        <f t="shared" si="44"/>
        <v>0.1</v>
      </c>
      <c r="AA152" s="271" t="str">
        <f>IFERROR(IF(V151=1,AA$100*EXP(-(LN(2)/$D$65+0.04)*X151)*EXP(-(LN(2)/$D$65+0.1)*Y151),IF(V151=2,AA$100*EXP(-(LN(2)/$D$65+0.04)*(VLOOKUP(($F$16-$F$15)-1,U$99:Y151,4,FALSE)))*EXP(-(LN(2)/$D$65+0.1)*(VLOOKUP(($F$16-$F$15)-1,U$99:Y151,5,FALSE)))*EXP(-(LN(2)/$D$65+0.04)*X151)*EXP(-(LN(2)/$D$65+0.1)*Y151),IF(V151=3,AA$100*EXP(-(LN(2)/$D$65+0.04)*(VLOOKUP(($F$16-$F$15)-1,U$99:Y151,4,FALSE)))*EXP(-(LN(2)/$D$65+0.1)*(VLOOKUP(($F$16-$F$15)-1,U$99:Y151,5,FALSE)))*EXP(-(LN(2)/$D$65+0.04)*(VLOOKUP(($F$16-$F$15)*2-1,U$99:Y151,4,FALSE)))*EXP(-(LN(2)/$D$65+0.1)*(VLOOKUP(($F$16-$F$15)*2-1,U$99:Y151,5,FALSE)))*EXP(-(LN(2)/$D$65+0.04)*X151)*EXP(-(LN(2)/$D$65+0.1)*Y151),"-"))),"-")</f>
        <v>-</v>
      </c>
      <c r="AB152" s="271" t="str">
        <f>IFERROR(IF(V152=1,AB$100*EXP(-(LN(2)/$D$65+0.04)*X152)*EXP(-(LN(2)/$D$65+0.1)*Y152),IF(V152=2,AB$100*EXP(-(LN(2)/$D$65+0.04)*(VLOOKUP(($F$16-$F$15)-1,U$100:Y152,4,FALSE)))*EXP(-(LN(2)/$D$65+0.1)*(VLOOKUP(($F$16-$F$15)-1,U$100:Y152,5,FALSE)))*EXP(-(LN(2)/$D$65+0.04)*X152)*EXP(-(LN(2)/$D$65+0.1)*Y152),IF(V152=3,AB$100*EXP(-(LN(2)/$D$65+0.04)*(VLOOKUP(($F$16-$F$15)-1,U$100:Y152,4,FALSE)))*EXP(-(LN(2)/$D$65+0.1)*(VLOOKUP(($F$16-$F$15)-1,U$100:Y152,5,FALSE)))*EXP(-(LN(2)/$D$65+0.04)*(VLOOKUP(($F$16-$F$15)*2-1,U$100:Y152,4,FALSE)))*EXP(-(LN(2)/$D$65+0.1)*(VLOOKUP(($F$16-$F$15)*2-1,U$100:Y152,5,FALSE)))*EXP(-(LN(2)/$D$65+0.04)*X152)*EXP(-(LN(2)/$D$65+0.1)*Y152),"-"))),"-")</f>
        <v>-</v>
      </c>
      <c r="AC152" s="224">
        <f t="shared" si="45"/>
        <v>52</v>
      </c>
      <c r="AD152" s="223" t="str">
        <f t="shared" si="18"/>
        <v>-</v>
      </c>
      <c r="AE152" s="224" t="str">
        <f t="shared" si="46"/>
        <v>-</v>
      </c>
      <c r="AF152" s="224" t="str">
        <f t="shared" si="19"/>
        <v>-</v>
      </c>
      <c r="AG152" s="224" t="str">
        <f t="shared" si="20"/>
        <v>-</v>
      </c>
      <c r="AH152" s="272">
        <f t="shared" si="47"/>
        <v>0.1</v>
      </c>
      <c r="AI152" s="271" t="str">
        <f>IFERROR(IF(AD151=1,AI$100*EXP(-(LN(2)/$D$65+0.04)*AF151)*EXP(-(LN(2)/$D$65+0.1)*AG151),IF(AD151=2,AI$100*EXP(-(LN(2)/$D$65+0.04)*(VLOOKUP(($F$16-$F$15)-1,AC$99:AG151,4,FALSE)))*EXP(-(LN(2)/$D$65+0.1)*(VLOOKUP(($F$16-$F$15)-1,AC$99:AG151,5,FALSE)))*EXP(-(LN(2)/$D$65+0.04)*AF151)*EXP(-(LN(2)/$D$65+0.1)*AG151),IF(AD151=3,AI$100*EXP(-(LN(2)/$D$65+0.04)*(VLOOKUP(($F$16-$F$15)-1,AC$99:AG151,4,FALSE)))*EXP(-(LN(2)/$D$65+0.1)*(VLOOKUP(($F$16-$F$15)-1,AC$99:AG151,5,FALSE)))*EXP(-(LN(2)/$D$65+0.04)*(VLOOKUP(($F$16-$F$15)*2-1,AC$99:AG151,4,FALSE)))*EXP(-(LN(2)/$D$65+0.1)*(VLOOKUP(($F$16-$F$15)*2-1,AC$99:AG151,5,FALSE)))*EXP(-(LN(2)/$D$65+0.04)*AF151)*EXP(-(LN(2)/$D$65+0.1)*AG151),"-"))),"-")</f>
        <v>-</v>
      </c>
      <c r="AJ152" s="271" t="str">
        <f>IFERROR(IF(AD152=1,AJ$100*EXP(-(LN(2)/$D$65+0.04)*AF152)*EXP(-(LN(2)/$D$65+0.1)*AG152),IF(AD152=2,AJ$100*EXP(-(LN(2)/$D$65+0.04)*(VLOOKUP(($F$16-$F$15)-1,AC$100:AG152,4,FALSE)))*EXP(-(LN(2)/$D$65+0.1)*(VLOOKUP(($F$16-$F$15)-1,AC$100:AG152,5,FALSE)))*EXP(-(LN(2)/$D$65+0.04)*AF152)*EXP(-(LN(2)/$D$65+0.1)*AG152),IF(AD152=3,AJ$100*EXP(-(LN(2)/$D$65+0.04)*(VLOOKUP(($F$16-$F$15)-1,AC$100:AG152,4,FALSE)))*EXP(-(LN(2)/$D$65+0.1)*(VLOOKUP(($F$16-$F$15)-1,AC$100:AG152,5,FALSE)))*EXP(-(LN(2)/$D$65+0.04)*(VLOOKUP(($F$16-$F$15)*2-1,AC$100:AG152,4,FALSE)))*EXP(-(LN(2)/$D$65+0.1)*(VLOOKUP(($F$16-$F$15)*2-1,AC$100:AG152,5,FALSE)))*EXP(-(LN(2)/$D$65+0.04)*AF152)*EXP(-(LN(2)/$D$65+0.1)*AG152),"-"))),"-")</f>
        <v>-</v>
      </c>
      <c r="AK152" s="227">
        <f t="shared" si="49"/>
        <v>52</v>
      </c>
      <c r="AL152" s="226" t="str">
        <f t="shared" si="22"/>
        <v>-</v>
      </c>
      <c r="AM152" s="227" t="str">
        <f t="shared" si="50"/>
        <v>-</v>
      </c>
      <c r="AN152" s="227" t="str">
        <f t="shared" si="51"/>
        <v>-</v>
      </c>
      <c r="AO152" s="227" t="str">
        <f t="shared" si="23"/>
        <v>-</v>
      </c>
      <c r="AP152" s="273">
        <f t="shared" si="52"/>
        <v>0.1</v>
      </c>
      <c r="AQ152" s="271" t="str">
        <f>IFERROR(IF(AL151=1,AQ$100*EXP(-(LN(2)/$D$65+0.04)*AN151)*EXP(-(LN(2)/$D$65+0.1)*AO151),IF(AL151=2,AQ$100*EXP(-(LN(2)/$D$65+0.04)*(VLOOKUP(($F$16-$F$15)-1,AK$99:AO151,4,FALSE)))*EXP(-(LN(2)/$D$65+0.1)*(VLOOKUP(($F$16-$F$15)-1,AK$99:AO151,5,FALSE)))*EXP(-(LN(2)/$D$65+0.04)*AN151)*EXP(-(LN(2)/$D$65+0.1)*AO151),IF(AL151=3,AQ$100*EXP(-(LN(2)/$D$65+0.04)*(VLOOKUP(($F$16-$F$15)-1,AK$99:AO151,4,FALSE)))*EXP(-(LN(2)/$D$65+0.1)*(VLOOKUP(($F$16-$F$15)-1,AK$99:AO151,5,FALSE)))*EXP(-(LN(2)/$D$65+0.04)*(VLOOKUP(($F$16-$F$15)*2-1,AK$99:AO151,4,FALSE)))*EXP(-(LN(2)/$D$65+0.1)*(VLOOKUP(($F$16-$F$15)*2-1,AK$99:AO151,5,FALSE)))*EXP(-(LN(2)/$D$65+0.04)*AN151)*EXP(-(LN(2)/$D$65+0.1)*AO151),"-"))),"-")</f>
        <v>-</v>
      </c>
      <c r="AR152" s="271" t="str">
        <f>IFERROR(IF(AL152=1,AR$100*EXP(-(LN(2)/$D$65+0.04)*AN152)*EXP(-(LN(2)/$D$65+0.1)*AO152),IF(AL152=2,AR$100*EXP(-(LN(2)/$D$65+0.04)*(VLOOKUP(($F$16-$F$15)-1,AK$100:AO152,4,FALSE)))*EXP(-(LN(2)/$D$65+0.1)*(VLOOKUP(($F$16-$F$15)-1,AK$100:AO152,5,FALSE)))*EXP(-(LN(2)/$D$65+0.04)*AN152)*EXP(-(LN(2)/$D$65+0.1)*AO152),IF(AL152=3,AR$100*EXP(-(LN(2)/$D$65+0.04)*(VLOOKUP(($F$16-$F$15)-1,AK$100:AO152,4,FALSE)))*EXP(-(LN(2)/$D$65+0.1)*(VLOOKUP(($F$16-$F$15)-1,AK$100:AO152,5,FALSE)))*EXP(-(LN(2)/$D$65+0.04)*(VLOOKUP(($F$16-$F$15)*2-1,AK$100:AO152,4,FALSE)))*EXP(-(LN(2)/$D$65+0.1)*(VLOOKUP(($F$16-$F$15)*2-1,AK$100:AO152,5,FALSE)))*EXP(-(LN(2)/$D$65+0.04)*AN152)*EXP(-(LN(2)/$D$65+0.1)*AO152),"-"))),"-")</f>
        <v>-</v>
      </c>
      <c r="AS152" s="274">
        <f t="shared" si="24"/>
        <v>0</v>
      </c>
      <c r="AT152" s="274">
        <f t="shared" si="25"/>
        <v>0</v>
      </c>
      <c r="AU152" s="274">
        <f t="shared" si="26"/>
        <v>0</v>
      </c>
      <c r="AV152" s="190" t="str">
        <f>IF($B152&lt;$F$22,SUM($T$100:$T152),"")</f>
        <v/>
      </c>
      <c r="AW152" s="190" t="str">
        <f t="shared" si="83"/>
        <v>-</v>
      </c>
      <c r="AX152" s="190" t="str">
        <f t="shared" si="56"/>
        <v/>
      </c>
      <c r="AY152"/>
      <c r="AZ152" s="190" t="str">
        <f ca="1">IF(ISNUMBER(OFFSET(AV152,-$F$21,0)),SUM(OFFSET($T$100,$F$21,0):$T152),"")</f>
        <v/>
      </c>
      <c r="BA152" s="190" t="str">
        <f t="shared" ca="1" si="84"/>
        <v/>
      </c>
      <c r="BB152" s="190" t="str">
        <f t="shared" ca="1" si="70"/>
        <v/>
      </c>
      <c r="BC152" s="190"/>
      <c r="BD152" s="190" t="str">
        <f ca="1">IFERROR(IF(OR(ISNUMBER(I),ISNUMBER($F$14)),IF(AND($B152&gt;=($F$16-$F$15),$B152&lt;$F$22+($F$16-$F$15)),SUM(OFFSET($T$100,($F$16-$F$15),0):$T152),""),""),"")</f>
        <v/>
      </c>
      <c r="BE152" s="190" t="str">
        <f t="shared" ca="1" si="58"/>
        <v/>
      </c>
      <c r="BF152" s="190" t="str">
        <f t="shared" ca="1" si="59"/>
        <v/>
      </c>
      <c r="BG152"/>
      <c r="BH152" s="190" t="str">
        <f ca="1">IF(ISNUMBER(OFFSET(BD152,-$F$21,0)),SUM(OFFSET($T$100,($F$16-$F$15+$F$21),0):$T152),"")</f>
        <v/>
      </c>
      <c r="BI152" s="190" t="str">
        <f t="shared" ca="1" si="85"/>
        <v/>
      </c>
      <c r="BJ152" s="190" t="str">
        <f t="shared" ca="1" si="60"/>
        <v/>
      </c>
      <c r="BK152" s="190"/>
      <c r="BL152" s="190" t="str">
        <f ca="1">IFERROR(IF(OR(ISNUMBER(I),ISNUMBER($F$14)),IF(AND($B152&gt;=($F$17-$F$15),$B152&lt;$F$22+($F$17-$F$15)),SUM(OFFSET($T$100,($F$17-$F$15),0):$T152),""),""),"")</f>
        <v/>
      </c>
      <c r="BM152" s="190" t="str">
        <f t="shared" ca="1" si="86"/>
        <v/>
      </c>
      <c r="BN152" s="190" t="str">
        <f t="shared" ca="1" si="61"/>
        <v/>
      </c>
      <c r="BO152"/>
      <c r="BP152" s="190" t="str">
        <f ca="1">IF(ISNUMBER(OFFSET(BL152,-$F$21,0)),SUM(OFFSET($T$100,($F$17-$F$15+$F$21),0):$T152),"")</f>
        <v/>
      </c>
      <c r="BQ152" s="190" t="str">
        <f t="shared" ca="1" si="87"/>
        <v/>
      </c>
      <c r="BR152" s="190" t="str">
        <f t="shared" ca="1" si="63"/>
        <v/>
      </c>
      <c r="BS152" s="190"/>
      <c r="BT152"/>
      <c r="BU152"/>
      <c r="BV152"/>
      <c r="BY152" s="99"/>
      <c r="BZ152" s="99"/>
      <c r="CA152" s="280" t="str">
        <f t="shared" si="88"/>
        <v/>
      </c>
      <c r="CB152" s="71" t="str">
        <f t="shared" si="31"/>
        <v>-</v>
      </c>
      <c r="CC152" s="33"/>
      <c r="CD152" s="261" t="str">
        <f t="shared" si="33"/>
        <v/>
      </c>
      <c r="CE152" s="280" t="str">
        <f t="shared" si="89"/>
        <v/>
      </c>
      <c r="CF152" s="71" t="str">
        <f t="shared" ca="1" si="90"/>
        <v/>
      </c>
      <c r="CG152" s="33" t="str">
        <f t="shared" si="36"/>
        <v/>
      </c>
      <c r="CH152" s="261" t="str">
        <f t="shared" ca="1" si="37"/>
        <v/>
      </c>
      <c r="CI152" s="202"/>
      <c r="CJ152" s="99"/>
      <c r="CK152" s="99"/>
      <c r="CL152" s="99"/>
      <c r="CM152" s="99"/>
      <c r="CN152" s="99"/>
      <c r="CO152" s="99"/>
    </row>
    <row r="153" spans="2:93" ht="13.5" customHeight="1" x14ac:dyDescent="0.2">
      <c r="B153" s="262">
        <v>53</v>
      </c>
      <c r="C153" s="237" t="str">
        <f t="shared" si="1"/>
        <v/>
      </c>
      <c r="D153" s="237" t="str">
        <f t="shared" si="66"/>
        <v/>
      </c>
      <c r="E153" s="290" t="str">
        <f t="shared" si="38"/>
        <v/>
      </c>
      <c r="F153" s="264" t="str">
        <f t="shared" si="39"/>
        <v/>
      </c>
      <c r="G153" s="291" t="str">
        <f t="shared" si="40"/>
        <v/>
      </c>
      <c r="H153" s="240" t="str">
        <f t="shared" si="71"/>
        <v/>
      </c>
      <c r="I153" s="265" t="str">
        <f t="shared" si="72"/>
        <v/>
      </c>
      <c r="J153" s="265" t="str">
        <f t="shared" si="73"/>
        <v/>
      </c>
      <c r="K153" s="240" t="str">
        <f t="shared" si="74"/>
        <v/>
      </c>
      <c r="L153" s="265" t="str">
        <f t="shared" si="75"/>
        <v/>
      </c>
      <c r="M153" s="265" t="str">
        <f t="shared" si="76"/>
        <v/>
      </c>
      <c r="N153" s="240" t="str">
        <f t="shared" si="77"/>
        <v>-</v>
      </c>
      <c r="O153" s="265" t="str">
        <f t="shared" si="78"/>
        <v>-</v>
      </c>
      <c r="P153" s="265" t="str">
        <f t="shared" si="79"/>
        <v>-</v>
      </c>
      <c r="Q153" s="266" t="str">
        <f t="shared" si="80"/>
        <v>-</v>
      </c>
      <c r="R153" s="267" t="str">
        <f t="shared" si="81"/>
        <v>-</v>
      </c>
      <c r="S153" s="268" t="str">
        <f t="shared" si="82"/>
        <v>-</v>
      </c>
      <c r="T153" s="269" t="str">
        <f t="shared" si="13"/>
        <v/>
      </c>
      <c r="U153" s="221">
        <f t="shared" si="14"/>
        <v>53</v>
      </c>
      <c r="V153" s="220" t="str">
        <f t="shared" si="42"/>
        <v>-</v>
      </c>
      <c r="W153" s="221" t="str">
        <f t="shared" si="43"/>
        <v>-</v>
      </c>
      <c r="X153" s="221" t="str">
        <f t="shared" si="15"/>
        <v>-</v>
      </c>
      <c r="Y153" s="221" t="str">
        <f t="shared" si="16"/>
        <v>-</v>
      </c>
      <c r="Z153" s="270">
        <f t="shared" si="44"/>
        <v>0.1</v>
      </c>
      <c r="AA153" s="271" t="str">
        <f>IFERROR(IF(V152=1,AA$100*EXP(-(LN(2)/$D$65+0.04)*X152)*EXP(-(LN(2)/$D$65+0.1)*Y152),IF(V152=2,AA$100*EXP(-(LN(2)/$D$65+0.04)*(VLOOKUP(($F$16-$F$15)-1,U$99:Y152,4,FALSE)))*EXP(-(LN(2)/$D$65+0.1)*(VLOOKUP(($F$16-$F$15)-1,U$99:Y152,5,FALSE)))*EXP(-(LN(2)/$D$65+0.04)*X152)*EXP(-(LN(2)/$D$65+0.1)*Y152),IF(V152=3,AA$100*EXP(-(LN(2)/$D$65+0.04)*(VLOOKUP(($F$16-$F$15)-1,U$99:Y152,4,FALSE)))*EXP(-(LN(2)/$D$65+0.1)*(VLOOKUP(($F$16-$F$15)-1,U$99:Y152,5,FALSE)))*EXP(-(LN(2)/$D$65+0.04)*(VLOOKUP(($F$16-$F$15)*2-1,U$99:Y152,4,FALSE)))*EXP(-(LN(2)/$D$65+0.1)*(VLOOKUP(($F$16-$F$15)*2-1,U$99:Y152,5,FALSE)))*EXP(-(LN(2)/$D$65+0.04)*X152)*EXP(-(LN(2)/$D$65+0.1)*Y152),"-"))),"-")</f>
        <v>-</v>
      </c>
      <c r="AB153" s="271" t="str">
        <f>IFERROR(IF(V153=1,AB$100*EXP(-(LN(2)/$D$65+0.04)*X153)*EXP(-(LN(2)/$D$65+0.1)*Y153),IF(V153=2,AB$100*EXP(-(LN(2)/$D$65+0.04)*(VLOOKUP(($F$16-$F$15)-1,U$100:Y153,4,FALSE)))*EXP(-(LN(2)/$D$65+0.1)*(VLOOKUP(($F$16-$F$15)-1,U$100:Y153,5,FALSE)))*EXP(-(LN(2)/$D$65+0.04)*X153)*EXP(-(LN(2)/$D$65+0.1)*Y153),IF(V153=3,AB$100*EXP(-(LN(2)/$D$65+0.04)*(VLOOKUP(($F$16-$F$15)-1,U$100:Y153,4,FALSE)))*EXP(-(LN(2)/$D$65+0.1)*(VLOOKUP(($F$16-$F$15)-1,U$100:Y153,5,FALSE)))*EXP(-(LN(2)/$D$65+0.04)*(VLOOKUP(($F$16-$F$15)*2-1,U$100:Y153,4,FALSE)))*EXP(-(LN(2)/$D$65+0.1)*(VLOOKUP(($F$16-$F$15)*2-1,U$100:Y153,5,FALSE)))*EXP(-(LN(2)/$D$65+0.04)*X153)*EXP(-(LN(2)/$D$65+0.1)*Y153),"-"))),"-")</f>
        <v>-</v>
      </c>
      <c r="AC153" s="224">
        <f t="shared" si="45"/>
        <v>53</v>
      </c>
      <c r="AD153" s="223" t="str">
        <f t="shared" si="18"/>
        <v>-</v>
      </c>
      <c r="AE153" s="224" t="str">
        <f t="shared" si="46"/>
        <v>-</v>
      </c>
      <c r="AF153" s="224" t="str">
        <f t="shared" si="19"/>
        <v>-</v>
      </c>
      <c r="AG153" s="224" t="str">
        <f t="shared" si="20"/>
        <v>-</v>
      </c>
      <c r="AH153" s="272">
        <f t="shared" si="47"/>
        <v>0.1</v>
      </c>
      <c r="AI153" s="271" t="str">
        <f>IFERROR(IF(AD152=1,AI$100*EXP(-(LN(2)/$D$65+0.04)*AF152)*EXP(-(LN(2)/$D$65+0.1)*AG152),IF(AD152=2,AI$100*EXP(-(LN(2)/$D$65+0.04)*(VLOOKUP(($F$16-$F$15)-1,AC$99:AG152,4,FALSE)))*EXP(-(LN(2)/$D$65+0.1)*(VLOOKUP(($F$16-$F$15)-1,AC$99:AG152,5,FALSE)))*EXP(-(LN(2)/$D$65+0.04)*AF152)*EXP(-(LN(2)/$D$65+0.1)*AG152),IF(AD152=3,AI$100*EXP(-(LN(2)/$D$65+0.04)*(VLOOKUP(($F$16-$F$15)-1,AC$99:AG152,4,FALSE)))*EXP(-(LN(2)/$D$65+0.1)*(VLOOKUP(($F$16-$F$15)-1,AC$99:AG152,5,FALSE)))*EXP(-(LN(2)/$D$65+0.04)*(VLOOKUP(($F$16-$F$15)*2-1,AC$99:AG152,4,FALSE)))*EXP(-(LN(2)/$D$65+0.1)*(VLOOKUP(($F$16-$F$15)*2-1,AC$99:AG152,5,FALSE)))*EXP(-(LN(2)/$D$65+0.04)*AF152)*EXP(-(LN(2)/$D$65+0.1)*AG152),"-"))),"-")</f>
        <v>-</v>
      </c>
      <c r="AJ153" s="271" t="str">
        <f>IFERROR(IF(AD153=1,AJ$100*EXP(-(LN(2)/$D$65+0.04)*AF153)*EXP(-(LN(2)/$D$65+0.1)*AG153),IF(AD153=2,AJ$100*EXP(-(LN(2)/$D$65+0.04)*(VLOOKUP(($F$16-$F$15)-1,AC$100:AG153,4,FALSE)))*EXP(-(LN(2)/$D$65+0.1)*(VLOOKUP(($F$16-$F$15)-1,AC$100:AG153,5,FALSE)))*EXP(-(LN(2)/$D$65+0.04)*AF153)*EXP(-(LN(2)/$D$65+0.1)*AG153),IF(AD153=3,AJ$100*EXP(-(LN(2)/$D$65+0.04)*(VLOOKUP(($F$16-$F$15)-1,AC$100:AG153,4,FALSE)))*EXP(-(LN(2)/$D$65+0.1)*(VLOOKUP(($F$16-$F$15)-1,AC$100:AG153,5,FALSE)))*EXP(-(LN(2)/$D$65+0.04)*(VLOOKUP(($F$16-$F$15)*2-1,AC$100:AG153,4,FALSE)))*EXP(-(LN(2)/$D$65+0.1)*(VLOOKUP(($F$16-$F$15)*2-1,AC$100:AG153,5,FALSE)))*EXP(-(LN(2)/$D$65+0.04)*AF153)*EXP(-(LN(2)/$D$65+0.1)*AG153),"-"))),"-")</f>
        <v>-</v>
      </c>
      <c r="AK153" s="227">
        <f t="shared" si="49"/>
        <v>53</v>
      </c>
      <c r="AL153" s="226" t="str">
        <f t="shared" si="22"/>
        <v>-</v>
      </c>
      <c r="AM153" s="227" t="str">
        <f t="shared" si="50"/>
        <v>-</v>
      </c>
      <c r="AN153" s="227" t="str">
        <f t="shared" si="51"/>
        <v>-</v>
      </c>
      <c r="AO153" s="227" t="str">
        <f t="shared" si="23"/>
        <v>-</v>
      </c>
      <c r="AP153" s="273">
        <f t="shared" si="52"/>
        <v>0.1</v>
      </c>
      <c r="AQ153" s="271" t="str">
        <f>IFERROR(IF(AL152=1,AQ$100*EXP(-(LN(2)/$D$65+0.04)*AN152)*EXP(-(LN(2)/$D$65+0.1)*AO152),IF(AL152=2,AQ$100*EXP(-(LN(2)/$D$65+0.04)*(VLOOKUP(($F$16-$F$15)-1,AK$99:AO152,4,FALSE)))*EXP(-(LN(2)/$D$65+0.1)*(VLOOKUP(($F$16-$F$15)-1,AK$99:AO152,5,FALSE)))*EXP(-(LN(2)/$D$65+0.04)*AN152)*EXP(-(LN(2)/$D$65+0.1)*AO152),IF(AL152=3,AQ$100*EXP(-(LN(2)/$D$65+0.04)*(VLOOKUP(($F$16-$F$15)-1,AK$99:AO152,4,FALSE)))*EXP(-(LN(2)/$D$65+0.1)*(VLOOKUP(($F$16-$F$15)-1,AK$99:AO152,5,FALSE)))*EXP(-(LN(2)/$D$65+0.04)*(VLOOKUP(($F$16-$F$15)*2-1,AK$99:AO152,4,FALSE)))*EXP(-(LN(2)/$D$65+0.1)*(VLOOKUP(($F$16-$F$15)*2-1,AK$99:AO152,5,FALSE)))*EXP(-(LN(2)/$D$65+0.04)*AN152)*EXP(-(LN(2)/$D$65+0.1)*AO152),"-"))),"-")</f>
        <v>-</v>
      </c>
      <c r="AR153" s="271" t="str">
        <f>IFERROR(IF(AL153=1,AR$100*EXP(-(LN(2)/$D$65+0.04)*AN153)*EXP(-(LN(2)/$D$65+0.1)*AO153),IF(AL153=2,AR$100*EXP(-(LN(2)/$D$65+0.04)*(VLOOKUP(($F$16-$F$15)-1,AK$100:AO153,4,FALSE)))*EXP(-(LN(2)/$D$65+0.1)*(VLOOKUP(($F$16-$F$15)-1,AK$100:AO153,5,FALSE)))*EXP(-(LN(2)/$D$65+0.04)*AN153)*EXP(-(LN(2)/$D$65+0.1)*AO153),IF(AL153=3,AR$100*EXP(-(LN(2)/$D$65+0.04)*(VLOOKUP(($F$16-$F$15)-1,AK$100:AO153,4,FALSE)))*EXP(-(LN(2)/$D$65+0.1)*(VLOOKUP(($F$16-$F$15)-1,AK$100:AO153,5,FALSE)))*EXP(-(LN(2)/$D$65+0.04)*(VLOOKUP(($F$16-$F$15)*2-1,AK$100:AO153,4,FALSE)))*EXP(-(LN(2)/$D$65+0.1)*(VLOOKUP(($F$16-$F$15)*2-1,AK$100:AO153,5,FALSE)))*EXP(-(LN(2)/$D$65+0.04)*AN153)*EXP(-(LN(2)/$D$65+0.1)*AO153),"-"))),"-")</f>
        <v>-</v>
      </c>
      <c r="AS153" s="274">
        <f t="shared" si="24"/>
        <v>0</v>
      </c>
      <c r="AT153" s="274">
        <f t="shared" si="25"/>
        <v>0</v>
      </c>
      <c r="AU153" s="274">
        <f t="shared" si="26"/>
        <v>0</v>
      </c>
      <c r="AV153" s="190" t="str">
        <f>IF($B153&lt;$F$22,SUM($T$100:$T153),"")</f>
        <v/>
      </c>
      <c r="AW153" s="190" t="str">
        <f t="shared" si="83"/>
        <v>-</v>
      </c>
      <c r="AX153" s="190" t="str">
        <f t="shared" si="56"/>
        <v/>
      </c>
      <c r="AY153"/>
      <c r="AZ153" s="190" t="str">
        <f ca="1">IF(ISNUMBER(OFFSET(AV153,-$F$21,0)),SUM(OFFSET($T$100,$F$21,0):$T153),"")</f>
        <v/>
      </c>
      <c r="BA153" s="190" t="str">
        <f t="shared" ca="1" si="84"/>
        <v/>
      </c>
      <c r="BB153" s="190" t="str">
        <f t="shared" ca="1" si="70"/>
        <v/>
      </c>
      <c r="BC153" s="190"/>
      <c r="BD153" s="190" t="str">
        <f ca="1">IFERROR(IF(OR(ISNUMBER(I),ISNUMBER($F$14)),IF(AND($B153&gt;=($F$16-$F$15),$B153&lt;$F$22+($F$16-$F$15)),SUM(OFFSET($T$100,($F$16-$F$15),0):$T153),""),""),"")</f>
        <v/>
      </c>
      <c r="BE153" s="190" t="str">
        <f t="shared" ca="1" si="58"/>
        <v/>
      </c>
      <c r="BF153" s="190" t="str">
        <f t="shared" ca="1" si="59"/>
        <v/>
      </c>
      <c r="BG153"/>
      <c r="BH153" s="190" t="str">
        <f ca="1">IF(ISNUMBER(OFFSET(BD153,-$F$21,0)),SUM(OFFSET($T$100,($F$16-$F$15+$F$21),0):$T153),"")</f>
        <v/>
      </c>
      <c r="BI153" s="190" t="str">
        <f t="shared" ca="1" si="85"/>
        <v/>
      </c>
      <c r="BJ153" s="190" t="str">
        <f t="shared" ca="1" si="60"/>
        <v/>
      </c>
      <c r="BK153" s="190"/>
      <c r="BL153" s="190" t="str">
        <f ca="1">IFERROR(IF(OR(ISNUMBER(I),ISNUMBER($F$14)),IF(AND($B153&gt;=($F$17-$F$15),$B153&lt;$F$22+($F$17-$F$15)),SUM(OFFSET($T$100,($F$17-$F$15),0):$T153),""),""),"")</f>
        <v/>
      </c>
      <c r="BM153" s="190" t="str">
        <f t="shared" ca="1" si="86"/>
        <v/>
      </c>
      <c r="BN153" s="190" t="str">
        <f t="shared" ca="1" si="61"/>
        <v/>
      </c>
      <c r="BO153"/>
      <c r="BP153" s="190" t="str">
        <f ca="1">IF(ISNUMBER(OFFSET(BL153,-$F$21,0)),SUM(OFFSET($T$100,($F$17-$F$15+$F$21),0):$T153),"")</f>
        <v/>
      </c>
      <c r="BQ153" s="190" t="str">
        <f t="shared" ca="1" si="87"/>
        <v/>
      </c>
      <c r="BR153" s="190" t="str">
        <f t="shared" ca="1" si="63"/>
        <v/>
      </c>
      <c r="BS153" s="190"/>
      <c r="BT153"/>
      <c r="BU153"/>
      <c r="BV153"/>
      <c r="BY153" s="99"/>
      <c r="BZ153" s="99"/>
      <c r="CA153" s="280" t="str">
        <f t="shared" si="88"/>
        <v/>
      </c>
      <c r="CB153" s="71" t="str">
        <f t="shared" si="31"/>
        <v>-</v>
      </c>
      <c r="CC153" s="33"/>
      <c r="CD153" s="261" t="str">
        <f t="shared" si="33"/>
        <v/>
      </c>
      <c r="CE153" s="280" t="str">
        <f t="shared" si="89"/>
        <v/>
      </c>
      <c r="CF153" s="71" t="str">
        <f t="shared" ca="1" si="90"/>
        <v/>
      </c>
      <c r="CG153" s="33" t="str">
        <f t="shared" si="36"/>
        <v/>
      </c>
      <c r="CH153" s="261" t="str">
        <f t="shared" ca="1" si="37"/>
        <v/>
      </c>
      <c r="CI153" s="202"/>
      <c r="CJ153" s="99"/>
      <c r="CK153" s="99"/>
      <c r="CL153" s="99"/>
      <c r="CM153" s="99"/>
      <c r="CN153" s="99"/>
      <c r="CO153" s="99"/>
    </row>
    <row r="154" spans="2:93" ht="13.5" customHeight="1" x14ac:dyDescent="0.2">
      <c r="B154" s="262">
        <v>54</v>
      </c>
      <c r="C154" s="237" t="str">
        <f t="shared" si="1"/>
        <v/>
      </c>
      <c r="D154" s="237" t="str">
        <f t="shared" si="66"/>
        <v/>
      </c>
      <c r="E154" s="290" t="str">
        <f t="shared" si="38"/>
        <v/>
      </c>
      <c r="F154" s="264" t="str">
        <f t="shared" si="39"/>
        <v/>
      </c>
      <c r="G154" s="291" t="str">
        <f t="shared" si="40"/>
        <v/>
      </c>
      <c r="H154" s="240" t="str">
        <f t="shared" si="71"/>
        <v/>
      </c>
      <c r="I154" s="265" t="str">
        <f t="shared" si="72"/>
        <v/>
      </c>
      <c r="J154" s="265" t="str">
        <f t="shared" si="73"/>
        <v/>
      </c>
      <c r="K154" s="240" t="str">
        <f t="shared" si="74"/>
        <v/>
      </c>
      <c r="L154" s="265" t="str">
        <f t="shared" si="75"/>
        <v/>
      </c>
      <c r="M154" s="265" t="str">
        <f t="shared" si="76"/>
        <v/>
      </c>
      <c r="N154" s="240" t="str">
        <f t="shared" si="77"/>
        <v>-</v>
      </c>
      <c r="O154" s="265" t="str">
        <f t="shared" si="78"/>
        <v>-</v>
      </c>
      <c r="P154" s="265" t="str">
        <f t="shared" si="79"/>
        <v>-</v>
      </c>
      <c r="Q154" s="266" t="str">
        <f t="shared" si="80"/>
        <v>-</v>
      </c>
      <c r="R154" s="267" t="str">
        <f t="shared" si="81"/>
        <v>-</v>
      </c>
      <c r="S154" s="268" t="str">
        <f t="shared" si="82"/>
        <v>-</v>
      </c>
      <c r="T154" s="269" t="str">
        <f t="shared" si="13"/>
        <v/>
      </c>
      <c r="U154" s="221">
        <f t="shared" si="14"/>
        <v>54</v>
      </c>
      <c r="V154" s="220" t="str">
        <f t="shared" si="42"/>
        <v>-</v>
      </c>
      <c r="W154" s="221" t="str">
        <f t="shared" si="43"/>
        <v>-</v>
      </c>
      <c r="X154" s="221" t="str">
        <f t="shared" si="15"/>
        <v>-</v>
      </c>
      <c r="Y154" s="221" t="str">
        <f t="shared" si="16"/>
        <v>-</v>
      </c>
      <c r="Z154" s="270">
        <f t="shared" si="44"/>
        <v>0.1</v>
      </c>
      <c r="AA154" s="271" t="str">
        <f>IFERROR(IF(V153=1,AA$100*EXP(-(LN(2)/$D$65+0.04)*X153)*EXP(-(LN(2)/$D$65+0.1)*Y153),IF(V153=2,AA$100*EXP(-(LN(2)/$D$65+0.04)*(VLOOKUP(($F$16-$F$15)-1,U$99:Y153,4,FALSE)))*EXP(-(LN(2)/$D$65+0.1)*(VLOOKUP(($F$16-$F$15)-1,U$99:Y153,5,FALSE)))*EXP(-(LN(2)/$D$65+0.04)*X153)*EXP(-(LN(2)/$D$65+0.1)*Y153),IF(V153=3,AA$100*EXP(-(LN(2)/$D$65+0.04)*(VLOOKUP(($F$16-$F$15)-1,U$99:Y153,4,FALSE)))*EXP(-(LN(2)/$D$65+0.1)*(VLOOKUP(($F$16-$F$15)-1,U$99:Y153,5,FALSE)))*EXP(-(LN(2)/$D$65+0.04)*(VLOOKUP(($F$16-$F$15)*2-1,U$99:Y153,4,FALSE)))*EXP(-(LN(2)/$D$65+0.1)*(VLOOKUP(($F$16-$F$15)*2-1,U$99:Y153,5,FALSE)))*EXP(-(LN(2)/$D$65+0.04)*X153)*EXP(-(LN(2)/$D$65+0.1)*Y153),"-"))),"-")</f>
        <v>-</v>
      </c>
      <c r="AB154" s="271" t="str">
        <f>IFERROR(IF(V154=1,AB$100*EXP(-(LN(2)/$D$65+0.04)*X154)*EXP(-(LN(2)/$D$65+0.1)*Y154),IF(V154=2,AB$100*EXP(-(LN(2)/$D$65+0.04)*(VLOOKUP(($F$16-$F$15)-1,U$100:Y154,4,FALSE)))*EXP(-(LN(2)/$D$65+0.1)*(VLOOKUP(($F$16-$F$15)-1,U$100:Y154,5,FALSE)))*EXP(-(LN(2)/$D$65+0.04)*X154)*EXP(-(LN(2)/$D$65+0.1)*Y154),IF(V154=3,AB$100*EXP(-(LN(2)/$D$65+0.04)*(VLOOKUP(($F$16-$F$15)-1,U$100:Y154,4,FALSE)))*EXP(-(LN(2)/$D$65+0.1)*(VLOOKUP(($F$16-$F$15)-1,U$100:Y154,5,FALSE)))*EXP(-(LN(2)/$D$65+0.04)*(VLOOKUP(($F$16-$F$15)*2-1,U$100:Y154,4,FALSE)))*EXP(-(LN(2)/$D$65+0.1)*(VLOOKUP(($F$16-$F$15)*2-1,U$100:Y154,5,FALSE)))*EXP(-(LN(2)/$D$65+0.04)*X154)*EXP(-(LN(2)/$D$65+0.1)*Y154),"-"))),"-")</f>
        <v>-</v>
      </c>
      <c r="AC154" s="224">
        <f t="shared" si="45"/>
        <v>54</v>
      </c>
      <c r="AD154" s="223" t="str">
        <f t="shared" si="18"/>
        <v>-</v>
      </c>
      <c r="AE154" s="224" t="str">
        <f t="shared" si="46"/>
        <v>-</v>
      </c>
      <c r="AF154" s="224" t="str">
        <f t="shared" si="19"/>
        <v>-</v>
      </c>
      <c r="AG154" s="224" t="str">
        <f t="shared" si="20"/>
        <v>-</v>
      </c>
      <c r="AH154" s="272">
        <f t="shared" si="47"/>
        <v>0.1</v>
      </c>
      <c r="AI154" s="271" t="str">
        <f>IFERROR(IF(AD153=1,AI$100*EXP(-(LN(2)/$D$65+0.04)*AF153)*EXP(-(LN(2)/$D$65+0.1)*AG153),IF(AD153=2,AI$100*EXP(-(LN(2)/$D$65+0.04)*(VLOOKUP(($F$16-$F$15)-1,AC$99:AG153,4,FALSE)))*EXP(-(LN(2)/$D$65+0.1)*(VLOOKUP(($F$16-$F$15)-1,AC$99:AG153,5,FALSE)))*EXP(-(LN(2)/$D$65+0.04)*AF153)*EXP(-(LN(2)/$D$65+0.1)*AG153),IF(AD153=3,AI$100*EXP(-(LN(2)/$D$65+0.04)*(VLOOKUP(($F$16-$F$15)-1,AC$99:AG153,4,FALSE)))*EXP(-(LN(2)/$D$65+0.1)*(VLOOKUP(($F$16-$F$15)-1,AC$99:AG153,5,FALSE)))*EXP(-(LN(2)/$D$65+0.04)*(VLOOKUP(($F$16-$F$15)*2-1,AC$99:AG153,4,FALSE)))*EXP(-(LN(2)/$D$65+0.1)*(VLOOKUP(($F$16-$F$15)*2-1,AC$99:AG153,5,FALSE)))*EXP(-(LN(2)/$D$65+0.04)*AF153)*EXP(-(LN(2)/$D$65+0.1)*AG153),"-"))),"-")</f>
        <v>-</v>
      </c>
      <c r="AJ154" s="271" t="str">
        <f>IFERROR(IF(AD154=1,AJ$100*EXP(-(LN(2)/$D$65+0.04)*AF154)*EXP(-(LN(2)/$D$65+0.1)*AG154),IF(AD154=2,AJ$100*EXP(-(LN(2)/$D$65+0.04)*(VLOOKUP(($F$16-$F$15)-1,AC$100:AG154,4,FALSE)))*EXP(-(LN(2)/$D$65+0.1)*(VLOOKUP(($F$16-$F$15)-1,AC$100:AG154,5,FALSE)))*EXP(-(LN(2)/$D$65+0.04)*AF154)*EXP(-(LN(2)/$D$65+0.1)*AG154),IF(AD154=3,AJ$100*EXP(-(LN(2)/$D$65+0.04)*(VLOOKUP(($F$16-$F$15)-1,AC$100:AG154,4,FALSE)))*EXP(-(LN(2)/$D$65+0.1)*(VLOOKUP(($F$16-$F$15)-1,AC$100:AG154,5,FALSE)))*EXP(-(LN(2)/$D$65+0.04)*(VLOOKUP(($F$16-$F$15)*2-1,AC$100:AG154,4,FALSE)))*EXP(-(LN(2)/$D$65+0.1)*(VLOOKUP(($F$16-$F$15)*2-1,AC$100:AG154,5,FALSE)))*EXP(-(LN(2)/$D$65+0.04)*AF154)*EXP(-(LN(2)/$D$65+0.1)*AG154),"-"))),"-")</f>
        <v>-</v>
      </c>
      <c r="AK154" s="227">
        <f t="shared" si="49"/>
        <v>54</v>
      </c>
      <c r="AL154" s="226" t="str">
        <f t="shared" si="22"/>
        <v>-</v>
      </c>
      <c r="AM154" s="227" t="str">
        <f t="shared" si="50"/>
        <v>-</v>
      </c>
      <c r="AN154" s="227" t="str">
        <f t="shared" si="51"/>
        <v>-</v>
      </c>
      <c r="AO154" s="227" t="str">
        <f t="shared" si="23"/>
        <v>-</v>
      </c>
      <c r="AP154" s="273">
        <f t="shared" si="52"/>
        <v>0.1</v>
      </c>
      <c r="AQ154" s="271" t="str">
        <f>IFERROR(IF(AL153=1,AQ$100*EXP(-(LN(2)/$D$65+0.04)*AN153)*EXP(-(LN(2)/$D$65+0.1)*AO153),IF(AL153=2,AQ$100*EXP(-(LN(2)/$D$65+0.04)*(VLOOKUP(($F$16-$F$15)-1,AK$99:AO153,4,FALSE)))*EXP(-(LN(2)/$D$65+0.1)*(VLOOKUP(($F$16-$F$15)-1,AK$99:AO153,5,FALSE)))*EXP(-(LN(2)/$D$65+0.04)*AN153)*EXP(-(LN(2)/$D$65+0.1)*AO153),IF(AL153=3,AQ$100*EXP(-(LN(2)/$D$65+0.04)*(VLOOKUP(($F$16-$F$15)-1,AK$99:AO153,4,FALSE)))*EXP(-(LN(2)/$D$65+0.1)*(VLOOKUP(($F$16-$F$15)-1,AK$99:AO153,5,FALSE)))*EXP(-(LN(2)/$D$65+0.04)*(VLOOKUP(($F$16-$F$15)*2-1,AK$99:AO153,4,FALSE)))*EXP(-(LN(2)/$D$65+0.1)*(VLOOKUP(($F$16-$F$15)*2-1,AK$99:AO153,5,FALSE)))*EXP(-(LN(2)/$D$65+0.04)*AN153)*EXP(-(LN(2)/$D$65+0.1)*AO153),"-"))),"-")</f>
        <v>-</v>
      </c>
      <c r="AR154" s="271" t="str">
        <f>IFERROR(IF(AL154=1,AR$100*EXP(-(LN(2)/$D$65+0.04)*AN154)*EXP(-(LN(2)/$D$65+0.1)*AO154),IF(AL154=2,AR$100*EXP(-(LN(2)/$D$65+0.04)*(VLOOKUP(($F$16-$F$15)-1,AK$100:AO154,4,FALSE)))*EXP(-(LN(2)/$D$65+0.1)*(VLOOKUP(($F$16-$F$15)-1,AK$100:AO154,5,FALSE)))*EXP(-(LN(2)/$D$65+0.04)*AN154)*EXP(-(LN(2)/$D$65+0.1)*AO154),IF(AL154=3,AR$100*EXP(-(LN(2)/$D$65+0.04)*(VLOOKUP(($F$16-$F$15)-1,AK$100:AO154,4,FALSE)))*EXP(-(LN(2)/$D$65+0.1)*(VLOOKUP(($F$16-$F$15)-1,AK$100:AO154,5,FALSE)))*EXP(-(LN(2)/$D$65+0.04)*(VLOOKUP(($F$16-$F$15)*2-1,AK$100:AO154,4,FALSE)))*EXP(-(LN(2)/$D$65+0.1)*(VLOOKUP(($F$16-$F$15)*2-1,AK$100:AO154,5,FALSE)))*EXP(-(LN(2)/$D$65+0.04)*AN154)*EXP(-(LN(2)/$D$65+0.1)*AO154),"-"))),"-")</f>
        <v>-</v>
      </c>
      <c r="AS154" s="274">
        <f t="shared" si="24"/>
        <v>0</v>
      </c>
      <c r="AT154" s="274">
        <f t="shared" si="25"/>
        <v>0</v>
      </c>
      <c r="AU154" s="274">
        <f t="shared" si="26"/>
        <v>0</v>
      </c>
      <c r="AV154" s="190" t="str">
        <f>IF($B154&lt;$F$22,SUM($T$100:$T154),"")</f>
        <v/>
      </c>
      <c r="AW154" s="190" t="str">
        <f t="shared" si="83"/>
        <v>-</v>
      </c>
      <c r="AX154" s="190" t="str">
        <f t="shared" si="56"/>
        <v/>
      </c>
      <c r="AY154"/>
      <c r="AZ154" s="190" t="str">
        <f ca="1">IF(ISNUMBER(OFFSET(AV154,-$F$21,0)),SUM(OFFSET($T$100,$F$21,0):$T154),"")</f>
        <v/>
      </c>
      <c r="BA154" s="190" t="str">
        <f t="shared" ca="1" si="84"/>
        <v/>
      </c>
      <c r="BB154" s="190" t="str">
        <f t="shared" ca="1" si="70"/>
        <v/>
      </c>
      <c r="BC154" s="190"/>
      <c r="BD154" s="190" t="str">
        <f ca="1">IFERROR(IF(OR(ISNUMBER(I),ISNUMBER($F$14)),IF(AND($B154&gt;=($F$16-$F$15),$B154&lt;$F$22+($F$16-$F$15)),SUM(OFFSET($T$100,($F$16-$F$15),0):$T154),""),""),"")</f>
        <v/>
      </c>
      <c r="BE154" s="190" t="str">
        <f t="shared" ca="1" si="58"/>
        <v/>
      </c>
      <c r="BF154" s="190" t="str">
        <f t="shared" ca="1" si="59"/>
        <v/>
      </c>
      <c r="BG154"/>
      <c r="BH154" s="190" t="str">
        <f ca="1">IF(ISNUMBER(OFFSET(BD154,-$F$21,0)),SUM(OFFSET($T$100,($F$16-$F$15+$F$21),0):$T154),"")</f>
        <v/>
      </c>
      <c r="BI154" s="190" t="str">
        <f t="shared" ca="1" si="85"/>
        <v/>
      </c>
      <c r="BJ154" s="190" t="str">
        <f t="shared" ca="1" si="60"/>
        <v/>
      </c>
      <c r="BK154" s="190"/>
      <c r="BL154" s="190" t="str">
        <f ca="1">IFERROR(IF(OR(ISNUMBER(I),ISNUMBER($F$14)),IF(AND($B154&gt;=($F$17-$F$15),$B154&lt;$F$22+($F$17-$F$15)),SUM(OFFSET($T$100,($F$17-$F$15),0):$T154),""),""),"")</f>
        <v/>
      </c>
      <c r="BM154" s="190" t="str">
        <f t="shared" ca="1" si="86"/>
        <v/>
      </c>
      <c r="BN154" s="190" t="str">
        <f t="shared" ca="1" si="61"/>
        <v/>
      </c>
      <c r="BO154"/>
      <c r="BP154" s="190" t="str">
        <f ca="1">IF(ISNUMBER(OFFSET(BL154,-$F$21,0)),SUM(OFFSET($T$100,($F$17-$F$15+$F$21),0):$T154),"")</f>
        <v/>
      </c>
      <c r="BQ154" s="190" t="str">
        <f t="shared" ca="1" si="87"/>
        <v/>
      </c>
      <c r="BR154" s="190" t="str">
        <f t="shared" ca="1" si="63"/>
        <v/>
      </c>
      <c r="BS154" s="190"/>
      <c r="BT154"/>
      <c r="BU154"/>
      <c r="BV154"/>
      <c r="BY154" s="99"/>
      <c r="BZ154" s="99"/>
      <c r="CA154" s="280" t="str">
        <f t="shared" si="88"/>
        <v/>
      </c>
      <c r="CB154" s="71" t="str">
        <f t="shared" si="31"/>
        <v>-</v>
      </c>
      <c r="CC154" s="33"/>
      <c r="CD154" s="261" t="str">
        <f t="shared" si="33"/>
        <v/>
      </c>
      <c r="CE154" s="280" t="str">
        <f t="shared" si="89"/>
        <v/>
      </c>
      <c r="CF154" s="71" t="str">
        <f t="shared" ca="1" si="90"/>
        <v/>
      </c>
      <c r="CG154" s="33" t="str">
        <f t="shared" si="36"/>
        <v/>
      </c>
      <c r="CH154" s="261" t="str">
        <f t="shared" ca="1" si="37"/>
        <v/>
      </c>
      <c r="CI154" s="202"/>
      <c r="CJ154" s="99"/>
      <c r="CK154" s="99"/>
      <c r="CL154" s="99"/>
      <c r="CM154" s="99"/>
      <c r="CN154" s="99"/>
      <c r="CO154" s="99"/>
    </row>
    <row r="155" spans="2:93" ht="13.5" customHeight="1" x14ac:dyDescent="0.2">
      <c r="B155" s="262">
        <v>55</v>
      </c>
      <c r="C155" s="237" t="str">
        <f t="shared" si="1"/>
        <v/>
      </c>
      <c r="D155" s="237" t="str">
        <f t="shared" si="66"/>
        <v/>
      </c>
      <c r="E155" s="290" t="str">
        <f t="shared" si="38"/>
        <v/>
      </c>
      <c r="F155" s="264" t="str">
        <f t="shared" si="39"/>
        <v/>
      </c>
      <c r="G155" s="291" t="str">
        <f t="shared" si="40"/>
        <v/>
      </c>
      <c r="H155" s="240" t="str">
        <f t="shared" si="71"/>
        <v/>
      </c>
      <c r="I155" s="265" t="str">
        <f t="shared" si="72"/>
        <v/>
      </c>
      <c r="J155" s="265" t="str">
        <f t="shared" si="73"/>
        <v/>
      </c>
      <c r="K155" s="240" t="str">
        <f t="shared" si="74"/>
        <v/>
      </c>
      <c r="L155" s="265" t="str">
        <f t="shared" si="75"/>
        <v/>
      </c>
      <c r="M155" s="265" t="str">
        <f t="shared" si="76"/>
        <v/>
      </c>
      <c r="N155" s="240" t="str">
        <f t="shared" si="77"/>
        <v>-</v>
      </c>
      <c r="O155" s="265" t="str">
        <f t="shared" si="78"/>
        <v>-</v>
      </c>
      <c r="P155" s="265" t="str">
        <f t="shared" si="79"/>
        <v>-</v>
      </c>
      <c r="Q155" s="266" t="str">
        <f t="shared" si="80"/>
        <v>-</v>
      </c>
      <c r="R155" s="267" t="str">
        <f t="shared" si="81"/>
        <v>-</v>
      </c>
      <c r="S155" s="268" t="str">
        <f t="shared" si="82"/>
        <v>-</v>
      </c>
      <c r="T155" s="269" t="str">
        <f t="shared" si="13"/>
        <v/>
      </c>
      <c r="U155" s="221">
        <f t="shared" si="14"/>
        <v>55</v>
      </c>
      <c r="V155" s="220" t="str">
        <f t="shared" si="42"/>
        <v>-</v>
      </c>
      <c r="W155" s="221" t="str">
        <f t="shared" si="43"/>
        <v>-</v>
      </c>
      <c r="X155" s="221" t="str">
        <f t="shared" si="15"/>
        <v>-</v>
      </c>
      <c r="Y155" s="221" t="str">
        <f t="shared" si="16"/>
        <v>-</v>
      </c>
      <c r="Z155" s="270">
        <f t="shared" si="44"/>
        <v>0.1</v>
      </c>
      <c r="AA155" s="271" t="str">
        <f>IFERROR(IF(V154=1,AA$100*EXP(-(LN(2)/$D$65+0.04)*X154)*EXP(-(LN(2)/$D$65+0.1)*Y154),IF(V154=2,AA$100*EXP(-(LN(2)/$D$65+0.04)*(VLOOKUP(($F$16-$F$15)-1,U$99:Y154,4,FALSE)))*EXP(-(LN(2)/$D$65+0.1)*(VLOOKUP(($F$16-$F$15)-1,U$99:Y154,5,FALSE)))*EXP(-(LN(2)/$D$65+0.04)*X154)*EXP(-(LN(2)/$D$65+0.1)*Y154),IF(V154=3,AA$100*EXP(-(LN(2)/$D$65+0.04)*(VLOOKUP(($F$16-$F$15)-1,U$99:Y154,4,FALSE)))*EXP(-(LN(2)/$D$65+0.1)*(VLOOKUP(($F$16-$F$15)-1,U$99:Y154,5,FALSE)))*EXP(-(LN(2)/$D$65+0.04)*(VLOOKUP(($F$16-$F$15)*2-1,U$99:Y154,4,FALSE)))*EXP(-(LN(2)/$D$65+0.1)*(VLOOKUP(($F$16-$F$15)*2-1,U$99:Y154,5,FALSE)))*EXP(-(LN(2)/$D$65+0.04)*X154)*EXP(-(LN(2)/$D$65+0.1)*Y154),"-"))),"-")</f>
        <v>-</v>
      </c>
      <c r="AB155" s="271" t="str">
        <f>IFERROR(IF(V155=1,AB$100*EXP(-(LN(2)/$D$65+0.04)*X155)*EXP(-(LN(2)/$D$65+0.1)*Y155),IF(V155=2,AB$100*EXP(-(LN(2)/$D$65+0.04)*(VLOOKUP(($F$16-$F$15)-1,U$100:Y155,4,FALSE)))*EXP(-(LN(2)/$D$65+0.1)*(VLOOKUP(($F$16-$F$15)-1,U$100:Y155,5,FALSE)))*EXP(-(LN(2)/$D$65+0.04)*X155)*EXP(-(LN(2)/$D$65+0.1)*Y155),IF(V155=3,AB$100*EXP(-(LN(2)/$D$65+0.04)*(VLOOKUP(($F$16-$F$15)-1,U$100:Y155,4,FALSE)))*EXP(-(LN(2)/$D$65+0.1)*(VLOOKUP(($F$16-$F$15)-1,U$100:Y155,5,FALSE)))*EXP(-(LN(2)/$D$65+0.04)*(VLOOKUP(($F$16-$F$15)*2-1,U$100:Y155,4,FALSE)))*EXP(-(LN(2)/$D$65+0.1)*(VLOOKUP(($F$16-$F$15)*2-1,U$100:Y155,5,FALSE)))*EXP(-(LN(2)/$D$65+0.04)*X155)*EXP(-(LN(2)/$D$65+0.1)*Y155),"-"))),"-")</f>
        <v>-</v>
      </c>
      <c r="AC155" s="224">
        <f t="shared" si="45"/>
        <v>55</v>
      </c>
      <c r="AD155" s="223" t="str">
        <f t="shared" si="18"/>
        <v>-</v>
      </c>
      <c r="AE155" s="224" t="str">
        <f t="shared" si="46"/>
        <v>-</v>
      </c>
      <c r="AF155" s="224" t="str">
        <f t="shared" si="19"/>
        <v>-</v>
      </c>
      <c r="AG155" s="224" t="str">
        <f t="shared" si="20"/>
        <v>-</v>
      </c>
      <c r="AH155" s="272">
        <f t="shared" si="47"/>
        <v>0.1</v>
      </c>
      <c r="AI155" s="271" t="str">
        <f>IFERROR(IF(AD154=1,AI$100*EXP(-(LN(2)/$D$65+0.04)*AF154)*EXP(-(LN(2)/$D$65+0.1)*AG154),IF(AD154=2,AI$100*EXP(-(LN(2)/$D$65+0.04)*(VLOOKUP(($F$16-$F$15)-1,AC$99:AG154,4,FALSE)))*EXP(-(LN(2)/$D$65+0.1)*(VLOOKUP(($F$16-$F$15)-1,AC$99:AG154,5,FALSE)))*EXP(-(LN(2)/$D$65+0.04)*AF154)*EXP(-(LN(2)/$D$65+0.1)*AG154),IF(AD154=3,AI$100*EXP(-(LN(2)/$D$65+0.04)*(VLOOKUP(($F$16-$F$15)-1,AC$99:AG154,4,FALSE)))*EXP(-(LN(2)/$D$65+0.1)*(VLOOKUP(($F$16-$F$15)-1,AC$99:AG154,5,FALSE)))*EXP(-(LN(2)/$D$65+0.04)*(VLOOKUP(($F$16-$F$15)*2-1,AC$99:AG154,4,FALSE)))*EXP(-(LN(2)/$D$65+0.1)*(VLOOKUP(($F$16-$F$15)*2-1,AC$99:AG154,5,FALSE)))*EXP(-(LN(2)/$D$65+0.04)*AF154)*EXP(-(LN(2)/$D$65+0.1)*AG154),"-"))),"-")</f>
        <v>-</v>
      </c>
      <c r="AJ155" s="271" t="str">
        <f>IFERROR(IF(AD155=1,AJ$100*EXP(-(LN(2)/$D$65+0.04)*AF155)*EXP(-(LN(2)/$D$65+0.1)*AG155),IF(AD155=2,AJ$100*EXP(-(LN(2)/$D$65+0.04)*(VLOOKUP(($F$16-$F$15)-1,AC$100:AG155,4,FALSE)))*EXP(-(LN(2)/$D$65+0.1)*(VLOOKUP(($F$16-$F$15)-1,AC$100:AG155,5,FALSE)))*EXP(-(LN(2)/$D$65+0.04)*AF155)*EXP(-(LN(2)/$D$65+0.1)*AG155),IF(AD155=3,AJ$100*EXP(-(LN(2)/$D$65+0.04)*(VLOOKUP(($F$16-$F$15)-1,AC$100:AG155,4,FALSE)))*EXP(-(LN(2)/$D$65+0.1)*(VLOOKUP(($F$16-$F$15)-1,AC$100:AG155,5,FALSE)))*EXP(-(LN(2)/$D$65+0.04)*(VLOOKUP(($F$16-$F$15)*2-1,AC$100:AG155,4,FALSE)))*EXP(-(LN(2)/$D$65+0.1)*(VLOOKUP(($F$16-$F$15)*2-1,AC$100:AG155,5,FALSE)))*EXP(-(LN(2)/$D$65+0.04)*AF155)*EXP(-(LN(2)/$D$65+0.1)*AG155),"-"))),"-")</f>
        <v>-</v>
      </c>
      <c r="AK155" s="227">
        <f t="shared" si="49"/>
        <v>55</v>
      </c>
      <c r="AL155" s="226" t="str">
        <f t="shared" si="22"/>
        <v>-</v>
      </c>
      <c r="AM155" s="227" t="str">
        <f t="shared" si="50"/>
        <v>-</v>
      </c>
      <c r="AN155" s="227" t="str">
        <f t="shared" si="51"/>
        <v>-</v>
      </c>
      <c r="AO155" s="227" t="str">
        <f t="shared" si="23"/>
        <v>-</v>
      </c>
      <c r="AP155" s="273">
        <f t="shared" si="52"/>
        <v>0.1</v>
      </c>
      <c r="AQ155" s="271" t="str">
        <f>IFERROR(IF(AL154=1,AQ$100*EXP(-(LN(2)/$D$65+0.04)*AN154)*EXP(-(LN(2)/$D$65+0.1)*AO154),IF(AL154=2,AQ$100*EXP(-(LN(2)/$D$65+0.04)*(VLOOKUP(($F$16-$F$15)-1,AK$99:AO154,4,FALSE)))*EXP(-(LN(2)/$D$65+0.1)*(VLOOKUP(($F$16-$F$15)-1,AK$99:AO154,5,FALSE)))*EXP(-(LN(2)/$D$65+0.04)*AN154)*EXP(-(LN(2)/$D$65+0.1)*AO154),IF(AL154=3,AQ$100*EXP(-(LN(2)/$D$65+0.04)*(VLOOKUP(($F$16-$F$15)-1,AK$99:AO154,4,FALSE)))*EXP(-(LN(2)/$D$65+0.1)*(VLOOKUP(($F$16-$F$15)-1,AK$99:AO154,5,FALSE)))*EXP(-(LN(2)/$D$65+0.04)*(VLOOKUP(($F$16-$F$15)*2-1,AK$99:AO154,4,FALSE)))*EXP(-(LN(2)/$D$65+0.1)*(VLOOKUP(($F$16-$F$15)*2-1,AK$99:AO154,5,FALSE)))*EXP(-(LN(2)/$D$65+0.04)*AN154)*EXP(-(LN(2)/$D$65+0.1)*AO154),"-"))),"-")</f>
        <v>-</v>
      </c>
      <c r="AR155" s="271" t="str">
        <f>IFERROR(IF(AL155=1,AR$100*EXP(-(LN(2)/$D$65+0.04)*AN155)*EXP(-(LN(2)/$D$65+0.1)*AO155),IF(AL155=2,AR$100*EXP(-(LN(2)/$D$65+0.04)*(VLOOKUP(($F$16-$F$15)-1,AK$100:AO155,4,FALSE)))*EXP(-(LN(2)/$D$65+0.1)*(VLOOKUP(($F$16-$F$15)-1,AK$100:AO155,5,FALSE)))*EXP(-(LN(2)/$D$65+0.04)*AN155)*EXP(-(LN(2)/$D$65+0.1)*AO155),IF(AL155=3,AR$100*EXP(-(LN(2)/$D$65+0.04)*(VLOOKUP(($F$16-$F$15)-1,AK$100:AO155,4,FALSE)))*EXP(-(LN(2)/$D$65+0.1)*(VLOOKUP(($F$16-$F$15)-1,AK$100:AO155,5,FALSE)))*EXP(-(LN(2)/$D$65+0.04)*(VLOOKUP(($F$16-$F$15)*2-1,AK$100:AO155,4,FALSE)))*EXP(-(LN(2)/$D$65+0.1)*(VLOOKUP(($F$16-$F$15)*2-1,AK$100:AO155,5,FALSE)))*EXP(-(LN(2)/$D$65+0.04)*AN155)*EXP(-(LN(2)/$D$65+0.1)*AO155),"-"))),"-")</f>
        <v>-</v>
      </c>
      <c r="AS155" s="274">
        <f t="shared" si="24"/>
        <v>0</v>
      </c>
      <c r="AT155" s="274">
        <f t="shared" si="25"/>
        <v>0</v>
      </c>
      <c r="AU155" s="274">
        <f t="shared" si="26"/>
        <v>0</v>
      </c>
      <c r="AV155" s="190" t="str">
        <f>IF($B155&lt;$F$22,SUM($T$100:$T155),"")</f>
        <v/>
      </c>
      <c r="AW155" s="190" t="str">
        <f t="shared" si="83"/>
        <v>-</v>
      </c>
      <c r="AX155" s="190" t="str">
        <f t="shared" si="56"/>
        <v/>
      </c>
      <c r="AY155"/>
      <c r="AZ155" s="190" t="str">
        <f ca="1">IF(ISNUMBER(OFFSET(AV155,-$F$21,0)),SUM(OFFSET($T$100,$F$21,0):$T155),"")</f>
        <v/>
      </c>
      <c r="BA155" s="190" t="str">
        <f t="shared" ca="1" si="84"/>
        <v/>
      </c>
      <c r="BB155" s="190" t="str">
        <f t="shared" ca="1" si="70"/>
        <v/>
      </c>
      <c r="BC155" s="190"/>
      <c r="BD155" s="190" t="str">
        <f ca="1">IFERROR(IF(OR(ISNUMBER(I),ISNUMBER($F$14)),IF(AND($B155&gt;=($F$16-$F$15),$B155&lt;$F$22+($F$16-$F$15)),SUM(OFFSET($T$100,($F$16-$F$15),0):$T155),""),""),"")</f>
        <v/>
      </c>
      <c r="BE155" s="190" t="str">
        <f t="shared" ca="1" si="58"/>
        <v/>
      </c>
      <c r="BF155" s="190" t="str">
        <f t="shared" ca="1" si="59"/>
        <v/>
      </c>
      <c r="BG155"/>
      <c r="BH155" s="190" t="str">
        <f ca="1">IF(ISNUMBER(OFFSET(BD155,-$F$21,0)),SUM(OFFSET($T$100,($F$16-$F$15+$F$21),0):$T155),"")</f>
        <v/>
      </c>
      <c r="BI155" s="190" t="str">
        <f t="shared" ca="1" si="85"/>
        <v/>
      </c>
      <c r="BJ155" s="190" t="str">
        <f t="shared" ca="1" si="60"/>
        <v/>
      </c>
      <c r="BK155" s="190"/>
      <c r="BL155" s="190" t="str">
        <f ca="1">IFERROR(IF(OR(ISNUMBER(I),ISNUMBER($F$14)),IF(AND($B155&gt;=($F$17-$F$15),$B155&lt;$F$22+($F$17-$F$15)),SUM(OFFSET($T$100,($F$17-$F$15),0):$T155),""),""),"")</f>
        <v/>
      </c>
      <c r="BM155" s="190" t="str">
        <f t="shared" ca="1" si="86"/>
        <v/>
      </c>
      <c r="BN155" s="190" t="str">
        <f t="shared" ca="1" si="61"/>
        <v/>
      </c>
      <c r="BO155"/>
      <c r="BP155" s="190" t="str">
        <f ca="1">IF(ISNUMBER(OFFSET(BL155,-$F$21,0)),SUM(OFFSET($T$100,($F$17-$F$15+$F$21),0):$T155),"")</f>
        <v/>
      </c>
      <c r="BQ155" s="190" t="str">
        <f t="shared" ca="1" si="87"/>
        <v/>
      </c>
      <c r="BR155" s="190" t="str">
        <f t="shared" ca="1" si="63"/>
        <v/>
      </c>
      <c r="BS155" s="190"/>
      <c r="BT155"/>
      <c r="BU155"/>
      <c r="BV155"/>
      <c r="BY155" s="99"/>
      <c r="BZ155" s="99"/>
      <c r="CA155" s="280" t="str">
        <f t="shared" si="88"/>
        <v/>
      </c>
      <c r="CB155" s="71" t="str">
        <f t="shared" si="31"/>
        <v>-</v>
      </c>
      <c r="CC155" s="33"/>
      <c r="CD155" s="261" t="str">
        <f t="shared" si="33"/>
        <v/>
      </c>
      <c r="CE155" s="280" t="str">
        <f t="shared" si="89"/>
        <v/>
      </c>
      <c r="CF155" s="71" t="str">
        <f t="shared" ca="1" si="90"/>
        <v/>
      </c>
      <c r="CG155" s="33" t="str">
        <f t="shared" si="36"/>
        <v/>
      </c>
      <c r="CH155" s="261" t="str">
        <f t="shared" ca="1" si="37"/>
        <v/>
      </c>
      <c r="CI155" s="202"/>
      <c r="CJ155" s="99"/>
      <c r="CK155" s="99"/>
      <c r="CL155" s="99"/>
      <c r="CM155" s="99"/>
      <c r="CN155" s="99"/>
      <c r="CO155" s="99"/>
    </row>
    <row r="156" spans="2:93" ht="13.5" customHeight="1" x14ac:dyDescent="0.2">
      <c r="B156" s="262">
        <v>56</v>
      </c>
      <c r="C156" s="237" t="str">
        <f t="shared" si="1"/>
        <v/>
      </c>
      <c r="D156" s="237" t="str">
        <f t="shared" si="66"/>
        <v/>
      </c>
      <c r="E156" s="290" t="str">
        <f t="shared" si="38"/>
        <v/>
      </c>
      <c r="F156" s="264" t="str">
        <f t="shared" si="39"/>
        <v/>
      </c>
      <c r="G156" s="291" t="str">
        <f t="shared" si="40"/>
        <v/>
      </c>
      <c r="H156" s="240" t="str">
        <f t="shared" si="71"/>
        <v/>
      </c>
      <c r="I156" s="265" t="str">
        <f t="shared" si="72"/>
        <v/>
      </c>
      <c r="J156" s="265" t="str">
        <f t="shared" si="73"/>
        <v/>
      </c>
      <c r="K156" s="240" t="str">
        <f t="shared" si="74"/>
        <v/>
      </c>
      <c r="L156" s="265" t="str">
        <f t="shared" si="75"/>
        <v/>
      </c>
      <c r="M156" s="265" t="str">
        <f t="shared" si="76"/>
        <v/>
      </c>
      <c r="N156" s="240" t="str">
        <f t="shared" si="77"/>
        <v>-</v>
      </c>
      <c r="O156" s="265" t="str">
        <f t="shared" si="78"/>
        <v>-</v>
      </c>
      <c r="P156" s="265" t="str">
        <f t="shared" si="79"/>
        <v>-</v>
      </c>
      <c r="Q156" s="266" t="str">
        <f t="shared" si="80"/>
        <v>-</v>
      </c>
      <c r="R156" s="267" t="str">
        <f t="shared" si="81"/>
        <v>-</v>
      </c>
      <c r="S156" s="268" t="str">
        <f t="shared" si="82"/>
        <v>-</v>
      </c>
      <c r="T156" s="269" t="str">
        <f t="shared" si="13"/>
        <v/>
      </c>
      <c r="U156" s="221">
        <f t="shared" si="14"/>
        <v>56</v>
      </c>
      <c r="V156" s="220" t="str">
        <f t="shared" si="42"/>
        <v>-</v>
      </c>
      <c r="W156" s="221" t="str">
        <f t="shared" si="43"/>
        <v>-</v>
      </c>
      <c r="X156" s="221" t="str">
        <f t="shared" si="15"/>
        <v>-</v>
      </c>
      <c r="Y156" s="221" t="str">
        <f t="shared" si="16"/>
        <v>-</v>
      </c>
      <c r="Z156" s="270">
        <f t="shared" si="44"/>
        <v>0.1</v>
      </c>
      <c r="AA156" s="271" t="str">
        <f>IFERROR(IF(V155=1,AA$100*EXP(-(LN(2)/$D$65+0.04)*X155)*EXP(-(LN(2)/$D$65+0.1)*Y155),IF(V155=2,AA$100*EXP(-(LN(2)/$D$65+0.04)*(VLOOKUP(($F$16-$F$15)-1,U$99:Y155,4,FALSE)))*EXP(-(LN(2)/$D$65+0.1)*(VLOOKUP(($F$16-$F$15)-1,U$99:Y155,5,FALSE)))*EXP(-(LN(2)/$D$65+0.04)*X155)*EXP(-(LN(2)/$D$65+0.1)*Y155),IF(V155=3,AA$100*EXP(-(LN(2)/$D$65+0.04)*(VLOOKUP(($F$16-$F$15)-1,U$99:Y155,4,FALSE)))*EXP(-(LN(2)/$D$65+0.1)*(VLOOKUP(($F$16-$F$15)-1,U$99:Y155,5,FALSE)))*EXP(-(LN(2)/$D$65+0.04)*(VLOOKUP(($F$16-$F$15)*2-1,U$99:Y155,4,FALSE)))*EXP(-(LN(2)/$D$65+0.1)*(VLOOKUP(($F$16-$F$15)*2-1,U$99:Y155,5,FALSE)))*EXP(-(LN(2)/$D$65+0.04)*X155)*EXP(-(LN(2)/$D$65+0.1)*Y155),"-"))),"-")</f>
        <v>-</v>
      </c>
      <c r="AB156" s="271" t="str">
        <f>IFERROR(IF(V156=1,AB$100*EXP(-(LN(2)/$D$65+0.04)*X156)*EXP(-(LN(2)/$D$65+0.1)*Y156),IF(V156=2,AB$100*EXP(-(LN(2)/$D$65+0.04)*(VLOOKUP(($F$16-$F$15)-1,U$100:Y156,4,FALSE)))*EXP(-(LN(2)/$D$65+0.1)*(VLOOKUP(($F$16-$F$15)-1,U$100:Y156,5,FALSE)))*EXP(-(LN(2)/$D$65+0.04)*X156)*EXP(-(LN(2)/$D$65+0.1)*Y156),IF(V156=3,AB$100*EXP(-(LN(2)/$D$65+0.04)*(VLOOKUP(($F$16-$F$15)-1,U$100:Y156,4,FALSE)))*EXP(-(LN(2)/$D$65+0.1)*(VLOOKUP(($F$16-$F$15)-1,U$100:Y156,5,FALSE)))*EXP(-(LN(2)/$D$65+0.04)*(VLOOKUP(($F$16-$F$15)*2-1,U$100:Y156,4,FALSE)))*EXP(-(LN(2)/$D$65+0.1)*(VLOOKUP(($F$16-$F$15)*2-1,U$100:Y156,5,FALSE)))*EXP(-(LN(2)/$D$65+0.04)*X156)*EXP(-(LN(2)/$D$65+0.1)*Y156),"-"))),"-")</f>
        <v>-</v>
      </c>
      <c r="AC156" s="224">
        <f t="shared" si="45"/>
        <v>56</v>
      </c>
      <c r="AD156" s="223" t="str">
        <f t="shared" si="18"/>
        <v>-</v>
      </c>
      <c r="AE156" s="224" t="str">
        <f t="shared" si="46"/>
        <v>-</v>
      </c>
      <c r="AF156" s="224" t="str">
        <f t="shared" si="19"/>
        <v>-</v>
      </c>
      <c r="AG156" s="224" t="str">
        <f t="shared" si="20"/>
        <v>-</v>
      </c>
      <c r="AH156" s="272">
        <f t="shared" si="47"/>
        <v>0.1</v>
      </c>
      <c r="AI156" s="271" t="str">
        <f>IFERROR(IF(AD155=1,AI$100*EXP(-(LN(2)/$D$65+0.04)*AF155)*EXP(-(LN(2)/$D$65+0.1)*AG155),IF(AD155=2,AI$100*EXP(-(LN(2)/$D$65+0.04)*(VLOOKUP(($F$16-$F$15)-1,AC$99:AG155,4,FALSE)))*EXP(-(LN(2)/$D$65+0.1)*(VLOOKUP(($F$16-$F$15)-1,AC$99:AG155,5,FALSE)))*EXP(-(LN(2)/$D$65+0.04)*AF155)*EXP(-(LN(2)/$D$65+0.1)*AG155),IF(AD155=3,AI$100*EXP(-(LN(2)/$D$65+0.04)*(VLOOKUP(($F$16-$F$15)-1,AC$99:AG155,4,FALSE)))*EXP(-(LN(2)/$D$65+0.1)*(VLOOKUP(($F$16-$F$15)-1,AC$99:AG155,5,FALSE)))*EXP(-(LN(2)/$D$65+0.04)*(VLOOKUP(($F$16-$F$15)*2-1,AC$99:AG155,4,FALSE)))*EXP(-(LN(2)/$D$65+0.1)*(VLOOKUP(($F$16-$F$15)*2-1,AC$99:AG155,5,FALSE)))*EXP(-(LN(2)/$D$65+0.04)*AF155)*EXP(-(LN(2)/$D$65+0.1)*AG155),"-"))),"-")</f>
        <v>-</v>
      </c>
      <c r="AJ156" s="271" t="str">
        <f>IFERROR(IF(AD156=1,AJ$100*EXP(-(LN(2)/$D$65+0.04)*AF156)*EXP(-(LN(2)/$D$65+0.1)*AG156),IF(AD156=2,AJ$100*EXP(-(LN(2)/$D$65+0.04)*(VLOOKUP(($F$16-$F$15)-1,AC$100:AG156,4,FALSE)))*EXP(-(LN(2)/$D$65+0.1)*(VLOOKUP(($F$16-$F$15)-1,AC$100:AG156,5,FALSE)))*EXP(-(LN(2)/$D$65+0.04)*AF156)*EXP(-(LN(2)/$D$65+0.1)*AG156),IF(AD156=3,AJ$100*EXP(-(LN(2)/$D$65+0.04)*(VLOOKUP(($F$16-$F$15)-1,AC$100:AG156,4,FALSE)))*EXP(-(LN(2)/$D$65+0.1)*(VLOOKUP(($F$16-$F$15)-1,AC$100:AG156,5,FALSE)))*EXP(-(LN(2)/$D$65+0.04)*(VLOOKUP(($F$16-$F$15)*2-1,AC$100:AG156,4,FALSE)))*EXP(-(LN(2)/$D$65+0.1)*(VLOOKUP(($F$16-$F$15)*2-1,AC$100:AG156,5,FALSE)))*EXP(-(LN(2)/$D$65+0.04)*AF156)*EXP(-(LN(2)/$D$65+0.1)*AG156),"-"))),"-")</f>
        <v>-</v>
      </c>
      <c r="AK156" s="227">
        <f t="shared" si="49"/>
        <v>56</v>
      </c>
      <c r="AL156" s="226" t="str">
        <f t="shared" si="22"/>
        <v>-</v>
      </c>
      <c r="AM156" s="227" t="str">
        <f t="shared" si="50"/>
        <v>-</v>
      </c>
      <c r="AN156" s="227" t="str">
        <f t="shared" si="51"/>
        <v>-</v>
      </c>
      <c r="AO156" s="227" t="str">
        <f t="shared" si="23"/>
        <v>-</v>
      </c>
      <c r="AP156" s="273">
        <f t="shared" si="52"/>
        <v>0.1</v>
      </c>
      <c r="AQ156" s="271" t="str">
        <f>IFERROR(IF(AL155=1,AQ$100*EXP(-(LN(2)/$D$65+0.04)*AN155)*EXP(-(LN(2)/$D$65+0.1)*AO155),IF(AL155=2,AQ$100*EXP(-(LN(2)/$D$65+0.04)*(VLOOKUP(($F$16-$F$15)-1,AK$99:AO155,4,FALSE)))*EXP(-(LN(2)/$D$65+0.1)*(VLOOKUP(($F$16-$F$15)-1,AK$99:AO155,5,FALSE)))*EXP(-(LN(2)/$D$65+0.04)*AN155)*EXP(-(LN(2)/$D$65+0.1)*AO155),IF(AL155=3,AQ$100*EXP(-(LN(2)/$D$65+0.04)*(VLOOKUP(($F$16-$F$15)-1,AK$99:AO155,4,FALSE)))*EXP(-(LN(2)/$D$65+0.1)*(VLOOKUP(($F$16-$F$15)-1,AK$99:AO155,5,FALSE)))*EXP(-(LN(2)/$D$65+0.04)*(VLOOKUP(($F$16-$F$15)*2-1,AK$99:AO155,4,FALSE)))*EXP(-(LN(2)/$D$65+0.1)*(VLOOKUP(($F$16-$F$15)*2-1,AK$99:AO155,5,FALSE)))*EXP(-(LN(2)/$D$65+0.04)*AN155)*EXP(-(LN(2)/$D$65+0.1)*AO155),"-"))),"-")</f>
        <v>-</v>
      </c>
      <c r="AR156" s="271" t="str">
        <f>IFERROR(IF(AL156=1,AR$100*EXP(-(LN(2)/$D$65+0.04)*AN156)*EXP(-(LN(2)/$D$65+0.1)*AO156),IF(AL156=2,AR$100*EXP(-(LN(2)/$D$65+0.04)*(VLOOKUP(($F$16-$F$15)-1,AK$100:AO156,4,FALSE)))*EXP(-(LN(2)/$D$65+0.1)*(VLOOKUP(($F$16-$F$15)-1,AK$100:AO156,5,FALSE)))*EXP(-(LN(2)/$D$65+0.04)*AN156)*EXP(-(LN(2)/$D$65+0.1)*AO156),IF(AL156=3,AR$100*EXP(-(LN(2)/$D$65+0.04)*(VLOOKUP(($F$16-$F$15)-1,AK$100:AO156,4,FALSE)))*EXP(-(LN(2)/$D$65+0.1)*(VLOOKUP(($F$16-$F$15)-1,AK$100:AO156,5,FALSE)))*EXP(-(LN(2)/$D$65+0.04)*(VLOOKUP(($F$16-$F$15)*2-1,AK$100:AO156,4,FALSE)))*EXP(-(LN(2)/$D$65+0.1)*(VLOOKUP(($F$16-$F$15)*2-1,AK$100:AO156,5,FALSE)))*EXP(-(LN(2)/$D$65+0.04)*AN156)*EXP(-(LN(2)/$D$65+0.1)*AO156),"-"))),"-")</f>
        <v>-</v>
      </c>
      <c r="AS156" s="274">
        <f t="shared" si="24"/>
        <v>0</v>
      </c>
      <c r="AT156" s="274">
        <f t="shared" si="25"/>
        <v>0</v>
      </c>
      <c r="AU156" s="274">
        <f t="shared" si="26"/>
        <v>0</v>
      </c>
      <c r="AV156" s="190" t="str">
        <f>IF($B156&lt;$F$22,SUM($T$100:$T156),"")</f>
        <v/>
      </c>
      <c r="AW156" s="190" t="str">
        <f t="shared" si="83"/>
        <v>-</v>
      </c>
      <c r="AX156" s="190" t="str">
        <f t="shared" si="56"/>
        <v/>
      </c>
      <c r="AY156"/>
      <c r="AZ156" s="190" t="str">
        <f ca="1">IF(ISNUMBER(OFFSET(AV156,-$F$21,0)),SUM(OFFSET($T$100,$F$21,0):$T156),"")</f>
        <v/>
      </c>
      <c r="BA156" s="190" t="str">
        <f t="shared" ca="1" si="84"/>
        <v/>
      </c>
      <c r="BB156" s="190" t="str">
        <f t="shared" ca="1" si="70"/>
        <v/>
      </c>
      <c r="BC156" s="190"/>
      <c r="BD156" s="190" t="str">
        <f ca="1">IFERROR(IF(OR(ISNUMBER(I),ISNUMBER($F$14)),IF(AND($B156&gt;=($F$16-$F$15),$B156&lt;$F$22+($F$16-$F$15)),SUM(OFFSET($T$100,($F$16-$F$15),0):$T156),""),""),"")</f>
        <v/>
      </c>
      <c r="BE156" s="190" t="str">
        <f t="shared" ca="1" si="58"/>
        <v/>
      </c>
      <c r="BF156" s="190" t="str">
        <f t="shared" ca="1" si="59"/>
        <v/>
      </c>
      <c r="BG156"/>
      <c r="BH156" s="190" t="str">
        <f ca="1">IF(ISNUMBER(OFFSET(BD156,-$F$21,0)),SUM(OFFSET($T$100,($F$16-$F$15+$F$21),0):$T156),"")</f>
        <v/>
      </c>
      <c r="BI156" s="190" t="str">
        <f t="shared" ca="1" si="85"/>
        <v/>
      </c>
      <c r="BJ156" s="190" t="str">
        <f t="shared" ca="1" si="60"/>
        <v/>
      </c>
      <c r="BK156" s="190"/>
      <c r="BL156" s="190" t="str">
        <f ca="1">IFERROR(IF(OR(ISNUMBER(I),ISNUMBER($F$14)),IF(AND($B156&gt;=($F$17-$F$15),$B156&lt;$F$22+($F$17-$F$15)),SUM(OFFSET($T$100,($F$17-$F$15),0):$T156),""),""),"")</f>
        <v/>
      </c>
      <c r="BM156" s="190" t="str">
        <f t="shared" ca="1" si="86"/>
        <v/>
      </c>
      <c r="BN156" s="190" t="str">
        <f t="shared" ca="1" si="61"/>
        <v/>
      </c>
      <c r="BO156"/>
      <c r="BP156" s="190" t="str">
        <f ca="1">IF(ISNUMBER(OFFSET(BL156,-$F$21,0)),SUM(OFFSET($T$100,($F$17-$F$15+$F$21),0):$T156),"")</f>
        <v/>
      </c>
      <c r="BQ156" s="190" t="str">
        <f t="shared" ca="1" si="87"/>
        <v/>
      </c>
      <c r="BR156" s="190" t="str">
        <f t="shared" ca="1" si="63"/>
        <v/>
      </c>
      <c r="BS156" s="190"/>
      <c r="BT156"/>
      <c r="BU156"/>
      <c r="BV156"/>
      <c r="BY156" s="99"/>
      <c r="BZ156" s="99"/>
      <c r="CA156" s="280" t="str">
        <f t="shared" si="88"/>
        <v/>
      </c>
      <c r="CB156" s="71" t="str">
        <f t="shared" si="31"/>
        <v>-</v>
      </c>
      <c r="CC156" s="33"/>
      <c r="CD156" s="261" t="str">
        <f t="shared" si="33"/>
        <v/>
      </c>
      <c r="CE156" s="280" t="str">
        <f t="shared" si="89"/>
        <v/>
      </c>
      <c r="CF156" s="71" t="str">
        <f t="shared" ca="1" si="90"/>
        <v/>
      </c>
      <c r="CG156" s="33" t="str">
        <f t="shared" si="36"/>
        <v/>
      </c>
      <c r="CH156" s="261" t="str">
        <f t="shared" ca="1" si="37"/>
        <v/>
      </c>
      <c r="CI156" s="202"/>
      <c r="CJ156" s="99"/>
      <c r="CK156" s="99"/>
      <c r="CL156" s="99"/>
      <c r="CM156" s="99"/>
      <c r="CN156" s="99"/>
      <c r="CO156" s="99"/>
    </row>
    <row r="157" spans="2:93" ht="13.5" customHeight="1" x14ac:dyDescent="0.2">
      <c r="B157" s="262">
        <v>57</v>
      </c>
      <c r="C157" s="237" t="str">
        <f t="shared" si="1"/>
        <v/>
      </c>
      <c r="D157" s="237" t="str">
        <f t="shared" si="66"/>
        <v/>
      </c>
      <c r="E157" s="290" t="str">
        <f t="shared" si="38"/>
        <v/>
      </c>
      <c r="F157" s="264" t="str">
        <f t="shared" si="39"/>
        <v/>
      </c>
      <c r="G157" s="291" t="str">
        <f t="shared" si="40"/>
        <v/>
      </c>
      <c r="H157" s="240" t="str">
        <f t="shared" si="71"/>
        <v/>
      </c>
      <c r="I157" s="265" t="str">
        <f t="shared" si="72"/>
        <v/>
      </c>
      <c r="J157" s="265" t="str">
        <f t="shared" si="73"/>
        <v/>
      </c>
      <c r="K157" s="240" t="str">
        <f t="shared" si="74"/>
        <v/>
      </c>
      <c r="L157" s="265" t="str">
        <f t="shared" si="75"/>
        <v/>
      </c>
      <c r="M157" s="265" t="str">
        <f t="shared" si="76"/>
        <v/>
      </c>
      <c r="N157" s="240" t="str">
        <f t="shared" si="77"/>
        <v>-</v>
      </c>
      <c r="O157" s="265" t="str">
        <f t="shared" si="78"/>
        <v>-</v>
      </c>
      <c r="P157" s="265" t="str">
        <f t="shared" si="79"/>
        <v>-</v>
      </c>
      <c r="Q157" s="266" t="str">
        <f t="shared" si="80"/>
        <v>-</v>
      </c>
      <c r="R157" s="267" t="str">
        <f t="shared" si="81"/>
        <v>-</v>
      </c>
      <c r="S157" s="268" t="str">
        <f t="shared" si="82"/>
        <v>-</v>
      </c>
      <c r="T157" s="269" t="str">
        <f t="shared" si="13"/>
        <v/>
      </c>
      <c r="U157" s="221">
        <f t="shared" si="14"/>
        <v>57</v>
      </c>
      <c r="V157" s="220" t="str">
        <f t="shared" si="42"/>
        <v>-</v>
      </c>
      <c r="W157" s="221" t="str">
        <f t="shared" si="43"/>
        <v>-</v>
      </c>
      <c r="X157" s="221" t="str">
        <f t="shared" si="15"/>
        <v>-</v>
      </c>
      <c r="Y157" s="221" t="str">
        <f t="shared" si="16"/>
        <v>-</v>
      </c>
      <c r="Z157" s="270">
        <f t="shared" si="44"/>
        <v>0.1</v>
      </c>
      <c r="AA157" s="271" t="str">
        <f>IFERROR(IF(V156=1,AA$100*EXP(-(LN(2)/$D$65+0.04)*X156)*EXP(-(LN(2)/$D$65+0.1)*Y156),IF(V156=2,AA$100*EXP(-(LN(2)/$D$65+0.04)*(VLOOKUP(($F$16-$F$15)-1,U$99:Y156,4,FALSE)))*EXP(-(LN(2)/$D$65+0.1)*(VLOOKUP(($F$16-$F$15)-1,U$99:Y156,5,FALSE)))*EXP(-(LN(2)/$D$65+0.04)*X156)*EXP(-(LN(2)/$D$65+0.1)*Y156),IF(V156=3,AA$100*EXP(-(LN(2)/$D$65+0.04)*(VLOOKUP(($F$16-$F$15)-1,U$99:Y156,4,FALSE)))*EXP(-(LN(2)/$D$65+0.1)*(VLOOKUP(($F$16-$F$15)-1,U$99:Y156,5,FALSE)))*EXP(-(LN(2)/$D$65+0.04)*(VLOOKUP(($F$16-$F$15)*2-1,U$99:Y156,4,FALSE)))*EXP(-(LN(2)/$D$65+0.1)*(VLOOKUP(($F$16-$F$15)*2-1,U$99:Y156,5,FALSE)))*EXP(-(LN(2)/$D$65+0.04)*X156)*EXP(-(LN(2)/$D$65+0.1)*Y156),"-"))),"-")</f>
        <v>-</v>
      </c>
      <c r="AB157" s="271" t="str">
        <f>IFERROR(IF(V157=1,AB$100*EXP(-(LN(2)/$D$65+0.04)*X157)*EXP(-(LN(2)/$D$65+0.1)*Y157),IF(V157=2,AB$100*EXP(-(LN(2)/$D$65+0.04)*(VLOOKUP(($F$16-$F$15)-1,U$100:Y157,4,FALSE)))*EXP(-(LN(2)/$D$65+0.1)*(VLOOKUP(($F$16-$F$15)-1,U$100:Y157,5,FALSE)))*EXP(-(LN(2)/$D$65+0.04)*X157)*EXP(-(LN(2)/$D$65+0.1)*Y157),IF(V157=3,AB$100*EXP(-(LN(2)/$D$65+0.04)*(VLOOKUP(($F$16-$F$15)-1,U$100:Y157,4,FALSE)))*EXP(-(LN(2)/$D$65+0.1)*(VLOOKUP(($F$16-$F$15)-1,U$100:Y157,5,FALSE)))*EXP(-(LN(2)/$D$65+0.04)*(VLOOKUP(($F$16-$F$15)*2-1,U$100:Y157,4,FALSE)))*EXP(-(LN(2)/$D$65+0.1)*(VLOOKUP(($F$16-$F$15)*2-1,U$100:Y157,5,FALSE)))*EXP(-(LN(2)/$D$65+0.04)*X157)*EXP(-(LN(2)/$D$65+0.1)*Y157),"-"))),"-")</f>
        <v>-</v>
      </c>
      <c r="AC157" s="224">
        <f t="shared" si="45"/>
        <v>57</v>
      </c>
      <c r="AD157" s="223" t="str">
        <f t="shared" si="18"/>
        <v>-</v>
      </c>
      <c r="AE157" s="224" t="str">
        <f t="shared" si="46"/>
        <v>-</v>
      </c>
      <c r="AF157" s="224" t="str">
        <f t="shared" si="19"/>
        <v>-</v>
      </c>
      <c r="AG157" s="224" t="str">
        <f t="shared" si="20"/>
        <v>-</v>
      </c>
      <c r="AH157" s="272">
        <f t="shared" si="47"/>
        <v>0.1</v>
      </c>
      <c r="AI157" s="271" t="str">
        <f>IFERROR(IF(AD156=1,AI$100*EXP(-(LN(2)/$D$65+0.04)*AF156)*EXP(-(LN(2)/$D$65+0.1)*AG156),IF(AD156=2,AI$100*EXP(-(LN(2)/$D$65+0.04)*(VLOOKUP(($F$16-$F$15)-1,AC$99:AG156,4,FALSE)))*EXP(-(LN(2)/$D$65+0.1)*(VLOOKUP(($F$16-$F$15)-1,AC$99:AG156,5,FALSE)))*EXP(-(LN(2)/$D$65+0.04)*AF156)*EXP(-(LN(2)/$D$65+0.1)*AG156),IF(AD156=3,AI$100*EXP(-(LN(2)/$D$65+0.04)*(VLOOKUP(($F$16-$F$15)-1,AC$99:AG156,4,FALSE)))*EXP(-(LN(2)/$D$65+0.1)*(VLOOKUP(($F$16-$F$15)-1,AC$99:AG156,5,FALSE)))*EXP(-(LN(2)/$D$65+0.04)*(VLOOKUP(($F$16-$F$15)*2-1,AC$99:AG156,4,FALSE)))*EXP(-(LN(2)/$D$65+0.1)*(VLOOKUP(($F$16-$F$15)*2-1,AC$99:AG156,5,FALSE)))*EXP(-(LN(2)/$D$65+0.04)*AF156)*EXP(-(LN(2)/$D$65+0.1)*AG156),"-"))),"-")</f>
        <v>-</v>
      </c>
      <c r="AJ157" s="271" t="str">
        <f>IFERROR(IF(AD157=1,AJ$100*EXP(-(LN(2)/$D$65+0.04)*AF157)*EXP(-(LN(2)/$D$65+0.1)*AG157),IF(AD157=2,AJ$100*EXP(-(LN(2)/$D$65+0.04)*(VLOOKUP(($F$16-$F$15)-1,AC$100:AG157,4,FALSE)))*EXP(-(LN(2)/$D$65+0.1)*(VLOOKUP(($F$16-$F$15)-1,AC$100:AG157,5,FALSE)))*EXP(-(LN(2)/$D$65+0.04)*AF157)*EXP(-(LN(2)/$D$65+0.1)*AG157),IF(AD157=3,AJ$100*EXP(-(LN(2)/$D$65+0.04)*(VLOOKUP(($F$16-$F$15)-1,AC$100:AG157,4,FALSE)))*EXP(-(LN(2)/$D$65+0.1)*(VLOOKUP(($F$16-$F$15)-1,AC$100:AG157,5,FALSE)))*EXP(-(LN(2)/$D$65+0.04)*(VLOOKUP(($F$16-$F$15)*2-1,AC$100:AG157,4,FALSE)))*EXP(-(LN(2)/$D$65+0.1)*(VLOOKUP(($F$16-$F$15)*2-1,AC$100:AG157,5,FALSE)))*EXP(-(LN(2)/$D$65+0.04)*AF157)*EXP(-(LN(2)/$D$65+0.1)*AG157),"-"))),"-")</f>
        <v>-</v>
      </c>
      <c r="AK157" s="227">
        <f t="shared" si="49"/>
        <v>57</v>
      </c>
      <c r="AL157" s="226" t="str">
        <f t="shared" si="22"/>
        <v>-</v>
      </c>
      <c r="AM157" s="227" t="str">
        <f t="shared" si="50"/>
        <v>-</v>
      </c>
      <c r="AN157" s="227" t="str">
        <f t="shared" si="51"/>
        <v>-</v>
      </c>
      <c r="AO157" s="227" t="str">
        <f t="shared" si="23"/>
        <v>-</v>
      </c>
      <c r="AP157" s="273">
        <f t="shared" si="52"/>
        <v>0.1</v>
      </c>
      <c r="AQ157" s="271" t="str">
        <f>IFERROR(IF(AL156=1,AQ$100*EXP(-(LN(2)/$D$65+0.04)*AN156)*EXP(-(LN(2)/$D$65+0.1)*AO156),IF(AL156=2,AQ$100*EXP(-(LN(2)/$D$65+0.04)*(VLOOKUP(($F$16-$F$15)-1,AK$99:AO156,4,FALSE)))*EXP(-(LN(2)/$D$65+0.1)*(VLOOKUP(($F$16-$F$15)-1,AK$99:AO156,5,FALSE)))*EXP(-(LN(2)/$D$65+0.04)*AN156)*EXP(-(LN(2)/$D$65+0.1)*AO156),IF(AL156=3,AQ$100*EXP(-(LN(2)/$D$65+0.04)*(VLOOKUP(($F$16-$F$15)-1,AK$99:AO156,4,FALSE)))*EXP(-(LN(2)/$D$65+0.1)*(VLOOKUP(($F$16-$F$15)-1,AK$99:AO156,5,FALSE)))*EXP(-(LN(2)/$D$65+0.04)*(VLOOKUP(($F$16-$F$15)*2-1,AK$99:AO156,4,FALSE)))*EXP(-(LN(2)/$D$65+0.1)*(VLOOKUP(($F$16-$F$15)*2-1,AK$99:AO156,5,FALSE)))*EXP(-(LN(2)/$D$65+0.04)*AN156)*EXP(-(LN(2)/$D$65+0.1)*AO156),"-"))),"-")</f>
        <v>-</v>
      </c>
      <c r="AR157" s="271" t="str">
        <f>IFERROR(IF(AL157=1,AR$100*EXP(-(LN(2)/$D$65+0.04)*AN157)*EXP(-(LN(2)/$D$65+0.1)*AO157),IF(AL157=2,AR$100*EXP(-(LN(2)/$D$65+0.04)*(VLOOKUP(($F$16-$F$15)-1,AK$100:AO157,4,FALSE)))*EXP(-(LN(2)/$D$65+0.1)*(VLOOKUP(($F$16-$F$15)-1,AK$100:AO157,5,FALSE)))*EXP(-(LN(2)/$D$65+0.04)*AN157)*EXP(-(LN(2)/$D$65+0.1)*AO157),IF(AL157=3,AR$100*EXP(-(LN(2)/$D$65+0.04)*(VLOOKUP(($F$16-$F$15)-1,AK$100:AO157,4,FALSE)))*EXP(-(LN(2)/$D$65+0.1)*(VLOOKUP(($F$16-$F$15)-1,AK$100:AO157,5,FALSE)))*EXP(-(LN(2)/$D$65+0.04)*(VLOOKUP(($F$16-$F$15)*2-1,AK$100:AO157,4,FALSE)))*EXP(-(LN(2)/$D$65+0.1)*(VLOOKUP(($F$16-$F$15)*2-1,AK$100:AO157,5,FALSE)))*EXP(-(LN(2)/$D$65+0.04)*AN157)*EXP(-(LN(2)/$D$65+0.1)*AO157),"-"))),"-")</f>
        <v>-</v>
      </c>
      <c r="AS157" s="274">
        <f t="shared" si="24"/>
        <v>0</v>
      </c>
      <c r="AT157" s="274">
        <f t="shared" si="25"/>
        <v>0</v>
      </c>
      <c r="AU157" s="274">
        <f t="shared" si="26"/>
        <v>0</v>
      </c>
      <c r="AV157" s="190" t="str">
        <f>IF($B157&lt;$F$22,SUM($T$100:$T157),"")</f>
        <v/>
      </c>
      <c r="AW157" s="190" t="str">
        <f t="shared" si="83"/>
        <v>-</v>
      </c>
      <c r="AX157" s="190" t="str">
        <f t="shared" si="56"/>
        <v/>
      </c>
      <c r="AY157"/>
      <c r="AZ157" s="190" t="str">
        <f ca="1">IF(ISNUMBER(OFFSET(AV157,-$F$21,0)),SUM(OFFSET($T$100,$F$21,0):$T157),"")</f>
        <v/>
      </c>
      <c r="BA157" s="190" t="str">
        <f t="shared" ca="1" si="84"/>
        <v/>
      </c>
      <c r="BB157" s="190" t="str">
        <f t="shared" ca="1" si="70"/>
        <v/>
      </c>
      <c r="BC157" s="190"/>
      <c r="BD157" s="190" t="str">
        <f ca="1">IFERROR(IF(OR(ISNUMBER(I),ISNUMBER($F$14)),IF(AND($B157&gt;=($F$16-$F$15),$B157&lt;$F$22+($F$16-$F$15)),SUM(OFFSET($T$100,($F$16-$F$15),0):$T157),""),""),"")</f>
        <v/>
      </c>
      <c r="BE157" s="190" t="str">
        <f t="shared" ca="1" si="58"/>
        <v/>
      </c>
      <c r="BF157" s="190" t="str">
        <f t="shared" ca="1" si="59"/>
        <v/>
      </c>
      <c r="BG157"/>
      <c r="BH157" s="190" t="str">
        <f ca="1">IF(ISNUMBER(OFFSET(BD157,-$F$21,0)),SUM(OFFSET($T$100,($F$16-$F$15+$F$21),0):$T157),"")</f>
        <v/>
      </c>
      <c r="BI157" s="190" t="str">
        <f t="shared" ca="1" si="85"/>
        <v/>
      </c>
      <c r="BJ157" s="190" t="str">
        <f t="shared" ca="1" si="60"/>
        <v/>
      </c>
      <c r="BK157" s="190"/>
      <c r="BL157" s="190" t="str">
        <f ca="1">IFERROR(IF(OR(ISNUMBER(I),ISNUMBER($F$14)),IF(AND($B157&gt;=($F$17-$F$15),$B157&lt;$F$22+($F$17-$F$15)),SUM(OFFSET($T$100,($F$17-$F$15),0):$T157),""),""),"")</f>
        <v/>
      </c>
      <c r="BM157" s="190" t="str">
        <f t="shared" ca="1" si="86"/>
        <v/>
      </c>
      <c r="BN157" s="190" t="str">
        <f t="shared" ca="1" si="61"/>
        <v/>
      </c>
      <c r="BO157"/>
      <c r="BP157" s="190" t="str">
        <f ca="1">IF(ISNUMBER(OFFSET(BL157,-$F$21,0)),SUM(OFFSET($T$100,($F$17-$F$15+$F$21),0):$T157),"")</f>
        <v/>
      </c>
      <c r="BQ157" s="190" t="str">
        <f t="shared" ca="1" si="87"/>
        <v/>
      </c>
      <c r="BR157" s="190" t="str">
        <f t="shared" ca="1" si="63"/>
        <v/>
      </c>
      <c r="BS157" s="190"/>
      <c r="BT157"/>
      <c r="BU157"/>
      <c r="BV157"/>
      <c r="BY157" s="99"/>
      <c r="BZ157" s="99"/>
      <c r="CA157" s="280" t="str">
        <f t="shared" si="88"/>
        <v/>
      </c>
      <c r="CB157" s="71" t="str">
        <f t="shared" si="31"/>
        <v>-</v>
      </c>
      <c r="CC157" s="33"/>
      <c r="CD157" s="261" t="str">
        <f t="shared" si="33"/>
        <v/>
      </c>
      <c r="CE157" s="280" t="str">
        <f t="shared" si="89"/>
        <v/>
      </c>
      <c r="CF157" s="71" t="str">
        <f t="shared" ca="1" si="90"/>
        <v/>
      </c>
      <c r="CG157" s="33" t="str">
        <f t="shared" si="36"/>
        <v/>
      </c>
      <c r="CH157" s="261" t="str">
        <f t="shared" ca="1" si="37"/>
        <v/>
      </c>
      <c r="CI157" s="202"/>
      <c r="CJ157" s="99"/>
      <c r="CK157" s="99"/>
      <c r="CL157" s="99"/>
      <c r="CM157" s="99"/>
      <c r="CN157" s="99"/>
      <c r="CO157" s="99"/>
    </row>
    <row r="158" spans="2:93" ht="13.5" customHeight="1" x14ac:dyDescent="0.2">
      <c r="B158" s="262">
        <v>58</v>
      </c>
      <c r="C158" s="237" t="str">
        <f t="shared" si="1"/>
        <v/>
      </c>
      <c r="D158" s="237" t="str">
        <f t="shared" si="66"/>
        <v/>
      </c>
      <c r="E158" s="290" t="str">
        <f t="shared" si="38"/>
        <v/>
      </c>
      <c r="F158" s="264" t="str">
        <f t="shared" si="39"/>
        <v/>
      </c>
      <c r="G158" s="291" t="str">
        <f t="shared" si="40"/>
        <v/>
      </c>
      <c r="H158" s="240" t="str">
        <f t="shared" si="71"/>
        <v/>
      </c>
      <c r="I158" s="265" t="str">
        <f t="shared" si="72"/>
        <v/>
      </c>
      <c r="J158" s="265" t="str">
        <f t="shared" si="73"/>
        <v/>
      </c>
      <c r="K158" s="240" t="str">
        <f t="shared" si="74"/>
        <v/>
      </c>
      <c r="L158" s="265" t="str">
        <f t="shared" si="75"/>
        <v/>
      </c>
      <c r="M158" s="265" t="str">
        <f t="shared" si="76"/>
        <v/>
      </c>
      <c r="N158" s="240" t="str">
        <f t="shared" si="77"/>
        <v>-</v>
      </c>
      <c r="O158" s="265" t="str">
        <f t="shared" si="78"/>
        <v>-</v>
      </c>
      <c r="P158" s="265" t="str">
        <f t="shared" si="79"/>
        <v>-</v>
      </c>
      <c r="Q158" s="266" t="str">
        <f t="shared" si="80"/>
        <v>-</v>
      </c>
      <c r="R158" s="267" t="str">
        <f t="shared" si="81"/>
        <v>-</v>
      </c>
      <c r="S158" s="268" t="str">
        <f t="shared" si="82"/>
        <v>-</v>
      </c>
      <c r="T158" s="269" t="str">
        <f t="shared" si="13"/>
        <v/>
      </c>
      <c r="U158" s="221">
        <f t="shared" si="14"/>
        <v>58</v>
      </c>
      <c r="V158" s="220" t="str">
        <f t="shared" si="42"/>
        <v>-</v>
      </c>
      <c r="W158" s="221" t="str">
        <f t="shared" si="43"/>
        <v>-</v>
      </c>
      <c r="X158" s="221" t="str">
        <f t="shared" si="15"/>
        <v>-</v>
      </c>
      <c r="Y158" s="221" t="str">
        <f t="shared" si="16"/>
        <v>-</v>
      </c>
      <c r="Z158" s="270">
        <f t="shared" si="44"/>
        <v>0.1</v>
      </c>
      <c r="AA158" s="271" t="str">
        <f>IFERROR(IF(V157=1,AA$100*EXP(-(LN(2)/$D$65+0.04)*X157)*EXP(-(LN(2)/$D$65+0.1)*Y157),IF(V157=2,AA$100*EXP(-(LN(2)/$D$65+0.04)*(VLOOKUP(($F$16-$F$15)-1,U$99:Y157,4,FALSE)))*EXP(-(LN(2)/$D$65+0.1)*(VLOOKUP(($F$16-$F$15)-1,U$99:Y157,5,FALSE)))*EXP(-(LN(2)/$D$65+0.04)*X157)*EXP(-(LN(2)/$D$65+0.1)*Y157),IF(V157=3,AA$100*EXP(-(LN(2)/$D$65+0.04)*(VLOOKUP(($F$16-$F$15)-1,U$99:Y157,4,FALSE)))*EXP(-(LN(2)/$D$65+0.1)*(VLOOKUP(($F$16-$F$15)-1,U$99:Y157,5,FALSE)))*EXP(-(LN(2)/$D$65+0.04)*(VLOOKUP(($F$16-$F$15)*2-1,U$99:Y157,4,FALSE)))*EXP(-(LN(2)/$D$65+0.1)*(VLOOKUP(($F$16-$F$15)*2-1,U$99:Y157,5,FALSE)))*EXP(-(LN(2)/$D$65+0.04)*X157)*EXP(-(LN(2)/$D$65+0.1)*Y157),"-"))),"-")</f>
        <v>-</v>
      </c>
      <c r="AB158" s="271" t="str">
        <f>IFERROR(IF(V158=1,AB$100*EXP(-(LN(2)/$D$65+0.04)*X158)*EXP(-(LN(2)/$D$65+0.1)*Y158),IF(V158=2,AB$100*EXP(-(LN(2)/$D$65+0.04)*(VLOOKUP(($F$16-$F$15)-1,U$100:Y158,4,FALSE)))*EXP(-(LN(2)/$D$65+0.1)*(VLOOKUP(($F$16-$F$15)-1,U$100:Y158,5,FALSE)))*EXP(-(LN(2)/$D$65+0.04)*X158)*EXP(-(LN(2)/$D$65+0.1)*Y158),IF(V158=3,AB$100*EXP(-(LN(2)/$D$65+0.04)*(VLOOKUP(($F$16-$F$15)-1,U$100:Y158,4,FALSE)))*EXP(-(LN(2)/$D$65+0.1)*(VLOOKUP(($F$16-$F$15)-1,U$100:Y158,5,FALSE)))*EXP(-(LN(2)/$D$65+0.04)*(VLOOKUP(($F$16-$F$15)*2-1,U$100:Y158,4,FALSE)))*EXP(-(LN(2)/$D$65+0.1)*(VLOOKUP(($F$16-$F$15)*2-1,U$100:Y158,5,FALSE)))*EXP(-(LN(2)/$D$65+0.04)*X158)*EXP(-(LN(2)/$D$65+0.1)*Y158),"-"))),"-")</f>
        <v>-</v>
      </c>
      <c r="AC158" s="224">
        <f t="shared" si="45"/>
        <v>58</v>
      </c>
      <c r="AD158" s="223" t="str">
        <f t="shared" si="18"/>
        <v>-</v>
      </c>
      <c r="AE158" s="224" t="str">
        <f t="shared" si="46"/>
        <v>-</v>
      </c>
      <c r="AF158" s="224" t="str">
        <f t="shared" si="19"/>
        <v>-</v>
      </c>
      <c r="AG158" s="224" t="str">
        <f t="shared" si="20"/>
        <v>-</v>
      </c>
      <c r="AH158" s="272">
        <f t="shared" si="47"/>
        <v>0.1</v>
      </c>
      <c r="AI158" s="271" t="str">
        <f>IFERROR(IF(AD157=1,AI$100*EXP(-(LN(2)/$D$65+0.04)*AF157)*EXP(-(LN(2)/$D$65+0.1)*AG157),IF(AD157=2,AI$100*EXP(-(LN(2)/$D$65+0.04)*(VLOOKUP(($F$16-$F$15)-1,AC$99:AG157,4,FALSE)))*EXP(-(LN(2)/$D$65+0.1)*(VLOOKUP(($F$16-$F$15)-1,AC$99:AG157,5,FALSE)))*EXP(-(LN(2)/$D$65+0.04)*AF157)*EXP(-(LN(2)/$D$65+0.1)*AG157),IF(AD157=3,AI$100*EXP(-(LN(2)/$D$65+0.04)*(VLOOKUP(($F$16-$F$15)-1,AC$99:AG157,4,FALSE)))*EXP(-(LN(2)/$D$65+0.1)*(VLOOKUP(($F$16-$F$15)-1,AC$99:AG157,5,FALSE)))*EXP(-(LN(2)/$D$65+0.04)*(VLOOKUP(($F$16-$F$15)*2-1,AC$99:AG157,4,FALSE)))*EXP(-(LN(2)/$D$65+0.1)*(VLOOKUP(($F$16-$F$15)*2-1,AC$99:AG157,5,FALSE)))*EXP(-(LN(2)/$D$65+0.04)*AF157)*EXP(-(LN(2)/$D$65+0.1)*AG157),"-"))),"-")</f>
        <v>-</v>
      </c>
      <c r="AJ158" s="271" t="str">
        <f>IFERROR(IF(AD158=1,AJ$100*EXP(-(LN(2)/$D$65+0.04)*AF158)*EXP(-(LN(2)/$D$65+0.1)*AG158),IF(AD158=2,AJ$100*EXP(-(LN(2)/$D$65+0.04)*(VLOOKUP(($F$16-$F$15)-1,AC$100:AG158,4,FALSE)))*EXP(-(LN(2)/$D$65+0.1)*(VLOOKUP(($F$16-$F$15)-1,AC$100:AG158,5,FALSE)))*EXP(-(LN(2)/$D$65+0.04)*AF158)*EXP(-(LN(2)/$D$65+0.1)*AG158),IF(AD158=3,AJ$100*EXP(-(LN(2)/$D$65+0.04)*(VLOOKUP(($F$16-$F$15)-1,AC$100:AG158,4,FALSE)))*EXP(-(LN(2)/$D$65+0.1)*(VLOOKUP(($F$16-$F$15)-1,AC$100:AG158,5,FALSE)))*EXP(-(LN(2)/$D$65+0.04)*(VLOOKUP(($F$16-$F$15)*2-1,AC$100:AG158,4,FALSE)))*EXP(-(LN(2)/$D$65+0.1)*(VLOOKUP(($F$16-$F$15)*2-1,AC$100:AG158,5,FALSE)))*EXP(-(LN(2)/$D$65+0.04)*AF158)*EXP(-(LN(2)/$D$65+0.1)*AG158),"-"))),"-")</f>
        <v>-</v>
      </c>
      <c r="AK158" s="227">
        <f t="shared" si="49"/>
        <v>58</v>
      </c>
      <c r="AL158" s="226" t="str">
        <f t="shared" si="22"/>
        <v>-</v>
      </c>
      <c r="AM158" s="227" t="str">
        <f t="shared" si="50"/>
        <v>-</v>
      </c>
      <c r="AN158" s="227" t="str">
        <f t="shared" si="51"/>
        <v>-</v>
      </c>
      <c r="AO158" s="227" t="str">
        <f t="shared" si="23"/>
        <v>-</v>
      </c>
      <c r="AP158" s="273">
        <f t="shared" si="52"/>
        <v>0.1</v>
      </c>
      <c r="AQ158" s="271" t="str">
        <f>IFERROR(IF(AL157=1,AQ$100*EXP(-(LN(2)/$D$65+0.04)*AN157)*EXP(-(LN(2)/$D$65+0.1)*AO157),IF(AL157=2,AQ$100*EXP(-(LN(2)/$D$65+0.04)*(VLOOKUP(($F$16-$F$15)-1,AK$99:AO157,4,FALSE)))*EXP(-(LN(2)/$D$65+0.1)*(VLOOKUP(($F$16-$F$15)-1,AK$99:AO157,5,FALSE)))*EXP(-(LN(2)/$D$65+0.04)*AN157)*EXP(-(LN(2)/$D$65+0.1)*AO157),IF(AL157=3,AQ$100*EXP(-(LN(2)/$D$65+0.04)*(VLOOKUP(($F$16-$F$15)-1,AK$99:AO157,4,FALSE)))*EXP(-(LN(2)/$D$65+0.1)*(VLOOKUP(($F$16-$F$15)-1,AK$99:AO157,5,FALSE)))*EXP(-(LN(2)/$D$65+0.04)*(VLOOKUP(($F$16-$F$15)*2-1,AK$99:AO157,4,FALSE)))*EXP(-(LN(2)/$D$65+0.1)*(VLOOKUP(($F$16-$F$15)*2-1,AK$99:AO157,5,FALSE)))*EXP(-(LN(2)/$D$65+0.04)*AN157)*EXP(-(LN(2)/$D$65+0.1)*AO157),"-"))),"-")</f>
        <v>-</v>
      </c>
      <c r="AR158" s="271" t="str">
        <f>IFERROR(IF(AL158=1,AR$100*EXP(-(LN(2)/$D$65+0.04)*AN158)*EXP(-(LN(2)/$D$65+0.1)*AO158),IF(AL158=2,AR$100*EXP(-(LN(2)/$D$65+0.04)*(VLOOKUP(($F$16-$F$15)-1,AK$100:AO158,4,FALSE)))*EXP(-(LN(2)/$D$65+0.1)*(VLOOKUP(($F$16-$F$15)-1,AK$100:AO158,5,FALSE)))*EXP(-(LN(2)/$D$65+0.04)*AN158)*EXP(-(LN(2)/$D$65+0.1)*AO158),IF(AL158=3,AR$100*EXP(-(LN(2)/$D$65+0.04)*(VLOOKUP(($F$16-$F$15)-1,AK$100:AO158,4,FALSE)))*EXP(-(LN(2)/$D$65+0.1)*(VLOOKUP(($F$16-$F$15)-1,AK$100:AO158,5,FALSE)))*EXP(-(LN(2)/$D$65+0.04)*(VLOOKUP(($F$16-$F$15)*2-1,AK$100:AO158,4,FALSE)))*EXP(-(LN(2)/$D$65+0.1)*(VLOOKUP(($F$16-$F$15)*2-1,AK$100:AO158,5,FALSE)))*EXP(-(LN(2)/$D$65+0.04)*AN158)*EXP(-(LN(2)/$D$65+0.1)*AO158),"-"))),"-")</f>
        <v>-</v>
      </c>
      <c r="AS158" s="274">
        <f t="shared" si="24"/>
        <v>0</v>
      </c>
      <c r="AT158" s="274">
        <f t="shared" si="25"/>
        <v>0</v>
      </c>
      <c r="AU158" s="274">
        <f t="shared" si="26"/>
        <v>0</v>
      </c>
      <c r="AV158" s="190" t="str">
        <f>IF($B158&lt;$F$22,SUM($T$100:$T158),"")</f>
        <v/>
      </c>
      <c r="AW158" s="190" t="str">
        <f t="shared" si="83"/>
        <v>-</v>
      </c>
      <c r="AX158" s="190" t="str">
        <f t="shared" si="56"/>
        <v/>
      </c>
      <c r="AY158"/>
      <c r="AZ158" s="190" t="str">
        <f ca="1">IF(ISNUMBER(OFFSET(AV158,-$F$21,0)),SUM(OFFSET($T$100,$F$21,0):$T158),"")</f>
        <v/>
      </c>
      <c r="BA158" s="190" t="str">
        <f t="shared" ca="1" si="84"/>
        <v/>
      </c>
      <c r="BB158" s="190" t="str">
        <f t="shared" ca="1" si="70"/>
        <v/>
      </c>
      <c r="BC158" s="190"/>
      <c r="BD158" s="190" t="str">
        <f ca="1">IFERROR(IF(OR(ISNUMBER(I),ISNUMBER($F$14)),IF(AND($B158&gt;=($F$16-$F$15),$B158&lt;$F$22+($F$16-$F$15)),SUM(OFFSET($T$100,($F$16-$F$15),0):$T158),""),""),"")</f>
        <v/>
      </c>
      <c r="BE158" s="190" t="str">
        <f t="shared" ca="1" si="58"/>
        <v/>
      </c>
      <c r="BF158" s="190" t="str">
        <f t="shared" ca="1" si="59"/>
        <v/>
      </c>
      <c r="BG158"/>
      <c r="BH158" s="190" t="str">
        <f ca="1">IF(ISNUMBER(OFFSET(BD158,-$F$21,0)),SUM(OFFSET($T$100,($F$16-$F$15+$F$21),0):$T158),"")</f>
        <v/>
      </c>
      <c r="BI158" s="190" t="str">
        <f t="shared" ca="1" si="85"/>
        <v/>
      </c>
      <c r="BJ158" s="190" t="str">
        <f t="shared" ca="1" si="60"/>
        <v/>
      </c>
      <c r="BK158" s="190"/>
      <c r="BL158" s="190" t="str">
        <f ca="1">IFERROR(IF(OR(ISNUMBER(I),ISNUMBER($F$14)),IF(AND($B158&gt;=($F$17-$F$15),$B158&lt;$F$22+($F$17-$F$15)),SUM(OFFSET($T$100,($F$17-$F$15),0):$T158),""),""),"")</f>
        <v/>
      </c>
      <c r="BM158" s="190" t="str">
        <f t="shared" ca="1" si="86"/>
        <v/>
      </c>
      <c r="BN158" s="190" t="str">
        <f t="shared" ca="1" si="61"/>
        <v/>
      </c>
      <c r="BO158"/>
      <c r="BP158" s="190" t="str">
        <f ca="1">IF(ISNUMBER(OFFSET(BL158,-$F$21,0)),SUM(OFFSET($T$100,($F$17-$F$15+$F$21),0):$T158),"")</f>
        <v/>
      </c>
      <c r="BQ158" s="190" t="str">
        <f t="shared" ca="1" si="87"/>
        <v/>
      </c>
      <c r="BR158" s="190" t="str">
        <f t="shared" ca="1" si="63"/>
        <v/>
      </c>
      <c r="BS158" s="190"/>
      <c r="BT158"/>
      <c r="BU158"/>
      <c r="BV158"/>
      <c r="BY158" s="99"/>
      <c r="BZ158" s="99"/>
      <c r="CA158" s="280" t="str">
        <f t="shared" si="88"/>
        <v/>
      </c>
      <c r="CB158" s="71" t="str">
        <f t="shared" si="31"/>
        <v>-</v>
      </c>
      <c r="CC158" s="33"/>
      <c r="CD158" s="261" t="str">
        <f t="shared" si="33"/>
        <v/>
      </c>
      <c r="CE158" s="280" t="str">
        <f t="shared" si="89"/>
        <v/>
      </c>
      <c r="CF158" s="71" t="str">
        <f t="shared" ca="1" si="90"/>
        <v/>
      </c>
      <c r="CG158" s="33" t="str">
        <f t="shared" si="36"/>
        <v/>
      </c>
      <c r="CH158" s="261" t="str">
        <f t="shared" ca="1" si="37"/>
        <v/>
      </c>
      <c r="CI158" s="202"/>
      <c r="CJ158" s="99"/>
      <c r="CK158" s="99"/>
      <c r="CL158" s="99"/>
      <c r="CM158" s="99"/>
      <c r="CN158" s="99"/>
      <c r="CO158" s="99"/>
    </row>
    <row r="159" spans="2:93" ht="13.5" customHeight="1" x14ac:dyDescent="0.2">
      <c r="B159" s="262">
        <v>59</v>
      </c>
      <c r="C159" s="237" t="str">
        <f t="shared" si="1"/>
        <v/>
      </c>
      <c r="D159" s="237" t="str">
        <f t="shared" si="66"/>
        <v/>
      </c>
      <c r="E159" s="290" t="str">
        <f t="shared" si="38"/>
        <v/>
      </c>
      <c r="F159" s="264" t="str">
        <f t="shared" si="39"/>
        <v/>
      </c>
      <c r="G159" s="291" t="str">
        <f t="shared" si="40"/>
        <v/>
      </c>
      <c r="H159" s="240" t="str">
        <f t="shared" si="71"/>
        <v/>
      </c>
      <c r="I159" s="265" t="str">
        <f t="shared" si="72"/>
        <v/>
      </c>
      <c r="J159" s="265" t="str">
        <f t="shared" si="73"/>
        <v/>
      </c>
      <c r="K159" s="240" t="str">
        <f t="shared" si="74"/>
        <v/>
      </c>
      <c r="L159" s="265" t="str">
        <f t="shared" si="75"/>
        <v/>
      </c>
      <c r="M159" s="265" t="str">
        <f t="shared" si="76"/>
        <v/>
      </c>
      <c r="N159" s="240" t="str">
        <f t="shared" si="77"/>
        <v>-</v>
      </c>
      <c r="O159" s="265" t="str">
        <f t="shared" si="78"/>
        <v>-</v>
      </c>
      <c r="P159" s="265" t="str">
        <f t="shared" si="79"/>
        <v>-</v>
      </c>
      <c r="Q159" s="266" t="str">
        <f t="shared" si="80"/>
        <v>-</v>
      </c>
      <c r="R159" s="267" t="str">
        <f t="shared" si="81"/>
        <v>-</v>
      </c>
      <c r="S159" s="268" t="str">
        <f t="shared" si="82"/>
        <v>-</v>
      </c>
      <c r="T159" s="269" t="str">
        <f t="shared" si="13"/>
        <v/>
      </c>
      <c r="U159" s="221">
        <f t="shared" si="14"/>
        <v>59</v>
      </c>
      <c r="V159" s="220" t="str">
        <f t="shared" si="42"/>
        <v>-</v>
      </c>
      <c r="W159" s="221" t="str">
        <f t="shared" si="43"/>
        <v>-</v>
      </c>
      <c r="X159" s="221" t="str">
        <f t="shared" si="15"/>
        <v>-</v>
      </c>
      <c r="Y159" s="221" t="str">
        <f t="shared" si="16"/>
        <v>-</v>
      </c>
      <c r="Z159" s="270">
        <f t="shared" si="44"/>
        <v>0.1</v>
      </c>
      <c r="AA159" s="271" t="str">
        <f>IFERROR(IF(V158=1,AA$100*EXP(-(LN(2)/$D$65+0.04)*X158)*EXP(-(LN(2)/$D$65+0.1)*Y158),IF(V158=2,AA$100*EXP(-(LN(2)/$D$65+0.04)*(VLOOKUP(($F$16-$F$15)-1,U$99:Y158,4,FALSE)))*EXP(-(LN(2)/$D$65+0.1)*(VLOOKUP(($F$16-$F$15)-1,U$99:Y158,5,FALSE)))*EXP(-(LN(2)/$D$65+0.04)*X158)*EXP(-(LN(2)/$D$65+0.1)*Y158),IF(V158=3,AA$100*EXP(-(LN(2)/$D$65+0.04)*(VLOOKUP(($F$16-$F$15)-1,U$99:Y158,4,FALSE)))*EXP(-(LN(2)/$D$65+0.1)*(VLOOKUP(($F$16-$F$15)-1,U$99:Y158,5,FALSE)))*EXP(-(LN(2)/$D$65+0.04)*(VLOOKUP(($F$16-$F$15)*2-1,U$99:Y158,4,FALSE)))*EXP(-(LN(2)/$D$65+0.1)*(VLOOKUP(($F$16-$F$15)*2-1,U$99:Y158,5,FALSE)))*EXP(-(LN(2)/$D$65+0.04)*X158)*EXP(-(LN(2)/$D$65+0.1)*Y158),"-"))),"-")</f>
        <v>-</v>
      </c>
      <c r="AB159" s="271" t="str">
        <f>IFERROR(IF(V159=1,AB$100*EXP(-(LN(2)/$D$65+0.04)*X159)*EXP(-(LN(2)/$D$65+0.1)*Y159),IF(V159=2,AB$100*EXP(-(LN(2)/$D$65+0.04)*(VLOOKUP(($F$16-$F$15)-1,U$100:Y159,4,FALSE)))*EXP(-(LN(2)/$D$65+0.1)*(VLOOKUP(($F$16-$F$15)-1,U$100:Y159,5,FALSE)))*EXP(-(LN(2)/$D$65+0.04)*X159)*EXP(-(LN(2)/$D$65+0.1)*Y159),IF(V159=3,AB$100*EXP(-(LN(2)/$D$65+0.04)*(VLOOKUP(($F$16-$F$15)-1,U$100:Y159,4,FALSE)))*EXP(-(LN(2)/$D$65+0.1)*(VLOOKUP(($F$16-$F$15)-1,U$100:Y159,5,FALSE)))*EXP(-(LN(2)/$D$65+0.04)*(VLOOKUP(($F$16-$F$15)*2-1,U$100:Y159,4,FALSE)))*EXP(-(LN(2)/$D$65+0.1)*(VLOOKUP(($F$16-$F$15)*2-1,U$100:Y159,5,FALSE)))*EXP(-(LN(2)/$D$65+0.04)*X159)*EXP(-(LN(2)/$D$65+0.1)*Y159),"-"))),"-")</f>
        <v>-</v>
      </c>
      <c r="AC159" s="224">
        <f t="shared" si="45"/>
        <v>59</v>
      </c>
      <c r="AD159" s="223" t="str">
        <f t="shared" si="18"/>
        <v>-</v>
      </c>
      <c r="AE159" s="224" t="str">
        <f t="shared" si="46"/>
        <v>-</v>
      </c>
      <c r="AF159" s="224" t="str">
        <f t="shared" si="19"/>
        <v>-</v>
      </c>
      <c r="AG159" s="224" t="str">
        <f t="shared" si="20"/>
        <v>-</v>
      </c>
      <c r="AH159" s="272">
        <f t="shared" si="47"/>
        <v>0.1</v>
      </c>
      <c r="AI159" s="271" t="str">
        <f>IFERROR(IF(AD158=1,AI$100*EXP(-(LN(2)/$D$65+0.04)*AF158)*EXP(-(LN(2)/$D$65+0.1)*AG158),IF(AD158=2,AI$100*EXP(-(LN(2)/$D$65+0.04)*(VLOOKUP(($F$16-$F$15)-1,AC$99:AG158,4,FALSE)))*EXP(-(LN(2)/$D$65+0.1)*(VLOOKUP(($F$16-$F$15)-1,AC$99:AG158,5,FALSE)))*EXP(-(LN(2)/$D$65+0.04)*AF158)*EXP(-(LN(2)/$D$65+0.1)*AG158),IF(AD158=3,AI$100*EXP(-(LN(2)/$D$65+0.04)*(VLOOKUP(($F$16-$F$15)-1,AC$99:AG158,4,FALSE)))*EXP(-(LN(2)/$D$65+0.1)*(VLOOKUP(($F$16-$F$15)-1,AC$99:AG158,5,FALSE)))*EXP(-(LN(2)/$D$65+0.04)*(VLOOKUP(($F$16-$F$15)*2-1,AC$99:AG158,4,FALSE)))*EXP(-(LN(2)/$D$65+0.1)*(VLOOKUP(($F$16-$F$15)*2-1,AC$99:AG158,5,FALSE)))*EXP(-(LN(2)/$D$65+0.04)*AF158)*EXP(-(LN(2)/$D$65+0.1)*AG158),"-"))),"-")</f>
        <v>-</v>
      </c>
      <c r="AJ159" s="271" t="str">
        <f>IFERROR(IF(AD159=1,AJ$100*EXP(-(LN(2)/$D$65+0.04)*AF159)*EXP(-(LN(2)/$D$65+0.1)*AG159),IF(AD159=2,AJ$100*EXP(-(LN(2)/$D$65+0.04)*(VLOOKUP(($F$16-$F$15)-1,AC$100:AG159,4,FALSE)))*EXP(-(LN(2)/$D$65+0.1)*(VLOOKUP(($F$16-$F$15)-1,AC$100:AG159,5,FALSE)))*EXP(-(LN(2)/$D$65+0.04)*AF159)*EXP(-(LN(2)/$D$65+0.1)*AG159),IF(AD159=3,AJ$100*EXP(-(LN(2)/$D$65+0.04)*(VLOOKUP(($F$16-$F$15)-1,AC$100:AG159,4,FALSE)))*EXP(-(LN(2)/$D$65+0.1)*(VLOOKUP(($F$16-$F$15)-1,AC$100:AG159,5,FALSE)))*EXP(-(LN(2)/$D$65+0.04)*(VLOOKUP(($F$16-$F$15)*2-1,AC$100:AG159,4,FALSE)))*EXP(-(LN(2)/$D$65+0.1)*(VLOOKUP(($F$16-$F$15)*2-1,AC$100:AG159,5,FALSE)))*EXP(-(LN(2)/$D$65+0.04)*AF159)*EXP(-(LN(2)/$D$65+0.1)*AG159),"-"))),"-")</f>
        <v>-</v>
      </c>
      <c r="AK159" s="227">
        <f t="shared" si="49"/>
        <v>59</v>
      </c>
      <c r="AL159" s="226" t="str">
        <f t="shared" si="22"/>
        <v>-</v>
      </c>
      <c r="AM159" s="227" t="str">
        <f t="shared" si="50"/>
        <v>-</v>
      </c>
      <c r="AN159" s="227" t="str">
        <f t="shared" si="51"/>
        <v>-</v>
      </c>
      <c r="AO159" s="227" t="str">
        <f t="shared" si="23"/>
        <v>-</v>
      </c>
      <c r="AP159" s="273">
        <f t="shared" si="52"/>
        <v>0.1</v>
      </c>
      <c r="AQ159" s="271" t="str">
        <f>IFERROR(IF(AL158=1,AQ$100*EXP(-(LN(2)/$D$65+0.04)*AN158)*EXP(-(LN(2)/$D$65+0.1)*AO158),IF(AL158=2,AQ$100*EXP(-(LN(2)/$D$65+0.04)*(VLOOKUP(($F$16-$F$15)-1,AK$99:AO158,4,FALSE)))*EXP(-(LN(2)/$D$65+0.1)*(VLOOKUP(($F$16-$F$15)-1,AK$99:AO158,5,FALSE)))*EXP(-(LN(2)/$D$65+0.04)*AN158)*EXP(-(LN(2)/$D$65+0.1)*AO158),IF(AL158=3,AQ$100*EXP(-(LN(2)/$D$65+0.04)*(VLOOKUP(($F$16-$F$15)-1,AK$99:AO158,4,FALSE)))*EXP(-(LN(2)/$D$65+0.1)*(VLOOKUP(($F$16-$F$15)-1,AK$99:AO158,5,FALSE)))*EXP(-(LN(2)/$D$65+0.04)*(VLOOKUP(($F$16-$F$15)*2-1,AK$99:AO158,4,FALSE)))*EXP(-(LN(2)/$D$65+0.1)*(VLOOKUP(($F$16-$F$15)*2-1,AK$99:AO158,5,FALSE)))*EXP(-(LN(2)/$D$65+0.04)*AN158)*EXP(-(LN(2)/$D$65+0.1)*AO158),"-"))),"-")</f>
        <v>-</v>
      </c>
      <c r="AR159" s="271" t="str">
        <f>IFERROR(IF(AL159=1,AR$100*EXP(-(LN(2)/$D$65+0.04)*AN159)*EXP(-(LN(2)/$D$65+0.1)*AO159),IF(AL159=2,AR$100*EXP(-(LN(2)/$D$65+0.04)*(VLOOKUP(($F$16-$F$15)-1,AK$100:AO159,4,FALSE)))*EXP(-(LN(2)/$D$65+0.1)*(VLOOKUP(($F$16-$F$15)-1,AK$100:AO159,5,FALSE)))*EXP(-(LN(2)/$D$65+0.04)*AN159)*EXP(-(LN(2)/$D$65+0.1)*AO159),IF(AL159=3,AR$100*EXP(-(LN(2)/$D$65+0.04)*(VLOOKUP(($F$16-$F$15)-1,AK$100:AO159,4,FALSE)))*EXP(-(LN(2)/$D$65+0.1)*(VLOOKUP(($F$16-$F$15)-1,AK$100:AO159,5,FALSE)))*EXP(-(LN(2)/$D$65+0.04)*(VLOOKUP(($F$16-$F$15)*2-1,AK$100:AO159,4,FALSE)))*EXP(-(LN(2)/$D$65+0.1)*(VLOOKUP(($F$16-$F$15)*2-1,AK$100:AO159,5,FALSE)))*EXP(-(LN(2)/$D$65+0.04)*AN159)*EXP(-(LN(2)/$D$65+0.1)*AO159),"-"))),"-")</f>
        <v>-</v>
      </c>
      <c r="AS159" s="274">
        <f t="shared" si="24"/>
        <v>0</v>
      </c>
      <c r="AT159" s="274">
        <f t="shared" si="25"/>
        <v>0</v>
      </c>
      <c r="AU159" s="274">
        <f t="shared" si="26"/>
        <v>0</v>
      </c>
      <c r="AV159" s="190" t="str">
        <f>IF($B159&lt;$F$22,SUM($T$100:$T159),"")</f>
        <v/>
      </c>
      <c r="AW159" s="190" t="str">
        <f t="shared" si="83"/>
        <v>-</v>
      </c>
      <c r="AX159" s="190" t="str">
        <f t="shared" si="56"/>
        <v/>
      </c>
      <c r="AY159"/>
      <c r="AZ159" s="190" t="str">
        <f ca="1">IF(ISNUMBER(OFFSET(AV159,-$F$21,0)),SUM(OFFSET($T$100,$F$21,0):$T159),"")</f>
        <v/>
      </c>
      <c r="BA159" s="190" t="str">
        <f t="shared" ca="1" si="84"/>
        <v/>
      </c>
      <c r="BB159" s="190" t="str">
        <f t="shared" ca="1" si="70"/>
        <v/>
      </c>
      <c r="BC159" s="190"/>
      <c r="BD159" s="190" t="str">
        <f ca="1">IFERROR(IF(OR(ISNUMBER(I),ISNUMBER($F$14)),IF(AND($B159&gt;=($F$16-$F$15),$B159&lt;$F$22+($F$16-$F$15)),SUM(OFFSET($T$100,($F$16-$F$15),0):$T159),""),""),"")</f>
        <v/>
      </c>
      <c r="BE159" s="190" t="str">
        <f t="shared" ca="1" si="58"/>
        <v/>
      </c>
      <c r="BF159" s="190" t="str">
        <f t="shared" ca="1" si="59"/>
        <v/>
      </c>
      <c r="BG159"/>
      <c r="BH159" s="190" t="str">
        <f ca="1">IF(ISNUMBER(OFFSET(BD159,-$F$21,0)),SUM(OFFSET($T$100,($F$16-$F$15+$F$21),0):$T159),"")</f>
        <v/>
      </c>
      <c r="BI159" s="190" t="str">
        <f t="shared" ca="1" si="85"/>
        <v/>
      </c>
      <c r="BJ159" s="190" t="str">
        <f t="shared" ca="1" si="60"/>
        <v/>
      </c>
      <c r="BK159" s="190"/>
      <c r="BL159" s="190" t="str">
        <f ca="1">IFERROR(IF(OR(ISNUMBER(I),ISNUMBER($F$14)),IF(AND($B159&gt;=($F$17-$F$15),$B159&lt;$F$22+($F$17-$F$15)),SUM(OFFSET($T$100,($F$17-$F$15),0):$T159),""),""),"")</f>
        <v/>
      </c>
      <c r="BM159" s="190" t="str">
        <f t="shared" ca="1" si="86"/>
        <v/>
      </c>
      <c r="BN159" s="190" t="str">
        <f t="shared" ca="1" si="61"/>
        <v/>
      </c>
      <c r="BO159"/>
      <c r="BP159" s="190" t="str">
        <f ca="1">IF(ISNUMBER(OFFSET(BL159,-$F$21,0)),SUM(OFFSET($T$100,($F$17-$F$15+$F$21),0):$T159),"")</f>
        <v/>
      </c>
      <c r="BQ159" s="190" t="str">
        <f t="shared" ca="1" si="87"/>
        <v/>
      </c>
      <c r="BR159" s="190" t="str">
        <f t="shared" ca="1" si="63"/>
        <v/>
      </c>
      <c r="BS159" s="190"/>
      <c r="BT159"/>
      <c r="BU159"/>
      <c r="BV159"/>
      <c r="BY159" s="99"/>
      <c r="BZ159" s="99"/>
      <c r="CA159" s="280" t="str">
        <f t="shared" si="88"/>
        <v/>
      </c>
      <c r="CB159" s="71" t="str">
        <f t="shared" si="31"/>
        <v>-</v>
      </c>
      <c r="CC159" s="33"/>
      <c r="CD159" s="261" t="str">
        <f t="shared" si="33"/>
        <v/>
      </c>
      <c r="CE159" s="280" t="str">
        <f t="shared" si="89"/>
        <v/>
      </c>
      <c r="CF159" s="71" t="str">
        <f t="shared" ca="1" si="90"/>
        <v/>
      </c>
      <c r="CG159" s="33" t="str">
        <f t="shared" si="36"/>
        <v/>
      </c>
      <c r="CH159" s="261" t="str">
        <f t="shared" ca="1" si="37"/>
        <v/>
      </c>
      <c r="CI159" s="202"/>
      <c r="CJ159" s="99"/>
      <c r="CK159" s="99"/>
      <c r="CL159" s="99"/>
      <c r="CM159" s="99"/>
      <c r="CN159" s="99"/>
      <c r="CO159" s="99"/>
    </row>
    <row r="160" spans="2:93" ht="13.5" customHeight="1" x14ac:dyDescent="0.2">
      <c r="B160" s="262">
        <v>60</v>
      </c>
      <c r="C160" s="237" t="str">
        <f t="shared" si="1"/>
        <v/>
      </c>
      <c r="D160" s="237" t="str">
        <f t="shared" si="66"/>
        <v/>
      </c>
      <c r="E160" s="290" t="str">
        <f t="shared" si="38"/>
        <v/>
      </c>
      <c r="F160" s="264" t="str">
        <f t="shared" si="39"/>
        <v/>
      </c>
      <c r="G160" s="291" t="str">
        <f t="shared" si="40"/>
        <v/>
      </c>
      <c r="H160" s="240" t="str">
        <f t="shared" si="71"/>
        <v/>
      </c>
      <c r="I160" s="265" t="str">
        <f t="shared" si="72"/>
        <v/>
      </c>
      <c r="J160" s="265" t="str">
        <f t="shared" si="73"/>
        <v/>
      </c>
      <c r="K160" s="240" t="str">
        <f t="shared" si="74"/>
        <v/>
      </c>
      <c r="L160" s="265" t="str">
        <f t="shared" si="75"/>
        <v/>
      </c>
      <c r="M160" s="265" t="str">
        <f t="shared" si="76"/>
        <v/>
      </c>
      <c r="N160" s="240" t="str">
        <f t="shared" si="77"/>
        <v>-</v>
      </c>
      <c r="O160" s="265" t="str">
        <f t="shared" si="78"/>
        <v>-</v>
      </c>
      <c r="P160" s="265" t="str">
        <f t="shared" si="79"/>
        <v>-</v>
      </c>
      <c r="Q160" s="266" t="str">
        <f t="shared" si="80"/>
        <v>-</v>
      </c>
      <c r="R160" s="267" t="str">
        <f t="shared" si="81"/>
        <v>-</v>
      </c>
      <c r="S160" s="268" t="str">
        <f t="shared" si="82"/>
        <v>-</v>
      </c>
      <c r="T160" s="269" t="str">
        <f t="shared" si="13"/>
        <v/>
      </c>
      <c r="U160" s="221">
        <f t="shared" si="14"/>
        <v>60</v>
      </c>
      <c r="V160" s="220" t="str">
        <f t="shared" si="42"/>
        <v>-</v>
      </c>
      <c r="W160" s="221" t="str">
        <f t="shared" si="43"/>
        <v>-</v>
      </c>
      <c r="X160" s="221" t="str">
        <f t="shared" si="15"/>
        <v>-</v>
      </c>
      <c r="Y160" s="221" t="str">
        <f t="shared" si="16"/>
        <v>-</v>
      </c>
      <c r="Z160" s="270">
        <f t="shared" si="44"/>
        <v>0.1</v>
      </c>
      <c r="AA160" s="271" t="str">
        <f>IFERROR(IF(V159=1,AA$100*EXP(-(LN(2)/$D$65+0.04)*X159)*EXP(-(LN(2)/$D$65+0.1)*Y159),IF(V159=2,AA$100*EXP(-(LN(2)/$D$65+0.04)*(VLOOKUP(($F$16-$F$15)-1,U$99:Y159,4,FALSE)))*EXP(-(LN(2)/$D$65+0.1)*(VLOOKUP(($F$16-$F$15)-1,U$99:Y159,5,FALSE)))*EXP(-(LN(2)/$D$65+0.04)*X159)*EXP(-(LN(2)/$D$65+0.1)*Y159),IF(V159=3,AA$100*EXP(-(LN(2)/$D$65+0.04)*(VLOOKUP(($F$16-$F$15)-1,U$99:Y159,4,FALSE)))*EXP(-(LN(2)/$D$65+0.1)*(VLOOKUP(($F$16-$F$15)-1,U$99:Y159,5,FALSE)))*EXP(-(LN(2)/$D$65+0.04)*(VLOOKUP(($F$16-$F$15)*2-1,U$99:Y159,4,FALSE)))*EXP(-(LN(2)/$D$65+0.1)*(VLOOKUP(($F$16-$F$15)*2-1,U$99:Y159,5,FALSE)))*EXP(-(LN(2)/$D$65+0.04)*X159)*EXP(-(LN(2)/$D$65+0.1)*Y159),"-"))),"-")</f>
        <v>-</v>
      </c>
      <c r="AB160" s="271" t="str">
        <f>IFERROR(IF(V160=1,AB$100*EXP(-(LN(2)/$D$65+0.04)*X160)*EXP(-(LN(2)/$D$65+0.1)*Y160),IF(V160=2,AB$100*EXP(-(LN(2)/$D$65+0.04)*(VLOOKUP(($F$16-$F$15)-1,U$100:Y160,4,FALSE)))*EXP(-(LN(2)/$D$65+0.1)*(VLOOKUP(($F$16-$F$15)-1,U$100:Y160,5,FALSE)))*EXP(-(LN(2)/$D$65+0.04)*X160)*EXP(-(LN(2)/$D$65+0.1)*Y160),IF(V160=3,AB$100*EXP(-(LN(2)/$D$65+0.04)*(VLOOKUP(($F$16-$F$15)-1,U$100:Y160,4,FALSE)))*EXP(-(LN(2)/$D$65+0.1)*(VLOOKUP(($F$16-$F$15)-1,U$100:Y160,5,FALSE)))*EXP(-(LN(2)/$D$65+0.04)*(VLOOKUP(($F$16-$F$15)*2-1,U$100:Y160,4,FALSE)))*EXP(-(LN(2)/$D$65+0.1)*(VLOOKUP(($F$16-$F$15)*2-1,U$100:Y160,5,FALSE)))*EXP(-(LN(2)/$D$65+0.04)*X160)*EXP(-(LN(2)/$D$65+0.1)*Y160),"-"))),"-")</f>
        <v>-</v>
      </c>
      <c r="AC160" s="224">
        <f t="shared" si="45"/>
        <v>60</v>
      </c>
      <c r="AD160" s="223" t="str">
        <f t="shared" si="18"/>
        <v>-</v>
      </c>
      <c r="AE160" s="224" t="str">
        <f t="shared" si="46"/>
        <v>-</v>
      </c>
      <c r="AF160" s="224" t="str">
        <f t="shared" si="19"/>
        <v>-</v>
      </c>
      <c r="AG160" s="224" t="str">
        <f t="shared" si="20"/>
        <v>-</v>
      </c>
      <c r="AH160" s="272">
        <f t="shared" si="47"/>
        <v>0.1</v>
      </c>
      <c r="AI160" s="271" t="str">
        <f>IFERROR(IF(AD159=1,AI$100*EXP(-(LN(2)/$D$65+0.04)*AF159)*EXP(-(LN(2)/$D$65+0.1)*AG159),IF(AD159=2,AI$100*EXP(-(LN(2)/$D$65+0.04)*(VLOOKUP(($F$16-$F$15)-1,AC$99:AG159,4,FALSE)))*EXP(-(LN(2)/$D$65+0.1)*(VLOOKUP(($F$16-$F$15)-1,AC$99:AG159,5,FALSE)))*EXP(-(LN(2)/$D$65+0.04)*AF159)*EXP(-(LN(2)/$D$65+0.1)*AG159),IF(AD159=3,AI$100*EXP(-(LN(2)/$D$65+0.04)*(VLOOKUP(($F$16-$F$15)-1,AC$99:AG159,4,FALSE)))*EXP(-(LN(2)/$D$65+0.1)*(VLOOKUP(($F$16-$F$15)-1,AC$99:AG159,5,FALSE)))*EXP(-(LN(2)/$D$65+0.04)*(VLOOKUP(($F$16-$F$15)*2-1,AC$99:AG159,4,FALSE)))*EXP(-(LN(2)/$D$65+0.1)*(VLOOKUP(($F$16-$F$15)*2-1,AC$99:AG159,5,FALSE)))*EXP(-(LN(2)/$D$65+0.04)*AF159)*EXP(-(LN(2)/$D$65+0.1)*AG159),"-"))),"-")</f>
        <v>-</v>
      </c>
      <c r="AJ160" s="271" t="str">
        <f>IFERROR(IF(AD160=1,AJ$100*EXP(-(LN(2)/$D$65+0.04)*AF160)*EXP(-(LN(2)/$D$65+0.1)*AG160),IF(AD160=2,AJ$100*EXP(-(LN(2)/$D$65+0.04)*(VLOOKUP(($F$16-$F$15)-1,AC$100:AG160,4,FALSE)))*EXP(-(LN(2)/$D$65+0.1)*(VLOOKUP(($F$16-$F$15)-1,AC$100:AG160,5,FALSE)))*EXP(-(LN(2)/$D$65+0.04)*AF160)*EXP(-(LN(2)/$D$65+0.1)*AG160),IF(AD160=3,AJ$100*EXP(-(LN(2)/$D$65+0.04)*(VLOOKUP(($F$16-$F$15)-1,AC$100:AG160,4,FALSE)))*EXP(-(LN(2)/$D$65+0.1)*(VLOOKUP(($F$16-$F$15)-1,AC$100:AG160,5,FALSE)))*EXP(-(LN(2)/$D$65+0.04)*(VLOOKUP(($F$16-$F$15)*2-1,AC$100:AG160,4,FALSE)))*EXP(-(LN(2)/$D$65+0.1)*(VLOOKUP(($F$16-$F$15)*2-1,AC$100:AG160,5,FALSE)))*EXP(-(LN(2)/$D$65+0.04)*AF160)*EXP(-(LN(2)/$D$65+0.1)*AG160),"-"))),"-")</f>
        <v>-</v>
      </c>
      <c r="AK160" s="227">
        <f t="shared" si="49"/>
        <v>60</v>
      </c>
      <c r="AL160" s="226" t="str">
        <f t="shared" si="22"/>
        <v>-</v>
      </c>
      <c r="AM160" s="227" t="str">
        <f t="shared" si="50"/>
        <v>-</v>
      </c>
      <c r="AN160" s="227" t="str">
        <f t="shared" si="51"/>
        <v>-</v>
      </c>
      <c r="AO160" s="227" t="str">
        <f t="shared" si="23"/>
        <v>-</v>
      </c>
      <c r="AP160" s="273">
        <f t="shared" si="52"/>
        <v>0.1</v>
      </c>
      <c r="AQ160" s="271" t="str">
        <f>IFERROR(IF(AL159=1,AQ$100*EXP(-(LN(2)/$D$65+0.04)*AN159)*EXP(-(LN(2)/$D$65+0.1)*AO159),IF(AL159=2,AQ$100*EXP(-(LN(2)/$D$65+0.04)*(VLOOKUP(($F$16-$F$15)-1,AK$99:AO159,4,FALSE)))*EXP(-(LN(2)/$D$65+0.1)*(VLOOKUP(($F$16-$F$15)-1,AK$99:AO159,5,FALSE)))*EXP(-(LN(2)/$D$65+0.04)*AN159)*EXP(-(LN(2)/$D$65+0.1)*AO159),IF(AL159=3,AQ$100*EXP(-(LN(2)/$D$65+0.04)*(VLOOKUP(($F$16-$F$15)-1,AK$99:AO159,4,FALSE)))*EXP(-(LN(2)/$D$65+0.1)*(VLOOKUP(($F$16-$F$15)-1,AK$99:AO159,5,FALSE)))*EXP(-(LN(2)/$D$65+0.04)*(VLOOKUP(($F$16-$F$15)*2-1,AK$99:AO159,4,FALSE)))*EXP(-(LN(2)/$D$65+0.1)*(VLOOKUP(($F$16-$F$15)*2-1,AK$99:AO159,5,FALSE)))*EXP(-(LN(2)/$D$65+0.04)*AN159)*EXP(-(LN(2)/$D$65+0.1)*AO159),"-"))),"-")</f>
        <v>-</v>
      </c>
      <c r="AR160" s="271" t="str">
        <f>IFERROR(IF(AL160=1,AR$100*EXP(-(LN(2)/$D$65+0.04)*AN160)*EXP(-(LN(2)/$D$65+0.1)*AO160),IF(AL160=2,AR$100*EXP(-(LN(2)/$D$65+0.04)*(VLOOKUP(($F$16-$F$15)-1,AK$100:AO160,4,FALSE)))*EXP(-(LN(2)/$D$65+0.1)*(VLOOKUP(($F$16-$F$15)-1,AK$100:AO160,5,FALSE)))*EXP(-(LN(2)/$D$65+0.04)*AN160)*EXP(-(LN(2)/$D$65+0.1)*AO160),IF(AL160=3,AR$100*EXP(-(LN(2)/$D$65+0.04)*(VLOOKUP(($F$16-$F$15)-1,AK$100:AO160,4,FALSE)))*EXP(-(LN(2)/$D$65+0.1)*(VLOOKUP(($F$16-$F$15)-1,AK$100:AO160,5,FALSE)))*EXP(-(LN(2)/$D$65+0.04)*(VLOOKUP(($F$16-$F$15)*2-1,AK$100:AO160,4,FALSE)))*EXP(-(LN(2)/$D$65+0.1)*(VLOOKUP(($F$16-$F$15)*2-1,AK$100:AO160,5,FALSE)))*EXP(-(LN(2)/$D$65+0.04)*AN160)*EXP(-(LN(2)/$D$65+0.1)*AO160),"-"))),"-")</f>
        <v>-</v>
      </c>
      <c r="AS160" s="274">
        <f t="shared" si="24"/>
        <v>0</v>
      </c>
      <c r="AT160" s="274">
        <f t="shared" si="25"/>
        <v>0</v>
      </c>
      <c r="AU160" s="274">
        <f t="shared" si="26"/>
        <v>0</v>
      </c>
      <c r="AV160" s="190" t="str">
        <f>IF($B160&lt;$F$22,SUM($T$100:$T160),"")</f>
        <v/>
      </c>
      <c r="AW160" s="190" t="str">
        <f t="shared" si="83"/>
        <v>-</v>
      </c>
      <c r="AX160" s="190" t="str">
        <f t="shared" si="56"/>
        <v/>
      </c>
      <c r="AY160"/>
      <c r="AZ160" s="190" t="str">
        <f ca="1">IF(ISNUMBER(OFFSET(AV160,-$F$21,0)),SUM(OFFSET($T$100,$F$21,0):$T160),"")</f>
        <v/>
      </c>
      <c r="BA160" s="190" t="str">
        <f t="shared" ca="1" si="84"/>
        <v/>
      </c>
      <c r="BB160" s="190" t="str">
        <f t="shared" ca="1" si="70"/>
        <v/>
      </c>
      <c r="BC160" s="190"/>
      <c r="BD160" s="190" t="str">
        <f ca="1">IFERROR(IF(OR(ISNUMBER(I),ISNUMBER($F$14)),IF(AND($B160&gt;=($F$16-$F$15),$B160&lt;$F$22+($F$16-$F$15)),SUM(OFFSET($T$100,($F$16-$F$15),0):$T160),""),""),"")</f>
        <v/>
      </c>
      <c r="BE160" s="190" t="str">
        <f t="shared" ca="1" si="58"/>
        <v/>
      </c>
      <c r="BF160" s="190" t="str">
        <f t="shared" ca="1" si="59"/>
        <v/>
      </c>
      <c r="BG160"/>
      <c r="BH160" s="190" t="str">
        <f ca="1">IF(ISNUMBER(OFFSET(BD160,-$F$21,0)),SUM(OFFSET($T$100,($F$16-$F$15+$F$21),0):$T160),"")</f>
        <v/>
      </c>
      <c r="BI160" s="190" t="str">
        <f t="shared" ca="1" si="85"/>
        <v/>
      </c>
      <c r="BJ160" s="190" t="str">
        <f t="shared" ca="1" si="60"/>
        <v/>
      </c>
      <c r="BK160" s="190"/>
      <c r="BL160" s="190" t="str">
        <f ca="1">IFERROR(IF(OR(ISNUMBER(I),ISNUMBER($F$14)),IF(AND($B160&gt;=($F$17-$F$15),$B160&lt;$F$22+($F$17-$F$15)),SUM(OFFSET($T$100,($F$17-$F$15),0):$T160),""),""),"")</f>
        <v/>
      </c>
      <c r="BM160" s="190" t="str">
        <f t="shared" ca="1" si="86"/>
        <v/>
      </c>
      <c r="BN160" s="190" t="str">
        <f t="shared" ca="1" si="61"/>
        <v/>
      </c>
      <c r="BO160"/>
      <c r="BP160" s="190" t="str">
        <f ca="1">IF(ISNUMBER(OFFSET(BL160,-$F$21,0)),SUM(OFFSET($T$100,($F$17-$F$15+$F$21),0):$T160),"")</f>
        <v/>
      </c>
      <c r="BQ160" s="190" t="str">
        <f t="shared" ca="1" si="87"/>
        <v/>
      </c>
      <c r="BR160" s="190" t="str">
        <f t="shared" ca="1" si="63"/>
        <v/>
      </c>
      <c r="BS160" s="190"/>
      <c r="BT160"/>
      <c r="BU160"/>
      <c r="BV160"/>
      <c r="BY160" s="99"/>
      <c r="BZ160" s="99"/>
      <c r="CA160" s="280" t="str">
        <f t="shared" si="88"/>
        <v/>
      </c>
      <c r="CB160" s="71" t="str">
        <f t="shared" si="31"/>
        <v>-</v>
      </c>
      <c r="CC160" s="33"/>
      <c r="CD160" s="261" t="str">
        <f t="shared" si="33"/>
        <v/>
      </c>
      <c r="CE160" s="280" t="str">
        <f t="shared" si="89"/>
        <v/>
      </c>
      <c r="CF160" s="71" t="str">
        <f t="shared" ca="1" si="90"/>
        <v/>
      </c>
      <c r="CG160" s="33" t="str">
        <f t="shared" si="36"/>
        <v/>
      </c>
      <c r="CH160" s="261" t="str">
        <f t="shared" ca="1" si="37"/>
        <v/>
      </c>
      <c r="CI160" s="202"/>
      <c r="CJ160" s="99"/>
      <c r="CK160" s="99"/>
      <c r="CL160" s="99"/>
      <c r="CM160" s="99"/>
      <c r="CN160" s="99"/>
      <c r="CO160" s="99"/>
    </row>
    <row r="161" spans="2:93" ht="13.5" customHeight="1" x14ac:dyDescent="0.2">
      <c r="B161" s="262">
        <v>61</v>
      </c>
      <c r="C161" s="237" t="str">
        <f t="shared" si="1"/>
        <v/>
      </c>
      <c r="D161" s="237" t="str">
        <f t="shared" si="66"/>
        <v/>
      </c>
      <c r="E161" s="290" t="str">
        <f t="shared" si="38"/>
        <v/>
      </c>
      <c r="F161" s="264" t="str">
        <f t="shared" si="39"/>
        <v/>
      </c>
      <c r="G161" s="291" t="str">
        <f t="shared" si="40"/>
        <v/>
      </c>
      <c r="H161" s="240" t="str">
        <f t="shared" si="71"/>
        <v/>
      </c>
      <c r="I161" s="265" t="str">
        <f t="shared" si="72"/>
        <v/>
      </c>
      <c r="J161" s="265" t="str">
        <f t="shared" si="73"/>
        <v/>
      </c>
      <c r="K161" s="240" t="str">
        <f t="shared" si="74"/>
        <v/>
      </c>
      <c r="L161" s="265" t="str">
        <f t="shared" si="75"/>
        <v/>
      </c>
      <c r="M161" s="265" t="str">
        <f t="shared" si="76"/>
        <v/>
      </c>
      <c r="N161" s="240" t="str">
        <f t="shared" si="77"/>
        <v>-</v>
      </c>
      <c r="O161" s="265" t="str">
        <f t="shared" si="78"/>
        <v>-</v>
      </c>
      <c r="P161" s="265" t="str">
        <f t="shared" si="79"/>
        <v>-</v>
      </c>
      <c r="Q161" s="266" t="str">
        <f t="shared" si="80"/>
        <v>-</v>
      </c>
      <c r="R161" s="267" t="str">
        <f t="shared" si="81"/>
        <v>-</v>
      </c>
      <c r="S161" s="268" t="str">
        <f t="shared" si="82"/>
        <v>-</v>
      </c>
      <c r="T161" s="269" t="str">
        <f t="shared" si="13"/>
        <v/>
      </c>
      <c r="U161" s="221">
        <f t="shared" si="14"/>
        <v>61</v>
      </c>
      <c r="V161" s="220" t="str">
        <f t="shared" si="42"/>
        <v>-</v>
      </c>
      <c r="W161" s="221" t="str">
        <f t="shared" si="43"/>
        <v>-</v>
      </c>
      <c r="X161" s="221" t="str">
        <f t="shared" si="15"/>
        <v>-</v>
      </c>
      <c r="Y161" s="221" t="str">
        <f t="shared" si="16"/>
        <v>-</v>
      </c>
      <c r="Z161" s="270">
        <f t="shared" si="44"/>
        <v>0.1</v>
      </c>
      <c r="AA161" s="271" t="str">
        <f>IFERROR(IF(V160=1,AA$100*EXP(-(LN(2)/$D$65+0.04)*X160)*EXP(-(LN(2)/$D$65+0.1)*Y160),IF(V160=2,AA$100*EXP(-(LN(2)/$D$65+0.04)*(VLOOKUP(($F$16-$F$15)-1,U$99:Y160,4,FALSE)))*EXP(-(LN(2)/$D$65+0.1)*(VLOOKUP(($F$16-$F$15)-1,U$99:Y160,5,FALSE)))*EXP(-(LN(2)/$D$65+0.04)*X160)*EXP(-(LN(2)/$D$65+0.1)*Y160),IF(V160=3,AA$100*EXP(-(LN(2)/$D$65+0.04)*(VLOOKUP(($F$16-$F$15)-1,U$99:Y160,4,FALSE)))*EXP(-(LN(2)/$D$65+0.1)*(VLOOKUP(($F$16-$F$15)-1,U$99:Y160,5,FALSE)))*EXP(-(LN(2)/$D$65+0.04)*(VLOOKUP(($F$16-$F$15)*2-1,U$99:Y160,4,FALSE)))*EXP(-(LN(2)/$D$65+0.1)*(VLOOKUP(($F$16-$F$15)*2-1,U$99:Y160,5,FALSE)))*EXP(-(LN(2)/$D$65+0.04)*X160)*EXP(-(LN(2)/$D$65+0.1)*Y160),"-"))),"-")</f>
        <v>-</v>
      </c>
      <c r="AB161" s="271" t="str">
        <f>IFERROR(IF(V161=1,AB$100*EXP(-(LN(2)/$D$65+0.04)*X161)*EXP(-(LN(2)/$D$65+0.1)*Y161),IF(V161=2,AB$100*EXP(-(LN(2)/$D$65+0.04)*(VLOOKUP(($F$16-$F$15)-1,U$100:Y161,4,FALSE)))*EXP(-(LN(2)/$D$65+0.1)*(VLOOKUP(($F$16-$F$15)-1,U$100:Y161,5,FALSE)))*EXP(-(LN(2)/$D$65+0.04)*X161)*EXP(-(LN(2)/$D$65+0.1)*Y161),IF(V161=3,AB$100*EXP(-(LN(2)/$D$65+0.04)*(VLOOKUP(($F$16-$F$15)-1,U$100:Y161,4,FALSE)))*EXP(-(LN(2)/$D$65+0.1)*(VLOOKUP(($F$16-$F$15)-1,U$100:Y161,5,FALSE)))*EXP(-(LN(2)/$D$65+0.04)*(VLOOKUP(($F$16-$F$15)*2-1,U$100:Y161,4,FALSE)))*EXP(-(LN(2)/$D$65+0.1)*(VLOOKUP(($F$16-$F$15)*2-1,U$100:Y161,5,FALSE)))*EXP(-(LN(2)/$D$65+0.04)*X161)*EXP(-(LN(2)/$D$65+0.1)*Y161),"-"))),"-")</f>
        <v>-</v>
      </c>
      <c r="AC161" s="224">
        <f t="shared" si="45"/>
        <v>61</v>
      </c>
      <c r="AD161" s="223" t="str">
        <f t="shared" si="18"/>
        <v>-</v>
      </c>
      <c r="AE161" s="224" t="str">
        <f t="shared" si="46"/>
        <v>-</v>
      </c>
      <c r="AF161" s="224" t="str">
        <f t="shared" si="19"/>
        <v>-</v>
      </c>
      <c r="AG161" s="224" t="str">
        <f t="shared" si="20"/>
        <v>-</v>
      </c>
      <c r="AH161" s="272">
        <f t="shared" si="47"/>
        <v>0.1</v>
      </c>
      <c r="AI161" s="271" t="str">
        <f>IFERROR(IF(AD160=1,AI$100*EXP(-(LN(2)/$D$65+0.04)*AF160)*EXP(-(LN(2)/$D$65+0.1)*AG160),IF(AD160=2,AI$100*EXP(-(LN(2)/$D$65+0.04)*(VLOOKUP(($F$16-$F$15)-1,AC$99:AG160,4,FALSE)))*EXP(-(LN(2)/$D$65+0.1)*(VLOOKUP(($F$16-$F$15)-1,AC$99:AG160,5,FALSE)))*EXP(-(LN(2)/$D$65+0.04)*AF160)*EXP(-(LN(2)/$D$65+0.1)*AG160),IF(AD160=3,AI$100*EXP(-(LN(2)/$D$65+0.04)*(VLOOKUP(($F$16-$F$15)-1,AC$99:AG160,4,FALSE)))*EXP(-(LN(2)/$D$65+0.1)*(VLOOKUP(($F$16-$F$15)-1,AC$99:AG160,5,FALSE)))*EXP(-(LN(2)/$D$65+0.04)*(VLOOKUP(($F$16-$F$15)*2-1,AC$99:AG160,4,FALSE)))*EXP(-(LN(2)/$D$65+0.1)*(VLOOKUP(($F$16-$F$15)*2-1,AC$99:AG160,5,FALSE)))*EXP(-(LN(2)/$D$65+0.04)*AF160)*EXP(-(LN(2)/$D$65+0.1)*AG160),"-"))),"-")</f>
        <v>-</v>
      </c>
      <c r="AJ161" s="271" t="str">
        <f>IFERROR(IF(AD161=1,AJ$100*EXP(-(LN(2)/$D$65+0.04)*AF161)*EXP(-(LN(2)/$D$65+0.1)*AG161),IF(AD161=2,AJ$100*EXP(-(LN(2)/$D$65+0.04)*(VLOOKUP(($F$16-$F$15)-1,AC$100:AG161,4,FALSE)))*EXP(-(LN(2)/$D$65+0.1)*(VLOOKUP(($F$16-$F$15)-1,AC$100:AG161,5,FALSE)))*EXP(-(LN(2)/$D$65+0.04)*AF161)*EXP(-(LN(2)/$D$65+0.1)*AG161),IF(AD161=3,AJ$100*EXP(-(LN(2)/$D$65+0.04)*(VLOOKUP(($F$16-$F$15)-1,AC$100:AG161,4,FALSE)))*EXP(-(LN(2)/$D$65+0.1)*(VLOOKUP(($F$16-$F$15)-1,AC$100:AG161,5,FALSE)))*EXP(-(LN(2)/$D$65+0.04)*(VLOOKUP(($F$16-$F$15)*2-1,AC$100:AG161,4,FALSE)))*EXP(-(LN(2)/$D$65+0.1)*(VLOOKUP(($F$16-$F$15)*2-1,AC$100:AG161,5,FALSE)))*EXP(-(LN(2)/$D$65+0.04)*AF161)*EXP(-(LN(2)/$D$65+0.1)*AG161),"-"))),"-")</f>
        <v>-</v>
      </c>
      <c r="AK161" s="227">
        <f t="shared" si="49"/>
        <v>61</v>
      </c>
      <c r="AL161" s="226" t="str">
        <f t="shared" si="22"/>
        <v>-</v>
      </c>
      <c r="AM161" s="227" t="str">
        <f t="shared" si="50"/>
        <v>-</v>
      </c>
      <c r="AN161" s="227" t="str">
        <f t="shared" si="51"/>
        <v>-</v>
      </c>
      <c r="AO161" s="227" t="str">
        <f t="shared" si="23"/>
        <v>-</v>
      </c>
      <c r="AP161" s="273">
        <f t="shared" si="52"/>
        <v>0.1</v>
      </c>
      <c r="AQ161" s="271" t="str">
        <f>IFERROR(IF(AL160=1,AQ$100*EXP(-(LN(2)/$D$65+0.04)*AN160)*EXP(-(LN(2)/$D$65+0.1)*AO160),IF(AL160=2,AQ$100*EXP(-(LN(2)/$D$65+0.04)*(VLOOKUP(($F$16-$F$15)-1,AK$99:AO160,4,FALSE)))*EXP(-(LN(2)/$D$65+0.1)*(VLOOKUP(($F$16-$F$15)-1,AK$99:AO160,5,FALSE)))*EXP(-(LN(2)/$D$65+0.04)*AN160)*EXP(-(LN(2)/$D$65+0.1)*AO160),IF(AL160=3,AQ$100*EXP(-(LN(2)/$D$65+0.04)*(VLOOKUP(($F$16-$F$15)-1,AK$99:AO160,4,FALSE)))*EXP(-(LN(2)/$D$65+0.1)*(VLOOKUP(($F$16-$F$15)-1,AK$99:AO160,5,FALSE)))*EXP(-(LN(2)/$D$65+0.04)*(VLOOKUP(($F$16-$F$15)*2-1,AK$99:AO160,4,FALSE)))*EXP(-(LN(2)/$D$65+0.1)*(VLOOKUP(($F$16-$F$15)*2-1,AK$99:AO160,5,FALSE)))*EXP(-(LN(2)/$D$65+0.04)*AN160)*EXP(-(LN(2)/$D$65+0.1)*AO160),"-"))),"-")</f>
        <v>-</v>
      </c>
      <c r="AR161" s="271" t="str">
        <f>IFERROR(IF(AL161=1,AR$100*EXP(-(LN(2)/$D$65+0.04)*AN161)*EXP(-(LN(2)/$D$65+0.1)*AO161),IF(AL161=2,AR$100*EXP(-(LN(2)/$D$65+0.04)*(VLOOKUP(($F$16-$F$15)-1,AK$100:AO161,4,FALSE)))*EXP(-(LN(2)/$D$65+0.1)*(VLOOKUP(($F$16-$F$15)-1,AK$100:AO161,5,FALSE)))*EXP(-(LN(2)/$D$65+0.04)*AN161)*EXP(-(LN(2)/$D$65+0.1)*AO161),IF(AL161=3,AR$100*EXP(-(LN(2)/$D$65+0.04)*(VLOOKUP(($F$16-$F$15)-1,AK$100:AO161,4,FALSE)))*EXP(-(LN(2)/$D$65+0.1)*(VLOOKUP(($F$16-$F$15)-1,AK$100:AO161,5,FALSE)))*EXP(-(LN(2)/$D$65+0.04)*(VLOOKUP(($F$16-$F$15)*2-1,AK$100:AO161,4,FALSE)))*EXP(-(LN(2)/$D$65+0.1)*(VLOOKUP(($F$16-$F$15)*2-1,AK$100:AO161,5,FALSE)))*EXP(-(LN(2)/$D$65+0.04)*AN161)*EXP(-(LN(2)/$D$65+0.1)*AO161),"-"))),"-")</f>
        <v>-</v>
      </c>
      <c r="AS161" s="274">
        <f t="shared" si="24"/>
        <v>0</v>
      </c>
      <c r="AT161" s="274">
        <f t="shared" si="25"/>
        <v>0</v>
      </c>
      <c r="AU161" s="274">
        <f t="shared" si="26"/>
        <v>0</v>
      </c>
      <c r="AV161" s="190" t="str">
        <f>IF($B161&lt;$F$22,SUM($T$100:$T161),"")</f>
        <v/>
      </c>
      <c r="AW161" s="190" t="str">
        <f t="shared" si="83"/>
        <v>-</v>
      </c>
      <c r="AX161" s="190" t="str">
        <f t="shared" si="56"/>
        <v/>
      </c>
      <c r="AY161"/>
      <c r="AZ161" s="190" t="str">
        <f ca="1">IF(ISNUMBER(OFFSET(AV161,-$F$21,0)),SUM(OFFSET($T$100,$F$21,0):$T161),"")</f>
        <v/>
      </c>
      <c r="BA161" s="190" t="str">
        <f t="shared" ca="1" si="84"/>
        <v/>
      </c>
      <c r="BB161" s="190" t="str">
        <f t="shared" ca="1" si="70"/>
        <v/>
      </c>
      <c r="BC161" s="190"/>
      <c r="BD161" s="190" t="str">
        <f ca="1">IFERROR(IF(OR(ISNUMBER(I),ISNUMBER($F$14)),IF(AND($B161&gt;=($F$16-$F$15),$B161&lt;$F$22+($F$16-$F$15)),SUM(OFFSET($T$100,($F$16-$F$15),0):$T161),""),""),"")</f>
        <v/>
      </c>
      <c r="BE161" s="190" t="str">
        <f t="shared" ca="1" si="58"/>
        <v/>
      </c>
      <c r="BF161" s="190" t="str">
        <f t="shared" ca="1" si="59"/>
        <v/>
      </c>
      <c r="BG161"/>
      <c r="BH161" s="190" t="str">
        <f ca="1">IF(ISNUMBER(OFFSET(BD161,-$F$21,0)),SUM(OFFSET($T$100,($F$16-$F$15+$F$21),0):$T161),"")</f>
        <v/>
      </c>
      <c r="BI161" s="190" t="str">
        <f t="shared" ca="1" si="85"/>
        <v/>
      </c>
      <c r="BJ161" s="190" t="str">
        <f t="shared" ca="1" si="60"/>
        <v/>
      </c>
      <c r="BK161" s="190"/>
      <c r="BL161" s="190" t="str">
        <f ca="1">IFERROR(IF(OR(ISNUMBER(I),ISNUMBER($F$14)),IF(AND($B161&gt;=($F$17-$F$15),$B161&lt;$F$22+($F$17-$F$15)),SUM(OFFSET($T$100,($F$17-$F$15),0):$T161),""),""),"")</f>
        <v/>
      </c>
      <c r="BM161" s="190" t="str">
        <f t="shared" ca="1" si="86"/>
        <v/>
      </c>
      <c r="BN161" s="190" t="str">
        <f t="shared" ca="1" si="61"/>
        <v/>
      </c>
      <c r="BO161"/>
      <c r="BP161" s="190" t="str">
        <f ca="1">IF(ISNUMBER(OFFSET(BL161,-$F$21,0)),SUM(OFFSET($T$100,($F$17-$F$15+$F$21),0):$T161),"")</f>
        <v/>
      </c>
      <c r="BQ161" s="190" t="str">
        <f t="shared" ca="1" si="87"/>
        <v/>
      </c>
      <c r="BR161" s="190" t="str">
        <f t="shared" ca="1" si="63"/>
        <v/>
      </c>
      <c r="BS161" s="190"/>
      <c r="BT161"/>
      <c r="BU161"/>
      <c r="BV161"/>
      <c r="BY161" s="99"/>
      <c r="BZ161" s="99"/>
      <c r="CA161" s="280" t="str">
        <f t="shared" si="88"/>
        <v/>
      </c>
      <c r="CB161" s="71" t="str">
        <f t="shared" si="31"/>
        <v>-</v>
      </c>
      <c r="CC161" s="33"/>
      <c r="CD161" s="261" t="str">
        <f t="shared" si="33"/>
        <v/>
      </c>
      <c r="CE161" s="280" t="str">
        <f t="shared" si="89"/>
        <v/>
      </c>
      <c r="CF161" s="71" t="str">
        <f t="shared" ca="1" si="90"/>
        <v/>
      </c>
      <c r="CG161" s="33" t="str">
        <f t="shared" si="36"/>
        <v/>
      </c>
      <c r="CH161" s="261" t="str">
        <f t="shared" ca="1" si="37"/>
        <v/>
      </c>
      <c r="CI161" s="202"/>
      <c r="CJ161" s="99"/>
      <c r="CK161" s="99"/>
      <c r="CL161" s="99"/>
      <c r="CM161" s="99"/>
      <c r="CN161" s="99"/>
      <c r="CO161" s="99"/>
    </row>
    <row r="162" spans="2:93" ht="13.5" customHeight="1" x14ac:dyDescent="0.2">
      <c r="B162" s="262">
        <v>62</v>
      </c>
      <c r="C162" s="237" t="str">
        <f t="shared" si="1"/>
        <v/>
      </c>
      <c r="D162" s="237" t="str">
        <f t="shared" si="66"/>
        <v/>
      </c>
      <c r="E162" s="290" t="str">
        <f t="shared" si="38"/>
        <v/>
      </c>
      <c r="F162" s="264" t="str">
        <f t="shared" si="39"/>
        <v/>
      </c>
      <c r="G162" s="291" t="str">
        <f t="shared" si="40"/>
        <v/>
      </c>
      <c r="H162" s="240" t="str">
        <f t="shared" si="71"/>
        <v/>
      </c>
      <c r="I162" s="265" t="str">
        <f t="shared" si="72"/>
        <v/>
      </c>
      <c r="J162" s="265" t="str">
        <f t="shared" si="73"/>
        <v/>
      </c>
      <c r="K162" s="240" t="str">
        <f t="shared" si="74"/>
        <v/>
      </c>
      <c r="L162" s="265" t="str">
        <f t="shared" si="75"/>
        <v/>
      </c>
      <c r="M162" s="265" t="str">
        <f t="shared" si="76"/>
        <v/>
      </c>
      <c r="N162" s="240" t="str">
        <f t="shared" si="77"/>
        <v>-</v>
      </c>
      <c r="O162" s="265" t="str">
        <f t="shared" si="78"/>
        <v>-</v>
      </c>
      <c r="P162" s="265" t="str">
        <f t="shared" si="79"/>
        <v>-</v>
      </c>
      <c r="Q162" s="266" t="str">
        <f t="shared" si="80"/>
        <v>-</v>
      </c>
      <c r="R162" s="267" t="str">
        <f t="shared" si="81"/>
        <v>-</v>
      </c>
      <c r="S162" s="268" t="str">
        <f t="shared" si="82"/>
        <v>-</v>
      </c>
      <c r="T162" s="269" t="str">
        <f t="shared" si="13"/>
        <v/>
      </c>
      <c r="U162" s="221">
        <f t="shared" si="14"/>
        <v>62</v>
      </c>
      <c r="V162" s="220" t="str">
        <f t="shared" si="42"/>
        <v>-</v>
      </c>
      <c r="W162" s="221" t="str">
        <f t="shared" si="43"/>
        <v>-</v>
      </c>
      <c r="X162" s="221" t="str">
        <f t="shared" si="15"/>
        <v>-</v>
      </c>
      <c r="Y162" s="221" t="str">
        <f t="shared" si="16"/>
        <v>-</v>
      </c>
      <c r="Z162" s="270">
        <f t="shared" si="44"/>
        <v>0.1</v>
      </c>
      <c r="AA162" s="271" t="str">
        <f>IFERROR(IF(V161=1,AA$100*EXP(-(LN(2)/$D$65+0.04)*X161)*EXP(-(LN(2)/$D$65+0.1)*Y161),IF(V161=2,AA$100*EXP(-(LN(2)/$D$65+0.04)*(VLOOKUP(($F$16-$F$15)-1,U$99:Y161,4,FALSE)))*EXP(-(LN(2)/$D$65+0.1)*(VLOOKUP(($F$16-$F$15)-1,U$99:Y161,5,FALSE)))*EXP(-(LN(2)/$D$65+0.04)*X161)*EXP(-(LN(2)/$D$65+0.1)*Y161),IF(V161=3,AA$100*EXP(-(LN(2)/$D$65+0.04)*(VLOOKUP(($F$16-$F$15)-1,U$99:Y161,4,FALSE)))*EXP(-(LN(2)/$D$65+0.1)*(VLOOKUP(($F$16-$F$15)-1,U$99:Y161,5,FALSE)))*EXP(-(LN(2)/$D$65+0.04)*(VLOOKUP(($F$16-$F$15)*2-1,U$99:Y161,4,FALSE)))*EXP(-(LN(2)/$D$65+0.1)*(VLOOKUP(($F$16-$F$15)*2-1,U$99:Y161,5,FALSE)))*EXP(-(LN(2)/$D$65+0.04)*X161)*EXP(-(LN(2)/$D$65+0.1)*Y161),"-"))),"-")</f>
        <v>-</v>
      </c>
      <c r="AB162" s="271" t="str">
        <f>IFERROR(IF(V162=1,AB$100*EXP(-(LN(2)/$D$65+0.04)*X162)*EXP(-(LN(2)/$D$65+0.1)*Y162),IF(V162=2,AB$100*EXP(-(LN(2)/$D$65+0.04)*(VLOOKUP(($F$16-$F$15)-1,U$100:Y162,4,FALSE)))*EXP(-(LN(2)/$D$65+0.1)*(VLOOKUP(($F$16-$F$15)-1,U$100:Y162,5,FALSE)))*EXP(-(LN(2)/$D$65+0.04)*X162)*EXP(-(LN(2)/$D$65+0.1)*Y162),IF(V162=3,AB$100*EXP(-(LN(2)/$D$65+0.04)*(VLOOKUP(($F$16-$F$15)-1,U$100:Y162,4,FALSE)))*EXP(-(LN(2)/$D$65+0.1)*(VLOOKUP(($F$16-$F$15)-1,U$100:Y162,5,FALSE)))*EXP(-(LN(2)/$D$65+0.04)*(VLOOKUP(($F$16-$F$15)*2-1,U$100:Y162,4,FALSE)))*EXP(-(LN(2)/$D$65+0.1)*(VLOOKUP(($F$16-$F$15)*2-1,U$100:Y162,5,FALSE)))*EXP(-(LN(2)/$D$65+0.04)*X162)*EXP(-(LN(2)/$D$65+0.1)*Y162),"-"))),"-")</f>
        <v>-</v>
      </c>
      <c r="AC162" s="224">
        <f t="shared" si="45"/>
        <v>62</v>
      </c>
      <c r="AD162" s="223" t="str">
        <f t="shared" si="18"/>
        <v>-</v>
      </c>
      <c r="AE162" s="224" t="str">
        <f t="shared" si="46"/>
        <v>-</v>
      </c>
      <c r="AF162" s="224" t="str">
        <f t="shared" si="19"/>
        <v>-</v>
      </c>
      <c r="AG162" s="224" t="str">
        <f t="shared" si="20"/>
        <v>-</v>
      </c>
      <c r="AH162" s="272">
        <f t="shared" si="47"/>
        <v>0.1</v>
      </c>
      <c r="AI162" s="271" t="str">
        <f>IFERROR(IF(AD161=1,AI$100*EXP(-(LN(2)/$D$65+0.04)*AF161)*EXP(-(LN(2)/$D$65+0.1)*AG161),IF(AD161=2,AI$100*EXP(-(LN(2)/$D$65+0.04)*(VLOOKUP(($F$16-$F$15)-1,AC$99:AG161,4,FALSE)))*EXP(-(LN(2)/$D$65+0.1)*(VLOOKUP(($F$16-$F$15)-1,AC$99:AG161,5,FALSE)))*EXP(-(LN(2)/$D$65+0.04)*AF161)*EXP(-(LN(2)/$D$65+0.1)*AG161),IF(AD161=3,AI$100*EXP(-(LN(2)/$D$65+0.04)*(VLOOKUP(($F$16-$F$15)-1,AC$99:AG161,4,FALSE)))*EXP(-(LN(2)/$D$65+0.1)*(VLOOKUP(($F$16-$F$15)-1,AC$99:AG161,5,FALSE)))*EXP(-(LN(2)/$D$65+0.04)*(VLOOKUP(($F$16-$F$15)*2-1,AC$99:AG161,4,FALSE)))*EXP(-(LN(2)/$D$65+0.1)*(VLOOKUP(($F$16-$F$15)*2-1,AC$99:AG161,5,FALSE)))*EXP(-(LN(2)/$D$65+0.04)*AF161)*EXP(-(LN(2)/$D$65+0.1)*AG161),"-"))),"-")</f>
        <v>-</v>
      </c>
      <c r="AJ162" s="271" t="str">
        <f>IFERROR(IF(AD162=1,AJ$100*EXP(-(LN(2)/$D$65+0.04)*AF162)*EXP(-(LN(2)/$D$65+0.1)*AG162),IF(AD162=2,AJ$100*EXP(-(LN(2)/$D$65+0.04)*(VLOOKUP(($F$16-$F$15)-1,AC$100:AG162,4,FALSE)))*EXP(-(LN(2)/$D$65+0.1)*(VLOOKUP(($F$16-$F$15)-1,AC$100:AG162,5,FALSE)))*EXP(-(LN(2)/$D$65+0.04)*AF162)*EXP(-(LN(2)/$D$65+0.1)*AG162),IF(AD162=3,AJ$100*EXP(-(LN(2)/$D$65+0.04)*(VLOOKUP(($F$16-$F$15)-1,AC$100:AG162,4,FALSE)))*EXP(-(LN(2)/$D$65+0.1)*(VLOOKUP(($F$16-$F$15)-1,AC$100:AG162,5,FALSE)))*EXP(-(LN(2)/$D$65+0.04)*(VLOOKUP(($F$16-$F$15)*2-1,AC$100:AG162,4,FALSE)))*EXP(-(LN(2)/$D$65+0.1)*(VLOOKUP(($F$16-$F$15)*2-1,AC$100:AG162,5,FALSE)))*EXP(-(LN(2)/$D$65+0.04)*AF162)*EXP(-(LN(2)/$D$65+0.1)*AG162),"-"))),"-")</f>
        <v>-</v>
      </c>
      <c r="AK162" s="227">
        <f t="shared" si="49"/>
        <v>62</v>
      </c>
      <c r="AL162" s="226" t="str">
        <f t="shared" si="22"/>
        <v>-</v>
      </c>
      <c r="AM162" s="227" t="str">
        <f t="shared" si="50"/>
        <v>-</v>
      </c>
      <c r="AN162" s="227" t="str">
        <f t="shared" si="51"/>
        <v>-</v>
      </c>
      <c r="AO162" s="227" t="str">
        <f t="shared" si="23"/>
        <v>-</v>
      </c>
      <c r="AP162" s="273">
        <f t="shared" si="52"/>
        <v>0.1</v>
      </c>
      <c r="AQ162" s="271" t="str">
        <f>IFERROR(IF(AL161=1,AQ$100*EXP(-(LN(2)/$D$65+0.04)*AN161)*EXP(-(LN(2)/$D$65+0.1)*AO161),IF(AL161=2,AQ$100*EXP(-(LN(2)/$D$65+0.04)*(VLOOKUP(($F$16-$F$15)-1,AK$99:AO161,4,FALSE)))*EXP(-(LN(2)/$D$65+0.1)*(VLOOKUP(($F$16-$F$15)-1,AK$99:AO161,5,FALSE)))*EXP(-(LN(2)/$D$65+0.04)*AN161)*EXP(-(LN(2)/$D$65+0.1)*AO161),IF(AL161=3,AQ$100*EXP(-(LN(2)/$D$65+0.04)*(VLOOKUP(($F$16-$F$15)-1,AK$99:AO161,4,FALSE)))*EXP(-(LN(2)/$D$65+0.1)*(VLOOKUP(($F$16-$F$15)-1,AK$99:AO161,5,FALSE)))*EXP(-(LN(2)/$D$65+0.04)*(VLOOKUP(($F$16-$F$15)*2-1,AK$99:AO161,4,FALSE)))*EXP(-(LN(2)/$D$65+0.1)*(VLOOKUP(($F$16-$F$15)*2-1,AK$99:AO161,5,FALSE)))*EXP(-(LN(2)/$D$65+0.04)*AN161)*EXP(-(LN(2)/$D$65+0.1)*AO161),"-"))),"-")</f>
        <v>-</v>
      </c>
      <c r="AR162" s="271" t="str">
        <f>IFERROR(IF(AL162=1,AR$100*EXP(-(LN(2)/$D$65+0.04)*AN162)*EXP(-(LN(2)/$D$65+0.1)*AO162),IF(AL162=2,AR$100*EXP(-(LN(2)/$D$65+0.04)*(VLOOKUP(($F$16-$F$15)-1,AK$100:AO162,4,FALSE)))*EXP(-(LN(2)/$D$65+0.1)*(VLOOKUP(($F$16-$F$15)-1,AK$100:AO162,5,FALSE)))*EXP(-(LN(2)/$D$65+0.04)*AN162)*EXP(-(LN(2)/$D$65+0.1)*AO162),IF(AL162=3,AR$100*EXP(-(LN(2)/$D$65+0.04)*(VLOOKUP(($F$16-$F$15)-1,AK$100:AO162,4,FALSE)))*EXP(-(LN(2)/$D$65+0.1)*(VLOOKUP(($F$16-$F$15)-1,AK$100:AO162,5,FALSE)))*EXP(-(LN(2)/$D$65+0.04)*(VLOOKUP(($F$16-$F$15)*2-1,AK$100:AO162,4,FALSE)))*EXP(-(LN(2)/$D$65+0.1)*(VLOOKUP(($F$16-$F$15)*2-1,AK$100:AO162,5,FALSE)))*EXP(-(LN(2)/$D$65+0.04)*AN162)*EXP(-(LN(2)/$D$65+0.1)*AO162),"-"))),"-")</f>
        <v>-</v>
      </c>
      <c r="AS162" s="274">
        <f t="shared" si="24"/>
        <v>0</v>
      </c>
      <c r="AT162" s="274">
        <f t="shared" si="25"/>
        <v>0</v>
      </c>
      <c r="AU162" s="274">
        <f t="shared" si="26"/>
        <v>0</v>
      </c>
      <c r="AV162" s="190" t="str">
        <f>IF($B162&lt;$F$22,SUM($T$100:$T162),"")</f>
        <v/>
      </c>
      <c r="AW162" s="190" t="str">
        <f t="shared" si="83"/>
        <v>-</v>
      </c>
      <c r="AX162" s="190" t="str">
        <f t="shared" si="56"/>
        <v/>
      </c>
      <c r="AY162"/>
      <c r="AZ162" s="190" t="str">
        <f ca="1">IF(ISNUMBER(OFFSET(AV162,-$F$21,0)),SUM(OFFSET($T$100,$F$21,0):$T162),"")</f>
        <v/>
      </c>
      <c r="BA162" s="190" t="str">
        <f t="shared" ca="1" si="84"/>
        <v/>
      </c>
      <c r="BB162" s="190" t="str">
        <f t="shared" ca="1" si="70"/>
        <v/>
      </c>
      <c r="BC162" s="190"/>
      <c r="BD162" s="190" t="str">
        <f ca="1">IFERROR(IF(OR(ISNUMBER(I),ISNUMBER($F$14)),IF(AND($B162&gt;=($F$16-$F$15),$B162&lt;$F$22+($F$16-$F$15)),SUM(OFFSET($T$100,($F$16-$F$15),0):$T162),""),""),"")</f>
        <v/>
      </c>
      <c r="BE162" s="190" t="str">
        <f t="shared" ca="1" si="58"/>
        <v/>
      </c>
      <c r="BF162" s="190" t="str">
        <f t="shared" ca="1" si="59"/>
        <v/>
      </c>
      <c r="BG162"/>
      <c r="BH162" s="190" t="str">
        <f ca="1">IF(ISNUMBER(OFFSET(BD162,-$F$21,0)),SUM(OFFSET($T$100,($F$16-$F$15+$F$21),0):$T162),"")</f>
        <v/>
      </c>
      <c r="BI162" s="190" t="str">
        <f t="shared" ca="1" si="85"/>
        <v/>
      </c>
      <c r="BJ162" s="190" t="str">
        <f t="shared" ca="1" si="60"/>
        <v/>
      </c>
      <c r="BK162" s="190"/>
      <c r="BL162" s="190" t="str">
        <f ca="1">IFERROR(IF(OR(ISNUMBER(I),ISNUMBER($F$14)),IF(AND($B162&gt;=($F$17-$F$15),$B162&lt;$F$22+($F$17-$F$15)),SUM(OFFSET($T$100,($F$17-$F$15),0):$T162),""),""),"")</f>
        <v/>
      </c>
      <c r="BM162" s="190" t="str">
        <f t="shared" ca="1" si="86"/>
        <v/>
      </c>
      <c r="BN162" s="190" t="str">
        <f t="shared" ca="1" si="61"/>
        <v/>
      </c>
      <c r="BO162"/>
      <c r="BP162" s="190" t="str">
        <f ca="1">IF(ISNUMBER(OFFSET(BL162,-$F$21,0)),SUM(OFFSET($T$100,($F$17-$F$15+$F$21),0):$T162),"")</f>
        <v/>
      </c>
      <c r="BQ162" s="190" t="str">
        <f t="shared" ca="1" si="87"/>
        <v/>
      </c>
      <c r="BR162" s="190" t="str">
        <f t="shared" ca="1" si="63"/>
        <v/>
      </c>
      <c r="BS162" s="190"/>
      <c r="BT162"/>
      <c r="BU162"/>
      <c r="BV162"/>
      <c r="BY162" s="99"/>
      <c r="BZ162" s="99"/>
      <c r="CA162" s="280" t="str">
        <f t="shared" si="88"/>
        <v/>
      </c>
      <c r="CB162" s="71" t="str">
        <f t="shared" si="31"/>
        <v>-</v>
      </c>
      <c r="CC162" s="33"/>
      <c r="CD162" s="261" t="str">
        <f t="shared" si="33"/>
        <v/>
      </c>
      <c r="CE162" s="280" t="str">
        <f t="shared" si="89"/>
        <v/>
      </c>
      <c r="CF162" s="71" t="str">
        <f t="shared" ca="1" si="90"/>
        <v/>
      </c>
      <c r="CG162" s="33" t="str">
        <f t="shared" si="36"/>
        <v/>
      </c>
      <c r="CH162" s="261" t="str">
        <f t="shared" ca="1" si="37"/>
        <v/>
      </c>
      <c r="CI162" s="202"/>
      <c r="CJ162" s="99"/>
      <c r="CK162" s="99"/>
      <c r="CL162" s="99"/>
      <c r="CM162" s="99"/>
      <c r="CN162" s="99"/>
      <c r="CO162" s="99"/>
    </row>
    <row r="163" spans="2:93" ht="13.5" customHeight="1" x14ac:dyDescent="0.2">
      <c r="B163" s="262">
        <v>63</v>
      </c>
      <c r="C163" s="237" t="str">
        <f t="shared" si="1"/>
        <v/>
      </c>
      <c r="D163" s="237" t="str">
        <f t="shared" si="66"/>
        <v/>
      </c>
      <c r="E163" s="290" t="str">
        <f t="shared" si="38"/>
        <v/>
      </c>
      <c r="F163" s="264" t="str">
        <f t="shared" si="39"/>
        <v/>
      </c>
      <c r="G163" s="291" t="str">
        <f t="shared" si="40"/>
        <v/>
      </c>
      <c r="H163" s="240" t="str">
        <f t="shared" si="71"/>
        <v/>
      </c>
      <c r="I163" s="265" t="str">
        <f t="shared" si="72"/>
        <v/>
      </c>
      <c r="J163" s="265" t="str">
        <f t="shared" si="73"/>
        <v/>
      </c>
      <c r="K163" s="240" t="str">
        <f t="shared" si="74"/>
        <v/>
      </c>
      <c r="L163" s="265" t="str">
        <f t="shared" si="75"/>
        <v/>
      </c>
      <c r="M163" s="265" t="str">
        <f t="shared" si="76"/>
        <v/>
      </c>
      <c r="N163" s="240" t="str">
        <f t="shared" si="77"/>
        <v>-</v>
      </c>
      <c r="O163" s="265" t="str">
        <f t="shared" si="78"/>
        <v>-</v>
      </c>
      <c r="P163" s="265" t="str">
        <f t="shared" si="79"/>
        <v>-</v>
      </c>
      <c r="Q163" s="266" t="str">
        <f t="shared" si="80"/>
        <v>-</v>
      </c>
      <c r="R163" s="267" t="str">
        <f t="shared" si="81"/>
        <v>-</v>
      </c>
      <c r="S163" s="268" t="str">
        <f t="shared" si="82"/>
        <v>-</v>
      </c>
      <c r="T163" s="269" t="str">
        <f t="shared" si="13"/>
        <v/>
      </c>
      <c r="U163" s="221">
        <f t="shared" si="14"/>
        <v>63</v>
      </c>
      <c r="V163" s="220" t="str">
        <f t="shared" si="42"/>
        <v>-</v>
      </c>
      <c r="W163" s="221" t="str">
        <f t="shared" si="43"/>
        <v>-</v>
      </c>
      <c r="X163" s="221" t="str">
        <f t="shared" si="15"/>
        <v>-</v>
      </c>
      <c r="Y163" s="221" t="str">
        <f t="shared" si="16"/>
        <v>-</v>
      </c>
      <c r="Z163" s="270">
        <f t="shared" si="44"/>
        <v>0.1</v>
      </c>
      <c r="AA163" s="271" t="str">
        <f>IFERROR(IF(V162=1,AA$100*EXP(-(LN(2)/$D$65+0.04)*X162)*EXP(-(LN(2)/$D$65+0.1)*Y162),IF(V162=2,AA$100*EXP(-(LN(2)/$D$65+0.04)*(VLOOKUP(($F$16-$F$15)-1,U$99:Y162,4,FALSE)))*EXP(-(LN(2)/$D$65+0.1)*(VLOOKUP(($F$16-$F$15)-1,U$99:Y162,5,FALSE)))*EXP(-(LN(2)/$D$65+0.04)*X162)*EXP(-(LN(2)/$D$65+0.1)*Y162),IF(V162=3,AA$100*EXP(-(LN(2)/$D$65+0.04)*(VLOOKUP(($F$16-$F$15)-1,U$99:Y162,4,FALSE)))*EXP(-(LN(2)/$D$65+0.1)*(VLOOKUP(($F$16-$F$15)-1,U$99:Y162,5,FALSE)))*EXP(-(LN(2)/$D$65+0.04)*(VLOOKUP(($F$16-$F$15)*2-1,U$99:Y162,4,FALSE)))*EXP(-(LN(2)/$D$65+0.1)*(VLOOKUP(($F$16-$F$15)*2-1,U$99:Y162,5,FALSE)))*EXP(-(LN(2)/$D$65+0.04)*X162)*EXP(-(LN(2)/$D$65+0.1)*Y162),"-"))),"-")</f>
        <v>-</v>
      </c>
      <c r="AB163" s="271" t="str">
        <f>IFERROR(IF(V163=1,AB$100*EXP(-(LN(2)/$D$65+0.04)*X163)*EXP(-(LN(2)/$D$65+0.1)*Y163),IF(V163=2,AB$100*EXP(-(LN(2)/$D$65+0.04)*(VLOOKUP(($F$16-$F$15)-1,U$100:Y163,4,FALSE)))*EXP(-(LN(2)/$D$65+0.1)*(VLOOKUP(($F$16-$F$15)-1,U$100:Y163,5,FALSE)))*EXP(-(LN(2)/$D$65+0.04)*X163)*EXP(-(LN(2)/$D$65+0.1)*Y163),IF(V163=3,AB$100*EXP(-(LN(2)/$D$65+0.04)*(VLOOKUP(($F$16-$F$15)-1,U$100:Y163,4,FALSE)))*EXP(-(LN(2)/$D$65+0.1)*(VLOOKUP(($F$16-$F$15)-1,U$100:Y163,5,FALSE)))*EXP(-(LN(2)/$D$65+0.04)*(VLOOKUP(($F$16-$F$15)*2-1,U$100:Y163,4,FALSE)))*EXP(-(LN(2)/$D$65+0.1)*(VLOOKUP(($F$16-$F$15)*2-1,U$100:Y163,5,FALSE)))*EXP(-(LN(2)/$D$65+0.04)*X163)*EXP(-(LN(2)/$D$65+0.1)*Y163),"-"))),"-")</f>
        <v>-</v>
      </c>
      <c r="AC163" s="224">
        <f t="shared" si="45"/>
        <v>63</v>
      </c>
      <c r="AD163" s="223" t="str">
        <f t="shared" si="18"/>
        <v>-</v>
      </c>
      <c r="AE163" s="224" t="str">
        <f t="shared" si="46"/>
        <v>-</v>
      </c>
      <c r="AF163" s="224" t="str">
        <f t="shared" si="19"/>
        <v>-</v>
      </c>
      <c r="AG163" s="224" t="str">
        <f t="shared" si="20"/>
        <v>-</v>
      </c>
      <c r="AH163" s="272">
        <f t="shared" si="47"/>
        <v>0.1</v>
      </c>
      <c r="AI163" s="271" t="str">
        <f>IFERROR(IF(AD162=1,AI$100*EXP(-(LN(2)/$D$65+0.04)*AF162)*EXP(-(LN(2)/$D$65+0.1)*AG162),IF(AD162=2,AI$100*EXP(-(LN(2)/$D$65+0.04)*(VLOOKUP(($F$16-$F$15)-1,AC$99:AG162,4,FALSE)))*EXP(-(LN(2)/$D$65+0.1)*(VLOOKUP(($F$16-$F$15)-1,AC$99:AG162,5,FALSE)))*EXP(-(LN(2)/$D$65+0.04)*AF162)*EXP(-(LN(2)/$D$65+0.1)*AG162),IF(AD162=3,AI$100*EXP(-(LN(2)/$D$65+0.04)*(VLOOKUP(($F$16-$F$15)-1,AC$99:AG162,4,FALSE)))*EXP(-(LN(2)/$D$65+0.1)*(VLOOKUP(($F$16-$F$15)-1,AC$99:AG162,5,FALSE)))*EXP(-(LN(2)/$D$65+0.04)*(VLOOKUP(($F$16-$F$15)*2-1,AC$99:AG162,4,FALSE)))*EXP(-(LN(2)/$D$65+0.1)*(VLOOKUP(($F$16-$F$15)*2-1,AC$99:AG162,5,FALSE)))*EXP(-(LN(2)/$D$65+0.04)*AF162)*EXP(-(LN(2)/$D$65+0.1)*AG162),"-"))),"-")</f>
        <v>-</v>
      </c>
      <c r="AJ163" s="271" t="str">
        <f>IFERROR(IF(AD163=1,AJ$100*EXP(-(LN(2)/$D$65+0.04)*AF163)*EXP(-(LN(2)/$D$65+0.1)*AG163),IF(AD163=2,AJ$100*EXP(-(LN(2)/$D$65+0.04)*(VLOOKUP(($F$16-$F$15)-1,AC$100:AG163,4,FALSE)))*EXP(-(LN(2)/$D$65+0.1)*(VLOOKUP(($F$16-$F$15)-1,AC$100:AG163,5,FALSE)))*EXP(-(LN(2)/$D$65+0.04)*AF163)*EXP(-(LN(2)/$D$65+0.1)*AG163),IF(AD163=3,AJ$100*EXP(-(LN(2)/$D$65+0.04)*(VLOOKUP(($F$16-$F$15)-1,AC$100:AG163,4,FALSE)))*EXP(-(LN(2)/$D$65+0.1)*(VLOOKUP(($F$16-$F$15)-1,AC$100:AG163,5,FALSE)))*EXP(-(LN(2)/$D$65+0.04)*(VLOOKUP(($F$16-$F$15)*2-1,AC$100:AG163,4,FALSE)))*EXP(-(LN(2)/$D$65+0.1)*(VLOOKUP(($F$16-$F$15)*2-1,AC$100:AG163,5,FALSE)))*EXP(-(LN(2)/$D$65+0.04)*AF163)*EXP(-(LN(2)/$D$65+0.1)*AG163),"-"))),"-")</f>
        <v>-</v>
      </c>
      <c r="AK163" s="227">
        <f t="shared" si="49"/>
        <v>63</v>
      </c>
      <c r="AL163" s="226" t="str">
        <f t="shared" si="22"/>
        <v>-</v>
      </c>
      <c r="AM163" s="227" t="str">
        <f t="shared" si="50"/>
        <v>-</v>
      </c>
      <c r="AN163" s="227" t="str">
        <f t="shared" si="51"/>
        <v>-</v>
      </c>
      <c r="AO163" s="227" t="str">
        <f t="shared" si="23"/>
        <v>-</v>
      </c>
      <c r="AP163" s="273">
        <f t="shared" si="52"/>
        <v>0.1</v>
      </c>
      <c r="AQ163" s="271" t="str">
        <f>IFERROR(IF(AL162=1,AQ$100*EXP(-(LN(2)/$D$65+0.04)*AN162)*EXP(-(LN(2)/$D$65+0.1)*AO162),IF(AL162=2,AQ$100*EXP(-(LN(2)/$D$65+0.04)*(VLOOKUP(($F$16-$F$15)-1,AK$99:AO162,4,FALSE)))*EXP(-(LN(2)/$D$65+0.1)*(VLOOKUP(($F$16-$F$15)-1,AK$99:AO162,5,FALSE)))*EXP(-(LN(2)/$D$65+0.04)*AN162)*EXP(-(LN(2)/$D$65+0.1)*AO162),IF(AL162=3,AQ$100*EXP(-(LN(2)/$D$65+0.04)*(VLOOKUP(($F$16-$F$15)-1,AK$99:AO162,4,FALSE)))*EXP(-(LN(2)/$D$65+0.1)*(VLOOKUP(($F$16-$F$15)-1,AK$99:AO162,5,FALSE)))*EXP(-(LN(2)/$D$65+0.04)*(VLOOKUP(($F$16-$F$15)*2-1,AK$99:AO162,4,FALSE)))*EXP(-(LN(2)/$D$65+0.1)*(VLOOKUP(($F$16-$F$15)*2-1,AK$99:AO162,5,FALSE)))*EXP(-(LN(2)/$D$65+0.04)*AN162)*EXP(-(LN(2)/$D$65+0.1)*AO162),"-"))),"-")</f>
        <v>-</v>
      </c>
      <c r="AR163" s="271" t="str">
        <f>IFERROR(IF(AL163=1,AR$100*EXP(-(LN(2)/$D$65+0.04)*AN163)*EXP(-(LN(2)/$D$65+0.1)*AO163),IF(AL163=2,AR$100*EXP(-(LN(2)/$D$65+0.04)*(VLOOKUP(($F$16-$F$15)-1,AK$100:AO163,4,FALSE)))*EXP(-(LN(2)/$D$65+0.1)*(VLOOKUP(($F$16-$F$15)-1,AK$100:AO163,5,FALSE)))*EXP(-(LN(2)/$D$65+0.04)*AN163)*EXP(-(LN(2)/$D$65+0.1)*AO163),IF(AL163=3,AR$100*EXP(-(LN(2)/$D$65+0.04)*(VLOOKUP(($F$16-$F$15)-1,AK$100:AO163,4,FALSE)))*EXP(-(LN(2)/$D$65+0.1)*(VLOOKUP(($F$16-$F$15)-1,AK$100:AO163,5,FALSE)))*EXP(-(LN(2)/$D$65+0.04)*(VLOOKUP(($F$16-$F$15)*2-1,AK$100:AO163,4,FALSE)))*EXP(-(LN(2)/$D$65+0.1)*(VLOOKUP(($F$16-$F$15)*2-1,AK$100:AO163,5,FALSE)))*EXP(-(LN(2)/$D$65+0.04)*AN163)*EXP(-(LN(2)/$D$65+0.1)*AO163),"-"))),"-")</f>
        <v>-</v>
      </c>
      <c r="AS163" s="274">
        <f t="shared" si="24"/>
        <v>0</v>
      </c>
      <c r="AT163" s="274">
        <f t="shared" si="25"/>
        <v>0</v>
      </c>
      <c r="AU163" s="274">
        <f t="shared" si="26"/>
        <v>0</v>
      </c>
      <c r="AV163" s="190" t="str">
        <f>IF($B163&lt;$F$22,SUM($T$100:$T163),"")</f>
        <v/>
      </c>
      <c r="AW163" s="190" t="str">
        <f t="shared" si="83"/>
        <v>-</v>
      </c>
      <c r="AX163" s="190" t="str">
        <f t="shared" si="56"/>
        <v/>
      </c>
      <c r="AY163"/>
      <c r="AZ163" s="190" t="str">
        <f ca="1">IF(ISNUMBER(OFFSET(AV163,-$F$21,0)),SUM(OFFSET($T$100,$F$21,0):$T163),"")</f>
        <v/>
      </c>
      <c r="BA163" s="190" t="str">
        <f t="shared" ca="1" si="84"/>
        <v/>
      </c>
      <c r="BB163" s="190" t="str">
        <f t="shared" ca="1" si="70"/>
        <v/>
      </c>
      <c r="BC163" s="190"/>
      <c r="BD163" s="190" t="str">
        <f ca="1">IFERROR(IF(OR(ISNUMBER(I),ISNUMBER($F$14)),IF(AND($B163&gt;=($F$16-$F$15),$B163&lt;$F$22+($F$16-$F$15)),SUM(OFFSET($T$100,($F$16-$F$15),0):$T163),""),""),"")</f>
        <v/>
      </c>
      <c r="BE163" s="190" t="str">
        <f t="shared" ca="1" si="58"/>
        <v/>
      </c>
      <c r="BF163" s="190" t="str">
        <f t="shared" ca="1" si="59"/>
        <v/>
      </c>
      <c r="BG163"/>
      <c r="BH163" s="190" t="str">
        <f ca="1">IF(ISNUMBER(OFFSET(BD163,-$F$21,0)),SUM(OFFSET($T$100,($F$16-$F$15+$F$21),0):$T163),"")</f>
        <v/>
      </c>
      <c r="BI163" s="190" t="str">
        <f t="shared" ca="1" si="85"/>
        <v/>
      </c>
      <c r="BJ163" s="190" t="str">
        <f t="shared" ca="1" si="60"/>
        <v/>
      </c>
      <c r="BK163" s="190"/>
      <c r="BL163" s="190" t="str">
        <f ca="1">IFERROR(IF(OR(ISNUMBER(I),ISNUMBER($F$14)),IF(AND($B163&gt;=($F$17-$F$15),$B163&lt;$F$22+($F$17-$F$15)),SUM(OFFSET($T$100,($F$17-$F$15),0):$T163),""),""),"")</f>
        <v/>
      </c>
      <c r="BM163" s="190" t="str">
        <f t="shared" ca="1" si="86"/>
        <v/>
      </c>
      <c r="BN163" s="190" t="str">
        <f t="shared" ca="1" si="61"/>
        <v/>
      </c>
      <c r="BO163"/>
      <c r="BP163" s="190" t="str">
        <f ca="1">IF(ISNUMBER(OFFSET(BL163,-$F$21,0)),SUM(OFFSET($T$100,($F$17-$F$15+$F$21),0):$T163),"")</f>
        <v/>
      </c>
      <c r="BQ163" s="190" t="str">
        <f t="shared" ca="1" si="87"/>
        <v/>
      </c>
      <c r="BR163" s="190" t="str">
        <f t="shared" ca="1" si="63"/>
        <v/>
      </c>
      <c r="BS163" s="190"/>
      <c r="BT163"/>
      <c r="BU163"/>
      <c r="BV163"/>
      <c r="BY163" s="99"/>
      <c r="BZ163" s="99"/>
      <c r="CA163" s="280" t="str">
        <f t="shared" si="88"/>
        <v/>
      </c>
      <c r="CB163" s="71" t="str">
        <f t="shared" si="31"/>
        <v>-</v>
      </c>
      <c r="CC163" s="33"/>
      <c r="CD163" s="261" t="str">
        <f t="shared" si="33"/>
        <v/>
      </c>
      <c r="CE163" s="280" t="str">
        <f t="shared" si="89"/>
        <v/>
      </c>
      <c r="CF163" s="71" t="str">
        <f t="shared" ca="1" si="90"/>
        <v/>
      </c>
      <c r="CG163" s="33" t="str">
        <f t="shared" si="36"/>
        <v/>
      </c>
      <c r="CH163" s="261" t="str">
        <f t="shared" ca="1" si="37"/>
        <v/>
      </c>
      <c r="CI163" s="202"/>
      <c r="CJ163" s="99"/>
      <c r="CK163" s="99"/>
      <c r="CL163" s="99"/>
      <c r="CM163" s="99"/>
      <c r="CN163" s="99"/>
      <c r="CO163" s="99"/>
    </row>
    <row r="164" spans="2:93" ht="13.5" customHeight="1" x14ac:dyDescent="0.2">
      <c r="B164" s="262">
        <v>64</v>
      </c>
      <c r="C164" s="237" t="str">
        <f t="shared" ref="C164:C227" si="91">IF(ISERROR(VLOOKUP(B164,$B$39:$C$73,2,0)),"",VLOOKUP(B164,$B$39:$C$73,2,0))</f>
        <v/>
      </c>
      <c r="D164" s="237" t="str">
        <f t="shared" si="66"/>
        <v/>
      </c>
      <c r="E164" s="290" t="str">
        <f t="shared" si="38"/>
        <v/>
      </c>
      <c r="F164" s="264" t="str">
        <f t="shared" si="39"/>
        <v/>
      </c>
      <c r="G164" s="291" t="str">
        <f t="shared" si="40"/>
        <v/>
      </c>
      <c r="H164" s="240" t="str">
        <f t="shared" ref="H164:H195" si="92">IF(E164&lt;&gt;"",IF($B164&lt;$F$21,"",IF(ISNUMBER(F164),IF(ISNUMBER(I164),(E164*30*50*ffp),""),(E164*30*50*ffp))),"")</f>
        <v/>
      </c>
      <c r="I164" s="265" t="str">
        <f t="shared" ref="I164:I195" si="93">IFERROR(IF(F164&lt;&gt;"",IF($B164&lt;$F$21+$F$16,"",IF(ISNUMBER(G164),IF(ISNUMBER(J164),(F164*30*50*ffp),""),(F164*30*50*ffp))),""),"")</f>
        <v/>
      </c>
      <c r="J164" s="265" t="str">
        <f t="shared" ref="J164:J195" si="94">IFERROR(IF(G164&lt;&gt;"",IF($B164&lt;$F$21+$F$17,"",(G164*30*50*ffp)),""),"")</f>
        <v/>
      </c>
      <c r="K164" s="240" t="str">
        <f t="shared" ref="K164:K195" si="95">IF(E164&lt;&gt;"",((E164*20*50*ffp)/Klevee),"")</f>
        <v/>
      </c>
      <c r="L164" s="265" t="str">
        <f t="shared" ref="L164:L195" si="96">IF(ISNUMBER(F164),((F164*20*50*ffp)/Klevee),"")</f>
        <v/>
      </c>
      <c r="M164" s="265" t="str">
        <f t="shared" ref="M164:M195" si="97">IF(ISNUMBER(G164),((G164*20*50*ffp)/Klevee),"")</f>
        <v/>
      </c>
      <c r="N164" s="240" t="str">
        <f t="shared" ref="N164:N195" si="98">IF(AND(ISNUMBER(I),ISNUMBER($F$14),ISNUMBER($F$20)),IF($B164=0,I*($J$40/100)*$J$42*1,""),"-")</f>
        <v>-</v>
      </c>
      <c r="O164" s="265" t="str">
        <f t="shared" ref="O164:O195" si="99">IF(ISNUMBER($F$14),IF($F$14&gt;1,IF($B164=0+$F$16,I*($J$40/100)*$J$42*1,""),""),"-")</f>
        <v>-</v>
      </c>
      <c r="P164" s="265" t="str">
        <f t="shared" ref="P164:P195" si="100">IF(ISNUMBER($F$14),IF($F$14&gt;2,IF($B164=0+$F$17,I*($J$40/100)*$J$42*1,""),""),"-")</f>
        <v>-</v>
      </c>
      <c r="Q164" s="266" t="str">
        <f t="shared" ref="Q164:Q195" si="101">IF(AND(ISNUMBER(I),ISNUMBER($F$14),ISNUMBER($F$20)),IF($B164=0,I*(dt/100)*$J$45*1,""),"-")</f>
        <v>-</v>
      </c>
      <c r="R164" s="267" t="str">
        <f t="shared" ref="R164:R195" si="102">IF(ISNUMBER($F$14),IF($F$14&gt;1,IF($B164=0+$F$16,I*(dt/100)*$J$45*1,""),""),"-")</f>
        <v>-</v>
      </c>
      <c r="S164" s="268" t="str">
        <f t="shared" ref="S164:S195" si="103">IF(ISNUMBER($F$14),IF($F$14&gt;2,IF($B164=0+$F$17,I*(dt/100)*$J$45*1,""),""),"-")</f>
        <v>-</v>
      </c>
      <c r="T164" s="269" t="str">
        <f t="shared" ref="T164:T227" si="104">IF(SUM(H164:S164)=0,"",SUM(H164:S164))</f>
        <v/>
      </c>
      <c r="U164" s="221">
        <f t="shared" ref="U164:U227" si="105">B164</f>
        <v>64</v>
      </c>
      <c r="V164" s="220" t="str">
        <f t="shared" si="42"/>
        <v>-</v>
      </c>
      <c r="W164" s="221" t="str">
        <f t="shared" si="43"/>
        <v>-</v>
      </c>
      <c r="X164" s="221" t="str">
        <f t="shared" ref="X164:X227" si="106">IFERROR(IF($F$21=0,0,IF(V164=V163,IF(B164-(V164-1)*($F$16-$F$15)&lt;$F$21,X163+1,X163),1)),"-")</f>
        <v>-</v>
      </c>
      <c r="Y164" s="221" t="str">
        <f t="shared" ref="Y164:Y227" si="107">IFERROR(W164-X164,"-")</f>
        <v>-</v>
      </c>
      <c r="Z164" s="270">
        <f t="shared" si="44"/>
        <v>0.1</v>
      </c>
      <c r="AA164" s="271" t="str">
        <f>IFERROR(IF(V163=1,AA$100*EXP(-(LN(2)/$D$65+0.04)*X163)*EXP(-(LN(2)/$D$65+0.1)*Y163),IF(V163=2,AA$100*EXP(-(LN(2)/$D$65+0.04)*(VLOOKUP(($F$16-$F$15)-1,U$99:Y163,4,FALSE)))*EXP(-(LN(2)/$D$65+0.1)*(VLOOKUP(($F$16-$F$15)-1,U$99:Y163,5,FALSE)))*EXP(-(LN(2)/$D$65+0.04)*X163)*EXP(-(LN(2)/$D$65+0.1)*Y163),IF(V163=3,AA$100*EXP(-(LN(2)/$D$65+0.04)*(VLOOKUP(($F$16-$F$15)-1,U$99:Y163,4,FALSE)))*EXP(-(LN(2)/$D$65+0.1)*(VLOOKUP(($F$16-$F$15)-1,U$99:Y163,5,FALSE)))*EXP(-(LN(2)/$D$65+0.04)*(VLOOKUP(($F$16-$F$15)*2-1,U$99:Y163,4,FALSE)))*EXP(-(LN(2)/$D$65+0.1)*(VLOOKUP(($F$16-$F$15)*2-1,U$99:Y163,5,FALSE)))*EXP(-(LN(2)/$D$65+0.04)*X163)*EXP(-(LN(2)/$D$65+0.1)*Y163),"-"))),"-")</f>
        <v>-</v>
      </c>
      <c r="AB164" s="271" t="str">
        <f>IFERROR(IF(V164=1,AB$100*EXP(-(LN(2)/$D$65+0.04)*X164)*EXP(-(LN(2)/$D$65+0.1)*Y164),IF(V164=2,AB$100*EXP(-(LN(2)/$D$65+0.04)*(VLOOKUP(($F$16-$F$15)-1,U$100:Y164,4,FALSE)))*EXP(-(LN(2)/$D$65+0.1)*(VLOOKUP(($F$16-$F$15)-1,U$100:Y164,5,FALSE)))*EXP(-(LN(2)/$D$65+0.04)*X164)*EXP(-(LN(2)/$D$65+0.1)*Y164),IF(V164=3,AB$100*EXP(-(LN(2)/$D$65+0.04)*(VLOOKUP(($F$16-$F$15)-1,U$100:Y164,4,FALSE)))*EXP(-(LN(2)/$D$65+0.1)*(VLOOKUP(($F$16-$F$15)-1,U$100:Y164,5,FALSE)))*EXP(-(LN(2)/$D$65+0.04)*(VLOOKUP(($F$16-$F$15)*2-1,U$100:Y164,4,FALSE)))*EXP(-(LN(2)/$D$65+0.1)*(VLOOKUP(($F$16-$F$15)*2-1,U$100:Y164,5,FALSE)))*EXP(-(LN(2)/$D$65+0.04)*X164)*EXP(-(LN(2)/$D$65+0.1)*Y164),"-"))),"-")</f>
        <v>-</v>
      </c>
      <c r="AC164" s="224">
        <f t="shared" si="45"/>
        <v>64</v>
      </c>
      <c r="AD164" s="223" t="str">
        <f t="shared" ref="AD164:AD227" si="108">IFERROR(IF($F$14-1&gt;0,IF(B164&lt;($F$16-$F$15)*($F$14-1),INT(B164/($F$16-$F$15))+1,AD162),"-"),"-")</f>
        <v>-</v>
      </c>
      <c r="AE164" s="224" t="str">
        <f t="shared" si="46"/>
        <v>-</v>
      </c>
      <c r="AF164" s="224" t="str">
        <f t="shared" ref="AF164:AF227" si="109">IFERROR(IF($F$21=0,0,IF(AD164=AD163,IF(B164-(AD164-1)*($F$16-$F$15)&lt;$F$21,AF163+1,AF163),1)),"-")</f>
        <v>-</v>
      </c>
      <c r="AG164" s="224" t="str">
        <f t="shared" ref="AG164:AG227" si="110">IFERROR(AE164-AF164,"-")</f>
        <v>-</v>
      </c>
      <c r="AH164" s="272">
        <f t="shared" si="47"/>
        <v>0.1</v>
      </c>
      <c r="AI164" s="271" t="str">
        <f>IFERROR(IF(AD163=1,AI$100*EXP(-(LN(2)/$D$65+0.04)*AF163)*EXP(-(LN(2)/$D$65+0.1)*AG163),IF(AD163=2,AI$100*EXP(-(LN(2)/$D$65+0.04)*(VLOOKUP(($F$16-$F$15)-1,AC$99:AG163,4,FALSE)))*EXP(-(LN(2)/$D$65+0.1)*(VLOOKUP(($F$16-$F$15)-1,AC$99:AG163,5,FALSE)))*EXP(-(LN(2)/$D$65+0.04)*AF163)*EXP(-(LN(2)/$D$65+0.1)*AG163),IF(AD163=3,AI$100*EXP(-(LN(2)/$D$65+0.04)*(VLOOKUP(($F$16-$F$15)-1,AC$99:AG163,4,FALSE)))*EXP(-(LN(2)/$D$65+0.1)*(VLOOKUP(($F$16-$F$15)-1,AC$99:AG163,5,FALSE)))*EXP(-(LN(2)/$D$65+0.04)*(VLOOKUP(($F$16-$F$15)*2-1,AC$99:AG163,4,FALSE)))*EXP(-(LN(2)/$D$65+0.1)*(VLOOKUP(($F$16-$F$15)*2-1,AC$99:AG163,5,FALSE)))*EXP(-(LN(2)/$D$65+0.04)*AF163)*EXP(-(LN(2)/$D$65+0.1)*AG163),"-"))),"-")</f>
        <v>-</v>
      </c>
      <c r="AJ164" s="271" t="str">
        <f>IFERROR(IF(AD164=1,AJ$100*EXP(-(LN(2)/$D$65+0.04)*AF164)*EXP(-(LN(2)/$D$65+0.1)*AG164),IF(AD164=2,AJ$100*EXP(-(LN(2)/$D$65+0.04)*(VLOOKUP(($F$16-$F$15)-1,AC$100:AG164,4,FALSE)))*EXP(-(LN(2)/$D$65+0.1)*(VLOOKUP(($F$16-$F$15)-1,AC$100:AG164,5,FALSE)))*EXP(-(LN(2)/$D$65+0.04)*AF164)*EXP(-(LN(2)/$D$65+0.1)*AG164),IF(AD164=3,AJ$100*EXP(-(LN(2)/$D$65+0.04)*(VLOOKUP(($F$16-$F$15)-1,AC$100:AG164,4,FALSE)))*EXP(-(LN(2)/$D$65+0.1)*(VLOOKUP(($F$16-$F$15)-1,AC$100:AG164,5,FALSE)))*EXP(-(LN(2)/$D$65+0.04)*(VLOOKUP(($F$16-$F$15)*2-1,AC$100:AG164,4,FALSE)))*EXP(-(LN(2)/$D$65+0.1)*(VLOOKUP(($F$16-$F$15)*2-1,AC$100:AG164,5,FALSE)))*EXP(-(LN(2)/$D$65+0.04)*AF164)*EXP(-(LN(2)/$D$65+0.1)*AG164),"-"))),"-")</f>
        <v>-</v>
      </c>
      <c r="AK164" s="227">
        <f t="shared" si="49"/>
        <v>64</v>
      </c>
      <c r="AL164" s="226" t="str">
        <f t="shared" ref="AL164:AL227" si="111">IFERROR(IF($F$14-2&gt;0,IF(B164&lt;($F$16-$F$15)*($F$14-2),INT(B164/($F$16-$F$15))+1,AL162),"-"),"-")</f>
        <v>-</v>
      </c>
      <c r="AM164" s="227" t="str">
        <f t="shared" si="50"/>
        <v>-</v>
      </c>
      <c r="AN164" s="227" t="str">
        <f t="shared" si="51"/>
        <v>-</v>
      </c>
      <c r="AO164" s="227" t="str">
        <f t="shared" ref="AO164:AO227" si="112">IFERROR(AM164-AN164,"-")</f>
        <v>-</v>
      </c>
      <c r="AP164" s="273">
        <f t="shared" si="52"/>
        <v>0.1</v>
      </c>
      <c r="AQ164" s="271" t="str">
        <f>IFERROR(IF(AL163=1,AQ$100*EXP(-(LN(2)/$D$65+0.04)*AN163)*EXP(-(LN(2)/$D$65+0.1)*AO163),IF(AL163=2,AQ$100*EXP(-(LN(2)/$D$65+0.04)*(VLOOKUP(($F$16-$F$15)-1,AK$99:AO163,4,FALSE)))*EXP(-(LN(2)/$D$65+0.1)*(VLOOKUP(($F$16-$F$15)-1,AK$99:AO163,5,FALSE)))*EXP(-(LN(2)/$D$65+0.04)*AN163)*EXP(-(LN(2)/$D$65+0.1)*AO163),IF(AL163=3,AQ$100*EXP(-(LN(2)/$D$65+0.04)*(VLOOKUP(($F$16-$F$15)-1,AK$99:AO163,4,FALSE)))*EXP(-(LN(2)/$D$65+0.1)*(VLOOKUP(($F$16-$F$15)-1,AK$99:AO163,5,FALSE)))*EXP(-(LN(2)/$D$65+0.04)*(VLOOKUP(($F$16-$F$15)*2-1,AK$99:AO163,4,FALSE)))*EXP(-(LN(2)/$D$65+0.1)*(VLOOKUP(($F$16-$F$15)*2-1,AK$99:AO163,5,FALSE)))*EXP(-(LN(2)/$D$65+0.04)*AN163)*EXP(-(LN(2)/$D$65+0.1)*AO163),"-"))),"-")</f>
        <v>-</v>
      </c>
      <c r="AR164" s="271" t="str">
        <f>IFERROR(IF(AL164=1,AR$100*EXP(-(LN(2)/$D$65+0.04)*AN164)*EXP(-(LN(2)/$D$65+0.1)*AO164),IF(AL164=2,AR$100*EXP(-(LN(2)/$D$65+0.04)*(VLOOKUP(($F$16-$F$15)-1,AK$100:AO164,4,FALSE)))*EXP(-(LN(2)/$D$65+0.1)*(VLOOKUP(($F$16-$F$15)-1,AK$100:AO164,5,FALSE)))*EXP(-(LN(2)/$D$65+0.04)*AN164)*EXP(-(LN(2)/$D$65+0.1)*AO164),IF(AL164=3,AR$100*EXP(-(LN(2)/$D$65+0.04)*(VLOOKUP(($F$16-$F$15)-1,AK$100:AO164,4,FALSE)))*EXP(-(LN(2)/$D$65+0.1)*(VLOOKUP(($F$16-$F$15)-1,AK$100:AO164,5,FALSE)))*EXP(-(LN(2)/$D$65+0.04)*(VLOOKUP(($F$16-$F$15)*2-1,AK$100:AO164,4,FALSE)))*EXP(-(LN(2)/$D$65+0.1)*(VLOOKUP(($F$16-$F$15)*2-1,AK$100:AO164,5,FALSE)))*EXP(-(LN(2)/$D$65+0.04)*AN164)*EXP(-(LN(2)/$D$65+0.1)*AO164),"-"))),"-")</f>
        <v>-</v>
      </c>
      <c r="AS164" s="274">
        <f t="shared" ref="AS164:AS227" si="113">SUM(H164:J164)</f>
        <v>0</v>
      </c>
      <c r="AT164" s="274">
        <f t="shared" ref="AT164:AT227" si="114">SUM(K164:M164)</f>
        <v>0</v>
      </c>
      <c r="AU164" s="274">
        <f t="shared" ref="AU164:AU227" si="115">SUM(N164:S164)</f>
        <v>0</v>
      </c>
      <c r="AV164" s="190" t="str">
        <f>IF($B164&lt;$F$22,SUM($T$100:$T164),"")</f>
        <v/>
      </c>
      <c r="AW164" s="190" t="str">
        <f t="shared" ref="AW164:AW195" si="116">IF(ISNUMBER(Koc),IF(ISNUMBER(AV164),AV164*(Koc*(Ocse/100)*Pse*Vse)/(Koc*(Ocse/100)*Pse*Vse+1*86400*($B164+1)),""),"-")</f>
        <v>-</v>
      </c>
      <c r="AX164" s="190" t="str">
        <f t="shared" si="56"/>
        <v/>
      </c>
      <c r="AY164"/>
      <c r="AZ164" s="190" t="str">
        <f ca="1">IF(ISNUMBER(OFFSET(AV164,-$F$21,0)),SUM(OFFSET($T$100,$F$21,0):$T164),"")</f>
        <v/>
      </c>
      <c r="BA164" s="190" t="str">
        <f t="shared" ref="BA164:BA195" ca="1" si="117">IF(ISNUMBER(OFFSET(AV164,-$F$21,0)),AZ164*(Koc*(Ocse/100)*Pse*Vse)/(Koc*(Ocse/100)*Pse*Vse+1*86400*($B164+1)),"")</f>
        <v/>
      </c>
      <c r="BB164" s="190" t="str">
        <f t="shared" ca="1" si="70"/>
        <v/>
      </c>
      <c r="BC164" s="190"/>
      <c r="BD164" s="190" t="str">
        <f ca="1">IFERROR(IF(OR(ISNUMBER(I),ISNUMBER($F$14)),IF(AND($B164&gt;=($F$16-$F$15),$B164&lt;$F$22+($F$16-$F$15)),SUM(OFFSET($T$100,($F$16-$F$15),0):$T164),""),""),"")</f>
        <v/>
      </c>
      <c r="BE164" s="190" t="str">
        <f t="shared" ca="1" si="58"/>
        <v/>
      </c>
      <c r="BF164" s="190" t="str">
        <f t="shared" ca="1" si="59"/>
        <v/>
      </c>
      <c r="BG164"/>
      <c r="BH164" s="190" t="str">
        <f ca="1">IF(ISNUMBER(OFFSET(BD164,-$F$21,0)),SUM(OFFSET($T$100,($F$16-$F$15+$F$21),0):$T164),"")</f>
        <v/>
      </c>
      <c r="BI164" s="190" t="str">
        <f t="shared" ref="BI164:BI195" ca="1" si="118">IF(ISNUMBER(OFFSET(BD164,-$F$21,0)),BH164*(Koc*(Ocse/100)*Pse*Vse)/(Koc*(Ocse/100)*Pse*Vse+1*86400*($B164+1)),"")</f>
        <v/>
      </c>
      <c r="BJ164" s="190" t="str">
        <f t="shared" ca="1" si="60"/>
        <v/>
      </c>
      <c r="BK164" s="190"/>
      <c r="BL164" s="190" t="str">
        <f ca="1">IFERROR(IF(OR(ISNUMBER(I),ISNUMBER($F$14)),IF(AND($B164&gt;=($F$17-$F$15),$B164&lt;$F$22+($F$17-$F$15)),SUM(OFFSET($T$100,($F$17-$F$15),0):$T164),""),""),"")</f>
        <v/>
      </c>
      <c r="BM164" s="190" t="str">
        <f t="shared" ref="BM164:BM195" ca="1" si="119">IF(ISNUMBER(BL164),BL164*(Koc*(Ocse/100)*Pse*Vse)/(Koc*(Ocse/100)*Pse*Vse+1*86400*($B164+1)),"")</f>
        <v/>
      </c>
      <c r="BN164" s="190" t="str">
        <f t="shared" ca="1" si="61"/>
        <v/>
      </c>
      <c r="BO164"/>
      <c r="BP164" s="190" t="str">
        <f ca="1">IF(ISNUMBER(OFFSET(BL164,-$F$21,0)),SUM(OFFSET($T$100,($F$17-$F$15+$F$21),0):$T164),"")</f>
        <v/>
      </c>
      <c r="BQ164" s="190" t="str">
        <f t="shared" ref="BQ164:BQ195" ca="1" si="120">IF(ISNUMBER(OFFSET(BL164,-$F$21,0)),BP164*(Koc*(Ocse/100)*Pse*Vse)/(Koc*(Ocse/100)*Pse*Vse+1*86400*($B164+1)),"")</f>
        <v/>
      </c>
      <c r="BR164" s="190" t="str">
        <f t="shared" ca="1" si="63"/>
        <v/>
      </c>
      <c r="BS164" s="190"/>
      <c r="BT164"/>
      <c r="BU164"/>
      <c r="BV164"/>
      <c r="BY164" s="99"/>
      <c r="BZ164" s="99"/>
      <c r="CA164" s="280" t="str">
        <f t="shared" ref="CA164:CA195" si="121">IFERROR(IF($B164&lt;$CA$94,T164*(Koc*(Ocse/100)*Pse*Vse)/(Koc*(Ocse/100)*Pse*Vse+1*86400*$CA$94),""),"-")</f>
        <v/>
      </c>
      <c r="CB164" s="71" t="str">
        <f t="shared" ref="CB164:CB227" si="122">IF(ISNUMBER(T164),IF($B164&lt;$CA$94,(T164-CA164)/(3*86400)*1000,""),"-")</f>
        <v>-</v>
      </c>
      <c r="CC164" s="33"/>
      <c r="CD164" s="261" t="str">
        <f t="shared" ref="CD164:CD227" si="123">IF(CC164=CA$96,CB$96,"")</f>
        <v/>
      </c>
      <c r="CE164" s="280" t="str">
        <f t="shared" ref="CE164:CE195" si="124">IFERROR(IF($B164&lt;$CE$94,T164*(Koc*(Ocse/100)*Pse*Vse)/(Koc*(Ocse/100)*Pse*Vse+1*86400*$CE$94),""),"-")</f>
        <v/>
      </c>
      <c r="CF164" s="71" t="str">
        <f t="shared" ref="CF164:CF195" ca="1" si="125">IFERROR(IF($B164&lt;$CE$94,IF(NOT(ISNUMBER(ffp)),"-",IF($F$70=$AX$87,AX164,IF($F$70=$BB$87,OFFSET(BB164,$F$21,0),IF($F$70=$BF$87,OFFSET(BF164,$F$16,0),IF($F$70=$BJ$87,OFFSET(BJ164,$F$16+$F$21,0),IF($F$70=$BN$87,OFFSET(BN164,$F$17,0),OFFSET(BR164,$F$17+$F$21,0))))))),""),"-")</f>
        <v/>
      </c>
      <c r="CG164" s="33" t="str">
        <f t="shared" ref="CG164:CG227" si="126">IF($B164&lt;$CE$94,$B164&amp;"-"&amp;$B164+1,"")</f>
        <v/>
      </c>
      <c r="CH164" s="261" t="str">
        <f t="shared" ref="CH164:CH227" ca="1" si="127">IF(CG164=CE$96,CF$96,"")</f>
        <v/>
      </c>
      <c r="CI164" s="202"/>
      <c r="CJ164" s="99"/>
      <c r="CK164" s="99"/>
      <c r="CL164" s="99"/>
      <c r="CM164" s="99"/>
      <c r="CN164" s="99"/>
      <c r="CO164" s="99"/>
    </row>
    <row r="165" spans="2:93" ht="13.5" customHeight="1" x14ac:dyDescent="0.2">
      <c r="B165" s="262">
        <v>65</v>
      </c>
      <c r="C165" s="237" t="str">
        <f t="shared" si="91"/>
        <v/>
      </c>
      <c r="D165" s="237" t="str">
        <f t="shared" si="66"/>
        <v/>
      </c>
      <c r="E165" s="290" t="str">
        <f t="shared" ref="E165:E228" si="128">IF(ISNUMBER($F$14),IF(ISNUMBER(AA165),AA165,""),"")</f>
        <v/>
      </c>
      <c r="F165" s="264" t="str">
        <f t="shared" ref="F165:F228" si="129">IF(OR($F$14=2,$F$14=3),IF(($F$16-$F$15)&gt;B165," ",VLOOKUP((B165-($F$16-$F$15)),$AC$100:$AI$250,7,FALSE)),"")</f>
        <v/>
      </c>
      <c r="G165" s="291" t="str">
        <f t="shared" ref="G165:G228" si="130">IF($F$14=3,IF(($F$16-$F$15)*2&gt;B165," ",VLOOKUP((B165-($F$16-$F$15)*2),$AK$100:$AQ$250,7,FALSE)),"")</f>
        <v/>
      </c>
      <c r="H165" s="240" t="str">
        <f t="shared" si="92"/>
        <v/>
      </c>
      <c r="I165" s="265" t="str">
        <f t="shared" si="93"/>
        <v/>
      </c>
      <c r="J165" s="265" t="str">
        <f t="shared" si="94"/>
        <v/>
      </c>
      <c r="K165" s="240" t="str">
        <f t="shared" si="95"/>
        <v/>
      </c>
      <c r="L165" s="265" t="str">
        <f t="shared" si="96"/>
        <v/>
      </c>
      <c r="M165" s="265" t="str">
        <f t="shared" si="97"/>
        <v/>
      </c>
      <c r="N165" s="240" t="str">
        <f t="shared" si="98"/>
        <v>-</v>
      </c>
      <c r="O165" s="265" t="str">
        <f t="shared" si="99"/>
        <v>-</v>
      </c>
      <c r="P165" s="265" t="str">
        <f t="shared" si="100"/>
        <v>-</v>
      </c>
      <c r="Q165" s="266" t="str">
        <f t="shared" si="101"/>
        <v>-</v>
      </c>
      <c r="R165" s="267" t="str">
        <f t="shared" si="102"/>
        <v>-</v>
      </c>
      <c r="S165" s="268" t="str">
        <f t="shared" si="103"/>
        <v>-</v>
      </c>
      <c r="T165" s="269" t="str">
        <f t="shared" si="104"/>
        <v/>
      </c>
      <c r="U165" s="221">
        <f t="shared" si="105"/>
        <v>65</v>
      </c>
      <c r="V165" s="220" t="str">
        <f t="shared" ref="V165:V228" si="131">IF(ISNUMBER($F$14),IF(B165&lt;($F$16-$F$15)*$F$14,INT(B165/($F$16-$F$15))+1,V163),"-")</f>
        <v>-</v>
      </c>
      <c r="W165" s="221" t="str">
        <f t="shared" ref="W165:W228" si="132">IF(ISNUMBER($F$14),IF(B165&lt;$F$14*($F$16-$F$15),B165-INT(B165/($F$16-$F$15))*($F$16-$F$15)+1,W164+1),"-")</f>
        <v>-</v>
      </c>
      <c r="X165" s="221" t="str">
        <f t="shared" si="106"/>
        <v>-</v>
      </c>
      <c r="Y165" s="221" t="str">
        <f t="shared" si="107"/>
        <v>-</v>
      </c>
      <c r="Z165" s="270">
        <f t="shared" ref="Z165:Z228" si="133">IF(Y165&gt;0,0.1,0.04)</f>
        <v>0.1</v>
      </c>
      <c r="AA165" s="271" t="str">
        <f>IFERROR(IF(V164=1,AA$100*EXP(-(LN(2)/$D$65+0.04)*X164)*EXP(-(LN(2)/$D$65+0.1)*Y164),IF(V164=2,AA$100*EXP(-(LN(2)/$D$65+0.04)*(VLOOKUP(($F$16-$F$15)-1,U$99:Y164,4,FALSE)))*EXP(-(LN(2)/$D$65+0.1)*(VLOOKUP(($F$16-$F$15)-1,U$99:Y164,5,FALSE)))*EXP(-(LN(2)/$D$65+0.04)*X164)*EXP(-(LN(2)/$D$65+0.1)*Y164),IF(V164=3,AA$100*EXP(-(LN(2)/$D$65+0.04)*(VLOOKUP(($F$16-$F$15)-1,U$99:Y164,4,FALSE)))*EXP(-(LN(2)/$D$65+0.1)*(VLOOKUP(($F$16-$F$15)-1,U$99:Y164,5,FALSE)))*EXP(-(LN(2)/$D$65+0.04)*(VLOOKUP(($F$16-$F$15)*2-1,U$99:Y164,4,FALSE)))*EXP(-(LN(2)/$D$65+0.1)*(VLOOKUP(($F$16-$F$15)*2-1,U$99:Y164,5,FALSE)))*EXP(-(LN(2)/$D$65+0.04)*X164)*EXP(-(LN(2)/$D$65+0.1)*Y164),"-"))),"-")</f>
        <v>-</v>
      </c>
      <c r="AB165" s="271" t="str">
        <f>IFERROR(IF(V165=1,AB$100*EXP(-(LN(2)/$D$65+0.04)*X165)*EXP(-(LN(2)/$D$65+0.1)*Y165),IF(V165=2,AB$100*EXP(-(LN(2)/$D$65+0.04)*(VLOOKUP(($F$16-$F$15)-1,U$100:Y165,4,FALSE)))*EXP(-(LN(2)/$D$65+0.1)*(VLOOKUP(($F$16-$F$15)-1,U$100:Y165,5,FALSE)))*EXP(-(LN(2)/$D$65+0.04)*X165)*EXP(-(LN(2)/$D$65+0.1)*Y165),IF(V165=3,AB$100*EXP(-(LN(2)/$D$65+0.04)*(VLOOKUP(($F$16-$F$15)-1,U$100:Y165,4,FALSE)))*EXP(-(LN(2)/$D$65+0.1)*(VLOOKUP(($F$16-$F$15)-1,U$100:Y165,5,FALSE)))*EXP(-(LN(2)/$D$65+0.04)*(VLOOKUP(($F$16-$F$15)*2-1,U$100:Y165,4,FALSE)))*EXP(-(LN(2)/$D$65+0.1)*(VLOOKUP(($F$16-$F$15)*2-1,U$100:Y165,5,FALSE)))*EXP(-(LN(2)/$D$65+0.04)*X165)*EXP(-(LN(2)/$D$65+0.1)*Y165),"-"))),"-")</f>
        <v>-</v>
      </c>
      <c r="AC165" s="224">
        <f t="shared" ref="AC165:AC228" si="134">B165</f>
        <v>65</v>
      </c>
      <c r="AD165" s="223" t="str">
        <f t="shared" si="108"/>
        <v>-</v>
      </c>
      <c r="AE165" s="224" t="str">
        <f t="shared" ref="AE165:AE228" si="135">IFERROR(IF($F$14-1&gt;0,IF(B165&lt;($F$14-1)*($F$16-$F$15),B165-INT(B165/($F$16-$F$15))*($F$16-$F$15)+1,AE164+1),"-"),"-")</f>
        <v>-</v>
      </c>
      <c r="AF165" s="224" t="str">
        <f t="shared" si="109"/>
        <v>-</v>
      </c>
      <c r="AG165" s="224" t="str">
        <f t="shared" si="110"/>
        <v>-</v>
      </c>
      <c r="AH165" s="272">
        <f t="shared" ref="AH165:AH228" si="136">IF(AG165&gt;0,0.1,0.04)</f>
        <v>0.1</v>
      </c>
      <c r="AI165" s="271" t="str">
        <f>IFERROR(IF(AD164=1,AI$100*EXP(-(LN(2)/$D$65+0.04)*AF164)*EXP(-(LN(2)/$D$65+0.1)*AG164),IF(AD164=2,AI$100*EXP(-(LN(2)/$D$65+0.04)*(VLOOKUP(($F$16-$F$15)-1,AC$99:AG164,4,FALSE)))*EXP(-(LN(2)/$D$65+0.1)*(VLOOKUP(($F$16-$F$15)-1,AC$99:AG164,5,FALSE)))*EXP(-(LN(2)/$D$65+0.04)*AF164)*EXP(-(LN(2)/$D$65+0.1)*AG164),IF(AD164=3,AI$100*EXP(-(LN(2)/$D$65+0.04)*(VLOOKUP(($F$16-$F$15)-1,AC$99:AG164,4,FALSE)))*EXP(-(LN(2)/$D$65+0.1)*(VLOOKUP(($F$16-$F$15)-1,AC$99:AG164,5,FALSE)))*EXP(-(LN(2)/$D$65+0.04)*(VLOOKUP(($F$16-$F$15)*2-1,AC$99:AG164,4,FALSE)))*EXP(-(LN(2)/$D$65+0.1)*(VLOOKUP(($F$16-$F$15)*2-1,AC$99:AG164,5,FALSE)))*EXP(-(LN(2)/$D$65+0.04)*AF164)*EXP(-(LN(2)/$D$65+0.1)*AG164),"-"))),"-")</f>
        <v>-</v>
      </c>
      <c r="AJ165" s="271" t="str">
        <f>IFERROR(IF(AD165=1,AJ$100*EXP(-(LN(2)/$D$65+0.04)*AF165)*EXP(-(LN(2)/$D$65+0.1)*AG165),IF(AD165=2,AJ$100*EXP(-(LN(2)/$D$65+0.04)*(VLOOKUP(($F$16-$F$15)-1,AC$100:AG165,4,FALSE)))*EXP(-(LN(2)/$D$65+0.1)*(VLOOKUP(($F$16-$F$15)-1,AC$100:AG165,5,FALSE)))*EXP(-(LN(2)/$D$65+0.04)*AF165)*EXP(-(LN(2)/$D$65+0.1)*AG165),IF(AD165=3,AJ$100*EXP(-(LN(2)/$D$65+0.04)*(VLOOKUP(($F$16-$F$15)-1,AC$100:AG165,4,FALSE)))*EXP(-(LN(2)/$D$65+0.1)*(VLOOKUP(($F$16-$F$15)-1,AC$100:AG165,5,FALSE)))*EXP(-(LN(2)/$D$65+0.04)*(VLOOKUP(($F$16-$F$15)*2-1,AC$100:AG165,4,FALSE)))*EXP(-(LN(2)/$D$65+0.1)*(VLOOKUP(($F$16-$F$15)*2-1,AC$100:AG165,5,FALSE)))*EXP(-(LN(2)/$D$65+0.04)*AF165)*EXP(-(LN(2)/$D$65+0.1)*AG165),"-"))),"-")</f>
        <v>-</v>
      </c>
      <c r="AK165" s="227">
        <f t="shared" ref="AK165:AK228" si="137">B165</f>
        <v>65</v>
      </c>
      <c r="AL165" s="226" t="str">
        <f t="shared" si="111"/>
        <v>-</v>
      </c>
      <c r="AM165" s="227" t="str">
        <f t="shared" ref="AM165:AM228" si="138">IFERROR(IF($F$14-2&gt;0,IF(B165&lt;($F$14-2)*($F$16-$F$15),B165-INT(B165/($F$16-$F$15))*($F$16-$F$15)+1,AM164+1),"-"),"-")</f>
        <v>-</v>
      </c>
      <c r="AN165" s="227" t="str">
        <f t="shared" ref="AN165:AN228" si="139">IFERROR(IF($F$21=0,0,IF(AL165=AL164,IF(B165-(AL165-1)*($F$16-$F$15)&lt;$F$21,AN164+1,AN164),1)),"-")</f>
        <v>-</v>
      </c>
      <c r="AO165" s="227" t="str">
        <f t="shared" si="112"/>
        <v>-</v>
      </c>
      <c r="AP165" s="273">
        <f t="shared" ref="AP165:AP228" si="140">IF(AO165&gt;0,0.1,0.04)</f>
        <v>0.1</v>
      </c>
      <c r="AQ165" s="271" t="str">
        <f>IFERROR(IF(AL164=1,AQ$100*EXP(-(LN(2)/$D$65+0.04)*AN164)*EXP(-(LN(2)/$D$65+0.1)*AO164),IF(AL164=2,AQ$100*EXP(-(LN(2)/$D$65+0.04)*(VLOOKUP(($F$16-$F$15)-1,AK$99:AO164,4,FALSE)))*EXP(-(LN(2)/$D$65+0.1)*(VLOOKUP(($F$16-$F$15)-1,AK$99:AO164,5,FALSE)))*EXP(-(LN(2)/$D$65+0.04)*AN164)*EXP(-(LN(2)/$D$65+0.1)*AO164),IF(AL164=3,AQ$100*EXP(-(LN(2)/$D$65+0.04)*(VLOOKUP(($F$16-$F$15)-1,AK$99:AO164,4,FALSE)))*EXP(-(LN(2)/$D$65+0.1)*(VLOOKUP(($F$16-$F$15)-1,AK$99:AO164,5,FALSE)))*EXP(-(LN(2)/$D$65+0.04)*(VLOOKUP(($F$16-$F$15)*2-1,AK$99:AO164,4,FALSE)))*EXP(-(LN(2)/$D$65+0.1)*(VLOOKUP(($F$16-$F$15)*2-1,AK$99:AO164,5,FALSE)))*EXP(-(LN(2)/$D$65+0.04)*AN164)*EXP(-(LN(2)/$D$65+0.1)*AO164),"-"))),"-")</f>
        <v>-</v>
      </c>
      <c r="AR165" s="271" t="str">
        <f>IFERROR(IF(AL165=1,AR$100*EXP(-(LN(2)/$D$65+0.04)*AN165)*EXP(-(LN(2)/$D$65+0.1)*AO165),IF(AL165=2,AR$100*EXP(-(LN(2)/$D$65+0.04)*(VLOOKUP(($F$16-$F$15)-1,AK$100:AO165,4,FALSE)))*EXP(-(LN(2)/$D$65+0.1)*(VLOOKUP(($F$16-$F$15)-1,AK$100:AO165,5,FALSE)))*EXP(-(LN(2)/$D$65+0.04)*AN165)*EXP(-(LN(2)/$D$65+0.1)*AO165),IF(AL165=3,AR$100*EXP(-(LN(2)/$D$65+0.04)*(VLOOKUP(($F$16-$F$15)-1,AK$100:AO165,4,FALSE)))*EXP(-(LN(2)/$D$65+0.1)*(VLOOKUP(($F$16-$F$15)-1,AK$100:AO165,5,FALSE)))*EXP(-(LN(2)/$D$65+0.04)*(VLOOKUP(($F$16-$F$15)*2-1,AK$100:AO165,4,FALSE)))*EXP(-(LN(2)/$D$65+0.1)*(VLOOKUP(($F$16-$F$15)*2-1,AK$100:AO165,5,FALSE)))*EXP(-(LN(2)/$D$65+0.04)*AN165)*EXP(-(LN(2)/$D$65+0.1)*AO165),"-"))),"-")</f>
        <v>-</v>
      </c>
      <c r="AS165" s="274">
        <f t="shared" si="113"/>
        <v>0</v>
      </c>
      <c r="AT165" s="274">
        <f t="shared" si="114"/>
        <v>0</v>
      </c>
      <c r="AU165" s="274">
        <f t="shared" si="115"/>
        <v>0</v>
      </c>
      <c r="AV165" s="190" t="str">
        <f>IF($B165&lt;$F$22,SUM($T$100:$T165),"")</f>
        <v/>
      </c>
      <c r="AW165" s="190" t="str">
        <f t="shared" si="116"/>
        <v>-</v>
      </c>
      <c r="AX165" s="190" t="str">
        <f t="shared" ref="AX165:AX228" si="141">IF(ISNUMBER(AW165),IF(ISNUMBER(AV165),(AV165-AW165)/(3*86400*($B165+1))*1000,""),"")</f>
        <v/>
      </c>
      <c r="AY165"/>
      <c r="AZ165" s="190" t="str">
        <f ca="1">IF(ISNUMBER(OFFSET(AV165,-$F$21,0)),SUM(OFFSET($T$100,$F$21,0):$T165),"")</f>
        <v/>
      </c>
      <c r="BA165" s="190" t="str">
        <f t="shared" ca="1" si="117"/>
        <v/>
      </c>
      <c r="BB165" s="190" t="str">
        <f t="shared" ca="1" si="70"/>
        <v/>
      </c>
      <c r="BC165" s="190"/>
      <c r="BD165" s="190" t="str">
        <f ca="1">IFERROR(IF(OR(ISNUMBER(I),ISNUMBER($F$14)),IF(AND($B165&gt;=($F$16-$F$15),$B165&lt;$F$22+($F$16-$F$15)),SUM(OFFSET($T$100,($F$16-$F$15),0):$T165),""),""),"")</f>
        <v/>
      </c>
      <c r="BE165" s="190" t="str">
        <f t="shared" ref="BE165:BE228" ca="1" si="142">IF(ISNUMBER(BD165),BD165*(Koc*(Ocse/100)*Pse*Vse)/(Koc*(Ocse/100)*Pse*Vse+1*86400*($B165+1)),"")</f>
        <v/>
      </c>
      <c r="BF165" s="190" t="str">
        <f t="shared" ref="BF165:BF228" ca="1" si="143">IF(ISNUMBER(BD165),(BD165-BE165)/(3*86400*($B165-($F$16-$F$15)+1))*1000,"")</f>
        <v/>
      </c>
      <c r="BG165"/>
      <c r="BH165" s="190" t="str">
        <f ca="1">IF(ISNUMBER(OFFSET(BD165,-$F$21,0)),SUM(OFFSET($T$100,($F$16-$F$15+$F$21),0):$T165),"")</f>
        <v/>
      </c>
      <c r="BI165" s="190" t="str">
        <f t="shared" ca="1" si="118"/>
        <v/>
      </c>
      <c r="BJ165" s="190" t="str">
        <f t="shared" ref="BJ165:BJ228" ca="1" si="144">IF(ISNUMBER(BH165),(BH165-BI165)/(3*86400*((OFFSET($B165,-$F$21,0)-($F$16-$F$15)+1)))*1000,"")</f>
        <v/>
      </c>
      <c r="BK165" s="190"/>
      <c r="BL165" s="190" t="str">
        <f ca="1">IFERROR(IF(OR(ISNUMBER(I),ISNUMBER($F$14)),IF(AND($B165&gt;=($F$17-$F$15),$B165&lt;$F$22+($F$17-$F$15)),SUM(OFFSET($T$100,($F$17-$F$15),0):$T165),""),""),"")</f>
        <v/>
      </c>
      <c r="BM165" s="190" t="str">
        <f t="shared" ca="1" si="119"/>
        <v/>
      </c>
      <c r="BN165" s="190" t="str">
        <f t="shared" ref="BN165:BN228" ca="1" si="145">IF(ISNUMBER(BL165),(BL165-BM165)/(3*86400*($B165-($F$17-$F$15)+1))*1000,"")</f>
        <v/>
      </c>
      <c r="BO165"/>
      <c r="BP165" s="190" t="str">
        <f ca="1">IF(ISNUMBER(OFFSET(BL165,-$F$21,0)),SUM(OFFSET($T$100,($F$17-$F$15+$F$21),0):$T165),"")</f>
        <v/>
      </c>
      <c r="BQ165" s="190" t="str">
        <f t="shared" ca="1" si="120"/>
        <v/>
      </c>
      <c r="BR165" s="190" t="str">
        <f t="shared" ref="BR165:BR228" ca="1" si="146">IF(ISNUMBER(BP165),(BP165-BQ165)/(3*86400*(OFFSET($B165,-$F$21,0)-($F$17-$F$15)+1))*1000,"")</f>
        <v/>
      </c>
      <c r="BS165" s="190"/>
      <c r="BT165"/>
      <c r="BU165"/>
      <c r="BV165"/>
      <c r="BY165" s="99"/>
      <c r="BZ165" s="99"/>
      <c r="CA165" s="280" t="str">
        <f t="shared" si="121"/>
        <v/>
      </c>
      <c r="CB165" s="71" t="str">
        <f t="shared" si="122"/>
        <v>-</v>
      </c>
      <c r="CC165" s="33"/>
      <c r="CD165" s="261" t="str">
        <f t="shared" si="123"/>
        <v/>
      </c>
      <c r="CE165" s="280" t="str">
        <f t="shared" si="124"/>
        <v/>
      </c>
      <c r="CF165" s="71" t="str">
        <f t="shared" ca="1" si="125"/>
        <v/>
      </c>
      <c r="CG165" s="33" t="str">
        <f t="shared" si="126"/>
        <v/>
      </c>
      <c r="CH165" s="261" t="str">
        <f t="shared" ca="1" si="127"/>
        <v/>
      </c>
      <c r="CI165" s="202"/>
      <c r="CJ165" s="99"/>
      <c r="CK165" s="99"/>
      <c r="CL165" s="99"/>
      <c r="CM165" s="99"/>
      <c r="CN165" s="99"/>
      <c r="CO165" s="99"/>
    </row>
    <row r="166" spans="2:93" ht="13.5" customHeight="1" x14ac:dyDescent="0.2">
      <c r="B166" s="262">
        <v>66</v>
      </c>
      <c r="C166" s="237" t="str">
        <f t="shared" si="91"/>
        <v/>
      </c>
      <c r="D166" s="237" t="str">
        <f t="shared" ref="D166:D229" si="147">IFERROR(IF(B166&lt;$F$22,IF(ISNUMBER($D$65),IF(MAX($BU$101:$BU$120)&lt;B166, "", IF(B166=VLOOKUP(B166, $BU$101:$BU$120,1,1), C166,D165-INDEX($BY$101:$BY$120, MATCH(VLOOKUP(B166, $BU$101:$BU$120,1,1), $BU$101:$BU$120)+1, 1))),D165-VLOOKUP(MAX($BU$101:$BU$120),$BU$101:$BY$120,5)),""),"-")</f>
        <v/>
      </c>
      <c r="E166" s="290" t="str">
        <f t="shared" si="128"/>
        <v/>
      </c>
      <c r="F166" s="264" t="str">
        <f t="shared" si="129"/>
        <v/>
      </c>
      <c r="G166" s="291" t="str">
        <f t="shared" si="130"/>
        <v/>
      </c>
      <c r="H166" s="240" t="str">
        <f t="shared" si="92"/>
        <v/>
      </c>
      <c r="I166" s="265" t="str">
        <f t="shared" si="93"/>
        <v/>
      </c>
      <c r="J166" s="265" t="str">
        <f t="shared" si="94"/>
        <v/>
      </c>
      <c r="K166" s="240" t="str">
        <f t="shared" si="95"/>
        <v/>
      </c>
      <c r="L166" s="265" t="str">
        <f t="shared" si="96"/>
        <v/>
      </c>
      <c r="M166" s="265" t="str">
        <f t="shared" si="97"/>
        <v/>
      </c>
      <c r="N166" s="240" t="str">
        <f t="shared" si="98"/>
        <v>-</v>
      </c>
      <c r="O166" s="265" t="str">
        <f t="shared" si="99"/>
        <v>-</v>
      </c>
      <c r="P166" s="265" t="str">
        <f t="shared" si="100"/>
        <v>-</v>
      </c>
      <c r="Q166" s="266" t="str">
        <f t="shared" si="101"/>
        <v>-</v>
      </c>
      <c r="R166" s="267" t="str">
        <f t="shared" si="102"/>
        <v>-</v>
      </c>
      <c r="S166" s="268" t="str">
        <f t="shared" si="103"/>
        <v>-</v>
      </c>
      <c r="T166" s="269" t="str">
        <f t="shared" si="104"/>
        <v/>
      </c>
      <c r="U166" s="221">
        <f t="shared" si="105"/>
        <v>66</v>
      </c>
      <c r="V166" s="220" t="str">
        <f t="shared" si="131"/>
        <v>-</v>
      </c>
      <c r="W166" s="221" t="str">
        <f t="shared" si="132"/>
        <v>-</v>
      </c>
      <c r="X166" s="221" t="str">
        <f t="shared" si="106"/>
        <v>-</v>
      </c>
      <c r="Y166" s="221" t="str">
        <f t="shared" si="107"/>
        <v>-</v>
      </c>
      <c r="Z166" s="270">
        <f t="shared" si="133"/>
        <v>0.1</v>
      </c>
      <c r="AA166" s="271" t="str">
        <f>IFERROR(IF(V165=1,AA$100*EXP(-(LN(2)/$D$65+0.04)*X165)*EXP(-(LN(2)/$D$65+0.1)*Y165),IF(V165=2,AA$100*EXP(-(LN(2)/$D$65+0.04)*(VLOOKUP(($F$16-$F$15)-1,U$99:Y165,4,FALSE)))*EXP(-(LN(2)/$D$65+0.1)*(VLOOKUP(($F$16-$F$15)-1,U$99:Y165,5,FALSE)))*EXP(-(LN(2)/$D$65+0.04)*X165)*EXP(-(LN(2)/$D$65+0.1)*Y165),IF(V165=3,AA$100*EXP(-(LN(2)/$D$65+0.04)*(VLOOKUP(($F$16-$F$15)-1,U$99:Y165,4,FALSE)))*EXP(-(LN(2)/$D$65+0.1)*(VLOOKUP(($F$16-$F$15)-1,U$99:Y165,5,FALSE)))*EXP(-(LN(2)/$D$65+0.04)*(VLOOKUP(($F$16-$F$15)*2-1,U$99:Y165,4,FALSE)))*EXP(-(LN(2)/$D$65+0.1)*(VLOOKUP(($F$16-$F$15)*2-1,U$99:Y165,5,FALSE)))*EXP(-(LN(2)/$D$65+0.04)*X165)*EXP(-(LN(2)/$D$65+0.1)*Y165),"-"))),"-")</f>
        <v>-</v>
      </c>
      <c r="AB166" s="271" t="str">
        <f>IFERROR(IF(V166=1,AB$100*EXP(-(LN(2)/$D$65+0.04)*X166)*EXP(-(LN(2)/$D$65+0.1)*Y166),IF(V166=2,AB$100*EXP(-(LN(2)/$D$65+0.04)*(VLOOKUP(($F$16-$F$15)-1,U$100:Y166,4,FALSE)))*EXP(-(LN(2)/$D$65+0.1)*(VLOOKUP(($F$16-$F$15)-1,U$100:Y166,5,FALSE)))*EXP(-(LN(2)/$D$65+0.04)*X166)*EXP(-(LN(2)/$D$65+0.1)*Y166),IF(V166=3,AB$100*EXP(-(LN(2)/$D$65+0.04)*(VLOOKUP(($F$16-$F$15)-1,U$100:Y166,4,FALSE)))*EXP(-(LN(2)/$D$65+0.1)*(VLOOKUP(($F$16-$F$15)-1,U$100:Y166,5,FALSE)))*EXP(-(LN(2)/$D$65+0.04)*(VLOOKUP(($F$16-$F$15)*2-1,U$100:Y166,4,FALSE)))*EXP(-(LN(2)/$D$65+0.1)*(VLOOKUP(($F$16-$F$15)*2-1,U$100:Y166,5,FALSE)))*EXP(-(LN(2)/$D$65+0.04)*X166)*EXP(-(LN(2)/$D$65+0.1)*Y166),"-"))),"-")</f>
        <v>-</v>
      </c>
      <c r="AC166" s="224">
        <f t="shared" si="134"/>
        <v>66</v>
      </c>
      <c r="AD166" s="223" t="str">
        <f t="shared" si="108"/>
        <v>-</v>
      </c>
      <c r="AE166" s="224" t="str">
        <f t="shared" si="135"/>
        <v>-</v>
      </c>
      <c r="AF166" s="224" t="str">
        <f t="shared" si="109"/>
        <v>-</v>
      </c>
      <c r="AG166" s="224" t="str">
        <f t="shared" si="110"/>
        <v>-</v>
      </c>
      <c r="AH166" s="272">
        <f t="shared" si="136"/>
        <v>0.1</v>
      </c>
      <c r="AI166" s="271" t="str">
        <f>IFERROR(IF(AD165=1,AI$100*EXP(-(LN(2)/$D$65+0.04)*AF165)*EXP(-(LN(2)/$D$65+0.1)*AG165),IF(AD165=2,AI$100*EXP(-(LN(2)/$D$65+0.04)*(VLOOKUP(($F$16-$F$15)-1,AC$99:AG165,4,FALSE)))*EXP(-(LN(2)/$D$65+0.1)*(VLOOKUP(($F$16-$F$15)-1,AC$99:AG165,5,FALSE)))*EXP(-(LN(2)/$D$65+0.04)*AF165)*EXP(-(LN(2)/$D$65+0.1)*AG165),IF(AD165=3,AI$100*EXP(-(LN(2)/$D$65+0.04)*(VLOOKUP(($F$16-$F$15)-1,AC$99:AG165,4,FALSE)))*EXP(-(LN(2)/$D$65+0.1)*(VLOOKUP(($F$16-$F$15)-1,AC$99:AG165,5,FALSE)))*EXP(-(LN(2)/$D$65+0.04)*(VLOOKUP(($F$16-$F$15)*2-1,AC$99:AG165,4,FALSE)))*EXP(-(LN(2)/$D$65+0.1)*(VLOOKUP(($F$16-$F$15)*2-1,AC$99:AG165,5,FALSE)))*EXP(-(LN(2)/$D$65+0.04)*AF165)*EXP(-(LN(2)/$D$65+0.1)*AG165),"-"))),"-")</f>
        <v>-</v>
      </c>
      <c r="AJ166" s="271" t="str">
        <f>IFERROR(IF(AD166=1,AJ$100*EXP(-(LN(2)/$D$65+0.04)*AF166)*EXP(-(LN(2)/$D$65+0.1)*AG166),IF(AD166=2,AJ$100*EXP(-(LN(2)/$D$65+0.04)*(VLOOKUP(($F$16-$F$15)-1,AC$100:AG166,4,FALSE)))*EXP(-(LN(2)/$D$65+0.1)*(VLOOKUP(($F$16-$F$15)-1,AC$100:AG166,5,FALSE)))*EXP(-(LN(2)/$D$65+0.04)*AF166)*EXP(-(LN(2)/$D$65+0.1)*AG166),IF(AD166=3,AJ$100*EXP(-(LN(2)/$D$65+0.04)*(VLOOKUP(($F$16-$F$15)-1,AC$100:AG166,4,FALSE)))*EXP(-(LN(2)/$D$65+0.1)*(VLOOKUP(($F$16-$F$15)-1,AC$100:AG166,5,FALSE)))*EXP(-(LN(2)/$D$65+0.04)*(VLOOKUP(($F$16-$F$15)*2-1,AC$100:AG166,4,FALSE)))*EXP(-(LN(2)/$D$65+0.1)*(VLOOKUP(($F$16-$F$15)*2-1,AC$100:AG166,5,FALSE)))*EXP(-(LN(2)/$D$65+0.04)*AF166)*EXP(-(LN(2)/$D$65+0.1)*AG166),"-"))),"-")</f>
        <v>-</v>
      </c>
      <c r="AK166" s="227">
        <f t="shared" si="137"/>
        <v>66</v>
      </c>
      <c r="AL166" s="226" t="str">
        <f t="shared" si="111"/>
        <v>-</v>
      </c>
      <c r="AM166" s="227" t="str">
        <f t="shared" si="138"/>
        <v>-</v>
      </c>
      <c r="AN166" s="227" t="str">
        <f t="shared" si="139"/>
        <v>-</v>
      </c>
      <c r="AO166" s="227" t="str">
        <f t="shared" si="112"/>
        <v>-</v>
      </c>
      <c r="AP166" s="273">
        <f t="shared" si="140"/>
        <v>0.1</v>
      </c>
      <c r="AQ166" s="271" t="str">
        <f>IFERROR(IF(AL165=1,AQ$100*EXP(-(LN(2)/$D$65+0.04)*AN165)*EXP(-(LN(2)/$D$65+0.1)*AO165),IF(AL165=2,AQ$100*EXP(-(LN(2)/$D$65+0.04)*(VLOOKUP(($F$16-$F$15)-1,AK$99:AO165,4,FALSE)))*EXP(-(LN(2)/$D$65+0.1)*(VLOOKUP(($F$16-$F$15)-1,AK$99:AO165,5,FALSE)))*EXP(-(LN(2)/$D$65+0.04)*AN165)*EXP(-(LN(2)/$D$65+0.1)*AO165),IF(AL165=3,AQ$100*EXP(-(LN(2)/$D$65+0.04)*(VLOOKUP(($F$16-$F$15)-1,AK$99:AO165,4,FALSE)))*EXP(-(LN(2)/$D$65+0.1)*(VLOOKUP(($F$16-$F$15)-1,AK$99:AO165,5,FALSE)))*EXP(-(LN(2)/$D$65+0.04)*(VLOOKUP(($F$16-$F$15)*2-1,AK$99:AO165,4,FALSE)))*EXP(-(LN(2)/$D$65+0.1)*(VLOOKUP(($F$16-$F$15)*2-1,AK$99:AO165,5,FALSE)))*EXP(-(LN(2)/$D$65+0.04)*AN165)*EXP(-(LN(2)/$D$65+0.1)*AO165),"-"))),"-")</f>
        <v>-</v>
      </c>
      <c r="AR166" s="271" t="str">
        <f>IFERROR(IF(AL166=1,AR$100*EXP(-(LN(2)/$D$65+0.04)*AN166)*EXP(-(LN(2)/$D$65+0.1)*AO166),IF(AL166=2,AR$100*EXP(-(LN(2)/$D$65+0.04)*(VLOOKUP(($F$16-$F$15)-1,AK$100:AO166,4,FALSE)))*EXP(-(LN(2)/$D$65+0.1)*(VLOOKUP(($F$16-$F$15)-1,AK$100:AO166,5,FALSE)))*EXP(-(LN(2)/$D$65+0.04)*AN166)*EXP(-(LN(2)/$D$65+0.1)*AO166),IF(AL166=3,AR$100*EXP(-(LN(2)/$D$65+0.04)*(VLOOKUP(($F$16-$F$15)-1,AK$100:AO166,4,FALSE)))*EXP(-(LN(2)/$D$65+0.1)*(VLOOKUP(($F$16-$F$15)-1,AK$100:AO166,5,FALSE)))*EXP(-(LN(2)/$D$65+0.04)*(VLOOKUP(($F$16-$F$15)*2-1,AK$100:AO166,4,FALSE)))*EXP(-(LN(2)/$D$65+0.1)*(VLOOKUP(($F$16-$F$15)*2-1,AK$100:AO166,5,FALSE)))*EXP(-(LN(2)/$D$65+0.04)*AN166)*EXP(-(LN(2)/$D$65+0.1)*AO166),"-"))),"-")</f>
        <v>-</v>
      </c>
      <c r="AS166" s="274">
        <f t="shared" si="113"/>
        <v>0</v>
      </c>
      <c r="AT166" s="274">
        <f t="shared" si="114"/>
        <v>0</v>
      </c>
      <c r="AU166" s="274">
        <f t="shared" si="115"/>
        <v>0</v>
      </c>
      <c r="AV166" s="190" t="str">
        <f>IF($B166&lt;$F$22,SUM($T$100:$T166),"")</f>
        <v/>
      </c>
      <c r="AW166" s="190" t="str">
        <f t="shared" si="116"/>
        <v>-</v>
      </c>
      <c r="AX166" s="190" t="str">
        <f t="shared" si="141"/>
        <v/>
      </c>
      <c r="AY166"/>
      <c r="AZ166" s="190" t="str">
        <f ca="1">IF(ISNUMBER(OFFSET(AV166,-$F$21,0)),SUM(OFFSET($T$100,$F$21,0):$T166),"")</f>
        <v/>
      </c>
      <c r="BA166" s="190" t="str">
        <f t="shared" ca="1" si="117"/>
        <v/>
      </c>
      <c r="BB166" s="190" t="str">
        <f t="shared" ca="1" si="70"/>
        <v/>
      </c>
      <c r="BC166" s="190"/>
      <c r="BD166" s="190" t="str">
        <f ca="1">IFERROR(IF(OR(ISNUMBER(I),ISNUMBER($F$14)),IF(AND($B166&gt;=($F$16-$F$15),$B166&lt;$F$22+($F$16-$F$15)),SUM(OFFSET($T$100,($F$16-$F$15),0):$T166),""),""),"")</f>
        <v/>
      </c>
      <c r="BE166" s="190" t="str">
        <f t="shared" ca="1" si="142"/>
        <v/>
      </c>
      <c r="BF166" s="190" t="str">
        <f t="shared" ca="1" si="143"/>
        <v/>
      </c>
      <c r="BG166"/>
      <c r="BH166" s="190" t="str">
        <f ca="1">IF(ISNUMBER(OFFSET(BD166,-$F$21,0)),SUM(OFFSET($T$100,($F$16-$F$15+$F$21),0):$T166),"")</f>
        <v/>
      </c>
      <c r="BI166" s="190" t="str">
        <f t="shared" ca="1" si="118"/>
        <v/>
      </c>
      <c r="BJ166" s="190" t="str">
        <f t="shared" ca="1" si="144"/>
        <v/>
      </c>
      <c r="BK166" s="190"/>
      <c r="BL166" s="190" t="str">
        <f ca="1">IFERROR(IF(OR(ISNUMBER(I),ISNUMBER($F$14)),IF(AND($B166&gt;=($F$17-$F$15),$B166&lt;$F$22+($F$17-$F$15)),SUM(OFFSET($T$100,($F$17-$F$15),0):$T166),""),""),"")</f>
        <v/>
      </c>
      <c r="BM166" s="190" t="str">
        <f t="shared" ca="1" si="119"/>
        <v/>
      </c>
      <c r="BN166" s="190" t="str">
        <f t="shared" ca="1" si="145"/>
        <v/>
      </c>
      <c r="BO166"/>
      <c r="BP166" s="190" t="str">
        <f ca="1">IF(ISNUMBER(OFFSET(BL166,-$F$21,0)),SUM(OFFSET($T$100,($F$17-$F$15+$F$21),0):$T166),"")</f>
        <v/>
      </c>
      <c r="BQ166" s="190" t="str">
        <f t="shared" ca="1" si="120"/>
        <v/>
      </c>
      <c r="BR166" s="190" t="str">
        <f t="shared" ca="1" si="146"/>
        <v/>
      </c>
      <c r="BS166" s="190"/>
      <c r="BT166"/>
      <c r="BU166"/>
      <c r="BV166"/>
      <c r="BY166" s="99"/>
      <c r="BZ166" s="99"/>
      <c r="CA166" s="280" t="str">
        <f t="shared" si="121"/>
        <v/>
      </c>
      <c r="CB166" s="71" t="str">
        <f t="shared" si="122"/>
        <v>-</v>
      </c>
      <c r="CC166" s="33"/>
      <c r="CD166" s="261" t="str">
        <f t="shared" si="123"/>
        <v/>
      </c>
      <c r="CE166" s="280" t="str">
        <f t="shared" si="124"/>
        <v/>
      </c>
      <c r="CF166" s="71" t="str">
        <f t="shared" ca="1" si="125"/>
        <v/>
      </c>
      <c r="CG166" s="33" t="str">
        <f t="shared" si="126"/>
        <v/>
      </c>
      <c r="CH166" s="261" t="str">
        <f t="shared" ca="1" si="127"/>
        <v/>
      </c>
      <c r="CI166" s="202"/>
      <c r="CJ166" s="99"/>
      <c r="CK166" s="99"/>
      <c r="CL166" s="99"/>
      <c r="CM166" s="99"/>
      <c r="CN166" s="99"/>
      <c r="CO166" s="99"/>
    </row>
    <row r="167" spans="2:93" ht="13.5" customHeight="1" x14ac:dyDescent="0.2">
      <c r="B167" s="262">
        <v>67</v>
      </c>
      <c r="C167" s="237" t="str">
        <f t="shared" si="91"/>
        <v/>
      </c>
      <c r="D167" s="237" t="str">
        <f t="shared" si="147"/>
        <v/>
      </c>
      <c r="E167" s="290" t="str">
        <f t="shared" si="128"/>
        <v/>
      </c>
      <c r="F167" s="264" t="str">
        <f t="shared" si="129"/>
        <v/>
      </c>
      <c r="G167" s="291" t="str">
        <f t="shared" si="130"/>
        <v/>
      </c>
      <c r="H167" s="240" t="str">
        <f t="shared" si="92"/>
        <v/>
      </c>
      <c r="I167" s="265" t="str">
        <f t="shared" si="93"/>
        <v/>
      </c>
      <c r="J167" s="265" t="str">
        <f t="shared" si="94"/>
        <v/>
      </c>
      <c r="K167" s="240" t="str">
        <f t="shared" si="95"/>
        <v/>
      </c>
      <c r="L167" s="265" t="str">
        <f t="shared" si="96"/>
        <v/>
      </c>
      <c r="M167" s="265" t="str">
        <f t="shared" si="97"/>
        <v/>
      </c>
      <c r="N167" s="240" t="str">
        <f t="shared" si="98"/>
        <v>-</v>
      </c>
      <c r="O167" s="265" t="str">
        <f t="shared" si="99"/>
        <v>-</v>
      </c>
      <c r="P167" s="265" t="str">
        <f t="shared" si="100"/>
        <v>-</v>
      </c>
      <c r="Q167" s="266" t="str">
        <f t="shared" si="101"/>
        <v>-</v>
      </c>
      <c r="R167" s="267" t="str">
        <f t="shared" si="102"/>
        <v>-</v>
      </c>
      <c r="S167" s="268" t="str">
        <f t="shared" si="103"/>
        <v>-</v>
      </c>
      <c r="T167" s="269" t="str">
        <f t="shared" si="104"/>
        <v/>
      </c>
      <c r="U167" s="221">
        <f t="shared" si="105"/>
        <v>67</v>
      </c>
      <c r="V167" s="220" t="str">
        <f t="shared" si="131"/>
        <v>-</v>
      </c>
      <c r="W167" s="221" t="str">
        <f t="shared" si="132"/>
        <v>-</v>
      </c>
      <c r="X167" s="221" t="str">
        <f t="shared" si="106"/>
        <v>-</v>
      </c>
      <c r="Y167" s="221" t="str">
        <f t="shared" si="107"/>
        <v>-</v>
      </c>
      <c r="Z167" s="270">
        <f t="shared" si="133"/>
        <v>0.1</v>
      </c>
      <c r="AA167" s="271" t="str">
        <f>IFERROR(IF(V166=1,AA$100*EXP(-(LN(2)/$D$65+0.04)*X166)*EXP(-(LN(2)/$D$65+0.1)*Y166),IF(V166=2,AA$100*EXP(-(LN(2)/$D$65+0.04)*(VLOOKUP(($F$16-$F$15)-1,U$99:Y166,4,FALSE)))*EXP(-(LN(2)/$D$65+0.1)*(VLOOKUP(($F$16-$F$15)-1,U$99:Y166,5,FALSE)))*EXP(-(LN(2)/$D$65+0.04)*X166)*EXP(-(LN(2)/$D$65+0.1)*Y166),IF(V166=3,AA$100*EXP(-(LN(2)/$D$65+0.04)*(VLOOKUP(($F$16-$F$15)-1,U$99:Y166,4,FALSE)))*EXP(-(LN(2)/$D$65+0.1)*(VLOOKUP(($F$16-$F$15)-1,U$99:Y166,5,FALSE)))*EXP(-(LN(2)/$D$65+0.04)*(VLOOKUP(($F$16-$F$15)*2-1,U$99:Y166,4,FALSE)))*EXP(-(LN(2)/$D$65+0.1)*(VLOOKUP(($F$16-$F$15)*2-1,U$99:Y166,5,FALSE)))*EXP(-(LN(2)/$D$65+0.04)*X166)*EXP(-(LN(2)/$D$65+0.1)*Y166),"-"))),"-")</f>
        <v>-</v>
      </c>
      <c r="AB167" s="271" t="str">
        <f>IFERROR(IF(V167=1,AB$100*EXP(-(LN(2)/$D$65+0.04)*X167)*EXP(-(LN(2)/$D$65+0.1)*Y167),IF(V167=2,AB$100*EXP(-(LN(2)/$D$65+0.04)*(VLOOKUP(($F$16-$F$15)-1,U$100:Y167,4,FALSE)))*EXP(-(LN(2)/$D$65+0.1)*(VLOOKUP(($F$16-$F$15)-1,U$100:Y167,5,FALSE)))*EXP(-(LN(2)/$D$65+0.04)*X167)*EXP(-(LN(2)/$D$65+0.1)*Y167),IF(V167=3,AB$100*EXP(-(LN(2)/$D$65+0.04)*(VLOOKUP(($F$16-$F$15)-1,U$100:Y167,4,FALSE)))*EXP(-(LN(2)/$D$65+0.1)*(VLOOKUP(($F$16-$F$15)-1,U$100:Y167,5,FALSE)))*EXP(-(LN(2)/$D$65+0.04)*(VLOOKUP(($F$16-$F$15)*2-1,U$100:Y167,4,FALSE)))*EXP(-(LN(2)/$D$65+0.1)*(VLOOKUP(($F$16-$F$15)*2-1,U$100:Y167,5,FALSE)))*EXP(-(LN(2)/$D$65+0.04)*X167)*EXP(-(LN(2)/$D$65+0.1)*Y167),"-"))),"-")</f>
        <v>-</v>
      </c>
      <c r="AC167" s="224">
        <f t="shared" si="134"/>
        <v>67</v>
      </c>
      <c r="AD167" s="223" t="str">
        <f t="shared" si="108"/>
        <v>-</v>
      </c>
      <c r="AE167" s="224" t="str">
        <f t="shared" si="135"/>
        <v>-</v>
      </c>
      <c r="AF167" s="224" t="str">
        <f t="shared" si="109"/>
        <v>-</v>
      </c>
      <c r="AG167" s="224" t="str">
        <f t="shared" si="110"/>
        <v>-</v>
      </c>
      <c r="AH167" s="272">
        <f t="shared" si="136"/>
        <v>0.1</v>
      </c>
      <c r="AI167" s="271" t="str">
        <f>IFERROR(IF(AD166=1,AI$100*EXP(-(LN(2)/$D$65+0.04)*AF166)*EXP(-(LN(2)/$D$65+0.1)*AG166),IF(AD166=2,AI$100*EXP(-(LN(2)/$D$65+0.04)*(VLOOKUP(($F$16-$F$15)-1,AC$99:AG166,4,FALSE)))*EXP(-(LN(2)/$D$65+0.1)*(VLOOKUP(($F$16-$F$15)-1,AC$99:AG166,5,FALSE)))*EXP(-(LN(2)/$D$65+0.04)*AF166)*EXP(-(LN(2)/$D$65+0.1)*AG166),IF(AD166=3,AI$100*EXP(-(LN(2)/$D$65+0.04)*(VLOOKUP(($F$16-$F$15)-1,AC$99:AG166,4,FALSE)))*EXP(-(LN(2)/$D$65+0.1)*(VLOOKUP(($F$16-$F$15)-1,AC$99:AG166,5,FALSE)))*EXP(-(LN(2)/$D$65+0.04)*(VLOOKUP(($F$16-$F$15)*2-1,AC$99:AG166,4,FALSE)))*EXP(-(LN(2)/$D$65+0.1)*(VLOOKUP(($F$16-$F$15)*2-1,AC$99:AG166,5,FALSE)))*EXP(-(LN(2)/$D$65+0.04)*AF166)*EXP(-(LN(2)/$D$65+0.1)*AG166),"-"))),"-")</f>
        <v>-</v>
      </c>
      <c r="AJ167" s="271" t="str">
        <f>IFERROR(IF(AD167=1,AJ$100*EXP(-(LN(2)/$D$65+0.04)*AF167)*EXP(-(LN(2)/$D$65+0.1)*AG167),IF(AD167=2,AJ$100*EXP(-(LN(2)/$D$65+0.04)*(VLOOKUP(($F$16-$F$15)-1,AC$100:AG167,4,FALSE)))*EXP(-(LN(2)/$D$65+0.1)*(VLOOKUP(($F$16-$F$15)-1,AC$100:AG167,5,FALSE)))*EXP(-(LN(2)/$D$65+0.04)*AF167)*EXP(-(LN(2)/$D$65+0.1)*AG167),IF(AD167=3,AJ$100*EXP(-(LN(2)/$D$65+0.04)*(VLOOKUP(($F$16-$F$15)-1,AC$100:AG167,4,FALSE)))*EXP(-(LN(2)/$D$65+0.1)*(VLOOKUP(($F$16-$F$15)-1,AC$100:AG167,5,FALSE)))*EXP(-(LN(2)/$D$65+0.04)*(VLOOKUP(($F$16-$F$15)*2-1,AC$100:AG167,4,FALSE)))*EXP(-(LN(2)/$D$65+0.1)*(VLOOKUP(($F$16-$F$15)*2-1,AC$100:AG167,5,FALSE)))*EXP(-(LN(2)/$D$65+0.04)*AF167)*EXP(-(LN(2)/$D$65+0.1)*AG167),"-"))),"-")</f>
        <v>-</v>
      </c>
      <c r="AK167" s="227">
        <f t="shared" si="137"/>
        <v>67</v>
      </c>
      <c r="AL167" s="226" t="str">
        <f t="shared" si="111"/>
        <v>-</v>
      </c>
      <c r="AM167" s="227" t="str">
        <f t="shared" si="138"/>
        <v>-</v>
      </c>
      <c r="AN167" s="227" t="str">
        <f t="shared" si="139"/>
        <v>-</v>
      </c>
      <c r="AO167" s="227" t="str">
        <f t="shared" si="112"/>
        <v>-</v>
      </c>
      <c r="AP167" s="273">
        <f t="shared" si="140"/>
        <v>0.1</v>
      </c>
      <c r="AQ167" s="271" t="str">
        <f>IFERROR(IF(AL166=1,AQ$100*EXP(-(LN(2)/$D$65+0.04)*AN166)*EXP(-(LN(2)/$D$65+0.1)*AO166),IF(AL166=2,AQ$100*EXP(-(LN(2)/$D$65+0.04)*(VLOOKUP(($F$16-$F$15)-1,AK$99:AO166,4,FALSE)))*EXP(-(LN(2)/$D$65+0.1)*(VLOOKUP(($F$16-$F$15)-1,AK$99:AO166,5,FALSE)))*EXP(-(LN(2)/$D$65+0.04)*AN166)*EXP(-(LN(2)/$D$65+0.1)*AO166),IF(AL166=3,AQ$100*EXP(-(LN(2)/$D$65+0.04)*(VLOOKUP(($F$16-$F$15)-1,AK$99:AO166,4,FALSE)))*EXP(-(LN(2)/$D$65+0.1)*(VLOOKUP(($F$16-$F$15)-1,AK$99:AO166,5,FALSE)))*EXP(-(LN(2)/$D$65+0.04)*(VLOOKUP(($F$16-$F$15)*2-1,AK$99:AO166,4,FALSE)))*EXP(-(LN(2)/$D$65+0.1)*(VLOOKUP(($F$16-$F$15)*2-1,AK$99:AO166,5,FALSE)))*EXP(-(LN(2)/$D$65+0.04)*AN166)*EXP(-(LN(2)/$D$65+0.1)*AO166),"-"))),"-")</f>
        <v>-</v>
      </c>
      <c r="AR167" s="271" t="str">
        <f>IFERROR(IF(AL167=1,AR$100*EXP(-(LN(2)/$D$65+0.04)*AN167)*EXP(-(LN(2)/$D$65+0.1)*AO167),IF(AL167=2,AR$100*EXP(-(LN(2)/$D$65+0.04)*(VLOOKUP(($F$16-$F$15)-1,AK$100:AO167,4,FALSE)))*EXP(-(LN(2)/$D$65+0.1)*(VLOOKUP(($F$16-$F$15)-1,AK$100:AO167,5,FALSE)))*EXP(-(LN(2)/$D$65+0.04)*AN167)*EXP(-(LN(2)/$D$65+0.1)*AO167),IF(AL167=3,AR$100*EXP(-(LN(2)/$D$65+0.04)*(VLOOKUP(($F$16-$F$15)-1,AK$100:AO167,4,FALSE)))*EXP(-(LN(2)/$D$65+0.1)*(VLOOKUP(($F$16-$F$15)-1,AK$100:AO167,5,FALSE)))*EXP(-(LN(2)/$D$65+0.04)*(VLOOKUP(($F$16-$F$15)*2-1,AK$100:AO167,4,FALSE)))*EXP(-(LN(2)/$D$65+0.1)*(VLOOKUP(($F$16-$F$15)*2-1,AK$100:AO167,5,FALSE)))*EXP(-(LN(2)/$D$65+0.04)*AN167)*EXP(-(LN(2)/$D$65+0.1)*AO167),"-"))),"-")</f>
        <v>-</v>
      </c>
      <c r="AS167" s="274">
        <f t="shared" si="113"/>
        <v>0</v>
      </c>
      <c r="AT167" s="274">
        <f t="shared" si="114"/>
        <v>0</v>
      </c>
      <c r="AU167" s="274">
        <f t="shared" si="115"/>
        <v>0</v>
      </c>
      <c r="AV167" s="190" t="str">
        <f>IF($B167&lt;$F$22,SUM($T$100:$T167),"")</f>
        <v/>
      </c>
      <c r="AW167" s="190" t="str">
        <f t="shared" si="116"/>
        <v>-</v>
      </c>
      <c r="AX167" s="190" t="str">
        <f t="shared" si="141"/>
        <v/>
      </c>
      <c r="AY167"/>
      <c r="AZ167" s="190" t="str">
        <f ca="1">IF(ISNUMBER(OFFSET(AV167,-$F$21,0)),SUM(OFFSET($T$100,$F$21,0):$T167),"")</f>
        <v/>
      </c>
      <c r="BA167" s="190" t="str">
        <f t="shared" ca="1" si="117"/>
        <v/>
      </c>
      <c r="BB167" s="190" t="str">
        <f t="shared" ca="1" si="70"/>
        <v/>
      </c>
      <c r="BC167" s="190"/>
      <c r="BD167" s="190" t="str">
        <f ca="1">IFERROR(IF(OR(ISNUMBER(I),ISNUMBER($F$14)),IF(AND($B167&gt;=($F$16-$F$15),$B167&lt;$F$22+($F$16-$F$15)),SUM(OFFSET($T$100,($F$16-$F$15),0):$T167),""),""),"")</f>
        <v/>
      </c>
      <c r="BE167" s="190" t="str">
        <f t="shared" ca="1" si="142"/>
        <v/>
      </c>
      <c r="BF167" s="190" t="str">
        <f t="shared" ca="1" si="143"/>
        <v/>
      </c>
      <c r="BG167"/>
      <c r="BH167" s="190" t="str">
        <f ca="1">IF(ISNUMBER(OFFSET(BD167,-$F$21,0)),SUM(OFFSET($T$100,($F$16-$F$15+$F$21),0):$T167),"")</f>
        <v/>
      </c>
      <c r="BI167" s="190" t="str">
        <f t="shared" ca="1" si="118"/>
        <v/>
      </c>
      <c r="BJ167" s="190" t="str">
        <f t="shared" ca="1" si="144"/>
        <v/>
      </c>
      <c r="BK167" s="190"/>
      <c r="BL167" s="190" t="str">
        <f ca="1">IFERROR(IF(OR(ISNUMBER(I),ISNUMBER($F$14)),IF(AND($B167&gt;=($F$17-$F$15),$B167&lt;$F$22+($F$17-$F$15)),SUM(OFFSET($T$100,($F$17-$F$15),0):$T167),""),""),"")</f>
        <v/>
      </c>
      <c r="BM167" s="190" t="str">
        <f t="shared" ca="1" si="119"/>
        <v/>
      </c>
      <c r="BN167" s="190" t="str">
        <f t="shared" ca="1" si="145"/>
        <v/>
      </c>
      <c r="BO167"/>
      <c r="BP167" s="190" t="str">
        <f ca="1">IF(ISNUMBER(OFFSET(BL167,-$F$21,0)),SUM(OFFSET($T$100,($F$17-$F$15+$F$21),0):$T167),"")</f>
        <v/>
      </c>
      <c r="BQ167" s="190" t="str">
        <f t="shared" ca="1" si="120"/>
        <v/>
      </c>
      <c r="BR167" s="190" t="str">
        <f t="shared" ca="1" si="146"/>
        <v/>
      </c>
      <c r="BS167" s="190"/>
      <c r="BT167"/>
      <c r="BU167"/>
      <c r="BV167"/>
      <c r="BY167" s="99"/>
      <c r="BZ167" s="99"/>
      <c r="CA167" s="280" t="str">
        <f t="shared" si="121"/>
        <v/>
      </c>
      <c r="CB167" s="71" t="str">
        <f t="shared" si="122"/>
        <v>-</v>
      </c>
      <c r="CC167" s="33"/>
      <c r="CD167" s="261" t="str">
        <f t="shared" si="123"/>
        <v/>
      </c>
      <c r="CE167" s="280" t="str">
        <f t="shared" si="124"/>
        <v/>
      </c>
      <c r="CF167" s="71" t="str">
        <f t="shared" ca="1" si="125"/>
        <v/>
      </c>
      <c r="CG167" s="33" t="str">
        <f t="shared" si="126"/>
        <v/>
      </c>
      <c r="CH167" s="261" t="str">
        <f t="shared" ca="1" si="127"/>
        <v/>
      </c>
      <c r="CI167" s="202"/>
      <c r="CJ167" s="99"/>
      <c r="CK167" s="99"/>
      <c r="CL167" s="99"/>
      <c r="CM167" s="99"/>
      <c r="CN167" s="99"/>
      <c r="CO167" s="99"/>
    </row>
    <row r="168" spans="2:93" ht="13.5" customHeight="1" x14ac:dyDescent="0.2">
      <c r="B168" s="262">
        <v>68</v>
      </c>
      <c r="C168" s="237" t="str">
        <f t="shared" si="91"/>
        <v/>
      </c>
      <c r="D168" s="237" t="str">
        <f t="shared" si="147"/>
        <v/>
      </c>
      <c r="E168" s="290" t="str">
        <f t="shared" si="128"/>
        <v/>
      </c>
      <c r="F168" s="264" t="str">
        <f t="shared" si="129"/>
        <v/>
      </c>
      <c r="G168" s="291" t="str">
        <f t="shared" si="130"/>
        <v/>
      </c>
      <c r="H168" s="240" t="str">
        <f t="shared" si="92"/>
        <v/>
      </c>
      <c r="I168" s="265" t="str">
        <f t="shared" si="93"/>
        <v/>
      </c>
      <c r="J168" s="265" t="str">
        <f t="shared" si="94"/>
        <v/>
      </c>
      <c r="K168" s="240" t="str">
        <f t="shared" si="95"/>
        <v/>
      </c>
      <c r="L168" s="265" t="str">
        <f t="shared" si="96"/>
        <v/>
      </c>
      <c r="M168" s="265" t="str">
        <f t="shared" si="97"/>
        <v/>
      </c>
      <c r="N168" s="240" t="str">
        <f t="shared" si="98"/>
        <v>-</v>
      </c>
      <c r="O168" s="265" t="str">
        <f t="shared" si="99"/>
        <v>-</v>
      </c>
      <c r="P168" s="265" t="str">
        <f t="shared" si="100"/>
        <v>-</v>
      </c>
      <c r="Q168" s="266" t="str">
        <f t="shared" si="101"/>
        <v>-</v>
      </c>
      <c r="R168" s="267" t="str">
        <f t="shared" si="102"/>
        <v>-</v>
      </c>
      <c r="S168" s="268" t="str">
        <f t="shared" si="103"/>
        <v>-</v>
      </c>
      <c r="T168" s="269" t="str">
        <f t="shared" si="104"/>
        <v/>
      </c>
      <c r="U168" s="221">
        <f t="shared" si="105"/>
        <v>68</v>
      </c>
      <c r="V168" s="220" t="str">
        <f t="shared" si="131"/>
        <v>-</v>
      </c>
      <c r="W168" s="221" t="str">
        <f t="shared" si="132"/>
        <v>-</v>
      </c>
      <c r="X168" s="221" t="str">
        <f t="shared" si="106"/>
        <v>-</v>
      </c>
      <c r="Y168" s="221" t="str">
        <f t="shared" si="107"/>
        <v>-</v>
      </c>
      <c r="Z168" s="270">
        <f t="shared" si="133"/>
        <v>0.1</v>
      </c>
      <c r="AA168" s="271" t="str">
        <f>IFERROR(IF(V167=1,AA$100*EXP(-(LN(2)/$D$65+0.04)*X167)*EXP(-(LN(2)/$D$65+0.1)*Y167),IF(V167=2,AA$100*EXP(-(LN(2)/$D$65+0.04)*(VLOOKUP(($F$16-$F$15)-1,U$99:Y167,4,FALSE)))*EXP(-(LN(2)/$D$65+0.1)*(VLOOKUP(($F$16-$F$15)-1,U$99:Y167,5,FALSE)))*EXP(-(LN(2)/$D$65+0.04)*X167)*EXP(-(LN(2)/$D$65+0.1)*Y167),IF(V167=3,AA$100*EXP(-(LN(2)/$D$65+0.04)*(VLOOKUP(($F$16-$F$15)-1,U$99:Y167,4,FALSE)))*EXP(-(LN(2)/$D$65+0.1)*(VLOOKUP(($F$16-$F$15)-1,U$99:Y167,5,FALSE)))*EXP(-(LN(2)/$D$65+0.04)*(VLOOKUP(($F$16-$F$15)*2-1,U$99:Y167,4,FALSE)))*EXP(-(LN(2)/$D$65+0.1)*(VLOOKUP(($F$16-$F$15)*2-1,U$99:Y167,5,FALSE)))*EXP(-(LN(2)/$D$65+0.04)*X167)*EXP(-(LN(2)/$D$65+0.1)*Y167),"-"))),"-")</f>
        <v>-</v>
      </c>
      <c r="AB168" s="271" t="str">
        <f>IFERROR(IF(V168=1,AB$100*EXP(-(LN(2)/$D$65+0.04)*X168)*EXP(-(LN(2)/$D$65+0.1)*Y168),IF(V168=2,AB$100*EXP(-(LN(2)/$D$65+0.04)*(VLOOKUP(($F$16-$F$15)-1,U$100:Y168,4,FALSE)))*EXP(-(LN(2)/$D$65+0.1)*(VLOOKUP(($F$16-$F$15)-1,U$100:Y168,5,FALSE)))*EXP(-(LN(2)/$D$65+0.04)*X168)*EXP(-(LN(2)/$D$65+0.1)*Y168),IF(V168=3,AB$100*EXP(-(LN(2)/$D$65+0.04)*(VLOOKUP(($F$16-$F$15)-1,U$100:Y168,4,FALSE)))*EXP(-(LN(2)/$D$65+0.1)*(VLOOKUP(($F$16-$F$15)-1,U$100:Y168,5,FALSE)))*EXP(-(LN(2)/$D$65+0.04)*(VLOOKUP(($F$16-$F$15)*2-1,U$100:Y168,4,FALSE)))*EXP(-(LN(2)/$D$65+0.1)*(VLOOKUP(($F$16-$F$15)*2-1,U$100:Y168,5,FALSE)))*EXP(-(LN(2)/$D$65+0.04)*X168)*EXP(-(LN(2)/$D$65+0.1)*Y168),"-"))),"-")</f>
        <v>-</v>
      </c>
      <c r="AC168" s="224">
        <f t="shared" si="134"/>
        <v>68</v>
      </c>
      <c r="AD168" s="223" t="str">
        <f t="shared" si="108"/>
        <v>-</v>
      </c>
      <c r="AE168" s="224" t="str">
        <f t="shared" si="135"/>
        <v>-</v>
      </c>
      <c r="AF168" s="224" t="str">
        <f t="shared" si="109"/>
        <v>-</v>
      </c>
      <c r="AG168" s="224" t="str">
        <f t="shared" si="110"/>
        <v>-</v>
      </c>
      <c r="AH168" s="272">
        <f t="shared" si="136"/>
        <v>0.1</v>
      </c>
      <c r="AI168" s="271" t="str">
        <f>IFERROR(IF(AD167=1,AI$100*EXP(-(LN(2)/$D$65+0.04)*AF167)*EXP(-(LN(2)/$D$65+0.1)*AG167),IF(AD167=2,AI$100*EXP(-(LN(2)/$D$65+0.04)*(VLOOKUP(($F$16-$F$15)-1,AC$99:AG167,4,FALSE)))*EXP(-(LN(2)/$D$65+0.1)*(VLOOKUP(($F$16-$F$15)-1,AC$99:AG167,5,FALSE)))*EXP(-(LN(2)/$D$65+0.04)*AF167)*EXP(-(LN(2)/$D$65+0.1)*AG167),IF(AD167=3,AI$100*EXP(-(LN(2)/$D$65+0.04)*(VLOOKUP(($F$16-$F$15)-1,AC$99:AG167,4,FALSE)))*EXP(-(LN(2)/$D$65+0.1)*(VLOOKUP(($F$16-$F$15)-1,AC$99:AG167,5,FALSE)))*EXP(-(LN(2)/$D$65+0.04)*(VLOOKUP(($F$16-$F$15)*2-1,AC$99:AG167,4,FALSE)))*EXP(-(LN(2)/$D$65+0.1)*(VLOOKUP(($F$16-$F$15)*2-1,AC$99:AG167,5,FALSE)))*EXP(-(LN(2)/$D$65+0.04)*AF167)*EXP(-(LN(2)/$D$65+0.1)*AG167),"-"))),"-")</f>
        <v>-</v>
      </c>
      <c r="AJ168" s="271" t="str">
        <f>IFERROR(IF(AD168=1,AJ$100*EXP(-(LN(2)/$D$65+0.04)*AF168)*EXP(-(LN(2)/$D$65+0.1)*AG168),IF(AD168=2,AJ$100*EXP(-(LN(2)/$D$65+0.04)*(VLOOKUP(($F$16-$F$15)-1,AC$100:AG168,4,FALSE)))*EXP(-(LN(2)/$D$65+0.1)*(VLOOKUP(($F$16-$F$15)-1,AC$100:AG168,5,FALSE)))*EXP(-(LN(2)/$D$65+0.04)*AF168)*EXP(-(LN(2)/$D$65+0.1)*AG168),IF(AD168=3,AJ$100*EXP(-(LN(2)/$D$65+0.04)*(VLOOKUP(($F$16-$F$15)-1,AC$100:AG168,4,FALSE)))*EXP(-(LN(2)/$D$65+0.1)*(VLOOKUP(($F$16-$F$15)-1,AC$100:AG168,5,FALSE)))*EXP(-(LN(2)/$D$65+0.04)*(VLOOKUP(($F$16-$F$15)*2-1,AC$100:AG168,4,FALSE)))*EXP(-(LN(2)/$D$65+0.1)*(VLOOKUP(($F$16-$F$15)*2-1,AC$100:AG168,5,FALSE)))*EXP(-(LN(2)/$D$65+0.04)*AF168)*EXP(-(LN(2)/$D$65+0.1)*AG168),"-"))),"-")</f>
        <v>-</v>
      </c>
      <c r="AK168" s="227">
        <f t="shared" si="137"/>
        <v>68</v>
      </c>
      <c r="AL168" s="226" t="str">
        <f t="shared" si="111"/>
        <v>-</v>
      </c>
      <c r="AM168" s="227" t="str">
        <f t="shared" si="138"/>
        <v>-</v>
      </c>
      <c r="AN168" s="227" t="str">
        <f t="shared" si="139"/>
        <v>-</v>
      </c>
      <c r="AO168" s="227" t="str">
        <f t="shared" si="112"/>
        <v>-</v>
      </c>
      <c r="AP168" s="273">
        <f t="shared" si="140"/>
        <v>0.1</v>
      </c>
      <c r="AQ168" s="271" t="str">
        <f>IFERROR(IF(AL167=1,AQ$100*EXP(-(LN(2)/$D$65+0.04)*AN167)*EXP(-(LN(2)/$D$65+0.1)*AO167),IF(AL167=2,AQ$100*EXP(-(LN(2)/$D$65+0.04)*(VLOOKUP(($F$16-$F$15)-1,AK$99:AO167,4,FALSE)))*EXP(-(LN(2)/$D$65+0.1)*(VLOOKUP(($F$16-$F$15)-1,AK$99:AO167,5,FALSE)))*EXP(-(LN(2)/$D$65+0.04)*AN167)*EXP(-(LN(2)/$D$65+0.1)*AO167),IF(AL167=3,AQ$100*EXP(-(LN(2)/$D$65+0.04)*(VLOOKUP(($F$16-$F$15)-1,AK$99:AO167,4,FALSE)))*EXP(-(LN(2)/$D$65+0.1)*(VLOOKUP(($F$16-$F$15)-1,AK$99:AO167,5,FALSE)))*EXP(-(LN(2)/$D$65+0.04)*(VLOOKUP(($F$16-$F$15)*2-1,AK$99:AO167,4,FALSE)))*EXP(-(LN(2)/$D$65+0.1)*(VLOOKUP(($F$16-$F$15)*2-1,AK$99:AO167,5,FALSE)))*EXP(-(LN(2)/$D$65+0.04)*AN167)*EXP(-(LN(2)/$D$65+0.1)*AO167),"-"))),"-")</f>
        <v>-</v>
      </c>
      <c r="AR168" s="271" t="str">
        <f>IFERROR(IF(AL168=1,AR$100*EXP(-(LN(2)/$D$65+0.04)*AN168)*EXP(-(LN(2)/$D$65+0.1)*AO168),IF(AL168=2,AR$100*EXP(-(LN(2)/$D$65+0.04)*(VLOOKUP(($F$16-$F$15)-1,AK$100:AO168,4,FALSE)))*EXP(-(LN(2)/$D$65+0.1)*(VLOOKUP(($F$16-$F$15)-1,AK$100:AO168,5,FALSE)))*EXP(-(LN(2)/$D$65+0.04)*AN168)*EXP(-(LN(2)/$D$65+0.1)*AO168),IF(AL168=3,AR$100*EXP(-(LN(2)/$D$65+0.04)*(VLOOKUP(($F$16-$F$15)-1,AK$100:AO168,4,FALSE)))*EXP(-(LN(2)/$D$65+0.1)*(VLOOKUP(($F$16-$F$15)-1,AK$100:AO168,5,FALSE)))*EXP(-(LN(2)/$D$65+0.04)*(VLOOKUP(($F$16-$F$15)*2-1,AK$100:AO168,4,FALSE)))*EXP(-(LN(2)/$D$65+0.1)*(VLOOKUP(($F$16-$F$15)*2-1,AK$100:AO168,5,FALSE)))*EXP(-(LN(2)/$D$65+0.04)*AN168)*EXP(-(LN(2)/$D$65+0.1)*AO168),"-"))),"-")</f>
        <v>-</v>
      </c>
      <c r="AS168" s="274">
        <f t="shared" si="113"/>
        <v>0</v>
      </c>
      <c r="AT168" s="274">
        <f t="shared" si="114"/>
        <v>0</v>
      </c>
      <c r="AU168" s="274">
        <f t="shared" si="115"/>
        <v>0</v>
      </c>
      <c r="AV168" s="190" t="str">
        <f>IF($B168&lt;$F$22,SUM($T$100:$T168),"")</f>
        <v/>
      </c>
      <c r="AW168" s="190" t="str">
        <f t="shared" si="116"/>
        <v>-</v>
      </c>
      <c r="AX168" s="190" t="str">
        <f t="shared" si="141"/>
        <v/>
      </c>
      <c r="AY168"/>
      <c r="AZ168" s="190" t="str">
        <f ca="1">IF(ISNUMBER(OFFSET(AV168,-$F$21,0)),SUM(OFFSET($T$100,$F$21,0):$T168),"")</f>
        <v/>
      </c>
      <c r="BA168" s="190" t="str">
        <f t="shared" ca="1" si="117"/>
        <v/>
      </c>
      <c r="BB168" s="190" t="str">
        <f t="shared" ca="1" si="70"/>
        <v/>
      </c>
      <c r="BC168" s="190"/>
      <c r="BD168" s="190" t="str">
        <f ca="1">IFERROR(IF(OR(ISNUMBER(I),ISNUMBER($F$14)),IF(AND($B168&gt;=($F$16-$F$15),$B168&lt;$F$22+($F$16-$F$15)),SUM(OFFSET($T$100,($F$16-$F$15),0):$T168),""),""),"")</f>
        <v/>
      </c>
      <c r="BE168" s="190" t="str">
        <f t="shared" ca="1" si="142"/>
        <v/>
      </c>
      <c r="BF168" s="190" t="str">
        <f t="shared" ca="1" si="143"/>
        <v/>
      </c>
      <c r="BG168"/>
      <c r="BH168" s="190" t="str">
        <f ca="1">IF(ISNUMBER(OFFSET(BD168,-$F$21,0)),SUM(OFFSET($T$100,($F$16-$F$15+$F$21),0):$T168),"")</f>
        <v/>
      </c>
      <c r="BI168" s="190" t="str">
        <f t="shared" ca="1" si="118"/>
        <v/>
      </c>
      <c r="BJ168" s="190" t="str">
        <f t="shared" ca="1" si="144"/>
        <v/>
      </c>
      <c r="BK168" s="190"/>
      <c r="BL168" s="190" t="str">
        <f ca="1">IFERROR(IF(OR(ISNUMBER(I),ISNUMBER($F$14)),IF(AND($B168&gt;=($F$17-$F$15),$B168&lt;$F$22+($F$17-$F$15)),SUM(OFFSET($T$100,($F$17-$F$15),0):$T168),""),""),"")</f>
        <v/>
      </c>
      <c r="BM168" s="190" t="str">
        <f t="shared" ca="1" si="119"/>
        <v/>
      </c>
      <c r="BN168" s="190" t="str">
        <f t="shared" ca="1" si="145"/>
        <v/>
      </c>
      <c r="BO168"/>
      <c r="BP168" s="190" t="str">
        <f ca="1">IF(ISNUMBER(OFFSET(BL168,-$F$21,0)),SUM(OFFSET($T$100,($F$17-$F$15+$F$21),0):$T168),"")</f>
        <v/>
      </c>
      <c r="BQ168" s="190" t="str">
        <f t="shared" ca="1" si="120"/>
        <v/>
      </c>
      <c r="BR168" s="190" t="str">
        <f t="shared" ca="1" si="146"/>
        <v/>
      </c>
      <c r="BS168" s="190"/>
      <c r="BT168"/>
      <c r="BU168"/>
      <c r="BV168"/>
      <c r="BY168" s="99"/>
      <c r="BZ168" s="99"/>
      <c r="CA168" s="280" t="str">
        <f t="shared" si="121"/>
        <v/>
      </c>
      <c r="CB168" s="71" t="str">
        <f t="shared" si="122"/>
        <v>-</v>
      </c>
      <c r="CC168" s="33"/>
      <c r="CD168" s="261" t="str">
        <f t="shared" si="123"/>
        <v/>
      </c>
      <c r="CE168" s="280" t="str">
        <f t="shared" si="124"/>
        <v/>
      </c>
      <c r="CF168" s="71" t="str">
        <f t="shared" ca="1" si="125"/>
        <v/>
      </c>
      <c r="CG168" s="33" t="str">
        <f t="shared" si="126"/>
        <v/>
      </c>
      <c r="CH168" s="261" t="str">
        <f t="shared" ca="1" si="127"/>
        <v/>
      </c>
      <c r="CI168" s="202"/>
      <c r="CJ168" s="99"/>
      <c r="CK168" s="99"/>
      <c r="CL168" s="99"/>
      <c r="CM168" s="99"/>
      <c r="CN168" s="99"/>
      <c r="CO168" s="99"/>
    </row>
    <row r="169" spans="2:93" ht="13.5" customHeight="1" x14ac:dyDescent="0.2">
      <c r="B169" s="262">
        <v>69</v>
      </c>
      <c r="C169" s="237" t="str">
        <f t="shared" si="91"/>
        <v/>
      </c>
      <c r="D169" s="237" t="str">
        <f t="shared" si="147"/>
        <v/>
      </c>
      <c r="E169" s="290" t="str">
        <f t="shared" si="128"/>
        <v/>
      </c>
      <c r="F169" s="264" t="str">
        <f t="shared" si="129"/>
        <v/>
      </c>
      <c r="G169" s="291" t="str">
        <f t="shared" si="130"/>
        <v/>
      </c>
      <c r="H169" s="240" t="str">
        <f t="shared" si="92"/>
        <v/>
      </c>
      <c r="I169" s="265" t="str">
        <f t="shared" si="93"/>
        <v/>
      </c>
      <c r="J169" s="265" t="str">
        <f t="shared" si="94"/>
        <v/>
      </c>
      <c r="K169" s="240" t="str">
        <f t="shared" si="95"/>
        <v/>
      </c>
      <c r="L169" s="265" t="str">
        <f t="shared" si="96"/>
        <v/>
      </c>
      <c r="M169" s="265" t="str">
        <f t="shared" si="97"/>
        <v/>
      </c>
      <c r="N169" s="240" t="str">
        <f t="shared" si="98"/>
        <v>-</v>
      </c>
      <c r="O169" s="265" t="str">
        <f t="shared" si="99"/>
        <v>-</v>
      </c>
      <c r="P169" s="265" t="str">
        <f t="shared" si="100"/>
        <v>-</v>
      </c>
      <c r="Q169" s="266" t="str">
        <f t="shared" si="101"/>
        <v>-</v>
      </c>
      <c r="R169" s="267" t="str">
        <f t="shared" si="102"/>
        <v>-</v>
      </c>
      <c r="S169" s="268" t="str">
        <f t="shared" si="103"/>
        <v>-</v>
      </c>
      <c r="T169" s="269" t="str">
        <f t="shared" si="104"/>
        <v/>
      </c>
      <c r="U169" s="221">
        <f t="shared" si="105"/>
        <v>69</v>
      </c>
      <c r="V169" s="220" t="str">
        <f t="shared" si="131"/>
        <v>-</v>
      </c>
      <c r="W169" s="221" t="str">
        <f t="shared" si="132"/>
        <v>-</v>
      </c>
      <c r="X169" s="221" t="str">
        <f t="shared" si="106"/>
        <v>-</v>
      </c>
      <c r="Y169" s="221" t="str">
        <f t="shared" si="107"/>
        <v>-</v>
      </c>
      <c r="Z169" s="270">
        <f t="shared" si="133"/>
        <v>0.1</v>
      </c>
      <c r="AA169" s="271" t="str">
        <f>IFERROR(IF(V168=1,AA$100*EXP(-(LN(2)/$D$65+0.04)*X168)*EXP(-(LN(2)/$D$65+0.1)*Y168),IF(V168=2,AA$100*EXP(-(LN(2)/$D$65+0.04)*(VLOOKUP(($F$16-$F$15)-1,U$99:Y168,4,FALSE)))*EXP(-(LN(2)/$D$65+0.1)*(VLOOKUP(($F$16-$F$15)-1,U$99:Y168,5,FALSE)))*EXP(-(LN(2)/$D$65+0.04)*X168)*EXP(-(LN(2)/$D$65+0.1)*Y168),IF(V168=3,AA$100*EXP(-(LN(2)/$D$65+0.04)*(VLOOKUP(($F$16-$F$15)-1,U$99:Y168,4,FALSE)))*EXP(-(LN(2)/$D$65+0.1)*(VLOOKUP(($F$16-$F$15)-1,U$99:Y168,5,FALSE)))*EXP(-(LN(2)/$D$65+0.04)*(VLOOKUP(($F$16-$F$15)*2-1,U$99:Y168,4,FALSE)))*EXP(-(LN(2)/$D$65+0.1)*(VLOOKUP(($F$16-$F$15)*2-1,U$99:Y168,5,FALSE)))*EXP(-(LN(2)/$D$65+0.04)*X168)*EXP(-(LN(2)/$D$65+0.1)*Y168),"-"))),"-")</f>
        <v>-</v>
      </c>
      <c r="AB169" s="271" t="str">
        <f>IFERROR(IF(V169=1,AB$100*EXP(-(LN(2)/$D$65+0.04)*X169)*EXP(-(LN(2)/$D$65+0.1)*Y169),IF(V169=2,AB$100*EXP(-(LN(2)/$D$65+0.04)*(VLOOKUP(($F$16-$F$15)-1,U$100:Y169,4,FALSE)))*EXP(-(LN(2)/$D$65+0.1)*(VLOOKUP(($F$16-$F$15)-1,U$100:Y169,5,FALSE)))*EXP(-(LN(2)/$D$65+0.04)*X169)*EXP(-(LN(2)/$D$65+0.1)*Y169),IF(V169=3,AB$100*EXP(-(LN(2)/$D$65+0.04)*(VLOOKUP(($F$16-$F$15)-1,U$100:Y169,4,FALSE)))*EXP(-(LN(2)/$D$65+0.1)*(VLOOKUP(($F$16-$F$15)-1,U$100:Y169,5,FALSE)))*EXP(-(LN(2)/$D$65+0.04)*(VLOOKUP(($F$16-$F$15)*2-1,U$100:Y169,4,FALSE)))*EXP(-(LN(2)/$D$65+0.1)*(VLOOKUP(($F$16-$F$15)*2-1,U$100:Y169,5,FALSE)))*EXP(-(LN(2)/$D$65+0.04)*X169)*EXP(-(LN(2)/$D$65+0.1)*Y169),"-"))),"-")</f>
        <v>-</v>
      </c>
      <c r="AC169" s="224">
        <f t="shared" si="134"/>
        <v>69</v>
      </c>
      <c r="AD169" s="223" t="str">
        <f t="shared" si="108"/>
        <v>-</v>
      </c>
      <c r="AE169" s="224" t="str">
        <f t="shared" si="135"/>
        <v>-</v>
      </c>
      <c r="AF169" s="224" t="str">
        <f t="shared" si="109"/>
        <v>-</v>
      </c>
      <c r="AG169" s="224" t="str">
        <f t="shared" si="110"/>
        <v>-</v>
      </c>
      <c r="AH169" s="272">
        <f t="shared" si="136"/>
        <v>0.1</v>
      </c>
      <c r="AI169" s="271" t="str">
        <f>IFERROR(IF(AD168=1,AI$100*EXP(-(LN(2)/$D$65+0.04)*AF168)*EXP(-(LN(2)/$D$65+0.1)*AG168),IF(AD168=2,AI$100*EXP(-(LN(2)/$D$65+0.04)*(VLOOKUP(($F$16-$F$15)-1,AC$99:AG168,4,FALSE)))*EXP(-(LN(2)/$D$65+0.1)*(VLOOKUP(($F$16-$F$15)-1,AC$99:AG168,5,FALSE)))*EXP(-(LN(2)/$D$65+0.04)*AF168)*EXP(-(LN(2)/$D$65+0.1)*AG168),IF(AD168=3,AI$100*EXP(-(LN(2)/$D$65+0.04)*(VLOOKUP(($F$16-$F$15)-1,AC$99:AG168,4,FALSE)))*EXP(-(LN(2)/$D$65+0.1)*(VLOOKUP(($F$16-$F$15)-1,AC$99:AG168,5,FALSE)))*EXP(-(LN(2)/$D$65+0.04)*(VLOOKUP(($F$16-$F$15)*2-1,AC$99:AG168,4,FALSE)))*EXP(-(LN(2)/$D$65+0.1)*(VLOOKUP(($F$16-$F$15)*2-1,AC$99:AG168,5,FALSE)))*EXP(-(LN(2)/$D$65+0.04)*AF168)*EXP(-(LN(2)/$D$65+0.1)*AG168),"-"))),"-")</f>
        <v>-</v>
      </c>
      <c r="AJ169" s="271" t="str">
        <f>IFERROR(IF(AD169=1,AJ$100*EXP(-(LN(2)/$D$65+0.04)*AF169)*EXP(-(LN(2)/$D$65+0.1)*AG169),IF(AD169=2,AJ$100*EXP(-(LN(2)/$D$65+0.04)*(VLOOKUP(($F$16-$F$15)-1,AC$100:AG169,4,FALSE)))*EXP(-(LN(2)/$D$65+0.1)*(VLOOKUP(($F$16-$F$15)-1,AC$100:AG169,5,FALSE)))*EXP(-(LN(2)/$D$65+0.04)*AF169)*EXP(-(LN(2)/$D$65+0.1)*AG169),IF(AD169=3,AJ$100*EXP(-(LN(2)/$D$65+0.04)*(VLOOKUP(($F$16-$F$15)-1,AC$100:AG169,4,FALSE)))*EXP(-(LN(2)/$D$65+0.1)*(VLOOKUP(($F$16-$F$15)-1,AC$100:AG169,5,FALSE)))*EXP(-(LN(2)/$D$65+0.04)*(VLOOKUP(($F$16-$F$15)*2-1,AC$100:AG169,4,FALSE)))*EXP(-(LN(2)/$D$65+0.1)*(VLOOKUP(($F$16-$F$15)*2-1,AC$100:AG169,5,FALSE)))*EXP(-(LN(2)/$D$65+0.04)*AF169)*EXP(-(LN(2)/$D$65+0.1)*AG169),"-"))),"-")</f>
        <v>-</v>
      </c>
      <c r="AK169" s="227">
        <f t="shared" si="137"/>
        <v>69</v>
      </c>
      <c r="AL169" s="226" t="str">
        <f t="shared" si="111"/>
        <v>-</v>
      </c>
      <c r="AM169" s="227" t="str">
        <f t="shared" si="138"/>
        <v>-</v>
      </c>
      <c r="AN169" s="227" t="str">
        <f t="shared" si="139"/>
        <v>-</v>
      </c>
      <c r="AO169" s="227" t="str">
        <f t="shared" si="112"/>
        <v>-</v>
      </c>
      <c r="AP169" s="273">
        <f t="shared" si="140"/>
        <v>0.1</v>
      </c>
      <c r="AQ169" s="271" t="str">
        <f>IFERROR(IF(AL168=1,AQ$100*EXP(-(LN(2)/$D$65+0.04)*AN168)*EXP(-(LN(2)/$D$65+0.1)*AO168),IF(AL168=2,AQ$100*EXP(-(LN(2)/$D$65+0.04)*(VLOOKUP(($F$16-$F$15)-1,AK$99:AO168,4,FALSE)))*EXP(-(LN(2)/$D$65+0.1)*(VLOOKUP(($F$16-$F$15)-1,AK$99:AO168,5,FALSE)))*EXP(-(LN(2)/$D$65+0.04)*AN168)*EXP(-(LN(2)/$D$65+0.1)*AO168),IF(AL168=3,AQ$100*EXP(-(LN(2)/$D$65+0.04)*(VLOOKUP(($F$16-$F$15)-1,AK$99:AO168,4,FALSE)))*EXP(-(LN(2)/$D$65+0.1)*(VLOOKUP(($F$16-$F$15)-1,AK$99:AO168,5,FALSE)))*EXP(-(LN(2)/$D$65+0.04)*(VLOOKUP(($F$16-$F$15)*2-1,AK$99:AO168,4,FALSE)))*EXP(-(LN(2)/$D$65+0.1)*(VLOOKUP(($F$16-$F$15)*2-1,AK$99:AO168,5,FALSE)))*EXP(-(LN(2)/$D$65+0.04)*AN168)*EXP(-(LN(2)/$D$65+0.1)*AO168),"-"))),"-")</f>
        <v>-</v>
      </c>
      <c r="AR169" s="271" t="str">
        <f>IFERROR(IF(AL169=1,AR$100*EXP(-(LN(2)/$D$65+0.04)*AN169)*EXP(-(LN(2)/$D$65+0.1)*AO169),IF(AL169=2,AR$100*EXP(-(LN(2)/$D$65+0.04)*(VLOOKUP(($F$16-$F$15)-1,AK$100:AO169,4,FALSE)))*EXP(-(LN(2)/$D$65+0.1)*(VLOOKUP(($F$16-$F$15)-1,AK$100:AO169,5,FALSE)))*EXP(-(LN(2)/$D$65+0.04)*AN169)*EXP(-(LN(2)/$D$65+0.1)*AO169),IF(AL169=3,AR$100*EXP(-(LN(2)/$D$65+0.04)*(VLOOKUP(($F$16-$F$15)-1,AK$100:AO169,4,FALSE)))*EXP(-(LN(2)/$D$65+0.1)*(VLOOKUP(($F$16-$F$15)-1,AK$100:AO169,5,FALSE)))*EXP(-(LN(2)/$D$65+0.04)*(VLOOKUP(($F$16-$F$15)*2-1,AK$100:AO169,4,FALSE)))*EXP(-(LN(2)/$D$65+0.1)*(VLOOKUP(($F$16-$F$15)*2-1,AK$100:AO169,5,FALSE)))*EXP(-(LN(2)/$D$65+0.04)*AN169)*EXP(-(LN(2)/$D$65+0.1)*AO169),"-"))),"-")</f>
        <v>-</v>
      </c>
      <c r="AS169" s="274">
        <f t="shared" si="113"/>
        <v>0</v>
      </c>
      <c r="AT169" s="274">
        <f t="shared" si="114"/>
        <v>0</v>
      </c>
      <c r="AU169" s="274">
        <f t="shared" si="115"/>
        <v>0</v>
      </c>
      <c r="AV169" s="190" t="str">
        <f>IF($B169&lt;$F$22,SUM($T$100:$T169),"")</f>
        <v/>
      </c>
      <c r="AW169" s="190" t="str">
        <f t="shared" si="116"/>
        <v>-</v>
      </c>
      <c r="AX169" s="190" t="str">
        <f t="shared" si="141"/>
        <v/>
      </c>
      <c r="AY169"/>
      <c r="AZ169" s="190" t="str">
        <f ca="1">IF(ISNUMBER(OFFSET(AV169,-$F$21,0)),SUM(OFFSET($T$100,$F$21,0):$T169),"")</f>
        <v/>
      </c>
      <c r="BA169" s="190" t="str">
        <f t="shared" ca="1" si="117"/>
        <v/>
      </c>
      <c r="BB169" s="190" t="str">
        <f t="shared" ca="1" si="70"/>
        <v/>
      </c>
      <c r="BC169" s="190"/>
      <c r="BD169" s="190" t="str">
        <f ca="1">IFERROR(IF(OR(ISNUMBER(I),ISNUMBER($F$14)),IF(AND($B169&gt;=($F$16-$F$15),$B169&lt;$F$22+($F$16-$F$15)),SUM(OFFSET($T$100,($F$16-$F$15),0):$T169),""),""),"")</f>
        <v/>
      </c>
      <c r="BE169" s="190" t="str">
        <f t="shared" ca="1" si="142"/>
        <v/>
      </c>
      <c r="BF169" s="190" t="str">
        <f t="shared" ca="1" si="143"/>
        <v/>
      </c>
      <c r="BG169"/>
      <c r="BH169" s="190" t="str">
        <f ca="1">IF(ISNUMBER(OFFSET(BD169,-$F$21,0)),SUM(OFFSET($T$100,($F$16-$F$15+$F$21),0):$T169),"")</f>
        <v/>
      </c>
      <c r="BI169" s="190" t="str">
        <f t="shared" ca="1" si="118"/>
        <v/>
      </c>
      <c r="BJ169" s="190" t="str">
        <f t="shared" ca="1" si="144"/>
        <v/>
      </c>
      <c r="BK169" s="190"/>
      <c r="BL169" s="190" t="str">
        <f ca="1">IFERROR(IF(OR(ISNUMBER(I),ISNUMBER($F$14)),IF(AND($B169&gt;=($F$17-$F$15),$B169&lt;$F$22+($F$17-$F$15)),SUM(OFFSET($T$100,($F$17-$F$15),0):$T169),""),""),"")</f>
        <v/>
      </c>
      <c r="BM169" s="190" t="str">
        <f t="shared" ca="1" si="119"/>
        <v/>
      </c>
      <c r="BN169" s="190" t="str">
        <f t="shared" ca="1" si="145"/>
        <v/>
      </c>
      <c r="BO169"/>
      <c r="BP169" s="190" t="str">
        <f ca="1">IF(ISNUMBER(OFFSET(BL169,-$F$21,0)),SUM(OFFSET($T$100,($F$17-$F$15+$F$21),0):$T169),"")</f>
        <v/>
      </c>
      <c r="BQ169" s="190" t="str">
        <f t="shared" ca="1" si="120"/>
        <v/>
      </c>
      <c r="BR169" s="190" t="str">
        <f t="shared" ca="1" si="146"/>
        <v/>
      </c>
      <c r="BS169" s="190"/>
      <c r="BT169"/>
      <c r="BU169"/>
      <c r="BV169"/>
      <c r="BY169" s="99"/>
      <c r="BZ169" s="99"/>
      <c r="CA169" s="280" t="str">
        <f t="shared" si="121"/>
        <v/>
      </c>
      <c r="CB169" s="71" t="str">
        <f t="shared" si="122"/>
        <v>-</v>
      </c>
      <c r="CC169" s="33"/>
      <c r="CD169" s="261" t="str">
        <f t="shared" si="123"/>
        <v/>
      </c>
      <c r="CE169" s="280" t="str">
        <f t="shared" si="124"/>
        <v/>
      </c>
      <c r="CF169" s="71" t="str">
        <f t="shared" ca="1" si="125"/>
        <v/>
      </c>
      <c r="CG169" s="33" t="str">
        <f t="shared" si="126"/>
        <v/>
      </c>
      <c r="CH169" s="261" t="str">
        <f t="shared" ca="1" si="127"/>
        <v/>
      </c>
      <c r="CI169" s="202"/>
      <c r="CJ169" s="99"/>
      <c r="CK169" s="99"/>
      <c r="CL169" s="99"/>
      <c r="CM169" s="99"/>
      <c r="CN169" s="99"/>
      <c r="CO169" s="99"/>
    </row>
    <row r="170" spans="2:93" ht="13.5" customHeight="1" x14ac:dyDescent="0.2">
      <c r="B170" s="262">
        <v>70</v>
      </c>
      <c r="C170" s="237" t="str">
        <f t="shared" si="91"/>
        <v/>
      </c>
      <c r="D170" s="237" t="str">
        <f t="shared" si="147"/>
        <v/>
      </c>
      <c r="E170" s="290" t="str">
        <f t="shared" si="128"/>
        <v/>
      </c>
      <c r="F170" s="264" t="str">
        <f t="shared" si="129"/>
        <v/>
      </c>
      <c r="G170" s="291" t="str">
        <f t="shared" si="130"/>
        <v/>
      </c>
      <c r="H170" s="240" t="str">
        <f t="shared" si="92"/>
        <v/>
      </c>
      <c r="I170" s="265" t="str">
        <f t="shared" si="93"/>
        <v/>
      </c>
      <c r="J170" s="265" t="str">
        <f t="shared" si="94"/>
        <v/>
      </c>
      <c r="K170" s="240" t="str">
        <f t="shared" si="95"/>
        <v/>
      </c>
      <c r="L170" s="265" t="str">
        <f t="shared" si="96"/>
        <v/>
      </c>
      <c r="M170" s="265" t="str">
        <f t="shared" si="97"/>
        <v/>
      </c>
      <c r="N170" s="240" t="str">
        <f t="shared" si="98"/>
        <v>-</v>
      </c>
      <c r="O170" s="265" t="str">
        <f t="shared" si="99"/>
        <v>-</v>
      </c>
      <c r="P170" s="265" t="str">
        <f t="shared" si="100"/>
        <v>-</v>
      </c>
      <c r="Q170" s="266" t="str">
        <f t="shared" si="101"/>
        <v>-</v>
      </c>
      <c r="R170" s="267" t="str">
        <f t="shared" si="102"/>
        <v>-</v>
      </c>
      <c r="S170" s="268" t="str">
        <f t="shared" si="103"/>
        <v>-</v>
      </c>
      <c r="T170" s="269" t="str">
        <f t="shared" si="104"/>
        <v/>
      </c>
      <c r="U170" s="221">
        <f t="shared" si="105"/>
        <v>70</v>
      </c>
      <c r="V170" s="220" t="str">
        <f t="shared" si="131"/>
        <v>-</v>
      </c>
      <c r="W170" s="221" t="str">
        <f t="shared" si="132"/>
        <v>-</v>
      </c>
      <c r="X170" s="221" t="str">
        <f t="shared" si="106"/>
        <v>-</v>
      </c>
      <c r="Y170" s="221" t="str">
        <f t="shared" si="107"/>
        <v>-</v>
      </c>
      <c r="Z170" s="270">
        <f t="shared" si="133"/>
        <v>0.1</v>
      </c>
      <c r="AA170" s="271" t="str">
        <f>IFERROR(IF(V169=1,AA$100*EXP(-(LN(2)/$D$65+0.04)*X169)*EXP(-(LN(2)/$D$65+0.1)*Y169),IF(V169=2,AA$100*EXP(-(LN(2)/$D$65+0.04)*(VLOOKUP(($F$16-$F$15)-1,U$99:Y169,4,FALSE)))*EXP(-(LN(2)/$D$65+0.1)*(VLOOKUP(($F$16-$F$15)-1,U$99:Y169,5,FALSE)))*EXP(-(LN(2)/$D$65+0.04)*X169)*EXP(-(LN(2)/$D$65+0.1)*Y169),IF(V169=3,AA$100*EXP(-(LN(2)/$D$65+0.04)*(VLOOKUP(($F$16-$F$15)-1,U$99:Y169,4,FALSE)))*EXP(-(LN(2)/$D$65+0.1)*(VLOOKUP(($F$16-$F$15)-1,U$99:Y169,5,FALSE)))*EXP(-(LN(2)/$D$65+0.04)*(VLOOKUP(($F$16-$F$15)*2-1,U$99:Y169,4,FALSE)))*EXP(-(LN(2)/$D$65+0.1)*(VLOOKUP(($F$16-$F$15)*2-1,U$99:Y169,5,FALSE)))*EXP(-(LN(2)/$D$65+0.04)*X169)*EXP(-(LN(2)/$D$65+0.1)*Y169),"-"))),"-")</f>
        <v>-</v>
      </c>
      <c r="AB170" s="271" t="str">
        <f>IFERROR(IF(V170=1,AB$100*EXP(-(LN(2)/$D$65+0.04)*X170)*EXP(-(LN(2)/$D$65+0.1)*Y170),IF(V170=2,AB$100*EXP(-(LN(2)/$D$65+0.04)*(VLOOKUP(($F$16-$F$15)-1,U$100:Y170,4,FALSE)))*EXP(-(LN(2)/$D$65+0.1)*(VLOOKUP(($F$16-$F$15)-1,U$100:Y170,5,FALSE)))*EXP(-(LN(2)/$D$65+0.04)*X170)*EXP(-(LN(2)/$D$65+0.1)*Y170),IF(V170=3,AB$100*EXP(-(LN(2)/$D$65+0.04)*(VLOOKUP(($F$16-$F$15)-1,U$100:Y170,4,FALSE)))*EXP(-(LN(2)/$D$65+0.1)*(VLOOKUP(($F$16-$F$15)-1,U$100:Y170,5,FALSE)))*EXP(-(LN(2)/$D$65+0.04)*(VLOOKUP(($F$16-$F$15)*2-1,U$100:Y170,4,FALSE)))*EXP(-(LN(2)/$D$65+0.1)*(VLOOKUP(($F$16-$F$15)*2-1,U$100:Y170,5,FALSE)))*EXP(-(LN(2)/$D$65+0.04)*X170)*EXP(-(LN(2)/$D$65+0.1)*Y170),"-"))),"-")</f>
        <v>-</v>
      </c>
      <c r="AC170" s="224">
        <f t="shared" si="134"/>
        <v>70</v>
      </c>
      <c r="AD170" s="223" t="str">
        <f t="shared" si="108"/>
        <v>-</v>
      </c>
      <c r="AE170" s="224" t="str">
        <f t="shared" si="135"/>
        <v>-</v>
      </c>
      <c r="AF170" s="224" t="str">
        <f t="shared" si="109"/>
        <v>-</v>
      </c>
      <c r="AG170" s="224" t="str">
        <f t="shared" si="110"/>
        <v>-</v>
      </c>
      <c r="AH170" s="272">
        <f t="shared" si="136"/>
        <v>0.1</v>
      </c>
      <c r="AI170" s="271" t="str">
        <f>IFERROR(IF(AD169=1,AI$100*EXP(-(LN(2)/$D$65+0.04)*AF169)*EXP(-(LN(2)/$D$65+0.1)*AG169),IF(AD169=2,AI$100*EXP(-(LN(2)/$D$65+0.04)*(VLOOKUP(($F$16-$F$15)-1,AC$99:AG169,4,FALSE)))*EXP(-(LN(2)/$D$65+0.1)*(VLOOKUP(($F$16-$F$15)-1,AC$99:AG169,5,FALSE)))*EXP(-(LN(2)/$D$65+0.04)*AF169)*EXP(-(LN(2)/$D$65+0.1)*AG169),IF(AD169=3,AI$100*EXP(-(LN(2)/$D$65+0.04)*(VLOOKUP(($F$16-$F$15)-1,AC$99:AG169,4,FALSE)))*EXP(-(LN(2)/$D$65+0.1)*(VLOOKUP(($F$16-$F$15)-1,AC$99:AG169,5,FALSE)))*EXP(-(LN(2)/$D$65+0.04)*(VLOOKUP(($F$16-$F$15)*2-1,AC$99:AG169,4,FALSE)))*EXP(-(LN(2)/$D$65+0.1)*(VLOOKUP(($F$16-$F$15)*2-1,AC$99:AG169,5,FALSE)))*EXP(-(LN(2)/$D$65+0.04)*AF169)*EXP(-(LN(2)/$D$65+0.1)*AG169),"-"))),"-")</f>
        <v>-</v>
      </c>
      <c r="AJ170" s="271" t="str">
        <f>IFERROR(IF(AD170=1,AJ$100*EXP(-(LN(2)/$D$65+0.04)*AF170)*EXP(-(LN(2)/$D$65+0.1)*AG170),IF(AD170=2,AJ$100*EXP(-(LN(2)/$D$65+0.04)*(VLOOKUP(($F$16-$F$15)-1,AC$100:AG170,4,FALSE)))*EXP(-(LN(2)/$D$65+0.1)*(VLOOKUP(($F$16-$F$15)-1,AC$100:AG170,5,FALSE)))*EXP(-(LN(2)/$D$65+0.04)*AF170)*EXP(-(LN(2)/$D$65+0.1)*AG170),IF(AD170=3,AJ$100*EXP(-(LN(2)/$D$65+0.04)*(VLOOKUP(($F$16-$F$15)-1,AC$100:AG170,4,FALSE)))*EXP(-(LN(2)/$D$65+0.1)*(VLOOKUP(($F$16-$F$15)-1,AC$100:AG170,5,FALSE)))*EXP(-(LN(2)/$D$65+0.04)*(VLOOKUP(($F$16-$F$15)*2-1,AC$100:AG170,4,FALSE)))*EXP(-(LN(2)/$D$65+0.1)*(VLOOKUP(($F$16-$F$15)*2-1,AC$100:AG170,5,FALSE)))*EXP(-(LN(2)/$D$65+0.04)*AF170)*EXP(-(LN(2)/$D$65+0.1)*AG170),"-"))),"-")</f>
        <v>-</v>
      </c>
      <c r="AK170" s="227">
        <f t="shared" si="137"/>
        <v>70</v>
      </c>
      <c r="AL170" s="226" t="str">
        <f t="shared" si="111"/>
        <v>-</v>
      </c>
      <c r="AM170" s="227" t="str">
        <f t="shared" si="138"/>
        <v>-</v>
      </c>
      <c r="AN170" s="227" t="str">
        <f t="shared" si="139"/>
        <v>-</v>
      </c>
      <c r="AO170" s="227" t="str">
        <f t="shared" si="112"/>
        <v>-</v>
      </c>
      <c r="AP170" s="273">
        <f t="shared" si="140"/>
        <v>0.1</v>
      </c>
      <c r="AQ170" s="271" t="str">
        <f>IFERROR(IF(AL169=1,AQ$100*EXP(-(LN(2)/$D$65+0.04)*AN169)*EXP(-(LN(2)/$D$65+0.1)*AO169),IF(AL169=2,AQ$100*EXP(-(LN(2)/$D$65+0.04)*(VLOOKUP(($F$16-$F$15)-1,AK$99:AO169,4,FALSE)))*EXP(-(LN(2)/$D$65+0.1)*(VLOOKUP(($F$16-$F$15)-1,AK$99:AO169,5,FALSE)))*EXP(-(LN(2)/$D$65+0.04)*AN169)*EXP(-(LN(2)/$D$65+0.1)*AO169),IF(AL169=3,AQ$100*EXP(-(LN(2)/$D$65+0.04)*(VLOOKUP(($F$16-$F$15)-1,AK$99:AO169,4,FALSE)))*EXP(-(LN(2)/$D$65+0.1)*(VLOOKUP(($F$16-$F$15)-1,AK$99:AO169,5,FALSE)))*EXP(-(LN(2)/$D$65+0.04)*(VLOOKUP(($F$16-$F$15)*2-1,AK$99:AO169,4,FALSE)))*EXP(-(LN(2)/$D$65+0.1)*(VLOOKUP(($F$16-$F$15)*2-1,AK$99:AO169,5,FALSE)))*EXP(-(LN(2)/$D$65+0.04)*AN169)*EXP(-(LN(2)/$D$65+0.1)*AO169),"-"))),"-")</f>
        <v>-</v>
      </c>
      <c r="AR170" s="271" t="str">
        <f>IFERROR(IF(AL170=1,AR$100*EXP(-(LN(2)/$D$65+0.04)*AN170)*EXP(-(LN(2)/$D$65+0.1)*AO170),IF(AL170=2,AR$100*EXP(-(LN(2)/$D$65+0.04)*(VLOOKUP(($F$16-$F$15)-1,AK$100:AO170,4,FALSE)))*EXP(-(LN(2)/$D$65+0.1)*(VLOOKUP(($F$16-$F$15)-1,AK$100:AO170,5,FALSE)))*EXP(-(LN(2)/$D$65+0.04)*AN170)*EXP(-(LN(2)/$D$65+0.1)*AO170),IF(AL170=3,AR$100*EXP(-(LN(2)/$D$65+0.04)*(VLOOKUP(($F$16-$F$15)-1,AK$100:AO170,4,FALSE)))*EXP(-(LN(2)/$D$65+0.1)*(VLOOKUP(($F$16-$F$15)-1,AK$100:AO170,5,FALSE)))*EXP(-(LN(2)/$D$65+0.04)*(VLOOKUP(($F$16-$F$15)*2-1,AK$100:AO170,4,FALSE)))*EXP(-(LN(2)/$D$65+0.1)*(VLOOKUP(($F$16-$F$15)*2-1,AK$100:AO170,5,FALSE)))*EXP(-(LN(2)/$D$65+0.04)*AN170)*EXP(-(LN(2)/$D$65+0.1)*AO170),"-"))),"-")</f>
        <v>-</v>
      </c>
      <c r="AS170" s="274">
        <f t="shared" si="113"/>
        <v>0</v>
      </c>
      <c r="AT170" s="274">
        <f t="shared" si="114"/>
        <v>0</v>
      </c>
      <c r="AU170" s="274">
        <f t="shared" si="115"/>
        <v>0</v>
      </c>
      <c r="AV170" s="190" t="str">
        <f>IF($B170&lt;$F$22,SUM($T$100:$T170),"")</f>
        <v/>
      </c>
      <c r="AW170" s="190" t="str">
        <f t="shared" si="116"/>
        <v>-</v>
      </c>
      <c r="AX170" s="190" t="str">
        <f t="shared" si="141"/>
        <v/>
      </c>
      <c r="AY170"/>
      <c r="AZ170" s="190" t="str">
        <f ca="1">IF(ISNUMBER(OFFSET(AV170,-$F$21,0)),SUM(OFFSET($T$100,$F$21,0):$T170),"")</f>
        <v/>
      </c>
      <c r="BA170" s="190" t="str">
        <f t="shared" ca="1" si="117"/>
        <v/>
      </c>
      <c r="BB170" s="190" t="str">
        <f t="shared" ca="1" si="70"/>
        <v/>
      </c>
      <c r="BC170" s="190"/>
      <c r="BD170" s="190" t="str">
        <f ca="1">IFERROR(IF(OR(ISNUMBER(I),ISNUMBER($F$14)),IF(AND($B170&gt;=($F$16-$F$15),$B170&lt;$F$22+($F$16-$F$15)),SUM(OFFSET($T$100,($F$16-$F$15),0):$T170),""),""),"")</f>
        <v/>
      </c>
      <c r="BE170" s="190" t="str">
        <f t="shared" ca="1" si="142"/>
        <v/>
      </c>
      <c r="BF170" s="190" t="str">
        <f t="shared" ca="1" si="143"/>
        <v/>
      </c>
      <c r="BG170"/>
      <c r="BH170" s="190" t="str">
        <f ca="1">IF(ISNUMBER(OFFSET(BD170,-$F$21,0)),SUM(OFFSET($T$100,($F$16-$F$15+$F$21),0):$T170),"")</f>
        <v/>
      </c>
      <c r="BI170" s="190" t="str">
        <f t="shared" ca="1" si="118"/>
        <v/>
      </c>
      <c r="BJ170" s="190" t="str">
        <f t="shared" ca="1" si="144"/>
        <v/>
      </c>
      <c r="BK170" s="190"/>
      <c r="BL170" s="190" t="str">
        <f ca="1">IFERROR(IF(OR(ISNUMBER(I),ISNUMBER($F$14)),IF(AND($B170&gt;=($F$17-$F$15),$B170&lt;$F$22+($F$17-$F$15)),SUM(OFFSET($T$100,($F$17-$F$15),0):$T170),""),""),"")</f>
        <v/>
      </c>
      <c r="BM170" s="190" t="str">
        <f t="shared" ca="1" si="119"/>
        <v/>
      </c>
      <c r="BN170" s="190" t="str">
        <f t="shared" ca="1" si="145"/>
        <v/>
      </c>
      <c r="BO170"/>
      <c r="BP170" s="190" t="str">
        <f ca="1">IF(ISNUMBER(OFFSET(BL170,-$F$21,0)),SUM(OFFSET($T$100,($F$17-$F$15+$F$21),0):$T170),"")</f>
        <v/>
      </c>
      <c r="BQ170" s="190" t="str">
        <f t="shared" ca="1" si="120"/>
        <v/>
      </c>
      <c r="BR170" s="190" t="str">
        <f t="shared" ca="1" si="146"/>
        <v/>
      </c>
      <c r="BS170" s="190"/>
      <c r="BT170"/>
      <c r="BU170"/>
      <c r="BV170"/>
      <c r="BY170" s="99"/>
      <c r="BZ170" s="99"/>
      <c r="CA170" s="280" t="str">
        <f t="shared" si="121"/>
        <v/>
      </c>
      <c r="CB170" s="71" t="str">
        <f t="shared" si="122"/>
        <v>-</v>
      </c>
      <c r="CC170" s="33"/>
      <c r="CD170" s="261" t="str">
        <f t="shared" si="123"/>
        <v/>
      </c>
      <c r="CE170" s="280" t="str">
        <f t="shared" si="124"/>
        <v/>
      </c>
      <c r="CF170" s="71" t="str">
        <f t="shared" ca="1" si="125"/>
        <v/>
      </c>
      <c r="CG170" s="33" t="str">
        <f t="shared" si="126"/>
        <v/>
      </c>
      <c r="CH170" s="261" t="str">
        <f t="shared" ca="1" si="127"/>
        <v/>
      </c>
      <c r="CI170" s="202"/>
      <c r="CJ170" s="99"/>
      <c r="CK170" s="99"/>
      <c r="CL170" s="99"/>
      <c r="CM170" s="99"/>
      <c r="CN170" s="99"/>
      <c r="CO170" s="99"/>
    </row>
    <row r="171" spans="2:93" ht="13.5" customHeight="1" x14ac:dyDescent="0.2">
      <c r="B171" s="262">
        <v>71</v>
      </c>
      <c r="C171" s="237" t="str">
        <f t="shared" si="91"/>
        <v/>
      </c>
      <c r="D171" s="237" t="str">
        <f t="shared" si="147"/>
        <v/>
      </c>
      <c r="E171" s="290" t="str">
        <f t="shared" si="128"/>
        <v/>
      </c>
      <c r="F171" s="264" t="str">
        <f t="shared" si="129"/>
        <v/>
      </c>
      <c r="G171" s="291" t="str">
        <f t="shared" si="130"/>
        <v/>
      </c>
      <c r="H171" s="240" t="str">
        <f t="shared" si="92"/>
        <v/>
      </c>
      <c r="I171" s="265" t="str">
        <f t="shared" si="93"/>
        <v/>
      </c>
      <c r="J171" s="265" t="str">
        <f t="shared" si="94"/>
        <v/>
      </c>
      <c r="K171" s="240" t="str">
        <f t="shared" si="95"/>
        <v/>
      </c>
      <c r="L171" s="265" t="str">
        <f t="shared" si="96"/>
        <v/>
      </c>
      <c r="M171" s="265" t="str">
        <f t="shared" si="97"/>
        <v/>
      </c>
      <c r="N171" s="240" t="str">
        <f t="shared" si="98"/>
        <v>-</v>
      </c>
      <c r="O171" s="265" t="str">
        <f t="shared" si="99"/>
        <v>-</v>
      </c>
      <c r="P171" s="265" t="str">
        <f t="shared" si="100"/>
        <v>-</v>
      </c>
      <c r="Q171" s="266" t="str">
        <f t="shared" si="101"/>
        <v>-</v>
      </c>
      <c r="R171" s="267" t="str">
        <f t="shared" si="102"/>
        <v>-</v>
      </c>
      <c r="S171" s="268" t="str">
        <f t="shared" si="103"/>
        <v>-</v>
      </c>
      <c r="T171" s="269" t="str">
        <f t="shared" si="104"/>
        <v/>
      </c>
      <c r="U171" s="221">
        <f t="shared" si="105"/>
        <v>71</v>
      </c>
      <c r="V171" s="220" t="str">
        <f t="shared" si="131"/>
        <v>-</v>
      </c>
      <c r="W171" s="221" t="str">
        <f t="shared" si="132"/>
        <v>-</v>
      </c>
      <c r="X171" s="221" t="str">
        <f t="shared" si="106"/>
        <v>-</v>
      </c>
      <c r="Y171" s="221" t="str">
        <f t="shared" si="107"/>
        <v>-</v>
      </c>
      <c r="Z171" s="270">
        <f t="shared" si="133"/>
        <v>0.1</v>
      </c>
      <c r="AA171" s="271" t="str">
        <f>IFERROR(IF(V170=1,AA$100*EXP(-(LN(2)/$D$65+0.04)*X170)*EXP(-(LN(2)/$D$65+0.1)*Y170),IF(V170=2,AA$100*EXP(-(LN(2)/$D$65+0.04)*(VLOOKUP(($F$16-$F$15)-1,U$99:Y170,4,FALSE)))*EXP(-(LN(2)/$D$65+0.1)*(VLOOKUP(($F$16-$F$15)-1,U$99:Y170,5,FALSE)))*EXP(-(LN(2)/$D$65+0.04)*X170)*EXP(-(LN(2)/$D$65+0.1)*Y170),IF(V170=3,AA$100*EXP(-(LN(2)/$D$65+0.04)*(VLOOKUP(($F$16-$F$15)-1,U$99:Y170,4,FALSE)))*EXP(-(LN(2)/$D$65+0.1)*(VLOOKUP(($F$16-$F$15)-1,U$99:Y170,5,FALSE)))*EXP(-(LN(2)/$D$65+0.04)*(VLOOKUP(($F$16-$F$15)*2-1,U$99:Y170,4,FALSE)))*EXP(-(LN(2)/$D$65+0.1)*(VLOOKUP(($F$16-$F$15)*2-1,U$99:Y170,5,FALSE)))*EXP(-(LN(2)/$D$65+0.04)*X170)*EXP(-(LN(2)/$D$65+0.1)*Y170),"-"))),"-")</f>
        <v>-</v>
      </c>
      <c r="AB171" s="271" t="str">
        <f>IFERROR(IF(V171=1,AB$100*EXP(-(LN(2)/$D$65+0.04)*X171)*EXP(-(LN(2)/$D$65+0.1)*Y171),IF(V171=2,AB$100*EXP(-(LN(2)/$D$65+0.04)*(VLOOKUP(($F$16-$F$15)-1,U$100:Y171,4,FALSE)))*EXP(-(LN(2)/$D$65+0.1)*(VLOOKUP(($F$16-$F$15)-1,U$100:Y171,5,FALSE)))*EXP(-(LN(2)/$D$65+0.04)*X171)*EXP(-(LN(2)/$D$65+0.1)*Y171),IF(V171=3,AB$100*EXP(-(LN(2)/$D$65+0.04)*(VLOOKUP(($F$16-$F$15)-1,U$100:Y171,4,FALSE)))*EXP(-(LN(2)/$D$65+0.1)*(VLOOKUP(($F$16-$F$15)-1,U$100:Y171,5,FALSE)))*EXP(-(LN(2)/$D$65+0.04)*(VLOOKUP(($F$16-$F$15)*2-1,U$100:Y171,4,FALSE)))*EXP(-(LN(2)/$D$65+0.1)*(VLOOKUP(($F$16-$F$15)*2-1,U$100:Y171,5,FALSE)))*EXP(-(LN(2)/$D$65+0.04)*X171)*EXP(-(LN(2)/$D$65+0.1)*Y171),"-"))),"-")</f>
        <v>-</v>
      </c>
      <c r="AC171" s="224">
        <f t="shared" si="134"/>
        <v>71</v>
      </c>
      <c r="AD171" s="223" t="str">
        <f t="shared" si="108"/>
        <v>-</v>
      </c>
      <c r="AE171" s="224" t="str">
        <f t="shared" si="135"/>
        <v>-</v>
      </c>
      <c r="AF171" s="224" t="str">
        <f t="shared" si="109"/>
        <v>-</v>
      </c>
      <c r="AG171" s="224" t="str">
        <f t="shared" si="110"/>
        <v>-</v>
      </c>
      <c r="AH171" s="272">
        <f t="shared" si="136"/>
        <v>0.1</v>
      </c>
      <c r="AI171" s="271" t="str">
        <f>IFERROR(IF(AD170=1,AI$100*EXP(-(LN(2)/$D$65+0.04)*AF170)*EXP(-(LN(2)/$D$65+0.1)*AG170),IF(AD170=2,AI$100*EXP(-(LN(2)/$D$65+0.04)*(VLOOKUP(($F$16-$F$15)-1,AC$99:AG170,4,FALSE)))*EXP(-(LN(2)/$D$65+0.1)*(VLOOKUP(($F$16-$F$15)-1,AC$99:AG170,5,FALSE)))*EXP(-(LN(2)/$D$65+0.04)*AF170)*EXP(-(LN(2)/$D$65+0.1)*AG170),IF(AD170=3,AI$100*EXP(-(LN(2)/$D$65+0.04)*(VLOOKUP(($F$16-$F$15)-1,AC$99:AG170,4,FALSE)))*EXP(-(LN(2)/$D$65+0.1)*(VLOOKUP(($F$16-$F$15)-1,AC$99:AG170,5,FALSE)))*EXP(-(LN(2)/$D$65+0.04)*(VLOOKUP(($F$16-$F$15)*2-1,AC$99:AG170,4,FALSE)))*EXP(-(LN(2)/$D$65+0.1)*(VLOOKUP(($F$16-$F$15)*2-1,AC$99:AG170,5,FALSE)))*EXP(-(LN(2)/$D$65+0.04)*AF170)*EXP(-(LN(2)/$D$65+0.1)*AG170),"-"))),"-")</f>
        <v>-</v>
      </c>
      <c r="AJ171" s="271" t="str">
        <f>IFERROR(IF(AD171=1,AJ$100*EXP(-(LN(2)/$D$65+0.04)*AF171)*EXP(-(LN(2)/$D$65+0.1)*AG171),IF(AD171=2,AJ$100*EXP(-(LN(2)/$D$65+0.04)*(VLOOKUP(($F$16-$F$15)-1,AC$100:AG171,4,FALSE)))*EXP(-(LN(2)/$D$65+0.1)*(VLOOKUP(($F$16-$F$15)-1,AC$100:AG171,5,FALSE)))*EXP(-(LN(2)/$D$65+0.04)*AF171)*EXP(-(LN(2)/$D$65+0.1)*AG171),IF(AD171=3,AJ$100*EXP(-(LN(2)/$D$65+0.04)*(VLOOKUP(($F$16-$F$15)-1,AC$100:AG171,4,FALSE)))*EXP(-(LN(2)/$D$65+0.1)*(VLOOKUP(($F$16-$F$15)-1,AC$100:AG171,5,FALSE)))*EXP(-(LN(2)/$D$65+0.04)*(VLOOKUP(($F$16-$F$15)*2-1,AC$100:AG171,4,FALSE)))*EXP(-(LN(2)/$D$65+0.1)*(VLOOKUP(($F$16-$F$15)*2-1,AC$100:AG171,5,FALSE)))*EXP(-(LN(2)/$D$65+0.04)*AF171)*EXP(-(LN(2)/$D$65+0.1)*AG171),"-"))),"-")</f>
        <v>-</v>
      </c>
      <c r="AK171" s="227">
        <f t="shared" si="137"/>
        <v>71</v>
      </c>
      <c r="AL171" s="226" t="str">
        <f t="shared" si="111"/>
        <v>-</v>
      </c>
      <c r="AM171" s="227" t="str">
        <f t="shared" si="138"/>
        <v>-</v>
      </c>
      <c r="AN171" s="227" t="str">
        <f t="shared" si="139"/>
        <v>-</v>
      </c>
      <c r="AO171" s="227" t="str">
        <f t="shared" si="112"/>
        <v>-</v>
      </c>
      <c r="AP171" s="273">
        <f t="shared" si="140"/>
        <v>0.1</v>
      </c>
      <c r="AQ171" s="271" t="str">
        <f>IFERROR(IF(AL170=1,AQ$100*EXP(-(LN(2)/$D$65+0.04)*AN170)*EXP(-(LN(2)/$D$65+0.1)*AO170),IF(AL170=2,AQ$100*EXP(-(LN(2)/$D$65+0.04)*(VLOOKUP(($F$16-$F$15)-1,AK$99:AO170,4,FALSE)))*EXP(-(LN(2)/$D$65+0.1)*(VLOOKUP(($F$16-$F$15)-1,AK$99:AO170,5,FALSE)))*EXP(-(LN(2)/$D$65+0.04)*AN170)*EXP(-(LN(2)/$D$65+0.1)*AO170),IF(AL170=3,AQ$100*EXP(-(LN(2)/$D$65+0.04)*(VLOOKUP(($F$16-$F$15)-1,AK$99:AO170,4,FALSE)))*EXP(-(LN(2)/$D$65+0.1)*(VLOOKUP(($F$16-$F$15)-1,AK$99:AO170,5,FALSE)))*EXP(-(LN(2)/$D$65+0.04)*(VLOOKUP(($F$16-$F$15)*2-1,AK$99:AO170,4,FALSE)))*EXP(-(LN(2)/$D$65+0.1)*(VLOOKUP(($F$16-$F$15)*2-1,AK$99:AO170,5,FALSE)))*EXP(-(LN(2)/$D$65+0.04)*AN170)*EXP(-(LN(2)/$D$65+0.1)*AO170),"-"))),"-")</f>
        <v>-</v>
      </c>
      <c r="AR171" s="271" t="str">
        <f>IFERROR(IF(AL171=1,AR$100*EXP(-(LN(2)/$D$65+0.04)*AN171)*EXP(-(LN(2)/$D$65+0.1)*AO171),IF(AL171=2,AR$100*EXP(-(LN(2)/$D$65+0.04)*(VLOOKUP(($F$16-$F$15)-1,AK$100:AO171,4,FALSE)))*EXP(-(LN(2)/$D$65+0.1)*(VLOOKUP(($F$16-$F$15)-1,AK$100:AO171,5,FALSE)))*EXP(-(LN(2)/$D$65+0.04)*AN171)*EXP(-(LN(2)/$D$65+0.1)*AO171),IF(AL171=3,AR$100*EXP(-(LN(2)/$D$65+0.04)*(VLOOKUP(($F$16-$F$15)-1,AK$100:AO171,4,FALSE)))*EXP(-(LN(2)/$D$65+0.1)*(VLOOKUP(($F$16-$F$15)-1,AK$100:AO171,5,FALSE)))*EXP(-(LN(2)/$D$65+0.04)*(VLOOKUP(($F$16-$F$15)*2-1,AK$100:AO171,4,FALSE)))*EXP(-(LN(2)/$D$65+0.1)*(VLOOKUP(($F$16-$F$15)*2-1,AK$100:AO171,5,FALSE)))*EXP(-(LN(2)/$D$65+0.04)*AN171)*EXP(-(LN(2)/$D$65+0.1)*AO171),"-"))),"-")</f>
        <v>-</v>
      </c>
      <c r="AS171" s="274">
        <f t="shared" si="113"/>
        <v>0</v>
      </c>
      <c r="AT171" s="274">
        <f t="shared" si="114"/>
        <v>0</v>
      </c>
      <c r="AU171" s="274">
        <f t="shared" si="115"/>
        <v>0</v>
      </c>
      <c r="AV171" s="190" t="str">
        <f>IF($B171&lt;$F$22,SUM($T$100:$T171),"")</f>
        <v/>
      </c>
      <c r="AW171" s="190" t="str">
        <f t="shared" si="116"/>
        <v>-</v>
      </c>
      <c r="AX171" s="190" t="str">
        <f t="shared" si="141"/>
        <v/>
      </c>
      <c r="AY171"/>
      <c r="AZ171" s="190" t="str">
        <f ca="1">IF(ISNUMBER(OFFSET(AV171,-$F$21,0)),SUM(OFFSET($T$100,$F$21,0):$T171),"")</f>
        <v/>
      </c>
      <c r="BA171" s="190" t="str">
        <f t="shared" ca="1" si="117"/>
        <v/>
      </c>
      <c r="BB171" s="190" t="str">
        <f t="shared" ca="1" si="70"/>
        <v/>
      </c>
      <c r="BC171" s="190"/>
      <c r="BD171" s="190" t="str">
        <f ca="1">IFERROR(IF(OR(ISNUMBER(I),ISNUMBER($F$14)),IF(AND($B171&gt;=($F$16-$F$15),$B171&lt;$F$22+($F$16-$F$15)),SUM(OFFSET($T$100,($F$16-$F$15),0):$T171),""),""),"")</f>
        <v/>
      </c>
      <c r="BE171" s="190" t="str">
        <f t="shared" ca="1" si="142"/>
        <v/>
      </c>
      <c r="BF171" s="190" t="str">
        <f t="shared" ca="1" si="143"/>
        <v/>
      </c>
      <c r="BG171"/>
      <c r="BH171" s="190" t="str">
        <f ca="1">IF(ISNUMBER(OFFSET(BD171,-$F$21,0)),SUM(OFFSET($T$100,($F$16-$F$15+$F$21),0):$T171),"")</f>
        <v/>
      </c>
      <c r="BI171" s="190" t="str">
        <f t="shared" ca="1" si="118"/>
        <v/>
      </c>
      <c r="BJ171" s="190" t="str">
        <f t="shared" ca="1" si="144"/>
        <v/>
      </c>
      <c r="BK171" s="190"/>
      <c r="BL171" s="190" t="str">
        <f ca="1">IFERROR(IF(OR(ISNUMBER(I),ISNUMBER($F$14)),IF(AND($B171&gt;=($F$17-$F$15),$B171&lt;$F$22+($F$17-$F$15)),SUM(OFFSET($T$100,($F$17-$F$15),0):$T171),""),""),"")</f>
        <v/>
      </c>
      <c r="BM171" s="190" t="str">
        <f t="shared" ca="1" si="119"/>
        <v/>
      </c>
      <c r="BN171" s="190" t="str">
        <f t="shared" ca="1" si="145"/>
        <v/>
      </c>
      <c r="BO171"/>
      <c r="BP171" s="190" t="str">
        <f ca="1">IF(ISNUMBER(OFFSET(BL171,-$F$21,0)),SUM(OFFSET($T$100,($F$17-$F$15+$F$21),0):$T171),"")</f>
        <v/>
      </c>
      <c r="BQ171" s="190" t="str">
        <f t="shared" ca="1" si="120"/>
        <v/>
      </c>
      <c r="BR171" s="190" t="str">
        <f t="shared" ca="1" si="146"/>
        <v/>
      </c>
      <c r="BS171" s="190"/>
      <c r="BT171"/>
      <c r="BU171"/>
      <c r="BV171"/>
      <c r="BY171" s="99"/>
      <c r="BZ171" s="99"/>
      <c r="CA171" s="280" t="str">
        <f t="shared" si="121"/>
        <v/>
      </c>
      <c r="CB171" s="71" t="str">
        <f t="shared" si="122"/>
        <v>-</v>
      </c>
      <c r="CC171" s="33"/>
      <c r="CD171" s="261" t="str">
        <f t="shared" si="123"/>
        <v/>
      </c>
      <c r="CE171" s="280" t="str">
        <f t="shared" si="124"/>
        <v/>
      </c>
      <c r="CF171" s="71" t="str">
        <f t="shared" ca="1" si="125"/>
        <v/>
      </c>
      <c r="CG171" s="33" t="str">
        <f t="shared" si="126"/>
        <v/>
      </c>
      <c r="CH171" s="261" t="str">
        <f t="shared" ca="1" si="127"/>
        <v/>
      </c>
      <c r="CI171" s="202"/>
      <c r="CJ171" s="99"/>
      <c r="CK171" s="99"/>
      <c r="CL171" s="99"/>
      <c r="CM171" s="99"/>
      <c r="CN171" s="99"/>
      <c r="CO171" s="99"/>
    </row>
    <row r="172" spans="2:93" ht="13.5" customHeight="1" x14ac:dyDescent="0.2">
      <c r="B172" s="262">
        <v>72</v>
      </c>
      <c r="C172" s="237" t="str">
        <f t="shared" si="91"/>
        <v/>
      </c>
      <c r="D172" s="237" t="str">
        <f t="shared" si="147"/>
        <v/>
      </c>
      <c r="E172" s="290" t="str">
        <f t="shared" si="128"/>
        <v/>
      </c>
      <c r="F172" s="264" t="str">
        <f t="shared" si="129"/>
        <v/>
      </c>
      <c r="G172" s="291" t="str">
        <f t="shared" si="130"/>
        <v/>
      </c>
      <c r="H172" s="240" t="str">
        <f t="shared" si="92"/>
        <v/>
      </c>
      <c r="I172" s="265" t="str">
        <f t="shared" si="93"/>
        <v/>
      </c>
      <c r="J172" s="265" t="str">
        <f t="shared" si="94"/>
        <v/>
      </c>
      <c r="K172" s="240" t="str">
        <f t="shared" si="95"/>
        <v/>
      </c>
      <c r="L172" s="265" t="str">
        <f t="shared" si="96"/>
        <v/>
      </c>
      <c r="M172" s="265" t="str">
        <f t="shared" si="97"/>
        <v/>
      </c>
      <c r="N172" s="240" t="str">
        <f t="shared" si="98"/>
        <v>-</v>
      </c>
      <c r="O172" s="265" t="str">
        <f t="shared" si="99"/>
        <v>-</v>
      </c>
      <c r="P172" s="265" t="str">
        <f t="shared" si="100"/>
        <v>-</v>
      </c>
      <c r="Q172" s="266" t="str">
        <f t="shared" si="101"/>
        <v>-</v>
      </c>
      <c r="R172" s="267" t="str">
        <f t="shared" si="102"/>
        <v>-</v>
      </c>
      <c r="S172" s="268" t="str">
        <f t="shared" si="103"/>
        <v>-</v>
      </c>
      <c r="T172" s="269" t="str">
        <f t="shared" si="104"/>
        <v/>
      </c>
      <c r="U172" s="221">
        <f t="shared" si="105"/>
        <v>72</v>
      </c>
      <c r="V172" s="220" t="str">
        <f t="shared" si="131"/>
        <v>-</v>
      </c>
      <c r="W172" s="221" t="str">
        <f t="shared" si="132"/>
        <v>-</v>
      </c>
      <c r="X172" s="221" t="str">
        <f t="shared" si="106"/>
        <v>-</v>
      </c>
      <c r="Y172" s="221" t="str">
        <f t="shared" si="107"/>
        <v>-</v>
      </c>
      <c r="Z172" s="270">
        <f t="shared" si="133"/>
        <v>0.1</v>
      </c>
      <c r="AA172" s="271" t="str">
        <f>IFERROR(IF(V171=1,AA$100*EXP(-(LN(2)/$D$65+0.04)*X171)*EXP(-(LN(2)/$D$65+0.1)*Y171),IF(V171=2,AA$100*EXP(-(LN(2)/$D$65+0.04)*(VLOOKUP(($F$16-$F$15)-1,U$99:Y171,4,FALSE)))*EXP(-(LN(2)/$D$65+0.1)*(VLOOKUP(($F$16-$F$15)-1,U$99:Y171,5,FALSE)))*EXP(-(LN(2)/$D$65+0.04)*X171)*EXP(-(LN(2)/$D$65+0.1)*Y171),IF(V171=3,AA$100*EXP(-(LN(2)/$D$65+0.04)*(VLOOKUP(($F$16-$F$15)-1,U$99:Y171,4,FALSE)))*EXP(-(LN(2)/$D$65+0.1)*(VLOOKUP(($F$16-$F$15)-1,U$99:Y171,5,FALSE)))*EXP(-(LN(2)/$D$65+0.04)*(VLOOKUP(($F$16-$F$15)*2-1,U$99:Y171,4,FALSE)))*EXP(-(LN(2)/$D$65+0.1)*(VLOOKUP(($F$16-$F$15)*2-1,U$99:Y171,5,FALSE)))*EXP(-(LN(2)/$D$65+0.04)*X171)*EXP(-(LN(2)/$D$65+0.1)*Y171),"-"))),"-")</f>
        <v>-</v>
      </c>
      <c r="AB172" s="271" t="str">
        <f>IFERROR(IF(V172=1,AB$100*EXP(-(LN(2)/$D$65+0.04)*X172)*EXP(-(LN(2)/$D$65+0.1)*Y172),IF(V172=2,AB$100*EXP(-(LN(2)/$D$65+0.04)*(VLOOKUP(($F$16-$F$15)-1,U$100:Y172,4,FALSE)))*EXP(-(LN(2)/$D$65+0.1)*(VLOOKUP(($F$16-$F$15)-1,U$100:Y172,5,FALSE)))*EXP(-(LN(2)/$D$65+0.04)*X172)*EXP(-(LN(2)/$D$65+0.1)*Y172),IF(V172=3,AB$100*EXP(-(LN(2)/$D$65+0.04)*(VLOOKUP(($F$16-$F$15)-1,U$100:Y172,4,FALSE)))*EXP(-(LN(2)/$D$65+0.1)*(VLOOKUP(($F$16-$F$15)-1,U$100:Y172,5,FALSE)))*EXP(-(LN(2)/$D$65+0.04)*(VLOOKUP(($F$16-$F$15)*2-1,U$100:Y172,4,FALSE)))*EXP(-(LN(2)/$D$65+0.1)*(VLOOKUP(($F$16-$F$15)*2-1,U$100:Y172,5,FALSE)))*EXP(-(LN(2)/$D$65+0.04)*X172)*EXP(-(LN(2)/$D$65+0.1)*Y172),"-"))),"-")</f>
        <v>-</v>
      </c>
      <c r="AC172" s="224">
        <f t="shared" si="134"/>
        <v>72</v>
      </c>
      <c r="AD172" s="223" t="str">
        <f t="shared" si="108"/>
        <v>-</v>
      </c>
      <c r="AE172" s="224" t="str">
        <f t="shared" si="135"/>
        <v>-</v>
      </c>
      <c r="AF172" s="224" t="str">
        <f t="shared" si="109"/>
        <v>-</v>
      </c>
      <c r="AG172" s="224" t="str">
        <f t="shared" si="110"/>
        <v>-</v>
      </c>
      <c r="AH172" s="272">
        <f t="shared" si="136"/>
        <v>0.1</v>
      </c>
      <c r="AI172" s="271" t="str">
        <f>IFERROR(IF(AD171=1,AI$100*EXP(-(LN(2)/$D$65+0.04)*AF171)*EXP(-(LN(2)/$D$65+0.1)*AG171),IF(AD171=2,AI$100*EXP(-(LN(2)/$D$65+0.04)*(VLOOKUP(($F$16-$F$15)-1,AC$99:AG171,4,FALSE)))*EXP(-(LN(2)/$D$65+0.1)*(VLOOKUP(($F$16-$F$15)-1,AC$99:AG171,5,FALSE)))*EXP(-(LN(2)/$D$65+0.04)*AF171)*EXP(-(LN(2)/$D$65+0.1)*AG171),IF(AD171=3,AI$100*EXP(-(LN(2)/$D$65+0.04)*(VLOOKUP(($F$16-$F$15)-1,AC$99:AG171,4,FALSE)))*EXP(-(LN(2)/$D$65+0.1)*(VLOOKUP(($F$16-$F$15)-1,AC$99:AG171,5,FALSE)))*EXP(-(LN(2)/$D$65+0.04)*(VLOOKUP(($F$16-$F$15)*2-1,AC$99:AG171,4,FALSE)))*EXP(-(LN(2)/$D$65+0.1)*(VLOOKUP(($F$16-$F$15)*2-1,AC$99:AG171,5,FALSE)))*EXP(-(LN(2)/$D$65+0.04)*AF171)*EXP(-(LN(2)/$D$65+0.1)*AG171),"-"))),"-")</f>
        <v>-</v>
      </c>
      <c r="AJ172" s="271" t="str">
        <f>IFERROR(IF(AD172=1,AJ$100*EXP(-(LN(2)/$D$65+0.04)*AF172)*EXP(-(LN(2)/$D$65+0.1)*AG172),IF(AD172=2,AJ$100*EXP(-(LN(2)/$D$65+0.04)*(VLOOKUP(($F$16-$F$15)-1,AC$100:AG172,4,FALSE)))*EXP(-(LN(2)/$D$65+0.1)*(VLOOKUP(($F$16-$F$15)-1,AC$100:AG172,5,FALSE)))*EXP(-(LN(2)/$D$65+0.04)*AF172)*EXP(-(LN(2)/$D$65+0.1)*AG172),IF(AD172=3,AJ$100*EXP(-(LN(2)/$D$65+0.04)*(VLOOKUP(($F$16-$F$15)-1,AC$100:AG172,4,FALSE)))*EXP(-(LN(2)/$D$65+0.1)*(VLOOKUP(($F$16-$F$15)-1,AC$100:AG172,5,FALSE)))*EXP(-(LN(2)/$D$65+0.04)*(VLOOKUP(($F$16-$F$15)*2-1,AC$100:AG172,4,FALSE)))*EXP(-(LN(2)/$D$65+0.1)*(VLOOKUP(($F$16-$F$15)*2-1,AC$100:AG172,5,FALSE)))*EXP(-(LN(2)/$D$65+0.04)*AF172)*EXP(-(LN(2)/$D$65+0.1)*AG172),"-"))),"-")</f>
        <v>-</v>
      </c>
      <c r="AK172" s="227">
        <f t="shared" si="137"/>
        <v>72</v>
      </c>
      <c r="AL172" s="226" t="str">
        <f t="shared" si="111"/>
        <v>-</v>
      </c>
      <c r="AM172" s="227" t="str">
        <f t="shared" si="138"/>
        <v>-</v>
      </c>
      <c r="AN172" s="227" t="str">
        <f t="shared" si="139"/>
        <v>-</v>
      </c>
      <c r="AO172" s="227" t="str">
        <f t="shared" si="112"/>
        <v>-</v>
      </c>
      <c r="AP172" s="273">
        <f t="shared" si="140"/>
        <v>0.1</v>
      </c>
      <c r="AQ172" s="271" t="str">
        <f>IFERROR(IF(AL171=1,AQ$100*EXP(-(LN(2)/$D$65+0.04)*AN171)*EXP(-(LN(2)/$D$65+0.1)*AO171),IF(AL171=2,AQ$100*EXP(-(LN(2)/$D$65+0.04)*(VLOOKUP(($F$16-$F$15)-1,AK$99:AO171,4,FALSE)))*EXP(-(LN(2)/$D$65+0.1)*(VLOOKUP(($F$16-$F$15)-1,AK$99:AO171,5,FALSE)))*EXP(-(LN(2)/$D$65+0.04)*AN171)*EXP(-(LN(2)/$D$65+0.1)*AO171),IF(AL171=3,AQ$100*EXP(-(LN(2)/$D$65+0.04)*(VLOOKUP(($F$16-$F$15)-1,AK$99:AO171,4,FALSE)))*EXP(-(LN(2)/$D$65+0.1)*(VLOOKUP(($F$16-$F$15)-1,AK$99:AO171,5,FALSE)))*EXP(-(LN(2)/$D$65+0.04)*(VLOOKUP(($F$16-$F$15)*2-1,AK$99:AO171,4,FALSE)))*EXP(-(LN(2)/$D$65+0.1)*(VLOOKUP(($F$16-$F$15)*2-1,AK$99:AO171,5,FALSE)))*EXP(-(LN(2)/$D$65+0.04)*AN171)*EXP(-(LN(2)/$D$65+0.1)*AO171),"-"))),"-")</f>
        <v>-</v>
      </c>
      <c r="AR172" s="271" t="str">
        <f>IFERROR(IF(AL172=1,AR$100*EXP(-(LN(2)/$D$65+0.04)*AN172)*EXP(-(LN(2)/$D$65+0.1)*AO172),IF(AL172=2,AR$100*EXP(-(LN(2)/$D$65+0.04)*(VLOOKUP(($F$16-$F$15)-1,AK$100:AO172,4,FALSE)))*EXP(-(LN(2)/$D$65+0.1)*(VLOOKUP(($F$16-$F$15)-1,AK$100:AO172,5,FALSE)))*EXP(-(LN(2)/$D$65+0.04)*AN172)*EXP(-(LN(2)/$D$65+0.1)*AO172),IF(AL172=3,AR$100*EXP(-(LN(2)/$D$65+0.04)*(VLOOKUP(($F$16-$F$15)-1,AK$100:AO172,4,FALSE)))*EXP(-(LN(2)/$D$65+0.1)*(VLOOKUP(($F$16-$F$15)-1,AK$100:AO172,5,FALSE)))*EXP(-(LN(2)/$D$65+0.04)*(VLOOKUP(($F$16-$F$15)*2-1,AK$100:AO172,4,FALSE)))*EXP(-(LN(2)/$D$65+0.1)*(VLOOKUP(($F$16-$F$15)*2-1,AK$100:AO172,5,FALSE)))*EXP(-(LN(2)/$D$65+0.04)*AN172)*EXP(-(LN(2)/$D$65+0.1)*AO172),"-"))),"-")</f>
        <v>-</v>
      </c>
      <c r="AS172" s="274">
        <f t="shared" si="113"/>
        <v>0</v>
      </c>
      <c r="AT172" s="274">
        <f t="shared" si="114"/>
        <v>0</v>
      </c>
      <c r="AU172" s="274">
        <f t="shared" si="115"/>
        <v>0</v>
      </c>
      <c r="AV172" s="190" t="str">
        <f>IF($B172&lt;$F$22,SUM($T$100:$T172),"")</f>
        <v/>
      </c>
      <c r="AW172" s="190" t="str">
        <f t="shared" si="116"/>
        <v>-</v>
      </c>
      <c r="AX172" s="190" t="str">
        <f t="shared" si="141"/>
        <v/>
      </c>
      <c r="AY172"/>
      <c r="AZ172" s="190" t="str">
        <f ca="1">IF(ISNUMBER(OFFSET(AV172,-$F$21,0)),SUM(OFFSET($T$100,$F$21,0):$T172),"")</f>
        <v/>
      </c>
      <c r="BA172" s="190" t="str">
        <f t="shared" ca="1" si="117"/>
        <v/>
      </c>
      <c r="BB172" s="190" t="str">
        <f t="shared" ca="1" si="70"/>
        <v/>
      </c>
      <c r="BC172" s="190"/>
      <c r="BD172" s="190" t="str">
        <f ca="1">IFERROR(IF(OR(ISNUMBER(I),ISNUMBER($F$14)),IF(AND($B172&gt;=($F$16-$F$15),$B172&lt;$F$22+($F$16-$F$15)),SUM(OFFSET($T$100,($F$16-$F$15),0):$T172),""),""),"")</f>
        <v/>
      </c>
      <c r="BE172" s="190" t="str">
        <f t="shared" ca="1" si="142"/>
        <v/>
      </c>
      <c r="BF172" s="190" t="str">
        <f t="shared" ca="1" si="143"/>
        <v/>
      </c>
      <c r="BG172"/>
      <c r="BH172" s="190" t="str">
        <f ca="1">IF(ISNUMBER(OFFSET(BD172,-$F$21,0)),SUM(OFFSET($T$100,($F$16-$F$15+$F$21),0):$T172),"")</f>
        <v/>
      </c>
      <c r="BI172" s="190" t="str">
        <f t="shared" ca="1" si="118"/>
        <v/>
      </c>
      <c r="BJ172" s="190" t="str">
        <f t="shared" ca="1" si="144"/>
        <v/>
      </c>
      <c r="BK172" s="190"/>
      <c r="BL172" s="190" t="str">
        <f ca="1">IFERROR(IF(OR(ISNUMBER(I),ISNUMBER($F$14)),IF(AND($B172&gt;=($F$17-$F$15),$B172&lt;$F$22+($F$17-$F$15)),SUM(OFFSET($T$100,($F$17-$F$15),0):$T172),""),""),"")</f>
        <v/>
      </c>
      <c r="BM172" s="190" t="str">
        <f t="shared" ca="1" si="119"/>
        <v/>
      </c>
      <c r="BN172" s="190" t="str">
        <f t="shared" ca="1" si="145"/>
        <v/>
      </c>
      <c r="BO172"/>
      <c r="BP172" s="190" t="str">
        <f ca="1">IF(ISNUMBER(OFFSET(BL172,-$F$21,0)),SUM(OFFSET($T$100,($F$17-$F$15+$F$21),0):$T172),"")</f>
        <v/>
      </c>
      <c r="BQ172" s="190" t="str">
        <f t="shared" ca="1" si="120"/>
        <v/>
      </c>
      <c r="BR172" s="190" t="str">
        <f t="shared" ca="1" si="146"/>
        <v/>
      </c>
      <c r="BS172" s="190"/>
      <c r="BT172"/>
      <c r="BU172"/>
      <c r="BV172"/>
      <c r="BY172" s="99"/>
      <c r="BZ172" s="99"/>
      <c r="CA172" s="280" t="str">
        <f t="shared" si="121"/>
        <v/>
      </c>
      <c r="CB172" s="71" t="str">
        <f t="shared" si="122"/>
        <v>-</v>
      </c>
      <c r="CC172" s="33"/>
      <c r="CD172" s="261" t="str">
        <f t="shared" si="123"/>
        <v/>
      </c>
      <c r="CE172" s="280" t="str">
        <f t="shared" si="124"/>
        <v/>
      </c>
      <c r="CF172" s="71" t="str">
        <f t="shared" ca="1" si="125"/>
        <v/>
      </c>
      <c r="CG172" s="33" t="str">
        <f t="shared" si="126"/>
        <v/>
      </c>
      <c r="CH172" s="261" t="str">
        <f t="shared" ca="1" si="127"/>
        <v/>
      </c>
      <c r="CI172" s="202"/>
      <c r="CJ172" s="99"/>
      <c r="CK172" s="99"/>
      <c r="CL172" s="99"/>
      <c r="CM172" s="99"/>
      <c r="CN172" s="99"/>
      <c r="CO172" s="99"/>
    </row>
    <row r="173" spans="2:93" ht="13.5" customHeight="1" x14ac:dyDescent="0.2">
      <c r="B173" s="262">
        <v>73</v>
      </c>
      <c r="C173" s="237" t="str">
        <f t="shared" si="91"/>
        <v/>
      </c>
      <c r="D173" s="237" t="str">
        <f t="shared" si="147"/>
        <v/>
      </c>
      <c r="E173" s="290" t="str">
        <f t="shared" si="128"/>
        <v/>
      </c>
      <c r="F173" s="264" t="str">
        <f t="shared" si="129"/>
        <v/>
      </c>
      <c r="G173" s="291" t="str">
        <f t="shared" si="130"/>
        <v/>
      </c>
      <c r="H173" s="240" t="str">
        <f t="shared" si="92"/>
        <v/>
      </c>
      <c r="I173" s="265" t="str">
        <f t="shared" si="93"/>
        <v/>
      </c>
      <c r="J173" s="265" t="str">
        <f t="shared" si="94"/>
        <v/>
      </c>
      <c r="K173" s="240" t="str">
        <f t="shared" si="95"/>
        <v/>
      </c>
      <c r="L173" s="265" t="str">
        <f t="shared" si="96"/>
        <v/>
      </c>
      <c r="M173" s="265" t="str">
        <f t="shared" si="97"/>
        <v/>
      </c>
      <c r="N173" s="240" t="str">
        <f t="shared" si="98"/>
        <v>-</v>
      </c>
      <c r="O173" s="265" t="str">
        <f t="shared" si="99"/>
        <v>-</v>
      </c>
      <c r="P173" s="265" t="str">
        <f t="shared" si="100"/>
        <v>-</v>
      </c>
      <c r="Q173" s="266" t="str">
        <f t="shared" si="101"/>
        <v>-</v>
      </c>
      <c r="R173" s="267" t="str">
        <f t="shared" si="102"/>
        <v>-</v>
      </c>
      <c r="S173" s="268" t="str">
        <f t="shared" si="103"/>
        <v>-</v>
      </c>
      <c r="T173" s="269" t="str">
        <f t="shared" si="104"/>
        <v/>
      </c>
      <c r="U173" s="221">
        <f t="shared" si="105"/>
        <v>73</v>
      </c>
      <c r="V173" s="220" t="str">
        <f t="shared" si="131"/>
        <v>-</v>
      </c>
      <c r="W173" s="221" t="str">
        <f t="shared" si="132"/>
        <v>-</v>
      </c>
      <c r="X173" s="221" t="str">
        <f t="shared" si="106"/>
        <v>-</v>
      </c>
      <c r="Y173" s="221" t="str">
        <f t="shared" si="107"/>
        <v>-</v>
      </c>
      <c r="Z173" s="270">
        <f t="shared" si="133"/>
        <v>0.1</v>
      </c>
      <c r="AA173" s="271" t="str">
        <f>IFERROR(IF(V172=1,AA$100*EXP(-(LN(2)/$D$65+0.04)*X172)*EXP(-(LN(2)/$D$65+0.1)*Y172),IF(V172=2,AA$100*EXP(-(LN(2)/$D$65+0.04)*(VLOOKUP(($F$16-$F$15)-1,U$99:Y172,4,FALSE)))*EXP(-(LN(2)/$D$65+0.1)*(VLOOKUP(($F$16-$F$15)-1,U$99:Y172,5,FALSE)))*EXP(-(LN(2)/$D$65+0.04)*X172)*EXP(-(LN(2)/$D$65+0.1)*Y172),IF(V172=3,AA$100*EXP(-(LN(2)/$D$65+0.04)*(VLOOKUP(($F$16-$F$15)-1,U$99:Y172,4,FALSE)))*EXP(-(LN(2)/$D$65+0.1)*(VLOOKUP(($F$16-$F$15)-1,U$99:Y172,5,FALSE)))*EXP(-(LN(2)/$D$65+0.04)*(VLOOKUP(($F$16-$F$15)*2-1,U$99:Y172,4,FALSE)))*EXP(-(LN(2)/$D$65+0.1)*(VLOOKUP(($F$16-$F$15)*2-1,U$99:Y172,5,FALSE)))*EXP(-(LN(2)/$D$65+0.04)*X172)*EXP(-(LN(2)/$D$65+0.1)*Y172),"-"))),"-")</f>
        <v>-</v>
      </c>
      <c r="AB173" s="271" t="str">
        <f>IFERROR(IF(V173=1,AB$100*EXP(-(LN(2)/$D$65+0.04)*X173)*EXP(-(LN(2)/$D$65+0.1)*Y173),IF(V173=2,AB$100*EXP(-(LN(2)/$D$65+0.04)*(VLOOKUP(($F$16-$F$15)-1,U$100:Y173,4,FALSE)))*EXP(-(LN(2)/$D$65+0.1)*(VLOOKUP(($F$16-$F$15)-1,U$100:Y173,5,FALSE)))*EXP(-(LN(2)/$D$65+0.04)*X173)*EXP(-(LN(2)/$D$65+0.1)*Y173),IF(V173=3,AB$100*EXP(-(LN(2)/$D$65+0.04)*(VLOOKUP(($F$16-$F$15)-1,U$100:Y173,4,FALSE)))*EXP(-(LN(2)/$D$65+0.1)*(VLOOKUP(($F$16-$F$15)-1,U$100:Y173,5,FALSE)))*EXP(-(LN(2)/$D$65+0.04)*(VLOOKUP(($F$16-$F$15)*2-1,U$100:Y173,4,FALSE)))*EXP(-(LN(2)/$D$65+0.1)*(VLOOKUP(($F$16-$F$15)*2-1,U$100:Y173,5,FALSE)))*EXP(-(LN(2)/$D$65+0.04)*X173)*EXP(-(LN(2)/$D$65+0.1)*Y173),"-"))),"-")</f>
        <v>-</v>
      </c>
      <c r="AC173" s="224">
        <f t="shared" si="134"/>
        <v>73</v>
      </c>
      <c r="AD173" s="223" t="str">
        <f t="shared" si="108"/>
        <v>-</v>
      </c>
      <c r="AE173" s="224" t="str">
        <f t="shared" si="135"/>
        <v>-</v>
      </c>
      <c r="AF173" s="224" t="str">
        <f t="shared" si="109"/>
        <v>-</v>
      </c>
      <c r="AG173" s="224" t="str">
        <f t="shared" si="110"/>
        <v>-</v>
      </c>
      <c r="AH173" s="272">
        <f t="shared" si="136"/>
        <v>0.1</v>
      </c>
      <c r="AI173" s="271" t="str">
        <f>IFERROR(IF(AD172=1,AI$100*EXP(-(LN(2)/$D$65+0.04)*AF172)*EXP(-(LN(2)/$D$65+0.1)*AG172),IF(AD172=2,AI$100*EXP(-(LN(2)/$D$65+0.04)*(VLOOKUP(($F$16-$F$15)-1,AC$99:AG172,4,FALSE)))*EXP(-(LN(2)/$D$65+0.1)*(VLOOKUP(($F$16-$F$15)-1,AC$99:AG172,5,FALSE)))*EXP(-(LN(2)/$D$65+0.04)*AF172)*EXP(-(LN(2)/$D$65+0.1)*AG172),IF(AD172=3,AI$100*EXP(-(LN(2)/$D$65+0.04)*(VLOOKUP(($F$16-$F$15)-1,AC$99:AG172,4,FALSE)))*EXP(-(LN(2)/$D$65+0.1)*(VLOOKUP(($F$16-$F$15)-1,AC$99:AG172,5,FALSE)))*EXP(-(LN(2)/$D$65+0.04)*(VLOOKUP(($F$16-$F$15)*2-1,AC$99:AG172,4,FALSE)))*EXP(-(LN(2)/$D$65+0.1)*(VLOOKUP(($F$16-$F$15)*2-1,AC$99:AG172,5,FALSE)))*EXP(-(LN(2)/$D$65+0.04)*AF172)*EXP(-(LN(2)/$D$65+0.1)*AG172),"-"))),"-")</f>
        <v>-</v>
      </c>
      <c r="AJ173" s="271" t="str">
        <f>IFERROR(IF(AD173=1,AJ$100*EXP(-(LN(2)/$D$65+0.04)*AF173)*EXP(-(LN(2)/$D$65+0.1)*AG173),IF(AD173=2,AJ$100*EXP(-(LN(2)/$D$65+0.04)*(VLOOKUP(($F$16-$F$15)-1,AC$100:AG173,4,FALSE)))*EXP(-(LN(2)/$D$65+0.1)*(VLOOKUP(($F$16-$F$15)-1,AC$100:AG173,5,FALSE)))*EXP(-(LN(2)/$D$65+0.04)*AF173)*EXP(-(LN(2)/$D$65+0.1)*AG173),IF(AD173=3,AJ$100*EXP(-(LN(2)/$D$65+0.04)*(VLOOKUP(($F$16-$F$15)-1,AC$100:AG173,4,FALSE)))*EXP(-(LN(2)/$D$65+0.1)*(VLOOKUP(($F$16-$F$15)-1,AC$100:AG173,5,FALSE)))*EXP(-(LN(2)/$D$65+0.04)*(VLOOKUP(($F$16-$F$15)*2-1,AC$100:AG173,4,FALSE)))*EXP(-(LN(2)/$D$65+0.1)*(VLOOKUP(($F$16-$F$15)*2-1,AC$100:AG173,5,FALSE)))*EXP(-(LN(2)/$D$65+0.04)*AF173)*EXP(-(LN(2)/$D$65+0.1)*AG173),"-"))),"-")</f>
        <v>-</v>
      </c>
      <c r="AK173" s="227">
        <f t="shared" si="137"/>
        <v>73</v>
      </c>
      <c r="AL173" s="226" t="str">
        <f t="shared" si="111"/>
        <v>-</v>
      </c>
      <c r="AM173" s="227" t="str">
        <f t="shared" si="138"/>
        <v>-</v>
      </c>
      <c r="AN173" s="227" t="str">
        <f t="shared" si="139"/>
        <v>-</v>
      </c>
      <c r="AO173" s="227" t="str">
        <f t="shared" si="112"/>
        <v>-</v>
      </c>
      <c r="AP173" s="273">
        <f t="shared" si="140"/>
        <v>0.1</v>
      </c>
      <c r="AQ173" s="271" t="str">
        <f>IFERROR(IF(AL172=1,AQ$100*EXP(-(LN(2)/$D$65+0.04)*AN172)*EXP(-(LN(2)/$D$65+0.1)*AO172),IF(AL172=2,AQ$100*EXP(-(LN(2)/$D$65+0.04)*(VLOOKUP(($F$16-$F$15)-1,AK$99:AO172,4,FALSE)))*EXP(-(LN(2)/$D$65+0.1)*(VLOOKUP(($F$16-$F$15)-1,AK$99:AO172,5,FALSE)))*EXP(-(LN(2)/$D$65+0.04)*AN172)*EXP(-(LN(2)/$D$65+0.1)*AO172),IF(AL172=3,AQ$100*EXP(-(LN(2)/$D$65+0.04)*(VLOOKUP(($F$16-$F$15)-1,AK$99:AO172,4,FALSE)))*EXP(-(LN(2)/$D$65+0.1)*(VLOOKUP(($F$16-$F$15)-1,AK$99:AO172,5,FALSE)))*EXP(-(LN(2)/$D$65+0.04)*(VLOOKUP(($F$16-$F$15)*2-1,AK$99:AO172,4,FALSE)))*EXP(-(LN(2)/$D$65+0.1)*(VLOOKUP(($F$16-$F$15)*2-1,AK$99:AO172,5,FALSE)))*EXP(-(LN(2)/$D$65+0.04)*AN172)*EXP(-(LN(2)/$D$65+0.1)*AO172),"-"))),"-")</f>
        <v>-</v>
      </c>
      <c r="AR173" s="271" t="str">
        <f>IFERROR(IF(AL173=1,AR$100*EXP(-(LN(2)/$D$65+0.04)*AN173)*EXP(-(LN(2)/$D$65+0.1)*AO173),IF(AL173=2,AR$100*EXP(-(LN(2)/$D$65+0.04)*(VLOOKUP(($F$16-$F$15)-1,AK$100:AO173,4,FALSE)))*EXP(-(LN(2)/$D$65+0.1)*(VLOOKUP(($F$16-$F$15)-1,AK$100:AO173,5,FALSE)))*EXP(-(LN(2)/$D$65+0.04)*AN173)*EXP(-(LN(2)/$D$65+0.1)*AO173),IF(AL173=3,AR$100*EXP(-(LN(2)/$D$65+0.04)*(VLOOKUP(($F$16-$F$15)-1,AK$100:AO173,4,FALSE)))*EXP(-(LN(2)/$D$65+0.1)*(VLOOKUP(($F$16-$F$15)-1,AK$100:AO173,5,FALSE)))*EXP(-(LN(2)/$D$65+0.04)*(VLOOKUP(($F$16-$F$15)*2-1,AK$100:AO173,4,FALSE)))*EXP(-(LN(2)/$D$65+0.1)*(VLOOKUP(($F$16-$F$15)*2-1,AK$100:AO173,5,FALSE)))*EXP(-(LN(2)/$D$65+0.04)*AN173)*EXP(-(LN(2)/$D$65+0.1)*AO173),"-"))),"-")</f>
        <v>-</v>
      </c>
      <c r="AS173" s="274">
        <f t="shared" si="113"/>
        <v>0</v>
      </c>
      <c r="AT173" s="274">
        <f t="shared" si="114"/>
        <v>0</v>
      </c>
      <c r="AU173" s="274">
        <f t="shared" si="115"/>
        <v>0</v>
      </c>
      <c r="AV173" s="190" t="str">
        <f>IF($B173&lt;$F$22,SUM($T$100:$T173),"")</f>
        <v/>
      </c>
      <c r="AW173" s="190" t="str">
        <f t="shared" si="116"/>
        <v>-</v>
      </c>
      <c r="AX173" s="190" t="str">
        <f t="shared" si="141"/>
        <v/>
      </c>
      <c r="AY173"/>
      <c r="AZ173" s="190" t="str">
        <f ca="1">IF(ISNUMBER(OFFSET(AV173,-$F$21,0)),SUM(OFFSET($T$100,$F$21,0):$T173),"")</f>
        <v/>
      </c>
      <c r="BA173" s="190" t="str">
        <f t="shared" ca="1" si="117"/>
        <v/>
      </c>
      <c r="BB173" s="190" t="str">
        <f t="shared" ca="1" si="70"/>
        <v/>
      </c>
      <c r="BC173" s="190"/>
      <c r="BD173" s="190" t="str">
        <f ca="1">IFERROR(IF(OR(ISNUMBER(I),ISNUMBER($F$14)),IF(AND($B173&gt;=($F$16-$F$15),$B173&lt;$F$22+($F$16-$F$15)),SUM(OFFSET($T$100,($F$16-$F$15),0):$T173),""),""),"")</f>
        <v/>
      </c>
      <c r="BE173" s="190" t="str">
        <f t="shared" ca="1" si="142"/>
        <v/>
      </c>
      <c r="BF173" s="190" t="str">
        <f t="shared" ca="1" si="143"/>
        <v/>
      </c>
      <c r="BG173"/>
      <c r="BH173" s="190" t="str">
        <f ca="1">IF(ISNUMBER(OFFSET(BD173,-$F$21,0)),SUM(OFFSET($T$100,($F$16-$F$15+$F$21),0):$T173),"")</f>
        <v/>
      </c>
      <c r="BI173" s="190" t="str">
        <f t="shared" ca="1" si="118"/>
        <v/>
      </c>
      <c r="BJ173" s="190" t="str">
        <f t="shared" ca="1" si="144"/>
        <v/>
      </c>
      <c r="BK173" s="190"/>
      <c r="BL173" s="190" t="str">
        <f ca="1">IFERROR(IF(OR(ISNUMBER(I),ISNUMBER($F$14)),IF(AND($B173&gt;=($F$17-$F$15),$B173&lt;$F$22+($F$17-$F$15)),SUM(OFFSET($T$100,($F$17-$F$15),0):$T173),""),""),"")</f>
        <v/>
      </c>
      <c r="BM173" s="190" t="str">
        <f t="shared" ca="1" si="119"/>
        <v/>
      </c>
      <c r="BN173" s="190" t="str">
        <f t="shared" ca="1" si="145"/>
        <v/>
      </c>
      <c r="BO173"/>
      <c r="BP173" s="190" t="str">
        <f ca="1">IF(ISNUMBER(OFFSET(BL173,-$F$21,0)),SUM(OFFSET($T$100,($F$17-$F$15+$F$21),0):$T173),"")</f>
        <v/>
      </c>
      <c r="BQ173" s="190" t="str">
        <f t="shared" ca="1" si="120"/>
        <v/>
      </c>
      <c r="BR173" s="190" t="str">
        <f t="shared" ca="1" si="146"/>
        <v/>
      </c>
      <c r="BS173" s="190"/>
      <c r="BT173"/>
      <c r="BU173"/>
      <c r="BV173"/>
      <c r="BY173" s="99"/>
      <c r="BZ173" s="99"/>
      <c r="CA173" s="280" t="str">
        <f t="shared" si="121"/>
        <v/>
      </c>
      <c r="CB173" s="71" t="str">
        <f t="shared" si="122"/>
        <v>-</v>
      </c>
      <c r="CC173" s="33"/>
      <c r="CD173" s="261" t="str">
        <f t="shared" si="123"/>
        <v/>
      </c>
      <c r="CE173" s="280" t="str">
        <f t="shared" si="124"/>
        <v/>
      </c>
      <c r="CF173" s="71" t="str">
        <f t="shared" ca="1" si="125"/>
        <v/>
      </c>
      <c r="CG173" s="33" t="str">
        <f t="shared" si="126"/>
        <v/>
      </c>
      <c r="CH173" s="261" t="str">
        <f t="shared" ca="1" si="127"/>
        <v/>
      </c>
      <c r="CI173" s="202"/>
      <c r="CJ173" s="99"/>
      <c r="CK173" s="99"/>
      <c r="CL173" s="99"/>
      <c r="CM173" s="99"/>
      <c r="CN173" s="99"/>
      <c r="CO173" s="99"/>
    </row>
    <row r="174" spans="2:93" ht="13.5" customHeight="1" x14ac:dyDescent="0.2">
      <c r="B174" s="262">
        <v>74</v>
      </c>
      <c r="C174" s="237" t="str">
        <f t="shared" si="91"/>
        <v/>
      </c>
      <c r="D174" s="237" t="str">
        <f t="shared" si="147"/>
        <v/>
      </c>
      <c r="E174" s="290" t="str">
        <f t="shared" si="128"/>
        <v/>
      </c>
      <c r="F174" s="264" t="str">
        <f t="shared" si="129"/>
        <v/>
      </c>
      <c r="G174" s="291" t="str">
        <f t="shared" si="130"/>
        <v/>
      </c>
      <c r="H174" s="240" t="str">
        <f t="shared" si="92"/>
        <v/>
      </c>
      <c r="I174" s="265" t="str">
        <f t="shared" si="93"/>
        <v/>
      </c>
      <c r="J174" s="265" t="str">
        <f t="shared" si="94"/>
        <v/>
      </c>
      <c r="K174" s="240" t="str">
        <f t="shared" si="95"/>
        <v/>
      </c>
      <c r="L174" s="265" t="str">
        <f t="shared" si="96"/>
        <v/>
      </c>
      <c r="M174" s="265" t="str">
        <f t="shared" si="97"/>
        <v/>
      </c>
      <c r="N174" s="240" t="str">
        <f t="shared" si="98"/>
        <v>-</v>
      </c>
      <c r="O174" s="265" t="str">
        <f t="shared" si="99"/>
        <v>-</v>
      </c>
      <c r="P174" s="265" t="str">
        <f t="shared" si="100"/>
        <v>-</v>
      </c>
      <c r="Q174" s="266" t="str">
        <f t="shared" si="101"/>
        <v>-</v>
      </c>
      <c r="R174" s="267" t="str">
        <f t="shared" si="102"/>
        <v>-</v>
      </c>
      <c r="S174" s="268" t="str">
        <f t="shared" si="103"/>
        <v>-</v>
      </c>
      <c r="T174" s="269" t="str">
        <f t="shared" si="104"/>
        <v/>
      </c>
      <c r="U174" s="221">
        <f t="shared" si="105"/>
        <v>74</v>
      </c>
      <c r="V174" s="220" t="str">
        <f t="shared" si="131"/>
        <v>-</v>
      </c>
      <c r="W174" s="221" t="str">
        <f t="shared" si="132"/>
        <v>-</v>
      </c>
      <c r="X174" s="221" t="str">
        <f t="shared" si="106"/>
        <v>-</v>
      </c>
      <c r="Y174" s="221" t="str">
        <f t="shared" si="107"/>
        <v>-</v>
      </c>
      <c r="Z174" s="270">
        <f t="shared" si="133"/>
        <v>0.1</v>
      </c>
      <c r="AA174" s="271" t="str">
        <f>IFERROR(IF(V173=1,AA$100*EXP(-(LN(2)/$D$65+0.04)*X173)*EXP(-(LN(2)/$D$65+0.1)*Y173),IF(V173=2,AA$100*EXP(-(LN(2)/$D$65+0.04)*(VLOOKUP(($F$16-$F$15)-1,U$99:Y173,4,FALSE)))*EXP(-(LN(2)/$D$65+0.1)*(VLOOKUP(($F$16-$F$15)-1,U$99:Y173,5,FALSE)))*EXP(-(LN(2)/$D$65+0.04)*X173)*EXP(-(LN(2)/$D$65+0.1)*Y173),IF(V173=3,AA$100*EXP(-(LN(2)/$D$65+0.04)*(VLOOKUP(($F$16-$F$15)-1,U$99:Y173,4,FALSE)))*EXP(-(LN(2)/$D$65+0.1)*(VLOOKUP(($F$16-$F$15)-1,U$99:Y173,5,FALSE)))*EXP(-(LN(2)/$D$65+0.04)*(VLOOKUP(($F$16-$F$15)*2-1,U$99:Y173,4,FALSE)))*EXP(-(LN(2)/$D$65+0.1)*(VLOOKUP(($F$16-$F$15)*2-1,U$99:Y173,5,FALSE)))*EXP(-(LN(2)/$D$65+0.04)*X173)*EXP(-(LN(2)/$D$65+0.1)*Y173),"-"))),"-")</f>
        <v>-</v>
      </c>
      <c r="AB174" s="271" t="str">
        <f>IFERROR(IF(V174=1,AB$100*EXP(-(LN(2)/$D$65+0.04)*X174)*EXP(-(LN(2)/$D$65+0.1)*Y174),IF(V174=2,AB$100*EXP(-(LN(2)/$D$65+0.04)*(VLOOKUP(($F$16-$F$15)-1,U$100:Y174,4,FALSE)))*EXP(-(LN(2)/$D$65+0.1)*(VLOOKUP(($F$16-$F$15)-1,U$100:Y174,5,FALSE)))*EXP(-(LN(2)/$D$65+0.04)*X174)*EXP(-(LN(2)/$D$65+0.1)*Y174),IF(V174=3,AB$100*EXP(-(LN(2)/$D$65+0.04)*(VLOOKUP(($F$16-$F$15)-1,U$100:Y174,4,FALSE)))*EXP(-(LN(2)/$D$65+0.1)*(VLOOKUP(($F$16-$F$15)-1,U$100:Y174,5,FALSE)))*EXP(-(LN(2)/$D$65+0.04)*(VLOOKUP(($F$16-$F$15)*2-1,U$100:Y174,4,FALSE)))*EXP(-(LN(2)/$D$65+0.1)*(VLOOKUP(($F$16-$F$15)*2-1,U$100:Y174,5,FALSE)))*EXP(-(LN(2)/$D$65+0.04)*X174)*EXP(-(LN(2)/$D$65+0.1)*Y174),"-"))),"-")</f>
        <v>-</v>
      </c>
      <c r="AC174" s="224">
        <f t="shared" si="134"/>
        <v>74</v>
      </c>
      <c r="AD174" s="223" t="str">
        <f t="shared" si="108"/>
        <v>-</v>
      </c>
      <c r="AE174" s="224" t="str">
        <f t="shared" si="135"/>
        <v>-</v>
      </c>
      <c r="AF174" s="224" t="str">
        <f t="shared" si="109"/>
        <v>-</v>
      </c>
      <c r="AG174" s="224" t="str">
        <f t="shared" si="110"/>
        <v>-</v>
      </c>
      <c r="AH174" s="272">
        <f t="shared" si="136"/>
        <v>0.1</v>
      </c>
      <c r="AI174" s="271" t="str">
        <f>IFERROR(IF(AD173=1,AI$100*EXP(-(LN(2)/$D$65+0.04)*AF173)*EXP(-(LN(2)/$D$65+0.1)*AG173),IF(AD173=2,AI$100*EXP(-(LN(2)/$D$65+0.04)*(VLOOKUP(($F$16-$F$15)-1,AC$99:AG173,4,FALSE)))*EXP(-(LN(2)/$D$65+0.1)*(VLOOKUP(($F$16-$F$15)-1,AC$99:AG173,5,FALSE)))*EXP(-(LN(2)/$D$65+0.04)*AF173)*EXP(-(LN(2)/$D$65+0.1)*AG173),IF(AD173=3,AI$100*EXP(-(LN(2)/$D$65+0.04)*(VLOOKUP(($F$16-$F$15)-1,AC$99:AG173,4,FALSE)))*EXP(-(LN(2)/$D$65+0.1)*(VLOOKUP(($F$16-$F$15)-1,AC$99:AG173,5,FALSE)))*EXP(-(LN(2)/$D$65+0.04)*(VLOOKUP(($F$16-$F$15)*2-1,AC$99:AG173,4,FALSE)))*EXP(-(LN(2)/$D$65+0.1)*(VLOOKUP(($F$16-$F$15)*2-1,AC$99:AG173,5,FALSE)))*EXP(-(LN(2)/$D$65+0.04)*AF173)*EXP(-(LN(2)/$D$65+0.1)*AG173),"-"))),"-")</f>
        <v>-</v>
      </c>
      <c r="AJ174" s="271" t="str">
        <f>IFERROR(IF(AD174=1,AJ$100*EXP(-(LN(2)/$D$65+0.04)*AF174)*EXP(-(LN(2)/$D$65+0.1)*AG174),IF(AD174=2,AJ$100*EXP(-(LN(2)/$D$65+0.04)*(VLOOKUP(($F$16-$F$15)-1,AC$100:AG174,4,FALSE)))*EXP(-(LN(2)/$D$65+0.1)*(VLOOKUP(($F$16-$F$15)-1,AC$100:AG174,5,FALSE)))*EXP(-(LN(2)/$D$65+0.04)*AF174)*EXP(-(LN(2)/$D$65+0.1)*AG174),IF(AD174=3,AJ$100*EXP(-(LN(2)/$D$65+0.04)*(VLOOKUP(($F$16-$F$15)-1,AC$100:AG174,4,FALSE)))*EXP(-(LN(2)/$D$65+0.1)*(VLOOKUP(($F$16-$F$15)-1,AC$100:AG174,5,FALSE)))*EXP(-(LN(2)/$D$65+0.04)*(VLOOKUP(($F$16-$F$15)*2-1,AC$100:AG174,4,FALSE)))*EXP(-(LN(2)/$D$65+0.1)*(VLOOKUP(($F$16-$F$15)*2-1,AC$100:AG174,5,FALSE)))*EXP(-(LN(2)/$D$65+0.04)*AF174)*EXP(-(LN(2)/$D$65+0.1)*AG174),"-"))),"-")</f>
        <v>-</v>
      </c>
      <c r="AK174" s="227">
        <f t="shared" si="137"/>
        <v>74</v>
      </c>
      <c r="AL174" s="226" t="str">
        <f t="shared" si="111"/>
        <v>-</v>
      </c>
      <c r="AM174" s="227" t="str">
        <f t="shared" si="138"/>
        <v>-</v>
      </c>
      <c r="AN174" s="227" t="str">
        <f t="shared" si="139"/>
        <v>-</v>
      </c>
      <c r="AO174" s="227" t="str">
        <f t="shared" si="112"/>
        <v>-</v>
      </c>
      <c r="AP174" s="273">
        <f t="shared" si="140"/>
        <v>0.1</v>
      </c>
      <c r="AQ174" s="271" t="str">
        <f>IFERROR(IF(AL173=1,AQ$100*EXP(-(LN(2)/$D$65+0.04)*AN173)*EXP(-(LN(2)/$D$65+0.1)*AO173),IF(AL173=2,AQ$100*EXP(-(LN(2)/$D$65+0.04)*(VLOOKUP(($F$16-$F$15)-1,AK$99:AO173,4,FALSE)))*EXP(-(LN(2)/$D$65+0.1)*(VLOOKUP(($F$16-$F$15)-1,AK$99:AO173,5,FALSE)))*EXP(-(LN(2)/$D$65+0.04)*AN173)*EXP(-(LN(2)/$D$65+0.1)*AO173),IF(AL173=3,AQ$100*EXP(-(LN(2)/$D$65+0.04)*(VLOOKUP(($F$16-$F$15)-1,AK$99:AO173,4,FALSE)))*EXP(-(LN(2)/$D$65+0.1)*(VLOOKUP(($F$16-$F$15)-1,AK$99:AO173,5,FALSE)))*EXP(-(LN(2)/$D$65+0.04)*(VLOOKUP(($F$16-$F$15)*2-1,AK$99:AO173,4,FALSE)))*EXP(-(LN(2)/$D$65+0.1)*(VLOOKUP(($F$16-$F$15)*2-1,AK$99:AO173,5,FALSE)))*EXP(-(LN(2)/$D$65+0.04)*AN173)*EXP(-(LN(2)/$D$65+0.1)*AO173),"-"))),"-")</f>
        <v>-</v>
      </c>
      <c r="AR174" s="271" t="str">
        <f>IFERROR(IF(AL174=1,AR$100*EXP(-(LN(2)/$D$65+0.04)*AN174)*EXP(-(LN(2)/$D$65+0.1)*AO174),IF(AL174=2,AR$100*EXP(-(LN(2)/$D$65+0.04)*(VLOOKUP(($F$16-$F$15)-1,AK$100:AO174,4,FALSE)))*EXP(-(LN(2)/$D$65+0.1)*(VLOOKUP(($F$16-$F$15)-1,AK$100:AO174,5,FALSE)))*EXP(-(LN(2)/$D$65+0.04)*AN174)*EXP(-(LN(2)/$D$65+0.1)*AO174),IF(AL174=3,AR$100*EXP(-(LN(2)/$D$65+0.04)*(VLOOKUP(($F$16-$F$15)-1,AK$100:AO174,4,FALSE)))*EXP(-(LN(2)/$D$65+0.1)*(VLOOKUP(($F$16-$F$15)-1,AK$100:AO174,5,FALSE)))*EXP(-(LN(2)/$D$65+0.04)*(VLOOKUP(($F$16-$F$15)*2-1,AK$100:AO174,4,FALSE)))*EXP(-(LN(2)/$D$65+0.1)*(VLOOKUP(($F$16-$F$15)*2-1,AK$100:AO174,5,FALSE)))*EXP(-(LN(2)/$D$65+0.04)*AN174)*EXP(-(LN(2)/$D$65+0.1)*AO174),"-"))),"-")</f>
        <v>-</v>
      </c>
      <c r="AS174" s="274">
        <f t="shared" si="113"/>
        <v>0</v>
      </c>
      <c r="AT174" s="274">
        <f t="shared" si="114"/>
        <v>0</v>
      </c>
      <c r="AU174" s="274">
        <f t="shared" si="115"/>
        <v>0</v>
      </c>
      <c r="AV174" s="190" t="str">
        <f>IF($B174&lt;$F$22,SUM($T$100:$T174),"")</f>
        <v/>
      </c>
      <c r="AW174" s="190" t="str">
        <f t="shared" si="116"/>
        <v>-</v>
      </c>
      <c r="AX174" s="190" t="str">
        <f t="shared" si="141"/>
        <v/>
      </c>
      <c r="AY174"/>
      <c r="AZ174" s="190" t="str">
        <f ca="1">IF(ISNUMBER(OFFSET(AV174,-$F$21,0)),SUM(OFFSET($T$100,$F$21,0):$T174),"")</f>
        <v/>
      </c>
      <c r="BA174" s="190" t="str">
        <f t="shared" ca="1" si="117"/>
        <v/>
      </c>
      <c r="BB174" s="190" t="str">
        <f t="shared" ca="1" si="70"/>
        <v/>
      </c>
      <c r="BC174" s="190"/>
      <c r="BD174" s="190" t="str">
        <f ca="1">IFERROR(IF(OR(ISNUMBER(I),ISNUMBER($F$14)),IF(AND($B174&gt;=($F$16-$F$15),$B174&lt;$F$22+($F$16-$F$15)),SUM(OFFSET($T$100,($F$16-$F$15),0):$T174),""),""),"")</f>
        <v/>
      </c>
      <c r="BE174" s="190" t="str">
        <f t="shared" ca="1" si="142"/>
        <v/>
      </c>
      <c r="BF174" s="190" t="str">
        <f t="shared" ca="1" si="143"/>
        <v/>
      </c>
      <c r="BG174"/>
      <c r="BH174" s="190" t="str">
        <f ca="1">IF(ISNUMBER(OFFSET(BD174,-$F$21,0)),SUM(OFFSET($T$100,($F$16-$F$15+$F$21),0):$T174),"")</f>
        <v/>
      </c>
      <c r="BI174" s="190" t="str">
        <f t="shared" ca="1" si="118"/>
        <v/>
      </c>
      <c r="BJ174" s="190" t="str">
        <f t="shared" ca="1" si="144"/>
        <v/>
      </c>
      <c r="BK174" s="190"/>
      <c r="BL174" s="190" t="str">
        <f ca="1">IFERROR(IF(OR(ISNUMBER(I),ISNUMBER($F$14)),IF(AND($B174&gt;=($F$17-$F$15),$B174&lt;$F$22+($F$17-$F$15)),SUM(OFFSET($T$100,($F$17-$F$15),0):$T174),""),""),"")</f>
        <v/>
      </c>
      <c r="BM174" s="190" t="str">
        <f t="shared" ca="1" si="119"/>
        <v/>
      </c>
      <c r="BN174" s="190" t="str">
        <f t="shared" ca="1" si="145"/>
        <v/>
      </c>
      <c r="BO174"/>
      <c r="BP174" s="190" t="str">
        <f ca="1">IF(ISNUMBER(OFFSET(BL174,-$F$21,0)),SUM(OFFSET($T$100,($F$17-$F$15+$F$21),0):$T174),"")</f>
        <v/>
      </c>
      <c r="BQ174" s="190" t="str">
        <f t="shared" ca="1" si="120"/>
        <v/>
      </c>
      <c r="BR174" s="190" t="str">
        <f t="shared" ca="1" si="146"/>
        <v/>
      </c>
      <c r="BS174" s="190"/>
      <c r="BT174"/>
      <c r="BU174"/>
      <c r="BV174"/>
      <c r="BY174" s="99"/>
      <c r="BZ174" s="99"/>
      <c r="CA174" s="280" t="str">
        <f t="shared" si="121"/>
        <v/>
      </c>
      <c r="CB174" s="71" t="str">
        <f t="shared" si="122"/>
        <v>-</v>
      </c>
      <c r="CC174" s="33"/>
      <c r="CD174" s="261" t="str">
        <f t="shared" si="123"/>
        <v/>
      </c>
      <c r="CE174" s="280" t="str">
        <f t="shared" si="124"/>
        <v/>
      </c>
      <c r="CF174" s="71" t="str">
        <f t="shared" ca="1" si="125"/>
        <v/>
      </c>
      <c r="CG174" s="33" t="str">
        <f t="shared" si="126"/>
        <v/>
      </c>
      <c r="CH174" s="261" t="str">
        <f t="shared" ca="1" si="127"/>
        <v/>
      </c>
      <c r="CI174" s="202"/>
      <c r="CJ174" s="99"/>
      <c r="CK174" s="99"/>
      <c r="CL174" s="99"/>
      <c r="CM174" s="99"/>
      <c r="CN174" s="99"/>
      <c r="CO174" s="99"/>
    </row>
    <row r="175" spans="2:93" ht="13.5" customHeight="1" x14ac:dyDescent="0.2">
      <c r="B175" s="262">
        <v>75</v>
      </c>
      <c r="C175" s="237" t="str">
        <f t="shared" si="91"/>
        <v/>
      </c>
      <c r="D175" s="237" t="str">
        <f t="shared" si="147"/>
        <v/>
      </c>
      <c r="E175" s="290" t="str">
        <f t="shared" si="128"/>
        <v/>
      </c>
      <c r="F175" s="264" t="str">
        <f t="shared" si="129"/>
        <v/>
      </c>
      <c r="G175" s="291" t="str">
        <f t="shared" si="130"/>
        <v/>
      </c>
      <c r="H175" s="240" t="str">
        <f t="shared" si="92"/>
        <v/>
      </c>
      <c r="I175" s="265" t="str">
        <f t="shared" si="93"/>
        <v/>
      </c>
      <c r="J175" s="265" t="str">
        <f t="shared" si="94"/>
        <v/>
      </c>
      <c r="K175" s="240" t="str">
        <f t="shared" si="95"/>
        <v/>
      </c>
      <c r="L175" s="265" t="str">
        <f t="shared" si="96"/>
        <v/>
      </c>
      <c r="M175" s="265" t="str">
        <f t="shared" si="97"/>
        <v/>
      </c>
      <c r="N175" s="240" t="str">
        <f t="shared" si="98"/>
        <v>-</v>
      </c>
      <c r="O175" s="265" t="str">
        <f t="shared" si="99"/>
        <v>-</v>
      </c>
      <c r="P175" s="265" t="str">
        <f t="shared" si="100"/>
        <v>-</v>
      </c>
      <c r="Q175" s="266" t="str">
        <f t="shared" si="101"/>
        <v>-</v>
      </c>
      <c r="R175" s="267" t="str">
        <f t="shared" si="102"/>
        <v>-</v>
      </c>
      <c r="S175" s="268" t="str">
        <f t="shared" si="103"/>
        <v>-</v>
      </c>
      <c r="T175" s="269" t="str">
        <f t="shared" si="104"/>
        <v/>
      </c>
      <c r="U175" s="221">
        <f t="shared" si="105"/>
        <v>75</v>
      </c>
      <c r="V175" s="220" t="str">
        <f t="shared" si="131"/>
        <v>-</v>
      </c>
      <c r="W175" s="221" t="str">
        <f t="shared" si="132"/>
        <v>-</v>
      </c>
      <c r="X175" s="221" t="str">
        <f t="shared" si="106"/>
        <v>-</v>
      </c>
      <c r="Y175" s="221" t="str">
        <f t="shared" si="107"/>
        <v>-</v>
      </c>
      <c r="Z175" s="270">
        <f t="shared" si="133"/>
        <v>0.1</v>
      </c>
      <c r="AA175" s="271" t="str">
        <f>IFERROR(IF(V174=1,AA$100*EXP(-(LN(2)/$D$65+0.04)*X174)*EXP(-(LN(2)/$D$65+0.1)*Y174),IF(V174=2,AA$100*EXP(-(LN(2)/$D$65+0.04)*(VLOOKUP(($F$16-$F$15)-1,U$99:Y174,4,FALSE)))*EXP(-(LN(2)/$D$65+0.1)*(VLOOKUP(($F$16-$F$15)-1,U$99:Y174,5,FALSE)))*EXP(-(LN(2)/$D$65+0.04)*X174)*EXP(-(LN(2)/$D$65+0.1)*Y174),IF(V174=3,AA$100*EXP(-(LN(2)/$D$65+0.04)*(VLOOKUP(($F$16-$F$15)-1,U$99:Y174,4,FALSE)))*EXP(-(LN(2)/$D$65+0.1)*(VLOOKUP(($F$16-$F$15)-1,U$99:Y174,5,FALSE)))*EXP(-(LN(2)/$D$65+0.04)*(VLOOKUP(($F$16-$F$15)*2-1,U$99:Y174,4,FALSE)))*EXP(-(LN(2)/$D$65+0.1)*(VLOOKUP(($F$16-$F$15)*2-1,U$99:Y174,5,FALSE)))*EXP(-(LN(2)/$D$65+0.04)*X174)*EXP(-(LN(2)/$D$65+0.1)*Y174),"-"))),"-")</f>
        <v>-</v>
      </c>
      <c r="AB175" s="271" t="str">
        <f>IFERROR(IF(V175=1,AB$100*EXP(-(LN(2)/$D$65+0.04)*X175)*EXP(-(LN(2)/$D$65+0.1)*Y175),IF(V175=2,AB$100*EXP(-(LN(2)/$D$65+0.04)*(VLOOKUP(($F$16-$F$15)-1,U$100:Y175,4,FALSE)))*EXP(-(LN(2)/$D$65+0.1)*(VLOOKUP(($F$16-$F$15)-1,U$100:Y175,5,FALSE)))*EXP(-(LN(2)/$D$65+0.04)*X175)*EXP(-(LN(2)/$D$65+0.1)*Y175),IF(V175=3,AB$100*EXP(-(LN(2)/$D$65+0.04)*(VLOOKUP(($F$16-$F$15)-1,U$100:Y175,4,FALSE)))*EXP(-(LN(2)/$D$65+0.1)*(VLOOKUP(($F$16-$F$15)-1,U$100:Y175,5,FALSE)))*EXP(-(LN(2)/$D$65+0.04)*(VLOOKUP(($F$16-$F$15)*2-1,U$100:Y175,4,FALSE)))*EXP(-(LN(2)/$D$65+0.1)*(VLOOKUP(($F$16-$F$15)*2-1,U$100:Y175,5,FALSE)))*EXP(-(LN(2)/$D$65+0.04)*X175)*EXP(-(LN(2)/$D$65+0.1)*Y175),"-"))),"-")</f>
        <v>-</v>
      </c>
      <c r="AC175" s="224">
        <f t="shared" si="134"/>
        <v>75</v>
      </c>
      <c r="AD175" s="223" t="str">
        <f t="shared" si="108"/>
        <v>-</v>
      </c>
      <c r="AE175" s="224" t="str">
        <f t="shared" si="135"/>
        <v>-</v>
      </c>
      <c r="AF175" s="224" t="str">
        <f t="shared" si="109"/>
        <v>-</v>
      </c>
      <c r="AG175" s="224" t="str">
        <f t="shared" si="110"/>
        <v>-</v>
      </c>
      <c r="AH175" s="272">
        <f t="shared" si="136"/>
        <v>0.1</v>
      </c>
      <c r="AI175" s="271" t="str">
        <f>IFERROR(IF(AD174=1,AI$100*EXP(-(LN(2)/$D$65+0.04)*AF174)*EXP(-(LN(2)/$D$65+0.1)*AG174),IF(AD174=2,AI$100*EXP(-(LN(2)/$D$65+0.04)*(VLOOKUP(($F$16-$F$15)-1,AC$99:AG174,4,FALSE)))*EXP(-(LN(2)/$D$65+0.1)*(VLOOKUP(($F$16-$F$15)-1,AC$99:AG174,5,FALSE)))*EXP(-(LN(2)/$D$65+0.04)*AF174)*EXP(-(LN(2)/$D$65+0.1)*AG174),IF(AD174=3,AI$100*EXP(-(LN(2)/$D$65+0.04)*(VLOOKUP(($F$16-$F$15)-1,AC$99:AG174,4,FALSE)))*EXP(-(LN(2)/$D$65+0.1)*(VLOOKUP(($F$16-$F$15)-1,AC$99:AG174,5,FALSE)))*EXP(-(LN(2)/$D$65+0.04)*(VLOOKUP(($F$16-$F$15)*2-1,AC$99:AG174,4,FALSE)))*EXP(-(LN(2)/$D$65+0.1)*(VLOOKUP(($F$16-$F$15)*2-1,AC$99:AG174,5,FALSE)))*EXP(-(LN(2)/$D$65+0.04)*AF174)*EXP(-(LN(2)/$D$65+0.1)*AG174),"-"))),"-")</f>
        <v>-</v>
      </c>
      <c r="AJ175" s="271" t="str">
        <f>IFERROR(IF(AD175=1,AJ$100*EXP(-(LN(2)/$D$65+0.04)*AF175)*EXP(-(LN(2)/$D$65+0.1)*AG175),IF(AD175=2,AJ$100*EXP(-(LN(2)/$D$65+0.04)*(VLOOKUP(($F$16-$F$15)-1,AC$100:AG175,4,FALSE)))*EXP(-(LN(2)/$D$65+0.1)*(VLOOKUP(($F$16-$F$15)-1,AC$100:AG175,5,FALSE)))*EXP(-(LN(2)/$D$65+0.04)*AF175)*EXP(-(LN(2)/$D$65+0.1)*AG175),IF(AD175=3,AJ$100*EXP(-(LN(2)/$D$65+0.04)*(VLOOKUP(($F$16-$F$15)-1,AC$100:AG175,4,FALSE)))*EXP(-(LN(2)/$D$65+0.1)*(VLOOKUP(($F$16-$F$15)-1,AC$100:AG175,5,FALSE)))*EXP(-(LN(2)/$D$65+0.04)*(VLOOKUP(($F$16-$F$15)*2-1,AC$100:AG175,4,FALSE)))*EXP(-(LN(2)/$D$65+0.1)*(VLOOKUP(($F$16-$F$15)*2-1,AC$100:AG175,5,FALSE)))*EXP(-(LN(2)/$D$65+0.04)*AF175)*EXP(-(LN(2)/$D$65+0.1)*AG175),"-"))),"-")</f>
        <v>-</v>
      </c>
      <c r="AK175" s="227">
        <f t="shared" si="137"/>
        <v>75</v>
      </c>
      <c r="AL175" s="226" t="str">
        <f t="shared" si="111"/>
        <v>-</v>
      </c>
      <c r="AM175" s="227" t="str">
        <f t="shared" si="138"/>
        <v>-</v>
      </c>
      <c r="AN175" s="227" t="str">
        <f t="shared" si="139"/>
        <v>-</v>
      </c>
      <c r="AO175" s="227" t="str">
        <f t="shared" si="112"/>
        <v>-</v>
      </c>
      <c r="AP175" s="273">
        <f t="shared" si="140"/>
        <v>0.1</v>
      </c>
      <c r="AQ175" s="271" t="str">
        <f>IFERROR(IF(AL174=1,AQ$100*EXP(-(LN(2)/$D$65+0.04)*AN174)*EXP(-(LN(2)/$D$65+0.1)*AO174),IF(AL174=2,AQ$100*EXP(-(LN(2)/$D$65+0.04)*(VLOOKUP(($F$16-$F$15)-1,AK$99:AO174,4,FALSE)))*EXP(-(LN(2)/$D$65+0.1)*(VLOOKUP(($F$16-$F$15)-1,AK$99:AO174,5,FALSE)))*EXP(-(LN(2)/$D$65+0.04)*AN174)*EXP(-(LN(2)/$D$65+0.1)*AO174),IF(AL174=3,AQ$100*EXP(-(LN(2)/$D$65+0.04)*(VLOOKUP(($F$16-$F$15)-1,AK$99:AO174,4,FALSE)))*EXP(-(LN(2)/$D$65+0.1)*(VLOOKUP(($F$16-$F$15)-1,AK$99:AO174,5,FALSE)))*EXP(-(LN(2)/$D$65+0.04)*(VLOOKUP(($F$16-$F$15)*2-1,AK$99:AO174,4,FALSE)))*EXP(-(LN(2)/$D$65+0.1)*(VLOOKUP(($F$16-$F$15)*2-1,AK$99:AO174,5,FALSE)))*EXP(-(LN(2)/$D$65+0.04)*AN174)*EXP(-(LN(2)/$D$65+0.1)*AO174),"-"))),"-")</f>
        <v>-</v>
      </c>
      <c r="AR175" s="271" t="str">
        <f>IFERROR(IF(AL175=1,AR$100*EXP(-(LN(2)/$D$65+0.04)*AN175)*EXP(-(LN(2)/$D$65+0.1)*AO175),IF(AL175=2,AR$100*EXP(-(LN(2)/$D$65+0.04)*(VLOOKUP(($F$16-$F$15)-1,AK$100:AO175,4,FALSE)))*EXP(-(LN(2)/$D$65+0.1)*(VLOOKUP(($F$16-$F$15)-1,AK$100:AO175,5,FALSE)))*EXP(-(LN(2)/$D$65+0.04)*AN175)*EXP(-(LN(2)/$D$65+0.1)*AO175),IF(AL175=3,AR$100*EXP(-(LN(2)/$D$65+0.04)*(VLOOKUP(($F$16-$F$15)-1,AK$100:AO175,4,FALSE)))*EXP(-(LN(2)/$D$65+0.1)*(VLOOKUP(($F$16-$F$15)-1,AK$100:AO175,5,FALSE)))*EXP(-(LN(2)/$D$65+0.04)*(VLOOKUP(($F$16-$F$15)*2-1,AK$100:AO175,4,FALSE)))*EXP(-(LN(2)/$D$65+0.1)*(VLOOKUP(($F$16-$F$15)*2-1,AK$100:AO175,5,FALSE)))*EXP(-(LN(2)/$D$65+0.04)*AN175)*EXP(-(LN(2)/$D$65+0.1)*AO175),"-"))),"-")</f>
        <v>-</v>
      </c>
      <c r="AS175" s="274">
        <f t="shared" si="113"/>
        <v>0</v>
      </c>
      <c r="AT175" s="274">
        <f t="shared" si="114"/>
        <v>0</v>
      </c>
      <c r="AU175" s="274">
        <f t="shared" si="115"/>
        <v>0</v>
      </c>
      <c r="AV175" s="190" t="str">
        <f>IF($B175&lt;$F$22,SUM($T$100:$T175),"")</f>
        <v/>
      </c>
      <c r="AW175" s="190" t="str">
        <f t="shared" si="116"/>
        <v>-</v>
      </c>
      <c r="AX175" s="190" t="str">
        <f t="shared" si="141"/>
        <v/>
      </c>
      <c r="AY175"/>
      <c r="AZ175" s="190" t="str">
        <f ca="1">IF(ISNUMBER(OFFSET(AV175,-$F$21,0)),SUM(OFFSET($T$100,$F$21,0):$T175),"")</f>
        <v/>
      </c>
      <c r="BA175" s="190" t="str">
        <f t="shared" ca="1" si="117"/>
        <v/>
      </c>
      <c r="BB175" s="190" t="str">
        <f t="shared" ca="1" si="70"/>
        <v/>
      </c>
      <c r="BC175" s="190"/>
      <c r="BD175" s="190" t="str">
        <f ca="1">IFERROR(IF(OR(ISNUMBER(I),ISNUMBER($F$14)),IF(AND($B175&gt;=($F$16-$F$15),$B175&lt;$F$22+($F$16-$F$15)),SUM(OFFSET($T$100,($F$16-$F$15),0):$T175),""),""),"")</f>
        <v/>
      </c>
      <c r="BE175" s="190" t="str">
        <f t="shared" ca="1" si="142"/>
        <v/>
      </c>
      <c r="BF175" s="190" t="str">
        <f t="shared" ca="1" si="143"/>
        <v/>
      </c>
      <c r="BG175"/>
      <c r="BH175" s="190" t="str">
        <f ca="1">IF(ISNUMBER(OFFSET(BD175,-$F$21,0)),SUM(OFFSET($T$100,($F$16-$F$15+$F$21),0):$T175),"")</f>
        <v/>
      </c>
      <c r="BI175" s="190" t="str">
        <f t="shared" ca="1" si="118"/>
        <v/>
      </c>
      <c r="BJ175" s="190" t="str">
        <f t="shared" ca="1" si="144"/>
        <v/>
      </c>
      <c r="BK175" s="190"/>
      <c r="BL175" s="190" t="str">
        <f ca="1">IFERROR(IF(OR(ISNUMBER(I),ISNUMBER($F$14)),IF(AND($B175&gt;=($F$17-$F$15),$B175&lt;$F$22+($F$17-$F$15)),SUM(OFFSET($T$100,($F$17-$F$15),0):$T175),""),""),"")</f>
        <v/>
      </c>
      <c r="BM175" s="190" t="str">
        <f t="shared" ca="1" si="119"/>
        <v/>
      </c>
      <c r="BN175" s="190" t="str">
        <f t="shared" ca="1" si="145"/>
        <v/>
      </c>
      <c r="BO175"/>
      <c r="BP175" s="190" t="str">
        <f ca="1">IF(ISNUMBER(OFFSET(BL175,-$F$21,0)),SUM(OFFSET($T$100,($F$17-$F$15+$F$21),0):$T175),"")</f>
        <v/>
      </c>
      <c r="BQ175" s="190" t="str">
        <f t="shared" ca="1" si="120"/>
        <v/>
      </c>
      <c r="BR175" s="190" t="str">
        <f t="shared" ca="1" si="146"/>
        <v/>
      </c>
      <c r="BS175" s="190"/>
      <c r="BT175"/>
      <c r="BU175"/>
      <c r="BV175"/>
      <c r="BY175" s="99"/>
      <c r="BZ175" s="99"/>
      <c r="CA175" s="280" t="str">
        <f t="shared" si="121"/>
        <v/>
      </c>
      <c r="CB175" s="71" t="str">
        <f t="shared" si="122"/>
        <v>-</v>
      </c>
      <c r="CC175" s="33"/>
      <c r="CD175" s="261" t="str">
        <f t="shared" si="123"/>
        <v/>
      </c>
      <c r="CE175" s="280" t="str">
        <f t="shared" si="124"/>
        <v/>
      </c>
      <c r="CF175" s="71" t="str">
        <f t="shared" ca="1" si="125"/>
        <v/>
      </c>
      <c r="CG175" s="33" t="str">
        <f t="shared" si="126"/>
        <v/>
      </c>
      <c r="CH175" s="261" t="str">
        <f t="shared" ca="1" si="127"/>
        <v/>
      </c>
      <c r="CI175" s="202"/>
      <c r="CJ175" s="99"/>
      <c r="CK175" s="99"/>
      <c r="CL175" s="99"/>
      <c r="CM175" s="99"/>
      <c r="CN175" s="99"/>
      <c r="CO175" s="99"/>
    </row>
    <row r="176" spans="2:93" ht="13.5" customHeight="1" x14ac:dyDescent="0.2">
      <c r="B176" s="262">
        <v>76</v>
      </c>
      <c r="C176" s="237" t="str">
        <f t="shared" si="91"/>
        <v/>
      </c>
      <c r="D176" s="237" t="str">
        <f t="shared" si="147"/>
        <v/>
      </c>
      <c r="E176" s="290" t="str">
        <f t="shared" si="128"/>
        <v/>
      </c>
      <c r="F176" s="264" t="str">
        <f t="shared" si="129"/>
        <v/>
      </c>
      <c r="G176" s="291" t="str">
        <f t="shared" si="130"/>
        <v/>
      </c>
      <c r="H176" s="240" t="str">
        <f t="shared" si="92"/>
        <v/>
      </c>
      <c r="I176" s="265" t="str">
        <f t="shared" si="93"/>
        <v/>
      </c>
      <c r="J176" s="265" t="str">
        <f t="shared" si="94"/>
        <v/>
      </c>
      <c r="K176" s="240" t="str">
        <f t="shared" si="95"/>
        <v/>
      </c>
      <c r="L176" s="265" t="str">
        <f t="shared" si="96"/>
        <v/>
      </c>
      <c r="M176" s="265" t="str">
        <f t="shared" si="97"/>
        <v/>
      </c>
      <c r="N176" s="240" t="str">
        <f t="shared" si="98"/>
        <v>-</v>
      </c>
      <c r="O176" s="265" t="str">
        <f t="shared" si="99"/>
        <v>-</v>
      </c>
      <c r="P176" s="265" t="str">
        <f t="shared" si="100"/>
        <v>-</v>
      </c>
      <c r="Q176" s="266" t="str">
        <f t="shared" si="101"/>
        <v>-</v>
      </c>
      <c r="R176" s="267" t="str">
        <f t="shared" si="102"/>
        <v>-</v>
      </c>
      <c r="S176" s="268" t="str">
        <f t="shared" si="103"/>
        <v>-</v>
      </c>
      <c r="T176" s="269" t="str">
        <f t="shared" si="104"/>
        <v/>
      </c>
      <c r="U176" s="221">
        <f t="shared" si="105"/>
        <v>76</v>
      </c>
      <c r="V176" s="220" t="str">
        <f t="shared" si="131"/>
        <v>-</v>
      </c>
      <c r="W176" s="221" t="str">
        <f t="shared" si="132"/>
        <v>-</v>
      </c>
      <c r="X176" s="221" t="str">
        <f t="shared" si="106"/>
        <v>-</v>
      </c>
      <c r="Y176" s="221" t="str">
        <f t="shared" si="107"/>
        <v>-</v>
      </c>
      <c r="Z176" s="270">
        <f t="shared" si="133"/>
        <v>0.1</v>
      </c>
      <c r="AA176" s="271" t="str">
        <f>IFERROR(IF(V175=1,AA$100*EXP(-(LN(2)/$D$65+0.04)*X175)*EXP(-(LN(2)/$D$65+0.1)*Y175),IF(V175=2,AA$100*EXP(-(LN(2)/$D$65+0.04)*(VLOOKUP(($F$16-$F$15)-1,U$99:Y175,4,FALSE)))*EXP(-(LN(2)/$D$65+0.1)*(VLOOKUP(($F$16-$F$15)-1,U$99:Y175,5,FALSE)))*EXP(-(LN(2)/$D$65+0.04)*X175)*EXP(-(LN(2)/$D$65+0.1)*Y175),IF(V175=3,AA$100*EXP(-(LN(2)/$D$65+0.04)*(VLOOKUP(($F$16-$F$15)-1,U$99:Y175,4,FALSE)))*EXP(-(LN(2)/$D$65+0.1)*(VLOOKUP(($F$16-$F$15)-1,U$99:Y175,5,FALSE)))*EXP(-(LN(2)/$D$65+0.04)*(VLOOKUP(($F$16-$F$15)*2-1,U$99:Y175,4,FALSE)))*EXP(-(LN(2)/$D$65+0.1)*(VLOOKUP(($F$16-$F$15)*2-1,U$99:Y175,5,FALSE)))*EXP(-(LN(2)/$D$65+0.04)*X175)*EXP(-(LN(2)/$D$65+0.1)*Y175),"-"))),"-")</f>
        <v>-</v>
      </c>
      <c r="AB176" s="271" t="str">
        <f>IFERROR(IF(V176=1,AB$100*EXP(-(LN(2)/$D$65+0.04)*X176)*EXP(-(LN(2)/$D$65+0.1)*Y176),IF(V176=2,AB$100*EXP(-(LN(2)/$D$65+0.04)*(VLOOKUP(($F$16-$F$15)-1,U$100:Y176,4,FALSE)))*EXP(-(LN(2)/$D$65+0.1)*(VLOOKUP(($F$16-$F$15)-1,U$100:Y176,5,FALSE)))*EXP(-(LN(2)/$D$65+0.04)*X176)*EXP(-(LN(2)/$D$65+0.1)*Y176),IF(V176=3,AB$100*EXP(-(LN(2)/$D$65+0.04)*(VLOOKUP(($F$16-$F$15)-1,U$100:Y176,4,FALSE)))*EXP(-(LN(2)/$D$65+0.1)*(VLOOKUP(($F$16-$F$15)-1,U$100:Y176,5,FALSE)))*EXP(-(LN(2)/$D$65+0.04)*(VLOOKUP(($F$16-$F$15)*2-1,U$100:Y176,4,FALSE)))*EXP(-(LN(2)/$D$65+0.1)*(VLOOKUP(($F$16-$F$15)*2-1,U$100:Y176,5,FALSE)))*EXP(-(LN(2)/$D$65+0.04)*X176)*EXP(-(LN(2)/$D$65+0.1)*Y176),"-"))),"-")</f>
        <v>-</v>
      </c>
      <c r="AC176" s="224">
        <f t="shared" si="134"/>
        <v>76</v>
      </c>
      <c r="AD176" s="223" t="str">
        <f t="shared" si="108"/>
        <v>-</v>
      </c>
      <c r="AE176" s="224" t="str">
        <f t="shared" si="135"/>
        <v>-</v>
      </c>
      <c r="AF176" s="224" t="str">
        <f t="shared" si="109"/>
        <v>-</v>
      </c>
      <c r="AG176" s="224" t="str">
        <f t="shared" si="110"/>
        <v>-</v>
      </c>
      <c r="AH176" s="272">
        <f t="shared" si="136"/>
        <v>0.1</v>
      </c>
      <c r="AI176" s="271" t="str">
        <f>IFERROR(IF(AD175=1,AI$100*EXP(-(LN(2)/$D$65+0.04)*AF175)*EXP(-(LN(2)/$D$65+0.1)*AG175),IF(AD175=2,AI$100*EXP(-(LN(2)/$D$65+0.04)*(VLOOKUP(($F$16-$F$15)-1,AC$99:AG175,4,FALSE)))*EXP(-(LN(2)/$D$65+0.1)*(VLOOKUP(($F$16-$F$15)-1,AC$99:AG175,5,FALSE)))*EXP(-(LN(2)/$D$65+0.04)*AF175)*EXP(-(LN(2)/$D$65+0.1)*AG175),IF(AD175=3,AI$100*EXP(-(LN(2)/$D$65+0.04)*(VLOOKUP(($F$16-$F$15)-1,AC$99:AG175,4,FALSE)))*EXP(-(LN(2)/$D$65+0.1)*(VLOOKUP(($F$16-$F$15)-1,AC$99:AG175,5,FALSE)))*EXP(-(LN(2)/$D$65+0.04)*(VLOOKUP(($F$16-$F$15)*2-1,AC$99:AG175,4,FALSE)))*EXP(-(LN(2)/$D$65+0.1)*(VLOOKUP(($F$16-$F$15)*2-1,AC$99:AG175,5,FALSE)))*EXP(-(LN(2)/$D$65+0.04)*AF175)*EXP(-(LN(2)/$D$65+0.1)*AG175),"-"))),"-")</f>
        <v>-</v>
      </c>
      <c r="AJ176" s="271" t="str">
        <f>IFERROR(IF(AD176=1,AJ$100*EXP(-(LN(2)/$D$65+0.04)*AF176)*EXP(-(LN(2)/$D$65+0.1)*AG176),IF(AD176=2,AJ$100*EXP(-(LN(2)/$D$65+0.04)*(VLOOKUP(($F$16-$F$15)-1,AC$100:AG176,4,FALSE)))*EXP(-(LN(2)/$D$65+0.1)*(VLOOKUP(($F$16-$F$15)-1,AC$100:AG176,5,FALSE)))*EXP(-(LN(2)/$D$65+0.04)*AF176)*EXP(-(LN(2)/$D$65+0.1)*AG176),IF(AD176=3,AJ$100*EXP(-(LN(2)/$D$65+0.04)*(VLOOKUP(($F$16-$F$15)-1,AC$100:AG176,4,FALSE)))*EXP(-(LN(2)/$D$65+0.1)*(VLOOKUP(($F$16-$F$15)-1,AC$100:AG176,5,FALSE)))*EXP(-(LN(2)/$D$65+0.04)*(VLOOKUP(($F$16-$F$15)*2-1,AC$100:AG176,4,FALSE)))*EXP(-(LN(2)/$D$65+0.1)*(VLOOKUP(($F$16-$F$15)*2-1,AC$100:AG176,5,FALSE)))*EXP(-(LN(2)/$D$65+0.04)*AF176)*EXP(-(LN(2)/$D$65+0.1)*AG176),"-"))),"-")</f>
        <v>-</v>
      </c>
      <c r="AK176" s="227">
        <f t="shared" si="137"/>
        <v>76</v>
      </c>
      <c r="AL176" s="226" t="str">
        <f t="shared" si="111"/>
        <v>-</v>
      </c>
      <c r="AM176" s="227" t="str">
        <f t="shared" si="138"/>
        <v>-</v>
      </c>
      <c r="AN176" s="227" t="str">
        <f t="shared" si="139"/>
        <v>-</v>
      </c>
      <c r="AO176" s="227" t="str">
        <f t="shared" si="112"/>
        <v>-</v>
      </c>
      <c r="AP176" s="273">
        <f t="shared" si="140"/>
        <v>0.1</v>
      </c>
      <c r="AQ176" s="271" t="str">
        <f>IFERROR(IF(AL175=1,AQ$100*EXP(-(LN(2)/$D$65+0.04)*AN175)*EXP(-(LN(2)/$D$65+0.1)*AO175),IF(AL175=2,AQ$100*EXP(-(LN(2)/$D$65+0.04)*(VLOOKUP(($F$16-$F$15)-1,AK$99:AO175,4,FALSE)))*EXP(-(LN(2)/$D$65+0.1)*(VLOOKUP(($F$16-$F$15)-1,AK$99:AO175,5,FALSE)))*EXP(-(LN(2)/$D$65+0.04)*AN175)*EXP(-(LN(2)/$D$65+0.1)*AO175),IF(AL175=3,AQ$100*EXP(-(LN(2)/$D$65+0.04)*(VLOOKUP(($F$16-$F$15)-1,AK$99:AO175,4,FALSE)))*EXP(-(LN(2)/$D$65+0.1)*(VLOOKUP(($F$16-$F$15)-1,AK$99:AO175,5,FALSE)))*EXP(-(LN(2)/$D$65+0.04)*(VLOOKUP(($F$16-$F$15)*2-1,AK$99:AO175,4,FALSE)))*EXP(-(LN(2)/$D$65+0.1)*(VLOOKUP(($F$16-$F$15)*2-1,AK$99:AO175,5,FALSE)))*EXP(-(LN(2)/$D$65+0.04)*AN175)*EXP(-(LN(2)/$D$65+0.1)*AO175),"-"))),"-")</f>
        <v>-</v>
      </c>
      <c r="AR176" s="271" t="str">
        <f>IFERROR(IF(AL176=1,AR$100*EXP(-(LN(2)/$D$65+0.04)*AN176)*EXP(-(LN(2)/$D$65+0.1)*AO176),IF(AL176=2,AR$100*EXP(-(LN(2)/$D$65+0.04)*(VLOOKUP(($F$16-$F$15)-1,AK$100:AO176,4,FALSE)))*EXP(-(LN(2)/$D$65+0.1)*(VLOOKUP(($F$16-$F$15)-1,AK$100:AO176,5,FALSE)))*EXP(-(LN(2)/$D$65+0.04)*AN176)*EXP(-(LN(2)/$D$65+0.1)*AO176),IF(AL176=3,AR$100*EXP(-(LN(2)/$D$65+0.04)*(VLOOKUP(($F$16-$F$15)-1,AK$100:AO176,4,FALSE)))*EXP(-(LN(2)/$D$65+0.1)*(VLOOKUP(($F$16-$F$15)-1,AK$100:AO176,5,FALSE)))*EXP(-(LN(2)/$D$65+0.04)*(VLOOKUP(($F$16-$F$15)*2-1,AK$100:AO176,4,FALSE)))*EXP(-(LN(2)/$D$65+0.1)*(VLOOKUP(($F$16-$F$15)*2-1,AK$100:AO176,5,FALSE)))*EXP(-(LN(2)/$D$65+0.04)*AN176)*EXP(-(LN(2)/$D$65+0.1)*AO176),"-"))),"-")</f>
        <v>-</v>
      </c>
      <c r="AS176" s="274">
        <f t="shared" si="113"/>
        <v>0</v>
      </c>
      <c r="AT176" s="274">
        <f t="shared" si="114"/>
        <v>0</v>
      </c>
      <c r="AU176" s="274">
        <f t="shared" si="115"/>
        <v>0</v>
      </c>
      <c r="AV176" s="190" t="str">
        <f>IF($B176&lt;$F$22,SUM($T$100:$T176),"")</f>
        <v/>
      </c>
      <c r="AW176" s="190" t="str">
        <f t="shared" si="116"/>
        <v>-</v>
      </c>
      <c r="AX176" s="190" t="str">
        <f t="shared" si="141"/>
        <v/>
      </c>
      <c r="AY176"/>
      <c r="AZ176" s="190" t="str">
        <f ca="1">IF(ISNUMBER(OFFSET(AV176,-$F$21,0)),SUM(OFFSET($T$100,$F$21,0):$T176),"")</f>
        <v/>
      </c>
      <c r="BA176" s="190" t="str">
        <f t="shared" ca="1" si="117"/>
        <v/>
      </c>
      <c r="BB176" s="190" t="str">
        <f t="shared" ca="1" si="70"/>
        <v/>
      </c>
      <c r="BC176" s="190"/>
      <c r="BD176" s="190" t="str">
        <f ca="1">IFERROR(IF(OR(ISNUMBER(I),ISNUMBER($F$14)),IF(AND($B176&gt;=($F$16-$F$15),$B176&lt;$F$22+($F$16-$F$15)),SUM(OFFSET($T$100,($F$16-$F$15),0):$T176),""),""),"")</f>
        <v/>
      </c>
      <c r="BE176" s="190" t="str">
        <f t="shared" ca="1" si="142"/>
        <v/>
      </c>
      <c r="BF176" s="190" t="str">
        <f t="shared" ca="1" si="143"/>
        <v/>
      </c>
      <c r="BG176"/>
      <c r="BH176" s="190" t="str">
        <f ca="1">IF(ISNUMBER(OFFSET(BD176,-$F$21,0)),SUM(OFFSET($T$100,($F$16-$F$15+$F$21),0):$T176),"")</f>
        <v/>
      </c>
      <c r="BI176" s="190" t="str">
        <f t="shared" ca="1" si="118"/>
        <v/>
      </c>
      <c r="BJ176" s="190" t="str">
        <f t="shared" ca="1" si="144"/>
        <v/>
      </c>
      <c r="BK176" s="190"/>
      <c r="BL176" s="190" t="str">
        <f ca="1">IFERROR(IF(OR(ISNUMBER(I),ISNUMBER($F$14)),IF(AND($B176&gt;=($F$17-$F$15),$B176&lt;$F$22+($F$17-$F$15)),SUM(OFFSET($T$100,($F$17-$F$15),0):$T176),""),""),"")</f>
        <v/>
      </c>
      <c r="BM176" s="190" t="str">
        <f t="shared" ca="1" si="119"/>
        <v/>
      </c>
      <c r="BN176" s="190" t="str">
        <f t="shared" ca="1" si="145"/>
        <v/>
      </c>
      <c r="BO176"/>
      <c r="BP176" s="190" t="str">
        <f ca="1">IF(ISNUMBER(OFFSET(BL176,-$F$21,0)),SUM(OFFSET($T$100,($F$17-$F$15+$F$21),0):$T176),"")</f>
        <v/>
      </c>
      <c r="BQ176" s="190" t="str">
        <f t="shared" ca="1" si="120"/>
        <v/>
      </c>
      <c r="BR176" s="190" t="str">
        <f t="shared" ca="1" si="146"/>
        <v/>
      </c>
      <c r="BS176" s="190"/>
      <c r="BT176"/>
      <c r="BU176"/>
      <c r="BV176"/>
      <c r="BY176" s="99"/>
      <c r="BZ176" s="99"/>
      <c r="CA176" s="280" t="str">
        <f t="shared" si="121"/>
        <v/>
      </c>
      <c r="CB176" s="71" t="str">
        <f t="shared" si="122"/>
        <v>-</v>
      </c>
      <c r="CC176" s="33"/>
      <c r="CD176" s="261" t="str">
        <f t="shared" si="123"/>
        <v/>
      </c>
      <c r="CE176" s="280" t="str">
        <f t="shared" si="124"/>
        <v/>
      </c>
      <c r="CF176" s="71" t="str">
        <f t="shared" ca="1" si="125"/>
        <v/>
      </c>
      <c r="CG176" s="33" t="str">
        <f t="shared" si="126"/>
        <v/>
      </c>
      <c r="CH176" s="261" t="str">
        <f t="shared" ca="1" si="127"/>
        <v/>
      </c>
      <c r="CI176" s="202"/>
      <c r="CJ176" s="99"/>
      <c r="CK176" s="99"/>
      <c r="CL176" s="99"/>
      <c r="CM176" s="99"/>
      <c r="CN176" s="99"/>
      <c r="CO176" s="99"/>
    </row>
    <row r="177" spans="2:93" ht="13.5" customHeight="1" x14ac:dyDescent="0.2">
      <c r="B177" s="262">
        <v>77</v>
      </c>
      <c r="C177" s="237" t="str">
        <f t="shared" si="91"/>
        <v/>
      </c>
      <c r="D177" s="237" t="str">
        <f t="shared" si="147"/>
        <v/>
      </c>
      <c r="E177" s="290" t="str">
        <f t="shared" si="128"/>
        <v/>
      </c>
      <c r="F177" s="264" t="str">
        <f t="shared" si="129"/>
        <v/>
      </c>
      <c r="G177" s="291" t="str">
        <f t="shared" si="130"/>
        <v/>
      </c>
      <c r="H177" s="240" t="str">
        <f t="shared" si="92"/>
        <v/>
      </c>
      <c r="I177" s="265" t="str">
        <f t="shared" si="93"/>
        <v/>
      </c>
      <c r="J177" s="265" t="str">
        <f t="shared" si="94"/>
        <v/>
      </c>
      <c r="K177" s="240" t="str">
        <f t="shared" si="95"/>
        <v/>
      </c>
      <c r="L177" s="265" t="str">
        <f t="shared" si="96"/>
        <v/>
      </c>
      <c r="M177" s="265" t="str">
        <f t="shared" si="97"/>
        <v/>
      </c>
      <c r="N177" s="240" t="str">
        <f t="shared" si="98"/>
        <v>-</v>
      </c>
      <c r="O177" s="265" t="str">
        <f t="shared" si="99"/>
        <v>-</v>
      </c>
      <c r="P177" s="265" t="str">
        <f t="shared" si="100"/>
        <v>-</v>
      </c>
      <c r="Q177" s="266" t="str">
        <f t="shared" si="101"/>
        <v>-</v>
      </c>
      <c r="R177" s="267" t="str">
        <f t="shared" si="102"/>
        <v>-</v>
      </c>
      <c r="S177" s="268" t="str">
        <f t="shared" si="103"/>
        <v>-</v>
      </c>
      <c r="T177" s="269" t="str">
        <f t="shared" si="104"/>
        <v/>
      </c>
      <c r="U177" s="221">
        <f t="shared" si="105"/>
        <v>77</v>
      </c>
      <c r="V177" s="220" t="str">
        <f t="shared" si="131"/>
        <v>-</v>
      </c>
      <c r="W177" s="221" t="str">
        <f t="shared" si="132"/>
        <v>-</v>
      </c>
      <c r="X177" s="221" t="str">
        <f t="shared" si="106"/>
        <v>-</v>
      </c>
      <c r="Y177" s="221" t="str">
        <f t="shared" si="107"/>
        <v>-</v>
      </c>
      <c r="Z177" s="270">
        <f t="shared" si="133"/>
        <v>0.1</v>
      </c>
      <c r="AA177" s="271" t="str">
        <f>IFERROR(IF(V176=1,AA$100*EXP(-(LN(2)/$D$65+0.04)*X176)*EXP(-(LN(2)/$D$65+0.1)*Y176),IF(V176=2,AA$100*EXP(-(LN(2)/$D$65+0.04)*(VLOOKUP(($F$16-$F$15)-1,U$99:Y176,4,FALSE)))*EXP(-(LN(2)/$D$65+0.1)*(VLOOKUP(($F$16-$F$15)-1,U$99:Y176,5,FALSE)))*EXP(-(LN(2)/$D$65+0.04)*X176)*EXP(-(LN(2)/$D$65+0.1)*Y176),IF(V176=3,AA$100*EXP(-(LN(2)/$D$65+0.04)*(VLOOKUP(($F$16-$F$15)-1,U$99:Y176,4,FALSE)))*EXP(-(LN(2)/$D$65+0.1)*(VLOOKUP(($F$16-$F$15)-1,U$99:Y176,5,FALSE)))*EXP(-(LN(2)/$D$65+0.04)*(VLOOKUP(($F$16-$F$15)*2-1,U$99:Y176,4,FALSE)))*EXP(-(LN(2)/$D$65+0.1)*(VLOOKUP(($F$16-$F$15)*2-1,U$99:Y176,5,FALSE)))*EXP(-(LN(2)/$D$65+0.04)*X176)*EXP(-(LN(2)/$D$65+0.1)*Y176),"-"))),"-")</f>
        <v>-</v>
      </c>
      <c r="AB177" s="271" t="str">
        <f>IFERROR(IF(V177=1,AB$100*EXP(-(LN(2)/$D$65+0.04)*X177)*EXP(-(LN(2)/$D$65+0.1)*Y177),IF(V177=2,AB$100*EXP(-(LN(2)/$D$65+0.04)*(VLOOKUP(($F$16-$F$15)-1,U$100:Y177,4,FALSE)))*EXP(-(LN(2)/$D$65+0.1)*(VLOOKUP(($F$16-$F$15)-1,U$100:Y177,5,FALSE)))*EXP(-(LN(2)/$D$65+0.04)*X177)*EXP(-(LN(2)/$D$65+0.1)*Y177),IF(V177=3,AB$100*EXP(-(LN(2)/$D$65+0.04)*(VLOOKUP(($F$16-$F$15)-1,U$100:Y177,4,FALSE)))*EXP(-(LN(2)/$D$65+0.1)*(VLOOKUP(($F$16-$F$15)-1,U$100:Y177,5,FALSE)))*EXP(-(LN(2)/$D$65+0.04)*(VLOOKUP(($F$16-$F$15)*2-1,U$100:Y177,4,FALSE)))*EXP(-(LN(2)/$D$65+0.1)*(VLOOKUP(($F$16-$F$15)*2-1,U$100:Y177,5,FALSE)))*EXP(-(LN(2)/$D$65+0.04)*X177)*EXP(-(LN(2)/$D$65+0.1)*Y177),"-"))),"-")</f>
        <v>-</v>
      </c>
      <c r="AC177" s="224">
        <f t="shared" si="134"/>
        <v>77</v>
      </c>
      <c r="AD177" s="223" t="str">
        <f t="shared" si="108"/>
        <v>-</v>
      </c>
      <c r="AE177" s="224" t="str">
        <f t="shared" si="135"/>
        <v>-</v>
      </c>
      <c r="AF177" s="224" t="str">
        <f t="shared" si="109"/>
        <v>-</v>
      </c>
      <c r="AG177" s="224" t="str">
        <f t="shared" si="110"/>
        <v>-</v>
      </c>
      <c r="AH177" s="272">
        <f t="shared" si="136"/>
        <v>0.1</v>
      </c>
      <c r="AI177" s="271" t="str">
        <f>IFERROR(IF(AD176=1,AI$100*EXP(-(LN(2)/$D$65+0.04)*AF176)*EXP(-(LN(2)/$D$65+0.1)*AG176),IF(AD176=2,AI$100*EXP(-(LN(2)/$D$65+0.04)*(VLOOKUP(($F$16-$F$15)-1,AC$99:AG176,4,FALSE)))*EXP(-(LN(2)/$D$65+0.1)*(VLOOKUP(($F$16-$F$15)-1,AC$99:AG176,5,FALSE)))*EXP(-(LN(2)/$D$65+0.04)*AF176)*EXP(-(LN(2)/$D$65+0.1)*AG176),IF(AD176=3,AI$100*EXP(-(LN(2)/$D$65+0.04)*(VLOOKUP(($F$16-$F$15)-1,AC$99:AG176,4,FALSE)))*EXP(-(LN(2)/$D$65+0.1)*(VLOOKUP(($F$16-$F$15)-1,AC$99:AG176,5,FALSE)))*EXP(-(LN(2)/$D$65+0.04)*(VLOOKUP(($F$16-$F$15)*2-1,AC$99:AG176,4,FALSE)))*EXP(-(LN(2)/$D$65+0.1)*(VLOOKUP(($F$16-$F$15)*2-1,AC$99:AG176,5,FALSE)))*EXP(-(LN(2)/$D$65+0.04)*AF176)*EXP(-(LN(2)/$D$65+0.1)*AG176),"-"))),"-")</f>
        <v>-</v>
      </c>
      <c r="AJ177" s="271" t="str">
        <f>IFERROR(IF(AD177=1,AJ$100*EXP(-(LN(2)/$D$65+0.04)*AF177)*EXP(-(LN(2)/$D$65+0.1)*AG177),IF(AD177=2,AJ$100*EXP(-(LN(2)/$D$65+0.04)*(VLOOKUP(($F$16-$F$15)-1,AC$100:AG177,4,FALSE)))*EXP(-(LN(2)/$D$65+0.1)*(VLOOKUP(($F$16-$F$15)-1,AC$100:AG177,5,FALSE)))*EXP(-(LN(2)/$D$65+0.04)*AF177)*EXP(-(LN(2)/$D$65+0.1)*AG177),IF(AD177=3,AJ$100*EXP(-(LN(2)/$D$65+0.04)*(VLOOKUP(($F$16-$F$15)-1,AC$100:AG177,4,FALSE)))*EXP(-(LN(2)/$D$65+0.1)*(VLOOKUP(($F$16-$F$15)-1,AC$100:AG177,5,FALSE)))*EXP(-(LN(2)/$D$65+0.04)*(VLOOKUP(($F$16-$F$15)*2-1,AC$100:AG177,4,FALSE)))*EXP(-(LN(2)/$D$65+0.1)*(VLOOKUP(($F$16-$F$15)*2-1,AC$100:AG177,5,FALSE)))*EXP(-(LN(2)/$D$65+0.04)*AF177)*EXP(-(LN(2)/$D$65+0.1)*AG177),"-"))),"-")</f>
        <v>-</v>
      </c>
      <c r="AK177" s="227">
        <f t="shared" si="137"/>
        <v>77</v>
      </c>
      <c r="AL177" s="226" t="str">
        <f t="shared" si="111"/>
        <v>-</v>
      </c>
      <c r="AM177" s="227" t="str">
        <f t="shared" si="138"/>
        <v>-</v>
      </c>
      <c r="AN177" s="227" t="str">
        <f t="shared" si="139"/>
        <v>-</v>
      </c>
      <c r="AO177" s="227" t="str">
        <f t="shared" si="112"/>
        <v>-</v>
      </c>
      <c r="AP177" s="273">
        <f t="shared" si="140"/>
        <v>0.1</v>
      </c>
      <c r="AQ177" s="271" t="str">
        <f>IFERROR(IF(AL176=1,AQ$100*EXP(-(LN(2)/$D$65+0.04)*AN176)*EXP(-(LN(2)/$D$65+0.1)*AO176),IF(AL176=2,AQ$100*EXP(-(LN(2)/$D$65+0.04)*(VLOOKUP(($F$16-$F$15)-1,AK$99:AO176,4,FALSE)))*EXP(-(LN(2)/$D$65+0.1)*(VLOOKUP(($F$16-$F$15)-1,AK$99:AO176,5,FALSE)))*EXP(-(LN(2)/$D$65+0.04)*AN176)*EXP(-(LN(2)/$D$65+0.1)*AO176),IF(AL176=3,AQ$100*EXP(-(LN(2)/$D$65+0.04)*(VLOOKUP(($F$16-$F$15)-1,AK$99:AO176,4,FALSE)))*EXP(-(LN(2)/$D$65+0.1)*(VLOOKUP(($F$16-$F$15)-1,AK$99:AO176,5,FALSE)))*EXP(-(LN(2)/$D$65+0.04)*(VLOOKUP(($F$16-$F$15)*2-1,AK$99:AO176,4,FALSE)))*EXP(-(LN(2)/$D$65+0.1)*(VLOOKUP(($F$16-$F$15)*2-1,AK$99:AO176,5,FALSE)))*EXP(-(LN(2)/$D$65+0.04)*AN176)*EXP(-(LN(2)/$D$65+0.1)*AO176),"-"))),"-")</f>
        <v>-</v>
      </c>
      <c r="AR177" s="271" t="str">
        <f>IFERROR(IF(AL177=1,AR$100*EXP(-(LN(2)/$D$65+0.04)*AN177)*EXP(-(LN(2)/$D$65+0.1)*AO177),IF(AL177=2,AR$100*EXP(-(LN(2)/$D$65+0.04)*(VLOOKUP(($F$16-$F$15)-1,AK$100:AO177,4,FALSE)))*EXP(-(LN(2)/$D$65+0.1)*(VLOOKUP(($F$16-$F$15)-1,AK$100:AO177,5,FALSE)))*EXP(-(LN(2)/$D$65+0.04)*AN177)*EXP(-(LN(2)/$D$65+0.1)*AO177),IF(AL177=3,AR$100*EXP(-(LN(2)/$D$65+0.04)*(VLOOKUP(($F$16-$F$15)-1,AK$100:AO177,4,FALSE)))*EXP(-(LN(2)/$D$65+0.1)*(VLOOKUP(($F$16-$F$15)-1,AK$100:AO177,5,FALSE)))*EXP(-(LN(2)/$D$65+0.04)*(VLOOKUP(($F$16-$F$15)*2-1,AK$100:AO177,4,FALSE)))*EXP(-(LN(2)/$D$65+0.1)*(VLOOKUP(($F$16-$F$15)*2-1,AK$100:AO177,5,FALSE)))*EXP(-(LN(2)/$D$65+0.04)*AN177)*EXP(-(LN(2)/$D$65+0.1)*AO177),"-"))),"-")</f>
        <v>-</v>
      </c>
      <c r="AS177" s="274">
        <f t="shared" si="113"/>
        <v>0</v>
      </c>
      <c r="AT177" s="274">
        <f t="shared" si="114"/>
        <v>0</v>
      </c>
      <c r="AU177" s="274">
        <f t="shared" si="115"/>
        <v>0</v>
      </c>
      <c r="AV177" s="190" t="str">
        <f>IF($B177&lt;$F$22,SUM($T$100:$T177),"")</f>
        <v/>
      </c>
      <c r="AW177" s="190" t="str">
        <f t="shared" si="116"/>
        <v>-</v>
      </c>
      <c r="AX177" s="190" t="str">
        <f t="shared" si="141"/>
        <v/>
      </c>
      <c r="AY177"/>
      <c r="AZ177" s="190" t="str">
        <f ca="1">IF(ISNUMBER(OFFSET(AV177,-$F$21,0)),SUM(OFFSET($T$100,$F$21,0):$T177),"")</f>
        <v/>
      </c>
      <c r="BA177" s="190" t="str">
        <f t="shared" ca="1" si="117"/>
        <v/>
      </c>
      <c r="BB177" s="190" t="str">
        <f t="shared" ca="1" si="70"/>
        <v/>
      </c>
      <c r="BC177" s="190"/>
      <c r="BD177" s="190" t="str">
        <f ca="1">IFERROR(IF(OR(ISNUMBER(I),ISNUMBER($F$14)),IF(AND($B177&gt;=($F$16-$F$15),$B177&lt;$F$22+($F$16-$F$15)),SUM(OFFSET($T$100,($F$16-$F$15),0):$T177),""),""),"")</f>
        <v/>
      </c>
      <c r="BE177" s="190" t="str">
        <f t="shared" ca="1" si="142"/>
        <v/>
      </c>
      <c r="BF177" s="190" t="str">
        <f t="shared" ca="1" si="143"/>
        <v/>
      </c>
      <c r="BG177"/>
      <c r="BH177" s="190" t="str">
        <f ca="1">IF(ISNUMBER(OFFSET(BD177,-$F$21,0)),SUM(OFFSET($T$100,($F$16-$F$15+$F$21),0):$T177),"")</f>
        <v/>
      </c>
      <c r="BI177" s="190" t="str">
        <f t="shared" ca="1" si="118"/>
        <v/>
      </c>
      <c r="BJ177" s="190" t="str">
        <f t="shared" ca="1" si="144"/>
        <v/>
      </c>
      <c r="BK177" s="190"/>
      <c r="BL177" s="190" t="str">
        <f ca="1">IFERROR(IF(OR(ISNUMBER(I),ISNUMBER($F$14)),IF(AND($B177&gt;=($F$17-$F$15),$B177&lt;$F$22+($F$17-$F$15)),SUM(OFFSET($T$100,($F$17-$F$15),0):$T177),""),""),"")</f>
        <v/>
      </c>
      <c r="BM177" s="190" t="str">
        <f t="shared" ca="1" si="119"/>
        <v/>
      </c>
      <c r="BN177" s="190" t="str">
        <f t="shared" ca="1" si="145"/>
        <v/>
      </c>
      <c r="BO177"/>
      <c r="BP177" s="190" t="str">
        <f ca="1">IF(ISNUMBER(OFFSET(BL177,-$F$21,0)),SUM(OFFSET($T$100,($F$17-$F$15+$F$21),0):$T177),"")</f>
        <v/>
      </c>
      <c r="BQ177" s="190" t="str">
        <f t="shared" ca="1" si="120"/>
        <v/>
      </c>
      <c r="BR177" s="190" t="str">
        <f t="shared" ca="1" si="146"/>
        <v/>
      </c>
      <c r="BS177" s="190"/>
      <c r="BT177"/>
      <c r="BU177"/>
      <c r="BV177"/>
      <c r="BY177" s="99"/>
      <c r="BZ177" s="99"/>
      <c r="CA177" s="280" t="str">
        <f t="shared" si="121"/>
        <v/>
      </c>
      <c r="CB177" s="71" t="str">
        <f t="shared" si="122"/>
        <v>-</v>
      </c>
      <c r="CC177" s="33"/>
      <c r="CD177" s="261" t="str">
        <f t="shared" si="123"/>
        <v/>
      </c>
      <c r="CE177" s="280" t="str">
        <f t="shared" si="124"/>
        <v/>
      </c>
      <c r="CF177" s="71" t="str">
        <f t="shared" ca="1" si="125"/>
        <v/>
      </c>
      <c r="CG177" s="33" t="str">
        <f t="shared" si="126"/>
        <v/>
      </c>
      <c r="CH177" s="261" t="str">
        <f t="shared" ca="1" si="127"/>
        <v/>
      </c>
      <c r="CI177" s="202"/>
      <c r="CJ177" s="99"/>
      <c r="CK177" s="99"/>
      <c r="CL177" s="99"/>
      <c r="CM177" s="99"/>
      <c r="CN177" s="99"/>
      <c r="CO177" s="99"/>
    </row>
    <row r="178" spans="2:93" ht="13.5" customHeight="1" x14ac:dyDescent="0.2">
      <c r="B178" s="262">
        <v>78</v>
      </c>
      <c r="C178" s="237" t="str">
        <f t="shared" si="91"/>
        <v/>
      </c>
      <c r="D178" s="237" t="str">
        <f t="shared" si="147"/>
        <v/>
      </c>
      <c r="E178" s="290" t="str">
        <f t="shared" si="128"/>
        <v/>
      </c>
      <c r="F178" s="264" t="str">
        <f t="shared" si="129"/>
        <v/>
      </c>
      <c r="G178" s="291" t="str">
        <f t="shared" si="130"/>
        <v/>
      </c>
      <c r="H178" s="240" t="str">
        <f t="shared" si="92"/>
        <v/>
      </c>
      <c r="I178" s="265" t="str">
        <f t="shared" si="93"/>
        <v/>
      </c>
      <c r="J178" s="265" t="str">
        <f t="shared" si="94"/>
        <v/>
      </c>
      <c r="K178" s="240" t="str">
        <f t="shared" si="95"/>
        <v/>
      </c>
      <c r="L178" s="265" t="str">
        <f t="shared" si="96"/>
        <v/>
      </c>
      <c r="M178" s="265" t="str">
        <f t="shared" si="97"/>
        <v/>
      </c>
      <c r="N178" s="240" t="str">
        <f t="shared" si="98"/>
        <v>-</v>
      </c>
      <c r="O178" s="265" t="str">
        <f t="shared" si="99"/>
        <v>-</v>
      </c>
      <c r="P178" s="265" t="str">
        <f t="shared" si="100"/>
        <v>-</v>
      </c>
      <c r="Q178" s="266" t="str">
        <f t="shared" si="101"/>
        <v>-</v>
      </c>
      <c r="R178" s="267" t="str">
        <f t="shared" si="102"/>
        <v>-</v>
      </c>
      <c r="S178" s="268" t="str">
        <f t="shared" si="103"/>
        <v>-</v>
      </c>
      <c r="T178" s="269" t="str">
        <f t="shared" si="104"/>
        <v/>
      </c>
      <c r="U178" s="221">
        <f t="shared" si="105"/>
        <v>78</v>
      </c>
      <c r="V178" s="220" t="str">
        <f t="shared" si="131"/>
        <v>-</v>
      </c>
      <c r="W178" s="221" t="str">
        <f t="shared" si="132"/>
        <v>-</v>
      </c>
      <c r="X178" s="221" t="str">
        <f t="shared" si="106"/>
        <v>-</v>
      </c>
      <c r="Y178" s="221" t="str">
        <f t="shared" si="107"/>
        <v>-</v>
      </c>
      <c r="Z178" s="270">
        <f t="shared" si="133"/>
        <v>0.1</v>
      </c>
      <c r="AA178" s="271" t="str">
        <f>IFERROR(IF(V177=1,AA$100*EXP(-(LN(2)/$D$65+0.04)*X177)*EXP(-(LN(2)/$D$65+0.1)*Y177),IF(V177=2,AA$100*EXP(-(LN(2)/$D$65+0.04)*(VLOOKUP(($F$16-$F$15)-1,U$99:Y177,4,FALSE)))*EXP(-(LN(2)/$D$65+0.1)*(VLOOKUP(($F$16-$F$15)-1,U$99:Y177,5,FALSE)))*EXP(-(LN(2)/$D$65+0.04)*X177)*EXP(-(LN(2)/$D$65+0.1)*Y177),IF(V177=3,AA$100*EXP(-(LN(2)/$D$65+0.04)*(VLOOKUP(($F$16-$F$15)-1,U$99:Y177,4,FALSE)))*EXP(-(LN(2)/$D$65+0.1)*(VLOOKUP(($F$16-$F$15)-1,U$99:Y177,5,FALSE)))*EXP(-(LN(2)/$D$65+0.04)*(VLOOKUP(($F$16-$F$15)*2-1,U$99:Y177,4,FALSE)))*EXP(-(LN(2)/$D$65+0.1)*(VLOOKUP(($F$16-$F$15)*2-1,U$99:Y177,5,FALSE)))*EXP(-(LN(2)/$D$65+0.04)*X177)*EXP(-(LN(2)/$D$65+0.1)*Y177),"-"))),"-")</f>
        <v>-</v>
      </c>
      <c r="AB178" s="271" t="str">
        <f>IFERROR(IF(V178=1,AB$100*EXP(-(LN(2)/$D$65+0.04)*X178)*EXP(-(LN(2)/$D$65+0.1)*Y178),IF(V178=2,AB$100*EXP(-(LN(2)/$D$65+0.04)*(VLOOKUP(($F$16-$F$15)-1,U$100:Y178,4,FALSE)))*EXP(-(LN(2)/$D$65+0.1)*(VLOOKUP(($F$16-$F$15)-1,U$100:Y178,5,FALSE)))*EXP(-(LN(2)/$D$65+0.04)*X178)*EXP(-(LN(2)/$D$65+0.1)*Y178),IF(V178=3,AB$100*EXP(-(LN(2)/$D$65+0.04)*(VLOOKUP(($F$16-$F$15)-1,U$100:Y178,4,FALSE)))*EXP(-(LN(2)/$D$65+0.1)*(VLOOKUP(($F$16-$F$15)-1,U$100:Y178,5,FALSE)))*EXP(-(LN(2)/$D$65+0.04)*(VLOOKUP(($F$16-$F$15)*2-1,U$100:Y178,4,FALSE)))*EXP(-(LN(2)/$D$65+0.1)*(VLOOKUP(($F$16-$F$15)*2-1,U$100:Y178,5,FALSE)))*EXP(-(LN(2)/$D$65+0.04)*X178)*EXP(-(LN(2)/$D$65+0.1)*Y178),"-"))),"-")</f>
        <v>-</v>
      </c>
      <c r="AC178" s="224">
        <f t="shared" si="134"/>
        <v>78</v>
      </c>
      <c r="AD178" s="223" t="str">
        <f t="shared" si="108"/>
        <v>-</v>
      </c>
      <c r="AE178" s="224" t="str">
        <f t="shared" si="135"/>
        <v>-</v>
      </c>
      <c r="AF178" s="224" t="str">
        <f t="shared" si="109"/>
        <v>-</v>
      </c>
      <c r="AG178" s="224" t="str">
        <f t="shared" si="110"/>
        <v>-</v>
      </c>
      <c r="AH178" s="272">
        <f t="shared" si="136"/>
        <v>0.1</v>
      </c>
      <c r="AI178" s="271" t="str">
        <f>IFERROR(IF(AD177=1,AI$100*EXP(-(LN(2)/$D$65+0.04)*AF177)*EXP(-(LN(2)/$D$65+0.1)*AG177),IF(AD177=2,AI$100*EXP(-(LN(2)/$D$65+0.04)*(VLOOKUP(($F$16-$F$15)-1,AC$99:AG177,4,FALSE)))*EXP(-(LN(2)/$D$65+0.1)*(VLOOKUP(($F$16-$F$15)-1,AC$99:AG177,5,FALSE)))*EXP(-(LN(2)/$D$65+0.04)*AF177)*EXP(-(LN(2)/$D$65+0.1)*AG177),IF(AD177=3,AI$100*EXP(-(LN(2)/$D$65+0.04)*(VLOOKUP(($F$16-$F$15)-1,AC$99:AG177,4,FALSE)))*EXP(-(LN(2)/$D$65+0.1)*(VLOOKUP(($F$16-$F$15)-1,AC$99:AG177,5,FALSE)))*EXP(-(LN(2)/$D$65+0.04)*(VLOOKUP(($F$16-$F$15)*2-1,AC$99:AG177,4,FALSE)))*EXP(-(LN(2)/$D$65+0.1)*(VLOOKUP(($F$16-$F$15)*2-1,AC$99:AG177,5,FALSE)))*EXP(-(LN(2)/$D$65+0.04)*AF177)*EXP(-(LN(2)/$D$65+0.1)*AG177),"-"))),"-")</f>
        <v>-</v>
      </c>
      <c r="AJ178" s="271" t="str">
        <f>IFERROR(IF(AD178=1,AJ$100*EXP(-(LN(2)/$D$65+0.04)*AF178)*EXP(-(LN(2)/$D$65+0.1)*AG178),IF(AD178=2,AJ$100*EXP(-(LN(2)/$D$65+0.04)*(VLOOKUP(($F$16-$F$15)-1,AC$100:AG178,4,FALSE)))*EXP(-(LN(2)/$D$65+0.1)*(VLOOKUP(($F$16-$F$15)-1,AC$100:AG178,5,FALSE)))*EXP(-(LN(2)/$D$65+0.04)*AF178)*EXP(-(LN(2)/$D$65+0.1)*AG178),IF(AD178=3,AJ$100*EXP(-(LN(2)/$D$65+0.04)*(VLOOKUP(($F$16-$F$15)-1,AC$100:AG178,4,FALSE)))*EXP(-(LN(2)/$D$65+0.1)*(VLOOKUP(($F$16-$F$15)-1,AC$100:AG178,5,FALSE)))*EXP(-(LN(2)/$D$65+0.04)*(VLOOKUP(($F$16-$F$15)*2-1,AC$100:AG178,4,FALSE)))*EXP(-(LN(2)/$D$65+0.1)*(VLOOKUP(($F$16-$F$15)*2-1,AC$100:AG178,5,FALSE)))*EXP(-(LN(2)/$D$65+0.04)*AF178)*EXP(-(LN(2)/$D$65+0.1)*AG178),"-"))),"-")</f>
        <v>-</v>
      </c>
      <c r="AK178" s="227">
        <f t="shared" si="137"/>
        <v>78</v>
      </c>
      <c r="AL178" s="226" t="str">
        <f t="shared" si="111"/>
        <v>-</v>
      </c>
      <c r="AM178" s="227" t="str">
        <f t="shared" si="138"/>
        <v>-</v>
      </c>
      <c r="AN178" s="227" t="str">
        <f t="shared" si="139"/>
        <v>-</v>
      </c>
      <c r="AO178" s="227" t="str">
        <f t="shared" si="112"/>
        <v>-</v>
      </c>
      <c r="AP178" s="273">
        <f t="shared" si="140"/>
        <v>0.1</v>
      </c>
      <c r="AQ178" s="271" t="str">
        <f>IFERROR(IF(AL177=1,AQ$100*EXP(-(LN(2)/$D$65+0.04)*AN177)*EXP(-(LN(2)/$D$65+0.1)*AO177),IF(AL177=2,AQ$100*EXP(-(LN(2)/$D$65+0.04)*(VLOOKUP(($F$16-$F$15)-1,AK$99:AO177,4,FALSE)))*EXP(-(LN(2)/$D$65+0.1)*(VLOOKUP(($F$16-$F$15)-1,AK$99:AO177,5,FALSE)))*EXP(-(LN(2)/$D$65+0.04)*AN177)*EXP(-(LN(2)/$D$65+0.1)*AO177),IF(AL177=3,AQ$100*EXP(-(LN(2)/$D$65+0.04)*(VLOOKUP(($F$16-$F$15)-1,AK$99:AO177,4,FALSE)))*EXP(-(LN(2)/$D$65+0.1)*(VLOOKUP(($F$16-$F$15)-1,AK$99:AO177,5,FALSE)))*EXP(-(LN(2)/$D$65+0.04)*(VLOOKUP(($F$16-$F$15)*2-1,AK$99:AO177,4,FALSE)))*EXP(-(LN(2)/$D$65+0.1)*(VLOOKUP(($F$16-$F$15)*2-1,AK$99:AO177,5,FALSE)))*EXP(-(LN(2)/$D$65+0.04)*AN177)*EXP(-(LN(2)/$D$65+0.1)*AO177),"-"))),"-")</f>
        <v>-</v>
      </c>
      <c r="AR178" s="271" t="str">
        <f>IFERROR(IF(AL178=1,AR$100*EXP(-(LN(2)/$D$65+0.04)*AN178)*EXP(-(LN(2)/$D$65+0.1)*AO178),IF(AL178=2,AR$100*EXP(-(LN(2)/$D$65+0.04)*(VLOOKUP(($F$16-$F$15)-1,AK$100:AO178,4,FALSE)))*EXP(-(LN(2)/$D$65+0.1)*(VLOOKUP(($F$16-$F$15)-1,AK$100:AO178,5,FALSE)))*EXP(-(LN(2)/$D$65+0.04)*AN178)*EXP(-(LN(2)/$D$65+0.1)*AO178),IF(AL178=3,AR$100*EXP(-(LN(2)/$D$65+0.04)*(VLOOKUP(($F$16-$F$15)-1,AK$100:AO178,4,FALSE)))*EXP(-(LN(2)/$D$65+0.1)*(VLOOKUP(($F$16-$F$15)-1,AK$100:AO178,5,FALSE)))*EXP(-(LN(2)/$D$65+0.04)*(VLOOKUP(($F$16-$F$15)*2-1,AK$100:AO178,4,FALSE)))*EXP(-(LN(2)/$D$65+0.1)*(VLOOKUP(($F$16-$F$15)*2-1,AK$100:AO178,5,FALSE)))*EXP(-(LN(2)/$D$65+0.04)*AN178)*EXP(-(LN(2)/$D$65+0.1)*AO178),"-"))),"-")</f>
        <v>-</v>
      </c>
      <c r="AS178" s="274">
        <f t="shared" si="113"/>
        <v>0</v>
      </c>
      <c r="AT178" s="274">
        <f t="shared" si="114"/>
        <v>0</v>
      </c>
      <c r="AU178" s="274">
        <f t="shared" si="115"/>
        <v>0</v>
      </c>
      <c r="AV178" s="190" t="str">
        <f>IF($B178&lt;$F$22,SUM($T$100:$T178),"")</f>
        <v/>
      </c>
      <c r="AW178" s="190" t="str">
        <f t="shared" si="116"/>
        <v>-</v>
      </c>
      <c r="AX178" s="190" t="str">
        <f t="shared" si="141"/>
        <v/>
      </c>
      <c r="AY178"/>
      <c r="AZ178" s="190" t="str">
        <f ca="1">IF(ISNUMBER(OFFSET(AV178,-$F$21,0)),SUM(OFFSET($T$100,$F$21,0):$T178),"")</f>
        <v/>
      </c>
      <c r="BA178" s="190" t="str">
        <f t="shared" ca="1" si="117"/>
        <v/>
      </c>
      <c r="BB178" s="190" t="str">
        <f t="shared" ca="1" si="70"/>
        <v/>
      </c>
      <c r="BC178" s="190"/>
      <c r="BD178" s="190" t="str">
        <f ca="1">IFERROR(IF(OR(ISNUMBER(I),ISNUMBER($F$14)),IF(AND($B178&gt;=($F$16-$F$15),$B178&lt;$F$22+($F$16-$F$15)),SUM(OFFSET($T$100,($F$16-$F$15),0):$T178),""),""),"")</f>
        <v/>
      </c>
      <c r="BE178" s="190" t="str">
        <f t="shared" ca="1" si="142"/>
        <v/>
      </c>
      <c r="BF178" s="190" t="str">
        <f t="shared" ca="1" si="143"/>
        <v/>
      </c>
      <c r="BG178"/>
      <c r="BH178" s="190" t="str">
        <f ca="1">IF(ISNUMBER(OFFSET(BD178,-$F$21,0)),SUM(OFFSET($T$100,($F$16-$F$15+$F$21),0):$T178),"")</f>
        <v/>
      </c>
      <c r="BI178" s="190" t="str">
        <f t="shared" ca="1" si="118"/>
        <v/>
      </c>
      <c r="BJ178" s="190" t="str">
        <f t="shared" ca="1" si="144"/>
        <v/>
      </c>
      <c r="BK178" s="190"/>
      <c r="BL178" s="190" t="str">
        <f ca="1">IFERROR(IF(OR(ISNUMBER(I),ISNUMBER($F$14)),IF(AND($B178&gt;=($F$17-$F$15),$B178&lt;$F$22+($F$17-$F$15)),SUM(OFFSET($T$100,($F$17-$F$15),0):$T178),""),""),"")</f>
        <v/>
      </c>
      <c r="BM178" s="190" t="str">
        <f t="shared" ca="1" si="119"/>
        <v/>
      </c>
      <c r="BN178" s="190" t="str">
        <f t="shared" ca="1" si="145"/>
        <v/>
      </c>
      <c r="BO178"/>
      <c r="BP178" s="190" t="str">
        <f ca="1">IF(ISNUMBER(OFFSET(BL178,-$F$21,0)),SUM(OFFSET($T$100,($F$17-$F$15+$F$21),0):$T178),"")</f>
        <v/>
      </c>
      <c r="BQ178" s="190" t="str">
        <f t="shared" ca="1" si="120"/>
        <v/>
      </c>
      <c r="BR178" s="190" t="str">
        <f t="shared" ca="1" si="146"/>
        <v/>
      </c>
      <c r="BS178" s="190"/>
      <c r="BT178"/>
      <c r="BU178"/>
      <c r="BV178"/>
      <c r="BY178" s="99"/>
      <c r="BZ178" s="99"/>
      <c r="CA178" s="280" t="str">
        <f t="shared" si="121"/>
        <v/>
      </c>
      <c r="CB178" s="71" t="str">
        <f t="shared" si="122"/>
        <v>-</v>
      </c>
      <c r="CC178" s="33"/>
      <c r="CD178" s="261" t="str">
        <f t="shared" si="123"/>
        <v/>
      </c>
      <c r="CE178" s="280" t="str">
        <f t="shared" si="124"/>
        <v/>
      </c>
      <c r="CF178" s="71" t="str">
        <f t="shared" ca="1" si="125"/>
        <v/>
      </c>
      <c r="CG178" s="33" t="str">
        <f t="shared" si="126"/>
        <v/>
      </c>
      <c r="CH178" s="261" t="str">
        <f t="shared" ca="1" si="127"/>
        <v/>
      </c>
      <c r="CI178" s="202"/>
      <c r="CJ178" s="99"/>
      <c r="CK178" s="99"/>
      <c r="CL178" s="99"/>
      <c r="CM178" s="99"/>
      <c r="CN178" s="99"/>
      <c r="CO178" s="99"/>
    </row>
    <row r="179" spans="2:93" ht="13.5" customHeight="1" x14ac:dyDescent="0.2">
      <c r="B179" s="262">
        <v>79</v>
      </c>
      <c r="C179" s="237" t="str">
        <f t="shared" si="91"/>
        <v/>
      </c>
      <c r="D179" s="237" t="str">
        <f t="shared" si="147"/>
        <v/>
      </c>
      <c r="E179" s="290" t="str">
        <f t="shared" si="128"/>
        <v/>
      </c>
      <c r="F179" s="264" t="str">
        <f t="shared" si="129"/>
        <v/>
      </c>
      <c r="G179" s="291" t="str">
        <f t="shared" si="130"/>
        <v/>
      </c>
      <c r="H179" s="240" t="str">
        <f t="shared" si="92"/>
        <v/>
      </c>
      <c r="I179" s="265" t="str">
        <f t="shared" si="93"/>
        <v/>
      </c>
      <c r="J179" s="265" t="str">
        <f t="shared" si="94"/>
        <v/>
      </c>
      <c r="K179" s="240" t="str">
        <f t="shared" si="95"/>
        <v/>
      </c>
      <c r="L179" s="265" t="str">
        <f t="shared" si="96"/>
        <v/>
      </c>
      <c r="M179" s="265" t="str">
        <f t="shared" si="97"/>
        <v/>
      </c>
      <c r="N179" s="240" t="str">
        <f t="shared" si="98"/>
        <v>-</v>
      </c>
      <c r="O179" s="265" t="str">
        <f t="shared" si="99"/>
        <v>-</v>
      </c>
      <c r="P179" s="265" t="str">
        <f t="shared" si="100"/>
        <v>-</v>
      </c>
      <c r="Q179" s="266" t="str">
        <f t="shared" si="101"/>
        <v>-</v>
      </c>
      <c r="R179" s="267" t="str">
        <f t="shared" si="102"/>
        <v>-</v>
      </c>
      <c r="S179" s="268" t="str">
        <f t="shared" si="103"/>
        <v>-</v>
      </c>
      <c r="T179" s="269" t="str">
        <f t="shared" si="104"/>
        <v/>
      </c>
      <c r="U179" s="221">
        <f t="shared" si="105"/>
        <v>79</v>
      </c>
      <c r="V179" s="220" t="str">
        <f t="shared" si="131"/>
        <v>-</v>
      </c>
      <c r="W179" s="221" t="str">
        <f t="shared" si="132"/>
        <v>-</v>
      </c>
      <c r="X179" s="221" t="str">
        <f t="shared" si="106"/>
        <v>-</v>
      </c>
      <c r="Y179" s="221" t="str">
        <f t="shared" si="107"/>
        <v>-</v>
      </c>
      <c r="Z179" s="270">
        <f t="shared" si="133"/>
        <v>0.1</v>
      </c>
      <c r="AA179" s="271" t="str">
        <f>IFERROR(IF(V178=1,AA$100*EXP(-(LN(2)/$D$65+0.04)*X178)*EXP(-(LN(2)/$D$65+0.1)*Y178),IF(V178=2,AA$100*EXP(-(LN(2)/$D$65+0.04)*(VLOOKUP(($F$16-$F$15)-1,U$99:Y178,4,FALSE)))*EXP(-(LN(2)/$D$65+0.1)*(VLOOKUP(($F$16-$F$15)-1,U$99:Y178,5,FALSE)))*EXP(-(LN(2)/$D$65+0.04)*X178)*EXP(-(LN(2)/$D$65+0.1)*Y178),IF(V178=3,AA$100*EXP(-(LN(2)/$D$65+0.04)*(VLOOKUP(($F$16-$F$15)-1,U$99:Y178,4,FALSE)))*EXP(-(LN(2)/$D$65+0.1)*(VLOOKUP(($F$16-$F$15)-1,U$99:Y178,5,FALSE)))*EXP(-(LN(2)/$D$65+0.04)*(VLOOKUP(($F$16-$F$15)*2-1,U$99:Y178,4,FALSE)))*EXP(-(LN(2)/$D$65+0.1)*(VLOOKUP(($F$16-$F$15)*2-1,U$99:Y178,5,FALSE)))*EXP(-(LN(2)/$D$65+0.04)*X178)*EXP(-(LN(2)/$D$65+0.1)*Y178),"-"))),"-")</f>
        <v>-</v>
      </c>
      <c r="AB179" s="271" t="str">
        <f>IFERROR(IF(V179=1,AB$100*EXP(-(LN(2)/$D$65+0.04)*X179)*EXP(-(LN(2)/$D$65+0.1)*Y179),IF(V179=2,AB$100*EXP(-(LN(2)/$D$65+0.04)*(VLOOKUP(($F$16-$F$15)-1,U$100:Y179,4,FALSE)))*EXP(-(LN(2)/$D$65+0.1)*(VLOOKUP(($F$16-$F$15)-1,U$100:Y179,5,FALSE)))*EXP(-(LN(2)/$D$65+0.04)*X179)*EXP(-(LN(2)/$D$65+0.1)*Y179),IF(V179=3,AB$100*EXP(-(LN(2)/$D$65+0.04)*(VLOOKUP(($F$16-$F$15)-1,U$100:Y179,4,FALSE)))*EXP(-(LN(2)/$D$65+0.1)*(VLOOKUP(($F$16-$F$15)-1,U$100:Y179,5,FALSE)))*EXP(-(LN(2)/$D$65+0.04)*(VLOOKUP(($F$16-$F$15)*2-1,U$100:Y179,4,FALSE)))*EXP(-(LN(2)/$D$65+0.1)*(VLOOKUP(($F$16-$F$15)*2-1,U$100:Y179,5,FALSE)))*EXP(-(LN(2)/$D$65+0.04)*X179)*EXP(-(LN(2)/$D$65+0.1)*Y179),"-"))),"-")</f>
        <v>-</v>
      </c>
      <c r="AC179" s="224">
        <f t="shared" si="134"/>
        <v>79</v>
      </c>
      <c r="AD179" s="223" t="str">
        <f t="shared" si="108"/>
        <v>-</v>
      </c>
      <c r="AE179" s="224" t="str">
        <f t="shared" si="135"/>
        <v>-</v>
      </c>
      <c r="AF179" s="224" t="str">
        <f t="shared" si="109"/>
        <v>-</v>
      </c>
      <c r="AG179" s="224" t="str">
        <f t="shared" si="110"/>
        <v>-</v>
      </c>
      <c r="AH179" s="272">
        <f t="shared" si="136"/>
        <v>0.1</v>
      </c>
      <c r="AI179" s="271" t="str">
        <f>IFERROR(IF(AD178=1,AI$100*EXP(-(LN(2)/$D$65+0.04)*AF178)*EXP(-(LN(2)/$D$65+0.1)*AG178),IF(AD178=2,AI$100*EXP(-(LN(2)/$D$65+0.04)*(VLOOKUP(($F$16-$F$15)-1,AC$99:AG178,4,FALSE)))*EXP(-(LN(2)/$D$65+0.1)*(VLOOKUP(($F$16-$F$15)-1,AC$99:AG178,5,FALSE)))*EXP(-(LN(2)/$D$65+0.04)*AF178)*EXP(-(LN(2)/$D$65+0.1)*AG178),IF(AD178=3,AI$100*EXP(-(LN(2)/$D$65+0.04)*(VLOOKUP(($F$16-$F$15)-1,AC$99:AG178,4,FALSE)))*EXP(-(LN(2)/$D$65+0.1)*(VLOOKUP(($F$16-$F$15)-1,AC$99:AG178,5,FALSE)))*EXP(-(LN(2)/$D$65+0.04)*(VLOOKUP(($F$16-$F$15)*2-1,AC$99:AG178,4,FALSE)))*EXP(-(LN(2)/$D$65+0.1)*(VLOOKUP(($F$16-$F$15)*2-1,AC$99:AG178,5,FALSE)))*EXP(-(LN(2)/$D$65+0.04)*AF178)*EXP(-(LN(2)/$D$65+0.1)*AG178),"-"))),"-")</f>
        <v>-</v>
      </c>
      <c r="AJ179" s="271" t="str">
        <f>IFERROR(IF(AD179=1,AJ$100*EXP(-(LN(2)/$D$65+0.04)*AF179)*EXP(-(LN(2)/$D$65+0.1)*AG179),IF(AD179=2,AJ$100*EXP(-(LN(2)/$D$65+0.04)*(VLOOKUP(($F$16-$F$15)-1,AC$100:AG179,4,FALSE)))*EXP(-(LN(2)/$D$65+0.1)*(VLOOKUP(($F$16-$F$15)-1,AC$100:AG179,5,FALSE)))*EXP(-(LN(2)/$D$65+0.04)*AF179)*EXP(-(LN(2)/$D$65+0.1)*AG179),IF(AD179=3,AJ$100*EXP(-(LN(2)/$D$65+0.04)*(VLOOKUP(($F$16-$F$15)-1,AC$100:AG179,4,FALSE)))*EXP(-(LN(2)/$D$65+0.1)*(VLOOKUP(($F$16-$F$15)-1,AC$100:AG179,5,FALSE)))*EXP(-(LN(2)/$D$65+0.04)*(VLOOKUP(($F$16-$F$15)*2-1,AC$100:AG179,4,FALSE)))*EXP(-(LN(2)/$D$65+0.1)*(VLOOKUP(($F$16-$F$15)*2-1,AC$100:AG179,5,FALSE)))*EXP(-(LN(2)/$D$65+0.04)*AF179)*EXP(-(LN(2)/$D$65+0.1)*AG179),"-"))),"-")</f>
        <v>-</v>
      </c>
      <c r="AK179" s="227">
        <f t="shared" si="137"/>
        <v>79</v>
      </c>
      <c r="AL179" s="226" t="str">
        <f t="shared" si="111"/>
        <v>-</v>
      </c>
      <c r="AM179" s="227" t="str">
        <f t="shared" si="138"/>
        <v>-</v>
      </c>
      <c r="AN179" s="227" t="str">
        <f t="shared" si="139"/>
        <v>-</v>
      </c>
      <c r="AO179" s="227" t="str">
        <f t="shared" si="112"/>
        <v>-</v>
      </c>
      <c r="AP179" s="273">
        <f t="shared" si="140"/>
        <v>0.1</v>
      </c>
      <c r="AQ179" s="271" t="str">
        <f>IFERROR(IF(AL178=1,AQ$100*EXP(-(LN(2)/$D$65+0.04)*AN178)*EXP(-(LN(2)/$D$65+0.1)*AO178),IF(AL178=2,AQ$100*EXP(-(LN(2)/$D$65+0.04)*(VLOOKUP(($F$16-$F$15)-1,AK$99:AO178,4,FALSE)))*EXP(-(LN(2)/$D$65+0.1)*(VLOOKUP(($F$16-$F$15)-1,AK$99:AO178,5,FALSE)))*EXP(-(LN(2)/$D$65+0.04)*AN178)*EXP(-(LN(2)/$D$65+0.1)*AO178),IF(AL178=3,AQ$100*EXP(-(LN(2)/$D$65+0.04)*(VLOOKUP(($F$16-$F$15)-1,AK$99:AO178,4,FALSE)))*EXP(-(LN(2)/$D$65+0.1)*(VLOOKUP(($F$16-$F$15)-1,AK$99:AO178,5,FALSE)))*EXP(-(LN(2)/$D$65+0.04)*(VLOOKUP(($F$16-$F$15)*2-1,AK$99:AO178,4,FALSE)))*EXP(-(LN(2)/$D$65+0.1)*(VLOOKUP(($F$16-$F$15)*2-1,AK$99:AO178,5,FALSE)))*EXP(-(LN(2)/$D$65+0.04)*AN178)*EXP(-(LN(2)/$D$65+0.1)*AO178),"-"))),"-")</f>
        <v>-</v>
      </c>
      <c r="AR179" s="271" t="str">
        <f>IFERROR(IF(AL179=1,AR$100*EXP(-(LN(2)/$D$65+0.04)*AN179)*EXP(-(LN(2)/$D$65+0.1)*AO179),IF(AL179=2,AR$100*EXP(-(LN(2)/$D$65+0.04)*(VLOOKUP(($F$16-$F$15)-1,AK$100:AO179,4,FALSE)))*EXP(-(LN(2)/$D$65+0.1)*(VLOOKUP(($F$16-$F$15)-1,AK$100:AO179,5,FALSE)))*EXP(-(LN(2)/$D$65+0.04)*AN179)*EXP(-(LN(2)/$D$65+0.1)*AO179),IF(AL179=3,AR$100*EXP(-(LN(2)/$D$65+0.04)*(VLOOKUP(($F$16-$F$15)-1,AK$100:AO179,4,FALSE)))*EXP(-(LN(2)/$D$65+0.1)*(VLOOKUP(($F$16-$F$15)-1,AK$100:AO179,5,FALSE)))*EXP(-(LN(2)/$D$65+0.04)*(VLOOKUP(($F$16-$F$15)*2-1,AK$100:AO179,4,FALSE)))*EXP(-(LN(2)/$D$65+0.1)*(VLOOKUP(($F$16-$F$15)*2-1,AK$100:AO179,5,FALSE)))*EXP(-(LN(2)/$D$65+0.04)*AN179)*EXP(-(LN(2)/$D$65+0.1)*AO179),"-"))),"-")</f>
        <v>-</v>
      </c>
      <c r="AS179" s="274">
        <f t="shared" si="113"/>
        <v>0</v>
      </c>
      <c r="AT179" s="274">
        <f t="shared" si="114"/>
        <v>0</v>
      </c>
      <c r="AU179" s="274">
        <f t="shared" si="115"/>
        <v>0</v>
      </c>
      <c r="AV179" s="190" t="str">
        <f>IF($B179&lt;$F$22,SUM($T$100:$T179),"")</f>
        <v/>
      </c>
      <c r="AW179" s="190" t="str">
        <f t="shared" si="116"/>
        <v>-</v>
      </c>
      <c r="AX179" s="190" t="str">
        <f t="shared" si="141"/>
        <v/>
      </c>
      <c r="AY179"/>
      <c r="AZ179" s="190" t="str">
        <f ca="1">IF(ISNUMBER(OFFSET(AV179,-$F$21,0)),SUM(OFFSET($T$100,$F$21,0):$T179),"")</f>
        <v/>
      </c>
      <c r="BA179" s="190" t="str">
        <f t="shared" ca="1" si="117"/>
        <v/>
      </c>
      <c r="BB179" s="190" t="str">
        <f t="shared" ca="1" si="70"/>
        <v/>
      </c>
      <c r="BC179" s="190"/>
      <c r="BD179" s="190" t="str">
        <f ca="1">IFERROR(IF(OR(ISNUMBER(I),ISNUMBER($F$14)),IF(AND($B179&gt;=($F$16-$F$15),$B179&lt;$F$22+($F$16-$F$15)),SUM(OFFSET($T$100,($F$16-$F$15),0):$T179),""),""),"")</f>
        <v/>
      </c>
      <c r="BE179" s="190" t="str">
        <f t="shared" ca="1" si="142"/>
        <v/>
      </c>
      <c r="BF179" s="190" t="str">
        <f t="shared" ca="1" si="143"/>
        <v/>
      </c>
      <c r="BG179"/>
      <c r="BH179" s="190" t="str">
        <f ca="1">IF(ISNUMBER(OFFSET(BD179,-$F$21,0)),SUM(OFFSET($T$100,($F$16-$F$15+$F$21),0):$T179),"")</f>
        <v/>
      </c>
      <c r="BI179" s="190" t="str">
        <f t="shared" ca="1" si="118"/>
        <v/>
      </c>
      <c r="BJ179" s="190" t="str">
        <f t="shared" ca="1" si="144"/>
        <v/>
      </c>
      <c r="BK179" s="190"/>
      <c r="BL179" s="190" t="str">
        <f ca="1">IFERROR(IF(OR(ISNUMBER(I),ISNUMBER($F$14)),IF(AND($B179&gt;=($F$17-$F$15),$B179&lt;$F$22+($F$17-$F$15)),SUM(OFFSET($T$100,($F$17-$F$15),0):$T179),""),""),"")</f>
        <v/>
      </c>
      <c r="BM179" s="190" t="str">
        <f t="shared" ca="1" si="119"/>
        <v/>
      </c>
      <c r="BN179" s="190" t="str">
        <f t="shared" ca="1" si="145"/>
        <v/>
      </c>
      <c r="BO179"/>
      <c r="BP179" s="190" t="str">
        <f ca="1">IF(ISNUMBER(OFFSET(BL179,-$F$21,0)),SUM(OFFSET($T$100,($F$17-$F$15+$F$21),0):$T179),"")</f>
        <v/>
      </c>
      <c r="BQ179" s="190" t="str">
        <f t="shared" ca="1" si="120"/>
        <v/>
      </c>
      <c r="BR179" s="190" t="str">
        <f t="shared" ca="1" si="146"/>
        <v/>
      </c>
      <c r="BS179" s="190"/>
      <c r="BT179"/>
      <c r="BU179"/>
      <c r="BV179"/>
      <c r="BY179" s="99"/>
      <c r="BZ179" s="99"/>
      <c r="CA179" s="280" t="str">
        <f t="shared" si="121"/>
        <v/>
      </c>
      <c r="CB179" s="71" t="str">
        <f t="shared" si="122"/>
        <v>-</v>
      </c>
      <c r="CC179" s="33"/>
      <c r="CD179" s="261" t="str">
        <f t="shared" si="123"/>
        <v/>
      </c>
      <c r="CE179" s="280" t="str">
        <f t="shared" si="124"/>
        <v/>
      </c>
      <c r="CF179" s="71" t="str">
        <f t="shared" ca="1" si="125"/>
        <v/>
      </c>
      <c r="CG179" s="33" t="str">
        <f t="shared" si="126"/>
        <v/>
      </c>
      <c r="CH179" s="261" t="str">
        <f t="shared" ca="1" si="127"/>
        <v/>
      </c>
      <c r="CI179" s="202"/>
      <c r="CJ179" s="99"/>
      <c r="CK179" s="99"/>
      <c r="CL179" s="99"/>
      <c r="CM179" s="99"/>
      <c r="CN179" s="99"/>
      <c r="CO179" s="99"/>
    </row>
    <row r="180" spans="2:93" ht="13.5" customHeight="1" x14ac:dyDescent="0.2">
      <c r="B180" s="262">
        <v>80</v>
      </c>
      <c r="C180" s="237" t="str">
        <f t="shared" si="91"/>
        <v/>
      </c>
      <c r="D180" s="237" t="str">
        <f t="shared" si="147"/>
        <v/>
      </c>
      <c r="E180" s="263" t="str">
        <f t="shared" si="128"/>
        <v/>
      </c>
      <c r="F180" s="264" t="str">
        <f t="shared" si="129"/>
        <v/>
      </c>
      <c r="G180" s="306" t="str">
        <f t="shared" si="130"/>
        <v/>
      </c>
      <c r="H180" s="240" t="str">
        <f t="shared" si="92"/>
        <v/>
      </c>
      <c r="I180" s="265" t="str">
        <f t="shared" si="93"/>
        <v/>
      </c>
      <c r="J180" s="265" t="str">
        <f t="shared" si="94"/>
        <v/>
      </c>
      <c r="K180" s="240" t="str">
        <f t="shared" si="95"/>
        <v/>
      </c>
      <c r="L180" s="265" t="str">
        <f t="shared" si="96"/>
        <v/>
      </c>
      <c r="M180" s="265" t="str">
        <f t="shared" si="97"/>
        <v/>
      </c>
      <c r="N180" s="240" t="str">
        <f t="shared" si="98"/>
        <v>-</v>
      </c>
      <c r="O180" s="265" t="str">
        <f t="shared" si="99"/>
        <v>-</v>
      </c>
      <c r="P180" s="265" t="str">
        <f t="shared" si="100"/>
        <v>-</v>
      </c>
      <c r="Q180" s="266" t="str">
        <f t="shared" si="101"/>
        <v>-</v>
      </c>
      <c r="R180" s="267" t="str">
        <f t="shared" si="102"/>
        <v>-</v>
      </c>
      <c r="S180" s="268" t="str">
        <f t="shared" si="103"/>
        <v>-</v>
      </c>
      <c r="T180" s="269" t="str">
        <f t="shared" si="104"/>
        <v/>
      </c>
      <c r="U180" s="221">
        <f t="shared" si="105"/>
        <v>80</v>
      </c>
      <c r="V180" s="220" t="str">
        <f t="shared" si="131"/>
        <v>-</v>
      </c>
      <c r="W180" s="221" t="str">
        <f t="shared" si="132"/>
        <v>-</v>
      </c>
      <c r="X180" s="221" t="str">
        <f t="shared" si="106"/>
        <v>-</v>
      </c>
      <c r="Y180" s="221" t="str">
        <f t="shared" si="107"/>
        <v>-</v>
      </c>
      <c r="Z180" s="270">
        <f t="shared" si="133"/>
        <v>0.1</v>
      </c>
      <c r="AA180" s="271" t="str">
        <f>IFERROR(IF(V179=1,AA$100*EXP(-(LN(2)/$D$65+0.04)*X179)*EXP(-(LN(2)/$D$65+0.1)*Y179),IF(V179=2,AA$100*EXP(-(LN(2)/$D$65+0.04)*(VLOOKUP(($F$16-$F$15)-1,U$99:Y179,4,FALSE)))*EXP(-(LN(2)/$D$65+0.1)*(VLOOKUP(($F$16-$F$15)-1,U$99:Y179,5,FALSE)))*EXP(-(LN(2)/$D$65+0.04)*X179)*EXP(-(LN(2)/$D$65+0.1)*Y179),IF(V179=3,AA$100*EXP(-(LN(2)/$D$65+0.04)*(VLOOKUP(($F$16-$F$15)-1,U$99:Y179,4,FALSE)))*EXP(-(LN(2)/$D$65+0.1)*(VLOOKUP(($F$16-$F$15)-1,U$99:Y179,5,FALSE)))*EXP(-(LN(2)/$D$65+0.04)*(VLOOKUP(($F$16-$F$15)*2-1,U$99:Y179,4,FALSE)))*EXP(-(LN(2)/$D$65+0.1)*(VLOOKUP(($F$16-$F$15)*2-1,U$99:Y179,5,FALSE)))*EXP(-(LN(2)/$D$65+0.04)*X179)*EXP(-(LN(2)/$D$65+0.1)*Y179),"-"))),"-")</f>
        <v>-</v>
      </c>
      <c r="AB180" s="271" t="str">
        <f>IFERROR(IF(V180=1,AB$100*EXP(-(LN(2)/$D$65+0.04)*X180)*EXP(-(LN(2)/$D$65+0.1)*Y180),IF(V180=2,AB$100*EXP(-(LN(2)/$D$65+0.04)*(VLOOKUP(($F$16-$F$15)-1,U$100:Y180,4,FALSE)))*EXP(-(LN(2)/$D$65+0.1)*(VLOOKUP(($F$16-$F$15)-1,U$100:Y180,5,FALSE)))*EXP(-(LN(2)/$D$65+0.04)*X180)*EXP(-(LN(2)/$D$65+0.1)*Y180),IF(V180=3,AB$100*EXP(-(LN(2)/$D$65+0.04)*(VLOOKUP(($F$16-$F$15)-1,U$100:Y180,4,FALSE)))*EXP(-(LN(2)/$D$65+0.1)*(VLOOKUP(($F$16-$F$15)-1,U$100:Y180,5,FALSE)))*EXP(-(LN(2)/$D$65+0.04)*(VLOOKUP(($F$16-$F$15)*2-1,U$100:Y180,4,FALSE)))*EXP(-(LN(2)/$D$65+0.1)*(VLOOKUP(($F$16-$F$15)*2-1,U$100:Y180,5,FALSE)))*EXP(-(LN(2)/$D$65+0.04)*X180)*EXP(-(LN(2)/$D$65+0.1)*Y180),"-"))),"-")</f>
        <v>-</v>
      </c>
      <c r="AC180" s="224">
        <f t="shared" si="134"/>
        <v>80</v>
      </c>
      <c r="AD180" s="223" t="str">
        <f t="shared" si="108"/>
        <v>-</v>
      </c>
      <c r="AE180" s="224" t="str">
        <f t="shared" si="135"/>
        <v>-</v>
      </c>
      <c r="AF180" s="224" t="str">
        <f t="shared" si="109"/>
        <v>-</v>
      </c>
      <c r="AG180" s="224" t="str">
        <f t="shared" si="110"/>
        <v>-</v>
      </c>
      <c r="AH180" s="272">
        <f t="shared" si="136"/>
        <v>0.1</v>
      </c>
      <c r="AI180" s="271" t="str">
        <f>IFERROR(IF(AD179=1,AI$100*EXP(-(LN(2)/$D$65+0.04)*AF179)*EXP(-(LN(2)/$D$65+0.1)*AG179),IF(AD179=2,AI$100*EXP(-(LN(2)/$D$65+0.04)*(VLOOKUP(($F$16-$F$15)-1,AC$99:AG179,4,FALSE)))*EXP(-(LN(2)/$D$65+0.1)*(VLOOKUP(($F$16-$F$15)-1,AC$99:AG179,5,FALSE)))*EXP(-(LN(2)/$D$65+0.04)*AF179)*EXP(-(LN(2)/$D$65+0.1)*AG179),IF(AD179=3,AI$100*EXP(-(LN(2)/$D$65+0.04)*(VLOOKUP(($F$16-$F$15)-1,AC$99:AG179,4,FALSE)))*EXP(-(LN(2)/$D$65+0.1)*(VLOOKUP(($F$16-$F$15)-1,AC$99:AG179,5,FALSE)))*EXP(-(LN(2)/$D$65+0.04)*(VLOOKUP(($F$16-$F$15)*2-1,AC$99:AG179,4,FALSE)))*EXP(-(LN(2)/$D$65+0.1)*(VLOOKUP(($F$16-$F$15)*2-1,AC$99:AG179,5,FALSE)))*EXP(-(LN(2)/$D$65+0.04)*AF179)*EXP(-(LN(2)/$D$65+0.1)*AG179),"-"))),"-")</f>
        <v>-</v>
      </c>
      <c r="AJ180" s="271" t="str">
        <f>IFERROR(IF(AD180=1,AJ$100*EXP(-(LN(2)/$D$65+0.04)*AF180)*EXP(-(LN(2)/$D$65+0.1)*AG180),IF(AD180=2,AJ$100*EXP(-(LN(2)/$D$65+0.04)*(VLOOKUP(($F$16-$F$15)-1,AC$100:AG180,4,FALSE)))*EXP(-(LN(2)/$D$65+0.1)*(VLOOKUP(($F$16-$F$15)-1,AC$100:AG180,5,FALSE)))*EXP(-(LN(2)/$D$65+0.04)*AF180)*EXP(-(LN(2)/$D$65+0.1)*AG180),IF(AD180=3,AJ$100*EXP(-(LN(2)/$D$65+0.04)*(VLOOKUP(($F$16-$F$15)-1,AC$100:AG180,4,FALSE)))*EXP(-(LN(2)/$D$65+0.1)*(VLOOKUP(($F$16-$F$15)-1,AC$100:AG180,5,FALSE)))*EXP(-(LN(2)/$D$65+0.04)*(VLOOKUP(($F$16-$F$15)*2-1,AC$100:AG180,4,FALSE)))*EXP(-(LN(2)/$D$65+0.1)*(VLOOKUP(($F$16-$F$15)*2-1,AC$100:AG180,5,FALSE)))*EXP(-(LN(2)/$D$65+0.04)*AF180)*EXP(-(LN(2)/$D$65+0.1)*AG180),"-"))),"-")</f>
        <v>-</v>
      </c>
      <c r="AK180" s="227">
        <f t="shared" si="137"/>
        <v>80</v>
      </c>
      <c r="AL180" s="226" t="str">
        <f t="shared" si="111"/>
        <v>-</v>
      </c>
      <c r="AM180" s="227" t="str">
        <f t="shared" si="138"/>
        <v>-</v>
      </c>
      <c r="AN180" s="227" t="str">
        <f t="shared" si="139"/>
        <v>-</v>
      </c>
      <c r="AO180" s="227" t="str">
        <f t="shared" si="112"/>
        <v>-</v>
      </c>
      <c r="AP180" s="273">
        <f t="shared" si="140"/>
        <v>0.1</v>
      </c>
      <c r="AQ180" s="271" t="str">
        <f>IFERROR(IF(AL179=1,AQ$100*EXP(-(LN(2)/$D$65+0.04)*AN179)*EXP(-(LN(2)/$D$65+0.1)*AO179),IF(AL179=2,AQ$100*EXP(-(LN(2)/$D$65+0.04)*(VLOOKUP(($F$16-$F$15)-1,AK$99:AO179,4,FALSE)))*EXP(-(LN(2)/$D$65+0.1)*(VLOOKUP(($F$16-$F$15)-1,AK$99:AO179,5,FALSE)))*EXP(-(LN(2)/$D$65+0.04)*AN179)*EXP(-(LN(2)/$D$65+0.1)*AO179),IF(AL179=3,AQ$100*EXP(-(LN(2)/$D$65+0.04)*(VLOOKUP(($F$16-$F$15)-1,AK$99:AO179,4,FALSE)))*EXP(-(LN(2)/$D$65+0.1)*(VLOOKUP(($F$16-$F$15)-1,AK$99:AO179,5,FALSE)))*EXP(-(LN(2)/$D$65+0.04)*(VLOOKUP(($F$16-$F$15)*2-1,AK$99:AO179,4,FALSE)))*EXP(-(LN(2)/$D$65+0.1)*(VLOOKUP(($F$16-$F$15)*2-1,AK$99:AO179,5,FALSE)))*EXP(-(LN(2)/$D$65+0.04)*AN179)*EXP(-(LN(2)/$D$65+0.1)*AO179),"-"))),"-")</f>
        <v>-</v>
      </c>
      <c r="AR180" s="271" t="str">
        <f>IFERROR(IF(AL180=1,AR$100*EXP(-(LN(2)/$D$65+0.04)*AN180)*EXP(-(LN(2)/$D$65+0.1)*AO180),IF(AL180=2,AR$100*EXP(-(LN(2)/$D$65+0.04)*(VLOOKUP(($F$16-$F$15)-1,AK$100:AO180,4,FALSE)))*EXP(-(LN(2)/$D$65+0.1)*(VLOOKUP(($F$16-$F$15)-1,AK$100:AO180,5,FALSE)))*EXP(-(LN(2)/$D$65+0.04)*AN180)*EXP(-(LN(2)/$D$65+0.1)*AO180),IF(AL180=3,AR$100*EXP(-(LN(2)/$D$65+0.04)*(VLOOKUP(($F$16-$F$15)-1,AK$100:AO180,4,FALSE)))*EXP(-(LN(2)/$D$65+0.1)*(VLOOKUP(($F$16-$F$15)-1,AK$100:AO180,5,FALSE)))*EXP(-(LN(2)/$D$65+0.04)*(VLOOKUP(($F$16-$F$15)*2-1,AK$100:AO180,4,FALSE)))*EXP(-(LN(2)/$D$65+0.1)*(VLOOKUP(($F$16-$F$15)*2-1,AK$100:AO180,5,FALSE)))*EXP(-(LN(2)/$D$65+0.04)*AN180)*EXP(-(LN(2)/$D$65+0.1)*AO180),"-"))),"-")</f>
        <v>-</v>
      </c>
      <c r="AS180" s="274">
        <f t="shared" si="113"/>
        <v>0</v>
      </c>
      <c r="AT180" s="274">
        <f t="shared" si="114"/>
        <v>0</v>
      </c>
      <c r="AU180" s="274">
        <f t="shared" si="115"/>
        <v>0</v>
      </c>
      <c r="AV180" s="190" t="str">
        <f>IF($B180&lt;$F$22,SUM($T$100:$T180),"")</f>
        <v/>
      </c>
      <c r="AW180" s="190" t="str">
        <f t="shared" si="116"/>
        <v>-</v>
      </c>
      <c r="AX180" s="190" t="str">
        <f t="shared" si="141"/>
        <v/>
      </c>
      <c r="AY180"/>
      <c r="AZ180" s="190" t="str">
        <f ca="1">IF(ISNUMBER(OFFSET(AV180,-$F$21,0)),SUM(OFFSET($T$100,$F$21,0):$T180),"")</f>
        <v/>
      </c>
      <c r="BA180" s="190" t="str">
        <f t="shared" ca="1" si="117"/>
        <v/>
      </c>
      <c r="BB180" s="190" t="str">
        <f t="shared" ca="1" si="70"/>
        <v/>
      </c>
      <c r="BC180" s="190"/>
      <c r="BD180" s="190" t="str">
        <f ca="1">IFERROR(IF(OR(ISNUMBER(I),ISNUMBER($F$14)),IF(AND($B180&gt;=($F$16-$F$15),$B180&lt;$F$22+($F$16-$F$15)),SUM(OFFSET($T$100,($F$16-$F$15),0):$T180),""),""),"")</f>
        <v/>
      </c>
      <c r="BE180" s="190" t="str">
        <f t="shared" ca="1" si="142"/>
        <v/>
      </c>
      <c r="BF180" s="190" t="str">
        <f t="shared" ca="1" si="143"/>
        <v/>
      </c>
      <c r="BG180"/>
      <c r="BH180" s="190" t="str">
        <f ca="1">IF(ISNUMBER(OFFSET(BD180,-$F$21,0)),SUM(OFFSET($T$100,($F$16-$F$15+$F$21),0):$T180),"")</f>
        <v/>
      </c>
      <c r="BI180" s="190" t="str">
        <f t="shared" ca="1" si="118"/>
        <v/>
      </c>
      <c r="BJ180" s="190" t="str">
        <f t="shared" ca="1" si="144"/>
        <v/>
      </c>
      <c r="BK180" s="190"/>
      <c r="BL180" s="190" t="str">
        <f ca="1">IFERROR(IF(OR(ISNUMBER(I),ISNUMBER($F$14)),IF(AND($B180&gt;=($F$17-$F$15),$B180&lt;$F$22+($F$17-$F$15)),SUM(OFFSET($T$100,($F$17-$F$15),0):$T180),""),""),"")</f>
        <v/>
      </c>
      <c r="BM180" s="190" t="str">
        <f t="shared" ca="1" si="119"/>
        <v/>
      </c>
      <c r="BN180" s="190" t="str">
        <f t="shared" ca="1" si="145"/>
        <v/>
      </c>
      <c r="BO180"/>
      <c r="BP180" s="190" t="str">
        <f ca="1">IF(ISNUMBER(OFFSET(BL180,-$F$21,0)),SUM(OFFSET($T$100,($F$17-$F$15+$F$21),0):$T180),"")</f>
        <v/>
      </c>
      <c r="BQ180" s="190" t="str">
        <f t="shared" ca="1" si="120"/>
        <v/>
      </c>
      <c r="BR180" s="190" t="str">
        <f t="shared" ca="1" si="146"/>
        <v/>
      </c>
      <c r="BS180" s="190"/>
      <c r="BT180"/>
      <c r="BU180"/>
      <c r="BV180"/>
      <c r="BY180" s="99"/>
      <c r="BZ180" s="99"/>
      <c r="CA180" s="280" t="str">
        <f t="shared" si="121"/>
        <v/>
      </c>
      <c r="CB180" s="71" t="str">
        <f t="shared" si="122"/>
        <v>-</v>
      </c>
      <c r="CC180" s="33"/>
      <c r="CD180" s="261" t="str">
        <f t="shared" si="123"/>
        <v/>
      </c>
      <c r="CE180" s="280" t="str">
        <f t="shared" si="124"/>
        <v/>
      </c>
      <c r="CF180" s="71" t="str">
        <f t="shared" ca="1" si="125"/>
        <v/>
      </c>
      <c r="CG180" s="33" t="str">
        <f t="shared" si="126"/>
        <v/>
      </c>
      <c r="CH180" s="261" t="str">
        <f t="shared" ca="1" si="127"/>
        <v/>
      </c>
      <c r="CI180" s="202"/>
      <c r="CJ180" s="99"/>
      <c r="CK180" s="99"/>
      <c r="CL180" s="99"/>
      <c r="CM180" s="99"/>
      <c r="CN180" s="99"/>
      <c r="CO180" s="99"/>
    </row>
    <row r="181" spans="2:93" ht="13.5" customHeight="1" x14ac:dyDescent="0.2">
      <c r="B181" s="262">
        <v>81</v>
      </c>
      <c r="C181" s="237" t="str">
        <f t="shared" si="91"/>
        <v/>
      </c>
      <c r="D181" s="237" t="str">
        <f t="shared" si="147"/>
        <v/>
      </c>
      <c r="E181" s="263" t="str">
        <f t="shared" si="128"/>
        <v/>
      </c>
      <c r="F181" s="264" t="str">
        <f t="shared" si="129"/>
        <v/>
      </c>
      <c r="G181" s="306" t="str">
        <f t="shared" si="130"/>
        <v/>
      </c>
      <c r="H181" s="240" t="str">
        <f t="shared" si="92"/>
        <v/>
      </c>
      <c r="I181" s="265" t="str">
        <f t="shared" si="93"/>
        <v/>
      </c>
      <c r="J181" s="265" t="str">
        <f t="shared" si="94"/>
        <v/>
      </c>
      <c r="K181" s="240" t="str">
        <f t="shared" si="95"/>
        <v/>
      </c>
      <c r="L181" s="265" t="str">
        <f t="shared" si="96"/>
        <v/>
      </c>
      <c r="M181" s="265" t="str">
        <f t="shared" si="97"/>
        <v/>
      </c>
      <c r="N181" s="240" t="str">
        <f t="shared" si="98"/>
        <v>-</v>
      </c>
      <c r="O181" s="265" t="str">
        <f t="shared" si="99"/>
        <v>-</v>
      </c>
      <c r="P181" s="265" t="str">
        <f t="shared" si="100"/>
        <v>-</v>
      </c>
      <c r="Q181" s="266" t="str">
        <f t="shared" si="101"/>
        <v>-</v>
      </c>
      <c r="R181" s="267" t="str">
        <f t="shared" si="102"/>
        <v>-</v>
      </c>
      <c r="S181" s="268" t="str">
        <f t="shared" si="103"/>
        <v>-</v>
      </c>
      <c r="T181" s="269" t="str">
        <f t="shared" si="104"/>
        <v/>
      </c>
      <c r="U181" s="221">
        <f t="shared" si="105"/>
        <v>81</v>
      </c>
      <c r="V181" s="220" t="str">
        <f t="shared" si="131"/>
        <v>-</v>
      </c>
      <c r="W181" s="221" t="str">
        <f t="shared" si="132"/>
        <v>-</v>
      </c>
      <c r="X181" s="221" t="str">
        <f t="shared" si="106"/>
        <v>-</v>
      </c>
      <c r="Y181" s="221" t="str">
        <f t="shared" si="107"/>
        <v>-</v>
      </c>
      <c r="Z181" s="270">
        <f t="shared" si="133"/>
        <v>0.1</v>
      </c>
      <c r="AA181" s="271" t="str">
        <f>IFERROR(IF(V180=1,AA$100*EXP(-(LN(2)/$D$65+0.04)*X180)*EXP(-(LN(2)/$D$65+0.1)*Y180),IF(V180=2,AA$100*EXP(-(LN(2)/$D$65+0.04)*(VLOOKUP(($F$16-$F$15)-1,U$99:Y180,4,FALSE)))*EXP(-(LN(2)/$D$65+0.1)*(VLOOKUP(($F$16-$F$15)-1,U$99:Y180,5,FALSE)))*EXP(-(LN(2)/$D$65+0.04)*X180)*EXP(-(LN(2)/$D$65+0.1)*Y180),IF(V180=3,AA$100*EXP(-(LN(2)/$D$65+0.04)*(VLOOKUP(($F$16-$F$15)-1,U$99:Y180,4,FALSE)))*EXP(-(LN(2)/$D$65+0.1)*(VLOOKUP(($F$16-$F$15)-1,U$99:Y180,5,FALSE)))*EXP(-(LN(2)/$D$65+0.04)*(VLOOKUP(($F$16-$F$15)*2-1,U$99:Y180,4,FALSE)))*EXP(-(LN(2)/$D$65+0.1)*(VLOOKUP(($F$16-$F$15)*2-1,U$99:Y180,5,FALSE)))*EXP(-(LN(2)/$D$65+0.04)*X180)*EXP(-(LN(2)/$D$65+0.1)*Y180),"-"))),"-")</f>
        <v>-</v>
      </c>
      <c r="AB181" s="271" t="str">
        <f>IFERROR(IF(V181=1,AB$100*EXP(-(LN(2)/$D$65+0.04)*X181)*EXP(-(LN(2)/$D$65+0.1)*Y181),IF(V181=2,AB$100*EXP(-(LN(2)/$D$65+0.04)*(VLOOKUP(($F$16-$F$15)-1,U$100:Y181,4,FALSE)))*EXP(-(LN(2)/$D$65+0.1)*(VLOOKUP(($F$16-$F$15)-1,U$100:Y181,5,FALSE)))*EXP(-(LN(2)/$D$65+0.04)*X181)*EXP(-(LN(2)/$D$65+0.1)*Y181),IF(V181=3,AB$100*EXP(-(LN(2)/$D$65+0.04)*(VLOOKUP(($F$16-$F$15)-1,U$100:Y181,4,FALSE)))*EXP(-(LN(2)/$D$65+0.1)*(VLOOKUP(($F$16-$F$15)-1,U$100:Y181,5,FALSE)))*EXP(-(LN(2)/$D$65+0.04)*(VLOOKUP(($F$16-$F$15)*2-1,U$100:Y181,4,FALSE)))*EXP(-(LN(2)/$D$65+0.1)*(VLOOKUP(($F$16-$F$15)*2-1,U$100:Y181,5,FALSE)))*EXP(-(LN(2)/$D$65+0.04)*X181)*EXP(-(LN(2)/$D$65+0.1)*Y181),"-"))),"-")</f>
        <v>-</v>
      </c>
      <c r="AC181" s="224">
        <f t="shared" si="134"/>
        <v>81</v>
      </c>
      <c r="AD181" s="223" t="str">
        <f t="shared" si="108"/>
        <v>-</v>
      </c>
      <c r="AE181" s="224" t="str">
        <f t="shared" si="135"/>
        <v>-</v>
      </c>
      <c r="AF181" s="224" t="str">
        <f t="shared" si="109"/>
        <v>-</v>
      </c>
      <c r="AG181" s="224" t="str">
        <f t="shared" si="110"/>
        <v>-</v>
      </c>
      <c r="AH181" s="272">
        <f t="shared" si="136"/>
        <v>0.1</v>
      </c>
      <c r="AI181" s="271" t="str">
        <f>IFERROR(IF(AD180=1,AI$100*EXP(-(LN(2)/$D$65+0.04)*AF180)*EXP(-(LN(2)/$D$65+0.1)*AG180),IF(AD180=2,AI$100*EXP(-(LN(2)/$D$65+0.04)*(VLOOKUP(($F$16-$F$15)-1,AC$99:AG180,4,FALSE)))*EXP(-(LN(2)/$D$65+0.1)*(VLOOKUP(($F$16-$F$15)-1,AC$99:AG180,5,FALSE)))*EXP(-(LN(2)/$D$65+0.04)*AF180)*EXP(-(LN(2)/$D$65+0.1)*AG180),IF(AD180=3,AI$100*EXP(-(LN(2)/$D$65+0.04)*(VLOOKUP(($F$16-$F$15)-1,AC$99:AG180,4,FALSE)))*EXP(-(LN(2)/$D$65+0.1)*(VLOOKUP(($F$16-$F$15)-1,AC$99:AG180,5,FALSE)))*EXP(-(LN(2)/$D$65+0.04)*(VLOOKUP(($F$16-$F$15)*2-1,AC$99:AG180,4,FALSE)))*EXP(-(LN(2)/$D$65+0.1)*(VLOOKUP(($F$16-$F$15)*2-1,AC$99:AG180,5,FALSE)))*EXP(-(LN(2)/$D$65+0.04)*AF180)*EXP(-(LN(2)/$D$65+0.1)*AG180),"-"))),"-")</f>
        <v>-</v>
      </c>
      <c r="AJ181" s="271" t="str">
        <f>IFERROR(IF(AD181=1,AJ$100*EXP(-(LN(2)/$D$65+0.04)*AF181)*EXP(-(LN(2)/$D$65+0.1)*AG181),IF(AD181=2,AJ$100*EXP(-(LN(2)/$D$65+0.04)*(VLOOKUP(($F$16-$F$15)-1,AC$100:AG181,4,FALSE)))*EXP(-(LN(2)/$D$65+0.1)*(VLOOKUP(($F$16-$F$15)-1,AC$100:AG181,5,FALSE)))*EXP(-(LN(2)/$D$65+0.04)*AF181)*EXP(-(LN(2)/$D$65+0.1)*AG181),IF(AD181=3,AJ$100*EXP(-(LN(2)/$D$65+0.04)*(VLOOKUP(($F$16-$F$15)-1,AC$100:AG181,4,FALSE)))*EXP(-(LN(2)/$D$65+0.1)*(VLOOKUP(($F$16-$F$15)-1,AC$100:AG181,5,FALSE)))*EXP(-(LN(2)/$D$65+0.04)*(VLOOKUP(($F$16-$F$15)*2-1,AC$100:AG181,4,FALSE)))*EXP(-(LN(2)/$D$65+0.1)*(VLOOKUP(($F$16-$F$15)*2-1,AC$100:AG181,5,FALSE)))*EXP(-(LN(2)/$D$65+0.04)*AF181)*EXP(-(LN(2)/$D$65+0.1)*AG181),"-"))),"-")</f>
        <v>-</v>
      </c>
      <c r="AK181" s="227">
        <f t="shared" si="137"/>
        <v>81</v>
      </c>
      <c r="AL181" s="226" t="str">
        <f t="shared" si="111"/>
        <v>-</v>
      </c>
      <c r="AM181" s="227" t="str">
        <f t="shared" si="138"/>
        <v>-</v>
      </c>
      <c r="AN181" s="227" t="str">
        <f t="shared" si="139"/>
        <v>-</v>
      </c>
      <c r="AO181" s="227" t="str">
        <f t="shared" si="112"/>
        <v>-</v>
      </c>
      <c r="AP181" s="273">
        <f t="shared" si="140"/>
        <v>0.1</v>
      </c>
      <c r="AQ181" s="271" t="str">
        <f>IFERROR(IF(AL180=1,AQ$100*EXP(-(LN(2)/$D$65+0.04)*AN180)*EXP(-(LN(2)/$D$65+0.1)*AO180),IF(AL180=2,AQ$100*EXP(-(LN(2)/$D$65+0.04)*(VLOOKUP(($F$16-$F$15)-1,AK$99:AO180,4,FALSE)))*EXP(-(LN(2)/$D$65+0.1)*(VLOOKUP(($F$16-$F$15)-1,AK$99:AO180,5,FALSE)))*EXP(-(LN(2)/$D$65+0.04)*AN180)*EXP(-(LN(2)/$D$65+0.1)*AO180),IF(AL180=3,AQ$100*EXP(-(LN(2)/$D$65+0.04)*(VLOOKUP(($F$16-$F$15)-1,AK$99:AO180,4,FALSE)))*EXP(-(LN(2)/$D$65+0.1)*(VLOOKUP(($F$16-$F$15)-1,AK$99:AO180,5,FALSE)))*EXP(-(LN(2)/$D$65+0.04)*(VLOOKUP(($F$16-$F$15)*2-1,AK$99:AO180,4,FALSE)))*EXP(-(LN(2)/$D$65+0.1)*(VLOOKUP(($F$16-$F$15)*2-1,AK$99:AO180,5,FALSE)))*EXP(-(LN(2)/$D$65+0.04)*AN180)*EXP(-(LN(2)/$D$65+0.1)*AO180),"-"))),"-")</f>
        <v>-</v>
      </c>
      <c r="AR181" s="271" t="str">
        <f>IFERROR(IF(AL181=1,AR$100*EXP(-(LN(2)/$D$65+0.04)*AN181)*EXP(-(LN(2)/$D$65+0.1)*AO181),IF(AL181=2,AR$100*EXP(-(LN(2)/$D$65+0.04)*(VLOOKUP(($F$16-$F$15)-1,AK$100:AO181,4,FALSE)))*EXP(-(LN(2)/$D$65+0.1)*(VLOOKUP(($F$16-$F$15)-1,AK$100:AO181,5,FALSE)))*EXP(-(LN(2)/$D$65+0.04)*AN181)*EXP(-(LN(2)/$D$65+0.1)*AO181),IF(AL181=3,AR$100*EXP(-(LN(2)/$D$65+0.04)*(VLOOKUP(($F$16-$F$15)-1,AK$100:AO181,4,FALSE)))*EXP(-(LN(2)/$D$65+0.1)*(VLOOKUP(($F$16-$F$15)-1,AK$100:AO181,5,FALSE)))*EXP(-(LN(2)/$D$65+0.04)*(VLOOKUP(($F$16-$F$15)*2-1,AK$100:AO181,4,FALSE)))*EXP(-(LN(2)/$D$65+0.1)*(VLOOKUP(($F$16-$F$15)*2-1,AK$100:AO181,5,FALSE)))*EXP(-(LN(2)/$D$65+0.04)*AN181)*EXP(-(LN(2)/$D$65+0.1)*AO181),"-"))),"-")</f>
        <v>-</v>
      </c>
      <c r="AS181" s="274">
        <f t="shared" si="113"/>
        <v>0</v>
      </c>
      <c r="AT181" s="274">
        <f t="shared" si="114"/>
        <v>0</v>
      </c>
      <c r="AU181" s="274">
        <f t="shared" si="115"/>
        <v>0</v>
      </c>
      <c r="AV181" s="190" t="str">
        <f>IF($B181&lt;$F$22,SUM($T$100:$T181),"")</f>
        <v/>
      </c>
      <c r="AW181" s="190" t="str">
        <f t="shared" si="116"/>
        <v>-</v>
      </c>
      <c r="AX181" s="190" t="str">
        <f t="shared" si="141"/>
        <v/>
      </c>
      <c r="AY181"/>
      <c r="AZ181" s="190" t="str">
        <f ca="1">IF(ISNUMBER(OFFSET(AV181,-$F$21,0)),SUM(OFFSET($T$100,$F$21,0):$T181),"")</f>
        <v/>
      </c>
      <c r="BA181" s="190" t="str">
        <f t="shared" ca="1" si="117"/>
        <v/>
      </c>
      <c r="BB181" s="190" t="str">
        <f t="shared" ca="1" si="70"/>
        <v/>
      </c>
      <c r="BC181" s="190"/>
      <c r="BD181" s="190" t="str">
        <f ca="1">IFERROR(IF(OR(ISNUMBER(I),ISNUMBER($F$14)),IF(AND($B181&gt;=($F$16-$F$15),$B181&lt;$F$22+($F$16-$F$15)),SUM(OFFSET($T$100,($F$16-$F$15),0):$T181),""),""),"")</f>
        <v/>
      </c>
      <c r="BE181" s="190" t="str">
        <f t="shared" ca="1" si="142"/>
        <v/>
      </c>
      <c r="BF181" s="190" t="str">
        <f t="shared" ca="1" si="143"/>
        <v/>
      </c>
      <c r="BG181"/>
      <c r="BH181" s="190" t="str">
        <f ca="1">IF(ISNUMBER(OFFSET(BD181,-$F$21,0)),SUM(OFFSET($T$100,($F$16-$F$15+$F$21),0):$T181),"")</f>
        <v/>
      </c>
      <c r="BI181" s="190" t="str">
        <f t="shared" ca="1" si="118"/>
        <v/>
      </c>
      <c r="BJ181" s="190" t="str">
        <f t="shared" ca="1" si="144"/>
        <v/>
      </c>
      <c r="BK181" s="190"/>
      <c r="BL181" s="190" t="str">
        <f ca="1">IFERROR(IF(OR(ISNUMBER(I),ISNUMBER($F$14)),IF(AND($B181&gt;=($F$17-$F$15),$B181&lt;$F$22+($F$17-$F$15)),SUM(OFFSET($T$100,($F$17-$F$15),0):$T181),""),""),"")</f>
        <v/>
      </c>
      <c r="BM181" s="190" t="str">
        <f t="shared" ca="1" si="119"/>
        <v/>
      </c>
      <c r="BN181" s="190" t="str">
        <f t="shared" ca="1" si="145"/>
        <v/>
      </c>
      <c r="BO181"/>
      <c r="BP181" s="190" t="str">
        <f ca="1">IF(ISNUMBER(OFFSET(BL181,-$F$21,0)),SUM(OFFSET($T$100,($F$17-$F$15+$F$21),0):$T181),"")</f>
        <v/>
      </c>
      <c r="BQ181" s="190" t="str">
        <f t="shared" ca="1" si="120"/>
        <v/>
      </c>
      <c r="BR181" s="190" t="str">
        <f t="shared" ca="1" si="146"/>
        <v/>
      </c>
      <c r="BS181" s="190"/>
      <c r="BT181"/>
      <c r="BU181"/>
      <c r="BV181"/>
      <c r="BY181" s="99"/>
      <c r="BZ181" s="99"/>
      <c r="CA181" s="280" t="str">
        <f t="shared" si="121"/>
        <v/>
      </c>
      <c r="CB181" s="71" t="str">
        <f t="shared" si="122"/>
        <v>-</v>
      </c>
      <c r="CC181" s="33"/>
      <c r="CD181" s="261" t="str">
        <f t="shared" si="123"/>
        <v/>
      </c>
      <c r="CE181" s="280" t="str">
        <f t="shared" si="124"/>
        <v/>
      </c>
      <c r="CF181" s="71" t="str">
        <f t="shared" ca="1" si="125"/>
        <v/>
      </c>
      <c r="CG181" s="33" t="str">
        <f t="shared" si="126"/>
        <v/>
      </c>
      <c r="CH181" s="261" t="str">
        <f t="shared" ca="1" si="127"/>
        <v/>
      </c>
      <c r="CI181" s="202"/>
      <c r="CJ181" s="99"/>
      <c r="CK181" s="99"/>
      <c r="CL181" s="99"/>
      <c r="CM181" s="99"/>
      <c r="CN181" s="99"/>
      <c r="CO181" s="99"/>
    </row>
    <row r="182" spans="2:93" ht="13.5" customHeight="1" x14ac:dyDescent="0.2">
      <c r="B182" s="262">
        <v>82</v>
      </c>
      <c r="C182" s="237" t="str">
        <f t="shared" si="91"/>
        <v/>
      </c>
      <c r="D182" s="237" t="str">
        <f t="shared" si="147"/>
        <v/>
      </c>
      <c r="E182" s="263" t="str">
        <f t="shared" si="128"/>
        <v/>
      </c>
      <c r="F182" s="264" t="str">
        <f t="shared" si="129"/>
        <v/>
      </c>
      <c r="G182" s="306" t="str">
        <f t="shared" si="130"/>
        <v/>
      </c>
      <c r="H182" s="240" t="str">
        <f t="shared" si="92"/>
        <v/>
      </c>
      <c r="I182" s="265" t="str">
        <f t="shared" si="93"/>
        <v/>
      </c>
      <c r="J182" s="265" t="str">
        <f t="shared" si="94"/>
        <v/>
      </c>
      <c r="K182" s="240" t="str">
        <f t="shared" si="95"/>
        <v/>
      </c>
      <c r="L182" s="265" t="str">
        <f t="shared" si="96"/>
        <v/>
      </c>
      <c r="M182" s="265" t="str">
        <f t="shared" si="97"/>
        <v/>
      </c>
      <c r="N182" s="240" t="str">
        <f t="shared" si="98"/>
        <v>-</v>
      </c>
      <c r="O182" s="265" t="str">
        <f t="shared" si="99"/>
        <v>-</v>
      </c>
      <c r="P182" s="265" t="str">
        <f t="shared" si="100"/>
        <v>-</v>
      </c>
      <c r="Q182" s="266" t="str">
        <f t="shared" si="101"/>
        <v>-</v>
      </c>
      <c r="R182" s="267" t="str">
        <f t="shared" si="102"/>
        <v>-</v>
      </c>
      <c r="S182" s="268" t="str">
        <f t="shared" si="103"/>
        <v>-</v>
      </c>
      <c r="T182" s="269" t="str">
        <f t="shared" si="104"/>
        <v/>
      </c>
      <c r="U182" s="221">
        <f t="shared" si="105"/>
        <v>82</v>
      </c>
      <c r="V182" s="220" t="str">
        <f t="shared" si="131"/>
        <v>-</v>
      </c>
      <c r="W182" s="221" t="str">
        <f t="shared" si="132"/>
        <v>-</v>
      </c>
      <c r="X182" s="221" t="str">
        <f t="shared" si="106"/>
        <v>-</v>
      </c>
      <c r="Y182" s="221" t="str">
        <f t="shared" si="107"/>
        <v>-</v>
      </c>
      <c r="Z182" s="270">
        <f t="shared" si="133"/>
        <v>0.1</v>
      </c>
      <c r="AA182" s="271" t="str">
        <f>IFERROR(IF(V181=1,AA$100*EXP(-(LN(2)/$D$65+0.04)*X181)*EXP(-(LN(2)/$D$65+0.1)*Y181),IF(V181=2,AA$100*EXP(-(LN(2)/$D$65+0.04)*(VLOOKUP(($F$16-$F$15)-1,U$99:Y181,4,FALSE)))*EXP(-(LN(2)/$D$65+0.1)*(VLOOKUP(($F$16-$F$15)-1,U$99:Y181,5,FALSE)))*EXP(-(LN(2)/$D$65+0.04)*X181)*EXP(-(LN(2)/$D$65+0.1)*Y181),IF(V181=3,AA$100*EXP(-(LN(2)/$D$65+0.04)*(VLOOKUP(($F$16-$F$15)-1,U$99:Y181,4,FALSE)))*EXP(-(LN(2)/$D$65+0.1)*(VLOOKUP(($F$16-$F$15)-1,U$99:Y181,5,FALSE)))*EXP(-(LN(2)/$D$65+0.04)*(VLOOKUP(($F$16-$F$15)*2-1,U$99:Y181,4,FALSE)))*EXP(-(LN(2)/$D$65+0.1)*(VLOOKUP(($F$16-$F$15)*2-1,U$99:Y181,5,FALSE)))*EXP(-(LN(2)/$D$65+0.04)*X181)*EXP(-(LN(2)/$D$65+0.1)*Y181),"-"))),"-")</f>
        <v>-</v>
      </c>
      <c r="AB182" s="271" t="str">
        <f>IFERROR(IF(V182=1,AB$100*EXP(-(LN(2)/$D$65+0.04)*X182)*EXP(-(LN(2)/$D$65+0.1)*Y182),IF(V182=2,AB$100*EXP(-(LN(2)/$D$65+0.04)*(VLOOKUP(($F$16-$F$15)-1,U$100:Y182,4,FALSE)))*EXP(-(LN(2)/$D$65+0.1)*(VLOOKUP(($F$16-$F$15)-1,U$100:Y182,5,FALSE)))*EXP(-(LN(2)/$D$65+0.04)*X182)*EXP(-(LN(2)/$D$65+0.1)*Y182),IF(V182=3,AB$100*EXP(-(LN(2)/$D$65+0.04)*(VLOOKUP(($F$16-$F$15)-1,U$100:Y182,4,FALSE)))*EXP(-(LN(2)/$D$65+0.1)*(VLOOKUP(($F$16-$F$15)-1,U$100:Y182,5,FALSE)))*EXP(-(LN(2)/$D$65+0.04)*(VLOOKUP(($F$16-$F$15)*2-1,U$100:Y182,4,FALSE)))*EXP(-(LN(2)/$D$65+0.1)*(VLOOKUP(($F$16-$F$15)*2-1,U$100:Y182,5,FALSE)))*EXP(-(LN(2)/$D$65+0.04)*X182)*EXP(-(LN(2)/$D$65+0.1)*Y182),"-"))),"-")</f>
        <v>-</v>
      </c>
      <c r="AC182" s="224">
        <f t="shared" si="134"/>
        <v>82</v>
      </c>
      <c r="AD182" s="223" t="str">
        <f t="shared" si="108"/>
        <v>-</v>
      </c>
      <c r="AE182" s="224" t="str">
        <f t="shared" si="135"/>
        <v>-</v>
      </c>
      <c r="AF182" s="224" t="str">
        <f t="shared" si="109"/>
        <v>-</v>
      </c>
      <c r="AG182" s="224" t="str">
        <f t="shared" si="110"/>
        <v>-</v>
      </c>
      <c r="AH182" s="272">
        <f t="shared" si="136"/>
        <v>0.1</v>
      </c>
      <c r="AI182" s="271" t="str">
        <f>IFERROR(IF(AD181=1,AI$100*EXP(-(LN(2)/$D$65+0.04)*AF181)*EXP(-(LN(2)/$D$65+0.1)*AG181),IF(AD181=2,AI$100*EXP(-(LN(2)/$D$65+0.04)*(VLOOKUP(($F$16-$F$15)-1,AC$99:AG181,4,FALSE)))*EXP(-(LN(2)/$D$65+0.1)*(VLOOKUP(($F$16-$F$15)-1,AC$99:AG181,5,FALSE)))*EXP(-(LN(2)/$D$65+0.04)*AF181)*EXP(-(LN(2)/$D$65+0.1)*AG181),IF(AD181=3,AI$100*EXP(-(LN(2)/$D$65+0.04)*(VLOOKUP(($F$16-$F$15)-1,AC$99:AG181,4,FALSE)))*EXP(-(LN(2)/$D$65+0.1)*(VLOOKUP(($F$16-$F$15)-1,AC$99:AG181,5,FALSE)))*EXP(-(LN(2)/$D$65+0.04)*(VLOOKUP(($F$16-$F$15)*2-1,AC$99:AG181,4,FALSE)))*EXP(-(LN(2)/$D$65+0.1)*(VLOOKUP(($F$16-$F$15)*2-1,AC$99:AG181,5,FALSE)))*EXP(-(LN(2)/$D$65+0.04)*AF181)*EXP(-(LN(2)/$D$65+0.1)*AG181),"-"))),"-")</f>
        <v>-</v>
      </c>
      <c r="AJ182" s="271" t="str">
        <f>IFERROR(IF(AD182=1,AJ$100*EXP(-(LN(2)/$D$65+0.04)*AF182)*EXP(-(LN(2)/$D$65+0.1)*AG182),IF(AD182=2,AJ$100*EXP(-(LN(2)/$D$65+0.04)*(VLOOKUP(($F$16-$F$15)-1,AC$100:AG182,4,FALSE)))*EXP(-(LN(2)/$D$65+0.1)*(VLOOKUP(($F$16-$F$15)-1,AC$100:AG182,5,FALSE)))*EXP(-(LN(2)/$D$65+0.04)*AF182)*EXP(-(LN(2)/$D$65+0.1)*AG182),IF(AD182=3,AJ$100*EXP(-(LN(2)/$D$65+0.04)*(VLOOKUP(($F$16-$F$15)-1,AC$100:AG182,4,FALSE)))*EXP(-(LN(2)/$D$65+0.1)*(VLOOKUP(($F$16-$F$15)-1,AC$100:AG182,5,FALSE)))*EXP(-(LN(2)/$D$65+0.04)*(VLOOKUP(($F$16-$F$15)*2-1,AC$100:AG182,4,FALSE)))*EXP(-(LN(2)/$D$65+0.1)*(VLOOKUP(($F$16-$F$15)*2-1,AC$100:AG182,5,FALSE)))*EXP(-(LN(2)/$D$65+0.04)*AF182)*EXP(-(LN(2)/$D$65+0.1)*AG182),"-"))),"-")</f>
        <v>-</v>
      </c>
      <c r="AK182" s="227">
        <f t="shared" si="137"/>
        <v>82</v>
      </c>
      <c r="AL182" s="226" t="str">
        <f t="shared" si="111"/>
        <v>-</v>
      </c>
      <c r="AM182" s="227" t="str">
        <f t="shared" si="138"/>
        <v>-</v>
      </c>
      <c r="AN182" s="227" t="str">
        <f t="shared" si="139"/>
        <v>-</v>
      </c>
      <c r="AO182" s="227" t="str">
        <f t="shared" si="112"/>
        <v>-</v>
      </c>
      <c r="AP182" s="273">
        <f t="shared" si="140"/>
        <v>0.1</v>
      </c>
      <c r="AQ182" s="271" t="str">
        <f>IFERROR(IF(AL181=1,AQ$100*EXP(-(LN(2)/$D$65+0.04)*AN181)*EXP(-(LN(2)/$D$65+0.1)*AO181),IF(AL181=2,AQ$100*EXP(-(LN(2)/$D$65+0.04)*(VLOOKUP(($F$16-$F$15)-1,AK$99:AO181,4,FALSE)))*EXP(-(LN(2)/$D$65+0.1)*(VLOOKUP(($F$16-$F$15)-1,AK$99:AO181,5,FALSE)))*EXP(-(LN(2)/$D$65+0.04)*AN181)*EXP(-(LN(2)/$D$65+0.1)*AO181),IF(AL181=3,AQ$100*EXP(-(LN(2)/$D$65+0.04)*(VLOOKUP(($F$16-$F$15)-1,AK$99:AO181,4,FALSE)))*EXP(-(LN(2)/$D$65+0.1)*(VLOOKUP(($F$16-$F$15)-1,AK$99:AO181,5,FALSE)))*EXP(-(LN(2)/$D$65+0.04)*(VLOOKUP(($F$16-$F$15)*2-1,AK$99:AO181,4,FALSE)))*EXP(-(LN(2)/$D$65+0.1)*(VLOOKUP(($F$16-$F$15)*2-1,AK$99:AO181,5,FALSE)))*EXP(-(LN(2)/$D$65+0.04)*AN181)*EXP(-(LN(2)/$D$65+0.1)*AO181),"-"))),"-")</f>
        <v>-</v>
      </c>
      <c r="AR182" s="271" t="str">
        <f>IFERROR(IF(AL182=1,AR$100*EXP(-(LN(2)/$D$65+0.04)*AN182)*EXP(-(LN(2)/$D$65+0.1)*AO182),IF(AL182=2,AR$100*EXP(-(LN(2)/$D$65+0.04)*(VLOOKUP(($F$16-$F$15)-1,AK$100:AO182,4,FALSE)))*EXP(-(LN(2)/$D$65+0.1)*(VLOOKUP(($F$16-$F$15)-1,AK$100:AO182,5,FALSE)))*EXP(-(LN(2)/$D$65+0.04)*AN182)*EXP(-(LN(2)/$D$65+0.1)*AO182),IF(AL182=3,AR$100*EXP(-(LN(2)/$D$65+0.04)*(VLOOKUP(($F$16-$F$15)-1,AK$100:AO182,4,FALSE)))*EXP(-(LN(2)/$D$65+0.1)*(VLOOKUP(($F$16-$F$15)-1,AK$100:AO182,5,FALSE)))*EXP(-(LN(2)/$D$65+0.04)*(VLOOKUP(($F$16-$F$15)*2-1,AK$100:AO182,4,FALSE)))*EXP(-(LN(2)/$D$65+0.1)*(VLOOKUP(($F$16-$F$15)*2-1,AK$100:AO182,5,FALSE)))*EXP(-(LN(2)/$D$65+0.04)*AN182)*EXP(-(LN(2)/$D$65+0.1)*AO182),"-"))),"-")</f>
        <v>-</v>
      </c>
      <c r="AS182" s="274">
        <f t="shared" si="113"/>
        <v>0</v>
      </c>
      <c r="AT182" s="274">
        <f t="shared" si="114"/>
        <v>0</v>
      </c>
      <c r="AU182" s="274">
        <f t="shared" si="115"/>
        <v>0</v>
      </c>
      <c r="AV182" s="190" t="str">
        <f>IF($B182&lt;$F$22,SUM($T$100:$T182),"")</f>
        <v/>
      </c>
      <c r="AW182" s="190" t="str">
        <f t="shared" si="116"/>
        <v>-</v>
      </c>
      <c r="AX182" s="190" t="str">
        <f t="shared" si="141"/>
        <v/>
      </c>
      <c r="AY182"/>
      <c r="AZ182" s="190" t="str">
        <f ca="1">IF(ISNUMBER(OFFSET(AV182,-$F$21,0)),SUM(OFFSET($T$100,$F$21,0):$T182),"")</f>
        <v/>
      </c>
      <c r="BA182" s="190" t="str">
        <f t="shared" ca="1" si="117"/>
        <v/>
      </c>
      <c r="BB182" s="190" t="str">
        <f t="shared" ca="1" si="70"/>
        <v/>
      </c>
      <c r="BC182" s="190"/>
      <c r="BD182" s="190" t="str">
        <f ca="1">IFERROR(IF(OR(ISNUMBER(I),ISNUMBER($F$14)),IF(AND($B182&gt;=($F$16-$F$15),$B182&lt;$F$22+($F$16-$F$15)),SUM(OFFSET($T$100,($F$16-$F$15),0):$T182),""),""),"")</f>
        <v/>
      </c>
      <c r="BE182" s="190" t="str">
        <f t="shared" ca="1" si="142"/>
        <v/>
      </c>
      <c r="BF182" s="190" t="str">
        <f t="shared" ca="1" si="143"/>
        <v/>
      </c>
      <c r="BG182"/>
      <c r="BH182" s="190" t="str">
        <f ca="1">IF(ISNUMBER(OFFSET(BD182,-$F$21,0)),SUM(OFFSET($T$100,($F$16-$F$15+$F$21),0):$T182),"")</f>
        <v/>
      </c>
      <c r="BI182" s="190" t="str">
        <f t="shared" ca="1" si="118"/>
        <v/>
      </c>
      <c r="BJ182" s="190" t="str">
        <f t="shared" ca="1" si="144"/>
        <v/>
      </c>
      <c r="BK182" s="190"/>
      <c r="BL182" s="190" t="str">
        <f ca="1">IFERROR(IF(OR(ISNUMBER(I),ISNUMBER($F$14)),IF(AND($B182&gt;=($F$17-$F$15),$B182&lt;$F$22+($F$17-$F$15)),SUM(OFFSET($T$100,($F$17-$F$15),0):$T182),""),""),"")</f>
        <v/>
      </c>
      <c r="BM182" s="190" t="str">
        <f t="shared" ca="1" si="119"/>
        <v/>
      </c>
      <c r="BN182" s="190" t="str">
        <f t="shared" ca="1" si="145"/>
        <v/>
      </c>
      <c r="BO182"/>
      <c r="BP182" s="190" t="str">
        <f ca="1">IF(ISNUMBER(OFFSET(BL182,-$F$21,0)),SUM(OFFSET($T$100,($F$17-$F$15+$F$21),0):$T182),"")</f>
        <v/>
      </c>
      <c r="BQ182" s="190" t="str">
        <f t="shared" ca="1" si="120"/>
        <v/>
      </c>
      <c r="BR182" s="190" t="str">
        <f t="shared" ca="1" si="146"/>
        <v/>
      </c>
      <c r="BS182" s="190"/>
      <c r="BT182"/>
      <c r="BU182"/>
      <c r="BV182"/>
      <c r="BY182" s="99"/>
      <c r="BZ182" s="99"/>
      <c r="CA182" s="280" t="str">
        <f t="shared" si="121"/>
        <v/>
      </c>
      <c r="CB182" s="71" t="str">
        <f t="shared" si="122"/>
        <v>-</v>
      </c>
      <c r="CC182" s="33"/>
      <c r="CD182" s="261" t="str">
        <f t="shared" si="123"/>
        <v/>
      </c>
      <c r="CE182" s="280" t="str">
        <f t="shared" si="124"/>
        <v/>
      </c>
      <c r="CF182" s="71" t="str">
        <f t="shared" ca="1" si="125"/>
        <v/>
      </c>
      <c r="CG182" s="33" t="str">
        <f t="shared" si="126"/>
        <v/>
      </c>
      <c r="CH182" s="261" t="str">
        <f t="shared" ca="1" si="127"/>
        <v/>
      </c>
      <c r="CI182" s="202"/>
      <c r="CJ182" s="99"/>
      <c r="CK182" s="99"/>
      <c r="CL182" s="99"/>
      <c r="CM182" s="99"/>
      <c r="CN182" s="99"/>
      <c r="CO182" s="99"/>
    </row>
    <row r="183" spans="2:93" ht="13.5" customHeight="1" x14ac:dyDescent="0.2">
      <c r="B183" s="262">
        <v>83</v>
      </c>
      <c r="C183" s="237" t="str">
        <f t="shared" si="91"/>
        <v/>
      </c>
      <c r="D183" s="237" t="str">
        <f t="shared" si="147"/>
        <v/>
      </c>
      <c r="E183" s="263" t="str">
        <f t="shared" si="128"/>
        <v/>
      </c>
      <c r="F183" s="264" t="str">
        <f t="shared" si="129"/>
        <v/>
      </c>
      <c r="G183" s="306" t="str">
        <f t="shared" si="130"/>
        <v/>
      </c>
      <c r="H183" s="240" t="str">
        <f t="shared" si="92"/>
        <v/>
      </c>
      <c r="I183" s="265" t="str">
        <f t="shared" si="93"/>
        <v/>
      </c>
      <c r="J183" s="265" t="str">
        <f t="shared" si="94"/>
        <v/>
      </c>
      <c r="K183" s="240" t="str">
        <f t="shared" si="95"/>
        <v/>
      </c>
      <c r="L183" s="265" t="str">
        <f t="shared" si="96"/>
        <v/>
      </c>
      <c r="M183" s="265" t="str">
        <f t="shared" si="97"/>
        <v/>
      </c>
      <c r="N183" s="240" t="str">
        <f t="shared" si="98"/>
        <v>-</v>
      </c>
      <c r="O183" s="265" t="str">
        <f t="shared" si="99"/>
        <v>-</v>
      </c>
      <c r="P183" s="265" t="str">
        <f t="shared" si="100"/>
        <v>-</v>
      </c>
      <c r="Q183" s="266" t="str">
        <f t="shared" si="101"/>
        <v>-</v>
      </c>
      <c r="R183" s="267" t="str">
        <f t="shared" si="102"/>
        <v>-</v>
      </c>
      <c r="S183" s="268" t="str">
        <f t="shared" si="103"/>
        <v>-</v>
      </c>
      <c r="T183" s="269" t="str">
        <f t="shared" si="104"/>
        <v/>
      </c>
      <c r="U183" s="221">
        <f t="shared" si="105"/>
        <v>83</v>
      </c>
      <c r="V183" s="220" t="str">
        <f t="shared" si="131"/>
        <v>-</v>
      </c>
      <c r="W183" s="221" t="str">
        <f t="shared" si="132"/>
        <v>-</v>
      </c>
      <c r="X183" s="221" t="str">
        <f t="shared" si="106"/>
        <v>-</v>
      </c>
      <c r="Y183" s="221" t="str">
        <f t="shared" si="107"/>
        <v>-</v>
      </c>
      <c r="Z183" s="270">
        <f t="shared" si="133"/>
        <v>0.1</v>
      </c>
      <c r="AA183" s="271" t="str">
        <f>IFERROR(IF(V182=1,AA$100*EXP(-(LN(2)/$D$65+0.04)*X182)*EXP(-(LN(2)/$D$65+0.1)*Y182),IF(V182=2,AA$100*EXP(-(LN(2)/$D$65+0.04)*(VLOOKUP(($F$16-$F$15)-1,U$99:Y182,4,FALSE)))*EXP(-(LN(2)/$D$65+0.1)*(VLOOKUP(($F$16-$F$15)-1,U$99:Y182,5,FALSE)))*EXP(-(LN(2)/$D$65+0.04)*X182)*EXP(-(LN(2)/$D$65+0.1)*Y182),IF(V182=3,AA$100*EXP(-(LN(2)/$D$65+0.04)*(VLOOKUP(($F$16-$F$15)-1,U$99:Y182,4,FALSE)))*EXP(-(LN(2)/$D$65+0.1)*(VLOOKUP(($F$16-$F$15)-1,U$99:Y182,5,FALSE)))*EXP(-(LN(2)/$D$65+0.04)*(VLOOKUP(($F$16-$F$15)*2-1,U$99:Y182,4,FALSE)))*EXP(-(LN(2)/$D$65+0.1)*(VLOOKUP(($F$16-$F$15)*2-1,U$99:Y182,5,FALSE)))*EXP(-(LN(2)/$D$65+0.04)*X182)*EXP(-(LN(2)/$D$65+0.1)*Y182),"-"))),"-")</f>
        <v>-</v>
      </c>
      <c r="AB183" s="271" t="str">
        <f>IFERROR(IF(V183=1,AB$100*EXP(-(LN(2)/$D$65+0.04)*X183)*EXP(-(LN(2)/$D$65+0.1)*Y183),IF(V183=2,AB$100*EXP(-(LN(2)/$D$65+0.04)*(VLOOKUP(($F$16-$F$15)-1,U$100:Y183,4,FALSE)))*EXP(-(LN(2)/$D$65+0.1)*(VLOOKUP(($F$16-$F$15)-1,U$100:Y183,5,FALSE)))*EXP(-(LN(2)/$D$65+0.04)*X183)*EXP(-(LN(2)/$D$65+0.1)*Y183),IF(V183=3,AB$100*EXP(-(LN(2)/$D$65+0.04)*(VLOOKUP(($F$16-$F$15)-1,U$100:Y183,4,FALSE)))*EXP(-(LN(2)/$D$65+0.1)*(VLOOKUP(($F$16-$F$15)-1,U$100:Y183,5,FALSE)))*EXP(-(LN(2)/$D$65+0.04)*(VLOOKUP(($F$16-$F$15)*2-1,U$100:Y183,4,FALSE)))*EXP(-(LN(2)/$D$65+0.1)*(VLOOKUP(($F$16-$F$15)*2-1,U$100:Y183,5,FALSE)))*EXP(-(LN(2)/$D$65+0.04)*X183)*EXP(-(LN(2)/$D$65+0.1)*Y183),"-"))),"-")</f>
        <v>-</v>
      </c>
      <c r="AC183" s="224">
        <f t="shared" si="134"/>
        <v>83</v>
      </c>
      <c r="AD183" s="223" t="str">
        <f t="shared" si="108"/>
        <v>-</v>
      </c>
      <c r="AE183" s="224" t="str">
        <f t="shared" si="135"/>
        <v>-</v>
      </c>
      <c r="AF183" s="224" t="str">
        <f t="shared" si="109"/>
        <v>-</v>
      </c>
      <c r="AG183" s="224" t="str">
        <f t="shared" si="110"/>
        <v>-</v>
      </c>
      <c r="AH183" s="272">
        <f t="shared" si="136"/>
        <v>0.1</v>
      </c>
      <c r="AI183" s="271" t="str">
        <f>IFERROR(IF(AD182=1,AI$100*EXP(-(LN(2)/$D$65+0.04)*AF182)*EXP(-(LN(2)/$D$65+0.1)*AG182),IF(AD182=2,AI$100*EXP(-(LN(2)/$D$65+0.04)*(VLOOKUP(($F$16-$F$15)-1,AC$99:AG182,4,FALSE)))*EXP(-(LN(2)/$D$65+0.1)*(VLOOKUP(($F$16-$F$15)-1,AC$99:AG182,5,FALSE)))*EXP(-(LN(2)/$D$65+0.04)*AF182)*EXP(-(LN(2)/$D$65+0.1)*AG182),IF(AD182=3,AI$100*EXP(-(LN(2)/$D$65+0.04)*(VLOOKUP(($F$16-$F$15)-1,AC$99:AG182,4,FALSE)))*EXP(-(LN(2)/$D$65+0.1)*(VLOOKUP(($F$16-$F$15)-1,AC$99:AG182,5,FALSE)))*EXP(-(LN(2)/$D$65+0.04)*(VLOOKUP(($F$16-$F$15)*2-1,AC$99:AG182,4,FALSE)))*EXP(-(LN(2)/$D$65+0.1)*(VLOOKUP(($F$16-$F$15)*2-1,AC$99:AG182,5,FALSE)))*EXP(-(LN(2)/$D$65+0.04)*AF182)*EXP(-(LN(2)/$D$65+0.1)*AG182),"-"))),"-")</f>
        <v>-</v>
      </c>
      <c r="AJ183" s="271" t="str">
        <f>IFERROR(IF(AD183=1,AJ$100*EXP(-(LN(2)/$D$65+0.04)*AF183)*EXP(-(LN(2)/$D$65+0.1)*AG183),IF(AD183=2,AJ$100*EXP(-(LN(2)/$D$65+0.04)*(VLOOKUP(($F$16-$F$15)-1,AC$100:AG183,4,FALSE)))*EXP(-(LN(2)/$D$65+0.1)*(VLOOKUP(($F$16-$F$15)-1,AC$100:AG183,5,FALSE)))*EXP(-(LN(2)/$D$65+0.04)*AF183)*EXP(-(LN(2)/$D$65+0.1)*AG183),IF(AD183=3,AJ$100*EXP(-(LN(2)/$D$65+0.04)*(VLOOKUP(($F$16-$F$15)-1,AC$100:AG183,4,FALSE)))*EXP(-(LN(2)/$D$65+0.1)*(VLOOKUP(($F$16-$F$15)-1,AC$100:AG183,5,FALSE)))*EXP(-(LN(2)/$D$65+0.04)*(VLOOKUP(($F$16-$F$15)*2-1,AC$100:AG183,4,FALSE)))*EXP(-(LN(2)/$D$65+0.1)*(VLOOKUP(($F$16-$F$15)*2-1,AC$100:AG183,5,FALSE)))*EXP(-(LN(2)/$D$65+0.04)*AF183)*EXP(-(LN(2)/$D$65+0.1)*AG183),"-"))),"-")</f>
        <v>-</v>
      </c>
      <c r="AK183" s="227">
        <f t="shared" si="137"/>
        <v>83</v>
      </c>
      <c r="AL183" s="226" t="str">
        <f t="shared" si="111"/>
        <v>-</v>
      </c>
      <c r="AM183" s="227" t="str">
        <f t="shared" si="138"/>
        <v>-</v>
      </c>
      <c r="AN183" s="227" t="str">
        <f t="shared" si="139"/>
        <v>-</v>
      </c>
      <c r="AO183" s="227" t="str">
        <f t="shared" si="112"/>
        <v>-</v>
      </c>
      <c r="AP183" s="273">
        <f t="shared" si="140"/>
        <v>0.1</v>
      </c>
      <c r="AQ183" s="271" t="str">
        <f>IFERROR(IF(AL182=1,AQ$100*EXP(-(LN(2)/$D$65+0.04)*AN182)*EXP(-(LN(2)/$D$65+0.1)*AO182),IF(AL182=2,AQ$100*EXP(-(LN(2)/$D$65+0.04)*(VLOOKUP(($F$16-$F$15)-1,AK$99:AO182,4,FALSE)))*EXP(-(LN(2)/$D$65+0.1)*(VLOOKUP(($F$16-$F$15)-1,AK$99:AO182,5,FALSE)))*EXP(-(LN(2)/$D$65+0.04)*AN182)*EXP(-(LN(2)/$D$65+0.1)*AO182),IF(AL182=3,AQ$100*EXP(-(LN(2)/$D$65+0.04)*(VLOOKUP(($F$16-$F$15)-1,AK$99:AO182,4,FALSE)))*EXP(-(LN(2)/$D$65+0.1)*(VLOOKUP(($F$16-$F$15)-1,AK$99:AO182,5,FALSE)))*EXP(-(LN(2)/$D$65+0.04)*(VLOOKUP(($F$16-$F$15)*2-1,AK$99:AO182,4,FALSE)))*EXP(-(LN(2)/$D$65+0.1)*(VLOOKUP(($F$16-$F$15)*2-1,AK$99:AO182,5,FALSE)))*EXP(-(LN(2)/$D$65+0.04)*AN182)*EXP(-(LN(2)/$D$65+0.1)*AO182),"-"))),"-")</f>
        <v>-</v>
      </c>
      <c r="AR183" s="271" t="str">
        <f>IFERROR(IF(AL183=1,AR$100*EXP(-(LN(2)/$D$65+0.04)*AN183)*EXP(-(LN(2)/$D$65+0.1)*AO183),IF(AL183=2,AR$100*EXP(-(LN(2)/$D$65+0.04)*(VLOOKUP(($F$16-$F$15)-1,AK$100:AO183,4,FALSE)))*EXP(-(LN(2)/$D$65+0.1)*(VLOOKUP(($F$16-$F$15)-1,AK$100:AO183,5,FALSE)))*EXP(-(LN(2)/$D$65+0.04)*AN183)*EXP(-(LN(2)/$D$65+0.1)*AO183),IF(AL183=3,AR$100*EXP(-(LN(2)/$D$65+0.04)*(VLOOKUP(($F$16-$F$15)-1,AK$100:AO183,4,FALSE)))*EXP(-(LN(2)/$D$65+0.1)*(VLOOKUP(($F$16-$F$15)-1,AK$100:AO183,5,FALSE)))*EXP(-(LN(2)/$D$65+0.04)*(VLOOKUP(($F$16-$F$15)*2-1,AK$100:AO183,4,FALSE)))*EXP(-(LN(2)/$D$65+0.1)*(VLOOKUP(($F$16-$F$15)*2-1,AK$100:AO183,5,FALSE)))*EXP(-(LN(2)/$D$65+0.04)*AN183)*EXP(-(LN(2)/$D$65+0.1)*AO183),"-"))),"-")</f>
        <v>-</v>
      </c>
      <c r="AS183" s="274">
        <f t="shared" si="113"/>
        <v>0</v>
      </c>
      <c r="AT183" s="274">
        <f t="shared" si="114"/>
        <v>0</v>
      </c>
      <c r="AU183" s="274">
        <f t="shared" si="115"/>
        <v>0</v>
      </c>
      <c r="AV183" s="190" t="str">
        <f>IF($B183&lt;$F$22,SUM($T$100:$T183),"")</f>
        <v/>
      </c>
      <c r="AW183" s="190" t="str">
        <f t="shared" si="116"/>
        <v>-</v>
      </c>
      <c r="AX183" s="190" t="str">
        <f t="shared" si="141"/>
        <v/>
      </c>
      <c r="AY183"/>
      <c r="AZ183" s="190" t="str">
        <f ca="1">IF(ISNUMBER(OFFSET(AV183,-$F$21,0)),SUM(OFFSET($T$100,$F$21,0):$T183),"")</f>
        <v/>
      </c>
      <c r="BA183" s="190" t="str">
        <f t="shared" ca="1" si="117"/>
        <v/>
      </c>
      <c r="BB183" s="190" t="str">
        <f t="shared" ca="1" si="70"/>
        <v/>
      </c>
      <c r="BC183" s="190"/>
      <c r="BD183" s="190" t="str">
        <f ca="1">IFERROR(IF(OR(ISNUMBER(I),ISNUMBER($F$14)),IF(AND($B183&gt;=($F$16-$F$15),$B183&lt;$F$22+($F$16-$F$15)),SUM(OFFSET($T$100,($F$16-$F$15),0):$T183),""),""),"")</f>
        <v/>
      </c>
      <c r="BE183" s="190" t="str">
        <f t="shared" ca="1" si="142"/>
        <v/>
      </c>
      <c r="BF183" s="190" t="str">
        <f t="shared" ca="1" si="143"/>
        <v/>
      </c>
      <c r="BG183"/>
      <c r="BH183" s="190" t="str">
        <f ca="1">IF(ISNUMBER(OFFSET(BD183,-$F$21,0)),SUM(OFFSET($T$100,($F$16-$F$15+$F$21),0):$T183),"")</f>
        <v/>
      </c>
      <c r="BI183" s="190" t="str">
        <f t="shared" ca="1" si="118"/>
        <v/>
      </c>
      <c r="BJ183" s="190" t="str">
        <f t="shared" ca="1" si="144"/>
        <v/>
      </c>
      <c r="BK183" s="190"/>
      <c r="BL183" s="190" t="str">
        <f ca="1">IFERROR(IF(OR(ISNUMBER(I),ISNUMBER($F$14)),IF(AND($B183&gt;=($F$17-$F$15),$B183&lt;$F$22+($F$17-$F$15)),SUM(OFFSET($T$100,($F$17-$F$15),0):$T183),""),""),"")</f>
        <v/>
      </c>
      <c r="BM183" s="190" t="str">
        <f t="shared" ca="1" si="119"/>
        <v/>
      </c>
      <c r="BN183" s="190" t="str">
        <f t="shared" ca="1" si="145"/>
        <v/>
      </c>
      <c r="BO183"/>
      <c r="BP183" s="190" t="str">
        <f ca="1">IF(ISNUMBER(OFFSET(BL183,-$F$21,0)),SUM(OFFSET($T$100,($F$17-$F$15+$F$21),0):$T183),"")</f>
        <v/>
      </c>
      <c r="BQ183" s="190" t="str">
        <f t="shared" ca="1" si="120"/>
        <v/>
      </c>
      <c r="BR183" s="190" t="str">
        <f t="shared" ca="1" si="146"/>
        <v/>
      </c>
      <c r="BS183" s="190"/>
      <c r="BT183"/>
      <c r="BU183"/>
      <c r="BV183"/>
      <c r="BY183" s="99"/>
      <c r="BZ183" s="99"/>
      <c r="CA183" s="280" t="str">
        <f t="shared" si="121"/>
        <v/>
      </c>
      <c r="CB183" s="71" t="str">
        <f t="shared" si="122"/>
        <v>-</v>
      </c>
      <c r="CC183" s="33"/>
      <c r="CD183" s="261" t="str">
        <f t="shared" si="123"/>
        <v/>
      </c>
      <c r="CE183" s="280" t="str">
        <f t="shared" si="124"/>
        <v/>
      </c>
      <c r="CF183" s="71" t="str">
        <f t="shared" ca="1" si="125"/>
        <v/>
      </c>
      <c r="CG183" s="33" t="str">
        <f t="shared" si="126"/>
        <v/>
      </c>
      <c r="CH183" s="261" t="str">
        <f t="shared" ca="1" si="127"/>
        <v/>
      </c>
      <c r="CI183" s="202"/>
      <c r="CJ183" s="99"/>
      <c r="CK183" s="99"/>
      <c r="CL183" s="99"/>
      <c r="CM183" s="99"/>
      <c r="CN183" s="99"/>
      <c r="CO183" s="99"/>
    </row>
    <row r="184" spans="2:93" ht="13.5" customHeight="1" x14ac:dyDescent="0.2">
      <c r="B184" s="262">
        <v>84</v>
      </c>
      <c r="C184" s="237" t="str">
        <f t="shared" si="91"/>
        <v/>
      </c>
      <c r="D184" s="237" t="str">
        <f t="shared" si="147"/>
        <v/>
      </c>
      <c r="E184" s="263" t="str">
        <f t="shared" si="128"/>
        <v/>
      </c>
      <c r="F184" s="264" t="str">
        <f t="shared" si="129"/>
        <v/>
      </c>
      <c r="G184" s="306" t="str">
        <f t="shared" si="130"/>
        <v/>
      </c>
      <c r="H184" s="240" t="str">
        <f t="shared" si="92"/>
        <v/>
      </c>
      <c r="I184" s="265" t="str">
        <f t="shared" si="93"/>
        <v/>
      </c>
      <c r="J184" s="265" t="str">
        <f t="shared" si="94"/>
        <v/>
      </c>
      <c r="K184" s="240" t="str">
        <f t="shared" si="95"/>
        <v/>
      </c>
      <c r="L184" s="265" t="str">
        <f t="shared" si="96"/>
        <v/>
      </c>
      <c r="M184" s="265" t="str">
        <f t="shared" si="97"/>
        <v/>
      </c>
      <c r="N184" s="240" t="str">
        <f t="shared" si="98"/>
        <v>-</v>
      </c>
      <c r="O184" s="265" t="str">
        <f t="shared" si="99"/>
        <v>-</v>
      </c>
      <c r="P184" s="265" t="str">
        <f t="shared" si="100"/>
        <v>-</v>
      </c>
      <c r="Q184" s="266" t="str">
        <f t="shared" si="101"/>
        <v>-</v>
      </c>
      <c r="R184" s="267" t="str">
        <f t="shared" si="102"/>
        <v>-</v>
      </c>
      <c r="S184" s="268" t="str">
        <f t="shared" si="103"/>
        <v>-</v>
      </c>
      <c r="T184" s="269" t="str">
        <f t="shared" si="104"/>
        <v/>
      </c>
      <c r="U184" s="221">
        <f t="shared" si="105"/>
        <v>84</v>
      </c>
      <c r="V184" s="220" t="str">
        <f t="shared" si="131"/>
        <v>-</v>
      </c>
      <c r="W184" s="221" t="str">
        <f t="shared" si="132"/>
        <v>-</v>
      </c>
      <c r="X184" s="221" t="str">
        <f t="shared" si="106"/>
        <v>-</v>
      </c>
      <c r="Y184" s="221" t="str">
        <f t="shared" si="107"/>
        <v>-</v>
      </c>
      <c r="Z184" s="270">
        <f t="shared" si="133"/>
        <v>0.1</v>
      </c>
      <c r="AA184" s="271" t="str">
        <f>IFERROR(IF(V183=1,AA$100*EXP(-(LN(2)/$D$65+0.04)*X183)*EXP(-(LN(2)/$D$65+0.1)*Y183),IF(V183=2,AA$100*EXP(-(LN(2)/$D$65+0.04)*(VLOOKUP(($F$16-$F$15)-1,U$99:Y183,4,FALSE)))*EXP(-(LN(2)/$D$65+0.1)*(VLOOKUP(($F$16-$F$15)-1,U$99:Y183,5,FALSE)))*EXP(-(LN(2)/$D$65+0.04)*X183)*EXP(-(LN(2)/$D$65+0.1)*Y183),IF(V183=3,AA$100*EXP(-(LN(2)/$D$65+0.04)*(VLOOKUP(($F$16-$F$15)-1,U$99:Y183,4,FALSE)))*EXP(-(LN(2)/$D$65+0.1)*(VLOOKUP(($F$16-$F$15)-1,U$99:Y183,5,FALSE)))*EXP(-(LN(2)/$D$65+0.04)*(VLOOKUP(($F$16-$F$15)*2-1,U$99:Y183,4,FALSE)))*EXP(-(LN(2)/$D$65+0.1)*(VLOOKUP(($F$16-$F$15)*2-1,U$99:Y183,5,FALSE)))*EXP(-(LN(2)/$D$65+0.04)*X183)*EXP(-(LN(2)/$D$65+0.1)*Y183),"-"))),"-")</f>
        <v>-</v>
      </c>
      <c r="AB184" s="271" t="str">
        <f>IFERROR(IF(V184=1,AB$100*EXP(-(LN(2)/$D$65+0.04)*X184)*EXP(-(LN(2)/$D$65+0.1)*Y184),IF(V184=2,AB$100*EXP(-(LN(2)/$D$65+0.04)*(VLOOKUP(($F$16-$F$15)-1,U$100:Y184,4,FALSE)))*EXP(-(LN(2)/$D$65+0.1)*(VLOOKUP(($F$16-$F$15)-1,U$100:Y184,5,FALSE)))*EXP(-(LN(2)/$D$65+0.04)*X184)*EXP(-(LN(2)/$D$65+0.1)*Y184),IF(V184=3,AB$100*EXP(-(LN(2)/$D$65+0.04)*(VLOOKUP(($F$16-$F$15)-1,U$100:Y184,4,FALSE)))*EXP(-(LN(2)/$D$65+0.1)*(VLOOKUP(($F$16-$F$15)-1,U$100:Y184,5,FALSE)))*EXP(-(LN(2)/$D$65+0.04)*(VLOOKUP(($F$16-$F$15)*2-1,U$100:Y184,4,FALSE)))*EXP(-(LN(2)/$D$65+0.1)*(VLOOKUP(($F$16-$F$15)*2-1,U$100:Y184,5,FALSE)))*EXP(-(LN(2)/$D$65+0.04)*X184)*EXP(-(LN(2)/$D$65+0.1)*Y184),"-"))),"-")</f>
        <v>-</v>
      </c>
      <c r="AC184" s="224">
        <f t="shared" si="134"/>
        <v>84</v>
      </c>
      <c r="AD184" s="223" t="str">
        <f t="shared" si="108"/>
        <v>-</v>
      </c>
      <c r="AE184" s="224" t="str">
        <f t="shared" si="135"/>
        <v>-</v>
      </c>
      <c r="AF184" s="224" t="str">
        <f t="shared" si="109"/>
        <v>-</v>
      </c>
      <c r="AG184" s="224" t="str">
        <f t="shared" si="110"/>
        <v>-</v>
      </c>
      <c r="AH184" s="272">
        <f t="shared" si="136"/>
        <v>0.1</v>
      </c>
      <c r="AI184" s="271" t="str">
        <f>IFERROR(IF(AD183=1,AI$100*EXP(-(LN(2)/$D$65+0.04)*AF183)*EXP(-(LN(2)/$D$65+0.1)*AG183),IF(AD183=2,AI$100*EXP(-(LN(2)/$D$65+0.04)*(VLOOKUP(($F$16-$F$15)-1,AC$99:AG183,4,FALSE)))*EXP(-(LN(2)/$D$65+0.1)*(VLOOKUP(($F$16-$F$15)-1,AC$99:AG183,5,FALSE)))*EXP(-(LN(2)/$D$65+0.04)*AF183)*EXP(-(LN(2)/$D$65+0.1)*AG183),IF(AD183=3,AI$100*EXP(-(LN(2)/$D$65+0.04)*(VLOOKUP(($F$16-$F$15)-1,AC$99:AG183,4,FALSE)))*EXP(-(LN(2)/$D$65+0.1)*(VLOOKUP(($F$16-$F$15)-1,AC$99:AG183,5,FALSE)))*EXP(-(LN(2)/$D$65+0.04)*(VLOOKUP(($F$16-$F$15)*2-1,AC$99:AG183,4,FALSE)))*EXP(-(LN(2)/$D$65+0.1)*(VLOOKUP(($F$16-$F$15)*2-1,AC$99:AG183,5,FALSE)))*EXP(-(LN(2)/$D$65+0.04)*AF183)*EXP(-(LN(2)/$D$65+0.1)*AG183),"-"))),"-")</f>
        <v>-</v>
      </c>
      <c r="AJ184" s="271" t="str">
        <f>IFERROR(IF(AD184=1,AJ$100*EXP(-(LN(2)/$D$65+0.04)*AF184)*EXP(-(LN(2)/$D$65+0.1)*AG184),IF(AD184=2,AJ$100*EXP(-(LN(2)/$D$65+0.04)*(VLOOKUP(($F$16-$F$15)-1,AC$100:AG184,4,FALSE)))*EXP(-(LN(2)/$D$65+0.1)*(VLOOKUP(($F$16-$F$15)-1,AC$100:AG184,5,FALSE)))*EXP(-(LN(2)/$D$65+0.04)*AF184)*EXP(-(LN(2)/$D$65+0.1)*AG184),IF(AD184=3,AJ$100*EXP(-(LN(2)/$D$65+0.04)*(VLOOKUP(($F$16-$F$15)-1,AC$100:AG184,4,FALSE)))*EXP(-(LN(2)/$D$65+0.1)*(VLOOKUP(($F$16-$F$15)-1,AC$100:AG184,5,FALSE)))*EXP(-(LN(2)/$D$65+0.04)*(VLOOKUP(($F$16-$F$15)*2-1,AC$100:AG184,4,FALSE)))*EXP(-(LN(2)/$D$65+0.1)*(VLOOKUP(($F$16-$F$15)*2-1,AC$100:AG184,5,FALSE)))*EXP(-(LN(2)/$D$65+0.04)*AF184)*EXP(-(LN(2)/$D$65+0.1)*AG184),"-"))),"-")</f>
        <v>-</v>
      </c>
      <c r="AK184" s="227">
        <f t="shared" si="137"/>
        <v>84</v>
      </c>
      <c r="AL184" s="226" t="str">
        <f t="shared" si="111"/>
        <v>-</v>
      </c>
      <c r="AM184" s="227" t="str">
        <f t="shared" si="138"/>
        <v>-</v>
      </c>
      <c r="AN184" s="227" t="str">
        <f t="shared" si="139"/>
        <v>-</v>
      </c>
      <c r="AO184" s="227" t="str">
        <f t="shared" si="112"/>
        <v>-</v>
      </c>
      <c r="AP184" s="273">
        <f t="shared" si="140"/>
        <v>0.1</v>
      </c>
      <c r="AQ184" s="271" t="str">
        <f>IFERROR(IF(AL183=1,AQ$100*EXP(-(LN(2)/$D$65+0.04)*AN183)*EXP(-(LN(2)/$D$65+0.1)*AO183),IF(AL183=2,AQ$100*EXP(-(LN(2)/$D$65+0.04)*(VLOOKUP(($F$16-$F$15)-1,AK$99:AO183,4,FALSE)))*EXP(-(LN(2)/$D$65+0.1)*(VLOOKUP(($F$16-$F$15)-1,AK$99:AO183,5,FALSE)))*EXP(-(LN(2)/$D$65+0.04)*AN183)*EXP(-(LN(2)/$D$65+0.1)*AO183),IF(AL183=3,AQ$100*EXP(-(LN(2)/$D$65+0.04)*(VLOOKUP(($F$16-$F$15)-1,AK$99:AO183,4,FALSE)))*EXP(-(LN(2)/$D$65+0.1)*(VLOOKUP(($F$16-$F$15)-1,AK$99:AO183,5,FALSE)))*EXP(-(LN(2)/$D$65+0.04)*(VLOOKUP(($F$16-$F$15)*2-1,AK$99:AO183,4,FALSE)))*EXP(-(LN(2)/$D$65+0.1)*(VLOOKUP(($F$16-$F$15)*2-1,AK$99:AO183,5,FALSE)))*EXP(-(LN(2)/$D$65+0.04)*AN183)*EXP(-(LN(2)/$D$65+0.1)*AO183),"-"))),"-")</f>
        <v>-</v>
      </c>
      <c r="AR184" s="271" t="str">
        <f>IFERROR(IF(AL184=1,AR$100*EXP(-(LN(2)/$D$65+0.04)*AN184)*EXP(-(LN(2)/$D$65+0.1)*AO184),IF(AL184=2,AR$100*EXP(-(LN(2)/$D$65+0.04)*(VLOOKUP(($F$16-$F$15)-1,AK$100:AO184,4,FALSE)))*EXP(-(LN(2)/$D$65+0.1)*(VLOOKUP(($F$16-$F$15)-1,AK$100:AO184,5,FALSE)))*EXP(-(LN(2)/$D$65+0.04)*AN184)*EXP(-(LN(2)/$D$65+0.1)*AO184),IF(AL184=3,AR$100*EXP(-(LN(2)/$D$65+0.04)*(VLOOKUP(($F$16-$F$15)-1,AK$100:AO184,4,FALSE)))*EXP(-(LN(2)/$D$65+0.1)*(VLOOKUP(($F$16-$F$15)-1,AK$100:AO184,5,FALSE)))*EXP(-(LN(2)/$D$65+0.04)*(VLOOKUP(($F$16-$F$15)*2-1,AK$100:AO184,4,FALSE)))*EXP(-(LN(2)/$D$65+0.1)*(VLOOKUP(($F$16-$F$15)*2-1,AK$100:AO184,5,FALSE)))*EXP(-(LN(2)/$D$65+0.04)*AN184)*EXP(-(LN(2)/$D$65+0.1)*AO184),"-"))),"-")</f>
        <v>-</v>
      </c>
      <c r="AS184" s="274">
        <f t="shared" si="113"/>
        <v>0</v>
      </c>
      <c r="AT184" s="274">
        <f t="shared" si="114"/>
        <v>0</v>
      </c>
      <c r="AU184" s="274">
        <f t="shared" si="115"/>
        <v>0</v>
      </c>
      <c r="AV184" s="190" t="str">
        <f>IF($B184&lt;$F$22,SUM($T$100:$T184),"")</f>
        <v/>
      </c>
      <c r="AW184" s="190" t="str">
        <f t="shared" si="116"/>
        <v>-</v>
      </c>
      <c r="AX184" s="190" t="str">
        <f t="shared" si="141"/>
        <v/>
      </c>
      <c r="AY184"/>
      <c r="AZ184" s="190" t="str">
        <f ca="1">IF(ISNUMBER(OFFSET(AV184,-$F$21,0)),SUM(OFFSET($T$100,$F$21,0):$T184),"")</f>
        <v/>
      </c>
      <c r="BA184" s="190" t="str">
        <f t="shared" ca="1" si="117"/>
        <v/>
      </c>
      <c r="BB184" s="190" t="str">
        <f t="shared" ca="1" si="70"/>
        <v/>
      </c>
      <c r="BC184" s="190"/>
      <c r="BD184" s="190" t="str">
        <f ca="1">IFERROR(IF(OR(ISNUMBER(I),ISNUMBER($F$14)),IF(AND($B184&gt;=($F$16-$F$15),$B184&lt;$F$22+($F$16-$F$15)),SUM(OFFSET($T$100,($F$16-$F$15),0):$T184),""),""),"")</f>
        <v/>
      </c>
      <c r="BE184" s="190" t="str">
        <f t="shared" ca="1" si="142"/>
        <v/>
      </c>
      <c r="BF184" s="190" t="str">
        <f t="shared" ca="1" si="143"/>
        <v/>
      </c>
      <c r="BG184"/>
      <c r="BH184" s="190" t="str">
        <f ca="1">IF(ISNUMBER(OFFSET(BD184,-$F$21,0)),SUM(OFFSET($T$100,($F$16-$F$15+$F$21),0):$T184),"")</f>
        <v/>
      </c>
      <c r="BI184" s="190" t="str">
        <f t="shared" ca="1" si="118"/>
        <v/>
      </c>
      <c r="BJ184" s="190" t="str">
        <f t="shared" ca="1" si="144"/>
        <v/>
      </c>
      <c r="BK184" s="190"/>
      <c r="BL184" s="190" t="str">
        <f ca="1">IFERROR(IF(OR(ISNUMBER(I),ISNUMBER($F$14)),IF(AND($B184&gt;=($F$17-$F$15),$B184&lt;$F$22+($F$17-$F$15)),SUM(OFFSET($T$100,($F$17-$F$15),0):$T184),""),""),"")</f>
        <v/>
      </c>
      <c r="BM184" s="190" t="str">
        <f t="shared" ca="1" si="119"/>
        <v/>
      </c>
      <c r="BN184" s="190" t="str">
        <f t="shared" ca="1" si="145"/>
        <v/>
      </c>
      <c r="BO184"/>
      <c r="BP184" s="190" t="str">
        <f ca="1">IF(ISNUMBER(OFFSET(BL184,-$F$21,0)),SUM(OFFSET($T$100,($F$17-$F$15+$F$21),0):$T184),"")</f>
        <v/>
      </c>
      <c r="BQ184" s="190" t="str">
        <f t="shared" ca="1" si="120"/>
        <v/>
      </c>
      <c r="BR184" s="190" t="str">
        <f t="shared" ca="1" si="146"/>
        <v/>
      </c>
      <c r="BS184" s="190"/>
      <c r="BT184"/>
      <c r="BU184"/>
      <c r="BV184"/>
      <c r="BY184" s="99"/>
      <c r="BZ184" s="99"/>
      <c r="CA184" s="280" t="str">
        <f t="shared" si="121"/>
        <v/>
      </c>
      <c r="CB184" s="71" t="str">
        <f t="shared" si="122"/>
        <v>-</v>
      </c>
      <c r="CC184" s="33"/>
      <c r="CD184" s="261" t="str">
        <f t="shared" si="123"/>
        <v/>
      </c>
      <c r="CE184" s="280" t="str">
        <f t="shared" si="124"/>
        <v/>
      </c>
      <c r="CF184" s="71" t="str">
        <f t="shared" ca="1" si="125"/>
        <v/>
      </c>
      <c r="CG184" s="33" t="str">
        <f t="shared" si="126"/>
        <v/>
      </c>
      <c r="CH184" s="261" t="str">
        <f t="shared" ca="1" si="127"/>
        <v/>
      </c>
      <c r="CI184" s="202"/>
      <c r="CJ184" s="99"/>
      <c r="CK184" s="99"/>
      <c r="CL184" s="99"/>
      <c r="CM184" s="99"/>
      <c r="CN184" s="99"/>
      <c r="CO184" s="99"/>
    </row>
    <row r="185" spans="2:93" ht="13.5" customHeight="1" x14ac:dyDescent="0.2">
      <c r="B185" s="262">
        <v>85</v>
      </c>
      <c r="C185" s="237" t="str">
        <f t="shared" si="91"/>
        <v/>
      </c>
      <c r="D185" s="237" t="str">
        <f t="shared" si="147"/>
        <v/>
      </c>
      <c r="E185" s="263" t="str">
        <f t="shared" si="128"/>
        <v/>
      </c>
      <c r="F185" s="264" t="str">
        <f t="shared" si="129"/>
        <v/>
      </c>
      <c r="G185" s="306" t="str">
        <f t="shared" si="130"/>
        <v/>
      </c>
      <c r="H185" s="240" t="str">
        <f t="shared" si="92"/>
        <v/>
      </c>
      <c r="I185" s="265" t="str">
        <f t="shared" si="93"/>
        <v/>
      </c>
      <c r="J185" s="265" t="str">
        <f t="shared" si="94"/>
        <v/>
      </c>
      <c r="K185" s="240" t="str">
        <f t="shared" si="95"/>
        <v/>
      </c>
      <c r="L185" s="265" t="str">
        <f t="shared" si="96"/>
        <v/>
      </c>
      <c r="M185" s="265" t="str">
        <f t="shared" si="97"/>
        <v/>
      </c>
      <c r="N185" s="240" t="str">
        <f t="shared" si="98"/>
        <v>-</v>
      </c>
      <c r="O185" s="265" t="str">
        <f t="shared" si="99"/>
        <v>-</v>
      </c>
      <c r="P185" s="265" t="str">
        <f t="shared" si="100"/>
        <v>-</v>
      </c>
      <c r="Q185" s="266" t="str">
        <f t="shared" si="101"/>
        <v>-</v>
      </c>
      <c r="R185" s="267" t="str">
        <f t="shared" si="102"/>
        <v>-</v>
      </c>
      <c r="S185" s="268" t="str">
        <f t="shared" si="103"/>
        <v>-</v>
      </c>
      <c r="T185" s="269" t="str">
        <f t="shared" si="104"/>
        <v/>
      </c>
      <c r="U185" s="221">
        <f t="shared" si="105"/>
        <v>85</v>
      </c>
      <c r="V185" s="220" t="str">
        <f t="shared" si="131"/>
        <v>-</v>
      </c>
      <c r="W185" s="221" t="str">
        <f t="shared" si="132"/>
        <v>-</v>
      </c>
      <c r="X185" s="221" t="str">
        <f t="shared" si="106"/>
        <v>-</v>
      </c>
      <c r="Y185" s="221" t="str">
        <f t="shared" si="107"/>
        <v>-</v>
      </c>
      <c r="Z185" s="270">
        <f t="shared" si="133"/>
        <v>0.1</v>
      </c>
      <c r="AA185" s="271" t="str">
        <f>IFERROR(IF(V184=1,AA$100*EXP(-(LN(2)/$D$65+0.04)*X184)*EXP(-(LN(2)/$D$65+0.1)*Y184),IF(V184=2,AA$100*EXP(-(LN(2)/$D$65+0.04)*(VLOOKUP(($F$16-$F$15)-1,U$99:Y184,4,FALSE)))*EXP(-(LN(2)/$D$65+0.1)*(VLOOKUP(($F$16-$F$15)-1,U$99:Y184,5,FALSE)))*EXP(-(LN(2)/$D$65+0.04)*X184)*EXP(-(LN(2)/$D$65+0.1)*Y184),IF(V184=3,AA$100*EXP(-(LN(2)/$D$65+0.04)*(VLOOKUP(($F$16-$F$15)-1,U$99:Y184,4,FALSE)))*EXP(-(LN(2)/$D$65+0.1)*(VLOOKUP(($F$16-$F$15)-1,U$99:Y184,5,FALSE)))*EXP(-(LN(2)/$D$65+0.04)*(VLOOKUP(($F$16-$F$15)*2-1,U$99:Y184,4,FALSE)))*EXP(-(LN(2)/$D$65+0.1)*(VLOOKUP(($F$16-$F$15)*2-1,U$99:Y184,5,FALSE)))*EXP(-(LN(2)/$D$65+0.04)*X184)*EXP(-(LN(2)/$D$65+0.1)*Y184),"-"))),"-")</f>
        <v>-</v>
      </c>
      <c r="AB185" s="271" t="str">
        <f>IFERROR(IF(V185=1,AB$100*EXP(-(LN(2)/$D$65+0.04)*X185)*EXP(-(LN(2)/$D$65+0.1)*Y185),IF(V185=2,AB$100*EXP(-(LN(2)/$D$65+0.04)*(VLOOKUP(($F$16-$F$15)-1,U$100:Y185,4,FALSE)))*EXP(-(LN(2)/$D$65+0.1)*(VLOOKUP(($F$16-$F$15)-1,U$100:Y185,5,FALSE)))*EXP(-(LN(2)/$D$65+0.04)*X185)*EXP(-(LN(2)/$D$65+0.1)*Y185),IF(V185=3,AB$100*EXP(-(LN(2)/$D$65+0.04)*(VLOOKUP(($F$16-$F$15)-1,U$100:Y185,4,FALSE)))*EXP(-(LN(2)/$D$65+0.1)*(VLOOKUP(($F$16-$F$15)-1,U$100:Y185,5,FALSE)))*EXP(-(LN(2)/$D$65+0.04)*(VLOOKUP(($F$16-$F$15)*2-1,U$100:Y185,4,FALSE)))*EXP(-(LN(2)/$D$65+0.1)*(VLOOKUP(($F$16-$F$15)*2-1,U$100:Y185,5,FALSE)))*EXP(-(LN(2)/$D$65+0.04)*X185)*EXP(-(LN(2)/$D$65+0.1)*Y185),"-"))),"-")</f>
        <v>-</v>
      </c>
      <c r="AC185" s="224">
        <f t="shared" si="134"/>
        <v>85</v>
      </c>
      <c r="AD185" s="223" t="str">
        <f t="shared" si="108"/>
        <v>-</v>
      </c>
      <c r="AE185" s="224" t="str">
        <f t="shared" si="135"/>
        <v>-</v>
      </c>
      <c r="AF185" s="224" t="str">
        <f t="shared" si="109"/>
        <v>-</v>
      </c>
      <c r="AG185" s="224" t="str">
        <f t="shared" si="110"/>
        <v>-</v>
      </c>
      <c r="AH185" s="272">
        <f t="shared" si="136"/>
        <v>0.1</v>
      </c>
      <c r="AI185" s="271" t="str">
        <f>IFERROR(IF(AD184=1,AI$100*EXP(-(LN(2)/$D$65+0.04)*AF184)*EXP(-(LN(2)/$D$65+0.1)*AG184),IF(AD184=2,AI$100*EXP(-(LN(2)/$D$65+0.04)*(VLOOKUP(($F$16-$F$15)-1,AC$99:AG184,4,FALSE)))*EXP(-(LN(2)/$D$65+0.1)*(VLOOKUP(($F$16-$F$15)-1,AC$99:AG184,5,FALSE)))*EXP(-(LN(2)/$D$65+0.04)*AF184)*EXP(-(LN(2)/$D$65+0.1)*AG184),IF(AD184=3,AI$100*EXP(-(LN(2)/$D$65+0.04)*(VLOOKUP(($F$16-$F$15)-1,AC$99:AG184,4,FALSE)))*EXP(-(LN(2)/$D$65+0.1)*(VLOOKUP(($F$16-$F$15)-1,AC$99:AG184,5,FALSE)))*EXP(-(LN(2)/$D$65+0.04)*(VLOOKUP(($F$16-$F$15)*2-1,AC$99:AG184,4,FALSE)))*EXP(-(LN(2)/$D$65+0.1)*(VLOOKUP(($F$16-$F$15)*2-1,AC$99:AG184,5,FALSE)))*EXP(-(LN(2)/$D$65+0.04)*AF184)*EXP(-(LN(2)/$D$65+0.1)*AG184),"-"))),"-")</f>
        <v>-</v>
      </c>
      <c r="AJ185" s="271" t="str">
        <f>IFERROR(IF(AD185=1,AJ$100*EXP(-(LN(2)/$D$65+0.04)*AF185)*EXP(-(LN(2)/$D$65+0.1)*AG185),IF(AD185=2,AJ$100*EXP(-(LN(2)/$D$65+0.04)*(VLOOKUP(($F$16-$F$15)-1,AC$100:AG185,4,FALSE)))*EXP(-(LN(2)/$D$65+0.1)*(VLOOKUP(($F$16-$F$15)-1,AC$100:AG185,5,FALSE)))*EXP(-(LN(2)/$D$65+0.04)*AF185)*EXP(-(LN(2)/$D$65+0.1)*AG185),IF(AD185=3,AJ$100*EXP(-(LN(2)/$D$65+0.04)*(VLOOKUP(($F$16-$F$15)-1,AC$100:AG185,4,FALSE)))*EXP(-(LN(2)/$D$65+0.1)*(VLOOKUP(($F$16-$F$15)-1,AC$100:AG185,5,FALSE)))*EXP(-(LN(2)/$D$65+0.04)*(VLOOKUP(($F$16-$F$15)*2-1,AC$100:AG185,4,FALSE)))*EXP(-(LN(2)/$D$65+0.1)*(VLOOKUP(($F$16-$F$15)*2-1,AC$100:AG185,5,FALSE)))*EXP(-(LN(2)/$D$65+0.04)*AF185)*EXP(-(LN(2)/$D$65+0.1)*AG185),"-"))),"-")</f>
        <v>-</v>
      </c>
      <c r="AK185" s="227">
        <f t="shared" si="137"/>
        <v>85</v>
      </c>
      <c r="AL185" s="226" t="str">
        <f t="shared" si="111"/>
        <v>-</v>
      </c>
      <c r="AM185" s="227" t="str">
        <f t="shared" si="138"/>
        <v>-</v>
      </c>
      <c r="AN185" s="227" t="str">
        <f t="shared" si="139"/>
        <v>-</v>
      </c>
      <c r="AO185" s="227" t="str">
        <f t="shared" si="112"/>
        <v>-</v>
      </c>
      <c r="AP185" s="273">
        <f t="shared" si="140"/>
        <v>0.1</v>
      </c>
      <c r="AQ185" s="271" t="str">
        <f>IFERROR(IF(AL184=1,AQ$100*EXP(-(LN(2)/$D$65+0.04)*AN184)*EXP(-(LN(2)/$D$65+0.1)*AO184),IF(AL184=2,AQ$100*EXP(-(LN(2)/$D$65+0.04)*(VLOOKUP(($F$16-$F$15)-1,AK$99:AO184,4,FALSE)))*EXP(-(LN(2)/$D$65+0.1)*(VLOOKUP(($F$16-$F$15)-1,AK$99:AO184,5,FALSE)))*EXP(-(LN(2)/$D$65+0.04)*AN184)*EXP(-(LN(2)/$D$65+0.1)*AO184),IF(AL184=3,AQ$100*EXP(-(LN(2)/$D$65+0.04)*(VLOOKUP(($F$16-$F$15)-1,AK$99:AO184,4,FALSE)))*EXP(-(LN(2)/$D$65+0.1)*(VLOOKUP(($F$16-$F$15)-1,AK$99:AO184,5,FALSE)))*EXP(-(LN(2)/$D$65+0.04)*(VLOOKUP(($F$16-$F$15)*2-1,AK$99:AO184,4,FALSE)))*EXP(-(LN(2)/$D$65+0.1)*(VLOOKUP(($F$16-$F$15)*2-1,AK$99:AO184,5,FALSE)))*EXP(-(LN(2)/$D$65+0.04)*AN184)*EXP(-(LN(2)/$D$65+0.1)*AO184),"-"))),"-")</f>
        <v>-</v>
      </c>
      <c r="AR185" s="271" t="str">
        <f>IFERROR(IF(AL185=1,AR$100*EXP(-(LN(2)/$D$65+0.04)*AN185)*EXP(-(LN(2)/$D$65+0.1)*AO185),IF(AL185=2,AR$100*EXP(-(LN(2)/$D$65+0.04)*(VLOOKUP(($F$16-$F$15)-1,AK$100:AO185,4,FALSE)))*EXP(-(LN(2)/$D$65+0.1)*(VLOOKUP(($F$16-$F$15)-1,AK$100:AO185,5,FALSE)))*EXP(-(LN(2)/$D$65+0.04)*AN185)*EXP(-(LN(2)/$D$65+0.1)*AO185),IF(AL185=3,AR$100*EXP(-(LN(2)/$D$65+0.04)*(VLOOKUP(($F$16-$F$15)-1,AK$100:AO185,4,FALSE)))*EXP(-(LN(2)/$D$65+0.1)*(VLOOKUP(($F$16-$F$15)-1,AK$100:AO185,5,FALSE)))*EXP(-(LN(2)/$D$65+0.04)*(VLOOKUP(($F$16-$F$15)*2-1,AK$100:AO185,4,FALSE)))*EXP(-(LN(2)/$D$65+0.1)*(VLOOKUP(($F$16-$F$15)*2-1,AK$100:AO185,5,FALSE)))*EXP(-(LN(2)/$D$65+0.04)*AN185)*EXP(-(LN(2)/$D$65+0.1)*AO185),"-"))),"-")</f>
        <v>-</v>
      </c>
      <c r="AS185" s="274">
        <f t="shared" si="113"/>
        <v>0</v>
      </c>
      <c r="AT185" s="274">
        <f t="shared" si="114"/>
        <v>0</v>
      </c>
      <c r="AU185" s="274">
        <f t="shared" si="115"/>
        <v>0</v>
      </c>
      <c r="AV185" s="190" t="str">
        <f>IF($B185&lt;$F$22,SUM($T$100:$T185),"")</f>
        <v/>
      </c>
      <c r="AW185" s="190" t="str">
        <f t="shared" si="116"/>
        <v>-</v>
      </c>
      <c r="AX185" s="190" t="str">
        <f t="shared" si="141"/>
        <v/>
      </c>
      <c r="AY185"/>
      <c r="AZ185" s="190" t="str">
        <f ca="1">IF(ISNUMBER(OFFSET(AV185,-$F$21,0)),SUM(OFFSET($T$100,$F$21,0):$T185),"")</f>
        <v/>
      </c>
      <c r="BA185" s="190" t="str">
        <f t="shared" ca="1" si="117"/>
        <v/>
      </c>
      <c r="BB185" s="190" t="str">
        <f t="shared" ref="BB185:BB248" ca="1" si="148">IF(ISNUMBER(AZ185),(AZ185-BA185)/(3*86400*(OFFSET($B185,-$F$21,0)+1))*1000,"")</f>
        <v/>
      </c>
      <c r="BC185" s="190"/>
      <c r="BD185" s="190" t="str">
        <f ca="1">IFERROR(IF(OR(ISNUMBER(I),ISNUMBER($F$14)),IF(AND($B185&gt;=($F$16-$F$15),$B185&lt;$F$22+($F$16-$F$15)),SUM(OFFSET($T$100,($F$16-$F$15),0):$T185),""),""),"")</f>
        <v/>
      </c>
      <c r="BE185" s="190" t="str">
        <f t="shared" ca="1" si="142"/>
        <v/>
      </c>
      <c r="BF185" s="190" t="str">
        <f t="shared" ca="1" si="143"/>
        <v/>
      </c>
      <c r="BG185"/>
      <c r="BH185" s="190" t="str">
        <f ca="1">IF(ISNUMBER(OFFSET(BD185,-$F$21,0)),SUM(OFFSET($T$100,($F$16-$F$15+$F$21),0):$T185),"")</f>
        <v/>
      </c>
      <c r="BI185" s="190" t="str">
        <f t="shared" ca="1" si="118"/>
        <v/>
      </c>
      <c r="BJ185" s="190" t="str">
        <f t="shared" ca="1" si="144"/>
        <v/>
      </c>
      <c r="BK185" s="190"/>
      <c r="BL185" s="190" t="str">
        <f ca="1">IFERROR(IF(OR(ISNUMBER(I),ISNUMBER($F$14)),IF(AND($B185&gt;=($F$17-$F$15),$B185&lt;$F$22+($F$17-$F$15)),SUM(OFFSET($T$100,($F$17-$F$15),0):$T185),""),""),"")</f>
        <v/>
      </c>
      <c r="BM185" s="190" t="str">
        <f t="shared" ca="1" si="119"/>
        <v/>
      </c>
      <c r="BN185" s="190" t="str">
        <f t="shared" ca="1" si="145"/>
        <v/>
      </c>
      <c r="BO185"/>
      <c r="BP185" s="190" t="str">
        <f ca="1">IF(ISNUMBER(OFFSET(BL185,-$F$21,0)),SUM(OFFSET($T$100,($F$17-$F$15+$F$21),0):$T185),"")</f>
        <v/>
      </c>
      <c r="BQ185" s="190" t="str">
        <f t="shared" ca="1" si="120"/>
        <v/>
      </c>
      <c r="BR185" s="190" t="str">
        <f t="shared" ca="1" si="146"/>
        <v/>
      </c>
      <c r="BS185" s="190"/>
      <c r="BT185"/>
      <c r="BU185"/>
      <c r="BV185"/>
      <c r="BY185" s="99"/>
      <c r="BZ185" s="99"/>
      <c r="CA185" s="280" t="str">
        <f t="shared" si="121"/>
        <v/>
      </c>
      <c r="CB185" s="71" t="str">
        <f t="shared" si="122"/>
        <v>-</v>
      </c>
      <c r="CC185" s="33"/>
      <c r="CD185" s="261" t="str">
        <f t="shared" si="123"/>
        <v/>
      </c>
      <c r="CE185" s="280" t="str">
        <f t="shared" si="124"/>
        <v/>
      </c>
      <c r="CF185" s="71" t="str">
        <f t="shared" ca="1" si="125"/>
        <v/>
      </c>
      <c r="CG185" s="33" t="str">
        <f t="shared" si="126"/>
        <v/>
      </c>
      <c r="CH185" s="261" t="str">
        <f t="shared" ca="1" si="127"/>
        <v/>
      </c>
      <c r="CI185" s="202"/>
      <c r="CJ185" s="99"/>
      <c r="CK185" s="99"/>
      <c r="CL185" s="99"/>
      <c r="CM185" s="99"/>
      <c r="CN185" s="99"/>
      <c r="CO185" s="99"/>
    </row>
    <row r="186" spans="2:93" ht="13.5" customHeight="1" x14ac:dyDescent="0.2">
      <c r="B186" s="262">
        <v>86</v>
      </c>
      <c r="C186" s="237" t="str">
        <f t="shared" si="91"/>
        <v/>
      </c>
      <c r="D186" s="237" t="str">
        <f t="shared" si="147"/>
        <v/>
      </c>
      <c r="E186" s="263" t="str">
        <f t="shared" si="128"/>
        <v/>
      </c>
      <c r="F186" s="264" t="str">
        <f t="shared" si="129"/>
        <v/>
      </c>
      <c r="G186" s="264" t="str">
        <f t="shared" si="130"/>
        <v/>
      </c>
      <c r="H186" s="240" t="str">
        <f t="shared" si="92"/>
        <v/>
      </c>
      <c r="I186" s="265" t="str">
        <f t="shared" si="93"/>
        <v/>
      </c>
      <c r="J186" s="265" t="str">
        <f t="shared" si="94"/>
        <v/>
      </c>
      <c r="K186" s="240" t="str">
        <f t="shared" si="95"/>
        <v/>
      </c>
      <c r="L186" s="265" t="str">
        <f t="shared" si="96"/>
        <v/>
      </c>
      <c r="M186" s="265" t="str">
        <f t="shared" si="97"/>
        <v/>
      </c>
      <c r="N186" s="240" t="str">
        <f t="shared" si="98"/>
        <v>-</v>
      </c>
      <c r="O186" s="265" t="str">
        <f t="shared" si="99"/>
        <v>-</v>
      </c>
      <c r="P186" s="265" t="str">
        <f t="shared" si="100"/>
        <v>-</v>
      </c>
      <c r="Q186" s="266" t="str">
        <f t="shared" si="101"/>
        <v>-</v>
      </c>
      <c r="R186" s="267" t="str">
        <f t="shared" si="102"/>
        <v>-</v>
      </c>
      <c r="S186" s="268" t="str">
        <f t="shared" si="103"/>
        <v>-</v>
      </c>
      <c r="T186" s="269" t="str">
        <f t="shared" si="104"/>
        <v/>
      </c>
      <c r="U186" s="221">
        <f t="shared" si="105"/>
        <v>86</v>
      </c>
      <c r="V186" s="220" t="str">
        <f t="shared" si="131"/>
        <v>-</v>
      </c>
      <c r="W186" s="221" t="str">
        <f t="shared" si="132"/>
        <v>-</v>
      </c>
      <c r="X186" s="221" t="str">
        <f t="shared" si="106"/>
        <v>-</v>
      </c>
      <c r="Y186" s="221" t="str">
        <f t="shared" si="107"/>
        <v>-</v>
      </c>
      <c r="Z186" s="270">
        <f t="shared" si="133"/>
        <v>0.1</v>
      </c>
      <c r="AA186" s="271" t="str">
        <f>IFERROR(IF(V185=1,AA$100*EXP(-(LN(2)/$D$65+0.04)*X185)*EXP(-(LN(2)/$D$65+0.1)*Y185),IF(V185=2,AA$100*EXP(-(LN(2)/$D$65+0.04)*(VLOOKUP(($F$16-$F$15)-1,U$99:Y185,4,FALSE)))*EXP(-(LN(2)/$D$65+0.1)*(VLOOKUP(($F$16-$F$15)-1,U$99:Y185,5,FALSE)))*EXP(-(LN(2)/$D$65+0.04)*X185)*EXP(-(LN(2)/$D$65+0.1)*Y185),IF(V185=3,AA$100*EXP(-(LN(2)/$D$65+0.04)*(VLOOKUP(($F$16-$F$15)-1,U$99:Y185,4,FALSE)))*EXP(-(LN(2)/$D$65+0.1)*(VLOOKUP(($F$16-$F$15)-1,U$99:Y185,5,FALSE)))*EXP(-(LN(2)/$D$65+0.04)*(VLOOKUP(($F$16-$F$15)*2-1,U$99:Y185,4,FALSE)))*EXP(-(LN(2)/$D$65+0.1)*(VLOOKUP(($F$16-$F$15)*2-1,U$99:Y185,5,FALSE)))*EXP(-(LN(2)/$D$65+0.04)*X185)*EXP(-(LN(2)/$D$65+0.1)*Y185),"-"))),"-")</f>
        <v>-</v>
      </c>
      <c r="AB186" s="271" t="str">
        <f>IFERROR(IF(V186=1,AB$100*EXP(-(LN(2)/$D$65+0.04)*X186)*EXP(-(LN(2)/$D$65+0.1)*Y186),IF(V186=2,AB$100*EXP(-(LN(2)/$D$65+0.04)*(VLOOKUP(($F$16-$F$15)-1,U$100:Y186,4,FALSE)))*EXP(-(LN(2)/$D$65+0.1)*(VLOOKUP(($F$16-$F$15)-1,U$100:Y186,5,FALSE)))*EXP(-(LN(2)/$D$65+0.04)*X186)*EXP(-(LN(2)/$D$65+0.1)*Y186),IF(V186=3,AB$100*EXP(-(LN(2)/$D$65+0.04)*(VLOOKUP(($F$16-$F$15)-1,U$100:Y186,4,FALSE)))*EXP(-(LN(2)/$D$65+0.1)*(VLOOKUP(($F$16-$F$15)-1,U$100:Y186,5,FALSE)))*EXP(-(LN(2)/$D$65+0.04)*(VLOOKUP(($F$16-$F$15)*2-1,U$100:Y186,4,FALSE)))*EXP(-(LN(2)/$D$65+0.1)*(VLOOKUP(($F$16-$F$15)*2-1,U$100:Y186,5,FALSE)))*EXP(-(LN(2)/$D$65+0.04)*X186)*EXP(-(LN(2)/$D$65+0.1)*Y186),"-"))),"-")</f>
        <v>-</v>
      </c>
      <c r="AC186" s="224">
        <f t="shared" si="134"/>
        <v>86</v>
      </c>
      <c r="AD186" s="223" t="str">
        <f t="shared" si="108"/>
        <v>-</v>
      </c>
      <c r="AE186" s="224" t="str">
        <f t="shared" si="135"/>
        <v>-</v>
      </c>
      <c r="AF186" s="224" t="str">
        <f t="shared" si="109"/>
        <v>-</v>
      </c>
      <c r="AG186" s="224" t="str">
        <f t="shared" si="110"/>
        <v>-</v>
      </c>
      <c r="AH186" s="272">
        <f t="shared" si="136"/>
        <v>0.1</v>
      </c>
      <c r="AI186" s="271" t="str">
        <f>IFERROR(IF(AD185=1,AI$100*EXP(-(LN(2)/$D$65+0.04)*AF185)*EXP(-(LN(2)/$D$65+0.1)*AG185),IF(AD185=2,AI$100*EXP(-(LN(2)/$D$65+0.04)*(VLOOKUP(($F$16-$F$15)-1,AC$99:AG185,4,FALSE)))*EXP(-(LN(2)/$D$65+0.1)*(VLOOKUP(($F$16-$F$15)-1,AC$99:AG185,5,FALSE)))*EXP(-(LN(2)/$D$65+0.04)*AF185)*EXP(-(LN(2)/$D$65+0.1)*AG185),IF(AD185=3,AI$100*EXP(-(LN(2)/$D$65+0.04)*(VLOOKUP(($F$16-$F$15)-1,AC$99:AG185,4,FALSE)))*EXP(-(LN(2)/$D$65+0.1)*(VLOOKUP(($F$16-$F$15)-1,AC$99:AG185,5,FALSE)))*EXP(-(LN(2)/$D$65+0.04)*(VLOOKUP(($F$16-$F$15)*2-1,AC$99:AG185,4,FALSE)))*EXP(-(LN(2)/$D$65+0.1)*(VLOOKUP(($F$16-$F$15)*2-1,AC$99:AG185,5,FALSE)))*EXP(-(LN(2)/$D$65+0.04)*AF185)*EXP(-(LN(2)/$D$65+0.1)*AG185),"-"))),"-")</f>
        <v>-</v>
      </c>
      <c r="AJ186" s="271" t="str">
        <f>IFERROR(IF(AD186=1,AJ$100*EXP(-(LN(2)/$D$65+0.04)*AF186)*EXP(-(LN(2)/$D$65+0.1)*AG186),IF(AD186=2,AJ$100*EXP(-(LN(2)/$D$65+0.04)*(VLOOKUP(($F$16-$F$15)-1,AC$100:AG186,4,FALSE)))*EXP(-(LN(2)/$D$65+0.1)*(VLOOKUP(($F$16-$F$15)-1,AC$100:AG186,5,FALSE)))*EXP(-(LN(2)/$D$65+0.04)*AF186)*EXP(-(LN(2)/$D$65+0.1)*AG186),IF(AD186=3,AJ$100*EXP(-(LN(2)/$D$65+0.04)*(VLOOKUP(($F$16-$F$15)-1,AC$100:AG186,4,FALSE)))*EXP(-(LN(2)/$D$65+0.1)*(VLOOKUP(($F$16-$F$15)-1,AC$100:AG186,5,FALSE)))*EXP(-(LN(2)/$D$65+0.04)*(VLOOKUP(($F$16-$F$15)*2-1,AC$100:AG186,4,FALSE)))*EXP(-(LN(2)/$D$65+0.1)*(VLOOKUP(($F$16-$F$15)*2-1,AC$100:AG186,5,FALSE)))*EXP(-(LN(2)/$D$65+0.04)*AF186)*EXP(-(LN(2)/$D$65+0.1)*AG186),"-"))),"-")</f>
        <v>-</v>
      </c>
      <c r="AK186" s="227">
        <f t="shared" si="137"/>
        <v>86</v>
      </c>
      <c r="AL186" s="226" t="str">
        <f t="shared" si="111"/>
        <v>-</v>
      </c>
      <c r="AM186" s="227" t="str">
        <f t="shared" si="138"/>
        <v>-</v>
      </c>
      <c r="AN186" s="227" t="str">
        <f t="shared" si="139"/>
        <v>-</v>
      </c>
      <c r="AO186" s="227" t="str">
        <f t="shared" si="112"/>
        <v>-</v>
      </c>
      <c r="AP186" s="273">
        <f t="shared" si="140"/>
        <v>0.1</v>
      </c>
      <c r="AQ186" s="271" t="str">
        <f>IFERROR(IF(AL185=1,AQ$100*EXP(-(LN(2)/$D$65+0.04)*AN185)*EXP(-(LN(2)/$D$65+0.1)*AO185),IF(AL185=2,AQ$100*EXP(-(LN(2)/$D$65+0.04)*(VLOOKUP(($F$16-$F$15)-1,AK$99:AO185,4,FALSE)))*EXP(-(LN(2)/$D$65+0.1)*(VLOOKUP(($F$16-$F$15)-1,AK$99:AO185,5,FALSE)))*EXP(-(LN(2)/$D$65+0.04)*AN185)*EXP(-(LN(2)/$D$65+0.1)*AO185),IF(AL185=3,AQ$100*EXP(-(LN(2)/$D$65+0.04)*(VLOOKUP(($F$16-$F$15)-1,AK$99:AO185,4,FALSE)))*EXP(-(LN(2)/$D$65+0.1)*(VLOOKUP(($F$16-$F$15)-1,AK$99:AO185,5,FALSE)))*EXP(-(LN(2)/$D$65+0.04)*(VLOOKUP(($F$16-$F$15)*2-1,AK$99:AO185,4,FALSE)))*EXP(-(LN(2)/$D$65+0.1)*(VLOOKUP(($F$16-$F$15)*2-1,AK$99:AO185,5,FALSE)))*EXP(-(LN(2)/$D$65+0.04)*AN185)*EXP(-(LN(2)/$D$65+0.1)*AO185),"-"))),"-")</f>
        <v>-</v>
      </c>
      <c r="AR186" s="271" t="str">
        <f>IFERROR(IF(AL186=1,AR$100*EXP(-(LN(2)/$D$65+0.04)*AN186)*EXP(-(LN(2)/$D$65+0.1)*AO186),IF(AL186=2,AR$100*EXP(-(LN(2)/$D$65+0.04)*(VLOOKUP(($F$16-$F$15)-1,AK$100:AO186,4,FALSE)))*EXP(-(LN(2)/$D$65+0.1)*(VLOOKUP(($F$16-$F$15)-1,AK$100:AO186,5,FALSE)))*EXP(-(LN(2)/$D$65+0.04)*AN186)*EXP(-(LN(2)/$D$65+0.1)*AO186),IF(AL186=3,AR$100*EXP(-(LN(2)/$D$65+0.04)*(VLOOKUP(($F$16-$F$15)-1,AK$100:AO186,4,FALSE)))*EXP(-(LN(2)/$D$65+0.1)*(VLOOKUP(($F$16-$F$15)-1,AK$100:AO186,5,FALSE)))*EXP(-(LN(2)/$D$65+0.04)*(VLOOKUP(($F$16-$F$15)*2-1,AK$100:AO186,4,FALSE)))*EXP(-(LN(2)/$D$65+0.1)*(VLOOKUP(($F$16-$F$15)*2-1,AK$100:AO186,5,FALSE)))*EXP(-(LN(2)/$D$65+0.04)*AN186)*EXP(-(LN(2)/$D$65+0.1)*AO186),"-"))),"-")</f>
        <v>-</v>
      </c>
      <c r="AS186" s="274">
        <f t="shared" si="113"/>
        <v>0</v>
      </c>
      <c r="AT186" s="274">
        <f t="shared" si="114"/>
        <v>0</v>
      </c>
      <c r="AU186" s="274">
        <f t="shared" si="115"/>
        <v>0</v>
      </c>
      <c r="AV186" s="190" t="str">
        <f>IF($B186&lt;$F$22,SUM($T$100:$T186),"")</f>
        <v/>
      </c>
      <c r="AW186" s="190" t="str">
        <f t="shared" si="116"/>
        <v>-</v>
      </c>
      <c r="AX186" s="190" t="str">
        <f t="shared" si="141"/>
        <v/>
      </c>
      <c r="AY186"/>
      <c r="AZ186" s="190" t="str">
        <f ca="1">IF(ISNUMBER(OFFSET(AV186,-$F$21,0)),SUM(OFFSET($T$100,$F$21,0):$T186),"")</f>
        <v/>
      </c>
      <c r="BA186" s="190" t="str">
        <f t="shared" ca="1" si="117"/>
        <v/>
      </c>
      <c r="BB186" s="190" t="str">
        <f t="shared" ca="1" si="148"/>
        <v/>
      </c>
      <c r="BC186" s="190"/>
      <c r="BD186" s="190" t="str">
        <f ca="1">IFERROR(IF(OR(ISNUMBER(I),ISNUMBER($F$14)),IF(AND($B186&gt;=($F$16-$F$15),$B186&lt;$F$22+($F$16-$F$15)),SUM(OFFSET($T$100,($F$16-$F$15),0):$T186),""),""),"")</f>
        <v/>
      </c>
      <c r="BE186" s="190" t="str">
        <f t="shared" ca="1" si="142"/>
        <v/>
      </c>
      <c r="BF186" s="190" t="str">
        <f t="shared" ca="1" si="143"/>
        <v/>
      </c>
      <c r="BG186"/>
      <c r="BH186" s="190" t="str">
        <f ca="1">IF(ISNUMBER(OFFSET(BD186,-$F$21,0)),SUM(OFFSET($T$100,($F$16-$F$15+$F$21),0):$T186),"")</f>
        <v/>
      </c>
      <c r="BI186" s="190" t="str">
        <f t="shared" ca="1" si="118"/>
        <v/>
      </c>
      <c r="BJ186" s="190" t="str">
        <f t="shared" ca="1" si="144"/>
        <v/>
      </c>
      <c r="BK186" s="190"/>
      <c r="BL186" s="190" t="str">
        <f ca="1">IFERROR(IF(OR(ISNUMBER(I),ISNUMBER($F$14)),IF(AND($B186&gt;=($F$17-$F$15),$B186&lt;$F$22+($F$17-$F$15)),SUM(OFFSET($T$100,($F$17-$F$15),0):$T186),""),""),"")</f>
        <v/>
      </c>
      <c r="BM186" s="190" t="str">
        <f t="shared" ca="1" si="119"/>
        <v/>
      </c>
      <c r="BN186" s="190" t="str">
        <f t="shared" ca="1" si="145"/>
        <v/>
      </c>
      <c r="BO186"/>
      <c r="BP186" s="190" t="str">
        <f ca="1">IF(ISNUMBER(OFFSET(BL186,-$F$21,0)),SUM(OFFSET($T$100,($F$17-$F$15+$F$21),0):$T186),"")</f>
        <v/>
      </c>
      <c r="BQ186" s="190" t="str">
        <f t="shared" ca="1" si="120"/>
        <v/>
      </c>
      <c r="BR186" s="190" t="str">
        <f t="shared" ca="1" si="146"/>
        <v/>
      </c>
      <c r="BS186" s="190"/>
      <c r="BT186"/>
      <c r="BU186"/>
      <c r="BV186"/>
      <c r="BY186" s="99"/>
      <c r="BZ186" s="99"/>
      <c r="CA186" s="280" t="str">
        <f t="shared" si="121"/>
        <v/>
      </c>
      <c r="CB186" s="71" t="str">
        <f t="shared" si="122"/>
        <v>-</v>
      </c>
      <c r="CC186" s="33"/>
      <c r="CD186" s="261" t="str">
        <f t="shared" si="123"/>
        <v/>
      </c>
      <c r="CE186" s="280" t="str">
        <f t="shared" si="124"/>
        <v/>
      </c>
      <c r="CF186" s="71" t="str">
        <f t="shared" ca="1" si="125"/>
        <v/>
      </c>
      <c r="CG186" s="33" t="str">
        <f t="shared" si="126"/>
        <v/>
      </c>
      <c r="CH186" s="261" t="str">
        <f t="shared" ca="1" si="127"/>
        <v/>
      </c>
      <c r="CI186" s="202"/>
      <c r="CJ186" s="99"/>
      <c r="CK186" s="99"/>
      <c r="CL186" s="99"/>
      <c r="CM186" s="99"/>
      <c r="CN186" s="99"/>
      <c r="CO186" s="99"/>
    </row>
    <row r="187" spans="2:93" ht="13.5" customHeight="1" x14ac:dyDescent="0.2">
      <c r="B187" s="262">
        <v>87</v>
      </c>
      <c r="C187" s="237" t="str">
        <f t="shared" si="91"/>
        <v/>
      </c>
      <c r="D187" s="237" t="str">
        <f t="shared" si="147"/>
        <v/>
      </c>
      <c r="E187" s="263" t="str">
        <f t="shared" si="128"/>
        <v/>
      </c>
      <c r="F187" s="264" t="str">
        <f t="shared" si="129"/>
        <v/>
      </c>
      <c r="G187" s="264" t="str">
        <f t="shared" si="130"/>
        <v/>
      </c>
      <c r="H187" s="240" t="str">
        <f t="shared" si="92"/>
        <v/>
      </c>
      <c r="I187" s="265" t="str">
        <f t="shared" si="93"/>
        <v/>
      </c>
      <c r="J187" s="265" t="str">
        <f t="shared" si="94"/>
        <v/>
      </c>
      <c r="K187" s="240" t="str">
        <f t="shared" si="95"/>
        <v/>
      </c>
      <c r="L187" s="265" t="str">
        <f t="shared" si="96"/>
        <v/>
      </c>
      <c r="M187" s="265" t="str">
        <f t="shared" si="97"/>
        <v/>
      </c>
      <c r="N187" s="240" t="str">
        <f t="shared" si="98"/>
        <v>-</v>
      </c>
      <c r="O187" s="265" t="str">
        <f t="shared" si="99"/>
        <v>-</v>
      </c>
      <c r="P187" s="265" t="str">
        <f t="shared" si="100"/>
        <v>-</v>
      </c>
      <c r="Q187" s="266" t="str">
        <f t="shared" si="101"/>
        <v>-</v>
      </c>
      <c r="R187" s="267" t="str">
        <f t="shared" si="102"/>
        <v>-</v>
      </c>
      <c r="S187" s="268" t="str">
        <f t="shared" si="103"/>
        <v>-</v>
      </c>
      <c r="T187" s="269" t="str">
        <f t="shared" si="104"/>
        <v/>
      </c>
      <c r="U187" s="221">
        <f t="shared" si="105"/>
        <v>87</v>
      </c>
      <c r="V187" s="220" t="str">
        <f t="shared" si="131"/>
        <v>-</v>
      </c>
      <c r="W187" s="221" t="str">
        <f t="shared" si="132"/>
        <v>-</v>
      </c>
      <c r="X187" s="221" t="str">
        <f t="shared" si="106"/>
        <v>-</v>
      </c>
      <c r="Y187" s="221" t="str">
        <f t="shared" si="107"/>
        <v>-</v>
      </c>
      <c r="Z187" s="270">
        <f t="shared" si="133"/>
        <v>0.1</v>
      </c>
      <c r="AA187" s="271" t="str">
        <f>IFERROR(IF(V186=1,AA$100*EXP(-(LN(2)/$D$65+0.04)*X186)*EXP(-(LN(2)/$D$65+0.1)*Y186),IF(V186=2,AA$100*EXP(-(LN(2)/$D$65+0.04)*(VLOOKUP(($F$16-$F$15)-1,U$99:Y186,4,FALSE)))*EXP(-(LN(2)/$D$65+0.1)*(VLOOKUP(($F$16-$F$15)-1,U$99:Y186,5,FALSE)))*EXP(-(LN(2)/$D$65+0.04)*X186)*EXP(-(LN(2)/$D$65+0.1)*Y186),IF(V186=3,AA$100*EXP(-(LN(2)/$D$65+0.04)*(VLOOKUP(($F$16-$F$15)-1,U$99:Y186,4,FALSE)))*EXP(-(LN(2)/$D$65+0.1)*(VLOOKUP(($F$16-$F$15)-1,U$99:Y186,5,FALSE)))*EXP(-(LN(2)/$D$65+0.04)*(VLOOKUP(($F$16-$F$15)*2-1,U$99:Y186,4,FALSE)))*EXP(-(LN(2)/$D$65+0.1)*(VLOOKUP(($F$16-$F$15)*2-1,U$99:Y186,5,FALSE)))*EXP(-(LN(2)/$D$65+0.04)*X186)*EXP(-(LN(2)/$D$65+0.1)*Y186),"-"))),"-")</f>
        <v>-</v>
      </c>
      <c r="AB187" s="271" t="str">
        <f>IFERROR(IF(V187=1,AB$100*EXP(-(LN(2)/$D$65+0.04)*X187)*EXP(-(LN(2)/$D$65+0.1)*Y187),IF(V187=2,AB$100*EXP(-(LN(2)/$D$65+0.04)*(VLOOKUP(($F$16-$F$15)-1,U$100:Y187,4,FALSE)))*EXP(-(LN(2)/$D$65+0.1)*(VLOOKUP(($F$16-$F$15)-1,U$100:Y187,5,FALSE)))*EXP(-(LN(2)/$D$65+0.04)*X187)*EXP(-(LN(2)/$D$65+0.1)*Y187),IF(V187=3,AB$100*EXP(-(LN(2)/$D$65+0.04)*(VLOOKUP(($F$16-$F$15)-1,U$100:Y187,4,FALSE)))*EXP(-(LN(2)/$D$65+0.1)*(VLOOKUP(($F$16-$F$15)-1,U$100:Y187,5,FALSE)))*EXP(-(LN(2)/$D$65+0.04)*(VLOOKUP(($F$16-$F$15)*2-1,U$100:Y187,4,FALSE)))*EXP(-(LN(2)/$D$65+0.1)*(VLOOKUP(($F$16-$F$15)*2-1,U$100:Y187,5,FALSE)))*EXP(-(LN(2)/$D$65+0.04)*X187)*EXP(-(LN(2)/$D$65+0.1)*Y187),"-"))),"-")</f>
        <v>-</v>
      </c>
      <c r="AC187" s="224">
        <f t="shared" si="134"/>
        <v>87</v>
      </c>
      <c r="AD187" s="223" t="str">
        <f t="shared" si="108"/>
        <v>-</v>
      </c>
      <c r="AE187" s="224" t="str">
        <f t="shared" si="135"/>
        <v>-</v>
      </c>
      <c r="AF187" s="224" t="str">
        <f t="shared" si="109"/>
        <v>-</v>
      </c>
      <c r="AG187" s="224" t="str">
        <f t="shared" si="110"/>
        <v>-</v>
      </c>
      <c r="AH187" s="272">
        <f t="shared" si="136"/>
        <v>0.1</v>
      </c>
      <c r="AI187" s="271" t="str">
        <f>IFERROR(IF(AD186=1,AI$100*EXP(-(LN(2)/$D$65+0.04)*AF186)*EXP(-(LN(2)/$D$65+0.1)*AG186),IF(AD186=2,AI$100*EXP(-(LN(2)/$D$65+0.04)*(VLOOKUP(($F$16-$F$15)-1,AC$99:AG186,4,FALSE)))*EXP(-(LN(2)/$D$65+0.1)*(VLOOKUP(($F$16-$F$15)-1,AC$99:AG186,5,FALSE)))*EXP(-(LN(2)/$D$65+0.04)*AF186)*EXP(-(LN(2)/$D$65+0.1)*AG186),IF(AD186=3,AI$100*EXP(-(LN(2)/$D$65+0.04)*(VLOOKUP(($F$16-$F$15)-1,AC$99:AG186,4,FALSE)))*EXP(-(LN(2)/$D$65+0.1)*(VLOOKUP(($F$16-$F$15)-1,AC$99:AG186,5,FALSE)))*EXP(-(LN(2)/$D$65+0.04)*(VLOOKUP(($F$16-$F$15)*2-1,AC$99:AG186,4,FALSE)))*EXP(-(LN(2)/$D$65+0.1)*(VLOOKUP(($F$16-$F$15)*2-1,AC$99:AG186,5,FALSE)))*EXP(-(LN(2)/$D$65+0.04)*AF186)*EXP(-(LN(2)/$D$65+0.1)*AG186),"-"))),"-")</f>
        <v>-</v>
      </c>
      <c r="AJ187" s="271" t="str">
        <f>IFERROR(IF(AD187=1,AJ$100*EXP(-(LN(2)/$D$65+0.04)*AF187)*EXP(-(LN(2)/$D$65+0.1)*AG187),IF(AD187=2,AJ$100*EXP(-(LN(2)/$D$65+0.04)*(VLOOKUP(($F$16-$F$15)-1,AC$100:AG187,4,FALSE)))*EXP(-(LN(2)/$D$65+0.1)*(VLOOKUP(($F$16-$F$15)-1,AC$100:AG187,5,FALSE)))*EXP(-(LN(2)/$D$65+0.04)*AF187)*EXP(-(LN(2)/$D$65+0.1)*AG187),IF(AD187=3,AJ$100*EXP(-(LN(2)/$D$65+0.04)*(VLOOKUP(($F$16-$F$15)-1,AC$100:AG187,4,FALSE)))*EXP(-(LN(2)/$D$65+0.1)*(VLOOKUP(($F$16-$F$15)-1,AC$100:AG187,5,FALSE)))*EXP(-(LN(2)/$D$65+0.04)*(VLOOKUP(($F$16-$F$15)*2-1,AC$100:AG187,4,FALSE)))*EXP(-(LN(2)/$D$65+0.1)*(VLOOKUP(($F$16-$F$15)*2-1,AC$100:AG187,5,FALSE)))*EXP(-(LN(2)/$D$65+0.04)*AF187)*EXP(-(LN(2)/$D$65+0.1)*AG187),"-"))),"-")</f>
        <v>-</v>
      </c>
      <c r="AK187" s="227">
        <f t="shared" si="137"/>
        <v>87</v>
      </c>
      <c r="AL187" s="226" t="str">
        <f t="shared" si="111"/>
        <v>-</v>
      </c>
      <c r="AM187" s="227" t="str">
        <f t="shared" si="138"/>
        <v>-</v>
      </c>
      <c r="AN187" s="227" t="str">
        <f t="shared" si="139"/>
        <v>-</v>
      </c>
      <c r="AO187" s="227" t="str">
        <f t="shared" si="112"/>
        <v>-</v>
      </c>
      <c r="AP187" s="273">
        <f t="shared" si="140"/>
        <v>0.1</v>
      </c>
      <c r="AQ187" s="271" t="str">
        <f>IFERROR(IF(AL186=1,AQ$100*EXP(-(LN(2)/$D$65+0.04)*AN186)*EXP(-(LN(2)/$D$65+0.1)*AO186),IF(AL186=2,AQ$100*EXP(-(LN(2)/$D$65+0.04)*(VLOOKUP(($F$16-$F$15)-1,AK$99:AO186,4,FALSE)))*EXP(-(LN(2)/$D$65+0.1)*(VLOOKUP(($F$16-$F$15)-1,AK$99:AO186,5,FALSE)))*EXP(-(LN(2)/$D$65+0.04)*AN186)*EXP(-(LN(2)/$D$65+0.1)*AO186),IF(AL186=3,AQ$100*EXP(-(LN(2)/$D$65+0.04)*(VLOOKUP(($F$16-$F$15)-1,AK$99:AO186,4,FALSE)))*EXP(-(LN(2)/$D$65+0.1)*(VLOOKUP(($F$16-$F$15)-1,AK$99:AO186,5,FALSE)))*EXP(-(LN(2)/$D$65+0.04)*(VLOOKUP(($F$16-$F$15)*2-1,AK$99:AO186,4,FALSE)))*EXP(-(LN(2)/$D$65+0.1)*(VLOOKUP(($F$16-$F$15)*2-1,AK$99:AO186,5,FALSE)))*EXP(-(LN(2)/$D$65+0.04)*AN186)*EXP(-(LN(2)/$D$65+0.1)*AO186),"-"))),"-")</f>
        <v>-</v>
      </c>
      <c r="AR187" s="271" t="str">
        <f>IFERROR(IF(AL187=1,AR$100*EXP(-(LN(2)/$D$65+0.04)*AN187)*EXP(-(LN(2)/$D$65+0.1)*AO187),IF(AL187=2,AR$100*EXP(-(LN(2)/$D$65+0.04)*(VLOOKUP(($F$16-$F$15)-1,AK$100:AO187,4,FALSE)))*EXP(-(LN(2)/$D$65+0.1)*(VLOOKUP(($F$16-$F$15)-1,AK$100:AO187,5,FALSE)))*EXP(-(LN(2)/$D$65+0.04)*AN187)*EXP(-(LN(2)/$D$65+0.1)*AO187),IF(AL187=3,AR$100*EXP(-(LN(2)/$D$65+0.04)*(VLOOKUP(($F$16-$F$15)-1,AK$100:AO187,4,FALSE)))*EXP(-(LN(2)/$D$65+0.1)*(VLOOKUP(($F$16-$F$15)-1,AK$100:AO187,5,FALSE)))*EXP(-(LN(2)/$D$65+0.04)*(VLOOKUP(($F$16-$F$15)*2-1,AK$100:AO187,4,FALSE)))*EXP(-(LN(2)/$D$65+0.1)*(VLOOKUP(($F$16-$F$15)*2-1,AK$100:AO187,5,FALSE)))*EXP(-(LN(2)/$D$65+0.04)*AN187)*EXP(-(LN(2)/$D$65+0.1)*AO187),"-"))),"-")</f>
        <v>-</v>
      </c>
      <c r="AS187" s="274">
        <f t="shared" si="113"/>
        <v>0</v>
      </c>
      <c r="AT187" s="274">
        <f t="shared" si="114"/>
        <v>0</v>
      </c>
      <c r="AU187" s="274">
        <f t="shared" si="115"/>
        <v>0</v>
      </c>
      <c r="AV187" s="190" t="str">
        <f>IF($B187&lt;$F$22,SUM($T$100:$T187),"")</f>
        <v/>
      </c>
      <c r="AW187" s="190" t="str">
        <f t="shared" si="116"/>
        <v>-</v>
      </c>
      <c r="AX187" s="190" t="str">
        <f t="shared" si="141"/>
        <v/>
      </c>
      <c r="AY187"/>
      <c r="AZ187" s="190" t="str">
        <f ca="1">IF(ISNUMBER(OFFSET(AV187,-$F$21,0)),SUM(OFFSET($T$100,$F$21,0):$T187),"")</f>
        <v/>
      </c>
      <c r="BA187" s="190" t="str">
        <f t="shared" ca="1" si="117"/>
        <v/>
      </c>
      <c r="BB187" s="190" t="str">
        <f t="shared" ca="1" si="148"/>
        <v/>
      </c>
      <c r="BC187" s="190"/>
      <c r="BD187" s="190" t="str">
        <f ca="1">IFERROR(IF(OR(ISNUMBER(I),ISNUMBER($F$14)),IF(AND($B187&gt;=($F$16-$F$15),$B187&lt;$F$22+($F$16-$F$15)),SUM(OFFSET($T$100,($F$16-$F$15),0):$T187),""),""),"")</f>
        <v/>
      </c>
      <c r="BE187" s="190" t="str">
        <f t="shared" ca="1" si="142"/>
        <v/>
      </c>
      <c r="BF187" s="190" t="str">
        <f t="shared" ca="1" si="143"/>
        <v/>
      </c>
      <c r="BG187"/>
      <c r="BH187" s="190" t="str">
        <f ca="1">IF(ISNUMBER(OFFSET(BD187,-$F$21,0)),SUM(OFFSET($T$100,($F$16-$F$15+$F$21),0):$T187),"")</f>
        <v/>
      </c>
      <c r="BI187" s="190" t="str">
        <f t="shared" ca="1" si="118"/>
        <v/>
      </c>
      <c r="BJ187" s="190" t="str">
        <f t="shared" ca="1" si="144"/>
        <v/>
      </c>
      <c r="BK187" s="190"/>
      <c r="BL187" s="190" t="str">
        <f ca="1">IFERROR(IF(OR(ISNUMBER(I),ISNUMBER($F$14)),IF(AND($B187&gt;=($F$17-$F$15),$B187&lt;$F$22+($F$17-$F$15)),SUM(OFFSET($T$100,($F$17-$F$15),0):$T187),""),""),"")</f>
        <v/>
      </c>
      <c r="BM187" s="190" t="str">
        <f t="shared" ca="1" si="119"/>
        <v/>
      </c>
      <c r="BN187" s="190" t="str">
        <f t="shared" ca="1" si="145"/>
        <v/>
      </c>
      <c r="BO187"/>
      <c r="BP187" s="190" t="str">
        <f ca="1">IF(ISNUMBER(OFFSET(BL187,-$F$21,0)),SUM(OFFSET($T$100,($F$17-$F$15+$F$21),0):$T187),"")</f>
        <v/>
      </c>
      <c r="BQ187" s="190" t="str">
        <f t="shared" ca="1" si="120"/>
        <v/>
      </c>
      <c r="BR187" s="190" t="str">
        <f t="shared" ca="1" si="146"/>
        <v/>
      </c>
      <c r="BS187" s="190"/>
      <c r="BT187"/>
      <c r="BU187"/>
      <c r="BV187"/>
      <c r="BY187" s="99"/>
      <c r="BZ187" s="99"/>
      <c r="CA187" s="280" t="str">
        <f t="shared" si="121"/>
        <v/>
      </c>
      <c r="CB187" s="71" t="str">
        <f t="shared" si="122"/>
        <v>-</v>
      </c>
      <c r="CC187" s="33"/>
      <c r="CD187" s="261" t="str">
        <f t="shared" si="123"/>
        <v/>
      </c>
      <c r="CE187" s="280" t="str">
        <f t="shared" si="124"/>
        <v/>
      </c>
      <c r="CF187" s="71" t="str">
        <f t="shared" ca="1" si="125"/>
        <v/>
      </c>
      <c r="CG187" s="33" t="str">
        <f t="shared" si="126"/>
        <v/>
      </c>
      <c r="CH187" s="261" t="str">
        <f t="shared" ca="1" si="127"/>
        <v/>
      </c>
      <c r="CI187" s="202"/>
      <c r="CJ187" s="99"/>
      <c r="CK187" s="99"/>
      <c r="CL187" s="99"/>
      <c r="CM187" s="99"/>
      <c r="CN187" s="99"/>
      <c r="CO187" s="99"/>
    </row>
    <row r="188" spans="2:93" ht="13.5" customHeight="1" x14ac:dyDescent="0.2">
      <c r="B188" s="262">
        <v>88</v>
      </c>
      <c r="C188" s="237" t="str">
        <f t="shared" si="91"/>
        <v/>
      </c>
      <c r="D188" s="237" t="str">
        <f t="shared" si="147"/>
        <v/>
      </c>
      <c r="E188" s="263" t="str">
        <f t="shared" si="128"/>
        <v/>
      </c>
      <c r="F188" s="264" t="str">
        <f t="shared" si="129"/>
        <v/>
      </c>
      <c r="G188" s="264" t="str">
        <f t="shared" si="130"/>
        <v/>
      </c>
      <c r="H188" s="240" t="str">
        <f t="shared" si="92"/>
        <v/>
      </c>
      <c r="I188" s="265" t="str">
        <f t="shared" si="93"/>
        <v/>
      </c>
      <c r="J188" s="265" t="str">
        <f t="shared" si="94"/>
        <v/>
      </c>
      <c r="K188" s="240" t="str">
        <f t="shared" si="95"/>
        <v/>
      </c>
      <c r="L188" s="265" t="str">
        <f t="shared" si="96"/>
        <v/>
      </c>
      <c r="M188" s="265" t="str">
        <f t="shared" si="97"/>
        <v/>
      </c>
      <c r="N188" s="240" t="str">
        <f t="shared" si="98"/>
        <v>-</v>
      </c>
      <c r="O188" s="265" t="str">
        <f t="shared" si="99"/>
        <v>-</v>
      </c>
      <c r="P188" s="265" t="str">
        <f t="shared" si="100"/>
        <v>-</v>
      </c>
      <c r="Q188" s="266" t="str">
        <f t="shared" si="101"/>
        <v>-</v>
      </c>
      <c r="R188" s="267" t="str">
        <f t="shared" si="102"/>
        <v>-</v>
      </c>
      <c r="S188" s="268" t="str">
        <f t="shared" si="103"/>
        <v>-</v>
      </c>
      <c r="T188" s="269" t="str">
        <f t="shared" si="104"/>
        <v/>
      </c>
      <c r="U188" s="221">
        <f t="shared" si="105"/>
        <v>88</v>
      </c>
      <c r="V188" s="220" t="str">
        <f t="shared" si="131"/>
        <v>-</v>
      </c>
      <c r="W188" s="221" t="str">
        <f t="shared" si="132"/>
        <v>-</v>
      </c>
      <c r="X188" s="221" t="str">
        <f t="shared" si="106"/>
        <v>-</v>
      </c>
      <c r="Y188" s="221" t="str">
        <f t="shared" si="107"/>
        <v>-</v>
      </c>
      <c r="Z188" s="270">
        <f t="shared" si="133"/>
        <v>0.1</v>
      </c>
      <c r="AA188" s="271" t="str">
        <f>IFERROR(IF(V187=1,AA$100*EXP(-(LN(2)/$D$65+0.04)*X187)*EXP(-(LN(2)/$D$65+0.1)*Y187),IF(V187=2,AA$100*EXP(-(LN(2)/$D$65+0.04)*(VLOOKUP(($F$16-$F$15)-1,U$99:Y187,4,FALSE)))*EXP(-(LN(2)/$D$65+0.1)*(VLOOKUP(($F$16-$F$15)-1,U$99:Y187,5,FALSE)))*EXP(-(LN(2)/$D$65+0.04)*X187)*EXP(-(LN(2)/$D$65+0.1)*Y187),IF(V187=3,AA$100*EXP(-(LN(2)/$D$65+0.04)*(VLOOKUP(($F$16-$F$15)-1,U$99:Y187,4,FALSE)))*EXP(-(LN(2)/$D$65+0.1)*(VLOOKUP(($F$16-$F$15)-1,U$99:Y187,5,FALSE)))*EXP(-(LN(2)/$D$65+0.04)*(VLOOKUP(($F$16-$F$15)*2-1,U$99:Y187,4,FALSE)))*EXP(-(LN(2)/$D$65+0.1)*(VLOOKUP(($F$16-$F$15)*2-1,U$99:Y187,5,FALSE)))*EXP(-(LN(2)/$D$65+0.04)*X187)*EXP(-(LN(2)/$D$65+0.1)*Y187),"-"))),"-")</f>
        <v>-</v>
      </c>
      <c r="AB188" s="271" t="str">
        <f>IFERROR(IF(V188=1,AB$100*EXP(-(LN(2)/$D$65+0.04)*X188)*EXP(-(LN(2)/$D$65+0.1)*Y188),IF(V188=2,AB$100*EXP(-(LN(2)/$D$65+0.04)*(VLOOKUP(($F$16-$F$15)-1,U$100:Y188,4,FALSE)))*EXP(-(LN(2)/$D$65+0.1)*(VLOOKUP(($F$16-$F$15)-1,U$100:Y188,5,FALSE)))*EXP(-(LN(2)/$D$65+0.04)*X188)*EXP(-(LN(2)/$D$65+0.1)*Y188),IF(V188=3,AB$100*EXP(-(LN(2)/$D$65+0.04)*(VLOOKUP(($F$16-$F$15)-1,U$100:Y188,4,FALSE)))*EXP(-(LN(2)/$D$65+0.1)*(VLOOKUP(($F$16-$F$15)-1,U$100:Y188,5,FALSE)))*EXP(-(LN(2)/$D$65+0.04)*(VLOOKUP(($F$16-$F$15)*2-1,U$100:Y188,4,FALSE)))*EXP(-(LN(2)/$D$65+0.1)*(VLOOKUP(($F$16-$F$15)*2-1,U$100:Y188,5,FALSE)))*EXP(-(LN(2)/$D$65+0.04)*X188)*EXP(-(LN(2)/$D$65+0.1)*Y188),"-"))),"-")</f>
        <v>-</v>
      </c>
      <c r="AC188" s="224">
        <f t="shared" si="134"/>
        <v>88</v>
      </c>
      <c r="AD188" s="223" t="str">
        <f t="shared" si="108"/>
        <v>-</v>
      </c>
      <c r="AE188" s="224" t="str">
        <f t="shared" si="135"/>
        <v>-</v>
      </c>
      <c r="AF188" s="224" t="str">
        <f t="shared" si="109"/>
        <v>-</v>
      </c>
      <c r="AG188" s="224" t="str">
        <f t="shared" si="110"/>
        <v>-</v>
      </c>
      <c r="AH188" s="272">
        <f t="shared" si="136"/>
        <v>0.1</v>
      </c>
      <c r="AI188" s="271" t="str">
        <f>IFERROR(IF(AD187=1,AI$100*EXP(-(LN(2)/$D$65+0.04)*AF187)*EXP(-(LN(2)/$D$65+0.1)*AG187),IF(AD187=2,AI$100*EXP(-(LN(2)/$D$65+0.04)*(VLOOKUP(($F$16-$F$15)-1,AC$99:AG187,4,FALSE)))*EXP(-(LN(2)/$D$65+0.1)*(VLOOKUP(($F$16-$F$15)-1,AC$99:AG187,5,FALSE)))*EXP(-(LN(2)/$D$65+0.04)*AF187)*EXP(-(LN(2)/$D$65+0.1)*AG187),IF(AD187=3,AI$100*EXP(-(LN(2)/$D$65+0.04)*(VLOOKUP(($F$16-$F$15)-1,AC$99:AG187,4,FALSE)))*EXP(-(LN(2)/$D$65+0.1)*(VLOOKUP(($F$16-$F$15)-1,AC$99:AG187,5,FALSE)))*EXP(-(LN(2)/$D$65+0.04)*(VLOOKUP(($F$16-$F$15)*2-1,AC$99:AG187,4,FALSE)))*EXP(-(LN(2)/$D$65+0.1)*(VLOOKUP(($F$16-$F$15)*2-1,AC$99:AG187,5,FALSE)))*EXP(-(LN(2)/$D$65+0.04)*AF187)*EXP(-(LN(2)/$D$65+0.1)*AG187),"-"))),"-")</f>
        <v>-</v>
      </c>
      <c r="AJ188" s="271" t="str">
        <f>IFERROR(IF(AD188=1,AJ$100*EXP(-(LN(2)/$D$65+0.04)*AF188)*EXP(-(LN(2)/$D$65+0.1)*AG188),IF(AD188=2,AJ$100*EXP(-(LN(2)/$D$65+0.04)*(VLOOKUP(($F$16-$F$15)-1,AC$100:AG188,4,FALSE)))*EXP(-(LN(2)/$D$65+0.1)*(VLOOKUP(($F$16-$F$15)-1,AC$100:AG188,5,FALSE)))*EXP(-(LN(2)/$D$65+0.04)*AF188)*EXP(-(LN(2)/$D$65+0.1)*AG188),IF(AD188=3,AJ$100*EXP(-(LN(2)/$D$65+0.04)*(VLOOKUP(($F$16-$F$15)-1,AC$100:AG188,4,FALSE)))*EXP(-(LN(2)/$D$65+0.1)*(VLOOKUP(($F$16-$F$15)-1,AC$100:AG188,5,FALSE)))*EXP(-(LN(2)/$D$65+0.04)*(VLOOKUP(($F$16-$F$15)*2-1,AC$100:AG188,4,FALSE)))*EXP(-(LN(2)/$D$65+0.1)*(VLOOKUP(($F$16-$F$15)*2-1,AC$100:AG188,5,FALSE)))*EXP(-(LN(2)/$D$65+0.04)*AF188)*EXP(-(LN(2)/$D$65+0.1)*AG188),"-"))),"-")</f>
        <v>-</v>
      </c>
      <c r="AK188" s="227">
        <f t="shared" si="137"/>
        <v>88</v>
      </c>
      <c r="AL188" s="226" t="str">
        <f t="shared" si="111"/>
        <v>-</v>
      </c>
      <c r="AM188" s="227" t="str">
        <f t="shared" si="138"/>
        <v>-</v>
      </c>
      <c r="AN188" s="227" t="str">
        <f t="shared" si="139"/>
        <v>-</v>
      </c>
      <c r="AO188" s="227" t="str">
        <f t="shared" si="112"/>
        <v>-</v>
      </c>
      <c r="AP188" s="273">
        <f t="shared" si="140"/>
        <v>0.1</v>
      </c>
      <c r="AQ188" s="271" t="str">
        <f>IFERROR(IF(AL187=1,AQ$100*EXP(-(LN(2)/$D$65+0.04)*AN187)*EXP(-(LN(2)/$D$65+0.1)*AO187),IF(AL187=2,AQ$100*EXP(-(LN(2)/$D$65+0.04)*(VLOOKUP(($F$16-$F$15)-1,AK$99:AO187,4,FALSE)))*EXP(-(LN(2)/$D$65+0.1)*(VLOOKUP(($F$16-$F$15)-1,AK$99:AO187,5,FALSE)))*EXP(-(LN(2)/$D$65+0.04)*AN187)*EXP(-(LN(2)/$D$65+0.1)*AO187),IF(AL187=3,AQ$100*EXP(-(LN(2)/$D$65+0.04)*(VLOOKUP(($F$16-$F$15)-1,AK$99:AO187,4,FALSE)))*EXP(-(LN(2)/$D$65+0.1)*(VLOOKUP(($F$16-$F$15)-1,AK$99:AO187,5,FALSE)))*EXP(-(LN(2)/$D$65+0.04)*(VLOOKUP(($F$16-$F$15)*2-1,AK$99:AO187,4,FALSE)))*EXP(-(LN(2)/$D$65+0.1)*(VLOOKUP(($F$16-$F$15)*2-1,AK$99:AO187,5,FALSE)))*EXP(-(LN(2)/$D$65+0.04)*AN187)*EXP(-(LN(2)/$D$65+0.1)*AO187),"-"))),"-")</f>
        <v>-</v>
      </c>
      <c r="AR188" s="271" t="str">
        <f>IFERROR(IF(AL188=1,AR$100*EXP(-(LN(2)/$D$65+0.04)*AN188)*EXP(-(LN(2)/$D$65+0.1)*AO188),IF(AL188=2,AR$100*EXP(-(LN(2)/$D$65+0.04)*(VLOOKUP(($F$16-$F$15)-1,AK$100:AO188,4,FALSE)))*EXP(-(LN(2)/$D$65+0.1)*(VLOOKUP(($F$16-$F$15)-1,AK$100:AO188,5,FALSE)))*EXP(-(LN(2)/$D$65+0.04)*AN188)*EXP(-(LN(2)/$D$65+0.1)*AO188),IF(AL188=3,AR$100*EXP(-(LN(2)/$D$65+0.04)*(VLOOKUP(($F$16-$F$15)-1,AK$100:AO188,4,FALSE)))*EXP(-(LN(2)/$D$65+0.1)*(VLOOKUP(($F$16-$F$15)-1,AK$100:AO188,5,FALSE)))*EXP(-(LN(2)/$D$65+0.04)*(VLOOKUP(($F$16-$F$15)*2-1,AK$100:AO188,4,FALSE)))*EXP(-(LN(2)/$D$65+0.1)*(VLOOKUP(($F$16-$F$15)*2-1,AK$100:AO188,5,FALSE)))*EXP(-(LN(2)/$D$65+0.04)*AN188)*EXP(-(LN(2)/$D$65+0.1)*AO188),"-"))),"-")</f>
        <v>-</v>
      </c>
      <c r="AS188" s="274">
        <f t="shared" si="113"/>
        <v>0</v>
      </c>
      <c r="AT188" s="274">
        <f t="shared" si="114"/>
        <v>0</v>
      </c>
      <c r="AU188" s="274">
        <f t="shared" si="115"/>
        <v>0</v>
      </c>
      <c r="AV188" s="190" t="str">
        <f>IF($B188&lt;$F$22,SUM($T$100:$T188),"")</f>
        <v/>
      </c>
      <c r="AW188" s="190" t="str">
        <f t="shared" si="116"/>
        <v>-</v>
      </c>
      <c r="AX188" s="190" t="str">
        <f t="shared" si="141"/>
        <v/>
      </c>
      <c r="AY188"/>
      <c r="AZ188" s="190" t="str">
        <f ca="1">IF(ISNUMBER(OFFSET(AV188,-$F$21,0)),SUM(OFFSET($T$100,$F$21,0):$T188),"")</f>
        <v/>
      </c>
      <c r="BA188" s="190" t="str">
        <f t="shared" ca="1" si="117"/>
        <v/>
      </c>
      <c r="BB188" s="190" t="str">
        <f t="shared" ca="1" si="148"/>
        <v/>
      </c>
      <c r="BC188" s="190"/>
      <c r="BD188" s="190" t="str">
        <f ca="1">IFERROR(IF(OR(ISNUMBER(I),ISNUMBER($F$14)),IF(AND($B188&gt;=($F$16-$F$15),$B188&lt;$F$22+($F$16-$F$15)),SUM(OFFSET($T$100,($F$16-$F$15),0):$T188),""),""),"")</f>
        <v/>
      </c>
      <c r="BE188" s="190" t="str">
        <f t="shared" ca="1" si="142"/>
        <v/>
      </c>
      <c r="BF188" s="190" t="str">
        <f t="shared" ca="1" si="143"/>
        <v/>
      </c>
      <c r="BG188"/>
      <c r="BH188" s="190" t="str">
        <f ca="1">IF(ISNUMBER(OFFSET(BD188,-$F$21,0)),SUM(OFFSET($T$100,($F$16-$F$15+$F$21),0):$T188),"")</f>
        <v/>
      </c>
      <c r="BI188" s="190" t="str">
        <f t="shared" ca="1" si="118"/>
        <v/>
      </c>
      <c r="BJ188" s="190" t="str">
        <f t="shared" ca="1" si="144"/>
        <v/>
      </c>
      <c r="BK188" s="190"/>
      <c r="BL188" s="190" t="str">
        <f ca="1">IFERROR(IF(OR(ISNUMBER(I),ISNUMBER($F$14)),IF(AND($B188&gt;=($F$17-$F$15),$B188&lt;$F$22+($F$17-$F$15)),SUM(OFFSET($T$100,($F$17-$F$15),0):$T188),""),""),"")</f>
        <v/>
      </c>
      <c r="BM188" s="190" t="str">
        <f t="shared" ca="1" si="119"/>
        <v/>
      </c>
      <c r="BN188" s="190" t="str">
        <f t="shared" ca="1" si="145"/>
        <v/>
      </c>
      <c r="BO188"/>
      <c r="BP188" s="190" t="str">
        <f ca="1">IF(ISNUMBER(OFFSET(BL188,-$F$21,0)),SUM(OFFSET($T$100,($F$17-$F$15+$F$21),0):$T188),"")</f>
        <v/>
      </c>
      <c r="BQ188" s="190" t="str">
        <f t="shared" ca="1" si="120"/>
        <v/>
      </c>
      <c r="BR188" s="190" t="str">
        <f t="shared" ca="1" si="146"/>
        <v/>
      </c>
      <c r="BS188" s="190"/>
      <c r="BT188"/>
      <c r="BU188"/>
      <c r="BV188"/>
      <c r="BY188" s="99"/>
      <c r="BZ188" s="99"/>
      <c r="CA188" s="280" t="str">
        <f t="shared" si="121"/>
        <v/>
      </c>
      <c r="CB188" s="71" t="str">
        <f t="shared" si="122"/>
        <v>-</v>
      </c>
      <c r="CC188" s="33"/>
      <c r="CD188" s="261" t="str">
        <f t="shared" si="123"/>
        <v/>
      </c>
      <c r="CE188" s="280" t="str">
        <f t="shared" si="124"/>
        <v/>
      </c>
      <c r="CF188" s="71" t="str">
        <f t="shared" ca="1" si="125"/>
        <v/>
      </c>
      <c r="CG188" s="33" t="str">
        <f t="shared" si="126"/>
        <v/>
      </c>
      <c r="CH188" s="261" t="str">
        <f t="shared" ca="1" si="127"/>
        <v/>
      </c>
      <c r="CJ188" s="99"/>
      <c r="CK188" s="99"/>
      <c r="CL188" s="99"/>
      <c r="CM188" s="99"/>
      <c r="CN188" s="99"/>
      <c r="CO188" s="99"/>
    </row>
    <row r="189" spans="2:93" ht="13.5" customHeight="1" x14ac:dyDescent="0.2">
      <c r="B189" s="262">
        <v>89</v>
      </c>
      <c r="C189" s="237" t="str">
        <f t="shared" si="91"/>
        <v/>
      </c>
      <c r="D189" s="237" t="str">
        <f t="shared" si="147"/>
        <v/>
      </c>
      <c r="E189" s="263" t="str">
        <f t="shared" si="128"/>
        <v/>
      </c>
      <c r="F189" s="264" t="str">
        <f t="shared" si="129"/>
        <v/>
      </c>
      <c r="G189" s="264" t="str">
        <f t="shared" si="130"/>
        <v/>
      </c>
      <c r="H189" s="240" t="str">
        <f t="shared" si="92"/>
        <v/>
      </c>
      <c r="I189" s="265" t="str">
        <f t="shared" si="93"/>
        <v/>
      </c>
      <c r="J189" s="265" t="str">
        <f t="shared" si="94"/>
        <v/>
      </c>
      <c r="K189" s="240" t="str">
        <f t="shared" si="95"/>
        <v/>
      </c>
      <c r="L189" s="265" t="str">
        <f t="shared" si="96"/>
        <v/>
      </c>
      <c r="M189" s="265" t="str">
        <f t="shared" si="97"/>
        <v/>
      </c>
      <c r="N189" s="240" t="str">
        <f t="shared" si="98"/>
        <v>-</v>
      </c>
      <c r="O189" s="265" t="str">
        <f t="shared" si="99"/>
        <v>-</v>
      </c>
      <c r="P189" s="265" t="str">
        <f t="shared" si="100"/>
        <v>-</v>
      </c>
      <c r="Q189" s="266" t="str">
        <f t="shared" si="101"/>
        <v>-</v>
      </c>
      <c r="R189" s="267" t="str">
        <f t="shared" si="102"/>
        <v>-</v>
      </c>
      <c r="S189" s="268" t="str">
        <f t="shared" si="103"/>
        <v>-</v>
      </c>
      <c r="T189" s="269" t="str">
        <f t="shared" si="104"/>
        <v/>
      </c>
      <c r="U189" s="221">
        <f t="shared" si="105"/>
        <v>89</v>
      </c>
      <c r="V189" s="220" t="str">
        <f t="shared" si="131"/>
        <v>-</v>
      </c>
      <c r="W189" s="221" t="str">
        <f t="shared" si="132"/>
        <v>-</v>
      </c>
      <c r="X189" s="221" t="str">
        <f t="shared" si="106"/>
        <v>-</v>
      </c>
      <c r="Y189" s="221" t="str">
        <f t="shared" si="107"/>
        <v>-</v>
      </c>
      <c r="Z189" s="270">
        <f t="shared" si="133"/>
        <v>0.1</v>
      </c>
      <c r="AA189" s="271" t="str">
        <f>IFERROR(IF(V188=1,AA$100*EXP(-(LN(2)/$D$65+0.04)*X188)*EXP(-(LN(2)/$D$65+0.1)*Y188),IF(V188=2,AA$100*EXP(-(LN(2)/$D$65+0.04)*(VLOOKUP(($F$16-$F$15)-1,U$99:Y188,4,FALSE)))*EXP(-(LN(2)/$D$65+0.1)*(VLOOKUP(($F$16-$F$15)-1,U$99:Y188,5,FALSE)))*EXP(-(LN(2)/$D$65+0.04)*X188)*EXP(-(LN(2)/$D$65+0.1)*Y188),IF(V188=3,AA$100*EXP(-(LN(2)/$D$65+0.04)*(VLOOKUP(($F$16-$F$15)-1,U$99:Y188,4,FALSE)))*EXP(-(LN(2)/$D$65+0.1)*(VLOOKUP(($F$16-$F$15)-1,U$99:Y188,5,FALSE)))*EXP(-(LN(2)/$D$65+0.04)*(VLOOKUP(($F$16-$F$15)*2-1,U$99:Y188,4,FALSE)))*EXP(-(LN(2)/$D$65+0.1)*(VLOOKUP(($F$16-$F$15)*2-1,U$99:Y188,5,FALSE)))*EXP(-(LN(2)/$D$65+0.04)*X188)*EXP(-(LN(2)/$D$65+0.1)*Y188),"-"))),"-")</f>
        <v>-</v>
      </c>
      <c r="AB189" s="271" t="str">
        <f>IFERROR(IF(V189=1,AB$100*EXP(-(LN(2)/$D$65+0.04)*X189)*EXP(-(LN(2)/$D$65+0.1)*Y189),IF(V189=2,AB$100*EXP(-(LN(2)/$D$65+0.04)*(VLOOKUP(($F$16-$F$15)-1,U$100:Y189,4,FALSE)))*EXP(-(LN(2)/$D$65+0.1)*(VLOOKUP(($F$16-$F$15)-1,U$100:Y189,5,FALSE)))*EXP(-(LN(2)/$D$65+0.04)*X189)*EXP(-(LN(2)/$D$65+0.1)*Y189),IF(V189=3,AB$100*EXP(-(LN(2)/$D$65+0.04)*(VLOOKUP(($F$16-$F$15)-1,U$100:Y189,4,FALSE)))*EXP(-(LN(2)/$D$65+0.1)*(VLOOKUP(($F$16-$F$15)-1,U$100:Y189,5,FALSE)))*EXP(-(LN(2)/$D$65+0.04)*(VLOOKUP(($F$16-$F$15)*2-1,U$100:Y189,4,FALSE)))*EXP(-(LN(2)/$D$65+0.1)*(VLOOKUP(($F$16-$F$15)*2-1,U$100:Y189,5,FALSE)))*EXP(-(LN(2)/$D$65+0.04)*X189)*EXP(-(LN(2)/$D$65+0.1)*Y189),"-"))),"-")</f>
        <v>-</v>
      </c>
      <c r="AC189" s="224">
        <f t="shared" si="134"/>
        <v>89</v>
      </c>
      <c r="AD189" s="223" t="str">
        <f t="shared" si="108"/>
        <v>-</v>
      </c>
      <c r="AE189" s="224" t="str">
        <f t="shared" si="135"/>
        <v>-</v>
      </c>
      <c r="AF189" s="224" t="str">
        <f t="shared" si="109"/>
        <v>-</v>
      </c>
      <c r="AG189" s="224" t="str">
        <f t="shared" si="110"/>
        <v>-</v>
      </c>
      <c r="AH189" s="272">
        <f t="shared" si="136"/>
        <v>0.1</v>
      </c>
      <c r="AI189" s="271" t="str">
        <f>IFERROR(IF(AD188=1,AI$100*EXP(-(LN(2)/$D$65+0.04)*AF188)*EXP(-(LN(2)/$D$65+0.1)*AG188),IF(AD188=2,AI$100*EXP(-(LN(2)/$D$65+0.04)*(VLOOKUP(($F$16-$F$15)-1,AC$99:AG188,4,FALSE)))*EXP(-(LN(2)/$D$65+0.1)*(VLOOKUP(($F$16-$F$15)-1,AC$99:AG188,5,FALSE)))*EXP(-(LN(2)/$D$65+0.04)*AF188)*EXP(-(LN(2)/$D$65+0.1)*AG188),IF(AD188=3,AI$100*EXP(-(LN(2)/$D$65+0.04)*(VLOOKUP(($F$16-$F$15)-1,AC$99:AG188,4,FALSE)))*EXP(-(LN(2)/$D$65+0.1)*(VLOOKUP(($F$16-$F$15)-1,AC$99:AG188,5,FALSE)))*EXP(-(LN(2)/$D$65+0.04)*(VLOOKUP(($F$16-$F$15)*2-1,AC$99:AG188,4,FALSE)))*EXP(-(LN(2)/$D$65+0.1)*(VLOOKUP(($F$16-$F$15)*2-1,AC$99:AG188,5,FALSE)))*EXP(-(LN(2)/$D$65+0.04)*AF188)*EXP(-(LN(2)/$D$65+0.1)*AG188),"-"))),"-")</f>
        <v>-</v>
      </c>
      <c r="AJ189" s="271" t="str">
        <f>IFERROR(IF(AD189=1,AJ$100*EXP(-(LN(2)/$D$65+0.04)*AF189)*EXP(-(LN(2)/$D$65+0.1)*AG189),IF(AD189=2,AJ$100*EXP(-(LN(2)/$D$65+0.04)*(VLOOKUP(($F$16-$F$15)-1,AC$100:AG189,4,FALSE)))*EXP(-(LN(2)/$D$65+0.1)*(VLOOKUP(($F$16-$F$15)-1,AC$100:AG189,5,FALSE)))*EXP(-(LN(2)/$D$65+0.04)*AF189)*EXP(-(LN(2)/$D$65+0.1)*AG189),IF(AD189=3,AJ$100*EXP(-(LN(2)/$D$65+0.04)*(VLOOKUP(($F$16-$F$15)-1,AC$100:AG189,4,FALSE)))*EXP(-(LN(2)/$D$65+0.1)*(VLOOKUP(($F$16-$F$15)-1,AC$100:AG189,5,FALSE)))*EXP(-(LN(2)/$D$65+0.04)*(VLOOKUP(($F$16-$F$15)*2-1,AC$100:AG189,4,FALSE)))*EXP(-(LN(2)/$D$65+0.1)*(VLOOKUP(($F$16-$F$15)*2-1,AC$100:AG189,5,FALSE)))*EXP(-(LN(2)/$D$65+0.04)*AF189)*EXP(-(LN(2)/$D$65+0.1)*AG189),"-"))),"-")</f>
        <v>-</v>
      </c>
      <c r="AK189" s="227">
        <f t="shared" si="137"/>
        <v>89</v>
      </c>
      <c r="AL189" s="226" t="str">
        <f t="shared" si="111"/>
        <v>-</v>
      </c>
      <c r="AM189" s="227" t="str">
        <f t="shared" si="138"/>
        <v>-</v>
      </c>
      <c r="AN189" s="227" t="str">
        <f t="shared" si="139"/>
        <v>-</v>
      </c>
      <c r="AO189" s="227" t="str">
        <f t="shared" si="112"/>
        <v>-</v>
      </c>
      <c r="AP189" s="273">
        <f t="shared" si="140"/>
        <v>0.1</v>
      </c>
      <c r="AQ189" s="271" t="str">
        <f>IFERROR(IF(AL188=1,AQ$100*EXP(-(LN(2)/$D$65+0.04)*AN188)*EXP(-(LN(2)/$D$65+0.1)*AO188),IF(AL188=2,AQ$100*EXP(-(LN(2)/$D$65+0.04)*(VLOOKUP(($F$16-$F$15)-1,AK$99:AO188,4,FALSE)))*EXP(-(LN(2)/$D$65+0.1)*(VLOOKUP(($F$16-$F$15)-1,AK$99:AO188,5,FALSE)))*EXP(-(LN(2)/$D$65+0.04)*AN188)*EXP(-(LN(2)/$D$65+0.1)*AO188),IF(AL188=3,AQ$100*EXP(-(LN(2)/$D$65+0.04)*(VLOOKUP(($F$16-$F$15)-1,AK$99:AO188,4,FALSE)))*EXP(-(LN(2)/$D$65+0.1)*(VLOOKUP(($F$16-$F$15)-1,AK$99:AO188,5,FALSE)))*EXP(-(LN(2)/$D$65+0.04)*(VLOOKUP(($F$16-$F$15)*2-1,AK$99:AO188,4,FALSE)))*EXP(-(LN(2)/$D$65+0.1)*(VLOOKUP(($F$16-$F$15)*2-1,AK$99:AO188,5,FALSE)))*EXP(-(LN(2)/$D$65+0.04)*AN188)*EXP(-(LN(2)/$D$65+0.1)*AO188),"-"))),"-")</f>
        <v>-</v>
      </c>
      <c r="AR189" s="271" t="str">
        <f>IFERROR(IF(AL189=1,AR$100*EXP(-(LN(2)/$D$65+0.04)*AN189)*EXP(-(LN(2)/$D$65+0.1)*AO189),IF(AL189=2,AR$100*EXP(-(LN(2)/$D$65+0.04)*(VLOOKUP(($F$16-$F$15)-1,AK$100:AO189,4,FALSE)))*EXP(-(LN(2)/$D$65+0.1)*(VLOOKUP(($F$16-$F$15)-1,AK$100:AO189,5,FALSE)))*EXP(-(LN(2)/$D$65+0.04)*AN189)*EXP(-(LN(2)/$D$65+0.1)*AO189),IF(AL189=3,AR$100*EXP(-(LN(2)/$D$65+0.04)*(VLOOKUP(($F$16-$F$15)-1,AK$100:AO189,4,FALSE)))*EXP(-(LN(2)/$D$65+0.1)*(VLOOKUP(($F$16-$F$15)-1,AK$100:AO189,5,FALSE)))*EXP(-(LN(2)/$D$65+0.04)*(VLOOKUP(($F$16-$F$15)*2-1,AK$100:AO189,4,FALSE)))*EXP(-(LN(2)/$D$65+0.1)*(VLOOKUP(($F$16-$F$15)*2-1,AK$100:AO189,5,FALSE)))*EXP(-(LN(2)/$D$65+0.04)*AN189)*EXP(-(LN(2)/$D$65+0.1)*AO189),"-"))),"-")</f>
        <v>-</v>
      </c>
      <c r="AS189" s="274">
        <f t="shared" si="113"/>
        <v>0</v>
      </c>
      <c r="AT189" s="274">
        <f t="shared" si="114"/>
        <v>0</v>
      </c>
      <c r="AU189" s="274">
        <f t="shared" si="115"/>
        <v>0</v>
      </c>
      <c r="AV189" s="190" t="str">
        <f>IF($B189&lt;$F$22,SUM($T$100:$T189),"")</f>
        <v/>
      </c>
      <c r="AW189" s="190" t="str">
        <f t="shared" si="116"/>
        <v>-</v>
      </c>
      <c r="AX189" s="190" t="str">
        <f t="shared" si="141"/>
        <v/>
      </c>
      <c r="AY189"/>
      <c r="AZ189" s="190" t="str">
        <f ca="1">IF(ISNUMBER(OFFSET(AV189,-$F$21,0)),SUM(OFFSET($T$100,$F$21,0):$T189),"")</f>
        <v/>
      </c>
      <c r="BA189" s="190" t="str">
        <f t="shared" ca="1" si="117"/>
        <v/>
      </c>
      <c r="BB189" s="190" t="str">
        <f t="shared" ca="1" si="148"/>
        <v/>
      </c>
      <c r="BC189" s="190"/>
      <c r="BD189" s="190" t="str">
        <f ca="1">IFERROR(IF(OR(ISNUMBER(I),ISNUMBER($F$14)),IF(AND($B189&gt;=($F$16-$F$15),$B189&lt;$F$22+($F$16-$F$15)),SUM(OFFSET($T$100,($F$16-$F$15),0):$T189),""),""),"")</f>
        <v/>
      </c>
      <c r="BE189" s="190" t="str">
        <f t="shared" ca="1" si="142"/>
        <v/>
      </c>
      <c r="BF189" s="190" t="str">
        <f t="shared" ca="1" si="143"/>
        <v/>
      </c>
      <c r="BG189"/>
      <c r="BH189" s="190" t="str">
        <f ca="1">IF(ISNUMBER(OFFSET(BD189,-$F$21,0)),SUM(OFFSET($T$100,($F$16-$F$15+$F$21),0):$T189),"")</f>
        <v/>
      </c>
      <c r="BI189" s="190" t="str">
        <f t="shared" ca="1" si="118"/>
        <v/>
      </c>
      <c r="BJ189" s="190" t="str">
        <f t="shared" ca="1" si="144"/>
        <v/>
      </c>
      <c r="BK189" s="190"/>
      <c r="BL189" s="190" t="str">
        <f ca="1">IFERROR(IF(OR(ISNUMBER(I),ISNUMBER($F$14)),IF(AND($B189&gt;=($F$17-$F$15),$B189&lt;$F$22+($F$17-$F$15)),SUM(OFFSET($T$100,($F$17-$F$15),0):$T189),""),""),"")</f>
        <v/>
      </c>
      <c r="BM189" s="190" t="str">
        <f t="shared" ca="1" si="119"/>
        <v/>
      </c>
      <c r="BN189" s="190" t="str">
        <f t="shared" ca="1" si="145"/>
        <v/>
      </c>
      <c r="BO189"/>
      <c r="BP189" s="190" t="str">
        <f ca="1">IF(ISNUMBER(OFFSET(BL189,-$F$21,0)),SUM(OFFSET($T$100,($F$17-$F$15+$F$21),0):$T189),"")</f>
        <v/>
      </c>
      <c r="BQ189" s="190" t="str">
        <f t="shared" ca="1" si="120"/>
        <v/>
      </c>
      <c r="BR189" s="190" t="str">
        <f t="shared" ca="1" si="146"/>
        <v/>
      </c>
      <c r="BS189" s="190"/>
      <c r="BT189"/>
      <c r="BU189"/>
      <c r="BV189"/>
      <c r="BY189" s="99"/>
      <c r="BZ189" s="99"/>
      <c r="CA189" s="280" t="str">
        <f t="shared" si="121"/>
        <v/>
      </c>
      <c r="CB189" s="71" t="str">
        <f t="shared" si="122"/>
        <v>-</v>
      </c>
      <c r="CC189" s="33"/>
      <c r="CD189" s="261" t="str">
        <f t="shared" si="123"/>
        <v/>
      </c>
      <c r="CE189" s="280" t="str">
        <f t="shared" si="124"/>
        <v/>
      </c>
      <c r="CF189" s="71" t="str">
        <f t="shared" ca="1" si="125"/>
        <v/>
      </c>
      <c r="CG189" s="33" t="str">
        <f t="shared" si="126"/>
        <v/>
      </c>
      <c r="CH189" s="261" t="str">
        <f t="shared" ca="1" si="127"/>
        <v/>
      </c>
    </row>
    <row r="190" spans="2:93" ht="13.5" customHeight="1" x14ac:dyDescent="0.2">
      <c r="B190" s="262">
        <v>90</v>
      </c>
      <c r="C190" s="237" t="str">
        <f t="shared" si="91"/>
        <v/>
      </c>
      <c r="D190" s="237" t="str">
        <f t="shared" si="147"/>
        <v/>
      </c>
      <c r="E190" s="263" t="str">
        <f t="shared" si="128"/>
        <v/>
      </c>
      <c r="F190" s="264" t="str">
        <f t="shared" si="129"/>
        <v/>
      </c>
      <c r="G190" s="264" t="str">
        <f t="shared" si="130"/>
        <v/>
      </c>
      <c r="H190" s="240" t="str">
        <f t="shared" si="92"/>
        <v/>
      </c>
      <c r="I190" s="265" t="str">
        <f t="shared" si="93"/>
        <v/>
      </c>
      <c r="J190" s="265" t="str">
        <f t="shared" si="94"/>
        <v/>
      </c>
      <c r="K190" s="240" t="str">
        <f t="shared" si="95"/>
        <v/>
      </c>
      <c r="L190" s="265" t="str">
        <f t="shared" si="96"/>
        <v/>
      </c>
      <c r="M190" s="265" t="str">
        <f t="shared" si="97"/>
        <v/>
      </c>
      <c r="N190" s="240" t="str">
        <f t="shared" si="98"/>
        <v>-</v>
      </c>
      <c r="O190" s="265" t="str">
        <f t="shared" si="99"/>
        <v>-</v>
      </c>
      <c r="P190" s="265" t="str">
        <f t="shared" si="100"/>
        <v>-</v>
      </c>
      <c r="Q190" s="266" t="str">
        <f t="shared" si="101"/>
        <v>-</v>
      </c>
      <c r="R190" s="267" t="str">
        <f t="shared" si="102"/>
        <v>-</v>
      </c>
      <c r="S190" s="268" t="str">
        <f t="shared" si="103"/>
        <v>-</v>
      </c>
      <c r="T190" s="269" t="str">
        <f t="shared" si="104"/>
        <v/>
      </c>
      <c r="U190" s="221">
        <f t="shared" si="105"/>
        <v>90</v>
      </c>
      <c r="V190" s="220" t="str">
        <f t="shared" si="131"/>
        <v>-</v>
      </c>
      <c r="W190" s="221" t="str">
        <f t="shared" si="132"/>
        <v>-</v>
      </c>
      <c r="X190" s="221" t="str">
        <f t="shared" si="106"/>
        <v>-</v>
      </c>
      <c r="Y190" s="221" t="str">
        <f t="shared" si="107"/>
        <v>-</v>
      </c>
      <c r="Z190" s="270">
        <f t="shared" si="133"/>
        <v>0.1</v>
      </c>
      <c r="AA190" s="271" t="str">
        <f>IFERROR(IF(V189=1,AA$100*EXP(-(LN(2)/$D$65+0.04)*X189)*EXP(-(LN(2)/$D$65+0.1)*Y189),IF(V189=2,AA$100*EXP(-(LN(2)/$D$65+0.04)*(VLOOKUP(($F$16-$F$15)-1,U$99:Y189,4,FALSE)))*EXP(-(LN(2)/$D$65+0.1)*(VLOOKUP(($F$16-$F$15)-1,U$99:Y189,5,FALSE)))*EXP(-(LN(2)/$D$65+0.04)*X189)*EXP(-(LN(2)/$D$65+0.1)*Y189),IF(V189=3,AA$100*EXP(-(LN(2)/$D$65+0.04)*(VLOOKUP(($F$16-$F$15)-1,U$99:Y189,4,FALSE)))*EXP(-(LN(2)/$D$65+0.1)*(VLOOKUP(($F$16-$F$15)-1,U$99:Y189,5,FALSE)))*EXP(-(LN(2)/$D$65+0.04)*(VLOOKUP(($F$16-$F$15)*2-1,U$99:Y189,4,FALSE)))*EXP(-(LN(2)/$D$65+0.1)*(VLOOKUP(($F$16-$F$15)*2-1,U$99:Y189,5,FALSE)))*EXP(-(LN(2)/$D$65+0.04)*X189)*EXP(-(LN(2)/$D$65+0.1)*Y189),"-"))),"-")</f>
        <v>-</v>
      </c>
      <c r="AB190" s="271" t="str">
        <f>IFERROR(IF(V190=1,AB$100*EXP(-(LN(2)/$D$65+0.04)*X190)*EXP(-(LN(2)/$D$65+0.1)*Y190),IF(V190=2,AB$100*EXP(-(LN(2)/$D$65+0.04)*(VLOOKUP(($F$16-$F$15)-1,U$100:Y190,4,FALSE)))*EXP(-(LN(2)/$D$65+0.1)*(VLOOKUP(($F$16-$F$15)-1,U$100:Y190,5,FALSE)))*EXP(-(LN(2)/$D$65+0.04)*X190)*EXP(-(LN(2)/$D$65+0.1)*Y190),IF(V190=3,AB$100*EXP(-(LN(2)/$D$65+0.04)*(VLOOKUP(($F$16-$F$15)-1,U$100:Y190,4,FALSE)))*EXP(-(LN(2)/$D$65+0.1)*(VLOOKUP(($F$16-$F$15)-1,U$100:Y190,5,FALSE)))*EXP(-(LN(2)/$D$65+0.04)*(VLOOKUP(($F$16-$F$15)*2-1,U$100:Y190,4,FALSE)))*EXP(-(LN(2)/$D$65+0.1)*(VLOOKUP(($F$16-$F$15)*2-1,U$100:Y190,5,FALSE)))*EXP(-(LN(2)/$D$65+0.04)*X190)*EXP(-(LN(2)/$D$65+0.1)*Y190),"-"))),"-")</f>
        <v>-</v>
      </c>
      <c r="AC190" s="224">
        <f t="shared" si="134"/>
        <v>90</v>
      </c>
      <c r="AD190" s="223" t="str">
        <f t="shared" si="108"/>
        <v>-</v>
      </c>
      <c r="AE190" s="224" t="str">
        <f t="shared" si="135"/>
        <v>-</v>
      </c>
      <c r="AF190" s="224" t="str">
        <f t="shared" si="109"/>
        <v>-</v>
      </c>
      <c r="AG190" s="224" t="str">
        <f t="shared" si="110"/>
        <v>-</v>
      </c>
      <c r="AH190" s="272">
        <f t="shared" si="136"/>
        <v>0.1</v>
      </c>
      <c r="AI190" s="271" t="str">
        <f>IFERROR(IF(AD189=1,AI$100*EXP(-(LN(2)/$D$65+0.04)*AF189)*EXP(-(LN(2)/$D$65+0.1)*AG189),IF(AD189=2,AI$100*EXP(-(LN(2)/$D$65+0.04)*(VLOOKUP(($F$16-$F$15)-1,AC$99:AG189,4,FALSE)))*EXP(-(LN(2)/$D$65+0.1)*(VLOOKUP(($F$16-$F$15)-1,AC$99:AG189,5,FALSE)))*EXP(-(LN(2)/$D$65+0.04)*AF189)*EXP(-(LN(2)/$D$65+0.1)*AG189),IF(AD189=3,AI$100*EXP(-(LN(2)/$D$65+0.04)*(VLOOKUP(($F$16-$F$15)-1,AC$99:AG189,4,FALSE)))*EXP(-(LN(2)/$D$65+0.1)*(VLOOKUP(($F$16-$F$15)-1,AC$99:AG189,5,FALSE)))*EXP(-(LN(2)/$D$65+0.04)*(VLOOKUP(($F$16-$F$15)*2-1,AC$99:AG189,4,FALSE)))*EXP(-(LN(2)/$D$65+0.1)*(VLOOKUP(($F$16-$F$15)*2-1,AC$99:AG189,5,FALSE)))*EXP(-(LN(2)/$D$65+0.04)*AF189)*EXP(-(LN(2)/$D$65+0.1)*AG189),"-"))),"-")</f>
        <v>-</v>
      </c>
      <c r="AJ190" s="271" t="str">
        <f>IFERROR(IF(AD190=1,AJ$100*EXP(-(LN(2)/$D$65+0.04)*AF190)*EXP(-(LN(2)/$D$65+0.1)*AG190),IF(AD190=2,AJ$100*EXP(-(LN(2)/$D$65+0.04)*(VLOOKUP(($F$16-$F$15)-1,AC$100:AG190,4,FALSE)))*EXP(-(LN(2)/$D$65+0.1)*(VLOOKUP(($F$16-$F$15)-1,AC$100:AG190,5,FALSE)))*EXP(-(LN(2)/$D$65+0.04)*AF190)*EXP(-(LN(2)/$D$65+0.1)*AG190),IF(AD190=3,AJ$100*EXP(-(LN(2)/$D$65+0.04)*(VLOOKUP(($F$16-$F$15)-1,AC$100:AG190,4,FALSE)))*EXP(-(LN(2)/$D$65+0.1)*(VLOOKUP(($F$16-$F$15)-1,AC$100:AG190,5,FALSE)))*EXP(-(LN(2)/$D$65+0.04)*(VLOOKUP(($F$16-$F$15)*2-1,AC$100:AG190,4,FALSE)))*EXP(-(LN(2)/$D$65+0.1)*(VLOOKUP(($F$16-$F$15)*2-1,AC$100:AG190,5,FALSE)))*EXP(-(LN(2)/$D$65+0.04)*AF190)*EXP(-(LN(2)/$D$65+0.1)*AG190),"-"))),"-")</f>
        <v>-</v>
      </c>
      <c r="AK190" s="227">
        <f t="shared" si="137"/>
        <v>90</v>
      </c>
      <c r="AL190" s="226" t="str">
        <f t="shared" si="111"/>
        <v>-</v>
      </c>
      <c r="AM190" s="227" t="str">
        <f t="shared" si="138"/>
        <v>-</v>
      </c>
      <c r="AN190" s="227" t="str">
        <f t="shared" si="139"/>
        <v>-</v>
      </c>
      <c r="AO190" s="227" t="str">
        <f t="shared" si="112"/>
        <v>-</v>
      </c>
      <c r="AP190" s="273">
        <f t="shared" si="140"/>
        <v>0.1</v>
      </c>
      <c r="AQ190" s="271" t="str">
        <f>IFERROR(IF(AL189=1,AQ$100*EXP(-(LN(2)/$D$65+0.04)*AN189)*EXP(-(LN(2)/$D$65+0.1)*AO189),IF(AL189=2,AQ$100*EXP(-(LN(2)/$D$65+0.04)*(VLOOKUP(($F$16-$F$15)-1,AK$99:AO189,4,FALSE)))*EXP(-(LN(2)/$D$65+0.1)*(VLOOKUP(($F$16-$F$15)-1,AK$99:AO189,5,FALSE)))*EXP(-(LN(2)/$D$65+0.04)*AN189)*EXP(-(LN(2)/$D$65+0.1)*AO189),IF(AL189=3,AQ$100*EXP(-(LN(2)/$D$65+0.04)*(VLOOKUP(($F$16-$F$15)-1,AK$99:AO189,4,FALSE)))*EXP(-(LN(2)/$D$65+0.1)*(VLOOKUP(($F$16-$F$15)-1,AK$99:AO189,5,FALSE)))*EXP(-(LN(2)/$D$65+0.04)*(VLOOKUP(($F$16-$F$15)*2-1,AK$99:AO189,4,FALSE)))*EXP(-(LN(2)/$D$65+0.1)*(VLOOKUP(($F$16-$F$15)*2-1,AK$99:AO189,5,FALSE)))*EXP(-(LN(2)/$D$65+0.04)*AN189)*EXP(-(LN(2)/$D$65+0.1)*AO189),"-"))),"-")</f>
        <v>-</v>
      </c>
      <c r="AR190" s="271" t="str">
        <f>IFERROR(IF(AL190=1,AR$100*EXP(-(LN(2)/$D$65+0.04)*AN190)*EXP(-(LN(2)/$D$65+0.1)*AO190),IF(AL190=2,AR$100*EXP(-(LN(2)/$D$65+0.04)*(VLOOKUP(($F$16-$F$15)-1,AK$100:AO190,4,FALSE)))*EXP(-(LN(2)/$D$65+0.1)*(VLOOKUP(($F$16-$F$15)-1,AK$100:AO190,5,FALSE)))*EXP(-(LN(2)/$D$65+0.04)*AN190)*EXP(-(LN(2)/$D$65+0.1)*AO190),IF(AL190=3,AR$100*EXP(-(LN(2)/$D$65+0.04)*(VLOOKUP(($F$16-$F$15)-1,AK$100:AO190,4,FALSE)))*EXP(-(LN(2)/$D$65+0.1)*(VLOOKUP(($F$16-$F$15)-1,AK$100:AO190,5,FALSE)))*EXP(-(LN(2)/$D$65+0.04)*(VLOOKUP(($F$16-$F$15)*2-1,AK$100:AO190,4,FALSE)))*EXP(-(LN(2)/$D$65+0.1)*(VLOOKUP(($F$16-$F$15)*2-1,AK$100:AO190,5,FALSE)))*EXP(-(LN(2)/$D$65+0.04)*AN190)*EXP(-(LN(2)/$D$65+0.1)*AO190),"-"))),"-")</f>
        <v>-</v>
      </c>
      <c r="AS190" s="274">
        <f t="shared" si="113"/>
        <v>0</v>
      </c>
      <c r="AT190" s="274">
        <f t="shared" si="114"/>
        <v>0</v>
      </c>
      <c r="AU190" s="274">
        <f t="shared" si="115"/>
        <v>0</v>
      </c>
      <c r="AV190" s="190" t="str">
        <f>IF($B190&lt;$F$22,SUM($T$100:$T190),"")</f>
        <v/>
      </c>
      <c r="AW190" s="190" t="str">
        <f t="shared" si="116"/>
        <v>-</v>
      </c>
      <c r="AX190" s="190" t="str">
        <f t="shared" si="141"/>
        <v/>
      </c>
      <c r="AY190"/>
      <c r="AZ190" s="190" t="str">
        <f ca="1">IF(ISNUMBER(OFFSET(AV190,-$F$21,0)),SUM(OFFSET($T$100,$F$21,0):$T190),"")</f>
        <v/>
      </c>
      <c r="BA190" s="190" t="str">
        <f t="shared" ca="1" si="117"/>
        <v/>
      </c>
      <c r="BB190" s="190" t="str">
        <f t="shared" ca="1" si="148"/>
        <v/>
      </c>
      <c r="BC190" s="190"/>
      <c r="BD190" s="190" t="str">
        <f ca="1">IFERROR(IF(OR(ISNUMBER(I),ISNUMBER($F$14)),IF(AND($B190&gt;=($F$16-$F$15),$B190&lt;$F$22+($F$16-$F$15)),SUM(OFFSET($T$100,($F$16-$F$15),0):$T190),""),""),"")</f>
        <v/>
      </c>
      <c r="BE190" s="190" t="str">
        <f t="shared" ca="1" si="142"/>
        <v/>
      </c>
      <c r="BF190" s="190" t="str">
        <f t="shared" ca="1" si="143"/>
        <v/>
      </c>
      <c r="BG190"/>
      <c r="BH190" s="190" t="str">
        <f ca="1">IF(ISNUMBER(OFFSET(BD190,-$F$21,0)),SUM(OFFSET($T$100,($F$16-$F$15+$F$21),0):$T190),"")</f>
        <v/>
      </c>
      <c r="BI190" s="190" t="str">
        <f t="shared" ca="1" si="118"/>
        <v/>
      </c>
      <c r="BJ190" s="190" t="str">
        <f t="shared" ca="1" si="144"/>
        <v/>
      </c>
      <c r="BK190" s="190"/>
      <c r="BL190" s="190" t="str">
        <f ca="1">IFERROR(IF(OR(ISNUMBER(I),ISNUMBER($F$14)),IF(AND($B190&gt;=($F$17-$F$15),$B190&lt;$F$22+($F$17-$F$15)),SUM(OFFSET($T$100,($F$17-$F$15),0):$T190),""),""),"")</f>
        <v/>
      </c>
      <c r="BM190" s="190" t="str">
        <f t="shared" ca="1" si="119"/>
        <v/>
      </c>
      <c r="BN190" s="190" t="str">
        <f t="shared" ca="1" si="145"/>
        <v/>
      </c>
      <c r="BO190"/>
      <c r="BP190" s="190" t="str">
        <f ca="1">IF(ISNUMBER(OFFSET(BL190,-$F$21,0)),SUM(OFFSET($T$100,($F$17-$F$15+$F$21),0):$T190),"")</f>
        <v/>
      </c>
      <c r="BQ190" s="190" t="str">
        <f t="shared" ca="1" si="120"/>
        <v/>
      </c>
      <c r="BR190" s="190" t="str">
        <f t="shared" ca="1" si="146"/>
        <v/>
      </c>
      <c r="BS190" s="190"/>
      <c r="BT190"/>
      <c r="BU190"/>
      <c r="BV190"/>
      <c r="BY190" s="99"/>
      <c r="BZ190" s="99"/>
      <c r="CA190" s="280" t="str">
        <f t="shared" si="121"/>
        <v/>
      </c>
      <c r="CB190" s="71" t="str">
        <f t="shared" si="122"/>
        <v>-</v>
      </c>
      <c r="CC190" s="33"/>
      <c r="CD190" s="261" t="str">
        <f t="shared" si="123"/>
        <v/>
      </c>
      <c r="CE190" s="280" t="str">
        <f t="shared" si="124"/>
        <v/>
      </c>
      <c r="CF190" s="71" t="str">
        <f t="shared" ca="1" si="125"/>
        <v/>
      </c>
      <c r="CG190" s="33" t="str">
        <f t="shared" si="126"/>
        <v/>
      </c>
      <c r="CH190" s="261" t="str">
        <f t="shared" ca="1" si="127"/>
        <v/>
      </c>
    </row>
    <row r="191" spans="2:93" ht="13.5" customHeight="1" x14ac:dyDescent="0.2">
      <c r="B191" s="262">
        <v>91</v>
      </c>
      <c r="C191" s="237" t="str">
        <f t="shared" si="91"/>
        <v/>
      </c>
      <c r="D191" s="237" t="str">
        <f t="shared" si="147"/>
        <v/>
      </c>
      <c r="E191" s="263" t="str">
        <f t="shared" si="128"/>
        <v/>
      </c>
      <c r="F191" s="264" t="str">
        <f t="shared" si="129"/>
        <v/>
      </c>
      <c r="G191" s="264" t="str">
        <f t="shared" si="130"/>
        <v/>
      </c>
      <c r="H191" s="240" t="str">
        <f t="shared" si="92"/>
        <v/>
      </c>
      <c r="I191" s="265" t="str">
        <f t="shared" si="93"/>
        <v/>
      </c>
      <c r="J191" s="265" t="str">
        <f t="shared" si="94"/>
        <v/>
      </c>
      <c r="K191" s="240" t="str">
        <f t="shared" si="95"/>
        <v/>
      </c>
      <c r="L191" s="265" t="str">
        <f t="shared" si="96"/>
        <v/>
      </c>
      <c r="M191" s="265" t="str">
        <f t="shared" si="97"/>
        <v/>
      </c>
      <c r="N191" s="240" t="str">
        <f t="shared" si="98"/>
        <v>-</v>
      </c>
      <c r="O191" s="265" t="str">
        <f t="shared" si="99"/>
        <v>-</v>
      </c>
      <c r="P191" s="265" t="str">
        <f t="shared" si="100"/>
        <v>-</v>
      </c>
      <c r="Q191" s="266" t="str">
        <f t="shared" si="101"/>
        <v>-</v>
      </c>
      <c r="R191" s="267" t="str">
        <f t="shared" si="102"/>
        <v>-</v>
      </c>
      <c r="S191" s="268" t="str">
        <f t="shared" si="103"/>
        <v>-</v>
      </c>
      <c r="T191" s="269" t="str">
        <f t="shared" si="104"/>
        <v/>
      </c>
      <c r="U191" s="221">
        <f t="shared" si="105"/>
        <v>91</v>
      </c>
      <c r="V191" s="220" t="str">
        <f t="shared" si="131"/>
        <v>-</v>
      </c>
      <c r="W191" s="221" t="str">
        <f t="shared" si="132"/>
        <v>-</v>
      </c>
      <c r="X191" s="221" t="str">
        <f t="shared" si="106"/>
        <v>-</v>
      </c>
      <c r="Y191" s="221" t="str">
        <f t="shared" si="107"/>
        <v>-</v>
      </c>
      <c r="Z191" s="270">
        <f t="shared" si="133"/>
        <v>0.1</v>
      </c>
      <c r="AA191" s="271" t="str">
        <f>IFERROR(IF(V190=1,AA$100*EXP(-(LN(2)/$D$65+0.04)*X190)*EXP(-(LN(2)/$D$65+0.1)*Y190),IF(V190=2,AA$100*EXP(-(LN(2)/$D$65+0.04)*(VLOOKUP(($F$16-$F$15)-1,U$99:Y190,4,FALSE)))*EXP(-(LN(2)/$D$65+0.1)*(VLOOKUP(($F$16-$F$15)-1,U$99:Y190,5,FALSE)))*EXP(-(LN(2)/$D$65+0.04)*X190)*EXP(-(LN(2)/$D$65+0.1)*Y190),IF(V190=3,AA$100*EXP(-(LN(2)/$D$65+0.04)*(VLOOKUP(($F$16-$F$15)-1,U$99:Y190,4,FALSE)))*EXP(-(LN(2)/$D$65+0.1)*(VLOOKUP(($F$16-$F$15)-1,U$99:Y190,5,FALSE)))*EXP(-(LN(2)/$D$65+0.04)*(VLOOKUP(($F$16-$F$15)*2-1,U$99:Y190,4,FALSE)))*EXP(-(LN(2)/$D$65+0.1)*(VLOOKUP(($F$16-$F$15)*2-1,U$99:Y190,5,FALSE)))*EXP(-(LN(2)/$D$65+0.04)*X190)*EXP(-(LN(2)/$D$65+0.1)*Y190),"-"))),"-")</f>
        <v>-</v>
      </c>
      <c r="AB191" s="271" t="str">
        <f>IFERROR(IF(V191=1,AB$100*EXP(-(LN(2)/$D$65+0.04)*X191)*EXP(-(LN(2)/$D$65+0.1)*Y191),IF(V191=2,AB$100*EXP(-(LN(2)/$D$65+0.04)*(VLOOKUP(($F$16-$F$15)-1,U$100:Y191,4,FALSE)))*EXP(-(LN(2)/$D$65+0.1)*(VLOOKUP(($F$16-$F$15)-1,U$100:Y191,5,FALSE)))*EXP(-(LN(2)/$D$65+0.04)*X191)*EXP(-(LN(2)/$D$65+0.1)*Y191),IF(V191=3,AB$100*EXP(-(LN(2)/$D$65+0.04)*(VLOOKUP(($F$16-$F$15)-1,U$100:Y191,4,FALSE)))*EXP(-(LN(2)/$D$65+0.1)*(VLOOKUP(($F$16-$F$15)-1,U$100:Y191,5,FALSE)))*EXP(-(LN(2)/$D$65+0.04)*(VLOOKUP(($F$16-$F$15)*2-1,U$100:Y191,4,FALSE)))*EXP(-(LN(2)/$D$65+0.1)*(VLOOKUP(($F$16-$F$15)*2-1,U$100:Y191,5,FALSE)))*EXP(-(LN(2)/$D$65+0.04)*X191)*EXP(-(LN(2)/$D$65+0.1)*Y191),"-"))),"-")</f>
        <v>-</v>
      </c>
      <c r="AC191" s="224">
        <f t="shared" si="134"/>
        <v>91</v>
      </c>
      <c r="AD191" s="223" t="str">
        <f t="shared" si="108"/>
        <v>-</v>
      </c>
      <c r="AE191" s="224" t="str">
        <f t="shared" si="135"/>
        <v>-</v>
      </c>
      <c r="AF191" s="224" t="str">
        <f t="shared" si="109"/>
        <v>-</v>
      </c>
      <c r="AG191" s="224" t="str">
        <f t="shared" si="110"/>
        <v>-</v>
      </c>
      <c r="AH191" s="272">
        <f t="shared" si="136"/>
        <v>0.1</v>
      </c>
      <c r="AI191" s="271" t="str">
        <f>IFERROR(IF(AD190=1,AI$100*EXP(-(LN(2)/$D$65+0.04)*AF190)*EXP(-(LN(2)/$D$65+0.1)*AG190),IF(AD190=2,AI$100*EXP(-(LN(2)/$D$65+0.04)*(VLOOKUP(($F$16-$F$15)-1,AC$99:AG190,4,FALSE)))*EXP(-(LN(2)/$D$65+0.1)*(VLOOKUP(($F$16-$F$15)-1,AC$99:AG190,5,FALSE)))*EXP(-(LN(2)/$D$65+0.04)*AF190)*EXP(-(LN(2)/$D$65+0.1)*AG190),IF(AD190=3,AI$100*EXP(-(LN(2)/$D$65+0.04)*(VLOOKUP(($F$16-$F$15)-1,AC$99:AG190,4,FALSE)))*EXP(-(LN(2)/$D$65+0.1)*(VLOOKUP(($F$16-$F$15)-1,AC$99:AG190,5,FALSE)))*EXP(-(LN(2)/$D$65+0.04)*(VLOOKUP(($F$16-$F$15)*2-1,AC$99:AG190,4,FALSE)))*EXP(-(LN(2)/$D$65+0.1)*(VLOOKUP(($F$16-$F$15)*2-1,AC$99:AG190,5,FALSE)))*EXP(-(LN(2)/$D$65+0.04)*AF190)*EXP(-(LN(2)/$D$65+0.1)*AG190),"-"))),"-")</f>
        <v>-</v>
      </c>
      <c r="AJ191" s="271" t="str">
        <f>IFERROR(IF(AD191=1,AJ$100*EXP(-(LN(2)/$D$65+0.04)*AF191)*EXP(-(LN(2)/$D$65+0.1)*AG191),IF(AD191=2,AJ$100*EXP(-(LN(2)/$D$65+0.04)*(VLOOKUP(($F$16-$F$15)-1,AC$100:AG191,4,FALSE)))*EXP(-(LN(2)/$D$65+0.1)*(VLOOKUP(($F$16-$F$15)-1,AC$100:AG191,5,FALSE)))*EXP(-(LN(2)/$D$65+0.04)*AF191)*EXP(-(LN(2)/$D$65+0.1)*AG191),IF(AD191=3,AJ$100*EXP(-(LN(2)/$D$65+0.04)*(VLOOKUP(($F$16-$F$15)-1,AC$100:AG191,4,FALSE)))*EXP(-(LN(2)/$D$65+0.1)*(VLOOKUP(($F$16-$F$15)-1,AC$100:AG191,5,FALSE)))*EXP(-(LN(2)/$D$65+0.04)*(VLOOKUP(($F$16-$F$15)*2-1,AC$100:AG191,4,FALSE)))*EXP(-(LN(2)/$D$65+0.1)*(VLOOKUP(($F$16-$F$15)*2-1,AC$100:AG191,5,FALSE)))*EXP(-(LN(2)/$D$65+0.04)*AF191)*EXP(-(LN(2)/$D$65+0.1)*AG191),"-"))),"-")</f>
        <v>-</v>
      </c>
      <c r="AK191" s="227">
        <f t="shared" si="137"/>
        <v>91</v>
      </c>
      <c r="AL191" s="226" t="str">
        <f t="shared" si="111"/>
        <v>-</v>
      </c>
      <c r="AM191" s="227" t="str">
        <f t="shared" si="138"/>
        <v>-</v>
      </c>
      <c r="AN191" s="227" t="str">
        <f t="shared" si="139"/>
        <v>-</v>
      </c>
      <c r="AO191" s="227" t="str">
        <f t="shared" si="112"/>
        <v>-</v>
      </c>
      <c r="AP191" s="273">
        <f t="shared" si="140"/>
        <v>0.1</v>
      </c>
      <c r="AQ191" s="271" t="str">
        <f>IFERROR(IF(AL190=1,AQ$100*EXP(-(LN(2)/$D$65+0.04)*AN190)*EXP(-(LN(2)/$D$65+0.1)*AO190),IF(AL190=2,AQ$100*EXP(-(LN(2)/$D$65+0.04)*(VLOOKUP(($F$16-$F$15)-1,AK$99:AO190,4,FALSE)))*EXP(-(LN(2)/$D$65+0.1)*(VLOOKUP(($F$16-$F$15)-1,AK$99:AO190,5,FALSE)))*EXP(-(LN(2)/$D$65+0.04)*AN190)*EXP(-(LN(2)/$D$65+0.1)*AO190),IF(AL190=3,AQ$100*EXP(-(LN(2)/$D$65+0.04)*(VLOOKUP(($F$16-$F$15)-1,AK$99:AO190,4,FALSE)))*EXP(-(LN(2)/$D$65+0.1)*(VLOOKUP(($F$16-$F$15)-1,AK$99:AO190,5,FALSE)))*EXP(-(LN(2)/$D$65+0.04)*(VLOOKUP(($F$16-$F$15)*2-1,AK$99:AO190,4,FALSE)))*EXP(-(LN(2)/$D$65+0.1)*(VLOOKUP(($F$16-$F$15)*2-1,AK$99:AO190,5,FALSE)))*EXP(-(LN(2)/$D$65+0.04)*AN190)*EXP(-(LN(2)/$D$65+0.1)*AO190),"-"))),"-")</f>
        <v>-</v>
      </c>
      <c r="AR191" s="271" t="str">
        <f>IFERROR(IF(AL191=1,AR$100*EXP(-(LN(2)/$D$65+0.04)*AN191)*EXP(-(LN(2)/$D$65+0.1)*AO191),IF(AL191=2,AR$100*EXP(-(LN(2)/$D$65+0.04)*(VLOOKUP(($F$16-$F$15)-1,AK$100:AO191,4,FALSE)))*EXP(-(LN(2)/$D$65+0.1)*(VLOOKUP(($F$16-$F$15)-1,AK$100:AO191,5,FALSE)))*EXP(-(LN(2)/$D$65+0.04)*AN191)*EXP(-(LN(2)/$D$65+0.1)*AO191),IF(AL191=3,AR$100*EXP(-(LN(2)/$D$65+0.04)*(VLOOKUP(($F$16-$F$15)-1,AK$100:AO191,4,FALSE)))*EXP(-(LN(2)/$D$65+0.1)*(VLOOKUP(($F$16-$F$15)-1,AK$100:AO191,5,FALSE)))*EXP(-(LN(2)/$D$65+0.04)*(VLOOKUP(($F$16-$F$15)*2-1,AK$100:AO191,4,FALSE)))*EXP(-(LN(2)/$D$65+0.1)*(VLOOKUP(($F$16-$F$15)*2-1,AK$100:AO191,5,FALSE)))*EXP(-(LN(2)/$D$65+0.04)*AN191)*EXP(-(LN(2)/$D$65+0.1)*AO191),"-"))),"-")</f>
        <v>-</v>
      </c>
      <c r="AS191" s="274">
        <f t="shared" si="113"/>
        <v>0</v>
      </c>
      <c r="AT191" s="274">
        <f t="shared" si="114"/>
        <v>0</v>
      </c>
      <c r="AU191" s="274">
        <f t="shared" si="115"/>
        <v>0</v>
      </c>
      <c r="AV191" s="190" t="str">
        <f>IF($B191&lt;$F$22,SUM($T$100:$T191),"")</f>
        <v/>
      </c>
      <c r="AW191" s="190" t="str">
        <f t="shared" si="116"/>
        <v>-</v>
      </c>
      <c r="AX191" s="190" t="str">
        <f t="shared" si="141"/>
        <v/>
      </c>
      <c r="AY191"/>
      <c r="AZ191" s="190" t="str">
        <f ca="1">IF(ISNUMBER(OFFSET(AV191,-$F$21,0)),SUM(OFFSET($T$100,$F$21,0):$T191),"")</f>
        <v/>
      </c>
      <c r="BA191" s="190" t="str">
        <f t="shared" ca="1" si="117"/>
        <v/>
      </c>
      <c r="BB191" s="190" t="str">
        <f t="shared" ca="1" si="148"/>
        <v/>
      </c>
      <c r="BC191" s="190"/>
      <c r="BD191" s="190" t="str">
        <f ca="1">IFERROR(IF(OR(ISNUMBER(I),ISNUMBER($F$14)),IF(AND($B191&gt;=($F$16-$F$15),$B191&lt;$F$22+($F$16-$F$15)),SUM(OFFSET($T$100,($F$16-$F$15),0):$T191),""),""),"")</f>
        <v/>
      </c>
      <c r="BE191" s="190" t="str">
        <f t="shared" ca="1" si="142"/>
        <v/>
      </c>
      <c r="BF191" s="190" t="str">
        <f t="shared" ca="1" si="143"/>
        <v/>
      </c>
      <c r="BG191"/>
      <c r="BH191" s="190" t="str">
        <f ca="1">IF(ISNUMBER(OFFSET(BD191,-$F$21,0)),SUM(OFFSET($T$100,($F$16-$F$15+$F$21),0):$T191),"")</f>
        <v/>
      </c>
      <c r="BI191" s="190" t="str">
        <f t="shared" ca="1" si="118"/>
        <v/>
      </c>
      <c r="BJ191" s="190" t="str">
        <f t="shared" ca="1" si="144"/>
        <v/>
      </c>
      <c r="BK191" s="190"/>
      <c r="BL191" s="190" t="str">
        <f ca="1">IFERROR(IF(OR(ISNUMBER(I),ISNUMBER($F$14)),IF(AND($B191&gt;=($F$17-$F$15),$B191&lt;$F$22+($F$17-$F$15)),SUM(OFFSET($T$100,($F$17-$F$15),0):$T191),""),""),"")</f>
        <v/>
      </c>
      <c r="BM191" s="190" t="str">
        <f t="shared" ca="1" si="119"/>
        <v/>
      </c>
      <c r="BN191" s="190" t="str">
        <f t="shared" ca="1" si="145"/>
        <v/>
      </c>
      <c r="BO191"/>
      <c r="BP191" s="190" t="str">
        <f ca="1">IF(ISNUMBER(OFFSET(BL191,-$F$21,0)),SUM(OFFSET($T$100,($F$17-$F$15+$F$21),0):$T191),"")</f>
        <v/>
      </c>
      <c r="BQ191" s="190" t="str">
        <f t="shared" ca="1" si="120"/>
        <v/>
      </c>
      <c r="BR191" s="190" t="str">
        <f t="shared" ca="1" si="146"/>
        <v/>
      </c>
      <c r="BS191" s="190"/>
      <c r="BT191"/>
      <c r="BU191"/>
      <c r="BV191"/>
      <c r="BY191" s="99"/>
      <c r="BZ191" s="99"/>
      <c r="CA191" s="280" t="str">
        <f t="shared" si="121"/>
        <v/>
      </c>
      <c r="CB191" s="71" t="str">
        <f t="shared" si="122"/>
        <v>-</v>
      </c>
      <c r="CC191" s="33"/>
      <c r="CD191" s="261" t="str">
        <f t="shared" si="123"/>
        <v/>
      </c>
      <c r="CE191" s="280" t="str">
        <f t="shared" si="124"/>
        <v/>
      </c>
      <c r="CF191" s="71" t="str">
        <f t="shared" ca="1" si="125"/>
        <v/>
      </c>
      <c r="CG191" s="33" t="str">
        <f t="shared" si="126"/>
        <v/>
      </c>
      <c r="CH191" s="261" t="str">
        <f t="shared" ca="1" si="127"/>
        <v/>
      </c>
    </row>
    <row r="192" spans="2:93" ht="13.5" customHeight="1" x14ac:dyDescent="0.2">
      <c r="B192" s="262">
        <v>92</v>
      </c>
      <c r="C192" s="237" t="str">
        <f t="shared" si="91"/>
        <v/>
      </c>
      <c r="D192" s="237" t="str">
        <f t="shared" si="147"/>
        <v/>
      </c>
      <c r="E192" s="263" t="str">
        <f t="shared" si="128"/>
        <v/>
      </c>
      <c r="F192" s="264" t="str">
        <f t="shared" si="129"/>
        <v/>
      </c>
      <c r="G192" s="264" t="str">
        <f t="shared" si="130"/>
        <v/>
      </c>
      <c r="H192" s="240" t="str">
        <f t="shared" si="92"/>
        <v/>
      </c>
      <c r="I192" s="265" t="str">
        <f t="shared" si="93"/>
        <v/>
      </c>
      <c r="J192" s="265" t="str">
        <f t="shared" si="94"/>
        <v/>
      </c>
      <c r="K192" s="240" t="str">
        <f t="shared" si="95"/>
        <v/>
      </c>
      <c r="L192" s="265" t="str">
        <f t="shared" si="96"/>
        <v/>
      </c>
      <c r="M192" s="265" t="str">
        <f t="shared" si="97"/>
        <v/>
      </c>
      <c r="N192" s="240" t="str">
        <f t="shared" si="98"/>
        <v>-</v>
      </c>
      <c r="O192" s="265" t="str">
        <f t="shared" si="99"/>
        <v>-</v>
      </c>
      <c r="P192" s="265" t="str">
        <f t="shared" si="100"/>
        <v>-</v>
      </c>
      <c r="Q192" s="266" t="str">
        <f t="shared" si="101"/>
        <v>-</v>
      </c>
      <c r="R192" s="267" t="str">
        <f t="shared" si="102"/>
        <v>-</v>
      </c>
      <c r="S192" s="268" t="str">
        <f t="shared" si="103"/>
        <v>-</v>
      </c>
      <c r="T192" s="269" t="str">
        <f t="shared" si="104"/>
        <v/>
      </c>
      <c r="U192" s="221">
        <f t="shared" si="105"/>
        <v>92</v>
      </c>
      <c r="V192" s="220" t="str">
        <f t="shared" si="131"/>
        <v>-</v>
      </c>
      <c r="W192" s="221" t="str">
        <f t="shared" si="132"/>
        <v>-</v>
      </c>
      <c r="X192" s="221" t="str">
        <f t="shared" si="106"/>
        <v>-</v>
      </c>
      <c r="Y192" s="221" t="str">
        <f t="shared" si="107"/>
        <v>-</v>
      </c>
      <c r="Z192" s="270">
        <f t="shared" si="133"/>
        <v>0.1</v>
      </c>
      <c r="AA192" s="271" t="str">
        <f>IFERROR(IF(V191=1,AA$100*EXP(-(LN(2)/$D$65+0.04)*X191)*EXP(-(LN(2)/$D$65+0.1)*Y191),IF(V191=2,AA$100*EXP(-(LN(2)/$D$65+0.04)*(VLOOKUP(($F$16-$F$15)-1,U$99:Y191,4,FALSE)))*EXP(-(LN(2)/$D$65+0.1)*(VLOOKUP(($F$16-$F$15)-1,U$99:Y191,5,FALSE)))*EXP(-(LN(2)/$D$65+0.04)*X191)*EXP(-(LN(2)/$D$65+0.1)*Y191),IF(V191=3,AA$100*EXP(-(LN(2)/$D$65+0.04)*(VLOOKUP(($F$16-$F$15)-1,U$99:Y191,4,FALSE)))*EXP(-(LN(2)/$D$65+0.1)*(VLOOKUP(($F$16-$F$15)-1,U$99:Y191,5,FALSE)))*EXP(-(LN(2)/$D$65+0.04)*(VLOOKUP(($F$16-$F$15)*2-1,U$99:Y191,4,FALSE)))*EXP(-(LN(2)/$D$65+0.1)*(VLOOKUP(($F$16-$F$15)*2-1,U$99:Y191,5,FALSE)))*EXP(-(LN(2)/$D$65+0.04)*X191)*EXP(-(LN(2)/$D$65+0.1)*Y191),"-"))),"-")</f>
        <v>-</v>
      </c>
      <c r="AB192" s="271" t="str">
        <f>IFERROR(IF(V192=1,AB$100*EXP(-(LN(2)/$D$65+0.04)*X192)*EXP(-(LN(2)/$D$65+0.1)*Y192),IF(V192=2,AB$100*EXP(-(LN(2)/$D$65+0.04)*(VLOOKUP(($F$16-$F$15)-1,U$100:Y192,4,FALSE)))*EXP(-(LN(2)/$D$65+0.1)*(VLOOKUP(($F$16-$F$15)-1,U$100:Y192,5,FALSE)))*EXP(-(LN(2)/$D$65+0.04)*X192)*EXP(-(LN(2)/$D$65+0.1)*Y192),IF(V192=3,AB$100*EXP(-(LN(2)/$D$65+0.04)*(VLOOKUP(($F$16-$F$15)-1,U$100:Y192,4,FALSE)))*EXP(-(LN(2)/$D$65+0.1)*(VLOOKUP(($F$16-$F$15)-1,U$100:Y192,5,FALSE)))*EXP(-(LN(2)/$D$65+0.04)*(VLOOKUP(($F$16-$F$15)*2-1,U$100:Y192,4,FALSE)))*EXP(-(LN(2)/$D$65+0.1)*(VLOOKUP(($F$16-$F$15)*2-1,U$100:Y192,5,FALSE)))*EXP(-(LN(2)/$D$65+0.04)*X192)*EXP(-(LN(2)/$D$65+0.1)*Y192),"-"))),"-")</f>
        <v>-</v>
      </c>
      <c r="AC192" s="224">
        <f t="shared" si="134"/>
        <v>92</v>
      </c>
      <c r="AD192" s="223" t="str">
        <f t="shared" si="108"/>
        <v>-</v>
      </c>
      <c r="AE192" s="224" t="str">
        <f t="shared" si="135"/>
        <v>-</v>
      </c>
      <c r="AF192" s="224" t="str">
        <f t="shared" si="109"/>
        <v>-</v>
      </c>
      <c r="AG192" s="224" t="str">
        <f t="shared" si="110"/>
        <v>-</v>
      </c>
      <c r="AH192" s="272">
        <f t="shared" si="136"/>
        <v>0.1</v>
      </c>
      <c r="AI192" s="271" t="str">
        <f>IFERROR(IF(AD191=1,AI$100*EXP(-(LN(2)/$D$65+0.04)*AF191)*EXP(-(LN(2)/$D$65+0.1)*AG191),IF(AD191=2,AI$100*EXP(-(LN(2)/$D$65+0.04)*(VLOOKUP(($F$16-$F$15)-1,AC$99:AG191,4,FALSE)))*EXP(-(LN(2)/$D$65+0.1)*(VLOOKUP(($F$16-$F$15)-1,AC$99:AG191,5,FALSE)))*EXP(-(LN(2)/$D$65+0.04)*AF191)*EXP(-(LN(2)/$D$65+0.1)*AG191),IF(AD191=3,AI$100*EXP(-(LN(2)/$D$65+0.04)*(VLOOKUP(($F$16-$F$15)-1,AC$99:AG191,4,FALSE)))*EXP(-(LN(2)/$D$65+0.1)*(VLOOKUP(($F$16-$F$15)-1,AC$99:AG191,5,FALSE)))*EXP(-(LN(2)/$D$65+0.04)*(VLOOKUP(($F$16-$F$15)*2-1,AC$99:AG191,4,FALSE)))*EXP(-(LN(2)/$D$65+0.1)*(VLOOKUP(($F$16-$F$15)*2-1,AC$99:AG191,5,FALSE)))*EXP(-(LN(2)/$D$65+0.04)*AF191)*EXP(-(LN(2)/$D$65+0.1)*AG191),"-"))),"-")</f>
        <v>-</v>
      </c>
      <c r="AJ192" s="271" t="str">
        <f>IFERROR(IF(AD192=1,AJ$100*EXP(-(LN(2)/$D$65+0.04)*AF192)*EXP(-(LN(2)/$D$65+0.1)*AG192),IF(AD192=2,AJ$100*EXP(-(LN(2)/$D$65+0.04)*(VLOOKUP(($F$16-$F$15)-1,AC$100:AG192,4,FALSE)))*EXP(-(LN(2)/$D$65+0.1)*(VLOOKUP(($F$16-$F$15)-1,AC$100:AG192,5,FALSE)))*EXP(-(LN(2)/$D$65+0.04)*AF192)*EXP(-(LN(2)/$D$65+0.1)*AG192),IF(AD192=3,AJ$100*EXP(-(LN(2)/$D$65+0.04)*(VLOOKUP(($F$16-$F$15)-1,AC$100:AG192,4,FALSE)))*EXP(-(LN(2)/$D$65+0.1)*(VLOOKUP(($F$16-$F$15)-1,AC$100:AG192,5,FALSE)))*EXP(-(LN(2)/$D$65+0.04)*(VLOOKUP(($F$16-$F$15)*2-1,AC$100:AG192,4,FALSE)))*EXP(-(LN(2)/$D$65+0.1)*(VLOOKUP(($F$16-$F$15)*2-1,AC$100:AG192,5,FALSE)))*EXP(-(LN(2)/$D$65+0.04)*AF192)*EXP(-(LN(2)/$D$65+0.1)*AG192),"-"))),"-")</f>
        <v>-</v>
      </c>
      <c r="AK192" s="227">
        <f t="shared" si="137"/>
        <v>92</v>
      </c>
      <c r="AL192" s="226" t="str">
        <f t="shared" si="111"/>
        <v>-</v>
      </c>
      <c r="AM192" s="227" t="str">
        <f t="shared" si="138"/>
        <v>-</v>
      </c>
      <c r="AN192" s="227" t="str">
        <f t="shared" si="139"/>
        <v>-</v>
      </c>
      <c r="AO192" s="227" t="str">
        <f t="shared" si="112"/>
        <v>-</v>
      </c>
      <c r="AP192" s="273">
        <f t="shared" si="140"/>
        <v>0.1</v>
      </c>
      <c r="AQ192" s="271" t="str">
        <f>IFERROR(IF(AL191=1,AQ$100*EXP(-(LN(2)/$D$65+0.04)*AN191)*EXP(-(LN(2)/$D$65+0.1)*AO191),IF(AL191=2,AQ$100*EXP(-(LN(2)/$D$65+0.04)*(VLOOKUP(($F$16-$F$15)-1,AK$99:AO191,4,FALSE)))*EXP(-(LN(2)/$D$65+0.1)*(VLOOKUP(($F$16-$F$15)-1,AK$99:AO191,5,FALSE)))*EXP(-(LN(2)/$D$65+0.04)*AN191)*EXP(-(LN(2)/$D$65+0.1)*AO191),IF(AL191=3,AQ$100*EXP(-(LN(2)/$D$65+0.04)*(VLOOKUP(($F$16-$F$15)-1,AK$99:AO191,4,FALSE)))*EXP(-(LN(2)/$D$65+0.1)*(VLOOKUP(($F$16-$F$15)-1,AK$99:AO191,5,FALSE)))*EXP(-(LN(2)/$D$65+0.04)*(VLOOKUP(($F$16-$F$15)*2-1,AK$99:AO191,4,FALSE)))*EXP(-(LN(2)/$D$65+0.1)*(VLOOKUP(($F$16-$F$15)*2-1,AK$99:AO191,5,FALSE)))*EXP(-(LN(2)/$D$65+0.04)*AN191)*EXP(-(LN(2)/$D$65+0.1)*AO191),"-"))),"-")</f>
        <v>-</v>
      </c>
      <c r="AR192" s="271" t="str">
        <f>IFERROR(IF(AL192=1,AR$100*EXP(-(LN(2)/$D$65+0.04)*AN192)*EXP(-(LN(2)/$D$65+0.1)*AO192),IF(AL192=2,AR$100*EXP(-(LN(2)/$D$65+0.04)*(VLOOKUP(($F$16-$F$15)-1,AK$100:AO192,4,FALSE)))*EXP(-(LN(2)/$D$65+0.1)*(VLOOKUP(($F$16-$F$15)-1,AK$100:AO192,5,FALSE)))*EXP(-(LN(2)/$D$65+0.04)*AN192)*EXP(-(LN(2)/$D$65+0.1)*AO192),IF(AL192=3,AR$100*EXP(-(LN(2)/$D$65+0.04)*(VLOOKUP(($F$16-$F$15)-1,AK$100:AO192,4,FALSE)))*EXP(-(LN(2)/$D$65+0.1)*(VLOOKUP(($F$16-$F$15)-1,AK$100:AO192,5,FALSE)))*EXP(-(LN(2)/$D$65+0.04)*(VLOOKUP(($F$16-$F$15)*2-1,AK$100:AO192,4,FALSE)))*EXP(-(LN(2)/$D$65+0.1)*(VLOOKUP(($F$16-$F$15)*2-1,AK$100:AO192,5,FALSE)))*EXP(-(LN(2)/$D$65+0.04)*AN192)*EXP(-(LN(2)/$D$65+0.1)*AO192),"-"))),"-")</f>
        <v>-</v>
      </c>
      <c r="AS192" s="274">
        <f t="shared" si="113"/>
        <v>0</v>
      </c>
      <c r="AT192" s="274">
        <f t="shared" si="114"/>
        <v>0</v>
      </c>
      <c r="AU192" s="274">
        <f t="shared" si="115"/>
        <v>0</v>
      </c>
      <c r="AV192" s="190" t="str">
        <f>IF($B192&lt;$F$22,SUM($T$100:$T192),"")</f>
        <v/>
      </c>
      <c r="AW192" s="190" t="str">
        <f t="shared" si="116"/>
        <v>-</v>
      </c>
      <c r="AX192" s="190" t="str">
        <f t="shared" si="141"/>
        <v/>
      </c>
      <c r="AY192"/>
      <c r="AZ192" s="190" t="str">
        <f ca="1">IF(ISNUMBER(OFFSET(AV192,-$F$21,0)),SUM(OFFSET($T$100,$F$21,0):$T192),"")</f>
        <v/>
      </c>
      <c r="BA192" s="190" t="str">
        <f t="shared" ca="1" si="117"/>
        <v/>
      </c>
      <c r="BB192" s="190" t="str">
        <f t="shared" ca="1" si="148"/>
        <v/>
      </c>
      <c r="BC192" s="190"/>
      <c r="BD192" s="190" t="str">
        <f ca="1">IFERROR(IF(OR(ISNUMBER(I),ISNUMBER($F$14)),IF(AND($B192&gt;=($F$16-$F$15),$B192&lt;$F$22+($F$16-$F$15)),SUM(OFFSET($T$100,($F$16-$F$15),0):$T192),""),""),"")</f>
        <v/>
      </c>
      <c r="BE192" s="190" t="str">
        <f t="shared" ca="1" si="142"/>
        <v/>
      </c>
      <c r="BF192" s="190" t="str">
        <f t="shared" ca="1" si="143"/>
        <v/>
      </c>
      <c r="BG192"/>
      <c r="BH192" s="190" t="str">
        <f ca="1">IF(ISNUMBER(OFFSET(BD192,-$F$21,0)),SUM(OFFSET($T$100,($F$16-$F$15+$F$21),0):$T192),"")</f>
        <v/>
      </c>
      <c r="BI192" s="190" t="str">
        <f t="shared" ca="1" si="118"/>
        <v/>
      </c>
      <c r="BJ192" s="190" t="str">
        <f t="shared" ca="1" si="144"/>
        <v/>
      </c>
      <c r="BK192" s="190"/>
      <c r="BL192" s="190" t="str">
        <f ca="1">IFERROR(IF(OR(ISNUMBER(I),ISNUMBER($F$14)),IF(AND($B192&gt;=($F$17-$F$15),$B192&lt;$F$22+($F$17-$F$15)),SUM(OFFSET($T$100,($F$17-$F$15),0):$T192),""),""),"")</f>
        <v/>
      </c>
      <c r="BM192" s="190" t="str">
        <f t="shared" ca="1" si="119"/>
        <v/>
      </c>
      <c r="BN192" s="190" t="str">
        <f t="shared" ca="1" si="145"/>
        <v/>
      </c>
      <c r="BO192"/>
      <c r="BP192" s="190" t="str">
        <f ca="1">IF(ISNUMBER(OFFSET(BL192,-$F$21,0)),SUM(OFFSET($T$100,($F$17-$F$15+$F$21),0):$T192),"")</f>
        <v/>
      </c>
      <c r="BQ192" s="190" t="str">
        <f t="shared" ca="1" si="120"/>
        <v/>
      </c>
      <c r="BR192" s="190" t="str">
        <f t="shared" ca="1" si="146"/>
        <v/>
      </c>
      <c r="BS192" s="190"/>
      <c r="BT192"/>
      <c r="BU192"/>
      <c r="BV192"/>
      <c r="BY192" s="99"/>
      <c r="BZ192" s="99"/>
      <c r="CA192" s="280" t="str">
        <f t="shared" si="121"/>
        <v/>
      </c>
      <c r="CB192" s="71" t="str">
        <f t="shared" si="122"/>
        <v>-</v>
      </c>
      <c r="CC192" s="33"/>
      <c r="CD192" s="261" t="str">
        <f t="shared" si="123"/>
        <v/>
      </c>
      <c r="CE192" s="280" t="str">
        <f t="shared" si="124"/>
        <v/>
      </c>
      <c r="CF192" s="71" t="str">
        <f t="shared" ca="1" si="125"/>
        <v/>
      </c>
      <c r="CG192" s="33" t="str">
        <f t="shared" si="126"/>
        <v/>
      </c>
      <c r="CH192" s="261" t="str">
        <f t="shared" ca="1" si="127"/>
        <v/>
      </c>
    </row>
    <row r="193" spans="2:86" ht="13.5" customHeight="1" x14ac:dyDescent="0.2">
      <c r="B193" s="262">
        <v>93</v>
      </c>
      <c r="C193" s="237" t="str">
        <f t="shared" si="91"/>
        <v/>
      </c>
      <c r="D193" s="237" t="str">
        <f t="shared" si="147"/>
        <v/>
      </c>
      <c r="E193" s="263" t="str">
        <f t="shared" si="128"/>
        <v/>
      </c>
      <c r="F193" s="264" t="str">
        <f t="shared" si="129"/>
        <v/>
      </c>
      <c r="G193" s="264" t="str">
        <f t="shared" si="130"/>
        <v/>
      </c>
      <c r="H193" s="240" t="str">
        <f t="shared" si="92"/>
        <v/>
      </c>
      <c r="I193" s="265" t="str">
        <f t="shared" si="93"/>
        <v/>
      </c>
      <c r="J193" s="265" t="str">
        <f t="shared" si="94"/>
        <v/>
      </c>
      <c r="K193" s="240" t="str">
        <f t="shared" si="95"/>
        <v/>
      </c>
      <c r="L193" s="265" t="str">
        <f t="shared" si="96"/>
        <v/>
      </c>
      <c r="M193" s="265" t="str">
        <f t="shared" si="97"/>
        <v/>
      </c>
      <c r="N193" s="240" t="str">
        <f t="shared" si="98"/>
        <v>-</v>
      </c>
      <c r="O193" s="265" t="str">
        <f t="shared" si="99"/>
        <v>-</v>
      </c>
      <c r="P193" s="265" t="str">
        <f t="shared" si="100"/>
        <v>-</v>
      </c>
      <c r="Q193" s="266" t="str">
        <f t="shared" si="101"/>
        <v>-</v>
      </c>
      <c r="R193" s="267" t="str">
        <f t="shared" si="102"/>
        <v>-</v>
      </c>
      <c r="S193" s="268" t="str">
        <f t="shared" si="103"/>
        <v>-</v>
      </c>
      <c r="T193" s="269" t="str">
        <f t="shared" si="104"/>
        <v/>
      </c>
      <c r="U193" s="221">
        <f t="shared" si="105"/>
        <v>93</v>
      </c>
      <c r="V193" s="220" t="str">
        <f t="shared" si="131"/>
        <v>-</v>
      </c>
      <c r="W193" s="221" t="str">
        <f t="shared" si="132"/>
        <v>-</v>
      </c>
      <c r="X193" s="221" t="str">
        <f t="shared" si="106"/>
        <v>-</v>
      </c>
      <c r="Y193" s="221" t="str">
        <f t="shared" si="107"/>
        <v>-</v>
      </c>
      <c r="Z193" s="270">
        <f t="shared" si="133"/>
        <v>0.1</v>
      </c>
      <c r="AA193" s="271" t="str">
        <f>IFERROR(IF(V192=1,AA$100*EXP(-(LN(2)/$D$65+0.04)*X192)*EXP(-(LN(2)/$D$65+0.1)*Y192),IF(V192=2,AA$100*EXP(-(LN(2)/$D$65+0.04)*(VLOOKUP(($F$16-$F$15)-1,U$99:Y192,4,FALSE)))*EXP(-(LN(2)/$D$65+0.1)*(VLOOKUP(($F$16-$F$15)-1,U$99:Y192,5,FALSE)))*EXP(-(LN(2)/$D$65+0.04)*X192)*EXP(-(LN(2)/$D$65+0.1)*Y192),IF(V192=3,AA$100*EXP(-(LN(2)/$D$65+0.04)*(VLOOKUP(($F$16-$F$15)-1,U$99:Y192,4,FALSE)))*EXP(-(LN(2)/$D$65+0.1)*(VLOOKUP(($F$16-$F$15)-1,U$99:Y192,5,FALSE)))*EXP(-(LN(2)/$D$65+0.04)*(VLOOKUP(($F$16-$F$15)*2-1,U$99:Y192,4,FALSE)))*EXP(-(LN(2)/$D$65+0.1)*(VLOOKUP(($F$16-$F$15)*2-1,U$99:Y192,5,FALSE)))*EXP(-(LN(2)/$D$65+0.04)*X192)*EXP(-(LN(2)/$D$65+0.1)*Y192),"-"))),"-")</f>
        <v>-</v>
      </c>
      <c r="AB193" s="271" t="str">
        <f>IFERROR(IF(V193=1,AB$100*EXP(-(LN(2)/$D$65+0.04)*X193)*EXP(-(LN(2)/$D$65+0.1)*Y193),IF(V193=2,AB$100*EXP(-(LN(2)/$D$65+0.04)*(VLOOKUP(($F$16-$F$15)-1,U$100:Y193,4,FALSE)))*EXP(-(LN(2)/$D$65+0.1)*(VLOOKUP(($F$16-$F$15)-1,U$100:Y193,5,FALSE)))*EXP(-(LN(2)/$D$65+0.04)*X193)*EXP(-(LN(2)/$D$65+0.1)*Y193),IF(V193=3,AB$100*EXP(-(LN(2)/$D$65+0.04)*(VLOOKUP(($F$16-$F$15)-1,U$100:Y193,4,FALSE)))*EXP(-(LN(2)/$D$65+0.1)*(VLOOKUP(($F$16-$F$15)-1,U$100:Y193,5,FALSE)))*EXP(-(LN(2)/$D$65+0.04)*(VLOOKUP(($F$16-$F$15)*2-1,U$100:Y193,4,FALSE)))*EXP(-(LN(2)/$D$65+0.1)*(VLOOKUP(($F$16-$F$15)*2-1,U$100:Y193,5,FALSE)))*EXP(-(LN(2)/$D$65+0.04)*X193)*EXP(-(LN(2)/$D$65+0.1)*Y193),"-"))),"-")</f>
        <v>-</v>
      </c>
      <c r="AC193" s="224">
        <f t="shared" si="134"/>
        <v>93</v>
      </c>
      <c r="AD193" s="223" t="str">
        <f t="shared" si="108"/>
        <v>-</v>
      </c>
      <c r="AE193" s="224" t="str">
        <f t="shared" si="135"/>
        <v>-</v>
      </c>
      <c r="AF193" s="224" t="str">
        <f t="shared" si="109"/>
        <v>-</v>
      </c>
      <c r="AG193" s="224" t="str">
        <f t="shared" si="110"/>
        <v>-</v>
      </c>
      <c r="AH193" s="272">
        <f t="shared" si="136"/>
        <v>0.1</v>
      </c>
      <c r="AI193" s="271" t="str">
        <f>IFERROR(IF(AD192=1,AI$100*EXP(-(LN(2)/$D$65+0.04)*AF192)*EXP(-(LN(2)/$D$65+0.1)*AG192),IF(AD192=2,AI$100*EXP(-(LN(2)/$D$65+0.04)*(VLOOKUP(($F$16-$F$15)-1,AC$99:AG192,4,FALSE)))*EXP(-(LN(2)/$D$65+0.1)*(VLOOKUP(($F$16-$F$15)-1,AC$99:AG192,5,FALSE)))*EXP(-(LN(2)/$D$65+0.04)*AF192)*EXP(-(LN(2)/$D$65+0.1)*AG192),IF(AD192=3,AI$100*EXP(-(LN(2)/$D$65+0.04)*(VLOOKUP(($F$16-$F$15)-1,AC$99:AG192,4,FALSE)))*EXP(-(LN(2)/$D$65+0.1)*(VLOOKUP(($F$16-$F$15)-1,AC$99:AG192,5,FALSE)))*EXP(-(LN(2)/$D$65+0.04)*(VLOOKUP(($F$16-$F$15)*2-1,AC$99:AG192,4,FALSE)))*EXP(-(LN(2)/$D$65+0.1)*(VLOOKUP(($F$16-$F$15)*2-1,AC$99:AG192,5,FALSE)))*EXP(-(LN(2)/$D$65+0.04)*AF192)*EXP(-(LN(2)/$D$65+0.1)*AG192),"-"))),"-")</f>
        <v>-</v>
      </c>
      <c r="AJ193" s="271" t="str">
        <f>IFERROR(IF(AD193=1,AJ$100*EXP(-(LN(2)/$D$65+0.04)*AF193)*EXP(-(LN(2)/$D$65+0.1)*AG193),IF(AD193=2,AJ$100*EXP(-(LN(2)/$D$65+0.04)*(VLOOKUP(($F$16-$F$15)-1,AC$100:AG193,4,FALSE)))*EXP(-(LN(2)/$D$65+0.1)*(VLOOKUP(($F$16-$F$15)-1,AC$100:AG193,5,FALSE)))*EXP(-(LN(2)/$D$65+0.04)*AF193)*EXP(-(LN(2)/$D$65+0.1)*AG193),IF(AD193=3,AJ$100*EXP(-(LN(2)/$D$65+0.04)*(VLOOKUP(($F$16-$F$15)-1,AC$100:AG193,4,FALSE)))*EXP(-(LN(2)/$D$65+0.1)*(VLOOKUP(($F$16-$F$15)-1,AC$100:AG193,5,FALSE)))*EXP(-(LN(2)/$D$65+0.04)*(VLOOKUP(($F$16-$F$15)*2-1,AC$100:AG193,4,FALSE)))*EXP(-(LN(2)/$D$65+0.1)*(VLOOKUP(($F$16-$F$15)*2-1,AC$100:AG193,5,FALSE)))*EXP(-(LN(2)/$D$65+0.04)*AF193)*EXP(-(LN(2)/$D$65+0.1)*AG193),"-"))),"-")</f>
        <v>-</v>
      </c>
      <c r="AK193" s="227">
        <f t="shared" si="137"/>
        <v>93</v>
      </c>
      <c r="AL193" s="226" t="str">
        <f t="shared" si="111"/>
        <v>-</v>
      </c>
      <c r="AM193" s="227" t="str">
        <f t="shared" si="138"/>
        <v>-</v>
      </c>
      <c r="AN193" s="227" t="str">
        <f t="shared" si="139"/>
        <v>-</v>
      </c>
      <c r="AO193" s="227" t="str">
        <f t="shared" si="112"/>
        <v>-</v>
      </c>
      <c r="AP193" s="273">
        <f t="shared" si="140"/>
        <v>0.1</v>
      </c>
      <c r="AQ193" s="271" t="str">
        <f>IFERROR(IF(AL192=1,AQ$100*EXP(-(LN(2)/$D$65+0.04)*AN192)*EXP(-(LN(2)/$D$65+0.1)*AO192),IF(AL192=2,AQ$100*EXP(-(LN(2)/$D$65+0.04)*(VLOOKUP(($F$16-$F$15)-1,AK$99:AO192,4,FALSE)))*EXP(-(LN(2)/$D$65+0.1)*(VLOOKUP(($F$16-$F$15)-1,AK$99:AO192,5,FALSE)))*EXP(-(LN(2)/$D$65+0.04)*AN192)*EXP(-(LN(2)/$D$65+0.1)*AO192),IF(AL192=3,AQ$100*EXP(-(LN(2)/$D$65+0.04)*(VLOOKUP(($F$16-$F$15)-1,AK$99:AO192,4,FALSE)))*EXP(-(LN(2)/$D$65+0.1)*(VLOOKUP(($F$16-$F$15)-1,AK$99:AO192,5,FALSE)))*EXP(-(LN(2)/$D$65+0.04)*(VLOOKUP(($F$16-$F$15)*2-1,AK$99:AO192,4,FALSE)))*EXP(-(LN(2)/$D$65+0.1)*(VLOOKUP(($F$16-$F$15)*2-1,AK$99:AO192,5,FALSE)))*EXP(-(LN(2)/$D$65+0.04)*AN192)*EXP(-(LN(2)/$D$65+0.1)*AO192),"-"))),"-")</f>
        <v>-</v>
      </c>
      <c r="AR193" s="271" t="str">
        <f>IFERROR(IF(AL193=1,AR$100*EXP(-(LN(2)/$D$65+0.04)*AN193)*EXP(-(LN(2)/$D$65+0.1)*AO193),IF(AL193=2,AR$100*EXP(-(LN(2)/$D$65+0.04)*(VLOOKUP(($F$16-$F$15)-1,AK$100:AO193,4,FALSE)))*EXP(-(LN(2)/$D$65+0.1)*(VLOOKUP(($F$16-$F$15)-1,AK$100:AO193,5,FALSE)))*EXP(-(LN(2)/$D$65+0.04)*AN193)*EXP(-(LN(2)/$D$65+0.1)*AO193),IF(AL193=3,AR$100*EXP(-(LN(2)/$D$65+0.04)*(VLOOKUP(($F$16-$F$15)-1,AK$100:AO193,4,FALSE)))*EXP(-(LN(2)/$D$65+0.1)*(VLOOKUP(($F$16-$F$15)-1,AK$100:AO193,5,FALSE)))*EXP(-(LN(2)/$D$65+0.04)*(VLOOKUP(($F$16-$F$15)*2-1,AK$100:AO193,4,FALSE)))*EXP(-(LN(2)/$D$65+0.1)*(VLOOKUP(($F$16-$F$15)*2-1,AK$100:AO193,5,FALSE)))*EXP(-(LN(2)/$D$65+0.04)*AN193)*EXP(-(LN(2)/$D$65+0.1)*AO193),"-"))),"-")</f>
        <v>-</v>
      </c>
      <c r="AS193" s="274">
        <f t="shared" si="113"/>
        <v>0</v>
      </c>
      <c r="AT193" s="274">
        <f t="shared" si="114"/>
        <v>0</v>
      </c>
      <c r="AU193" s="274">
        <f t="shared" si="115"/>
        <v>0</v>
      </c>
      <c r="AV193" s="190" t="str">
        <f>IF($B193&lt;$F$22,SUM($T$100:$T193),"")</f>
        <v/>
      </c>
      <c r="AW193" s="190" t="str">
        <f t="shared" si="116"/>
        <v>-</v>
      </c>
      <c r="AX193" s="190" t="str">
        <f t="shared" si="141"/>
        <v/>
      </c>
      <c r="AY193"/>
      <c r="AZ193" s="190" t="str">
        <f ca="1">IF(ISNUMBER(OFFSET(AV193,-$F$21,0)),SUM(OFFSET($T$100,$F$21,0):$T193),"")</f>
        <v/>
      </c>
      <c r="BA193" s="190" t="str">
        <f t="shared" ca="1" si="117"/>
        <v/>
      </c>
      <c r="BB193" s="190" t="str">
        <f t="shared" ca="1" si="148"/>
        <v/>
      </c>
      <c r="BC193" s="190"/>
      <c r="BD193" s="190" t="str">
        <f ca="1">IFERROR(IF(OR(ISNUMBER(I),ISNUMBER($F$14)),IF(AND($B193&gt;=($F$16-$F$15),$B193&lt;$F$22+($F$16-$F$15)),SUM(OFFSET($T$100,($F$16-$F$15),0):$T193),""),""),"")</f>
        <v/>
      </c>
      <c r="BE193" s="190" t="str">
        <f t="shared" ca="1" si="142"/>
        <v/>
      </c>
      <c r="BF193" s="190" t="str">
        <f t="shared" ca="1" si="143"/>
        <v/>
      </c>
      <c r="BG193"/>
      <c r="BH193" s="190" t="str">
        <f ca="1">IF(ISNUMBER(OFFSET(BD193,-$F$21,0)),SUM(OFFSET($T$100,($F$16-$F$15+$F$21),0):$T193),"")</f>
        <v/>
      </c>
      <c r="BI193" s="190" t="str">
        <f t="shared" ca="1" si="118"/>
        <v/>
      </c>
      <c r="BJ193" s="190" t="str">
        <f t="shared" ca="1" si="144"/>
        <v/>
      </c>
      <c r="BK193" s="190"/>
      <c r="BL193" s="190" t="str">
        <f ca="1">IFERROR(IF(OR(ISNUMBER(I),ISNUMBER($F$14)),IF(AND($B193&gt;=($F$17-$F$15),$B193&lt;$F$22+($F$17-$F$15)),SUM(OFFSET($T$100,($F$17-$F$15),0):$T193),""),""),"")</f>
        <v/>
      </c>
      <c r="BM193" s="190" t="str">
        <f t="shared" ca="1" si="119"/>
        <v/>
      </c>
      <c r="BN193" s="190" t="str">
        <f t="shared" ca="1" si="145"/>
        <v/>
      </c>
      <c r="BO193"/>
      <c r="BP193" s="190" t="str">
        <f ca="1">IF(ISNUMBER(OFFSET(BL193,-$F$21,0)),SUM(OFFSET($T$100,($F$17-$F$15+$F$21),0):$T193),"")</f>
        <v/>
      </c>
      <c r="BQ193" s="190" t="str">
        <f t="shared" ca="1" si="120"/>
        <v/>
      </c>
      <c r="BR193" s="190" t="str">
        <f t="shared" ca="1" si="146"/>
        <v/>
      </c>
      <c r="BS193" s="190"/>
      <c r="BT193"/>
      <c r="BU193"/>
      <c r="BV193"/>
      <c r="BY193" s="99"/>
      <c r="BZ193" s="99"/>
      <c r="CA193" s="280" t="str">
        <f t="shared" si="121"/>
        <v/>
      </c>
      <c r="CB193" s="71" t="str">
        <f t="shared" si="122"/>
        <v>-</v>
      </c>
      <c r="CC193" s="33"/>
      <c r="CD193" s="261" t="str">
        <f t="shared" si="123"/>
        <v/>
      </c>
      <c r="CE193" s="280" t="str">
        <f t="shared" si="124"/>
        <v/>
      </c>
      <c r="CF193" s="71" t="str">
        <f t="shared" ca="1" si="125"/>
        <v/>
      </c>
      <c r="CG193" s="33" t="str">
        <f t="shared" si="126"/>
        <v/>
      </c>
      <c r="CH193" s="261" t="str">
        <f t="shared" ca="1" si="127"/>
        <v/>
      </c>
    </row>
    <row r="194" spans="2:86" ht="13.5" customHeight="1" x14ac:dyDescent="0.2">
      <c r="B194" s="262">
        <v>94</v>
      </c>
      <c r="C194" s="237" t="str">
        <f t="shared" si="91"/>
        <v/>
      </c>
      <c r="D194" s="237" t="str">
        <f t="shared" si="147"/>
        <v/>
      </c>
      <c r="E194" s="263" t="str">
        <f t="shared" si="128"/>
        <v/>
      </c>
      <c r="F194" s="264" t="str">
        <f t="shared" si="129"/>
        <v/>
      </c>
      <c r="G194" s="264" t="str">
        <f t="shared" si="130"/>
        <v/>
      </c>
      <c r="H194" s="240" t="str">
        <f t="shared" si="92"/>
        <v/>
      </c>
      <c r="I194" s="265" t="str">
        <f t="shared" si="93"/>
        <v/>
      </c>
      <c r="J194" s="265" t="str">
        <f t="shared" si="94"/>
        <v/>
      </c>
      <c r="K194" s="240" t="str">
        <f t="shared" si="95"/>
        <v/>
      </c>
      <c r="L194" s="265" t="str">
        <f t="shared" si="96"/>
        <v/>
      </c>
      <c r="M194" s="265" t="str">
        <f t="shared" si="97"/>
        <v/>
      </c>
      <c r="N194" s="240" t="str">
        <f t="shared" si="98"/>
        <v>-</v>
      </c>
      <c r="O194" s="265" t="str">
        <f t="shared" si="99"/>
        <v>-</v>
      </c>
      <c r="P194" s="265" t="str">
        <f t="shared" si="100"/>
        <v>-</v>
      </c>
      <c r="Q194" s="266" t="str">
        <f t="shared" si="101"/>
        <v>-</v>
      </c>
      <c r="R194" s="267" t="str">
        <f t="shared" si="102"/>
        <v>-</v>
      </c>
      <c r="S194" s="268" t="str">
        <f t="shared" si="103"/>
        <v>-</v>
      </c>
      <c r="T194" s="269" t="str">
        <f t="shared" si="104"/>
        <v/>
      </c>
      <c r="U194" s="221">
        <f t="shared" si="105"/>
        <v>94</v>
      </c>
      <c r="V194" s="220" t="str">
        <f t="shared" si="131"/>
        <v>-</v>
      </c>
      <c r="W194" s="221" t="str">
        <f t="shared" si="132"/>
        <v>-</v>
      </c>
      <c r="X194" s="221" t="str">
        <f t="shared" si="106"/>
        <v>-</v>
      </c>
      <c r="Y194" s="221" t="str">
        <f t="shared" si="107"/>
        <v>-</v>
      </c>
      <c r="Z194" s="270">
        <f t="shared" si="133"/>
        <v>0.1</v>
      </c>
      <c r="AA194" s="271" t="str">
        <f>IFERROR(IF(V193=1,AA$100*EXP(-(LN(2)/$D$65+0.04)*X193)*EXP(-(LN(2)/$D$65+0.1)*Y193),IF(V193=2,AA$100*EXP(-(LN(2)/$D$65+0.04)*(VLOOKUP(($F$16-$F$15)-1,U$99:Y193,4,FALSE)))*EXP(-(LN(2)/$D$65+0.1)*(VLOOKUP(($F$16-$F$15)-1,U$99:Y193,5,FALSE)))*EXP(-(LN(2)/$D$65+0.04)*X193)*EXP(-(LN(2)/$D$65+0.1)*Y193),IF(V193=3,AA$100*EXP(-(LN(2)/$D$65+0.04)*(VLOOKUP(($F$16-$F$15)-1,U$99:Y193,4,FALSE)))*EXP(-(LN(2)/$D$65+0.1)*(VLOOKUP(($F$16-$F$15)-1,U$99:Y193,5,FALSE)))*EXP(-(LN(2)/$D$65+0.04)*(VLOOKUP(($F$16-$F$15)*2-1,U$99:Y193,4,FALSE)))*EXP(-(LN(2)/$D$65+0.1)*(VLOOKUP(($F$16-$F$15)*2-1,U$99:Y193,5,FALSE)))*EXP(-(LN(2)/$D$65+0.04)*X193)*EXP(-(LN(2)/$D$65+0.1)*Y193),"-"))),"-")</f>
        <v>-</v>
      </c>
      <c r="AB194" s="271" t="str">
        <f>IFERROR(IF(V194=1,AB$100*EXP(-(LN(2)/$D$65+0.04)*X194)*EXP(-(LN(2)/$D$65+0.1)*Y194),IF(V194=2,AB$100*EXP(-(LN(2)/$D$65+0.04)*(VLOOKUP(($F$16-$F$15)-1,U$100:Y194,4,FALSE)))*EXP(-(LN(2)/$D$65+0.1)*(VLOOKUP(($F$16-$F$15)-1,U$100:Y194,5,FALSE)))*EXP(-(LN(2)/$D$65+0.04)*X194)*EXP(-(LN(2)/$D$65+0.1)*Y194),IF(V194=3,AB$100*EXP(-(LN(2)/$D$65+0.04)*(VLOOKUP(($F$16-$F$15)-1,U$100:Y194,4,FALSE)))*EXP(-(LN(2)/$D$65+0.1)*(VLOOKUP(($F$16-$F$15)-1,U$100:Y194,5,FALSE)))*EXP(-(LN(2)/$D$65+0.04)*(VLOOKUP(($F$16-$F$15)*2-1,U$100:Y194,4,FALSE)))*EXP(-(LN(2)/$D$65+0.1)*(VLOOKUP(($F$16-$F$15)*2-1,U$100:Y194,5,FALSE)))*EXP(-(LN(2)/$D$65+0.04)*X194)*EXP(-(LN(2)/$D$65+0.1)*Y194),"-"))),"-")</f>
        <v>-</v>
      </c>
      <c r="AC194" s="224">
        <f t="shared" si="134"/>
        <v>94</v>
      </c>
      <c r="AD194" s="223" t="str">
        <f t="shared" si="108"/>
        <v>-</v>
      </c>
      <c r="AE194" s="224" t="str">
        <f t="shared" si="135"/>
        <v>-</v>
      </c>
      <c r="AF194" s="224" t="str">
        <f t="shared" si="109"/>
        <v>-</v>
      </c>
      <c r="AG194" s="224" t="str">
        <f t="shared" si="110"/>
        <v>-</v>
      </c>
      <c r="AH194" s="272">
        <f t="shared" si="136"/>
        <v>0.1</v>
      </c>
      <c r="AI194" s="271" t="str">
        <f>IFERROR(IF(AD193=1,AI$100*EXP(-(LN(2)/$D$65+0.04)*AF193)*EXP(-(LN(2)/$D$65+0.1)*AG193),IF(AD193=2,AI$100*EXP(-(LN(2)/$D$65+0.04)*(VLOOKUP(($F$16-$F$15)-1,AC$99:AG193,4,FALSE)))*EXP(-(LN(2)/$D$65+0.1)*(VLOOKUP(($F$16-$F$15)-1,AC$99:AG193,5,FALSE)))*EXP(-(LN(2)/$D$65+0.04)*AF193)*EXP(-(LN(2)/$D$65+0.1)*AG193),IF(AD193=3,AI$100*EXP(-(LN(2)/$D$65+0.04)*(VLOOKUP(($F$16-$F$15)-1,AC$99:AG193,4,FALSE)))*EXP(-(LN(2)/$D$65+0.1)*(VLOOKUP(($F$16-$F$15)-1,AC$99:AG193,5,FALSE)))*EXP(-(LN(2)/$D$65+0.04)*(VLOOKUP(($F$16-$F$15)*2-1,AC$99:AG193,4,FALSE)))*EXP(-(LN(2)/$D$65+0.1)*(VLOOKUP(($F$16-$F$15)*2-1,AC$99:AG193,5,FALSE)))*EXP(-(LN(2)/$D$65+0.04)*AF193)*EXP(-(LN(2)/$D$65+0.1)*AG193),"-"))),"-")</f>
        <v>-</v>
      </c>
      <c r="AJ194" s="271" t="str">
        <f>IFERROR(IF(AD194=1,AJ$100*EXP(-(LN(2)/$D$65+0.04)*AF194)*EXP(-(LN(2)/$D$65+0.1)*AG194),IF(AD194=2,AJ$100*EXP(-(LN(2)/$D$65+0.04)*(VLOOKUP(($F$16-$F$15)-1,AC$100:AG194,4,FALSE)))*EXP(-(LN(2)/$D$65+0.1)*(VLOOKUP(($F$16-$F$15)-1,AC$100:AG194,5,FALSE)))*EXP(-(LN(2)/$D$65+0.04)*AF194)*EXP(-(LN(2)/$D$65+0.1)*AG194),IF(AD194=3,AJ$100*EXP(-(LN(2)/$D$65+0.04)*(VLOOKUP(($F$16-$F$15)-1,AC$100:AG194,4,FALSE)))*EXP(-(LN(2)/$D$65+0.1)*(VLOOKUP(($F$16-$F$15)-1,AC$100:AG194,5,FALSE)))*EXP(-(LN(2)/$D$65+0.04)*(VLOOKUP(($F$16-$F$15)*2-1,AC$100:AG194,4,FALSE)))*EXP(-(LN(2)/$D$65+0.1)*(VLOOKUP(($F$16-$F$15)*2-1,AC$100:AG194,5,FALSE)))*EXP(-(LN(2)/$D$65+0.04)*AF194)*EXP(-(LN(2)/$D$65+0.1)*AG194),"-"))),"-")</f>
        <v>-</v>
      </c>
      <c r="AK194" s="227">
        <f t="shared" si="137"/>
        <v>94</v>
      </c>
      <c r="AL194" s="226" t="str">
        <f t="shared" si="111"/>
        <v>-</v>
      </c>
      <c r="AM194" s="227" t="str">
        <f t="shared" si="138"/>
        <v>-</v>
      </c>
      <c r="AN194" s="227" t="str">
        <f t="shared" si="139"/>
        <v>-</v>
      </c>
      <c r="AO194" s="227" t="str">
        <f t="shared" si="112"/>
        <v>-</v>
      </c>
      <c r="AP194" s="273">
        <f t="shared" si="140"/>
        <v>0.1</v>
      </c>
      <c r="AQ194" s="271" t="str">
        <f>IFERROR(IF(AL193=1,AQ$100*EXP(-(LN(2)/$D$65+0.04)*AN193)*EXP(-(LN(2)/$D$65+0.1)*AO193),IF(AL193=2,AQ$100*EXP(-(LN(2)/$D$65+0.04)*(VLOOKUP(($F$16-$F$15)-1,AK$99:AO193,4,FALSE)))*EXP(-(LN(2)/$D$65+0.1)*(VLOOKUP(($F$16-$F$15)-1,AK$99:AO193,5,FALSE)))*EXP(-(LN(2)/$D$65+0.04)*AN193)*EXP(-(LN(2)/$D$65+0.1)*AO193),IF(AL193=3,AQ$100*EXP(-(LN(2)/$D$65+0.04)*(VLOOKUP(($F$16-$F$15)-1,AK$99:AO193,4,FALSE)))*EXP(-(LN(2)/$D$65+0.1)*(VLOOKUP(($F$16-$F$15)-1,AK$99:AO193,5,FALSE)))*EXP(-(LN(2)/$D$65+0.04)*(VLOOKUP(($F$16-$F$15)*2-1,AK$99:AO193,4,FALSE)))*EXP(-(LN(2)/$D$65+0.1)*(VLOOKUP(($F$16-$F$15)*2-1,AK$99:AO193,5,FALSE)))*EXP(-(LN(2)/$D$65+0.04)*AN193)*EXP(-(LN(2)/$D$65+0.1)*AO193),"-"))),"-")</f>
        <v>-</v>
      </c>
      <c r="AR194" s="271" t="str">
        <f>IFERROR(IF(AL194=1,AR$100*EXP(-(LN(2)/$D$65+0.04)*AN194)*EXP(-(LN(2)/$D$65+0.1)*AO194),IF(AL194=2,AR$100*EXP(-(LN(2)/$D$65+0.04)*(VLOOKUP(($F$16-$F$15)-1,AK$100:AO194,4,FALSE)))*EXP(-(LN(2)/$D$65+0.1)*(VLOOKUP(($F$16-$F$15)-1,AK$100:AO194,5,FALSE)))*EXP(-(LN(2)/$D$65+0.04)*AN194)*EXP(-(LN(2)/$D$65+0.1)*AO194),IF(AL194=3,AR$100*EXP(-(LN(2)/$D$65+0.04)*(VLOOKUP(($F$16-$F$15)-1,AK$100:AO194,4,FALSE)))*EXP(-(LN(2)/$D$65+0.1)*(VLOOKUP(($F$16-$F$15)-1,AK$100:AO194,5,FALSE)))*EXP(-(LN(2)/$D$65+0.04)*(VLOOKUP(($F$16-$F$15)*2-1,AK$100:AO194,4,FALSE)))*EXP(-(LN(2)/$D$65+0.1)*(VLOOKUP(($F$16-$F$15)*2-1,AK$100:AO194,5,FALSE)))*EXP(-(LN(2)/$D$65+0.04)*AN194)*EXP(-(LN(2)/$D$65+0.1)*AO194),"-"))),"-")</f>
        <v>-</v>
      </c>
      <c r="AS194" s="274">
        <f t="shared" si="113"/>
        <v>0</v>
      </c>
      <c r="AT194" s="274">
        <f t="shared" si="114"/>
        <v>0</v>
      </c>
      <c r="AU194" s="274">
        <f t="shared" si="115"/>
        <v>0</v>
      </c>
      <c r="AV194" s="190" t="str">
        <f>IF($B194&lt;$F$22,SUM($T$100:$T194),"")</f>
        <v/>
      </c>
      <c r="AW194" s="190" t="str">
        <f t="shared" si="116"/>
        <v>-</v>
      </c>
      <c r="AX194" s="190" t="str">
        <f t="shared" si="141"/>
        <v/>
      </c>
      <c r="AY194"/>
      <c r="AZ194" s="190" t="str">
        <f ca="1">IF(ISNUMBER(OFFSET(AV194,-$F$21,0)),SUM(OFFSET($T$100,$F$21,0):$T194),"")</f>
        <v/>
      </c>
      <c r="BA194" s="190" t="str">
        <f t="shared" ca="1" si="117"/>
        <v/>
      </c>
      <c r="BB194" s="190" t="str">
        <f t="shared" ca="1" si="148"/>
        <v/>
      </c>
      <c r="BC194" s="190"/>
      <c r="BD194" s="190" t="str">
        <f ca="1">IFERROR(IF(OR(ISNUMBER(I),ISNUMBER($F$14)),IF(AND($B194&gt;=($F$16-$F$15),$B194&lt;$F$22+($F$16-$F$15)),SUM(OFFSET($T$100,($F$16-$F$15),0):$T194),""),""),"")</f>
        <v/>
      </c>
      <c r="BE194" s="190" t="str">
        <f t="shared" ca="1" si="142"/>
        <v/>
      </c>
      <c r="BF194" s="190" t="str">
        <f t="shared" ca="1" si="143"/>
        <v/>
      </c>
      <c r="BG194"/>
      <c r="BH194" s="190" t="str">
        <f ca="1">IF(ISNUMBER(OFFSET(BD194,-$F$21,0)),SUM(OFFSET($T$100,($F$16-$F$15+$F$21),0):$T194),"")</f>
        <v/>
      </c>
      <c r="BI194" s="190" t="str">
        <f t="shared" ca="1" si="118"/>
        <v/>
      </c>
      <c r="BJ194" s="190" t="str">
        <f t="shared" ca="1" si="144"/>
        <v/>
      </c>
      <c r="BK194" s="190"/>
      <c r="BL194" s="190" t="str">
        <f ca="1">IFERROR(IF(OR(ISNUMBER(I),ISNUMBER($F$14)),IF(AND($B194&gt;=($F$17-$F$15),$B194&lt;$F$22+($F$17-$F$15)),SUM(OFFSET($T$100,($F$17-$F$15),0):$T194),""),""),"")</f>
        <v/>
      </c>
      <c r="BM194" s="190" t="str">
        <f t="shared" ca="1" si="119"/>
        <v/>
      </c>
      <c r="BN194" s="190" t="str">
        <f t="shared" ca="1" si="145"/>
        <v/>
      </c>
      <c r="BO194"/>
      <c r="BP194" s="190" t="str">
        <f ca="1">IF(ISNUMBER(OFFSET(BL194,-$F$21,0)),SUM(OFFSET($T$100,($F$17-$F$15+$F$21),0):$T194),"")</f>
        <v/>
      </c>
      <c r="BQ194" s="190" t="str">
        <f t="shared" ca="1" si="120"/>
        <v/>
      </c>
      <c r="BR194" s="190" t="str">
        <f t="shared" ca="1" si="146"/>
        <v/>
      </c>
      <c r="BS194" s="190"/>
      <c r="BT194"/>
      <c r="BU194"/>
      <c r="BV194"/>
      <c r="BY194" s="99"/>
      <c r="BZ194" s="99"/>
      <c r="CA194" s="280" t="str">
        <f t="shared" si="121"/>
        <v/>
      </c>
      <c r="CB194" s="71" t="str">
        <f t="shared" si="122"/>
        <v>-</v>
      </c>
      <c r="CC194" s="33"/>
      <c r="CD194" s="261" t="str">
        <f t="shared" si="123"/>
        <v/>
      </c>
      <c r="CE194" s="280" t="str">
        <f t="shared" si="124"/>
        <v/>
      </c>
      <c r="CF194" s="71" t="str">
        <f t="shared" ca="1" si="125"/>
        <v/>
      </c>
      <c r="CG194" s="33" t="str">
        <f t="shared" si="126"/>
        <v/>
      </c>
      <c r="CH194" s="261" t="str">
        <f t="shared" ca="1" si="127"/>
        <v/>
      </c>
    </row>
    <row r="195" spans="2:86" ht="13.5" customHeight="1" x14ac:dyDescent="0.2">
      <c r="B195" s="262">
        <v>95</v>
      </c>
      <c r="C195" s="237" t="str">
        <f t="shared" si="91"/>
        <v/>
      </c>
      <c r="D195" s="237" t="str">
        <f t="shared" si="147"/>
        <v/>
      </c>
      <c r="E195" s="263" t="str">
        <f t="shared" si="128"/>
        <v/>
      </c>
      <c r="F195" s="264" t="str">
        <f t="shared" si="129"/>
        <v/>
      </c>
      <c r="G195" s="264" t="str">
        <f t="shared" si="130"/>
        <v/>
      </c>
      <c r="H195" s="240" t="str">
        <f t="shared" si="92"/>
        <v/>
      </c>
      <c r="I195" s="265" t="str">
        <f t="shared" si="93"/>
        <v/>
      </c>
      <c r="J195" s="265" t="str">
        <f t="shared" si="94"/>
        <v/>
      </c>
      <c r="K195" s="240" t="str">
        <f t="shared" si="95"/>
        <v/>
      </c>
      <c r="L195" s="265" t="str">
        <f t="shared" si="96"/>
        <v/>
      </c>
      <c r="M195" s="265" t="str">
        <f t="shared" si="97"/>
        <v/>
      </c>
      <c r="N195" s="240" t="str">
        <f t="shared" si="98"/>
        <v>-</v>
      </c>
      <c r="O195" s="265" t="str">
        <f t="shared" si="99"/>
        <v>-</v>
      </c>
      <c r="P195" s="265" t="str">
        <f t="shared" si="100"/>
        <v>-</v>
      </c>
      <c r="Q195" s="266" t="str">
        <f t="shared" si="101"/>
        <v>-</v>
      </c>
      <c r="R195" s="267" t="str">
        <f t="shared" si="102"/>
        <v>-</v>
      </c>
      <c r="S195" s="268" t="str">
        <f t="shared" si="103"/>
        <v>-</v>
      </c>
      <c r="T195" s="269" t="str">
        <f t="shared" si="104"/>
        <v/>
      </c>
      <c r="U195" s="221">
        <f t="shared" si="105"/>
        <v>95</v>
      </c>
      <c r="V195" s="220" t="str">
        <f t="shared" si="131"/>
        <v>-</v>
      </c>
      <c r="W195" s="221" t="str">
        <f t="shared" si="132"/>
        <v>-</v>
      </c>
      <c r="X195" s="221" t="str">
        <f t="shared" si="106"/>
        <v>-</v>
      </c>
      <c r="Y195" s="221" t="str">
        <f t="shared" si="107"/>
        <v>-</v>
      </c>
      <c r="Z195" s="270">
        <f t="shared" si="133"/>
        <v>0.1</v>
      </c>
      <c r="AA195" s="271" t="str">
        <f>IFERROR(IF(V194=1,AA$100*EXP(-(LN(2)/$D$65+0.04)*X194)*EXP(-(LN(2)/$D$65+0.1)*Y194),IF(V194=2,AA$100*EXP(-(LN(2)/$D$65+0.04)*(VLOOKUP(($F$16-$F$15)-1,U$99:Y194,4,FALSE)))*EXP(-(LN(2)/$D$65+0.1)*(VLOOKUP(($F$16-$F$15)-1,U$99:Y194,5,FALSE)))*EXP(-(LN(2)/$D$65+0.04)*X194)*EXP(-(LN(2)/$D$65+0.1)*Y194),IF(V194=3,AA$100*EXP(-(LN(2)/$D$65+0.04)*(VLOOKUP(($F$16-$F$15)-1,U$99:Y194,4,FALSE)))*EXP(-(LN(2)/$D$65+0.1)*(VLOOKUP(($F$16-$F$15)-1,U$99:Y194,5,FALSE)))*EXP(-(LN(2)/$D$65+0.04)*(VLOOKUP(($F$16-$F$15)*2-1,U$99:Y194,4,FALSE)))*EXP(-(LN(2)/$D$65+0.1)*(VLOOKUP(($F$16-$F$15)*2-1,U$99:Y194,5,FALSE)))*EXP(-(LN(2)/$D$65+0.04)*X194)*EXP(-(LN(2)/$D$65+0.1)*Y194),"-"))),"-")</f>
        <v>-</v>
      </c>
      <c r="AB195" s="271" t="str">
        <f>IFERROR(IF(V195=1,AB$100*EXP(-(LN(2)/$D$65+0.04)*X195)*EXP(-(LN(2)/$D$65+0.1)*Y195),IF(V195=2,AB$100*EXP(-(LN(2)/$D$65+0.04)*(VLOOKUP(($F$16-$F$15)-1,U$100:Y195,4,FALSE)))*EXP(-(LN(2)/$D$65+0.1)*(VLOOKUP(($F$16-$F$15)-1,U$100:Y195,5,FALSE)))*EXP(-(LN(2)/$D$65+0.04)*X195)*EXP(-(LN(2)/$D$65+0.1)*Y195),IF(V195=3,AB$100*EXP(-(LN(2)/$D$65+0.04)*(VLOOKUP(($F$16-$F$15)-1,U$100:Y195,4,FALSE)))*EXP(-(LN(2)/$D$65+0.1)*(VLOOKUP(($F$16-$F$15)-1,U$100:Y195,5,FALSE)))*EXP(-(LN(2)/$D$65+0.04)*(VLOOKUP(($F$16-$F$15)*2-1,U$100:Y195,4,FALSE)))*EXP(-(LN(2)/$D$65+0.1)*(VLOOKUP(($F$16-$F$15)*2-1,U$100:Y195,5,FALSE)))*EXP(-(LN(2)/$D$65+0.04)*X195)*EXP(-(LN(2)/$D$65+0.1)*Y195),"-"))),"-")</f>
        <v>-</v>
      </c>
      <c r="AC195" s="224">
        <f t="shared" si="134"/>
        <v>95</v>
      </c>
      <c r="AD195" s="223" t="str">
        <f t="shared" si="108"/>
        <v>-</v>
      </c>
      <c r="AE195" s="224" t="str">
        <f t="shared" si="135"/>
        <v>-</v>
      </c>
      <c r="AF195" s="224" t="str">
        <f t="shared" si="109"/>
        <v>-</v>
      </c>
      <c r="AG195" s="224" t="str">
        <f t="shared" si="110"/>
        <v>-</v>
      </c>
      <c r="AH195" s="272">
        <f t="shared" si="136"/>
        <v>0.1</v>
      </c>
      <c r="AI195" s="271" t="str">
        <f>IFERROR(IF(AD194=1,AI$100*EXP(-(LN(2)/$D$65+0.04)*AF194)*EXP(-(LN(2)/$D$65+0.1)*AG194),IF(AD194=2,AI$100*EXP(-(LN(2)/$D$65+0.04)*(VLOOKUP(($F$16-$F$15)-1,AC$99:AG194,4,FALSE)))*EXP(-(LN(2)/$D$65+0.1)*(VLOOKUP(($F$16-$F$15)-1,AC$99:AG194,5,FALSE)))*EXP(-(LN(2)/$D$65+0.04)*AF194)*EXP(-(LN(2)/$D$65+0.1)*AG194),IF(AD194=3,AI$100*EXP(-(LN(2)/$D$65+0.04)*(VLOOKUP(($F$16-$F$15)-1,AC$99:AG194,4,FALSE)))*EXP(-(LN(2)/$D$65+0.1)*(VLOOKUP(($F$16-$F$15)-1,AC$99:AG194,5,FALSE)))*EXP(-(LN(2)/$D$65+0.04)*(VLOOKUP(($F$16-$F$15)*2-1,AC$99:AG194,4,FALSE)))*EXP(-(LN(2)/$D$65+0.1)*(VLOOKUP(($F$16-$F$15)*2-1,AC$99:AG194,5,FALSE)))*EXP(-(LN(2)/$D$65+0.04)*AF194)*EXP(-(LN(2)/$D$65+0.1)*AG194),"-"))),"-")</f>
        <v>-</v>
      </c>
      <c r="AJ195" s="271" t="str">
        <f>IFERROR(IF(AD195=1,AJ$100*EXP(-(LN(2)/$D$65+0.04)*AF195)*EXP(-(LN(2)/$D$65+0.1)*AG195),IF(AD195=2,AJ$100*EXP(-(LN(2)/$D$65+0.04)*(VLOOKUP(($F$16-$F$15)-1,AC$100:AG195,4,FALSE)))*EXP(-(LN(2)/$D$65+0.1)*(VLOOKUP(($F$16-$F$15)-1,AC$100:AG195,5,FALSE)))*EXP(-(LN(2)/$D$65+0.04)*AF195)*EXP(-(LN(2)/$D$65+0.1)*AG195),IF(AD195=3,AJ$100*EXP(-(LN(2)/$D$65+0.04)*(VLOOKUP(($F$16-$F$15)-1,AC$100:AG195,4,FALSE)))*EXP(-(LN(2)/$D$65+0.1)*(VLOOKUP(($F$16-$F$15)-1,AC$100:AG195,5,FALSE)))*EXP(-(LN(2)/$D$65+0.04)*(VLOOKUP(($F$16-$F$15)*2-1,AC$100:AG195,4,FALSE)))*EXP(-(LN(2)/$D$65+0.1)*(VLOOKUP(($F$16-$F$15)*2-1,AC$100:AG195,5,FALSE)))*EXP(-(LN(2)/$D$65+0.04)*AF195)*EXP(-(LN(2)/$D$65+0.1)*AG195),"-"))),"-")</f>
        <v>-</v>
      </c>
      <c r="AK195" s="227">
        <f t="shared" si="137"/>
        <v>95</v>
      </c>
      <c r="AL195" s="226" t="str">
        <f t="shared" si="111"/>
        <v>-</v>
      </c>
      <c r="AM195" s="227" t="str">
        <f t="shared" si="138"/>
        <v>-</v>
      </c>
      <c r="AN195" s="227" t="str">
        <f t="shared" si="139"/>
        <v>-</v>
      </c>
      <c r="AO195" s="227" t="str">
        <f t="shared" si="112"/>
        <v>-</v>
      </c>
      <c r="AP195" s="273">
        <f t="shared" si="140"/>
        <v>0.1</v>
      </c>
      <c r="AQ195" s="271" t="str">
        <f>IFERROR(IF(AL194=1,AQ$100*EXP(-(LN(2)/$D$65+0.04)*AN194)*EXP(-(LN(2)/$D$65+0.1)*AO194),IF(AL194=2,AQ$100*EXP(-(LN(2)/$D$65+0.04)*(VLOOKUP(($F$16-$F$15)-1,AK$99:AO194,4,FALSE)))*EXP(-(LN(2)/$D$65+0.1)*(VLOOKUP(($F$16-$F$15)-1,AK$99:AO194,5,FALSE)))*EXP(-(LN(2)/$D$65+0.04)*AN194)*EXP(-(LN(2)/$D$65+0.1)*AO194),IF(AL194=3,AQ$100*EXP(-(LN(2)/$D$65+0.04)*(VLOOKUP(($F$16-$F$15)-1,AK$99:AO194,4,FALSE)))*EXP(-(LN(2)/$D$65+0.1)*(VLOOKUP(($F$16-$F$15)-1,AK$99:AO194,5,FALSE)))*EXP(-(LN(2)/$D$65+0.04)*(VLOOKUP(($F$16-$F$15)*2-1,AK$99:AO194,4,FALSE)))*EXP(-(LN(2)/$D$65+0.1)*(VLOOKUP(($F$16-$F$15)*2-1,AK$99:AO194,5,FALSE)))*EXP(-(LN(2)/$D$65+0.04)*AN194)*EXP(-(LN(2)/$D$65+0.1)*AO194),"-"))),"-")</f>
        <v>-</v>
      </c>
      <c r="AR195" s="271" t="str">
        <f>IFERROR(IF(AL195=1,AR$100*EXP(-(LN(2)/$D$65+0.04)*AN195)*EXP(-(LN(2)/$D$65+0.1)*AO195),IF(AL195=2,AR$100*EXP(-(LN(2)/$D$65+0.04)*(VLOOKUP(($F$16-$F$15)-1,AK$100:AO195,4,FALSE)))*EXP(-(LN(2)/$D$65+0.1)*(VLOOKUP(($F$16-$F$15)-1,AK$100:AO195,5,FALSE)))*EXP(-(LN(2)/$D$65+0.04)*AN195)*EXP(-(LN(2)/$D$65+0.1)*AO195),IF(AL195=3,AR$100*EXP(-(LN(2)/$D$65+0.04)*(VLOOKUP(($F$16-$F$15)-1,AK$100:AO195,4,FALSE)))*EXP(-(LN(2)/$D$65+0.1)*(VLOOKUP(($F$16-$F$15)-1,AK$100:AO195,5,FALSE)))*EXP(-(LN(2)/$D$65+0.04)*(VLOOKUP(($F$16-$F$15)*2-1,AK$100:AO195,4,FALSE)))*EXP(-(LN(2)/$D$65+0.1)*(VLOOKUP(($F$16-$F$15)*2-1,AK$100:AO195,5,FALSE)))*EXP(-(LN(2)/$D$65+0.04)*AN195)*EXP(-(LN(2)/$D$65+0.1)*AO195),"-"))),"-")</f>
        <v>-</v>
      </c>
      <c r="AS195" s="274">
        <f t="shared" si="113"/>
        <v>0</v>
      </c>
      <c r="AT195" s="274">
        <f t="shared" si="114"/>
        <v>0</v>
      </c>
      <c r="AU195" s="274">
        <f t="shared" si="115"/>
        <v>0</v>
      </c>
      <c r="AV195" s="190" t="str">
        <f>IF($B195&lt;$F$22,SUM($T$100:$T195),"")</f>
        <v/>
      </c>
      <c r="AW195" s="190" t="str">
        <f t="shared" si="116"/>
        <v>-</v>
      </c>
      <c r="AX195" s="190" t="str">
        <f t="shared" si="141"/>
        <v/>
      </c>
      <c r="AY195"/>
      <c r="AZ195" s="190" t="str">
        <f ca="1">IF(ISNUMBER(OFFSET(AV195,-$F$21,0)),SUM(OFFSET($T$100,$F$21,0):$T195),"")</f>
        <v/>
      </c>
      <c r="BA195" s="190" t="str">
        <f t="shared" ca="1" si="117"/>
        <v/>
      </c>
      <c r="BB195" s="190" t="str">
        <f t="shared" ca="1" si="148"/>
        <v/>
      </c>
      <c r="BC195" s="190"/>
      <c r="BD195" s="190" t="str">
        <f ca="1">IFERROR(IF(OR(ISNUMBER(I),ISNUMBER($F$14)),IF(AND($B195&gt;=($F$16-$F$15),$B195&lt;$F$22+($F$16-$F$15)),SUM(OFFSET($T$100,($F$16-$F$15),0):$T195),""),""),"")</f>
        <v/>
      </c>
      <c r="BE195" s="190" t="str">
        <f t="shared" ca="1" si="142"/>
        <v/>
      </c>
      <c r="BF195" s="190" t="str">
        <f t="shared" ca="1" si="143"/>
        <v/>
      </c>
      <c r="BG195"/>
      <c r="BH195" s="190" t="str">
        <f ca="1">IF(ISNUMBER(OFFSET(BD195,-$F$21,0)),SUM(OFFSET($T$100,($F$16-$F$15+$F$21),0):$T195),"")</f>
        <v/>
      </c>
      <c r="BI195" s="190" t="str">
        <f t="shared" ca="1" si="118"/>
        <v/>
      </c>
      <c r="BJ195" s="190" t="str">
        <f t="shared" ca="1" si="144"/>
        <v/>
      </c>
      <c r="BK195" s="190"/>
      <c r="BL195" s="190" t="str">
        <f ca="1">IFERROR(IF(OR(ISNUMBER(I),ISNUMBER($F$14)),IF(AND($B195&gt;=($F$17-$F$15),$B195&lt;$F$22+($F$17-$F$15)),SUM(OFFSET($T$100,($F$17-$F$15),0):$T195),""),""),"")</f>
        <v/>
      </c>
      <c r="BM195" s="190" t="str">
        <f t="shared" ca="1" si="119"/>
        <v/>
      </c>
      <c r="BN195" s="190" t="str">
        <f t="shared" ca="1" si="145"/>
        <v/>
      </c>
      <c r="BO195"/>
      <c r="BP195" s="190" t="str">
        <f ca="1">IF(ISNUMBER(OFFSET(BL195,-$F$21,0)),SUM(OFFSET($T$100,($F$17-$F$15+$F$21),0):$T195),"")</f>
        <v/>
      </c>
      <c r="BQ195" s="190" t="str">
        <f t="shared" ca="1" si="120"/>
        <v/>
      </c>
      <c r="BR195" s="190" t="str">
        <f t="shared" ca="1" si="146"/>
        <v/>
      </c>
      <c r="BS195" s="190"/>
      <c r="BT195"/>
      <c r="BU195"/>
      <c r="BV195"/>
      <c r="BY195" s="99"/>
      <c r="BZ195" s="99"/>
      <c r="CA195" s="280" t="str">
        <f t="shared" si="121"/>
        <v/>
      </c>
      <c r="CB195" s="71" t="str">
        <f t="shared" si="122"/>
        <v>-</v>
      </c>
      <c r="CC195" s="33"/>
      <c r="CD195" s="261" t="str">
        <f t="shared" si="123"/>
        <v/>
      </c>
      <c r="CE195" s="280" t="str">
        <f t="shared" si="124"/>
        <v/>
      </c>
      <c r="CF195" s="71" t="str">
        <f t="shared" ca="1" si="125"/>
        <v/>
      </c>
      <c r="CG195" s="33" t="str">
        <f t="shared" si="126"/>
        <v/>
      </c>
      <c r="CH195" s="261" t="str">
        <f t="shared" ca="1" si="127"/>
        <v/>
      </c>
    </row>
    <row r="196" spans="2:86" ht="13.5" customHeight="1" x14ac:dyDescent="0.2">
      <c r="B196" s="262">
        <v>96</v>
      </c>
      <c r="C196" s="237" t="str">
        <f t="shared" si="91"/>
        <v/>
      </c>
      <c r="D196" s="237" t="str">
        <f t="shared" si="147"/>
        <v/>
      </c>
      <c r="E196" s="263" t="str">
        <f t="shared" si="128"/>
        <v/>
      </c>
      <c r="F196" s="264" t="str">
        <f t="shared" si="129"/>
        <v/>
      </c>
      <c r="G196" s="264" t="str">
        <f t="shared" si="130"/>
        <v/>
      </c>
      <c r="H196" s="240" t="str">
        <f t="shared" ref="H196:H227" si="149">IF(E196&lt;&gt;"",IF($B196&lt;$F$21,"",IF(ISNUMBER(F196),IF(ISNUMBER(I196),(E196*30*50*ffp),""),(E196*30*50*ffp))),"")</f>
        <v/>
      </c>
      <c r="I196" s="265" t="str">
        <f t="shared" ref="I196:I227" si="150">IFERROR(IF(F196&lt;&gt;"",IF($B196&lt;$F$21+$F$16,"",IF(ISNUMBER(G196),IF(ISNUMBER(J196),(F196*30*50*ffp),""),(F196*30*50*ffp))),""),"")</f>
        <v/>
      </c>
      <c r="J196" s="265" t="str">
        <f t="shared" ref="J196:J227" si="151">IFERROR(IF(G196&lt;&gt;"",IF($B196&lt;$F$21+$F$17,"",(G196*30*50*ffp)),""),"")</f>
        <v/>
      </c>
      <c r="K196" s="240" t="str">
        <f t="shared" ref="K196:K227" si="152">IF(E196&lt;&gt;"",((E196*20*50*ffp)/Klevee),"")</f>
        <v/>
      </c>
      <c r="L196" s="265" t="str">
        <f t="shared" ref="L196:L227" si="153">IF(ISNUMBER(F196),((F196*20*50*ffp)/Klevee),"")</f>
        <v/>
      </c>
      <c r="M196" s="265" t="str">
        <f t="shared" ref="M196:M227" si="154">IF(ISNUMBER(G196),((G196*20*50*ffp)/Klevee),"")</f>
        <v/>
      </c>
      <c r="N196" s="240" t="str">
        <f t="shared" ref="N196:N227" si="155">IF(AND(ISNUMBER(I),ISNUMBER($F$14),ISNUMBER($F$20)),IF($B196=0,I*($J$40/100)*$J$42*1,""),"-")</f>
        <v>-</v>
      </c>
      <c r="O196" s="265" t="str">
        <f t="shared" ref="O196:O227" si="156">IF(ISNUMBER($F$14),IF($F$14&gt;1,IF($B196=0+$F$16,I*($J$40/100)*$J$42*1,""),""),"-")</f>
        <v>-</v>
      </c>
      <c r="P196" s="265" t="str">
        <f t="shared" ref="P196:P227" si="157">IF(ISNUMBER($F$14),IF($F$14&gt;2,IF($B196=0+$F$17,I*($J$40/100)*$J$42*1,""),""),"-")</f>
        <v>-</v>
      </c>
      <c r="Q196" s="266" t="str">
        <f t="shared" ref="Q196:Q227" si="158">IF(AND(ISNUMBER(I),ISNUMBER($F$14),ISNUMBER($F$20)),IF($B196=0,I*(dt/100)*$J$45*1,""),"-")</f>
        <v>-</v>
      </c>
      <c r="R196" s="267" t="str">
        <f t="shared" ref="R196:R227" si="159">IF(ISNUMBER($F$14),IF($F$14&gt;1,IF($B196=0+$F$16,I*(dt/100)*$J$45*1,""),""),"-")</f>
        <v>-</v>
      </c>
      <c r="S196" s="268" t="str">
        <f t="shared" ref="S196:S227" si="160">IF(ISNUMBER($F$14),IF($F$14&gt;2,IF($B196=0+$F$17,I*(dt/100)*$J$45*1,""),""),"-")</f>
        <v>-</v>
      </c>
      <c r="T196" s="269" t="str">
        <f t="shared" si="104"/>
        <v/>
      </c>
      <c r="U196" s="221">
        <f t="shared" si="105"/>
        <v>96</v>
      </c>
      <c r="V196" s="220" t="str">
        <f t="shared" si="131"/>
        <v>-</v>
      </c>
      <c r="W196" s="221" t="str">
        <f t="shared" si="132"/>
        <v>-</v>
      </c>
      <c r="X196" s="221" t="str">
        <f t="shared" si="106"/>
        <v>-</v>
      </c>
      <c r="Y196" s="221" t="str">
        <f t="shared" si="107"/>
        <v>-</v>
      </c>
      <c r="Z196" s="270">
        <f t="shared" si="133"/>
        <v>0.1</v>
      </c>
      <c r="AA196" s="271" t="str">
        <f>IFERROR(IF(V195=1,AA$100*EXP(-(LN(2)/$D$65+0.04)*X195)*EXP(-(LN(2)/$D$65+0.1)*Y195),IF(V195=2,AA$100*EXP(-(LN(2)/$D$65+0.04)*(VLOOKUP(($F$16-$F$15)-1,U$99:Y195,4,FALSE)))*EXP(-(LN(2)/$D$65+0.1)*(VLOOKUP(($F$16-$F$15)-1,U$99:Y195,5,FALSE)))*EXP(-(LN(2)/$D$65+0.04)*X195)*EXP(-(LN(2)/$D$65+0.1)*Y195),IF(V195=3,AA$100*EXP(-(LN(2)/$D$65+0.04)*(VLOOKUP(($F$16-$F$15)-1,U$99:Y195,4,FALSE)))*EXP(-(LN(2)/$D$65+0.1)*(VLOOKUP(($F$16-$F$15)-1,U$99:Y195,5,FALSE)))*EXP(-(LN(2)/$D$65+0.04)*(VLOOKUP(($F$16-$F$15)*2-1,U$99:Y195,4,FALSE)))*EXP(-(LN(2)/$D$65+0.1)*(VLOOKUP(($F$16-$F$15)*2-1,U$99:Y195,5,FALSE)))*EXP(-(LN(2)/$D$65+0.04)*X195)*EXP(-(LN(2)/$D$65+0.1)*Y195),"-"))),"-")</f>
        <v>-</v>
      </c>
      <c r="AB196" s="271" t="str">
        <f>IFERROR(IF(V196=1,AB$100*EXP(-(LN(2)/$D$65+0.04)*X196)*EXP(-(LN(2)/$D$65+0.1)*Y196),IF(V196=2,AB$100*EXP(-(LN(2)/$D$65+0.04)*(VLOOKUP(($F$16-$F$15)-1,U$100:Y196,4,FALSE)))*EXP(-(LN(2)/$D$65+0.1)*(VLOOKUP(($F$16-$F$15)-1,U$100:Y196,5,FALSE)))*EXP(-(LN(2)/$D$65+0.04)*X196)*EXP(-(LN(2)/$D$65+0.1)*Y196),IF(V196=3,AB$100*EXP(-(LN(2)/$D$65+0.04)*(VLOOKUP(($F$16-$F$15)-1,U$100:Y196,4,FALSE)))*EXP(-(LN(2)/$D$65+0.1)*(VLOOKUP(($F$16-$F$15)-1,U$100:Y196,5,FALSE)))*EXP(-(LN(2)/$D$65+0.04)*(VLOOKUP(($F$16-$F$15)*2-1,U$100:Y196,4,FALSE)))*EXP(-(LN(2)/$D$65+0.1)*(VLOOKUP(($F$16-$F$15)*2-1,U$100:Y196,5,FALSE)))*EXP(-(LN(2)/$D$65+0.04)*X196)*EXP(-(LN(2)/$D$65+0.1)*Y196),"-"))),"-")</f>
        <v>-</v>
      </c>
      <c r="AC196" s="224">
        <f t="shared" si="134"/>
        <v>96</v>
      </c>
      <c r="AD196" s="223" t="str">
        <f t="shared" si="108"/>
        <v>-</v>
      </c>
      <c r="AE196" s="224" t="str">
        <f t="shared" si="135"/>
        <v>-</v>
      </c>
      <c r="AF196" s="224" t="str">
        <f t="shared" si="109"/>
        <v>-</v>
      </c>
      <c r="AG196" s="224" t="str">
        <f t="shared" si="110"/>
        <v>-</v>
      </c>
      <c r="AH196" s="272">
        <f t="shared" si="136"/>
        <v>0.1</v>
      </c>
      <c r="AI196" s="271" t="str">
        <f>IFERROR(IF(AD195=1,AI$100*EXP(-(LN(2)/$D$65+0.04)*AF195)*EXP(-(LN(2)/$D$65+0.1)*AG195),IF(AD195=2,AI$100*EXP(-(LN(2)/$D$65+0.04)*(VLOOKUP(($F$16-$F$15)-1,AC$99:AG195,4,FALSE)))*EXP(-(LN(2)/$D$65+0.1)*(VLOOKUP(($F$16-$F$15)-1,AC$99:AG195,5,FALSE)))*EXP(-(LN(2)/$D$65+0.04)*AF195)*EXP(-(LN(2)/$D$65+0.1)*AG195),IF(AD195=3,AI$100*EXP(-(LN(2)/$D$65+0.04)*(VLOOKUP(($F$16-$F$15)-1,AC$99:AG195,4,FALSE)))*EXP(-(LN(2)/$D$65+0.1)*(VLOOKUP(($F$16-$F$15)-1,AC$99:AG195,5,FALSE)))*EXP(-(LN(2)/$D$65+0.04)*(VLOOKUP(($F$16-$F$15)*2-1,AC$99:AG195,4,FALSE)))*EXP(-(LN(2)/$D$65+0.1)*(VLOOKUP(($F$16-$F$15)*2-1,AC$99:AG195,5,FALSE)))*EXP(-(LN(2)/$D$65+0.04)*AF195)*EXP(-(LN(2)/$D$65+0.1)*AG195),"-"))),"-")</f>
        <v>-</v>
      </c>
      <c r="AJ196" s="271" t="str">
        <f>IFERROR(IF(AD196=1,AJ$100*EXP(-(LN(2)/$D$65+0.04)*AF196)*EXP(-(LN(2)/$D$65+0.1)*AG196),IF(AD196=2,AJ$100*EXP(-(LN(2)/$D$65+0.04)*(VLOOKUP(($F$16-$F$15)-1,AC$100:AG196,4,FALSE)))*EXP(-(LN(2)/$D$65+0.1)*(VLOOKUP(($F$16-$F$15)-1,AC$100:AG196,5,FALSE)))*EXP(-(LN(2)/$D$65+0.04)*AF196)*EXP(-(LN(2)/$D$65+0.1)*AG196),IF(AD196=3,AJ$100*EXP(-(LN(2)/$D$65+0.04)*(VLOOKUP(($F$16-$F$15)-1,AC$100:AG196,4,FALSE)))*EXP(-(LN(2)/$D$65+0.1)*(VLOOKUP(($F$16-$F$15)-1,AC$100:AG196,5,FALSE)))*EXP(-(LN(2)/$D$65+0.04)*(VLOOKUP(($F$16-$F$15)*2-1,AC$100:AG196,4,FALSE)))*EXP(-(LN(2)/$D$65+0.1)*(VLOOKUP(($F$16-$F$15)*2-1,AC$100:AG196,5,FALSE)))*EXP(-(LN(2)/$D$65+0.04)*AF196)*EXP(-(LN(2)/$D$65+0.1)*AG196),"-"))),"-")</f>
        <v>-</v>
      </c>
      <c r="AK196" s="227">
        <f t="shared" si="137"/>
        <v>96</v>
      </c>
      <c r="AL196" s="226" t="str">
        <f t="shared" si="111"/>
        <v>-</v>
      </c>
      <c r="AM196" s="227" t="str">
        <f t="shared" si="138"/>
        <v>-</v>
      </c>
      <c r="AN196" s="227" t="str">
        <f t="shared" si="139"/>
        <v>-</v>
      </c>
      <c r="AO196" s="227" t="str">
        <f t="shared" si="112"/>
        <v>-</v>
      </c>
      <c r="AP196" s="273">
        <f t="shared" si="140"/>
        <v>0.1</v>
      </c>
      <c r="AQ196" s="271" t="str">
        <f>IFERROR(IF(AL195=1,AQ$100*EXP(-(LN(2)/$D$65+0.04)*AN195)*EXP(-(LN(2)/$D$65+0.1)*AO195),IF(AL195=2,AQ$100*EXP(-(LN(2)/$D$65+0.04)*(VLOOKUP(($F$16-$F$15)-1,AK$99:AO195,4,FALSE)))*EXP(-(LN(2)/$D$65+0.1)*(VLOOKUP(($F$16-$F$15)-1,AK$99:AO195,5,FALSE)))*EXP(-(LN(2)/$D$65+0.04)*AN195)*EXP(-(LN(2)/$D$65+0.1)*AO195),IF(AL195=3,AQ$100*EXP(-(LN(2)/$D$65+0.04)*(VLOOKUP(($F$16-$F$15)-1,AK$99:AO195,4,FALSE)))*EXP(-(LN(2)/$D$65+0.1)*(VLOOKUP(($F$16-$F$15)-1,AK$99:AO195,5,FALSE)))*EXP(-(LN(2)/$D$65+0.04)*(VLOOKUP(($F$16-$F$15)*2-1,AK$99:AO195,4,FALSE)))*EXP(-(LN(2)/$D$65+0.1)*(VLOOKUP(($F$16-$F$15)*2-1,AK$99:AO195,5,FALSE)))*EXP(-(LN(2)/$D$65+0.04)*AN195)*EXP(-(LN(2)/$D$65+0.1)*AO195),"-"))),"-")</f>
        <v>-</v>
      </c>
      <c r="AR196" s="271" t="str">
        <f>IFERROR(IF(AL196=1,AR$100*EXP(-(LN(2)/$D$65+0.04)*AN196)*EXP(-(LN(2)/$D$65+0.1)*AO196),IF(AL196=2,AR$100*EXP(-(LN(2)/$D$65+0.04)*(VLOOKUP(($F$16-$F$15)-1,AK$100:AO196,4,FALSE)))*EXP(-(LN(2)/$D$65+0.1)*(VLOOKUP(($F$16-$F$15)-1,AK$100:AO196,5,FALSE)))*EXP(-(LN(2)/$D$65+0.04)*AN196)*EXP(-(LN(2)/$D$65+0.1)*AO196),IF(AL196=3,AR$100*EXP(-(LN(2)/$D$65+0.04)*(VLOOKUP(($F$16-$F$15)-1,AK$100:AO196,4,FALSE)))*EXP(-(LN(2)/$D$65+0.1)*(VLOOKUP(($F$16-$F$15)-1,AK$100:AO196,5,FALSE)))*EXP(-(LN(2)/$D$65+0.04)*(VLOOKUP(($F$16-$F$15)*2-1,AK$100:AO196,4,FALSE)))*EXP(-(LN(2)/$D$65+0.1)*(VLOOKUP(($F$16-$F$15)*2-1,AK$100:AO196,5,FALSE)))*EXP(-(LN(2)/$D$65+0.04)*AN196)*EXP(-(LN(2)/$D$65+0.1)*AO196),"-"))),"-")</f>
        <v>-</v>
      </c>
      <c r="AS196" s="274">
        <f t="shared" si="113"/>
        <v>0</v>
      </c>
      <c r="AT196" s="274">
        <f t="shared" si="114"/>
        <v>0</v>
      </c>
      <c r="AU196" s="274">
        <f t="shared" si="115"/>
        <v>0</v>
      </c>
      <c r="AV196" s="190" t="str">
        <f>IF($B196&lt;$F$22,SUM($T$100:$T196),"")</f>
        <v/>
      </c>
      <c r="AW196" s="190" t="str">
        <f t="shared" ref="AW196:AW227" si="161">IF(ISNUMBER(Koc),IF(ISNUMBER(AV196),AV196*(Koc*(Ocse/100)*Pse*Vse)/(Koc*(Ocse/100)*Pse*Vse+1*86400*($B196+1)),""),"-")</f>
        <v>-</v>
      </c>
      <c r="AX196" s="190" t="str">
        <f t="shared" si="141"/>
        <v/>
      </c>
      <c r="AY196"/>
      <c r="AZ196" s="190" t="str">
        <f ca="1">IF(ISNUMBER(OFFSET(AV196,-$F$21,0)),SUM(OFFSET($T$100,$F$21,0):$T196),"")</f>
        <v/>
      </c>
      <c r="BA196" s="190" t="str">
        <f t="shared" ref="BA196:BA227" ca="1" si="162">IF(ISNUMBER(OFFSET(AV196,-$F$21,0)),AZ196*(Koc*(Ocse/100)*Pse*Vse)/(Koc*(Ocse/100)*Pse*Vse+1*86400*($B196+1)),"")</f>
        <v/>
      </c>
      <c r="BB196" s="190" t="str">
        <f t="shared" ca="1" si="148"/>
        <v/>
      </c>
      <c r="BC196" s="190"/>
      <c r="BD196" s="190" t="str">
        <f ca="1">IFERROR(IF(OR(ISNUMBER(I),ISNUMBER($F$14)),IF(AND($B196&gt;=($F$16-$F$15),$B196&lt;$F$22+($F$16-$F$15)),SUM(OFFSET($T$100,($F$16-$F$15),0):$T196),""),""),"")</f>
        <v/>
      </c>
      <c r="BE196" s="190" t="str">
        <f t="shared" ca="1" si="142"/>
        <v/>
      </c>
      <c r="BF196" s="190" t="str">
        <f t="shared" ca="1" si="143"/>
        <v/>
      </c>
      <c r="BG196"/>
      <c r="BH196" s="190" t="str">
        <f ca="1">IF(ISNUMBER(OFFSET(BD196,-$F$21,0)),SUM(OFFSET($T$100,($F$16-$F$15+$F$21),0):$T196),"")</f>
        <v/>
      </c>
      <c r="BI196" s="190" t="str">
        <f t="shared" ref="BI196:BI227" ca="1" si="163">IF(ISNUMBER(OFFSET(BD196,-$F$21,0)),BH196*(Koc*(Ocse/100)*Pse*Vse)/(Koc*(Ocse/100)*Pse*Vse+1*86400*($B196+1)),"")</f>
        <v/>
      </c>
      <c r="BJ196" s="190" t="str">
        <f t="shared" ca="1" si="144"/>
        <v/>
      </c>
      <c r="BK196" s="190"/>
      <c r="BL196" s="190" t="str">
        <f ca="1">IFERROR(IF(OR(ISNUMBER(I),ISNUMBER($F$14)),IF(AND($B196&gt;=($F$17-$F$15),$B196&lt;$F$22+($F$17-$F$15)),SUM(OFFSET($T$100,($F$17-$F$15),0):$T196),""),""),"")</f>
        <v/>
      </c>
      <c r="BM196" s="190" t="str">
        <f t="shared" ref="BM196:BM227" ca="1" si="164">IF(ISNUMBER(BL196),BL196*(Koc*(Ocse/100)*Pse*Vse)/(Koc*(Ocse/100)*Pse*Vse+1*86400*($B196+1)),"")</f>
        <v/>
      </c>
      <c r="BN196" s="190" t="str">
        <f t="shared" ca="1" si="145"/>
        <v/>
      </c>
      <c r="BO196"/>
      <c r="BP196" s="190" t="str">
        <f ca="1">IF(ISNUMBER(OFFSET(BL196,-$F$21,0)),SUM(OFFSET($T$100,($F$17-$F$15+$F$21),0):$T196),"")</f>
        <v/>
      </c>
      <c r="BQ196" s="190" t="str">
        <f t="shared" ref="BQ196:BQ227" ca="1" si="165">IF(ISNUMBER(OFFSET(BL196,-$F$21,0)),BP196*(Koc*(Ocse/100)*Pse*Vse)/(Koc*(Ocse/100)*Pse*Vse+1*86400*($B196+1)),"")</f>
        <v/>
      </c>
      <c r="BR196" s="190" t="str">
        <f t="shared" ca="1" si="146"/>
        <v/>
      </c>
      <c r="BS196" s="190"/>
      <c r="BT196"/>
      <c r="BU196"/>
      <c r="BV196"/>
      <c r="BY196" s="99"/>
      <c r="BZ196" s="99"/>
      <c r="CA196" s="280" t="str">
        <f t="shared" ref="CA196:CA227" si="166">IFERROR(IF($B196&lt;$CA$94,T196*(Koc*(Ocse/100)*Pse*Vse)/(Koc*(Ocse/100)*Pse*Vse+1*86400*$CA$94),""),"-")</f>
        <v/>
      </c>
      <c r="CB196" s="71" t="str">
        <f t="shared" si="122"/>
        <v>-</v>
      </c>
      <c r="CC196" s="33"/>
      <c r="CD196" s="261" t="str">
        <f t="shared" si="123"/>
        <v/>
      </c>
      <c r="CE196" s="280" t="str">
        <f t="shared" ref="CE196:CE227" si="167">IFERROR(IF($B196&lt;$CE$94,T196*(Koc*(Ocse/100)*Pse*Vse)/(Koc*(Ocse/100)*Pse*Vse+1*86400*$CE$94),""),"-")</f>
        <v/>
      </c>
      <c r="CF196" s="71" t="str">
        <f t="shared" ref="CF196:CF227" ca="1" si="168">IFERROR(IF($B196&lt;$CE$94,IF(NOT(ISNUMBER(ffp)),"-",IF($F$70=$AX$87,AX196,IF($F$70=$BB$87,OFFSET(BB196,$F$21,0),IF($F$70=$BF$87,OFFSET(BF196,$F$16,0),IF($F$70=$BJ$87,OFFSET(BJ196,$F$16+$F$21,0),IF($F$70=$BN$87,OFFSET(BN196,$F$17,0),OFFSET(BR196,$F$17+$F$21,0))))))),""),"-")</f>
        <v/>
      </c>
      <c r="CG196" s="33" t="str">
        <f t="shared" si="126"/>
        <v/>
      </c>
      <c r="CH196" s="261" t="str">
        <f t="shared" ca="1" si="127"/>
        <v/>
      </c>
    </row>
    <row r="197" spans="2:86" ht="13.5" customHeight="1" x14ac:dyDescent="0.2">
      <c r="B197" s="262">
        <v>97</v>
      </c>
      <c r="C197" s="237" t="str">
        <f t="shared" si="91"/>
        <v/>
      </c>
      <c r="D197" s="237" t="str">
        <f t="shared" si="147"/>
        <v/>
      </c>
      <c r="E197" s="263" t="str">
        <f t="shared" si="128"/>
        <v/>
      </c>
      <c r="F197" s="264" t="str">
        <f t="shared" si="129"/>
        <v/>
      </c>
      <c r="G197" s="264" t="str">
        <f t="shared" si="130"/>
        <v/>
      </c>
      <c r="H197" s="240" t="str">
        <f t="shared" si="149"/>
        <v/>
      </c>
      <c r="I197" s="265" t="str">
        <f t="shared" si="150"/>
        <v/>
      </c>
      <c r="J197" s="265" t="str">
        <f t="shared" si="151"/>
        <v/>
      </c>
      <c r="K197" s="240" t="str">
        <f t="shared" si="152"/>
        <v/>
      </c>
      <c r="L197" s="265" t="str">
        <f t="shared" si="153"/>
        <v/>
      </c>
      <c r="M197" s="265" t="str">
        <f t="shared" si="154"/>
        <v/>
      </c>
      <c r="N197" s="240" t="str">
        <f t="shared" si="155"/>
        <v>-</v>
      </c>
      <c r="O197" s="265" t="str">
        <f t="shared" si="156"/>
        <v>-</v>
      </c>
      <c r="P197" s="265" t="str">
        <f t="shared" si="157"/>
        <v>-</v>
      </c>
      <c r="Q197" s="266" t="str">
        <f t="shared" si="158"/>
        <v>-</v>
      </c>
      <c r="R197" s="267" t="str">
        <f t="shared" si="159"/>
        <v>-</v>
      </c>
      <c r="S197" s="268" t="str">
        <f t="shared" si="160"/>
        <v>-</v>
      </c>
      <c r="T197" s="269" t="str">
        <f t="shared" si="104"/>
        <v/>
      </c>
      <c r="U197" s="221">
        <f t="shared" si="105"/>
        <v>97</v>
      </c>
      <c r="V197" s="220" t="str">
        <f t="shared" si="131"/>
        <v>-</v>
      </c>
      <c r="W197" s="221" t="str">
        <f t="shared" si="132"/>
        <v>-</v>
      </c>
      <c r="X197" s="221" t="str">
        <f t="shared" si="106"/>
        <v>-</v>
      </c>
      <c r="Y197" s="221" t="str">
        <f t="shared" si="107"/>
        <v>-</v>
      </c>
      <c r="Z197" s="270">
        <f t="shared" si="133"/>
        <v>0.1</v>
      </c>
      <c r="AA197" s="271" t="str">
        <f>IFERROR(IF(V196=1,AA$100*EXP(-(LN(2)/$D$65+0.04)*X196)*EXP(-(LN(2)/$D$65+0.1)*Y196),IF(V196=2,AA$100*EXP(-(LN(2)/$D$65+0.04)*(VLOOKUP(($F$16-$F$15)-1,U$99:Y196,4,FALSE)))*EXP(-(LN(2)/$D$65+0.1)*(VLOOKUP(($F$16-$F$15)-1,U$99:Y196,5,FALSE)))*EXP(-(LN(2)/$D$65+0.04)*X196)*EXP(-(LN(2)/$D$65+0.1)*Y196),IF(V196=3,AA$100*EXP(-(LN(2)/$D$65+0.04)*(VLOOKUP(($F$16-$F$15)-1,U$99:Y196,4,FALSE)))*EXP(-(LN(2)/$D$65+0.1)*(VLOOKUP(($F$16-$F$15)-1,U$99:Y196,5,FALSE)))*EXP(-(LN(2)/$D$65+0.04)*(VLOOKUP(($F$16-$F$15)*2-1,U$99:Y196,4,FALSE)))*EXP(-(LN(2)/$D$65+0.1)*(VLOOKUP(($F$16-$F$15)*2-1,U$99:Y196,5,FALSE)))*EXP(-(LN(2)/$D$65+0.04)*X196)*EXP(-(LN(2)/$D$65+0.1)*Y196),"-"))),"-")</f>
        <v>-</v>
      </c>
      <c r="AB197" s="271" t="str">
        <f>IFERROR(IF(V197=1,AB$100*EXP(-(LN(2)/$D$65+0.04)*X197)*EXP(-(LN(2)/$D$65+0.1)*Y197),IF(V197=2,AB$100*EXP(-(LN(2)/$D$65+0.04)*(VLOOKUP(($F$16-$F$15)-1,U$100:Y197,4,FALSE)))*EXP(-(LN(2)/$D$65+0.1)*(VLOOKUP(($F$16-$F$15)-1,U$100:Y197,5,FALSE)))*EXP(-(LN(2)/$D$65+0.04)*X197)*EXP(-(LN(2)/$D$65+0.1)*Y197),IF(V197=3,AB$100*EXP(-(LN(2)/$D$65+0.04)*(VLOOKUP(($F$16-$F$15)-1,U$100:Y197,4,FALSE)))*EXP(-(LN(2)/$D$65+0.1)*(VLOOKUP(($F$16-$F$15)-1,U$100:Y197,5,FALSE)))*EXP(-(LN(2)/$D$65+0.04)*(VLOOKUP(($F$16-$F$15)*2-1,U$100:Y197,4,FALSE)))*EXP(-(LN(2)/$D$65+0.1)*(VLOOKUP(($F$16-$F$15)*2-1,U$100:Y197,5,FALSE)))*EXP(-(LN(2)/$D$65+0.04)*X197)*EXP(-(LN(2)/$D$65+0.1)*Y197),"-"))),"-")</f>
        <v>-</v>
      </c>
      <c r="AC197" s="224">
        <f t="shared" si="134"/>
        <v>97</v>
      </c>
      <c r="AD197" s="223" t="str">
        <f t="shared" si="108"/>
        <v>-</v>
      </c>
      <c r="AE197" s="224" t="str">
        <f t="shared" si="135"/>
        <v>-</v>
      </c>
      <c r="AF197" s="224" t="str">
        <f t="shared" si="109"/>
        <v>-</v>
      </c>
      <c r="AG197" s="224" t="str">
        <f t="shared" si="110"/>
        <v>-</v>
      </c>
      <c r="AH197" s="272">
        <f t="shared" si="136"/>
        <v>0.1</v>
      </c>
      <c r="AI197" s="271" t="str">
        <f>IFERROR(IF(AD196=1,AI$100*EXP(-(LN(2)/$D$65+0.04)*AF196)*EXP(-(LN(2)/$D$65+0.1)*AG196),IF(AD196=2,AI$100*EXP(-(LN(2)/$D$65+0.04)*(VLOOKUP(($F$16-$F$15)-1,AC$99:AG196,4,FALSE)))*EXP(-(LN(2)/$D$65+0.1)*(VLOOKUP(($F$16-$F$15)-1,AC$99:AG196,5,FALSE)))*EXP(-(LN(2)/$D$65+0.04)*AF196)*EXP(-(LN(2)/$D$65+0.1)*AG196),IF(AD196=3,AI$100*EXP(-(LN(2)/$D$65+0.04)*(VLOOKUP(($F$16-$F$15)-1,AC$99:AG196,4,FALSE)))*EXP(-(LN(2)/$D$65+0.1)*(VLOOKUP(($F$16-$F$15)-1,AC$99:AG196,5,FALSE)))*EXP(-(LN(2)/$D$65+0.04)*(VLOOKUP(($F$16-$F$15)*2-1,AC$99:AG196,4,FALSE)))*EXP(-(LN(2)/$D$65+0.1)*(VLOOKUP(($F$16-$F$15)*2-1,AC$99:AG196,5,FALSE)))*EXP(-(LN(2)/$D$65+0.04)*AF196)*EXP(-(LN(2)/$D$65+0.1)*AG196),"-"))),"-")</f>
        <v>-</v>
      </c>
      <c r="AJ197" s="271" t="str">
        <f>IFERROR(IF(AD197=1,AJ$100*EXP(-(LN(2)/$D$65+0.04)*AF197)*EXP(-(LN(2)/$D$65+0.1)*AG197),IF(AD197=2,AJ$100*EXP(-(LN(2)/$D$65+0.04)*(VLOOKUP(($F$16-$F$15)-1,AC$100:AG197,4,FALSE)))*EXP(-(LN(2)/$D$65+0.1)*(VLOOKUP(($F$16-$F$15)-1,AC$100:AG197,5,FALSE)))*EXP(-(LN(2)/$D$65+0.04)*AF197)*EXP(-(LN(2)/$D$65+0.1)*AG197),IF(AD197=3,AJ$100*EXP(-(LN(2)/$D$65+0.04)*(VLOOKUP(($F$16-$F$15)-1,AC$100:AG197,4,FALSE)))*EXP(-(LN(2)/$D$65+0.1)*(VLOOKUP(($F$16-$F$15)-1,AC$100:AG197,5,FALSE)))*EXP(-(LN(2)/$D$65+0.04)*(VLOOKUP(($F$16-$F$15)*2-1,AC$100:AG197,4,FALSE)))*EXP(-(LN(2)/$D$65+0.1)*(VLOOKUP(($F$16-$F$15)*2-1,AC$100:AG197,5,FALSE)))*EXP(-(LN(2)/$D$65+0.04)*AF197)*EXP(-(LN(2)/$D$65+0.1)*AG197),"-"))),"-")</f>
        <v>-</v>
      </c>
      <c r="AK197" s="227">
        <f t="shared" si="137"/>
        <v>97</v>
      </c>
      <c r="AL197" s="226" t="str">
        <f t="shared" si="111"/>
        <v>-</v>
      </c>
      <c r="AM197" s="227" t="str">
        <f t="shared" si="138"/>
        <v>-</v>
      </c>
      <c r="AN197" s="227" t="str">
        <f t="shared" si="139"/>
        <v>-</v>
      </c>
      <c r="AO197" s="227" t="str">
        <f t="shared" si="112"/>
        <v>-</v>
      </c>
      <c r="AP197" s="273">
        <f t="shared" si="140"/>
        <v>0.1</v>
      </c>
      <c r="AQ197" s="271" t="str">
        <f>IFERROR(IF(AL196=1,AQ$100*EXP(-(LN(2)/$D$65+0.04)*AN196)*EXP(-(LN(2)/$D$65+0.1)*AO196),IF(AL196=2,AQ$100*EXP(-(LN(2)/$D$65+0.04)*(VLOOKUP(($F$16-$F$15)-1,AK$99:AO196,4,FALSE)))*EXP(-(LN(2)/$D$65+0.1)*(VLOOKUP(($F$16-$F$15)-1,AK$99:AO196,5,FALSE)))*EXP(-(LN(2)/$D$65+0.04)*AN196)*EXP(-(LN(2)/$D$65+0.1)*AO196),IF(AL196=3,AQ$100*EXP(-(LN(2)/$D$65+0.04)*(VLOOKUP(($F$16-$F$15)-1,AK$99:AO196,4,FALSE)))*EXP(-(LN(2)/$D$65+0.1)*(VLOOKUP(($F$16-$F$15)-1,AK$99:AO196,5,FALSE)))*EXP(-(LN(2)/$D$65+0.04)*(VLOOKUP(($F$16-$F$15)*2-1,AK$99:AO196,4,FALSE)))*EXP(-(LN(2)/$D$65+0.1)*(VLOOKUP(($F$16-$F$15)*2-1,AK$99:AO196,5,FALSE)))*EXP(-(LN(2)/$D$65+0.04)*AN196)*EXP(-(LN(2)/$D$65+0.1)*AO196),"-"))),"-")</f>
        <v>-</v>
      </c>
      <c r="AR197" s="271" t="str">
        <f>IFERROR(IF(AL197=1,AR$100*EXP(-(LN(2)/$D$65+0.04)*AN197)*EXP(-(LN(2)/$D$65+0.1)*AO197),IF(AL197=2,AR$100*EXP(-(LN(2)/$D$65+0.04)*(VLOOKUP(($F$16-$F$15)-1,AK$100:AO197,4,FALSE)))*EXP(-(LN(2)/$D$65+0.1)*(VLOOKUP(($F$16-$F$15)-1,AK$100:AO197,5,FALSE)))*EXP(-(LN(2)/$D$65+0.04)*AN197)*EXP(-(LN(2)/$D$65+0.1)*AO197),IF(AL197=3,AR$100*EXP(-(LN(2)/$D$65+0.04)*(VLOOKUP(($F$16-$F$15)-1,AK$100:AO197,4,FALSE)))*EXP(-(LN(2)/$D$65+0.1)*(VLOOKUP(($F$16-$F$15)-1,AK$100:AO197,5,FALSE)))*EXP(-(LN(2)/$D$65+0.04)*(VLOOKUP(($F$16-$F$15)*2-1,AK$100:AO197,4,FALSE)))*EXP(-(LN(2)/$D$65+0.1)*(VLOOKUP(($F$16-$F$15)*2-1,AK$100:AO197,5,FALSE)))*EXP(-(LN(2)/$D$65+0.04)*AN197)*EXP(-(LN(2)/$D$65+0.1)*AO197),"-"))),"-")</f>
        <v>-</v>
      </c>
      <c r="AS197" s="274">
        <f t="shared" si="113"/>
        <v>0</v>
      </c>
      <c r="AT197" s="274">
        <f t="shared" si="114"/>
        <v>0</v>
      </c>
      <c r="AU197" s="274">
        <f t="shared" si="115"/>
        <v>0</v>
      </c>
      <c r="AV197" s="190" t="str">
        <f>IF($B197&lt;$F$22,SUM($T$100:$T197),"")</f>
        <v/>
      </c>
      <c r="AW197" s="190" t="str">
        <f t="shared" si="161"/>
        <v>-</v>
      </c>
      <c r="AX197" s="190" t="str">
        <f t="shared" si="141"/>
        <v/>
      </c>
      <c r="AY197"/>
      <c r="AZ197" s="190" t="str">
        <f ca="1">IF(ISNUMBER(OFFSET(AV197,-$F$21,0)),SUM(OFFSET($T$100,$F$21,0):$T197),"")</f>
        <v/>
      </c>
      <c r="BA197" s="190" t="str">
        <f t="shared" ca="1" si="162"/>
        <v/>
      </c>
      <c r="BB197" s="190" t="str">
        <f t="shared" ca="1" si="148"/>
        <v/>
      </c>
      <c r="BC197" s="190"/>
      <c r="BD197" s="190" t="str">
        <f ca="1">IFERROR(IF(OR(ISNUMBER(I),ISNUMBER($F$14)),IF(AND($B197&gt;=($F$16-$F$15),$B197&lt;$F$22+($F$16-$F$15)),SUM(OFFSET($T$100,($F$16-$F$15),0):$T197),""),""),"")</f>
        <v/>
      </c>
      <c r="BE197" s="190" t="str">
        <f t="shared" ca="1" si="142"/>
        <v/>
      </c>
      <c r="BF197" s="190" t="str">
        <f t="shared" ca="1" si="143"/>
        <v/>
      </c>
      <c r="BG197"/>
      <c r="BH197" s="190" t="str">
        <f ca="1">IF(ISNUMBER(OFFSET(BD197,-$F$21,0)),SUM(OFFSET($T$100,($F$16-$F$15+$F$21),0):$T197),"")</f>
        <v/>
      </c>
      <c r="BI197" s="190" t="str">
        <f t="shared" ca="1" si="163"/>
        <v/>
      </c>
      <c r="BJ197" s="190" t="str">
        <f t="shared" ca="1" si="144"/>
        <v/>
      </c>
      <c r="BK197" s="190"/>
      <c r="BL197" s="190" t="str">
        <f ca="1">IFERROR(IF(OR(ISNUMBER(I),ISNUMBER($F$14)),IF(AND($B197&gt;=($F$17-$F$15),$B197&lt;$F$22+($F$17-$F$15)),SUM(OFFSET($T$100,($F$17-$F$15),0):$T197),""),""),"")</f>
        <v/>
      </c>
      <c r="BM197" s="190" t="str">
        <f t="shared" ca="1" si="164"/>
        <v/>
      </c>
      <c r="BN197" s="190" t="str">
        <f t="shared" ca="1" si="145"/>
        <v/>
      </c>
      <c r="BO197"/>
      <c r="BP197" s="190" t="str">
        <f ca="1">IF(ISNUMBER(OFFSET(BL197,-$F$21,0)),SUM(OFFSET($T$100,($F$17-$F$15+$F$21),0):$T197),"")</f>
        <v/>
      </c>
      <c r="BQ197" s="190" t="str">
        <f t="shared" ca="1" si="165"/>
        <v/>
      </c>
      <c r="BR197" s="190" t="str">
        <f t="shared" ca="1" si="146"/>
        <v/>
      </c>
      <c r="BS197" s="190"/>
      <c r="BT197"/>
      <c r="BU197"/>
      <c r="BV197"/>
      <c r="BY197" s="99"/>
      <c r="BZ197" s="99"/>
      <c r="CA197" s="280" t="str">
        <f t="shared" si="166"/>
        <v/>
      </c>
      <c r="CB197" s="71" t="str">
        <f t="shared" si="122"/>
        <v>-</v>
      </c>
      <c r="CC197" s="33"/>
      <c r="CD197" s="261" t="str">
        <f t="shared" si="123"/>
        <v/>
      </c>
      <c r="CE197" s="280" t="str">
        <f t="shared" si="167"/>
        <v/>
      </c>
      <c r="CF197" s="71" t="str">
        <f t="shared" ca="1" si="168"/>
        <v/>
      </c>
      <c r="CG197" s="33" t="str">
        <f t="shared" si="126"/>
        <v/>
      </c>
      <c r="CH197" s="261" t="str">
        <f t="shared" ca="1" si="127"/>
        <v/>
      </c>
    </row>
    <row r="198" spans="2:86" ht="13.5" customHeight="1" x14ac:dyDescent="0.2">
      <c r="B198" s="262">
        <v>98</v>
      </c>
      <c r="C198" s="237" t="str">
        <f t="shared" si="91"/>
        <v/>
      </c>
      <c r="D198" s="237" t="str">
        <f t="shared" si="147"/>
        <v/>
      </c>
      <c r="E198" s="263" t="str">
        <f t="shared" si="128"/>
        <v/>
      </c>
      <c r="F198" s="264" t="str">
        <f t="shared" si="129"/>
        <v/>
      </c>
      <c r="G198" s="264" t="str">
        <f t="shared" si="130"/>
        <v/>
      </c>
      <c r="H198" s="240" t="str">
        <f t="shared" si="149"/>
        <v/>
      </c>
      <c r="I198" s="265" t="str">
        <f t="shared" si="150"/>
        <v/>
      </c>
      <c r="J198" s="265" t="str">
        <f t="shared" si="151"/>
        <v/>
      </c>
      <c r="K198" s="240" t="str">
        <f t="shared" si="152"/>
        <v/>
      </c>
      <c r="L198" s="265" t="str">
        <f t="shared" si="153"/>
        <v/>
      </c>
      <c r="M198" s="265" t="str">
        <f t="shared" si="154"/>
        <v/>
      </c>
      <c r="N198" s="240" t="str">
        <f t="shared" si="155"/>
        <v>-</v>
      </c>
      <c r="O198" s="265" t="str">
        <f t="shared" si="156"/>
        <v>-</v>
      </c>
      <c r="P198" s="265" t="str">
        <f t="shared" si="157"/>
        <v>-</v>
      </c>
      <c r="Q198" s="266" t="str">
        <f t="shared" si="158"/>
        <v>-</v>
      </c>
      <c r="R198" s="267" t="str">
        <f t="shared" si="159"/>
        <v>-</v>
      </c>
      <c r="S198" s="268" t="str">
        <f t="shared" si="160"/>
        <v>-</v>
      </c>
      <c r="T198" s="269" t="str">
        <f t="shared" si="104"/>
        <v/>
      </c>
      <c r="U198" s="221">
        <f t="shared" si="105"/>
        <v>98</v>
      </c>
      <c r="V198" s="220" t="str">
        <f t="shared" si="131"/>
        <v>-</v>
      </c>
      <c r="W198" s="221" t="str">
        <f t="shared" si="132"/>
        <v>-</v>
      </c>
      <c r="X198" s="221" t="str">
        <f t="shared" si="106"/>
        <v>-</v>
      </c>
      <c r="Y198" s="221" t="str">
        <f t="shared" si="107"/>
        <v>-</v>
      </c>
      <c r="Z198" s="270">
        <f t="shared" si="133"/>
        <v>0.1</v>
      </c>
      <c r="AA198" s="271" t="str">
        <f>IFERROR(IF(V197=1,AA$100*EXP(-(LN(2)/$D$65+0.04)*X197)*EXP(-(LN(2)/$D$65+0.1)*Y197),IF(V197=2,AA$100*EXP(-(LN(2)/$D$65+0.04)*(VLOOKUP(($F$16-$F$15)-1,U$99:Y197,4,FALSE)))*EXP(-(LN(2)/$D$65+0.1)*(VLOOKUP(($F$16-$F$15)-1,U$99:Y197,5,FALSE)))*EXP(-(LN(2)/$D$65+0.04)*X197)*EXP(-(LN(2)/$D$65+0.1)*Y197),IF(V197=3,AA$100*EXP(-(LN(2)/$D$65+0.04)*(VLOOKUP(($F$16-$F$15)-1,U$99:Y197,4,FALSE)))*EXP(-(LN(2)/$D$65+0.1)*(VLOOKUP(($F$16-$F$15)-1,U$99:Y197,5,FALSE)))*EXP(-(LN(2)/$D$65+0.04)*(VLOOKUP(($F$16-$F$15)*2-1,U$99:Y197,4,FALSE)))*EXP(-(LN(2)/$D$65+0.1)*(VLOOKUP(($F$16-$F$15)*2-1,U$99:Y197,5,FALSE)))*EXP(-(LN(2)/$D$65+0.04)*X197)*EXP(-(LN(2)/$D$65+0.1)*Y197),"-"))),"-")</f>
        <v>-</v>
      </c>
      <c r="AB198" s="271" t="str">
        <f>IFERROR(IF(V198=1,AB$100*EXP(-(LN(2)/$D$65+0.04)*X198)*EXP(-(LN(2)/$D$65+0.1)*Y198),IF(V198=2,AB$100*EXP(-(LN(2)/$D$65+0.04)*(VLOOKUP(($F$16-$F$15)-1,U$100:Y198,4,FALSE)))*EXP(-(LN(2)/$D$65+0.1)*(VLOOKUP(($F$16-$F$15)-1,U$100:Y198,5,FALSE)))*EXP(-(LN(2)/$D$65+0.04)*X198)*EXP(-(LN(2)/$D$65+0.1)*Y198),IF(V198=3,AB$100*EXP(-(LN(2)/$D$65+0.04)*(VLOOKUP(($F$16-$F$15)-1,U$100:Y198,4,FALSE)))*EXP(-(LN(2)/$D$65+0.1)*(VLOOKUP(($F$16-$F$15)-1,U$100:Y198,5,FALSE)))*EXP(-(LN(2)/$D$65+0.04)*(VLOOKUP(($F$16-$F$15)*2-1,U$100:Y198,4,FALSE)))*EXP(-(LN(2)/$D$65+0.1)*(VLOOKUP(($F$16-$F$15)*2-1,U$100:Y198,5,FALSE)))*EXP(-(LN(2)/$D$65+0.04)*X198)*EXP(-(LN(2)/$D$65+0.1)*Y198),"-"))),"-")</f>
        <v>-</v>
      </c>
      <c r="AC198" s="224">
        <f t="shared" si="134"/>
        <v>98</v>
      </c>
      <c r="AD198" s="223" t="str">
        <f t="shared" si="108"/>
        <v>-</v>
      </c>
      <c r="AE198" s="224" t="str">
        <f t="shared" si="135"/>
        <v>-</v>
      </c>
      <c r="AF198" s="224" t="str">
        <f t="shared" si="109"/>
        <v>-</v>
      </c>
      <c r="AG198" s="224" t="str">
        <f t="shared" si="110"/>
        <v>-</v>
      </c>
      <c r="AH198" s="272">
        <f t="shared" si="136"/>
        <v>0.1</v>
      </c>
      <c r="AI198" s="271" t="str">
        <f>IFERROR(IF(AD197=1,AI$100*EXP(-(LN(2)/$D$65+0.04)*AF197)*EXP(-(LN(2)/$D$65+0.1)*AG197),IF(AD197=2,AI$100*EXP(-(LN(2)/$D$65+0.04)*(VLOOKUP(($F$16-$F$15)-1,AC$99:AG197,4,FALSE)))*EXP(-(LN(2)/$D$65+0.1)*(VLOOKUP(($F$16-$F$15)-1,AC$99:AG197,5,FALSE)))*EXP(-(LN(2)/$D$65+0.04)*AF197)*EXP(-(LN(2)/$D$65+0.1)*AG197),IF(AD197=3,AI$100*EXP(-(LN(2)/$D$65+0.04)*(VLOOKUP(($F$16-$F$15)-1,AC$99:AG197,4,FALSE)))*EXP(-(LN(2)/$D$65+0.1)*(VLOOKUP(($F$16-$F$15)-1,AC$99:AG197,5,FALSE)))*EXP(-(LN(2)/$D$65+0.04)*(VLOOKUP(($F$16-$F$15)*2-1,AC$99:AG197,4,FALSE)))*EXP(-(LN(2)/$D$65+0.1)*(VLOOKUP(($F$16-$F$15)*2-1,AC$99:AG197,5,FALSE)))*EXP(-(LN(2)/$D$65+0.04)*AF197)*EXP(-(LN(2)/$D$65+0.1)*AG197),"-"))),"-")</f>
        <v>-</v>
      </c>
      <c r="AJ198" s="271" t="str">
        <f>IFERROR(IF(AD198=1,AJ$100*EXP(-(LN(2)/$D$65+0.04)*AF198)*EXP(-(LN(2)/$D$65+0.1)*AG198),IF(AD198=2,AJ$100*EXP(-(LN(2)/$D$65+0.04)*(VLOOKUP(($F$16-$F$15)-1,AC$100:AG198,4,FALSE)))*EXP(-(LN(2)/$D$65+0.1)*(VLOOKUP(($F$16-$F$15)-1,AC$100:AG198,5,FALSE)))*EXP(-(LN(2)/$D$65+0.04)*AF198)*EXP(-(LN(2)/$D$65+0.1)*AG198),IF(AD198=3,AJ$100*EXP(-(LN(2)/$D$65+0.04)*(VLOOKUP(($F$16-$F$15)-1,AC$100:AG198,4,FALSE)))*EXP(-(LN(2)/$D$65+0.1)*(VLOOKUP(($F$16-$F$15)-1,AC$100:AG198,5,FALSE)))*EXP(-(LN(2)/$D$65+0.04)*(VLOOKUP(($F$16-$F$15)*2-1,AC$100:AG198,4,FALSE)))*EXP(-(LN(2)/$D$65+0.1)*(VLOOKUP(($F$16-$F$15)*2-1,AC$100:AG198,5,FALSE)))*EXP(-(LN(2)/$D$65+0.04)*AF198)*EXP(-(LN(2)/$D$65+0.1)*AG198),"-"))),"-")</f>
        <v>-</v>
      </c>
      <c r="AK198" s="227">
        <f t="shared" si="137"/>
        <v>98</v>
      </c>
      <c r="AL198" s="226" t="str">
        <f t="shared" si="111"/>
        <v>-</v>
      </c>
      <c r="AM198" s="227" t="str">
        <f t="shared" si="138"/>
        <v>-</v>
      </c>
      <c r="AN198" s="227" t="str">
        <f t="shared" si="139"/>
        <v>-</v>
      </c>
      <c r="AO198" s="227" t="str">
        <f t="shared" si="112"/>
        <v>-</v>
      </c>
      <c r="AP198" s="273">
        <f t="shared" si="140"/>
        <v>0.1</v>
      </c>
      <c r="AQ198" s="271" t="str">
        <f>IFERROR(IF(AL197=1,AQ$100*EXP(-(LN(2)/$D$65+0.04)*AN197)*EXP(-(LN(2)/$D$65+0.1)*AO197),IF(AL197=2,AQ$100*EXP(-(LN(2)/$D$65+0.04)*(VLOOKUP(($F$16-$F$15)-1,AK$99:AO197,4,FALSE)))*EXP(-(LN(2)/$D$65+0.1)*(VLOOKUP(($F$16-$F$15)-1,AK$99:AO197,5,FALSE)))*EXP(-(LN(2)/$D$65+0.04)*AN197)*EXP(-(LN(2)/$D$65+0.1)*AO197),IF(AL197=3,AQ$100*EXP(-(LN(2)/$D$65+0.04)*(VLOOKUP(($F$16-$F$15)-1,AK$99:AO197,4,FALSE)))*EXP(-(LN(2)/$D$65+0.1)*(VLOOKUP(($F$16-$F$15)-1,AK$99:AO197,5,FALSE)))*EXP(-(LN(2)/$D$65+0.04)*(VLOOKUP(($F$16-$F$15)*2-1,AK$99:AO197,4,FALSE)))*EXP(-(LN(2)/$D$65+0.1)*(VLOOKUP(($F$16-$F$15)*2-1,AK$99:AO197,5,FALSE)))*EXP(-(LN(2)/$D$65+0.04)*AN197)*EXP(-(LN(2)/$D$65+0.1)*AO197),"-"))),"-")</f>
        <v>-</v>
      </c>
      <c r="AR198" s="271" t="str">
        <f>IFERROR(IF(AL198=1,AR$100*EXP(-(LN(2)/$D$65+0.04)*AN198)*EXP(-(LN(2)/$D$65+0.1)*AO198),IF(AL198=2,AR$100*EXP(-(LN(2)/$D$65+0.04)*(VLOOKUP(($F$16-$F$15)-1,AK$100:AO198,4,FALSE)))*EXP(-(LN(2)/$D$65+0.1)*(VLOOKUP(($F$16-$F$15)-1,AK$100:AO198,5,FALSE)))*EXP(-(LN(2)/$D$65+0.04)*AN198)*EXP(-(LN(2)/$D$65+0.1)*AO198),IF(AL198=3,AR$100*EXP(-(LN(2)/$D$65+0.04)*(VLOOKUP(($F$16-$F$15)-1,AK$100:AO198,4,FALSE)))*EXP(-(LN(2)/$D$65+0.1)*(VLOOKUP(($F$16-$F$15)-1,AK$100:AO198,5,FALSE)))*EXP(-(LN(2)/$D$65+0.04)*(VLOOKUP(($F$16-$F$15)*2-1,AK$100:AO198,4,FALSE)))*EXP(-(LN(2)/$D$65+0.1)*(VLOOKUP(($F$16-$F$15)*2-1,AK$100:AO198,5,FALSE)))*EXP(-(LN(2)/$D$65+0.04)*AN198)*EXP(-(LN(2)/$D$65+0.1)*AO198),"-"))),"-")</f>
        <v>-</v>
      </c>
      <c r="AS198" s="274">
        <f t="shared" si="113"/>
        <v>0</v>
      </c>
      <c r="AT198" s="274">
        <f t="shared" si="114"/>
        <v>0</v>
      </c>
      <c r="AU198" s="274">
        <f t="shared" si="115"/>
        <v>0</v>
      </c>
      <c r="AV198" s="190" t="str">
        <f>IF($B198&lt;$F$22,SUM($T$100:$T198),"")</f>
        <v/>
      </c>
      <c r="AW198" s="190" t="str">
        <f t="shared" si="161"/>
        <v>-</v>
      </c>
      <c r="AX198" s="190" t="str">
        <f t="shared" si="141"/>
        <v/>
      </c>
      <c r="AY198"/>
      <c r="AZ198" s="190" t="str">
        <f ca="1">IF(ISNUMBER(OFFSET(AV198,-$F$21,0)),SUM(OFFSET($T$100,$F$21,0):$T198),"")</f>
        <v/>
      </c>
      <c r="BA198" s="190" t="str">
        <f t="shared" ca="1" si="162"/>
        <v/>
      </c>
      <c r="BB198" s="190" t="str">
        <f t="shared" ca="1" si="148"/>
        <v/>
      </c>
      <c r="BC198" s="190"/>
      <c r="BD198" s="190" t="str">
        <f ca="1">IFERROR(IF(OR(ISNUMBER(I),ISNUMBER($F$14)),IF(AND($B198&gt;=($F$16-$F$15),$B198&lt;$F$22+($F$16-$F$15)),SUM(OFFSET($T$100,($F$16-$F$15),0):$T198),""),""),"")</f>
        <v/>
      </c>
      <c r="BE198" s="190" t="str">
        <f t="shared" ca="1" si="142"/>
        <v/>
      </c>
      <c r="BF198" s="190" t="str">
        <f t="shared" ca="1" si="143"/>
        <v/>
      </c>
      <c r="BG198"/>
      <c r="BH198" s="190" t="str">
        <f ca="1">IF(ISNUMBER(OFFSET(BD198,-$F$21,0)),SUM(OFFSET($T$100,($F$16-$F$15+$F$21),0):$T198),"")</f>
        <v/>
      </c>
      <c r="BI198" s="190" t="str">
        <f t="shared" ca="1" si="163"/>
        <v/>
      </c>
      <c r="BJ198" s="190" t="str">
        <f t="shared" ca="1" si="144"/>
        <v/>
      </c>
      <c r="BK198" s="190"/>
      <c r="BL198" s="190" t="str">
        <f ca="1">IFERROR(IF(OR(ISNUMBER(I),ISNUMBER($F$14)),IF(AND($B198&gt;=($F$17-$F$15),$B198&lt;$F$22+($F$17-$F$15)),SUM(OFFSET($T$100,($F$17-$F$15),0):$T198),""),""),"")</f>
        <v/>
      </c>
      <c r="BM198" s="190" t="str">
        <f t="shared" ca="1" si="164"/>
        <v/>
      </c>
      <c r="BN198" s="190" t="str">
        <f t="shared" ca="1" si="145"/>
        <v/>
      </c>
      <c r="BO198"/>
      <c r="BP198" s="190" t="str">
        <f ca="1">IF(ISNUMBER(OFFSET(BL198,-$F$21,0)),SUM(OFFSET($T$100,($F$17-$F$15+$F$21),0):$T198),"")</f>
        <v/>
      </c>
      <c r="BQ198" s="190" t="str">
        <f t="shared" ca="1" si="165"/>
        <v/>
      </c>
      <c r="BR198" s="190" t="str">
        <f t="shared" ca="1" si="146"/>
        <v/>
      </c>
      <c r="BS198" s="190"/>
      <c r="BT198"/>
      <c r="BU198"/>
      <c r="BV198"/>
      <c r="BY198" s="99"/>
      <c r="BZ198" s="99"/>
      <c r="CA198" s="280" t="str">
        <f t="shared" si="166"/>
        <v/>
      </c>
      <c r="CB198" s="71" t="str">
        <f t="shared" si="122"/>
        <v>-</v>
      </c>
      <c r="CC198" s="33"/>
      <c r="CD198" s="261" t="str">
        <f t="shared" si="123"/>
        <v/>
      </c>
      <c r="CE198" s="280" t="str">
        <f t="shared" si="167"/>
        <v/>
      </c>
      <c r="CF198" s="71" t="str">
        <f t="shared" ca="1" si="168"/>
        <v/>
      </c>
      <c r="CG198" s="33" t="str">
        <f t="shared" si="126"/>
        <v/>
      </c>
      <c r="CH198" s="261" t="str">
        <f t="shared" ca="1" si="127"/>
        <v/>
      </c>
    </row>
    <row r="199" spans="2:86" ht="13.5" customHeight="1" x14ac:dyDescent="0.2">
      <c r="B199" s="262">
        <v>99</v>
      </c>
      <c r="C199" s="237" t="str">
        <f t="shared" si="91"/>
        <v/>
      </c>
      <c r="D199" s="237" t="str">
        <f t="shared" si="147"/>
        <v/>
      </c>
      <c r="E199" s="263" t="str">
        <f t="shared" si="128"/>
        <v/>
      </c>
      <c r="F199" s="264" t="str">
        <f t="shared" si="129"/>
        <v/>
      </c>
      <c r="G199" s="264" t="str">
        <f t="shared" si="130"/>
        <v/>
      </c>
      <c r="H199" s="240" t="str">
        <f t="shared" si="149"/>
        <v/>
      </c>
      <c r="I199" s="265" t="str">
        <f t="shared" si="150"/>
        <v/>
      </c>
      <c r="J199" s="265" t="str">
        <f t="shared" si="151"/>
        <v/>
      </c>
      <c r="K199" s="240" t="str">
        <f t="shared" si="152"/>
        <v/>
      </c>
      <c r="L199" s="265" t="str">
        <f t="shared" si="153"/>
        <v/>
      </c>
      <c r="M199" s="265" t="str">
        <f t="shared" si="154"/>
        <v/>
      </c>
      <c r="N199" s="240" t="str">
        <f t="shared" si="155"/>
        <v>-</v>
      </c>
      <c r="O199" s="265" t="str">
        <f t="shared" si="156"/>
        <v>-</v>
      </c>
      <c r="P199" s="265" t="str">
        <f t="shared" si="157"/>
        <v>-</v>
      </c>
      <c r="Q199" s="266" t="str">
        <f t="shared" si="158"/>
        <v>-</v>
      </c>
      <c r="R199" s="267" t="str">
        <f t="shared" si="159"/>
        <v>-</v>
      </c>
      <c r="S199" s="268" t="str">
        <f t="shared" si="160"/>
        <v>-</v>
      </c>
      <c r="T199" s="269" t="str">
        <f t="shared" si="104"/>
        <v/>
      </c>
      <c r="U199" s="221">
        <f t="shared" si="105"/>
        <v>99</v>
      </c>
      <c r="V199" s="220" t="str">
        <f t="shared" si="131"/>
        <v>-</v>
      </c>
      <c r="W199" s="221" t="str">
        <f t="shared" si="132"/>
        <v>-</v>
      </c>
      <c r="X199" s="221" t="str">
        <f t="shared" si="106"/>
        <v>-</v>
      </c>
      <c r="Y199" s="221" t="str">
        <f t="shared" si="107"/>
        <v>-</v>
      </c>
      <c r="Z199" s="270">
        <f t="shared" si="133"/>
        <v>0.1</v>
      </c>
      <c r="AA199" s="271" t="str">
        <f>IFERROR(IF(V198=1,AA$100*EXP(-(LN(2)/$D$65+0.04)*X198)*EXP(-(LN(2)/$D$65+0.1)*Y198),IF(V198=2,AA$100*EXP(-(LN(2)/$D$65+0.04)*(VLOOKUP(($F$16-$F$15)-1,U$99:Y198,4,FALSE)))*EXP(-(LN(2)/$D$65+0.1)*(VLOOKUP(($F$16-$F$15)-1,U$99:Y198,5,FALSE)))*EXP(-(LN(2)/$D$65+0.04)*X198)*EXP(-(LN(2)/$D$65+0.1)*Y198),IF(V198=3,AA$100*EXP(-(LN(2)/$D$65+0.04)*(VLOOKUP(($F$16-$F$15)-1,U$99:Y198,4,FALSE)))*EXP(-(LN(2)/$D$65+0.1)*(VLOOKUP(($F$16-$F$15)-1,U$99:Y198,5,FALSE)))*EXP(-(LN(2)/$D$65+0.04)*(VLOOKUP(($F$16-$F$15)*2-1,U$99:Y198,4,FALSE)))*EXP(-(LN(2)/$D$65+0.1)*(VLOOKUP(($F$16-$F$15)*2-1,U$99:Y198,5,FALSE)))*EXP(-(LN(2)/$D$65+0.04)*X198)*EXP(-(LN(2)/$D$65+0.1)*Y198),"-"))),"-")</f>
        <v>-</v>
      </c>
      <c r="AB199" s="271" t="str">
        <f>IFERROR(IF(V199=1,AB$100*EXP(-(LN(2)/$D$65+0.04)*X199)*EXP(-(LN(2)/$D$65+0.1)*Y199),IF(V199=2,AB$100*EXP(-(LN(2)/$D$65+0.04)*(VLOOKUP(($F$16-$F$15)-1,U$100:Y199,4,FALSE)))*EXP(-(LN(2)/$D$65+0.1)*(VLOOKUP(($F$16-$F$15)-1,U$100:Y199,5,FALSE)))*EXP(-(LN(2)/$D$65+0.04)*X199)*EXP(-(LN(2)/$D$65+0.1)*Y199),IF(V199=3,AB$100*EXP(-(LN(2)/$D$65+0.04)*(VLOOKUP(($F$16-$F$15)-1,U$100:Y199,4,FALSE)))*EXP(-(LN(2)/$D$65+0.1)*(VLOOKUP(($F$16-$F$15)-1,U$100:Y199,5,FALSE)))*EXP(-(LN(2)/$D$65+0.04)*(VLOOKUP(($F$16-$F$15)*2-1,U$100:Y199,4,FALSE)))*EXP(-(LN(2)/$D$65+0.1)*(VLOOKUP(($F$16-$F$15)*2-1,U$100:Y199,5,FALSE)))*EXP(-(LN(2)/$D$65+0.04)*X199)*EXP(-(LN(2)/$D$65+0.1)*Y199),"-"))),"-")</f>
        <v>-</v>
      </c>
      <c r="AC199" s="224">
        <f t="shared" si="134"/>
        <v>99</v>
      </c>
      <c r="AD199" s="223" t="str">
        <f t="shared" si="108"/>
        <v>-</v>
      </c>
      <c r="AE199" s="224" t="str">
        <f t="shared" si="135"/>
        <v>-</v>
      </c>
      <c r="AF199" s="224" t="str">
        <f t="shared" si="109"/>
        <v>-</v>
      </c>
      <c r="AG199" s="224" t="str">
        <f t="shared" si="110"/>
        <v>-</v>
      </c>
      <c r="AH199" s="272">
        <f t="shared" si="136"/>
        <v>0.1</v>
      </c>
      <c r="AI199" s="271" t="str">
        <f>IFERROR(IF(AD198=1,AI$100*EXP(-(LN(2)/$D$65+0.04)*AF198)*EXP(-(LN(2)/$D$65+0.1)*AG198),IF(AD198=2,AI$100*EXP(-(LN(2)/$D$65+0.04)*(VLOOKUP(($F$16-$F$15)-1,AC$99:AG198,4,FALSE)))*EXP(-(LN(2)/$D$65+0.1)*(VLOOKUP(($F$16-$F$15)-1,AC$99:AG198,5,FALSE)))*EXP(-(LN(2)/$D$65+0.04)*AF198)*EXP(-(LN(2)/$D$65+0.1)*AG198),IF(AD198=3,AI$100*EXP(-(LN(2)/$D$65+0.04)*(VLOOKUP(($F$16-$F$15)-1,AC$99:AG198,4,FALSE)))*EXP(-(LN(2)/$D$65+0.1)*(VLOOKUP(($F$16-$F$15)-1,AC$99:AG198,5,FALSE)))*EXP(-(LN(2)/$D$65+0.04)*(VLOOKUP(($F$16-$F$15)*2-1,AC$99:AG198,4,FALSE)))*EXP(-(LN(2)/$D$65+0.1)*(VLOOKUP(($F$16-$F$15)*2-1,AC$99:AG198,5,FALSE)))*EXP(-(LN(2)/$D$65+0.04)*AF198)*EXP(-(LN(2)/$D$65+0.1)*AG198),"-"))),"-")</f>
        <v>-</v>
      </c>
      <c r="AJ199" s="271" t="str">
        <f>IFERROR(IF(AD199=1,AJ$100*EXP(-(LN(2)/$D$65+0.04)*AF199)*EXP(-(LN(2)/$D$65+0.1)*AG199),IF(AD199=2,AJ$100*EXP(-(LN(2)/$D$65+0.04)*(VLOOKUP(($F$16-$F$15)-1,AC$100:AG199,4,FALSE)))*EXP(-(LN(2)/$D$65+0.1)*(VLOOKUP(($F$16-$F$15)-1,AC$100:AG199,5,FALSE)))*EXP(-(LN(2)/$D$65+0.04)*AF199)*EXP(-(LN(2)/$D$65+0.1)*AG199),IF(AD199=3,AJ$100*EXP(-(LN(2)/$D$65+0.04)*(VLOOKUP(($F$16-$F$15)-1,AC$100:AG199,4,FALSE)))*EXP(-(LN(2)/$D$65+0.1)*(VLOOKUP(($F$16-$F$15)-1,AC$100:AG199,5,FALSE)))*EXP(-(LN(2)/$D$65+0.04)*(VLOOKUP(($F$16-$F$15)*2-1,AC$100:AG199,4,FALSE)))*EXP(-(LN(2)/$D$65+0.1)*(VLOOKUP(($F$16-$F$15)*2-1,AC$100:AG199,5,FALSE)))*EXP(-(LN(2)/$D$65+0.04)*AF199)*EXP(-(LN(2)/$D$65+0.1)*AG199),"-"))),"-")</f>
        <v>-</v>
      </c>
      <c r="AK199" s="227">
        <f t="shared" si="137"/>
        <v>99</v>
      </c>
      <c r="AL199" s="226" t="str">
        <f t="shared" si="111"/>
        <v>-</v>
      </c>
      <c r="AM199" s="227" t="str">
        <f t="shared" si="138"/>
        <v>-</v>
      </c>
      <c r="AN199" s="227" t="str">
        <f t="shared" si="139"/>
        <v>-</v>
      </c>
      <c r="AO199" s="227" t="str">
        <f t="shared" si="112"/>
        <v>-</v>
      </c>
      <c r="AP199" s="273">
        <f t="shared" si="140"/>
        <v>0.1</v>
      </c>
      <c r="AQ199" s="271" t="str">
        <f>IFERROR(IF(AL198=1,AQ$100*EXP(-(LN(2)/$D$65+0.04)*AN198)*EXP(-(LN(2)/$D$65+0.1)*AO198),IF(AL198=2,AQ$100*EXP(-(LN(2)/$D$65+0.04)*(VLOOKUP(($F$16-$F$15)-1,AK$99:AO198,4,FALSE)))*EXP(-(LN(2)/$D$65+0.1)*(VLOOKUP(($F$16-$F$15)-1,AK$99:AO198,5,FALSE)))*EXP(-(LN(2)/$D$65+0.04)*AN198)*EXP(-(LN(2)/$D$65+0.1)*AO198),IF(AL198=3,AQ$100*EXP(-(LN(2)/$D$65+0.04)*(VLOOKUP(($F$16-$F$15)-1,AK$99:AO198,4,FALSE)))*EXP(-(LN(2)/$D$65+0.1)*(VLOOKUP(($F$16-$F$15)-1,AK$99:AO198,5,FALSE)))*EXP(-(LN(2)/$D$65+0.04)*(VLOOKUP(($F$16-$F$15)*2-1,AK$99:AO198,4,FALSE)))*EXP(-(LN(2)/$D$65+0.1)*(VLOOKUP(($F$16-$F$15)*2-1,AK$99:AO198,5,FALSE)))*EXP(-(LN(2)/$D$65+0.04)*AN198)*EXP(-(LN(2)/$D$65+0.1)*AO198),"-"))),"-")</f>
        <v>-</v>
      </c>
      <c r="AR199" s="271" t="str">
        <f>IFERROR(IF(AL199=1,AR$100*EXP(-(LN(2)/$D$65+0.04)*AN199)*EXP(-(LN(2)/$D$65+0.1)*AO199),IF(AL199=2,AR$100*EXP(-(LN(2)/$D$65+0.04)*(VLOOKUP(($F$16-$F$15)-1,AK$100:AO199,4,FALSE)))*EXP(-(LN(2)/$D$65+0.1)*(VLOOKUP(($F$16-$F$15)-1,AK$100:AO199,5,FALSE)))*EXP(-(LN(2)/$D$65+0.04)*AN199)*EXP(-(LN(2)/$D$65+0.1)*AO199),IF(AL199=3,AR$100*EXP(-(LN(2)/$D$65+0.04)*(VLOOKUP(($F$16-$F$15)-1,AK$100:AO199,4,FALSE)))*EXP(-(LN(2)/$D$65+0.1)*(VLOOKUP(($F$16-$F$15)-1,AK$100:AO199,5,FALSE)))*EXP(-(LN(2)/$D$65+0.04)*(VLOOKUP(($F$16-$F$15)*2-1,AK$100:AO199,4,FALSE)))*EXP(-(LN(2)/$D$65+0.1)*(VLOOKUP(($F$16-$F$15)*2-1,AK$100:AO199,5,FALSE)))*EXP(-(LN(2)/$D$65+0.04)*AN199)*EXP(-(LN(2)/$D$65+0.1)*AO199),"-"))),"-")</f>
        <v>-</v>
      </c>
      <c r="AS199" s="274">
        <f t="shared" si="113"/>
        <v>0</v>
      </c>
      <c r="AT199" s="274">
        <f t="shared" si="114"/>
        <v>0</v>
      </c>
      <c r="AU199" s="274">
        <f t="shared" si="115"/>
        <v>0</v>
      </c>
      <c r="AV199" s="190" t="str">
        <f>IF($B199&lt;$F$22,SUM($T$100:$T199),"")</f>
        <v/>
      </c>
      <c r="AW199" s="190" t="str">
        <f t="shared" si="161"/>
        <v>-</v>
      </c>
      <c r="AX199" s="190" t="str">
        <f t="shared" si="141"/>
        <v/>
      </c>
      <c r="AY199"/>
      <c r="AZ199" s="190" t="str">
        <f ca="1">IF(ISNUMBER(OFFSET(AV199,-$F$21,0)),SUM(OFFSET($T$100,$F$21,0):$T199),"")</f>
        <v/>
      </c>
      <c r="BA199" s="190" t="str">
        <f t="shared" ca="1" si="162"/>
        <v/>
      </c>
      <c r="BB199" s="190" t="str">
        <f t="shared" ca="1" si="148"/>
        <v/>
      </c>
      <c r="BC199" s="190"/>
      <c r="BD199" s="190" t="str">
        <f ca="1">IFERROR(IF(OR(ISNUMBER(I),ISNUMBER($F$14)),IF(AND($B199&gt;=($F$16-$F$15),$B199&lt;$F$22+($F$16-$F$15)),SUM(OFFSET($T$100,($F$16-$F$15),0):$T199),""),""),"")</f>
        <v/>
      </c>
      <c r="BE199" s="190" t="str">
        <f t="shared" ca="1" si="142"/>
        <v/>
      </c>
      <c r="BF199" s="190" t="str">
        <f t="shared" ca="1" si="143"/>
        <v/>
      </c>
      <c r="BG199"/>
      <c r="BH199" s="190" t="str">
        <f ca="1">IF(ISNUMBER(OFFSET(BD199,-$F$21,0)),SUM(OFFSET($T$100,($F$16-$F$15+$F$21),0):$T199),"")</f>
        <v/>
      </c>
      <c r="BI199" s="190" t="str">
        <f t="shared" ca="1" si="163"/>
        <v/>
      </c>
      <c r="BJ199" s="190" t="str">
        <f t="shared" ca="1" si="144"/>
        <v/>
      </c>
      <c r="BK199" s="190"/>
      <c r="BL199" s="190" t="str">
        <f ca="1">IFERROR(IF(OR(ISNUMBER(I),ISNUMBER($F$14)),IF(AND($B199&gt;=($F$17-$F$15),$B199&lt;$F$22+($F$17-$F$15)),SUM(OFFSET($T$100,($F$17-$F$15),0):$T199),""),""),"")</f>
        <v/>
      </c>
      <c r="BM199" s="190" t="str">
        <f t="shared" ca="1" si="164"/>
        <v/>
      </c>
      <c r="BN199" s="190" t="str">
        <f t="shared" ca="1" si="145"/>
        <v/>
      </c>
      <c r="BO199"/>
      <c r="BP199" s="190" t="str">
        <f ca="1">IF(ISNUMBER(OFFSET(BL199,-$F$21,0)),SUM(OFFSET($T$100,($F$17-$F$15+$F$21),0):$T199),"")</f>
        <v/>
      </c>
      <c r="BQ199" s="190" t="str">
        <f t="shared" ca="1" si="165"/>
        <v/>
      </c>
      <c r="BR199" s="190" t="str">
        <f t="shared" ca="1" si="146"/>
        <v/>
      </c>
      <c r="BS199" s="190"/>
      <c r="BT199"/>
      <c r="BU199"/>
      <c r="BV199"/>
      <c r="BY199" s="99"/>
      <c r="BZ199" s="99"/>
      <c r="CA199" s="280" t="str">
        <f t="shared" si="166"/>
        <v/>
      </c>
      <c r="CB199" s="71" t="str">
        <f t="shared" si="122"/>
        <v>-</v>
      </c>
      <c r="CC199" s="33"/>
      <c r="CD199" s="261" t="str">
        <f t="shared" si="123"/>
        <v/>
      </c>
      <c r="CE199" s="280" t="str">
        <f t="shared" si="167"/>
        <v/>
      </c>
      <c r="CF199" s="71" t="str">
        <f t="shared" ca="1" si="168"/>
        <v/>
      </c>
      <c r="CG199" s="33" t="str">
        <f t="shared" si="126"/>
        <v/>
      </c>
      <c r="CH199" s="261" t="str">
        <f t="shared" ca="1" si="127"/>
        <v/>
      </c>
    </row>
    <row r="200" spans="2:86" ht="13.5" customHeight="1" x14ac:dyDescent="0.2">
      <c r="B200" s="262">
        <v>100</v>
      </c>
      <c r="C200" s="237" t="str">
        <f t="shared" si="91"/>
        <v/>
      </c>
      <c r="D200" s="237" t="str">
        <f t="shared" si="147"/>
        <v/>
      </c>
      <c r="E200" s="263" t="str">
        <f t="shared" si="128"/>
        <v/>
      </c>
      <c r="F200" s="264" t="str">
        <f t="shared" si="129"/>
        <v/>
      </c>
      <c r="G200" s="264" t="str">
        <f t="shared" si="130"/>
        <v/>
      </c>
      <c r="H200" s="240" t="str">
        <f t="shared" si="149"/>
        <v/>
      </c>
      <c r="I200" s="265" t="str">
        <f t="shared" si="150"/>
        <v/>
      </c>
      <c r="J200" s="265" t="str">
        <f t="shared" si="151"/>
        <v/>
      </c>
      <c r="K200" s="240" t="str">
        <f t="shared" si="152"/>
        <v/>
      </c>
      <c r="L200" s="265" t="str">
        <f t="shared" si="153"/>
        <v/>
      </c>
      <c r="M200" s="265" t="str">
        <f t="shared" si="154"/>
        <v/>
      </c>
      <c r="N200" s="240" t="str">
        <f t="shared" si="155"/>
        <v>-</v>
      </c>
      <c r="O200" s="265" t="str">
        <f t="shared" si="156"/>
        <v>-</v>
      </c>
      <c r="P200" s="265" t="str">
        <f t="shared" si="157"/>
        <v>-</v>
      </c>
      <c r="Q200" s="266" t="str">
        <f t="shared" si="158"/>
        <v>-</v>
      </c>
      <c r="R200" s="267" t="str">
        <f t="shared" si="159"/>
        <v>-</v>
      </c>
      <c r="S200" s="268" t="str">
        <f t="shared" si="160"/>
        <v>-</v>
      </c>
      <c r="T200" s="269" t="str">
        <f t="shared" si="104"/>
        <v/>
      </c>
      <c r="U200" s="221">
        <f t="shared" si="105"/>
        <v>100</v>
      </c>
      <c r="V200" s="220" t="str">
        <f t="shared" si="131"/>
        <v>-</v>
      </c>
      <c r="W200" s="221" t="str">
        <f t="shared" si="132"/>
        <v>-</v>
      </c>
      <c r="X200" s="221" t="str">
        <f t="shared" si="106"/>
        <v>-</v>
      </c>
      <c r="Y200" s="221" t="str">
        <f t="shared" si="107"/>
        <v>-</v>
      </c>
      <c r="Z200" s="270">
        <f t="shared" si="133"/>
        <v>0.1</v>
      </c>
      <c r="AA200" s="271" t="str">
        <f>IFERROR(IF(V199=1,AA$100*EXP(-(LN(2)/$D$65+0.04)*X199)*EXP(-(LN(2)/$D$65+0.1)*Y199),IF(V199=2,AA$100*EXP(-(LN(2)/$D$65+0.04)*(VLOOKUP(($F$16-$F$15)-1,U$99:Y199,4,FALSE)))*EXP(-(LN(2)/$D$65+0.1)*(VLOOKUP(($F$16-$F$15)-1,U$99:Y199,5,FALSE)))*EXP(-(LN(2)/$D$65+0.04)*X199)*EXP(-(LN(2)/$D$65+0.1)*Y199),IF(V199=3,AA$100*EXP(-(LN(2)/$D$65+0.04)*(VLOOKUP(($F$16-$F$15)-1,U$99:Y199,4,FALSE)))*EXP(-(LN(2)/$D$65+0.1)*(VLOOKUP(($F$16-$F$15)-1,U$99:Y199,5,FALSE)))*EXP(-(LN(2)/$D$65+0.04)*(VLOOKUP(($F$16-$F$15)*2-1,U$99:Y199,4,FALSE)))*EXP(-(LN(2)/$D$65+0.1)*(VLOOKUP(($F$16-$F$15)*2-1,U$99:Y199,5,FALSE)))*EXP(-(LN(2)/$D$65+0.04)*X199)*EXP(-(LN(2)/$D$65+0.1)*Y199),"-"))),"-")</f>
        <v>-</v>
      </c>
      <c r="AB200" s="271" t="str">
        <f>IFERROR(IF(V200=1,AB$100*EXP(-(LN(2)/$D$65+0.04)*X200)*EXP(-(LN(2)/$D$65+0.1)*Y200),IF(V200=2,AB$100*EXP(-(LN(2)/$D$65+0.04)*(VLOOKUP(($F$16-$F$15)-1,U$100:Y200,4,FALSE)))*EXP(-(LN(2)/$D$65+0.1)*(VLOOKUP(($F$16-$F$15)-1,U$100:Y200,5,FALSE)))*EXP(-(LN(2)/$D$65+0.04)*X200)*EXP(-(LN(2)/$D$65+0.1)*Y200),IF(V200=3,AB$100*EXP(-(LN(2)/$D$65+0.04)*(VLOOKUP(($F$16-$F$15)-1,U$100:Y200,4,FALSE)))*EXP(-(LN(2)/$D$65+0.1)*(VLOOKUP(($F$16-$F$15)-1,U$100:Y200,5,FALSE)))*EXP(-(LN(2)/$D$65+0.04)*(VLOOKUP(($F$16-$F$15)*2-1,U$100:Y200,4,FALSE)))*EXP(-(LN(2)/$D$65+0.1)*(VLOOKUP(($F$16-$F$15)*2-1,U$100:Y200,5,FALSE)))*EXP(-(LN(2)/$D$65+0.04)*X200)*EXP(-(LN(2)/$D$65+0.1)*Y200),"-"))),"-")</f>
        <v>-</v>
      </c>
      <c r="AC200" s="224">
        <f t="shared" si="134"/>
        <v>100</v>
      </c>
      <c r="AD200" s="223" t="str">
        <f t="shared" si="108"/>
        <v>-</v>
      </c>
      <c r="AE200" s="224" t="str">
        <f t="shared" si="135"/>
        <v>-</v>
      </c>
      <c r="AF200" s="224" t="str">
        <f t="shared" si="109"/>
        <v>-</v>
      </c>
      <c r="AG200" s="224" t="str">
        <f t="shared" si="110"/>
        <v>-</v>
      </c>
      <c r="AH200" s="272">
        <f t="shared" si="136"/>
        <v>0.1</v>
      </c>
      <c r="AI200" s="271" t="str">
        <f>IFERROR(IF(AD199=1,AI$100*EXP(-(LN(2)/$D$65+0.04)*AF199)*EXP(-(LN(2)/$D$65+0.1)*AG199),IF(AD199=2,AI$100*EXP(-(LN(2)/$D$65+0.04)*(VLOOKUP(($F$16-$F$15)-1,AC$99:AG199,4,FALSE)))*EXP(-(LN(2)/$D$65+0.1)*(VLOOKUP(($F$16-$F$15)-1,AC$99:AG199,5,FALSE)))*EXP(-(LN(2)/$D$65+0.04)*AF199)*EXP(-(LN(2)/$D$65+0.1)*AG199),IF(AD199=3,AI$100*EXP(-(LN(2)/$D$65+0.04)*(VLOOKUP(($F$16-$F$15)-1,AC$99:AG199,4,FALSE)))*EXP(-(LN(2)/$D$65+0.1)*(VLOOKUP(($F$16-$F$15)-1,AC$99:AG199,5,FALSE)))*EXP(-(LN(2)/$D$65+0.04)*(VLOOKUP(($F$16-$F$15)*2-1,AC$99:AG199,4,FALSE)))*EXP(-(LN(2)/$D$65+0.1)*(VLOOKUP(($F$16-$F$15)*2-1,AC$99:AG199,5,FALSE)))*EXP(-(LN(2)/$D$65+0.04)*AF199)*EXP(-(LN(2)/$D$65+0.1)*AG199),"-"))),"-")</f>
        <v>-</v>
      </c>
      <c r="AJ200" s="271" t="str">
        <f>IFERROR(IF(AD200=1,AJ$100*EXP(-(LN(2)/$D$65+0.04)*AF200)*EXP(-(LN(2)/$D$65+0.1)*AG200),IF(AD200=2,AJ$100*EXP(-(LN(2)/$D$65+0.04)*(VLOOKUP(($F$16-$F$15)-1,AC$100:AG200,4,FALSE)))*EXP(-(LN(2)/$D$65+0.1)*(VLOOKUP(($F$16-$F$15)-1,AC$100:AG200,5,FALSE)))*EXP(-(LN(2)/$D$65+0.04)*AF200)*EXP(-(LN(2)/$D$65+0.1)*AG200),IF(AD200=3,AJ$100*EXP(-(LN(2)/$D$65+0.04)*(VLOOKUP(($F$16-$F$15)-1,AC$100:AG200,4,FALSE)))*EXP(-(LN(2)/$D$65+0.1)*(VLOOKUP(($F$16-$F$15)-1,AC$100:AG200,5,FALSE)))*EXP(-(LN(2)/$D$65+0.04)*(VLOOKUP(($F$16-$F$15)*2-1,AC$100:AG200,4,FALSE)))*EXP(-(LN(2)/$D$65+0.1)*(VLOOKUP(($F$16-$F$15)*2-1,AC$100:AG200,5,FALSE)))*EXP(-(LN(2)/$D$65+0.04)*AF200)*EXP(-(LN(2)/$D$65+0.1)*AG200),"-"))),"-")</f>
        <v>-</v>
      </c>
      <c r="AK200" s="227">
        <f t="shared" si="137"/>
        <v>100</v>
      </c>
      <c r="AL200" s="226" t="str">
        <f t="shared" si="111"/>
        <v>-</v>
      </c>
      <c r="AM200" s="227" t="str">
        <f t="shared" si="138"/>
        <v>-</v>
      </c>
      <c r="AN200" s="227" t="str">
        <f t="shared" si="139"/>
        <v>-</v>
      </c>
      <c r="AO200" s="227" t="str">
        <f t="shared" si="112"/>
        <v>-</v>
      </c>
      <c r="AP200" s="273">
        <f t="shared" si="140"/>
        <v>0.1</v>
      </c>
      <c r="AQ200" s="271" t="str">
        <f>IFERROR(IF(AL199=1,AQ$100*EXP(-(LN(2)/$D$65+0.04)*AN199)*EXP(-(LN(2)/$D$65+0.1)*AO199),IF(AL199=2,AQ$100*EXP(-(LN(2)/$D$65+0.04)*(VLOOKUP(($F$16-$F$15)-1,AK$99:AO199,4,FALSE)))*EXP(-(LN(2)/$D$65+0.1)*(VLOOKUP(($F$16-$F$15)-1,AK$99:AO199,5,FALSE)))*EXP(-(LN(2)/$D$65+0.04)*AN199)*EXP(-(LN(2)/$D$65+0.1)*AO199),IF(AL199=3,AQ$100*EXP(-(LN(2)/$D$65+0.04)*(VLOOKUP(($F$16-$F$15)-1,AK$99:AO199,4,FALSE)))*EXP(-(LN(2)/$D$65+0.1)*(VLOOKUP(($F$16-$F$15)-1,AK$99:AO199,5,FALSE)))*EXP(-(LN(2)/$D$65+0.04)*(VLOOKUP(($F$16-$F$15)*2-1,AK$99:AO199,4,FALSE)))*EXP(-(LN(2)/$D$65+0.1)*(VLOOKUP(($F$16-$F$15)*2-1,AK$99:AO199,5,FALSE)))*EXP(-(LN(2)/$D$65+0.04)*AN199)*EXP(-(LN(2)/$D$65+0.1)*AO199),"-"))),"-")</f>
        <v>-</v>
      </c>
      <c r="AR200" s="271" t="str">
        <f>IFERROR(IF(AL200=1,AR$100*EXP(-(LN(2)/$D$65+0.04)*AN200)*EXP(-(LN(2)/$D$65+0.1)*AO200),IF(AL200=2,AR$100*EXP(-(LN(2)/$D$65+0.04)*(VLOOKUP(($F$16-$F$15)-1,AK$100:AO200,4,FALSE)))*EXP(-(LN(2)/$D$65+0.1)*(VLOOKUP(($F$16-$F$15)-1,AK$100:AO200,5,FALSE)))*EXP(-(LN(2)/$D$65+0.04)*AN200)*EXP(-(LN(2)/$D$65+0.1)*AO200),IF(AL200=3,AR$100*EXP(-(LN(2)/$D$65+0.04)*(VLOOKUP(($F$16-$F$15)-1,AK$100:AO200,4,FALSE)))*EXP(-(LN(2)/$D$65+0.1)*(VLOOKUP(($F$16-$F$15)-1,AK$100:AO200,5,FALSE)))*EXP(-(LN(2)/$D$65+0.04)*(VLOOKUP(($F$16-$F$15)*2-1,AK$100:AO200,4,FALSE)))*EXP(-(LN(2)/$D$65+0.1)*(VLOOKUP(($F$16-$F$15)*2-1,AK$100:AO200,5,FALSE)))*EXP(-(LN(2)/$D$65+0.04)*AN200)*EXP(-(LN(2)/$D$65+0.1)*AO200),"-"))),"-")</f>
        <v>-</v>
      </c>
      <c r="AS200" s="274">
        <f t="shared" si="113"/>
        <v>0</v>
      </c>
      <c r="AT200" s="274">
        <f t="shared" si="114"/>
        <v>0</v>
      </c>
      <c r="AU200" s="274">
        <f t="shared" si="115"/>
        <v>0</v>
      </c>
      <c r="AV200" s="190" t="str">
        <f>IF($B200&lt;$F$22,SUM($T$100:$T200),"")</f>
        <v/>
      </c>
      <c r="AW200" s="190" t="str">
        <f t="shared" si="161"/>
        <v>-</v>
      </c>
      <c r="AX200" s="190" t="str">
        <f t="shared" si="141"/>
        <v/>
      </c>
      <c r="AY200"/>
      <c r="AZ200" s="190" t="str">
        <f ca="1">IF(ISNUMBER(OFFSET(AV200,-$F$21,0)),SUM(OFFSET($T$100,$F$21,0):$T200),"")</f>
        <v/>
      </c>
      <c r="BA200" s="190" t="str">
        <f t="shared" ca="1" si="162"/>
        <v/>
      </c>
      <c r="BB200" s="190" t="str">
        <f t="shared" ca="1" si="148"/>
        <v/>
      </c>
      <c r="BC200" s="190"/>
      <c r="BD200" s="190" t="str">
        <f ca="1">IFERROR(IF(OR(ISNUMBER(I),ISNUMBER($F$14)),IF(AND($B200&gt;=($F$16-$F$15),$B200&lt;$F$22+($F$16-$F$15)),SUM(OFFSET($T$100,($F$16-$F$15),0):$T200),""),""),"")</f>
        <v/>
      </c>
      <c r="BE200" s="190" t="str">
        <f t="shared" ca="1" si="142"/>
        <v/>
      </c>
      <c r="BF200" s="190" t="str">
        <f t="shared" ca="1" si="143"/>
        <v/>
      </c>
      <c r="BG200"/>
      <c r="BH200" s="190" t="str">
        <f ca="1">IF(ISNUMBER(OFFSET(BD200,-$F$21,0)),SUM(OFFSET($T$100,($F$16-$F$15+$F$21),0):$T200),"")</f>
        <v/>
      </c>
      <c r="BI200" s="190" t="str">
        <f t="shared" ca="1" si="163"/>
        <v/>
      </c>
      <c r="BJ200" s="190" t="str">
        <f t="shared" ca="1" si="144"/>
        <v/>
      </c>
      <c r="BK200" s="190"/>
      <c r="BL200" s="190" t="str">
        <f ca="1">IFERROR(IF(OR(ISNUMBER(I),ISNUMBER($F$14)),IF(AND($B200&gt;=($F$17-$F$15),$B200&lt;$F$22+($F$17-$F$15)),SUM(OFFSET($T$100,($F$17-$F$15),0):$T200),""),""),"")</f>
        <v/>
      </c>
      <c r="BM200" s="190" t="str">
        <f t="shared" ca="1" si="164"/>
        <v/>
      </c>
      <c r="BN200" s="190" t="str">
        <f t="shared" ca="1" si="145"/>
        <v/>
      </c>
      <c r="BO200"/>
      <c r="BP200" s="190" t="str">
        <f ca="1">IF(ISNUMBER(OFFSET(BL200,-$F$21,0)),SUM(OFFSET($T$100,($F$17-$F$15+$F$21),0):$T200),"")</f>
        <v/>
      </c>
      <c r="BQ200" s="190" t="str">
        <f t="shared" ca="1" si="165"/>
        <v/>
      </c>
      <c r="BR200" s="190" t="str">
        <f t="shared" ca="1" si="146"/>
        <v/>
      </c>
      <c r="BS200" s="190"/>
      <c r="BT200"/>
      <c r="BU200"/>
      <c r="BV200"/>
      <c r="BY200" s="99"/>
      <c r="BZ200" s="99"/>
      <c r="CA200" s="280" t="str">
        <f t="shared" si="166"/>
        <v/>
      </c>
      <c r="CB200" s="71" t="str">
        <f t="shared" si="122"/>
        <v>-</v>
      </c>
      <c r="CC200" s="33"/>
      <c r="CD200" s="261" t="str">
        <f t="shared" si="123"/>
        <v/>
      </c>
      <c r="CE200" s="280" t="str">
        <f t="shared" si="167"/>
        <v/>
      </c>
      <c r="CF200" s="71" t="str">
        <f t="shared" ca="1" si="168"/>
        <v/>
      </c>
      <c r="CG200" s="33" t="str">
        <f t="shared" si="126"/>
        <v/>
      </c>
      <c r="CH200" s="261" t="str">
        <f t="shared" ca="1" si="127"/>
        <v/>
      </c>
    </row>
    <row r="201" spans="2:86" ht="13.5" customHeight="1" x14ac:dyDescent="0.2">
      <c r="B201" s="262">
        <v>101</v>
      </c>
      <c r="C201" s="237" t="str">
        <f t="shared" si="91"/>
        <v/>
      </c>
      <c r="D201" s="237" t="str">
        <f t="shared" si="147"/>
        <v/>
      </c>
      <c r="E201" s="263" t="str">
        <f t="shared" si="128"/>
        <v/>
      </c>
      <c r="F201" s="264" t="str">
        <f t="shared" si="129"/>
        <v/>
      </c>
      <c r="G201" s="264" t="str">
        <f t="shared" si="130"/>
        <v/>
      </c>
      <c r="H201" s="240" t="str">
        <f t="shared" si="149"/>
        <v/>
      </c>
      <c r="I201" s="265" t="str">
        <f t="shared" si="150"/>
        <v/>
      </c>
      <c r="J201" s="265" t="str">
        <f t="shared" si="151"/>
        <v/>
      </c>
      <c r="K201" s="240" t="str">
        <f t="shared" si="152"/>
        <v/>
      </c>
      <c r="L201" s="265" t="str">
        <f t="shared" si="153"/>
        <v/>
      </c>
      <c r="M201" s="265" t="str">
        <f t="shared" si="154"/>
        <v/>
      </c>
      <c r="N201" s="240" t="str">
        <f t="shared" si="155"/>
        <v>-</v>
      </c>
      <c r="O201" s="265" t="str">
        <f t="shared" si="156"/>
        <v>-</v>
      </c>
      <c r="P201" s="265" t="str">
        <f t="shared" si="157"/>
        <v>-</v>
      </c>
      <c r="Q201" s="266" t="str">
        <f t="shared" si="158"/>
        <v>-</v>
      </c>
      <c r="R201" s="267" t="str">
        <f t="shared" si="159"/>
        <v>-</v>
      </c>
      <c r="S201" s="268" t="str">
        <f t="shared" si="160"/>
        <v>-</v>
      </c>
      <c r="T201" s="269" t="str">
        <f t="shared" si="104"/>
        <v/>
      </c>
      <c r="U201" s="221">
        <f t="shared" si="105"/>
        <v>101</v>
      </c>
      <c r="V201" s="220" t="str">
        <f t="shared" si="131"/>
        <v>-</v>
      </c>
      <c r="W201" s="221" t="str">
        <f t="shared" si="132"/>
        <v>-</v>
      </c>
      <c r="X201" s="221" t="str">
        <f t="shared" si="106"/>
        <v>-</v>
      </c>
      <c r="Y201" s="221" t="str">
        <f t="shared" si="107"/>
        <v>-</v>
      </c>
      <c r="Z201" s="270">
        <f t="shared" si="133"/>
        <v>0.1</v>
      </c>
      <c r="AA201" s="271" t="str">
        <f>IFERROR(IF(V200=1,AA$100*EXP(-(LN(2)/$D$65+0.04)*X200)*EXP(-(LN(2)/$D$65+0.1)*Y200),IF(V200=2,AA$100*EXP(-(LN(2)/$D$65+0.04)*(VLOOKUP(($F$16-$F$15)-1,U$99:Y200,4,FALSE)))*EXP(-(LN(2)/$D$65+0.1)*(VLOOKUP(($F$16-$F$15)-1,U$99:Y200,5,FALSE)))*EXP(-(LN(2)/$D$65+0.04)*X200)*EXP(-(LN(2)/$D$65+0.1)*Y200),IF(V200=3,AA$100*EXP(-(LN(2)/$D$65+0.04)*(VLOOKUP(($F$16-$F$15)-1,U$99:Y200,4,FALSE)))*EXP(-(LN(2)/$D$65+0.1)*(VLOOKUP(($F$16-$F$15)-1,U$99:Y200,5,FALSE)))*EXP(-(LN(2)/$D$65+0.04)*(VLOOKUP(($F$16-$F$15)*2-1,U$99:Y200,4,FALSE)))*EXP(-(LN(2)/$D$65+0.1)*(VLOOKUP(($F$16-$F$15)*2-1,U$99:Y200,5,FALSE)))*EXP(-(LN(2)/$D$65+0.04)*X200)*EXP(-(LN(2)/$D$65+0.1)*Y200),"-"))),"-")</f>
        <v>-</v>
      </c>
      <c r="AB201" s="271" t="str">
        <f>IFERROR(IF(V201=1,AB$100*EXP(-(LN(2)/$D$65+0.04)*X201)*EXP(-(LN(2)/$D$65+0.1)*Y201),IF(V201=2,AB$100*EXP(-(LN(2)/$D$65+0.04)*(VLOOKUP(($F$16-$F$15)-1,U$100:Y201,4,FALSE)))*EXP(-(LN(2)/$D$65+0.1)*(VLOOKUP(($F$16-$F$15)-1,U$100:Y201,5,FALSE)))*EXP(-(LN(2)/$D$65+0.04)*X201)*EXP(-(LN(2)/$D$65+0.1)*Y201),IF(V201=3,AB$100*EXP(-(LN(2)/$D$65+0.04)*(VLOOKUP(($F$16-$F$15)-1,U$100:Y201,4,FALSE)))*EXP(-(LN(2)/$D$65+0.1)*(VLOOKUP(($F$16-$F$15)-1,U$100:Y201,5,FALSE)))*EXP(-(LN(2)/$D$65+0.04)*(VLOOKUP(($F$16-$F$15)*2-1,U$100:Y201,4,FALSE)))*EXP(-(LN(2)/$D$65+0.1)*(VLOOKUP(($F$16-$F$15)*2-1,U$100:Y201,5,FALSE)))*EXP(-(LN(2)/$D$65+0.04)*X201)*EXP(-(LN(2)/$D$65+0.1)*Y201),"-"))),"-")</f>
        <v>-</v>
      </c>
      <c r="AC201" s="224">
        <f t="shared" si="134"/>
        <v>101</v>
      </c>
      <c r="AD201" s="223" t="str">
        <f t="shared" si="108"/>
        <v>-</v>
      </c>
      <c r="AE201" s="224" t="str">
        <f t="shared" si="135"/>
        <v>-</v>
      </c>
      <c r="AF201" s="224" t="str">
        <f t="shared" si="109"/>
        <v>-</v>
      </c>
      <c r="AG201" s="224" t="str">
        <f t="shared" si="110"/>
        <v>-</v>
      </c>
      <c r="AH201" s="272">
        <f t="shared" si="136"/>
        <v>0.1</v>
      </c>
      <c r="AI201" s="271" t="str">
        <f>IFERROR(IF(AD200=1,AI$100*EXP(-(LN(2)/$D$65+0.04)*AF200)*EXP(-(LN(2)/$D$65+0.1)*AG200),IF(AD200=2,AI$100*EXP(-(LN(2)/$D$65+0.04)*(VLOOKUP(($F$16-$F$15)-1,AC$99:AG200,4,FALSE)))*EXP(-(LN(2)/$D$65+0.1)*(VLOOKUP(($F$16-$F$15)-1,AC$99:AG200,5,FALSE)))*EXP(-(LN(2)/$D$65+0.04)*AF200)*EXP(-(LN(2)/$D$65+0.1)*AG200),IF(AD200=3,AI$100*EXP(-(LN(2)/$D$65+0.04)*(VLOOKUP(($F$16-$F$15)-1,AC$99:AG200,4,FALSE)))*EXP(-(LN(2)/$D$65+0.1)*(VLOOKUP(($F$16-$F$15)-1,AC$99:AG200,5,FALSE)))*EXP(-(LN(2)/$D$65+0.04)*(VLOOKUP(($F$16-$F$15)*2-1,AC$99:AG200,4,FALSE)))*EXP(-(LN(2)/$D$65+0.1)*(VLOOKUP(($F$16-$F$15)*2-1,AC$99:AG200,5,FALSE)))*EXP(-(LN(2)/$D$65+0.04)*AF200)*EXP(-(LN(2)/$D$65+0.1)*AG200),"-"))),"-")</f>
        <v>-</v>
      </c>
      <c r="AJ201" s="271" t="str">
        <f>IFERROR(IF(AD201=1,AJ$100*EXP(-(LN(2)/$D$65+0.04)*AF201)*EXP(-(LN(2)/$D$65+0.1)*AG201),IF(AD201=2,AJ$100*EXP(-(LN(2)/$D$65+0.04)*(VLOOKUP(($F$16-$F$15)-1,AC$100:AG201,4,FALSE)))*EXP(-(LN(2)/$D$65+0.1)*(VLOOKUP(($F$16-$F$15)-1,AC$100:AG201,5,FALSE)))*EXP(-(LN(2)/$D$65+0.04)*AF201)*EXP(-(LN(2)/$D$65+0.1)*AG201),IF(AD201=3,AJ$100*EXP(-(LN(2)/$D$65+0.04)*(VLOOKUP(($F$16-$F$15)-1,AC$100:AG201,4,FALSE)))*EXP(-(LN(2)/$D$65+0.1)*(VLOOKUP(($F$16-$F$15)-1,AC$100:AG201,5,FALSE)))*EXP(-(LN(2)/$D$65+0.04)*(VLOOKUP(($F$16-$F$15)*2-1,AC$100:AG201,4,FALSE)))*EXP(-(LN(2)/$D$65+0.1)*(VLOOKUP(($F$16-$F$15)*2-1,AC$100:AG201,5,FALSE)))*EXP(-(LN(2)/$D$65+0.04)*AF201)*EXP(-(LN(2)/$D$65+0.1)*AG201),"-"))),"-")</f>
        <v>-</v>
      </c>
      <c r="AK201" s="227">
        <f t="shared" si="137"/>
        <v>101</v>
      </c>
      <c r="AL201" s="226" t="str">
        <f t="shared" si="111"/>
        <v>-</v>
      </c>
      <c r="AM201" s="227" t="str">
        <f t="shared" si="138"/>
        <v>-</v>
      </c>
      <c r="AN201" s="227" t="str">
        <f t="shared" si="139"/>
        <v>-</v>
      </c>
      <c r="AO201" s="227" t="str">
        <f t="shared" si="112"/>
        <v>-</v>
      </c>
      <c r="AP201" s="273">
        <f t="shared" si="140"/>
        <v>0.1</v>
      </c>
      <c r="AQ201" s="271" t="str">
        <f>IFERROR(IF(AL200=1,AQ$100*EXP(-(LN(2)/$D$65+0.04)*AN200)*EXP(-(LN(2)/$D$65+0.1)*AO200),IF(AL200=2,AQ$100*EXP(-(LN(2)/$D$65+0.04)*(VLOOKUP(($F$16-$F$15)-1,AK$99:AO200,4,FALSE)))*EXP(-(LN(2)/$D$65+0.1)*(VLOOKUP(($F$16-$F$15)-1,AK$99:AO200,5,FALSE)))*EXP(-(LN(2)/$D$65+0.04)*AN200)*EXP(-(LN(2)/$D$65+0.1)*AO200),IF(AL200=3,AQ$100*EXP(-(LN(2)/$D$65+0.04)*(VLOOKUP(($F$16-$F$15)-1,AK$99:AO200,4,FALSE)))*EXP(-(LN(2)/$D$65+0.1)*(VLOOKUP(($F$16-$F$15)-1,AK$99:AO200,5,FALSE)))*EXP(-(LN(2)/$D$65+0.04)*(VLOOKUP(($F$16-$F$15)*2-1,AK$99:AO200,4,FALSE)))*EXP(-(LN(2)/$D$65+0.1)*(VLOOKUP(($F$16-$F$15)*2-1,AK$99:AO200,5,FALSE)))*EXP(-(LN(2)/$D$65+0.04)*AN200)*EXP(-(LN(2)/$D$65+0.1)*AO200),"-"))),"-")</f>
        <v>-</v>
      </c>
      <c r="AR201" s="271" t="str">
        <f>IFERROR(IF(AL201=1,AR$100*EXP(-(LN(2)/$D$65+0.04)*AN201)*EXP(-(LN(2)/$D$65+0.1)*AO201),IF(AL201=2,AR$100*EXP(-(LN(2)/$D$65+0.04)*(VLOOKUP(($F$16-$F$15)-1,AK$100:AO201,4,FALSE)))*EXP(-(LN(2)/$D$65+0.1)*(VLOOKUP(($F$16-$F$15)-1,AK$100:AO201,5,FALSE)))*EXP(-(LN(2)/$D$65+0.04)*AN201)*EXP(-(LN(2)/$D$65+0.1)*AO201),IF(AL201=3,AR$100*EXP(-(LN(2)/$D$65+0.04)*(VLOOKUP(($F$16-$F$15)-1,AK$100:AO201,4,FALSE)))*EXP(-(LN(2)/$D$65+0.1)*(VLOOKUP(($F$16-$F$15)-1,AK$100:AO201,5,FALSE)))*EXP(-(LN(2)/$D$65+0.04)*(VLOOKUP(($F$16-$F$15)*2-1,AK$100:AO201,4,FALSE)))*EXP(-(LN(2)/$D$65+0.1)*(VLOOKUP(($F$16-$F$15)*2-1,AK$100:AO201,5,FALSE)))*EXP(-(LN(2)/$D$65+0.04)*AN201)*EXP(-(LN(2)/$D$65+0.1)*AO201),"-"))),"-")</f>
        <v>-</v>
      </c>
      <c r="AS201" s="274">
        <f t="shared" si="113"/>
        <v>0</v>
      </c>
      <c r="AT201" s="274">
        <f t="shared" si="114"/>
        <v>0</v>
      </c>
      <c r="AU201" s="274">
        <f t="shared" si="115"/>
        <v>0</v>
      </c>
      <c r="AV201" s="190" t="str">
        <f>IF($B201&lt;$F$22,SUM($T$100:$T201),"")</f>
        <v/>
      </c>
      <c r="AW201" s="190" t="str">
        <f t="shared" si="161"/>
        <v>-</v>
      </c>
      <c r="AX201" s="190" t="str">
        <f t="shared" si="141"/>
        <v/>
      </c>
      <c r="AY201"/>
      <c r="AZ201" s="190" t="str">
        <f ca="1">IF(ISNUMBER(OFFSET(AV201,-$F$21,0)),SUM(OFFSET($T$100,$F$21,0):$T201),"")</f>
        <v/>
      </c>
      <c r="BA201" s="190" t="str">
        <f t="shared" ca="1" si="162"/>
        <v/>
      </c>
      <c r="BB201" s="190" t="str">
        <f t="shared" ca="1" si="148"/>
        <v/>
      </c>
      <c r="BC201" s="190"/>
      <c r="BD201" s="190" t="str">
        <f ca="1">IFERROR(IF(OR(ISNUMBER(I),ISNUMBER($F$14)),IF(AND($B201&gt;=($F$16-$F$15),$B201&lt;$F$22+($F$16-$F$15)),SUM(OFFSET($T$100,($F$16-$F$15),0):$T201),""),""),"")</f>
        <v/>
      </c>
      <c r="BE201" s="190" t="str">
        <f t="shared" ca="1" si="142"/>
        <v/>
      </c>
      <c r="BF201" s="190" t="str">
        <f t="shared" ca="1" si="143"/>
        <v/>
      </c>
      <c r="BG201"/>
      <c r="BH201" s="190" t="str">
        <f ca="1">IF(ISNUMBER(OFFSET(BD201,-$F$21,0)),SUM(OFFSET($T$100,($F$16-$F$15+$F$21),0):$T201),"")</f>
        <v/>
      </c>
      <c r="BI201" s="190" t="str">
        <f t="shared" ca="1" si="163"/>
        <v/>
      </c>
      <c r="BJ201" s="190" t="str">
        <f t="shared" ca="1" si="144"/>
        <v/>
      </c>
      <c r="BK201" s="190"/>
      <c r="BL201" s="190" t="str">
        <f ca="1">IFERROR(IF(OR(ISNUMBER(I),ISNUMBER($F$14)),IF(AND($B201&gt;=($F$17-$F$15),$B201&lt;$F$22+($F$17-$F$15)),SUM(OFFSET($T$100,($F$17-$F$15),0):$T201),""),""),"")</f>
        <v/>
      </c>
      <c r="BM201" s="190" t="str">
        <f t="shared" ca="1" si="164"/>
        <v/>
      </c>
      <c r="BN201" s="190" t="str">
        <f t="shared" ca="1" si="145"/>
        <v/>
      </c>
      <c r="BO201"/>
      <c r="BP201" s="190" t="str">
        <f ca="1">IF(ISNUMBER(OFFSET(BL201,-$F$21,0)),SUM(OFFSET($T$100,($F$17-$F$15+$F$21),0):$T201),"")</f>
        <v/>
      </c>
      <c r="BQ201" s="190" t="str">
        <f t="shared" ca="1" si="165"/>
        <v/>
      </c>
      <c r="BR201" s="190" t="str">
        <f t="shared" ca="1" si="146"/>
        <v/>
      </c>
      <c r="BS201" s="190"/>
      <c r="BT201"/>
      <c r="BU201"/>
      <c r="BV201"/>
      <c r="BY201" s="99"/>
      <c r="BZ201" s="99"/>
      <c r="CA201" s="280" t="str">
        <f t="shared" si="166"/>
        <v/>
      </c>
      <c r="CB201" s="71" t="str">
        <f t="shared" si="122"/>
        <v>-</v>
      </c>
      <c r="CC201" s="33"/>
      <c r="CD201" s="261" t="str">
        <f t="shared" si="123"/>
        <v/>
      </c>
      <c r="CE201" s="280" t="str">
        <f t="shared" si="167"/>
        <v/>
      </c>
      <c r="CF201" s="71" t="str">
        <f t="shared" ca="1" si="168"/>
        <v/>
      </c>
      <c r="CG201" s="33" t="str">
        <f t="shared" si="126"/>
        <v/>
      </c>
      <c r="CH201" s="261" t="str">
        <f t="shared" ca="1" si="127"/>
        <v/>
      </c>
    </row>
    <row r="202" spans="2:86" ht="13.5" customHeight="1" x14ac:dyDescent="0.2">
      <c r="B202" s="262">
        <v>102</v>
      </c>
      <c r="C202" s="237" t="str">
        <f t="shared" si="91"/>
        <v/>
      </c>
      <c r="D202" s="237" t="str">
        <f t="shared" si="147"/>
        <v/>
      </c>
      <c r="E202" s="263" t="str">
        <f t="shared" si="128"/>
        <v/>
      </c>
      <c r="F202" s="264" t="str">
        <f t="shared" si="129"/>
        <v/>
      </c>
      <c r="G202" s="264" t="str">
        <f t="shared" si="130"/>
        <v/>
      </c>
      <c r="H202" s="240" t="str">
        <f t="shared" si="149"/>
        <v/>
      </c>
      <c r="I202" s="265" t="str">
        <f t="shared" si="150"/>
        <v/>
      </c>
      <c r="J202" s="265" t="str">
        <f t="shared" si="151"/>
        <v/>
      </c>
      <c r="K202" s="240" t="str">
        <f t="shared" si="152"/>
        <v/>
      </c>
      <c r="L202" s="265" t="str">
        <f t="shared" si="153"/>
        <v/>
      </c>
      <c r="M202" s="265" t="str">
        <f t="shared" si="154"/>
        <v/>
      </c>
      <c r="N202" s="240" t="str">
        <f t="shared" si="155"/>
        <v>-</v>
      </c>
      <c r="O202" s="265" t="str">
        <f t="shared" si="156"/>
        <v>-</v>
      </c>
      <c r="P202" s="265" t="str">
        <f t="shared" si="157"/>
        <v>-</v>
      </c>
      <c r="Q202" s="266" t="str">
        <f t="shared" si="158"/>
        <v>-</v>
      </c>
      <c r="R202" s="267" t="str">
        <f t="shared" si="159"/>
        <v>-</v>
      </c>
      <c r="S202" s="268" t="str">
        <f t="shared" si="160"/>
        <v>-</v>
      </c>
      <c r="T202" s="269" t="str">
        <f t="shared" si="104"/>
        <v/>
      </c>
      <c r="U202" s="221">
        <f t="shared" si="105"/>
        <v>102</v>
      </c>
      <c r="V202" s="220" t="str">
        <f t="shared" si="131"/>
        <v>-</v>
      </c>
      <c r="W202" s="221" t="str">
        <f t="shared" si="132"/>
        <v>-</v>
      </c>
      <c r="X202" s="221" t="str">
        <f t="shared" si="106"/>
        <v>-</v>
      </c>
      <c r="Y202" s="221" t="str">
        <f t="shared" si="107"/>
        <v>-</v>
      </c>
      <c r="Z202" s="270">
        <f t="shared" si="133"/>
        <v>0.1</v>
      </c>
      <c r="AA202" s="271" t="str">
        <f>IFERROR(IF(V201=1,AA$100*EXP(-(LN(2)/$D$65+0.04)*X201)*EXP(-(LN(2)/$D$65+0.1)*Y201),IF(V201=2,AA$100*EXP(-(LN(2)/$D$65+0.04)*(VLOOKUP(($F$16-$F$15)-1,U$99:Y201,4,FALSE)))*EXP(-(LN(2)/$D$65+0.1)*(VLOOKUP(($F$16-$F$15)-1,U$99:Y201,5,FALSE)))*EXP(-(LN(2)/$D$65+0.04)*X201)*EXP(-(LN(2)/$D$65+0.1)*Y201),IF(V201=3,AA$100*EXP(-(LN(2)/$D$65+0.04)*(VLOOKUP(($F$16-$F$15)-1,U$99:Y201,4,FALSE)))*EXP(-(LN(2)/$D$65+0.1)*(VLOOKUP(($F$16-$F$15)-1,U$99:Y201,5,FALSE)))*EXP(-(LN(2)/$D$65+0.04)*(VLOOKUP(($F$16-$F$15)*2-1,U$99:Y201,4,FALSE)))*EXP(-(LN(2)/$D$65+0.1)*(VLOOKUP(($F$16-$F$15)*2-1,U$99:Y201,5,FALSE)))*EXP(-(LN(2)/$D$65+0.04)*X201)*EXP(-(LN(2)/$D$65+0.1)*Y201),"-"))),"-")</f>
        <v>-</v>
      </c>
      <c r="AB202" s="271" t="str">
        <f>IFERROR(IF(V202=1,AB$100*EXP(-(LN(2)/$D$65+0.04)*X202)*EXP(-(LN(2)/$D$65+0.1)*Y202),IF(V202=2,AB$100*EXP(-(LN(2)/$D$65+0.04)*(VLOOKUP(($F$16-$F$15)-1,U$100:Y202,4,FALSE)))*EXP(-(LN(2)/$D$65+0.1)*(VLOOKUP(($F$16-$F$15)-1,U$100:Y202,5,FALSE)))*EXP(-(LN(2)/$D$65+0.04)*X202)*EXP(-(LN(2)/$D$65+0.1)*Y202),IF(V202=3,AB$100*EXP(-(LN(2)/$D$65+0.04)*(VLOOKUP(($F$16-$F$15)-1,U$100:Y202,4,FALSE)))*EXP(-(LN(2)/$D$65+0.1)*(VLOOKUP(($F$16-$F$15)-1,U$100:Y202,5,FALSE)))*EXP(-(LN(2)/$D$65+0.04)*(VLOOKUP(($F$16-$F$15)*2-1,U$100:Y202,4,FALSE)))*EXP(-(LN(2)/$D$65+0.1)*(VLOOKUP(($F$16-$F$15)*2-1,U$100:Y202,5,FALSE)))*EXP(-(LN(2)/$D$65+0.04)*X202)*EXP(-(LN(2)/$D$65+0.1)*Y202),"-"))),"-")</f>
        <v>-</v>
      </c>
      <c r="AC202" s="224">
        <f t="shared" si="134"/>
        <v>102</v>
      </c>
      <c r="AD202" s="223" t="str">
        <f t="shared" si="108"/>
        <v>-</v>
      </c>
      <c r="AE202" s="224" t="str">
        <f t="shared" si="135"/>
        <v>-</v>
      </c>
      <c r="AF202" s="224" t="str">
        <f t="shared" si="109"/>
        <v>-</v>
      </c>
      <c r="AG202" s="224" t="str">
        <f t="shared" si="110"/>
        <v>-</v>
      </c>
      <c r="AH202" s="272">
        <f t="shared" si="136"/>
        <v>0.1</v>
      </c>
      <c r="AI202" s="271" t="str">
        <f>IFERROR(IF(AD201=1,AI$100*EXP(-(LN(2)/$D$65+0.04)*AF201)*EXP(-(LN(2)/$D$65+0.1)*AG201),IF(AD201=2,AI$100*EXP(-(LN(2)/$D$65+0.04)*(VLOOKUP(($F$16-$F$15)-1,AC$99:AG201,4,FALSE)))*EXP(-(LN(2)/$D$65+0.1)*(VLOOKUP(($F$16-$F$15)-1,AC$99:AG201,5,FALSE)))*EXP(-(LN(2)/$D$65+0.04)*AF201)*EXP(-(LN(2)/$D$65+0.1)*AG201),IF(AD201=3,AI$100*EXP(-(LN(2)/$D$65+0.04)*(VLOOKUP(($F$16-$F$15)-1,AC$99:AG201,4,FALSE)))*EXP(-(LN(2)/$D$65+0.1)*(VLOOKUP(($F$16-$F$15)-1,AC$99:AG201,5,FALSE)))*EXP(-(LN(2)/$D$65+0.04)*(VLOOKUP(($F$16-$F$15)*2-1,AC$99:AG201,4,FALSE)))*EXP(-(LN(2)/$D$65+0.1)*(VLOOKUP(($F$16-$F$15)*2-1,AC$99:AG201,5,FALSE)))*EXP(-(LN(2)/$D$65+0.04)*AF201)*EXP(-(LN(2)/$D$65+0.1)*AG201),"-"))),"-")</f>
        <v>-</v>
      </c>
      <c r="AJ202" s="271" t="str">
        <f>IFERROR(IF(AD202=1,AJ$100*EXP(-(LN(2)/$D$65+0.04)*AF202)*EXP(-(LN(2)/$D$65+0.1)*AG202),IF(AD202=2,AJ$100*EXP(-(LN(2)/$D$65+0.04)*(VLOOKUP(($F$16-$F$15)-1,AC$100:AG202,4,FALSE)))*EXP(-(LN(2)/$D$65+0.1)*(VLOOKUP(($F$16-$F$15)-1,AC$100:AG202,5,FALSE)))*EXP(-(LN(2)/$D$65+0.04)*AF202)*EXP(-(LN(2)/$D$65+0.1)*AG202),IF(AD202=3,AJ$100*EXP(-(LN(2)/$D$65+0.04)*(VLOOKUP(($F$16-$F$15)-1,AC$100:AG202,4,FALSE)))*EXP(-(LN(2)/$D$65+0.1)*(VLOOKUP(($F$16-$F$15)-1,AC$100:AG202,5,FALSE)))*EXP(-(LN(2)/$D$65+0.04)*(VLOOKUP(($F$16-$F$15)*2-1,AC$100:AG202,4,FALSE)))*EXP(-(LN(2)/$D$65+0.1)*(VLOOKUP(($F$16-$F$15)*2-1,AC$100:AG202,5,FALSE)))*EXP(-(LN(2)/$D$65+0.04)*AF202)*EXP(-(LN(2)/$D$65+0.1)*AG202),"-"))),"-")</f>
        <v>-</v>
      </c>
      <c r="AK202" s="227">
        <f t="shared" si="137"/>
        <v>102</v>
      </c>
      <c r="AL202" s="226" t="str">
        <f t="shared" si="111"/>
        <v>-</v>
      </c>
      <c r="AM202" s="227" t="str">
        <f t="shared" si="138"/>
        <v>-</v>
      </c>
      <c r="AN202" s="227" t="str">
        <f t="shared" si="139"/>
        <v>-</v>
      </c>
      <c r="AO202" s="227" t="str">
        <f t="shared" si="112"/>
        <v>-</v>
      </c>
      <c r="AP202" s="273">
        <f t="shared" si="140"/>
        <v>0.1</v>
      </c>
      <c r="AQ202" s="271" t="str">
        <f>IFERROR(IF(AL201=1,AQ$100*EXP(-(LN(2)/$D$65+0.04)*AN201)*EXP(-(LN(2)/$D$65+0.1)*AO201),IF(AL201=2,AQ$100*EXP(-(LN(2)/$D$65+0.04)*(VLOOKUP(($F$16-$F$15)-1,AK$99:AO201,4,FALSE)))*EXP(-(LN(2)/$D$65+0.1)*(VLOOKUP(($F$16-$F$15)-1,AK$99:AO201,5,FALSE)))*EXP(-(LN(2)/$D$65+0.04)*AN201)*EXP(-(LN(2)/$D$65+0.1)*AO201),IF(AL201=3,AQ$100*EXP(-(LN(2)/$D$65+0.04)*(VLOOKUP(($F$16-$F$15)-1,AK$99:AO201,4,FALSE)))*EXP(-(LN(2)/$D$65+0.1)*(VLOOKUP(($F$16-$F$15)-1,AK$99:AO201,5,FALSE)))*EXP(-(LN(2)/$D$65+0.04)*(VLOOKUP(($F$16-$F$15)*2-1,AK$99:AO201,4,FALSE)))*EXP(-(LN(2)/$D$65+0.1)*(VLOOKUP(($F$16-$F$15)*2-1,AK$99:AO201,5,FALSE)))*EXP(-(LN(2)/$D$65+0.04)*AN201)*EXP(-(LN(2)/$D$65+0.1)*AO201),"-"))),"-")</f>
        <v>-</v>
      </c>
      <c r="AR202" s="271" t="str">
        <f>IFERROR(IF(AL202=1,AR$100*EXP(-(LN(2)/$D$65+0.04)*AN202)*EXP(-(LN(2)/$D$65+0.1)*AO202),IF(AL202=2,AR$100*EXP(-(LN(2)/$D$65+0.04)*(VLOOKUP(($F$16-$F$15)-1,AK$100:AO202,4,FALSE)))*EXP(-(LN(2)/$D$65+0.1)*(VLOOKUP(($F$16-$F$15)-1,AK$100:AO202,5,FALSE)))*EXP(-(LN(2)/$D$65+0.04)*AN202)*EXP(-(LN(2)/$D$65+0.1)*AO202),IF(AL202=3,AR$100*EXP(-(LN(2)/$D$65+0.04)*(VLOOKUP(($F$16-$F$15)-1,AK$100:AO202,4,FALSE)))*EXP(-(LN(2)/$D$65+0.1)*(VLOOKUP(($F$16-$F$15)-1,AK$100:AO202,5,FALSE)))*EXP(-(LN(2)/$D$65+0.04)*(VLOOKUP(($F$16-$F$15)*2-1,AK$100:AO202,4,FALSE)))*EXP(-(LN(2)/$D$65+0.1)*(VLOOKUP(($F$16-$F$15)*2-1,AK$100:AO202,5,FALSE)))*EXP(-(LN(2)/$D$65+0.04)*AN202)*EXP(-(LN(2)/$D$65+0.1)*AO202),"-"))),"-")</f>
        <v>-</v>
      </c>
      <c r="AS202" s="274">
        <f t="shared" si="113"/>
        <v>0</v>
      </c>
      <c r="AT202" s="274">
        <f t="shared" si="114"/>
        <v>0</v>
      </c>
      <c r="AU202" s="274">
        <f t="shared" si="115"/>
        <v>0</v>
      </c>
      <c r="AV202" s="190" t="str">
        <f>IF($B202&lt;$F$22,SUM($T$100:$T202),"")</f>
        <v/>
      </c>
      <c r="AW202" s="190" t="str">
        <f t="shared" si="161"/>
        <v>-</v>
      </c>
      <c r="AX202" s="190" t="str">
        <f t="shared" si="141"/>
        <v/>
      </c>
      <c r="AY202"/>
      <c r="AZ202" s="190" t="str">
        <f ca="1">IF(ISNUMBER(OFFSET(AV202,-$F$21,0)),SUM(OFFSET($T$100,$F$21,0):$T202),"")</f>
        <v/>
      </c>
      <c r="BA202" s="190" t="str">
        <f t="shared" ca="1" si="162"/>
        <v/>
      </c>
      <c r="BB202" s="190" t="str">
        <f t="shared" ca="1" si="148"/>
        <v/>
      </c>
      <c r="BC202" s="190"/>
      <c r="BD202" s="190" t="str">
        <f ca="1">IFERROR(IF(OR(ISNUMBER(I),ISNUMBER($F$14)),IF(AND($B202&gt;=($F$16-$F$15),$B202&lt;$F$22+($F$16-$F$15)),SUM(OFFSET($T$100,($F$16-$F$15),0):$T202),""),""),"")</f>
        <v/>
      </c>
      <c r="BE202" s="190" t="str">
        <f t="shared" ca="1" si="142"/>
        <v/>
      </c>
      <c r="BF202" s="190" t="str">
        <f t="shared" ca="1" si="143"/>
        <v/>
      </c>
      <c r="BG202"/>
      <c r="BH202" s="190" t="str">
        <f ca="1">IF(ISNUMBER(OFFSET(BD202,-$F$21,0)),SUM(OFFSET($T$100,($F$16-$F$15+$F$21),0):$T202),"")</f>
        <v/>
      </c>
      <c r="BI202" s="190" t="str">
        <f t="shared" ca="1" si="163"/>
        <v/>
      </c>
      <c r="BJ202" s="190" t="str">
        <f t="shared" ca="1" si="144"/>
        <v/>
      </c>
      <c r="BK202" s="190"/>
      <c r="BL202" s="190" t="str">
        <f ca="1">IFERROR(IF(OR(ISNUMBER(I),ISNUMBER($F$14)),IF(AND($B202&gt;=($F$17-$F$15),$B202&lt;$F$22+($F$17-$F$15)),SUM(OFFSET($T$100,($F$17-$F$15),0):$T202),""),""),"")</f>
        <v/>
      </c>
      <c r="BM202" s="190" t="str">
        <f t="shared" ca="1" si="164"/>
        <v/>
      </c>
      <c r="BN202" s="190" t="str">
        <f t="shared" ca="1" si="145"/>
        <v/>
      </c>
      <c r="BO202"/>
      <c r="BP202" s="190" t="str">
        <f ca="1">IF(ISNUMBER(OFFSET(BL202,-$F$21,0)),SUM(OFFSET($T$100,($F$17-$F$15+$F$21),0):$T202),"")</f>
        <v/>
      </c>
      <c r="BQ202" s="190" t="str">
        <f t="shared" ca="1" si="165"/>
        <v/>
      </c>
      <c r="BR202" s="190" t="str">
        <f t="shared" ca="1" si="146"/>
        <v/>
      </c>
      <c r="BS202" s="190"/>
      <c r="BT202"/>
      <c r="BU202"/>
      <c r="BV202"/>
      <c r="BY202" s="99"/>
      <c r="BZ202" s="99"/>
      <c r="CA202" s="280" t="str">
        <f t="shared" si="166"/>
        <v/>
      </c>
      <c r="CB202" s="71" t="str">
        <f t="shared" si="122"/>
        <v>-</v>
      </c>
      <c r="CC202" s="33"/>
      <c r="CD202" s="261" t="str">
        <f t="shared" si="123"/>
        <v/>
      </c>
      <c r="CE202" s="280" t="str">
        <f t="shared" si="167"/>
        <v/>
      </c>
      <c r="CF202" s="71" t="str">
        <f t="shared" ca="1" si="168"/>
        <v/>
      </c>
      <c r="CG202" s="33" t="str">
        <f t="shared" si="126"/>
        <v/>
      </c>
      <c r="CH202" s="261" t="str">
        <f t="shared" ca="1" si="127"/>
        <v/>
      </c>
    </row>
    <row r="203" spans="2:86" ht="13.5" customHeight="1" x14ac:dyDescent="0.2">
      <c r="B203" s="262">
        <v>103</v>
      </c>
      <c r="C203" s="237" t="str">
        <f t="shared" si="91"/>
        <v/>
      </c>
      <c r="D203" s="237" t="str">
        <f t="shared" si="147"/>
        <v/>
      </c>
      <c r="E203" s="263" t="str">
        <f t="shared" si="128"/>
        <v/>
      </c>
      <c r="F203" s="264" t="str">
        <f t="shared" si="129"/>
        <v/>
      </c>
      <c r="G203" s="264" t="str">
        <f t="shared" si="130"/>
        <v/>
      </c>
      <c r="H203" s="240" t="str">
        <f t="shared" si="149"/>
        <v/>
      </c>
      <c r="I203" s="265" t="str">
        <f t="shared" si="150"/>
        <v/>
      </c>
      <c r="J203" s="265" t="str">
        <f t="shared" si="151"/>
        <v/>
      </c>
      <c r="K203" s="240" t="str">
        <f t="shared" si="152"/>
        <v/>
      </c>
      <c r="L203" s="265" t="str">
        <f t="shared" si="153"/>
        <v/>
      </c>
      <c r="M203" s="265" t="str">
        <f t="shared" si="154"/>
        <v/>
      </c>
      <c r="N203" s="240" t="str">
        <f t="shared" si="155"/>
        <v>-</v>
      </c>
      <c r="O203" s="265" t="str">
        <f t="shared" si="156"/>
        <v>-</v>
      </c>
      <c r="P203" s="265" t="str">
        <f t="shared" si="157"/>
        <v>-</v>
      </c>
      <c r="Q203" s="266" t="str">
        <f t="shared" si="158"/>
        <v>-</v>
      </c>
      <c r="R203" s="267" t="str">
        <f t="shared" si="159"/>
        <v>-</v>
      </c>
      <c r="S203" s="268" t="str">
        <f t="shared" si="160"/>
        <v>-</v>
      </c>
      <c r="T203" s="269" t="str">
        <f t="shared" si="104"/>
        <v/>
      </c>
      <c r="U203" s="221">
        <f t="shared" si="105"/>
        <v>103</v>
      </c>
      <c r="V203" s="220" t="str">
        <f t="shared" si="131"/>
        <v>-</v>
      </c>
      <c r="W203" s="221" t="str">
        <f t="shared" si="132"/>
        <v>-</v>
      </c>
      <c r="X203" s="221" t="str">
        <f t="shared" si="106"/>
        <v>-</v>
      </c>
      <c r="Y203" s="221" t="str">
        <f t="shared" si="107"/>
        <v>-</v>
      </c>
      <c r="Z203" s="270">
        <f t="shared" si="133"/>
        <v>0.1</v>
      </c>
      <c r="AA203" s="271" t="str">
        <f>IFERROR(IF(V202=1,AA$100*EXP(-(LN(2)/$D$65+0.04)*X202)*EXP(-(LN(2)/$D$65+0.1)*Y202),IF(V202=2,AA$100*EXP(-(LN(2)/$D$65+0.04)*(VLOOKUP(($F$16-$F$15)-1,U$99:Y202,4,FALSE)))*EXP(-(LN(2)/$D$65+0.1)*(VLOOKUP(($F$16-$F$15)-1,U$99:Y202,5,FALSE)))*EXP(-(LN(2)/$D$65+0.04)*X202)*EXP(-(LN(2)/$D$65+0.1)*Y202),IF(V202=3,AA$100*EXP(-(LN(2)/$D$65+0.04)*(VLOOKUP(($F$16-$F$15)-1,U$99:Y202,4,FALSE)))*EXP(-(LN(2)/$D$65+0.1)*(VLOOKUP(($F$16-$F$15)-1,U$99:Y202,5,FALSE)))*EXP(-(LN(2)/$D$65+0.04)*(VLOOKUP(($F$16-$F$15)*2-1,U$99:Y202,4,FALSE)))*EXP(-(LN(2)/$D$65+0.1)*(VLOOKUP(($F$16-$F$15)*2-1,U$99:Y202,5,FALSE)))*EXP(-(LN(2)/$D$65+0.04)*X202)*EXP(-(LN(2)/$D$65+0.1)*Y202),"-"))),"-")</f>
        <v>-</v>
      </c>
      <c r="AB203" s="271" t="str">
        <f>IFERROR(IF(V203=1,AB$100*EXP(-(LN(2)/$D$65+0.04)*X203)*EXP(-(LN(2)/$D$65+0.1)*Y203),IF(V203=2,AB$100*EXP(-(LN(2)/$D$65+0.04)*(VLOOKUP(($F$16-$F$15)-1,U$100:Y203,4,FALSE)))*EXP(-(LN(2)/$D$65+0.1)*(VLOOKUP(($F$16-$F$15)-1,U$100:Y203,5,FALSE)))*EXP(-(LN(2)/$D$65+0.04)*X203)*EXP(-(LN(2)/$D$65+0.1)*Y203),IF(V203=3,AB$100*EXP(-(LN(2)/$D$65+0.04)*(VLOOKUP(($F$16-$F$15)-1,U$100:Y203,4,FALSE)))*EXP(-(LN(2)/$D$65+0.1)*(VLOOKUP(($F$16-$F$15)-1,U$100:Y203,5,FALSE)))*EXP(-(LN(2)/$D$65+0.04)*(VLOOKUP(($F$16-$F$15)*2-1,U$100:Y203,4,FALSE)))*EXP(-(LN(2)/$D$65+0.1)*(VLOOKUP(($F$16-$F$15)*2-1,U$100:Y203,5,FALSE)))*EXP(-(LN(2)/$D$65+0.04)*X203)*EXP(-(LN(2)/$D$65+0.1)*Y203),"-"))),"-")</f>
        <v>-</v>
      </c>
      <c r="AC203" s="224">
        <f t="shared" si="134"/>
        <v>103</v>
      </c>
      <c r="AD203" s="223" t="str">
        <f t="shared" si="108"/>
        <v>-</v>
      </c>
      <c r="AE203" s="224" t="str">
        <f t="shared" si="135"/>
        <v>-</v>
      </c>
      <c r="AF203" s="224" t="str">
        <f t="shared" si="109"/>
        <v>-</v>
      </c>
      <c r="AG203" s="224" t="str">
        <f t="shared" si="110"/>
        <v>-</v>
      </c>
      <c r="AH203" s="272">
        <f t="shared" si="136"/>
        <v>0.1</v>
      </c>
      <c r="AI203" s="271" t="str">
        <f>IFERROR(IF(AD202=1,AI$100*EXP(-(LN(2)/$D$65+0.04)*AF202)*EXP(-(LN(2)/$D$65+0.1)*AG202),IF(AD202=2,AI$100*EXP(-(LN(2)/$D$65+0.04)*(VLOOKUP(($F$16-$F$15)-1,AC$99:AG202,4,FALSE)))*EXP(-(LN(2)/$D$65+0.1)*(VLOOKUP(($F$16-$F$15)-1,AC$99:AG202,5,FALSE)))*EXP(-(LN(2)/$D$65+0.04)*AF202)*EXP(-(LN(2)/$D$65+0.1)*AG202),IF(AD202=3,AI$100*EXP(-(LN(2)/$D$65+0.04)*(VLOOKUP(($F$16-$F$15)-1,AC$99:AG202,4,FALSE)))*EXP(-(LN(2)/$D$65+0.1)*(VLOOKUP(($F$16-$F$15)-1,AC$99:AG202,5,FALSE)))*EXP(-(LN(2)/$D$65+0.04)*(VLOOKUP(($F$16-$F$15)*2-1,AC$99:AG202,4,FALSE)))*EXP(-(LN(2)/$D$65+0.1)*(VLOOKUP(($F$16-$F$15)*2-1,AC$99:AG202,5,FALSE)))*EXP(-(LN(2)/$D$65+0.04)*AF202)*EXP(-(LN(2)/$D$65+0.1)*AG202),"-"))),"-")</f>
        <v>-</v>
      </c>
      <c r="AJ203" s="271" t="str">
        <f>IFERROR(IF(AD203=1,AJ$100*EXP(-(LN(2)/$D$65+0.04)*AF203)*EXP(-(LN(2)/$D$65+0.1)*AG203),IF(AD203=2,AJ$100*EXP(-(LN(2)/$D$65+0.04)*(VLOOKUP(($F$16-$F$15)-1,AC$100:AG203,4,FALSE)))*EXP(-(LN(2)/$D$65+0.1)*(VLOOKUP(($F$16-$F$15)-1,AC$100:AG203,5,FALSE)))*EXP(-(LN(2)/$D$65+0.04)*AF203)*EXP(-(LN(2)/$D$65+0.1)*AG203),IF(AD203=3,AJ$100*EXP(-(LN(2)/$D$65+0.04)*(VLOOKUP(($F$16-$F$15)-1,AC$100:AG203,4,FALSE)))*EXP(-(LN(2)/$D$65+0.1)*(VLOOKUP(($F$16-$F$15)-1,AC$100:AG203,5,FALSE)))*EXP(-(LN(2)/$D$65+0.04)*(VLOOKUP(($F$16-$F$15)*2-1,AC$100:AG203,4,FALSE)))*EXP(-(LN(2)/$D$65+0.1)*(VLOOKUP(($F$16-$F$15)*2-1,AC$100:AG203,5,FALSE)))*EXP(-(LN(2)/$D$65+0.04)*AF203)*EXP(-(LN(2)/$D$65+0.1)*AG203),"-"))),"-")</f>
        <v>-</v>
      </c>
      <c r="AK203" s="227">
        <f t="shared" si="137"/>
        <v>103</v>
      </c>
      <c r="AL203" s="226" t="str">
        <f t="shared" si="111"/>
        <v>-</v>
      </c>
      <c r="AM203" s="227" t="str">
        <f t="shared" si="138"/>
        <v>-</v>
      </c>
      <c r="AN203" s="227" t="str">
        <f t="shared" si="139"/>
        <v>-</v>
      </c>
      <c r="AO203" s="227" t="str">
        <f t="shared" si="112"/>
        <v>-</v>
      </c>
      <c r="AP203" s="273">
        <f t="shared" si="140"/>
        <v>0.1</v>
      </c>
      <c r="AQ203" s="271" t="str">
        <f>IFERROR(IF(AL202=1,AQ$100*EXP(-(LN(2)/$D$65+0.04)*AN202)*EXP(-(LN(2)/$D$65+0.1)*AO202),IF(AL202=2,AQ$100*EXP(-(LN(2)/$D$65+0.04)*(VLOOKUP(($F$16-$F$15)-1,AK$99:AO202,4,FALSE)))*EXP(-(LN(2)/$D$65+0.1)*(VLOOKUP(($F$16-$F$15)-1,AK$99:AO202,5,FALSE)))*EXP(-(LN(2)/$D$65+0.04)*AN202)*EXP(-(LN(2)/$D$65+0.1)*AO202),IF(AL202=3,AQ$100*EXP(-(LN(2)/$D$65+0.04)*(VLOOKUP(($F$16-$F$15)-1,AK$99:AO202,4,FALSE)))*EXP(-(LN(2)/$D$65+0.1)*(VLOOKUP(($F$16-$F$15)-1,AK$99:AO202,5,FALSE)))*EXP(-(LN(2)/$D$65+0.04)*(VLOOKUP(($F$16-$F$15)*2-1,AK$99:AO202,4,FALSE)))*EXP(-(LN(2)/$D$65+0.1)*(VLOOKUP(($F$16-$F$15)*2-1,AK$99:AO202,5,FALSE)))*EXP(-(LN(2)/$D$65+0.04)*AN202)*EXP(-(LN(2)/$D$65+0.1)*AO202),"-"))),"-")</f>
        <v>-</v>
      </c>
      <c r="AR203" s="271" t="str">
        <f>IFERROR(IF(AL203=1,AR$100*EXP(-(LN(2)/$D$65+0.04)*AN203)*EXP(-(LN(2)/$D$65+0.1)*AO203),IF(AL203=2,AR$100*EXP(-(LN(2)/$D$65+0.04)*(VLOOKUP(($F$16-$F$15)-1,AK$100:AO203,4,FALSE)))*EXP(-(LN(2)/$D$65+0.1)*(VLOOKUP(($F$16-$F$15)-1,AK$100:AO203,5,FALSE)))*EXP(-(LN(2)/$D$65+0.04)*AN203)*EXP(-(LN(2)/$D$65+0.1)*AO203),IF(AL203=3,AR$100*EXP(-(LN(2)/$D$65+0.04)*(VLOOKUP(($F$16-$F$15)-1,AK$100:AO203,4,FALSE)))*EXP(-(LN(2)/$D$65+0.1)*(VLOOKUP(($F$16-$F$15)-1,AK$100:AO203,5,FALSE)))*EXP(-(LN(2)/$D$65+0.04)*(VLOOKUP(($F$16-$F$15)*2-1,AK$100:AO203,4,FALSE)))*EXP(-(LN(2)/$D$65+0.1)*(VLOOKUP(($F$16-$F$15)*2-1,AK$100:AO203,5,FALSE)))*EXP(-(LN(2)/$D$65+0.04)*AN203)*EXP(-(LN(2)/$D$65+0.1)*AO203),"-"))),"-")</f>
        <v>-</v>
      </c>
      <c r="AS203" s="274">
        <f t="shared" si="113"/>
        <v>0</v>
      </c>
      <c r="AT203" s="274">
        <f t="shared" si="114"/>
        <v>0</v>
      </c>
      <c r="AU203" s="274">
        <f t="shared" si="115"/>
        <v>0</v>
      </c>
      <c r="AV203" s="190" t="str">
        <f>IF($B203&lt;$F$22,SUM($T$100:$T203),"")</f>
        <v/>
      </c>
      <c r="AW203" s="190" t="str">
        <f t="shared" si="161"/>
        <v>-</v>
      </c>
      <c r="AX203" s="190" t="str">
        <f t="shared" si="141"/>
        <v/>
      </c>
      <c r="AY203"/>
      <c r="AZ203" s="190" t="str">
        <f ca="1">IF(ISNUMBER(OFFSET(AV203,-$F$21,0)),SUM(OFFSET($T$100,$F$21,0):$T203),"")</f>
        <v/>
      </c>
      <c r="BA203" s="190" t="str">
        <f t="shared" ca="1" si="162"/>
        <v/>
      </c>
      <c r="BB203" s="190" t="str">
        <f t="shared" ca="1" si="148"/>
        <v/>
      </c>
      <c r="BC203" s="190"/>
      <c r="BD203" s="190" t="str">
        <f ca="1">IFERROR(IF(OR(ISNUMBER(I),ISNUMBER($F$14)),IF(AND($B203&gt;=($F$16-$F$15),$B203&lt;$F$22+($F$16-$F$15)),SUM(OFFSET($T$100,($F$16-$F$15),0):$T203),""),""),"")</f>
        <v/>
      </c>
      <c r="BE203" s="190" t="str">
        <f t="shared" ca="1" si="142"/>
        <v/>
      </c>
      <c r="BF203" s="190" t="str">
        <f t="shared" ca="1" si="143"/>
        <v/>
      </c>
      <c r="BG203"/>
      <c r="BH203" s="190" t="str">
        <f ca="1">IF(ISNUMBER(OFFSET(BD203,-$F$21,0)),SUM(OFFSET($T$100,($F$16-$F$15+$F$21),0):$T203),"")</f>
        <v/>
      </c>
      <c r="BI203" s="190" t="str">
        <f t="shared" ca="1" si="163"/>
        <v/>
      </c>
      <c r="BJ203" s="190" t="str">
        <f t="shared" ca="1" si="144"/>
        <v/>
      </c>
      <c r="BK203" s="190"/>
      <c r="BL203" s="190" t="str">
        <f ca="1">IFERROR(IF(OR(ISNUMBER(I),ISNUMBER($F$14)),IF(AND($B203&gt;=($F$17-$F$15),$B203&lt;$F$22+($F$17-$F$15)),SUM(OFFSET($T$100,($F$17-$F$15),0):$T203),""),""),"")</f>
        <v/>
      </c>
      <c r="BM203" s="190" t="str">
        <f t="shared" ca="1" si="164"/>
        <v/>
      </c>
      <c r="BN203" s="190" t="str">
        <f t="shared" ca="1" si="145"/>
        <v/>
      </c>
      <c r="BO203"/>
      <c r="BP203" s="190" t="str">
        <f ca="1">IF(ISNUMBER(OFFSET(BL203,-$F$21,0)),SUM(OFFSET($T$100,($F$17-$F$15+$F$21),0):$T203),"")</f>
        <v/>
      </c>
      <c r="BQ203" s="190" t="str">
        <f t="shared" ca="1" si="165"/>
        <v/>
      </c>
      <c r="BR203" s="190" t="str">
        <f t="shared" ca="1" si="146"/>
        <v/>
      </c>
      <c r="BS203" s="190"/>
      <c r="BT203"/>
      <c r="BU203"/>
      <c r="BV203"/>
      <c r="BY203" s="99"/>
      <c r="BZ203" s="99"/>
      <c r="CA203" s="280" t="str">
        <f t="shared" si="166"/>
        <v/>
      </c>
      <c r="CB203" s="71" t="str">
        <f t="shared" si="122"/>
        <v>-</v>
      </c>
      <c r="CC203" s="33"/>
      <c r="CD203" s="261" t="str">
        <f t="shared" si="123"/>
        <v/>
      </c>
      <c r="CE203" s="280" t="str">
        <f t="shared" si="167"/>
        <v/>
      </c>
      <c r="CF203" s="71" t="str">
        <f t="shared" ca="1" si="168"/>
        <v/>
      </c>
      <c r="CG203" s="33" t="str">
        <f t="shared" si="126"/>
        <v/>
      </c>
      <c r="CH203" s="261" t="str">
        <f t="shared" ca="1" si="127"/>
        <v/>
      </c>
    </row>
    <row r="204" spans="2:86" ht="13.5" customHeight="1" x14ac:dyDescent="0.2">
      <c r="B204" s="262">
        <v>104</v>
      </c>
      <c r="C204" s="237" t="str">
        <f t="shared" si="91"/>
        <v/>
      </c>
      <c r="D204" s="237" t="str">
        <f t="shared" si="147"/>
        <v/>
      </c>
      <c r="E204" s="263" t="str">
        <f t="shared" si="128"/>
        <v/>
      </c>
      <c r="F204" s="264" t="str">
        <f t="shared" si="129"/>
        <v/>
      </c>
      <c r="G204" s="264" t="str">
        <f t="shared" si="130"/>
        <v/>
      </c>
      <c r="H204" s="240" t="str">
        <f t="shared" si="149"/>
        <v/>
      </c>
      <c r="I204" s="265" t="str">
        <f t="shared" si="150"/>
        <v/>
      </c>
      <c r="J204" s="265" t="str">
        <f t="shared" si="151"/>
        <v/>
      </c>
      <c r="K204" s="240" t="str">
        <f t="shared" si="152"/>
        <v/>
      </c>
      <c r="L204" s="265" t="str">
        <f t="shared" si="153"/>
        <v/>
      </c>
      <c r="M204" s="265" t="str">
        <f t="shared" si="154"/>
        <v/>
      </c>
      <c r="N204" s="240" t="str">
        <f t="shared" si="155"/>
        <v>-</v>
      </c>
      <c r="O204" s="265" t="str">
        <f t="shared" si="156"/>
        <v>-</v>
      </c>
      <c r="P204" s="265" t="str">
        <f t="shared" si="157"/>
        <v>-</v>
      </c>
      <c r="Q204" s="266" t="str">
        <f t="shared" si="158"/>
        <v>-</v>
      </c>
      <c r="R204" s="267" t="str">
        <f t="shared" si="159"/>
        <v>-</v>
      </c>
      <c r="S204" s="268" t="str">
        <f t="shared" si="160"/>
        <v>-</v>
      </c>
      <c r="T204" s="269" t="str">
        <f t="shared" si="104"/>
        <v/>
      </c>
      <c r="U204" s="221">
        <f t="shared" si="105"/>
        <v>104</v>
      </c>
      <c r="V204" s="220" t="str">
        <f t="shared" si="131"/>
        <v>-</v>
      </c>
      <c r="W204" s="221" t="str">
        <f t="shared" si="132"/>
        <v>-</v>
      </c>
      <c r="X204" s="221" t="str">
        <f t="shared" si="106"/>
        <v>-</v>
      </c>
      <c r="Y204" s="221" t="str">
        <f t="shared" si="107"/>
        <v>-</v>
      </c>
      <c r="Z204" s="270">
        <f t="shared" si="133"/>
        <v>0.1</v>
      </c>
      <c r="AA204" s="271" t="str">
        <f>IFERROR(IF(V203=1,AA$100*EXP(-(LN(2)/$D$65+0.04)*X203)*EXP(-(LN(2)/$D$65+0.1)*Y203),IF(V203=2,AA$100*EXP(-(LN(2)/$D$65+0.04)*(VLOOKUP(($F$16-$F$15)-1,U$99:Y203,4,FALSE)))*EXP(-(LN(2)/$D$65+0.1)*(VLOOKUP(($F$16-$F$15)-1,U$99:Y203,5,FALSE)))*EXP(-(LN(2)/$D$65+0.04)*X203)*EXP(-(LN(2)/$D$65+0.1)*Y203),IF(V203=3,AA$100*EXP(-(LN(2)/$D$65+0.04)*(VLOOKUP(($F$16-$F$15)-1,U$99:Y203,4,FALSE)))*EXP(-(LN(2)/$D$65+0.1)*(VLOOKUP(($F$16-$F$15)-1,U$99:Y203,5,FALSE)))*EXP(-(LN(2)/$D$65+0.04)*(VLOOKUP(($F$16-$F$15)*2-1,U$99:Y203,4,FALSE)))*EXP(-(LN(2)/$D$65+0.1)*(VLOOKUP(($F$16-$F$15)*2-1,U$99:Y203,5,FALSE)))*EXP(-(LN(2)/$D$65+0.04)*X203)*EXP(-(LN(2)/$D$65+0.1)*Y203),"-"))),"-")</f>
        <v>-</v>
      </c>
      <c r="AB204" s="271" t="str">
        <f>IFERROR(IF(V204=1,AB$100*EXP(-(LN(2)/$D$65+0.04)*X204)*EXP(-(LN(2)/$D$65+0.1)*Y204),IF(V204=2,AB$100*EXP(-(LN(2)/$D$65+0.04)*(VLOOKUP(($F$16-$F$15)-1,U$100:Y204,4,FALSE)))*EXP(-(LN(2)/$D$65+0.1)*(VLOOKUP(($F$16-$F$15)-1,U$100:Y204,5,FALSE)))*EXP(-(LN(2)/$D$65+0.04)*X204)*EXP(-(LN(2)/$D$65+0.1)*Y204),IF(V204=3,AB$100*EXP(-(LN(2)/$D$65+0.04)*(VLOOKUP(($F$16-$F$15)-1,U$100:Y204,4,FALSE)))*EXP(-(LN(2)/$D$65+0.1)*(VLOOKUP(($F$16-$F$15)-1,U$100:Y204,5,FALSE)))*EXP(-(LN(2)/$D$65+0.04)*(VLOOKUP(($F$16-$F$15)*2-1,U$100:Y204,4,FALSE)))*EXP(-(LN(2)/$D$65+0.1)*(VLOOKUP(($F$16-$F$15)*2-1,U$100:Y204,5,FALSE)))*EXP(-(LN(2)/$D$65+0.04)*X204)*EXP(-(LN(2)/$D$65+0.1)*Y204),"-"))),"-")</f>
        <v>-</v>
      </c>
      <c r="AC204" s="224">
        <f t="shared" si="134"/>
        <v>104</v>
      </c>
      <c r="AD204" s="223" t="str">
        <f t="shared" si="108"/>
        <v>-</v>
      </c>
      <c r="AE204" s="224" t="str">
        <f t="shared" si="135"/>
        <v>-</v>
      </c>
      <c r="AF204" s="224" t="str">
        <f t="shared" si="109"/>
        <v>-</v>
      </c>
      <c r="AG204" s="224" t="str">
        <f t="shared" si="110"/>
        <v>-</v>
      </c>
      <c r="AH204" s="272">
        <f t="shared" si="136"/>
        <v>0.1</v>
      </c>
      <c r="AI204" s="271" t="str">
        <f>IFERROR(IF(AD203=1,AI$100*EXP(-(LN(2)/$D$65+0.04)*AF203)*EXP(-(LN(2)/$D$65+0.1)*AG203),IF(AD203=2,AI$100*EXP(-(LN(2)/$D$65+0.04)*(VLOOKUP(($F$16-$F$15)-1,AC$99:AG203,4,FALSE)))*EXP(-(LN(2)/$D$65+0.1)*(VLOOKUP(($F$16-$F$15)-1,AC$99:AG203,5,FALSE)))*EXP(-(LN(2)/$D$65+0.04)*AF203)*EXP(-(LN(2)/$D$65+0.1)*AG203),IF(AD203=3,AI$100*EXP(-(LN(2)/$D$65+0.04)*(VLOOKUP(($F$16-$F$15)-1,AC$99:AG203,4,FALSE)))*EXP(-(LN(2)/$D$65+0.1)*(VLOOKUP(($F$16-$F$15)-1,AC$99:AG203,5,FALSE)))*EXP(-(LN(2)/$D$65+0.04)*(VLOOKUP(($F$16-$F$15)*2-1,AC$99:AG203,4,FALSE)))*EXP(-(LN(2)/$D$65+0.1)*(VLOOKUP(($F$16-$F$15)*2-1,AC$99:AG203,5,FALSE)))*EXP(-(LN(2)/$D$65+0.04)*AF203)*EXP(-(LN(2)/$D$65+0.1)*AG203),"-"))),"-")</f>
        <v>-</v>
      </c>
      <c r="AJ204" s="271" t="str">
        <f>IFERROR(IF(AD204=1,AJ$100*EXP(-(LN(2)/$D$65+0.04)*AF204)*EXP(-(LN(2)/$D$65+0.1)*AG204),IF(AD204=2,AJ$100*EXP(-(LN(2)/$D$65+0.04)*(VLOOKUP(($F$16-$F$15)-1,AC$100:AG204,4,FALSE)))*EXP(-(LN(2)/$D$65+0.1)*(VLOOKUP(($F$16-$F$15)-1,AC$100:AG204,5,FALSE)))*EXP(-(LN(2)/$D$65+0.04)*AF204)*EXP(-(LN(2)/$D$65+0.1)*AG204),IF(AD204=3,AJ$100*EXP(-(LN(2)/$D$65+0.04)*(VLOOKUP(($F$16-$F$15)-1,AC$100:AG204,4,FALSE)))*EXP(-(LN(2)/$D$65+0.1)*(VLOOKUP(($F$16-$F$15)-1,AC$100:AG204,5,FALSE)))*EXP(-(LN(2)/$D$65+0.04)*(VLOOKUP(($F$16-$F$15)*2-1,AC$100:AG204,4,FALSE)))*EXP(-(LN(2)/$D$65+0.1)*(VLOOKUP(($F$16-$F$15)*2-1,AC$100:AG204,5,FALSE)))*EXP(-(LN(2)/$D$65+0.04)*AF204)*EXP(-(LN(2)/$D$65+0.1)*AG204),"-"))),"-")</f>
        <v>-</v>
      </c>
      <c r="AK204" s="227">
        <f t="shared" si="137"/>
        <v>104</v>
      </c>
      <c r="AL204" s="226" t="str">
        <f t="shared" si="111"/>
        <v>-</v>
      </c>
      <c r="AM204" s="227" t="str">
        <f t="shared" si="138"/>
        <v>-</v>
      </c>
      <c r="AN204" s="227" t="str">
        <f t="shared" si="139"/>
        <v>-</v>
      </c>
      <c r="AO204" s="227" t="str">
        <f t="shared" si="112"/>
        <v>-</v>
      </c>
      <c r="AP204" s="273">
        <f t="shared" si="140"/>
        <v>0.1</v>
      </c>
      <c r="AQ204" s="271" t="str">
        <f>IFERROR(IF(AL203=1,AQ$100*EXP(-(LN(2)/$D$65+0.04)*AN203)*EXP(-(LN(2)/$D$65+0.1)*AO203),IF(AL203=2,AQ$100*EXP(-(LN(2)/$D$65+0.04)*(VLOOKUP(($F$16-$F$15)-1,AK$99:AO203,4,FALSE)))*EXP(-(LN(2)/$D$65+0.1)*(VLOOKUP(($F$16-$F$15)-1,AK$99:AO203,5,FALSE)))*EXP(-(LN(2)/$D$65+0.04)*AN203)*EXP(-(LN(2)/$D$65+0.1)*AO203),IF(AL203=3,AQ$100*EXP(-(LN(2)/$D$65+0.04)*(VLOOKUP(($F$16-$F$15)-1,AK$99:AO203,4,FALSE)))*EXP(-(LN(2)/$D$65+0.1)*(VLOOKUP(($F$16-$F$15)-1,AK$99:AO203,5,FALSE)))*EXP(-(LN(2)/$D$65+0.04)*(VLOOKUP(($F$16-$F$15)*2-1,AK$99:AO203,4,FALSE)))*EXP(-(LN(2)/$D$65+0.1)*(VLOOKUP(($F$16-$F$15)*2-1,AK$99:AO203,5,FALSE)))*EXP(-(LN(2)/$D$65+0.04)*AN203)*EXP(-(LN(2)/$D$65+0.1)*AO203),"-"))),"-")</f>
        <v>-</v>
      </c>
      <c r="AR204" s="271" t="str">
        <f>IFERROR(IF(AL204=1,AR$100*EXP(-(LN(2)/$D$65+0.04)*AN204)*EXP(-(LN(2)/$D$65+0.1)*AO204),IF(AL204=2,AR$100*EXP(-(LN(2)/$D$65+0.04)*(VLOOKUP(($F$16-$F$15)-1,AK$100:AO204,4,FALSE)))*EXP(-(LN(2)/$D$65+0.1)*(VLOOKUP(($F$16-$F$15)-1,AK$100:AO204,5,FALSE)))*EXP(-(LN(2)/$D$65+0.04)*AN204)*EXP(-(LN(2)/$D$65+0.1)*AO204),IF(AL204=3,AR$100*EXP(-(LN(2)/$D$65+0.04)*(VLOOKUP(($F$16-$F$15)-1,AK$100:AO204,4,FALSE)))*EXP(-(LN(2)/$D$65+0.1)*(VLOOKUP(($F$16-$F$15)-1,AK$100:AO204,5,FALSE)))*EXP(-(LN(2)/$D$65+0.04)*(VLOOKUP(($F$16-$F$15)*2-1,AK$100:AO204,4,FALSE)))*EXP(-(LN(2)/$D$65+0.1)*(VLOOKUP(($F$16-$F$15)*2-1,AK$100:AO204,5,FALSE)))*EXP(-(LN(2)/$D$65+0.04)*AN204)*EXP(-(LN(2)/$D$65+0.1)*AO204),"-"))),"-")</f>
        <v>-</v>
      </c>
      <c r="AS204" s="274">
        <f t="shared" si="113"/>
        <v>0</v>
      </c>
      <c r="AT204" s="274">
        <f t="shared" si="114"/>
        <v>0</v>
      </c>
      <c r="AU204" s="274">
        <f t="shared" si="115"/>
        <v>0</v>
      </c>
      <c r="AV204" s="190" t="str">
        <f>IF($B204&lt;$F$22,SUM($T$100:$T204),"")</f>
        <v/>
      </c>
      <c r="AW204" s="190" t="str">
        <f t="shared" si="161"/>
        <v>-</v>
      </c>
      <c r="AX204" s="190" t="str">
        <f t="shared" si="141"/>
        <v/>
      </c>
      <c r="AY204"/>
      <c r="AZ204" s="190" t="str">
        <f ca="1">IF(ISNUMBER(OFFSET(AV204,-$F$21,0)),SUM(OFFSET($T$100,$F$21,0):$T204),"")</f>
        <v/>
      </c>
      <c r="BA204" s="190" t="str">
        <f t="shared" ca="1" si="162"/>
        <v/>
      </c>
      <c r="BB204" s="190" t="str">
        <f t="shared" ca="1" si="148"/>
        <v/>
      </c>
      <c r="BC204" s="190"/>
      <c r="BD204" s="190" t="str">
        <f ca="1">IFERROR(IF(OR(ISNUMBER(I),ISNUMBER($F$14)),IF(AND($B204&gt;=($F$16-$F$15),$B204&lt;$F$22+($F$16-$F$15)),SUM(OFFSET($T$100,($F$16-$F$15),0):$T204),""),""),"")</f>
        <v/>
      </c>
      <c r="BE204" s="190" t="str">
        <f t="shared" ca="1" si="142"/>
        <v/>
      </c>
      <c r="BF204" s="190" t="str">
        <f t="shared" ca="1" si="143"/>
        <v/>
      </c>
      <c r="BG204"/>
      <c r="BH204" s="190" t="str">
        <f ca="1">IF(ISNUMBER(OFFSET(BD204,-$F$21,0)),SUM(OFFSET($T$100,($F$16-$F$15+$F$21),0):$T204),"")</f>
        <v/>
      </c>
      <c r="BI204" s="190" t="str">
        <f t="shared" ca="1" si="163"/>
        <v/>
      </c>
      <c r="BJ204" s="190" t="str">
        <f t="shared" ca="1" si="144"/>
        <v/>
      </c>
      <c r="BK204" s="190"/>
      <c r="BL204" s="190" t="str">
        <f ca="1">IFERROR(IF(OR(ISNUMBER(I),ISNUMBER($F$14)),IF(AND($B204&gt;=($F$17-$F$15),$B204&lt;$F$22+($F$17-$F$15)),SUM(OFFSET($T$100,($F$17-$F$15),0):$T204),""),""),"")</f>
        <v/>
      </c>
      <c r="BM204" s="190" t="str">
        <f t="shared" ca="1" si="164"/>
        <v/>
      </c>
      <c r="BN204" s="190" t="str">
        <f t="shared" ca="1" si="145"/>
        <v/>
      </c>
      <c r="BO204"/>
      <c r="BP204" s="190" t="str">
        <f ca="1">IF(ISNUMBER(OFFSET(BL204,-$F$21,0)),SUM(OFFSET($T$100,($F$17-$F$15+$F$21),0):$T204),"")</f>
        <v/>
      </c>
      <c r="BQ204" s="190" t="str">
        <f t="shared" ca="1" si="165"/>
        <v/>
      </c>
      <c r="BR204" s="190" t="str">
        <f t="shared" ca="1" si="146"/>
        <v/>
      </c>
      <c r="BS204" s="190"/>
      <c r="BT204"/>
      <c r="BU204"/>
      <c r="BV204"/>
      <c r="BY204" s="99"/>
      <c r="BZ204" s="99"/>
      <c r="CA204" s="280" t="str">
        <f t="shared" si="166"/>
        <v/>
      </c>
      <c r="CB204" s="71" t="str">
        <f t="shared" si="122"/>
        <v>-</v>
      </c>
      <c r="CC204" s="33"/>
      <c r="CD204" s="261" t="str">
        <f t="shared" si="123"/>
        <v/>
      </c>
      <c r="CE204" s="280" t="str">
        <f t="shared" si="167"/>
        <v/>
      </c>
      <c r="CF204" s="71" t="str">
        <f t="shared" ca="1" si="168"/>
        <v/>
      </c>
      <c r="CG204" s="33" t="str">
        <f t="shared" si="126"/>
        <v/>
      </c>
      <c r="CH204" s="261" t="str">
        <f t="shared" ca="1" si="127"/>
        <v/>
      </c>
    </row>
    <row r="205" spans="2:86" ht="13.5" customHeight="1" x14ac:dyDescent="0.2">
      <c r="B205" s="262">
        <v>105</v>
      </c>
      <c r="C205" s="237" t="str">
        <f t="shared" si="91"/>
        <v/>
      </c>
      <c r="D205" s="237" t="str">
        <f t="shared" si="147"/>
        <v/>
      </c>
      <c r="E205" s="263" t="str">
        <f t="shared" si="128"/>
        <v/>
      </c>
      <c r="F205" s="264" t="str">
        <f t="shared" si="129"/>
        <v/>
      </c>
      <c r="G205" s="264" t="str">
        <f t="shared" si="130"/>
        <v/>
      </c>
      <c r="H205" s="240" t="str">
        <f t="shared" si="149"/>
        <v/>
      </c>
      <c r="I205" s="265" t="str">
        <f t="shared" si="150"/>
        <v/>
      </c>
      <c r="J205" s="265" t="str">
        <f t="shared" si="151"/>
        <v/>
      </c>
      <c r="K205" s="240" t="str">
        <f t="shared" si="152"/>
        <v/>
      </c>
      <c r="L205" s="265" t="str">
        <f t="shared" si="153"/>
        <v/>
      </c>
      <c r="M205" s="265" t="str">
        <f t="shared" si="154"/>
        <v/>
      </c>
      <c r="N205" s="240" t="str">
        <f t="shared" si="155"/>
        <v>-</v>
      </c>
      <c r="O205" s="265" t="str">
        <f t="shared" si="156"/>
        <v>-</v>
      </c>
      <c r="P205" s="265" t="str">
        <f t="shared" si="157"/>
        <v>-</v>
      </c>
      <c r="Q205" s="266" t="str">
        <f t="shared" si="158"/>
        <v>-</v>
      </c>
      <c r="R205" s="267" t="str">
        <f t="shared" si="159"/>
        <v>-</v>
      </c>
      <c r="S205" s="268" t="str">
        <f t="shared" si="160"/>
        <v>-</v>
      </c>
      <c r="T205" s="269" t="str">
        <f t="shared" si="104"/>
        <v/>
      </c>
      <c r="U205" s="221">
        <f t="shared" si="105"/>
        <v>105</v>
      </c>
      <c r="V205" s="220" t="str">
        <f t="shared" si="131"/>
        <v>-</v>
      </c>
      <c r="W205" s="221" t="str">
        <f t="shared" si="132"/>
        <v>-</v>
      </c>
      <c r="X205" s="221" t="str">
        <f t="shared" si="106"/>
        <v>-</v>
      </c>
      <c r="Y205" s="221" t="str">
        <f t="shared" si="107"/>
        <v>-</v>
      </c>
      <c r="Z205" s="270">
        <f t="shared" si="133"/>
        <v>0.1</v>
      </c>
      <c r="AA205" s="271" t="str">
        <f>IFERROR(IF(V204=1,AA$100*EXP(-(LN(2)/$D$65+0.04)*X204)*EXP(-(LN(2)/$D$65+0.1)*Y204),IF(V204=2,AA$100*EXP(-(LN(2)/$D$65+0.04)*(VLOOKUP(($F$16-$F$15)-1,U$99:Y204,4,FALSE)))*EXP(-(LN(2)/$D$65+0.1)*(VLOOKUP(($F$16-$F$15)-1,U$99:Y204,5,FALSE)))*EXP(-(LN(2)/$D$65+0.04)*X204)*EXP(-(LN(2)/$D$65+0.1)*Y204),IF(V204=3,AA$100*EXP(-(LN(2)/$D$65+0.04)*(VLOOKUP(($F$16-$F$15)-1,U$99:Y204,4,FALSE)))*EXP(-(LN(2)/$D$65+0.1)*(VLOOKUP(($F$16-$F$15)-1,U$99:Y204,5,FALSE)))*EXP(-(LN(2)/$D$65+0.04)*(VLOOKUP(($F$16-$F$15)*2-1,U$99:Y204,4,FALSE)))*EXP(-(LN(2)/$D$65+0.1)*(VLOOKUP(($F$16-$F$15)*2-1,U$99:Y204,5,FALSE)))*EXP(-(LN(2)/$D$65+0.04)*X204)*EXP(-(LN(2)/$D$65+0.1)*Y204),"-"))),"-")</f>
        <v>-</v>
      </c>
      <c r="AB205" s="271" t="str">
        <f>IFERROR(IF(V205=1,AB$100*EXP(-(LN(2)/$D$65+0.04)*X205)*EXP(-(LN(2)/$D$65+0.1)*Y205),IF(V205=2,AB$100*EXP(-(LN(2)/$D$65+0.04)*(VLOOKUP(($F$16-$F$15)-1,U$100:Y205,4,FALSE)))*EXP(-(LN(2)/$D$65+0.1)*(VLOOKUP(($F$16-$F$15)-1,U$100:Y205,5,FALSE)))*EXP(-(LN(2)/$D$65+0.04)*X205)*EXP(-(LN(2)/$D$65+0.1)*Y205),IF(V205=3,AB$100*EXP(-(LN(2)/$D$65+0.04)*(VLOOKUP(($F$16-$F$15)-1,U$100:Y205,4,FALSE)))*EXP(-(LN(2)/$D$65+0.1)*(VLOOKUP(($F$16-$F$15)-1,U$100:Y205,5,FALSE)))*EXP(-(LN(2)/$D$65+0.04)*(VLOOKUP(($F$16-$F$15)*2-1,U$100:Y205,4,FALSE)))*EXP(-(LN(2)/$D$65+0.1)*(VLOOKUP(($F$16-$F$15)*2-1,U$100:Y205,5,FALSE)))*EXP(-(LN(2)/$D$65+0.04)*X205)*EXP(-(LN(2)/$D$65+0.1)*Y205),"-"))),"-")</f>
        <v>-</v>
      </c>
      <c r="AC205" s="224">
        <f t="shared" si="134"/>
        <v>105</v>
      </c>
      <c r="AD205" s="223" t="str">
        <f t="shared" si="108"/>
        <v>-</v>
      </c>
      <c r="AE205" s="224" t="str">
        <f t="shared" si="135"/>
        <v>-</v>
      </c>
      <c r="AF205" s="224" t="str">
        <f t="shared" si="109"/>
        <v>-</v>
      </c>
      <c r="AG205" s="224" t="str">
        <f t="shared" si="110"/>
        <v>-</v>
      </c>
      <c r="AH205" s="272">
        <f t="shared" si="136"/>
        <v>0.1</v>
      </c>
      <c r="AI205" s="271" t="str">
        <f>IFERROR(IF(AD204=1,AI$100*EXP(-(LN(2)/$D$65+0.04)*AF204)*EXP(-(LN(2)/$D$65+0.1)*AG204),IF(AD204=2,AI$100*EXP(-(LN(2)/$D$65+0.04)*(VLOOKUP(($F$16-$F$15)-1,AC$99:AG204,4,FALSE)))*EXP(-(LN(2)/$D$65+0.1)*(VLOOKUP(($F$16-$F$15)-1,AC$99:AG204,5,FALSE)))*EXP(-(LN(2)/$D$65+0.04)*AF204)*EXP(-(LN(2)/$D$65+0.1)*AG204),IF(AD204=3,AI$100*EXP(-(LN(2)/$D$65+0.04)*(VLOOKUP(($F$16-$F$15)-1,AC$99:AG204,4,FALSE)))*EXP(-(LN(2)/$D$65+0.1)*(VLOOKUP(($F$16-$F$15)-1,AC$99:AG204,5,FALSE)))*EXP(-(LN(2)/$D$65+0.04)*(VLOOKUP(($F$16-$F$15)*2-1,AC$99:AG204,4,FALSE)))*EXP(-(LN(2)/$D$65+0.1)*(VLOOKUP(($F$16-$F$15)*2-1,AC$99:AG204,5,FALSE)))*EXP(-(LN(2)/$D$65+0.04)*AF204)*EXP(-(LN(2)/$D$65+0.1)*AG204),"-"))),"-")</f>
        <v>-</v>
      </c>
      <c r="AJ205" s="271" t="str">
        <f>IFERROR(IF(AD205=1,AJ$100*EXP(-(LN(2)/$D$65+0.04)*AF205)*EXP(-(LN(2)/$D$65+0.1)*AG205),IF(AD205=2,AJ$100*EXP(-(LN(2)/$D$65+0.04)*(VLOOKUP(($F$16-$F$15)-1,AC$100:AG205,4,FALSE)))*EXP(-(LN(2)/$D$65+0.1)*(VLOOKUP(($F$16-$F$15)-1,AC$100:AG205,5,FALSE)))*EXP(-(LN(2)/$D$65+0.04)*AF205)*EXP(-(LN(2)/$D$65+0.1)*AG205),IF(AD205=3,AJ$100*EXP(-(LN(2)/$D$65+0.04)*(VLOOKUP(($F$16-$F$15)-1,AC$100:AG205,4,FALSE)))*EXP(-(LN(2)/$D$65+0.1)*(VLOOKUP(($F$16-$F$15)-1,AC$100:AG205,5,FALSE)))*EXP(-(LN(2)/$D$65+0.04)*(VLOOKUP(($F$16-$F$15)*2-1,AC$100:AG205,4,FALSE)))*EXP(-(LN(2)/$D$65+0.1)*(VLOOKUP(($F$16-$F$15)*2-1,AC$100:AG205,5,FALSE)))*EXP(-(LN(2)/$D$65+0.04)*AF205)*EXP(-(LN(2)/$D$65+0.1)*AG205),"-"))),"-")</f>
        <v>-</v>
      </c>
      <c r="AK205" s="227">
        <f t="shared" si="137"/>
        <v>105</v>
      </c>
      <c r="AL205" s="226" t="str">
        <f t="shared" si="111"/>
        <v>-</v>
      </c>
      <c r="AM205" s="227" t="str">
        <f t="shared" si="138"/>
        <v>-</v>
      </c>
      <c r="AN205" s="227" t="str">
        <f t="shared" si="139"/>
        <v>-</v>
      </c>
      <c r="AO205" s="227" t="str">
        <f t="shared" si="112"/>
        <v>-</v>
      </c>
      <c r="AP205" s="273">
        <f t="shared" si="140"/>
        <v>0.1</v>
      </c>
      <c r="AQ205" s="271" t="str">
        <f>IFERROR(IF(AL204=1,AQ$100*EXP(-(LN(2)/$D$65+0.04)*AN204)*EXP(-(LN(2)/$D$65+0.1)*AO204),IF(AL204=2,AQ$100*EXP(-(LN(2)/$D$65+0.04)*(VLOOKUP(($F$16-$F$15)-1,AK$99:AO204,4,FALSE)))*EXP(-(LN(2)/$D$65+0.1)*(VLOOKUP(($F$16-$F$15)-1,AK$99:AO204,5,FALSE)))*EXP(-(LN(2)/$D$65+0.04)*AN204)*EXP(-(LN(2)/$D$65+0.1)*AO204),IF(AL204=3,AQ$100*EXP(-(LN(2)/$D$65+0.04)*(VLOOKUP(($F$16-$F$15)-1,AK$99:AO204,4,FALSE)))*EXP(-(LN(2)/$D$65+0.1)*(VLOOKUP(($F$16-$F$15)-1,AK$99:AO204,5,FALSE)))*EXP(-(LN(2)/$D$65+0.04)*(VLOOKUP(($F$16-$F$15)*2-1,AK$99:AO204,4,FALSE)))*EXP(-(LN(2)/$D$65+0.1)*(VLOOKUP(($F$16-$F$15)*2-1,AK$99:AO204,5,FALSE)))*EXP(-(LN(2)/$D$65+0.04)*AN204)*EXP(-(LN(2)/$D$65+0.1)*AO204),"-"))),"-")</f>
        <v>-</v>
      </c>
      <c r="AR205" s="271" t="str">
        <f>IFERROR(IF(AL205=1,AR$100*EXP(-(LN(2)/$D$65+0.04)*AN205)*EXP(-(LN(2)/$D$65+0.1)*AO205),IF(AL205=2,AR$100*EXP(-(LN(2)/$D$65+0.04)*(VLOOKUP(($F$16-$F$15)-1,AK$100:AO205,4,FALSE)))*EXP(-(LN(2)/$D$65+0.1)*(VLOOKUP(($F$16-$F$15)-1,AK$100:AO205,5,FALSE)))*EXP(-(LN(2)/$D$65+0.04)*AN205)*EXP(-(LN(2)/$D$65+0.1)*AO205),IF(AL205=3,AR$100*EXP(-(LN(2)/$D$65+0.04)*(VLOOKUP(($F$16-$F$15)-1,AK$100:AO205,4,FALSE)))*EXP(-(LN(2)/$D$65+0.1)*(VLOOKUP(($F$16-$F$15)-1,AK$100:AO205,5,FALSE)))*EXP(-(LN(2)/$D$65+0.04)*(VLOOKUP(($F$16-$F$15)*2-1,AK$100:AO205,4,FALSE)))*EXP(-(LN(2)/$D$65+0.1)*(VLOOKUP(($F$16-$F$15)*2-1,AK$100:AO205,5,FALSE)))*EXP(-(LN(2)/$D$65+0.04)*AN205)*EXP(-(LN(2)/$D$65+0.1)*AO205),"-"))),"-")</f>
        <v>-</v>
      </c>
      <c r="AS205" s="274">
        <f t="shared" si="113"/>
        <v>0</v>
      </c>
      <c r="AT205" s="274">
        <f t="shared" si="114"/>
        <v>0</v>
      </c>
      <c r="AU205" s="274">
        <f t="shared" si="115"/>
        <v>0</v>
      </c>
      <c r="AV205" s="190" t="str">
        <f>IF($B205&lt;$F$22,SUM($T$100:$T205),"")</f>
        <v/>
      </c>
      <c r="AW205" s="190" t="str">
        <f t="shared" si="161"/>
        <v>-</v>
      </c>
      <c r="AX205" s="190" t="str">
        <f t="shared" si="141"/>
        <v/>
      </c>
      <c r="AY205"/>
      <c r="AZ205" s="190" t="str">
        <f ca="1">IF(ISNUMBER(OFFSET(AV205,-$F$21,0)),SUM(OFFSET($T$100,$F$21,0):$T205),"")</f>
        <v/>
      </c>
      <c r="BA205" s="190" t="str">
        <f t="shared" ca="1" si="162"/>
        <v/>
      </c>
      <c r="BB205" s="190" t="str">
        <f t="shared" ca="1" si="148"/>
        <v/>
      </c>
      <c r="BC205" s="190"/>
      <c r="BD205" s="190" t="str">
        <f ca="1">IFERROR(IF(OR(ISNUMBER(I),ISNUMBER($F$14)),IF(AND($B205&gt;=($F$16-$F$15),$B205&lt;$F$22+($F$16-$F$15)),SUM(OFFSET($T$100,($F$16-$F$15),0):$T205),""),""),"")</f>
        <v/>
      </c>
      <c r="BE205" s="190" t="str">
        <f t="shared" ca="1" si="142"/>
        <v/>
      </c>
      <c r="BF205" s="190" t="str">
        <f t="shared" ca="1" si="143"/>
        <v/>
      </c>
      <c r="BG205"/>
      <c r="BH205" s="190" t="str">
        <f ca="1">IF(ISNUMBER(OFFSET(BD205,-$F$21,0)),SUM(OFFSET($T$100,($F$16-$F$15+$F$21),0):$T205),"")</f>
        <v/>
      </c>
      <c r="BI205" s="190" t="str">
        <f t="shared" ca="1" si="163"/>
        <v/>
      </c>
      <c r="BJ205" s="190" t="str">
        <f t="shared" ca="1" si="144"/>
        <v/>
      </c>
      <c r="BK205" s="190"/>
      <c r="BL205" s="190" t="str">
        <f ca="1">IFERROR(IF(OR(ISNUMBER(I),ISNUMBER($F$14)),IF(AND($B205&gt;=($F$17-$F$15),$B205&lt;$F$22+($F$17-$F$15)),SUM(OFFSET($T$100,($F$17-$F$15),0):$T205),""),""),"")</f>
        <v/>
      </c>
      <c r="BM205" s="190" t="str">
        <f t="shared" ca="1" si="164"/>
        <v/>
      </c>
      <c r="BN205" s="190" t="str">
        <f t="shared" ca="1" si="145"/>
        <v/>
      </c>
      <c r="BO205"/>
      <c r="BP205" s="190" t="str">
        <f ca="1">IF(ISNUMBER(OFFSET(BL205,-$F$21,0)),SUM(OFFSET($T$100,($F$17-$F$15+$F$21),0):$T205),"")</f>
        <v/>
      </c>
      <c r="BQ205" s="190" t="str">
        <f t="shared" ca="1" si="165"/>
        <v/>
      </c>
      <c r="BR205" s="190" t="str">
        <f t="shared" ca="1" si="146"/>
        <v/>
      </c>
      <c r="BS205" s="190"/>
      <c r="BT205"/>
      <c r="BU205"/>
      <c r="BV205"/>
      <c r="BY205" s="99"/>
      <c r="BZ205" s="99"/>
      <c r="CA205" s="280" t="str">
        <f t="shared" si="166"/>
        <v/>
      </c>
      <c r="CB205" s="71" t="str">
        <f t="shared" si="122"/>
        <v>-</v>
      </c>
      <c r="CC205" s="33"/>
      <c r="CD205" s="261" t="str">
        <f t="shared" si="123"/>
        <v/>
      </c>
      <c r="CE205" s="280" t="str">
        <f t="shared" si="167"/>
        <v/>
      </c>
      <c r="CF205" s="71" t="str">
        <f t="shared" ca="1" si="168"/>
        <v/>
      </c>
      <c r="CG205" s="33" t="str">
        <f t="shared" si="126"/>
        <v/>
      </c>
      <c r="CH205" s="261" t="str">
        <f t="shared" ca="1" si="127"/>
        <v/>
      </c>
    </row>
    <row r="206" spans="2:86" ht="13.5" customHeight="1" x14ac:dyDescent="0.2">
      <c r="B206" s="262">
        <v>106</v>
      </c>
      <c r="C206" s="237" t="str">
        <f t="shared" si="91"/>
        <v/>
      </c>
      <c r="D206" s="237" t="str">
        <f t="shared" si="147"/>
        <v/>
      </c>
      <c r="E206" s="263" t="str">
        <f t="shared" si="128"/>
        <v/>
      </c>
      <c r="F206" s="264" t="str">
        <f t="shared" si="129"/>
        <v/>
      </c>
      <c r="G206" s="264" t="str">
        <f t="shared" si="130"/>
        <v/>
      </c>
      <c r="H206" s="240" t="str">
        <f t="shared" si="149"/>
        <v/>
      </c>
      <c r="I206" s="265" t="str">
        <f t="shared" si="150"/>
        <v/>
      </c>
      <c r="J206" s="265" t="str">
        <f t="shared" si="151"/>
        <v/>
      </c>
      <c r="K206" s="240" t="str">
        <f t="shared" si="152"/>
        <v/>
      </c>
      <c r="L206" s="265" t="str">
        <f t="shared" si="153"/>
        <v/>
      </c>
      <c r="M206" s="265" t="str">
        <f t="shared" si="154"/>
        <v/>
      </c>
      <c r="N206" s="240" t="str">
        <f t="shared" si="155"/>
        <v>-</v>
      </c>
      <c r="O206" s="265" t="str">
        <f t="shared" si="156"/>
        <v>-</v>
      </c>
      <c r="P206" s="265" t="str">
        <f t="shared" si="157"/>
        <v>-</v>
      </c>
      <c r="Q206" s="266" t="str">
        <f t="shared" si="158"/>
        <v>-</v>
      </c>
      <c r="R206" s="267" t="str">
        <f t="shared" si="159"/>
        <v>-</v>
      </c>
      <c r="S206" s="268" t="str">
        <f t="shared" si="160"/>
        <v>-</v>
      </c>
      <c r="T206" s="269" t="str">
        <f t="shared" si="104"/>
        <v/>
      </c>
      <c r="U206" s="221">
        <f t="shared" si="105"/>
        <v>106</v>
      </c>
      <c r="V206" s="220" t="str">
        <f t="shared" si="131"/>
        <v>-</v>
      </c>
      <c r="W206" s="221" t="str">
        <f t="shared" si="132"/>
        <v>-</v>
      </c>
      <c r="X206" s="221" t="str">
        <f t="shared" si="106"/>
        <v>-</v>
      </c>
      <c r="Y206" s="221" t="str">
        <f t="shared" si="107"/>
        <v>-</v>
      </c>
      <c r="Z206" s="270">
        <f t="shared" si="133"/>
        <v>0.1</v>
      </c>
      <c r="AA206" s="271" t="str">
        <f>IFERROR(IF(V205=1,AA$100*EXP(-(LN(2)/$D$65+0.04)*X205)*EXP(-(LN(2)/$D$65+0.1)*Y205),IF(V205=2,AA$100*EXP(-(LN(2)/$D$65+0.04)*(VLOOKUP(($F$16-$F$15)-1,U$99:Y205,4,FALSE)))*EXP(-(LN(2)/$D$65+0.1)*(VLOOKUP(($F$16-$F$15)-1,U$99:Y205,5,FALSE)))*EXP(-(LN(2)/$D$65+0.04)*X205)*EXP(-(LN(2)/$D$65+0.1)*Y205),IF(V205=3,AA$100*EXP(-(LN(2)/$D$65+0.04)*(VLOOKUP(($F$16-$F$15)-1,U$99:Y205,4,FALSE)))*EXP(-(LN(2)/$D$65+0.1)*(VLOOKUP(($F$16-$F$15)-1,U$99:Y205,5,FALSE)))*EXP(-(LN(2)/$D$65+0.04)*(VLOOKUP(($F$16-$F$15)*2-1,U$99:Y205,4,FALSE)))*EXP(-(LN(2)/$D$65+0.1)*(VLOOKUP(($F$16-$F$15)*2-1,U$99:Y205,5,FALSE)))*EXP(-(LN(2)/$D$65+0.04)*X205)*EXP(-(LN(2)/$D$65+0.1)*Y205),"-"))),"-")</f>
        <v>-</v>
      </c>
      <c r="AB206" s="271" t="str">
        <f>IFERROR(IF(V206=1,AB$100*EXP(-(LN(2)/$D$65+0.04)*X206)*EXP(-(LN(2)/$D$65+0.1)*Y206),IF(V206=2,AB$100*EXP(-(LN(2)/$D$65+0.04)*(VLOOKUP(($F$16-$F$15)-1,U$100:Y206,4,FALSE)))*EXP(-(LN(2)/$D$65+0.1)*(VLOOKUP(($F$16-$F$15)-1,U$100:Y206,5,FALSE)))*EXP(-(LN(2)/$D$65+0.04)*X206)*EXP(-(LN(2)/$D$65+0.1)*Y206),IF(V206=3,AB$100*EXP(-(LN(2)/$D$65+0.04)*(VLOOKUP(($F$16-$F$15)-1,U$100:Y206,4,FALSE)))*EXP(-(LN(2)/$D$65+0.1)*(VLOOKUP(($F$16-$F$15)-1,U$100:Y206,5,FALSE)))*EXP(-(LN(2)/$D$65+0.04)*(VLOOKUP(($F$16-$F$15)*2-1,U$100:Y206,4,FALSE)))*EXP(-(LN(2)/$D$65+0.1)*(VLOOKUP(($F$16-$F$15)*2-1,U$100:Y206,5,FALSE)))*EXP(-(LN(2)/$D$65+0.04)*X206)*EXP(-(LN(2)/$D$65+0.1)*Y206),"-"))),"-")</f>
        <v>-</v>
      </c>
      <c r="AC206" s="224">
        <f t="shared" si="134"/>
        <v>106</v>
      </c>
      <c r="AD206" s="223" t="str">
        <f t="shared" si="108"/>
        <v>-</v>
      </c>
      <c r="AE206" s="224" t="str">
        <f t="shared" si="135"/>
        <v>-</v>
      </c>
      <c r="AF206" s="224" t="str">
        <f t="shared" si="109"/>
        <v>-</v>
      </c>
      <c r="AG206" s="224" t="str">
        <f t="shared" si="110"/>
        <v>-</v>
      </c>
      <c r="AH206" s="272">
        <f t="shared" si="136"/>
        <v>0.1</v>
      </c>
      <c r="AI206" s="271" t="str">
        <f>IFERROR(IF(AD205=1,AI$100*EXP(-(LN(2)/$D$65+0.04)*AF205)*EXP(-(LN(2)/$D$65+0.1)*AG205),IF(AD205=2,AI$100*EXP(-(LN(2)/$D$65+0.04)*(VLOOKUP(($F$16-$F$15)-1,AC$99:AG205,4,FALSE)))*EXP(-(LN(2)/$D$65+0.1)*(VLOOKUP(($F$16-$F$15)-1,AC$99:AG205,5,FALSE)))*EXP(-(LN(2)/$D$65+0.04)*AF205)*EXP(-(LN(2)/$D$65+0.1)*AG205),IF(AD205=3,AI$100*EXP(-(LN(2)/$D$65+0.04)*(VLOOKUP(($F$16-$F$15)-1,AC$99:AG205,4,FALSE)))*EXP(-(LN(2)/$D$65+0.1)*(VLOOKUP(($F$16-$F$15)-1,AC$99:AG205,5,FALSE)))*EXP(-(LN(2)/$D$65+0.04)*(VLOOKUP(($F$16-$F$15)*2-1,AC$99:AG205,4,FALSE)))*EXP(-(LN(2)/$D$65+0.1)*(VLOOKUP(($F$16-$F$15)*2-1,AC$99:AG205,5,FALSE)))*EXP(-(LN(2)/$D$65+0.04)*AF205)*EXP(-(LN(2)/$D$65+0.1)*AG205),"-"))),"-")</f>
        <v>-</v>
      </c>
      <c r="AJ206" s="271" t="str">
        <f>IFERROR(IF(AD206=1,AJ$100*EXP(-(LN(2)/$D$65+0.04)*AF206)*EXP(-(LN(2)/$D$65+0.1)*AG206),IF(AD206=2,AJ$100*EXP(-(LN(2)/$D$65+0.04)*(VLOOKUP(($F$16-$F$15)-1,AC$100:AG206,4,FALSE)))*EXP(-(LN(2)/$D$65+0.1)*(VLOOKUP(($F$16-$F$15)-1,AC$100:AG206,5,FALSE)))*EXP(-(LN(2)/$D$65+0.04)*AF206)*EXP(-(LN(2)/$D$65+0.1)*AG206),IF(AD206=3,AJ$100*EXP(-(LN(2)/$D$65+0.04)*(VLOOKUP(($F$16-$F$15)-1,AC$100:AG206,4,FALSE)))*EXP(-(LN(2)/$D$65+0.1)*(VLOOKUP(($F$16-$F$15)-1,AC$100:AG206,5,FALSE)))*EXP(-(LN(2)/$D$65+0.04)*(VLOOKUP(($F$16-$F$15)*2-1,AC$100:AG206,4,FALSE)))*EXP(-(LN(2)/$D$65+0.1)*(VLOOKUP(($F$16-$F$15)*2-1,AC$100:AG206,5,FALSE)))*EXP(-(LN(2)/$D$65+0.04)*AF206)*EXP(-(LN(2)/$D$65+0.1)*AG206),"-"))),"-")</f>
        <v>-</v>
      </c>
      <c r="AK206" s="227">
        <f t="shared" si="137"/>
        <v>106</v>
      </c>
      <c r="AL206" s="226" t="str">
        <f t="shared" si="111"/>
        <v>-</v>
      </c>
      <c r="AM206" s="227" t="str">
        <f t="shared" si="138"/>
        <v>-</v>
      </c>
      <c r="AN206" s="227" t="str">
        <f t="shared" si="139"/>
        <v>-</v>
      </c>
      <c r="AO206" s="227" t="str">
        <f t="shared" si="112"/>
        <v>-</v>
      </c>
      <c r="AP206" s="273">
        <f t="shared" si="140"/>
        <v>0.1</v>
      </c>
      <c r="AQ206" s="271" t="str">
        <f>IFERROR(IF(AL205=1,AQ$100*EXP(-(LN(2)/$D$65+0.04)*AN205)*EXP(-(LN(2)/$D$65+0.1)*AO205),IF(AL205=2,AQ$100*EXP(-(LN(2)/$D$65+0.04)*(VLOOKUP(($F$16-$F$15)-1,AK$99:AO205,4,FALSE)))*EXP(-(LN(2)/$D$65+0.1)*(VLOOKUP(($F$16-$F$15)-1,AK$99:AO205,5,FALSE)))*EXP(-(LN(2)/$D$65+0.04)*AN205)*EXP(-(LN(2)/$D$65+0.1)*AO205),IF(AL205=3,AQ$100*EXP(-(LN(2)/$D$65+0.04)*(VLOOKUP(($F$16-$F$15)-1,AK$99:AO205,4,FALSE)))*EXP(-(LN(2)/$D$65+0.1)*(VLOOKUP(($F$16-$F$15)-1,AK$99:AO205,5,FALSE)))*EXP(-(LN(2)/$D$65+0.04)*(VLOOKUP(($F$16-$F$15)*2-1,AK$99:AO205,4,FALSE)))*EXP(-(LN(2)/$D$65+0.1)*(VLOOKUP(($F$16-$F$15)*2-1,AK$99:AO205,5,FALSE)))*EXP(-(LN(2)/$D$65+0.04)*AN205)*EXP(-(LN(2)/$D$65+0.1)*AO205),"-"))),"-")</f>
        <v>-</v>
      </c>
      <c r="AR206" s="271" t="str">
        <f>IFERROR(IF(AL206=1,AR$100*EXP(-(LN(2)/$D$65+0.04)*AN206)*EXP(-(LN(2)/$D$65+0.1)*AO206),IF(AL206=2,AR$100*EXP(-(LN(2)/$D$65+0.04)*(VLOOKUP(($F$16-$F$15)-1,AK$100:AO206,4,FALSE)))*EXP(-(LN(2)/$D$65+0.1)*(VLOOKUP(($F$16-$F$15)-1,AK$100:AO206,5,FALSE)))*EXP(-(LN(2)/$D$65+0.04)*AN206)*EXP(-(LN(2)/$D$65+0.1)*AO206),IF(AL206=3,AR$100*EXP(-(LN(2)/$D$65+0.04)*(VLOOKUP(($F$16-$F$15)-1,AK$100:AO206,4,FALSE)))*EXP(-(LN(2)/$D$65+0.1)*(VLOOKUP(($F$16-$F$15)-1,AK$100:AO206,5,FALSE)))*EXP(-(LN(2)/$D$65+0.04)*(VLOOKUP(($F$16-$F$15)*2-1,AK$100:AO206,4,FALSE)))*EXP(-(LN(2)/$D$65+0.1)*(VLOOKUP(($F$16-$F$15)*2-1,AK$100:AO206,5,FALSE)))*EXP(-(LN(2)/$D$65+0.04)*AN206)*EXP(-(LN(2)/$D$65+0.1)*AO206),"-"))),"-")</f>
        <v>-</v>
      </c>
      <c r="AS206" s="274">
        <f t="shared" si="113"/>
        <v>0</v>
      </c>
      <c r="AT206" s="274">
        <f t="shared" si="114"/>
        <v>0</v>
      </c>
      <c r="AU206" s="274">
        <f t="shared" si="115"/>
        <v>0</v>
      </c>
      <c r="AV206" s="190" t="str">
        <f>IF($B206&lt;$F$22,SUM($T$100:$T206),"")</f>
        <v/>
      </c>
      <c r="AW206" s="190" t="str">
        <f t="shared" si="161"/>
        <v>-</v>
      </c>
      <c r="AX206" s="190" t="str">
        <f t="shared" si="141"/>
        <v/>
      </c>
      <c r="AY206"/>
      <c r="AZ206" s="190" t="str">
        <f ca="1">IF(ISNUMBER(OFFSET(AV206,-$F$21,0)),SUM(OFFSET($T$100,$F$21,0):$T206),"")</f>
        <v/>
      </c>
      <c r="BA206" s="190" t="str">
        <f t="shared" ca="1" si="162"/>
        <v/>
      </c>
      <c r="BB206" s="190" t="str">
        <f t="shared" ca="1" si="148"/>
        <v/>
      </c>
      <c r="BC206" s="190"/>
      <c r="BD206" s="190" t="str">
        <f ca="1">IFERROR(IF(OR(ISNUMBER(I),ISNUMBER($F$14)),IF(AND($B206&gt;=($F$16-$F$15),$B206&lt;$F$22+($F$16-$F$15)),SUM(OFFSET($T$100,($F$16-$F$15),0):$T206),""),""),"")</f>
        <v/>
      </c>
      <c r="BE206" s="190" t="str">
        <f t="shared" ca="1" si="142"/>
        <v/>
      </c>
      <c r="BF206" s="190" t="str">
        <f t="shared" ca="1" si="143"/>
        <v/>
      </c>
      <c r="BG206"/>
      <c r="BH206" s="190" t="str">
        <f ca="1">IF(ISNUMBER(OFFSET(BD206,-$F$21,0)),SUM(OFFSET($T$100,($F$16-$F$15+$F$21),0):$T206),"")</f>
        <v/>
      </c>
      <c r="BI206" s="190" t="str">
        <f t="shared" ca="1" si="163"/>
        <v/>
      </c>
      <c r="BJ206" s="190" t="str">
        <f t="shared" ca="1" si="144"/>
        <v/>
      </c>
      <c r="BK206" s="190"/>
      <c r="BL206" s="190" t="str">
        <f ca="1">IFERROR(IF(OR(ISNUMBER(I),ISNUMBER($F$14)),IF(AND($B206&gt;=($F$17-$F$15),$B206&lt;$F$22+($F$17-$F$15)),SUM(OFFSET($T$100,($F$17-$F$15),0):$T206),""),""),"")</f>
        <v/>
      </c>
      <c r="BM206" s="190" t="str">
        <f t="shared" ca="1" si="164"/>
        <v/>
      </c>
      <c r="BN206" s="190" t="str">
        <f t="shared" ca="1" si="145"/>
        <v/>
      </c>
      <c r="BO206"/>
      <c r="BP206" s="190" t="str">
        <f ca="1">IF(ISNUMBER(OFFSET(BL206,-$F$21,0)),SUM(OFFSET($T$100,($F$17-$F$15+$F$21),0):$T206),"")</f>
        <v/>
      </c>
      <c r="BQ206" s="190" t="str">
        <f t="shared" ca="1" si="165"/>
        <v/>
      </c>
      <c r="BR206" s="190" t="str">
        <f t="shared" ca="1" si="146"/>
        <v/>
      </c>
      <c r="BS206" s="190"/>
      <c r="BT206"/>
      <c r="BU206"/>
      <c r="BV206"/>
      <c r="BY206" s="99"/>
      <c r="BZ206" s="99"/>
      <c r="CA206" s="280" t="str">
        <f t="shared" si="166"/>
        <v/>
      </c>
      <c r="CB206" s="71" t="str">
        <f t="shared" si="122"/>
        <v>-</v>
      </c>
      <c r="CC206" s="33"/>
      <c r="CD206" s="261" t="str">
        <f t="shared" si="123"/>
        <v/>
      </c>
      <c r="CE206" s="280" t="str">
        <f t="shared" si="167"/>
        <v/>
      </c>
      <c r="CF206" s="71" t="str">
        <f t="shared" ca="1" si="168"/>
        <v/>
      </c>
      <c r="CG206" s="33" t="str">
        <f t="shared" si="126"/>
        <v/>
      </c>
      <c r="CH206" s="261" t="str">
        <f t="shared" ca="1" si="127"/>
        <v/>
      </c>
    </row>
    <row r="207" spans="2:86" ht="13.5" customHeight="1" x14ac:dyDescent="0.2">
      <c r="B207" s="262">
        <v>107</v>
      </c>
      <c r="C207" s="237" t="str">
        <f t="shared" si="91"/>
        <v/>
      </c>
      <c r="D207" s="237" t="str">
        <f t="shared" si="147"/>
        <v/>
      </c>
      <c r="E207" s="263" t="str">
        <f t="shared" si="128"/>
        <v/>
      </c>
      <c r="F207" s="264" t="str">
        <f t="shared" si="129"/>
        <v/>
      </c>
      <c r="G207" s="264" t="str">
        <f t="shared" si="130"/>
        <v/>
      </c>
      <c r="H207" s="240" t="str">
        <f t="shared" si="149"/>
        <v/>
      </c>
      <c r="I207" s="265" t="str">
        <f t="shared" si="150"/>
        <v/>
      </c>
      <c r="J207" s="265" t="str">
        <f t="shared" si="151"/>
        <v/>
      </c>
      <c r="K207" s="240" t="str">
        <f t="shared" si="152"/>
        <v/>
      </c>
      <c r="L207" s="265" t="str">
        <f t="shared" si="153"/>
        <v/>
      </c>
      <c r="M207" s="265" t="str">
        <f t="shared" si="154"/>
        <v/>
      </c>
      <c r="N207" s="240" t="str">
        <f t="shared" si="155"/>
        <v>-</v>
      </c>
      <c r="O207" s="265" t="str">
        <f t="shared" si="156"/>
        <v>-</v>
      </c>
      <c r="P207" s="265" t="str">
        <f t="shared" si="157"/>
        <v>-</v>
      </c>
      <c r="Q207" s="266" t="str">
        <f t="shared" si="158"/>
        <v>-</v>
      </c>
      <c r="R207" s="267" t="str">
        <f t="shared" si="159"/>
        <v>-</v>
      </c>
      <c r="S207" s="268" t="str">
        <f t="shared" si="160"/>
        <v>-</v>
      </c>
      <c r="T207" s="269" t="str">
        <f t="shared" si="104"/>
        <v/>
      </c>
      <c r="U207" s="221">
        <f t="shared" si="105"/>
        <v>107</v>
      </c>
      <c r="V207" s="220" t="str">
        <f t="shared" si="131"/>
        <v>-</v>
      </c>
      <c r="W207" s="221" t="str">
        <f t="shared" si="132"/>
        <v>-</v>
      </c>
      <c r="X207" s="221" t="str">
        <f t="shared" si="106"/>
        <v>-</v>
      </c>
      <c r="Y207" s="221" t="str">
        <f t="shared" si="107"/>
        <v>-</v>
      </c>
      <c r="Z207" s="270">
        <f t="shared" si="133"/>
        <v>0.1</v>
      </c>
      <c r="AA207" s="271" t="str">
        <f>IFERROR(IF(V206=1,AA$100*EXP(-(LN(2)/$D$65+0.04)*X206)*EXP(-(LN(2)/$D$65+0.1)*Y206),IF(V206=2,AA$100*EXP(-(LN(2)/$D$65+0.04)*(VLOOKUP(($F$16-$F$15)-1,U$99:Y206,4,FALSE)))*EXP(-(LN(2)/$D$65+0.1)*(VLOOKUP(($F$16-$F$15)-1,U$99:Y206,5,FALSE)))*EXP(-(LN(2)/$D$65+0.04)*X206)*EXP(-(LN(2)/$D$65+0.1)*Y206),IF(V206=3,AA$100*EXP(-(LN(2)/$D$65+0.04)*(VLOOKUP(($F$16-$F$15)-1,U$99:Y206,4,FALSE)))*EXP(-(LN(2)/$D$65+0.1)*(VLOOKUP(($F$16-$F$15)-1,U$99:Y206,5,FALSE)))*EXP(-(LN(2)/$D$65+0.04)*(VLOOKUP(($F$16-$F$15)*2-1,U$99:Y206,4,FALSE)))*EXP(-(LN(2)/$D$65+0.1)*(VLOOKUP(($F$16-$F$15)*2-1,U$99:Y206,5,FALSE)))*EXP(-(LN(2)/$D$65+0.04)*X206)*EXP(-(LN(2)/$D$65+0.1)*Y206),"-"))),"-")</f>
        <v>-</v>
      </c>
      <c r="AB207" s="271" t="str">
        <f>IFERROR(IF(V207=1,AB$100*EXP(-(LN(2)/$D$65+0.04)*X207)*EXP(-(LN(2)/$D$65+0.1)*Y207),IF(V207=2,AB$100*EXP(-(LN(2)/$D$65+0.04)*(VLOOKUP(($F$16-$F$15)-1,U$100:Y207,4,FALSE)))*EXP(-(LN(2)/$D$65+0.1)*(VLOOKUP(($F$16-$F$15)-1,U$100:Y207,5,FALSE)))*EXP(-(LN(2)/$D$65+0.04)*X207)*EXP(-(LN(2)/$D$65+0.1)*Y207),IF(V207=3,AB$100*EXP(-(LN(2)/$D$65+0.04)*(VLOOKUP(($F$16-$F$15)-1,U$100:Y207,4,FALSE)))*EXP(-(LN(2)/$D$65+0.1)*(VLOOKUP(($F$16-$F$15)-1,U$100:Y207,5,FALSE)))*EXP(-(LN(2)/$D$65+0.04)*(VLOOKUP(($F$16-$F$15)*2-1,U$100:Y207,4,FALSE)))*EXP(-(LN(2)/$D$65+0.1)*(VLOOKUP(($F$16-$F$15)*2-1,U$100:Y207,5,FALSE)))*EXP(-(LN(2)/$D$65+0.04)*X207)*EXP(-(LN(2)/$D$65+0.1)*Y207),"-"))),"-")</f>
        <v>-</v>
      </c>
      <c r="AC207" s="224">
        <f t="shared" si="134"/>
        <v>107</v>
      </c>
      <c r="AD207" s="223" t="str">
        <f t="shared" si="108"/>
        <v>-</v>
      </c>
      <c r="AE207" s="224" t="str">
        <f t="shared" si="135"/>
        <v>-</v>
      </c>
      <c r="AF207" s="224" t="str">
        <f t="shared" si="109"/>
        <v>-</v>
      </c>
      <c r="AG207" s="224" t="str">
        <f t="shared" si="110"/>
        <v>-</v>
      </c>
      <c r="AH207" s="272">
        <f t="shared" si="136"/>
        <v>0.1</v>
      </c>
      <c r="AI207" s="271" t="str">
        <f>IFERROR(IF(AD206=1,AI$100*EXP(-(LN(2)/$D$65+0.04)*AF206)*EXP(-(LN(2)/$D$65+0.1)*AG206),IF(AD206=2,AI$100*EXP(-(LN(2)/$D$65+0.04)*(VLOOKUP(($F$16-$F$15)-1,AC$99:AG206,4,FALSE)))*EXP(-(LN(2)/$D$65+0.1)*(VLOOKUP(($F$16-$F$15)-1,AC$99:AG206,5,FALSE)))*EXP(-(LN(2)/$D$65+0.04)*AF206)*EXP(-(LN(2)/$D$65+0.1)*AG206),IF(AD206=3,AI$100*EXP(-(LN(2)/$D$65+0.04)*(VLOOKUP(($F$16-$F$15)-1,AC$99:AG206,4,FALSE)))*EXP(-(LN(2)/$D$65+0.1)*(VLOOKUP(($F$16-$F$15)-1,AC$99:AG206,5,FALSE)))*EXP(-(LN(2)/$D$65+0.04)*(VLOOKUP(($F$16-$F$15)*2-1,AC$99:AG206,4,FALSE)))*EXP(-(LN(2)/$D$65+0.1)*(VLOOKUP(($F$16-$F$15)*2-1,AC$99:AG206,5,FALSE)))*EXP(-(LN(2)/$D$65+0.04)*AF206)*EXP(-(LN(2)/$D$65+0.1)*AG206),"-"))),"-")</f>
        <v>-</v>
      </c>
      <c r="AJ207" s="271" t="str">
        <f>IFERROR(IF(AD207=1,AJ$100*EXP(-(LN(2)/$D$65+0.04)*AF207)*EXP(-(LN(2)/$D$65+0.1)*AG207),IF(AD207=2,AJ$100*EXP(-(LN(2)/$D$65+0.04)*(VLOOKUP(($F$16-$F$15)-1,AC$100:AG207,4,FALSE)))*EXP(-(LN(2)/$D$65+0.1)*(VLOOKUP(($F$16-$F$15)-1,AC$100:AG207,5,FALSE)))*EXP(-(LN(2)/$D$65+0.04)*AF207)*EXP(-(LN(2)/$D$65+0.1)*AG207),IF(AD207=3,AJ$100*EXP(-(LN(2)/$D$65+0.04)*(VLOOKUP(($F$16-$F$15)-1,AC$100:AG207,4,FALSE)))*EXP(-(LN(2)/$D$65+0.1)*(VLOOKUP(($F$16-$F$15)-1,AC$100:AG207,5,FALSE)))*EXP(-(LN(2)/$D$65+0.04)*(VLOOKUP(($F$16-$F$15)*2-1,AC$100:AG207,4,FALSE)))*EXP(-(LN(2)/$D$65+0.1)*(VLOOKUP(($F$16-$F$15)*2-1,AC$100:AG207,5,FALSE)))*EXP(-(LN(2)/$D$65+0.04)*AF207)*EXP(-(LN(2)/$D$65+0.1)*AG207),"-"))),"-")</f>
        <v>-</v>
      </c>
      <c r="AK207" s="227">
        <f t="shared" si="137"/>
        <v>107</v>
      </c>
      <c r="AL207" s="226" t="str">
        <f t="shared" si="111"/>
        <v>-</v>
      </c>
      <c r="AM207" s="227" t="str">
        <f t="shared" si="138"/>
        <v>-</v>
      </c>
      <c r="AN207" s="227" t="str">
        <f t="shared" si="139"/>
        <v>-</v>
      </c>
      <c r="AO207" s="227" t="str">
        <f t="shared" si="112"/>
        <v>-</v>
      </c>
      <c r="AP207" s="273">
        <f t="shared" si="140"/>
        <v>0.1</v>
      </c>
      <c r="AQ207" s="271" t="str">
        <f>IFERROR(IF(AL206=1,AQ$100*EXP(-(LN(2)/$D$65+0.04)*AN206)*EXP(-(LN(2)/$D$65+0.1)*AO206),IF(AL206=2,AQ$100*EXP(-(LN(2)/$D$65+0.04)*(VLOOKUP(($F$16-$F$15)-1,AK$99:AO206,4,FALSE)))*EXP(-(LN(2)/$D$65+0.1)*(VLOOKUP(($F$16-$F$15)-1,AK$99:AO206,5,FALSE)))*EXP(-(LN(2)/$D$65+0.04)*AN206)*EXP(-(LN(2)/$D$65+0.1)*AO206),IF(AL206=3,AQ$100*EXP(-(LN(2)/$D$65+0.04)*(VLOOKUP(($F$16-$F$15)-1,AK$99:AO206,4,FALSE)))*EXP(-(LN(2)/$D$65+0.1)*(VLOOKUP(($F$16-$F$15)-1,AK$99:AO206,5,FALSE)))*EXP(-(LN(2)/$D$65+0.04)*(VLOOKUP(($F$16-$F$15)*2-1,AK$99:AO206,4,FALSE)))*EXP(-(LN(2)/$D$65+0.1)*(VLOOKUP(($F$16-$F$15)*2-1,AK$99:AO206,5,FALSE)))*EXP(-(LN(2)/$D$65+0.04)*AN206)*EXP(-(LN(2)/$D$65+0.1)*AO206),"-"))),"-")</f>
        <v>-</v>
      </c>
      <c r="AR207" s="271" t="str">
        <f>IFERROR(IF(AL207=1,AR$100*EXP(-(LN(2)/$D$65+0.04)*AN207)*EXP(-(LN(2)/$D$65+0.1)*AO207),IF(AL207=2,AR$100*EXP(-(LN(2)/$D$65+0.04)*(VLOOKUP(($F$16-$F$15)-1,AK$100:AO207,4,FALSE)))*EXP(-(LN(2)/$D$65+0.1)*(VLOOKUP(($F$16-$F$15)-1,AK$100:AO207,5,FALSE)))*EXP(-(LN(2)/$D$65+0.04)*AN207)*EXP(-(LN(2)/$D$65+0.1)*AO207),IF(AL207=3,AR$100*EXP(-(LN(2)/$D$65+0.04)*(VLOOKUP(($F$16-$F$15)-1,AK$100:AO207,4,FALSE)))*EXP(-(LN(2)/$D$65+0.1)*(VLOOKUP(($F$16-$F$15)-1,AK$100:AO207,5,FALSE)))*EXP(-(LN(2)/$D$65+0.04)*(VLOOKUP(($F$16-$F$15)*2-1,AK$100:AO207,4,FALSE)))*EXP(-(LN(2)/$D$65+0.1)*(VLOOKUP(($F$16-$F$15)*2-1,AK$100:AO207,5,FALSE)))*EXP(-(LN(2)/$D$65+0.04)*AN207)*EXP(-(LN(2)/$D$65+0.1)*AO207),"-"))),"-")</f>
        <v>-</v>
      </c>
      <c r="AS207" s="274">
        <f t="shared" si="113"/>
        <v>0</v>
      </c>
      <c r="AT207" s="274">
        <f t="shared" si="114"/>
        <v>0</v>
      </c>
      <c r="AU207" s="274">
        <f t="shared" si="115"/>
        <v>0</v>
      </c>
      <c r="AV207" s="190" t="str">
        <f>IF($B207&lt;$F$22,SUM($T$100:$T207),"")</f>
        <v/>
      </c>
      <c r="AW207" s="190" t="str">
        <f t="shared" si="161"/>
        <v>-</v>
      </c>
      <c r="AX207" s="190" t="str">
        <f t="shared" si="141"/>
        <v/>
      </c>
      <c r="AY207"/>
      <c r="AZ207" s="190" t="str">
        <f ca="1">IF(ISNUMBER(OFFSET(AV207,-$F$21,0)),SUM(OFFSET($T$100,$F$21,0):$T207),"")</f>
        <v/>
      </c>
      <c r="BA207" s="190" t="str">
        <f t="shared" ca="1" si="162"/>
        <v/>
      </c>
      <c r="BB207" s="190" t="str">
        <f t="shared" ca="1" si="148"/>
        <v/>
      </c>
      <c r="BC207" s="190"/>
      <c r="BD207" s="190" t="str">
        <f ca="1">IFERROR(IF(OR(ISNUMBER(I),ISNUMBER($F$14)),IF(AND($B207&gt;=($F$16-$F$15),$B207&lt;$F$22+($F$16-$F$15)),SUM(OFFSET($T$100,($F$16-$F$15),0):$T207),""),""),"")</f>
        <v/>
      </c>
      <c r="BE207" s="190" t="str">
        <f t="shared" ca="1" si="142"/>
        <v/>
      </c>
      <c r="BF207" s="190" t="str">
        <f t="shared" ca="1" si="143"/>
        <v/>
      </c>
      <c r="BG207"/>
      <c r="BH207" s="190" t="str">
        <f ca="1">IF(ISNUMBER(OFFSET(BD207,-$F$21,0)),SUM(OFFSET($T$100,($F$16-$F$15+$F$21),0):$T207),"")</f>
        <v/>
      </c>
      <c r="BI207" s="190" t="str">
        <f t="shared" ca="1" si="163"/>
        <v/>
      </c>
      <c r="BJ207" s="190" t="str">
        <f t="shared" ca="1" si="144"/>
        <v/>
      </c>
      <c r="BK207" s="190"/>
      <c r="BL207" s="190" t="str">
        <f ca="1">IFERROR(IF(OR(ISNUMBER(I),ISNUMBER($F$14)),IF(AND($B207&gt;=($F$17-$F$15),$B207&lt;$F$22+($F$17-$F$15)),SUM(OFFSET($T$100,($F$17-$F$15),0):$T207),""),""),"")</f>
        <v/>
      </c>
      <c r="BM207" s="190" t="str">
        <f t="shared" ca="1" si="164"/>
        <v/>
      </c>
      <c r="BN207" s="190" t="str">
        <f t="shared" ca="1" si="145"/>
        <v/>
      </c>
      <c r="BO207"/>
      <c r="BP207" s="190" t="str">
        <f ca="1">IF(ISNUMBER(OFFSET(BL207,-$F$21,0)),SUM(OFFSET($T$100,($F$17-$F$15+$F$21),0):$T207),"")</f>
        <v/>
      </c>
      <c r="BQ207" s="190" t="str">
        <f t="shared" ca="1" si="165"/>
        <v/>
      </c>
      <c r="BR207" s="190" t="str">
        <f t="shared" ca="1" si="146"/>
        <v/>
      </c>
      <c r="BS207" s="190"/>
      <c r="BT207"/>
      <c r="BU207"/>
      <c r="BV207"/>
      <c r="BY207" s="99"/>
      <c r="BZ207" s="99"/>
      <c r="CA207" s="280" t="str">
        <f t="shared" si="166"/>
        <v/>
      </c>
      <c r="CB207" s="71" t="str">
        <f t="shared" si="122"/>
        <v>-</v>
      </c>
      <c r="CC207" s="33"/>
      <c r="CD207" s="261" t="str">
        <f t="shared" si="123"/>
        <v/>
      </c>
      <c r="CE207" s="280" t="str">
        <f t="shared" si="167"/>
        <v/>
      </c>
      <c r="CF207" s="71" t="str">
        <f t="shared" ca="1" si="168"/>
        <v/>
      </c>
      <c r="CG207" s="33" t="str">
        <f t="shared" si="126"/>
        <v/>
      </c>
      <c r="CH207" s="261" t="str">
        <f t="shared" ca="1" si="127"/>
        <v/>
      </c>
    </row>
    <row r="208" spans="2:86" ht="13.5" customHeight="1" x14ac:dyDescent="0.2">
      <c r="B208" s="262">
        <v>108</v>
      </c>
      <c r="C208" s="237" t="str">
        <f t="shared" si="91"/>
        <v/>
      </c>
      <c r="D208" s="237" t="str">
        <f t="shared" si="147"/>
        <v/>
      </c>
      <c r="E208" s="263" t="str">
        <f t="shared" si="128"/>
        <v/>
      </c>
      <c r="F208" s="264" t="str">
        <f t="shared" si="129"/>
        <v/>
      </c>
      <c r="G208" s="264" t="str">
        <f t="shared" si="130"/>
        <v/>
      </c>
      <c r="H208" s="240" t="str">
        <f t="shared" si="149"/>
        <v/>
      </c>
      <c r="I208" s="265" t="str">
        <f t="shared" si="150"/>
        <v/>
      </c>
      <c r="J208" s="265" t="str">
        <f t="shared" si="151"/>
        <v/>
      </c>
      <c r="K208" s="240" t="str">
        <f t="shared" si="152"/>
        <v/>
      </c>
      <c r="L208" s="265" t="str">
        <f t="shared" si="153"/>
        <v/>
      </c>
      <c r="M208" s="265" t="str">
        <f t="shared" si="154"/>
        <v/>
      </c>
      <c r="N208" s="240" t="str">
        <f t="shared" si="155"/>
        <v>-</v>
      </c>
      <c r="O208" s="265" t="str">
        <f t="shared" si="156"/>
        <v>-</v>
      </c>
      <c r="P208" s="265" t="str">
        <f t="shared" si="157"/>
        <v>-</v>
      </c>
      <c r="Q208" s="266" t="str">
        <f t="shared" si="158"/>
        <v>-</v>
      </c>
      <c r="R208" s="267" t="str">
        <f t="shared" si="159"/>
        <v>-</v>
      </c>
      <c r="S208" s="268" t="str">
        <f t="shared" si="160"/>
        <v>-</v>
      </c>
      <c r="T208" s="269" t="str">
        <f t="shared" si="104"/>
        <v/>
      </c>
      <c r="U208" s="221">
        <f t="shared" si="105"/>
        <v>108</v>
      </c>
      <c r="V208" s="220" t="str">
        <f t="shared" si="131"/>
        <v>-</v>
      </c>
      <c r="W208" s="221" t="str">
        <f t="shared" si="132"/>
        <v>-</v>
      </c>
      <c r="X208" s="221" t="str">
        <f t="shared" si="106"/>
        <v>-</v>
      </c>
      <c r="Y208" s="221" t="str">
        <f t="shared" si="107"/>
        <v>-</v>
      </c>
      <c r="Z208" s="270">
        <f t="shared" si="133"/>
        <v>0.1</v>
      </c>
      <c r="AA208" s="271" t="str">
        <f>IFERROR(IF(V207=1,AA$100*EXP(-(LN(2)/$D$65+0.04)*X207)*EXP(-(LN(2)/$D$65+0.1)*Y207),IF(V207=2,AA$100*EXP(-(LN(2)/$D$65+0.04)*(VLOOKUP(($F$16-$F$15)-1,U$99:Y207,4,FALSE)))*EXP(-(LN(2)/$D$65+0.1)*(VLOOKUP(($F$16-$F$15)-1,U$99:Y207,5,FALSE)))*EXP(-(LN(2)/$D$65+0.04)*X207)*EXP(-(LN(2)/$D$65+0.1)*Y207),IF(V207=3,AA$100*EXP(-(LN(2)/$D$65+0.04)*(VLOOKUP(($F$16-$F$15)-1,U$99:Y207,4,FALSE)))*EXP(-(LN(2)/$D$65+0.1)*(VLOOKUP(($F$16-$F$15)-1,U$99:Y207,5,FALSE)))*EXP(-(LN(2)/$D$65+0.04)*(VLOOKUP(($F$16-$F$15)*2-1,U$99:Y207,4,FALSE)))*EXP(-(LN(2)/$D$65+0.1)*(VLOOKUP(($F$16-$F$15)*2-1,U$99:Y207,5,FALSE)))*EXP(-(LN(2)/$D$65+0.04)*X207)*EXP(-(LN(2)/$D$65+0.1)*Y207),"-"))),"-")</f>
        <v>-</v>
      </c>
      <c r="AB208" s="271" t="str">
        <f>IFERROR(IF(V208=1,AB$100*EXP(-(LN(2)/$D$65+0.04)*X208)*EXP(-(LN(2)/$D$65+0.1)*Y208),IF(V208=2,AB$100*EXP(-(LN(2)/$D$65+0.04)*(VLOOKUP(($F$16-$F$15)-1,U$100:Y208,4,FALSE)))*EXP(-(LN(2)/$D$65+0.1)*(VLOOKUP(($F$16-$F$15)-1,U$100:Y208,5,FALSE)))*EXP(-(LN(2)/$D$65+0.04)*X208)*EXP(-(LN(2)/$D$65+0.1)*Y208),IF(V208=3,AB$100*EXP(-(LN(2)/$D$65+0.04)*(VLOOKUP(($F$16-$F$15)-1,U$100:Y208,4,FALSE)))*EXP(-(LN(2)/$D$65+0.1)*(VLOOKUP(($F$16-$F$15)-1,U$100:Y208,5,FALSE)))*EXP(-(LN(2)/$D$65+0.04)*(VLOOKUP(($F$16-$F$15)*2-1,U$100:Y208,4,FALSE)))*EXP(-(LN(2)/$D$65+0.1)*(VLOOKUP(($F$16-$F$15)*2-1,U$100:Y208,5,FALSE)))*EXP(-(LN(2)/$D$65+0.04)*X208)*EXP(-(LN(2)/$D$65+0.1)*Y208),"-"))),"-")</f>
        <v>-</v>
      </c>
      <c r="AC208" s="224">
        <f t="shared" si="134"/>
        <v>108</v>
      </c>
      <c r="AD208" s="223" t="str">
        <f t="shared" si="108"/>
        <v>-</v>
      </c>
      <c r="AE208" s="224" t="str">
        <f t="shared" si="135"/>
        <v>-</v>
      </c>
      <c r="AF208" s="224" t="str">
        <f t="shared" si="109"/>
        <v>-</v>
      </c>
      <c r="AG208" s="224" t="str">
        <f t="shared" si="110"/>
        <v>-</v>
      </c>
      <c r="AH208" s="272">
        <f t="shared" si="136"/>
        <v>0.1</v>
      </c>
      <c r="AI208" s="271" t="str">
        <f>IFERROR(IF(AD207=1,AI$100*EXP(-(LN(2)/$D$65+0.04)*AF207)*EXP(-(LN(2)/$D$65+0.1)*AG207),IF(AD207=2,AI$100*EXP(-(LN(2)/$D$65+0.04)*(VLOOKUP(($F$16-$F$15)-1,AC$99:AG207,4,FALSE)))*EXP(-(LN(2)/$D$65+0.1)*(VLOOKUP(($F$16-$F$15)-1,AC$99:AG207,5,FALSE)))*EXP(-(LN(2)/$D$65+0.04)*AF207)*EXP(-(LN(2)/$D$65+0.1)*AG207),IF(AD207=3,AI$100*EXP(-(LN(2)/$D$65+0.04)*(VLOOKUP(($F$16-$F$15)-1,AC$99:AG207,4,FALSE)))*EXP(-(LN(2)/$D$65+0.1)*(VLOOKUP(($F$16-$F$15)-1,AC$99:AG207,5,FALSE)))*EXP(-(LN(2)/$D$65+0.04)*(VLOOKUP(($F$16-$F$15)*2-1,AC$99:AG207,4,FALSE)))*EXP(-(LN(2)/$D$65+0.1)*(VLOOKUP(($F$16-$F$15)*2-1,AC$99:AG207,5,FALSE)))*EXP(-(LN(2)/$D$65+0.04)*AF207)*EXP(-(LN(2)/$D$65+0.1)*AG207),"-"))),"-")</f>
        <v>-</v>
      </c>
      <c r="AJ208" s="271" t="str">
        <f>IFERROR(IF(AD208=1,AJ$100*EXP(-(LN(2)/$D$65+0.04)*AF208)*EXP(-(LN(2)/$D$65+0.1)*AG208),IF(AD208=2,AJ$100*EXP(-(LN(2)/$D$65+0.04)*(VLOOKUP(($F$16-$F$15)-1,AC$100:AG208,4,FALSE)))*EXP(-(LN(2)/$D$65+0.1)*(VLOOKUP(($F$16-$F$15)-1,AC$100:AG208,5,FALSE)))*EXP(-(LN(2)/$D$65+0.04)*AF208)*EXP(-(LN(2)/$D$65+0.1)*AG208),IF(AD208=3,AJ$100*EXP(-(LN(2)/$D$65+0.04)*(VLOOKUP(($F$16-$F$15)-1,AC$100:AG208,4,FALSE)))*EXP(-(LN(2)/$D$65+0.1)*(VLOOKUP(($F$16-$F$15)-1,AC$100:AG208,5,FALSE)))*EXP(-(LN(2)/$D$65+0.04)*(VLOOKUP(($F$16-$F$15)*2-1,AC$100:AG208,4,FALSE)))*EXP(-(LN(2)/$D$65+0.1)*(VLOOKUP(($F$16-$F$15)*2-1,AC$100:AG208,5,FALSE)))*EXP(-(LN(2)/$D$65+0.04)*AF208)*EXP(-(LN(2)/$D$65+0.1)*AG208),"-"))),"-")</f>
        <v>-</v>
      </c>
      <c r="AK208" s="227">
        <f t="shared" si="137"/>
        <v>108</v>
      </c>
      <c r="AL208" s="226" t="str">
        <f t="shared" si="111"/>
        <v>-</v>
      </c>
      <c r="AM208" s="227" t="str">
        <f t="shared" si="138"/>
        <v>-</v>
      </c>
      <c r="AN208" s="227" t="str">
        <f t="shared" si="139"/>
        <v>-</v>
      </c>
      <c r="AO208" s="227" t="str">
        <f t="shared" si="112"/>
        <v>-</v>
      </c>
      <c r="AP208" s="273">
        <f t="shared" si="140"/>
        <v>0.1</v>
      </c>
      <c r="AQ208" s="271" t="str">
        <f>IFERROR(IF(AL207=1,AQ$100*EXP(-(LN(2)/$D$65+0.04)*AN207)*EXP(-(LN(2)/$D$65+0.1)*AO207),IF(AL207=2,AQ$100*EXP(-(LN(2)/$D$65+0.04)*(VLOOKUP(($F$16-$F$15)-1,AK$99:AO207,4,FALSE)))*EXP(-(LN(2)/$D$65+0.1)*(VLOOKUP(($F$16-$F$15)-1,AK$99:AO207,5,FALSE)))*EXP(-(LN(2)/$D$65+0.04)*AN207)*EXP(-(LN(2)/$D$65+0.1)*AO207),IF(AL207=3,AQ$100*EXP(-(LN(2)/$D$65+0.04)*(VLOOKUP(($F$16-$F$15)-1,AK$99:AO207,4,FALSE)))*EXP(-(LN(2)/$D$65+0.1)*(VLOOKUP(($F$16-$F$15)-1,AK$99:AO207,5,FALSE)))*EXP(-(LN(2)/$D$65+0.04)*(VLOOKUP(($F$16-$F$15)*2-1,AK$99:AO207,4,FALSE)))*EXP(-(LN(2)/$D$65+0.1)*(VLOOKUP(($F$16-$F$15)*2-1,AK$99:AO207,5,FALSE)))*EXP(-(LN(2)/$D$65+0.04)*AN207)*EXP(-(LN(2)/$D$65+0.1)*AO207),"-"))),"-")</f>
        <v>-</v>
      </c>
      <c r="AR208" s="271" t="str">
        <f>IFERROR(IF(AL208=1,AR$100*EXP(-(LN(2)/$D$65+0.04)*AN208)*EXP(-(LN(2)/$D$65+0.1)*AO208),IF(AL208=2,AR$100*EXP(-(LN(2)/$D$65+0.04)*(VLOOKUP(($F$16-$F$15)-1,AK$100:AO208,4,FALSE)))*EXP(-(LN(2)/$D$65+0.1)*(VLOOKUP(($F$16-$F$15)-1,AK$100:AO208,5,FALSE)))*EXP(-(LN(2)/$D$65+0.04)*AN208)*EXP(-(LN(2)/$D$65+0.1)*AO208),IF(AL208=3,AR$100*EXP(-(LN(2)/$D$65+0.04)*(VLOOKUP(($F$16-$F$15)-1,AK$100:AO208,4,FALSE)))*EXP(-(LN(2)/$D$65+0.1)*(VLOOKUP(($F$16-$F$15)-1,AK$100:AO208,5,FALSE)))*EXP(-(LN(2)/$D$65+0.04)*(VLOOKUP(($F$16-$F$15)*2-1,AK$100:AO208,4,FALSE)))*EXP(-(LN(2)/$D$65+0.1)*(VLOOKUP(($F$16-$F$15)*2-1,AK$100:AO208,5,FALSE)))*EXP(-(LN(2)/$D$65+0.04)*AN208)*EXP(-(LN(2)/$D$65+0.1)*AO208),"-"))),"-")</f>
        <v>-</v>
      </c>
      <c r="AS208" s="274">
        <f t="shared" si="113"/>
        <v>0</v>
      </c>
      <c r="AT208" s="274">
        <f t="shared" si="114"/>
        <v>0</v>
      </c>
      <c r="AU208" s="274">
        <f t="shared" si="115"/>
        <v>0</v>
      </c>
      <c r="AV208" s="190" t="str">
        <f>IF($B208&lt;$F$22,SUM($T$100:$T208),"")</f>
        <v/>
      </c>
      <c r="AW208" s="190" t="str">
        <f t="shared" si="161"/>
        <v>-</v>
      </c>
      <c r="AX208" s="190" t="str">
        <f t="shared" si="141"/>
        <v/>
      </c>
      <c r="AY208"/>
      <c r="AZ208" s="190" t="str">
        <f ca="1">IF(ISNUMBER(OFFSET(AV208,-$F$21,0)),SUM(OFFSET($T$100,$F$21,0):$T208),"")</f>
        <v/>
      </c>
      <c r="BA208" s="190" t="str">
        <f t="shared" ca="1" si="162"/>
        <v/>
      </c>
      <c r="BB208" s="190" t="str">
        <f t="shared" ca="1" si="148"/>
        <v/>
      </c>
      <c r="BC208" s="190"/>
      <c r="BD208" s="190" t="str">
        <f ca="1">IFERROR(IF(OR(ISNUMBER(I),ISNUMBER($F$14)),IF(AND($B208&gt;=($F$16-$F$15),$B208&lt;$F$22+($F$16-$F$15)),SUM(OFFSET($T$100,($F$16-$F$15),0):$T208),""),""),"")</f>
        <v/>
      </c>
      <c r="BE208" s="190" t="str">
        <f t="shared" ca="1" si="142"/>
        <v/>
      </c>
      <c r="BF208" s="190" t="str">
        <f t="shared" ca="1" si="143"/>
        <v/>
      </c>
      <c r="BG208"/>
      <c r="BH208" s="190" t="str">
        <f ca="1">IF(ISNUMBER(OFFSET(BD208,-$F$21,0)),SUM(OFFSET($T$100,($F$16-$F$15+$F$21),0):$T208),"")</f>
        <v/>
      </c>
      <c r="BI208" s="190" t="str">
        <f t="shared" ca="1" si="163"/>
        <v/>
      </c>
      <c r="BJ208" s="190" t="str">
        <f t="shared" ca="1" si="144"/>
        <v/>
      </c>
      <c r="BK208" s="190"/>
      <c r="BL208" s="190" t="str">
        <f ca="1">IFERROR(IF(OR(ISNUMBER(I),ISNUMBER($F$14)),IF(AND($B208&gt;=($F$17-$F$15),$B208&lt;$F$22+($F$17-$F$15)),SUM(OFFSET($T$100,($F$17-$F$15),0):$T208),""),""),"")</f>
        <v/>
      </c>
      <c r="BM208" s="190" t="str">
        <f t="shared" ca="1" si="164"/>
        <v/>
      </c>
      <c r="BN208" s="190" t="str">
        <f t="shared" ca="1" si="145"/>
        <v/>
      </c>
      <c r="BO208"/>
      <c r="BP208" s="190" t="str">
        <f ca="1">IF(ISNUMBER(OFFSET(BL208,-$F$21,0)),SUM(OFFSET($T$100,($F$17-$F$15+$F$21),0):$T208),"")</f>
        <v/>
      </c>
      <c r="BQ208" s="190" t="str">
        <f t="shared" ca="1" si="165"/>
        <v/>
      </c>
      <c r="BR208" s="190" t="str">
        <f t="shared" ca="1" si="146"/>
        <v/>
      </c>
      <c r="BS208" s="190"/>
      <c r="BT208"/>
      <c r="BU208"/>
      <c r="BV208"/>
      <c r="BY208" s="99"/>
      <c r="BZ208" s="99"/>
      <c r="CA208" s="280" t="str">
        <f t="shared" si="166"/>
        <v/>
      </c>
      <c r="CB208" s="71" t="str">
        <f t="shared" si="122"/>
        <v>-</v>
      </c>
      <c r="CC208" s="33"/>
      <c r="CD208" s="261" t="str">
        <f t="shared" si="123"/>
        <v/>
      </c>
      <c r="CE208" s="280" t="str">
        <f t="shared" si="167"/>
        <v/>
      </c>
      <c r="CF208" s="71" t="str">
        <f t="shared" ca="1" si="168"/>
        <v/>
      </c>
      <c r="CG208" s="33" t="str">
        <f t="shared" si="126"/>
        <v/>
      </c>
      <c r="CH208" s="261" t="str">
        <f t="shared" ca="1" si="127"/>
        <v/>
      </c>
    </row>
    <row r="209" spans="2:86" ht="13.5" customHeight="1" x14ac:dyDescent="0.2">
      <c r="B209" s="262">
        <v>109</v>
      </c>
      <c r="C209" s="237" t="str">
        <f t="shared" si="91"/>
        <v/>
      </c>
      <c r="D209" s="237" t="str">
        <f t="shared" si="147"/>
        <v/>
      </c>
      <c r="E209" s="263" t="str">
        <f t="shared" si="128"/>
        <v/>
      </c>
      <c r="F209" s="264" t="str">
        <f t="shared" si="129"/>
        <v/>
      </c>
      <c r="G209" s="264" t="str">
        <f t="shared" si="130"/>
        <v/>
      </c>
      <c r="H209" s="240" t="str">
        <f t="shared" si="149"/>
        <v/>
      </c>
      <c r="I209" s="265" t="str">
        <f t="shared" si="150"/>
        <v/>
      </c>
      <c r="J209" s="265" t="str">
        <f t="shared" si="151"/>
        <v/>
      </c>
      <c r="K209" s="240" t="str">
        <f t="shared" si="152"/>
        <v/>
      </c>
      <c r="L209" s="265" t="str">
        <f t="shared" si="153"/>
        <v/>
      </c>
      <c r="M209" s="265" t="str">
        <f t="shared" si="154"/>
        <v/>
      </c>
      <c r="N209" s="240" t="str">
        <f t="shared" si="155"/>
        <v>-</v>
      </c>
      <c r="O209" s="265" t="str">
        <f t="shared" si="156"/>
        <v>-</v>
      </c>
      <c r="P209" s="265" t="str">
        <f t="shared" si="157"/>
        <v>-</v>
      </c>
      <c r="Q209" s="266" t="str">
        <f t="shared" si="158"/>
        <v>-</v>
      </c>
      <c r="R209" s="267" t="str">
        <f t="shared" si="159"/>
        <v>-</v>
      </c>
      <c r="S209" s="268" t="str">
        <f t="shared" si="160"/>
        <v>-</v>
      </c>
      <c r="T209" s="269" t="str">
        <f t="shared" si="104"/>
        <v/>
      </c>
      <c r="U209" s="221">
        <f t="shared" si="105"/>
        <v>109</v>
      </c>
      <c r="V209" s="220" t="str">
        <f t="shared" si="131"/>
        <v>-</v>
      </c>
      <c r="W209" s="221" t="str">
        <f t="shared" si="132"/>
        <v>-</v>
      </c>
      <c r="X209" s="221" t="str">
        <f t="shared" si="106"/>
        <v>-</v>
      </c>
      <c r="Y209" s="221" t="str">
        <f t="shared" si="107"/>
        <v>-</v>
      </c>
      <c r="Z209" s="270">
        <f t="shared" si="133"/>
        <v>0.1</v>
      </c>
      <c r="AA209" s="271" t="str">
        <f>IFERROR(IF(V208=1,AA$100*EXP(-(LN(2)/$D$65+0.04)*X208)*EXP(-(LN(2)/$D$65+0.1)*Y208),IF(V208=2,AA$100*EXP(-(LN(2)/$D$65+0.04)*(VLOOKUP(($F$16-$F$15)-1,U$99:Y208,4,FALSE)))*EXP(-(LN(2)/$D$65+0.1)*(VLOOKUP(($F$16-$F$15)-1,U$99:Y208,5,FALSE)))*EXP(-(LN(2)/$D$65+0.04)*X208)*EXP(-(LN(2)/$D$65+0.1)*Y208),IF(V208=3,AA$100*EXP(-(LN(2)/$D$65+0.04)*(VLOOKUP(($F$16-$F$15)-1,U$99:Y208,4,FALSE)))*EXP(-(LN(2)/$D$65+0.1)*(VLOOKUP(($F$16-$F$15)-1,U$99:Y208,5,FALSE)))*EXP(-(LN(2)/$D$65+0.04)*(VLOOKUP(($F$16-$F$15)*2-1,U$99:Y208,4,FALSE)))*EXP(-(LN(2)/$D$65+0.1)*(VLOOKUP(($F$16-$F$15)*2-1,U$99:Y208,5,FALSE)))*EXP(-(LN(2)/$D$65+0.04)*X208)*EXP(-(LN(2)/$D$65+0.1)*Y208),"-"))),"-")</f>
        <v>-</v>
      </c>
      <c r="AB209" s="271" t="str">
        <f>IFERROR(IF(V209=1,AB$100*EXP(-(LN(2)/$D$65+0.04)*X209)*EXP(-(LN(2)/$D$65+0.1)*Y209),IF(V209=2,AB$100*EXP(-(LN(2)/$D$65+0.04)*(VLOOKUP(($F$16-$F$15)-1,U$100:Y209,4,FALSE)))*EXP(-(LN(2)/$D$65+0.1)*(VLOOKUP(($F$16-$F$15)-1,U$100:Y209,5,FALSE)))*EXP(-(LN(2)/$D$65+0.04)*X209)*EXP(-(LN(2)/$D$65+0.1)*Y209),IF(V209=3,AB$100*EXP(-(LN(2)/$D$65+0.04)*(VLOOKUP(($F$16-$F$15)-1,U$100:Y209,4,FALSE)))*EXP(-(LN(2)/$D$65+0.1)*(VLOOKUP(($F$16-$F$15)-1,U$100:Y209,5,FALSE)))*EXP(-(LN(2)/$D$65+0.04)*(VLOOKUP(($F$16-$F$15)*2-1,U$100:Y209,4,FALSE)))*EXP(-(LN(2)/$D$65+0.1)*(VLOOKUP(($F$16-$F$15)*2-1,U$100:Y209,5,FALSE)))*EXP(-(LN(2)/$D$65+0.04)*X209)*EXP(-(LN(2)/$D$65+0.1)*Y209),"-"))),"-")</f>
        <v>-</v>
      </c>
      <c r="AC209" s="224">
        <f t="shared" si="134"/>
        <v>109</v>
      </c>
      <c r="AD209" s="223" t="str">
        <f t="shared" si="108"/>
        <v>-</v>
      </c>
      <c r="AE209" s="224" t="str">
        <f t="shared" si="135"/>
        <v>-</v>
      </c>
      <c r="AF209" s="224" t="str">
        <f t="shared" si="109"/>
        <v>-</v>
      </c>
      <c r="AG209" s="224" t="str">
        <f t="shared" si="110"/>
        <v>-</v>
      </c>
      <c r="AH209" s="272">
        <f t="shared" si="136"/>
        <v>0.1</v>
      </c>
      <c r="AI209" s="271" t="str">
        <f>IFERROR(IF(AD208=1,AI$100*EXP(-(LN(2)/$D$65+0.04)*AF208)*EXP(-(LN(2)/$D$65+0.1)*AG208),IF(AD208=2,AI$100*EXP(-(LN(2)/$D$65+0.04)*(VLOOKUP(($F$16-$F$15)-1,AC$99:AG208,4,FALSE)))*EXP(-(LN(2)/$D$65+0.1)*(VLOOKUP(($F$16-$F$15)-1,AC$99:AG208,5,FALSE)))*EXP(-(LN(2)/$D$65+0.04)*AF208)*EXP(-(LN(2)/$D$65+0.1)*AG208),IF(AD208=3,AI$100*EXP(-(LN(2)/$D$65+0.04)*(VLOOKUP(($F$16-$F$15)-1,AC$99:AG208,4,FALSE)))*EXP(-(LN(2)/$D$65+0.1)*(VLOOKUP(($F$16-$F$15)-1,AC$99:AG208,5,FALSE)))*EXP(-(LN(2)/$D$65+0.04)*(VLOOKUP(($F$16-$F$15)*2-1,AC$99:AG208,4,FALSE)))*EXP(-(LN(2)/$D$65+0.1)*(VLOOKUP(($F$16-$F$15)*2-1,AC$99:AG208,5,FALSE)))*EXP(-(LN(2)/$D$65+0.04)*AF208)*EXP(-(LN(2)/$D$65+0.1)*AG208),"-"))),"-")</f>
        <v>-</v>
      </c>
      <c r="AJ209" s="271" t="str">
        <f>IFERROR(IF(AD209=1,AJ$100*EXP(-(LN(2)/$D$65+0.04)*AF209)*EXP(-(LN(2)/$D$65+0.1)*AG209),IF(AD209=2,AJ$100*EXP(-(LN(2)/$D$65+0.04)*(VLOOKUP(($F$16-$F$15)-1,AC$100:AG209,4,FALSE)))*EXP(-(LN(2)/$D$65+0.1)*(VLOOKUP(($F$16-$F$15)-1,AC$100:AG209,5,FALSE)))*EXP(-(LN(2)/$D$65+0.04)*AF209)*EXP(-(LN(2)/$D$65+0.1)*AG209),IF(AD209=3,AJ$100*EXP(-(LN(2)/$D$65+0.04)*(VLOOKUP(($F$16-$F$15)-1,AC$100:AG209,4,FALSE)))*EXP(-(LN(2)/$D$65+0.1)*(VLOOKUP(($F$16-$F$15)-1,AC$100:AG209,5,FALSE)))*EXP(-(LN(2)/$D$65+0.04)*(VLOOKUP(($F$16-$F$15)*2-1,AC$100:AG209,4,FALSE)))*EXP(-(LN(2)/$D$65+0.1)*(VLOOKUP(($F$16-$F$15)*2-1,AC$100:AG209,5,FALSE)))*EXP(-(LN(2)/$D$65+0.04)*AF209)*EXP(-(LN(2)/$D$65+0.1)*AG209),"-"))),"-")</f>
        <v>-</v>
      </c>
      <c r="AK209" s="227">
        <f t="shared" si="137"/>
        <v>109</v>
      </c>
      <c r="AL209" s="226" t="str">
        <f t="shared" si="111"/>
        <v>-</v>
      </c>
      <c r="AM209" s="227" t="str">
        <f t="shared" si="138"/>
        <v>-</v>
      </c>
      <c r="AN209" s="227" t="str">
        <f t="shared" si="139"/>
        <v>-</v>
      </c>
      <c r="AO209" s="227" t="str">
        <f t="shared" si="112"/>
        <v>-</v>
      </c>
      <c r="AP209" s="273">
        <f t="shared" si="140"/>
        <v>0.1</v>
      </c>
      <c r="AQ209" s="271" t="str">
        <f>IFERROR(IF(AL208=1,AQ$100*EXP(-(LN(2)/$D$65+0.04)*AN208)*EXP(-(LN(2)/$D$65+0.1)*AO208),IF(AL208=2,AQ$100*EXP(-(LN(2)/$D$65+0.04)*(VLOOKUP(($F$16-$F$15)-1,AK$99:AO208,4,FALSE)))*EXP(-(LN(2)/$D$65+0.1)*(VLOOKUP(($F$16-$F$15)-1,AK$99:AO208,5,FALSE)))*EXP(-(LN(2)/$D$65+0.04)*AN208)*EXP(-(LN(2)/$D$65+0.1)*AO208),IF(AL208=3,AQ$100*EXP(-(LN(2)/$D$65+0.04)*(VLOOKUP(($F$16-$F$15)-1,AK$99:AO208,4,FALSE)))*EXP(-(LN(2)/$D$65+0.1)*(VLOOKUP(($F$16-$F$15)-1,AK$99:AO208,5,FALSE)))*EXP(-(LN(2)/$D$65+0.04)*(VLOOKUP(($F$16-$F$15)*2-1,AK$99:AO208,4,FALSE)))*EXP(-(LN(2)/$D$65+0.1)*(VLOOKUP(($F$16-$F$15)*2-1,AK$99:AO208,5,FALSE)))*EXP(-(LN(2)/$D$65+0.04)*AN208)*EXP(-(LN(2)/$D$65+0.1)*AO208),"-"))),"-")</f>
        <v>-</v>
      </c>
      <c r="AR209" s="271" t="str">
        <f>IFERROR(IF(AL209=1,AR$100*EXP(-(LN(2)/$D$65+0.04)*AN209)*EXP(-(LN(2)/$D$65+0.1)*AO209),IF(AL209=2,AR$100*EXP(-(LN(2)/$D$65+0.04)*(VLOOKUP(($F$16-$F$15)-1,AK$100:AO209,4,FALSE)))*EXP(-(LN(2)/$D$65+0.1)*(VLOOKUP(($F$16-$F$15)-1,AK$100:AO209,5,FALSE)))*EXP(-(LN(2)/$D$65+0.04)*AN209)*EXP(-(LN(2)/$D$65+0.1)*AO209),IF(AL209=3,AR$100*EXP(-(LN(2)/$D$65+0.04)*(VLOOKUP(($F$16-$F$15)-1,AK$100:AO209,4,FALSE)))*EXP(-(LN(2)/$D$65+0.1)*(VLOOKUP(($F$16-$F$15)-1,AK$100:AO209,5,FALSE)))*EXP(-(LN(2)/$D$65+0.04)*(VLOOKUP(($F$16-$F$15)*2-1,AK$100:AO209,4,FALSE)))*EXP(-(LN(2)/$D$65+0.1)*(VLOOKUP(($F$16-$F$15)*2-1,AK$100:AO209,5,FALSE)))*EXP(-(LN(2)/$D$65+0.04)*AN209)*EXP(-(LN(2)/$D$65+0.1)*AO209),"-"))),"-")</f>
        <v>-</v>
      </c>
      <c r="AS209" s="274">
        <f t="shared" si="113"/>
        <v>0</v>
      </c>
      <c r="AT209" s="274">
        <f t="shared" si="114"/>
        <v>0</v>
      </c>
      <c r="AU209" s="274">
        <f t="shared" si="115"/>
        <v>0</v>
      </c>
      <c r="AV209" s="190" t="str">
        <f>IF($B209&lt;$F$22,SUM($T$100:$T209),"")</f>
        <v/>
      </c>
      <c r="AW209" s="190" t="str">
        <f t="shared" si="161"/>
        <v>-</v>
      </c>
      <c r="AX209" s="190" t="str">
        <f t="shared" si="141"/>
        <v/>
      </c>
      <c r="AY209"/>
      <c r="AZ209" s="190" t="str">
        <f ca="1">IF(ISNUMBER(OFFSET(AV209,-$F$21,0)),SUM(OFFSET($T$100,$F$21,0):$T209),"")</f>
        <v/>
      </c>
      <c r="BA209" s="190" t="str">
        <f t="shared" ca="1" si="162"/>
        <v/>
      </c>
      <c r="BB209" s="190" t="str">
        <f t="shared" ca="1" si="148"/>
        <v/>
      </c>
      <c r="BC209" s="190"/>
      <c r="BD209" s="190" t="str">
        <f ca="1">IFERROR(IF(OR(ISNUMBER(I),ISNUMBER($F$14)),IF(AND($B209&gt;=($F$16-$F$15),$B209&lt;$F$22+($F$16-$F$15)),SUM(OFFSET($T$100,($F$16-$F$15),0):$T209),""),""),"")</f>
        <v/>
      </c>
      <c r="BE209" s="190" t="str">
        <f t="shared" ca="1" si="142"/>
        <v/>
      </c>
      <c r="BF209" s="190" t="str">
        <f t="shared" ca="1" si="143"/>
        <v/>
      </c>
      <c r="BG209"/>
      <c r="BH209" s="190" t="str">
        <f ca="1">IF(ISNUMBER(OFFSET(BD209,-$F$21,0)),SUM(OFFSET($T$100,($F$16-$F$15+$F$21),0):$T209),"")</f>
        <v/>
      </c>
      <c r="BI209" s="190" t="str">
        <f t="shared" ca="1" si="163"/>
        <v/>
      </c>
      <c r="BJ209" s="190" t="str">
        <f t="shared" ca="1" si="144"/>
        <v/>
      </c>
      <c r="BK209" s="190"/>
      <c r="BL209" s="190" t="str">
        <f ca="1">IFERROR(IF(OR(ISNUMBER(I),ISNUMBER($F$14)),IF(AND($B209&gt;=($F$17-$F$15),$B209&lt;$F$22+($F$17-$F$15)),SUM(OFFSET($T$100,($F$17-$F$15),0):$T209),""),""),"")</f>
        <v/>
      </c>
      <c r="BM209" s="190" t="str">
        <f t="shared" ca="1" si="164"/>
        <v/>
      </c>
      <c r="BN209" s="190" t="str">
        <f t="shared" ca="1" si="145"/>
        <v/>
      </c>
      <c r="BO209"/>
      <c r="BP209" s="190" t="str">
        <f ca="1">IF(ISNUMBER(OFFSET(BL209,-$F$21,0)),SUM(OFFSET($T$100,($F$17-$F$15+$F$21),0):$T209),"")</f>
        <v/>
      </c>
      <c r="BQ209" s="190" t="str">
        <f t="shared" ca="1" si="165"/>
        <v/>
      </c>
      <c r="BR209" s="190" t="str">
        <f t="shared" ca="1" si="146"/>
        <v/>
      </c>
      <c r="BS209" s="190"/>
      <c r="BT209"/>
      <c r="BU209"/>
      <c r="BV209"/>
      <c r="BY209" s="99"/>
      <c r="BZ209" s="99"/>
      <c r="CA209" s="280" t="str">
        <f t="shared" si="166"/>
        <v/>
      </c>
      <c r="CB209" s="71" t="str">
        <f t="shared" si="122"/>
        <v>-</v>
      </c>
      <c r="CC209" s="33"/>
      <c r="CD209" s="261" t="str">
        <f t="shared" si="123"/>
        <v/>
      </c>
      <c r="CE209" s="280" t="str">
        <f t="shared" si="167"/>
        <v/>
      </c>
      <c r="CF209" s="71" t="str">
        <f t="shared" ca="1" si="168"/>
        <v/>
      </c>
      <c r="CG209" s="33" t="str">
        <f t="shared" si="126"/>
        <v/>
      </c>
      <c r="CH209" s="261" t="str">
        <f t="shared" ca="1" si="127"/>
        <v/>
      </c>
    </row>
    <row r="210" spans="2:86" ht="13.5" customHeight="1" x14ac:dyDescent="0.2">
      <c r="B210" s="262">
        <v>110</v>
      </c>
      <c r="C210" s="237" t="str">
        <f t="shared" si="91"/>
        <v/>
      </c>
      <c r="D210" s="237" t="str">
        <f t="shared" si="147"/>
        <v/>
      </c>
      <c r="E210" s="263" t="str">
        <f t="shared" si="128"/>
        <v/>
      </c>
      <c r="F210" s="264" t="str">
        <f t="shared" si="129"/>
        <v/>
      </c>
      <c r="G210" s="264" t="str">
        <f t="shared" si="130"/>
        <v/>
      </c>
      <c r="H210" s="240" t="str">
        <f t="shared" si="149"/>
        <v/>
      </c>
      <c r="I210" s="265" t="str">
        <f t="shared" si="150"/>
        <v/>
      </c>
      <c r="J210" s="265" t="str">
        <f t="shared" si="151"/>
        <v/>
      </c>
      <c r="K210" s="240" t="str">
        <f t="shared" si="152"/>
        <v/>
      </c>
      <c r="L210" s="265" t="str">
        <f t="shared" si="153"/>
        <v/>
      </c>
      <c r="M210" s="265" t="str">
        <f t="shared" si="154"/>
        <v/>
      </c>
      <c r="N210" s="240" t="str">
        <f t="shared" si="155"/>
        <v>-</v>
      </c>
      <c r="O210" s="265" t="str">
        <f t="shared" si="156"/>
        <v>-</v>
      </c>
      <c r="P210" s="265" t="str">
        <f t="shared" si="157"/>
        <v>-</v>
      </c>
      <c r="Q210" s="266" t="str">
        <f t="shared" si="158"/>
        <v>-</v>
      </c>
      <c r="R210" s="267" t="str">
        <f t="shared" si="159"/>
        <v>-</v>
      </c>
      <c r="S210" s="268" t="str">
        <f t="shared" si="160"/>
        <v>-</v>
      </c>
      <c r="T210" s="269" t="str">
        <f t="shared" si="104"/>
        <v/>
      </c>
      <c r="U210" s="221">
        <f t="shared" si="105"/>
        <v>110</v>
      </c>
      <c r="V210" s="220" t="str">
        <f t="shared" si="131"/>
        <v>-</v>
      </c>
      <c r="W210" s="221" t="str">
        <f t="shared" si="132"/>
        <v>-</v>
      </c>
      <c r="X210" s="221" t="str">
        <f t="shared" si="106"/>
        <v>-</v>
      </c>
      <c r="Y210" s="221" t="str">
        <f t="shared" si="107"/>
        <v>-</v>
      </c>
      <c r="Z210" s="270">
        <f t="shared" si="133"/>
        <v>0.1</v>
      </c>
      <c r="AA210" s="271" t="str">
        <f>IFERROR(IF(V209=1,AA$100*EXP(-(LN(2)/$D$65+0.04)*X209)*EXP(-(LN(2)/$D$65+0.1)*Y209),IF(V209=2,AA$100*EXP(-(LN(2)/$D$65+0.04)*(VLOOKUP(($F$16-$F$15)-1,U$99:Y209,4,FALSE)))*EXP(-(LN(2)/$D$65+0.1)*(VLOOKUP(($F$16-$F$15)-1,U$99:Y209,5,FALSE)))*EXP(-(LN(2)/$D$65+0.04)*X209)*EXP(-(LN(2)/$D$65+0.1)*Y209),IF(V209=3,AA$100*EXP(-(LN(2)/$D$65+0.04)*(VLOOKUP(($F$16-$F$15)-1,U$99:Y209,4,FALSE)))*EXP(-(LN(2)/$D$65+0.1)*(VLOOKUP(($F$16-$F$15)-1,U$99:Y209,5,FALSE)))*EXP(-(LN(2)/$D$65+0.04)*(VLOOKUP(($F$16-$F$15)*2-1,U$99:Y209,4,FALSE)))*EXP(-(LN(2)/$D$65+0.1)*(VLOOKUP(($F$16-$F$15)*2-1,U$99:Y209,5,FALSE)))*EXP(-(LN(2)/$D$65+0.04)*X209)*EXP(-(LN(2)/$D$65+0.1)*Y209),"-"))),"-")</f>
        <v>-</v>
      </c>
      <c r="AB210" s="271" t="str">
        <f>IFERROR(IF(V210=1,AB$100*EXP(-(LN(2)/$D$65+0.04)*X210)*EXP(-(LN(2)/$D$65+0.1)*Y210),IF(V210=2,AB$100*EXP(-(LN(2)/$D$65+0.04)*(VLOOKUP(($F$16-$F$15)-1,U$100:Y210,4,FALSE)))*EXP(-(LN(2)/$D$65+0.1)*(VLOOKUP(($F$16-$F$15)-1,U$100:Y210,5,FALSE)))*EXP(-(LN(2)/$D$65+0.04)*X210)*EXP(-(LN(2)/$D$65+0.1)*Y210),IF(V210=3,AB$100*EXP(-(LN(2)/$D$65+0.04)*(VLOOKUP(($F$16-$F$15)-1,U$100:Y210,4,FALSE)))*EXP(-(LN(2)/$D$65+0.1)*(VLOOKUP(($F$16-$F$15)-1,U$100:Y210,5,FALSE)))*EXP(-(LN(2)/$D$65+0.04)*(VLOOKUP(($F$16-$F$15)*2-1,U$100:Y210,4,FALSE)))*EXP(-(LN(2)/$D$65+0.1)*(VLOOKUP(($F$16-$F$15)*2-1,U$100:Y210,5,FALSE)))*EXP(-(LN(2)/$D$65+0.04)*X210)*EXP(-(LN(2)/$D$65+0.1)*Y210),"-"))),"-")</f>
        <v>-</v>
      </c>
      <c r="AC210" s="224">
        <f t="shared" si="134"/>
        <v>110</v>
      </c>
      <c r="AD210" s="223" t="str">
        <f t="shared" si="108"/>
        <v>-</v>
      </c>
      <c r="AE210" s="224" t="str">
        <f t="shared" si="135"/>
        <v>-</v>
      </c>
      <c r="AF210" s="224" t="str">
        <f t="shared" si="109"/>
        <v>-</v>
      </c>
      <c r="AG210" s="224" t="str">
        <f t="shared" si="110"/>
        <v>-</v>
      </c>
      <c r="AH210" s="272">
        <f t="shared" si="136"/>
        <v>0.1</v>
      </c>
      <c r="AI210" s="271" t="str">
        <f>IFERROR(IF(AD209=1,AI$100*EXP(-(LN(2)/$D$65+0.04)*AF209)*EXP(-(LN(2)/$D$65+0.1)*AG209),IF(AD209=2,AI$100*EXP(-(LN(2)/$D$65+0.04)*(VLOOKUP(($F$16-$F$15)-1,AC$99:AG209,4,FALSE)))*EXP(-(LN(2)/$D$65+0.1)*(VLOOKUP(($F$16-$F$15)-1,AC$99:AG209,5,FALSE)))*EXP(-(LN(2)/$D$65+0.04)*AF209)*EXP(-(LN(2)/$D$65+0.1)*AG209),IF(AD209=3,AI$100*EXP(-(LN(2)/$D$65+0.04)*(VLOOKUP(($F$16-$F$15)-1,AC$99:AG209,4,FALSE)))*EXP(-(LN(2)/$D$65+0.1)*(VLOOKUP(($F$16-$F$15)-1,AC$99:AG209,5,FALSE)))*EXP(-(LN(2)/$D$65+0.04)*(VLOOKUP(($F$16-$F$15)*2-1,AC$99:AG209,4,FALSE)))*EXP(-(LN(2)/$D$65+0.1)*(VLOOKUP(($F$16-$F$15)*2-1,AC$99:AG209,5,FALSE)))*EXP(-(LN(2)/$D$65+0.04)*AF209)*EXP(-(LN(2)/$D$65+0.1)*AG209),"-"))),"-")</f>
        <v>-</v>
      </c>
      <c r="AJ210" s="271" t="str">
        <f>IFERROR(IF(AD210=1,AJ$100*EXP(-(LN(2)/$D$65+0.04)*AF210)*EXP(-(LN(2)/$D$65+0.1)*AG210),IF(AD210=2,AJ$100*EXP(-(LN(2)/$D$65+0.04)*(VLOOKUP(($F$16-$F$15)-1,AC$100:AG210,4,FALSE)))*EXP(-(LN(2)/$D$65+0.1)*(VLOOKUP(($F$16-$F$15)-1,AC$100:AG210,5,FALSE)))*EXP(-(LN(2)/$D$65+0.04)*AF210)*EXP(-(LN(2)/$D$65+0.1)*AG210),IF(AD210=3,AJ$100*EXP(-(LN(2)/$D$65+0.04)*(VLOOKUP(($F$16-$F$15)-1,AC$100:AG210,4,FALSE)))*EXP(-(LN(2)/$D$65+0.1)*(VLOOKUP(($F$16-$F$15)-1,AC$100:AG210,5,FALSE)))*EXP(-(LN(2)/$D$65+0.04)*(VLOOKUP(($F$16-$F$15)*2-1,AC$100:AG210,4,FALSE)))*EXP(-(LN(2)/$D$65+0.1)*(VLOOKUP(($F$16-$F$15)*2-1,AC$100:AG210,5,FALSE)))*EXP(-(LN(2)/$D$65+0.04)*AF210)*EXP(-(LN(2)/$D$65+0.1)*AG210),"-"))),"-")</f>
        <v>-</v>
      </c>
      <c r="AK210" s="227">
        <f t="shared" si="137"/>
        <v>110</v>
      </c>
      <c r="AL210" s="226" t="str">
        <f t="shared" si="111"/>
        <v>-</v>
      </c>
      <c r="AM210" s="227" t="str">
        <f t="shared" si="138"/>
        <v>-</v>
      </c>
      <c r="AN210" s="227" t="str">
        <f t="shared" si="139"/>
        <v>-</v>
      </c>
      <c r="AO210" s="227" t="str">
        <f t="shared" si="112"/>
        <v>-</v>
      </c>
      <c r="AP210" s="273">
        <f t="shared" si="140"/>
        <v>0.1</v>
      </c>
      <c r="AQ210" s="271" t="str">
        <f>IFERROR(IF(AL209=1,AQ$100*EXP(-(LN(2)/$D$65+0.04)*AN209)*EXP(-(LN(2)/$D$65+0.1)*AO209),IF(AL209=2,AQ$100*EXP(-(LN(2)/$D$65+0.04)*(VLOOKUP(($F$16-$F$15)-1,AK$99:AO209,4,FALSE)))*EXP(-(LN(2)/$D$65+0.1)*(VLOOKUP(($F$16-$F$15)-1,AK$99:AO209,5,FALSE)))*EXP(-(LN(2)/$D$65+0.04)*AN209)*EXP(-(LN(2)/$D$65+0.1)*AO209),IF(AL209=3,AQ$100*EXP(-(LN(2)/$D$65+0.04)*(VLOOKUP(($F$16-$F$15)-1,AK$99:AO209,4,FALSE)))*EXP(-(LN(2)/$D$65+0.1)*(VLOOKUP(($F$16-$F$15)-1,AK$99:AO209,5,FALSE)))*EXP(-(LN(2)/$D$65+0.04)*(VLOOKUP(($F$16-$F$15)*2-1,AK$99:AO209,4,FALSE)))*EXP(-(LN(2)/$D$65+0.1)*(VLOOKUP(($F$16-$F$15)*2-1,AK$99:AO209,5,FALSE)))*EXP(-(LN(2)/$D$65+0.04)*AN209)*EXP(-(LN(2)/$D$65+0.1)*AO209),"-"))),"-")</f>
        <v>-</v>
      </c>
      <c r="AR210" s="271" t="str">
        <f>IFERROR(IF(AL210=1,AR$100*EXP(-(LN(2)/$D$65+0.04)*AN210)*EXP(-(LN(2)/$D$65+0.1)*AO210),IF(AL210=2,AR$100*EXP(-(LN(2)/$D$65+0.04)*(VLOOKUP(($F$16-$F$15)-1,AK$100:AO210,4,FALSE)))*EXP(-(LN(2)/$D$65+0.1)*(VLOOKUP(($F$16-$F$15)-1,AK$100:AO210,5,FALSE)))*EXP(-(LN(2)/$D$65+0.04)*AN210)*EXP(-(LN(2)/$D$65+0.1)*AO210),IF(AL210=3,AR$100*EXP(-(LN(2)/$D$65+0.04)*(VLOOKUP(($F$16-$F$15)-1,AK$100:AO210,4,FALSE)))*EXP(-(LN(2)/$D$65+0.1)*(VLOOKUP(($F$16-$F$15)-1,AK$100:AO210,5,FALSE)))*EXP(-(LN(2)/$D$65+0.04)*(VLOOKUP(($F$16-$F$15)*2-1,AK$100:AO210,4,FALSE)))*EXP(-(LN(2)/$D$65+0.1)*(VLOOKUP(($F$16-$F$15)*2-1,AK$100:AO210,5,FALSE)))*EXP(-(LN(2)/$D$65+0.04)*AN210)*EXP(-(LN(2)/$D$65+0.1)*AO210),"-"))),"-")</f>
        <v>-</v>
      </c>
      <c r="AS210" s="274">
        <f t="shared" si="113"/>
        <v>0</v>
      </c>
      <c r="AT210" s="274">
        <f t="shared" si="114"/>
        <v>0</v>
      </c>
      <c r="AU210" s="274">
        <f t="shared" si="115"/>
        <v>0</v>
      </c>
      <c r="AV210" s="190" t="str">
        <f>IF($B210&lt;$F$22,SUM($T$100:$T210),"")</f>
        <v/>
      </c>
      <c r="AW210" s="190" t="str">
        <f t="shared" si="161"/>
        <v>-</v>
      </c>
      <c r="AX210" s="190" t="str">
        <f t="shared" si="141"/>
        <v/>
      </c>
      <c r="AY210"/>
      <c r="AZ210" s="190" t="str">
        <f ca="1">IF(ISNUMBER(OFFSET(AV210,-$F$21,0)),SUM(OFFSET($T$100,$F$21,0):$T210),"")</f>
        <v/>
      </c>
      <c r="BA210" s="190" t="str">
        <f t="shared" ca="1" si="162"/>
        <v/>
      </c>
      <c r="BB210" s="190" t="str">
        <f t="shared" ca="1" si="148"/>
        <v/>
      </c>
      <c r="BC210" s="190"/>
      <c r="BD210" s="190" t="str">
        <f ca="1">IFERROR(IF(OR(ISNUMBER(I),ISNUMBER($F$14)),IF(AND($B210&gt;=($F$16-$F$15),$B210&lt;$F$22+($F$16-$F$15)),SUM(OFFSET($T$100,($F$16-$F$15),0):$T210),""),""),"")</f>
        <v/>
      </c>
      <c r="BE210" s="190" t="str">
        <f t="shared" ca="1" si="142"/>
        <v/>
      </c>
      <c r="BF210" s="190" t="str">
        <f t="shared" ca="1" si="143"/>
        <v/>
      </c>
      <c r="BG210"/>
      <c r="BH210" s="190" t="str">
        <f ca="1">IF(ISNUMBER(OFFSET(BD210,-$F$21,0)),SUM(OFFSET($T$100,($F$16-$F$15+$F$21),0):$T210),"")</f>
        <v/>
      </c>
      <c r="BI210" s="190" t="str">
        <f t="shared" ca="1" si="163"/>
        <v/>
      </c>
      <c r="BJ210" s="190" t="str">
        <f t="shared" ca="1" si="144"/>
        <v/>
      </c>
      <c r="BK210" s="190"/>
      <c r="BL210" s="190" t="str">
        <f ca="1">IFERROR(IF(OR(ISNUMBER(I),ISNUMBER($F$14)),IF(AND($B210&gt;=($F$17-$F$15),$B210&lt;$F$22+($F$17-$F$15)),SUM(OFFSET($T$100,($F$17-$F$15),0):$T210),""),""),"")</f>
        <v/>
      </c>
      <c r="BM210" s="190" t="str">
        <f t="shared" ca="1" si="164"/>
        <v/>
      </c>
      <c r="BN210" s="190" t="str">
        <f t="shared" ca="1" si="145"/>
        <v/>
      </c>
      <c r="BO210"/>
      <c r="BP210" s="190" t="str">
        <f ca="1">IF(ISNUMBER(OFFSET(BL210,-$F$21,0)),SUM(OFFSET($T$100,($F$17-$F$15+$F$21),0):$T210),"")</f>
        <v/>
      </c>
      <c r="BQ210" s="190" t="str">
        <f t="shared" ca="1" si="165"/>
        <v/>
      </c>
      <c r="BR210" s="190" t="str">
        <f t="shared" ca="1" si="146"/>
        <v/>
      </c>
      <c r="BS210" s="190"/>
      <c r="BT210"/>
      <c r="BU210"/>
      <c r="BV210"/>
      <c r="BY210" s="99"/>
      <c r="BZ210" s="99"/>
      <c r="CA210" s="280" t="str">
        <f t="shared" si="166"/>
        <v/>
      </c>
      <c r="CB210" s="71" t="str">
        <f t="shared" si="122"/>
        <v>-</v>
      </c>
      <c r="CC210" s="33"/>
      <c r="CD210" s="261" t="str">
        <f t="shared" si="123"/>
        <v/>
      </c>
      <c r="CE210" s="280" t="str">
        <f t="shared" si="167"/>
        <v/>
      </c>
      <c r="CF210" s="71" t="str">
        <f t="shared" ca="1" si="168"/>
        <v/>
      </c>
      <c r="CG210" s="33" t="str">
        <f t="shared" si="126"/>
        <v/>
      </c>
      <c r="CH210" s="261" t="str">
        <f t="shared" ca="1" si="127"/>
        <v/>
      </c>
    </row>
    <row r="211" spans="2:86" ht="13.5" customHeight="1" x14ac:dyDescent="0.2">
      <c r="B211" s="262">
        <v>111</v>
      </c>
      <c r="C211" s="237" t="str">
        <f t="shared" si="91"/>
        <v/>
      </c>
      <c r="D211" s="237" t="str">
        <f t="shared" si="147"/>
        <v/>
      </c>
      <c r="E211" s="263" t="str">
        <f t="shared" si="128"/>
        <v/>
      </c>
      <c r="F211" s="264" t="str">
        <f t="shared" si="129"/>
        <v/>
      </c>
      <c r="G211" s="264" t="str">
        <f t="shared" si="130"/>
        <v/>
      </c>
      <c r="H211" s="240" t="str">
        <f t="shared" si="149"/>
        <v/>
      </c>
      <c r="I211" s="265" t="str">
        <f t="shared" si="150"/>
        <v/>
      </c>
      <c r="J211" s="265" t="str">
        <f t="shared" si="151"/>
        <v/>
      </c>
      <c r="K211" s="240" t="str">
        <f t="shared" si="152"/>
        <v/>
      </c>
      <c r="L211" s="265" t="str">
        <f t="shared" si="153"/>
        <v/>
      </c>
      <c r="M211" s="265" t="str">
        <f t="shared" si="154"/>
        <v/>
      </c>
      <c r="N211" s="240" t="str">
        <f t="shared" si="155"/>
        <v>-</v>
      </c>
      <c r="O211" s="265" t="str">
        <f t="shared" si="156"/>
        <v>-</v>
      </c>
      <c r="P211" s="265" t="str">
        <f t="shared" si="157"/>
        <v>-</v>
      </c>
      <c r="Q211" s="266" t="str">
        <f t="shared" si="158"/>
        <v>-</v>
      </c>
      <c r="R211" s="267" t="str">
        <f t="shared" si="159"/>
        <v>-</v>
      </c>
      <c r="S211" s="268" t="str">
        <f t="shared" si="160"/>
        <v>-</v>
      </c>
      <c r="T211" s="269" t="str">
        <f t="shared" si="104"/>
        <v/>
      </c>
      <c r="U211" s="221">
        <f t="shared" si="105"/>
        <v>111</v>
      </c>
      <c r="V211" s="220" t="str">
        <f t="shared" si="131"/>
        <v>-</v>
      </c>
      <c r="W211" s="221" t="str">
        <f t="shared" si="132"/>
        <v>-</v>
      </c>
      <c r="X211" s="221" t="str">
        <f t="shared" si="106"/>
        <v>-</v>
      </c>
      <c r="Y211" s="221" t="str">
        <f t="shared" si="107"/>
        <v>-</v>
      </c>
      <c r="Z211" s="270">
        <f t="shared" si="133"/>
        <v>0.1</v>
      </c>
      <c r="AA211" s="271" t="str">
        <f>IFERROR(IF(V210=1,AA$100*EXP(-(LN(2)/$D$65+0.04)*X210)*EXP(-(LN(2)/$D$65+0.1)*Y210),IF(V210=2,AA$100*EXP(-(LN(2)/$D$65+0.04)*(VLOOKUP(($F$16-$F$15)-1,U$99:Y210,4,FALSE)))*EXP(-(LN(2)/$D$65+0.1)*(VLOOKUP(($F$16-$F$15)-1,U$99:Y210,5,FALSE)))*EXP(-(LN(2)/$D$65+0.04)*X210)*EXP(-(LN(2)/$D$65+0.1)*Y210),IF(V210=3,AA$100*EXP(-(LN(2)/$D$65+0.04)*(VLOOKUP(($F$16-$F$15)-1,U$99:Y210,4,FALSE)))*EXP(-(LN(2)/$D$65+0.1)*(VLOOKUP(($F$16-$F$15)-1,U$99:Y210,5,FALSE)))*EXP(-(LN(2)/$D$65+0.04)*(VLOOKUP(($F$16-$F$15)*2-1,U$99:Y210,4,FALSE)))*EXP(-(LN(2)/$D$65+0.1)*(VLOOKUP(($F$16-$F$15)*2-1,U$99:Y210,5,FALSE)))*EXP(-(LN(2)/$D$65+0.04)*X210)*EXP(-(LN(2)/$D$65+0.1)*Y210),"-"))),"-")</f>
        <v>-</v>
      </c>
      <c r="AB211" s="271" t="str">
        <f>IFERROR(IF(V211=1,AB$100*EXP(-(LN(2)/$D$65+0.04)*X211)*EXP(-(LN(2)/$D$65+0.1)*Y211),IF(V211=2,AB$100*EXP(-(LN(2)/$D$65+0.04)*(VLOOKUP(($F$16-$F$15)-1,U$100:Y211,4,FALSE)))*EXP(-(LN(2)/$D$65+0.1)*(VLOOKUP(($F$16-$F$15)-1,U$100:Y211,5,FALSE)))*EXP(-(LN(2)/$D$65+0.04)*X211)*EXP(-(LN(2)/$D$65+0.1)*Y211),IF(V211=3,AB$100*EXP(-(LN(2)/$D$65+0.04)*(VLOOKUP(($F$16-$F$15)-1,U$100:Y211,4,FALSE)))*EXP(-(LN(2)/$D$65+0.1)*(VLOOKUP(($F$16-$F$15)-1,U$100:Y211,5,FALSE)))*EXP(-(LN(2)/$D$65+0.04)*(VLOOKUP(($F$16-$F$15)*2-1,U$100:Y211,4,FALSE)))*EXP(-(LN(2)/$D$65+0.1)*(VLOOKUP(($F$16-$F$15)*2-1,U$100:Y211,5,FALSE)))*EXP(-(LN(2)/$D$65+0.04)*X211)*EXP(-(LN(2)/$D$65+0.1)*Y211),"-"))),"-")</f>
        <v>-</v>
      </c>
      <c r="AC211" s="224">
        <f t="shared" si="134"/>
        <v>111</v>
      </c>
      <c r="AD211" s="223" t="str">
        <f t="shared" si="108"/>
        <v>-</v>
      </c>
      <c r="AE211" s="224" t="str">
        <f t="shared" si="135"/>
        <v>-</v>
      </c>
      <c r="AF211" s="224" t="str">
        <f t="shared" si="109"/>
        <v>-</v>
      </c>
      <c r="AG211" s="224" t="str">
        <f t="shared" si="110"/>
        <v>-</v>
      </c>
      <c r="AH211" s="272">
        <f t="shared" si="136"/>
        <v>0.1</v>
      </c>
      <c r="AI211" s="271" t="str">
        <f>IFERROR(IF(AD210=1,AI$100*EXP(-(LN(2)/$D$65+0.04)*AF210)*EXP(-(LN(2)/$D$65+0.1)*AG210),IF(AD210=2,AI$100*EXP(-(LN(2)/$D$65+0.04)*(VLOOKUP(($F$16-$F$15)-1,AC$99:AG210,4,FALSE)))*EXP(-(LN(2)/$D$65+0.1)*(VLOOKUP(($F$16-$F$15)-1,AC$99:AG210,5,FALSE)))*EXP(-(LN(2)/$D$65+0.04)*AF210)*EXP(-(LN(2)/$D$65+0.1)*AG210),IF(AD210=3,AI$100*EXP(-(LN(2)/$D$65+0.04)*(VLOOKUP(($F$16-$F$15)-1,AC$99:AG210,4,FALSE)))*EXP(-(LN(2)/$D$65+0.1)*(VLOOKUP(($F$16-$F$15)-1,AC$99:AG210,5,FALSE)))*EXP(-(LN(2)/$D$65+0.04)*(VLOOKUP(($F$16-$F$15)*2-1,AC$99:AG210,4,FALSE)))*EXP(-(LN(2)/$D$65+0.1)*(VLOOKUP(($F$16-$F$15)*2-1,AC$99:AG210,5,FALSE)))*EXP(-(LN(2)/$D$65+0.04)*AF210)*EXP(-(LN(2)/$D$65+0.1)*AG210),"-"))),"-")</f>
        <v>-</v>
      </c>
      <c r="AJ211" s="271" t="str">
        <f>IFERROR(IF(AD211=1,AJ$100*EXP(-(LN(2)/$D$65+0.04)*AF211)*EXP(-(LN(2)/$D$65+0.1)*AG211),IF(AD211=2,AJ$100*EXP(-(LN(2)/$D$65+0.04)*(VLOOKUP(($F$16-$F$15)-1,AC$100:AG211,4,FALSE)))*EXP(-(LN(2)/$D$65+0.1)*(VLOOKUP(($F$16-$F$15)-1,AC$100:AG211,5,FALSE)))*EXP(-(LN(2)/$D$65+0.04)*AF211)*EXP(-(LN(2)/$D$65+0.1)*AG211),IF(AD211=3,AJ$100*EXP(-(LN(2)/$D$65+0.04)*(VLOOKUP(($F$16-$F$15)-1,AC$100:AG211,4,FALSE)))*EXP(-(LN(2)/$D$65+0.1)*(VLOOKUP(($F$16-$F$15)-1,AC$100:AG211,5,FALSE)))*EXP(-(LN(2)/$D$65+0.04)*(VLOOKUP(($F$16-$F$15)*2-1,AC$100:AG211,4,FALSE)))*EXP(-(LN(2)/$D$65+0.1)*(VLOOKUP(($F$16-$F$15)*2-1,AC$100:AG211,5,FALSE)))*EXP(-(LN(2)/$D$65+0.04)*AF211)*EXP(-(LN(2)/$D$65+0.1)*AG211),"-"))),"-")</f>
        <v>-</v>
      </c>
      <c r="AK211" s="227">
        <f t="shared" si="137"/>
        <v>111</v>
      </c>
      <c r="AL211" s="226" t="str">
        <f t="shared" si="111"/>
        <v>-</v>
      </c>
      <c r="AM211" s="227" t="str">
        <f t="shared" si="138"/>
        <v>-</v>
      </c>
      <c r="AN211" s="227" t="str">
        <f t="shared" si="139"/>
        <v>-</v>
      </c>
      <c r="AO211" s="227" t="str">
        <f t="shared" si="112"/>
        <v>-</v>
      </c>
      <c r="AP211" s="273">
        <f t="shared" si="140"/>
        <v>0.1</v>
      </c>
      <c r="AQ211" s="271" t="str">
        <f>IFERROR(IF(AL210=1,AQ$100*EXP(-(LN(2)/$D$65+0.04)*AN210)*EXP(-(LN(2)/$D$65+0.1)*AO210),IF(AL210=2,AQ$100*EXP(-(LN(2)/$D$65+0.04)*(VLOOKUP(($F$16-$F$15)-1,AK$99:AO210,4,FALSE)))*EXP(-(LN(2)/$D$65+0.1)*(VLOOKUP(($F$16-$F$15)-1,AK$99:AO210,5,FALSE)))*EXP(-(LN(2)/$D$65+0.04)*AN210)*EXP(-(LN(2)/$D$65+0.1)*AO210),IF(AL210=3,AQ$100*EXP(-(LN(2)/$D$65+0.04)*(VLOOKUP(($F$16-$F$15)-1,AK$99:AO210,4,FALSE)))*EXP(-(LN(2)/$D$65+0.1)*(VLOOKUP(($F$16-$F$15)-1,AK$99:AO210,5,FALSE)))*EXP(-(LN(2)/$D$65+0.04)*(VLOOKUP(($F$16-$F$15)*2-1,AK$99:AO210,4,FALSE)))*EXP(-(LN(2)/$D$65+0.1)*(VLOOKUP(($F$16-$F$15)*2-1,AK$99:AO210,5,FALSE)))*EXP(-(LN(2)/$D$65+0.04)*AN210)*EXP(-(LN(2)/$D$65+0.1)*AO210),"-"))),"-")</f>
        <v>-</v>
      </c>
      <c r="AR211" s="271" t="str">
        <f>IFERROR(IF(AL211=1,AR$100*EXP(-(LN(2)/$D$65+0.04)*AN211)*EXP(-(LN(2)/$D$65+0.1)*AO211),IF(AL211=2,AR$100*EXP(-(LN(2)/$D$65+0.04)*(VLOOKUP(($F$16-$F$15)-1,AK$100:AO211,4,FALSE)))*EXP(-(LN(2)/$D$65+0.1)*(VLOOKUP(($F$16-$F$15)-1,AK$100:AO211,5,FALSE)))*EXP(-(LN(2)/$D$65+0.04)*AN211)*EXP(-(LN(2)/$D$65+0.1)*AO211),IF(AL211=3,AR$100*EXP(-(LN(2)/$D$65+0.04)*(VLOOKUP(($F$16-$F$15)-1,AK$100:AO211,4,FALSE)))*EXP(-(LN(2)/$D$65+0.1)*(VLOOKUP(($F$16-$F$15)-1,AK$100:AO211,5,FALSE)))*EXP(-(LN(2)/$D$65+0.04)*(VLOOKUP(($F$16-$F$15)*2-1,AK$100:AO211,4,FALSE)))*EXP(-(LN(2)/$D$65+0.1)*(VLOOKUP(($F$16-$F$15)*2-1,AK$100:AO211,5,FALSE)))*EXP(-(LN(2)/$D$65+0.04)*AN211)*EXP(-(LN(2)/$D$65+0.1)*AO211),"-"))),"-")</f>
        <v>-</v>
      </c>
      <c r="AS211" s="274">
        <f t="shared" si="113"/>
        <v>0</v>
      </c>
      <c r="AT211" s="274">
        <f t="shared" si="114"/>
        <v>0</v>
      </c>
      <c r="AU211" s="274">
        <f t="shared" si="115"/>
        <v>0</v>
      </c>
      <c r="AV211" s="190" t="str">
        <f>IF($B211&lt;$F$22,SUM($T$100:$T211),"")</f>
        <v/>
      </c>
      <c r="AW211" s="190" t="str">
        <f t="shared" si="161"/>
        <v>-</v>
      </c>
      <c r="AX211" s="190" t="str">
        <f t="shared" si="141"/>
        <v/>
      </c>
      <c r="AY211"/>
      <c r="AZ211" s="190" t="str">
        <f ca="1">IF(ISNUMBER(OFFSET(AV211,-$F$21,0)),SUM(OFFSET($T$100,$F$21,0):$T211),"")</f>
        <v/>
      </c>
      <c r="BA211" s="190" t="str">
        <f t="shared" ca="1" si="162"/>
        <v/>
      </c>
      <c r="BB211" s="190" t="str">
        <f t="shared" ca="1" si="148"/>
        <v/>
      </c>
      <c r="BC211" s="190"/>
      <c r="BD211" s="190" t="str">
        <f ca="1">IFERROR(IF(OR(ISNUMBER(I),ISNUMBER($F$14)),IF(AND($B211&gt;=($F$16-$F$15),$B211&lt;$F$22+($F$16-$F$15)),SUM(OFFSET($T$100,($F$16-$F$15),0):$T211),""),""),"")</f>
        <v/>
      </c>
      <c r="BE211" s="190" t="str">
        <f t="shared" ca="1" si="142"/>
        <v/>
      </c>
      <c r="BF211" s="190" t="str">
        <f t="shared" ca="1" si="143"/>
        <v/>
      </c>
      <c r="BG211"/>
      <c r="BH211" s="190" t="str">
        <f ca="1">IF(ISNUMBER(OFFSET(BD211,-$F$21,0)),SUM(OFFSET($T$100,($F$16-$F$15+$F$21),0):$T211),"")</f>
        <v/>
      </c>
      <c r="BI211" s="190" t="str">
        <f t="shared" ca="1" si="163"/>
        <v/>
      </c>
      <c r="BJ211" s="190" t="str">
        <f t="shared" ca="1" si="144"/>
        <v/>
      </c>
      <c r="BK211" s="190"/>
      <c r="BL211" s="190" t="str">
        <f ca="1">IFERROR(IF(OR(ISNUMBER(I),ISNUMBER($F$14)),IF(AND($B211&gt;=($F$17-$F$15),$B211&lt;$F$22+($F$17-$F$15)),SUM(OFFSET($T$100,($F$17-$F$15),0):$T211),""),""),"")</f>
        <v/>
      </c>
      <c r="BM211" s="190" t="str">
        <f t="shared" ca="1" si="164"/>
        <v/>
      </c>
      <c r="BN211" s="190" t="str">
        <f t="shared" ca="1" si="145"/>
        <v/>
      </c>
      <c r="BO211"/>
      <c r="BP211" s="190" t="str">
        <f ca="1">IF(ISNUMBER(OFFSET(BL211,-$F$21,0)),SUM(OFFSET($T$100,($F$17-$F$15+$F$21),0):$T211),"")</f>
        <v/>
      </c>
      <c r="BQ211" s="190" t="str">
        <f t="shared" ca="1" si="165"/>
        <v/>
      </c>
      <c r="BR211" s="190" t="str">
        <f t="shared" ca="1" si="146"/>
        <v/>
      </c>
      <c r="BS211" s="190"/>
      <c r="BT211"/>
      <c r="BU211"/>
      <c r="BV211"/>
      <c r="BY211" s="99"/>
      <c r="BZ211" s="99"/>
      <c r="CA211" s="280" t="str">
        <f t="shared" si="166"/>
        <v/>
      </c>
      <c r="CB211" s="71" t="str">
        <f t="shared" si="122"/>
        <v>-</v>
      </c>
      <c r="CC211" s="33"/>
      <c r="CD211" s="261" t="str">
        <f t="shared" si="123"/>
        <v/>
      </c>
      <c r="CE211" s="280" t="str">
        <f t="shared" si="167"/>
        <v/>
      </c>
      <c r="CF211" s="71" t="str">
        <f t="shared" ca="1" si="168"/>
        <v/>
      </c>
      <c r="CG211" s="33" t="str">
        <f t="shared" si="126"/>
        <v/>
      </c>
      <c r="CH211" s="261" t="str">
        <f t="shared" ca="1" si="127"/>
        <v/>
      </c>
    </row>
    <row r="212" spans="2:86" ht="13.5" customHeight="1" x14ac:dyDescent="0.2">
      <c r="B212" s="262">
        <v>112</v>
      </c>
      <c r="C212" s="237" t="str">
        <f t="shared" si="91"/>
        <v/>
      </c>
      <c r="D212" s="237" t="str">
        <f t="shared" si="147"/>
        <v/>
      </c>
      <c r="E212" s="263" t="str">
        <f t="shared" si="128"/>
        <v/>
      </c>
      <c r="F212" s="264" t="str">
        <f t="shared" si="129"/>
        <v/>
      </c>
      <c r="G212" s="264" t="str">
        <f t="shared" si="130"/>
        <v/>
      </c>
      <c r="H212" s="240" t="str">
        <f t="shared" si="149"/>
        <v/>
      </c>
      <c r="I212" s="265" t="str">
        <f t="shared" si="150"/>
        <v/>
      </c>
      <c r="J212" s="265" t="str">
        <f t="shared" si="151"/>
        <v/>
      </c>
      <c r="K212" s="240" t="str">
        <f t="shared" si="152"/>
        <v/>
      </c>
      <c r="L212" s="265" t="str">
        <f t="shared" si="153"/>
        <v/>
      </c>
      <c r="M212" s="265" t="str">
        <f t="shared" si="154"/>
        <v/>
      </c>
      <c r="N212" s="240" t="str">
        <f t="shared" si="155"/>
        <v>-</v>
      </c>
      <c r="O212" s="265" t="str">
        <f t="shared" si="156"/>
        <v>-</v>
      </c>
      <c r="P212" s="265" t="str">
        <f t="shared" si="157"/>
        <v>-</v>
      </c>
      <c r="Q212" s="266" t="str">
        <f t="shared" si="158"/>
        <v>-</v>
      </c>
      <c r="R212" s="267" t="str">
        <f t="shared" si="159"/>
        <v>-</v>
      </c>
      <c r="S212" s="268" t="str">
        <f t="shared" si="160"/>
        <v>-</v>
      </c>
      <c r="T212" s="269" t="str">
        <f t="shared" si="104"/>
        <v/>
      </c>
      <c r="U212" s="221">
        <f t="shared" si="105"/>
        <v>112</v>
      </c>
      <c r="V212" s="220" t="str">
        <f t="shared" si="131"/>
        <v>-</v>
      </c>
      <c r="W212" s="221" t="str">
        <f t="shared" si="132"/>
        <v>-</v>
      </c>
      <c r="X212" s="221" t="str">
        <f t="shared" si="106"/>
        <v>-</v>
      </c>
      <c r="Y212" s="221" t="str">
        <f t="shared" si="107"/>
        <v>-</v>
      </c>
      <c r="Z212" s="270">
        <f t="shared" si="133"/>
        <v>0.1</v>
      </c>
      <c r="AA212" s="271" t="str">
        <f>IFERROR(IF(V211=1,AA$100*EXP(-(LN(2)/$D$65+0.04)*X211)*EXP(-(LN(2)/$D$65+0.1)*Y211),IF(V211=2,AA$100*EXP(-(LN(2)/$D$65+0.04)*(VLOOKUP(($F$16-$F$15)-1,U$99:Y211,4,FALSE)))*EXP(-(LN(2)/$D$65+0.1)*(VLOOKUP(($F$16-$F$15)-1,U$99:Y211,5,FALSE)))*EXP(-(LN(2)/$D$65+0.04)*X211)*EXP(-(LN(2)/$D$65+0.1)*Y211),IF(V211=3,AA$100*EXP(-(LN(2)/$D$65+0.04)*(VLOOKUP(($F$16-$F$15)-1,U$99:Y211,4,FALSE)))*EXP(-(LN(2)/$D$65+0.1)*(VLOOKUP(($F$16-$F$15)-1,U$99:Y211,5,FALSE)))*EXP(-(LN(2)/$D$65+0.04)*(VLOOKUP(($F$16-$F$15)*2-1,U$99:Y211,4,FALSE)))*EXP(-(LN(2)/$D$65+0.1)*(VLOOKUP(($F$16-$F$15)*2-1,U$99:Y211,5,FALSE)))*EXP(-(LN(2)/$D$65+0.04)*X211)*EXP(-(LN(2)/$D$65+0.1)*Y211),"-"))),"-")</f>
        <v>-</v>
      </c>
      <c r="AB212" s="271" t="str">
        <f>IFERROR(IF(V212=1,AB$100*EXP(-(LN(2)/$D$65+0.04)*X212)*EXP(-(LN(2)/$D$65+0.1)*Y212),IF(V212=2,AB$100*EXP(-(LN(2)/$D$65+0.04)*(VLOOKUP(($F$16-$F$15)-1,U$100:Y212,4,FALSE)))*EXP(-(LN(2)/$D$65+0.1)*(VLOOKUP(($F$16-$F$15)-1,U$100:Y212,5,FALSE)))*EXP(-(LN(2)/$D$65+0.04)*X212)*EXP(-(LN(2)/$D$65+0.1)*Y212),IF(V212=3,AB$100*EXP(-(LN(2)/$D$65+0.04)*(VLOOKUP(($F$16-$F$15)-1,U$100:Y212,4,FALSE)))*EXP(-(LN(2)/$D$65+0.1)*(VLOOKUP(($F$16-$F$15)-1,U$100:Y212,5,FALSE)))*EXP(-(LN(2)/$D$65+0.04)*(VLOOKUP(($F$16-$F$15)*2-1,U$100:Y212,4,FALSE)))*EXP(-(LN(2)/$D$65+0.1)*(VLOOKUP(($F$16-$F$15)*2-1,U$100:Y212,5,FALSE)))*EXP(-(LN(2)/$D$65+0.04)*X212)*EXP(-(LN(2)/$D$65+0.1)*Y212),"-"))),"-")</f>
        <v>-</v>
      </c>
      <c r="AC212" s="224">
        <f t="shared" si="134"/>
        <v>112</v>
      </c>
      <c r="AD212" s="223" t="str">
        <f t="shared" si="108"/>
        <v>-</v>
      </c>
      <c r="AE212" s="224" t="str">
        <f t="shared" si="135"/>
        <v>-</v>
      </c>
      <c r="AF212" s="224" t="str">
        <f t="shared" si="109"/>
        <v>-</v>
      </c>
      <c r="AG212" s="224" t="str">
        <f t="shared" si="110"/>
        <v>-</v>
      </c>
      <c r="AH212" s="272">
        <f t="shared" si="136"/>
        <v>0.1</v>
      </c>
      <c r="AI212" s="271" t="str">
        <f>IFERROR(IF(AD211=1,AI$100*EXP(-(LN(2)/$D$65+0.04)*AF211)*EXP(-(LN(2)/$D$65+0.1)*AG211),IF(AD211=2,AI$100*EXP(-(LN(2)/$D$65+0.04)*(VLOOKUP(($F$16-$F$15)-1,AC$99:AG211,4,FALSE)))*EXP(-(LN(2)/$D$65+0.1)*(VLOOKUP(($F$16-$F$15)-1,AC$99:AG211,5,FALSE)))*EXP(-(LN(2)/$D$65+0.04)*AF211)*EXP(-(LN(2)/$D$65+0.1)*AG211),IF(AD211=3,AI$100*EXP(-(LN(2)/$D$65+0.04)*(VLOOKUP(($F$16-$F$15)-1,AC$99:AG211,4,FALSE)))*EXP(-(LN(2)/$D$65+0.1)*(VLOOKUP(($F$16-$F$15)-1,AC$99:AG211,5,FALSE)))*EXP(-(LN(2)/$D$65+0.04)*(VLOOKUP(($F$16-$F$15)*2-1,AC$99:AG211,4,FALSE)))*EXP(-(LN(2)/$D$65+0.1)*(VLOOKUP(($F$16-$F$15)*2-1,AC$99:AG211,5,FALSE)))*EXP(-(LN(2)/$D$65+0.04)*AF211)*EXP(-(LN(2)/$D$65+0.1)*AG211),"-"))),"-")</f>
        <v>-</v>
      </c>
      <c r="AJ212" s="271" t="str">
        <f>IFERROR(IF(AD212=1,AJ$100*EXP(-(LN(2)/$D$65+0.04)*AF212)*EXP(-(LN(2)/$D$65+0.1)*AG212),IF(AD212=2,AJ$100*EXP(-(LN(2)/$D$65+0.04)*(VLOOKUP(($F$16-$F$15)-1,AC$100:AG212,4,FALSE)))*EXP(-(LN(2)/$D$65+0.1)*(VLOOKUP(($F$16-$F$15)-1,AC$100:AG212,5,FALSE)))*EXP(-(LN(2)/$D$65+0.04)*AF212)*EXP(-(LN(2)/$D$65+0.1)*AG212),IF(AD212=3,AJ$100*EXP(-(LN(2)/$D$65+0.04)*(VLOOKUP(($F$16-$F$15)-1,AC$100:AG212,4,FALSE)))*EXP(-(LN(2)/$D$65+0.1)*(VLOOKUP(($F$16-$F$15)-1,AC$100:AG212,5,FALSE)))*EXP(-(LN(2)/$D$65+0.04)*(VLOOKUP(($F$16-$F$15)*2-1,AC$100:AG212,4,FALSE)))*EXP(-(LN(2)/$D$65+0.1)*(VLOOKUP(($F$16-$F$15)*2-1,AC$100:AG212,5,FALSE)))*EXP(-(LN(2)/$D$65+0.04)*AF212)*EXP(-(LN(2)/$D$65+0.1)*AG212),"-"))),"-")</f>
        <v>-</v>
      </c>
      <c r="AK212" s="227">
        <f t="shared" si="137"/>
        <v>112</v>
      </c>
      <c r="AL212" s="226" t="str">
        <f t="shared" si="111"/>
        <v>-</v>
      </c>
      <c r="AM212" s="227" t="str">
        <f t="shared" si="138"/>
        <v>-</v>
      </c>
      <c r="AN212" s="227" t="str">
        <f t="shared" si="139"/>
        <v>-</v>
      </c>
      <c r="AO212" s="227" t="str">
        <f t="shared" si="112"/>
        <v>-</v>
      </c>
      <c r="AP212" s="273">
        <f t="shared" si="140"/>
        <v>0.1</v>
      </c>
      <c r="AQ212" s="271" t="str">
        <f>IFERROR(IF(AL211=1,AQ$100*EXP(-(LN(2)/$D$65+0.04)*AN211)*EXP(-(LN(2)/$D$65+0.1)*AO211),IF(AL211=2,AQ$100*EXP(-(LN(2)/$D$65+0.04)*(VLOOKUP(($F$16-$F$15)-1,AK$99:AO211,4,FALSE)))*EXP(-(LN(2)/$D$65+0.1)*(VLOOKUP(($F$16-$F$15)-1,AK$99:AO211,5,FALSE)))*EXP(-(LN(2)/$D$65+0.04)*AN211)*EXP(-(LN(2)/$D$65+0.1)*AO211),IF(AL211=3,AQ$100*EXP(-(LN(2)/$D$65+0.04)*(VLOOKUP(($F$16-$F$15)-1,AK$99:AO211,4,FALSE)))*EXP(-(LN(2)/$D$65+0.1)*(VLOOKUP(($F$16-$F$15)-1,AK$99:AO211,5,FALSE)))*EXP(-(LN(2)/$D$65+0.04)*(VLOOKUP(($F$16-$F$15)*2-1,AK$99:AO211,4,FALSE)))*EXP(-(LN(2)/$D$65+0.1)*(VLOOKUP(($F$16-$F$15)*2-1,AK$99:AO211,5,FALSE)))*EXP(-(LN(2)/$D$65+0.04)*AN211)*EXP(-(LN(2)/$D$65+0.1)*AO211),"-"))),"-")</f>
        <v>-</v>
      </c>
      <c r="AR212" s="271" t="str">
        <f>IFERROR(IF(AL212=1,AR$100*EXP(-(LN(2)/$D$65+0.04)*AN212)*EXP(-(LN(2)/$D$65+0.1)*AO212),IF(AL212=2,AR$100*EXP(-(LN(2)/$D$65+0.04)*(VLOOKUP(($F$16-$F$15)-1,AK$100:AO212,4,FALSE)))*EXP(-(LN(2)/$D$65+0.1)*(VLOOKUP(($F$16-$F$15)-1,AK$100:AO212,5,FALSE)))*EXP(-(LN(2)/$D$65+0.04)*AN212)*EXP(-(LN(2)/$D$65+0.1)*AO212),IF(AL212=3,AR$100*EXP(-(LN(2)/$D$65+0.04)*(VLOOKUP(($F$16-$F$15)-1,AK$100:AO212,4,FALSE)))*EXP(-(LN(2)/$D$65+0.1)*(VLOOKUP(($F$16-$F$15)-1,AK$100:AO212,5,FALSE)))*EXP(-(LN(2)/$D$65+0.04)*(VLOOKUP(($F$16-$F$15)*2-1,AK$100:AO212,4,FALSE)))*EXP(-(LN(2)/$D$65+0.1)*(VLOOKUP(($F$16-$F$15)*2-1,AK$100:AO212,5,FALSE)))*EXP(-(LN(2)/$D$65+0.04)*AN212)*EXP(-(LN(2)/$D$65+0.1)*AO212),"-"))),"-")</f>
        <v>-</v>
      </c>
      <c r="AS212" s="274">
        <f t="shared" si="113"/>
        <v>0</v>
      </c>
      <c r="AT212" s="274">
        <f t="shared" si="114"/>
        <v>0</v>
      </c>
      <c r="AU212" s="274">
        <f t="shared" si="115"/>
        <v>0</v>
      </c>
      <c r="AV212" s="190" t="str">
        <f>IF($B212&lt;$F$22,SUM($T$100:$T212),"")</f>
        <v/>
      </c>
      <c r="AW212" s="190" t="str">
        <f t="shared" si="161"/>
        <v>-</v>
      </c>
      <c r="AX212" s="190" t="str">
        <f t="shared" si="141"/>
        <v/>
      </c>
      <c r="AY212"/>
      <c r="AZ212" s="190" t="str">
        <f ca="1">IF(ISNUMBER(OFFSET(AV212,-$F$21,0)),SUM(OFFSET($T$100,$F$21,0):$T212),"")</f>
        <v/>
      </c>
      <c r="BA212" s="190" t="str">
        <f t="shared" ca="1" si="162"/>
        <v/>
      </c>
      <c r="BB212" s="190" t="str">
        <f t="shared" ca="1" si="148"/>
        <v/>
      </c>
      <c r="BC212" s="190"/>
      <c r="BD212" s="190" t="str">
        <f ca="1">IFERROR(IF(OR(ISNUMBER(I),ISNUMBER($F$14)),IF(AND($B212&gt;=($F$16-$F$15),$B212&lt;$F$22+($F$16-$F$15)),SUM(OFFSET($T$100,($F$16-$F$15),0):$T212),""),""),"")</f>
        <v/>
      </c>
      <c r="BE212" s="190" t="str">
        <f t="shared" ca="1" si="142"/>
        <v/>
      </c>
      <c r="BF212" s="190" t="str">
        <f t="shared" ca="1" si="143"/>
        <v/>
      </c>
      <c r="BG212"/>
      <c r="BH212" s="190" t="str">
        <f ca="1">IF(ISNUMBER(OFFSET(BD212,-$F$21,0)),SUM(OFFSET($T$100,($F$16-$F$15+$F$21),0):$T212),"")</f>
        <v/>
      </c>
      <c r="BI212" s="190" t="str">
        <f t="shared" ca="1" si="163"/>
        <v/>
      </c>
      <c r="BJ212" s="190" t="str">
        <f t="shared" ca="1" si="144"/>
        <v/>
      </c>
      <c r="BK212" s="190"/>
      <c r="BL212" s="190" t="str">
        <f ca="1">IFERROR(IF(OR(ISNUMBER(I),ISNUMBER($F$14)),IF(AND($B212&gt;=($F$17-$F$15),$B212&lt;$F$22+($F$17-$F$15)),SUM(OFFSET($T$100,($F$17-$F$15),0):$T212),""),""),"")</f>
        <v/>
      </c>
      <c r="BM212" s="190" t="str">
        <f t="shared" ca="1" si="164"/>
        <v/>
      </c>
      <c r="BN212" s="190" t="str">
        <f t="shared" ca="1" si="145"/>
        <v/>
      </c>
      <c r="BO212"/>
      <c r="BP212" s="190" t="str">
        <f ca="1">IF(ISNUMBER(OFFSET(BL212,-$F$21,0)),SUM(OFFSET($T$100,($F$17-$F$15+$F$21),0):$T212),"")</f>
        <v/>
      </c>
      <c r="BQ212" s="190" t="str">
        <f t="shared" ca="1" si="165"/>
        <v/>
      </c>
      <c r="BR212" s="190" t="str">
        <f t="shared" ca="1" si="146"/>
        <v/>
      </c>
      <c r="BS212" s="190"/>
      <c r="BT212"/>
      <c r="BU212"/>
      <c r="BV212"/>
      <c r="BY212" s="99"/>
      <c r="BZ212" s="99"/>
      <c r="CA212" s="280" t="str">
        <f t="shared" si="166"/>
        <v/>
      </c>
      <c r="CB212" s="71" t="str">
        <f t="shared" si="122"/>
        <v>-</v>
      </c>
      <c r="CC212" s="33"/>
      <c r="CD212" s="261" t="str">
        <f t="shared" si="123"/>
        <v/>
      </c>
      <c r="CE212" s="280" t="str">
        <f t="shared" si="167"/>
        <v/>
      </c>
      <c r="CF212" s="71" t="str">
        <f t="shared" ca="1" si="168"/>
        <v/>
      </c>
      <c r="CG212" s="33" t="str">
        <f t="shared" si="126"/>
        <v/>
      </c>
      <c r="CH212" s="261" t="str">
        <f t="shared" ca="1" si="127"/>
        <v/>
      </c>
    </row>
    <row r="213" spans="2:86" ht="13.5" customHeight="1" x14ac:dyDescent="0.2">
      <c r="B213" s="262">
        <v>113</v>
      </c>
      <c r="C213" s="237" t="str">
        <f t="shared" si="91"/>
        <v/>
      </c>
      <c r="D213" s="237" t="str">
        <f t="shared" si="147"/>
        <v/>
      </c>
      <c r="E213" s="263" t="str">
        <f t="shared" si="128"/>
        <v/>
      </c>
      <c r="F213" s="264" t="str">
        <f t="shared" si="129"/>
        <v/>
      </c>
      <c r="G213" s="264" t="str">
        <f t="shared" si="130"/>
        <v/>
      </c>
      <c r="H213" s="240" t="str">
        <f t="shared" si="149"/>
        <v/>
      </c>
      <c r="I213" s="265" t="str">
        <f t="shared" si="150"/>
        <v/>
      </c>
      <c r="J213" s="265" t="str">
        <f t="shared" si="151"/>
        <v/>
      </c>
      <c r="K213" s="240" t="str">
        <f t="shared" si="152"/>
        <v/>
      </c>
      <c r="L213" s="265" t="str">
        <f t="shared" si="153"/>
        <v/>
      </c>
      <c r="M213" s="265" t="str">
        <f t="shared" si="154"/>
        <v/>
      </c>
      <c r="N213" s="240" t="str">
        <f t="shared" si="155"/>
        <v>-</v>
      </c>
      <c r="O213" s="265" t="str">
        <f t="shared" si="156"/>
        <v>-</v>
      </c>
      <c r="P213" s="265" t="str">
        <f t="shared" si="157"/>
        <v>-</v>
      </c>
      <c r="Q213" s="266" t="str">
        <f t="shared" si="158"/>
        <v>-</v>
      </c>
      <c r="R213" s="267" t="str">
        <f t="shared" si="159"/>
        <v>-</v>
      </c>
      <c r="S213" s="268" t="str">
        <f t="shared" si="160"/>
        <v>-</v>
      </c>
      <c r="T213" s="269" t="str">
        <f t="shared" si="104"/>
        <v/>
      </c>
      <c r="U213" s="221">
        <f t="shared" si="105"/>
        <v>113</v>
      </c>
      <c r="V213" s="220" t="str">
        <f t="shared" si="131"/>
        <v>-</v>
      </c>
      <c r="W213" s="221" t="str">
        <f t="shared" si="132"/>
        <v>-</v>
      </c>
      <c r="X213" s="221" t="str">
        <f t="shared" si="106"/>
        <v>-</v>
      </c>
      <c r="Y213" s="221" t="str">
        <f t="shared" si="107"/>
        <v>-</v>
      </c>
      <c r="Z213" s="270">
        <f t="shared" si="133"/>
        <v>0.1</v>
      </c>
      <c r="AA213" s="271" t="str">
        <f>IFERROR(IF(V212=1,AA$100*EXP(-(LN(2)/$D$65+0.04)*X212)*EXP(-(LN(2)/$D$65+0.1)*Y212),IF(V212=2,AA$100*EXP(-(LN(2)/$D$65+0.04)*(VLOOKUP(($F$16-$F$15)-1,U$99:Y212,4,FALSE)))*EXP(-(LN(2)/$D$65+0.1)*(VLOOKUP(($F$16-$F$15)-1,U$99:Y212,5,FALSE)))*EXP(-(LN(2)/$D$65+0.04)*X212)*EXP(-(LN(2)/$D$65+0.1)*Y212),IF(V212=3,AA$100*EXP(-(LN(2)/$D$65+0.04)*(VLOOKUP(($F$16-$F$15)-1,U$99:Y212,4,FALSE)))*EXP(-(LN(2)/$D$65+0.1)*(VLOOKUP(($F$16-$F$15)-1,U$99:Y212,5,FALSE)))*EXP(-(LN(2)/$D$65+0.04)*(VLOOKUP(($F$16-$F$15)*2-1,U$99:Y212,4,FALSE)))*EXP(-(LN(2)/$D$65+0.1)*(VLOOKUP(($F$16-$F$15)*2-1,U$99:Y212,5,FALSE)))*EXP(-(LN(2)/$D$65+0.04)*X212)*EXP(-(LN(2)/$D$65+0.1)*Y212),"-"))),"-")</f>
        <v>-</v>
      </c>
      <c r="AB213" s="271" t="str">
        <f>IFERROR(IF(V213=1,AB$100*EXP(-(LN(2)/$D$65+0.04)*X213)*EXP(-(LN(2)/$D$65+0.1)*Y213),IF(V213=2,AB$100*EXP(-(LN(2)/$D$65+0.04)*(VLOOKUP(($F$16-$F$15)-1,U$100:Y213,4,FALSE)))*EXP(-(LN(2)/$D$65+0.1)*(VLOOKUP(($F$16-$F$15)-1,U$100:Y213,5,FALSE)))*EXP(-(LN(2)/$D$65+0.04)*X213)*EXP(-(LN(2)/$D$65+0.1)*Y213),IF(V213=3,AB$100*EXP(-(LN(2)/$D$65+0.04)*(VLOOKUP(($F$16-$F$15)-1,U$100:Y213,4,FALSE)))*EXP(-(LN(2)/$D$65+0.1)*(VLOOKUP(($F$16-$F$15)-1,U$100:Y213,5,FALSE)))*EXP(-(LN(2)/$D$65+0.04)*(VLOOKUP(($F$16-$F$15)*2-1,U$100:Y213,4,FALSE)))*EXP(-(LN(2)/$D$65+0.1)*(VLOOKUP(($F$16-$F$15)*2-1,U$100:Y213,5,FALSE)))*EXP(-(LN(2)/$D$65+0.04)*X213)*EXP(-(LN(2)/$D$65+0.1)*Y213),"-"))),"-")</f>
        <v>-</v>
      </c>
      <c r="AC213" s="224">
        <f t="shared" si="134"/>
        <v>113</v>
      </c>
      <c r="AD213" s="223" t="str">
        <f t="shared" si="108"/>
        <v>-</v>
      </c>
      <c r="AE213" s="224" t="str">
        <f t="shared" si="135"/>
        <v>-</v>
      </c>
      <c r="AF213" s="224" t="str">
        <f t="shared" si="109"/>
        <v>-</v>
      </c>
      <c r="AG213" s="224" t="str">
        <f t="shared" si="110"/>
        <v>-</v>
      </c>
      <c r="AH213" s="272">
        <f t="shared" si="136"/>
        <v>0.1</v>
      </c>
      <c r="AI213" s="271" t="str">
        <f>IFERROR(IF(AD212=1,AI$100*EXP(-(LN(2)/$D$65+0.04)*AF212)*EXP(-(LN(2)/$D$65+0.1)*AG212),IF(AD212=2,AI$100*EXP(-(LN(2)/$D$65+0.04)*(VLOOKUP(($F$16-$F$15)-1,AC$99:AG212,4,FALSE)))*EXP(-(LN(2)/$D$65+0.1)*(VLOOKUP(($F$16-$F$15)-1,AC$99:AG212,5,FALSE)))*EXP(-(LN(2)/$D$65+0.04)*AF212)*EXP(-(LN(2)/$D$65+0.1)*AG212),IF(AD212=3,AI$100*EXP(-(LN(2)/$D$65+0.04)*(VLOOKUP(($F$16-$F$15)-1,AC$99:AG212,4,FALSE)))*EXP(-(LN(2)/$D$65+0.1)*(VLOOKUP(($F$16-$F$15)-1,AC$99:AG212,5,FALSE)))*EXP(-(LN(2)/$D$65+0.04)*(VLOOKUP(($F$16-$F$15)*2-1,AC$99:AG212,4,FALSE)))*EXP(-(LN(2)/$D$65+0.1)*(VLOOKUP(($F$16-$F$15)*2-1,AC$99:AG212,5,FALSE)))*EXP(-(LN(2)/$D$65+0.04)*AF212)*EXP(-(LN(2)/$D$65+0.1)*AG212),"-"))),"-")</f>
        <v>-</v>
      </c>
      <c r="AJ213" s="271" t="str">
        <f>IFERROR(IF(AD213=1,AJ$100*EXP(-(LN(2)/$D$65+0.04)*AF213)*EXP(-(LN(2)/$D$65+0.1)*AG213),IF(AD213=2,AJ$100*EXP(-(LN(2)/$D$65+0.04)*(VLOOKUP(($F$16-$F$15)-1,AC$100:AG213,4,FALSE)))*EXP(-(LN(2)/$D$65+0.1)*(VLOOKUP(($F$16-$F$15)-1,AC$100:AG213,5,FALSE)))*EXP(-(LN(2)/$D$65+0.04)*AF213)*EXP(-(LN(2)/$D$65+0.1)*AG213),IF(AD213=3,AJ$100*EXP(-(LN(2)/$D$65+0.04)*(VLOOKUP(($F$16-$F$15)-1,AC$100:AG213,4,FALSE)))*EXP(-(LN(2)/$D$65+0.1)*(VLOOKUP(($F$16-$F$15)-1,AC$100:AG213,5,FALSE)))*EXP(-(LN(2)/$D$65+0.04)*(VLOOKUP(($F$16-$F$15)*2-1,AC$100:AG213,4,FALSE)))*EXP(-(LN(2)/$D$65+0.1)*(VLOOKUP(($F$16-$F$15)*2-1,AC$100:AG213,5,FALSE)))*EXP(-(LN(2)/$D$65+0.04)*AF213)*EXP(-(LN(2)/$D$65+0.1)*AG213),"-"))),"-")</f>
        <v>-</v>
      </c>
      <c r="AK213" s="227">
        <f t="shared" si="137"/>
        <v>113</v>
      </c>
      <c r="AL213" s="226" t="str">
        <f t="shared" si="111"/>
        <v>-</v>
      </c>
      <c r="AM213" s="227" t="str">
        <f t="shared" si="138"/>
        <v>-</v>
      </c>
      <c r="AN213" s="227" t="str">
        <f t="shared" si="139"/>
        <v>-</v>
      </c>
      <c r="AO213" s="227" t="str">
        <f t="shared" si="112"/>
        <v>-</v>
      </c>
      <c r="AP213" s="273">
        <f t="shared" si="140"/>
        <v>0.1</v>
      </c>
      <c r="AQ213" s="271" t="str">
        <f>IFERROR(IF(AL212=1,AQ$100*EXP(-(LN(2)/$D$65+0.04)*AN212)*EXP(-(LN(2)/$D$65+0.1)*AO212),IF(AL212=2,AQ$100*EXP(-(LN(2)/$D$65+0.04)*(VLOOKUP(($F$16-$F$15)-1,AK$99:AO212,4,FALSE)))*EXP(-(LN(2)/$D$65+0.1)*(VLOOKUP(($F$16-$F$15)-1,AK$99:AO212,5,FALSE)))*EXP(-(LN(2)/$D$65+0.04)*AN212)*EXP(-(LN(2)/$D$65+0.1)*AO212),IF(AL212=3,AQ$100*EXP(-(LN(2)/$D$65+0.04)*(VLOOKUP(($F$16-$F$15)-1,AK$99:AO212,4,FALSE)))*EXP(-(LN(2)/$D$65+0.1)*(VLOOKUP(($F$16-$F$15)-1,AK$99:AO212,5,FALSE)))*EXP(-(LN(2)/$D$65+0.04)*(VLOOKUP(($F$16-$F$15)*2-1,AK$99:AO212,4,FALSE)))*EXP(-(LN(2)/$D$65+0.1)*(VLOOKUP(($F$16-$F$15)*2-1,AK$99:AO212,5,FALSE)))*EXP(-(LN(2)/$D$65+0.04)*AN212)*EXP(-(LN(2)/$D$65+0.1)*AO212),"-"))),"-")</f>
        <v>-</v>
      </c>
      <c r="AR213" s="271" t="str">
        <f>IFERROR(IF(AL213=1,AR$100*EXP(-(LN(2)/$D$65+0.04)*AN213)*EXP(-(LN(2)/$D$65+0.1)*AO213),IF(AL213=2,AR$100*EXP(-(LN(2)/$D$65+0.04)*(VLOOKUP(($F$16-$F$15)-1,AK$100:AO213,4,FALSE)))*EXP(-(LN(2)/$D$65+0.1)*(VLOOKUP(($F$16-$F$15)-1,AK$100:AO213,5,FALSE)))*EXP(-(LN(2)/$D$65+0.04)*AN213)*EXP(-(LN(2)/$D$65+0.1)*AO213),IF(AL213=3,AR$100*EXP(-(LN(2)/$D$65+0.04)*(VLOOKUP(($F$16-$F$15)-1,AK$100:AO213,4,FALSE)))*EXP(-(LN(2)/$D$65+0.1)*(VLOOKUP(($F$16-$F$15)-1,AK$100:AO213,5,FALSE)))*EXP(-(LN(2)/$D$65+0.04)*(VLOOKUP(($F$16-$F$15)*2-1,AK$100:AO213,4,FALSE)))*EXP(-(LN(2)/$D$65+0.1)*(VLOOKUP(($F$16-$F$15)*2-1,AK$100:AO213,5,FALSE)))*EXP(-(LN(2)/$D$65+0.04)*AN213)*EXP(-(LN(2)/$D$65+0.1)*AO213),"-"))),"-")</f>
        <v>-</v>
      </c>
      <c r="AS213" s="274">
        <f t="shared" si="113"/>
        <v>0</v>
      </c>
      <c r="AT213" s="274">
        <f t="shared" si="114"/>
        <v>0</v>
      </c>
      <c r="AU213" s="274">
        <f t="shared" si="115"/>
        <v>0</v>
      </c>
      <c r="AV213" s="190" t="str">
        <f>IF($B213&lt;$F$22,SUM($T$100:$T213),"")</f>
        <v/>
      </c>
      <c r="AW213" s="190" t="str">
        <f t="shared" si="161"/>
        <v>-</v>
      </c>
      <c r="AX213" s="190" t="str">
        <f t="shared" si="141"/>
        <v/>
      </c>
      <c r="AY213"/>
      <c r="AZ213" s="190" t="str">
        <f ca="1">IF(ISNUMBER(OFFSET(AV213,-$F$21,0)),SUM(OFFSET($T$100,$F$21,0):$T213),"")</f>
        <v/>
      </c>
      <c r="BA213" s="190" t="str">
        <f t="shared" ca="1" si="162"/>
        <v/>
      </c>
      <c r="BB213" s="190" t="str">
        <f t="shared" ca="1" si="148"/>
        <v/>
      </c>
      <c r="BC213" s="190"/>
      <c r="BD213" s="190" t="str">
        <f ca="1">IFERROR(IF(OR(ISNUMBER(I),ISNUMBER($F$14)),IF(AND($B213&gt;=($F$16-$F$15),$B213&lt;$F$22+($F$16-$F$15)),SUM(OFFSET($T$100,($F$16-$F$15),0):$T213),""),""),"")</f>
        <v/>
      </c>
      <c r="BE213" s="190" t="str">
        <f t="shared" ca="1" si="142"/>
        <v/>
      </c>
      <c r="BF213" s="190" t="str">
        <f t="shared" ca="1" si="143"/>
        <v/>
      </c>
      <c r="BG213"/>
      <c r="BH213" s="190" t="str">
        <f ca="1">IF(ISNUMBER(OFFSET(BD213,-$F$21,0)),SUM(OFFSET($T$100,($F$16-$F$15+$F$21),0):$T213),"")</f>
        <v/>
      </c>
      <c r="BI213" s="190" t="str">
        <f t="shared" ca="1" si="163"/>
        <v/>
      </c>
      <c r="BJ213" s="190" t="str">
        <f t="shared" ca="1" si="144"/>
        <v/>
      </c>
      <c r="BK213" s="190"/>
      <c r="BL213" s="190" t="str">
        <f ca="1">IFERROR(IF(OR(ISNUMBER(I),ISNUMBER($F$14)),IF(AND($B213&gt;=($F$17-$F$15),$B213&lt;$F$22+($F$17-$F$15)),SUM(OFFSET($T$100,($F$17-$F$15),0):$T213),""),""),"")</f>
        <v/>
      </c>
      <c r="BM213" s="190" t="str">
        <f t="shared" ca="1" si="164"/>
        <v/>
      </c>
      <c r="BN213" s="190" t="str">
        <f t="shared" ca="1" si="145"/>
        <v/>
      </c>
      <c r="BO213"/>
      <c r="BP213" s="190" t="str">
        <f ca="1">IF(ISNUMBER(OFFSET(BL213,-$F$21,0)),SUM(OFFSET($T$100,($F$17-$F$15+$F$21),0):$T213),"")</f>
        <v/>
      </c>
      <c r="BQ213" s="190" t="str">
        <f t="shared" ca="1" si="165"/>
        <v/>
      </c>
      <c r="BR213" s="190" t="str">
        <f t="shared" ca="1" si="146"/>
        <v/>
      </c>
      <c r="BS213" s="190"/>
      <c r="BT213"/>
      <c r="BU213"/>
      <c r="BV213"/>
      <c r="BY213" s="99"/>
      <c r="BZ213" s="99"/>
      <c r="CA213" s="280" t="str">
        <f t="shared" si="166"/>
        <v/>
      </c>
      <c r="CB213" s="71" t="str">
        <f t="shared" si="122"/>
        <v>-</v>
      </c>
      <c r="CC213" s="33"/>
      <c r="CD213" s="261" t="str">
        <f t="shared" si="123"/>
        <v/>
      </c>
      <c r="CE213" s="280" t="str">
        <f t="shared" si="167"/>
        <v/>
      </c>
      <c r="CF213" s="71" t="str">
        <f t="shared" ca="1" si="168"/>
        <v/>
      </c>
      <c r="CG213" s="33" t="str">
        <f t="shared" si="126"/>
        <v/>
      </c>
      <c r="CH213" s="261" t="str">
        <f t="shared" ca="1" si="127"/>
        <v/>
      </c>
    </row>
    <row r="214" spans="2:86" ht="13.5" customHeight="1" x14ac:dyDescent="0.2">
      <c r="B214" s="262">
        <v>114</v>
      </c>
      <c r="C214" s="237" t="str">
        <f t="shared" si="91"/>
        <v/>
      </c>
      <c r="D214" s="237" t="str">
        <f t="shared" si="147"/>
        <v/>
      </c>
      <c r="E214" s="263" t="str">
        <f t="shared" si="128"/>
        <v/>
      </c>
      <c r="F214" s="264" t="str">
        <f t="shared" si="129"/>
        <v/>
      </c>
      <c r="G214" s="264" t="str">
        <f t="shared" si="130"/>
        <v/>
      </c>
      <c r="H214" s="240" t="str">
        <f t="shared" si="149"/>
        <v/>
      </c>
      <c r="I214" s="265" t="str">
        <f t="shared" si="150"/>
        <v/>
      </c>
      <c r="J214" s="265" t="str">
        <f t="shared" si="151"/>
        <v/>
      </c>
      <c r="K214" s="240" t="str">
        <f t="shared" si="152"/>
        <v/>
      </c>
      <c r="L214" s="265" t="str">
        <f t="shared" si="153"/>
        <v/>
      </c>
      <c r="M214" s="265" t="str">
        <f t="shared" si="154"/>
        <v/>
      </c>
      <c r="N214" s="240" t="str">
        <f t="shared" si="155"/>
        <v>-</v>
      </c>
      <c r="O214" s="265" t="str">
        <f t="shared" si="156"/>
        <v>-</v>
      </c>
      <c r="P214" s="265" t="str">
        <f t="shared" si="157"/>
        <v>-</v>
      </c>
      <c r="Q214" s="266" t="str">
        <f t="shared" si="158"/>
        <v>-</v>
      </c>
      <c r="R214" s="267" t="str">
        <f t="shared" si="159"/>
        <v>-</v>
      </c>
      <c r="S214" s="268" t="str">
        <f t="shared" si="160"/>
        <v>-</v>
      </c>
      <c r="T214" s="269" t="str">
        <f t="shared" si="104"/>
        <v/>
      </c>
      <c r="U214" s="221">
        <f t="shared" si="105"/>
        <v>114</v>
      </c>
      <c r="V214" s="220" t="str">
        <f t="shared" si="131"/>
        <v>-</v>
      </c>
      <c r="W214" s="221" t="str">
        <f t="shared" si="132"/>
        <v>-</v>
      </c>
      <c r="X214" s="221" t="str">
        <f t="shared" si="106"/>
        <v>-</v>
      </c>
      <c r="Y214" s="221" t="str">
        <f t="shared" si="107"/>
        <v>-</v>
      </c>
      <c r="Z214" s="270">
        <f t="shared" si="133"/>
        <v>0.1</v>
      </c>
      <c r="AA214" s="271" t="str">
        <f>IFERROR(IF(V213=1,AA$100*EXP(-(LN(2)/$D$65+0.04)*X213)*EXP(-(LN(2)/$D$65+0.1)*Y213),IF(V213=2,AA$100*EXP(-(LN(2)/$D$65+0.04)*(VLOOKUP(($F$16-$F$15)-1,U$99:Y213,4,FALSE)))*EXP(-(LN(2)/$D$65+0.1)*(VLOOKUP(($F$16-$F$15)-1,U$99:Y213,5,FALSE)))*EXP(-(LN(2)/$D$65+0.04)*X213)*EXP(-(LN(2)/$D$65+0.1)*Y213),IF(V213=3,AA$100*EXP(-(LN(2)/$D$65+0.04)*(VLOOKUP(($F$16-$F$15)-1,U$99:Y213,4,FALSE)))*EXP(-(LN(2)/$D$65+0.1)*(VLOOKUP(($F$16-$F$15)-1,U$99:Y213,5,FALSE)))*EXP(-(LN(2)/$D$65+0.04)*(VLOOKUP(($F$16-$F$15)*2-1,U$99:Y213,4,FALSE)))*EXP(-(LN(2)/$D$65+0.1)*(VLOOKUP(($F$16-$F$15)*2-1,U$99:Y213,5,FALSE)))*EXP(-(LN(2)/$D$65+0.04)*X213)*EXP(-(LN(2)/$D$65+0.1)*Y213),"-"))),"-")</f>
        <v>-</v>
      </c>
      <c r="AB214" s="271" t="str">
        <f>IFERROR(IF(V214=1,AB$100*EXP(-(LN(2)/$D$65+0.04)*X214)*EXP(-(LN(2)/$D$65+0.1)*Y214),IF(V214=2,AB$100*EXP(-(LN(2)/$D$65+0.04)*(VLOOKUP(($F$16-$F$15)-1,U$100:Y214,4,FALSE)))*EXP(-(LN(2)/$D$65+0.1)*(VLOOKUP(($F$16-$F$15)-1,U$100:Y214,5,FALSE)))*EXP(-(LN(2)/$D$65+0.04)*X214)*EXP(-(LN(2)/$D$65+0.1)*Y214),IF(V214=3,AB$100*EXP(-(LN(2)/$D$65+0.04)*(VLOOKUP(($F$16-$F$15)-1,U$100:Y214,4,FALSE)))*EXP(-(LN(2)/$D$65+0.1)*(VLOOKUP(($F$16-$F$15)-1,U$100:Y214,5,FALSE)))*EXP(-(LN(2)/$D$65+0.04)*(VLOOKUP(($F$16-$F$15)*2-1,U$100:Y214,4,FALSE)))*EXP(-(LN(2)/$D$65+0.1)*(VLOOKUP(($F$16-$F$15)*2-1,U$100:Y214,5,FALSE)))*EXP(-(LN(2)/$D$65+0.04)*X214)*EXP(-(LN(2)/$D$65+0.1)*Y214),"-"))),"-")</f>
        <v>-</v>
      </c>
      <c r="AC214" s="224">
        <f t="shared" si="134"/>
        <v>114</v>
      </c>
      <c r="AD214" s="223" t="str">
        <f t="shared" si="108"/>
        <v>-</v>
      </c>
      <c r="AE214" s="224" t="str">
        <f t="shared" si="135"/>
        <v>-</v>
      </c>
      <c r="AF214" s="224" t="str">
        <f t="shared" si="109"/>
        <v>-</v>
      </c>
      <c r="AG214" s="224" t="str">
        <f t="shared" si="110"/>
        <v>-</v>
      </c>
      <c r="AH214" s="272">
        <f t="shared" si="136"/>
        <v>0.1</v>
      </c>
      <c r="AI214" s="271" t="str">
        <f>IFERROR(IF(AD213=1,AI$100*EXP(-(LN(2)/$D$65+0.04)*AF213)*EXP(-(LN(2)/$D$65+0.1)*AG213),IF(AD213=2,AI$100*EXP(-(LN(2)/$D$65+0.04)*(VLOOKUP(($F$16-$F$15)-1,AC$99:AG213,4,FALSE)))*EXP(-(LN(2)/$D$65+0.1)*(VLOOKUP(($F$16-$F$15)-1,AC$99:AG213,5,FALSE)))*EXP(-(LN(2)/$D$65+0.04)*AF213)*EXP(-(LN(2)/$D$65+0.1)*AG213),IF(AD213=3,AI$100*EXP(-(LN(2)/$D$65+0.04)*(VLOOKUP(($F$16-$F$15)-1,AC$99:AG213,4,FALSE)))*EXP(-(LN(2)/$D$65+0.1)*(VLOOKUP(($F$16-$F$15)-1,AC$99:AG213,5,FALSE)))*EXP(-(LN(2)/$D$65+0.04)*(VLOOKUP(($F$16-$F$15)*2-1,AC$99:AG213,4,FALSE)))*EXP(-(LN(2)/$D$65+0.1)*(VLOOKUP(($F$16-$F$15)*2-1,AC$99:AG213,5,FALSE)))*EXP(-(LN(2)/$D$65+0.04)*AF213)*EXP(-(LN(2)/$D$65+0.1)*AG213),"-"))),"-")</f>
        <v>-</v>
      </c>
      <c r="AJ214" s="271" t="str">
        <f>IFERROR(IF(AD214=1,AJ$100*EXP(-(LN(2)/$D$65+0.04)*AF214)*EXP(-(LN(2)/$D$65+0.1)*AG214),IF(AD214=2,AJ$100*EXP(-(LN(2)/$D$65+0.04)*(VLOOKUP(($F$16-$F$15)-1,AC$100:AG214,4,FALSE)))*EXP(-(LN(2)/$D$65+0.1)*(VLOOKUP(($F$16-$F$15)-1,AC$100:AG214,5,FALSE)))*EXP(-(LN(2)/$D$65+0.04)*AF214)*EXP(-(LN(2)/$D$65+0.1)*AG214),IF(AD214=3,AJ$100*EXP(-(LN(2)/$D$65+0.04)*(VLOOKUP(($F$16-$F$15)-1,AC$100:AG214,4,FALSE)))*EXP(-(LN(2)/$D$65+0.1)*(VLOOKUP(($F$16-$F$15)-1,AC$100:AG214,5,FALSE)))*EXP(-(LN(2)/$D$65+0.04)*(VLOOKUP(($F$16-$F$15)*2-1,AC$100:AG214,4,FALSE)))*EXP(-(LN(2)/$D$65+0.1)*(VLOOKUP(($F$16-$F$15)*2-1,AC$100:AG214,5,FALSE)))*EXP(-(LN(2)/$D$65+0.04)*AF214)*EXP(-(LN(2)/$D$65+0.1)*AG214),"-"))),"-")</f>
        <v>-</v>
      </c>
      <c r="AK214" s="227">
        <f t="shared" si="137"/>
        <v>114</v>
      </c>
      <c r="AL214" s="226" t="str">
        <f t="shared" si="111"/>
        <v>-</v>
      </c>
      <c r="AM214" s="227" t="str">
        <f t="shared" si="138"/>
        <v>-</v>
      </c>
      <c r="AN214" s="227" t="str">
        <f t="shared" si="139"/>
        <v>-</v>
      </c>
      <c r="AO214" s="227" t="str">
        <f t="shared" si="112"/>
        <v>-</v>
      </c>
      <c r="AP214" s="273">
        <f t="shared" si="140"/>
        <v>0.1</v>
      </c>
      <c r="AQ214" s="271" t="str">
        <f>IFERROR(IF(AL213=1,AQ$100*EXP(-(LN(2)/$D$65+0.04)*AN213)*EXP(-(LN(2)/$D$65+0.1)*AO213),IF(AL213=2,AQ$100*EXP(-(LN(2)/$D$65+0.04)*(VLOOKUP(($F$16-$F$15)-1,AK$99:AO213,4,FALSE)))*EXP(-(LN(2)/$D$65+0.1)*(VLOOKUP(($F$16-$F$15)-1,AK$99:AO213,5,FALSE)))*EXP(-(LN(2)/$D$65+0.04)*AN213)*EXP(-(LN(2)/$D$65+0.1)*AO213),IF(AL213=3,AQ$100*EXP(-(LN(2)/$D$65+0.04)*(VLOOKUP(($F$16-$F$15)-1,AK$99:AO213,4,FALSE)))*EXP(-(LN(2)/$D$65+0.1)*(VLOOKUP(($F$16-$F$15)-1,AK$99:AO213,5,FALSE)))*EXP(-(LN(2)/$D$65+0.04)*(VLOOKUP(($F$16-$F$15)*2-1,AK$99:AO213,4,FALSE)))*EXP(-(LN(2)/$D$65+0.1)*(VLOOKUP(($F$16-$F$15)*2-1,AK$99:AO213,5,FALSE)))*EXP(-(LN(2)/$D$65+0.04)*AN213)*EXP(-(LN(2)/$D$65+0.1)*AO213),"-"))),"-")</f>
        <v>-</v>
      </c>
      <c r="AR214" s="271" t="str">
        <f>IFERROR(IF(AL214=1,AR$100*EXP(-(LN(2)/$D$65+0.04)*AN214)*EXP(-(LN(2)/$D$65+0.1)*AO214),IF(AL214=2,AR$100*EXP(-(LN(2)/$D$65+0.04)*(VLOOKUP(($F$16-$F$15)-1,AK$100:AO214,4,FALSE)))*EXP(-(LN(2)/$D$65+0.1)*(VLOOKUP(($F$16-$F$15)-1,AK$100:AO214,5,FALSE)))*EXP(-(LN(2)/$D$65+0.04)*AN214)*EXP(-(LN(2)/$D$65+0.1)*AO214),IF(AL214=3,AR$100*EXP(-(LN(2)/$D$65+0.04)*(VLOOKUP(($F$16-$F$15)-1,AK$100:AO214,4,FALSE)))*EXP(-(LN(2)/$D$65+0.1)*(VLOOKUP(($F$16-$F$15)-1,AK$100:AO214,5,FALSE)))*EXP(-(LN(2)/$D$65+0.04)*(VLOOKUP(($F$16-$F$15)*2-1,AK$100:AO214,4,FALSE)))*EXP(-(LN(2)/$D$65+0.1)*(VLOOKUP(($F$16-$F$15)*2-1,AK$100:AO214,5,FALSE)))*EXP(-(LN(2)/$D$65+0.04)*AN214)*EXP(-(LN(2)/$D$65+0.1)*AO214),"-"))),"-")</f>
        <v>-</v>
      </c>
      <c r="AS214" s="274">
        <f t="shared" si="113"/>
        <v>0</v>
      </c>
      <c r="AT214" s="274">
        <f t="shared" si="114"/>
        <v>0</v>
      </c>
      <c r="AU214" s="274">
        <f t="shared" si="115"/>
        <v>0</v>
      </c>
      <c r="AV214" s="190" t="str">
        <f>IF($B214&lt;$F$22,SUM($T$100:$T214),"")</f>
        <v/>
      </c>
      <c r="AW214" s="190" t="str">
        <f t="shared" si="161"/>
        <v>-</v>
      </c>
      <c r="AX214" s="190" t="str">
        <f t="shared" si="141"/>
        <v/>
      </c>
      <c r="AY214"/>
      <c r="AZ214" s="190" t="str">
        <f ca="1">IF(ISNUMBER(OFFSET(AV214,-$F$21,0)),SUM(OFFSET($T$100,$F$21,0):$T214),"")</f>
        <v/>
      </c>
      <c r="BA214" s="190" t="str">
        <f t="shared" ca="1" si="162"/>
        <v/>
      </c>
      <c r="BB214" s="190" t="str">
        <f t="shared" ca="1" si="148"/>
        <v/>
      </c>
      <c r="BC214" s="190"/>
      <c r="BD214" s="190" t="str">
        <f ca="1">IFERROR(IF(OR(ISNUMBER(I),ISNUMBER($F$14)),IF(AND($B214&gt;=($F$16-$F$15),$B214&lt;$F$22+($F$16-$F$15)),SUM(OFFSET($T$100,($F$16-$F$15),0):$T214),""),""),"")</f>
        <v/>
      </c>
      <c r="BE214" s="190" t="str">
        <f t="shared" ca="1" si="142"/>
        <v/>
      </c>
      <c r="BF214" s="190" t="str">
        <f t="shared" ca="1" si="143"/>
        <v/>
      </c>
      <c r="BG214"/>
      <c r="BH214" s="190" t="str">
        <f ca="1">IF(ISNUMBER(OFFSET(BD214,-$F$21,0)),SUM(OFFSET($T$100,($F$16-$F$15+$F$21),0):$T214),"")</f>
        <v/>
      </c>
      <c r="BI214" s="190" t="str">
        <f t="shared" ca="1" si="163"/>
        <v/>
      </c>
      <c r="BJ214" s="190" t="str">
        <f t="shared" ca="1" si="144"/>
        <v/>
      </c>
      <c r="BK214" s="190"/>
      <c r="BL214" s="190" t="str">
        <f ca="1">IFERROR(IF(OR(ISNUMBER(I),ISNUMBER($F$14)),IF(AND($B214&gt;=($F$17-$F$15),$B214&lt;$F$22+($F$17-$F$15)),SUM(OFFSET($T$100,($F$17-$F$15),0):$T214),""),""),"")</f>
        <v/>
      </c>
      <c r="BM214" s="190" t="str">
        <f t="shared" ca="1" si="164"/>
        <v/>
      </c>
      <c r="BN214" s="190" t="str">
        <f t="shared" ca="1" si="145"/>
        <v/>
      </c>
      <c r="BO214"/>
      <c r="BP214" s="190" t="str">
        <f ca="1">IF(ISNUMBER(OFFSET(BL214,-$F$21,0)),SUM(OFFSET($T$100,($F$17-$F$15+$F$21),0):$T214),"")</f>
        <v/>
      </c>
      <c r="BQ214" s="190" t="str">
        <f t="shared" ca="1" si="165"/>
        <v/>
      </c>
      <c r="BR214" s="190" t="str">
        <f t="shared" ca="1" si="146"/>
        <v/>
      </c>
      <c r="BS214" s="190"/>
      <c r="BT214"/>
      <c r="BU214"/>
      <c r="BV214"/>
      <c r="BY214" s="99"/>
      <c r="BZ214" s="99"/>
      <c r="CA214" s="280" t="str">
        <f t="shared" si="166"/>
        <v/>
      </c>
      <c r="CB214" s="71" t="str">
        <f t="shared" si="122"/>
        <v>-</v>
      </c>
      <c r="CC214" s="33"/>
      <c r="CD214" s="261" t="str">
        <f t="shared" si="123"/>
        <v/>
      </c>
      <c r="CE214" s="280" t="str">
        <f t="shared" si="167"/>
        <v/>
      </c>
      <c r="CF214" s="71" t="str">
        <f t="shared" ca="1" si="168"/>
        <v/>
      </c>
      <c r="CG214" s="33" t="str">
        <f t="shared" si="126"/>
        <v/>
      </c>
      <c r="CH214" s="261" t="str">
        <f t="shared" ca="1" si="127"/>
        <v/>
      </c>
    </row>
    <row r="215" spans="2:86" ht="13.5" customHeight="1" x14ac:dyDescent="0.2">
      <c r="B215" s="262">
        <v>115</v>
      </c>
      <c r="C215" s="237" t="str">
        <f t="shared" si="91"/>
        <v/>
      </c>
      <c r="D215" s="237" t="str">
        <f t="shared" si="147"/>
        <v/>
      </c>
      <c r="E215" s="263" t="str">
        <f t="shared" si="128"/>
        <v/>
      </c>
      <c r="F215" s="264" t="str">
        <f t="shared" si="129"/>
        <v/>
      </c>
      <c r="G215" s="264" t="str">
        <f t="shared" si="130"/>
        <v/>
      </c>
      <c r="H215" s="240" t="str">
        <f t="shared" si="149"/>
        <v/>
      </c>
      <c r="I215" s="265" t="str">
        <f t="shared" si="150"/>
        <v/>
      </c>
      <c r="J215" s="265" t="str">
        <f t="shared" si="151"/>
        <v/>
      </c>
      <c r="K215" s="240" t="str">
        <f t="shared" si="152"/>
        <v/>
      </c>
      <c r="L215" s="265" t="str">
        <f t="shared" si="153"/>
        <v/>
      </c>
      <c r="M215" s="265" t="str">
        <f t="shared" si="154"/>
        <v/>
      </c>
      <c r="N215" s="240" t="str">
        <f t="shared" si="155"/>
        <v>-</v>
      </c>
      <c r="O215" s="265" t="str">
        <f t="shared" si="156"/>
        <v>-</v>
      </c>
      <c r="P215" s="265" t="str">
        <f t="shared" si="157"/>
        <v>-</v>
      </c>
      <c r="Q215" s="266" t="str">
        <f t="shared" si="158"/>
        <v>-</v>
      </c>
      <c r="R215" s="267" t="str">
        <f t="shared" si="159"/>
        <v>-</v>
      </c>
      <c r="S215" s="268" t="str">
        <f t="shared" si="160"/>
        <v>-</v>
      </c>
      <c r="T215" s="269" t="str">
        <f t="shared" si="104"/>
        <v/>
      </c>
      <c r="U215" s="221">
        <f t="shared" si="105"/>
        <v>115</v>
      </c>
      <c r="V215" s="220" t="str">
        <f t="shared" si="131"/>
        <v>-</v>
      </c>
      <c r="W215" s="221" t="str">
        <f t="shared" si="132"/>
        <v>-</v>
      </c>
      <c r="X215" s="221" t="str">
        <f t="shared" si="106"/>
        <v>-</v>
      </c>
      <c r="Y215" s="221" t="str">
        <f t="shared" si="107"/>
        <v>-</v>
      </c>
      <c r="Z215" s="270">
        <f t="shared" si="133"/>
        <v>0.1</v>
      </c>
      <c r="AA215" s="271" t="str">
        <f>IFERROR(IF(V214=1,AA$100*EXP(-(LN(2)/$D$65+0.04)*X214)*EXP(-(LN(2)/$D$65+0.1)*Y214),IF(V214=2,AA$100*EXP(-(LN(2)/$D$65+0.04)*(VLOOKUP(($F$16-$F$15)-1,U$99:Y214,4,FALSE)))*EXP(-(LN(2)/$D$65+0.1)*(VLOOKUP(($F$16-$F$15)-1,U$99:Y214,5,FALSE)))*EXP(-(LN(2)/$D$65+0.04)*X214)*EXP(-(LN(2)/$D$65+0.1)*Y214),IF(V214=3,AA$100*EXP(-(LN(2)/$D$65+0.04)*(VLOOKUP(($F$16-$F$15)-1,U$99:Y214,4,FALSE)))*EXP(-(LN(2)/$D$65+0.1)*(VLOOKUP(($F$16-$F$15)-1,U$99:Y214,5,FALSE)))*EXP(-(LN(2)/$D$65+0.04)*(VLOOKUP(($F$16-$F$15)*2-1,U$99:Y214,4,FALSE)))*EXP(-(LN(2)/$D$65+0.1)*(VLOOKUP(($F$16-$F$15)*2-1,U$99:Y214,5,FALSE)))*EXP(-(LN(2)/$D$65+0.04)*X214)*EXP(-(LN(2)/$D$65+0.1)*Y214),"-"))),"-")</f>
        <v>-</v>
      </c>
      <c r="AB215" s="271" t="str">
        <f>IFERROR(IF(V215=1,AB$100*EXP(-(LN(2)/$D$65+0.04)*X215)*EXP(-(LN(2)/$D$65+0.1)*Y215),IF(V215=2,AB$100*EXP(-(LN(2)/$D$65+0.04)*(VLOOKUP(($F$16-$F$15)-1,U$100:Y215,4,FALSE)))*EXP(-(LN(2)/$D$65+0.1)*(VLOOKUP(($F$16-$F$15)-1,U$100:Y215,5,FALSE)))*EXP(-(LN(2)/$D$65+0.04)*X215)*EXP(-(LN(2)/$D$65+0.1)*Y215),IF(V215=3,AB$100*EXP(-(LN(2)/$D$65+0.04)*(VLOOKUP(($F$16-$F$15)-1,U$100:Y215,4,FALSE)))*EXP(-(LN(2)/$D$65+0.1)*(VLOOKUP(($F$16-$F$15)-1,U$100:Y215,5,FALSE)))*EXP(-(LN(2)/$D$65+0.04)*(VLOOKUP(($F$16-$F$15)*2-1,U$100:Y215,4,FALSE)))*EXP(-(LN(2)/$D$65+0.1)*(VLOOKUP(($F$16-$F$15)*2-1,U$100:Y215,5,FALSE)))*EXP(-(LN(2)/$D$65+0.04)*X215)*EXP(-(LN(2)/$D$65+0.1)*Y215),"-"))),"-")</f>
        <v>-</v>
      </c>
      <c r="AC215" s="224">
        <f t="shared" si="134"/>
        <v>115</v>
      </c>
      <c r="AD215" s="223" t="str">
        <f t="shared" si="108"/>
        <v>-</v>
      </c>
      <c r="AE215" s="224" t="str">
        <f t="shared" si="135"/>
        <v>-</v>
      </c>
      <c r="AF215" s="224" t="str">
        <f t="shared" si="109"/>
        <v>-</v>
      </c>
      <c r="AG215" s="224" t="str">
        <f t="shared" si="110"/>
        <v>-</v>
      </c>
      <c r="AH215" s="272">
        <f t="shared" si="136"/>
        <v>0.1</v>
      </c>
      <c r="AI215" s="271" t="str">
        <f>IFERROR(IF(AD214=1,AI$100*EXP(-(LN(2)/$D$65+0.04)*AF214)*EXP(-(LN(2)/$D$65+0.1)*AG214),IF(AD214=2,AI$100*EXP(-(LN(2)/$D$65+0.04)*(VLOOKUP(($F$16-$F$15)-1,AC$99:AG214,4,FALSE)))*EXP(-(LN(2)/$D$65+0.1)*(VLOOKUP(($F$16-$F$15)-1,AC$99:AG214,5,FALSE)))*EXP(-(LN(2)/$D$65+0.04)*AF214)*EXP(-(LN(2)/$D$65+0.1)*AG214),IF(AD214=3,AI$100*EXP(-(LN(2)/$D$65+0.04)*(VLOOKUP(($F$16-$F$15)-1,AC$99:AG214,4,FALSE)))*EXP(-(LN(2)/$D$65+0.1)*(VLOOKUP(($F$16-$F$15)-1,AC$99:AG214,5,FALSE)))*EXP(-(LN(2)/$D$65+0.04)*(VLOOKUP(($F$16-$F$15)*2-1,AC$99:AG214,4,FALSE)))*EXP(-(LN(2)/$D$65+0.1)*(VLOOKUP(($F$16-$F$15)*2-1,AC$99:AG214,5,FALSE)))*EXP(-(LN(2)/$D$65+0.04)*AF214)*EXP(-(LN(2)/$D$65+0.1)*AG214),"-"))),"-")</f>
        <v>-</v>
      </c>
      <c r="AJ215" s="271" t="str">
        <f>IFERROR(IF(AD215=1,AJ$100*EXP(-(LN(2)/$D$65+0.04)*AF215)*EXP(-(LN(2)/$D$65+0.1)*AG215),IF(AD215=2,AJ$100*EXP(-(LN(2)/$D$65+0.04)*(VLOOKUP(($F$16-$F$15)-1,AC$100:AG215,4,FALSE)))*EXP(-(LN(2)/$D$65+0.1)*(VLOOKUP(($F$16-$F$15)-1,AC$100:AG215,5,FALSE)))*EXP(-(LN(2)/$D$65+0.04)*AF215)*EXP(-(LN(2)/$D$65+0.1)*AG215),IF(AD215=3,AJ$100*EXP(-(LN(2)/$D$65+0.04)*(VLOOKUP(($F$16-$F$15)-1,AC$100:AG215,4,FALSE)))*EXP(-(LN(2)/$D$65+0.1)*(VLOOKUP(($F$16-$F$15)-1,AC$100:AG215,5,FALSE)))*EXP(-(LN(2)/$D$65+0.04)*(VLOOKUP(($F$16-$F$15)*2-1,AC$100:AG215,4,FALSE)))*EXP(-(LN(2)/$D$65+0.1)*(VLOOKUP(($F$16-$F$15)*2-1,AC$100:AG215,5,FALSE)))*EXP(-(LN(2)/$D$65+0.04)*AF215)*EXP(-(LN(2)/$D$65+0.1)*AG215),"-"))),"-")</f>
        <v>-</v>
      </c>
      <c r="AK215" s="227">
        <f t="shared" si="137"/>
        <v>115</v>
      </c>
      <c r="AL215" s="226" t="str">
        <f t="shared" si="111"/>
        <v>-</v>
      </c>
      <c r="AM215" s="227" t="str">
        <f t="shared" si="138"/>
        <v>-</v>
      </c>
      <c r="AN215" s="227" t="str">
        <f t="shared" si="139"/>
        <v>-</v>
      </c>
      <c r="AO215" s="227" t="str">
        <f t="shared" si="112"/>
        <v>-</v>
      </c>
      <c r="AP215" s="273">
        <f t="shared" si="140"/>
        <v>0.1</v>
      </c>
      <c r="AQ215" s="271" t="str">
        <f>IFERROR(IF(AL214=1,AQ$100*EXP(-(LN(2)/$D$65+0.04)*AN214)*EXP(-(LN(2)/$D$65+0.1)*AO214),IF(AL214=2,AQ$100*EXP(-(LN(2)/$D$65+0.04)*(VLOOKUP(($F$16-$F$15)-1,AK$99:AO214,4,FALSE)))*EXP(-(LN(2)/$D$65+0.1)*(VLOOKUP(($F$16-$F$15)-1,AK$99:AO214,5,FALSE)))*EXP(-(LN(2)/$D$65+0.04)*AN214)*EXP(-(LN(2)/$D$65+0.1)*AO214),IF(AL214=3,AQ$100*EXP(-(LN(2)/$D$65+0.04)*(VLOOKUP(($F$16-$F$15)-1,AK$99:AO214,4,FALSE)))*EXP(-(LN(2)/$D$65+0.1)*(VLOOKUP(($F$16-$F$15)-1,AK$99:AO214,5,FALSE)))*EXP(-(LN(2)/$D$65+0.04)*(VLOOKUP(($F$16-$F$15)*2-1,AK$99:AO214,4,FALSE)))*EXP(-(LN(2)/$D$65+0.1)*(VLOOKUP(($F$16-$F$15)*2-1,AK$99:AO214,5,FALSE)))*EXP(-(LN(2)/$D$65+0.04)*AN214)*EXP(-(LN(2)/$D$65+0.1)*AO214),"-"))),"-")</f>
        <v>-</v>
      </c>
      <c r="AR215" s="271" t="str">
        <f>IFERROR(IF(AL215=1,AR$100*EXP(-(LN(2)/$D$65+0.04)*AN215)*EXP(-(LN(2)/$D$65+0.1)*AO215),IF(AL215=2,AR$100*EXP(-(LN(2)/$D$65+0.04)*(VLOOKUP(($F$16-$F$15)-1,AK$100:AO215,4,FALSE)))*EXP(-(LN(2)/$D$65+0.1)*(VLOOKUP(($F$16-$F$15)-1,AK$100:AO215,5,FALSE)))*EXP(-(LN(2)/$D$65+0.04)*AN215)*EXP(-(LN(2)/$D$65+0.1)*AO215),IF(AL215=3,AR$100*EXP(-(LN(2)/$D$65+0.04)*(VLOOKUP(($F$16-$F$15)-1,AK$100:AO215,4,FALSE)))*EXP(-(LN(2)/$D$65+0.1)*(VLOOKUP(($F$16-$F$15)-1,AK$100:AO215,5,FALSE)))*EXP(-(LN(2)/$D$65+0.04)*(VLOOKUP(($F$16-$F$15)*2-1,AK$100:AO215,4,FALSE)))*EXP(-(LN(2)/$D$65+0.1)*(VLOOKUP(($F$16-$F$15)*2-1,AK$100:AO215,5,FALSE)))*EXP(-(LN(2)/$D$65+0.04)*AN215)*EXP(-(LN(2)/$D$65+0.1)*AO215),"-"))),"-")</f>
        <v>-</v>
      </c>
      <c r="AS215" s="274">
        <f t="shared" si="113"/>
        <v>0</v>
      </c>
      <c r="AT215" s="274">
        <f t="shared" si="114"/>
        <v>0</v>
      </c>
      <c r="AU215" s="274">
        <f t="shared" si="115"/>
        <v>0</v>
      </c>
      <c r="AV215" s="190" t="str">
        <f>IF($B215&lt;$F$22,SUM($T$100:$T215),"")</f>
        <v/>
      </c>
      <c r="AW215" s="190" t="str">
        <f t="shared" si="161"/>
        <v>-</v>
      </c>
      <c r="AX215" s="190" t="str">
        <f t="shared" si="141"/>
        <v/>
      </c>
      <c r="AY215"/>
      <c r="AZ215" s="190" t="str">
        <f ca="1">IF(ISNUMBER(OFFSET(AV215,-$F$21,0)),SUM(OFFSET($T$100,$F$21,0):$T215),"")</f>
        <v/>
      </c>
      <c r="BA215" s="190" t="str">
        <f t="shared" ca="1" si="162"/>
        <v/>
      </c>
      <c r="BB215" s="190" t="str">
        <f t="shared" ca="1" si="148"/>
        <v/>
      </c>
      <c r="BC215" s="190"/>
      <c r="BD215" s="190" t="str">
        <f ca="1">IFERROR(IF(OR(ISNUMBER(I),ISNUMBER($F$14)),IF(AND($B215&gt;=($F$16-$F$15),$B215&lt;$F$22+($F$16-$F$15)),SUM(OFFSET($T$100,($F$16-$F$15),0):$T215),""),""),"")</f>
        <v/>
      </c>
      <c r="BE215" s="190" t="str">
        <f t="shared" ca="1" si="142"/>
        <v/>
      </c>
      <c r="BF215" s="190" t="str">
        <f t="shared" ca="1" si="143"/>
        <v/>
      </c>
      <c r="BG215"/>
      <c r="BH215" s="190" t="str">
        <f ca="1">IF(ISNUMBER(OFFSET(BD215,-$F$21,0)),SUM(OFFSET($T$100,($F$16-$F$15+$F$21),0):$T215),"")</f>
        <v/>
      </c>
      <c r="BI215" s="190" t="str">
        <f t="shared" ca="1" si="163"/>
        <v/>
      </c>
      <c r="BJ215" s="190" t="str">
        <f t="shared" ca="1" si="144"/>
        <v/>
      </c>
      <c r="BK215" s="190"/>
      <c r="BL215" s="190" t="str">
        <f ca="1">IFERROR(IF(OR(ISNUMBER(I),ISNUMBER($F$14)),IF(AND($B215&gt;=($F$17-$F$15),$B215&lt;$F$22+($F$17-$F$15)),SUM(OFFSET($T$100,($F$17-$F$15),0):$T215),""),""),"")</f>
        <v/>
      </c>
      <c r="BM215" s="190" t="str">
        <f t="shared" ca="1" si="164"/>
        <v/>
      </c>
      <c r="BN215" s="190" t="str">
        <f t="shared" ca="1" si="145"/>
        <v/>
      </c>
      <c r="BO215"/>
      <c r="BP215" s="190" t="str">
        <f ca="1">IF(ISNUMBER(OFFSET(BL215,-$F$21,0)),SUM(OFFSET($T$100,($F$17-$F$15+$F$21),0):$T215),"")</f>
        <v/>
      </c>
      <c r="BQ215" s="190" t="str">
        <f t="shared" ca="1" si="165"/>
        <v/>
      </c>
      <c r="BR215" s="190" t="str">
        <f t="shared" ca="1" si="146"/>
        <v/>
      </c>
      <c r="BS215" s="190"/>
      <c r="BT215"/>
      <c r="BU215"/>
      <c r="BV215"/>
      <c r="BY215" s="99"/>
      <c r="BZ215" s="99"/>
      <c r="CA215" s="280" t="str">
        <f t="shared" si="166"/>
        <v/>
      </c>
      <c r="CB215" s="71" t="str">
        <f t="shared" si="122"/>
        <v>-</v>
      </c>
      <c r="CC215" s="33"/>
      <c r="CD215" s="261" t="str">
        <f t="shared" si="123"/>
        <v/>
      </c>
      <c r="CE215" s="280" t="str">
        <f t="shared" si="167"/>
        <v/>
      </c>
      <c r="CF215" s="71" t="str">
        <f t="shared" ca="1" si="168"/>
        <v/>
      </c>
      <c r="CG215" s="33" t="str">
        <f t="shared" si="126"/>
        <v/>
      </c>
      <c r="CH215" s="261" t="str">
        <f t="shared" ca="1" si="127"/>
        <v/>
      </c>
    </row>
    <row r="216" spans="2:86" ht="13.5" customHeight="1" x14ac:dyDescent="0.2">
      <c r="B216" s="262">
        <v>116</v>
      </c>
      <c r="C216" s="237" t="str">
        <f t="shared" si="91"/>
        <v/>
      </c>
      <c r="D216" s="237" t="str">
        <f t="shared" si="147"/>
        <v/>
      </c>
      <c r="E216" s="263" t="str">
        <f t="shared" si="128"/>
        <v/>
      </c>
      <c r="F216" s="264" t="str">
        <f t="shared" si="129"/>
        <v/>
      </c>
      <c r="G216" s="264" t="str">
        <f t="shared" si="130"/>
        <v/>
      </c>
      <c r="H216" s="240" t="str">
        <f t="shared" si="149"/>
        <v/>
      </c>
      <c r="I216" s="265" t="str">
        <f t="shared" si="150"/>
        <v/>
      </c>
      <c r="J216" s="265" t="str">
        <f t="shared" si="151"/>
        <v/>
      </c>
      <c r="K216" s="240" t="str">
        <f t="shared" si="152"/>
        <v/>
      </c>
      <c r="L216" s="265" t="str">
        <f t="shared" si="153"/>
        <v/>
      </c>
      <c r="M216" s="265" t="str">
        <f t="shared" si="154"/>
        <v/>
      </c>
      <c r="N216" s="240" t="str">
        <f t="shared" si="155"/>
        <v>-</v>
      </c>
      <c r="O216" s="265" t="str">
        <f t="shared" si="156"/>
        <v>-</v>
      </c>
      <c r="P216" s="265" t="str">
        <f t="shared" si="157"/>
        <v>-</v>
      </c>
      <c r="Q216" s="266" t="str">
        <f t="shared" si="158"/>
        <v>-</v>
      </c>
      <c r="R216" s="267" t="str">
        <f t="shared" si="159"/>
        <v>-</v>
      </c>
      <c r="S216" s="268" t="str">
        <f t="shared" si="160"/>
        <v>-</v>
      </c>
      <c r="T216" s="269" t="str">
        <f t="shared" si="104"/>
        <v/>
      </c>
      <c r="U216" s="221">
        <f t="shared" si="105"/>
        <v>116</v>
      </c>
      <c r="V216" s="220" t="str">
        <f t="shared" si="131"/>
        <v>-</v>
      </c>
      <c r="W216" s="221" t="str">
        <f t="shared" si="132"/>
        <v>-</v>
      </c>
      <c r="X216" s="221" t="str">
        <f t="shared" si="106"/>
        <v>-</v>
      </c>
      <c r="Y216" s="221" t="str">
        <f t="shared" si="107"/>
        <v>-</v>
      </c>
      <c r="Z216" s="270">
        <f t="shared" si="133"/>
        <v>0.1</v>
      </c>
      <c r="AA216" s="271" t="str">
        <f>IFERROR(IF(V215=1,AA$100*EXP(-(LN(2)/$D$65+0.04)*X215)*EXP(-(LN(2)/$D$65+0.1)*Y215),IF(V215=2,AA$100*EXP(-(LN(2)/$D$65+0.04)*(VLOOKUP(($F$16-$F$15)-1,U$99:Y215,4,FALSE)))*EXP(-(LN(2)/$D$65+0.1)*(VLOOKUP(($F$16-$F$15)-1,U$99:Y215,5,FALSE)))*EXP(-(LN(2)/$D$65+0.04)*X215)*EXP(-(LN(2)/$D$65+0.1)*Y215),IF(V215=3,AA$100*EXP(-(LN(2)/$D$65+0.04)*(VLOOKUP(($F$16-$F$15)-1,U$99:Y215,4,FALSE)))*EXP(-(LN(2)/$D$65+0.1)*(VLOOKUP(($F$16-$F$15)-1,U$99:Y215,5,FALSE)))*EXP(-(LN(2)/$D$65+0.04)*(VLOOKUP(($F$16-$F$15)*2-1,U$99:Y215,4,FALSE)))*EXP(-(LN(2)/$D$65+0.1)*(VLOOKUP(($F$16-$F$15)*2-1,U$99:Y215,5,FALSE)))*EXP(-(LN(2)/$D$65+0.04)*X215)*EXP(-(LN(2)/$D$65+0.1)*Y215),"-"))),"-")</f>
        <v>-</v>
      </c>
      <c r="AB216" s="271" t="str">
        <f>IFERROR(IF(V216=1,AB$100*EXP(-(LN(2)/$D$65+0.04)*X216)*EXP(-(LN(2)/$D$65+0.1)*Y216),IF(V216=2,AB$100*EXP(-(LN(2)/$D$65+0.04)*(VLOOKUP(($F$16-$F$15)-1,U$100:Y216,4,FALSE)))*EXP(-(LN(2)/$D$65+0.1)*(VLOOKUP(($F$16-$F$15)-1,U$100:Y216,5,FALSE)))*EXP(-(LN(2)/$D$65+0.04)*X216)*EXP(-(LN(2)/$D$65+0.1)*Y216),IF(V216=3,AB$100*EXP(-(LN(2)/$D$65+0.04)*(VLOOKUP(($F$16-$F$15)-1,U$100:Y216,4,FALSE)))*EXP(-(LN(2)/$D$65+0.1)*(VLOOKUP(($F$16-$F$15)-1,U$100:Y216,5,FALSE)))*EXP(-(LN(2)/$D$65+0.04)*(VLOOKUP(($F$16-$F$15)*2-1,U$100:Y216,4,FALSE)))*EXP(-(LN(2)/$D$65+0.1)*(VLOOKUP(($F$16-$F$15)*2-1,U$100:Y216,5,FALSE)))*EXP(-(LN(2)/$D$65+0.04)*X216)*EXP(-(LN(2)/$D$65+0.1)*Y216),"-"))),"-")</f>
        <v>-</v>
      </c>
      <c r="AC216" s="224">
        <f t="shared" si="134"/>
        <v>116</v>
      </c>
      <c r="AD216" s="223" t="str">
        <f t="shared" si="108"/>
        <v>-</v>
      </c>
      <c r="AE216" s="224" t="str">
        <f t="shared" si="135"/>
        <v>-</v>
      </c>
      <c r="AF216" s="224" t="str">
        <f t="shared" si="109"/>
        <v>-</v>
      </c>
      <c r="AG216" s="224" t="str">
        <f t="shared" si="110"/>
        <v>-</v>
      </c>
      <c r="AH216" s="272">
        <f t="shared" si="136"/>
        <v>0.1</v>
      </c>
      <c r="AI216" s="271" t="str">
        <f>IFERROR(IF(AD215=1,AI$100*EXP(-(LN(2)/$D$65+0.04)*AF215)*EXP(-(LN(2)/$D$65+0.1)*AG215),IF(AD215=2,AI$100*EXP(-(LN(2)/$D$65+0.04)*(VLOOKUP(($F$16-$F$15)-1,AC$99:AG215,4,FALSE)))*EXP(-(LN(2)/$D$65+0.1)*(VLOOKUP(($F$16-$F$15)-1,AC$99:AG215,5,FALSE)))*EXP(-(LN(2)/$D$65+0.04)*AF215)*EXP(-(LN(2)/$D$65+0.1)*AG215),IF(AD215=3,AI$100*EXP(-(LN(2)/$D$65+0.04)*(VLOOKUP(($F$16-$F$15)-1,AC$99:AG215,4,FALSE)))*EXP(-(LN(2)/$D$65+0.1)*(VLOOKUP(($F$16-$F$15)-1,AC$99:AG215,5,FALSE)))*EXP(-(LN(2)/$D$65+0.04)*(VLOOKUP(($F$16-$F$15)*2-1,AC$99:AG215,4,FALSE)))*EXP(-(LN(2)/$D$65+0.1)*(VLOOKUP(($F$16-$F$15)*2-1,AC$99:AG215,5,FALSE)))*EXP(-(LN(2)/$D$65+0.04)*AF215)*EXP(-(LN(2)/$D$65+0.1)*AG215),"-"))),"-")</f>
        <v>-</v>
      </c>
      <c r="AJ216" s="271" t="str">
        <f>IFERROR(IF(AD216=1,AJ$100*EXP(-(LN(2)/$D$65+0.04)*AF216)*EXP(-(LN(2)/$D$65+0.1)*AG216),IF(AD216=2,AJ$100*EXP(-(LN(2)/$D$65+0.04)*(VLOOKUP(($F$16-$F$15)-1,AC$100:AG216,4,FALSE)))*EXP(-(LN(2)/$D$65+0.1)*(VLOOKUP(($F$16-$F$15)-1,AC$100:AG216,5,FALSE)))*EXP(-(LN(2)/$D$65+0.04)*AF216)*EXP(-(LN(2)/$D$65+0.1)*AG216),IF(AD216=3,AJ$100*EXP(-(LN(2)/$D$65+0.04)*(VLOOKUP(($F$16-$F$15)-1,AC$100:AG216,4,FALSE)))*EXP(-(LN(2)/$D$65+0.1)*(VLOOKUP(($F$16-$F$15)-1,AC$100:AG216,5,FALSE)))*EXP(-(LN(2)/$D$65+0.04)*(VLOOKUP(($F$16-$F$15)*2-1,AC$100:AG216,4,FALSE)))*EXP(-(LN(2)/$D$65+0.1)*(VLOOKUP(($F$16-$F$15)*2-1,AC$100:AG216,5,FALSE)))*EXP(-(LN(2)/$D$65+0.04)*AF216)*EXP(-(LN(2)/$D$65+0.1)*AG216),"-"))),"-")</f>
        <v>-</v>
      </c>
      <c r="AK216" s="227">
        <f t="shared" si="137"/>
        <v>116</v>
      </c>
      <c r="AL216" s="226" t="str">
        <f t="shared" si="111"/>
        <v>-</v>
      </c>
      <c r="AM216" s="227" t="str">
        <f t="shared" si="138"/>
        <v>-</v>
      </c>
      <c r="AN216" s="227" t="str">
        <f t="shared" si="139"/>
        <v>-</v>
      </c>
      <c r="AO216" s="227" t="str">
        <f t="shared" si="112"/>
        <v>-</v>
      </c>
      <c r="AP216" s="273">
        <f t="shared" si="140"/>
        <v>0.1</v>
      </c>
      <c r="AQ216" s="271" t="str">
        <f>IFERROR(IF(AL215=1,AQ$100*EXP(-(LN(2)/$D$65+0.04)*AN215)*EXP(-(LN(2)/$D$65+0.1)*AO215),IF(AL215=2,AQ$100*EXP(-(LN(2)/$D$65+0.04)*(VLOOKUP(($F$16-$F$15)-1,AK$99:AO215,4,FALSE)))*EXP(-(LN(2)/$D$65+0.1)*(VLOOKUP(($F$16-$F$15)-1,AK$99:AO215,5,FALSE)))*EXP(-(LN(2)/$D$65+0.04)*AN215)*EXP(-(LN(2)/$D$65+0.1)*AO215),IF(AL215=3,AQ$100*EXP(-(LN(2)/$D$65+0.04)*(VLOOKUP(($F$16-$F$15)-1,AK$99:AO215,4,FALSE)))*EXP(-(LN(2)/$D$65+0.1)*(VLOOKUP(($F$16-$F$15)-1,AK$99:AO215,5,FALSE)))*EXP(-(LN(2)/$D$65+0.04)*(VLOOKUP(($F$16-$F$15)*2-1,AK$99:AO215,4,FALSE)))*EXP(-(LN(2)/$D$65+0.1)*(VLOOKUP(($F$16-$F$15)*2-1,AK$99:AO215,5,FALSE)))*EXP(-(LN(2)/$D$65+0.04)*AN215)*EXP(-(LN(2)/$D$65+0.1)*AO215),"-"))),"-")</f>
        <v>-</v>
      </c>
      <c r="AR216" s="271" t="str">
        <f>IFERROR(IF(AL216=1,AR$100*EXP(-(LN(2)/$D$65+0.04)*AN216)*EXP(-(LN(2)/$D$65+0.1)*AO216),IF(AL216=2,AR$100*EXP(-(LN(2)/$D$65+0.04)*(VLOOKUP(($F$16-$F$15)-1,AK$100:AO216,4,FALSE)))*EXP(-(LN(2)/$D$65+0.1)*(VLOOKUP(($F$16-$F$15)-1,AK$100:AO216,5,FALSE)))*EXP(-(LN(2)/$D$65+0.04)*AN216)*EXP(-(LN(2)/$D$65+0.1)*AO216),IF(AL216=3,AR$100*EXP(-(LN(2)/$D$65+0.04)*(VLOOKUP(($F$16-$F$15)-1,AK$100:AO216,4,FALSE)))*EXP(-(LN(2)/$D$65+0.1)*(VLOOKUP(($F$16-$F$15)-1,AK$100:AO216,5,FALSE)))*EXP(-(LN(2)/$D$65+0.04)*(VLOOKUP(($F$16-$F$15)*2-1,AK$100:AO216,4,FALSE)))*EXP(-(LN(2)/$D$65+0.1)*(VLOOKUP(($F$16-$F$15)*2-1,AK$100:AO216,5,FALSE)))*EXP(-(LN(2)/$D$65+0.04)*AN216)*EXP(-(LN(2)/$D$65+0.1)*AO216),"-"))),"-")</f>
        <v>-</v>
      </c>
      <c r="AS216" s="274">
        <f t="shared" si="113"/>
        <v>0</v>
      </c>
      <c r="AT216" s="274">
        <f t="shared" si="114"/>
        <v>0</v>
      </c>
      <c r="AU216" s="274">
        <f t="shared" si="115"/>
        <v>0</v>
      </c>
      <c r="AV216" s="190" t="str">
        <f>IF($B216&lt;$F$22,SUM($T$100:$T216),"")</f>
        <v/>
      </c>
      <c r="AW216" s="190" t="str">
        <f t="shared" si="161"/>
        <v>-</v>
      </c>
      <c r="AX216" s="190" t="str">
        <f t="shared" si="141"/>
        <v/>
      </c>
      <c r="AY216"/>
      <c r="AZ216" s="190" t="str">
        <f ca="1">IF(ISNUMBER(OFFSET(AV216,-$F$21,0)),SUM(OFFSET($T$100,$F$21,0):$T216),"")</f>
        <v/>
      </c>
      <c r="BA216" s="190" t="str">
        <f t="shared" ca="1" si="162"/>
        <v/>
      </c>
      <c r="BB216" s="190" t="str">
        <f t="shared" ca="1" si="148"/>
        <v/>
      </c>
      <c r="BC216" s="190"/>
      <c r="BD216" s="190" t="str">
        <f ca="1">IFERROR(IF(OR(ISNUMBER(I),ISNUMBER($F$14)),IF(AND($B216&gt;=($F$16-$F$15),$B216&lt;$F$22+($F$16-$F$15)),SUM(OFFSET($T$100,($F$16-$F$15),0):$T216),""),""),"")</f>
        <v/>
      </c>
      <c r="BE216" s="190" t="str">
        <f t="shared" ca="1" si="142"/>
        <v/>
      </c>
      <c r="BF216" s="190" t="str">
        <f t="shared" ca="1" si="143"/>
        <v/>
      </c>
      <c r="BG216"/>
      <c r="BH216" s="190" t="str">
        <f ca="1">IF(ISNUMBER(OFFSET(BD216,-$F$21,0)),SUM(OFFSET($T$100,($F$16-$F$15+$F$21),0):$T216),"")</f>
        <v/>
      </c>
      <c r="BI216" s="190" t="str">
        <f t="shared" ca="1" si="163"/>
        <v/>
      </c>
      <c r="BJ216" s="190" t="str">
        <f t="shared" ca="1" si="144"/>
        <v/>
      </c>
      <c r="BK216" s="190"/>
      <c r="BL216" s="190" t="str">
        <f ca="1">IFERROR(IF(OR(ISNUMBER(I),ISNUMBER($F$14)),IF(AND($B216&gt;=($F$17-$F$15),$B216&lt;$F$22+($F$17-$F$15)),SUM(OFFSET($T$100,($F$17-$F$15),0):$T216),""),""),"")</f>
        <v/>
      </c>
      <c r="BM216" s="190" t="str">
        <f t="shared" ca="1" si="164"/>
        <v/>
      </c>
      <c r="BN216" s="190" t="str">
        <f t="shared" ca="1" si="145"/>
        <v/>
      </c>
      <c r="BO216"/>
      <c r="BP216" s="190" t="str">
        <f ca="1">IF(ISNUMBER(OFFSET(BL216,-$F$21,0)),SUM(OFFSET($T$100,($F$17-$F$15+$F$21),0):$T216),"")</f>
        <v/>
      </c>
      <c r="BQ216" s="190" t="str">
        <f t="shared" ca="1" si="165"/>
        <v/>
      </c>
      <c r="BR216" s="190" t="str">
        <f t="shared" ca="1" si="146"/>
        <v/>
      </c>
      <c r="BS216" s="190"/>
      <c r="BT216"/>
      <c r="BU216"/>
      <c r="BV216"/>
      <c r="BY216" s="99"/>
      <c r="BZ216" s="99"/>
      <c r="CA216" s="280" t="str">
        <f t="shared" si="166"/>
        <v/>
      </c>
      <c r="CB216" s="71" t="str">
        <f t="shared" si="122"/>
        <v>-</v>
      </c>
      <c r="CC216" s="33"/>
      <c r="CD216" s="261" t="str">
        <f t="shared" si="123"/>
        <v/>
      </c>
      <c r="CE216" s="280" t="str">
        <f t="shared" si="167"/>
        <v/>
      </c>
      <c r="CF216" s="71" t="str">
        <f t="shared" ca="1" si="168"/>
        <v/>
      </c>
      <c r="CG216" s="33" t="str">
        <f t="shared" si="126"/>
        <v/>
      </c>
      <c r="CH216" s="261" t="str">
        <f t="shared" ca="1" si="127"/>
        <v/>
      </c>
    </row>
    <row r="217" spans="2:86" ht="13.5" customHeight="1" x14ac:dyDescent="0.2">
      <c r="B217" s="262">
        <v>117</v>
      </c>
      <c r="C217" s="237" t="str">
        <f t="shared" si="91"/>
        <v/>
      </c>
      <c r="D217" s="237" t="str">
        <f t="shared" si="147"/>
        <v/>
      </c>
      <c r="E217" s="263" t="str">
        <f t="shared" si="128"/>
        <v/>
      </c>
      <c r="F217" s="264" t="str">
        <f t="shared" si="129"/>
        <v/>
      </c>
      <c r="G217" s="264" t="str">
        <f t="shared" si="130"/>
        <v/>
      </c>
      <c r="H217" s="240" t="str">
        <f t="shared" si="149"/>
        <v/>
      </c>
      <c r="I217" s="265" t="str">
        <f t="shared" si="150"/>
        <v/>
      </c>
      <c r="J217" s="265" t="str">
        <f t="shared" si="151"/>
        <v/>
      </c>
      <c r="K217" s="240" t="str">
        <f t="shared" si="152"/>
        <v/>
      </c>
      <c r="L217" s="265" t="str">
        <f t="shared" si="153"/>
        <v/>
      </c>
      <c r="M217" s="265" t="str">
        <f t="shared" si="154"/>
        <v/>
      </c>
      <c r="N217" s="240" t="str">
        <f t="shared" si="155"/>
        <v>-</v>
      </c>
      <c r="O217" s="265" t="str">
        <f t="shared" si="156"/>
        <v>-</v>
      </c>
      <c r="P217" s="265" t="str">
        <f t="shared" si="157"/>
        <v>-</v>
      </c>
      <c r="Q217" s="266" t="str">
        <f t="shared" si="158"/>
        <v>-</v>
      </c>
      <c r="R217" s="267" t="str">
        <f t="shared" si="159"/>
        <v>-</v>
      </c>
      <c r="S217" s="268" t="str">
        <f t="shared" si="160"/>
        <v>-</v>
      </c>
      <c r="T217" s="269" t="str">
        <f t="shared" si="104"/>
        <v/>
      </c>
      <c r="U217" s="221">
        <f t="shared" si="105"/>
        <v>117</v>
      </c>
      <c r="V217" s="220" t="str">
        <f t="shared" si="131"/>
        <v>-</v>
      </c>
      <c r="W217" s="221" t="str">
        <f t="shared" si="132"/>
        <v>-</v>
      </c>
      <c r="X217" s="221" t="str">
        <f t="shared" si="106"/>
        <v>-</v>
      </c>
      <c r="Y217" s="221" t="str">
        <f t="shared" si="107"/>
        <v>-</v>
      </c>
      <c r="Z217" s="270">
        <f t="shared" si="133"/>
        <v>0.1</v>
      </c>
      <c r="AA217" s="271" t="str">
        <f>IFERROR(IF(V216=1,AA$100*EXP(-(LN(2)/$D$65+0.04)*X216)*EXP(-(LN(2)/$D$65+0.1)*Y216),IF(V216=2,AA$100*EXP(-(LN(2)/$D$65+0.04)*(VLOOKUP(($F$16-$F$15)-1,U$99:Y216,4,FALSE)))*EXP(-(LN(2)/$D$65+0.1)*(VLOOKUP(($F$16-$F$15)-1,U$99:Y216,5,FALSE)))*EXP(-(LN(2)/$D$65+0.04)*X216)*EXP(-(LN(2)/$D$65+0.1)*Y216),IF(V216=3,AA$100*EXP(-(LN(2)/$D$65+0.04)*(VLOOKUP(($F$16-$F$15)-1,U$99:Y216,4,FALSE)))*EXP(-(LN(2)/$D$65+0.1)*(VLOOKUP(($F$16-$F$15)-1,U$99:Y216,5,FALSE)))*EXP(-(LN(2)/$D$65+0.04)*(VLOOKUP(($F$16-$F$15)*2-1,U$99:Y216,4,FALSE)))*EXP(-(LN(2)/$D$65+0.1)*(VLOOKUP(($F$16-$F$15)*2-1,U$99:Y216,5,FALSE)))*EXP(-(LN(2)/$D$65+0.04)*X216)*EXP(-(LN(2)/$D$65+0.1)*Y216),"-"))),"-")</f>
        <v>-</v>
      </c>
      <c r="AB217" s="271" t="str">
        <f>IFERROR(IF(V217=1,AB$100*EXP(-(LN(2)/$D$65+0.04)*X217)*EXP(-(LN(2)/$D$65+0.1)*Y217),IF(V217=2,AB$100*EXP(-(LN(2)/$D$65+0.04)*(VLOOKUP(($F$16-$F$15)-1,U$100:Y217,4,FALSE)))*EXP(-(LN(2)/$D$65+0.1)*(VLOOKUP(($F$16-$F$15)-1,U$100:Y217,5,FALSE)))*EXP(-(LN(2)/$D$65+0.04)*X217)*EXP(-(LN(2)/$D$65+0.1)*Y217),IF(V217=3,AB$100*EXP(-(LN(2)/$D$65+0.04)*(VLOOKUP(($F$16-$F$15)-1,U$100:Y217,4,FALSE)))*EXP(-(LN(2)/$D$65+0.1)*(VLOOKUP(($F$16-$F$15)-1,U$100:Y217,5,FALSE)))*EXP(-(LN(2)/$D$65+0.04)*(VLOOKUP(($F$16-$F$15)*2-1,U$100:Y217,4,FALSE)))*EXP(-(LN(2)/$D$65+0.1)*(VLOOKUP(($F$16-$F$15)*2-1,U$100:Y217,5,FALSE)))*EXP(-(LN(2)/$D$65+0.04)*X217)*EXP(-(LN(2)/$D$65+0.1)*Y217),"-"))),"-")</f>
        <v>-</v>
      </c>
      <c r="AC217" s="224">
        <f t="shared" si="134"/>
        <v>117</v>
      </c>
      <c r="AD217" s="223" t="str">
        <f t="shared" si="108"/>
        <v>-</v>
      </c>
      <c r="AE217" s="224" t="str">
        <f t="shared" si="135"/>
        <v>-</v>
      </c>
      <c r="AF217" s="224" t="str">
        <f t="shared" si="109"/>
        <v>-</v>
      </c>
      <c r="AG217" s="224" t="str">
        <f t="shared" si="110"/>
        <v>-</v>
      </c>
      <c r="AH217" s="272">
        <f t="shared" si="136"/>
        <v>0.1</v>
      </c>
      <c r="AI217" s="271" t="str">
        <f>IFERROR(IF(AD216=1,AI$100*EXP(-(LN(2)/$D$65+0.04)*AF216)*EXP(-(LN(2)/$D$65+0.1)*AG216),IF(AD216=2,AI$100*EXP(-(LN(2)/$D$65+0.04)*(VLOOKUP(($F$16-$F$15)-1,AC$99:AG216,4,FALSE)))*EXP(-(LN(2)/$D$65+0.1)*(VLOOKUP(($F$16-$F$15)-1,AC$99:AG216,5,FALSE)))*EXP(-(LN(2)/$D$65+0.04)*AF216)*EXP(-(LN(2)/$D$65+0.1)*AG216),IF(AD216=3,AI$100*EXP(-(LN(2)/$D$65+0.04)*(VLOOKUP(($F$16-$F$15)-1,AC$99:AG216,4,FALSE)))*EXP(-(LN(2)/$D$65+0.1)*(VLOOKUP(($F$16-$F$15)-1,AC$99:AG216,5,FALSE)))*EXP(-(LN(2)/$D$65+0.04)*(VLOOKUP(($F$16-$F$15)*2-1,AC$99:AG216,4,FALSE)))*EXP(-(LN(2)/$D$65+0.1)*(VLOOKUP(($F$16-$F$15)*2-1,AC$99:AG216,5,FALSE)))*EXP(-(LN(2)/$D$65+0.04)*AF216)*EXP(-(LN(2)/$D$65+0.1)*AG216),"-"))),"-")</f>
        <v>-</v>
      </c>
      <c r="AJ217" s="271" t="str">
        <f>IFERROR(IF(AD217=1,AJ$100*EXP(-(LN(2)/$D$65+0.04)*AF217)*EXP(-(LN(2)/$D$65+0.1)*AG217),IF(AD217=2,AJ$100*EXP(-(LN(2)/$D$65+0.04)*(VLOOKUP(($F$16-$F$15)-1,AC$100:AG217,4,FALSE)))*EXP(-(LN(2)/$D$65+0.1)*(VLOOKUP(($F$16-$F$15)-1,AC$100:AG217,5,FALSE)))*EXP(-(LN(2)/$D$65+0.04)*AF217)*EXP(-(LN(2)/$D$65+0.1)*AG217),IF(AD217=3,AJ$100*EXP(-(LN(2)/$D$65+0.04)*(VLOOKUP(($F$16-$F$15)-1,AC$100:AG217,4,FALSE)))*EXP(-(LN(2)/$D$65+0.1)*(VLOOKUP(($F$16-$F$15)-1,AC$100:AG217,5,FALSE)))*EXP(-(LN(2)/$D$65+0.04)*(VLOOKUP(($F$16-$F$15)*2-1,AC$100:AG217,4,FALSE)))*EXP(-(LN(2)/$D$65+0.1)*(VLOOKUP(($F$16-$F$15)*2-1,AC$100:AG217,5,FALSE)))*EXP(-(LN(2)/$D$65+0.04)*AF217)*EXP(-(LN(2)/$D$65+0.1)*AG217),"-"))),"-")</f>
        <v>-</v>
      </c>
      <c r="AK217" s="227">
        <f t="shared" si="137"/>
        <v>117</v>
      </c>
      <c r="AL217" s="226" t="str">
        <f t="shared" si="111"/>
        <v>-</v>
      </c>
      <c r="AM217" s="227" t="str">
        <f t="shared" si="138"/>
        <v>-</v>
      </c>
      <c r="AN217" s="227" t="str">
        <f t="shared" si="139"/>
        <v>-</v>
      </c>
      <c r="AO217" s="227" t="str">
        <f t="shared" si="112"/>
        <v>-</v>
      </c>
      <c r="AP217" s="273">
        <f t="shared" si="140"/>
        <v>0.1</v>
      </c>
      <c r="AQ217" s="271" t="str">
        <f>IFERROR(IF(AL216=1,AQ$100*EXP(-(LN(2)/$D$65+0.04)*AN216)*EXP(-(LN(2)/$D$65+0.1)*AO216),IF(AL216=2,AQ$100*EXP(-(LN(2)/$D$65+0.04)*(VLOOKUP(($F$16-$F$15)-1,AK$99:AO216,4,FALSE)))*EXP(-(LN(2)/$D$65+0.1)*(VLOOKUP(($F$16-$F$15)-1,AK$99:AO216,5,FALSE)))*EXP(-(LN(2)/$D$65+0.04)*AN216)*EXP(-(LN(2)/$D$65+0.1)*AO216),IF(AL216=3,AQ$100*EXP(-(LN(2)/$D$65+0.04)*(VLOOKUP(($F$16-$F$15)-1,AK$99:AO216,4,FALSE)))*EXP(-(LN(2)/$D$65+0.1)*(VLOOKUP(($F$16-$F$15)-1,AK$99:AO216,5,FALSE)))*EXP(-(LN(2)/$D$65+0.04)*(VLOOKUP(($F$16-$F$15)*2-1,AK$99:AO216,4,FALSE)))*EXP(-(LN(2)/$D$65+0.1)*(VLOOKUP(($F$16-$F$15)*2-1,AK$99:AO216,5,FALSE)))*EXP(-(LN(2)/$D$65+0.04)*AN216)*EXP(-(LN(2)/$D$65+0.1)*AO216),"-"))),"-")</f>
        <v>-</v>
      </c>
      <c r="AR217" s="271" t="str">
        <f>IFERROR(IF(AL217=1,AR$100*EXP(-(LN(2)/$D$65+0.04)*AN217)*EXP(-(LN(2)/$D$65+0.1)*AO217),IF(AL217=2,AR$100*EXP(-(LN(2)/$D$65+0.04)*(VLOOKUP(($F$16-$F$15)-1,AK$100:AO217,4,FALSE)))*EXP(-(LN(2)/$D$65+0.1)*(VLOOKUP(($F$16-$F$15)-1,AK$100:AO217,5,FALSE)))*EXP(-(LN(2)/$D$65+0.04)*AN217)*EXP(-(LN(2)/$D$65+0.1)*AO217),IF(AL217=3,AR$100*EXP(-(LN(2)/$D$65+0.04)*(VLOOKUP(($F$16-$F$15)-1,AK$100:AO217,4,FALSE)))*EXP(-(LN(2)/$D$65+0.1)*(VLOOKUP(($F$16-$F$15)-1,AK$100:AO217,5,FALSE)))*EXP(-(LN(2)/$D$65+0.04)*(VLOOKUP(($F$16-$F$15)*2-1,AK$100:AO217,4,FALSE)))*EXP(-(LN(2)/$D$65+0.1)*(VLOOKUP(($F$16-$F$15)*2-1,AK$100:AO217,5,FALSE)))*EXP(-(LN(2)/$D$65+0.04)*AN217)*EXP(-(LN(2)/$D$65+0.1)*AO217),"-"))),"-")</f>
        <v>-</v>
      </c>
      <c r="AS217" s="274">
        <f t="shared" si="113"/>
        <v>0</v>
      </c>
      <c r="AT217" s="274">
        <f t="shared" si="114"/>
        <v>0</v>
      </c>
      <c r="AU217" s="274">
        <f t="shared" si="115"/>
        <v>0</v>
      </c>
      <c r="AV217" s="190" t="str">
        <f>IF($B217&lt;$F$22,SUM($T$100:$T217),"")</f>
        <v/>
      </c>
      <c r="AW217" s="190" t="str">
        <f t="shared" si="161"/>
        <v>-</v>
      </c>
      <c r="AX217" s="190" t="str">
        <f t="shared" si="141"/>
        <v/>
      </c>
      <c r="AY217"/>
      <c r="AZ217" s="190" t="str">
        <f ca="1">IF(ISNUMBER(OFFSET(AV217,-$F$21,0)),SUM(OFFSET($T$100,$F$21,0):$T217),"")</f>
        <v/>
      </c>
      <c r="BA217" s="190" t="str">
        <f t="shared" ca="1" si="162"/>
        <v/>
      </c>
      <c r="BB217" s="190" t="str">
        <f t="shared" ca="1" si="148"/>
        <v/>
      </c>
      <c r="BC217" s="190"/>
      <c r="BD217" s="190" t="str">
        <f ca="1">IFERROR(IF(OR(ISNUMBER(I),ISNUMBER($F$14)),IF(AND($B217&gt;=($F$16-$F$15),$B217&lt;$F$22+($F$16-$F$15)),SUM(OFFSET($T$100,($F$16-$F$15),0):$T217),""),""),"")</f>
        <v/>
      </c>
      <c r="BE217" s="190" t="str">
        <f t="shared" ca="1" si="142"/>
        <v/>
      </c>
      <c r="BF217" s="190" t="str">
        <f t="shared" ca="1" si="143"/>
        <v/>
      </c>
      <c r="BG217"/>
      <c r="BH217" s="190" t="str">
        <f ca="1">IF(ISNUMBER(OFFSET(BD217,-$F$21,0)),SUM(OFFSET($T$100,($F$16-$F$15+$F$21),0):$T217),"")</f>
        <v/>
      </c>
      <c r="BI217" s="190" t="str">
        <f t="shared" ca="1" si="163"/>
        <v/>
      </c>
      <c r="BJ217" s="190" t="str">
        <f t="shared" ca="1" si="144"/>
        <v/>
      </c>
      <c r="BK217" s="190"/>
      <c r="BL217" s="190" t="str">
        <f ca="1">IFERROR(IF(OR(ISNUMBER(I),ISNUMBER($F$14)),IF(AND($B217&gt;=($F$17-$F$15),$B217&lt;$F$22+($F$17-$F$15)),SUM(OFFSET($T$100,($F$17-$F$15),0):$T217),""),""),"")</f>
        <v/>
      </c>
      <c r="BM217" s="190" t="str">
        <f t="shared" ca="1" si="164"/>
        <v/>
      </c>
      <c r="BN217" s="190" t="str">
        <f t="shared" ca="1" si="145"/>
        <v/>
      </c>
      <c r="BO217"/>
      <c r="BP217" s="190" t="str">
        <f ca="1">IF(ISNUMBER(OFFSET(BL217,-$F$21,0)),SUM(OFFSET($T$100,($F$17-$F$15+$F$21),0):$T217),"")</f>
        <v/>
      </c>
      <c r="BQ217" s="190" t="str">
        <f t="shared" ca="1" si="165"/>
        <v/>
      </c>
      <c r="BR217" s="190" t="str">
        <f t="shared" ca="1" si="146"/>
        <v/>
      </c>
      <c r="BS217" s="190"/>
      <c r="BT217"/>
      <c r="BU217"/>
      <c r="BV217"/>
      <c r="BY217" s="99"/>
      <c r="BZ217" s="99"/>
      <c r="CA217" s="280" t="str">
        <f t="shared" si="166"/>
        <v/>
      </c>
      <c r="CB217" s="71" t="str">
        <f t="shared" si="122"/>
        <v>-</v>
      </c>
      <c r="CC217" s="33"/>
      <c r="CD217" s="261" t="str">
        <f t="shared" si="123"/>
        <v/>
      </c>
      <c r="CE217" s="280" t="str">
        <f t="shared" si="167"/>
        <v/>
      </c>
      <c r="CF217" s="71" t="str">
        <f t="shared" ca="1" si="168"/>
        <v/>
      </c>
      <c r="CG217" s="33" t="str">
        <f t="shared" si="126"/>
        <v/>
      </c>
      <c r="CH217" s="261" t="str">
        <f t="shared" ca="1" si="127"/>
        <v/>
      </c>
    </row>
    <row r="218" spans="2:86" ht="13.5" customHeight="1" x14ac:dyDescent="0.2">
      <c r="B218" s="262">
        <v>118</v>
      </c>
      <c r="C218" s="237" t="str">
        <f t="shared" si="91"/>
        <v/>
      </c>
      <c r="D218" s="237" t="str">
        <f t="shared" si="147"/>
        <v/>
      </c>
      <c r="E218" s="263" t="str">
        <f t="shared" si="128"/>
        <v/>
      </c>
      <c r="F218" s="264" t="str">
        <f t="shared" si="129"/>
        <v/>
      </c>
      <c r="G218" s="264" t="str">
        <f t="shared" si="130"/>
        <v/>
      </c>
      <c r="H218" s="240" t="str">
        <f t="shared" si="149"/>
        <v/>
      </c>
      <c r="I218" s="265" t="str">
        <f t="shared" si="150"/>
        <v/>
      </c>
      <c r="J218" s="265" t="str">
        <f t="shared" si="151"/>
        <v/>
      </c>
      <c r="K218" s="240" t="str">
        <f t="shared" si="152"/>
        <v/>
      </c>
      <c r="L218" s="265" t="str">
        <f t="shared" si="153"/>
        <v/>
      </c>
      <c r="M218" s="265" t="str">
        <f t="shared" si="154"/>
        <v/>
      </c>
      <c r="N218" s="240" t="str">
        <f t="shared" si="155"/>
        <v>-</v>
      </c>
      <c r="O218" s="265" t="str">
        <f t="shared" si="156"/>
        <v>-</v>
      </c>
      <c r="P218" s="265" t="str">
        <f t="shared" si="157"/>
        <v>-</v>
      </c>
      <c r="Q218" s="266" t="str">
        <f t="shared" si="158"/>
        <v>-</v>
      </c>
      <c r="R218" s="267" t="str">
        <f t="shared" si="159"/>
        <v>-</v>
      </c>
      <c r="S218" s="268" t="str">
        <f t="shared" si="160"/>
        <v>-</v>
      </c>
      <c r="T218" s="269" t="str">
        <f t="shared" si="104"/>
        <v/>
      </c>
      <c r="U218" s="221">
        <f t="shared" si="105"/>
        <v>118</v>
      </c>
      <c r="V218" s="220" t="str">
        <f t="shared" si="131"/>
        <v>-</v>
      </c>
      <c r="W218" s="221" t="str">
        <f t="shared" si="132"/>
        <v>-</v>
      </c>
      <c r="X218" s="221" t="str">
        <f t="shared" si="106"/>
        <v>-</v>
      </c>
      <c r="Y218" s="221" t="str">
        <f t="shared" si="107"/>
        <v>-</v>
      </c>
      <c r="Z218" s="270">
        <f t="shared" si="133"/>
        <v>0.1</v>
      </c>
      <c r="AA218" s="271" t="str">
        <f>IFERROR(IF(V217=1,AA$100*EXP(-(LN(2)/$D$65+0.04)*X217)*EXP(-(LN(2)/$D$65+0.1)*Y217),IF(V217=2,AA$100*EXP(-(LN(2)/$D$65+0.04)*(VLOOKUP(($F$16-$F$15)-1,U$99:Y217,4,FALSE)))*EXP(-(LN(2)/$D$65+0.1)*(VLOOKUP(($F$16-$F$15)-1,U$99:Y217,5,FALSE)))*EXP(-(LN(2)/$D$65+0.04)*X217)*EXP(-(LN(2)/$D$65+0.1)*Y217),IF(V217=3,AA$100*EXP(-(LN(2)/$D$65+0.04)*(VLOOKUP(($F$16-$F$15)-1,U$99:Y217,4,FALSE)))*EXP(-(LN(2)/$D$65+0.1)*(VLOOKUP(($F$16-$F$15)-1,U$99:Y217,5,FALSE)))*EXP(-(LN(2)/$D$65+0.04)*(VLOOKUP(($F$16-$F$15)*2-1,U$99:Y217,4,FALSE)))*EXP(-(LN(2)/$D$65+0.1)*(VLOOKUP(($F$16-$F$15)*2-1,U$99:Y217,5,FALSE)))*EXP(-(LN(2)/$D$65+0.04)*X217)*EXP(-(LN(2)/$D$65+0.1)*Y217),"-"))),"-")</f>
        <v>-</v>
      </c>
      <c r="AB218" s="271" t="str">
        <f>IFERROR(IF(V218=1,AB$100*EXP(-(LN(2)/$D$65+0.04)*X218)*EXP(-(LN(2)/$D$65+0.1)*Y218),IF(V218=2,AB$100*EXP(-(LN(2)/$D$65+0.04)*(VLOOKUP(($F$16-$F$15)-1,U$100:Y218,4,FALSE)))*EXP(-(LN(2)/$D$65+0.1)*(VLOOKUP(($F$16-$F$15)-1,U$100:Y218,5,FALSE)))*EXP(-(LN(2)/$D$65+0.04)*X218)*EXP(-(LN(2)/$D$65+0.1)*Y218),IF(V218=3,AB$100*EXP(-(LN(2)/$D$65+0.04)*(VLOOKUP(($F$16-$F$15)-1,U$100:Y218,4,FALSE)))*EXP(-(LN(2)/$D$65+0.1)*(VLOOKUP(($F$16-$F$15)-1,U$100:Y218,5,FALSE)))*EXP(-(LN(2)/$D$65+0.04)*(VLOOKUP(($F$16-$F$15)*2-1,U$100:Y218,4,FALSE)))*EXP(-(LN(2)/$D$65+0.1)*(VLOOKUP(($F$16-$F$15)*2-1,U$100:Y218,5,FALSE)))*EXP(-(LN(2)/$D$65+0.04)*X218)*EXP(-(LN(2)/$D$65+0.1)*Y218),"-"))),"-")</f>
        <v>-</v>
      </c>
      <c r="AC218" s="224">
        <f t="shared" si="134"/>
        <v>118</v>
      </c>
      <c r="AD218" s="223" t="str">
        <f t="shared" si="108"/>
        <v>-</v>
      </c>
      <c r="AE218" s="224" t="str">
        <f t="shared" si="135"/>
        <v>-</v>
      </c>
      <c r="AF218" s="224" t="str">
        <f t="shared" si="109"/>
        <v>-</v>
      </c>
      <c r="AG218" s="224" t="str">
        <f t="shared" si="110"/>
        <v>-</v>
      </c>
      <c r="AH218" s="272">
        <f t="shared" si="136"/>
        <v>0.1</v>
      </c>
      <c r="AI218" s="271" t="str">
        <f>IFERROR(IF(AD217=1,AI$100*EXP(-(LN(2)/$D$65+0.04)*AF217)*EXP(-(LN(2)/$D$65+0.1)*AG217),IF(AD217=2,AI$100*EXP(-(LN(2)/$D$65+0.04)*(VLOOKUP(($F$16-$F$15)-1,AC$99:AG217,4,FALSE)))*EXP(-(LN(2)/$D$65+0.1)*(VLOOKUP(($F$16-$F$15)-1,AC$99:AG217,5,FALSE)))*EXP(-(LN(2)/$D$65+0.04)*AF217)*EXP(-(LN(2)/$D$65+0.1)*AG217),IF(AD217=3,AI$100*EXP(-(LN(2)/$D$65+0.04)*(VLOOKUP(($F$16-$F$15)-1,AC$99:AG217,4,FALSE)))*EXP(-(LN(2)/$D$65+0.1)*(VLOOKUP(($F$16-$F$15)-1,AC$99:AG217,5,FALSE)))*EXP(-(LN(2)/$D$65+0.04)*(VLOOKUP(($F$16-$F$15)*2-1,AC$99:AG217,4,FALSE)))*EXP(-(LN(2)/$D$65+0.1)*(VLOOKUP(($F$16-$F$15)*2-1,AC$99:AG217,5,FALSE)))*EXP(-(LN(2)/$D$65+0.04)*AF217)*EXP(-(LN(2)/$D$65+0.1)*AG217),"-"))),"-")</f>
        <v>-</v>
      </c>
      <c r="AJ218" s="271" t="str">
        <f>IFERROR(IF(AD218=1,AJ$100*EXP(-(LN(2)/$D$65+0.04)*AF218)*EXP(-(LN(2)/$D$65+0.1)*AG218),IF(AD218=2,AJ$100*EXP(-(LN(2)/$D$65+0.04)*(VLOOKUP(($F$16-$F$15)-1,AC$100:AG218,4,FALSE)))*EXP(-(LN(2)/$D$65+0.1)*(VLOOKUP(($F$16-$F$15)-1,AC$100:AG218,5,FALSE)))*EXP(-(LN(2)/$D$65+0.04)*AF218)*EXP(-(LN(2)/$D$65+0.1)*AG218),IF(AD218=3,AJ$100*EXP(-(LN(2)/$D$65+0.04)*(VLOOKUP(($F$16-$F$15)-1,AC$100:AG218,4,FALSE)))*EXP(-(LN(2)/$D$65+0.1)*(VLOOKUP(($F$16-$F$15)-1,AC$100:AG218,5,FALSE)))*EXP(-(LN(2)/$D$65+0.04)*(VLOOKUP(($F$16-$F$15)*2-1,AC$100:AG218,4,FALSE)))*EXP(-(LN(2)/$D$65+0.1)*(VLOOKUP(($F$16-$F$15)*2-1,AC$100:AG218,5,FALSE)))*EXP(-(LN(2)/$D$65+0.04)*AF218)*EXP(-(LN(2)/$D$65+0.1)*AG218),"-"))),"-")</f>
        <v>-</v>
      </c>
      <c r="AK218" s="227">
        <f t="shared" si="137"/>
        <v>118</v>
      </c>
      <c r="AL218" s="226" t="str">
        <f t="shared" si="111"/>
        <v>-</v>
      </c>
      <c r="AM218" s="227" t="str">
        <f t="shared" si="138"/>
        <v>-</v>
      </c>
      <c r="AN218" s="227" t="str">
        <f t="shared" si="139"/>
        <v>-</v>
      </c>
      <c r="AO218" s="227" t="str">
        <f t="shared" si="112"/>
        <v>-</v>
      </c>
      <c r="AP218" s="273">
        <f t="shared" si="140"/>
        <v>0.1</v>
      </c>
      <c r="AQ218" s="271" t="str">
        <f>IFERROR(IF(AL217=1,AQ$100*EXP(-(LN(2)/$D$65+0.04)*AN217)*EXP(-(LN(2)/$D$65+0.1)*AO217),IF(AL217=2,AQ$100*EXP(-(LN(2)/$D$65+0.04)*(VLOOKUP(($F$16-$F$15)-1,AK$99:AO217,4,FALSE)))*EXP(-(LN(2)/$D$65+0.1)*(VLOOKUP(($F$16-$F$15)-1,AK$99:AO217,5,FALSE)))*EXP(-(LN(2)/$D$65+0.04)*AN217)*EXP(-(LN(2)/$D$65+0.1)*AO217),IF(AL217=3,AQ$100*EXP(-(LN(2)/$D$65+0.04)*(VLOOKUP(($F$16-$F$15)-1,AK$99:AO217,4,FALSE)))*EXP(-(LN(2)/$D$65+0.1)*(VLOOKUP(($F$16-$F$15)-1,AK$99:AO217,5,FALSE)))*EXP(-(LN(2)/$D$65+0.04)*(VLOOKUP(($F$16-$F$15)*2-1,AK$99:AO217,4,FALSE)))*EXP(-(LN(2)/$D$65+0.1)*(VLOOKUP(($F$16-$F$15)*2-1,AK$99:AO217,5,FALSE)))*EXP(-(LN(2)/$D$65+0.04)*AN217)*EXP(-(LN(2)/$D$65+0.1)*AO217),"-"))),"-")</f>
        <v>-</v>
      </c>
      <c r="AR218" s="271" t="str">
        <f>IFERROR(IF(AL218=1,AR$100*EXP(-(LN(2)/$D$65+0.04)*AN218)*EXP(-(LN(2)/$D$65+0.1)*AO218),IF(AL218=2,AR$100*EXP(-(LN(2)/$D$65+0.04)*(VLOOKUP(($F$16-$F$15)-1,AK$100:AO218,4,FALSE)))*EXP(-(LN(2)/$D$65+0.1)*(VLOOKUP(($F$16-$F$15)-1,AK$100:AO218,5,FALSE)))*EXP(-(LN(2)/$D$65+0.04)*AN218)*EXP(-(LN(2)/$D$65+0.1)*AO218),IF(AL218=3,AR$100*EXP(-(LN(2)/$D$65+0.04)*(VLOOKUP(($F$16-$F$15)-1,AK$100:AO218,4,FALSE)))*EXP(-(LN(2)/$D$65+0.1)*(VLOOKUP(($F$16-$F$15)-1,AK$100:AO218,5,FALSE)))*EXP(-(LN(2)/$D$65+0.04)*(VLOOKUP(($F$16-$F$15)*2-1,AK$100:AO218,4,FALSE)))*EXP(-(LN(2)/$D$65+0.1)*(VLOOKUP(($F$16-$F$15)*2-1,AK$100:AO218,5,FALSE)))*EXP(-(LN(2)/$D$65+0.04)*AN218)*EXP(-(LN(2)/$D$65+0.1)*AO218),"-"))),"-")</f>
        <v>-</v>
      </c>
      <c r="AS218" s="274">
        <f t="shared" si="113"/>
        <v>0</v>
      </c>
      <c r="AT218" s="274">
        <f t="shared" si="114"/>
        <v>0</v>
      </c>
      <c r="AU218" s="274">
        <f t="shared" si="115"/>
        <v>0</v>
      </c>
      <c r="AV218" s="190" t="str">
        <f>IF($B218&lt;$F$22,SUM($T$100:$T218),"")</f>
        <v/>
      </c>
      <c r="AW218" s="190" t="str">
        <f t="shared" si="161"/>
        <v>-</v>
      </c>
      <c r="AX218" s="190" t="str">
        <f t="shared" si="141"/>
        <v/>
      </c>
      <c r="AY218"/>
      <c r="AZ218" s="190" t="str">
        <f ca="1">IF(ISNUMBER(OFFSET(AV218,-$F$21,0)),SUM(OFFSET($T$100,$F$21,0):$T218),"")</f>
        <v/>
      </c>
      <c r="BA218" s="190" t="str">
        <f t="shared" ca="1" si="162"/>
        <v/>
      </c>
      <c r="BB218" s="190" t="str">
        <f t="shared" ca="1" si="148"/>
        <v/>
      </c>
      <c r="BC218" s="190"/>
      <c r="BD218" s="190" t="str">
        <f ca="1">IFERROR(IF(OR(ISNUMBER(I),ISNUMBER($F$14)),IF(AND($B218&gt;=($F$16-$F$15),$B218&lt;$F$22+($F$16-$F$15)),SUM(OFFSET($T$100,($F$16-$F$15),0):$T218),""),""),"")</f>
        <v/>
      </c>
      <c r="BE218" s="190" t="str">
        <f t="shared" ca="1" si="142"/>
        <v/>
      </c>
      <c r="BF218" s="190" t="str">
        <f t="shared" ca="1" si="143"/>
        <v/>
      </c>
      <c r="BG218"/>
      <c r="BH218" s="190" t="str">
        <f ca="1">IF(ISNUMBER(OFFSET(BD218,-$F$21,0)),SUM(OFFSET($T$100,($F$16-$F$15+$F$21),0):$T218),"")</f>
        <v/>
      </c>
      <c r="BI218" s="190" t="str">
        <f t="shared" ca="1" si="163"/>
        <v/>
      </c>
      <c r="BJ218" s="190" t="str">
        <f t="shared" ca="1" si="144"/>
        <v/>
      </c>
      <c r="BK218" s="190"/>
      <c r="BL218" s="190" t="str">
        <f ca="1">IFERROR(IF(OR(ISNUMBER(I),ISNUMBER($F$14)),IF(AND($B218&gt;=($F$17-$F$15),$B218&lt;$F$22+($F$17-$F$15)),SUM(OFFSET($T$100,($F$17-$F$15),0):$T218),""),""),"")</f>
        <v/>
      </c>
      <c r="BM218" s="190" t="str">
        <f t="shared" ca="1" si="164"/>
        <v/>
      </c>
      <c r="BN218" s="190" t="str">
        <f t="shared" ca="1" si="145"/>
        <v/>
      </c>
      <c r="BO218"/>
      <c r="BP218" s="190" t="str">
        <f ca="1">IF(ISNUMBER(OFFSET(BL218,-$F$21,0)),SUM(OFFSET($T$100,($F$17-$F$15+$F$21),0):$T218),"")</f>
        <v/>
      </c>
      <c r="BQ218" s="190" t="str">
        <f t="shared" ca="1" si="165"/>
        <v/>
      </c>
      <c r="BR218" s="190" t="str">
        <f t="shared" ca="1" si="146"/>
        <v/>
      </c>
      <c r="BS218" s="190"/>
      <c r="BT218"/>
      <c r="BU218"/>
      <c r="BV218"/>
      <c r="BY218" s="99"/>
      <c r="BZ218" s="99"/>
      <c r="CA218" s="280" t="str">
        <f t="shared" si="166"/>
        <v/>
      </c>
      <c r="CB218" s="71" t="str">
        <f t="shared" si="122"/>
        <v>-</v>
      </c>
      <c r="CC218" s="33"/>
      <c r="CD218" s="261" t="str">
        <f t="shared" si="123"/>
        <v/>
      </c>
      <c r="CE218" s="280" t="str">
        <f t="shared" si="167"/>
        <v/>
      </c>
      <c r="CF218" s="71" t="str">
        <f t="shared" ca="1" si="168"/>
        <v/>
      </c>
      <c r="CG218" s="33" t="str">
        <f t="shared" si="126"/>
        <v/>
      </c>
      <c r="CH218" s="261" t="str">
        <f t="shared" ca="1" si="127"/>
        <v/>
      </c>
    </row>
    <row r="219" spans="2:86" ht="13.5" customHeight="1" x14ac:dyDescent="0.2">
      <c r="B219" s="262">
        <v>119</v>
      </c>
      <c r="C219" s="237" t="str">
        <f t="shared" si="91"/>
        <v/>
      </c>
      <c r="D219" s="237" t="str">
        <f t="shared" si="147"/>
        <v/>
      </c>
      <c r="E219" s="263" t="str">
        <f t="shared" si="128"/>
        <v/>
      </c>
      <c r="F219" s="264" t="str">
        <f t="shared" si="129"/>
        <v/>
      </c>
      <c r="G219" s="264" t="str">
        <f t="shared" si="130"/>
        <v/>
      </c>
      <c r="H219" s="240" t="str">
        <f t="shared" si="149"/>
        <v/>
      </c>
      <c r="I219" s="265" t="str">
        <f t="shared" si="150"/>
        <v/>
      </c>
      <c r="J219" s="265" t="str">
        <f t="shared" si="151"/>
        <v/>
      </c>
      <c r="K219" s="240" t="str">
        <f t="shared" si="152"/>
        <v/>
      </c>
      <c r="L219" s="265" t="str">
        <f t="shared" si="153"/>
        <v/>
      </c>
      <c r="M219" s="265" t="str">
        <f t="shared" si="154"/>
        <v/>
      </c>
      <c r="N219" s="240" t="str">
        <f t="shared" si="155"/>
        <v>-</v>
      </c>
      <c r="O219" s="265" t="str">
        <f t="shared" si="156"/>
        <v>-</v>
      </c>
      <c r="P219" s="265" t="str">
        <f t="shared" si="157"/>
        <v>-</v>
      </c>
      <c r="Q219" s="266" t="str">
        <f t="shared" si="158"/>
        <v>-</v>
      </c>
      <c r="R219" s="267" t="str">
        <f t="shared" si="159"/>
        <v>-</v>
      </c>
      <c r="S219" s="268" t="str">
        <f t="shared" si="160"/>
        <v>-</v>
      </c>
      <c r="T219" s="269" t="str">
        <f t="shared" si="104"/>
        <v/>
      </c>
      <c r="U219" s="221">
        <f t="shared" si="105"/>
        <v>119</v>
      </c>
      <c r="V219" s="220" t="str">
        <f t="shared" si="131"/>
        <v>-</v>
      </c>
      <c r="W219" s="221" t="str">
        <f t="shared" si="132"/>
        <v>-</v>
      </c>
      <c r="X219" s="221" t="str">
        <f t="shared" si="106"/>
        <v>-</v>
      </c>
      <c r="Y219" s="221" t="str">
        <f t="shared" si="107"/>
        <v>-</v>
      </c>
      <c r="Z219" s="270">
        <f t="shared" si="133"/>
        <v>0.1</v>
      </c>
      <c r="AA219" s="271" t="str">
        <f>IFERROR(IF(V218=1,AA$100*EXP(-(LN(2)/$D$65+0.04)*X218)*EXP(-(LN(2)/$D$65+0.1)*Y218),IF(V218=2,AA$100*EXP(-(LN(2)/$D$65+0.04)*(VLOOKUP(($F$16-$F$15)-1,U$99:Y218,4,FALSE)))*EXP(-(LN(2)/$D$65+0.1)*(VLOOKUP(($F$16-$F$15)-1,U$99:Y218,5,FALSE)))*EXP(-(LN(2)/$D$65+0.04)*X218)*EXP(-(LN(2)/$D$65+0.1)*Y218),IF(V218=3,AA$100*EXP(-(LN(2)/$D$65+0.04)*(VLOOKUP(($F$16-$F$15)-1,U$99:Y218,4,FALSE)))*EXP(-(LN(2)/$D$65+0.1)*(VLOOKUP(($F$16-$F$15)-1,U$99:Y218,5,FALSE)))*EXP(-(LN(2)/$D$65+0.04)*(VLOOKUP(($F$16-$F$15)*2-1,U$99:Y218,4,FALSE)))*EXP(-(LN(2)/$D$65+0.1)*(VLOOKUP(($F$16-$F$15)*2-1,U$99:Y218,5,FALSE)))*EXP(-(LN(2)/$D$65+0.04)*X218)*EXP(-(LN(2)/$D$65+0.1)*Y218),"-"))),"-")</f>
        <v>-</v>
      </c>
      <c r="AB219" s="271" t="str">
        <f>IFERROR(IF(V219=1,AB$100*EXP(-(LN(2)/$D$65+0.04)*X219)*EXP(-(LN(2)/$D$65+0.1)*Y219),IF(V219=2,AB$100*EXP(-(LN(2)/$D$65+0.04)*(VLOOKUP(($F$16-$F$15)-1,U$100:Y219,4,FALSE)))*EXP(-(LN(2)/$D$65+0.1)*(VLOOKUP(($F$16-$F$15)-1,U$100:Y219,5,FALSE)))*EXP(-(LN(2)/$D$65+0.04)*X219)*EXP(-(LN(2)/$D$65+0.1)*Y219),IF(V219=3,AB$100*EXP(-(LN(2)/$D$65+0.04)*(VLOOKUP(($F$16-$F$15)-1,U$100:Y219,4,FALSE)))*EXP(-(LN(2)/$D$65+0.1)*(VLOOKUP(($F$16-$F$15)-1,U$100:Y219,5,FALSE)))*EXP(-(LN(2)/$D$65+0.04)*(VLOOKUP(($F$16-$F$15)*2-1,U$100:Y219,4,FALSE)))*EXP(-(LN(2)/$D$65+0.1)*(VLOOKUP(($F$16-$F$15)*2-1,U$100:Y219,5,FALSE)))*EXP(-(LN(2)/$D$65+0.04)*X219)*EXP(-(LN(2)/$D$65+0.1)*Y219),"-"))),"-")</f>
        <v>-</v>
      </c>
      <c r="AC219" s="224">
        <f t="shared" si="134"/>
        <v>119</v>
      </c>
      <c r="AD219" s="223" t="str">
        <f t="shared" si="108"/>
        <v>-</v>
      </c>
      <c r="AE219" s="224" t="str">
        <f t="shared" si="135"/>
        <v>-</v>
      </c>
      <c r="AF219" s="224" t="str">
        <f t="shared" si="109"/>
        <v>-</v>
      </c>
      <c r="AG219" s="224" t="str">
        <f t="shared" si="110"/>
        <v>-</v>
      </c>
      <c r="AH219" s="272">
        <f t="shared" si="136"/>
        <v>0.1</v>
      </c>
      <c r="AI219" s="271" t="str">
        <f>IFERROR(IF(AD218=1,AI$100*EXP(-(LN(2)/$D$65+0.04)*AF218)*EXP(-(LN(2)/$D$65+0.1)*AG218),IF(AD218=2,AI$100*EXP(-(LN(2)/$D$65+0.04)*(VLOOKUP(($F$16-$F$15)-1,AC$99:AG218,4,FALSE)))*EXP(-(LN(2)/$D$65+0.1)*(VLOOKUP(($F$16-$F$15)-1,AC$99:AG218,5,FALSE)))*EXP(-(LN(2)/$D$65+0.04)*AF218)*EXP(-(LN(2)/$D$65+0.1)*AG218),IF(AD218=3,AI$100*EXP(-(LN(2)/$D$65+0.04)*(VLOOKUP(($F$16-$F$15)-1,AC$99:AG218,4,FALSE)))*EXP(-(LN(2)/$D$65+0.1)*(VLOOKUP(($F$16-$F$15)-1,AC$99:AG218,5,FALSE)))*EXP(-(LN(2)/$D$65+0.04)*(VLOOKUP(($F$16-$F$15)*2-1,AC$99:AG218,4,FALSE)))*EXP(-(LN(2)/$D$65+0.1)*(VLOOKUP(($F$16-$F$15)*2-1,AC$99:AG218,5,FALSE)))*EXP(-(LN(2)/$D$65+0.04)*AF218)*EXP(-(LN(2)/$D$65+0.1)*AG218),"-"))),"-")</f>
        <v>-</v>
      </c>
      <c r="AJ219" s="271" t="str">
        <f>IFERROR(IF(AD219=1,AJ$100*EXP(-(LN(2)/$D$65+0.04)*AF219)*EXP(-(LN(2)/$D$65+0.1)*AG219),IF(AD219=2,AJ$100*EXP(-(LN(2)/$D$65+0.04)*(VLOOKUP(($F$16-$F$15)-1,AC$100:AG219,4,FALSE)))*EXP(-(LN(2)/$D$65+0.1)*(VLOOKUP(($F$16-$F$15)-1,AC$100:AG219,5,FALSE)))*EXP(-(LN(2)/$D$65+0.04)*AF219)*EXP(-(LN(2)/$D$65+0.1)*AG219),IF(AD219=3,AJ$100*EXP(-(LN(2)/$D$65+0.04)*(VLOOKUP(($F$16-$F$15)-1,AC$100:AG219,4,FALSE)))*EXP(-(LN(2)/$D$65+0.1)*(VLOOKUP(($F$16-$F$15)-1,AC$100:AG219,5,FALSE)))*EXP(-(LN(2)/$D$65+0.04)*(VLOOKUP(($F$16-$F$15)*2-1,AC$100:AG219,4,FALSE)))*EXP(-(LN(2)/$D$65+0.1)*(VLOOKUP(($F$16-$F$15)*2-1,AC$100:AG219,5,FALSE)))*EXP(-(LN(2)/$D$65+0.04)*AF219)*EXP(-(LN(2)/$D$65+0.1)*AG219),"-"))),"-")</f>
        <v>-</v>
      </c>
      <c r="AK219" s="227">
        <f t="shared" si="137"/>
        <v>119</v>
      </c>
      <c r="AL219" s="226" t="str">
        <f t="shared" si="111"/>
        <v>-</v>
      </c>
      <c r="AM219" s="227" t="str">
        <f t="shared" si="138"/>
        <v>-</v>
      </c>
      <c r="AN219" s="227" t="str">
        <f t="shared" si="139"/>
        <v>-</v>
      </c>
      <c r="AO219" s="227" t="str">
        <f t="shared" si="112"/>
        <v>-</v>
      </c>
      <c r="AP219" s="273">
        <f t="shared" si="140"/>
        <v>0.1</v>
      </c>
      <c r="AQ219" s="271" t="str">
        <f>IFERROR(IF(AL218=1,AQ$100*EXP(-(LN(2)/$D$65+0.04)*AN218)*EXP(-(LN(2)/$D$65+0.1)*AO218),IF(AL218=2,AQ$100*EXP(-(LN(2)/$D$65+0.04)*(VLOOKUP(($F$16-$F$15)-1,AK$99:AO218,4,FALSE)))*EXP(-(LN(2)/$D$65+0.1)*(VLOOKUP(($F$16-$F$15)-1,AK$99:AO218,5,FALSE)))*EXP(-(LN(2)/$D$65+0.04)*AN218)*EXP(-(LN(2)/$D$65+0.1)*AO218),IF(AL218=3,AQ$100*EXP(-(LN(2)/$D$65+0.04)*(VLOOKUP(($F$16-$F$15)-1,AK$99:AO218,4,FALSE)))*EXP(-(LN(2)/$D$65+0.1)*(VLOOKUP(($F$16-$F$15)-1,AK$99:AO218,5,FALSE)))*EXP(-(LN(2)/$D$65+0.04)*(VLOOKUP(($F$16-$F$15)*2-1,AK$99:AO218,4,FALSE)))*EXP(-(LN(2)/$D$65+0.1)*(VLOOKUP(($F$16-$F$15)*2-1,AK$99:AO218,5,FALSE)))*EXP(-(LN(2)/$D$65+0.04)*AN218)*EXP(-(LN(2)/$D$65+0.1)*AO218),"-"))),"-")</f>
        <v>-</v>
      </c>
      <c r="AR219" s="271" t="str">
        <f>IFERROR(IF(AL219=1,AR$100*EXP(-(LN(2)/$D$65+0.04)*AN219)*EXP(-(LN(2)/$D$65+0.1)*AO219),IF(AL219=2,AR$100*EXP(-(LN(2)/$D$65+0.04)*(VLOOKUP(($F$16-$F$15)-1,AK$100:AO219,4,FALSE)))*EXP(-(LN(2)/$D$65+0.1)*(VLOOKUP(($F$16-$F$15)-1,AK$100:AO219,5,FALSE)))*EXP(-(LN(2)/$D$65+0.04)*AN219)*EXP(-(LN(2)/$D$65+0.1)*AO219),IF(AL219=3,AR$100*EXP(-(LN(2)/$D$65+0.04)*(VLOOKUP(($F$16-$F$15)-1,AK$100:AO219,4,FALSE)))*EXP(-(LN(2)/$D$65+0.1)*(VLOOKUP(($F$16-$F$15)-1,AK$100:AO219,5,FALSE)))*EXP(-(LN(2)/$D$65+0.04)*(VLOOKUP(($F$16-$F$15)*2-1,AK$100:AO219,4,FALSE)))*EXP(-(LN(2)/$D$65+0.1)*(VLOOKUP(($F$16-$F$15)*2-1,AK$100:AO219,5,FALSE)))*EXP(-(LN(2)/$D$65+0.04)*AN219)*EXP(-(LN(2)/$D$65+0.1)*AO219),"-"))),"-")</f>
        <v>-</v>
      </c>
      <c r="AS219" s="274">
        <f t="shared" si="113"/>
        <v>0</v>
      </c>
      <c r="AT219" s="274">
        <f t="shared" si="114"/>
        <v>0</v>
      </c>
      <c r="AU219" s="274">
        <f t="shared" si="115"/>
        <v>0</v>
      </c>
      <c r="AV219" s="190" t="str">
        <f>IF($B219&lt;$F$22,SUM($T$100:$T219),"")</f>
        <v/>
      </c>
      <c r="AW219" s="190" t="str">
        <f t="shared" si="161"/>
        <v>-</v>
      </c>
      <c r="AX219" s="190" t="str">
        <f t="shared" si="141"/>
        <v/>
      </c>
      <c r="AY219"/>
      <c r="AZ219" s="190" t="str">
        <f ca="1">IF(ISNUMBER(OFFSET(AV219,-$F$21,0)),SUM(OFFSET($T$100,$F$21,0):$T219),"")</f>
        <v/>
      </c>
      <c r="BA219" s="190" t="str">
        <f t="shared" ca="1" si="162"/>
        <v/>
      </c>
      <c r="BB219" s="190" t="str">
        <f t="shared" ca="1" si="148"/>
        <v/>
      </c>
      <c r="BC219" s="190"/>
      <c r="BD219" s="190" t="str">
        <f ca="1">IFERROR(IF(OR(ISNUMBER(I),ISNUMBER($F$14)),IF(AND($B219&gt;=($F$16-$F$15),$B219&lt;$F$22+($F$16-$F$15)),SUM(OFFSET($T$100,($F$16-$F$15),0):$T219),""),""),"")</f>
        <v/>
      </c>
      <c r="BE219" s="190" t="str">
        <f t="shared" ca="1" si="142"/>
        <v/>
      </c>
      <c r="BF219" s="190" t="str">
        <f t="shared" ca="1" si="143"/>
        <v/>
      </c>
      <c r="BG219"/>
      <c r="BH219" s="190" t="str">
        <f ca="1">IF(ISNUMBER(OFFSET(BD219,-$F$21,0)),SUM(OFFSET($T$100,($F$16-$F$15+$F$21),0):$T219),"")</f>
        <v/>
      </c>
      <c r="BI219" s="190" t="str">
        <f t="shared" ca="1" si="163"/>
        <v/>
      </c>
      <c r="BJ219" s="190" t="str">
        <f t="shared" ca="1" si="144"/>
        <v/>
      </c>
      <c r="BK219" s="190"/>
      <c r="BL219" s="190" t="str">
        <f ca="1">IFERROR(IF(OR(ISNUMBER(I),ISNUMBER($F$14)),IF(AND($B219&gt;=($F$17-$F$15),$B219&lt;$F$22+($F$17-$F$15)),SUM(OFFSET($T$100,($F$17-$F$15),0):$T219),""),""),"")</f>
        <v/>
      </c>
      <c r="BM219" s="190" t="str">
        <f t="shared" ca="1" si="164"/>
        <v/>
      </c>
      <c r="BN219" s="190" t="str">
        <f t="shared" ca="1" si="145"/>
        <v/>
      </c>
      <c r="BO219"/>
      <c r="BP219" s="190" t="str">
        <f ca="1">IF(ISNUMBER(OFFSET(BL219,-$F$21,0)),SUM(OFFSET($T$100,($F$17-$F$15+$F$21),0):$T219),"")</f>
        <v/>
      </c>
      <c r="BQ219" s="190" t="str">
        <f t="shared" ca="1" si="165"/>
        <v/>
      </c>
      <c r="BR219" s="190" t="str">
        <f t="shared" ca="1" si="146"/>
        <v/>
      </c>
      <c r="BS219" s="190"/>
      <c r="BT219"/>
      <c r="BU219"/>
      <c r="BV219"/>
      <c r="BY219" s="99"/>
      <c r="BZ219" s="99"/>
      <c r="CA219" s="280" t="str">
        <f t="shared" si="166"/>
        <v/>
      </c>
      <c r="CB219" s="71" t="str">
        <f t="shared" si="122"/>
        <v>-</v>
      </c>
      <c r="CC219" s="33"/>
      <c r="CD219" s="261" t="str">
        <f t="shared" si="123"/>
        <v/>
      </c>
      <c r="CE219" s="280" t="str">
        <f t="shared" si="167"/>
        <v/>
      </c>
      <c r="CF219" s="71" t="str">
        <f t="shared" ca="1" si="168"/>
        <v/>
      </c>
      <c r="CG219" s="33" t="str">
        <f t="shared" si="126"/>
        <v/>
      </c>
      <c r="CH219" s="261" t="str">
        <f t="shared" ca="1" si="127"/>
        <v/>
      </c>
    </row>
    <row r="220" spans="2:86" ht="13.5" customHeight="1" x14ac:dyDescent="0.2">
      <c r="B220" s="262">
        <v>120</v>
      </c>
      <c r="C220" s="237" t="str">
        <f t="shared" si="91"/>
        <v/>
      </c>
      <c r="D220" s="237" t="str">
        <f t="shared" si="147"/>
        <v/>
      </c>
      <c r="E220" s="263" t="str">
        <f t="shared" si="128"/>
        <v/>
      </c>
      <c r="F220" s="264" t="str">
        <f t="shared" si="129"/>
        <v/>
      </c>
      <c r="G220" s="264" t="str">
        <f t="shared" si="130"/>
        <v/>
      </c>
      <c r="H220" s="240" t="str">
        <f t="shared" si="149"/>
        <v/>
      </c>
      <c r="I220" s="265" t="str">
        <f t="shared" si="150"/>
        <v/>
      </c>
      <c r="J220" s="265" t="str">
        <f t="shared" si="151"/>
        <v/>
      </c>
      <c r="K220" s="240" t="str">
        <f t="shared" si="152"/>
        <v/>
      </c>
      <c r="L220" s="265" t="str">
        <f t="shared" si="153"/>
        <v/>
      </c>
      <c r="M220" s="265" t="str">
        <f t="shared" si="154"/>
        <v/>
      </c>
      <c r="N220" s="240" t="str">
        <f t="shared" si="155"/>
        <v>-</v>
      </c>
      <c r="O220" s="265" t="str">
        <f t="shared" si="156"/>
        <v>-</v>
      </c>
      <c r="P220" s="265" t="str">
        <f t="shared" si="157"/>
        <v>-</v>
      </c>
      <c r="Q220" s="266" t="str">
        <f t="shared" si="158"/>
        <v>-</v>
      </c>
      <c r="R220" s="267" t="str">
        <f t="shared" si="159"/>
        <v>-</v>
      </c>
      <c r="S220" s="268" t="str">
        <f t="shared" si="160"/>
        <v>-</v>
      </c>
      <c r="T220" s="269" t="str">
        <f t="shared" si="104"/>
        <v/>
      </c>
      <c r="U220" s="221">
        <f t="shared" si="105"/>
        <v>120</v>
      </c>
      <c r="V220" s="220" t="str">
        <f t="shared" si="131"/>
        <v>-</v>
      </c>
      <c r="W220" s="221" t="str">
        <f t="shared" si="132"/>
        <v>-</v>
      </c>
      <c r="X220" s="221" t="str">
        <f t="shared" si="106"/>
        <v>-</v>
      </c>
      <c r="Y220" s="221" t="str">
        <f t="shared" si="107"/>
        <v>-</v>
      </c>
      <c r="Z220" s="270">
        <f t="shared" si="133"/>
        <v>0.1</v>
      </c>
      <c r="AA220" s="271" t="str">
        <f>IFERROR(IF(V219=1,AA$100*EXP(-(LN(2)/$D$65+0.04)*X219)*EXP(-(LN(2)/$D$65+0.1)*Y219),IF(V219=2,AA$100*EXP(-(LN(2)/$D$65+0.04)*(VLOOKUP(($F$16-$F$15)-1,U$99:Y219,4,FALSE)))*EXP(-(LN(2)/$D$65+0.1)*(VLOOKUP(($F$16-$F$15)-1,U$99:Y219,5,FALSE)))*EXP(-(LN(2)/$D$65+0.04)*X219)*EXP(-(LN(2)/$D$65+0.1)*Y219),IF(V219=3,AA$100*EXP(-(LN(2)/$D$65+0.04)*(VLOOKUP(($F$16-$F$15)-1,U$99:Y219,4,FALSE)))*EXP(-(LN(2)/$D$65+0.1)*(VLOOKUP(($F$16-$F$15)-1,U$99:Y219,5,FALSE)))*EXP(-(LN(2)/$D$65+0.04)*(VLOOKUP(($F$16-$F$15)*2-1,U$99:Y219,4,FALSE)))*EXP(-(LN(2)/$D$65+0.1)*(VLOOKUP(($F$16-$F$15)*2-1,U$99:Y219,5,FALSE)))*EXP(-(LN(2)/$D$65+0.04)*X219)*EXP(-(LN(2)/$D$65+0.1)*Y219),"-"))),"-")</f>
        <v>-</v>
      </c>
      <c r="AB220" s="271" t="str">
        <f>IFERROR(IF(V220=1,AB$100*EXP(-(LN(2)/$D$65+0.04)*X220)*EXP(-(LN(2)/$D$65+0.1)*Y220),IF(V220=2,AB$100*EXP(-(LN(2)/$D$65+0.04)*(VLOOKUP(($F$16-$F$15)-1,U$100:Y220,4,FALSE)))*EXP(-(LN(2)/$D$65+0.1)*(VLOOKUP(($F$16-$F$15)-1,U$100:Y220,5,FALSE)))*EXP(-(LN(2)/$D$65+0.04)*X220)*EXP(-(LN(2)/$D$65+0.1)*Y220),IF(V220=3,AB$100*EXP(-(LN(2)/$D$65+0.04)*(VLOOKUP(($F$16-$F$15)-1,U$100:Y220,4,FALSE)))*EXP(-(LN(2)/$D$65+0.1)*(VLOOKUP(($F$16-$F$15)-1,U$100:Y220,5,FALSE)))*EXP(-(LN(2)/$D$65+0.04)*(VLOOKUP(($F$16-$F$15)*2-1,U$100:Y220,4,FALSE)))*EXP(-(LN(2)/$D$65+0.1)*(VLOOKUP(($F$16-$F$15)*2-1,U$100:Y220,5,FALSE)))*EXP(-(LN(2)/$D$65+0.04)*X220)*EXP(-(LN(2)/$D$65+0.1)*Y220),"-"))),"-")</f>
        <v>-</v>
      </c>
      <c r="AC220" s="224">
        <f t="shared" si="134"/>
        <v>120</v>
      </c>
      <c r="AD220" s="223" t="str">
        <f t="shared" si="108"/>
        <v>-</v>
      </c>
      <c r="AE220" s="224" t="str">
        <f t="shared" si="135"/>
        <v>-</v>
      </c>
      <c r="AF220" s="224" t="str">
        <f t="shared" si="109"/>
        <v>-</v>
      </c>
      <c r="AG220" s="224" t="str">
        <f t="shared" si="110"/>
        <v>-</v>
      </c>
      <c r="AH220" s="272">
        <f t="shared" si="136"/>
        <v>0.1</v>
      </c>
      <c r="AI220" s="271" t="str">
        <f>IFERROR(IF(AD219=1,AI$100*EXP(-(LN(2)/$D$65+0.04)*AF219)*EXP(-(LN(2)/$D$65+0.1)*AG219),IF(AD219=2,AI$100*EXP(-(LN(2)/$D$65+0.04)*(VLOOKUP(($F$16-$F$15)-1,AC$99:AG219,4,FALSE)))*EXP(-(LN(2)/$D$65+0.1)*(VLOOKUP(($F$16-$F$15)-1,AC$99:AG219,5,FALSE)))*EXP(-(LN(2)/$D$65+0.04)*AF219)*EXP(-(LN(2)/$D$65+0.1)*AG219),IF(AD219=3,AI$100*EXP(-(LN(2)/$D$65+0.04)*(VLOOKUP(($F$16-$F$15)-1,AC$99:AG219,4,FALSE)))*EXP(-(LN(2)/$D$65+0.1)*(VLOOKUP(($F$16-$F$15)-1,AC$99:AG219,5,FALSE)))*EXP(-(LN(2)/$D$65+0.04)*(VLOOKUP(($F$16-$F$15)*2-1,AC$99:AG219,4,FALSE)))*EXP(-(LN(2)/$D$65+0.1)*(VLOOKUP(($F$16-$F$15)*2-1,AC$99:AG219,5,FALSE)))*EXP(-(LN(2)/$D$65+0.04)*AF219)*EXP(-(LN(2)/$D$65+0.1)*AG219),"-"))),"-")</f>
        <v>-</v>
      </c>
      <c r="AJ220" s="271" t="str">
        <f>IFERROR(IF(AD220=1,AJ$100*EXP(-(LN(2)/$D$65+0.04)*AF220)*EXP(-(LN(2)/$D$65+0.1)*AG220),IF(AD220=2,AJ$100*EXP(-(LN(2)/$D$65+0.04)*(VLOOKUP(($F$16-$F$15)-1,AC$100:AG220,4,FALSE)))*EXP(-(LN(2)/$D$65+0.1)*(VLOOKUP(($F$16-$F$15)-1,AC$100:AG220,5,FALSE)))*EXP(-(LN(2)/$D$65+0.04)*AF220)*EXP(-(LN(2)/$D$65+0.1)*AG220),IF(AD220=3,AJ$100*EXP(-(LN(2)/$D$65+0.04)*(VLOOKUP(($F$16-$F$15)-1,AC$100:AG220,4,FALSE)))*EXP(-(LN(2)/$D$65+0.1)*(VLOOKUP(($F$16-$F$15)-1,AC$100:AG220,5,FALSE)))*EXP(-(LN(2)/$D$65+0.04)*(VLOOKUP(($F$16-$F$15)*2-1,AC$100:AG220,4,FALSE)))*EXP(-(LN(2)/$D$65+0.1)*(VLOOKUP(($F$16-$F$15)*2-1,AC$100:AG220,5,FALSE)))*EXP(-(LN(2)/$D$65+0.04)*AF220)*EXP(-(LN(2)/$D$65+0.1)*AG220),"-"))),"-")</f>
        <v>-</v>
      </c>
      <c r="AK220" s="227">
        <f t="shared" si="137"/>
        <v>120</v>
      </c>
      <c r="AL220" s="226" t="str">
        <f t="shared" si="111"/>
        <v>-</v>
      </c>
      <c r="AM220" s="227" t="str">
        <f t="shared" si="138"/>
        <v>-</v>
      </c>
      <c r="AN220" s="227" t="str">
        <f t="shared" si="139"/>
        <v>-</v>
      </c>
      <c r="AO220" s="227" t="str">
        <f t="shared" si="112"/>
        <v>-</v>
      </c>
      <c r="AP220" s="273">
        <f t="shared" si="140"/>
        <v>0.1</v>
      </c>
      <c r="AQ220" s="271" t="str">
        <f>IFERROR(IF(AL219=1,AQ$100*EXP(-(LN(2)/$D$65+0.04)*AN219)*EXP(-(LN(2)/$D$65+0.1)*AO219),IF(AL219=2,AQ$100*EXP(-(LN(2)/$D$65+0.04)*(VLOOKUP(($F$16-$F$15)-1,AK$99:AO219,4,FALSE)))*EXP(-(LN(2)/$D$65+0.1)*(VLOOKUP(($F$16-$F$15)-1,AK$99:AO219,5,FALSE)))*EXP(-(LN(2)/$D$65+0.04)*AN219)*EXP(-(LN(2)/$D$65+0.1)*AO219),IF(AL219=3,AQ$100*EXP(-(LN(2)/$D$65+0.04)*(VLOOKUP(($F$16-$F$15)-1,AK$99:AO219,4,FALSE)))*EXP(-(LN(2)/$D$65+0.1)*(VLOOKUP(($F$16-$F$15)-1,AK$99:AO219,5,FALSE)))*EXP(-(LN(2)/$D$65+0.04)*(VLOOKUP(($F$16-$F$15)*2-1,AK$99:AO219,4,FALSE)))*EXP(-(LN(2)/$D$65+0.1)*(VLOOKUP(($F$16-$F$15)*2-1,AK$99:AO219,5,FALSE)))*EXP(-(LN(2)/$D$65+0.04)*AN219)*EXP(-(LN(2)/$D$65+0.1)*AO219),"-"))),"-")</f>
        <v>-</v>
      </c>
      <c r="AR220" s="271" t="str">
        <f>IFERROR(IF(AL220=1,AR$100*EXP(-(LN(2)/$D$65+0.04)*AN220)*EXP(-(LN(2)/$D$65+0.1)*AO220),IF(AL220=2,AR$100*EXP(-(LN(2)/$D$65+0.04)*(VLOOKUP(($F$16-$F$15)-1,AK$100:AO220,4,FALSE)))*EXP(-(LN(2)/$D$65+0.1)*(VLOOKUP(($F$16-$F$15)-1,AK$100:AO220,5,FALSE)))*EXP(-(LN(2)/$D$65+0.04)*AN220)*EXP(-(LN(2)/$D$65+0.1)*AO220),IF(AL220=3,AR$100*EXP(-(LN(2)/$D$65+0.04)*(VLOOKUP(($F$16-$F$15)-1,AK$100:AO220,4,FALSE)))*EXP(-(LN(2)/$D$65+0.1)*(VLOOKUP(($F$16-$F$15)-1,AK$100:AO220,5,FALSE)))*EXP(-(LN(2)/$D$65+0.04)*(VLOOKUP(($F$16-$F$15)*2-1,AK$100:AO220,4,FALSE)))*EXP(-(LN(2)/$D$65+0.1)*(VLOOKUP(($F$16-$F$15)*2-1,AK$100:AO220,5,FALSE)))*EXP(-(LN(2)/$D$65+0.04)*AN220)*EXP(-(LN(2)/$D$65+0.1)*AO220),"-"))),"-")</f>
        <v>-</v>
      </c>
      <c r="AS220" s="274">
        <f t="shared" si="113"/>
        <v>0</v>
      </c>
      <c r="AT220" s="274">
        <f t="shared" si="114"/>
        <v>0</v>
      </c>
      <c r="AU220" s="274">
        <f t="shared" si="115"/>
        <v>0</v>
      </c>
      <c r="AV220" s="190" t="str">
        <f>IF($B220&lt;$F$22,SUM($T$100:$T220),"")</f>
        <v/>
      </c>
      <c r="AW220" s="190" t="str">
        <f t="shared" si="161"/>
        <v>-</v>
      </c>
      <c r="AX220" s="190" t="str">
        <f t="shared" si="141"/>
        <v/>
      </c>
      <c r="AY220"/>
      <c r="AZ220" s="190" t="str">
        <f ca="1">IF(ISNUMBER(OFFSET(AV220,-$F$21,0)),SUM(OFFSET($T$100,$F$21,0):$T220),"")</f>
        <v/>
      </c>
      <c r="BA220" s="190" t="str">
        <f t="shared" ca="1" si="162"/>
        <v/>
      </c>
      <c r="BB220" s="190" t="str">
        <f t="shared" ca="1" si="148"/>
        <v/>
      </c>
      <c r="BC220" s="190"/>
      <c r="BD220" s="190" t="str">
        <f ca="1">IFERROR(IF(OR(ISNUMBER(I),ISNUMBER($F$14)),IF(AND($B220&gt;=($F$16-$F$15),$B220&lt;$F$22+($F$16-$F$15)),SUM(OFFSET($T$100,($F$16-$F$15),0):$T220),""),""),"")</f>
        <v/>
      </c>
      <c r="BE220" s="190" t="str">
        <f t="shared" ca="1" si="142"/>
        <v/>
      </c>
      <c r="BF220" s="190" t="str">
        <f t="shared" ca="1" si="143"/>
        <v/>
      </c>
      <c r="BG220"/>
      <c r="BH220" s="190" t="str">
        <f ca="1">IF(ISNUMBER(OFFSET(BD220,-$F$21,0)),SUM(OFFSET($T$100,($F$16-$F$15+$F$21),0):$T220),"")</f>
        <v/>
      </c>
      <c r="BI220" s="190" t="str">
        <f t="shared" ca="1" si="163"/>
        <v/>
      </c>
      <c r="BJ220" s="190" t="str">
        <f t="shared" ca="1" si="144"/>
        <v/>
      </c>
      <c r="BK220" s="190"/>
      <c r="BL220" s="190" t="str">
        <f ca="1">IFERROR(IF(OR(ISNUMBER(I),ISNUMBER($F$14)),IF(AND($B220&gt;=($F$17-$F$15),$B220&lt;$F$22+($F$17-$F$15)),SUM(OFFSET($T$100,($F$17-$F$15),0):$T220),""),""),"")</f>
        <v/>
      </c>
      <c r="BM220" s="190" t="str">
        <f t="shared" ca="1" si="164"/>
        <v/>
      </c>
      <c r="BN220" s="190" t="str">
        <f t="shared" ca="1" si="145"/>
        <v/>
      </c>
      <c r="BO220"/>
      <c r="BP220" s="190" t="str">
        <f ca="1">IF(ISNUMBER(OFFSET(BL220,-$F$21,0)),SUM(OFFSET($T$100,($F$17-$F$15+$F$21),0):$T220),"")</f>
        <v/>
      </c>
      <c r="BQ220" s="190" t="str">
        <f t="shared" ca="1" si="165"/>
        <v/>
      </c>
      <c r="BR220" s="190" t="str">
        <f t="shared" ca="1" si="146"/>
        <v/>
      </c>
      <c r="BS220" s="190"/>
      <c r="BT220"/>
      <c r="BU220"/>
      <c r="BV220"/>
      <c r="BY220" s="99"/>
      <c r="BZ220" s="99"/>
      <c r="CA220" s="280" t="str">
        <f t="shared" si="166"/>
        <v/>
      </c>
      <c r="CB220" s="71" t="str">
        <f t="shared" si="122"/>
        <v>-</v>
      </c>
      <c r="CC220" s="33"/>
      <c r="CD220" s="261" t="str">
        <f t="shared" si="123"/>
        <v/>
      </c>
      <c r="CE220" s="280" t="str">
        <f t="shared" si="167"/>
        <v/>
      </c>
      <c r="CF220" s="71" t="str">
        <f t="shared" ca="1" si="168"/>
        <v/>
      </c>
      <c r="CG220" s="33" t="str">
        <f t="shared" si="126"/>
        <v/>
      </c>
      <c r="CH220" s="261" t="str">
        <f t="shared" ca="1" si="127"/>
        <v/>
      </c>
    </row>
    <row r="221" spans="2:86" ht="13.5" customHeight="1" x14ac:dyDescent="0.2">
      <c r="B221" s="262">
        <v>121</v>
      </c>
      <c r="C221" s="237" t="str">
        <f t="shared" si="91"/>
        <v/>
      </c>
      <c r="D221" s="237" t="str">
        <f t="shared" si="147"/>
        <v/>
      </c>
      <c r="E221" s="263" t="str">
        <f t="shared" si="128"/>
        <v/>
      </c>
      <c r="F221" s="264" t="str">
        <f t="shared" si="129"/>
        <v/>
      </c>
      <c r="G221" s="264" t="str">
        <f t="shared" si="130"/>
        <v/>
      </c>
      <c r="H221" s="240" t="str">
        <f t="shared" si="149"/>
        <v/>
      </c>
      <c r="I221" s="265" t="str">
        <f t="shared" si="150"/>
        <v/>
      </c>
      <c r="J221" s="265" t="str">
        <f t="shared" si="151"/>
        <v/>
      </c>
      <c r="K221" s="240" t="str">
        <f t="shared" si="152"/>
        <v/>
      </c>
      <c r="L221" s="265" t="str">
        <f t="shared" si="153"/>
        <v/>
      </c>
      <c r="M221" s="265" t="str">
        <f t="shared" si="154"/>
        <v/>
      </c>
      <c r="N221" s="240" t="str">
        <f t="shared" si="155"/>
        <v>-</v>
      </c>
      <c r="O221" s="265" t="str">
        <f t="shared" si="156"/>
        <v>-</v>
      </c>
      <c r="P221" s="265" t="str">
        <f t="shared" si="157"/>
        <v>-</v>
      </c>
      <c r="Q221" s="266" t="str">
        <f t="shared" si="158"/>
        <v>-</v>
      </c>
      <c r="R221" s="267" t="str">
        <f t="shared" si="159"/>
        <v>-</v>
      </c>
      <c r="S221" s="268" t="str">
        <f t="shared" si="160"/>
        <v>-</v>
      </c>
      <c r="T221" s="269" t="str">
        <f t="shared" si="104"/>
        <v/>
      </c>
      <c r="U221" s="221">
        <f t="shared" si="105"/>
        <v>121</v>
      </c>
      <c r="V221" s="220" t="str">
        <f t="shared" si="131"/>
        <v>-</v>
      </c>
      <c r="W221" s="221" t="str">
        <f t="shared" si="132"/>
        <v>-</v>
      </c>
      <c r="X221" s="221" t="str">
        <f t="shared" si="106"/>
        <v>-</v>
      </c>
      <c r="Y221" s="221" t="str">
        <f t="shared" si="107"/>
        <v>-</v>
      </c>
      <c r="Z221" s="270">
        <f t="shared" si="133"/>
        <v>0.1</v>
      </c>
      <c r="AA221" s="271" t="str">
        <f>IFERROR(IF(V220=1,AA$100*EXP(-(LN(2)/$D$65+0.04)*X220)*EXP(-(LN(2)/$D$65+0.1)*Y220),IF(V220=2,AA$100*EXP(-(LN(2)/$D$65+0.04)*(VLOOKUP(($F$16-$F$15)-1,U$99:Y220,4,FALSE)))*EXP(-(LN(2)/$D$65+0.1)*(VLOOKUP(($F$16-$F$15)-1,U$99:Y220,5,FALSE)))*EXP(-(LN(2)/$D$65+0.04)*X220)*EXP(-(LN(2)/$D$65+0.1)*Y220),IF(V220=3,AA$100*EXP(-(LN(2)/$D$65+0.04)*(VLOOKUP(($F$16-$F$15)-1,U$99:Y220,4,FALSE)))*EXP(-(LN(2)/$D$65+0.1)*(VLOOKUP(($F$16-$F$15)-1,U$99:Y220,5,FALSE)))*EXP(-(LN(2)/$D$65+0.04)*(VLOOKUP(($F$16-$F$15)*2-1,U$99:Y220,4,FALSE)))*EXP(-(LN(2)/$D$65+0.1)*(VLOOKUP(($F$16-$F$15)*2-1,U$99:Y220,5,FALSE)))*EXP(-(LN(2)/$D$65+0.04)*X220)*EXP(-(LN(2)/$D$65+0.1)*Y220),"-"))),"-")</f>
        <v>-</v>
      </c>
      <c r="AB221" s="271" t="str">
        <f>IFERROR(IF(V221=1,AB$100*EXP(-(LN(2)/$D$65+0.04)*X221)*EXP(-(LN(2)/$D$65+0.1)*Y221),IF(V221=2,AB$100*EXP(-(LN(2)/$D$65+0.04)*(VLOOKUP(($F$16-$F$15)-1,U$100:Y221,4,FALSE)))*EXP(-(LN(2)/$D$65+0.1)*(VLOOKUP(($F$16-$F$15)-1,U$100:Y221,5,FALSE)))*EXP(-(LN(2)/$D$65+0.04)*X221)*EXP(-(LN(2)/$D$65+0.1)*Y221),IF(V221=3,AB$100*EXP(-(LN(2)/$D$65+0.04)*(VLOOKUP(($F$16-$F$15)-1,U$100:Y221,4,FALSE)))*EXP(-(LN(2)/$D$65+0.1)*(VLOOKUP(($F$16-$F$15)-1,U$100:Y221,5,FALSE)))*EXP(-(LN(2)/$D$65+0.04)*(VLOOKUP(($F$16-$F$15)*2-1,U$100:Y221,4,FALSE)))*EXP(-(LN(2)/$D$65+0.1)*(VLOOKUP(($F$16-$F$15)*2-1,U$100:Y221,5,FALSE)))*EXP(-(LN(2)/$D$65+0.04)*X221)*EXP(-(LN(2)/$D$65+0.1)*Y221),"-"))),"-")</f>
        <v>-</v>
      </c>
      <c r="AC221" s="224">
        <f t="shared" si="134"/>
        <v>121</v>
      </c>
      <c r="AD221" s="223" t="str">
        <f t="shared" si="108"/>
        <v>-</v>
      </c>
      <c r="AE221" s="224" t="str">
        <f t="shared" si="135"/>
        <v>-</v>
      </c>
      <c r="AF221" s="224" t="str">
        <f t="shared" si="109"/>
        <v>-</v>
      </c>
      <c r="AG221" s="224" t="str">
        <f t="shared" si="110"/>
        <v>-</v>
      </c>
      <c r="AH221" s="272">
        <f t="shared" si="136"/>
        <v>0.1</v>
      </c>
      <c r="AI221" s="271" t="str">
        <f>IFERROR(IF(AD220=1,AI$100*EXP(-(LN(2)/$D$65+0.04)*AF220)*EXP(-(LN(2)/$D$65+0.1)*AG220),IF(AD220=2,AI$100*EXP(-(LN(2)/$D$65+0.04)*(VLOOKUP(($F$16-$F$15)-1,AC$99:AG220,4,FALSE)))*EXP(-(LN(2)/$D$65+0.1)*(VLOOKUP(($F$16-$F$15)-1,AC$99:AG220,5,FALSE)))*EXP(-(LN(2)/$D$65+0.04)*AF220)*EXP(-(LN(2)/$D$65+0.1)*AG220),IF(AD220=3,AI$100*EXP(-(LN(2)/$D$65+0.04)*(VLOOKUP(($F$16-$F$15)-1,AC$99:AG220,4,FALSE)))*EXP(-(LN(2)/$D$65+0.1)*(VLOOKUP(($F$16-$F$15)-1,AC$99:AG220,5,FALSE)))*EXP(-(LN(2)/$D$65+0.04)*(VLOOKUP(($F$16-$F$15)*2-1,AC$99:AG220,4,FALSE)))*EXP(-(LN(2)/$D$65+0.1)*(VLOOKUP(($F$16-$F$15)*2-1,AC$99:AG220,5,FALSE)))*EXP(-(LN(2)/$D$65+0.04)*AF220)*EXP(-(LN(2)/$D$65+0.1)*AG220),"-"))),"-")</f>
        <v>-</v>
      </c>
      <c r="AJ221" s="271" t="str">
        <f>IFERROR(IF(AD221=1,AJ$100*EXP(-(LN(2)/$D$65+0.04)*AF221)*EXP(-(LN(2)/$D$65+0.1)*AG221),IF(AD221=2,AJ$100*EXP(-(LN(2)/$D$65+0.04)*(VLOOKUP(($F$16-$F$15)-1,AC$100:AG221,4,FALSE)))*EXP(-(LN(2)/$D$65+0.1)*(VLOOKUP(($F$16-$F$15)-1,AC$100:AG221,5,FALSE)))*EXP(-(LN(2)/$D$65+0.04)*AF221)*EXP(-(LN(2)/$D$65+0.1)*AG221),IF(AD221=3,AJ$100*EXP(-(LN(2)/$D$65+0.04)*(VLOOKUP(($F$16-$F$15)-1,AC$100:AG221,4,FALSE)))*EXP(-(LN(2)/$D$65+0.1)*(VLOOKUP(($F$16-$F$15)-1,AC$100:AG221,5,FALSE)))*EXP(-(LN(2)/$D$65+0.04)*(VLOOKUP(($F$16-$F$15)*2-1,AC$100:AG221,4,FALSE)))*EXP(-(LN(2)/$D$65+0.1)*(VLOOKUP(($F$16-$F$15)*2-1,AC$100:AG221,5,FALSE)))*EXP(-(LN(2)/$D$65+0.04)*AF221)*EXP(-(LN(2)/$D$65+0.1)*AG221),"-"))),"-")</f>
        <v>-</v>
      </c>
      <c r="AK221" s="227">
        <f t="shared" si="137"/>
        <v>121</v>
      </c>
      <c r="AL221" s="226" t="str">
        <f t="shared" si="111"/>
        <v>-</v>
      </c>
      <c r="AM221" s="227" t="str">
        <f t="shared" si="138"/>
        <v>-</v>
      </c>
      <c r="AN221" s="227" t="str">
        <f t="shared" si="139"/>
        <v>-</v>
      </c>
      <c r="AO221" s="227" t="str">
        <f t="shared" si="112"/>
        <v>-</v>
      </c>
      <c r="AP221" s="273">
        <f t="shared" si="140"/>
        <v>0.1</v>
      </c>
      <c r="AQ221" s="271" t="str">
        <f>IFERROR(IF(AL220=1,AQ$100*EXP(-(LN(2)/$D$65+0.04)*AN220)*EXP(-(LN(2)/$D$65+0.1)*AO220),IF(AL220=2,AQ$100*EXP(-(LN(2)/$D$65+0.04)*(VLOOKUP(($F$16-$F$15)-1,AK$99:AO220,4,FALSE)))*EXP(-(LN(2)/$D$65+0.1)*(VLOOKUP(($F$16-$F$15)-1,AK$99:AO220,5,FALSE)))*EXP(-(LN(2)/$D$65+0.04)*AN220)*EXP(-(LN(2)/$D$65+0.1)*AO220),IF(AL220=3,AQ$100*EXP(-(LN(2)/$D$65+0.04)*(VLOOKUP(($F$16-$F$15)-1,AK$99:AO220,4,FALSE)))*EXP(-(LN(2)/$D$65+0.1)*(VLOOKUP(($F$16-$F$15)-1,AK$99:AO220,5,FALSE)))*EXP(-(LN(2)/$D$65+0.04)*(VLOOKUP(($F$16-$F$15)*2-1,AK$99:AO220,4,FALSE)))*EXP(-(LN(2)/$D$65+0.1)*(VLOOKUP(($F$16-$F$15)*2-1,AK$99:AO220,5,FALSE)))*EXP(-(LN(2)/$D$65+0.04)*AN220)*EXP(-(LN(2)/$D$65+0.1)*AO220),"-"))),"-")</f>
        <v>-</v>
      </c>
      <c r="AR221" s="271" t="str">
        <f>IFERROR(IF(AL221=1,AR$100*EXP(-(LN(2)/$D$65+0.04)*AN221)*EXP(-(LN(2)/$D$65+0.1)*AO221),IF(AL221=2,AR$100*EXP(-(LN(2)/$D$65+0.04)*(VLOOKUP(($F$16-$F$15)-1,AK$100:AO221,4,FALSE)))*EXP(-(LN(2)/$D$65+0.1)*(VLOOKUP(($F$16-$F$15)-1,AK$100:AO221,5,FALSE)))*EXP(-(LN(2)/$D$65+0.04)*AN221)*EXP(-(LN(2)/$D$65+0.1)*AO221),IF(AL221=3,AR$100*EXP(-(LN(2)/$D$65+0.04)*(VLOOKUP(($F$16-$F$15)-1,AK$100:AO221,4,FALSE)))*EXP(-(LN(2)/$D$65+0.1)*(VLOOKUP(($F$16-$F$15)-1,AK$100:AO221,5,FALSE)))*EXP(-(LN(2)/$D$65+0.04)*(VLOOKUP(($F$16-$F$15)*2-1,AK$100:AO221,4,FALSE)))*EXP(-(LN(2)/$D$65+0.1)*(VLOOKUP(($F$16-$F$15)*2-1,AK$100:AO221,5,FALSE)))*EXP(-(LN(2)/$D$65+0.04)*AN221)*EXP(-(LN(2)/$D$65+0.1)*AO221),"-"))),"-")</f>
        <v>-</v>
      </c>
      <c r="AS221" s="274">
        <f t="shared" si="113"/>
        <v>0</v>
      </c>
      <c r="AT221" s="274">
        <f t="shared" si="114"/>
        <v>0</v>
      </c>
      <c r="AU221" s="274">
        <f t="shared" si="115"/>
        <v>0</v>
      </c>
      <c r="AV221" s="190" t="str">
        <f>IF($B221&lt;$F$22,SUM($T$100:$T221),"")</f>
        <v/>
      </c>
      <c r="AW221" s="190" t="str">
        <f t="shared" si="161"/>
        <v>-</v>
      </c>
      <c r="AX221" s="190" t="str">
        <f t="shared" si="141"/>
        <v/>
      </c>
      <c r="AY221"/>
      <c r="AZ221" s="190" t="str">
        <f ca="1">IF(ISNUMBER(OFFSET(AV221,-$F$21,0)),SUM(OFFSET($T$100,$F$21,0):$T221),"")</f>
        <v/>
      </c>
      <c r="BA221" s="190" t="str">
        <f t="shared" ca="1" si="162"/>
        <v/>
      </c>
      <c r="BB221" s="190" t="str">
        <f t="shared" ca="1" si="148"/>
        <v/>
      </c>
      <c r="BC221" s="190"/>
      <c r="BD221" s="190" t="str">
        <f ca="1">IFERROR(IF(OR(ISNUMBER(I),ISNUMBER($F$14)),IF(AND($B221&gt;=($F$16-$F$15),$B221&lt;$F$22+($F$16-$F$15)),SUM(OFFSET($T$100,($F$16-$F$15),0):$T221),""),""),"")</f>
        <v/>
      </c>
      <c r="BE221" s="190" t="str">
        <f t="shared" ca="1" si="142"/>
        <v/>
      </c>
      <c r="BF221" s="190" t="str">
        <f t="shared" ca="1" si="143"/>
        <v/>
      </c>
      <c r="BG221"/>
      <c r="BH221" s="190" t="str">
        <f ca="1">IF(ISNUMBER(OFFSET(BD221,-$F$21,0)),SUM(OFFSET($T$100,($F$16-$F$15+$F$21),0):$T221),"")</f>
        <v/>
      </c>
      <c r="BI221" s="190" t="str">
        <f t="shared" ca="1" si="163"/>
        <v/>
      </c>
      <c r="BJ221" s="190" t="str">
        <f t="shared" ca="1" si="144"/>
        <v/>
      </c>
      <c r="BK221" s="190"/>
      <c r="BL221" s="190" t="str">
        <f ca="1">IFERROR(IF(OR(ISNUMBER(I),ISNUMBER($F$14)),IF(AND($B221&gt;=($F$17-$F$15),$B221&lt;$F$22+($F$17-$F$15)),SUM(OFFSET($T$100,($F$17-$F$15),0):$T221),""),""),"")</f>
        <v/>
      </c>
      <c r="BM221" s="190" t="str">
        <f t="shared" ca="1" si="164"/>
        <v/>
      </c>
      <c r="BN221" s="190" t="str">
        <f t="shared" ca="1" si="145"/>
        <v/>
      </c>
      <c r="BO221"/>
      <c r="BP221" s="190" t="str">
        <f ca="1">IF(ISNUMBER(OFFSET(BL221,-$F$21,0)),SUM(OFFSET($T$100,($F$17-$F$15+$F$21),0):$T221),"")</f>
        <v/>
      </c>
      <c r="BQ221" s="190" t="str">
        <f t="shared" ca="1" si="165"/>
        <v/>
      </c>
      <c r="BR221" s="190" t="str">
        <f t="shared" ca="1" si="146"/>
        <v/>
      </c>
      <c r="BS221" s="190"/>
      <c r="BT221"/>
      <c r="BU221"/>
      <c r="BV221"/>
      <c r="BY221" s="99"/>
      <c r="BZ221" s="99"/>
      <c r="CA221" s="280" t="str">
        <f t="shared" si="166"/>
        <v/>
      </c>
      <c r="CB221" s="71" t="str">
        <f t="shared" si="122"/>
        <v>-</v>
      </c>
      <c r="CC221" s="33"/>
      <c r="CD221" s="261" t="str">
        <f t="shared" si="123"/>
        <v/>
      </c>
      <c r="CE221" s="280" t="str">
        <f t="shared" si="167"/>
        <v/>
      </c>
      <c r="CF221" s="71" t="str">
        <f t="shared" ca="1" si="168"/>
        <v/>
      </c>
      <c r="CG221" s="33" t="str">
        <f t="shared" si="126"/>
        <v/>
      </c>
      <c r="CH221" s="261" t="str">
        <f t="shared" ca="1" si="127"/>
        <v/>
      </c>
    </row>
    <row r="222" spans="2:86" ht="13.5" customHeight="1" x14ac:dyDescent="0.2">
      <c r="B222" s="262">
        <v>122</v>
      </c>
      <c r="C222" s="237" t="str">
        <f t="shared" si="91"/>
        <v/>
      </c>
      <c r="D222" s="237" t="str">
        <f t="shared" si="147"/>
        <v/>
      </c>
      <c r="E222" s="263" t="str">
        <f t="shared" si="128"/>
        <v/>
      </c>
      <c r="F222" s="264" t="str">
        <f t="shared" si="129"/>
        <v/>
      </c>
      <c r="G222" s="264" t="str">
        <f t="shared" si="130"/>
        <v/>
      </c>
      <c r="H222" s="240" t="str">
        <f t="shared" si="149"/>
        <v/>
      </c>
      <c r="I222" s="265" t="str">
        <f t="shared" si="150"/>
        <v/>
      </c>
      <c r="J222" s="265" t="str">
        <f t="shared" si="151"/>
        <v/>
      </c>
      <c r="K222" s="240" t="str">
        <f t="shared" si="152"/>
        <v/>
      </c>
      <c r="L222" s="265" t="str">
        <f t="shared" si="153"/>
        <v/>
      </c>
      <c r="M222" s="265" t="str">
        <f t="shared" si="154"/>
        <v/>
      </c>
      <c r="N222" s="240" t="str">
        <f t="shared" si="155"/>
        <v>-</v>
      </c>
      <c r="O222" s="265" t="str">
        <f t="shared" si="156"/>
        <v>-</v>
      </c>
      <c r="P222" s="265" t="str">
        <f t="shared" si="157"/>
        <v>-</v>
      </c>
      <c r="Q222" s="266" t="str">
        <f t="shared" si="158"/>
        <v>-</v>
      </c>
      <c r="R222" s="267" t="str">
        <f t="shared" si="159"/>
        <v>-</v>
      </c>
      <c r="S222" s="268" t="str">
        <f t="shared" si="160"/>
        <v>-</v>
      </c>
      <c r="T222" s="269" t="str">
        <f t="shared" si="104"/>
        <v/>
      </c>
      <c r="U222" s="221">
        <f t="shared" si="105"/>
        <v>122</v>
      </c>
      <c r="V222" s="220" t="str">
        <f t="shared" si="131"/>
        <v>-</v>
      </c>
      <c r="W222" s="221" t="str">
        <f t="shared" si="132"/>
        <v>-</v>
      </c>
      <c r="X222" s="221" t="str">
        <f t="shared" si="106"/>
        <v>-</v>
      </c>
      <c r="Y222" s="221" t="str">
        <f t="shared" si="107"/>
        <v>-</v>
      </c>
      <c r="Z222" s="270">
        <f t="shared" si="133"/>
        <v>0.1</v>
      </c>
      <c r="AA222" s="271" t="str">
        <f>IFERROR(IF(V221=1,AA$100*EXP(-(LN(2)/$D$65+0.04)*X221)*EXP(-(LN(2)/$D$65+0.1)*Y221),IF(V221=2,AA$100*EXP(-(LN(2)/$D$65+0.04)*(VLOOKUP(($F$16-$F$15)-1,U$99:Y221,4,FALSE)))*EXP(-(LN(2)/$D$65+0.1)*(VLOOKUP(($F$16-$F$15)-1,U$99:Y221,5,FALSE)))*EXP(-(LN(2)/$D$65+0.04)*X221)*EXP(-(LN(2)/$D$65+0.1)*Y221),IF(V221=3,AA$100*EXP(-(LN(2)/$D$65+0.04)*(VLOOKUP(($F$16-$F$15)-1,U$99:Y221,4,FALSE)))*EXP(-(LN(2)/$D$65+0.1)*(VLOOKUP(($F$16-$F$15)-1,U$99:Y221,5,FALSE)))*EXP(-(LN(2)/$D$65+0.04)*(VLOOKUP(($F$16-$F$15)*2-1,U$99:Y221,4,FALSE)))*EXP(-(LN(2)/$D$65+0.1)*(VLOOKUP(($F$16-$F$15)*2-1,U$99:Y221,5,FALSE)))*EXP(-(LN(2)/$D$65+0.04)*X221)*EXP(-(LN(2)/$D$65+0.1)*Y221),"-"))),"-")</f>
        <v>-</v>
      </c>
      <c r="AB222" s="271" t="str">
        <f>IFERROR(IF(V222=1,AB$100*EXP(-(LN(2)/$D$65+0.04)*X222)*EXP(-(LN(2)/$D$65+0.1)*Y222),IF(V222=2,AB$100*EXP(-(LN(2)/$D$65+0.04)*(VLOOKUP(($F$16-$F$15)-1,U$100:Y222,4,FALSE)))*EXP(-(LN(2)/$D$65+0.1)*(VLOOKUP(($F$16-$F$15)-1,U$100:Y222,5,FALSE)))*EXP(-(LN(2)/$D$65+0.04)*X222)*EXP(-(LN(2)/$D$65+0.1)*Y222),IF(V222=3,AB$100*EXP(-(LN(2)/$D$65+0.04)*(VLOOKUP(($F$16-$F$15)-1,U$100:Y222,4,FALSE)))*EXP(-(LN(2)/$D$65+0.1)*(VLOOKUP(($F$16-$F$15)-1,U$100:Y222,5,FALSE)))*EXP(-(LN(2)/$D$65+0.04)*(VLOOKUP(($F$16-$F$15)*2-1,U$100:Y222,4,FALSE)))*EXP(-(LN(2)/$D$65+0.1)*(VLOOKUP(($F$16-$F$15)*2-1,U$100:Y222,5,FALSE)))*EXP(-(LN(2)/$D$65+0.04)*X222)*EXP(-(LN(2)/$D$65+0.1)*Y222),"-"))),"-")</f>
        <v>-</v>
      </c>
      <c r="AC222" s="224">
        <f t="shared" si="134"/>
        <v>122</v>
      </c>
      <c r="AD222" s="223" t="str">
        <f t="shared" si="108"/>
        <v>-</v>
      </c>
      <c r="AE222" s="224" t="str">
        <f t="shared" si="135"/>
        <v>-</v>
      </c>
      <c r="AF222" s="224" t="str">
        <f t="shared" si="109"/>
        <v>-</v>
      </c>
      <c r="AG222" s="224" t="str">
        <f t="shared" si="110"/>
        <v>-</v>
      </c>
      <c r="AH222" s="272">
        <f t="shared" si="136"/>
        <v>0.1</v>
      </c>
      <c r="AI222" s="271" t="str">
        <f>IFERROR(IF(AD221=1,AI$100*EXP(-(LN(2)/$D$65+0.04)*AF221)*EXP(-(LN(2)/$D$65+0.1)*AG221),IF(AD221=2,AI$100*EXP(-(LN(2)/$D$65+0.04)*(VLOOKUP(($F$16-$F$15)-1,AC$99:AG221,4,FALSE)))*EXP(-(LN(2)/$D$65+0.1)*(VLOOKUP(($F$16-$F$15)-1,AC$99:AG221,5,FALSE)))*EXP(-(LN(2)/$D$65+0.04)*AF221)*EXP(-(LN(2)/$D$65+0.1)*AG221),IF(AD221=3,AI$100*EXP(-(LN(2)/$D$65+0.04)*(VLOOKUP(($F$16-$F$15)-1,AC$99:AG221,4,FALSE)))*EXP(-(LN(2)/$D$65+0.1)*(VLOOKUP(($F$16-$F$15)-1,AC$99:AG221,5,FALSE)))*EXP(-(LN(2)/$D$65+0.04)*(VLOOKUP(($F$16-$F$15)*2-1,AC$99:AG221,4,FALSE)))*EXP(-(LN(2)/$D$65+0.1)*(VLOOKUP(($F$16-$F$15)*2-1,AC$99:AG221,5,FALSE)))*EXP(-(LN(2)/$D$65+0.04)*AF221)*EXP(-(LN(2)/$D$65+0.1)*AG221),"-"))),"-")</f>
        <v>-</v>
      </c>
      <c r="AJ222" s="271" t="str">
        <f>IFERROR(IF(AD222=1,AJ$100*EXP(-(LN(2)/$D$65+0.04)*AF222)*EXP(-(LN(2)/$D$65+0.1)*AG222),IF(AD222=2,AJ$100*EXP(-(LN(2)/$D$65+0.04)*(VLOOKUP(($F$16-$F$15)-1,AC$100:AG222,4,FALSE)))*EXP(-(LN(2)/$D$65+0.1)*(VLOOKUP(($F$16-$F$15)-1,AC$100:AG222,5,FALSE)))*EXP(-(LN(2)/$D$65+0.04)*AF222)*EXP(-(LN(2)/$D$65+0.1)*AG222),IF(AD222=3,AJ$100*EXP(-(LN(2)/$D$65+0.04)*(VLOOKUP(($F$16-$F$15)-1,AC$100:AG222,4,FALSE)))*EXP(-(LN(2)/$D$65+0.1)*(VLOOKUP(($F$16-$F$15)-1,AC$100:AG222,5,FALSE)))*EXP(-(LN(2)/$D$65+0.04)*(VLOOKUP(($F$16-$F$15)*2-1,AC$100:AG222,4,FALSE)))*EXP(-(LN(2)/$D$65+0.1)*(VLOOKUP(($F$16-$F$15)*2-1,AC$100:AG222,5,FALSE)))*EXP(-(LN(2)/$D$65+0.04)*AF222)*EXP(-(LN(2)/$D$65+0.1)*AG222),"-"))),"-")</f>
        <v>-</v>
      </c>
      <c r="AK222" s="227">
        <f t="shared" si="137"/>
        <v>122</v>
      </c>
      <c r="AL222" s="226" t="str">
        <f t="shared" si="111"/>
        <v>-</v>
      </c>
      <c r="AM222" s="227" t="str">
        <f t="shared" si="138"/>
        <v>-</v>
      </c>
      <c r="AN222" s="227" t="str">
        <f t="shared" si="139"/>
        <v>-</v>
      </c>
      <c r="AO222" s="227" t="str">
        <f t="shared" si="112"/>
        <v>-</v>
      </c>
      <c r="AP222" s="273">
        <f t="shared" si="140"/>
        <v>0.1</v>
      </c>
      <c r="AQ222" s="271" t="str">
        <f>IFERROR(IF(AL221=1,AQ$100*EXP(-(LN(2)/$D$65+0.04)*AN221)*EXP(-(LN(2)/$D$65+0.1)*AO221),IF(AL221=2,AQ$100*EXP(-(LN(2)/$D$65+0.04)*(VLOOKUP(($F$16-$F$15)-1,AK$99:AO221,4,FALSE)))*EXP(-(LN(2)/$D$65+0.1)*(VLOOKUP(($F$16-$F$15)-1,AK$99:AO221,5,FALSE)))*EXP(-(LN(2)/$D$65+0.04)*AN221)*EXP(-(LN(2)/$D$65+0.1)*AO221),IF(AL221=3,AQ$100*EXP(-(LN(2)/$D$65+0.04)*(VLOOKUP(($F$16-$F$15)-1,AK$99:AO221,4,FALSE)))*EXP(-(LN(2)/$D$65+0.1)*(VLOOKUP(($F$16-$F$15)-1,AK$99:AO221,5,FALSE)))*EXP(-(LN(2)/$D$65+0.04)*(VLOOKUP(($F$16-$F$15)*2-1,AK$99:AO221,4,FALSE)))*EXP(-(LN(2)/$D$65+0.1)*(VLOOKUP(($F$16-$F$15)*2-1,AK$99:AO221,5,FALSE)))*EXP(-(LN(2)/$D$65+0.04)*AN221)*EXP(-(LN(2)/$D$65+0.1)*AO221),"-"))),"-")</f>
        <v>-</v>
      </c>
      <c r="AR222" s="271" t="str">
        <f>IFERROR(IF(AL222=1,AR$100*EXP(-(LN(2)/$D$65+0.04)*AN222)*EXP(-(LN(2)/$D$65+0.1)*AO222),IF(AL222=2,AR$100*EXP(-(LN(2)/$D$65+0.04)*(VLOOKUP(($F$16-$F$15)-1,AK$100:AO222,4,FALSE)))*EXP(-(LN(2)/$D$65+0.1)*(VLOOKUP(($F$16-$F$15)-1,AK$100:AO222,5,FALSE)))*EXP(-(LN(2)/$D$65+0.04)*AN222)*EXP(-(LN(2)/$D$65+0.1)*AO222),IF(AL222=3,AR$100*EXP(-(LN(2)/$D$65+0.04)*(VLOOKUP(($F$16-$F$15)-1,AK$100:AO222,4,FALSE)))*EXP(-(LN(2)/$D$65+0.1)*(VLOOKUP(($F$16-$F$15)-1,AK$100:AO222,5,FALSE)))*EXP(-(LN(2)/$D$65+0.04)*(VLOOKUP(($F$16-$F$15)*2-1,AK$100:AO222,4,FALSE)))*EXP(-(LN(2)/$D$65+0.1)*(VLOOKUP(($F$16-$F$15)*2-1,AK$100:AO222,5,FALSE)))*EXP(-(LN(2)/$D$65+0.04)*AN222)*EXP(-(LN(2)/$D$65+0.1)*AO222),"-"))),"-")</f>
        <v>-</v>
      </c>
      <c r="AS222" s="274">
        <f t="shared" si="113"/>
        <v>0</v>
      </c>
      <c r="AT222" s="274">
        <f t="shared" si="114"/>
        <v>0</v>
      </c>
      <c r="AU222" s="274">
        <f t="shared" si="115"/>
        <v>0</v>
      </c>
      <c r="AV222" s="190" t="str">
        <f>IF($B222&lt;$F$22,SUM($T$100:$T222),"")</f>
        <v/>
      </c>
      <c r="AW222" s="190" t="str">
        <f t="shared" si="161"/>
        <v>-</v>
      </c>
      <c r="AX222" s="190" t="str">
        <f t="shared" si="141"/>
        <v/>
      </c>
      <c r="AY222"/>
      <c r="AZ222" s="190" t="str">
        <f ca="1">IF(ISNUMBER(OFFSET(AV222,-$F$21,0)),SUM(OFFSET($T$100,$F$21,0):$T222),"")</f>
        <v/>
      </c>
      <c r="BA222" s="190" t="str">
        <f t="shared" ca="1" si="162"/>
        <v/>
      </c>
      <c r="BB222" s="190" t="str">
        <f t="shared" ca="1" si="148"/>
        <v/>
      </c>
      <c r="BC222" s="190"/>
      <c r="BD222" s="190" t="str">
        <f ca="1">IFERROR(IF(OR(ISNUMBER(I),ISNUMBER($F$14)),IF(AND($B222&gt;=($F$16-$F$15),$B222&lt;$F$22+($F$16-$F$15)),SUM(OFFSET($T$100,($F$16-$F$15),0):$T222),""),""),"")</f>
        <v/>
      </c>
      <c r="BE222" s="190" t="str">
        <f t="shared" ca="1" si="142"/>
        <v/>
      </c>
      <c r="BF222" s="190" t="str">
        <f t="shared" ca="1" si="143"/>
        <v/>
      </c>
      <c r="BG222"/>
      <c r="BH222" s="190" t="str">
        <f ca="1">IF(ISNUMBER(OFFSET(BD222,-$F$21,0)),SUM(OFFSET($T$100,($F$16-$F$15+$F$21),0):$T222),"")</f>
        <v/>
      </c>
      <c r="BI222" s="190" t="str">
        <f t="shared" ca="1" si="163"/>
        <v/>
      </c>
      <c r="BJ222" s="190" t="str">
        <f t="shared" ca="1" si="144"/>
        <v/>
      </c>
      <c r="BK222" s="190"/>
      <c r="BL222" s="190" t="str">
        <f ca="1">IFERROR(IF(OR(ISNUMBER(I),ISNUMBER($F$14)),IF(AND($B222&gt;=($F$17-$F$15),$B222&lt;$F$22+($F$17-$F$15)),SUM(OFFSET($T$100,($F$17-$F$15),0):$T222),""),""),"")</f>
        <v/>
      </c>
      <c r="BM222" s="190" t="str">
        <f t="shared" ca="1" si="164"/>
        <v/>
      </c>
      <c r="BN222" s="190" t="str">
        <f t="shared" ca="1" si="145"/>
        <v/>
      </c>
      <c r="BO222"/>
      <c r="BP222" s="190" t="str">
        <f ca="1">IF(ISNUMBER(OFFSET(BL222,-$F$21,0)),SUM(OFFSET($T$100,($F$17-$F$15+$F$21),0):$T222),"")</f>
        <v/>
      </c>
      <c r="BQ222" s="190" t="str">
        <f t="shared" ca="1" si="165"/>
        <v/>
      </c>
      <c r="BR222" s="190" t="str">
        <f t="shared" ca="1" si="146"/>
        <v/>
      </c>
      <c r="BS222" s="190"/>
      <c r="BT222"/>
      <c r="BU222"/>
      <c r="BV222"/>
      <c r="BY222" s="99"/>
      <c r="BZ222" s="99"/>
      <c r="CA222" s="280" t="str">
        <f t="shared" si="166"/>
        <v/>
      </c>
      <c r="CB222" s="71" t="str">
        <f t="shared" si="122"/>
        <v>-</v>
      </c>
      <c r="CC222" s="33"/>
      <c r="CD222" s="261" t="str">
        <f t="shared" si="123"/>
        <v/>
      </c>
      <c r="CE222" s="280" t="str">
        <f t="shared" si="167"/>
        <v/>
      </c>
      <c r="CF222" s="71" t="str">
        <f t="shared" ca="1" si="168"/>
        <v/>
      </c>
      <c r="CG222" s="33" t="str">
        <f t="shared" si="126"/>
        <v/>
      </c>
      <c r="CH222" s="261" t="str">
        <f t="shared" ca="1" si="127"/>
        <v/>
      </c>
    </row>
    <row r="223" spans="2:86" ht="13.5" customHeight="1" x14ac:dyDescent="0.2">
      <c r="B223" s="262">
        <v>123</v>
      </c>
      <c r="C223" s="237" t="str">
        <f t="shared" si="91"/>
        <v/>
      </c>
      <c r="D223" s="237" t="str">
        <f t="shared" si="147"/>
        <v/>
      </c>
      <c r="E223" s="263" t="str">
        <f t="shared" si="128"/>
        <v/>
      </c>
      <c r="F223" s="264" t="str">
        <f t="shared" si="129"/>
        <v/>
      </c>
      <c r="G223" s="264" t="str">
        <f t="shared" si="130"/>
        <v/>
      </c>
      <c r="H223" s="240" t="str">
        <f t="shared" si="149"/>
        <v/>
      </c>
      <c r="I223" s="265" t="str">
        <f t="shared" si="150"/>
        <v/>
      </c>
      <c r="J223" s="265" t="str">
        <f t="shared" si="151"/>
        <v/>
      </c>
      <c r="K223" s="240" t="str">
        <f t="shared" si="152"/>
        <v/>
      </c>
      <c r="L223" s="265" t="str">
        <f t="shared" si="153"/>
        <v/>
      </c>
      <c r="M223" s="265" t="str">
        <f t="shared" si="154"/>
        <v/>
      </c>
      <c r="N223" s="240" t="str">
        <f t="shared" si="155"/>
        <v>-</v>
      </c>
      <c r="O223" s="265" t="str">
        <f t="shared" si="156"/>
        <v>-</v>
      </c>
      <c r="P223" s="265" t="str">
        <f t="shared" si="157"/>
        <v>-</v>
      </c>
      <c r="Q223" s="266" t="str">
        <f t="shared" si="158"/>
        <v>-</v>
      </c>
      <c r="R223" s="267" t="str">
        <f t="shared" si="159"/>
        <v>-</v>
      </c>
      <c r="S223" s="268" t="str">
        <f t="shared" si="160"/>
        <v>-</v>
      </c>
      <c r="T223" s="269" t="str">
        <f t="shared" si="104"/>
        <v/>
      </c>
      <c r="U223" s="221">
        <f t="shared" si="105"/>
        <v>123</v>
      </c>
      <c r="V223" s="220" t="str">
        <f t="shared" si="131"/>
        <v>-</v>
      </c>
      <c r="W223" s="221" t="str">
        <f t="shared" si="132"/>
        <v>-</v>
      </c>
      <c r="X223" s="221" t="str">
        <f t="shared" si="106"/>
        <v>-</v>
      </c>
      <c r="Y223" s="221" t="str">
        <f t="shared" si="107"/>
        <v>-</v>
      </c>
      <c r="Z223" s="270">
        <f t="shared" si="133"/>
        <v>0.1</v>
      </c>
      <c r="AA223" s="271" t="str">
        <f>IFERROR(IF(V222=1,AA$100*EXP(-(LN(2)/$D$65+0.04)*X222)*EXP(-(LN(2)/$D$65+0.1)*Y222),IF(V222=2,AA$100*EXP(-(LN(2)/$D$65+0.04)*(VLOOKUP(($F$16-$F$15)-1,U$99:Y222,4,FALSE)))*EXP(-(LN(2)/$D$65+0.1)*(VLOOKUP(($F$16-$F$15)-1,U$99:Y222,5,FALSE)))*EXP(-(LN(2)/$D$65+0.04)*X222)*EXP(-(LN(2)/$D$65+0.1)*Y222),IF(V222=3,AA$100*EXP(-(LN(2)/$D$65+0.04)*(VLOOKUP(($F$16-$F$15)-1,U$99:Y222,4,FALSE)))*EXP(-(LN(2)/$D$65+0.1)*(VLOOKUP(($F$16-$F$15)-1,U$99:Y222,5,FALSE)))*EXP(-(LN(2)/$D$65+0.04)*(VLOOKUP(($F$16-$F$15)*2-1,U$99:Y222,4,FALSE)))*EXP(-(LN(2)/$D$65+0.1)*(VLOOKUP(($F$16-$F$15)*2-1,U$99:Y222,5,FALSE)))*EXP(-(LN(2)/$D$65+0.04)*X222)*EXP(-(LN(2)/$D$65+0.1)*Y222),"-"))),"-")</f>
        <v>-</v>
      </c>
      <c r="AB223" s="271" t="str">
        <f>IFERROR(IF(V223=1,AB$100*EXP(-(LN(2)/$D$65+0.04)*X223)*EXP(-(LN(2)/$D$65+0.1)*Y223),IF(V223=2,AB$100*EXP(-(LN(2)/$D$65+0.04)*(VLOOKUP(($F$16-$F$15)-1,U$100:Y223,4,FALSE)))*EXP(-(LN(2)/$D$65+0.1)*(VLOOKUP(($F$16-$F$15)-1,U$100:Y223,5,FALSE)))*EXP(-(LN(2)/$D$65+0.04)*X223)*EXP(-(LN(2)/$D$65+0.1)*Y223),IF(V223=3,AB$100*EXP(-(LN(2)/$D$65+0.04)*(VLOOKUP(($F$16-$F$15)-1,U$100:Y223,4,FALSE)))*EXP(-(LN(2)/$D$65+0.1)*(VLOOKUP(($F$16-$F$15)-1,U$100:Y223,5,FALSE)))*EXP(-(LN(2)/$D$65+0.04)*(VLOOKUP(($F$16-$F$15)*2-1,U$100:Y223,4,FALSE)))*EXP(-(LN(2)/$D$65+0.1)*(VLOOKUP(($F$16-$F$15)*2-1,U$100:Y223,5,FALSE)))*EXP(-(LN(2)/$D$65+0.04)*X223)*EXP(-(LN(2)/$D$65+0.1)*Y223),"-"))),"-")</f>
        <v>-</v>
      </c>
      <c r="AC223" s="224">
        <f t="shared" si="134"/>
        <v>123</v>
      </c>
      <c r="AD223" s="223" t="str">
        <f t="shared" si="108"/>
        <v>-</v>
      </c>
      <c r="AE223" s="224" t="str">
        <f t="shared" si="135"/>
        <v>-</v>
      </c>
      <c r="AF223" s="224" t="str">
        <f t="shared" si="109"/>
        <v>-</v>
      </c>
      <c r="AG223" s="224" t="str">
        <f t="shared" si="110"/>
        <v>-</v>
      </c>
      <c r="AH223" s="272">
        <f t="shared" si="136"/>
        <v>0.1</v>
      </c>
      <c r="AI223" s="271" t="str">
        <f>IFERROR(IF(AD222=1,AI$100*EXP(-(LN(2)/$D$65+0.04)*AF222)*EXP(-(LN(2)/$D$65+0.1)*AG222),IF(AD222=2,AI$100*EXP(-(LN(2)/$D$65+0.04)*(VLOOKUP(($F$16-$F$15)-1,AC$99:AG222,4,FALSE)))*EXP(-(LN(2)/$D$65+0.1)*(VLOOKUP(($F$16-$F$15)-1,AC$99:AG222,5,FALSE)))*EXP(-(LN(2)/$D$65+0.04)*AF222)*EXP(-(LN(2)/$D$65+0.1)*AG222),IF(AD222=3,AI$100*EXP(-(LN(2)/$D$65+0.04)*(VLOOKUP(($F$16-$F$15)-1,AC$99:AG222,4,FALSE)))*EXP(-(LN(2)/$D$65+0.1)*(VLOOKUP(($F$16-$F$15)-1,AC$99:AG222,5,FALSE)))*EXP(-(LN(2)/$D$65+0.04)*(VLOOKUP(($F$16-$F$15)*2-1,AC$99:AG222,4,FALSE)))*EXP(-(LN(2)/$D$65+0.1)*(VLOOKUP(($F$16-$F$15)*2-1,AC$99:AG222,5,FALSE)))*EXP(-(LN(2)/$D$65+0.04)*AF222)*EXP(-(LN(2)/$D$65+0.1)*AG222),"-"))),"-")</f>
        <v>-</v>
      </c>
      <c r="AJ223" s="271" t="str">
        <f>IFERROR(IF(AD223=1,AJ$100*EXP(-(LN(2)/$D$65+0.04)*AF223)*EXP(-(LN(2)/$D$65+0.1)*AG223),IF(AD223=2,AJ$100*EXP(-(LN(2)/$D$65+0.04)*(VLOOKUP(($F$16-$F$15)-1,AC$100:AG223,4,FALSE)))*EXP(-(LN(2)/$D$65+0.1)*(VLOOKUP(($F$16-$F$15)-1,AC$100:AG223,5,FALSE)))*EXP(-(LN(2)/$D$65+0.04)*AF223)*EXP(-(LN(2)/$D$65+0.1)*AG223),IF(AD223=3,AJ$100*EXP(-(LN(2)/$D$65+0.04)*(VLOOKUP(($F$16-$F$15)-1,AC$100:AG223,4,FALSE)))*EXP(-(LN(2)/$D$65+0.1)*(VLOOKUP(($F$16-$F$15)-1,AC$100:AG223,5,FALSE)))*EXP(-(LN(2)/$D$65+0.04)*(VLOOKUP(($F$16-$F$15)*2-1,AC$100:AG223,4,FALSE)))*EXP(-(LN(2)/$D$65+0.1)*(VLOOKUP(($F$16-$F$15)*2-1,AC$100:AG223,5,FALSE)))*EXP(-(LN(2)/$D$65+0.04)*AF223)*EXP(-(LN(2)/$D$65+0.1)*AG223),"-"))),"-")</f>
        <v>-</v>
      </c>
      <c r="AK223" s="227">
        <f t="shared" si="137"/>
        <v>123</v>
      </c>
      <c r="AL223" s="226" t="str">
        <f t="shared" si="111"/>
        <v>-</v>
      </c>
      <c r="AM223" s="227" t="str">
        <f t="shared" si="138"/>
        <v>-</v>
      </c>
      <c r="AN223" s="227" t="str">
        <f t="shared" si="139"/>
        <v>-</v>
      </c>
      <c r="AO223" s="227" t="str">
        <f t="shared" si="112"/>
        <v>-</v>
      </c>
      <c r="AP223" s="273">
        <f t="shared" si="140"/>
        <v>0.1</v>
      </c>
      <c r="AQ223" s="271" t="str">
        <f>IFERROR(IF(AL222=1,AQ$100*EXP(-(LN(2)/$D$65+0.04)*AN222)*EXP(-(LN(2)/$D$65+0.1)*AO222),IF(AL222=2,AQ$100*EXP(-(LN(2)/$D$65+0.04)*(VLOOKUP(($F$16-$F$15)-1,AK$99:AO222,4,FALSE)))*EXP(-(LN(2)/$D$65+0.1)*(VLOOKUP(($F$16-$F$15)-1,AK$99:AO222,5,FALSE)))*EXP(-(LN(2)/$D$65+0.04)*AN222)*EXP(-(LN(2)/$D$65+0.1)*AO222),IF(AL222=3,AQ$100*EXP(-(LN(2)/$D$65+0.04)*(VLOOKUP(($F$16-$F$15)-1,AK$99:AO222,4,FALSE)))*EXP(-(LN(2)/$D$65+0.1)*(VLOOKUP(($F$16-$F$15)-1,AK$99:AO222,5,FALSE)))*EXP(-(LN(2)/$D$65+0.04)*(VLOOKUP(($F$16-$F$15)*2-1,AK$99:AO222,4,FALSE)))*EXP(-(LN(2)/$D$65+0.1)*(VLOOKUP(($F$16-$F$15)*2-1,AK$99:AO222,5,FALSE)))*EXP(-(LN(2)/$D$65+0.04)*AN222)*EXP(-(LN(2)/$D$65+0.1)*AO222),"-"))),"-")</f>
        <v>-</v>
      </c>
      <c r="AR223" s="271" t="str">
        <f>IFERROR(IF(AL223=1,AR$100*EXP(-(LN(2)/$D$65+0.04)*AN223)*EXP(-(LN(2)/$D$65+0.1)*AO223),IF(AL223=2,AR$100*EXP(-(LN(2)/$D$65+0.04)*(VLOOKUP(($F$16-$F$15)-1,AK$100:AO223,4,FALSE)))*EXP(-(LN(2)/$D$65+0.1)*(VLOOKUP(($F$16-$F$15)-1,AK$100:AO223,5,FALSE)))*EXP(-(LN(2)/$D$65+0.04)*AN223)*EXP(-(LN(2)/$D$65+0.1)*AO223),IF(AL223=3,AR$100*EXP(-(LN(2)/$D$65+0.04)*(VLOOKUP(($F$16-$F$15)-1,AK$100:AO223,4,FALSE)))*EXP(-(LN(2)/$D$65+0.1)*(VLOOKUP(($F$16-$F$15)-1,AK$100:AO223,5,FALSE)))*EXP(-(LN(2)/$D$65+0.04)*(VLOOKUP(($F$16-$F$15)*2-1,AK$100:AO223,4,FALSE)))*EXP(-(LN(2)/$D$65+0.1)*(VLOOKUP(($F$16-$F$15)*2-1,AK$100:AO223,5,FALSE)))*EXP(-(LN(2)/$D$65+0.04)*AN223)*EXP(-(LN(2)/$D$65+0.1)*AO223),"-"))),"-")</f>
        <v>-</v>
      </c>
      <c r="AS223" s="274">
        <f t="shared" si="113"/>
        <v>0</v>
      </c>
      <c r="AT223" s="274">
        <f t="shared" si="114"/>
        <v>0</v>
      </c>
      <c r="AU223" s="274">
        <f t="shared" si="115"/>
        <v>0</v>
      </c>
      <c r="AV223" s="190" t="str">
        <f>IF($B223&lt;$F$22,SUM($T$100:$T223),"")</f>
        <v/>
      </c>
      <c r="AW223" s="190" t="str">
        <f t="shared" si="161"/>
        <v>-</v>
      </c>
      <c r="AX223" s="190" t="str">
        <f t="shared" si="141"/>
        <v/>
      </c>
      <c r="AY223"/>
      <c r="AZ223" s="190" t="str">
        <f ca="1">IF(ISNUMBER(OFFSET(AV223,-$F$21,0)),SUM(OFFSET($T$100,$F$21,0):$T223),"")</f>
        <v/>
      </c>
      <c r="BA223" s="190" t="str">
        <f t="shared" ca="1" si="162"/>
        <v/>
      </c>
      <c r="BB223" s="190" t="str">
        <f t="shared" ca="1" si="148"/>
        <v/>
      </c>
      <c r="BC223" s="190"/>
      <c r="BD223" s="190" t="str">
        <f ca="1">IFERROR(IF(OR(ISNUMBER(I),ISNUMBER($F$14)),IF(AND($B223&gt;=($F$16-$F$15),$B223&lt;$F$22+($F$16-$F$15)),SUM(OFFSET($T$100,($F$16-$F$15),0):$T223),""),""),"")</f>
        <v/>
      </c>
      <c r="BE223" s="190" t="str">
        <f t="shared" ca="1" si="142"/>
        <v/>
      </c>
      <c r="BF223" s="190" t="str">
        <f t="shared" ca="1" si="143"/>
        <v/>
      </c>
      <c r="BG223"/>
      <c r="BH223" s="190" t="str">
        <f ca="1">IF(ISNUMBER(OFFSET(BD223,-$F$21,0)),SUM(OFFSET($T$100,($F$16-$F$15+$F$21),0):$T223),"")</f>
        <v/>
      </c>
      <c r="BI223" s="190" t="str">
        <f t="shared" ca="1" si="163"/>
        <v/>
      </c>
      <c r="BJ223" s="190" t="str">
        <f t="shared" ca="1" si="144"/>
        <v/>
      </c>
      <c r="BK223" s="190"/>
      <c r="BL223" s="190" t="str">
        <f ca="1">IFERROR(IF(OR(ISNUMBER(I),ISNUMBER($F$14)),IF(AND($B223&gt;=($F$17-$F$15),$B223&lt;$F$22+($F$17-$F$15)),SUM(OFFSET($T$100,($F$17-$F$15),0):$T223),""),""),"")</f>
        <v/>
      </c>
      <c r="BM223" s="190" t="str">
        <f t="shared" ca="1" si="164"/>
        <v/>
      </c>
      <c r="BN223" s="190" t="str">
        <f t="shared" ca="1" si="145"/>
        <v/>
      </c>
      <c r="BO223"/>
      <c r="BP223" s="190" t="str">
        <f ca="1">IF(ISNUMBER(OFFSET(BL223,-$F$21,0)),SUM(OFFSET($T$100,($F$17-$F$15+$F$21),0):$T223),"")</f>
        <v/>
      </c>
      <c r="BQ223" s="190" t="str">
        <f t="shared" ca="1" si="165"/>
        <v/>
      </c>
      <c r="BR223" s="190" t="str">
        <f t="shared" ca="1" si="146"/>
        <v/>
      </c>
      <c r="BS223" s="190"/>
      <c r="BT223"/>
      <c r="BU223"/>
      <c r="BV223"/>
      <c r="BY223" s="99"/>
      <c r="BZ223" s="99"/>
      <c r="CA223" s="280" t="str">
        <f t="shared" si="166"/>
        <v/>
      </c>
      <c r="CB223" s="71" t="str">
        <f t="shared" si="122"/>
        <v>-</v>
      </c>
      <c r="CC223" s="33"/>
      <c r="CD223" s="261" t="str">
        <f t="shared" si="123"/>
        <v/>
      </c>
      <c r="CE223" s="280" t="str">
        <f t="shared" si="167"/>
        <v/>
      </c>
      <c r="CF223" s="71" t="str">
        <f t="shared" ca="1" si="168"/>
        <v/>
      </c>
      <c r="CG223" s="33" t="str">
        <f t="shared" si="126"/>
        <v/>
      </c>
      <c r="CH223" s="261" t="str">
        <f t="shared" ca="1" si="127"/>
        <v/>
      </c>
    </row>
    <row r="224" spans="2:86" ht="13.5" customHeight="1" x14ac:dyDescent="0.2">
      <c r="B224" s="262">
        <v>124</v>
      </c>
      <c r="C224" s="237" t="str">
        <f t="shared" si="91"/>
        <v/>
      </c>
      <c r="D224" s="237" t="str">
        <f t="shared" si="147"/>
        <v/>
      </c>
      <c r="E224" s="263" t="str">
        <f t="shared" si="128"/>
        <v/>
      </c>
      <c r="F224" s="264" t="str">
        <f t="shared" si="129"/>
        <v/>
      </c>
      <c r="G224" s="264" t="str">
        <f t="shared" si="130"/>
        <v/>
      </c>
      <c r="H224" s="240" t="str">
        <f t="shared" si="149"/>
        <v/>
      </c>
      <c r="I224" s="265" t="str">
        <f t="shared" si="150"/>
        <v/>
      </c>
      <c r="J224" s="265" t="str">
        <f t="shared" si="151"/>
        <v/>
      </c>
      <c r="K224" s="240" t="str">
        <f t="shared" si="152"/>
        <v/>
      </c>
      <c r="L224" s="265" t="str">
        <f t="shared" si="153"/>
        <v/>
      </c>
      <c r="M224" s="265" t="str">
        <f t="shared" si="154"/>
        <v/>
      </c>
      <c r="N224" s="240" t="str">
        <f t="shared" si="155"/>
        <v>-</v>
      </c>
      <c r="O224" s="265" t="str">
        <f t="shared" si="156"/>
        <v>-</v>
      </c>
      <c r="P224" s="265" t="str">
        <f t="shared" si="157"/>
        <v>-</v>
      </c>
      <c r="Q224" s="266" t="str">
        <f t="shared" si="158"/>
        <v>-</v>
      </c>
      <c r="R224" s="267" t="str">
        <f t="shared" si="159"/>
        <v>-</v>
      </c>
      <c r="S224" s="268" t="str">
        <f t="shared" si="160"/>
        <v>-</v>
      </c>
      <c r="T224" s="269" t="str">
        <f t="shared" si="104"/>
        <v/>
      </c>
      <c r="U224" s="221">
        <f t="shared" si="105"/>
        <v>124</v>
      </c>
      <c r="V224" s="220" t="str">
        <f t="shared" si="131"/>
        <v>-</v>
      </c>
      <c r="W224" s="221" t="str">
        <f t="shared" si="132"/>
        <v>-</v>
      </c>
      <c r="X224" s="221" t="str">
        <f t="shared" si="106"/>
        <v>-</v>
      </c>
      <c r="Y224" s="221" t="str">
        <f t="shared" si="107"/>
        <v>-</v>
      </c>
      <c r="Z224" s="270">
        <f t="shared" si="133"/>
        <v>0.1</v>
      </c>
      <c r="AA224" s="271" t="str">
        <f>IFERROR(IF(V223=1,AA$100*EXP(-(LN(2)/$D$65+0.04)*X223)*EXP(-(LN(2)/$D$65+0.1)*Y223),IF(V223=2,AA$100*EXP(-(LN(2)/$D$65+0.04)*(VLOOKUP(($F$16-$F$15)-1,U$99:Y223,4,FALSE)))*EXP(-(LN(2)/$D$65+0.1)*(VLOOKUP(($F$16-$F$15)-1,U$99:Y223,5,FALSE)))*EXP(-(LN(2)/$D$65+0.04)*X223)*EXP(-(LN(2)/$D$65+0.1)*Y223),IF(V223=3,AA$100*EXP(-(LN(2)/$D$65+0.04)*(VLOOKUP(($F$16-$F$15)-1,U$99:Y223,4,FALSE)))*EXP(-(LN(2)/$D$65+0.1)*(VLOOKUP(($F$16-$F$15)-1,U$99:Y223,5,FALSE)))*EXP(-(LN(2)/$D$65+0.04)*(VLOOKUP(($F$16-$F$15)*2-1,U$99:Y223,4,FALSE)))*EXP(-(LN(2)/$D$65+0.1)*(VLOOKUP(($F$16-$F$15)*2-1,U$99:Y223,5,FALSE)))*EXP(-(LN(2)/$D$65+0.04)*X223)*EXP(-(LN(2)/$D$65+0.1)*Y223),"-"))),"-")</f>
        <v>-</v>
      </c>
      <c r="AB224" s="271" t="str">
        <f>IFERROR(IF(V224=1,AB$100*EXP(-(LN(2)/$D$65+0.04)*X224)*EXP(-(LN(2)/$D$65+0.1)*Y224),IF(V224=2,AB$100*EXP(-(LN(2)/$D$65+0.04)*(VLOOKUP(($F$16-$F$15)-1,U$100:Y224,4,FALSE)))*EXP(-(LN(2)/$D$65+0.1)*(VLOOKUP(($F$16-$F$15)-1,U$100:Y224,5,FALSE)))*EXP(-(LN(2)/$D$65+0.04)*X224)*EXP(-(LN(2)/$D$65+0.1)*Y224),IF(V224=3,AB$100*EXP(-(LN(2)/$D$65+0.04)*(VLOOKUP(($F$16-$F$15)-1,U$100:Y224,4,FALSE)))*EXP(-(LN(2)/$D$65+0.1)*(VLOOKUP(($F$16-$F$15)-1,U$100:Y224,5,FALSE)))*EXP(-(LN(2)/$D$65+0.04)*(VLOOKUP(($F$16-$F$15)*2-1,U$100:Y224,4,FALSE)))*EXP(-(LN(2)/$D$65+0.1)*(VLOOKUP(($F$16-$F$15)*2-1,U$100:Y224,5,FALSE)))*EXP(-(LN(2)/$D$65+0.04)*X224)*EXP(-(LN(2)/$D$65+0.1)*Y224),"-"))),"-")</f>
        <v>-</v>
      </c>
      <c r="AC224" s="224">
        <f t="shared" si="134"/>
        <v>124</v>
      </c>
      <c r="AD224" s="223" t="str">
        <f t="shared" si="108"/>
        <v>-</v>
      </c>
      <c r="AE224" s="224" t="str">
        <f t="shared" si="135"/>
        <v>-</v>
      </c>
      <c r="AF224" s="224" t="str">
        <f t="shared" si="109"/>
        <v>-</v>
      </c>
      <c r="AG224" s="224" t="str">
        <f t="shared" si="110"/>
        <v>-</v>
      </c>
      <c r="AH224" s="272">
        <f t="shared" si="136"/>
        <v>0.1</v>
      </c>
      <c r="AI224" s="271" t="str">
        <f>IFERROR(IF(AD223=1,AI$100*EXP(-(LN(2)/$D$65+0.04)*AF223)*EXP(-(LN(2)/$D$65+0.1)*AG223),IF(AD223=2,AI$100*EXP(-(LN(2)/$D$65+0.04)*(VLOOKUP(($F$16-$F$15)-1,AC$99:AG223,4,FALSE)))*EXP(-(LN(2)/$D$65+0.1)*(VLOOKUP(($F$16-$F$15)-1,AC$99:AG223,5,FALSE)))*EXP(-(LN(2)/$D$65+0.04)*AF223)*EXP(-(LN(2)/$D$65+0.1)*AG223),IF(AD223=3,AI$100*EXP(-(LN(2)/$D$65+0.04)*(VLOOKUP(($F$16-$F$15)-1,AC$99:AG223,4,FALSE)))*EXP(-(LN(2)/$D$65+0.1)*(VLOOKUP(($F$16-$F$15)-1,AC$99:AG223,5,FALSE)))*EXP(-(LN(2)/$D$65+0.04)*(VLOOKUP(($F$16-$F$15)*2-1,AC$99:AG223,4,FALSE)))*EXP(-(LN(2)/$D$65+0.1)*(VLOOKUP(($F$16-$F$15)*2-1,AC$99:AG223,5,FALSE)))*EXP(-(LN(2)/$D$65+0.04)*AF223)*EXP(-(LN(2)/$D$65+0.1)*AG223),"-"))),"-")</f>
        <v>-</v>
      </c>
      <c r="AJ224" s="271" t="str">
        <f>IFERROR(IF(AD224=1,AJ$100*EXP(-(LN(2)/$D$65+0.04)*AF224)*EXP(-(LN(2)/$D$65+0.1)*AG224),IF(AD224=2,AJ$100*EXP(-(LN(2)/$D$65+0.04)*(VLOOKUP(($F$16-$F$15)-1,AC$100:AG224,4,FALSE)))*EXP(-(LN(2)/$D$65+0.1)*(VLOOKUP(($F$16-$F$15)-1,AC$100:AG224,5,FALSE)))*EXP(-(LN(2)/$D$65+0.04)*AF224)*EXP(-(LN(2)/$D$65+0.1)*AG224),IF(AD224=3,AJ$100*EXP(-(LN(2)/$D$65+0.04)*(VLOOKUP(($F$16-$F$15)-1,AC$100:AG224,4,FALSE)))*EXP(-(LN(2)/$D$65+0.1)*(VLOOKUP(($F$16-$F$15)-1,AC$100:AG224,5,FALSE)))*EXP(-(LN(2)/$D$65+0.04)*(VLOOKUP(($F$16-$F$15)*2-1,AC$100:AG224,4,FALSE)))*EXP(-(LN(2)/$D$65+0.1)*(VLOOKUP(($F$16-$F$15)*2-1,AC$100:AG224,5,FALSE)))*EXP(-(LN(2)/$D$65+0.04)*AF224)*EXP(-(LN(2)/$D$65+0.1)*AG224),"-"))),"-")</f>
        <v>-</v>
      </c>
      <c r="AK224" s="227">
        <f t="shared" si="137"/>
        <v>124</v>
      </c>
      <c r="AL224" s="226" t="str">
        <f t="shared" si="111"/>
        <v>-</v>
      </c>
      <c r="AM224" s="227" t="str">
        <f t="shared" si="138"/>
        <v>-</v>
      </c>
      <c r="AN224" s="227" t="str">
        <f t="shared" si="139"/>
        <v>-</v>
      </c>
      <c r="AO224" s="227" t="str">
        <f t="shared" si="112"/>
        <v>-</v>
      </c>
      <c r="AP224" s="273">
        <f t="shared" si="140"/>
        <v>0.1</v>
      </c>
      <c r="AQ224" s="271" t="str">
        <f>IFERROR(IF(AL223=1,AQ$100*EXP(-(LN(2)/$D$65+0.04)*AN223)*EXP(-(LN(2)/$D$65+0.1)*AO223),IF(AL223=2,AQ$100*EXP(-(LN(2)/$D$65+0.04)*(VLOOKUP(($F$16-$F$15)-1,AK$99:AO223,4,FALSE)))*EXP(-(LN(2)/$D$65+0.1)*(VLOOKUP(($F$16-$F$15)-1,AK$99:AO223,5,FALSE)))*EXP(-(LN(2)/$D$65+0.04)*AN223)*EXP(-(LN(2)/$D$65+0.1)*AO223),IF(AL223=3,AQ$100*EXP(-(LN(2)/$D$65+0.04)*(VLOOKUP(($F$16-$F$15)-1,AK$99:AO223,4,FALSE)))*EXP(-(LN(2)/$D$65+0.1)*(VLOOKUP(($F$16-$F$15)-1,AK$99:AO223,5,FALSE)))*EXP(-(LN(2)/$D$65+0.04)*(VLOOKUP(($F$16-$F$15)*2-1,AK$99:AO223,4,FALSE)))*EXP(-(LN(2)/$D$65+0.1)*(VLOOKUP(($F$16-$F$15)*2-1,AK$99:AO223,5,FALSE)))*EXP(-(LN(2)/$D$65+0.04)*AN223)*EXP(-(LN(2)/$D$65+0.1)*AO223),"-"))),"-")</f>
        <v>-</v>
      </c>
      <c r="AR224" s="271" t="str">
        <f>IFERROR(IF(AL224=1,AR$100*EXP(-(LN(2)/$D$65+0.04)*AN224)*EXP(-(LN(2)/$D$65+0.1)*AO224),IF(AL224=2,AR$100*EXP(-(LN(2)/$D$65+0.04)*(VLOOKUP(($F$16-$F$15)-1,AK$100:AO224,4,FALSE)))*EXP(-(LN(2)/$D$65+0.1)*(VLOOKUP(($F$16-$F$15)-1,AK$100:AO224,5,FALSE)))*EXP(-(LN(2)/$D$65+0.04)*AN224)*EXP(-(LN(2)/$D$65+0.1)*AO224),IF(AL224=3,AR$100*EXP(-(LN(2)/$D$65+0.04)*(VLOOKUP(($F$16-$F$15)-1,AK$100:AO224,4,FALSE)))*EXP(-(LN(2)/$D$65+0.1)*(VLOOKUP(($F$16-$F$15)-1,AK$100:AO224,5,FALSE)))*EXP(-(LN(2)/$D$65+0.04)*(VLOOKUP(($F$16-$F$15)*2-1,AK$100:AO224,4,FALSE)))*EXP(-(LN(2)/$D$65+0.1)*(VLOOKUP(($F$16-$F$15)*2-1,AK$100:AO224,5,FALSE)))*EXP(-(LN(2)/$D$65+0.04)*AN224)*EXP(-(LN(2)/$D$65+0.1)*AO224),"-"))),"-")</f>
        <v>-</v>
      </c>
      <c r="AS224" s="274">
        <f t="shared" si="113"/>
        <v>0</v>
      </c>
      <c r="AT224" s="274">
        <f t="shared" si="114"/>
        <v>0</v>
      </c>
      <c r="AU224" s="274">
        <f t="shared" si="115"/>
        <v>0</v>
      </c>
      <c r="AV224" s="190" t="str">
        <f>IF($B224&lt;$F$22,SUM($T$100:$T224),"")</f>
        <v/>
      </c>
      <c r="AW224" s="190" t="str">
        <f t="shared" si="161"/>
        <v>-</v>
      </c>
      <c r="AX224" s="190" t="str">
        <f t="shared" si="141"/>
        <v/>
      </c>
      <c r="AY224"/>
      <c r="AZ224" s="190" t="str">
        <f ca="1">IF(ISNUMBER(OFFSET(AV224,-$F$21,0)),SUM(OFFSET($T$100,$F$21,0):$T224),"")</f>
        <v/>
      </c>
      <c r="BA224" s="190" t="str">
        <f t="shared" ca="1" si="162"/>
        <v/>
      </c>
      <c r="BB224" s="190" t="str">
        <f t="shared" ca="1" si="148"/>
        <v/>
      </c>
      <c r="BC224" s="190"/>
      <c r="BD224" s="190" t="str">
        <f ca="1">IFERROR(IF(OR(ISNUMBER(I),ISNUMBER($F$14)),IF(AND($B224&gt;=($F$16-$F$15),$B224&lt;$F$22+($F$16-$F$15)),SUM(OFFSET($T$100,($F$16-$F$15),0):$T224),""),""),"")</f>
        <v/>
      </c>
      <c r="BE224" s="190" t="str">
        <f t="shared" ca="1" si="142"/>
        <v/>
      </c>
      <c r="BF224" s="190" t="str">
        <f t="shared" ca="1" si="143"/>
        <v/>
      </c>
      <c r="BG224"/>
      <c r="BH224" s="190" t="str">
        <f ca="1">IF(ISNUMBER(OFFSET(BD224,-$F$21,0)),SUM(OFFSET($T$100,($F$16-$F$15+$F$21),0):$T224),"")</f>
        <v/>
      </c>
      <c r="BI224" s="190" t="str">
        <f t="shared" ca="1" si="163"/>
        <v/>
      </c>
      <c r="BJ224" s="190" t="str">
        <f t="shared" ca="1" si="144"/>
        <v/>
      </c>
      <c r="BK224" s="190"/>
      <c r="BL224" s="190" t="str">
        <f ca="1">IFERROR(IF(OR(ISNUMBER(I),ISNUMBER($F$14)),IF(AND($B224&gt;=($F$17-$F$15),$B224&lt;$F$22+($F$17-$F$15)),SUM(OFFSET($T$100,($F$17-$F$15),0):$T224),""),""),"")</f>
        <v/>
      </c>
      <c r="BM224" s="190" t="str">
        <f t="shared" ca="1" si="164"/>
        <v/>
      </c>
      <c r="BN224" s="190" t="str">
        <f t="shared" ca="1" si="145"/>
        <v/>
      </c>
      <c r="BO224"/>
      <c r="BP224" s="190" t="str">
        <f ca="1">IF(ISNUMBER(OFFSET(BL224,-$F$21,0)),SUM(OFFSET($T$100,($F$17-$F$15+$F$21),0):$T224),"")</f>
        <v/>
      </c>
      <c r="BQ224" s="190" t="str">
        <f t="shared" ca="1" si="165"/>
        <v/>
      </c>
      <c r="BR224" s="190" t="str">
        <f t="shared" ca="1" si="146"/>
        <v/>
      </c>
      <c r="BS224" s="190"/>
      <c r="BT224"/>
      <c r="BU224"/>
      <c r="BV224"/>
      <c r="BY224" s="99"/>
      <c r="BZ224" s="99"/>
      <c r="CA224" s="280" t="str">
        <f t="shared" si="166"/>
        <v/>
      </c>
      <c r="CB224" s="71" t="str">
        <f t="shared" si="122"/>
        <v>-</v>
      </c>
      <c r="CC224" s="33"/>
      <c r="CD224" s="261" t="str">
        <f t="shared" si="123"/>
        <v/>
      </c>
      <c r="CE224" s="280" t="str">
        <f t="shared" si="167"/>
        <v/>
      </c>
      <c r="CF224" s="71" t="str">
        <f t="shared" ca="1" si="168"/>
        <v/>
      </c>
      <c r="CG224" s="33" t="str">
        <f t="shared" si="126"/>
        <v/>
      </c>
      <c r="CH224" s="261" t="str">
        <f t="shared" ca="1" si="127"/>
        <v/>
      </c>
    </row>
    <row r="225" spans="2:86" ht="13.5" customHeight="1" x14ac:dyDescent="0.2">
      <c r="B225" s="262">
        <v>125</v>
      </c>
      <c r="C225" s="237" t="str">
        <f t="shared" si="91"/>
        <v/>
      </c>
      <c r="D225" s="237" t="str">
        <f t="shared" si="147"/>
        <v/>
      </c>
      <c r="E225" s="263" t="str">
        <f t="shared" si="128"/>
        <v/>
      </c>
      <c r="F225" s="264" t="str">
        <f t="shared" si="129"/>
        <v/>
      </c>
      <c r="G225" s="264" t="str">
        <f t="shared" si="130"/>
        <v/>
      </c>
      <c r="H225" s="240" t="str">
        <f t="shared" si="149"/>
        <v/>
      </c>
      <c r="I225" s="265" t="str">
        <f t="shared" si="150"/>
        <v/>
      </c>
      <c r="J225" s="265" t="str">
        <f t="shared" si="151"/>
        <v/>
      </c>
      <c r="K225" s="240" t="str">
        <f t="shared" si="152"/>
        <v/>
      </c>
      <c r="L225" s="265" t="str">
        <f t="shared" si="153"/>
        <v/>
      </c>
      <c r="M225" s="265" t="str">
        <f t="shared" si="154"/>
        <v/>
      </c>
      <c r="N225" s="240" t="str">
        <f t="shared" si="155"/>
        <v>-</v>
      </c>
      <c r="O225" s="265" t="str">
        <f t="shared" si="156"/>
        <v>-</v>
      </c>
      <c r="P225" s="265" t="str">
        <f t="shared" si="157"/>
        <v>-</v>
      </c>
      <c r="Q225" s="266" t="str">
        <f t="shared" si="158"/>
        <v>-</v>
      </c>
      <c r="R225" s="267" t="str">
        <f t="shared" si="159"/>
        <v>-</v>
      </c>
      <c r="S225" s="268" t="str">
        <f t="shared" si="160"/>
        <v>-</v>
      </c>
      <c r="T225" s="269" t="str">
        <f t="shared" si="104"/>
        <v/>
      </c>
      <c r="U225" s="221">
        <f t="shared" si="105"/>
        <v>125</v>
      </c>
      <c r="V225" s="220" t="str">
        <f t="shared" si="131"/>
        <v>-</v>
      </c>
      <c r="W225" s="221" t="str">
        <f t="shared" si="132"/>
        <v>-</v>
      </c>
      <c r="X225" s="221" t="str">
        <f t="shared" si="106"/>
        <v>-</v>
      </c>
      <c r="Y225" s="221" t="str">
        <f t="shared" si="107"/>
        <v>-</v>
      </c>
      <c r="Z225" s="270">
        <f t="shared" si="133"/>
        <v>0.1</v>
      </c>
      <c r="AA225" s="271" t="str">
        <f>IFERROR(IF(V224=1,AA$100*EXP(-(LN(2)/$D$65+0.04)*X224)*EXP(-(LN(2)/$D$65+0.1)*Y224),IF(V224=2,AA$100*EXP(-(LN(2)/$D$65+0.04)*(VLOOKUP(($F$16-$F$15)-1,U$99:Y224,4,FALSE)))*EXP(-(LN(2)/$D$65+0.1)*(VLOOKUP(($F$16-$F$15)-1,U$99:Y224,5,FALSE)))*EXP(-(LN(2)/$D$65+0.04)*X224)*EXP(-(LN(2)/$D$65+0.1)*Y224),IF(V224=3,AA$100*EXP(-(LN(2)/$D$65+0.04)*(VLOOKUP(($F$16-$F$15)-1,U$99:Y224,4,FALSE)))*EXP(-(LN(2)/$D$65+0.1)*(VLOOKUP(($F$16-$F$15)-1,U$99:Y224,5,FALSE)))*EXP(-(LN(2)/$D$65+0.04)*(VLOOKUP(($F$16-$F$15)*2-1,U$99:Y224,4,FALSE)))*EXP(-(LN(2)/$D$65+0.1)*(VLOOKUP(($F$16-$F$15)*2-1,U$99:Y224,5,FALSE)))*EXP(-(LN(2)/$D$65+0.04)*X224)*EXP(-(LN(2)/$D$65+0.1)*Y224),"-"))),"-")</f>
        <v>-</v>
      </c>
      <c r="AB225" s="271" t="str">
        <f>IFERROR(IF(V225=1,AB$100*EXP(-(LN(2)/$D$65+0.04)*X225)*EXP(-(LN(2)/$D$65+0.1)*Y225),IF(V225=2,AB$100*EXP(-(LN(2)/$D$65+0.04)*(VLOOKUP(($F$16-$F$15)-1,U$100:Y225,4,FALSE)))*EXP(-(LN(2)/$D$65+0.1)*(VLOOKUP(($F$16-$F$15)-1,U$100:Y225,5,FALSE)))*EXP(-(LN(2)/$D$65+0.04)*X225)*EXP(-(LN(2)/$D$65+0.1)*Y225),IF(V225=3,AB$100*EXP(-(LN(2)/$D$65+0.04)*(VLOOKUP(($F$16-$F$15)-1,U$100:Y225,4,FALSE)))*EXP(-(LN(2)/$D$65+0.1)*(VLOOKUP(($F$16-$F$15)-1,U$100:Y225,5,FALSE)))*EXP(-(LN(2)/$D$65+0.04)*(VLOOKUP(($F$16-$F$15)*2-1,U$100:Y225,4,FALSE)))*EXP(-(LN(2)/$D$65+0.1)*(VLOOKUP(($F$16-$F$15)*2-1,U$100:Y225,5,FALSE)))*EXP(-(LN(2)/$D$65+0.04)*X225)*EXP(-(LN(2)/$D$65+0.1)*Y225),"-"))),"-")</f>
        <v>-</v>
      </c>
      <c r="AC225" s="224">
        <f t="shared" si="134"/>
        <v>125</v>
      </c>
      <c r="AD225" s="223" t="str">
        <f t="shared" si="108"/>
        <v>-</v>
      </c>
      <c r="AE225" s="224" t="str">
        <f t="shared" si="135"/>
        <v>-</v>
      </c>
      <c r="AF225" s="224" t="str">
        <f t="shared" si="109"/>
        <v>-</v>
      </c>
      <c r="AG225" s="224" t="str">
        <f t="shared" si="110"/>
        <v>-</v>
      </c>
      <c r="AH225" s="272">
        <f t="shared" si="136"/>
        <v>0.1</v>
      </c>
      <c r="AI225" s="271" t="str">
        <f>IFERROR(IF(AD224=1,AI$100*EXP(-(LN(2)/$D$65+0.04)*AF224)*EXP(-(LN(2)/$D$65+0.1)*AG224),IF(AD224=2,AI$100*EXP(-(LN(2)/$D$65+0.04)*(VLOOKUP(($F$16-$F$15)-1,AC$99:AG224,4,FALSE)))*EXP(-(LN(2)/$D$65+0.1)*(VLOOKUP(($F$16-$F$15)-1,AC$99:AG224,5,FALSE)))*EXP(-(LN(2)/$D$65+0.04)*AF224)*EXP(-(LN(2)/$D$65+0.1)*AG224),IF(AD224=3,AI$100*EXP(-(LN(2)/$D$65+0.04)*(VLOOKUP(($F$16-$F$15)-1,AC$99:AG224,4,FALSE)))*EXP(-(LN(2)/$D$65+0.1)*(VLOOKUP(($F$16-$F$15)-1,AC$99:AG224,5,FALSE)))*EXP(-(LN(2)/$D$65+0.04)*(VLOOKUP(($F$16-$F$15)*2-1,AC$99:AG224,4,FALSE)))*EXP(-(LN(2)/$D$65+0.1)*(VLOOKUP(($F$16-$F$15)*2-1,AC$99:AG224,5,FALSE)))*EXP(-(LN(2)/$D$65+0.04)*AF224)*EXP(-(LN(2)/$D$65+0.1)*AG224),"-"))),"-")</f>
        <v>-</v>
      </c>
      <c r="AJ225" s="271" t="str">
        <f>IFERROR(IF(AD225=1,AJ$100*EXP(-(LN(2)/$D$65+0.04)*AF225)*EXP(-(LN(2)/$D$65+0.1)*AG225),IF(AD225=2,AJ$100*EXP(-(LN(2)/$D$65+0.04)*(VLOOKUP(($F$16-$F$15)-1,AC$100:AG225,4,FALSE)))*EXP(-(LN(2)/$D$65+0.1)*(VLOOKUP(($F$16-$F$15)-1,AC$100:AG225,5,FALSE)))*EXP(-(LN(2)/$D$65+0.04)*AF225)*EXP(-(LN(2)/$D$65+0.1)*AG225),IF(AD225=3,AJ$100*EXP(-(LN(2)/$D$65+0.04)*(VLOOKUP(($F$16-$F$15)-1,AC$100:AG225,4,FALSE)))*EXP(-(LN(2)/$D$65+0.1)*(VLOOKUP(($F$16-$F$15)-1,AC$100:AG225,5,FALSE)))*EXP(-(LN(2)/$D$65+0.04)*(VLOOKUP(($F$16-$F$15)*2-1,AC$100:AG225,4,FALSE)))*EXP(-(LN(2)/$D$65+0.1)*(VLOOKUP(($F$16-$F$15)*2-1,AC$100:AG225,5,FALSE)))*EXP(-(LN(2)/$D$65+0.04)*AF225)*EXP(-(LN(2)/$D$65+0.1)*AG225),"-"))),"-")</f>
        <v>-</v>
      </c>
      <c r="AK225" s="227">
        <f t="shared" si="137"/>
        <v>125</v>
      </c>
      <c r="AL225" s="226" t="str">
        <f t="shared" si="111"/>
        <v>-</v>
      </c>
      <c r="AM225" s="227" t="str">
        <f t="shared" si="138"/>
        <v>-</v>
      </c>
      <c r="AN225" s="227" t="str">
        <f t="shared" si="139"/>
        <v>-</v>
      </c>
      <c r="AO225" s="227" t="str">
        <f t="shared" si="112"/>
        <v>-</v>
      </c>
      <c r="AP225" s="273">
        <f t="shared" si="140"/>
        <v>0.1</v>
      </c>
      <c r="AQ225" s="271" t="str">
        <f>IFERROR(IF(AL224=1,AQ$100*EXP(-(LN(2)/$D$65+0.04)*AN224)*EXP(-(LN(2)/$D$65+0.1)*AO224),IF(AL224=2,AQ$100*EXP(-(LN(2)/$D$65+0.04)*(VLOOKUP(($F$16-$F$15)-1,AK$99:AO224,4,FALSE)))*EXP(-(LN(2)/$D$65+0.1)*(VLOOKUP(($F$16-$F$15)-1,AK$99:AO224,5,FALSE)))*EXP(-(LN(2)/$D$65+0.04)*AN224)*EXP(-(LN(2)/$D$65+0.1)*AO224),IF(AL224=3,AQ$100*EXP(-(LN(2)/$D$65+0.04)*(VLOOKUP(($F$16-$F$15)-1,AK$99:AO224,4,FALSE)))*EXP(-(LN(2)/$D$65+0.1)*(VLOOKUP(($F$16-$F$15)-1,AK$99:AO224,5,FALSE)))*EXP(-(LN(2)/$D$65+0.04)*(VLOOKUP(($F$16-$F$15)*2-1,AK$99:AO224,4,FALSE)))*EXP(-(LN(2)/$D$65+0.1)*(VLOOKUP(($F$16-$F$15)*2-1,AK$99:AO224,5,FALSE)))*EXP(-(LN(2)/$D$65+0.04)*AN224)*EXP(-(LN(2)/$D$65+0.1)*AO224),"-"))),"-")</f>
        <v>-</v>
      </c>
      <c r="AR225" s="271" t="str">
        <f>IFERROR(IF(AL225=1,AR$100*EXP(-(LN(2)/$D$65+0.04)*AN225)*EXP(-(LN(2)/$D$65+0.1)*AO225),IF(AL225=2,AR$100*EXP(-(LN(2)/$D$65+0.04)*(VLOOKUP(($F$16-$F$15)-1,AK$100:AO225,4,FALSE)))*EXP(-(LN(2)/$D$65+0.1)*(VLOOKUP(($F$16-$F$15)-1,AK$100:AO225,5,FALSE)))*EXP(-(LN(2)/$D$65+0.04)*AN225)*EXP(-(LN(2)/$D$65+0.1)*AO225),IF(AL225=3,AR$100*EXP(-(LN(2)/$D$65+0.04)*(VLOOKUP(($F$16-$F$15)-1,AK$100:AO225,4,FALSE)))*EXP(-(LN(2)/$D$65+0.1)*(VLOOKUP(($F$16-$F$15)-1,AK$100:AO225,5,FALSE)))*EXP(-(LN(2)/$D$65+0.04)*(VLOOKUP(($F$16-$F$15)*2-1,AK$100:AO225,4,FALSE)))*EXP(-(LN(2)/$D$65+0.1)*(VLOOKUP(($F$16-$F$15)*2-1,AK$100:AO225,5,FALSE)))*EXP(-(LN(2)/$D$65+0.04)*AN225)*EXP(-(LN(2)/$D$65+0.1)*AO225),"-"))),"-")</f>
        <v>-</v>
      </c>
      <c r="AS225" s="274">
        <f t="shared" si="113"/>
        <v>0</v>
      </c>
      <c r="AT225" s="274">
        <f t="shared" si="114"/>
        <v>0</v>
      </c>
      <c r="AU225" s="274">
        <f t="shared" si="115"/>
        <v>0</v>
      </c>
      <c r="AV225" s="190" t="str">
        <f>IF($B225&lt;$F$22,SUM($T$100:$T225),"")</f>
        <v/>
      </c>
      <c r="AW225" s="190" t="str">
        <f t="shared" si="161"/>
        <v>-</v>
      </c>
      <c r="AX225" s="190" t="str">
        <f t="shared" si="141"/>
        <v/>
      </c>
      <c r="AY225"/>
      <c r="AZ225" s="190" t="str">
        <f ca="1">IF(ISNUMBER(OFFSET(AV225,-$F$21,0)),SUM(OFFSET($T$100,$F$21,0):$T225),"")</f>
        <v/>
      </c>
      <c r="BA225" s="190" t="str">
        <f t="shared" ca="1" si="162"/>
        <v/>
      </c>
      <c r="BB225" s="190" t="str">
        <f t="shared" ca="1" si="148"/>
        <v/>
      </c>
      <c r="BC225" s="190"/>
      <c r="BD225" s="190" t="str">
        <f ca="1">IFERROR(IF(OR(ISNUMBER(I),ISNUMBER($F$14)),IF(AND($B225&gt;=($F$16-$F$15),$B225&lt;$F$22+($F$16-$F$15)),SUM(OFFSET($T$100,($F$16-$F$15),0):$T225),""),""),"")</f>
        <v/>
      </c>
      <c r="BE225" s="190" t="str">
        <f t="shared" ca="1" si="142"/>
        <v/>
      </c>
      <c r="BF225" s="190" t="str">
        <f t="shared" ca="1" si="143"/>
        <v/>
      </c>
      <c r="BG225"/>
      <c r="BH225" s="190" t="str">
        <f ca="1">IF(ISNUMBER(OFFSET(BD225,-$F$21,0)),SUM(OFFSET($T$100,($F$16-$F$15+$F$21),0):$T225),"")</f>
        <v/>
      </c>
      <c r="BI225" s="190" t="str">
        <f t="shared" ca="1" si="163"/>
        <v/>
      </c>
      <c r="BJ225" s="190" t="str">
        <f t="shared" ca="1" si="144"/>
        <v/>
      </c>
      <c r="BK225" s="190"/>
      <c r="BL225" s="190" t="str">
        <f ca="1">IFERROR(IF(OR(ISNUMBER(I),ISNUMBER($F$14)),IF(AND($B225&gt;=($F$17-$F$15),$B225&lt;$F$22+($F$17-$F$15)),SUM(OFFSET($T$100,($F$17-$F$15),0):$T225),""),""),"")</f>
        <v/>
      </c>
      <c r="BM225" s="190" t="str">
        <f t="shared" ca="1" si="164"/>
        <v/>
      </c>
      <c r="BN225" s="190" t="str">
        <f t="shared" ca="1" si="145"/>
        <v/>
      </c>
      <c r="BO225"/>
      <c r="BP225" s="190" t="str">
        <f ca="1">IF(ISNUMBER(OFFSET(BL225,-$F$21,0)),SUM(OFFSET($T$100,($F$17-$F$15+$F$21),0):$T225),"")</f>
        <v/>
      </c>
      <c r="BQ225" s="190" t="str">
        <f t="shared" ca="1" si="165"/>
        <v/>
      </c>
      <c r="BR225" s="190" t="str">
        <f t="shared" ca="1" si="146"/>
        <v/>
      </c>
      <c r="BS225" s="190"/>
      <c r="BT225"/>
      <c r="BU225"/>
      <c r="BV225"/>
      <c r="BY225" s="99"/>
      <c r="BZ225" s="99"/>
      <c r="CA225" s="280" t="str">
        <f t="shared" si="166"/>
        <v/>
      </c>
      <c r="CB225" s="71" t="str">
        <f t="shared" si="122"/>
        <v>-</v>
      </c>
      <c r="CC225" s="33"/>
      <c r="CD225" s="261" t="str">
        <f t="shared" si="123"/>
        <v/>
      </c>
      <c r="CE225" s="280" t="str">
        <f t="shared" si="167"/>
        <v/>
      </c>
      <c r="CF225" s="71" t="str">
        <f t="shared" ca="1" si="168"/>
        <v/>
      </c>
      <c r="CG225" s="33" t="str">
        <f t="shared" si="126"/>
        <v/>
      </c>
      <c r="CH225" s="261" t="str">
        <f t="shared" ca="1" si="127"/>
        <v/>
      </c>
    </row>
    <row r="226" spans="2:86" ht="13.5" customHeight="1" x14ac:dyDescent="0.2">
      <c r="B226" s="262">
        <v>126</v>
      </c>
      <c r="C226" s="237" t="str">
        <f t="shared" si="91"/>
        <v/>
      </c>
      <c r="D226" s="237" t="str">
        <f t="shared" si="147"/>
        <v/>
      </c>
      <c r="E226" s="263" t="str">
        <f t="shared" si="128"/>
        <v/>
      </c>
      <c r="F226" s="264" t="str">
        <f t="shared" si="129"/>
        <v/>
      </c>
      <c r="G226" s="264" t="str">
        <f t="shared" si="130"/>
        <v/>
      </c>
      <c r="H226" s="240" t="str">
        <f t="shared" si="149"/>
        <v/>
      </c>
      <c r="I226" s="265" t="str">
        <f t="shared" si="150"/>
        <v/>
      </c>
      <c r="J226" s="265" t="str">
        <f t="shared" si="151"/>
        <v/>
      </c>
      <c r="K226" s="240" t="str">
        <f t="shared" si="152"/>
        <v/>
      </c>
      <c r="L226" s="265" t="str">
        <f t="shared" si="153"/>
        <v/>
      </c>
      <c r="M226" s="265" t="str">
        <f t="shared" si="154"/>
        <v/>
      </c>
      <c r="N226" s="240" t="str">
        <f t="shared" si="155"/>
        <v>-</v>
      </c>
      <c r="O226" s="265" t="str">
        <f t="shared" si="156"/>
        <v>-</v>
      </c>
      <c r="P226" s="265" t="str">
        <f t="shared" si="157"/>
        <v>-</v>
      </c>
      <c r="Q226" s="266" t="str">
        <f t="shared" si="158"/>
        <v>-</v>
      </c>
      <c r="R226" s="267" t="str">
        <f t="shared" si="159"/>
        <v>-</v>
      </c>
      <c r="S226" s="268" t="str">
        <f t="shared" si="160"/>
        <v>-</v>
      </c>
      <c r="T226" s="269" t="str">
        <f t="shared" si="104"/>
        <v/>
      </c>
      <c r="U226" s="221">
        <f t="shared" si="105"/>
        <v>126</v>
      </c>
      <c r="V226" s="220" t="str">
        <f t="shared" si="131"/>
        <v>-</v>
      </c>
      <c r="W226" s="221" t="str">
        <f t="shared" si="132"/>
        <v>-</v>
      </c>
      <c r="X226" s="221" t="str">
        <f t="shared" si="106"/>
        <v>-</v>
      </c>
      <c r="Y226" s="221" t="str">
        <f t="shared" si="107"/>
        <v>-</v>
      </c>
      <c r="Z226" s="270">
        <f t="shared" si="133"/>
        <v>0.1</v>
      </c>
      <c r="AA226" s="271" t="str">
        <f>IFERROR(IF(V225=1,AA$100*EXP(-(LN(2)/$D$65+0.04)*X225)*EXP(-(LN(2)/$D$65+0.1)*Y225),IF(V225=2,AA$100*EXP(-(LN(2)/$D$65+0.04)*(VLOOKUP(($F$16-$F$15)-1,U$99:Y225,4,FALSE)))*EXP(-(LN(2)/$D$65+0.1)*(VLOOKUP(($F$16-$F$15)-1,U$99:Y225,5,FALSE)))*EXP(-(LN(2)/$D$65+0.04)*X225)*EXP(-(LN(2)/$D$65+0.1)*Y225),IF(V225=3,AA$100*EXP(-(LN(2)/$D$65+0.04)*(VLOOKUP(($F$16-$F$15)-1,U$99:Y225,4,FALSE)))*EXP(-(LN(2)/$D$65+0.1)*(VLOOKUP(($F$16-$F$15)-1,U$99:Y225,5,FALSE)))*EXP(-(LN(2)/$D$65+0.04)*(VLOOKUP(($F$16-$F$15)*2-1,U$99:Y225,4,FALSE)))*EXP(-(LN(2)/$D$65+0.1)*(VLOOKUP(($F$16-$F$15)*2-1,U$99:Y225,5,FALSE)))*EXP(-(LN(2)/$D$65+0.04)*X225)*EXP(-(LN(2)/$D$65+0.1)*Y225),"-"))),"-")</f>
        <v>-</v>
      </c>
      <c r="AB226" s="271" t="str">
        <f>IFERROR(IF(V226=1,AB$100*EXP(-(LN(2)/$D$65+0.04)*X226)*EXP(-(LN(2)/$D$65+0.1)*Y226),IF(V226=2,AB$100*EXP(-(LN(2)/$D$65+0.04)*(VLOOKUP(($F$16-$F$15)-1,U$100:Y226,4,FALSE)))*EXP(-(LN(2)/$D$65+0.1)*(VLOOKUP(($F$16-$F$15)-1,U$100:Y226,5,FALSE)))*EXP(-(LN(2)/$D$65+0.04)*X226)*EXP(-(LN(2)/$D$65+0.1)*Y226),IF(V226=3,AB$100*EXP(-(LN(2)/$D$65+0.04)*(VLOOKUP(($F$16-$F$15)-1,U$100:Y226,4,FALSE)))*EXP(-(LN(2)/$D$65+0.1)*(VLOOKUP(($F$16-$F$15)-1,U$100:Y226,5,FALSE)))*EXP(-(LN(2)/$D$65+0.04)*(VLOOKUP(($F$16-$F$15)*2-1,U$100:Y226,4,FALSE)))*EXP(-(LN(2)/$D$65+0.1)*(VLOOKUP(($F$16-$F$15)*2-1,U$100:Y226,5,FALSE)))*EXP(-(LN(2)/$D$65+0.04)*X226)*EXP(-(LN(2)/$D$65+0.1)*Y226),"-"))),"-")</f>
        <v>-</v>
      </c>
      <c r="AC226" s="224">
        <f t="shared" si="134"/>
        <v>126</v>
      </c>
      <c r="AD226" s="223" t="str">
        <f t="shared" si="108"/>
        <v>-</v>
      </c>
      <c r="AE226" s="224" t="str">
        <f t="shared" si="135"/>
        <v>-</v>
      </c>
      <c r="AF226" s="224" t="str">
        <f t="shared" si="109"/>
        <v>-</v>
      </c>
      <c r="AG226" s="224" t="str">
        <f t="shared" si="110"/>
        <v>-</v>
      </c>
      <c r="AH226" s="272">
        <f t="shared" si="136"/>
        <v>0.1</v>
      </c>
      <c r="AI226" s="271" t="str">
        <f>IFERROR(IF(AD225=1,AI$100*EXP(-(LN(2)/$D$65+0.04)*AF225)*EXP(-(LN(2)/$D$65+0.1)*AG225),IF(AD225=2,AI$100*EXP(-(LN(2)/$D$65+0.04)*(VLOOKUP(($F$16-$F$15)-1,AC$99:AG225,4,FALSE)))*EXP(-(LN(2)/$D$65+0.1)*(VLOOKUP(($F$16-$F$15)-1,AC$99:AG225,5,FALSE)))*EXP(-(LN(2)/$D$65+0.04)*AF225)*EXP(-(LN(2)/$D$65+0.1)*AG225),IF(AD225=3,AI$100*EXP(-(LN(2)/$D$65+0.04)*(VLOOKUP(($F$16-$F$15)-1,AC$99:AG225,4,FALSE)))*EXP(-(LN(2)/$D$65+0.1)*(VLOOKUP(($F$16-$F$15)-1,AC$99:AG225,5,FALSE)))*EXP(-(LN(2)/$D$65+0.04)*(VLOOKUP(($F$16-$F$15)*2-1,AC$99:AG225,4,FALSE)))*EXP(-(LN(2)/$D$65+0.1)*(VLOOKUP(($F$16-$F$15)*2-1,AC$99:AG225,5,FALSE)))*EXP(-(LN(2)/$D$65+0.04)*AF225)*EXP(-(LN(2)/$D$65+0.1)*AG225),"-"))),"-")</f>
        <v>-</v>
      </c>
      <c r="AJ226" s="271" t="str">
        <f>IFERROR(IF(AD226=1,AJ$100*EXP(-(LN(2)/$D$65+0.04)*AF226)*EXP(-(LN(2)/$D$65+0.1)*AG226),IF(AD226=2,AJ$100*EXP(-(LN(2)/$D$65+0.04)*(VLOOKUP(($F$16-$F$15)-1,AC$100:AG226,4,FALSE)))*EXP(-(LN(2)/$D$65+0.1)*(VLOOKUP(($F$16-$F$15)-1,AC$100:AG226,5,FALSE)))*EXP(-(LN(2)/$D$65+0.04)*AF226)*EXP(-(LN(2)/$D$65+0.1)*AG226),IF(AD226=3,AJ$100*EXP(-(LN(2)/$D$65+0.04)*(VLOOKUP(($F$16-$F$15)-1,AC$100:AG226,4,FALSE)))*EXP(-(LN(2)/$D$65+0.1)*(VLOOKUP(($F$16-$F$15)-1,AC$100:AG226,5,FALSE)))*EXP(-(LN(2)/$D$65+0.04)*(VLOOKUP(($F$16-$F$15)*2-1,AC$100:AG226,4,FALSE)))*EXP(-(LN(2)/$D$65+0.1)*(VLOOKUP(($F$16-$F$15)*2-1,AC$100:AG226,5,FALSE)))*EXP(-(LN(2)/$D$65+0.04)*AF226)*EXP(-(LN(2)/$D$65+0.1)*AG226),"-"))),"-")</f>
        <v>-</v>
      </c>
      <c r="AK226" s="227">
        <f t="shared" si="137"/>
        <v>126</v>
      </c>
      <c r="AL226" s="226" t="str">
        <f t="shared" si="111"/>
        <v>-</v>
      </c>
      <c r="AM226" s="227" t="str">
        <f t="shared" si="138"/>
        <v>-</v>
      </c>
      <c r="AN226" s="227" t="str">
        <f t="shared" si="139"/>
        <v>-</v>
      </c>
      <c r="AO226" s="227" t="str">
        <f t="shared" si="112"/>
        <v>-</v>
      </c>
      <c r="AP226" s="273">
        <f t="shared" si="140"/>
        <v>0.1</v>
      </c>
      <c r="AQ226" s="271" t="str">
        <f>IFERROR(IF(AL225=1,AQ$100*EXP(-(LN(2)/$D$65+0.04)*AN225)*EXP(-(LN(2)/$D$65+0.1)*AO225),IF(AL225=2,AQ$100*EXP(-(LN(2)/$D$65+0.04)*(VLOOKUP(($F$16-$F$15)-1,AK$99:AO225,4,FALSE)))*EXP(-(LN(2)/$D$65+0.1)*(VLOOKUP(($F$16-$F$15)-1,AK$99:AO225,5,FALSE)))*EXP(-(LN(2)/$D$65+0.04)*AN225)*EXP(-(LN(2)/$D$65+0.1)*AO225),IF(AL225=3,AQ$100*EXP(-(LN(2)/$D$65+0.04)*(VLOOKUP(($F$16-$F$15)-1,AK$99:AO225,4,FALSE)))*EXP(-(LN(2)/$D$65+0.1)*(VLOOKUP(($F$16-$F$15)-1,AK$99:AO225,5,FALSE)))*EXP(-(LN(2)/$D$65+0.04)*(VLOOKUP(($F$16-$F$15)*2-1,AK$99:AO225,4,FALSE)))*EXP(-(LN(2)/$D$65+0.1)*(VLOOKUP(($F$16-$F$15)*2-1,AK$99:AO225,5,FALSE)))*EXP(-(LN(2)/$D$65+0.04)*AN225)*EXP(-(LN(2)/$D$65+0.1)*AO225),"-"))),"-")</f>
        <v>-</v>
      </c>
      <c r="AR226" s="271" t="str">
        <f>IFERROR(IF(AL226=1,AR$100*EXP(-(LN(2)/$D$65+0.04)*AN226)*EXP(-(LN(2)/$D$65+0.1)*AO226),IF(AL226=2,AR$100*EXP(-(LN(2)/$D$65+0.04)*(VLOOKUP(($F$16-$F$15)-1,AK$100:AO226,4,FALSE)))*EXP(-(LN(2)/$D$65+0.1)*(VLOOKUP(($F$16-$F$15)-1,AK$100:AO226,5,FALSE)))*EXP(-(LN(2)/$D$65+0.04)*AN226)*EXP(-(LN(2)/$D$65+0.1)*AO226),IF(AL226=3,AR$100*EXP(-(LN(2)/$D$65+0.04)*(VLOOKUP(($F$16-$F$15)-1,AK$100:AO226,4,FALSE)))*EXP(-(LN(2)/$D$65+0.1)*(VLOOKUP(($F$16-$F$15)-1,AK$100:AO226,5,FALSE)))*EXP(-(LN(2)/$D$65+0.04)*(VLOOKUP(($F$16-$F$15)*2-1,AK$100:AO226,4,FALSE)))*EXP(-(LN(2)/$D$65+0.1)*(VLOOKUP(($F$16-$F$15)*2-1,AK$100:AO226,5,FALSE)))*EXP(-(LN(2)/$D$65+0.04)*AN226)*EXP(-(LN(2)/$D$65+0.1)*AO226),"-"))),"-")</f>
        <v>-</v>
      </c>
      <c r="AS226" s="274">
        <f t="shared" si="113"/>
        <v>0</v>
      </c>
      <c r="AT226" s="274">
        <f t="shared" si="114"/>
        <v>0</v>
      </c>
      <c r="AU226" s="274">
        <f t="shared" si="115"/>
        <v>0</v>
      </c>
      <c r="AV226" s="190" t="str">
        <f>IF($B226&lt;$F$22,SUM($T$100:$T226),"")</f>
        <v/>
      </c>
      <c r="AW226" s="190" t="str">
        <f t="shared" si="161"/>
        <v>-</v>
      </c>
      <c r="AX226" s="190" t="str">
        <f t="shared" si="141"/>
        <v/>
      </c>
      <c r="AY226"/>
      <c r="AZ226" s="190" t="str">
        <f ca="1">IF(ISNUMBER(OFFSET(AV226,-$F$21,0)),SUM(OFFSET($T$100,$F$21,0):$T226),"")</f>
        <v/>
      </c>
      <c r="BA226" s="190" t="str">
        <f t="shared" ca="1" si="162"/>
        <v/>
      </c>
      <c r="BB226" s="190" t="str">
        <f t="shared" ca="1" si="148"/>
        <v/>
      </c>
      <c r="BC226" s="190"/>
      <c r="BD226" s="190" t="str">
        <f ca="1">IFERROR(IF(OR(ISNUMBER(I),ISNUMBER($F$14)),IF(AND($B226&gt;=($F$16-$F$15),$B226&lt;$F$22+($F$16-$F$15)),SUM(OFFSET($T$100,($F$16-$F$15),0):$T226),""),""),"")</f>
        <v/>
      </c>
      <c r="BE226" s="190" t="str">
        <f t="shared" ca="1" si="142"/>
        <v/>
      </c>
      <c r="BF226" s="190" t="str">
        <f t="shared" ca="1" si="143"/>
        <v/>
      </c>
      <c r="BG226"/>
      <c r="BH226" s="190" t="str">
        <f ca="1">IF(ISNUMBER(OFFSET(BD226,-$F$21,0)),SUM(OFFSET($T$100,($F$16-$F$15+$F$21),0):$T226),"")</f>
        <v/>
      </c>
      <c r="BI226" s="190" t="str">
        <f t="shared" ca="1" si="163"/>
        <v/>
      </c>
      <c r="BJ226" s="190" t="str">
        <f t="shared" ca="1" si="144"/>
        <v/>
      </c>
      <c r="BK226" s="190"/>
      <c r="BL226" s="190" t="str">
        <f ca="1">IFERROR(IF(OR(ISNUMBER(I),ISNUMBER($F$14)),IF(AND($B226&gt;=($F$17-$F$15),$B226&lt;$F$22+($F$17-$F$15)),SUM(OFFSET($T$100,($F$17-$F$15),0):$T226),""),""),"")</f>
        <v/>
      </c>
      <c r="BM226" s="190" t="str">
        <f t="shared" ca="1" si="164"/>
        <v/>
      </c>
      <c r="BN226" s="190" t="str">
        <f t="shared" ca="1" si="145"/>
        <v/>
      </c>
      <c r="BO226"/>
      <c r="BP226" s="190" t="str">
        <f ca="1">IF(ISNUMBER(OFFSET(BL226,-$F$21,0)),SUM(OFFSET($T$100,($F$17-$F$15+$F$21),0):$T226),"")</f>
        <v/>
      </c>
      <c r="BQ226" s="190" t="str">
        <f t="shared" ca="1" si="165"/>
        <v/>
      </c>
      <c r="BR226" s="190" t="str">
        <f t="shared" ca="1" si="146"/>
        <v/>
      </c>
      <c r="BS226" s="190"/>
      <c r="BT226"/>
      <c r="BU226"/>
      <c r="BV226"/>
      <c r="BY226" s="99"/>
      <c r="BZ226" s="99"/>
      <c r="CA226" s="280" t="str">
        <f t="shared" si="166"/>
        <v/>
      </c>
      <c r="CB226" s="71" t="str">
        <f t="shared" si="122"/>
        <v>-</v>
      </c>
      <c r="CC226" s="33"/>
      <c r="CD226" s="261" t="str">
        <f t="shared" si="123"/>
        <v/>
      </c>
      <c r="CE226" s="280" t="str">
        <f t="shared" si="167"/>
        <v/>
      </c>
      <c r="CF226" s="71" t="str">
        <f t="shared" ca="1" si="168"/>
        <v/>
      </c>
      <c r="CG226" s="33" t="str">
        <f t="shared" si="126"/>
        <v/>
      </c>
      <c r="CH226" s="261" t="str">
        <f t="shared" ca="1" si="127"/>
        <v/>
      </c>
    </row>
    <row r="227" spans="2:86" ht="13.5" customHeight="1" x14ac:dyDescent="0.2">
      <c r="B227" s="262">
        <v>127</v>
      </c>
      <c r="C227" s="237" t="str">
        <f t="shared" si="91"/>
        <v/>
      </c>
      <c r="D227" s="237" t="str">
        <f t="shared" si="147"/>
        <v/>
      </c>
      <c r="E227" s="263" t="str">
        <f t="shared" si="128"/>
        <v/>
      </c>
      <c r="F227" s="264" t="str">
        <f t="shared" si="129"/>
        <v/>
      </c>
      <c r="G227" s="264" t="str">
        <f t="shared" si="130"/>
        <v/>
      </c>
      <c r="H227" s="240" t="str">
        <f t="shared" si="149"/>
        <v/>
      </c>
      <c r="I227" s="265" t="str">
        <f t="shared" si="150"/>
        <v/>
      </c>
      <c r="J227" s="265" t="str">
        <f t="shared" si="151"/>
        <v/>
      </c>
      <c r="K227" s="240" t="str">
        <f t="shared" si="152"/>
        <v/>
      </c>
      <c r="L227" s="265" t="str">
        <f t="shared" si="153"/>
        <v/>
      </c>
      <c r="M227" s="265" t="str">
        <f t="shared" si="154"/>
        <v/>
      </c>
      <c r="N227" s="240" t="str">
        <f t="shared" si="155"/>
        <v>-</v>
      </c>
      <c r="O227" s="265" t="str">
        <f t="shared" si="156"/>
        <v>-</v>
      </c>
      <c r="P227" s="265" t="str">
        <f t="shared" si="157"/>
        <v>-</v>
      </c>
      <c r="Q227" s="266" t="str">
        <f t="shared" si="158"/>
        <v>-</v>
      </c>
      <c r="R227" s="267" t="str">
        <f t="shared" si="159"/>
        <v>-</v>
      </c>
      <c r="S227" s="268" t="str">
        <f t="shared" si="160"/>
        <v>-</v>
      </c>
      <c r="T227" s="269" t="str">
        <f t="shared" si="104"/>
        <v/>
      </c>
      <c r="U227" s="221">
        <f t="shared" si="105"/>
        <v>127</v>
      </c>
      <c r="V227" s="220" t="str">
        <f t="shared" si="131"/>
        <v>-</v>
      </c>
      <c r="W227" s="221" t="str">
        <f t="shared" si="132"/>
        <v>-</v>
      </c>
      <c r="X227" s="221" t="str">
        <f t="shared" si="106"/>
        <v>-</v>
      </c>
      <c r="Y227" s="221" t="str">
        <f t="shared" si="107"/>
        <v>-</v>
      </c>
      <c r="Z227" s="270">
        <f t="shared" si="133"/>
        <v>0.1</v>
      </c>
      <c r="AA227" s="271" t="str">
        <f>IFERROR(IF(V226=1,AA$100*EXP(-(LN(2)/$D$65+0.04)*X226)*EXP(-(LN(2)/$D$65+0.1)*Y226),IF(V226=2,AA$100*EXP(-(LN(2)/$D$65+0.04)*(VLOOKUP(($F$16-$F$15)-1,U$99:Y226,4,FALSE)))*EXP(-(LN(2)/$D$65+0.1)*(VLOOKUP(($F$16-$F$15)-1,U$99:Y226,5,FALSE)))*EXP(-(LN(2)/$D$65+0.04)*X226)*EXP(-(LN(2)/$D$65+0.1)*Y226),IF(V226=3,AA$100*EXP(-(LN(2)/$D$65+0.04)*(VLOOKUP(($F$16-$F$15)-1,U$99:Y226,4,FALSE)))*EXP(-(LN(2)/$D$65+0.1)*(VLOOKUP(($F$16-$F$15)-1,U$99:Y226,5,FALSE)))*EXP(-(LN(2)/$D$65+0.04)*(VLOOKUP(($F$16-$F$15)*2-1,U$99:Y226,4,FALSE)))*EXP(-(LN(2)/$D$65+0.1)*(VLOOKUP(($F$16-$F$15)*2-1,U$99:Y226,5,FALSE)))*EXP(-(LN(2)/$D$65+0.04)*X226)*EXP(-(LN(2)/$D$65+0.1)*Y226),"-"))),"-")</f>
        <v>-</v>
      </c>
      <c r="AB227" s="271" t="str">
        <f>IFERROR(IF(V227=1,AB$100*EXP(-(LN(2)/$D$65+0.04)*X227)*EXP(-(LN(2)/$D$65+0.1)*Y227),IF(V227=2,AB$100*EXP(-(LN(2)/$D$65+0.04)*(VLOOKUP(($F$16-$F$15)-1,U$100:Y227,4,FALSE)))*EXP(-(LN(2)/$D$65+0.1)*(VLOOKUP(($F$16-$F$15)-1,U$100:Y227,5,FALSE)))*EXP(-(LN(2)/$D$65+0.04)*X227)*EXP(-(LN(2)/$D$65+0.1)*Y227),IF(V227=3,AB$100*EXP(-(LN(2)/$D$65+0.04)*(VLOOKUP(($F$16-$F$15)-1,U$100:Y227,4,FALSE)))*EXP(-(LN(2)/$D$65+0.1)*(VLOOKUP(($F$16-$F$15)-1,U$100:Y227,5,FALSE)))*EXP(-(LN(2)/$D$65+0.04)*(VLOOKUP(($F$16-$F$15)*2-1,U$100:Y227,4,FALSE)))*EXP(-(LN(2)/$D$65+0.1)*(VLOOKUP(($F$16-$F$15)*2-1,U$100:Y227,5,FALSE)))*EXP(-(LN(2)/$D$65+0.04)*X227)*EXP(-(LN(2)/$D$65+0.1)*Y227),"-"))),"-")</f>
        <v>-</v>
      </c>
      <c r="AC227" s="224">
        <f t="shared" si="134"/>
        <v>127</v>
      </c>
      <c r="AD227" s="223" t="str">
        <f t="shared" si="108"/>
        <v>-</v>
      </c>
      <c r="AE227" s="224" t="str">
        <f t="shared" si="135"/>
        <v>-</v>
      </c>
      <c r="AF227" s="224" t="str">
        <f t="shared" si="109"/>
        <v>-</v>
      </c>
      <c r="AG227" s="224" t="str">
        <f t="shared" si="110"/>
        <v>-</v>
      </c>
      <c r="AH227" s="272">
        <f t="shared" si="136"/>
        <v>0.1</v>
      </c>
      <c r="AI227" s="271" t="str">
        <f>IFERROR(IF(AD226=1,AI$100*EXP(-(LN(2)/$D$65+0.04)*AF226)*EXP(-(LN(2)/$D$65+0.1)*AG226),IF(AD226=2,AI$100*EXP(-(LN(2)/$D$65+0.04)*(VLOOKUP(($F$16-$F$15)-1,AC$99:AG226,4,FALSE)))*EXP(-(LN(2)/$D$65+0.1)*(VLOOKUP(($F$16-$F$15)-1,AC$99:AG226,5,FALSE)))*EXP(-(LN(2)/$D$65+0.04)*AF226)*EXP(-(LN(2)/$D$65+0.1)*AG226),IF(AD226=3,AI$100*EXP(-(LN(2)/$D$65+0.04)*(VLOOKUP(($F$16-$F$15)-1,AC$99:AG226,4,FALSE)))*EXP(-(LN(2)/$D$65+0.1)*(VLOOKUP(($F$16-$F$15)-1,AC$99:AG226,5,FALSE)))*EXP(-(LN(2)/$D$65+0.04)*(VLOOKUP(($F$16-$F$15)*2-1,AC$99:AG226,4,FALSE)))*EXP(-(LN(2)/$D$65+0.1)*(VLOOKUP(($F$16-$F$15)*2-1,AC$99:AG226,5,FALSE)))*EXP(-(LN(2)/$D$65+0.04)*AF226)*EXP(-(LN(2)/$D$65+0.1)*AG226),"-"))),"-")</f>
        <v>-</v>
      </c>
      <c r="AJ227" s="271" t="str">
        <f>IFERROR(IF(AD227=1,AJ$100*EXP(-(LN(2)/$D$65+0.04)*AF227)*EXP(-(LN(2)/$D$65+0.1)*AG227),IF(AD227=2,AJ$100*EXP(-(LN(2)/$D$65+0.04)*(VLOOKUP(($F$16-$F$15)-1,AC$100:AG227,4,FALSE)))*EXP(-(LN(2)/$D$65+0.1)*(VLOOKUP(($F$16-$F$15)-1,AC$100:AG227,5,FALSE)))*EXP(-(LN(2)/$D$65+0.04)*AF227)*EXP(-(LN(2)/$D$65+0.1)*AG227),IF(AD227=3,AJ$100*EXP(-(LN(2)/$D$65+0.04)*(VLOOKUP(($F$16-$F$15)-1,AC$100:AG227,4,FALSE)))*EXP(-(LN(2)/$D$65+0.1)*(VLOOKUP(($F$16-$F$15)-1,AC$100:AG227,5,FALSE)))*EXP(-(LN(2)/$D$65+0.04)*(VLOOKUP(($F$16-$F$15)*2-1,AC$100:AG227,4,FALSE)))*EXP(-(LN(2)/$D$65+0.1)*(VLOOKUP(($F$16-$F$15)*2-1,AC$100:AG227,5,FALSE)))*EXP(-(LN(2)/$D$65+0.04)*AF227)*EXP(-(LN(2)/$D$65+0.1)*AG227),"-"))),"-")</f>
        <v>-</v>
      </c>
      <c r="AK227" s="227">
        <f t="shared" si="137"/>
        <v>127</v>
      </c>
      <c r="AL227" s="226" t="str">
        <f t="shared" si="111"/>
        <v>-</v>
      </c>
      <c r="AM227" s="227" t="str">
        <f t="shared" si="138"/>
        <v>-</v>
      </c>
      <c r="AN227" s="227" t="str">
        <f t="shared" si="139"/>
        <v>-</v>
      </c>
      <c r="AO227" s="227" t="str">
        <f t="shared" si="112"/>
        <v>-</v>
      </c>
      <c r="AP227" s="273">
        <f t="shared" si="140"/>
        <v>0.1</v>
      </c>
      <c r="AQ227" s="271" t="str">
        <f>IFERROR(IF(AL226=1,AQ$100*EXP(-(LN(2)/$D$65+0.04)*AN226)*EXP(-(LN(2)/$D$65+0.1)*AO226),IF(AL226=2,AQ$100*EXP(-(LN(2)/$D$65+0.04)*(VLOOKUP(($F$16-$F$15)-1,AK$99:AO226,4,FALSE)))*EXP(-(LN(2)/$D$65+0.1)*(VLOOKUP(($F$16-$F$15)-1,AK$99:AO226,5,FALSE)))*EXP(-(LN(2)/$D$65+0.04)*AN226)*EXP(-(LN(2)/$D$65+0.1)*AO226),IF(AL226=3,AQ$100*EXP(-(LN(2)/$D$65+0.04)*(VLOOKUP(($F$16-$F$15)-1,AK$99:AO226,4,FALSE)))*EXP(-(LN(2)/$D$65+0.1)*(VLOOKUP(($F$16-$F$15)-1,AK$99:AO226,5,FALSE)))*EXP(-(LN(2)/$D$65+0.04)*(VLOOKUP(($F$16-$F$15)*2-1,AK$99:AO226,4,FALSE)))*EXP(-(LN(2)/$D$65+0.1)*(VLOOKUP(($F$16-$F$15)*2-1,AK$99:AO226,5,FALSE)))*EXP(-(LN(2)/$D$65+0.04)*AN226)*EXP(-(LN(2)/$D$65+0.1)*AO226),"-"))),"-")</f>
        <v>-</v>
      </c>
      <c r="AR227" s="271" t="str">
        <f>IFERROR(IF(AL227=1,AR$100*EXP(-(LN(2)/$D$65+0.04)*AN227)*EXP(-(LN(2)/$D$65+0.1)*AO227),IF(AL227=2,AR$100*EXP(-(LN(2)/$D$65+0.04)*(VLOOKUP(($F$16-$F$15)-1,AK$100:AO227,4,FALSE)))*EXP(-(LN(2)/$D$65+0.1)*(VLOOKUP(($F$16-$F$15)-1,AK$100:AO227,5,FALSE)))*EXP(-(LN(2)/$D$65+0.04)*AN227)*EXP(-(LN(2)/$D$65+0.1)*AO227),IF(AL227=3,AR$100*EXP(-(LN(2)/$D$65+0.04)*(VLOOKUP(($F$16-$F$15)-1,AK$100:AO227,4,FALSE)))*EXP(-(LN(2)/$D$65+0.1)*(VLOOKUP(($F$16-$F$15)-1,AK$100:AO227,5,FALSE)))*EXP(-(LN(2)/$D$65+0.04)*(VLOOKUP(($F$16-$F$15)*2-1,AK$100:AO227,4,FALSE)))*EXP(-(LN(2)/$D$65+0.1)*(VLOOKUP(($F$16-$F$15)*2-1,AK$100:AO227,5,FALSE)))*EXP(-(LN(2)/$D$65+0.04)*AN227)*EXP(-(LN(2)/$D$65+0.1)*AO227),"-"))),"-")</f>
        <v>-</v>
      </c>
      <c r="AS227" s="274">
        <f t="shared" si="113"/>
        <v>0</v>
      </c>
      <c r="AT227" s="274">
        <f t="shared" si="114"/>
        <v>0</v>
      </c>
      <c r="AU227" s="274">
        <f t="shared" si="115"/>
        <v>0</v>
      </c>
      <c r="AV227" s="190" t="str">
        <f>IF($B227&lt;$F$22,SUM($T$100:$T227),"")</f>
        <v/>
      </c>
      <c r="AW227" s="190" t="str">
        <f t="shared" si="161"/>
        <v>-</v>
      </c>
      <c r="AX227" s="190" t="str">
        <f t="shared" si="141"/>
        <v/>
      </c>
      <c r="AY227"/>
      <c r="AZ227" s="190" t="str">
        <f ca="1">IF(ISNUMBER(OFFSET(AV227,-$F$21,0)),SUM(OFFSET($T$100,$F$21,0):$T227),"")</f>
        <v/>
      </c>
      <c r="BA227" s="190" t="str">
        <f t="shared" ca="1" si="162"/>
        <v/>
      </c>
      <c r="BB227" s="190" t="str">
        <f t="shared" ca="1" si="148"/>
        <v/>
      </c>
      <c r="BC227" s="190"/>
      <c r="BD227" s="190" t="str">
        <f ca="1">IFERROR(IF(OR(ISNUMBER(I),ISNUMBER($F$14)),IF(AND($B227&gt;=($F$16-$F$15),$B227&lt;$F$22+($F$16-$F$15)),SUM(OFFSET($T$100,($F$16-$F$15),0):$T227),""),""),"")</f>
        <v/>
      </c>
      <c r="BE227" s="190" t="str">
        <f t="shared" ca="1" si="142"/>
        <v/>
      </c>
      <c r="BF227" s="190" t="str">
        <f t="shared" ca="1" si="143"/>
        <v/>
      </c>
      <c r="BG227"/>
      <c r="BH227" s="190" t="str">
        <f ca="1">IF(ISNUMBER(OFFSET(BD227,-$F$21,0)),SUM(OFFSET($T$100,($F$16-$F$15+$F$21),0):$T227),"")</f>
        <v/>
      </c>
      <c r="BI227" s="190" t="str">
        <f t="shared" ca="1" si="163"/>
        <v/>
      </c>
      <c r="BJ227" s="190" t="str">
        <f t="shared" ca="1" si="144"/>
        <v/>
      </c>
      <c r="BK227" s="190"/>
      <c r="BL227" s="190" t="str">
        <f ca="1">IFERROR(IF(OR(ISNUMBER(I),ISNUMBER($F$14)),IF(AND($B227&gt;=($F$17-$F$15),$B227&lt;$F$22+($F$17-$F$15)),SUM(OFFSET($T$100,($F$17-$F$15),0):$T227),""),""),"")</f>
        <v/>
      </c>
      <c r="BM227" s="190" t="str">
        <f t="shared" ca="1" si="164"/>
        <v/>
      </c>
      <c r="BN227" s="190" t="str">
        <f t="shared" ca="1" si="145"/>
        <v/>
      </c>
      <c r="BO227"/>
      <c r="BP227" s="190" t="str">
        <f ca="1">IF(ISNUMBER(OFFSET(BL227,-$F$21,0)),SUM(OFFSET($T$100,($F$17-$F$15+$F$21),0):$T227),"")</f>
        <v/>
      </c>
      <c r="BQ227" s="190" t="str">
        <f t="shared" ca="1" si="165"/>
        <v/>
      </c>
      <c r="BR227" s="190" t="str">
        <f t="shared" ca="1" si="146"/>
        <v/>
      </c>
      <c r="BS227" s="190"/>
      <c r="BT227"/>
      <c r="BU227"/>
      <c r="BV227"/>
      <c r="BY227" s="99"/>
      <c r="BZ227" s="99"/>
      <c r="CA227" s="280" t="str">
        <f t="shared" si="166"/>
        <v/>
      </c>
      <c r="CB227" s="71" t="str">
        <f t="shared" si="122"/>
        <v>-</v>
      </c>
      <c r="CC227" s="33"/>
      <c r="CD227" s="261" t="str">
        <f t="shared" si="123"/>
        <v/>
      </c>
      <c r="CE227" s="280" t="str">
        <f t="shared" si="167"/>
        <v/>
      </c>
      <c r="CF227" s="71" t="str">
        <f t="shared" ca="1" si="168"/>
        <v/>
      </c>
      <c r="CG227" s="33" t="str">
        <f t="shared" si="126"/>
        <v/>
      </c>
      <c r="CH227" s="261" t="str">
        <f t="shared" ca="1" si="127"/>
        <v/>
      </c>
    </row>
    <row r="228" spans="2:86" ht="13.5" customHeight="1" x14ac:dyDescent="0.2">
      <c r="B228" s="262">
        <v>128</v>
      </c>
      <c r="C228" s="237" t="str">
        <f t="shared" ref="C228:C250" si="169">IF(ISERROR(VLOOKUP(B228,$B$39:$C$73,2,0)),"",VLOOKUP(B228,$B$39:$C$73,2,0))</f>
        <v/>
      </c>
      <c r="D228" s="237" t="str">
        <f t="shared" si="147"/>
        <v/>
      </c>
      <c r="E228" s="263" t="str">
        <f t="shared" si="128"/>
        <v/>
      </c>
      <c r="F228" s="264" t="str">
        <f t="shared" si="129"/>
        <v/>
      </c>
      <c r="G228" s="264" t="str">
        <f t="shared" si="130"/>
        <v/>
      </c>
      <c r="H228" s="240" t="str">
        <f t="shared" ref="H228:H250" si="170">IF(E228&lt;&gt;"",IF($B228&lt;$F$21,"",IF(ISNUMBER(F228),IF(ISNUMBER(I228),(E228*30*50*ffp),""),(E228*30*50*ffp))),"")</f>
        <v/>
      </c>
      <c r="I228" s="265" t="str">
        <f t="shared" ref="I228:I250" si="171">IFERROR(IF(F228&lt;&gt;"",IF($B228&lt;$F$21+$F$16,"",IF(ISNUMBER(G228),IF(ISNUMBER(J228),(F228*30*50*ffp),""),(F228*30*50*ffp))),""),"")</f>
        <v/>
      </c>
      <c r="J228" s="265" t="str">
        <f t="shared" ref="J228:J250" si="172">IFERROR(IF(G228&lt;&gt;"",IF($B228&lt;$F$21+$F$17,"",(G228*30*50*ffp)),""),"")</f>
        <v/>
      </c>
      <c r="K228" s="240" t="str">
        <f t="shared" ref="K228:K250" si="173">IF(E228&lt;&gt;"",((E228*20*50*ffp)/Klevee),"")</f>
        <v/>
      </c>
      <c r="L228" s="265" t="str">
        <f t="shared" ref="L228:L250" si="174">IF(ISNUMBER(F228),((F228*20*50*ffp)/Klevee),"")</f>
        <v/>
      </c>
      <c r="M228" s="265" t="str">
        <f t="shared" ref="M228:M250" si="175">IF(ISNUMBER(G228),((G228*20*50*ffp)/Klevee),"")</f>
        <v/>
      </c>
      <c r="N228" s="240" t="str">
        <f t="shared" ref="N228:N250" si="176">IF(AND(ISNUMBER(I),ISNUMBER($F$14),ISNUMBER($F$20)),IF($B228=0,I*($J$40/100)*$J$42*1,""),"-")</f>
        <v>-</v>
      </c>
      <c r="O228" s="265" t="str">
        <f t="shared" ref="O228:O250" si="177">IF(ISNUMBER($F$14),IF($F$14&gt;1,IF($B228=0+$F$16,I*($J$40/100)*$J$42*1,""),""),"-")</f>
        <v>-</v>
      </c>
      <c r="P228" s="265" t="str">
        <f t="shared" ref="P228:P250" si="178">IF(ISNUMBER($F$14),IF($F$14&gt;2,IF($B228=0+$F$17,I*($J$40/100)*$J$42*1,""),""),"-")</f>
        <v>-</v>
      </c>
      <c r="Q228" s="266" t="str">
        <f t="shared" ref="Q228:Q250" si="179">IF(AND(ISNUMBER(I),ISNUMBER($F$14),ISNUMBER($F$20)),IF($B228=0,I*(dt/100)*$J$45*1,""),"-")</f>
        <v>-</v>
      </c>
      <c r="R228" s="267" t="str">
        <f t="shared" ref="R228:R250" si="180">IF(ISNUMBER($F$14),IF($F$14&gt;1,IF($B228=0+$F$16,I*(dt/100)*$J$45*1,""),""),"-")</f>
        <v>-</v>
      </c>
      <c r="S228" s="268" t="str">
        <f t="shared" ref="S228:S250" si="181">IF(ISNUMBER($F$14),IF($F$14&gt;2,IF($B228=0+$F$17,I*(dt/100)*$J$45*1,""),""),"-")</f>
        <v>-</v>
      </c>
      <c r="T228" s="269" t="str">
        <f t="shared" ref="T228:T250" si="182">IF(SUM(H228:S228)=0,"",SUM(H228:S228))</f>
        <v/>
      </c>
      <c r="U228" s="221">
        <f t="shared" ref="U228:U250" si="183">B228</f>
        <v>128</v>
      </c>
      <c r="V228" s="220" t="str">
        <f t="shared" si="131"/>
        <v>-</v>
      </c>
      <c r="W228" s="221" t="str">
        <f t="shared" si="132"/>
        <v>-</v>
      </c>
      <c r="X228" s="221" t="str">
        <f t="shared" ref="X228:X250" si="184">IFERROR(IF($F$21=0,0,IF(V228=V227,IF(B228-(V228-1)*($F$16-$F$15)&lt;$F$21,X227+1,X227),1)),"-")</f>
        <v>-</v>
      </c>
      <c r="Y228" s="221" t="str">
        <f t="shared" ref="Y228:Y250" si="185">IFERROR(W228-X228,"-")</f>
        <v>-</v>
      </c>
      <c r="Z228" s="270">
        <f t="shared" si="133"/>
        <v>0.1</v>
      </c>
      <c r="AA228" s="271" t="str">
        <f>IFERROR(IF(V227=1,AA$100*EXP(-(LN(2)/$D$65+0.04)*X227)*EXP(-(LN(2)/$D$65+0.1)*Y227),IF(V227=2,AA$100*EXP(-(LN(2)/$D$65+0.04)*(VLOOKUP(($F$16-$F$15)-1,U$99:Y227,4,FALSE)))*EXP(-(LN(2)/$D$65+0.1)*(VLOOKUP(($F$16-$F$15)-1,U$99:Y227,5,FALSE)))*EXP(-(LN(2)/$D$65+0.04)*X227)*EXP(-(LN(2)/$D$65+0.1)*Y227),IF(V227=3,AA$100*EXP(-(LN(2)/$D$65+0.04)*(VLOOKUP(($F$16-$F$15)-1,U$99:Y227,4,FALSE)))*EXP(-(LN(2)/$D$65+0.1)*(VLOOKUP(($F$16-$F$15)-1,U$99:Y227,5,FALSE)))*EXP(-(LN(2)/$D$65+0.04)*(VLOOKUP(($F$16-$F$15)*2-1,U$99:Y227,4,FALSE)))*EXP(-(LN(2)/$D$65+0.1)*(VLOOKUP(($F$16-$F$15)*2-1,U$99:Y227,5,FALSE)))*EXP(-(LN(2)/$D$65+0.04)*X227)*EXP(-(LN(2)/$D$65+0.1)*Y227),"-"))),"-")</f>
        <v>-</v>
      </c>
      <c r="AB228" s="271" t="str">
        <f>IFERROR(IF(V228=1,AB$100*EXP(-(LN(2)/$D$65+0.04)*X228)*EXP(-(LN(2)/$D$65+0.1)*Y228),IF(V228=2,AB$100*EXP(-(LN(2)/$D$65+0.04)*(VLOOKUP(($F$16-$F$15)-1,U$100:Y228,4,FALSE)))*EXP(-(LN(2)/$D$65+0.1)*(VLOOKUP(($F$16-$F$15)-1,U$100:Y228,5,FALSE)))*EXP(-(LN(2)/$D$65+0.04)*X228)*EXP(-(LN(2)/$D$65+0.1)*Y228),IF(V228=3,AB$100*EXP(-(LN(2)/$D$65+0.04)*(VLOOKUP(($F$16-$F$15)-1,U$100:Y228,4,FALSE)))*EXP(-(LN(2)/$D$65+0.1)*(VLOOKUP(($F$16-$F$15)-1,U$100:Y228,5,FALSE)))*EXP(-(LN(2)/$D$65+0.04)*(VLOOKUP(($F$16-$F$15)*2-1,U$100:Y228,4,FALSE)))*EXP(-(LN(2)/$D$65+0.1)*(VLOOKUP(($F$16-$F$15)*2-1,U$100:Y228,5,FALSE)))*EXP(-(LN(2)/$D$65+0.04)*X228)*EXP(-(LN(2)/$D$65+0.1)*Y228),"-"))),"-")</f>
        <v>-</v>
      </c>
      <c r="AC228" s="224">
        <f t="shared" si="134"/>
        <v>128</v>
      </c>
      <c r="AD228" s="223" t="str">
        <f t="shared" ref="AD228:AD250" si="186">IFERROR(IF($F$14-1&gt;0,IF(B228&lt;($F$16-$F$15)*($F$14-1),INT(B228/($F$16-$F$15))+1,AD226),"-"),"-")</f>
        <v>-</v>
      </c>
      <c r="AE228" s="224" t="str">
        <f t="shared" si="135"/>
        <v>-</v>
      </c>
      <c r="AF228" s="224" t="str">
        <f t="shared" ref="AF228:AF250" si="187">IFERROR(IF($F$21=0,0,IF(AD228=AD227,IF(B228-(AD228-1)*($F$16-$F$15)&lt;$F$21,AF227+1,AF227),1)),"-")</f>
        <v>-</v>
      </c>
      <c r="AG228" s="224" t="str">
        <f t="shared" ref="AG228:AG250" si="188">IFERROR(AE228-AF228,"-")</f>
        <v>-</v>
      </c>
      <c r="AH228" s="272">
        <f t="shared" si="136"/>
        <v>0.1</v>
      </c>
      <c r="AI228" s="271" t="str">
        <f>IFERROR(IF(AD227=1,AI$100*EXP(-(LN(2)/$D$65+0.04)*AF227)*EXP(-(LN(2)/$D$65+0.1)*AG227),IF(AD227=2,AI$100*EXP(-(LN(2)/$D$65+0.04)*(VLOOKUP(($F$16-$F$15)-1,AC$99:AG227,4,FALSE)))*EXP(-(LN(2)/$D$65+0.1)*(VLOOKUP(($F$16-$F$15)-1,AC$99:AG227,5,FALSE)))*EXP(-(LN(2)/$D$65+0.04)*AF227)*EXP(-(LN(2)/$D$65+0.1)*AG227),IF(AD227=3,AI$100*EXP(-(LN(2)/$D$65+0.04)*(VLOOKUP(($F$16-$F$15)-1,AC$99:AG227,4,FALSE)))*EXP(-(LN(2)/$D$65+0.1)*(VLOOKUP(($F$16-$F$15)-1,AC$99:AG227,5,FALSE)))*EXP(-(LN(2)/$D$65+0.04)*(VLOOKUP(($F$16-$F$15)*2-1,AC$99:AG227,4,FALSE)))*EXP(-(LN(2)/$D$65+0.1)*(VLOOKUP(($F$16-$F$15)*2-1,AC$99:AG227,5,FALSE)))*EXP(-(LN(2)/$D$65+0.04)*AF227)*EXP(-(LN(2)/$D$65+0.1)*AG227),"-"))),"-")</f>
        <v>-</v>
      </c>
      <c r="AJ228" s="271" t="str">
        <f>IFERROR(IF(AD228=1,AJ$100*EXP(-(LN(2)/$D$65+0.04)*AF228)*EXP(-(LN(2)/$D$65+0.1)*AG228),IF(AD228=2,AJ$100*EXP(-(LN(2)/$D$65+0.04)*(VLOOKUP(($F$16-$F$15)-1,AC$100:AG228,4,FALSE)))*EXP(-(LN(2)/$D$65+0.1)*(VLOOKUP(($F$16-$F$15)-1,AC$100:AG228,5,FALSE)))*EXP(-(LN(2)/$D$65+0.04)*AF228)*EXP(-(LN(2)/$D$65+0.1)*AG228),IF(AD228=3,AJ$100*EXP(-(LN(2)/$D$65+0.04)*(VLOOKUP(($F$16-$F$15)-1,AC$100:AG228,4,FALSE)))*EXP(-(LN(2)/$D$65+0.1)*(VLOOKUP(($F$16-$F$15)-1,AC$100:AG228,5,FALSE)))*EXP(-(LN(2)/$D$65+0.04)*(VLOOKUP(($F$16-$F$15)*2-1,AC$100:AG228,4,FALSE)))*EXP(-(LN(2)/$D$65+0.1)*(VLOOKUP(($F$16-$F$15)*2-1,AC$100:AG228,5,FALSE)))*EXP(-(LN(2)/$D$65+0.04)*AF228)*EXP(-(LN(2)/$D$65+0.1)*AG228),"-"))),"-")</f>
        <v>-</v>
      </c>
      <c r="AK228" s="227">
        <f t="shared" si="137"/>
        <v>128</v>
      </c>
      <c r="AL228" s="226" t="str">
        <f t="shared" ref="AL228:AL250" si="189">IFERROR(IF($F$14-2&gt;0,IF(B228&lt;($F$16-$F$15)*($F$14-2),INT(B228/($F$16-$F$15))+1,AL226),"-"),"-")</f>
        <v>-</v>
      </c>
      <c r="AM228" s="227" t="str">
        <f t="shared" si="138"/>
        <v>-</v>
      </c>
      <c r="AN228" s="227" t="str">
        <f t="shared" si="139"/>
        <v>-</v>
      </c>
      <c r="AO228" s="227" t="str">
        <f t="shared" ref="AO228:AO250" si="190">IFERROR(AM228-AN228,"-")</f>
        <v>-</v>
      </c>
      <c r="AP228" s="273">
        <f t="shared" si="140"/>
        <v>0.1</v>
      </c>
      <c r="AQ228" s="271" t="str">
        <f>IFERROR(IF(AL227=1,AQ$100*EXP(-(LN(2)/$D$65+0.04)*AN227)*EXP(-(LN(2)/$D$65+0.1)*AO227),IF(AL227=2,AQ$100*EXP(-(LN(2)/$D$65+0.04)*(VLOOKUP(($F$16-$F$15)-1,AK$99:AO227,4,FALSE)))*EXP(-(LN(2)/$D$65+0.1)*(VLOOKUP(($F$16-$F$15)-1,AK$99:AO227,5,FALSE)))*EXP(-(LN(2)/$D$65+0.04)*AN227)*EXP(-(LN(2)/$D$65+0.1)*AO227),IF(AL227=3,AQ$100*EXP(-(LN(2)/$D$65+0.04)*(VLOOKUP(($F$16-$F$15)-1,AK$99:AO227,4,FALSE)))*EXP(-(LN(2)/$D$65+0.1)*(VLOOKUP(($F$16-$F$15)-1,AK$99:AO227,5,FALSE)))*EXP(-(LN(2)/$D$65+0.04)*(VLOOKUP(($F$16-$F$15)*2-1,AK$99:AO227,4,FALSE)))*EXP(-(LN(2)/$D$65+0.1)*(VLOOKUP(($F$16-$F$15)*2-1,AK$99:AO227,5,FALSE)))*EXP(-(LN(2)/$D$65+0.04)*AN227)*EXP(-(LN(2)/$D$65+0.1)*AO227),"-"))),"-")</f>
        <v>-</v>
      </c>
      <c r="AR228" s="271" t="str">
        <f>IFERROR(IF(AL228=1,AR$100*EXP(-(LN(2)/$D$65+0.04)*AN228)*EXP(-(LN(2)/$D$65+0.1)*AO228),IF(AL228=2,AR$100*EXP(-(LN(2)/$D$65+0.04)*(VLOOKUP(($F$16-$F$15)-1,AK$100:AO228,4,FALSE)))*EXP(-(LN(2)/$D$65+0.1)*(VLOOKUP(($F$16-$F$15)-1,AK$100:AO228,5,FALSE)))*EXP(-(LN(2)/$D$65+0.04)*AN228)*EXP(-(LN(2)/$D$65+0.1)*AO228),IF(AL228=3,AR$100*EXP(-(LN(2)/$D$65+0.04)*(VLOOKUP(($F$16-$F$15)-1,AK$100:AO228,4,FALSE)))*EXP(-(LN(2)/$D$65+0.1)*(VLOOKUP(($F$16-$F$15)-1,AK$100:AO228,5,FALSE)))*EXP(-(LN(2)/$D$65+0.04)*(VLOOKUP(($F$16-$F$15)*2-1,AK$100:AO228,4,FALSE)))*EXP(-(LN(2)/$D$65+0.1)*(VLOOKUP(($F$16-$F$15)*2-1,AK$100:AO228,5,FALSE)))*EXP(-(LN(2)/$D$65+0.04)*AN228)*EXP(-(LN(2)/$D$65+0.1)*AO228),"-"))),"-")</f>
        <v>-</v>
      </c>
      <c r="AS228" s="274">
        <f t="shared" ref="AS228:AS250" si="191">SUM(H228:J228)</f>
        <v>0</v>
      </c>
      <c r="AT228" s="274">
        <f t="shared" ref="AT228:AT250" si="192">SUM(K228:M228)</f>
        <v>0</v>
      </c>
      <c r="AU228" s="274">
        <f t="shared" ref="AU228:AU250" si="193">SUM(N228:S228)</f>
        <v>0</v>
      </c>
      <c r="AV228" s="190" t="str">
        <f>IF($B228&lt;$F$22,SUM($T$100:$T228),"")</f>
        <v/>
      </c>
      <c r="AW228" s="190" t="str">
        <f t="shared" ref="AW228:AW250" si="194">IF(ISNUMBER(Koc),IF(ISNUMBER(AV228),AV228*(Koc*(Ocse/100)*Pse*Vse)/(Koc*(Ocse/100)*Pse*Vse+1*86400*($B228+1)),""),"-")</f>
        <v>-</v>
      </c>
      <c r="AX228" s="190" t="str">
        <f t="shared" si="141"/>
        <v/>
      </c>
      <c r="AY228"/>
      <c r="AZ228" s="190" t="str">
        <f ca="1">IF(ISNUMBER(OFFSET(AV228,-$F$21,0)),SUM(OFFSET($T$100,$F$21,0):$T228),"")</f>
        <v/>
      </c>
      <c r="BA228" s="190" t="str">
        <f t="shared" ref="BA228:BA250" ca="1" si="195">IF(ISNUMBER(OFFSET(AV228,-$F$21,0)),AZ228*(Koc*(Ocse/100)*Pse*Vse)/(Koc*(Ocse/100)*Pse*Vse+1*86400*($B228+1)),"")</f>
        <v/>
      </c>
      <c r="BB228" s="190" t="str">
        <f t="shared" ca="1" si="148"/>
        <v/>
      </c>
      <c r="BC228" s="190"/>
      <c r="BD228" s="190" t="str">
        <f ca="1">IFERROR(IF(OR(ISNUMBER(I),ISNUMBER($F$14)),IF(AND($B228&gt;=($F$16-$F$15),$B228&lt;$F$22+($F$16-$F$15)),SUM(OFFSET($T$100,($F$16-$F$15),0):$T228),""),""),"")</f>
        <v/>
      </c>
      <c r="BE228" s="190" t="str">
        <f t="shared" ca="1" si="142"/>
        <v/>
      </c>
      <c r="BF228" s="190" t="str">
        <f t="shared" ca="1" si="143"/>
        <v/>
      </c>
      <c r="BG228"/>
      <c r="BH228" s="190" t="str">
        <f ca="1">IF(ISNUMBER(OFFSET(BD228,-$F$21,0)),SUM(OFFSET($T$100,($F$16-$F$15+$F$21),0):$T228),"")</f>
        <v/>
      </c>
      <c r="BI228" s="190" t="str">
        <f t="shared" ref="BI228:BI250" ca="1" si="196">IF(ISNUMBER(OFFSET(BD228,-$F$21,0)),BH228*(Koc*(Ocse/100)*Pse*Vse)/(Koc*(Ocse/100)*Pse*Vse+1*86400*($B228+1)),"")</f>
        <v/>
      </c>
      <c r="BJ228" s="190" t="str">
        <f t="shared" ca="1" si="144"/>
        <v/>
      </c>
      <c r="BK228" s="190"/>
      <c r="BL228" s="190" t="str">
        <f ca="1">IFERROR(IF(OR(ISNUMBER(I),ISNUMBER($F$14)),IF(AND($B228&gt;=($F$17-$F$15),$B228&lt;$F$22+($F$17-$F$15)),SUM(OFFSET($T$100,($F$17-$F$15),0):$T228),""),""),"")</f>
        <v/>
      </c>
      <c r="BM228" s="190" t="str">
        <f t="shared" ref="BM228:BM250" ca="1" si="197">IF(ISNUMBER(BL228),BL228*(Koc*(Ocse/100)*Pse*Vse)/(Koc*(Ocse/100)*Pse*Vse+1*86400*($B228+1)),"")</f>
        <v/>
      </c>
      <c r="BN228" s="190" t="str">
        <f t="shared" ca="1" si="145"/>
        <v/>
      </c>
      <c r="BO228"/>
      <c r="BP228" s="190" t="str">
        <f ca="1">IF(ISNUMBER(OFFSET(BL228,-$F$21,0)),SUM(OFFSET($T$100,($F$17-$F$15+$F$21),0):$T228),"")</f>
        <v/>
      </c>
      <c r="BQ228" s="190" t="str">
        <f t="shared" ref="BQ228:BQ250" ca="1" si="198">IF(ISNUMBER(OFFSET(BL228,-$F$21,0)),BP228*(Koc*(Ocse/100)*Pse*Vse)/(Koc*(Ocse/100)*Pse*Vse+1*86400*($B228+1)),"")</f>
        <v/>
      </c>
      <c r="BR228" s="190" t="str">
        <f t="shared" ca="1" si="146"/>
        <v/>
      </c>
      <c r="BS228" s="190"/>
      <c r="BT228"/>
      <c r="BU228"/>
      <c r="BV228"/>
      <c r="BY228" s="99"/>
      <c r="BZ228" s="99"/>
      <c r="CA228" s="280" t="str">
        <f t="shared" ref="CA228:CA250" si="199">IFERROR(IF($B228&lt;$CA$94,T228*(Koc*(Ocse/100)*Pse*Vse)/(Koc*(Ocse/100)*Pse*Vse+1*86400*$CA$94),""),"-")</f>
        <v/>
      </c>
      <c r="CB228" s="71" t="str">
        <f t="shared" ref="CB228:CB250" si="200">IF(ISNUMBER(T228),IF($B228&lt;$CA$94,(T228-CA228)/(3*86400)*1000,""),"-")</f>
        <v>-</v>
      </c>
      <c r="CC228" s="33"/>
      <c r="CD228" s="261" t="str">
        <f t="shared" ref="CD228:CD250" si="201">IF(CC228=CA$96,CB$96,"")</f>
        <v/>
      </c>
      <c r="CE228" s="280" t="str">
        <f t="shared" ref="CE228:CE250" si="202">IFERROR(IF($B228&lt;$CE$94,T228*(Koc*(Ocse/100)*Pse*Vse)/(Koc*(Ocse/100)*Pse*Vse+1*86400*$CE$94),""),"-")</f>
        <v/>
      </c>
      <c r="CF228" s="71" t="str">
        <f t="shared" ref="CF228:CF250" ca="1" si="203">IFERROR(IF($B228&lt;$CE$94,IF(NOT(ISNUMBER(ffp)),"-",IF($F$70=$AX$87,AX228,IF($F$70=$BB$87,OFFSET(BB228,$F$21,0),IF($F$70=$BF$87,OFFSET(BF228,$F$16,0),IF($F$70=$BJ$87,OFFSET(BJ228,$F$16+$F$21,0),IF($F$70=$BN$87,OFFSET(BN228,$F$17,0),OFFSET(BR228,$F$17+$F$21,0))))))),""),"-")</f>
        <v/>
      </c>
      <c r="CG228" s="33" t="str">
        <f t="shared" ref="CG228:CG250" si="204">IF($B228&lt;$CE$94,$B228&amp;"-"&amp;$B228+1,"")</f>
        <v/>
      </c>
      <c r="CH228" s="261" t="str">
        <f t="shared" ref="CH228:CH250" ca="1" si="205">IF(CG228=CE$96,CF$96,"")</f>
        <v/>
      </c>
    </row>
    <row r="229" spans="2:86" ht="13.5" customHeight="1" x14ac:dyDescent="0.2">
      <c r="B229" s="262">
        <v>129</v>
      </c>
      <c r="C229" s="237" t="str">
        <f t="shared" si="169"/>
        <v/>
      </c>
      <c r="D229" s="237" t="str">
        <f t="shared" si="147"/>
        <v/>
      </c>
      <c r="E229" s="263" t="str">
        <f t="shared" ref="E229:E250" si="206">IF(ISNUMBER($F$14),IF(ISNUMBER(AA229),AA229,""),"")</f>
        <v/>
      </c>
      <c r="F229" s="264" t="str">
        <f t="shared" ref="F229:F250" si="207">IF(OR($F$14=2,$F$14=3),IF(($F$16-$F$15)&gt;B229," ",VLOOKUP((B229-($F$16-$F$15)),$AC$100:$AI$250,7,FALSE)),"")</f>
        <v/>
      </c>
      <c r="G229" s="264" t="str">
        <f t="shared" ref="G229:G250" si="208">IF($F$14=3,IF(($F$16-$F$15)*2&gt;B229," ",VLOOKUP((B229-($F$16-$F$15)*2),$AK$100:$AQ$250,7,FALSE)),"")</f>
        <v/>
      </c>
      <c r="H229" s="240" t="str">
        <f t="shared" si="170"/>
        <v/>
      </c>
      <c r="I229" s="265" t="str">
        <f t="shared" si="171"/>
        <v/>
      </c>
      <c r="J229" s="265" t="str">
        <f t="shared" si="172"/>
        <v/>
      </c>
      <c r="K229" s="240" t="str">
        <f t="shared" si="173"/>
        <v/>
      </c>
      <c r="L229" s="265" t="str">
        <f t="shared" si="174"/>
        <v/>
      </c>
      <c r="M229" s="265" t="str">
        <f t="shared" si="175"/>
        <v/>
      </c>
      <c r="N229" s="240" t="str">
        <f t="shared" si="176"/>
        <v>-</v>
      </c>
      <c r="O229" s="265" t="str">
        <f t="shared" si="177"/>
        <v>-</v>
      </c>
      <c r="P229" s="265" t="str">
        <f t="shared" si="178"/>
        <v>-</v>
      </c>
      <c r="Q229" s="266" t="str">
        <f t="shared" si="179"/>
        <v>-</v>
      </c>
      <c r="R229" s="267" t="str">
        <f t="shared" si="180"/>
        <v>-</v>
      </c>
      <c r="S229" s="268" t="str">
        <f t="shared" si="181"/>
        <v>-</v>
      </c>
      <c r="T229" s="269" t="str">
        <f t="shared" si="182"/>
        <v/>
      </c>
      <c r="U229" s="221">
        <f t="shared" si="183"/>
        <v>129</v>
      </c>
      <c r="V229" s="220" t="str">
        <f t="shared" ref="V229:V250" si="209">IF(ISNUMBER($F$14),IF(B229&lt;($F$16-$F$15)*$F$14,INT(B229/($F$16-$F$15))+1,V227),"-")</f>
        <v>-</v>
      </c>
      <c r="W229" s="221" t="str">
        <f t="shared" ref="W229:W250" si="210">IF(ISNUMBER($F$14),IF(B229&lt;$F$14*($F$16-$F$15),B229-INT(B229/($F$16-$F$15))*($F$16-$F$15)+1,W228+1),"-")</f>
        <v>-</v>
      </c>
      <c r="X229" s="221" t="str">
        <f t="shared" si="184"/>
        <v>-</v>
      </c>
      <c r="Y229" s="221" t="str">
        <f t="shared" si="185"/>
        <v>-</v>
      </c>
      <c r="Z229" s="270">
        <f t="shared" ref="Z229:Z250" si="211">IF(Y229&gt;0,0.1,0.04)</f>
        <v>0.1</v>
      </c>
      <c r="AA229" s="271" t="str">
        <f>IFERROR(IF(V228=1,AA$100*EXP(-(LN(2)/$D$65+0.04)*X228)*EXP(-(LN(2)/$D$65+0.1)*Y228),IF(V228=2,AA$100*EXP(-(LN(2)/$D$65+0.04)*(VLOOKUP(($F$16-$F$15)-1,U$99:Y228,4,FALSE)))*EXP(-(LN(2)/$D$65+0.1)*(VLOOKUP(($F$16-$F$15)-1,U$99:Y228,5,FALSE)))*EXP(-(LN(2)/$D$65+0.04)*X228)*EXP(-(LN(2)/$D$65+0.1)*Y228),IF(V228=3,AA$100*EXP(-(LN(2)/$D$65+0.04)*(VLOOKUP(($F$16-$F$15)-1,U$99:Y228,4,FALSE)))*EXP(-(LN(2)/$D$65+0.1)*(VLOOKUP(($F$16-$F$15)-1,U$99:Y228,5,FALSE)))*EXP(-(LN(2)/$D$65+0.04)*(VLOOKUP(($F$16-$F$15)*2-1,U$99:Y228,4,FALSE)))*EXP(-(LN(2)/$D$65+0.1)*(VLOOKUP(($F$16-$F$15)*2-1,U$99:Y228,5,FALSE)))*EXP(-(LN(2)/$D$65+0.04)*X228)*EXP(-(LN(2)/$D$65+0.1)*Y228),"-"))),"-")</f>
        <v>-</v>
      </c>
      <c r="AB229" s="271" t="str">
        <f>IFERROR(IF(V229=1,AB$100*EXP(-(LN(2)/$D$65+0.04)*X229)*EXP(-(LN(2)/$D$65+0.1)*Y229),IF(V229=2,AB$100*EXP(-(LN(2)/$D$65+0.04)*(VLOOKUP(($F$16-$F$15)-1,U$100:Y229,4,FALSE)))*EXP(-(LN(2)/$D$65+0.1)*(VLOOKUP(($F$16-$F$15)-1,U$100:Y229,5,FALSE)))*EXP(-(LN(2)/$D$65+0.04)*X229)*EXP(-(LN(2)/$D$65+0.1)*Y229),IF(V229=3,AB$100*EXP(-(LN(2)/$D$65+0.04)*(VLOOKUP(($F$16-$F$15)-1,U$100:Y229,4,FALSE)))*EXP(-(LN(2)/$D$65+0.1)*(VLOOKUP(($F$16-$F$15)-1,U$100:Y229,5,FALSE)))*EXP(-(LN(2)/$D$65+0.04)*(VLOOKUP(($F$16-$F$15)*2-1,U$100:Y229,4,FALSE)))*EXP(-(LN(2)/$D$65+0.1)*(VLOOKUP(($F$16-$F$15)*2-1,U$100:Y229,5,FALSE)))*EXP(-(LN(2)/$D$65+0.04)*X229)*EXP(-(LN(2)/$D$65+0.1)*Y229),"-"))),"-")</f>
        <v>-</v>
      </c>
      <c r="AC229" s="224">
        <f t="shared" ref="AC229:AC240" si="212">B229</f>
        <v>129</v>
      </c>
      <c r="AD229" s="223" t="str">
        <f t="shared" si="186"/>
        <v>-</v>
      </c>
      <c r="AE229" s="224" t="str">
        <f t="shared" ref="AE229:AE250" si="213">IFERROR(IF($F$14-1&gt;0,IF(B229&lt;($F$14-1)*($F$16-$F$15),B229-INT(B229/($F$16-$F$15))*($F$16-$F$15)+1,AE228+1),"-"),"-")</f>
        <v>-</v>
      </c>
      <c r="AF229" s="224" t="str">
        <f t="shared" si="187"/>
        <v>-</v>
      </c>
      <c r="AG229" s="224" t="str">
        <f t="shared" si="188"/>
        <v>-</v>
      </c>
      <c r="AH229" s="272">
        <f t="shared" ref="AH229:AH250" si="214">IF(AG229&gt;0,0.1,0.04)</f>
        <v>0.1</v>
      </c>
      <c r="AI229" s="271" t="str">
        <f>IFERROR(IF(AD228=1,AI$100*EXP(-(LN(2)/$D$65+0.04)*AF228)*EXP(-(LN(2)/$D$65+0.1)*AG228),IF(AD228=2,AI$100*EXP(-(LN(2)/$D$65+0.04)*(VLOOKUP(($F$16-$F$15)-1,AC$99:AG228,4,FALSE)))*EXP(-(LN(2)/$D$65+0.1)*(VLOOKUP(($F$16-$F$15)-1,AC$99:AG228,5,FALSE)))*EXP(-(LN(2)/$D$65+0.04)*AF228)*EXP(-(LN(2)/$D$65+0.1)*AG228),IF(AD228=3,AI$100*EXP(-(LN(2)/$D$65+0.04)*(VLOOKUP(($F$16-$F$15)-1,AC$99:AG228,4,FALSE)))*EXP(-(LN(2)/$D$65+0.1)*(VLOOKUP(($F$16-$F$15)-1,AC$99:AG228,5,FALSE)))*EXP(-(LN(2)/$D$65+0.04)*(VLOOKUP(($F$16-$F$15)*2-1,AC$99:AG228,4,FALSE)))*EXP(-(LN(2)/$D$65+0.1)*(VLOOKUP(($F$16-$F$15)*2-1,AC$99:AG228,5,FALSE)))*EXP(-(LN(2)/$D$65+0.04)*AF228)*EXP(-(LN(2)/$D$65+0.1)*AG228),"-"))),"-")</f>
        <v>-</v>
      </c>
      <c r="AJ229" s="271" t="str">
        <f>IFERROR(IF(AD229=1,AJ$100*EXP(-(LN(2)/$D$65+0.04)*AF229)*EXP(-(LN(2)/$D$65+0.1)*AG229),IF(AD229=2,AJ$100*EXP(-(LN(2)/$D$65+0.04)*(VLOOKUP(($F$16-$F$15)-1,AC$100:AG229,4,FALSE)))*EXP(-(LN(2)/$D$65+0.1)*(VLOOKUP(($F$16-$F$15)-1,AC$100:AG229,5,FALSE)))*EXP(-(LN(2)/$D$65+0.04)*AF229)*EXP(-(LN(2)/$D$65+0.1)*AG229),IF(AD229=3,AJ$100*EXP(-(LN(2)/$D$65+0.04)*(VLOOKUP(($F$16-$F$15)-1,AC$100:AG229,4,FALSE)))*EXP(-(LN(2)/$D$65+0.1)*(VLOOKUP(($F$16-$F$15)-1,AC$100:AG229,5,FALSE)))*EXP(-(LN(2)/$D$65+0.04)*(VLOOKUP(($F$16-$F$15)*2-1,AC$100:AG229,4,FALSE)))*EXP(-(LN(2)/$D$65+0.1)*(VLOOKUP(($F$16-$F$15)*2-1,AC$100:AG229,5,FALSE)))*EXP(-(LN(2)/$D$65+0.04)*AF229)*EXP(-(LN(2)/$D$65+0.1)*AG229),"-"))),"-")</f>
        <v>-</v>
      </c>
      <c r="AK229" s="227">
        <f t="shared" ref="AK229:AK250" si="215">B229</f>
        <v>129</v>
      </c>
      <c r="AL229" s="226" t="str">
        <f t="shared" si="189"/>
        <v>-</v>
      </c>
      <c r="AM229" s="227" t="str">
        <f t="shared" ref="AM229:AM250" si="216">IFERROR(IF($F$14-2&gt;0,IF(B229&lt;($F$14-2)*($F$16-$F$15),B229-INT(B229/($F$16-$F$15))*($F$16-$F$15)+1,AM228+1),"-"),"-")</f>
        <v>-</v>
      </c>
      <c r="AN229" s="227" t="str">
        <f t="shared" ref="AN229:AN250" si="217">IFERROR(IF($F$21=0,0,IF(AL229=AL228,IF(B229-(AL229-1)*($F$16-$F$15)&lt;$F$21,AN228+1,AN228),1)),"-")</f>
        <v>-</v>
      </c>
      <c r="AO229" s="227" t="str">
        <f t="shared" si="190"/>
        <v>-</v>
      </c>
      <c r="AP229" s="273">
        <f t="shared" ref="AP229:AP250" si="218">IF(AO229&gt;0,0.1,0.04)</f>
        <v>0.1</v>
      </c>
      <c r="AQ229" s="271" t="str">
        <f>IFERROR(IF(AL228=1,AQ$100*EXP(-(LN(2)/$D$65+0.04)*AN228)*EXP(-(LN(2)/$D$65+0.1)*AO228),IF(AL228=2,AQ$100*EXP(-(LN(2)/$D$65+0.04)*(VLOOKUP(($F$16-$F$15)-1,AK$99:AO228,4,FALSE)))*EXP(-(LN(2)/$D$65+0.1)*(VLOOKUP(($F$16-$F$15)-1,AK$99:AO228,5,FALSE)))*EXP(-(LN(2)/$D$65+0.04)*AN228)*EXP(-(LN(2)/$D$65+0.1)*AO228),IF(AL228=3,AQ$100*EXP(-(LN(2)/$D$65+0.04)*(VLOOKUP(($F$16-$F$15)-1,AK$99:AO228,4,FALSE)))*EXP(-(LN(2)/$D$65+0.1)*(VLOOKUP(($F$16-$F$15)-1,AK$99:AO228,5,FALSE)))*EXP(-(LN(2)/$D$65+0.04)*(VLOOKUP(($F$16-$F$15)*2-1,AK$99:AO228,4,FALSE)))*EXP(-(LN(2)/$D$65+0.1)*(VLOOKUP(($F$16-$F$15)*2-1,AK$99:AO228,5,FALSE)))*EXP(-(LN(2)/$D$65+0.04)*AN228)*EXP(-(LN(2)/$D$65+0.1)*AO228),"-"))),"-")</f>
        <v>-</v>
      </c>
      <c r="AR229" s="271" t="str">
        <f>IFERROR(IF(AL229=1,AR$100*EXP(-(LN(2)/$D$65+0.04)*AN229)*EXP(-(LN(2)/$D$65+0.1)*AO229),IF(AL229=2,AR$100*EXP(-(LN(2)/$D$65+0.04)*(VLOOKUP(($F$16-$F$15)-1,AK$100:AO229,4,FALSE)))*EXP(-(LN(2)/$D$65+0.1)*(VLOOKUP(($F$16-$F$15)-1,AK$100:AO229,5,FALSE)))*EXP(-(LN(2)/$D$65+0.04)*AN229)*EXP(-(LN(2)/$D$65+0.1)*AO229),IF(AL229=3,AR$100*EXP(-(LN(2)/$D$65+0.04)*(VLOOKUP(($F$16-$F$15)-1,AK$100:AO229,4,FALSE)))*EXP(-(LN(2)/$D$65+0.1)*(VLOOKUP(($F$16-$F$15)-1,AK$100:AO229,5,FALSE)))*EXP(-(LN(2)/$D$65+0.04)*(VLOOKUP(($F$16-$F$15)*2-1,AK$100:AO229,4,FALSE)))*EXP(-(LN(2)/$D$65+0.1)*(VLOOKUP(($F$16-$F$15)*2-1,AK$100:AO229,5,FALSE)))*EXP(-(LN(2)/$D$65+0.04)*AN229)*EXP(-(LN(2)/$D$65+0.1)*AO229),"-"))),"-")</f>
        <v>-</v>
      </c>
      <c r="AS229" s="274">
        <f t="shared" si="191"/>
        <v>0</v>
      </c>
      <c r="AT229" s="274">
        <f t="shared" si="192"/>
        <v>0</v>
      </c>
      <c r="AU229" s="274">
        <f t="shared" si="193"/>
        <v>0</v>
      </c>
      <c r="AV229" s="190" t="str">
        <f>IF($B229&lt;$F$22,SUM($T$100:$T229),"")</f>
        <v/>
      </c>
      <c r="AW229" s="190" t="str">
        <f t="shared" si="194"/>
        <v>-</v>
      </c>
      <c r="AX229" s="190" t="str">
        <f t="shared" ref="AX229:AX250" si="219">IF(ISNUMBER(AW229),IF(ISNUMBER(AV229),(AV229-AW229)/(3*86400*($B229+1))*1000,""),"")</f>
        <v/>
      </c>
      <c r="AY229"/>
      <c r="AZ229" s="190" t="str">
        <f ca="1">IF(ISNUMBER(OFFSET(AV229,-$F$21,0)),SUM(OFFSET($T$100,$F$21,0):$T229),"")</f>
        <v/>
      </c>
      <c r="BA229" s="190" t="str">
        <f t="shared" ca="1" si="195"/>
        <v/>
      </c>
      <c r="BB229" s="190" t="str">
        <f t="shared" ca="1" si="148"/>
        <v/>
      </c>
      <c r="BC229" s="190"/>
      <c r="BD229" s="190" t="str">
        <f ca="1">IFERROR(IF(OR(ISNUMBER(I),ISNUMBER($F$14)),IF(AND($B229&gt;=($F$16-$F$15),$B229&lt;$F$22+($F$16-$F$15)),SUM(OFFSET($T$100,($F$16-$F$15),0):$T229),""),""),"")</f>
        <v/>
      </c>
      <c r="BE229" s="190" t="str">
        <f t="shared" ref="BE229:BE250" ca="1" si="220">IF(ISNUMBER(BD229),BD229*(Koc*(Ocse/100)*Pse*Vse)/(Koc*(Ocse/100)*Pse*Vse+1*86400*($B229+1)),"")</f>
        <v/>
      </c>
      <c r="BF229" s="190" t="str">
        <f t="shared" ref="BF229:BF250" ca="1" si="221">IF(ISNUMBER(BD229),(BD229-BE229)/(3*86400*($B229-($F$16-$F$15)+1))*1000,"")</f>
        <v/>
      </c>
      <c r="BG229"/>
      <c r="BH229" s="190" t="str">
        <f ca="1">IF(ISNUMBER(OFFSET(BD229,-$F$21,0)),SUM(OFFSET($T$100,($F$16-$F$15+$F$21),0):$T229),"")</f>
        <v/>
      </c>
      <c r="BI229" s="190" t="str">
        <f t="shared" ca="1" si="196"/>
        <v/>
      </c>
      <c r="BJ229" s="190" t="str">
        <f t="shared" ref="BJ229:BJ250" ca="1" si="222">IF(ISNUMBER(BH229),(BH229-BI229)/(3*86400*((OFFSET($B229,-$F$21,0)-($F$16-$F$15)+1)))*1000,"")</f>
        <v/>
      </c>
      <c r="BK229" s="190"/>
      <c r="BL229" s="190" t="str">
        <f ca="1">IFERROR(IF(OR(ISNUMBER(I),ISNUMBER($F$14)),IF(AND($B229&gt;=($F$17-$F$15),$B229&lt;$F$22+($F$17-$F$15)),SUM(OFFSET($T$100,($F$17-$F$15),0):$T229),""),""),"")</f>
        <v/>
      </c>
      <c r="BM229" s="190" t="str">
        <f t="shared" ca="1" si="197"/>
        <v/>
      </c>
      <c r="BN229" s="190" t="str">
        <f t="shared" ref="BN229:BN250" ca="1" si="223">IF(ISNUMBER(BL229),(BL229-BM229)/(3*86400*($B229-($F$17-$F$15)+1))*1000,"")</f>
        <v/>
      </c>
      <c r="BO229"/>
      <c r="BP229" s="190" t="str">
        <f ca="1">IF(ISNUMBER(OFFSET(BL229,-$F$21,0)),SUM(OFFSET($T$100,($F$17-$F$15+$F$21),0):$T229),"")</f>
        <v/>
      </c>
      <c r="BQ229" s="190" t="str">
        <f t="shared" ca="1" si="198"/>
        <v/>
      </c>
      <c r="BR229" s="190" t="str">
        <f t="shared" ref="BR229:BR250" ca="1" si="224">IF(ISNUMBER(BP229),(BP229-BQ229)/(3*86400*(OFFSET($B229,-$F$21,0)-($F$17-$F$15)+1))*1000,"")</f>
        <v/>
      </c>
      <c r="BS229" s="190"/>
      <c r="BT229"/>
      <c r="BU229"/>
      <c r="BV229"/>
      <c r="BY229" s="99"/>
      <c r="BZ229" s="99"/>
      <c r="CA229" s="280" t="str">
        <f t="shared" si="199"/>
        <v/>
      </c>
      <c r="CB229" s="71" t="str">
        <f t="shared" si="200"/>
        <v>-</v>
      </c>
      <c r="CC229" s="33"/>
      <c r="CD229" s="261" t="str">
        <f t="shared" si="201"/>
        <v/>
      </c>
      <c r="CE229" s="280" t="str">
        <f t="shared" si="202"/>
        <v/>
      </c>
      <c r="CF229" s="71" t="str">
        <f t="shared" ca="1" si="203"/>
        <v/>
      </c>
      <c r="CG229" s="33" t="str">
        <f t="shared" si="204"/>
        <v/>
      </c>
      <c r="CH229" s="261" t="str">
        <f t="shared" ca="1" si="205"/>
        <v/>
      </c>
    </row>
    <row r="230" spans="2:86" ht="13.5" customHeight="1" x14ac:dyDescent="0.2">
      <c r="B230" s="262">
        <v>130</v>
      </c>
      <c r="C230" s="237" t="str">
        <f t="shared" si="169"/>
        <v/>
      </c>
      <c r="D230" s="237" t="str">
        <f t="shared" ref="D230:D250" si="225">IFERROR(IF(B230&lt;$F$22,IF(ISNUMBER($D$65),IF(MAX($BU$101:$BU$120)&lt;B230, "", IF(B230=VLOOKUP(B230, $BU$101:$BU$120,1,1), C230,D229-INDEX($BY$101:$BY$120, MATCH(VLOOKUP(B230, $BU$101:$BU$120,1,1), $BU$101:$BU$120)+1, 1))),D229-VLOOKUP(MAX($BU$101:$BU$120),$BU$101:$BY$120,5)),""),"-")</f>
        <v/>
      </c>
      <c r="E230" s="263" t="str">
        <f t="shared" si="206"/>
        <v/>
      </c>
      <c r="F230" s="264" t="str">
        <f t="shared" si="207"/>
        <v/>
      </c>
      <c r="G230" s="264" t="str">
        <f t="shared" si="208"/>
        <v/>
      </c>
      <c r="H230" s="240" t="str">
        <f t="shared" si="170"/>
        <v/>
      </c>
      <c r="I230" s="265" t="str">
        <f t="shared" si="171"/>
        <v/>
      </c>
      <c r="J230" s="265" t="str">
        <f t="shared" si="172"/>
        <v/>
      </c>
      <c r="K230" s="240" t="str">
        <f t="shared" si="173"/>
        <v/>
      </c>
      <c r="L230" s="265" t="str">
        <f t="shared" si="174"/>
        <v/>
      </c>
      <c r="M230" s="265" t="str">
        <f t="shared" si="175"/>
        <v/>
      </c>
      <c r="N230" s="240" t="str">
        <f t="shared" si="176"/>
        <v>-</v>
      </c>
      <c r="O230" s="265" t="str">
        <f t="shared" si="177"/>
        <v>-</v>
      </c>
      <c r="P230" s="265" t="str">
        <f t="shared" si="178"/>
        <v>-</v>
      </c>
      <c r="Q230" s="266" t="str">
        <f t="shared" si="179"/>
        <v>-</v>
      </c>
      <c r="R230" s="267" t="str">
        <f t="shared" si="180"/>
        <v>-</v>
      </c>
      <c r="S230" s="268" t="str">
        <f t="shared" si="181"/>
        <v>-</v>
      </c>
      <c r="T230" s="269" t="str">
        <f t="shared" si="182"/>
        <v/>
      </c>
      <c r="U230" s="221">
        <f t="shared" si="183"/>
        <v>130</v>
      </c>
      <c r="V230" s="220" t="str">
        <f t="shared" si="209"/>
        <v>-</v>
      </c>
      <c r="W230" s="221" t="str">
        <f t="shared" si="210"/>
        <v>-</v>
      </c>
      <c r="X230" s="221" t="str">
        <f t="shared" si="184"/>
        <v>-</v>
      </c>
      <c r="Y230" s="221" t="str">
        <f t="shared" si="185"/>
        <v>-</v>
      </c>
      <c r="Z230" s="270">
        <f t="shared" si="211"/>
        <v>0.1</v>
      </c>
      <c r="AA230" s="271" t="str">
        <f>IFERROR(IF(V229=1,AA$100*EXP(-(LN(2)/$D$65+0.04)*X229)*EXP(-(LN(2)/$D$65+0.1)*Y229),IF(V229=2,AA$100*EXP(-(LN(2)/$D$65+0.04)*(VLOOKUP(($F$16-$F$15)-1,U$99:Y229,4,FALSE)))*EXP(-(LN(2)/$D$65+0.1)*(VLOOKUP(($F$16-$F$15)-1,U$99:Y229,5,FALSE)))*EXP(-(LN(2)/$D$65+0.04)*X229)*EXP(-(LN(2)/$D$65+0.1)*Y229),IF(V229=3,AA$100*EXP(-(LN(2)/$D$65+0.04)*(VLOOKUP(($F$16-$F$15)-1,U$99:Y229,4,FALSE)))*EXP(-(LN(2)/$D$65+0.1)*(VLOOKUP(($F$16-$F$15)-1,U$99:Y229,5,FALSE)))*EXP(-(LN(2)/$D$65+0.04)*(VLOOKUP(($F$16-$F$15)*2-1,U$99:Y229,4,FALSE)))*EXP(-(LN(2)/$D$65+0.1)*(VLOOKUP(($F$16-$F$15)*2-1,U$99:Y229,5,FALSE)))*EXP(-(LN(2)/$D$65+0.04)*X229)*EXP(-(LN(2)/$D$65+0.1)*Y229),"-"))),"-")</f>
        <v>-</v>
      </c>
      <c r="AB230" s="271" t="str">
        <f>IFERROR(IF(V230=1,AB$100*EXP(-(LN(2)/$D$65+0.04)*X230)*EXP(-(LN(2)/$D$65+0.1)*Y230),IF(V230=2,AB$100*EXP(-(LN(2)/$D$65+0.04)*(VLOOKUP(($F$16-$F$15)-1,U$100:Y230,4,FALSE)))*EXP(-(LN(2)/$D$65+0.1)*(VLOOKUP(($F$16-$F$15)-1,U$100:Y230,5,FALSE)))*EXP(-(LN(2)/$D$65+0.04)*X230)*EXP(-(LN(2)/$D$65+0.1)*Y230),IF(V230=3,AB$100*EXP(-(LN(2)/$D$65+0.04)*(VLOOKUP(($F$16-$F$15)-1,U$100:Y230,4,FALSE)))*EXP(-(LN(2)/$D$65+0.1)*(VLOOKUP(($F$16-$F$15)-1,U$100:Y230,5,FALSE)))*EXP(-(LN(2)/$D$65+0.04)*(VLOOKUP(($F$16-$F$15)*2-1,U$100:Y230,4,FALSE)))*EXP(-(LN(2)/$D$65+0.1)*(VLOOKUP(($F$16-$F$15)*2-1,U$100:Y230,5,FALSE)))*EXP(-(LN(2)/$D$65+0.04)*X230)*EXP(-(LN(2)/$D$65+0.1)*Y230),"-"))),"-")</f>
        <v>-</v>
      </c>
      <c r="AC230" s="224">
        <f t="shared" si="212"/>
        <v>130</v>
      </c>
      <c r="AD230" s="223" t="str">
        <f t="shared" si="186"/>
        <v>-</v>
      </c>
      <c r="AE230" s="224" t="str">
        <f t="shared" si="213"/>
        <v>-</v>
      </c>
      <c r="AF230" s="224" t="str">
        <f t="shared" si="187"/>
        <v>-</v>
      </c>
      <c r="AG230" s="224" t="str">
        <f t="shared" si="188"/>
        <v>-</v>
      </c>
      <c r="AH230" s="272">
        <f t="shared" si="214"/>
        <v>0.1</v>
      </c>
      <c r="AI230" s="271" t="str">
        <f>IFERROR(IF(AD229=1,AI$100*EXP(-(LN(2)/$D$65+0.04)*AF229)*EXP(-(LN(2)/$D$65+0.1)*AG229),IF(AD229=2,AI$100*EXP(-(LN(2)/$D$65+0.04)*(VLOOKUP(($F$16-$F$15)-1,AC$99:AG229,4,FALSE)))*EXP(-(LN(2)/$D$65+0.1)*(VLOOKUP(($F$16-$F$15)-1,AC$99:AG229,5,FALSE)))*EXP(-(LN(2)/$D$65+0.04)*AF229)*EXP(-(LN(2)/$D$65+0.1)*AG229),IF(AD229=3,AI$100*EXP(-(LN(2)/$D$65+0.04)*(VLOOKUP(($F$16-$F$15)-1,AC$99:AG229,4,FALSE)))*EXP(-(LN(2)/$D$65+0.1)*(VLOOKUP(($F$16-$F$15)-1,AC$99:AG229,5,FALSE)))*EXP(-(LN(2)/$D$65+0.04)*(VLOOKUP(($F$16-$F$15)*2-1,AC$99:AG229,4,FALSE)))*EXP(-(LN(2)/$D$65+0.1)*(VLOOKUP(($F$16-$F$15)*2-1,AC$99:AG229,5,FALSE)))*EXP(-(LN(2)/$D$65+0.04)*AF229)*EXP(-(LN(2)/$D$65+0.1)*AG229),"-"))),"-")</f>
        <v>-</v>
      </c>
      <c r="AJ230" s="271" t="str">
        <f>IFERROR(IF(AD230=1,AJ$100*EXP(-(LN(2)/$D$65+0.04)*AF230)*EXP(-(LN(2)/$D$65+0.1)*AG230),IF(AD230=2,AJ$100*EXP(-(LN(2)/$D$65+0.04)*(VLOOKUP(($F$16-$F$15)-1,AC$100:AG230,4,FALSE)))*EXP(-(LN(2)/$D$65+0.1)*(VLOOKUP(($F$16-$F$15)-1,AC$100:AG230,5,FALSE)))*EXP(-(LN(2)/$D$65+0.04)*AF230)*EXP(-(LN(2)/$D$65+0.1)*AG230),IF(AD230=3,AJ$100*EXP(-(LN(2)/$D$65+0.04)*(VLOOKUP(($F$16-$F$15)-1,AC$100:AG230,4,FALSE)))*EXP(-(LN(2)/$D$65+0.1)*(VLOOKUP(($F$16-$F$15)-1,AC$100:AG230,5,FALSE)))*EXP(-(LN(2)/$D$65+0.04)*(VLOOKUP(($F$16-$F$15)*2-1,AC$100:AG230,4,FALSE)))*EXP(-(LN(2)/$D$65+0.1)*(VLOOKUP(($F$16-$F$15)*2-1,AC$100:AG230,5,FALSE)))*EXP(-(LN(2)/$D$65+0.04)*AF230)*EXP(-(LN(2)/$D$65+0.1)*AG230),"-"))),"-")</f>
        <v>-</v>
      </c>
      <c r="AK230" s="227">
        <f t="shared" si="215"/>
        <v>130</v>
      </c>
      <c r="AL230" s="226" t="str">
        <f t="shared" si="189"/>
        <v>-</v>
      </c>
      <c r="AM230" s="227" t="str">
        <f t="shared" si="216"/>
        <v>-</v>
      </c>
      <c r="AN230" s="227" t="str">
        <f t="shared" si="217"/>
        <v>-</v>
      </c>
      <c r="AO230" s="227" t="str">
        <f t="shared" si="190"/>
        <v>-</v>
      </c>
      <c r="AP230" s="273">
        <f t="shared" si="218"/>
        <v>0.1</v>
      </c>
      <c r="AQ230" s="271" t="str">
        <f>IFERROR(IF(AL229=1,AQ$100*EXP(-(LN(2)/$D$65+0.04)*AN229)*EXP(-(LN(2)/$D$65+0.1)*AO229),IF(AL229=2,AQ$100*EXP(-(LN(2)/$D$65+0.04)*(VLOOKUP(($F$16-$F$15)-1,AK$99:AO229,4,FALSE)))*EXP(-(LN(2)/$D$65+0.1)*(VLOOKUP(($F$16-$F$15)-1,AK$99:AO229,5,FALSE)))*EXP(-(LN(2)/$D$65+0.04)*AN229)*EXP(-(LN(2)/$D$65+0.1)*AO229),IF(AL229=3,AQ$100*EXP(-(LN(2)/$D$65+0.04)*(VLOOKUP(($F$16-$F$15)-1,AK$99:AO229,4,FALSE)))*EXP(-(LN(2)/$D$65+0.1)*(VLOOKUP(($F$16-$F$15)-1,AK$99:AO229,5,FALSE)))*EXP(-(LN(2)/$D$65+0.04)*(VLOOKUP(($F$16-$F$15)*2-1,AK$99:AO229,4,FALSE)))*EXP(-(LN(2)/$D$65+0.1)*(VLOOKUP(($F$16-$F$15)*2-1,AK$99:AO229,5,FALSE)))*EXP(-(LN(2)/$D$65+0.04)*AN229)*EXP(-(LN(2)/$D$65+0.1)*AO229),"-"))),"-")</f>
        <v>-</v>
      </c>
      <c r="AR230" s="271" t="str">
        <f>IFERROR(IF(AL230=1,AR$100*EXP(-(LN(2)/$D$65+0.04)*AN230)*EXP(-(LN(2)/$D$65+0.1)*AO230),IF(AL230=2,AR$100*EXP(-(LN(2)/$D$65+0.04)*(VLOOKUP(($F$16-$F$15)-1,AK$100:AO230,4,FALSE)))*EXP(-(LN(2)/$D$65+0.1)*(VLOOKUP(($F$16-$F$15)-1,AK$100:AO230,5,FALSE)))*EXP(-(LN(2)/$D$65+0.04)*AN230)*EXP(-(LN(2)/$D$65+0.1)*AO230),IF(AL230=3,AR$100*EXP(-(LN(2)/$D$65+0.04)*(VLOOKUP(($F$16-$F$15)-1,AK$100:AO230,4,FALSE)))*EXP(-(LN(2)/$D$65+0.1)*(VLOOKUP(($F$16-$F$15)-1,AK$100:AO230,5,FALSE)))*EXP(-(LN(2)/$D$65+0.04)*(VLOOKUP(($F$16-$F$15)*2-1,AK$100:AO230,4,FALSE)))*EXP(-(LN(2)/$D$65+0.1)*(VLOOKUP(($F$16-$F$15)*2-1,AK$100:AO230,5,FALSE)))*EXP(-(LN(2)/$D$65+0.04)*AN230)*EXP(-(LN(2)/$D$65+0.1)*AO230),"-"))),"-")</f>
        <v>-</v>
      </c>
      <c r="AS230" s="274">
        <f t="shared" si="191"/>
        <v>0</v>
      </c>
      <c r="AT230" s="274">
        <f t="shared" si="192"/>
        <v>0</v>
      </c>
      <c r="AU230" s="274">
        <f t="shared" si="193"/>
        <v>0</v>
      </c>
      <c r="AV230" s="190" t="str">
        <f>IF($B230&lt;$F$22,SUM($T$100:$T230),"")</f>
        <v/>
      </c>
      <c r="AW230" s="190" t="str">
        <f t="shared" si="194"/>
        <v>-</v>
      </c>
      <c r="AX230" s="190" t="str">
        <f t="shared" si="219"/>
        <v/>
      </c>
      <c r="AY230"/>
      <c r="AZ230" s="190" t="str">
        <f ca="1">IF(ISNUMBER(OFFSET(AV230,-$F$21,0)),SUM(OFFSET($T$100,$F$21,0):$T230),"")</f>
        <v/>
      </c>
      <c r="BA230" s="190" t="str">
        <f t="shared" ca="1" si="195"/>
        <v/>
      </c>
      <c r="BB230" s="190" t="str">
        <f t="shared" ca="1" si="148"/>
        <v/>
      </c>
      <c r="BC230" s="190"/>
      <c r="BD230" s="190" t="str">
        <f ca="1">IFERROR(IF(OR(ISNUMBER(I),ISNUMBER($F$14)),IF(AND($B230&gt;=($F$16-$F$15),$B230&lt;$F$22+($F$16-$F$15)),SUM(OFFSET($T$100,($F$16-$F$15),0):$T230),""),""),"")</f>
        <v/>
      </c>
      <c r="BE230" s="190" t="str">
        <f t="shared" ca="1" si="220"/>
        <v/>
      </c>
      <c r="BF230" s="190" t="str">
        <f t="shared" ca="1" si="221"/>
        <v/>
      </c>
      <c r="BG230"/>
      <c r="BH230" s="190" t="str">
        <f ca="1">IF(ISNUMBER(OFFSET(BD230,-$F$21,0)),SUM(OFFSET($T$100,($F$16-$F$15+$F$21),0):$T230),"")</f>
        <v/>
      </c>
      <c r="BI230" s="190" t="str">
        <f t="shared" ca="1" si="196"/>
        <v/>
      </c>
      <c r="BJ230" s="190" t="str">
        <f t="shared" ca="1" si="222"/>
        <v/>
      </c>
      <c r="BK230" s="190"/>
      <c r="BL230" s="190" t="str">
        <f ca="1">IFERROR(IF(OR(ISNUMBER(I),ISNUMBER($F$14)),IF(AND($B230&gt;=($F$17-$F$15),$B230&lt;$F$22+($F$17-$F$15)),SUM(OFFSET($T$100,($F$17-$F$15),0):$T230),""),""),"")</f>
        <v/>
      </c>
      <c r="BM230" s="190" t="str">
        <f t="shared" ca="1" si="197"/>
        <v/>
      </c>
      <c r="BN230" s="190" t="str">
        <f t="shared" ca="1" si="223"/>
        <v/>
      </c>
      <c r="BO230"/>
      <c r="BP230" s="190" t="str">
        <f ca="1">IF(ISNUMBER(OFFSET(BL230,-$F$21,0)),SUM(OFFSET($T$100,($F$17-$F$15+$F$21),0):$T230),"")</f>
        <v/>
      </c>
      <c r="BQ230" s="190" t="str">
        <f t="shared" ca="1" si="198"/>
        <v/>
      </c>
      <c r="BR230" s="190" t="str">
        <f t="shared" ca="1" si="224"/>
        <v/>
      </c>
      <c r="BS230" s="190"/>
      <c r="BT230"/>
      <c r="BU230"/>
      <c r="BV230"/>
      <c r="BY230" s="99"/>
      <c r="BZ230" s="99"/>
      <c r="CA230" s="280" t="str">
        <f t="shared" si="199"/>
        <v/>
      </c>
      <c r="CB230" s="71" t="str">
        <f t="shared" si="200"/>
        <v>-</v>
      </c>
      <c r="CC230" s="33"/>
      <c r="CD230" s="261" t="str">
        <f t="shared" si="201"/>
        <v/>
      </c>
      <c r="CE230" s="280" t="str">
        <f t="shared" si="202"/>
        <v/>
      </c>
      <c r="CF230" s="71" t="str">
        <f t="shared" ca="1" si="203"/>
        <v/>
      </c>
      <c r="CG230" s="33" t="str">
        <f t="shared" si="204"/>
        <v/>
      </c>
      <c r="CH230" s="261" t="str">
        <f t="shared" ca="1" si="205"/>
        <v/>
      </c>
    </row>
    <row r="231" spans="2:86" ht="13.5" customHeight="1" x14ac:dyDescent="0.2">
      <c r="B231" s="262">
        <v>131</v>
      </c>
      <c r="C231" s="237" t="str">
        <f t="shared" si="169"/>
        <v/>
      </c>
      <c r="D231" s="237" t="str">
        <f t="shared" si="225"/>
        <v/>
      </c>
      <c r="E231" s="263" t="str">
        <f t="shared" si="206"/>
        <v/>
      </c>
      <c r="F231" s="264" t="str">
        <f t="shared" si="207"/>
        <v/>
      </c>
      <c r="G231" s="264" t="str">
        <f t="shared" si="208"/>
        <v/>
      </c>
      <c r="H231" s="240" t="str">
        <f t="shared" si="170"/>
        <v/>
      </c>
      <c r="I231" s="265" t="str">
        <f t="shared" si="171"/>
        <v/>
      </c>
      <c r="J231" s="265" t="str">
        <f t="shared" si="172"/>
        <v/>
      </c>
      <c r="K231" s="240" t="str">
        <f t="shared" si="173"/>
        <v/>
      </c>
      <c r="L231" s="265" t="str">
        <f t="shared" si="174"/>
        <v/>
      </c>
      <c r="M231" s="265" t="str">
        <f t="shared" si="175"/>
        <v/>
      </c>
      <c r="N231" s="240" t="str">
        <f t="shared" si="176"/>
        <v>-</v>
      </c>
      <c r="O231" s="265" t="str">
        <f t="shared" si="177"/>
        <v>-</v>
      </c>
      <c r="P231" s="265" t="str">
        <f t="shared" si="178"/>
        <v>-</v>
      </c>
      <c r="Q231" s="266" t="str">
        <f t="shared" si="179"/>
        <v>-</v>
      </c>
      <c r="R231" s="267" t="str">
        <f t="shared" si="180"/>
        <v>-</v>
      </c>
      <c r="S231" s="268" t="str">
        <f t="shared" si="181"/>
        <v>-</v>
      </c>
      <c r="T231" s="269" t="str">
        <f t="shared" si="182"/>
        <v/>
      </c>
      <c r="U231" s="221">
        <f t="shared" si="183"/>
        <v>131</v>
      </c>
      <c r="V231" s="220" t="str">
        <f t="shared" si="209"/>
        <v>-</v>
      </c>
      <c r="W231" s="221" t="str">
        <f t="shared" si="210"/>
        <v>-</v>
      </c>
      <c r="X231" s="221" t="str">
        <f t="shared" si="184"/>
        <v>-</v>
      </c>
      <c r="Y231" s="221" t="str">
        <f t="shared" si="185"/>
        <v>-</v>
      </c>
      <c r="Z231" s="270">
        <f t="shared" si="211"/>
        <v>0.1</v>
      </c>
      <c r="AA231" s="271" t="str">
        <f>IFERROR(IF(V230=1,AA$100*EXP(-(LN(2)/$D$65+0.04)*X230)*EXP(-(LN(2)/$D$65+0.1)*Y230),IF(V230=2,AA$100*EXP(-(LN(2)/$D$65+0.04)*(VLOOKUP(($F$16-$F$15)-1,U$99:Y230,4,FALSE)))*EXP(-(LN(2)/$D$65+0.1)*(VLOOKUP(($F$16-$F$15)-1,U$99:Y230,5,FALSE)))*EXP(-(LN(2)/$D$65+0.04)*X230)*EXP(-(LN(2)/$D$65+0.1)*Y230),IF(V230=3,AA$100*EXP(-(LN(2)/$D$65+0.04)*(VLOOKUP(($F$16-$F$15)-1,U$99:Y230,4,FALSE)))*EXP(-(LN(2)/$D$65+0.1)*(VLOOKUP(($F$16-$F$15)-1,U$99:Y230,5,FALSE)))*EXP(-(LN(2)/$D$65+0.04)*(VLOOKUP(($F$16-$F$15)*2-1,U$99:Y230,4,FALSE)))*EXP(-(LN(2)/$D$65+0.1)*(VLOOKUP(($F$16-$F$15)*2-1,U$99:Y230,5,FALSE)))*EXP(-(LN(2)/$D$65+0.04)*X230)*EXP(-(LN(2)/$D$65+0.1)*Y230),"-"))),"-")</f>
        <v>-</v>
      </c>
      <c r="AB231" s="271" t="str">
        <f>IFERROR(IF(V231=1,AB$100*EXP(-(LN(2)/$D$65+0.04)*X231)*EXP(-(LN(2)/$D$65+0.1)*Y231),IF(V231=2,AB$100*EXP(-(LN(2)/$D$65+0.04)*(VLOOKUP(($F$16-$F$15)-1,U$100:Y231,4,FALSE)))*EXP(-(LN(2)/$D$65+0.1)*(VLOOKUP(($F$16-$F$15)-1,U$100:Y231,5,FALSE)))*EXP(-(LN(2)/$D$65+0.04)*X231)*EXP(-(LN(2)/$D$65+0.1)*Y231),IF(V231=3,AB$100*EXP(-(LN(2)/$D$65+0.04)*(VLOOKUP(($F$16-$F$15)-1,U$100:Y231,4,FALSE)))*EXP(-(LN(2)/$D$65+0.1)*(VLOOKUP(($F$16-$F$15)-1,U$100:Y231,5,FALSE)))*EXP(-(LN(2)/$D$65+0.04)*(VLOOKUP(($F$16-$F$15)*2-1,U$100:Y231,4,FALSE)))*EXP(-(LN(2)/$D$65+0.1)*(VLOOKUP(($F$16-$F$15)*2-1,U$100:Y231,5,FALSE)))*EXP(-(LN(2)/$D$65+0.04)*X231)*EXP(-(LN(2)/$D$65+0.1)*Y231),"-"))),"-")</f>
        <v>-</v>
      </c>
      <c r="AC231" s="224">
        <f t="shared" si="212"/>
        <v>131</v>
      </c>
      <c r="AD231" s="223" t="str">
        <f t="shared" si="186"/>
        <v>-</v>
      </c>
      <c r="AE231" s="224" t="str">
        <f t="shared" si="213"/>
        <v>-</v>
      </c>
      <c r="AF231" s="224" t="str">
        <f t="shared" si="187"/>
        <v>-</v>
      </c>
      <c r="AG231" s="224" t="str">
        <f t="shared" si="188"/>
        <v>-</v>
      </c>
      <c r="AH231" s="272">
        <f t="shared" si="214"/>
        <v>0.1</v>
      </c>
      <c r="AI231" s="271" t="str">
        <f>IFERROR(IF(AD230=1,AI$100*EXP(-(LN(2)/$D$65+0.04)*AF230)*EXP(-(LN(2)/$D$65+0.1)*AG230),IF(AD230=2,AI$100*EXP(-(LN(2)/$D$65+0.04)*(VLOOKUP(($F$16-$F$15)-1,AC$99:AG230,4,FALSE)))*EXP(-(LN(2)/$D$65+0.1)*(VLOOKUP(($F$16-$F$15)-1,AC$99:AG230,5,FALSE)))*EXP(-(LN(2)/$D$65+0.04)*AF230)*EXP(-(LN(2)/$D$65+0.1)*AG230),IF(AD230=3,AI$100*EXP(-(LN(2)/$D$65+0.04)*(VLOOKUP(($F$16-$F$15)-1,AC$99:AG230,4,FALSE)))*EXP(-(LN(2)/$D$65+0.1)*(VLOOKUP(($F$16-$F$15)-1,AC$99:AG230,5,FALSE)))*EXP(-(LN(2)/$D$65+0.04)*(VLOOKUP(($F$16-$F$15)*2-1,AC$99:AG230,4,FALSE)))*EXP(-(LN(2)/$D$65+0.1)*(VLOOKUP(($F$16-$F$15)*2-1,AC$99:AG230,5,FALSE)))*EXP(-(LN(2)/$D$65+0.04)*AF230)*EXP(-(LN(2)/$D$65+0.1)*AG230),"-"))),"-")</f>
        <v>-</v>
      </c>
      <c r="AJ231" s="271" t="str">
        <f>IFERROR(IF(AD231=1,AJ$100*EXP(-(LN(2)/$D$65+0.04)*AF231)*EXP(-(LN(2)/$D$65+0.1)*AG231),IF(AD231=2,AJ$100*EXP(-(LN(2)/$D$65+0.04)*(VLOOKUP(($F$16-$F$15)-1,AC$100:AG231,4,FALSE)))*EXP(-(LN(2)/$D$65+0.1)*(VLOOKUP(($F$16-$F$15)-1,AC$100:AG231,5,FALSE)))*EXP(-(LN(2)/$D$65+0.04)*AF231)*EXP(-(LN(2)/$D$65+0.1)*AG231),IF(AD231=3,AJ$100*EXP(-(LN(2)/$D$65+0.04)*(VLOOKUP(($F$16-$F$15)-1,AC$100:AG231,4,FALSE)))*EXP(-(LN(2)/$D$65+0.1)*(VLOOKUP(($F$16-$F$15)-1,AC$100:AG231,5,FALSE)))*EXP(-(LN(2)/$D$65+0.04)*(VLOOKUP(($F$16-$F$15)*2-1,AC$100:AG231,4,FALSE)))*EXP(-(LN(2)/$D$65+0.1)*(VLOOKUP(($F$16-$F$15)*2-1,AC$100:AG231,5,FALSE)))*EXP(-(LN(2)/$D$65+0.04)*AF231)*EXP(-(LN(2)/$D$65+0.1)*AG231),"-"))),"-")</f>
        <v>-</v>
      </c>
      <c r="AK231" s="227">
        <f t="shared" si="215"/>
        <v>131</v>
      </c>
      <c r="AL231" s="226" t="str">
        <f t="shared" si="189"/>
        <v>-</v>
      </c>
      <c r="AM231" s="227" t="str">
        <f t="shared" si="216"/>
        <v>-</v>
      </c>
      <c r="AN231" s="227" t="str">
        <f t="shared" si="217"/>
        <v>-</v>
      </c>
      <c r="AO231" s="227" t="str">
        <f t="shared" si="190"/>
        <v>-</v>
      </c>
      <c r="AP231" s="273">
        <f t="shared" si="218"/>
        <v>0.1</v>
      </c>
      <c r="AQ231" s="271" t="str">
        <f>IFERROR(IF(AL230=1,AQ$100*EXP(-(LN(2)/$D$65+0.04)*AN230)*EXP(-(LN(2)/$D$65+0.1)*AO230),IF(AL230=2,AQ$100*EXP(-(LN(2)/$D$65+0.04)*(VLOOKUP(($F$16-$F$15)-1,AK$99:AO230,4,FALSE)))*EXP(-(LN(2)/$D$65+0.1)*(VLOOKUP(($F$16-$F$15)-1,AK$99:AO230,5,FALSE)))*EXP(-(LN(2)/$D$65+0.04)*AN230)*EXP(-(LN(2)/$D$65+0.1)*AO230),IF(AL230=3,AQ$100*EXP(-(LN(2)/$D$65+0.04)*(VLOOKUP(($F$16-$F$15)-1,AK$99:AO230,4,FALSE)))*EXP(-(LN(2)/$D$65+0.1)*(VLOOKUP(($F$16-$F$15)-1,AK$99:AO230,5,FALSE)))*EXP(-(LN(2)/$D$65+0.04)*(VLOOKUP(($F$16-$F$15)*2-1,AK$99:AO230,4,FALSE)))*EXP(-(LN(2)/$D$65+0.1)*(VLOOKUP(($F$16-$F$15)*2-1,AK$99:AO230,5,FALSE)))*EXP(-(LN(2)/$D$65+0.04)*AN230)*EXP(-(LN(2)/$D$65+0.1)*AO230),"-"))),"-")</f>
        <v>-</v>
      </c>
      <c r="AR231" s="271" t="str">
        <f>IFERROR(IF(AL231=1,AR$100*EXP(-(LN(2)/$D$65+0.04)*AN231)*EXP(-(LN(2)/$D$65+0.1)*AO231),IF(AL231=2,AR$100*EXP(-(LN(2)/$D$65+0.04)*(VLOOKUP(($F$16-$F$15)-1,AK$100:AO231,4,FALSE)))*EXP(-(LN(2)/$D$65+0.1)*(VLOOKUP(($F$16-$F$15)-1,AK$100:AO231,5,FALSE)))*EXP(-(LN(2)/$D$65+0.04)*AN231)*EXP(-(LN(2)/$D$65+0.1)*AO231),IF(AL231=3,AR$100*EXP(-(LN(2)/$D$65+0.04)*(VLOOKUP(($F$16-$F$15)-1,AK$100:AO231,4,FALSE)))*EXP(-(LN(2)/$D$65+0.1)*(VLOOKUP(($F$16-$F$15)-1,AK$100:AO231,5,FALSE)))*EXP(-(LN(2)/$D$65+0.04)*(VLOOKUP(($F$16-$F$15)*2-1,AK$100:AO231,4,FALSE)))*EXP(-(LN(2)/$D$65+0.1)*(VLOOKUP(($F$16-$F$15)*2-1,AK$100:AO231,5,FALSE)))*EXP(-(LN(2)/$D$65+0.04)*AN231)*EXP(-(LN(2)/$D$65+0.1)*AO231),"-"))),"-")</f>
        <v>-</v>
      </c>
      <c r="AS231" s="274">
        <f t="shared" si="191"/>
        <v>0</v>
      </c>
      <c r="AT231" s="274">
        <f t="shared" si="192"/>
        <v>0</v>
      </c>
      <c r="AU231" s="274">
        <f t="shared" si="193"/>
        <v>0</v>
      </c>
      <c r="AV231" s="190" t="str">
        <f>IF($B231&lt;$F$22,SUM($T$100:$T231),"")</f>
        <v/>
      </c>
      <c r="AW231" s="190" t="str">
        <f t="shared" si="194"/>
        <v>-</v>
      </c>
      <c r="AX231" s="190" t="str">
        <f t="shared" si="219"/>
        <v/>
      </c>
      <c r="AY231"/>
      <c r="AZ231" s="190" t="str">
        <f ca="1">IF(ISNUMBER(OFFSET(AV231,-$F$21,0)),SUM(OFFSET($T$100,$F$21,0):$T231),"")</f>
        <v/>
      </c>
      <c r="BA231" s="190" t="str">
        <f t="shared" ca="1" si="195"/>
        <v/>
      </c>
      <c r="BB231" s="190" t="str">
        <f t="shared" ca="1" si="148"/>
        <v/>
      </c>
      <c r="BC231" s="190"/>
      <c r="BD231" s="190" t="str">
        <f ca="1">IFERROR(IF(OR(ISNUMBER(I),ISNUMBER($F$14)),IF(AND($B231&gt;=($F$16-$F$15),$B231&lt;$F$22+($F$16-$F$15)),SUM(OFFSET($T$100,($F$16-$F$15),0):$T231),""),""),"")</f>
        <v/>
      </c>
      <c r="BE231" s="190" t="str">
        <f t="shared" ca="1" si="220"/>
        <v/>
      </c>
      <c r="BF231" s="190" t="str">
        <f t="shared" ca="1" si="221"/>
        <v/>
      </c>
      <c r="BG231"/>
      <c r="BH231" s="190" t="str">
        <f ca="1">IF(ISNUMBER(OFFSET(BD231,-$F$21,0)),SUM(OFFSET($T$100,($F$16-$F$15+$F$21),0):$T231),"")</f>
        <v/>
      </c>
      <c r="BI231" s="190" t="str">
        <f t="shared" ca="1" si="196"/>
        <v/>
      </c>
      <c r="BJ231" s="190" t="str">
        <f t="shared" ca="1" si="222"/>
        <v/>
      </c>
      <c r="BK231" s="190"/>
      <c r="BL231" s="190" t="str">
        <f ca="1">IFERROR(IF(OR(ISNUMBER(I),ISNUMBER($F$14)),IF(AND($B231&gt;=($F$17-$F$15),$B231&lt;$F$22+($F$17-$F$15)),SUM(OFFSET($T$100,($F$17-$F$15),0):$T231),""),""),"")</f>
        <v/>
      </c>
      <c r="BM231" s="190" t="str">
        <f t="shared" ca="1" si="197"/>
        <v/>
      </c>
      <c r="BN231" s="190" t="str">
        <f t="shared" ca="1" si="223"/>
        <v/>
      </c>
      <c r="BO231"/>
      <c r="BP231" s="190" t="str">
        <f ca="1">IF(ISNUMBER(OFFSET(BL231,-$F$21,0)),SUM(OFFSET($T$100,($F$17-$F$15+$F$21),0):$T231),"")</f>
        <v/>
      </c>
      <c r="BQ231" s="190" t="str">
        <f t="shared" ca="1" si="198"/>
        <v/>
      </c>
      <c r="BR231" s="190" t="str">
        <f t="shared" ca="1" si="224"/>
        <v/>
      </c>
      <c r="BS231" s="190"/>
      <c r="BT231"/>
      <c r="BU231"/>
      <c r="BV231"/>
      <c r="BY231" s="99"/>
      <c r="BZ231" s="99"/>
      <c r="CA231" s="280" t="str">
        <f t="shared" si="199"/>
        <v/>
      </c>
      <c r="CB231" s="71" t="str">
        <f t="shared" si="200"/>
        <v>-</v>
      </c>
      <c r="CC231" s="33"/>
      <c r="CD231" s="261" t="str">
        <f t="shared" si="201"/>
        <v/>
      </c>
      <c r="CE231" s="280" t="str">
        <f t="shared" si="202"/>
        <v/>
      </c>
      <c r="CF231" s="71" t="str">
        <f t="shared" ca="1" si="203"/>
        <v/>
      </c>
      <c r="CG231" s="33" t="str">
        <f t="shared" si="204"/>
        <v/>
      </c>
      <c r="CH231" s="261" t="str">
        <f t="shared" ca="1" si="205"/>
        <v/>
      </c>
    </row>
    <row r="232" spans="2:86" ht="13.5" customHeight="1" x14ac:dyDescent="0.2">
      <c r="B232" s="262">
        <v>132</v>
      </c>
      <c r="C232" s="237" t="str">
        <f t="shared" si="169"/>
        <v/>
      </c>
      <c r="D232" s="237" t="str">
        <f t="shared" si="225"/>
        <v/>
      </c>
      <c r="E232" s="263" t="str">
        <f t="shared" si="206"/>
        <v/>
      </c>
      <c r="F232" s="264" t="str">
        <f t="shared" si="207"/>
        <v/>
      </c>
      <c r="G232" s="264" t="str">
        <f t="shared" si="208"/>
        <v/>
      </c>
      <c r="H232" s="240" t="str">
        <f t="shared" si="170"/>
        <v/>
      </c>
      <c r="I232" s="265" t="str">
        <f t="shared" si="171"/>
        <v/>
      </c>
      <c r="J232" s="265" t="str">
        <f t="shared" si="172"/>
        <v/>
      </c>
      <c r="K232" s="240" t="str">
        <f t="shared" si="173"/>
        <v/>
      </c>
      <c r="L232" s="265" t="str">
        <f t="shared" si="174"/>
        <v/>
      </c>
      <c r="M232" s="265" t="str">
        <f t="shared" si="175"/>
        <v/>
      </c>
      <c r="N232" s="240" t="str">
        <f t="shared" si="176"/>
        <v>-</v>
      </c>
      <c r="O232" s="265" t="str">
        <f t="shared" si="177"/>
        <v>-</v>
      </c>
      <c r="P232" s="265" t="str">
        <f t="shared" si="178"/>
        <v>-</v>
      </c>
      <c r="Q232" s="266" t="str">
        <f t="shared" si="179"/>
        <v>-</v>
      </c>
      <c r="R232" s="267" t="str">
        <f t="shared" si="180"/>
        <v>-</v>
      </c>
      <c r="S232" s="268" t="str">
        <f t="shared" si="181"/>
        <v>-</v>
      </c>
      <c r="T232" s="269" t="str">
        <f t="shared" si="182"/>
        <v/>
      </c>
      <c r="U232" s="221">
        <f t="shared" si="183"/>
        <v>132</v>
      </c>
      <c r="V232" s="220" t="str">
        <f t="shared" si="209"/>
        <v>-</v>
      </c>
      <c r="W232" s="221" t="str">
        <f t="shared" si="210"/>
        <v>-</v>
      </c>
      <c r="X232" s="221" t="str">
        <f t="shared" si="184"/>
        <v>-</v>
      </c>
      <c r="Y232" s="221" t="str">
        <f t="shared" si="185"/>
        <v>-</v>
      </c>
      <c r="Z232" s="270">
        <f t="shared" si="211"/>
        <v>0.1</v>
      </c>
      <c r="AA232" s="271" t="str">
        <f>IFERROR(IF(V231=1,AA$100*EXP(-(LN(2)/$D$65+0.04)*X231)*EXP(-(LN(2)/$D$65+0.1)*Y231),IF(V231=2,AA$100*EXP(-(LN(2)/$D$65+0.04)*(VLOOKUP(($F$16-$F$15)-1,U$99:Y231,4,FALSE)))*EXP(-(LN(2)/$D$65+0.1)*(VLOOKUP(($F$16-$F$15)-1,U$99:Y231,5,FALSE)))*EXP(-(LN(2)/$D$65+0.04)*X231)*EXP(-(LN(2)/$D$65+0.1)*Y231),IF(V231=3,AA$100*EXP(-(LN(2)/$D$65+0.04)*(VLOOKUP(($F$16-$F$15)-1,U$99:Y231,4,FALSE)))*EXP(-(LN(2)/$D$65+0.1)*(VLOOKUP(($F$16-$F$15)-1,U$99:Y231,5,FALSE)))*EXP(-(LN(2)/$D$65+0.04)*(VLOOKUP(($F$16-$F$15)*2-1,U$99:Y231,4,FALSE)))*EXP(-(LN(2)/$D$65+0.1)*(VLOOKUP(($F$16-$F$15)*2-1,U$99:Y231,5,FALSE)))*EXP(-(LN(2)/$D$65+0.04)*X231)*EXP(-(LN(2)/$D$65+0.1)*Y231),"-"))),"-")</f>
        <v>-</v>
      </c>
      <c r="AB232" s="271" t="str">
        <f>IFERROR(IF(V232=1,AB$100*EXP(-(LN(2)/$D$65+0.04)*X232)*EXP(-(LN(2)/$D$65+0.1)*Y232),IF(V232=2,AB$100*EXP(-(LN(2)/$D$65+0.04)*(VLOOKUP(($F$16-$F$15)-1,U$100:Y232,4,FALSE)))*EXP(-(LN(2)/$D$65+0.1)*(VLOOKUP(($F$16-$F$15)-1,U$100:Y232,5,FALSE)))*EXP(-(LN(2)/$D$65+0.04)*X232)*EXP(-(LN(2)/$D$65+0.1)*Y232),IF(V232=3,AB$100*EXP(-(LN(2)/$D$65+0.04)*(VLOOKUP(($F$16-$F$15)-1,U$100:Y232,4,FALSE)))*EXP(-(LN(2)/$D$65+0.1)*(VLOOKUP(($F$16-$F$15)-1,U$100:Y232,5,FALSE)))*EXP(-(LN(2)/$D$65+0.04)*(VLOOKUP(($F$16-$F$15)*2-1,U$100:Y232,4,FALSE)))*EXP(-(LN(2)/$D$65+0.1)*(VLOOKUP(($F$16-$F$15)*2-1,U$100:Y232,5,FALSE)))*EXP(-(LN(2)/$D$65+0.04)*X232)*EXP(-(LN(2)/$D$65+0.1)*Y232),"-"))),"-")</f>
        <v>-</v>
      </c>
      <c r="AC232" s="224">
        <f t="shared" si="212"/>
        <v>132</v>
      </c>
      <c r="AD232" s="223" t="str">
        <f t="shared" si="186"/>
        <v>-</v>
      </c>
      <c r="AE232" s="224" t="str">
        <f t="shared" si="213"/>
        <v>-</v>
      </c>
      <c r="AF232" s="224" t="str">
        <f t="shared" si="187"/>
        <v>-</v>
      </c>
      <c r="AG232" s="224" t="str">
        <f t="shared" si="188"/>
        <v>-</v>
      </c>
      <c r="AH232" s="272">
        <f t="shared" si="214"/>
        <v>0.1</v>
      </c>
      <c r="AI232" s="271" t="str">
        <f>IFERROR(IF(AD231=1,AI$100*EXP(-(LN(2)/$D$65+0.04)*AF231)*EXP(-(LN(2)/$D$65+0.1)*AG231),IF(AD231=2,AI$100*EXP(-(LN(2)/$D$65+0.04)*(VLOOKUP(($F$16-$F$15)-1,AC$99:AG231,4,FALSE)))*EXP(-(LN(2)/$D$65+0.1)*(VLOOKUP(($F$16-$F$15)-1,AC$99:AG231,5,FALSE)))*EXP(-(LN(2)/$D$65+0.04)*AF231)*EXP(-(LN(2)/$D$65+0.1)*AG231),IF(AD231=3,AI$100*EXP(-(LN(2)/$D$65+0.04)*(VLOOKUP(($F$16-$F$15)-1,AC$99:AG231,4,FALSE)))*EXP(-(LN(2)/$D$65+0.1)*(VLOOKUP(($F$16-$F$15)-1,AC$99:AG231,5,FALSE)))*EXP(-(LN(2)/$D$65+0.04)*(VLOOKUP(($F$16-$F$15)*2-1,AC$99:AG231,4,FALSE)))*EXP(-(LN(2)/$D$65+0.1)*(VLOOKUP(($F$16-$F$15)*2-1,AC$99:AG231,5,FALSE)))*EXP(-(LN(2)/$D$65+0.04)*AF231)*EXP(-(LN(2)/$D$65+0.1)*AG231),"-"))),"-")</f>
        <v>-</v>
      </c>
      <c r="AJ232" s="271" t="str">
        <f>IFERROR(IF(AD232=1,AJ$100*EXP(-(LN(2)/$D$65+0.04)*AF232)*EXP(-(LN(2)/$D$65+0.1)*AG232),IF(AD232=2,AJ$100*EXP(-(LN(2)/$D$65+0.04)*(VLOOKUP(($F$16-$F$15)-1,AC$100:AG232,4,FALSE)))*EXP(-(LN(2)/$D$65+0.1)*(VLOOKUP(($F$16-$F$15)-1,AC$100:AG232,5,FALSE)))*EXP(-(LN(2)/$D$65+0.04)*AF232)*EXP(-(LN(2)/$D$65+0.1)*AG232),IF(AD232=3,AJ$100*EXP(-(LN(2)/$D$65+0.04)*(VLOOKUP(($F$16-$F$15)-1,AC$100:AG232,4,FALSE)))*EXP(-(LN(2)/$D$65+0.1)*(VLOOKUP(($F$16-$F$15)-1,AC$100:AG232,5,FALSE)))*EXP(-(LN(2)/$D$65+0.04)*(VLOOKUP(($F$16-$F$15)*2-1,AC$100:AG232,4,FALSE)))*EXP(-(LN(2)/$D$65+0.1)*(VLOOKUP(($F$16-$F$15)*2-1,AC$100:AG232,5,FALSE)))*EXP(-(LN(2)/$D$65+0.04)*AF232)*EXP(-(LN(2)/$D$65+0.1)*AG232),"-"))),"-")</f>
        <v>-</v>
      </c>
      <c r="AK232" s="227">
        <f t="shared" si="215"/>
        <v>132</v>
      </c>
      <c r="AL232" s="226" t="str">
        <f t="shared" si="189"/>
        <v>-</v>
      </c>
      <c r="AM232" s="227" t="str">
        <f t="shared" si="216"/>
        <v>-</v>
      </c>
      <c r="AN232" s="227" t="str">
        <f t="shared" si="217"/>
        <v>-</v>
      </c>
      <c r="AO232" s="227" t="str">
        <f t="shared" si="190"/>
        <v>-</v>
      </c>
      <c r="AP232" s="273">
        <f t="shared" si="218"/>
        <v>0.1</v>
      </c>
      <c r="AQ232" s="271" t="str">
        <f>IFERROR(IF(AL231=1,AQ$100*EXP(-(LN(2)/$D$65+0.04)*AN231)*EXP(-(LN(2)/$D$65+0.1)*AO231),IF(AL231=2,AQ$100*EXP(-(LN(2)/$D$65+0.04)*(VLOOKUP(($F$16-$F$15)-1,AK$99:AO231,4,FALSE)))*EXP(-(LN(2)/$D$65+0.1)*(VLOOKUP(($F$16-$F$15)-1,AK$99:AO231,5,FALSE)))*EXP(-(LN(2)/$D$65+0.04)*AN231)*EXP(-(LN(2)/$D$65+0.1)*AO231),IF(AL231=3,AQ$100*EXP(-(LN(2)/$D$65+0.04)*(VLOOKUP(($F$16-$F$15)-1,AK$99:AO231,4,FALSE)))*EXP(-(LN(2)/$D$65+0.1)*(VLOOKUP(($F$16-$F$15)-1,AK$99:AO231,5,FALSE)))*EXP(-(LN(2)/$D$65+0.04)*(VLOOKUP(($F$16-$F$15)*2-1,AK$99:AO231,4,FALSE)))*EXP(-(LN(2)/$D$65+0.1)*(VLOOKUP(($F$16-$F$15)*2-1,AK$99:AO231,5,FALSE)))*EXP(-(LN(2)/$D$65+0.04)*AN231)*EXP(-(LN(2)/$D$65+0.1)*AO231),"-"))),"-")</f>
        <v>-</v>
      </c>
      <c r="AR232" s="271" t="str">
        <f>IFERROR(IF(AL232=1,AR$100*EXP(-(LN(2)/$D$65+0.04)*AN232)*EXP(-(LN(2)/$D$65+0.1)*AO232),IF(AL232=2,AR$100*EXP(-(LN(2)/$D$65+0.04)*(VLOOKUP(($F$16-$F$15)-1,AK$100:AO232,4,FALSE)))*EXP(-(LN(2)/$D$65+0.1)*(VLOOKUP(($F$16-$F$15)-1,AK$100:AO232,5,FALSE)))*EXP(-(LN(2)/$D$65+0.04)*AN232)*EXP(-(LN(2)/$D$65+0.1)*AO232),IF(AL232=3,AR$100*EXP(-(LN(2)/$D$65+0.04)*(VLOOKUP(($F$16-$F$15)-1,AK$100:AO232,4,FALSE)))*EXP(-(LN(2)/$D$65+0.1)*(VLOOKUP(($F$16-$F$15)-1,AK$100:AO232,5,FALSE)))*EXP(-(LN(2)/$D$65+0.04)*(VLOOKUP(($F$16-$F$15)*2-1,AK$100:AO232,4,FALSE)))*EXP(-(LN(2)/$D$65+0.1)*(VLOOKUP(($F$16-$F$15)*2-1,AK$100:AO232,5,FALSE)))*EXP(-(LN(2)/$D$65+0.04)*AN232)*EXP(-(LN(2)/$D$65+0.1)*AO232),"-"))),"-")</f>
        <v>-</v>
      </c>
      <c r="AS232" s="274">
        <f t="shared" si="191"/>
        <v>0</v>
      </c>
      <c r="AT232" s="274">
        <f t="shared" si="192"/>
        <v>0</v>
      </c>
      <c r="AU232" s="274">
        <f t="shared" si="193"/>
        <v>0</v>
      </c>
      <c r="AV232" s="190" t="str">
        <f>IF($B232&lt;$F$22,SUM($T$100:$T232),"")</f>
        <v/>
      </c>
      <c r="AW232" s="190" t="str">
        <f t="shared" si="194"/>
        <v>-</v>
      </c>
      <c r="AX232" s="190" t="str">
        <f t="shared" si="219"/>
        <v/>
      </c>
      <c r="AY232"/>
      <c r="AZ232" s="190" t="str">
        <f ca="1">IF(ISNUMBER(OFFSET(AV232,-$F$21,0)),SUM(OFFSET($T$100,$F$21,0):$T232),"")</f>
        <v/>
      </c>
      <c r="BA232" s="190" t="str">
        <f t="shared" ca="1" si="195"/>
        <v/>
      </c>
      <c r="BB232" s="190" t="str">
        <f t="shared" ca="1" si="148"/>
        <v/>
      </c>
      <c r="BC232" s="190"/>
      <c r="BD232" s="190" t="str">
        <f ca="1">IFERROR(IF(OR(ISNUMBER(I),ISNUMBER($F$14)),IF(AND($B232&gt;=($F$16-$F$15),$B232&lt;$F$22+($F$16-$F$15)),SUM(OFFSET($T$100,($F$16-$F$15),0):$T232),""),""),"")</f>
        <v/>
      </c>
      <c r="BE232" s="190" t="str">
        <f t="shared" ca="1" si="220"/>
        <v/>
      </c>
      <c r="BF232" s="190" t="str">
        <f t="shared" ca="1" si="221"/>
        <v/>
      </c>
      <c r="BG232"/>
      <c r="BH232" s="190" t="str">
        <f ca="1">IF(ISNUMBER(OFFSET(BD232,-$F$21,0)),SUM(OFFSET($T$100,($F$16-$F$15+$F$21),0):$T232),"")</f>
        <v/>
      </c>
      <c r="BI232" s="190" t="str">
        <f t="shared" ca="1" si="196"/>
        <v/>
      </c>
      <c r="BJ232" s="190" t="str">
        <f t="shared" ca="1" si="222"/>
        <v/>
      </c>
      <c r="BK232" s="190"/>
      <c r="BL232" s="190" t="str">
        <f ca="1">IFERROR(IF(OR(ISNUMBER(I),ISNUMBER($F$14)),IF(AND($B232&gt;=($F$17-$F$15),$B232&lt;$F$22+($F$17-$F$15)),SUM(OFFSET($T$100,($F$17-$F$15),0):$T232),""),""),"")</f>
        <v/>
      </c>
      <c r="BM232" s="190" t="str">
        <f t="shared" ca="1" si="197"/>
        <v/>
      </c>
      <c r="BN232" s="190" t="str">
        <f t="shared" ca="1" si="223"/>
        <v/>
      </c>
      <c r="BO232"/>
      <c r="BP232" s="190" t="str">
        <f ca="1">IF(ISNUMBER(OFFSET(BL232,-$F$21,0)),SUM(OFFSET($T$100,($F$17-$F$15+$F$21),0):$T232),"")</f>
        <v/>
      </c>
      <c r="BQ232" s="190" t="str">
        <f t="shared" ca="1" si="198"/>
        <v/>
      </c>
      <c r="BR232" s="190" t="str">
        <f t="shared" ca="1" si="224"/>
        <v/>
      </c>
      <c r="BS232" s="190"/>
      <c r="BT232"/>
      <c r="BU232"/>
      <c r="BV232"/>
      <c r="BY232" s="99"/>
      <c r="BZ232" s="99"/>
      <c r="CA232" s="280" t="str">
        <f t="shared" si="199"/>
        <v/>
      </c>
      <c r="CB232" s="71" t="str">
        <f t="shared" si="200"/>
        <v>-</v>
      </c>
      <c r="CC232" s="33"/>
      <c r="CD232" s="261" t="str">
        <f t="shared" si="201"/>
        <v/>
      </c>
      <c r="CE232" s="280" t="str">
        <f t="shared" si="202"/>
        <v/>
      </c>
      <c r="CF232" s="71" t="str">
        <f t="shared" ca="1" si="203"/>
        <v/>
      </c>
      <c r="CG232" s="33" t="str">
        <f t="shared" si="204"/>
        <v/>
      </c>
      <c r="CH232" s="261" t="str">
        <f t="shared" ca="1" si="205"/>
        <v/>
      </c>
    </row>
    <row r="233" spans="2:86" ht="13.5" customHeight="1" x14ac:dyDescent="0.2">
      <c r="B233" s="262">
        <v>133</v>
      </c>
      <c r="C233" s="237" t="str">
        <f t="shared" si="169"/>
        <v/>
      </c>
      <c r="D233" s="237" t="str">
        <f t="shared" si="225"/>
        <v/>
      </c>
      <c r="E233" s="263" t="str">
        <f t="shared" si="206"/>
        <v/>
      </c>
      <c r="F233" s="264" t="str">
        <f t="shared" si="207"/>
        <v/>
      </c>
      <c r="G233" s="264" t="str">
        <f t="shared" si="208"/>
        <v/>
      </c>
      <c r="H233" s="240" t="str">
        <f t="shared" si="170"/>
        <v/>
      </c>
      <c r="I233" s="265" t="str">
        <f t="shared" si="171"/>
        <v/>
      </c>
      <c r="J233" s="265" t="str">
        <f t="shared" si="172"/>
        <v/>
      </c>
      <c r="K233" s="240" t="str">
        <f t="shared" si="173"/>
        <v/>
      </c>
      <c r="L233" s="265" t="str">
        <f t="shared" si="174"/>
        <v/>
      </c>
      <c r="M233" s="265" t="str">
        <f t="shared" si="175"/>
        <v/>
      </c>
      <c r="N233" s="240" t="str">
        <f t="shared" si="176"/>
        <v>-</v>
      </c>
      <c r="O233" s="265" t="str">
        <f t="shared" si="177"/>
        <v>-</v>
      </c>
      <c r="P233" s="265" t="str">
        <f t="shared" si="178"/>
        <v>-</v>
      </c>
      <c r="Q233" s="266" t="str">
        <f t="shared" si="179"/>
        <v>-</v>
      </c>
      <c r="R233" s="267" t="str">
        <f t="shared" si="180"/>
        <v>-</v>
      </c>
      <c r="S233" s="268" t="str">
        <f t="shared" si="181"/>
        <v>-</v>
      </c>
      <c r="T233" s="269" t="str">
        <f t="shared" si="182"/>
        <v/>
      </c>
      <c r="U233" s="221">
        <f t="shared" si="183"/>
        <v>133</v>
      </c>
      <c r="V233" s="220" t="str">
        <f t="shared" si="209"/>
        <v>-</v>
      </c>
      <c r="W233" s="221" t="str">
        <f t="shared" si="210"/>
        <v>-</v>
      </c>
      <c r="X233" s="221" t="str">
        <f t="shared" si="184"/>
        <v>-</v>
      </c>
      <c r="Y233" s="221" t="str">
        <f t="shared" si="185"/>
        <v>-</v>
      </c>
      <c r="Z233" s="270">
        <f t="shared" si="211"/>
        <v>0.1</v>
      </c>
      <c r="AA233" s="271" t="str">
        <f>IFERROR(IF(V232=1,AA$100*EXP(-(LN(2)/$D$65+0.04)*X232)*EXP(-(LN(2)/$D$65+0.1)*Y232),IF(V232=2,AA$100*EXP(-(LN(2)/$D$65+0.04)*(VLOOKUP(($F$16-$F$15)-1,U$99:Y232,4,FALSE)))*EXP(-(LN(2)/$D$65+0.1)*(VLOOKUP(($F$16-$F$15)-1,U$99:Y232,5,FALSE)))*EXP(-(LN(2)/$D$65+0.04)*X232)*EXP(-(LN(2)/$D$65+0.1)*Y232),IF(V232=3,AA$100*EXP(-(LN(2)/$D$65+0.04)*(VLOOKUP(($F$16-$F$15)-1,U$99:Y232,4,FALSE)))*EXP(-(LN(2)/$D$65+0.1)*(VLOOKUP(($F$16-$F$15)-1,U$99:Y232,5,FALSE)))*EXP(-(LN(2)/$D$65+0.04)*(VLOOKUP(($F$16-$F$15)*2-1,U$99:Y232,4,FALSE)))*EXP(-(LN(2)/$D$65+0.1)*(VLOOKUP(($F$16-$F$15)*2-1,U$99:Y232,5,FALSE)))*EXP(-(LN(2)/$D$65+0.04)*X232)*EXP(-(LN(2)/$D$65+0.1)*Y232),"-"))),"-")</f>
        <v>-</v>
      </c>
      <c r="AB233" s="271" t="str">
        <f>IFERROR(IF(V233=1,AB$100*EXP(-(LN(2)/$D$65+0.04)*X233)*EXP(-(LN(2)/$D$65+0.1)*Y233),IF(V233=2,AB$100*EXP(-(LN(2)/$D$65+0.04)*(VLOOKUP(($F$16-$F$15)-1,U$100:Y233,4,FALSE)))*EXP(-(LN(2)/$D$65+0.1)*(VLOOKUP(($F$16-$F$15)-1,U$100:Y233,5,FALSE)))*EXP(-(LN(2)/$D$65+0.04)*X233)*EXP(-(LN(2)/$D$65+0.1)*Y233),IF(V233=3,AB$100*EXP(-(LN(2)/$D$65+0.04)*(VLOOKUP(($F$16-$F$15)-1,U$100:Y233,4,FALSE)))*EXP(-(LN(2)/$D$65+0.1)*(VLOOKUP(($F$16-$F$15)-1,U$100:Y233,5,FALSE)))*EXP(-(LN(2)/$D$65+0.04)*(VLOOKUP(($F$16-$F$15)*2-1,U$100:Y233,4,FALSE)))*EXP(-(LN(2)/$D$65+0.1)*(VLOOKUP(($F$16-$F$15)*2-1,U$100:Y233,5,FALSE)))*EXP(-(LN(2)/$D$65+0.04)*X233)*EXP(-(LN(2)/$D$65+0.1)*Y233),"-"))),"-")</f>
        <v>-</v>
      </c>
      <c r="AC233" s="224">
        <f t="shared" si="212"/>
        <v>133</v>
      </c>
      <c r="AD233" s="223" t="str">
        <f t="shared" si="186"/>
        <v>-</v>
      </c>
      <c r="AE233" s="224" t="str">
        <f t="shared" si="213"/>
        <v>-</v>
      </c>
      <c r="AF233" s="224" t="str">
        <f t="shared" si="187"/>
        <v>-</v>
      </c>
      <c r="AG233" s="224" t="str">
        <f t="shared" si="188"/>
        <v>-</v>
      </c>
      <c r="AH233" s="272">
        <f t="shared" si="214"/>
        <v>0.1</v>
      </c>
      <c r="AI233" s="271" t="str">
        <f>IFERROR(IF(AD232=1,AI$100*EXP(-(LN(2)/$D$65+0.04)*AF232)*EXP(-(LN(2)/$D$65+0.1)*AG232),IF(AD232=2,AI$100*EXP(-(LN(2)/$D$65+0.04)*(VLOOKUP(($F$16-$F$15)-1,AC$99:AG232,4,FALSE)))*EXP(-(LN(2)/$D$65+0.1)*(VLOOKUP(($F$16-$F$15)-1,AC$99:AG232,5,FALSE)))*EXP(-(LN(2)/$D$65+0.04)*AF232)*EXP(-(LN(2)/$D$65+0.1)*AG232),IF(AD232=3,AI$100*EXP(-(LN(2)/$D$65+0.04)*(VLOOKUP(($F$16-$F$15)-1,AC$99:AG232,4,FALSE)))*EXP(-(LN(2)/$D$65+0.1)*(VLOOKUP(($F$16-$F$15)-1,AC$99:AG232,5,FALSE)))*EXP(-(LN(2)/$D$65+0.04)*(VLOOKUP(($F$16-$F$15)*2-1,AC$99:AG232,4,FALSE)))*EXP(-(LN(2)/$D$65+0.1)*(VLOOKUP(($F$16-$F$15)*2-1,AC$99:AG232,5,FALSE)))*EXP(-(LN(2)/$D$65+0.04)*AF232)*EXP(-(LN(2)/$D$65+0.1)*AG232),"-"))),"-")</f>
        <v>-</v>
      </c>
      <c r="AJ233" s="271" t="str">
        <f>IFERROR(IF(AD233=1,AJ$100*EXP(-(LN(2)/$D$65+0.04)*AF233)*EXP(-(LN(2)/$D$65+0.1)*AG233),IF(AD233=2,AJ$100*EXP(-(LN(2)/$D$65+0.04)*(VLOOKUP(($F$16-$F$15)-1,AC$100:AG233,4,FALSE)))*EXP(-(LN(2)/$D$65+0.1)*(VLOOKUP(($F$16-$F$15)-1,AC$100:AG233,5,FALSE)))*EXP(-(LN(2)/$D$65+0.04)*AF233)*EXP(-(LN(2)/$D$65+0.1)*AG233),IF(AD233=3,AJ$100*EXP(-(LN(2)/$D$65+0.04)*(VLOOKUP(($F$16-$F$15)-1,AC$100:AG233,4,FALSE)))*EXP(-(LN(2)/$D$65+0.1)*(VLOOKUP(($F$16-$F$15)-1,AC$100:AG233,5,FALSE)))*EXP(-(LN(2)/$D$65+0.04)*(VLOOKUP(($F$16-$F$15)*2-1,AC$100:AG233,4,FALSE)))*EXP(-(LN(2)/$D$65+0.1)*(VLOOKUP(($F$16-$F$15)*2-1,AC$100:AG233,5,FALSE)))*EXP(-(LN(2)/$D$65+0.04)*AF233)*EXP(-(LN(2)/$D$65+0.1)*AG233),"-"))),"-")</f>
        <v>-</v>
      </c>
      <c r="AK233" s="227">
        <f t="shared" si="215"/>
        <v>133</v>
      </c>
      <c r="AL233" s="226" t="str">
        <f t="shared" si="189"/>
        <v>-</v>
      </c>
      <c r="AM233" s="227" t="str">
        <f t="shared" si="216"/>
        <v>-</v>
      </c>
      <c r="AN233" s="227" t="str">
        <f t="shared" si="217"/>
        <v>-</v>
      </c>
      <c r="AO233" s="227" t="str">
        <f t="shared" si="190"/>
        <v>-</v>
      </c>
      <c r="AP233" s="273">
        <f t="shared" si="218"/>
        <v>0.1</v>
      </c>
      <c r="AQ233" s="271" t="str">
        <f>IFERROR(IF(AL232=1,AQ$100*EXP(-(LN(2)/$D$65+0.04)*AN232)*EXP(-(LN(2)/$D$65+0.1)*AO232),IF(AL232=2,AQ$100*EXP(-(LN(2)/$D$65+0.04)*(VLOOKUP(($F$16-$F$15)-1,AK$99:AO232,4,FALSE)))*EXP(-(LN(2)/$D$65+0.1)*(VLOOKUP(($F$16-$F$15)-1,AK$99:AO232,5,FALSE)))*EXP(-(LN(2)/$D$65+0.04)*AN232)*EXP(-(LN(2)/$D$65+0.1)*AO232),IF(AL232=3,AQ$100*EXP(-(LN(2)/$D$65+0.04)*(VLOOKUP(($F$16-$F$15)-1,AK$99:AO232,4,FALSE)))*EXP(-(LN(2)/$D$65+0.1)*(VLOOKUP(($F$16-$F$15)-1,AK$99:AO232,5,FALSE)))*EXP(-(LN(2)/$D$65+0.04)*(VLOOKUP(($F$16-$F$15)*2-1,AK$99:AO232,4,FALSE)))*EXP(-(LN(2)/$D$65+0.1)*(VLOOKUP(($F$16-$F$15)*2-1,AK$99:AO232,5,FALSE)))*EXP(-(LN(2)/$D$65+0.04)*AN232)*EXP(-(LN(2)/$D$65+0.1)*AO232),"-"))),"-")</f>
        <v>-</v>
      </c>
      <c r="AR233" s="271" t="str">
        <f>IFERROR(IF(AL233=1,AR$100*EXP(-(LN(2)/$D$65+0.04)*AN233)*EXP(-(LN(2)/$D$65+0.1)*AO233),IF(AL233=2,AR$100*EXP(-(LN(2)/$D$65+0.04)*(VLOOKUP(($F$16-$F$15)-1,AK$100:AO233,4,FALSE)))*EXP(-(LN(2)/$D$65+0.1)*(VLOOKUP(($F$16-$F$15)-1,AK$100:AO233,5,FALSE)))*EXP(-(LN(2)/$D$65+0.04)*AN233)*EXP(-(LN(2)/$D$65+0.1)*AO233),IF(AL233=3,AR$100*EXP(-(LN(2)/$D$65+0.04)*(VLOOKUP(($F$16-$F$15)-1,AK$100:AO233,4,FALSE)))*EXP(-(LN(2)/$D$65+0.1)*(VLOOKUP(($F$16-$F$15)-1,AK$100:AO233,5,FALSE)))*EXP(-(LN(2)/$D$65+0.04)*(VLOOKUP(($F$16-$F$15)*2-1,AK$100:AO233,4,FALSE)))*EXP(-(LN(2)/$D$65+0.1)*(VLOOKUP(($F$16-$F$15)*2-1,AK$100:AO233,5,FALSE)))*EXP(-(LN(2)/$D$65+0.04)*AN233)*EXP(-(LN(2)/$D$65+0.1)*AO233),"-"))),"-")</f>
        <v>-</v>
      </c>
      <c r="AS233" s="274">
        <f t="shared" si="191"/>
        <v>0</v>
      </c>
      <c r="AT233" s="274">
        <f t="shared" si="192"/>
        <v>0</v>
      </c>
      <c r="AU233" s="274">
        <f t="shared" si="193"/>
        <v>0</v>
      </c>
      <c r="AV233" s="190" t="str">
        <f>IF($B233&lt;$F$22,SUM($T$100:$T233),"")</f>
        <v/>
      </c>
      <c r="AW233" s="190" t="str">
        <f t="shared" si="194"/>
        <v>-</v>
      </c>
      <c r="AX233" s="190" t="str">
        <f t="shared" si="219"/>
        <v/>
      </c>
      <c r="AY233"/>
      <c r="AZ233" s="190" t="str">
        <f ca="1">IF(ISNUMBER(OFFSET(AV233,-$F$21,0)),SUM(OFFSET($T$100,$F$21,0):$T233),"")</f>
        <v/>
      </c>
      <c r="BA233" s="190" t="str">
        <f t="shared" ca="1" si="195"/>
        <v/>
      </c>
      <c r="BB233" s="190" t="str">
        <f t="shared" ca="1" si="148"/>
        <v/>
      </c>
      <c r="BC233" s="190"/>
      <c r="BD233" s="190" t="str">
        <f ca="1">IFERROR(IF(OR(ISNUMBER(I),ISNUMBER($F$14)),IF(AND($B233&gt;=($F$16-$F$15),$B233&lt;$F$22+($F$16-$F$15)),SUM(OFFSET($T$100,($F$16-$F$15),0):$T233),""),""),"")</f>
        <v/>
      </c>
      <c r="BE233" s="190" t="str">
        <f t="shared" ca="1" si="220"/>
        <v/>
      </c>
      <c r="BF233" s="190" t="str">
        <f t="shared" ca="1" si="221"/>
        <v/>
      </c>
      <c r="BG233"/>
      <c r="BH233" s="190" t="str">
        <f ca="1">IF(ISNUMBER(OFFSET(BD233,-$F$21,0)),SUM(OFFSET($T$100,($F$16-$F$15+$F$21),0):$T233),"")</f>
        <v/>
      </c>
      <c r="BI233" s="190" t="str">
        <f t="shared" ca="1" si="196"/>
        <v/>
      </c>
      <c r="BJ233" s="190" t="str">
        <f t="shared" ca="1" si="222"/>
        <v/>
      </c>
      <c r="BK233" s="190"/>
      <c r="BL233" s="190" t="str">
        <f ca="1">IFERROR(IF(OR(ISNUMBER(I),ISNUMBER($F$14)),IF(AND($B233&gt;=($F$17-$F$15),$B233&lt;$F$22+($F$17-$F$15)),SUM(OFFSET($T$100,($F$17-$F$15),0):$T233),""),""),"")</f>
        <v/>
      </c>
      <c r="BM233" s="190" t="str">
        <f t="shared" ca="1" si="197"/>
        <v/>
      </c>
      <c r="BN233" s="190" t="str">
        <f t="shared" ca="1" si="223"/>
        <v/>
      </c>
      <c r="BO233"/>
      <c r="BP233" s="190" t="str">
        <f ca="1">IF(ISNUMBER(OFFSET(BL233,-$F$21,0)),SUM(OFFSET($T$100,($F$17-$F$15+$F$21),0):$T233),"")</f>
        <v/>
      </c>
      <c r="BQ233" s="190" t="str">
        <f t="shared" ca="1" si="198"/>
        <v/>
      </c>
      <c r="BR233" s="190" t="str">
        <f t="shared" ca="1" si="224"/>
        <v/>
      </c>
      <c r="BS233" s="190"/>
      <c r="BT233"/>
      <c r="BU233"/>
      <c r="BV233"/>
      <c r="BY233" s="99"/>
      <c r="BZ233" s="99"/>
      <c r="CA233" s="280" t="str">
        <f t="shared" si="199"/>
        <v/>
      </c>
      <c r="CB233" s="71" t="str">
        <f t="shared" si="200"/>
        <v>-</v>
      </c>
      <c r="CC233" s="33"/>
      <c r="CD233" s="261" t="str">
        <f t="shared" si="201"/>
        <v/>
      </c>
      <c r="CE233" s="280" t="str">
        <f t="shared" si="202"/>
        <v/>
      </c>
      <c r="CF233" s="71" t="str">
        <f t="shared" ca="1" si="203"/>
        <v/>
      </c>
      <c r="CG233" s="33" t="str">
        <f t="shared" si="204"/>
        <v/>
      </c>
      <c r="CH233" s="261" t="str">
        <f t="shared" ca="1" si="205"/>
        <v/>
      </c>
    </row>
    <row r="234" spans="2:86" ht="13.5" customHeight="1" x14ac:dyDescent="0.2">
      <c r="B234" s="262">
        <v>134</v>
      </c>
      <c r="C234" s="237" t="str">
        <f t="shared" si="169"/>
        <v/>
      </c>
      <c r="D234" s="237" t="str">
        <f t="shared" si="225"/>
        <v/>
      </c>
      <c r="E234" s="263" t="str">
        <f t="shared" si="206"/>
        <v/>
      </c>
      <c r="F234" s="264" t="str">
        <f t="shared" si="207"/>
        <v/>
      </c>
      <c r="G234" s="264" t="str">
        <f t="shared" si="208"/>
        <v/>
      </c>
      <c r="H234" s="240" t="str">
        <f t="shared" si="170"/>
        <v/>
      </c>
      <c r="I234" s="265" t="str">
        <f t="shared" si="171"/>
        <v/>
      </c>
      <c r="J234" s="265" t="str">
        <f t="shared" si="172"/>
        <v/>
      </c>
      <c r="K234" s="240" t="str">
        <f t="shared" si="173"/>
        <v/>
      </c>
      <c r="L234" s="265" t="str">
        <f t="shared" si="174"/>
        <v/>
      </c>
      <c r="M234" s="265" t="str">
        <f t="shared" si="175"/>
        <v/>
      </c>
      <c r="N234" s="240" t="str">
        <f t="shared" si="176"/>
        <v>-</v>
      </c>
      <c r="O234" s="265" t="str">
        <f t="shared" si="177"/>
        <v>-</v>
      </c>
      <c r="P234" s="265" t="str">
        <f t="shared" si="178"/>
        <v>-</v>
      </c>
      <c r="Q234" s="266" t="str">
        <f t="shared" si="179"/>
        <v>-</v>
      </c>
      <c r="R234" s="267" t="str">
        <f t="shared" si="180"/>
        <v>-</v>
      </c>
      <c r="S234" s="268" t="str">
        <f t="shared" si="181"/>
        <v>-</v>
      </c>
      <c r="T234" s="269" t="str">
        <f t="shared" si="182"/>
        <v/>
      </c>
      <c r="U234" s="221">
        <f t="shared" si="183"/>
        <v>134</v>
      </c>
      <c r="V234" s="220" t="str">
        <f t="shared" si="209"/>
        <v>-</v>
      </c>
      <c r="W234" s="221" t="str">
        <f t="shared" si="210"/>
        <v>-</v>
      </c>
      <c r="X234" s="221" t="str">
        <f t="shared" si="184"/>
        <v>-</v>
      </c>
      <c r="Y234" s="221" t="str">
        <f t="shared" si="185"/>
        <v>-</v>
      </c>
      <c r="Z234" s="270">
        <f t="shared" si="211"/>
        <v>0.1</v>
      </c>
      <c r="AA234" s="271" t="str">
        <f>IFERROR(IF(V233=1,AA$100*EXP(-(LN(2)/$D$65+0.04)*X233)*EXP(-(LN(2)/$D$65+0.1)*Y233),IF(V233=2,AA$100*EXP(-(LN(2)/$D$65+0.04)*(VLOOKUP(($F$16-$F$15)-1,U$99:Y233,4,FALSE)))*EXP(-(LN(2)/$D$65+0.1)*(VLOOKUP(($F$16-$F$15)-1,U$99:Y233,5,FALSE)))*EXP(-(LN(2)/$D$65+0.04)*X233)*EXP(-(LN(2)/$D$65+0.1)*Y233),IF(V233=3,AA$100*EXP(-(LN(2)/$D$65+0.04)*(VLOOKUP(($F$16-$F$15)-1,U$99:Y233,4,FALSE)))*EXP(-(LN(2)/$D$65+0.1)*(VLOOKUP(($F$16-$F$15)-1,U$99:Y233,5,FALSE)))*EXP(-(LN(2)/$D$65+0.04)*(VLOOKUP(($F$16-$F$15)*2-1,U$99:Y233,4,FALSE)))*EXP(-(LN(2)/$D$65+0.1)*(VLOOKUP(($F$16-$F$15)*2-1,U$99:Y233,5,FALSE)))*EXP(-(LN(2)/$D$65+0.04)*X233)*EXP(-(LN(2)/$D$65+0.1)*Y233),"-"))),"-")</f>
        <v>-</v>
      </c>
      <c r="AB234" s="271" t="str">
        <f>IFERROR(IF(V234=1,AB$100*EXP(-(LN(2)/$D$65+0.04)*X234)*EXP(-(LN(2)/$D$65+0.1)*Y234),IF(V234=2,AB$100*EXP(-(LN(2)/$D$65+0.04)*(VLOOKUP(($F$16-$F$15)-1,U$100:Y234,4,FALSE)))*EXP(-(LN(2)/$D$65+0.1)*(VLOOKUP(($F$16-$F$15)-1,U$100:Y234,5,FALSE)))*EXP(-(LN(2)/$D$65+0.04)*X234)*EXP(-(LN(2)/$D$65+0.1)*Y234),IF(V234=3,AB$100*EXP(-(LN(2)/$D$65+0.04)*(VLOOKUP(($F$16-$F$15)-1,U$100:Y234,4,FALSE)))*EXP(-(LN(2)/$D$65+0.1)*(VLOOKUP(($F$16-$F$15)-1,U$100:Y234,5,FALSE)))*EXP(-(LN(2)/$D$65+0.04)*(VLOOKUP(($F$16-$F$15)*2-1,U$100:Y234,4,FALSE)))*EXP(-(LN(2)/$D$65+0.1)*(VLOOKUP(($F$16-$F$15)*2-1,U$100:Y234,5,FALSE)))*EXP(-(LN(2)/$D$65+0.04)*X234)*EXP(-(LN(2)/$D$65+0.1)*Y234),"-"))),"-")</f>
        <v>-</v>
      </c>
      <c r="AC234" s="224">
        <f t="shared" si="212"/>
        <v>134</v>
      </c>
      <c r="AD234" s="223" t="str">
        <f t="shared" si="186"/>
        <v>-</v>
      </c>
      <c r="AE234" s="224" t="str">
        <f t="shared" si="213"/>
        <v>-</v>
      </c>
      <c r="AF234" s="224" t="str">
        <f t="shared" si="187"/>
        <v>-</v>
      </c>
      <c r="AG234" s="224" t="str">
        <f t="shared" si="188"/>
        <v>-</v>
      </c>
      <c r="AH234" s="272">
        <f t="shared" si="214"/>
        <v>0.1</v>
      </c>
      <c r="AI234" s="271" t="str">
        <f>IFERROR(IF(AD233=1,AI$100*EXP(-(LN(2)/$D$65+0.04)*AF233)*EXP(-(LN(2)/$D$65+0.1)*AG233),IF(AD233=2,AI$100*EXP(-(LN(2)/$D$65+0.04)*(VLOOKUP(($F$16-$F$15)-1,AC$99:AG233,4,FALSE)))*EXP(-(LN(2)/$D$65+0.1)*(VLOOKUP(($F$16-$F$15)-1,AC$99:AG233,5,FALSE)))*EXP(-(LN(2)/$D$65+0.04)*AF233)*EXP(-(LN(2)/$D$65+0.1)*AG233),IF(AD233=3,AI$100*EXP(-(LN(2)/$D$65+0.04)*(VLOOKUP(($F$16-$F$15)-1,AC$99:AG233,4,FALSE)))*EXP(-(LN(2)/$D$65+0.1)*(VLOOKUP(($F$16-$F$15)-1,AC$99:AG233,5,FALSE)))*EXP(-(LN(2)/$D$65+0.04)*(VLOOKUP(($F$16-$F$15)*2-1,AC$99:AG233,4,FALSE)))*EXP(-(LN(2)/$D$65+0.1)*(VLOOKUP(($F$16-$F$15)*2-1,AC$99:AG233,5,FALSE)))*EXP(-(LN(2)/$D$65+0.04)*AF233)*EXP(-(LN(2)/$D$65+0.1)*AG233),"-"))),"-")</f>
        <v>-</v>
      </c>
      <c r="AJ234" s="271" t="str">
        <f>IFERROR(IF(AD234=1,AJ$100*EXP(-(LN(2)/$D$65+0.04)*AF234)*EXP(-(LN(2)/$D$65+0.1)*AG234),IF(AD234=2,AJ$100*EXP(-(LN(2)/$D$65+0.04)*(VLOOKUP(($F$16-$F$15)-1,AC$100:AG234,4,FALSE)))*EXP(-(LN(2)/$D$65+0.1)*(VLOOKUP(($F$16-$F$15)-1,AC$100:AG234,5,FALSE)))*EXP(-(LN(2)/$D$65+0.04)*AF234)*EXP(-(LN(2)/$D$65+0.1)*AG234),IF(AD234=3,AJ$100*EXP(-(LN(2)/$D$65+0.04)*(VLOOKUP(($F$16-$F$15)-1,AC$100:AG234,4,FALSE)))*EXP(-(LN(2)/$D$65+0.1)*(VLOOKUP(($F$16-$F$15)-1,AC$100:AG234,5,FALSE)))*EXP(-(LN(2)/$D$65+0.04)*(VLOOKUP(($F$16-$F$15)*2-1,AC$100:AG234,4,FALSE)))*EXP(-(LN(2)/$D$65+0.1)*(VLOOKUP(($F$16-$F$15)*2-1,AC$100:AG234,5,FALSE)))*EXP(-(LN(2)/$D$65+0.04)*AF234)*EXP(-(LN(2)/$D$65+0.1)*AG234),"-"))),"-")</f>
        <v>-</v>
      </c>
      <c r="AK234" s="227">
        <f t="shared" si="215"/>
        <v>134</v>
      </c>
      <c r="AL234" s="226" t="str">
        <f t="shared" si="189"/>
        <v>-</v>
      </c>
      <c r="AM234" s="227" t="str">
        <f t="shared" si="216"/>
        <v>-</v>
      </c>
      <c r="AN234" s="227" t="str">
        <f t="shared" si="217"/>
        <v>-</v>
      </c>
      <c r="AO234" s="227" t="str">
        <f t="shared" si="190"/>
        <v>-</v>
      </c>
      <c r="AP234" s="273">
        <f t="shared" si="218"/>
        <v>0.1</v>
      </c>
      <c r="AQ234" s="271" t="str">
        <f>IFERROR(IF(AL233=1,AQ$100*EXP(-(LN(2)/$D$65+0.04)*AN233)*EXP(-(LN(2)/$D$65+0.1)*AO233),IF(AL233=2,AQ$100*EXP(-(LN(2)/$D$65+0.04)*(VLOOKUP(($F$16-$F$15)-1,AK$99:AO233,4,FALSE)))*EXP(-(LN(2)/$D$65+0.1)*(VLOOKUP(($F$16-$F$15)-1,AK$99:AO233,5,FALSE)))*EXP(-(LN(2)/$D$65+0.04)*AN233)*EXP(-(LN(2)/$D$65+0.1)*AO233),IF(AL233=3,AQ$100*EXP(-(LN(2)/$D$65+0.04)*(VLOOKUP(($F$16-$F$15)-1,AK$99:AO233,4,FALSE)))*EXP(-(LN(2)/$D$65+0.1)*(VLOOKUP(($F$16-$F$15)-1,AK$99:AO233,5,FALSE)))*EXP(-(LN(2)/$D$65+0.04)*(VLOOKUP(($F$16-$F$15)*2-1,AK$99:AO233,4,FALSE)))*EXP(-(LN(2)/$D$65+0.1)*(VLOOKUP(($F$16-$F$15)*2-1,AK$99:AO233,5,FALSE)))*EXP(-(LN(2)/$D$65+0.04)*AN233)*EXP(-(LN(2)/$D$65+0.1)*AO233),"-"))),"-")</f>
        <v>-</v>
      </c>
      <c r="AR234" s="271" t="str">
        <f>IFERROR(IF(AL234=1,AR$100*EXP(-(LN(2)/$D$65+0.04)*AN234)*EXP(-(LN(2)/$D$65+0.1)*AO234),IF(AL234=2,AR$100*EXP(-(LN(2)/$D$65+0.04)*(VLOOKUP(($F$16-$F$15)-1,AK$100:AO234,4,FALSE)))*EXP(-(LN(2)/$D$65+0.1)*(VLOOKUP(($F$16-$F$15)-1,AK$100:AO234,5,FALSE)))*EXP(-(LN(2)/$D$65+0.04)*AN234)*EXP(-(LN(2)/$D$65+0.1)*AO234),IF(AL234=3,AR$100*EXP(-(LN(2)/$D$65+0.04)*(VLOOKUP(($F$16-$F$15)-1,AK$100:AO234,4,FALSE)))*EXP(-(LN(2)/$D$65+0.1)*(VLOOKUP(($F$16-$F$15)-1,AK$100:AO234,5,FALSE)))*EXP(-(LN(2)/$D$65+0.04)*(VLOOKUP(($F$16-$F$15)*2-1,AK$100:AO234,4,FALSE)))*EXP(-(LN(2)/$D$65+0.1)*(VLOOKUP(($F$16-$F$15)*2-1,AK$100:AO234,5,FALSE)))*EXP(-(LN(2)/$D$65+0.04)*AN234)*EXP(-(LN(2)/$D$65+0.1)*AO234),"-"))),"-")</f>
        <v>-</v>
      </c>
      <c r="AS234" s="274">
        <f t="shared" si="191"/>
        <v>0</v>
      </c>
      <c r="AT234" s="274">
        <f t="shared" si="192"/>
        <v>0</v>
      </c>
      <c r="AU234" s="274">
        <f t="shared" si="193"/>
        <v>0</v>
      </c>
      <c r="AV234" s="190" t="str">
        <f>IF($B234&lt;$F$22,SUM($T$100:$T234),"")</f>
        <v/>
      </c>
      <c r="AW234" s="190" t="str">
        <f t="shared" si="194"/>
        <v>-</v>
      </c>
      <c r="AX234" s="190" t="str">
        <f t="shared" si="219"/>
        <v/>
      </c>
      <c r="AY234"/>
      <c r="AZ234" s="190" t="str">
        <f ca="1">IF(ISNUMBER(OFFSET(AV234,-$F$21,0)),SUM(OFFSET($T$100,$F$21,0):$T234),"")</f>
        <v/>
      </c>
      <c r="BA234" s="190" t="str">
        <f t="shared" ca="1" si="195"/>
        <v/>
      </c>
      <c r="BB234" s="190" t="str">
        <f t="shared" ca="1" si="148"/>
        <v/>
      </c>
      <c r="BC234" s="190"/>
      <c r="BD234" s="190" t="str">
        <f ca="1">IFERROR(IF(OR(ISNUMBER(I),ISNUMBER($F$14)),IF(AND($B234&gt;=($F$16-$F$15),$B234&lt;$F$22+($F$16-$F$15)),SUM(OFFSET($T$100,($F$16-$F$15),0):$T234),""),""),"")</f>
        <v/>
      </c>
      <c r="BE234" s="190" t="str">
        <f t="shared" ca="1" si="220"/>
        <v/>
      </c>
      <c r="BF234" s="190" t="str">
        <f t="shared" ca="1" si="221"/>
        <v/>
      </c>
      <c r="BG234"/>
      <c r="BH234" s="190" t="str">
        <f ca="1">IF(ISNUMBER(OFFSET(BD234,-$F$21,0)),SUM(OFFSET($T$100,($F$16-$F$15+$F$21),0):$T234),"")</f>
        <v/>
      </c>
      <c r="BI234" s="190" t="str">
        <f t="shared" ca="1" si="196"/>
        <v/>
      </c>
      <c r="BJ234" s="190" t="str">
        <f t="shared" ca="1" si="222"/>
        <v/>
      </c>
      <c r="BK234" s="190"/>
      <c r="BL234" s="190" t="str">
        <f ca="1">IFERROR(IF(OR(ISNUMBER(I),ISNUMBER($F$14)),IF(AND($B234&gt;=($F$17-$F$15),$B234&lt;$F$22+($F$17-$F$15)),SUM(OFFSET($T$100,($F$17-$F$15),0):$T234),""),""),"")</f>
        <v/>
      </c>
      <c r="BM234" s="190" t="str">
        <f t="shared" ca="1" si="197"/>
        <v/>
      </c>
      <c r="BN234" s="190" t="str">
        <f t="shared" ca="1" si="223"/>
        <v/>
      </c>
      <c r="BO234"/>
      <c r="BP234" s="190" t="str">
        <f ca="1">IF(ISNUMBER(OFFSET(BL234,-$F$21,0)),SUM(OFFSET($T$100,($F$17-$F$15+$F$21),0):$T234),"")</f>
        <v/>
      </c>
      <c r="BQ234" s="190" t="str">
        <f t="shared" ca="1" si="198"/>
        <v/>
      </c>
      <c r="BR234" s="190" t="str">
        <f t="shared" ca="1" si="224"/>
        <v/>
      </c>
      <c r="BS234" s="190"/>
      <c r="BT234"/>
      <c r="BU234"/>
      <c r="BV234"/>
      <c r="BY234" s="99"/>
      <c r="BZ234" s="99"/>
      <c r="CA234" s="280" t="str">
        <f t="shared" si="199"/>
        <v/>
      </c>
      <c r="CB234" s="71" t="str">
        <f t="shared" si="200"/>
        <v>-</v>
      </c>
      <c r="CC234" s="33"/>
      <c r="CD234" s="261" t="str">
        <f t="shared" si="201"/>
        <v/>
      </c>
      <c r="CE234" s="280" t="str">
        <f t="shared" si="202"/>
        <v/>
      </c>
      <c r="CF234" s="71" t="str">
        <f t="shared" ca="1" si="203"/>
        <v/>
      </c>
      <c r="CG234" s="33" t="str">
        <f t="shared" si="204"/>
        <v/>
      </c>
      <c r="CH234" s="261" t="str">
        <f t="shared" ca="1" si="205"/>
        <v/>
      </c>
    </row>
    <row r="235" spans="2:86" ht="13.5" customHeight="1" x14ac:dyDescent="0.2">
      <c r="B235" s="262">
        <v>135</v>
      </c>
      <c r="C235" s="237" t="str">
        <f t="shared" si="169"/>
        <v/>
      </c>
      <c r="D235" s="237" t="str">
        <f t="shared" si="225"/>
        <v/>
      </c>
      <c r="E235" s="263" t="str">
        <f t="shared" si="206"/>
        <v/>
      </c>
      <c r="F235" s="264" t="str">
        <f t="shared" si="207"/>
        <v/>
      </c>
      <c r="G235" s="264" t="str">
        <f t="shared" si="208"/>
        <v/>
      </c>
      <c r="H235" s="240" t="str">
        <f t="shared" si="170"/>
        <v/>
      </c>
      <c r="I235" s="265" t="str">
        <f t="shared" si="171"/>
        <v/>
      </c>
      <c r="J235" s="265" t="str">
        <f t="shared" si="172"/>
        <v/>
      </c>
      <c r="K235" s="240" t="str">
        <f t="shared" si="173"/>
        <v/>
      </c>
      <c r="L235" s="265" t="str">
        <f t="shared" si="174"/>
        <v/>
      </c>
      <c r="M235" s="265" t="str">
        <f t="shared" si="175"/>
        <v/>
      </c>
      <c r="N235" s="240" t="str">
        <f t="shared" si="176"/>
        <v>-</v>
      </c>
      <c r="O235" s="265" t="str">
        <f t="shared" si="177"/>
        <v>-</v>
      </c>
      <c r="P235" s="265" t="str">
        <f t="shared" si="178"/>
        <v>-</v>
      </c>
      <c r="Q235" s="266" t="str">
        <f t="shared" si="179"/>
        <v>-</v>
      </c>
      <c r="R235" s="267" t="str">
        <f t="shared" si="180"/>
        <v>-</v>
      </c>
      <c r="S235" s="268" t="str">
        <f t="shared" si="181"/>
        <v>-</v>
      </c>
      <c r="T235" s="269" t="str">
        <f t="shared" si="182"/>
        <v/>
      </c>
      <c r="U235" s="221">
        <f t="shared" si="183"/>
        <v>135</v>
      </c>
      <c r="V235" s="220" t="str">
        <f t="shared" si="209"/>
        <v>-</v>
      </c>
      <c r="W235" s="221" t="str">
        <f t="shared" si="210"/>
        <v>-</v>
      </c>
      <c r="X235" s="221" t="str">
        <f t="shared" si="184"/>
        <v>-</v>
      </c>
      <c r="Y235" s="221" t="str">
        <f t="shared" si="185"/>
        <v>-</v>
      </c>
      <c r="Z235" s="270">
        <f t="shared" si="211"/>
        <v>0.1</v>
      </c>
      <c r="AA235" s="271" t="str">
        <f>IFERROR(IF(V234=1,AA$100*EXP(-(LN(2)/$D$65+0.04)*X234)*EXP(-(LN(2)/$D$65+0.1)*Y234),IF(V234=2,AA$100*EXP(-(LN(2)/$D$65+0.04)*(VLOOKUP(($F$16-$F$15)-1,U$99:Y234,4,FALSE)))*EXP(-(LN(2)/$D$65+0.1)*(VLOOKUP(($F$16-$F$15)-1,U$99:Y234,5,FALSE)))*EXP(-(LN(2)/$D$65+0.04)*X234)*EXP(-(LN(2)/$D$65+0.1)*Y234),IF(V234=3,AA$100*EXP(-(LN(2)/$D$65+0.04)*(VLOOKUP(($F$16-$F$15)-1,U$99:Y234,4,FALSE)))*EXP(-(LN(2)/$D$65+0.1)*(VLOOKUP(($F$16-$F$15)-1,U$99:Y234,5,FALSE)))*EXP(-(LN(2)/$D$65+0.04)*(VLOOKUP(($F$16-$F$15)*2-1,U$99:Y234,4,FALSE)))*EXP(-(LN(2)/$D$65+0.1)*(VLOOKUP(($F$16-$F$15)*2-1,U$99:Y234,5,FALSE)))*EXP(-(LN(2)/$D$65+0.04)*X234)*EXP(-(LN(2)/$D$65+0.1)*Y234),"-"))),"-")</f>
        <v>-</v>
      </c>
      <c r="AB235" s="271" t="str">
        <f>IFERROR(IF(V235=1,AB$100*EXP(-(LN(2)/$D$65+0.04)*X235)*EXP(-(LN(2)/$D$65+0.1)*Y235),IF(V235=2,AB$100*EXP(-(LN(2)/$D$65+0.04)*(VLOOKUP(($F$16-$F$15)-1,U$100:Y235,4,FALSE)))*EXP(-(LN(2)/$D$65+0.1)*(VLOOKUP(($F$16-$F$15)-1,U$100:Y235,5,FALSE)))*EXP(-(LN(2)/$D$65+0.04)*X235)*EXP(-(LN(2)/$D$65+0.1)*Y235),IF(V235=3,AB$100*EXP(-(LN(2)/$D$65+0.04)*(VLOOKUP(($F$16-$F$15)-1,U$100:Y235,4,FALSE)))*EXP(-(LN(2)/$D$65+0.1)*(VLOOKUP(($F$16-$F$15)-1,U$100:Y235,5,FALSE)))*EXP(-(LN(2)/$D$65+0.04)*(VLOOKUP(($F$16-$F$15)*2-1,U$100:Y235,4,FALSE)))*EXP(-(LN(2)/$D$65+0.1)*(VLOOKUP(($F$16-$F$15)*2-1,U$100:Y235,5,FALSE)))*EXP(-(LN(2)/$D$65+0.04)*X235)*EXP(-(LN(2)/$D$65+0.1)*Y235),"-"))),"-")</f>
        <v>-</v>
      </c>
      <c r="AC235" s="224">
        <f t="shared" si="212"/>
        <v>135</v>
      </c>
      <c r="AD235" s="223" t="str">
        <f t="shared" si="186"/>
        <v>-</v>
      </c>
      <c r="AE235" s="224" t="str">
        <f t="shared" si="213"/>
        <v>-</v>
      </c>
      <c r="AF235" s="224" t="str">
        <f t="shared" si="187"/>
        <v>-</v>
      </c>
      <c r="AG235" s="224" t="str">
        <f t="shared" si="188"/>
        <v>-</v>
      </c>
      <c r="AH235" s="272">
        <f t="shared" si="214"/>
        <v>0.1</v>
      </c>
      <c r="AI235" s="271" t="str">
        <f>IFERROR(IF(AD234=1,AI$100*EXP(-(LN(2)/$D$65+0.04)*AF234)*EXP(-(LN(2)/$D$65+0.1)*AG234),IF(AD234=2,AI$100*EXP(-(LN(2)/$D$65+0.04)*(VLOOKUP(($F$16-$F$15)-1,AC$99:AG234,4,FALSE)))*EXP(-(LN(2)/$D$65+0.1)*(VLOOKUP(($F$16-$F$15)-1,AC$99:AG234,5,FALSE)))*EXP(-(LN(2)/$D$65+0.04)*AF234)*EXP(-(LN(2)/$D$65+0.1)*AG234),IF(AD234=3,AI$100*EXP(-(LN(2)/$D$65+0.04)*(VLOOKUP(($F$16-$F$15)-1,AC$99:AG234,4,FALSE)))*EXP(-(LN(2)/$D$65+0.1)*(VLOOKUP(($F$16-$F$15)-1,AC$99:AG234,5,FALSE)))*EXP(-(LN(2)/$D$65+0.04)*(VLOOKUP(($F$16-$F$15)*2-1,AC$99:AG234,4,FALSE)))*EXP(-(LN(2)/$D$65+0.1)*(VLOOKUP(($F$16-$F$15)*2-1,AC$99:AG234,5,FALSE)))*EXP(-(LN(2)/$D$65+0.04)*AF234)*EXP(-(LN(2)/$D$65+0.1)*AG234),"-"))),"-")</f>
        <v>-</v>
      </c>
      <c r="AJ235" s="271" t="str">
        <f>IFERROR(IF(AD235=1,AJ$100*EXP(-(LN(2)/$D$65+0.04)*AF235)*EXP(-(LN(2)/$D$65+0.1)*AG235),IF(AD235=2,AJ$100*EXP(-(LN(2)/$D$65+0.04)*(VLOOKUP(($F$16-$F$15)-1,AC$100:AG235,4,FALSE)))*EXP(-(LN(2)/$D$65+0.1)*(VLOOKUP(($F$16-$F$15)-1,AC$100:AG235,5,FALSE)))*EXP(-(LN(2)/$D$65+0.04)*AF235)*EXP(-(LN(2)/$D$65+0.1)*AG235),IF(AD235=3,AJ$100*EXP(-(LN(2)/$D$65+0.04)*(VLOOKUP(($F$16-$F$15)-1,AC$100:AG235,4,FALSE)))*EXP(-(LN(2)/$D$65+0.1)*(VLOOKUP(($F$16-$F$15)-1,AC$100:AG235,5,FALSE)))*EXP(-(LN(2)/$D$65+0.04)*(VLOOKUP(($F$16-$F$15)*2-1,AC$100:AG235,4,FALSE)))*EXP(-(LN(2)/$D$65+0.1)*(VLOOKUP(($F$16-$F$15)*2-1,AC$100:AG235,5,FALSE)))*EXP(-(LN(2)/$D$65+0.04)*AF235)*EXP(-(LN(2)/$D$65+0.1)*AG235),"-"))),"-")</f>
        <v>-</v>
      </c>
      <c r="AK235" s="227">
        <f t="shared" si="215"/>
        <v>135</v>
      </c>
      <c r="AL235" s="226" t="str">
        <f t="shared" si="189"/>
        <v>-</v>
      </c>
      <c r="AM235" s="227" t="str">
        <f t="shared" si="216"/>
        <v>-</v>
      </c>
      <c r="AN235" s="227" t="str">
        <f t="shared" si="217"/>
        <v>-</v>
      </c>
      <c r="AO235" s="227" t="str">
        <f t="shared" si="190"/>
        <v>-</v>
      </c>
      <c r="AP235" s="273">
        <f t="shared" si="218"/>
        <v>0.1</v>
      </c>
      <c r="AQ235" s="271" t="str">
        <f>IFERROR(IF(AL234=1,AQ$100*EXP(-(LN(2)/$D$65+0.04)*AN234)*EXP(-(LN(2)/$D$65+0.1)*AO234),IF(AL234=2,AQ$100*EXP(-(LN(2)/$D$65+0.04)*(VLOOKUP(($F$16-$F$15)-1,AK$99:AO234,4,FALSE)))*EXP(-(LN(2)/$D$65+0.1)*(VLOOKUP(($F$16-$F$15)-1,AK$99:AO234,5,FALSE)))*EXP(-(LN(2)/$D$65+0.04)*AN234)*EXP(-(LN(2)/$D$65+0.1)*AO234),IF(AL234=3,AQ$100*EXP(-(LN(2)/$D$65+0.04)*(VLOOKUP(($F$16-$F$15)-1,AK$99:AO234,4,FALSE)))*EXP(-(LN(2)/$D$65+0.1)*(VLOOKUP(($F$16-$F$15)-1,AK$99:AO234,5,FALSE)))*EXP(-(LN(2)/$D$65+0.04)*(VLOOKUP(($F$16-$F$15)*2-1,AK$99:AO234,4,FALSE)))*EXP(-(LN(2)/$D$65+0.1)*(VLOOKUP(($F$16-$F$15)*2-1,AK$99:AO234,5,FALSE)))*EXP(-(LN(2)/$D$65+0.04)*AN234)*EXP(-(LN(2)/$D$65+0.1)*AO234),"-"))),"-")</f>
        <v>-</v>
      </c>
      <c r="AR235" s="271" t="str">
        <f>IFERROR(IF(AL235=1,AR$100*EXP(-(LN(2)/$D$65+0.04)*AN235)*EXP(-(LN(2)/$D$65+0.1)*AO235),IF(AL235=2,AR$100*EXP(-(LN(2)/$D$65+0.04)*(VLOOKUP(($F$16-$F$15)-1,AK$100:AO235,4,FALSE)))*EXP(-(LN(2)/$D$65+0.1)*(VLOOKUP(($F$16-$F$15)-1,AK$100:AO235,5,FALSE)))*EXP(-(LN(2)/$D$65+0.04)*AN235)*EXP(-(LN(2)/$D$65+0.1)*AO235),IF(AL235=3,AR$100*EXP(-(LN(2)/$D$65+0.04)*(VLOOKUP(($F$16-$F$15)-1,AK$100:AO235,4,FALSE)))*EXP(-(LN(2)/$D$65+0.1)*(VLOOKUP(($F$16-$F$15)-1,AK$100:AO235,5,FALSE)))*EXP(-(LN(2)/$D$65+0.04)*(VLOOKUP(($F$16-$F$15)*2-1,AK$100:AO235,4,FALSE)))*EXP(-(LN(2)/$D$65+0.1)*(VLOOKUP(($F$16-$F$15)*2-1,AK$100:AO235,5,FALSE)))*EXP(-(LN(2)/$D$65+0.04)*AN235)*EXP(-(LN(2)/$D$65+0.1)*AO235),"-"))),"-")</f>
        <v>-</v>
      </c>
      <c r="AS235" s="274">
        <f t="shared" si="191"/>
        <v>0</v>
      </c>
      <c r="AT235" s="274">
        <f t="shared" si="192"/>
        <v>0</v>
      </c>
      <c r="AU235" s="274">
        <f t="shared" si="193"/>
        <v>0</v>
      </c>
      <c r="AV235" s="190" t="str">
        <f>IF($B235&lt;$F$22,SUM($T$100:$T235),"")</f>
        <v/>
      </c>
      <c r="AW235" s="190" t="str">
        <f t="shared" si="194"/>
        <v>-</v>
      </c>
      <c r="AX235" s="190" t="str">
        <f t="shared" si="219"/>
        <v/>
      </c>
      <c r="AY235"/>
      <c r="AZ235" s="190" t="str">
        <f ca="1">IF(ISNUMBER(OFFSET(AV235,-$F$21,0)),SUM(OFFSET($T$100,$F$21,0):$T235),"")</f>
        <v/>
      </c>
      <c r="BA235" s="190" t="str">
        <f t="shared" ca="1" si="195"/>
        <v/>
      </c>
      <c r="BB235" s="190" t="str">
        <f t="shared" ca="1" si="148"/>
        <v/>
      </c>
      <c r="BC235" s="190"/>
      <c r="BD235" s="190" t="str">
        <f ca="1">IFERROR(IF(OR(ISNUMBER(I),ISNUMBER($F$14)),IF(AND($B235&gt;=($F$16-$F$15),$B235&lt;$F$22+($F$16-$F$15)),SUM(OFFSET($T$100,($F$16-$F$15),0):$T235),""),""),"")</f>
        <v/>
      </c>
      <c r="BE235" s="190" t="str">
        <f t="shared" ca="1" si="220"/>
        <v/>
      </c>
      <c r="BF235" s="190" t="str">
        <f t="shared" ca="1" si="221"/>
        <v/>
      </c>
      <c r="BG235"/>
      <c r="BH235" s="190" t="str">
        <f ca="1">IF(ISNUMBER(OFFSET(BD235,-$F$21,0)),SUM(OFFSET($T$100,($F$16-$F$15+$F$21),0):$T235),"")</f>
        <v/>
      </c>
      <c r="BI235" s="190" t="str">
        <f t="shared" ca="1" si="196"/>
        <v/>
      </c>
      <c r="BJ235" s="190" t="str">
        <f t="shared" ca="1" si="222"/>
        <v/>
      </c>
      <c r="BK235" s="190"/>
      <c r="BL235" s="190" t="str">
        <f ca="1">IFERROR(IF(OR(ISNUMBER(I),ISNUMBER($F$14)),IF(AND($B235&gt;=($F$17-$F$15),$B235&lt;$F$22+($F$17-$F$15)),SUM(OFFSET($T$100,($F$17-$F$15),0):$T235),""),""),"")</f>
        <v/>
      </c>
      <c r="BM235" s="190" t="str">
        <f t="shared" ca="1" si="197"/>
        <v/>
      </c>
      <c r="BN235" s="190" t="str">
        <f t="shared" ca="1" si="223"/>
        <v/>
      </c>
      <c r="BO235"/>
      <c r="BP235" s="190" t="str">
        <f ca="1">IF(ISNUMBER(OFFSET(BL235,-$F$21,0)),SUM(OFFSET($T$100,($F$17-$F$15+$F$21),0):$T235),"")</f>
        <v/>
      </c>
      <c r="BQ235" s="190" t="str">
        <f t="shared" ca="1" si="198"/>
        <v/>
      </c>
      <c r="BR235" s="190" t="str">
        <f t="shared" ca="1" si="224"/>
        <v/>
      </c>
      <c r="BS235" s="190"/>
      <c r="BT235"/>
      <c r="BU235"/>
      <c r="BV235"/>
      <c r="BY235" s="99"/>
      <c r="BZ235" s="99"/>
      <c r="CA235" s="280" t="str">
        <f t="shared" si="199"/>
        <v/>
      </c>
      <c r="CB235" s="71" t="str">
        <f t="shared" si="200"/>
        <v>-</v>
      </c>
      <c r="CC235" s="33"/>
      <c r="CD235" s="261" t="str">
        <f t="shared" si="201"/>
        <v/>
      </c>
      <c r="CE235" s="280" t="str">
        <f t="shared" si="202"/>
        <v/>
      </c>
      <c r="CF235" s="71" t="str">
        <f t="shared" ca="1" si="203"/>
        <v/>
      </c>
      <c r="CG235" s="33" t="str">
        <f t="shared" si="204"/>
        <v/>
      </c>
      <c r="CH235" s="261" t="str">
        <f t="shared" ca="1" si="205"/>
        <v/>
      </c>
    </row>
    <row r="236" spans="2:86" ht="13.5" customHeight="1" x14ac:dyDescent="0.2">
      <c r="B236" s="262">
        <v>136</v>
      </c>
      <c r="C236" s="237" t="str">
        <f t="shared" si="169"/>
        <v/>
      </c>
      <c r="D236" s="237" t="str">
        <f t="shared" si="225"/>
        <v/>
      </c>
      <c r="E236" s="263" t="str">
        <f t="shared" si="206"/>
        <v/>
      </c>
      <c r="F236" s="264" t="str">
        <f t="shared" si="207"/>
        <v/>
      </c>
      <c r="G236" s="264" t="str">
        <f t="shared" si="208"/>
        <v/>
      </c>
      <c r="H236" s="240" t="str">
        <f t="shared" si="170"/>
        <v/>
      </c>
      <c r="I236" s="265" t="str">
        <f t="shared" si="171"/>
        <v/>
      </c>
      <c r="J236" s="265" t="str">
        <f t="shared" si="172"/>
        <v/>
      </c>
      <c r="K236" s="240" t="str">
        <f t="shared" si="173"/>
        <v/>
      </c>
      <c r="L236" s="265" t="str">
        <f t="shared" si="174"/>
        <v/>
      </c>
      <c r="M236" s="265" t="str">
        <f t="shared" si="175"/>
        <v/>
      </c>
      <c r="N236" s="240" t="str">
        <f t="shared" si="176"/>
        <v>-</v>
      </c>
      <c r="O236" s="265" t="str">
        <f t="shared" si="177"/>
        <v>-</v>
      </c>
      <c r="P236" s="265" t="str">
        <f t="shared" si="178"/>
        <v>-</v>
      </c>
      <c r="Q236" s="266" t="str">
        <f t="shared" si="179"/>
        <v>-</v>
      </c>
      <c r="R236" s="267" t="str">
        <f t="shared" si="180"/>
        <v>-</v>
      </c>
      <c r="S236" s="268" t="str">
        <f t="shared" si="181"/>
        <v>-</v>
      </c>
      <c r="T236" s="269" t="str">
        <f t="shared" si="182"/>
        <v/>
      </c>
      <c r="U236" s="221">
        <f t="shared" si="183"/>
        <v>136</v>
      </c>
      <c r="V236" s="220" t="str">
        <f t="shared" si="209"/>
        <v>-</v>
      </c>
      <c r="W236" s="221" t="str">
        <f t="shared" si="210"/>
        <v>-</v>
      </c>
      <c r="X236" s="221" t="str">
        <f t="shared" si="184"/>
        <v>-</v>
      </c>
      <c r="Y236" s="221" t="str">
        <f t="shared" si="185"/>
        <v>-</v>
      </c>
      <c r="Z236" s="270">
        <f t="shared" si="211"/>
        <v>0.1</v>
      </c>
      <c r="AA236" s="271" t="str">
        <f>IFERROR(IF(V235=1,AA$100*EXP(-(LN(2)/$D$65+0.04)*X235)*EXP(-(LN(2)/$D$65+0.1)*Y235),IF(V235=2,AA$100*EXP(-(LN(2)/$D$65+0.04)*(VLOOKUP(($F$16-$F$15)-1,U$99:Y235,4,FALSE)))*EXP(-(LN(2)/$D$65+0.1)*(VLOOKUP(($F$16-$F$15)-1,U$99:Y235,5,FALSE)))*EXP(-(LN(2)/$D$65+0.04)*X235)*EXP(-(LN(2)/$D$65+0.1)*Y235),IF(V235=3,AA$100*EXP(-(LN(2)/$D$65+0.04)*(VLOOKUP(($F$16-$F$15)-1,U$99:Y235,4,FALSE)))*EXP(-(LN(2)/$D$65+0.1)*(VLOOKUP(($F$16-$F$15)-1,U$99:Y235,5,FALSE)))*EXP(-(LN(2)/$D$65+0.04)*(VLOOKUP(($F$16-$F$15)*2-1,U$99:Y235,4,FALSE)))*EXP(-(LN(2)/$D$65+0.1)*(VLOOKUP(($F$16-$F$15)*2-1,U$99:Y235,5,FALSE)))*EXP(-(LN(2)/$D$65+0.04)*X235)*EXP(-(LN(2)/$D$65+0.1)*Y235),"-"))),"-")</f>
        <v>-</v>
      </c>
      <c r="AB236" s="271" t="str">
        <f>IFERROR(IF(V236=1,AB$100*EXP(-(LN(2)/$D$65+0.04)*X236)*EXP(-(LN(2)/$D$65+0.1)*Y236),IF(V236=2,AB$100*EXP(-(LN(2)/$D$65+0.04)*(VLOOKUP(($F$16-$F$15)-1,U$100:Y236,4,FALSE)))*EXP(-(LN(2)/$D$65+0.1)*(VLOOKUP(($F$16-$F$15)-1,U$100:Y236,5,FALSE)))*EXP(-(LN(2)/$D$65+0.04)*X236)*EXP(-(LN(2)/$D$65+0.1)*Y236),IF(V236=3,AB$100*EXP(-(LN(2)/$D$65+0.04)*(VLOOKUP(($F$16-$F$15)-1,U$100:Y236,4,FALSE)))*EXP(-(LN(2)/$D$65+0.1)*(VLOOKUP(($F$16-$F$15)-1,U$100:Y236,5,FALSE)))*EXP(-(LN(2)/$D$65+0.04)*(VLOOKUP(($F$16-$F$15)*2-1,U$100:Y236,4,FALSE)))*EXP(-(LN(2)/$D$65+0.1)*(VLOOKUP(($F$16-$F$15)*2-1,U$100:Y236,5,FALSE)))*EXP(-(LN(2)/$D$65+0.04)*X236)*EXP(-(LN(2)/$D$65+0.1)*Y236),"-"))),"-")</f>
        <v>-</v>
      </c>
      <c r="AC236" s="224">
        <f t="shared" si="212"/>
        <v>136</v>
      </c>
      <c r="AD236" s="223" t="str">
        <f t="shared" si="186"/>
        <v>-</v>
      </c>
      <c r="AE236" s="224" t="str">
        <f t="shared" si="213"/>
        <v>-</v>
      </c>
      <c r="AF236" s="224" t="str">
        <f t="shared" si="187"/>
        <v>-</v>
      </c>
      <c r="AG236" s="224" t="str">
        <f t="shared" si="188"/>
        <v>-</v>
      </c>
      <c r="AH236" s="272">
        <f t="shared" si="214"/>
        <v>0.1</v>
      </c>
      <c r="AI236" s="271" t="str">
        <f>IFERROR(IF(AD235=1,AI$100*EXP(-(LN(2)/$D$65+0.04)*AF235)*EXP(-(LN(2)/$D$65+0.1)*AG235),IF(AD235=2,AI$100*EXP(-(LN(2)/$D$65+0.04)*(VLOOKUP(($F$16-$F$15)-1,AC$99:AG235,4,FALSE)))*EXP(-(LN(2)/$D$65+0.1)*(VLOOKUP(($F$16-$F$15)-1,AC$99:AG235,5,FALSE)))*EXP(-(LN(2)/$D$65+0.04)*AF235)*EXP(-(LN(2)/$D$65+0.1)*AG235),IF(AD235=3,AI$100*EXP(-(LN(2)/$D$65+0.04)*(VLOOKUP(($F$16-$F$15)-1,AC$99:AG235,4,FALSE)))*EXP(-(LN(2)/$D$65+0.1)*(VLOOKUP(($F$16-$F$15)-1,AC$99:AG235,5,FALSE)))*EXP(-(LN(2)/$D$65+0.04)*(VLOOKUP(($F$16-$F$15)*2-1,AC$99:AG235,4,FALSE)))*EXP(-(LN(2)/$D$65+0.1)*(VLOOKUP(($F$16-$F$15)*2-1,AC$99:AG235,5,FALSE)))*EXP(-(LN(2)/$D$65+0.04)*AF235)*EXP(-(LN(2)/$D$65+0.1)*AG235),"-"))),"-")</f>
        <v>-</v>
      </c>
      <c r="AJ236" s="271" t="str">
        <f>IFERROR(IF(AD236=1,AJ$100*EXP(-(LN(2)/$D$65+0.04)*AF236)*EXP(-(LN(2)/$D$65+0.1)*AG236),IF(AD236=2,AJ$100*EXP(-(LN(2)/$D$65+0.04)*(VLOOKUP(($F$16-$F$15)-1,AC$100:AG236,4,FALSE)))*EXP(-(LN(2)/$D$65+0.1)*(VLOOKUP(($F$16-$F$15)-1,AC$100:AG236,5,FALSE)))*EXP(-(LN(2)/$D$65+0.04)*AF236)*EXP(-(LN(2)/$D$65+0.1)*AG236),IF(AD236=3,AJ$100*EXP(-(LN(2)/$D$65+0.04)*(VLOOKUP(($F$16-$F$15)-1,AC$100:AG236,4,FALSE)))*EXP(-(LN(2)/$D$65+0.1)*(VLOOKUP(($F$16-$F$15)-1,AC$100:AG236,5,FALSE)))*EXP(-(LN(2)/$D$65+0.04)*(VLOOKUP(($F$16-$F$15)*2-1,AC$100:AG236,4,FALSE)))*EXP(-(LN(2)/$D$65+0.1)*(VLOOKUP(($F$16-$F$15)*2-1,AC$100:AG236,5,FALSE)))*EXP(-(LN(2)/$D$65+0.04)*AF236)*EXP(-(LN(2)/$D$65+0.1)*AG236),"-"))),"-")</f>
        <v>-</v>
      </c>
      <c r="AK236" s="227">
        <f t="shared" si="215"/>
        <v>136</v>
      </c>
      <c r="AL236" s="226" t="str">
        <f t="shared" si="189"/>
        <v>-</v>
      </c>
      <c r="AM236" s="227" t="str">
        <f t="shared" si="216"/>
        <v>-</v>
      </c>
      <c r="AN236" s="227" t="str">
        <f t="shared" si="217"/>
        <v>-</v>
      </c>
      <c r="AO236" s="227" t="str">
        <f t="shared" si="190"/>
        <v>-</v>
      </c>
      <c r="AP236" s="273">
        <f t="shared" si="218"/>
        <v>0.1</v>
      </c>
      <c r="AQ236" s="271" t="str">
        <f>IFERROR(IF(AL235=1,AQ$100*EXP(-(LN(2)/$D$65+0.04)*AN235)*EXP(-(LN(2)/$D$65+0.1)*AO235),IF(AL235=2,AQ$100*EXP(-(LN(2)/$D$65+0.04)*(VLOOKUP(($F$16-$F$15)-1,AK$99:AO235,4,FALSE)))*EXP(-(LN(2)/$D$65+0.1)*(VLOOKUP(($F$16-$F$15)-1,AK$99:AO235,5,FALSE)))*EXP(-(LN(2)/$D$65+0.04)*AN235)*EXP(-(LN(2)/$D$65+0.1)*AO235),IF(AL235=3,AQ$100*EXP(-(LN(2)/$D$65+0.04)*(VLOOKUP(($F$16-$F$15)-1,AK$99:AO235,4,FALSE)))*EXP(-(LN(2)/$D$65+0.1)*(VLOOKUP(($F$16-$F$15)-1,AK$99:AO235,5,FALSE)))*EXP(-(LN(2)/$D$65+0.04)*(VLOOKUP(($F$16-$F$15)*2-1,AK$99:AO235,4,FALSE)))*EXP(-(LN(2)/$D$65+0.1)*(VLOOKUP(($F$16-$F$15)*2-1,AK$99:AO235,5,FALSE)))*EXP(-(LN(2)/$D$65+0.04)*AN235)*EXP(-(LN(2)/$D$65+0.1)*AO235),"-"))),"-")</f>
        <v>-</v>
      </c>
      <c r="AR236" s="271" t="str">
        <f>IFERROR(IF(AL236=1,AR$100*EXP(-(LN(2)/$D$65+0.04)*AN236)*EXP(-(LN(2)/$D$65+0.1)*AO236),IF(AL236=2,AR$100*EXP(-(LN(2)/$D$65+0.04)*(VLOOKUP(($F$16-$F$15)-1,AK$100:AO236,4,FALSE)))*EXP(-(LN(2)/$D$65+0.1)*(VLOOKUP(($F$16-$F$15)-1,AK$100:AO236,5,FALSE)))*EXP(-(LN(2)/$D$65+0.04)*AN236)*EXP(-(LN(2)/$D$65+0.1)*AO236),IF(AL236=3,AR$100*EXP(-(LN(2)/$D$65+0.04)*(VLOOKUP(($F$16-$F$15)-1,AK$100:AO236,4,FALSE)))*EXP(-(LN(2)/$D$65+0.1)*(VLOOKUP(($F$16-$F$15)-1,AK$100:AO236,5,FALSE)))*EXP(-(LN(2)/$D$65+0.04)*(VLOOKUP(($F$16-$F$15)*2-1,AK$100:AO236,4,FALSE)))*EXP(-(LN(2)/$D$65+0.1)*(VLOOKUP(($F$16-$F$15)*2-1,AK$100:AO236,5,FALSE)))*EXP(-(LN(2)/$D$65+0.04)*AN236)*EXP(-(LN(2)/$D$65+0.1)*AO236),"-"))),"-")</f>
        <v>-</v>
      </c>
      <c r="AS236" s="274">
        <f t="shared" si="191"/>
        <v>0</v>
      </c>
      <c r="AT236" s="274">
        <f t="shared" si="192"/>
        <v>0</v>
      </c>
      <c r="AU236" s="274">
        <f t="shared" si="193"/>
        <v>0</v>
      </c>
      <c r="AV236" s="190" t="str">
        <f>IF($B236&lt;$F$22,SUM($T$100:$T236),"")</f>
        <v/>
      </c>
      <c r="AW236" s="190" t="str">
        <f t="shared" si="194"/>
        <v>-</v>
      </c>
      <c r="AX236" s="190" t="str">
        <f t="shared" si="219"/>
        <v/>
      </c>
      <c r="AY236"/>
      <c r="AZ236" s="190" t="str">
        <f ca="1">IF(ISNUMBER(OFFSET(AV236,-$F$21,0)),SUM(OFFSET($T$100,$F$21,0):$T236),"")</f>
        <v/>
      </c>
      <c r="BA236" s="190" t="str">
        <f t="shared" ca="1" si="195"/>
        <v/>
      </c>
      <c r="BB236" s="190" t="str">
        <f t="shared" ca="1" si="148"/>
        <v/>
      </c>
      <c r="BC236" s="190"/>
      <c r="BD236" s="190" t="str">
        <f ca="1">IFERROR(IF(OR(ISNUMBER(I),ISNUMBER($F$14)),IF(AND($B236&gt;=($F$16-$F$15),$B236&lt;$F$22+($F$16-$F$15)),SUM(OFFSET($T$100,($F$16-$F$15),0):$T236),""),""),"")</f>
        <v/>
      </c>
      <c r="BE236" s="190" t="str">
        <f t="shared" ca="1" si="220"/>
        <v/>
      </c>
      <c r="BF236" s="190" t="str">
        <f t="shared" ca="1" si="221"/>
        <v/>
      </c>
      <c r="BG236"/>
      <c r="BH236" s="190" t="str">
        <f ca="1">IF(ISNUMBER(OFFSET(BD236,-$F$21,0)),SUM(OFFSET($T$100,($F$16-$F$15+$F$21),0):$T236),"")</f>
        <v/>
      </c>
      <c r="BI236" s="190" t="str">
        <f t="shared" ca="1" si="196"/>
        <v/>
      </c>
      <c r="BJ236" s="190" t="str">
        <f t="shared" ca="1" si="222"/>
        <v/>
      </c>
      <c r="BK236" s="190"/>
      <c r="BL236" s="190" t="str">
        <f ca="1">IFERROR(IF(OR(ISNUMBER(I),ISNUMBER($F$14)),IF(AND($B236&gt;=($F$17-$F$15),$B236&lt;$F$22+($F$17-$F$15)),SUM(OFFSET($T$100,($F$17-$F$15),0):$T236),""),""),"")</f>
        <v/>
      </c>
      <c r="BM236" s="190" t="str">
        <f t="shared" ca="1" si="197"/>
        <v/>
      </c>
      <c r="BN236" s="190" t="str">
        <f t="shared" ca="1" si="223"/>
        <v/>
      </c>
      <c r="BO236"/>
      <c r="BP236" s="190" t="str">
        <f ca="1">IF(ISNUMBER(OFFSET(BL236,-$F$21,0)),SUM(OFFSET($T$100,($F$17-$F$15+$F$21),0):$T236),"")</f>
        <v/>
      </c>
      <c r="BQ236" s="190" t="str">
        <f t="shared" ca="1" si="198"/>
        <v/>
      </c>
      <c r="BR236" s="190" t="str">
        <f t="shared" ca="1" si="224"/>
        <v/>
      </c>
      <c r="BS236" s="190"/>
      <c r="BT236"/>
      <c r="BU236"/>
      <c r="BV236"/>
      <c r="BY236" s="99"/>
      <c r="BZ236" s="99"/>
      <c r="CA236" s="280" t="str">
        <f t="shared" si="199"/>
        <v/>
      </c>
      <c r="CB236" s="71" t="str">
        <f t="shared" si="200"/>
        <v>-</v>
      </c>
      <c r="CC236" s="33"/>
      <c r="CD236" s="261" t="str">
        <f t="shared" si="201"/>
        <v/>
      </c>
      <c r="CE236" s="280" t="str">
        <f t="shared" si="202"/>
        <v/>
      </c>
      <c r="CF236" s="71" t="str">
        <f t="shared" ca="1" si="203"/>
        <v/>
      </c>
      <c r="CG236" s="33" t="str">
        <f t="shared" si="204"/>
        <v/>
      </c>
      <c r="CH236" s="261" t="str">
        <f t="shared" ca="1" si="205"/>
        <v/>
      </c>
    </row>
    <row r="237" spans="2:86" ht="13.5" customHeight="1" x14ac:dyDescent="0.2">
      <c r="B237" s="262">
        <v>137</v>
      </c>
      <c r="C237" s="237" t="str">
        <f t="shared" si="169"/>
        <v/>
      </c>
      <c r="D237" s="237" t="str">
        <f t="shared" si="225"/>
        <v/>
      </c>
      <c r="E237" s="263" t="str">
        <f t="shared" si="206"/>
        <v/>
      </c>
      <c r="F237" s="264" t="str">
        <f t="shared" si="207"/>
        <v/>
      </c>
      <c r="G237" s="264" t="str">
        <f t="shared" si="208"/>
        <v/>
      </c>
      <c r="H237" s="240" t="str">
        <f t="shared" si="170"/>
        <v/>
      </c>
      <c r="I237" s="265" t="str">
        <f t="shared" si="171"/>
        <v/>
      </c>
      <c r="J237" s="265" t="str">
        <f t="shared" si="172"/>
        <v/>
      </c>
      <c r="K237" s="240" t="str">
        <f t="shared" si="173"/>
        <v/>
      </c>
      <c r="L237" s="265" t="str">
        <f t="shared" si="174"/>
        <v/>
      </c>
      <c r="M237" s="265" t="str">
        <f t="shared" si="175"/>
        <v/>
      </c>
      <c r="N237" s="240" t="str">
        <f t="shared" si="176"/>
        <v>-</v>
      </c>
      <c r="O237" s="265" t="str">
        <f t="shared" si="177"/>
        <v>-</v>
      </c>
      <c r="P237" s="265" t="str">
        <f t="shared" si="178"/>
        <v>-</v>
      </c>
      <c r="Q237" s="266" t="str">
        <f t="shared" si="179"/>
        <v>-</v>
      </c>
      <c r="R237" s="267" t="str">
        <f t="shared" si="180"/>
        <v>-</v>
      </c>
      <c r="S237" s="268" t="str">
        <f t="shared" si="181"/>
        <v>-</v>
      </c>
      <c r="T237" s="269" t="str">
        <f t="shared" si="182"/>
        <v/>
      </c>
      <c r="U237" s="221">
        <f t="shared" si="183"/>
        <v>137</v>
      </c>
      <c r="V237" s="220" t="str">
        <f t="shared" si="209"/>
        <v>-</v>
      </c>
      <c r="W237" s="221" t="str">
        <f t="shared" si="210"/>
        <v>-</v>
      </c>
      <c r="X237" s="221" t="str">
        <f t="shared" si="184"/>
        <v>-</v>
      </c>
      <c r="Y237" s="221" t="str">
        <f t="shared" si="185"/>
        <v>-</v>
      </c>
      <c r="Z237" s="270">
        <f t="shared" si="211"/>
        <v>0.1</v>
      </c>
      <c r="AA237" s="271" t="str">
        <f>IFERROR(IF(V236=1,AA$100*EXP(-(LN(2)/$D$65+0.04)*X236)*EXP(-(LN(2)/$D$65+0.1)*Y236),IF(V236=2,AA$100*EXP(-(LN(2)/$D$65+0.04)*(VLOOKUP(($F$16-$F$15)-1,U$99:Y236,4,FALSE)))*EXP(-(LN(2)/$D$65+0.1)*(VLOOKUP(($F$16-$F$15)-1,U$99:Y236,5,FALSE)))*EXP(-(LN(2)/$D$65+0.04)*X236)*EXP(-(LN(2)/$D$65+0.1)*Y236),IF(V236=3,AA$100*EXP(-(LN(2)/$D$65+0.04)*(VLOOKUP(($F$16-$F$15)-1,U$99:Y236,4,FALSE)))*EXP(-(LN(2)/$D$65+0.1)*(VLOOKUP(($F$16-$F$15)-1,U$99:Y236,5,FALSE)))*EXP(-(LN(2)/$D$65+0.04)*(VLOOKUP(($F$16-$F$15)*2-1,U$99:Y236,4,FALSE)))*EXP(-(LN(2)/$D$65+0.1)*(VLOOKUP(($F$16-$F$15)*2-1,U$99:Y236,5,FALSE)))*EXP(-(LN(2)/$D$65+0.04)*X236)*EXP(-(LN(2)/$D$65+0.1)*Y236),"-"))),"-")</f>
        <v>-</v>
      </c>
      <c r="AB237" s="271" t="str">
        <f>IFERROR(IF(V237=1,AB$100*EXP(-(LN(2)/$D$65+0.04)*X237)*EXP(-(LN(2)/$D$65+0.1)*Y237),IF(V237=2,AB$100*EXP(-(LN(2)/$D$65+0.04)*(VLOOKUP(($F$16-$F$15)-1,U$100:Y237,4,FALSE)))*EXP(-(LN(2)/$D$65+0.1)*(VLOOKUP(($F$16-$F$15)-1,U$100:Y237,5,FALSE)))*EXP(-(LN(2)/$D$65+0.04)*X237)*EXP(-(LN(2)/$D$65+0.1)*Y237),IF(V237=3,AB$100*EXP(-(LN(2)/$D$65+0.04)*(VLOOKUP(($F$16-$F$15)-1,U$100:Y237,4,FALSE)))*EXP(-(LN(2)/$D$65+0.1)*(VLOOKUP(($F$16-$F$15)-1,U$100:Y237,5,FALSE)))*EXP(-(LN(2)/$D$65+0.04)*(VLOOKUP(($F$16-$F$15)*2-1,U$100:Y237,4,FALSE)))*EXP(-(LN(2)/$D$65+0.1)*(VLOOKUP(($F$16-$F$15)*2-1,U$100:Y237,5,FALSE)))*EXP(-(LN(2)/$D$65+0.04)*X237)*EXP(-(LN(2)/$D$65+0.1)*Y237),"-"))),"-")</f>
        <v>-</v>
      </c>
      <c r="AC237" s="224">
        <f t="shared" si="212"/>
        <v>137</v>
      </c>
      <c r="AD237" s="223" t="str">
        <f t="shared" si="186"/>
        <v>-</v>
      </c>
      <c r="AE237" s="224" t="str">
        <f t="shared" si="213"/>
        <v>-</v>
      </c>
      <c r="AF237" s="224" t="str">
        <f t="shared" si="187"/>
        <v>-</v>
      </c>
      <c r="AG237" s="224" t="str">
        <f t="shared" si="188"/>
        <v>-</v>
      </c>
      <c r="AH237" s="272">
        <f t="shared" si="214"/>
        <v>0.1</v>
      </c>
      <c r="AI237" s="271" t="str">
        <f>IFERROR(IF(AD236=1,AI$100*EXP(-(LN(2)/$D$65+0.04)*AF236)*EXP(-(LN(2)/$D$65+0.1)*AG236),IF(AD236=2,AI$100*EXP(-(LN(2)/$D$65+0.04)*(VLOOKUP(($F$16-$F$15)-1,AC$99:AG236,4,FALSE)))*EXP(-(LN(2)/$D$65+0.1)*(VLOOKUP(($F$16-$F$15)-1,AC$99:AG236,5,FALSE)))*EXP(-(LN(2)/$D$65+0.04)*AF236)*EXP(-(LN(2)/$D$65+0.1)*AG236),IF(AD236=3,AI$100*EXP(-(LN(2)/$D$65+0.04)*(VLOOKUP(($F$16-$F$15)-1,AC$99:AG236,4,FALSE)))*EXP(-(LN(2)/$D$65+0.1)*(VLOOKUP(($F$16-$F$15)-1,AC$99:AG236,5,FALSE)))*EXP(-(LN(2)/$D$65+0.04)*(VLOOKUP(($F$16-$F$15)*2-1,AC$99:AG236,4,FALSE)))*EXP(-(LN(2)/$D$65+0.1)*(VLOOKUP(($F$16-$F$15)*2-1,AC$99:AG236,5,FALSE)))*EXP(-(LN(2)/$D$65+0.04)*AF236)*EXP(-(LN(2)/$D$65+0.1)*AG236),"-"))),"-")</f>
        <v>-</v>
      </c>
      <c r="AJ237" s="271" t="str">
        <f>IFERROR(IF(AD237=1,AJ$100*EXP(-(LN(2)/$D$65+0.04)*AF237)*EXP(-(LN(2)/$D$65+0.1)*AG237),IF(AD237=2,AJ$100*EXP(-(LN(2)/$D$65+0.04)*(VLOOKUP(($F$16-$F$15)-1,AC$100:AG237,4,FALSE)))*EXP(-(LN(2)/$D$65+0.1)*(VLOOKUP(($F$16-$F$15)-1,AC$100:AG237,5,FALSE)))*EXP(-(LN(2)/$D$65+0.04)*AF237)*EXP(-(LN(2)/$D$65+0.1)*AG237),IF(AD237=3,AJ$100*EXP(-(LN(2)/$D$65+0.04)*(VLOOKUP(($F$16-$F$15)-1,AC$100:AG237,4,FALSE)))*EXP(-(LN(2)/$D$65+0.1)*(VLOOKUP(($F$16-$F$15)-1,AC$100:AG237,5,FALSE)))*EXP(-(LN(2)/$D$65+0.04)*(VLOOKUP(($F$16-$F$15)*2-1,AC$100:AG237,4,FALSE)))*EXP(-(LN(2)/$D$65+0.1)*(VLOOKUP(($F$16-$F$15)*2-1,AC$100:AG237,5,FALSE)))*EXP(-(LN(2)/$D$65+0.04)*AF237)*EXP(-(LN(2)/$D$65+0.1)*AG237),"-"))),"-")</f>
        <v>-</v>
      </c>
      <c r="AK237" s="227">
        <f t="shared" si="215"/>
        <v>137</v>
      </c>
      <c r="AL237" s="226" t="str">
        <f t="shared" si="189"/>
        <v>-</v>
      </c>
      <c r="AM237" s="227" t="str">
        <f t="shared" si="216"/>
        <v>-</v>
      </c>
      <c r="AN237" s="227" t="str">
        <f t="shared" si="217"/>
        <v>-</v>
      </c>
      <c r="AO237" s="227" t="str">
        <f t="shared" si="190"/>
        <v>-</v>
      </c>
      <c r="AP237" s="273">
        <f t="shared" si="218"/>
        <v>0.1</v>
      </c>
      <c r="AQ237" s="271" t="str">
        <f>IFERROR(IF(AL236=1,AQ$100*EXP(-(LN(2)/$D$65+0.04)*AN236)*EXP(-(LN(2)/$D$65+0.1)*AO236),IF(AL236=2,AQ$100*EXP(-(LN(2)/$D$65+0.04)*(VLOOKUP(($F$16-$F$15)-1,AK$99:AO236,4,FALSE)))*EXP(-(LN(2)/$D$65+0.1)*(VLOOKUP(($F$16-$F$15)-1,AK$99:AO236,5,FALSE)))*EXP(-(LN(2)/$D$65+0.04)*AN236)*EXP(-(LN(2)/$D$65+0.1)*AO236),IF(AL236=3,AQ$100*EXP(-(LN(2)/$D$65+0.04)*(VLOOKUP(($F$16-$F$15)-1,AK$99:AO236,4,FALSE)))*EXP(-(LN(2)/$D$65+0.1)*(VLOOKUP(($F$16-$F$15)-1,AK$99:AO236,5,FALSE)))*EXP(-(LN(2)/$D$65+0.04)*(VLOOKUP(($F$16-$F$15)*2-1,AK$99:AO236,4,FALSE)))*EXP(-(LN(2)/$D$65+0.1)*(VLOOKUP(($F$16-$F$15)*2-1,AK$99:AO236,5,FALSE)))*EXP(-(LN(2)/$D$65+0.04)*AN236)*EXP(-(LN(2)/$D$65+0.1)*AO236),"-"))),"-")</f>
        <v>-</v>
      </c>
      <c r="AR237" s="271" t="str">
        <f>IFERROR(IF(AL237=1,AR$100*EXP(-(LN(2)/$D$65+0.04)*AN237)*EXP(-(LN(2)/$D$65+0.1)*AO237),IF(AL237=2,AR$100*EXP(-(LN(2)/$D$65+0.04)*(VLOOKUP(($F$16-$F$15)-1,AK$100:AO237,4,FALSE)))*EXP(-(LN(2)/$D$65+0.1)*(VLOOKUP(($F$16-$F$15)-1,AK$100:AO237,5,FALSE)))*EXP(-(LN(2)/$D$65+0.04)*AN237)*EXP(-(LN(2)/$D$65+0.1)*AO237),IF(AL237=3,AR$100*EXP(-(LN(2)/$D$65+0.04)*(VLOOKUP(($F$16-$F$15)-1,AK$100:AO237,4,FALSE)))*EXP(-(LN(2)/$D$65+0.1)*(VLOOKUP(($F$16-$F$15)-1,AK$100:AO237,5,FALSE)))*EXP(-(LN(2)/$D$65+0.04)*(VLOOKUP(($F$16-$F$15)*2-1,AK$100:AO237,4,FALSE)))*EXP(-(LN(2)/$D$65+0.1)*(VLOOKUP(($F$16-$F$15)*2-1,AK$100:AO237,5,FALSE)))*EXP(-(LN(2)/$D$65+0.04)*AN237)*EXP(-(LN(2)/$D$65+0.1)*AO237),"-"))),"-")</f>
        <v>-</v>
      </c>
      <c r="AS237" s="274">
        <f t="shared" si="191"/>
        <v>0</v>
      </c>
      <c r="AT237" s="274">
        <f t="shared" si="192"/>
        <v>0</v>
      </c>
      <c r="AU237" s="274">
        <f t="shared" si="193"/>
        <v>0</v>
      </c>
      <c r="AV237" s="190" t="str">
        <f>IF($B237&lt;$F$22,SUM($T$100:$T237),"")</f>
        <v/>
      </c>
      <c r="AW237" s="190" t="str">
        <f t="shared" si="194"/>
        <v>-</v>
      </c>
      <c r="AX237" s="190" t="str">
        <f t="shared" si="219"/>
        <v/>
      </c>
      <c r="AY237"/>
      <c r="AZ237" s="190" t="str">
        <f ca="1">IF(ISNUMBER(OFFSET(AV237,-$F$21,0)),SUM(OFFSET($T$100,$F$21,0):$T237),"")</f>
        <v/>
      </c>
      <c r="BA237" s="190" t="str">
        <f t="shared" ca="1" si="195"/>
        <v/>
      </c>
      <c r="BB237" s="190" t="str">
        <f t="shared" ca="1" si="148"/>
        <v/>
      </c>
      <c r="BC237" s="190"/>
      <c r="BD237" s="190" t="str">
        <f ca="1">IFERROR(IF(OR(ISNUMBER(I),ISNUMBER($F$14)),IF(AND($B237&gt;=($F$16-$F$15),$B237&lt;$F$22+($F$16-$F$15)),SUM(OFFSET($T$100,($F$16-$F$15),0):$T237),""),""),"")</f>
        <v/>
      </c>
      <c r="BE237" s="190" t="str">
        <f t="shared" ca="1" si="220"/>
        <v/>
      </c>
      <c r="BF237" s="190" t="str">
        <f t="shared" ca="1" si="221"/>
        <v/>
      </c>
      <c r="BG237"/>
      <c r="BH237" s="190" t="str">
        <f ca="1">IF(ISNUMBER(OFFSET(BD237,-$F$21,0)),SUM(OFFSET($T$100,($F$16-$F$15+$F$21),0):$T237),"")</f>
        <v/>
      </c>
      <c r="BI237" s="190" t="str">
        <f t="shared" ca="1" si="196"/>
        <v/>
      </c>
      <c r="BJ237" s="190" t="str">
        <f t="shared" ca="1" si="222"/>
        <v/>
      </c>
      <c r="BK237" s="190"/>
      <c r="BL237" s="190" t="str">
        <f ca="1">IFERROR(IF(OR(ISNUMBER(I),ISNUMBER($F$14)),IF(AND($B237&gt;=($F$17-$F$15),$B237&lt;$F$22+($F$17-$F$15)),SUM(OFFSET($T$100,($F$17-$F$15),0):$T237),""),""),"")</f>
        <v/>
      </c>
      <c r="BM237" s="190" t="str">
        <f t="shared" ca="1" si="197"/>
        <v/>
      </c>
      <c r="BN237" s="190" t="str">
        <f t="shared" ca="1" si="223"/>
        <v/>
      </c>
      <c r="BO237"/>
      <c r="BP237" s="190" t="str">
        <f ca="1">IF(ISNUMBER(OFFSET(BL237,-$F$21,0)),SUM(OFFSET($T$100,($F$17-$F$15+$F$21),0):$T237),"")</f>
        <v/>
      </c>
      <c r="BQ237" s="190" t="str">
        <f t="shared" ca="1" si="198"/>
        <v/>
      </c>
      <c r="BR237" s="190" t="str">
        <f t="shared" ca="1" si="224"/>
        <v/>
      </c>
      <c r="BS237" s="190"/>
      <c r="BT237"/>
      <c r="BU237"/>
      <c r="BV237"/>
      <c r="BY237" s="99"/>
      <c r="BZ237" s="99"/>
      <c r="CA237" s="280" t="str">
        <f t="shared" si="199"/>
        <v/>
      </c>
      <c r="CB237" s="71" t="str">
        <f t="shared" si="200"/>
        <v>-</v>
      </c>
      <c r="CC237" s="33"/>
      <c r="CD237" s="261" t="str">
        <f t="shared" si="201"/>
        <v/>
      </c>
      <c r="CE237" s="280" t="str">
        <f t="shared" si="202"/>
        <v/>
      </c>
      <c r="CF237" s="71" t="str">
        <f t="shared" ca="1" si="203"/>
        <v/>
      </c>
      <c r="CG237" s="33" t="str">
        <f t="shared" si="204"/>
        <v/>
      </c>
      <c r="CH237" s="261" t="str">
        <f t="shared" ca="1" si="205"/>
        <v/>
      </c>
    </row>
    <row r="238" spans="2:86" ht="13.5" customHeight="1" x14ac:dyDescent="0.2">
      <c r="B238" s="262">
        <v>138</v>
      </c>
      <c r="C238" s="237" t="str">
        <f t="shared" si="169"/>
        <v/>
      </c>
      <c r="D238" s="237" t="str">
        <f t="shared" si="225"/>
        <v/>
      </c>
      <c r="E238" s="263" t="str">
        <f t="shared" si="206"/>
        <v/>
      </c>
      <c r="F238" s="264" t="str">
        <f t="shared" si="207"/>
        <v/>
      </c>
      <c r="G238" s="264" t="str">
        <f t="shared" si="208"/>
        <v/>
      </c>
      <c r="H238" s="240" t="str">
        <f t="shared" si="170"/>
        <v/>
      </c>
      <c r="I238" s="265" t="str">
        <f t="shared" si="171"/>
        <v/>
      </c>
      <c r="J238" s="265" t="str">
        <f t="shared" si="172"/>
        <v/>
      </c>
      <c r="K238" s="240" t="str">
        <f t="shared" si="173"/>
        <v/>
      </c>
      <c r="L238" s="265" t="str">
        <f t="shared" si="174"/>
        <v/>
      </c>
      <c r="M238" s="265" t="str">
        <f t="shared" si="175"/>
        <v/>
      </c>
      <c r="N238" s="240" t="str">
        <f t="shared" si="176"/>
        <v>-</v>
      </c>
      <c r="O238" s="265" t="str">
        <f t="shared" si="177"/>
        <v>-</v>
      </c>
      <c r="P238" s="265" t="str">
        <f t="shared" si="178"/>
        <v>-</v>
      </c>
      <c r="Q238" s="266" t="str">
        <f t="shared" si="179"/>
        <v>-</v>
      </c>
      <c r="R238" s="267" t="str">
        <f t="shared" si="180"/>
        <v>-</v>
      </c>
      <c r="S238" s="268" t="str">
        <f t="shared" si="181"/>
        <v>-</v>
      </c>
      <c r="T238" s="269" t="str">
        <f t="shared" si="182"/>
        <v/>
      </c>
      <c r="U238" s="221">
        <f t="shared" si="183"/>
        <v>138</v>
      </c>
      <c r="V238" s="220" t="str">
        <f t="shared" si="209"/>
        <v>-</v>
      </c>
      <c r="W238" s="221" t="str">
        <f t="shared" si="210"/>
        <v>-</v>
      </c>
      <c r="X238" s="221" t="str">
        <f t="shared" si="184"/>
        <v>-</v>
      </c>
      <c r="Y238" s="221" t="str">
        <f t="shared" si="185"/>
        <v>-</v>
      </c>
      <c r="Z238" s="270">
        <f t="shared" si="211"/>
        <v>0.1</v>
      </c>
      <c r="AA238" s="271" t="str">
        <f>IFERROR(IF(V237=1,AA$100*EXP(-(LN(2)/$D$65+0.04)*X237)*EXP(-(LN(2)/$D$65+0.1)*Y237),IF(V237=2,AA$100*EXP(-(LN(2)/$D$65+0.04)*(VLOOKUP(($F$16-$F$15)-1,U$99:Y237,4,FALSE)))*EXP(-(LN(2)/$D$65+0.1)*(VLOOKUP(($F$16-$F$15)-1,U$99:Y237,5,FALSE)))*EXP(-(LN(2)/$D$65+0.04)*X237)*EXP(-(LN(2)/$D$65+0.1)*Y237),IF(V237=3,AA$100*EXP(-(LN(2)/$D$65+0.04)*(VLOOKUP(($F$16-$F$15)-1,U$99:Y237,4,FALSE)))*EXP(-(LN(2)/$D$65+0.1)*(VLOOKUP(($F$16-$F$15)-1,U$99:Y237,5,FALSE)))*EXP(-(LN(2)/$D$65+0.04)*(VLOOKUP(($F$16-$F$15)*2-1,U$99:Y237,4,FALSE)))*EXP(-(LN(2)/$D$65+0.1)*(VLOOKUP(($F$16-$F$15)*2-1,U$99:Y237,5,FALSE)))*EXP(-(LN(2)/$D$65+0.04)*X237)*EXP(-(LN(2)/$D$65+0.1)*Y237),"-"))),"-")</f>
        <v>-</v>
      </c>
      <c r="AB238" s="271" t="str">
        <f>IFERROR(IF(V238=1,AB$100*EXP(-(LN(2)/$D$65+0.04)*X238)*EXP(-(LN(2)/$D$65+0.1)*Y238),IF(V238=2,AB$100*EXP(-(LN(2)/$D$65+0.04)*(VLOOKUP(($F$16-$F$15)-1,U$100:Y238,4,FALSE)))*EXP(-(LN(2)/$D$65+0.1)*(VLOOKUP(($F$16-$F$15)-1,U$100:Y238,5,FALSE)))*EXP(-(LN(2)/$D$65+0.04)*X238)*EXP(-(LN(2)/$D$65+0.1)*Y238),IF(V238=3,AB$100*EXP(-(LN(2)/$D$65+0.04)*(VLOOKUP(($F$16-$F$15)-1,U$100:Y238,4,FALSE)))*EXP(-(LN(2)/$D$65+0.1)*(VLOOKUP(($F$16-$F$15)-1,U$100:Y238,5,FALSE)))*EXP(-(LN(2)/$D$65+0.04)*(VLOOKUP(($F$16-$F$15)*2-1,U$100:Y238,4,FALSE)))*EXP(-(LN(2)/$D$65+0.1)*(VLOOKUP(($F$16-$F$15)*2-1,U$100:Y238,5,FALSE)))*EXP(-(LN(2)/$D$65+0.04)*X238)*EXP(-(LN(2)/$D$65+0.1)*Y238),"-"))),"-")</f>
        <v>-</v>
      </c>
      <c r="AC238" s="224">
        <f t="shared" si="212"/>
        <v>138</v>
      </c>
      <c r="AD238" s="223" t="str">
        <f t="shared" si="186"/>
        <v>-</v>
      </c>
      <c r="AE238" s="224" t="str">
        <f t="shared" si="213"/>
        <v>-</v>
      </c>
      <c r="AF238" s="224" t="str">
        <f t="shared" si="187"/>
        <v>-</v>
      </c>
      <c r="AG238" s="224" t="str">
        <f t="shared" si="188"/>
        <v>-</v>
      </c>
      <c r="AH238" s="272">
        <f t="shared" si="214"/>
        <v>0.1</v>
      </c>
      <c r="AI238" s="271" t="str">
        <f>IFERROR(IF(AD237=1,AI$100*EXP(-(LN(2)/$D$65+0.04)*AF237)*EXP(-(LN(2)/$D$65+0.1)*AG237),IF(AD237=2,AI$100*EXP(-(LN(2)/$D$65+0.04)*(VLOOKUP(($F$16-$F$15)-1,AC$99:AG237,4,FALSE)))*EXP(-(LN(2)/$D$65+0.1)*(VLOOKUP(($F$16-$F$15)-1,AC$99:AG237,5,FALSE)))*EXP(-(LN(2)/$D$65+0.04)*AF237)*EXP(-(LN(2)/$D$65+0.1)*AG237),IF(AD237=3,AI$100*EXP(-(LN(2)/$D$65+0.04)*(VLOOKUP(($F$16-$F$15)-1,AC$99:AG237,4,FALSE)))*EXP(-(LN(2)/$D$65+0.1)*(VLOOKUP(($F$16-$F$15)-1,AC$99:AG237,5,FALSE)))*EXP(-(LN(2)/$D$65+0.04)*(VLOOKUP(($F$16-$F$15)*2-1,AC$99:AG237,4,FALSE)))*EXP(-(LN(2)/$D$65+0.1)*(VLOOKUP(($F$16-$F$15)*2-1,AC$99:AG237,5,FALSE)))*EXP(-(LN(2)/$D$65+0.04)*AF237)*EXP(-(LN(2)/$D$65+0.1)*AG237),"-"))),"-")</f>
        <v>-</v>
      </c>
      <c r="AJ238" s="271" t="str">
        <f>IFERROR(IF(AD238=1,AJ$100*EXP(-(LN(2)/$D$65+0.04)*AF238)*EXP(-(LN(2)/$D$65+0.1)*AG238),IF(AD238=2,AJ$100*EXP(-(LN(2)/$D$65+0.04)*(VLOOKUP(($F$16-$F$15)-1,AC$100:AG238,4,FALSE)))*EXP(-(LN(2)/$D$65+0.1)*(VLOOKUP(($F$16-$F$15)-1,AC$100:AG238,5,FALSE)))*EXP(-(LN(2)/$D$65+0.04)*AF238)*EXP(-(LN(2)/$D$65+0.1)*AG238),IF(AD238=3,AJ$100*EXP(-(LN(2)/$D$65+0.04)*(VLOOKUP(($F$16-$F$15)-1,AC$100:AG238,4,FALSE)))*EXP(-(LN(2)/$D$65+0.1)*(VLOOKUP(($F$16-$F$15)-1,AC$100:AG238,5,FALSE)))*EXP(-(LN(2)/$D$65+0.04)*(VLOOKUP(($F$16-$F$15)*2-1,AC$100:AG238,4,FALSE)))*EXP(-(LN(2)/$D$65+0.1)*(VLOOKUP(($F$16-$F$15)*2-1,AC$100:AG238,5,FALSE)))*EXP(-(LN(2)/$D$65+0.04)*AF238)*EXP(-(LN(2)/$D$65+0.1)*AG238),"-"))),"-")</f>
        <v>-</v>
      </c>
      <c r="AK238" s="227">
        <f t="shared" si="215"/>
        <v>138</v>
      </c>
      <c r="AL238" s="226" t="str">
        <f t="shared" si="189"/>
        <v>-</v>
      </c>
      <c r="AM238" s="227" t="str">
        <f t="shared" si="216"/>
        <v>-</v>
      </c>
      <c r="AN238" s="227" t="str">
        <f t="shared" si="217"/>
        <v>-</v>
      </c>
      <c r="AO238" s="227" t="str">
        <f t="shared" si="190"/>
        <v>-</v>
      </c>
      <c r="AP238" s="273">
        <f t="shared" si="218"/>
        <v>0.1</v>
      </c>
      <c r="AQ238" s="271" t="str">
        <f>IFERROR(IF(AL237=1,AQ$100*EXP(-(LN(2)/$D$65+0.04)*AN237)*EXP(-(LN(2)/$D$65+0.1)*AO237),IF(AL237=2,AQ$100*EXP(-(LN(2)/$D$65+0.04)*(VLOOKUP(($F$16-$F$15)-1,AK$99:AO237,4,FALSE)))*EXP(-(LN(2)/$D$65+0.1)*(VLOOKUP(($F$16-$F$15)-1,AK$99:AO237,5,FALSE)))*EXP(-(LN(2)/$D$65+0.04)*AN237)*EXP(-(LN(2)/$D$65+0.1)*AO237),IF(AL237=3,AQ$100*EXP(-(LN(2)/$D$65+0.04)*(VLOOKUP(($F$16-$F$15)-1,AK$99:AO237,4,FALSE)))*EXP(-(LN(2)/$D$65+0.1)*(VLOOKUP(($F$16-$F$15)-1,AK$99:AO237,5,FALSE)))*EXP(-(LN(2)/$D$65+0.04)*(VLOOKUP(($F$16-$F$15)*2-1,AK$99:AO237,4,FALSE)))*EXP(-(LN(2)/$D$65+0.1)*(VLOOKUP(($F$16-$F$15)*2-1,AK$99:AO237,5,FALSE)))*EXP(-(LN(2)/$D$65+0.04)*AN237)*EXP(-(LN(2)/$D$65+0.1)*AO237),"-"))),"-")</f>
        <v>-</v>
      </c>
      <c r="AR238" s="271" t="str">
        <f>IFERROR(IF(AL238=1,AR$100*EXP(-(LN(2)/$D$65+0.04)*AN238)*EXP(-(LN(2)/$D$65+0.1)*AO238),IF(AL238=2,AR$100*EXP(-(LN(2)/$D$65+0.04)*(VLOOKUP(($F$16-$F$15)-1,AK$100:AO238,4,FALSE)))*EXP(-(LN(2)/$D$65+0.1)*(VLOOKUP(($F$16-$F$15)-1,AK$100:AO238,5,FALSE)))*EXP(-(LN(2)/$D$65+0.04)*AN238)*EXP(-(LN(2)/$D$65+0.1)*AO238),IF(AL238=3,AR$100*EXP(-(LN(2)/$D$65+0.04)*(VLOOKUP(($F$16-$F$15)-1,AK$100:AO238,4,FALSE)))*EXP(-(LN(2)/$D$65+0.1)*(VLOOKUP(($F$16-$F$15)-1,AK$100:AO238,5,FALSE)))*EXP(-(LN(2)/$D$65+0.04)*(VLOOKUP(($F$16-$F$15)*2-1,AK$100:AO238,4,FALSE)))*EXP(-(LN(2)/$D$65+0.1)*(VLOOKUP(($F$16-$F$15)*2-1,AK$100:AO238,5,FALSE)))*EXP(-(LN(2)/$D$65+0.04)*AN238)*EXP(-(LN(2)/$D$65+0.1)*AO238),"-"))),"-")</f>
        <v>-</v>
      </c>
      <c r="AS238" s="274">
        <f t="shared" si="191"/>
        <v>0</v>
      </c>
      <c r="AT238" s="274">
        <f t="shared" si="192"/>
        <v>0</v>
      </c>
      <c r="AU238" s="274">
        <f t="shared" si="193"/>
        <v>0</v>
      </c>
      <c r="AV238" s="190" t="str">
        <f>IF($B238&lt;$F$22,SUM($T$100:$T238),"")</f>
        <v/>
      </c>
      <c r="AW238" s="190" t="str">
        <f t="shared" si="194"/>
        <v>-</v>
      </c>
      <c r="AX238" s="190" t="str">
        <f t="shared" si="219"/>
        <v/>
      </c>
      <c r="AY238"/>
      <c r="AZ238" s="190" t="str">
        <f ca="1">IF(ISNUMBER(OFFSET(AV238,-$F$21,0)),SUM(OFFSET($T$100,$F$21,0):$T238),"")</f>
        <v/>
      </c>
      <c r="BA238" s="190" t="str">
        <f t="shared" ca="1" si="195"/>
        <v/>
      </c>
      <c r="BB238" s="190" t="str">
        <f t="shared" ca="1" si="148"/>
        <v/>
      </c>
      <c r="BC238" s="190"/>
      <c r="BD238" s="190" t="str">
        <f ca="1">IFERROR(IF(OR(ISNUMBER(I),ISNUMBER($F$14)),IF(AND($B238&gt;=($F$16-$F$15),$B238&lt;$F$22+($F$16-$F$15)),SUM(OFFSET($T$100,($F$16-$F$15),0):$T238),""),""),"")</f>
        <v/>
      </c>
      <c r="BE238" s="190" t="str">
        <f t="shared" ca="1" si="220"/>
        <v/>
      </c>
      <c r="BF238" s="190" t="str">
        <f t="shared" ca="1" si="221"/>
        <v/>
      </c>
      <c r="BG238"/>
      <c r="BH238" s="190" t="str">
        <f ca="1">IF(ISNUMBER(OFFSET(BD238,-$F$21,0)),SUM(OFFSET($T$100,($F$16-$F$15+$F$21),0):$T238),"")</f>
        <v/>
      </c>
      <c r="BI238" s="190" t="str">
        <f t="shared" ca="1" si="196"/>
        <v/>
      </c>
      <c r="BJ238" s="190" t="str">
        <f t="shared" ca="1" si="222"/>
        <v/>
      </c>
      <c r="BK238" s="190"/>
      <c r="BL238" s="190" t="str">
        <f ca="1">IFERROR(IF(OR(ISNUMBER(I),ISNUMBER($F$14)),IF(AND($B238&gt;=($F$17-$F$15),$B238&lt;$F$22+($F$17-$F$15)),SUM(OFFSET($T$100,($F$17-$F$15),0):$T238),""),""),"")</f>
        <v/>
      </c>
      <c r="BM238" s="190" t="str">
        <f t="shared" ca="1" si="197"/>
        <v/>
      </c>
      <c r="BN238" s="190" t="str">
        <f t="shared" ca="1" si="223"/>
        <v/>
      </c>
      <c r="BO238"/>
      <c r="BP238" s="190" t="str">
        <f ca="1">IF(ISNUMBER(OFFSET(BL238,-$F$21,0)),SUM(OFFSET($T$100,($F$17-$F$15+$F$21),0):$T238),"")</f>
        <v/>
      </c>
      <c r="BQ238" s="190" t="str">
        <f t="shared" ca="1" si="198"/>
        <v/>
      </c>
      <c r="BR238" s="190" t="str">
        <f t="shared" ca="1" si="224"/>
        <v/>
      </c>
      <c r="BS238" s="190"/>
      <c r="BT238"/>
      <c r="BU238"/>
      <c r="BV238"/>
      <c r="BY238" s="99"/>
      <c r="BZ238" s="99"/>
      <c r="CA238" s="280" t="str">
        <f t="shared" si="199"/>
        <v/>
      </c>
      <c r="CB238" s="71" t="str">
        <f t="shared" si="200"/>
        <v>-</v>
      </c>
      <c r="CC238" s="33"/>
      <c r="CD238" s="261" t="str">
        <f t="shared" si="201"/>
        <v/>
      </c>
      <c r="CE238" s="280" t="str">
        <f t="shared" si="202"/>
        <v/>
      </c>
      <c r="CF238" s="71" t="str">
        <f t="shared" ca="1" si="203"/>
        <v/>
      </c>
      <c r="CG238" s="33" t="str">
        <f t="shared" si="204"/>
        <v/>
      </c>
      <c r="CH238" s="261" t="str">
        <f t="shared" ca="1" si="205"/>
        <v/>
      </c>
    </row>
    <row r="239" spans="2:86" ht="13.5" customHeight="1" x14ac:dyDescent="0.2">
      <c r="B239" s="262">
        <v>139</v>
      </c>
      <c r="C239" s="237" t="str">
        <f t="shared" si="169"/>
        <v/>
      </c>
      <c r="D239" s="237" t="str">
        <f t="shared" si="225"/>
        <v/>
      </c>
      <c r="E239" s="263" t="str">
        <f t="shared" si="206"/>
        <v/>
      </c>
      <c r="F239" s="264" t="str">
        <f t="shared" si="207"/>
        <v/>
      </c>
      <c r="G239" s="264" t="str">
        <f t="shared" si="208"/>
        <v/>
      </c>
      <c r="H239" s="240" t="str">
        <f t="shared" si="170"/>
        <v/>
      </c>
      <c r="I239" s="265" t="str">
        <f t="shared" si="171"/>
        <v/>
      </c>
      <c r="J239" s="265" t="str">
        <f t="shared" si="172"/>
        <v/>
      </c>
      <c r="K239" s="240" t="str">
        <f t="shared" si="173"/>
        <v/>
      </c>
      <c r="L239" s="265" t="str">
        <f t="shared" si="174"/>
        <v/>
      </c>
      <c r="M239" s="265" t="str">
        <f t="shared" si="175"/>
        <v/>
      </c>
      <c r="N239" s="240" t="str">
        <f t="shared" si="176"/>
        <v>-</v>
      </c>
      <c r="O239" s="265" t="str">
        <f t="shared" si="177"/>
        <v>-</v>
      </c>
      <c r="P239" s="265" t="str">
        <f t="shared" si="178"/>
        <v>-</v>
      </c>
      <c r="Q239" s="266" t="str">
        <f t="shared" si="179"/>
        <v>-</v>
      </c>
      <c r="R239" s="267" t="str">
        <f t="shared" si="180"/>
        <v>-</v>
      </c>
      <c r="S239" s="268" t="str">
        <f t="shared" si="181"/>
        <v>-</v>
      </c>
      <c r="T239" s="269" t="str">
        <f t="shared" si="182"/>
        <v/>
      </c>
      <c r="U239" s="221">
        <f t="shared" si="183"/>
        <v>139</v>
      </c>
      <c r="V239" s="220" t="str">
        <f t="shared" si="209"/>
        <v>-</v>
      </c>
      <c r="W239" s="221" t="str">
        <f t="shared" si="210"/>
        <v>-</v>
      </c>
      <c r="X239" s="221" t="str">
        <f t="shared" si="184"/>
        <v>-</v>
      </c>
      <c r="Y239" s="221" t="str">
        <f t="shared" si="185"/>
        <v>-</v>
      </c>
      <c r="Z239" s="270">
        <f t="shared" si="211"/>
        <v>0.1</v>
      </c>
      <c r="AA239" s="271" t="str">
        <f>IFERROR(IF(V238=1,AA$100*EXP(-(LN(2)/$D$65+0.04)*X238)*EXP(-(LN(2)/$D$65+0.1)*Y238),IF(V238=2,AA$100*EXP(-(LN(2)/$D$65+0.04)*(VLOOKUP(($F$16-$F$15)-1,U$99:Y238,4,FALSE)))*EXP(-(LN(2)/$D$65+0.1)*(VLOOKUP(($F$16-$F$15)-1,U$99:Y238,5,FALSE)))*EXP(-(LN(2)/$D$65+0.04)*X238)*EXP(-(LN(2)/$D$65+0.1)*Y238),IF(V238=3,AA$100*EXP(-(LN(2)/$D$65+0.04)*(VLOOKUP(($F$16-$F$15)-1,U$99:Y238,4,FALSE)))*EXP(-(LN(2)/$D$65+0.1)*(VLOOKUP(($F$16-$F$15)-1,U$99:Y238,5,FALSE)))*EXP(-(LN(2)/$D$65+0.04)*(VLOOKUP(($F$16-$F$15)*2-1,U$99:Y238,4,FALSE)))*EXP(-(LN(2)/$D$65+0.1)*(VLOOKUP(($F$16-$F$15)*2-1,U$99:Y238,5,FALSE)))*EXP(-(LN(2)/$D$65+0.04)*X238)*EXP(-(LN(2)/$D$65+0.1)*Y238),"-"))),"-")</f>
        <v>-</v>
      </c>
      <c r="AB239" s="271" t="str">
        <f>IFERROR(IF(V239=1,AB$100*EXP(-(LN(2)/$D$65+0.04)*X239)*EXP(-(LN(2)/$D$65+0.1)*Y239),IF(V239=2,AB$100*EXP(-(LN(2)/$D$65+0.04)*(VLOOKUP(($F$16-$F$15)-1,U$100:Y239,4,FALSE)))*EXP(-(LN(2)/$D$65+0.1)*(VLOOKUP(($F$16-$F$15)-1,U$100:Y239,5,FALSE)))*EXP(-(LN(2)/$D$65+0.04)*X239)*EXP(-(LN(2)/$D$65+0.1)*Y239),IF(V239=3,AB$100*EXP(-(LN(2)/$D$65+0.04)*(VLOOKUP(($F$16-$F$15)-1,U$100:Y239,4,FALSE)))*EXP(-(LN(2)/$D$65+0.1)*(VLOOKUP(($F$16-$F$15)-1,U$100:Y239,5,FALSE)))*EXP(-(LN(2)/$D$65+0.04)*(VLOOKUP(($F$16-$F$15)*2-1,U$100:Y239,4,FALSE)))*EXP(-(LN(2)/$D$65+0.1)*(VLOOKUP(($F$16-$F$15)*2-1,U$100:Y239,5,FALSE)))*EXP(-(LN(2)/$D$65+0.04)*X239)*EXP(-(LN(2)/$D$65+0.1)*Y239),"-"))),"-")</f>
        <v>-</v>
      </c>
      <c r="AC239" s="224">
        <f t="shared" si="212"/>
        <v>139</v>
      </c>
      <c r="AD239" s="223" t="str">
        <f t="shared" si="186"/>
        <v>-</v>
      </c>
      <c r="AE239" s="224" t="str">
        <f t="shared" si="213"/>
        <v>-</v>
      </c>
      <c r="AF239" s="224" t="str">
        <f t="shared" si="187"/>
        <v>-</v>
      </c>
      <c r="AG239" s="224" t="str">
        <f t="shared" si="188"/>
        <v>-</v>
      </c>
      <c r="AH239" s="272">
        <f t="shared" si="214"/>
        <v>0.1</v>
      </c>
      <c r="AI239" s="271" t="str">
        <f>IFERROR(IF(AD238=1,AI$100*EXP(-(LN(2)/$D$65+0.04)*AF238)*EXP(-(LN(2)/$D$65+0.1)*AG238),IF(AD238=2,AI$100*EXP(-(LN(2)/$D$65+0.04)*(VLOOKUP(($F$16-$F$15)-1,AC$99:AG238,4,FALSE)))*EXP(-(LN(2)/$D$65+0.1)*(VLOOKUP(($F$16-$F$15)-1,AC$99:AG238,5,FALSE)))*EXP(-(LN(2)/$D$65+0.04)*AF238)*EXP(-(LN(2)/$D$65+0.1)*AG238),IF(AD238=3,AI$100*EXP(-(LN(2)/$D$65+0.04)*(VLOOKUP(($F$16-$F$15)-1,AC$99:AG238,4,FALSE)))*EXP(-(LN(2)/$D$65+0.1)*(VLOOKUP(($F$16-$F$15)-1,AC$99:AG238,5,FALSE)))*EXP(-(LN(2)/$D$65+0.04)*(VLOOKUP(($F$16-$F$15)*2-1,AC$99:AG238,4,FALSE)))*EXP(-(LN(2)/$D$65+0.1)*(VLOOKUP(($F$16-$F$15)*2-1,AC$99:AG238,5,FALSE)))*EXP(-(LN(2)/$D$65+0.04)*AF238)*EXP(-(LN(2)/$D$65+0.1)*AG238),"-"))),"-")</f>
        <v>-</v>
      </c>
      <c r="AJ239" s="271" t="str">
        <f>IFERROR(IF(AD239=1,AJ$100*EXP(-(LN(2)/$D$65+0.04)*AF239)*EXP(-(LN(2)/$D$65+0.1)*AG239),IF(AD239=2,AJ$100*EXP(-(LN(2)/$D$65+0.04)*(VLOOKUP(($F$16-$F$15)-1,AC$100:AG239,4,FALSE)))*EXP(-(LN(2)/$D$65+0.1)*(VLOOKUP(($F$16-$F$15)-1,AC$100:AG239,5,FALSE)))*EXP(-(LN(2)/$D$65+0.04)*AF239)*EXP(-(LN(2)/$D$65+0.1)*AG239),IF(AD239=3,AJ$100*EXP(-(LN(2)/$D$65+0.04)*(VLOOKUP(($F$16-$F$15)-1,AC$100:AG239,4,FALSE)))*EXP(-(LN(2)/$D$65+0.1)*(VLOOKUP(($F$16-$F$15)-1,AC$100:AG239,5,FALSE)))*EXP(-(LN(2)/$D$65+0.04)*(VLOOKUP(($F$16-$F$15)*2-1,AC$100:AG239,4,FALSE)))*EXP(-(LN(2)/$D$65+0.1)*(VLOOKUP(($F$16-$F$15)*2-1,AC$100:AG239,5,FALSE)))*EXP(-(LN(2)/$D$65+0.04)*AF239)*EXP(-(LN(2)/$D$65+0.1)*AG239),"-"))),"-")</f>
        <v>-</v>
      </c>
      <c r="AK239" s="227">
        <f t="shared" si="215"/>
        <v>139</v>
      </c>
      <c r="AL239" s="226" t="str">
        <f t="shared" si="189"/>
        <v>-</v>
      </c>
      <c r="AM239" s="227" t="str">
        <f t="shared" si="216"/>
        <v>-</v>
      </c>
      <c r="AN239" s="227" t="str">
        <f t="shared" si="217"/>
        <v>-</v>
      </c>
      <c r="AO239" s="227" t="str">
        <f t="shared" si="190"/>
        <v>-</v>
      </c>
      <c r="AP239" s="273">
        <f t="shared" si="218"/>
        <v>0.1</v>
      </c>
      <c r="AQ239" s="271" t="str">
        <f>IFERROR(IF(AL238=1,AQ$100*EXP(-(LN(2)/$D$65+0.04)*AN238)*EXP(-(LN(2)/$D$65+0.1)*AO238),IF(AL238=2,AQ$100*EXP(-(LN(2)/$D$65+0.04)*(VLOOKUP(($F$16-$F$15)-1,AK$99:AO238,4,FALSE)))*EXP(-(LN(2)/$D$65+0.1)*(VLOOKUP(($F$16-$F$15)-1,AK$99:AO238,5,FALSE)))*EXP(-(LN(2)/$D$65+0.04)*AN238)*EXP(-(LN(2)/$D$65+0.1)*AO238),IF(AL238=3,AQ$100*EXP(-(LN(2)/$D$65+0.04)*(VLOOKUP(($F$16-$F$15)-1,AK$99:AO238,4,FALSE)))*EXP(-(LN(2)/$D$65+0.1)*(VLOOKUP(($F$16-$F$15)-1,AK$99:AO238,5,FALSE)))*EXP(-(LN(2)/$D$65+0.04)*(VLOOKUP(($F$16-$F$15)*2-1,AK$99:AO238,4,FALSE)))*EXP(-(LN(2)/$D$65+0.1)*(VLOOKUP(($F$16-$F$15)*2-1,AK$99:AO238,5,FALSE)))*EXP(-(LN(2)/$D$65+0.04)*AN238)*EXP(-(LN(2)/$D$65+0.1)*AO238),"-"))),"-")</f>
        <v>-</v>
      </c>
      <c r="AR239" s="271" t="str">
        <f>IFERROR(IF(AL239=1,AR$100*EXP(-(LN(2)/$D$65+0.04)*AN239)*EXP(-(LN(2)/$D$65+0.1)*AO239),IF(AL239=2,AR$100*EXP(-(LN(2)/$D$65+0.04)*(VLOOKUP(($F$16-$F$15)-1,AK$100:AO239,4,FALSE)))*EXP(-(LN(2)/$D$65+0.1)*(VLOOKUP(($F$16-$F$15)-1,AK$100:AO239,5,FALSE)))*EXP(-(LN(2)/$D$65+0.04)*AN239)*EXP(-(LN(2)/$D$65+0.1)*AO239),IF(AL239=3,AR$100*EXP(-(LN(2)/$D$65+0.04)*(VLOOKUP(($F$16-$F$15)-1,AK$100:AO239,4,FALSE)))*EXP(-(LN(2)/$D$65+0.1)*(VLOOKUP(($F$16-$F$15)-1,AK$100:AO239,5,FALSE)))*EXP(-(LN(2)/$D$65+0.04)*(VLOOKUP(($F$16-$F$15)*2-1,AK$100:AO239,4,FALSE)))*EXP(-(LN(2)/$D$65+0.1)*(VLOOKUP(($F$16-$F$15)*2-1,AK$100:AO239,5,FALSE)))*EXP(-(LN(2)/$D$65+0.04)*AN239)*EXP(-(LN(2)/$D$65+0.1)*AO239),"-"))),"-")</f>
        <v>-</v>
      </c>
      <c r="AS239" s="274">
        <f t="shared" si="191"/>
        <v>0</v>
      </c>
      <c r="AT239" s="274">
        <f t="shared" si="192"/>
        <v>0</v>
      </c>
      <c r="AU239" s="274">
        <f t="shared" si="193"/>
        <v>0</v>
      </c>
      <c r="AV239" s="190" t="str">
        <f>IF($B239&lt;$F$22,SUM($T$100:$T239),"")</f>
        <v/>
      </c>
      <c r="AW239" s="190" t="str">
        <f t="shared" si="194"/>
        <v>-</v>
      </c>
      <c r="AX239" s="190" t="str">
        <f t="shared" si="219"/>
        <v/>
      </c>
      <c r="AY239"/>
      <c r="AZ239" s="190" t="str">
        <f ca="1">IF(ISNUMBER(OFFSET(AV239,-$F$21,0)),SUM(OFFSET($T$100,$F$21,0):$T239),"")</f>
        <v/>
      </c>
      <c r="BA239" s="190" t="str">
        <f t="shared" ca="1" si="195"/>
        <v/>
      </c>
      <c r="BB239" s="190" t="str">
        <f t="shared" ca="1" si="148"/>
        <v/>
      </c>
      <c r="BC239" s="190"/>
      <c r="BD239" s="190" t="str">
        <f ca="1">IFERROR(IF(OR(ISNUMBER(I),ISNUMBER($F$14)),IF(AND($B239&gt;=($F$16-$F$15),$B239&lt;$F$22+($F$16-$F$15)),SUM(OFFSET($T$100,($F$16-$F$15),0):$T239),""),""),"")</f>
        <v/>
      </c>
      <c r="BE239" s="190" t="str">
        <f t="shared" ca="1" si="220"/>
        <v/>
      </c>
      <c r="BF239" s="190" t="str">
        <f t="shared" ca="1" si="221"/>
        <v/>
      </c>
      <c r="BG239"/>
      <c r="BH239" s="190" t="str">
        <f ca="1">IF(ISNUMBER(OFFSET(BD239,-$F$21,0)),SUM(OFFSET($T$100,($F$16-$F$15+$F$21),0):$T239),"")</f>
        <v/>
      </c>
      <c r="BI239" s="190" t="str">
        <f t="shared" ca="1" si="196"/>
        <v/>
      </c>
      <c r="BJ239" s="190" t="str">
        <f t="shared" ca="1" si="222"/>
        <v/>
      </c>
      <c r="BK239" s="190"/>
      <c r="BL239" s="190" t="str">
        <f ca="1">IFERROR(IF(OR(ISNUMBER(I),ISNUMBER($F$14)),IF(AND($B239&gt;=($F$17-$F$15),$B239&lt;$F$22+($F$17-$F$15)),SUM(OFFSET($T$100,($F$17-$F$15),0):$T239),""),""),"")</f>
        <v/>
      </c>
      <c r="BM239" s="190" t="str">
        <f t="shared" ca="1" si="197"/>
        <v/>
      </c>
      <c r="BN239" s="190" t="str">
        <f t="shared" ca="1" si="223"/>
        <v/>
      </c>
      <c r="BO239"/>
      <c r="BP239" s="190" t="str">
        <f ca="1">IF(ISNUMBER(OFFSET(BL239,-$F$21,0)),SUM(OFFSET($T$100,($F$17-$F$15+$F$21),0):$T239),"")</f>
        <v/>
      </c>
      <c r="BQ239" s="190" t="str">
        <f t="shared" ca="1" si="198"/>
        <v/>
      </c>
      <c r="BR239" s="190" t="str">
        <f t="shared" ca="1" si="224"/>
        <v/>
      </c>
      <c r="BS239" s="190"/>
      <c r="BT239"/>
      <c r="BU239"/>
      <c r="BV239"/>
      <c r="BY239" s="99"/>
      <c r="BZ239" s="99"/>
      <c r="CA239" s="280" t="str">
        <f t="shared" si="199"/>
        <v/>
      </c>
      <c r="CB239" s="71" t="str">
        <f t="shared" si="200"/>
        <v>-</v>
      </c>
      <c r="CC239" s="33"/>
      <c r="CD239" s="261" t="str">
        <f t="shared" si="201"/>
        <v/>
      </c>
      <c r="CE239" s="280" t="str">
        <f t="shared" si="202"/>
        <v/>
      </c>
      <c r="CF239" s="71" t="str">
        <f t="shared" ca="1" si="203"/>
        <v/>
      </c>
      <c r="CG239" s="33" t="str">
        <f t="shared" si="204"/>
        <v/>
      </c>
      <c r="CH239" s="261" t="str">
        <f t="shared" ca="1" si="205"/>
        <v/>
      </c>
    </row>
    <row r="240" spans="2:86" ht="13.5" customHeight="1" x14ac:dyDescent="0.2">
      <c r="B240" s="262">
        <v>140</v>
      </c>
      <c r="C240" s="237" t="str">
        <f t="shared" si="169"/>
        <v/>
      </c>
      <c r="D240" s="237" t="str">
        <f t="shared" si="225"/>
        <v/>
      </c>
      <c r="E240" s="263" t="str">
        <f t="shared" si="206"/>
        <v/>
      </c>
      <c r="F240" s="264" t="str">
        <f t="shared" si="207"/>
        <v/>
      </c>
      <c r="G240" s="264" t="str">
        <f t="shared" si="208"/>
        <v/>
      </c>
      <c r="H240" s="240" t="str">
        <f t="shared" si="170"/>
        <v/>
      </c>
      <c r="I240" s="265" t="str">
        <f t="shared" si="171"/>
        <v/>
      </c>
      <c r="J240" s="265" t="str">
        <f t="shared" si="172"/>
        <v/>
      </c>
      <c r="K240" s="240" t="str">
        <f t="shared" si="173"/>
        <v/>
      </c>
      <c r="L240" s="265" t="str">
        <f t="shared" si="174"/>
        <v/>
      </c>
      <c r="M240" s="265" t="str">
        <f t="shared" si="175"/>
        <v/>
      </c>
      <c r="N240" s="240" t="str">
        <f t="shared" si="176"/>
        <v>-</v>
      </c>
      <c r="O240" s="265" t="str">
        <f t="shared" si="177"/>
        <v>-</v>
      </c>
      <c r="P240" s="265" t="str">
        <f t="shared" si="178"/>
        <v>-</v>
      </c>
      <c r="Q240" s="266" t="str">
        <f t="shared" si="179"/>
        <v>-</v>
      </c>
      <c r="R240" s="267" t="str">
        <f t="shared" si="180"/>
        <v>-</v>
      </c>
      <c r="S240" s="268" t="str">
        <f t="shared" si="181"/>
        <v>-</v>
      </c>
      <c r="T240" s="269" t="str">
        <f t="shared" si="182"/>
        <v/>
      </c>
      <c r="U240" s="221">
        <f t="shared" si="183"/>
        <v>140</v>
      </c>
      <c r="V240" s="220" t="str">
        <f t="shared" si="209"/>
        <v>-</v>
      </c>
      <c r="W240" s="221" t="str">
        <f t="shared" si="210"/>
        <v>-</v>
      </c>
      <c r="X240" s="221" t="str">
        <f t="shared" si="184"/>
        <v>-</v>
      </c>
      <c r="Y240" s="221" t="str">
        <f t="shared" si="185"/>
        <v>-</v>
      </c>
      <c r="Z240" s="270">
        <f t="shared" si="211"/>
        <v>0.1</v>
      </c>
      <c r="AA240" s="271" t="str">
        <f>IFERROR(IF(V239=1,AA$100*EXP(-(LN(2)/$D$65+0.04)*X239)*EXP(-(LN(2)/$D$65+0.1)*Y239),IF(V239=2,AA$100*EXP(-(LN(2)/$D$65+0.04)*(VLOOKUP(($F$16-$F$15)-1,U$99:Y239,4,FALSE)))*EXP(-(LN(2)/$D$65+0.1)*(VLOOKUP(($F$16-$F$15)-1,U$99:Y239,5,FALSE)))*EXP(-(LN(2)/$D$65+0.04)*X239)*EXP(-(LN(2)/$D$65+0.1)*Y239),IF(V239=3,AA$100*EXP(-(LN(2)/$D$65+0.04)*(VLOOKUP(($F$16-$F$15)-1,U$99:Y239,4,FALSE)))*EXP(-(LN(2)/$D$65+0.1)*(VLOOKUP(($F$16-$F$15)-1,U$99:Y239,5,FALSE)))*EXP(-(LN(2)/$D$65+0.04)*(VLOOKUP(($F$16-$F$15)*2-1,U$99:Y239,4,FALSE)))*EXP(-(LN(2)/$D$65+0.1)*(VLOOKUP(($F$16-$F$15)*2-1,U$99:Y239,5,FALSE)))*EXP(-(LN(2)/$D$65+0.04)*X239)*EXP(-(LN(2)/$D$65+0.1)*Y239),"-"))),"-")</f>
        <v>-</v>
      </c>
      <c r="AB240" s="271" t="str">
        <f>IFERROR(IF(V240=1,AB$100*EXP(-(LN(2)/$D$65+0.04)*X240)*EXP(-(LN(2)/$D$65+0.1)*Y240),IF(V240=2,AB$100*EXP(-(LN(2)/$D$65+0.04)*(VLOOKUP(($F$16-$F$15)-1,U$100:Y240,4,FALSE)))*EXP(-(LN(2)/$D$65+0.1)*(VLOOKUP(($F$16-$F$15)-1,U$100:Y240,5,FALSE)))*EXP(-(LN(2)/$D$65+0.04)*X240)*EXP(-(LN(2)/$D$65+0.1)*Y240),IF(V240=3,AB$100*EXP(-(LN(2)/$D$65+0.04)*(VLOOKUP(($F$16-$F$15)-1,U$100:Y240,4,FALSE)))*EXP(-(LN(2)/$D$65+0.1)*(VLOOKUP(($F$16-$F$15)-1,U$100:Y240,5,FALSE)))*EXP(-(LN(2)/$D$65+0.04)*(VLOOKUP(($F$16-$F$15)*2-1,U$100:Y240,4,FALSE)))*EXP(-(LN(2)/$D$65+0.1)*(VLOOKUP(($F$16-$F$15)*2-1,U$100:Y240,5,FALSE)))*EXP(-(LN(2)/$D$65+0.04)*X240)*EXP(-(LN(2)/$D$65+0.1)*Y240),"-"))),"-")</f>
        <v>-</v>
      </c>
      <c r="AC240" s="224">
        <f t="shared" si="212"/>
        <v>140</v>
      </c>
      <c r="AD240" s="223" t="str">
        <f t="shared" si="186"/>
        <v>-</v>
      </c>
      <c r="AE240" s="224" t="str">
        <f t="shared" si="213"/>
        <v>-</v>
      </c>
      <c r="AF240" s="224" t="str">
        <f t="shared" si="187"/>
        <v>-</v>
      </c>
      <c r="AG240" s="224" t="str">
        <f t="shared" si="188"/>
        <v>-</v>
      </c>
      <c r="AH240" s="272">
        <f t="shared" si="214"/>
        <v>0.1</v>
      </c>
      <c r="AI240" s="271" t="str">
        <f>IFERROR(IF(AD239=1,AI$100*EXP(-(LN(2)/$D$65+0.04)*AF239)*EXP(-(LN(2)/$D$65+0.1)*AG239),IF(AD239=2,AI$100*EXP(-(LN(2)/$D$65+0.04)*(VLOOKUP(($F$16-$F$15)-1,AC$99:AG239,4,FALSE)))*EXP(-(LN(2)/$D$65+0.1)*(VLOOKUP(($F$16-$F$15)-1,AC$99:AG239,5,FALSE)))*EXP(-(LN(2)/$D$65+0.04)*AF239)*EXP(-(LN(2)/$D$65+0.1)*AG239),IF(AD239=3,AI$100*EXP(-(LN(2)/$D$65+0.04)*(VLOOKUP(($F$16-$F$15)-1,AC$99:AG239,4,FALSE)))*EXP(-(LN(2)/$D$65+0.1)*(VLOOKUP(($F$16-$F$15)-1,AC$99:AG239,5,FALSE)))*EXP(-(LN(2)/$D$65+0.04)*(VLOOKUP(($F$16-$F$15)*2-1,AC$99:AG239,4,FALSE)))*EXP(-(LN(2)/$D$65+0.1)*(VLOOKUP(($F$16-$F$15)*2-1,AC$99:AG239,5,FALSE)))*EXP(-(LN(2)/$D$65+0.04)*AF239)*EXP(-(LN(2)/$D$65+0.1)*AG239),"-"))),"-")</f>
        <v>-</v>
      </c>
      <c r="AJ240" s="271" t="str">
        <f>IFERROR(IF(AD240=1,AJ$100*EXP(-(LN(2)/$D$65+0.04)*AF240)*EXP(-(LN(2)/$D$65+0.1)*AG240),IF(AD240=2,AJ$100*EXP(-(LN(2)/$D$65+0.04)*(VLOOKUP(($F$16-$F$15)-1,AC$100:AG240,4,FALSE)))*EXP(-(LN(2)/$D$65+0.1)*(VLOOKUP(($F$16-$F$15)-1,AC$100:AG240,5,FALSE)))*EXP(-(LN(2)/$D$65+0.04)*AF240)*EXP(-(LN(2)/$D$65+0.1)*AG240),IF(AD240=3,AJ$100*EXP(-(LN(2)/$D$65+0.04)*(VLOOKUP(($F$16-$F$15)-1,AC$100:AG240,4,FALSE)))*EXP(-(LN(2)/$D$65+0.1)*(VLOOKUP(($F$16-$F$15)-1,AC$100:AG240,5,FALSE)))*EXP(-(LN(2)/$D$65+0.04)*(VLOOKUP(($F$16-$F$15)*2-1,AC$100:AG240,4,FALSE)))*EXP(-(LN(2)/$D$65+0.1)*(VLOOKUP(($F$16-$F$15)*2-1,AC$100:AG240,5,FALSE)))*EXP(-(LN(2)/$D$65+0.04)*AF240)*EXP(-(LN(2)/$D$65+0.1)*AG240),"-"))),"-")</f>
        <v>-</v>
      </c>
      <c r="AK240" s="227">
        <f t="shared" si="215"/>
        <v>140</v>
      </c>
      <c r="AL240" s="226" t="str">
        <f t="shared" si="189"/>
        <v>-</v>
      </c>
      <c r="AM240" s="227" t="str">
        <f t="shared" si="216"/>
        <v>-</v>
      </c>
      <c r="AN240" s="227" t="str">
        <f t="shared" si="217"/>
        <v>-</v>
      </c>
      <c r="AO240" s="227" t="str">
        <f t="shared" si="190"/>
        <v>-</v>
      </c>
      <c r="AP240" s="273">
        <f t="shared" si="218"/>
        <v>0.1</v>
      </c>
      <c r="AQ240" s="271" t="str">
        <f>IFERROR(IF(AL239=1,AQ$100*EXP(-(LN(2)/$D$65+0.04)*AN239)*EXP(-(LN(2)/$D$65+0.1)*AO239),IF(AL239=2,AQ$100*EXP(-(LN(2)/$D$65+0.04)*(VLOOKUP(($F$16-$F$15)-1,AK$99:AO239,4,FALSE)))*EXP(-(LN(2)/$D$65+0.1)*(VLOOKUP(($F$16-$F$15)-1,AK$99:AO239,5,FALSE)))*EXP(-(LN(2)/$D$65+0.04)*AN239)*EXP(-(LN(2)/$D$65+0.1)*AO239),IF(AL239=3,AQ$100*EXP(-(LN(2)/$D$65+0.04)*(VLOOKUP(($F$16-$F$15)-1,AK$99:AO239,4,FALSE)))*EXP(-(LN(2)/$D$65+0.1)*(VLOOKUP(($F$16-$F$15)-1,AK$99:AO239,5,FALSE)))*EXP(-(LN(2)/$D$65+0.04)*(VLOOKUP(($F$16-$F$15)*2-1,AK$99:AO239,4,FALSE)))*EXP(-(LN(2)/$D$65+0.1)*(VLOOKUP(($F$16-$F$15)*2-1,AK$99:AO239,5,FALSE)))*EXP(-(LN(2)/$D$65+0.04)*AN239)*EXP(-(LN(2)/$D$65+0.1)*AO239),"-"))),"-")</f>
        <v>-</v>
      </c>
      <c r="AR240" s="271" t="str">
        <f>IFERROR(IF(AL240=1,AR$100*EXP(-(LN(2)/$D$65+0.04)*AN240)*EXP(-(LN(2)/$D$65+0.1)*AO240),IF(AL240=2,AR$100*EXP(-(LN(2)/$D$65+0.04)*(VLOOKUP(($F$16-$F$15)-1,AK$100:AO240,4,FALSE)))*EXP(-(LN(2)/$D$65+0.1)*(VLOOKUP(($F$16-$F$15)-1,AK$100:AO240,5,FALSE)))*EXP(-(LN(2)/$D$65+0.04)*AN240)*EXP(-(LN(2)/$D$65+0.1)*AO240),IF(AL240=3,AR$100*EXP(-(LN(2)/$D$65+0.04)*(VLOOKUP(($F$16-$F$15)-1,AK$100:AO240,4,FALSE)))*EXP(-(LN(2)/$D$65+0.1)*(VLOOKUP(($F$16-$F$15)-1,AK$100:AO240,5,FALSE)))*EXP(-(LN(2)/$D$65+0.04)*(VLOOKUP(($F$16-$F$15)*2-1,AK$100:AO240,4,FALSE)))*EXP(-(LN(2)/$D$65+0.1)*(VLOOKUP(($F$16-$F$15)*2-1,AK$100:AO240,5,FALSE)))*EXP(-(LN(2)/$D$65+0.04)*AN240)*EXP(-(LN(2)/$D$65+0.1)*AO240),"-"))),"-")</f>
        <v>-</v>
      </c>
      <c r="AS240" s="274">
        <f t="shared" si="191"/>
        <v>0</v>
      </c>
      <c r="AT240" s="274">
        <f t="shared" si="192"/>
        <v>0</v>
      </c>
      <c r="AU240" s="274">
        <f t="shared" si="193"/>
        <v>0</v>
      </c>
      <c r="AV240" s="190" t="str">
        <f>IF($B240&lt;$F$22,SUM($T$100:$T240),"")</f>
        <v/>
      </c>
      <c r="AW240" s="190" t="str">
        <f t="shared" si="194"/>
        <v>-</v>
      </c>
      <c r="AX240" s="190" t="str">
        <f t="shared" si="219"/>
        <v/>
      </c>
      <c r="AY240"/>
      <c r="AZ240" s="190" t="str">
        <f ca="1">IF(ISNUMBER(OFFSET(AV240,-$F$21,0)),SUM(OFFSET($T$100,$F$21,0):$T240),"")</f>
        <v/>
      </c>
      <c r="BA240" s="190" t="str">
        <f t="shared" ca="1" si="195"/>
        <v/>
      </c>
      <c r="BB240" s="190" t="str">
        <f t="shared" ca="1" si="148"/>
        <v/>
      </c>
      <c r="BC240" s="190"/>
      <c r="BD240" s="190" t="str">
        <f ca="1">IFERROR(IF(OR(ISNUMBER(I),ISNUMBER($F$14)),IF(AND($B240&gt;=($F$16-$F$15),$B240&lt;$F$22+($F$16-$F$15)),SUM(OFFSET($T$100,($F$16-$F$15),0):$T240),""),""),"")</f>
        <v/>
      </c>
      <c r="BE240" s="190" t="str">
        <f t="shared" ca="1" si="220"/>
        <v/>
      </c>
      <c r="BF240" s="190" t="str">
        <f t="shared" ca="1" si="221"/>
        <v/>
      </c>
      <c r="BG240"/>
      <c r="BH240" s="190" t="str">
        <f ca="1">IF(ISNUMBER(OFFSET(BD240,-$F$21,0)),SUM(OFFSET($T$100,($F$16-$F$15+$F$21),0):$T240),"")</f>
        <v/>
      </c>
      <c r="BI240" s="190" t="str">
        <f t="shared" ca="1" si="196"/>
        <v/>
      </c>
      <c r="BJ240" s="190" t="str">
        <f t="shared" ca="1" si="222"/>
        <v/>
      </c>
      <c r="BK240" s="190"/>
      <c r="BL240" s="190" t="str">
        <f ca="1">IFERROR(IF(OR(ISNUMBER(I),ISNUMBER($F$14)),IF(AND($B240&gt;=($F$17-$F$15),$B240&lt;$F$22+($F$17-$F$15)),SUM(OFFSET($T$100,($F$17-$F$15),0):$T240),""),""),"")</f>
        <v/>
      </c>
      <c r="BM240" s="190" t="str">
        <f t="shared" ca="1" si="197"/>
        <v/>
      </c>
      <c r="BN240" s="190" t="str">
        <f t="shared" ca="1" si="223"/>
        <v/>
      </c>
      <c r="BO240"/>
      <c r="BP240" s="190" t="str">
        <f ca="1">IF(ISNUMBER(OFFSET(BL240,-$F$21,0)),SUM(OFFSET($T$100,($F$17-$F$15+$F$21),0):$T240),"")</f>
        <v/>
      </c>
      <c r="BQ240" s="190" t="str">
        <f t="shared" ca="1" si="198"/>
        <v/>
      </c>
      <c r="BR240" s="190" t="str">
        <f t="shared" ca="1" si="224"/>
        <v/>
      </c>
      <c r="BS240" s="190"/>
      <c r="BT240"/>
      <c r="BU240"/>
      <c r="BV240"/>
      <c r="BY240" s="99"/>
      <c r="BZ240" s="99"/>
      <c r="CA240" s="280" t="str">
        <f t="shared" si="199"/>
        <v/>
      </c>
      <c r="CB240" s="71" t="str">
        <f t="shared" si="200"/>
        <v>-</v>
      </c>
      <c r="CC240" s="33"/>
      <c r="CD240" s="261" t="str">
        <f t="shared" si="201"/>
        <v/>
      </c>
      <c r="CE240" s="280" t="str">
        <f t="shared" si="202"/>
        <v/>
      </c>
      <c r="CF240" s="71" t="str">
        <f t="shared" ca="1" si="203"/>
        <v/>
      </c>
      <c r="CG240" s="33" t="str">
        <f t="shared" si="204"/>
        <v/>
      </c>
      <c r="CH240" s="261" t="str">
        <f t="shared" ca="1" si="205"/>
        <v/>
      </c>
    </row>
    <row r="241" spans="2:86" ht="13.5" customHeight="1" x14ac:dyDescent="0.2">
      <c r="B241" s="262">
        <v>141</v>
      </c>
      <c r="C241" s="237" t="str">
        <f t="shared" si="169"/>
        <v/>
      </c>
      <c r="D241" s="237" t="str">
        <f t="shared" si="225"/>
        <v/>
      </c>
      <c r="E241" s="263" t="str">
        <f t="shared" si="206"/>
        <v/>
      </c>
      <c r="F241" s="264" t="str">
        <f t="shared" si="207"/>
        <v/>
      </c>
      <c r="G241" s="264" t="str">
        <f t="shared" si="208"/>
        <v/>
      </c>
      <c r="H241" s="240" t="str">
        <f t="shared" si="170"/>
        <v/>
      </c>
      <c r="I241" s="265" t="str">
        <f t="shared" si="171"/>
        <v/>
      </c>
      <c r="J241" s="265" t="str">
        <f t="shared" si="172"/>
        <v/>
      </c>
      <c r="K241" s="240" t="str">
        <f t="shared" si="173"/>
        <v/>
      </c>
      <c r="L241" s="265" t="str">
        <f t="shared" si="174"/>
        <v/>
      </c>
      <c r="M241" s="265" t="str">
        <f t="shared" si="175"/>
        <v/>
      </c>
      <c r="N241" s="240" t="str">
        <f t="shared" si="176"/>
        <v>-</v>
      </c>
      <c r="O241" s="265" t="str">
        <f t="shared" si="177"/>
        <v>-</v>
      </c>
      <c r="P241" s="265" t="str">
        <f t="shared" si="178"/>
        <v>-</v>
      </c>
      <c r="Q241" s="266" t="str">
        <f t="shared" si="179"/>
        <v>-</v>
      </c>
      <c r="R241" s="267" t="str">
        <f t="shared" si="180"/>
        <v>-</v>
      </c>
      <c r="S241" s="268" t="str">
        <f t="shared" si="181"/>
        <v>-</v>
      </c>
      <c r="T241" s="269" t="str">
        <f t="shared" si="182"/>
        <v/>
      </c>
      <c r="U241" s="221">
        <f t="shared" si="183"/>
        <v>141</v>
      </c>
      <c r="V241" s="220" t="str">
        <f t="shared" si="209"/>
        <v>-</v>
      </c>
      <c r="W241" s="221" t="str">
        <f t="shared" si="210"/>
        <v>-</v>
      </c>
      <c r="X241" s="221" t="str">
        <f t="shared" si="184"/>
        <v>-</v>
      </c>
      <c r="Y241" s="221" t="str">
        <f t="shared" si="185"/>
        <v>-</v>
      </c>
      <c r="Z241" s="270">
        <f t="shared" si="211"/>
        <v>0.1</v>
      </c>
      <c r="AA241" s="271" t="str">
        <f>IFERROR(IF(V240=1,AA$100*EXP(-(LN(2)/$D$65+0.04)*X240)*EXP(-(LN(2)/$D$65+0.1)*Y240),IF(V240=2,AA$100*EXP(-(LN(2)/$D$65+0.04)*(VLOOKUP(($F$16-$F$15)-1,U$99:Y240,4,FALSE)))*EXP(-(LN(2)/$D$65+0.1)*(VLOOKUP(($F$16-$F$15)-1,U$99:Y240,5,FALSE)))*EXP(-(LN(2)/$D$65+0.04)*X240)*EXP(-(LN(2)/$D$65+0.1)*Y240),IF(V240=3,AA$100*EXP(-(LN(2)/$D$65+0.04)*(VLOOKUP(($F$16-$F$15)-1,U$99:Y240,4,FALSE)))*EXP(-(LN(2)/$D$65+0.1)*(VLOOKUP(($F$16-$F$15)-1,U$99:Y240,5,FALSE)))*EXP(-(LN(2)/$D$65+0.04)*(VLOOKUP(($F$16-$F$15)*2-1,U$99:Y240,4,FALSE)))*EXP(-(LN(2)/$D$65+0.1)*(VLOOKUP(($F$16-$F$15)*2-1,U$99:Y240,5,FALSE)))*EXP(-(LN(2)/$D$65+0.04)*X240)*EXP(-(LN(2)/$D$65+0.1)*Y240),"-"))),"-")</f>
        <v>-</v>
      </c>
      <c r="AB241" s="271" t="str">
        <f>IFERROR(IF(V241=1,AB$100*EXP(-(LN(2)/$D$65+0.04)*X241)*EXP(-(LN(2)/$D$65+0.1)*Y241),IF(V241=2,AB$100*EXP(-(LN(2)/$D$65+0.04)*(VLOOKUP(($F$16-$F$15)-1,U$100:Y241,4,FALSE)))*EXP(-(LN(2)/$D$65+0.1)*(VLOOKUP(($F$16-$F$15)-1,U$100:Y241,5,FALSE)))*EXP(-(LN(2)/$D$65+0.04)*X241)*EXP(-(LN(2)/$D$65+0.1)*Y241),IF(V241=3,AB$100*EXP(-(LN(2)/$D$65+0.04)*(VLOOKUP(($F$16-$F$15)-1,U$100:Y241,4,FALSE)))*EXP(-(LN(2)/$D$65+0.1)*(VLOOKUP(($F$16-$F$15)-1,U$100:Y241,5,FALSE)))*EXP(-(LN(2)/$D$65+0.04)*(VLOOKUP(($F$16-$F$15)*2-1,U$100:Y241,4,FALSE)))*EXP(-(LN(2)/$D$65+0.1)*(VLOOKUP(($F$16-$F$15)*2-1,U$100:Y241,5,FALSE)))*EXP(-(LN(2)/$D$65+0.04)*X241)*EXP(-(LN(2)/$D$65+0.1)*Y241),"-"))),"-")</f>
        <v>-</v>
      </c>
      <c r="AC241" s="224">
        <f>B241</f>
        <v>141</v>
      </c>
      <c r="AD241" s="223" t="str">
        <f t="shared" si="186"/>
        <v>-</v>
      </c>
      <c r="AE241" s="224" t="str">
        <f t="shared" si="213"/>
        <v>-</v>
      </c>
      <c r="AF241" s="224" t="str">
        <f t="shared" si="187"/>
        <v>-</v>
      </c>
      <c r="AG241" s="224" t="str">
        <f t="shared" si="188"/>
        <v>-</v>
      </c>
      <c r="AH241" s="272">
        <f t="shared" si="214"/>
        <v>0.1</v>
      </c>
      <c r="AI241" s="271" t="str">
        <f>IFERROR(IF(AD240=1,AI$100*EXP(-(LN(2)/$D$65+0.04)*AF240)*EXP(-(LN(2)/$D$65+0.1)*AG240),IF(AD240=2,AI$100*EXP(-(LN(2)/$D$65+0.04)*(VLOOKUP(($F$16-$F$15)-1,AC$99:AG240,4,FALSE)))*EXP(-(LN(2)/$D$65+0.1)*(VLOOKUP(($F$16-$F$15)-1,AC$99:AG240,5,FALSE)))*EXP(-(LN(2)/$D$65+0.04)*AF240)*EXP(-(LN(2)/$D$65+0.1)*AG240),IF(AD240=3,AI$100*EXP(-(LN(2)/$D$65+0.04)*(VLOOKUP(($F$16-$F$15)-1,AC$99:AG240,4,FALSE)))*EXP(-(LN(2)/$D$65+0.1)*(VLOOKUP(($F$16-$F$15)-1,AC$99:AG240,5,FALSE)))*EXP(-(LN(2)/$D$65+0.04)*(VLOOKUP(($F$16-$F$15)*2-1,AC$99:AG240,4,FALSE)))*EXP(-(LN(2)/$D$65+0.1)*(VLOOKUP(($F$16-$F$15)*2-1,AC$99:AG240,5,FALSE)))*EXP(-(LN(2)/$D$65+0.04)*AF240)*EXP(-(LN(2)/$D$65+0.1)*AG240),"-"))),"-")</f>
        <v>-</v>
      </c>
      <c r="AJ241" s="271" t="str">
        <f>IFERROR(IF(AD241=1,AJ$100*EXP(-(LN(2)/$D$65+0.04)*AF241)*EXP(-(LN(2)/$D$65+0.1)*AG241),IF(AD241=2,AJ$100*EXP(-(LN(2)/$D$65+0.04)*(VLOOKUP(($F$16-$F$15)-1,AC$100:AG241,4,FALSE)))*EXP(-(LN(2)/$D$65+0.1)*(VLOOKUP(($F$16-$F$15)-1,AC$100:AG241,5,FALSE)))*EXP(-(LN(2)/$D$65+0.04)*AF241)*EXP(-(LN(2)/$D$65+0.1)*AG241),IF(AD241=3,AJ$100*EXP(-(LN(2)/$D$65+0.04)*(VLOOKUP(($F$16-$F$15)-1,AC$100:AG241,4,FALSE)))*EXP(-(LN(2)/$D$65+0.1)*(VLOOKUP(($F$16-$F$15)-1,AC$100:AG241,5,FALSE)))*EXP(-(LN(2)/$D$65+0.04)*(VLOOKUP(($F$16-$F$15)*2-1,AC$100:AG241,4,FALSE)))*EXP(-(LN(2)/$D$65+0.1)*(VLOOKUP(($F$16-$F$15)*2-1,AC$100:AG241,5,FALSE)))*EXP(-(LN(2)/$D$65+0.04)*AF241)*EXP(-(LN(2)/$D$65+0.1)*AG241),"-"))),"-")</f>
        <v>-</v>
      </c>
      <c r="AK241" s="227">
        <f t="shared" si="215"/>
        <v>141</v>
      </c>
      <c r="AL241" s="226" t="str">
        <f t="shared" si="189"/>
        <v>-</v>
      </c>
      <c r="AM241" s="227" t="str">
        <f t="shared" si="216"/>
        <v>-</v>
      </c>
      <c r="AN241" s="227" t="str">
        <f t="shared" si="217"/>
        <v>-</v>
      </c>
      <c r="AO241" s="227" t="str">
        <f t="shared" si="190"/>
        <v>-</v>
      </c>
      <c r="AP241" s="273">
        <f t="shared" si="218"/>
        <v>0.1</v>
      </c>
      <c r="AQ241" s="271" t="str">
        <f>IFERROR(IF(AL240=1,AQ$100*EXP(-(LN(2)/$D$65+0.04)*AN240)*EXP(-(LN(2)/$D$65+0.1)*AO240),IF(AL240=2,AQ$100*EXP(-(LN(2)/$D$65+0.04)*(VLOOKUP(($F$16-$F$15)-1,AK$99:AO240,4,FALSE)))*EXP(-(LN(2)/$D$65+0.1)*(VLOOKUP(($F$16-$F$15)-1,AK$99:AO240,5,FALSE)))*EXP(-(LN(2)/$D$65+0.04)*AN240)*EXP(-(LN(2)/$D$65+0.1)*AO240),IF(AL240=3,AQ$100*EXP(-(LN(2)/$D$65+0.04)*(VLOOKUP(($F$16-$F$15)-1,AK$99:AO240,4,FALSE)))*EXP(-(LN(2)/$D$65+0.1)*(VLOOKUP(($F$16-$F$15)-1,AK$99:AO240,5,FALSE)))*EXP(-(LN(2)/$D$65+0.04)*(VLOOKUP(($F$16-$F$15)*2-1,AK$99:AO240,4,FALSE)))*EXP(-(LN(2)/$D$65+0.1)*(VLOOKUP(($F$16-$F$15)*2-1,AK$99:AO240,5,FALSE)))*EXP(-(LN(2)/$D$65+0.04)*AN240)*EXP(-(LN(2)/$D$65+0.1)*AO240),"-"))),"-")</f>
        <v>-</v>
      </c>
      <c r="AR241" s="271" t="str">
        <f>IFERROR(IF(AL241=1,AR$100*EXP(-(LN(2)/$D$65+0.04)*AN241)*EXP(-(LN(2)/$D$65+0.1)*AO241),IF(AL241=2,AR$100*EXP(-(LN(2)/$D$65+0.04)*(VLOOKUP(($F$16-$F$15)-1,AK$100:AO241,4,FALSE)))*EXP(-(LN(2)/$D$65+0.1)*(VLOOKUP(($F$16-$F$15)-1,AK$100:AO241,5,FALSE)))*EXP(-(LN(2)/$D$65+0.04)*AN241)*EXP(-(LN(2)/$D$65+0.1)*AO241),IF(AL241=3,AR$100*EXP(-(LN(2)/$D$65+0.04)*(VLOOKUP(($F$16-$F$15)-1,AK$100:AO241,4,FALSE)))*EXP(-(LN(2)/$D$65+0.1)*(VLOOKUP(($F$16-$F$15)-1,AK$100:AO241,5,FALSE)))*EXP(-(LN(2)/$D$65+0.04)*(VLOOKUP(($F$16-$F$15)*2-1,AK$100:AO241,4,FALSE)))*EXP(-(LN(2)/$D$65+0.1)*(VLOOKUP(($F$16-$F$15)*2-1,AK$100:AO241,5,FALSE)))*EXP(-(LN(2)/$D$65+0.04)*AN241)*EXP(-(LN(2)/$D$65+0.1)*AO241),"-"))),"-")</f>
        <v>-</v>
      </c>
      <c r="AS241" s="274">
        <f t="shared" si="191"/>
        <v>0</v>
      </c>
      <c r="AT241" s="274">
        <f t="shared" si="192"/>
        <v>0</v>
      </c>
      <c r="AU241" s="274">
        <f t="shared" si="193"/>
        <v>0</v>
      </c>
      <c r="AV241" s="190" t="str">
        <f>IF($B241&lt;$F$22,SUM($T$100:$T241),"")</f>
        <v/>
      </c>
      <c r="AW241" s="190" t="str">
        <f t="shared" si="194"/>
        <v>-</v>
      </c>
      <c r="AX241" s="190" t="str">
        <f t="shared" si="219"/>
        <v/>
      </c>
      <c r="AY241"/>
      <c r="AZ241" s="190" t="str">
        <f ca="1">IF(ISNUMBER(OFFSET(AV241,-$F$21,0)),SUM(OFFSET($T$100,$F$21,0):$T241),"")</f>
        <v/>
      </c>
      <c r="BA241" s="190" t="str">
        <f t="shared" ca="1" si="195"/>
        <v/>
      </c>
      <c r="BB241" s="190" t="str">
        <f t="shared" ca="1" si="148"/>
        <v/>
      </c>
      <c r="BC241" s="190"/>
      <c r="BD241" s="190" t="str">
        <f ca="1">IFERROR(IF(OR(ISNUMBER(I),ISNUMBER($F$14)),IF(AND($B241&gt;=($F$16-$F$15),$B241&lt;$F$22+($F$16-$F$15)),SUM(OFFSET($T$100,($F$16-$F$15),0):$T241),""),""),"")</f>
        <v/>
      </c>
      <c r="BE241" s="190" t="str">
        <f t="shared" ca="1" si="220"/>
        <v/>
      </c>
      <c r="BF241" s="190" t="str">
        <f t="shared" ca="1" si="221"/>
        <v/>
      </c>
      <c r="BG241"/>
      <c r="BH241" s="190" t="str">
        <f ca="1">IF(ISNUMBER(OFFSET(BD241,-$F$21,0)),SUM(OFFSET($T$100,($F$16-$F$15+$F$21),0):$T241),"")</f>
        <v/>
      </c>
      <c r="BI241" s="190" t="str">
        <f t="shared" ca="1" si="196"/>
        <v/>
      </c>
      <c r="BJ241" s="190" t="str">
        <f t="shared" ca="1" si="222"/>
        <v/>
      </c>
      <c r="BK241" s="190"/>
      <c r="BL241" s="190" t="str">
        <f ca="1">IFERROR(IF(OR(ISNUMBER(I),ISNUMBER($F$14)),IF(AND($B241&gt;=($F$17-$F$15),$B241&lt;$F$22+($F$17-$F$15)),SUM(OFFSET($T$100,($F$17-$F$15),0):$T241),""),""),"")</f>
        <v/>
      </c>
      <c r="BM241" s="190" t="str">
        <f t="shared" ca="1" si="197"/>
        <v/>
      </c>
      <c r="BN241" s="190" t="str">
        <f t="shared" ca="1" si="223"/>
        <v/>
      </c>
      <c r="BO241"/>
      <c r="BP241" s="190" t="str">
        <f ca="1">IF(ISNUMBER(OFFSET(BL241,-$F$21,0)),SUM(OFFSET($T$100,($F$17-$F$15+$F$21),0):$T241),"")</f>
        <v/>
      </c>
      <c r="BQ241" s="190" t="str">
        <f t="shared" ca="1" si="198"/>
        <v/>
      </c>
      <c r="BR241" s="190" t="str">
        <f t="shared" ca="1" si="224"/>
        <v/>
      </c>
      <c r="BS241" s="190"/>
      <c r="BT241"/>
      <c r="BU241"/>
      <c r="BV241"/>
      <c r="BY241" s="99"/>
      <c r="BZ241" s="99"/>
      <c r="CA241" s="280" t="str">
        <f t="shared" si="199"/>
        <v/>
      </c>
      <c r="CB241" s="71" t="str">
        <f t="shared" si="200"/>
        <v>-</v>
      </c>
      <c r="CC241" s="33"/>
      <c r="CD241" s="261" t="str">
        <f t="shared" si="201"/>
        <v/>
      </c>
      <c r="CE241" s="280" t="str">
        <f t="shared" si="202"/>
        <v/>
      </c>
      <c r="CF241" s="71" t="str">
        <f t="shared" ca="1" si="203"/>
        <v/>
      </c>
      <c r="CG241" s="33" t="str">
        <f t="shared" si="204"/>
        <v/>
      </c>
      <c r="CH241" s="261" t="str">
        <f t="shared" ca="1" si="205"/>
        <v/>
      </c>
    </row>
    <row r="242" spans="2:86" ht="13.5" customHeight="1" x14ac:dyDescent="0.2">
      <c r="B242" s="262">
        <v>142</v>
      </c>
      <c r="C242" s="237" t="str">
        <f t="shared" si="169"/>
        <v/>
      </c>
      <c r="D242" s="237" t="str">
        <f t="shared" si="225"/>
        <v/>
      </c>
      <c r="E242" s="263" t="str">
        <f t="shared" si="206"/>
        <v/>
      </c>
      <c r="F242" s="264" t="str">
        <f t="shared" si="207"/>
        <v/>
      </c>
      <c r="G242" s="264" t="str">
        <f t="shared" si="208"/>
        <v/>
      </c>
      <c r="H242" s="240" t="str">
        <f t="shared" si="170"/>
        <v/>
      </c>
      <c r="I242" s="265" t="str">
        <f t="shared" si="171"/>
        <v/>
      </c>
      <c r="J242" s="265" t="str">
        <f t="shared" si="172"/>
        <v/>
      </c>
      <c r="K242" s="240" t="str">
        <f t="shared" si="173"/>
        <v/>
      </c>
      <c r="L242" s="265" t="str">
        <f t="shared" si="174"/>
        <v/>
      </c>
      <c r="M242" s="265" t="str">
        <f t="shared" si="175"/>
        <v/>
      </c>
      <c r="N242" s="240" t="str">
        <f t="shared" si="176"/>
        <v>-</v>
      </c>
      <c r="O242" s="265" t="str">
        <f t="shared" si="177"/>
        <v>-</v>
      </c>
      <c r="P242" s="265" t="str">
        <f t="shared" si="178"/>
        <v>-</v>
      </c>
      <c r="Q242" s="266" t="str">
        <f t="shared" si="179"/>
        <v>-</v>
      </c>
      <c r="R242" s="267" t="str">
        <f t="shared" si="180"/>
        <v>-</v>
      </c>
      <c r="S242" s="268" t="str">
        <f t="shared" si="181"/>
        <v>-</v>
      </c>
      <c r="T242" s="269" t="str">
        <f t="shared" si="182"/>
        <v/>
      </c>
      <c r="U242" s="221">
        <f t="shared" si="183"/>
        <v>142</v>
      </c>
      <c r="V242" s="220" t="str">
        <f t="shared" si="209"/>
        <v>-</v>
      </c>
      <c r="W242" s="221" t="str">
        <f t="shared" si="210"/>
        <v>-</v>
      </c>
      <c r="X242" s="221" t="str">
        <f t="shared" si="184"/>
        <v>-</v>
      </c>
      <c r="Y242" s="221" t="str">
        <f t="shared" si="185"/>
        <v>-</v>
      </c>
      <c r="Z242" s="270">
        <f t="shared" si="211"/>
        <v>0.1</v>
      </c>
      <c r="AA242" s="271" t="str">
        <f>IFERROR(IF(V241=1,AA$100*EXP(-(LN(2)/$D$65+0.04)*X241)*EXP(-(LN(2)/$D$65+0.1)*Y241),IF(V241=2,AA$100*EXP(-(LN(2)/$D$65+0.04)*(VLOOKUP(($F$16-$F$15)-1,U$99:Y241,4,FALSE)))*EXP(-(LN(2)/$D$65+0.1)*(VLOOKUP(($F$16-$F$15)-1,U$99:Y241,5,FALSE)))*EXP(-(LN(2)/$D$65+0.04)*X241)*EXP(-(LN(2)/$D$65+0.1)*Y241),IF(V241=3,AA$100*EXP(-(LN(2)/$D$65+0.04)*(VLOOKUP(($F$16-$F$15)-1,U$99:Y241,4,FALSE)))*EXP(-(LN(2)/$D$65+0.1)*(VLOOKUP(($F$16-$F$15)-1,U$99:Y241,5,FALSE)))*EXP(-(LN(2)/$D$65+0.04)*(VLOOKUP(($F$16-$F$15)*2-1,U$99:Y241,4,FALSE)))*EXP(-(LN(2)/$D$65+0.1)*(VLOOKUP(($F$16-$F$15)*2-1,U$99:Y241,5,FALSE)))*EXP(-(LN(2)/$D$65+0.04)*X241)*EXP(-(LN(2)/$D$65+0.1)*Y241),"-"))),"-")</f>
        <v>-</v>
      </c>
      <c r="AB242" s="271" t="str">
        <f>IFERROR(IF(V242=1,AB$100*EXP(-(LN(2)/$D$65+0.04)*X242)*EXP(-(LN(2)/$D$65+0.1)*Y242),IF(V242=2,AB$100*EXP(-(LN(2)/$D$65+0.04)*(VLOOKUP(($F$16-$F$15)-1,U$100:Y242,4,FALSE)))*EXP(-(LN(2)/$D$65+0.1)*(VLOOKUP(($F$16-$F$15)-1,U$100:Y242,5,FALSE)))*EXP(-(LN(2)/$D$65+0.04)*X242)*EXP(-(LN(2)/$D$65+0.1)*Y242),IF(V242=3,AB$100*EXP(-(LN(2)/$D$65+0.04)*(VLOOKUP(($F$16-$F$15)-1,U$100:Y242,4,FALSE)))*EXP(-(LN(2)/$D$65+0.1)*(VLOOKUP(($F$16-$F$15)-1,U$100:Y242,5,FALSE)))*EXP(-(LN(2)/$D$65+0.04)*(VLOOKUP(($F$16-$F$15)*2-1,U$100:Y242,4,FALSE)))*EXP(-(LN(2)/$D$65+0.1)*(VLOOKUP(($F$16-$F$15)*2-1,U$100:Y242,5,FALSE)))*EXP(-(LN(2)/$D$65+0.04)*X242)*EXP(-(LN(2)/$D$65+0.1)*Y242),"-"))),"-")</f>
        <v>-</v>
      </c>
      <c r="AC242" s="224">
        <f t="shared" ref="AC242:AC250" si="226">B242</f>
        <v>142</v>
      </c>
      <c r="AD242" s="223" t="str">
        <f t="shared" si="186"/>
        <v>-</v>
      </c>
      <c r="AE242" s="224" t="str">
        <f t="shared" si="213"/>
        <v>-</v>
      </c>
      <c r="AF242" s="224" t="str">
        <f t="shared" si="187"/>
        <v>-</v>
      </c>
      <c r="AG242" s="224" t="str">
        <f t="shared" si="188"/>
        <v>-</v>
      </c>
      <c r="AH242" s="272">
        <f t="shared" si="214"/>
        <v>0.1</v>
      </c>
      <c r="AI242" s="271" t="str">
        <f>IFERROR(IF(AD241=1,AI$100*EXP(-(LN(2)/$D$65+0.04)*AF241)*EXP(-(LN(2)/$D$65+0.1)*AG241),IF(AD241=2,AI$100*EXP(-(LN(2)/$D$65+0.04)*(VLOOKUP(($F$16-$F$15)-1,AC$99:AG241,4,FALSE)))*EXP(-(LN(2)/$D$65+0.1)*(VLOOKUP(($F$16-$F$15)-1,AC$99:AG241,5,FALSE)))*EXP(-(LN(2)/$D$65+0.04)*AF241)*EXP(-(LN(2)/$D$65+0.1)*AG241),IF(AD241=3,AI$100*EXP(-(LN(2)/$D$65+0.04)*(VLOOKUP(($F$16-$F$15)-1,AC$99:AG241,4,FALSE)))*EXP(-(LN(2)/$D$65+0.1)*(VLOOKUP(($F$16-$F$15)-1,AC$99:AG241,5,FALSE)))*EXP(-(LN(2)/$D$65+0.04)*(VLOOKUP(($F$16-$F$15)*2-1,AC$99:AG241,4,FALSE)))*EXP(-(LN(2)/$D$65+0.1)*(VLOOKUP(($F$16-$F$15)*2-1,AC$99:AG241,5,FALSE)))*EXP(-(LN(2)/$D$65+0.04)*AF241)*EXP(-(LN(2)/$D$65+0.1)*AG241),"-"))),"-")</f>
        <v>-</v>
      </c>
      <c r="AJ242" s="271" t="str">
        <f>IFERROR(IF(AD242=1,AJ$100*EXP(-(LN(2)/$D$65+0.04)*AF242)*EXP(-(LN(2)/$D$65+0.1)*AG242),IF(AD242=2,AJ$100*EXP(-(LN(2)/$D$65+0.04)*(VLOOKUP(($F$16-$F$15)-1,AC$100:AG242,4,FALSE)))*EXP(-(LN(2)/$D$65+0.1)*(VLOOKUP(($F$16-$F$15)-1,AC$100:AG242,5,FALSE)))*EXP(-(LN(2)/$D$65+0.04)*AF242)*EXP(-(LN(2)/$D$65+0.1)*AG242),IF(AD242=3,AJ$100*EXP(-(LN(2)/$D$65+0.04)*(VLOOKUP(($F$16-$F$15)-1,AC$100:AG242,4,FALSE)))*EXP(-(LN(2)/$D$65+0.1)*(VLOOKUP(($F$16-$F$15)-1,AC$100:AG242,5,FALSE)))*EXP(-(LN(2)/$D$65+0.04)*(VLOOKUP(($F$16-$F$15)*2-1,AC$100:AG242,4,FALSE)))*EXP(-(LN(2)/$D$65+0.1)*(VLOOKUP(($F$16-$F$15)*2-1,AC$100:AG242,5,FALSE)))*EXP(-(LN(2)/$D$65+0.04)*AF242)*EXP(-(LN(2)/$D$65+0.1)*AG242),"-"))),"-")</f>
        <v>-</v>
      </c>
      <c r="AK242" s="227">
        <f t="shared" si="215"/>
        <v>142</v>
      </c>
      <c r="AL242" s="226" t="str">
        <f t="shared" si="189"/>
        <v>-</v>
      </c>
      <c r="AM242" s="227" t="str">
        <f t="shared" si="216"/>
        <v>-</v>
      </c>
      <c r="AN242" s="227" t="str">
        <f t="shared" si="217"/>
        <v>-</v>
      </c>
      <c r="AO242" s="227" t="str">
        <f t="shared" si="190"/>
        <v>-</v>
      </c>
      <c r="AP242" s="273">
        <f t="shared" si="218"/>
        <v>0.1</v>
      </c>
      <c r="AQ242" s="271" t="str">
        <f>IFERROR(IF(AL241=1,AQ$100*EXP(-(LN(2)/$D$65+0.04)*AN241)*EXP(-(LN(2)/$D$65+0.1)*AO241),IF(AL241=2,AQ$100*EXP(-(LN(2)/$D$65+0.04)*(VLOOKUP(($F$16-$F$15)-1,AK$99:AO241,4,FALSE)))*EXP(-(LN(2)/$D$65+0.1)*(VLOOKUP(($F$16-$F$15)-1,AK$99:AO241,5,FALSE)))*EXP(-(LN(2)/$D$65+0.04)*AN241)*EXP(-(LN(2)/$D$65+0.1)*AO241),IF(AL241=3,AQ$100*EXP(-(LN(2)/$D$65+0.04)*(VLOOKUP(($F$16-$F$15)-1,AK$99:AO241,4,FALSE)))*EXP(-(LN(2)/$D$65+0.1)*(VLOOKUP(($F$16-$F$15)-1,AK$99:AO241,5,FALSE)))*EXP(-(LN(2)/$D$65+0.04)*(VLOOKUP(($F$16-$F$15)*2-1,AK$99:AO241,4,FALSE)))*EXP(-(LN(2)/$D$65+0.1)*(VLOOKUP(($F$16-$F$15)*2-1,AK$99:AO241,5,FALSE)))*EXP(-(LN(2)/$D$65+0.04)*AN241)*EXP(-(LN(2)/$D$65+0.1)*AO241),"-"))),"-")</f>
        <v>-</v>
      </c>
      <c r="AR242" s="271" t="str">
        <f>IFERROR(IF(AL242=1,AR$100*EXP(-(LN(2)/$D$65+0.04)*AN242)*EXP(-(LN(2)/$D$65+0.1)*AO242),IF(AL242=2,AR$100*EXP(-(LN(2)/$D$65+0.04)*(VLOOKUP(($F$16-$F$15)-1,AK$100:AO242,4,FALSE)))*EXP(-(LN(2)/$D$65+0.1)*(VLOOKUP(($F$16-$F$15)-1,AK$100:AO242,5,FALSE)))*EXP(-(LN(2)/$D$65+0.04)*AN242)*EXP(-(LN(2)/$D$65+0.1)*AO242),IF(AL242=3,AR$100*EXP(-(LN(2)/$D$65+0.04)*(VLOOKUP(($F$16-$F$15)-1,AK$100:AO242,4,FALSE)))*EXP(-(LN(2)/$D$65+0.1)*(VLOOKUP(($F$16-$F$15)-1,AK$100:AO242,5,FALSE)))*EXP(-(LN(2)/$D$65+0.04)*(VLOOKUP(($F$16-$F$15)*2-1,AK$100:AO242,4,FALSE)))*EXP(-(LN(2)/$D$65+0.1)*(VLOOKUP(($F$16-$F$15)*2-1,AK$100:AO242,5,FALSE)))*EXP(-(LN(2)/$D$65+0.04)*AN242)*EXP(-(LN(2)/$D$65+0.1)*AO242),"-"))),"-")</f>
        <v>-</v>
      </c>
      <c r="AS242" s="274">
        <f t="shared" si="191"/>
        <v>0</v>
      </c>
      <c r="AT242" s="274">
        <f t="shared" si="192"/>
        <v>0</v>
      </c>
      <c r="AU242" s="274">
        <f t="shared" si="193"/>
        <v>0</v>
      </c>
      <c r="AV242" s="190" t="str">
        <f>IF($B242&lt;$F$22,SUM($T$100:$T242),"")</f>
        <v/>
      </c>
      <c r="AW242" s="190" t="str">
        <f t="shared" si="194"/>
        <v>-</v>
      </c>
      <c r="AX242" s="190" t="str">
        <f t="shared" si="219"/>
        <v/>
      </c>
      <c r="AY242"/>
      <c r="AZ242" s="190" t="str">
        <f ca="1">IF(ISNUMBER(OFFSET(AV242,-$F$21,0)),SUM(OFFSET($T$100,$F$21,0):$T242),"")</f>
        <v/>
      </c>
      <c r="BA242" s="190" t="str">
        <f t="shared" ca="1" si="195"/>
        <v/>
      </c>
      <c r="BB242" s="190" t="str">
        <f t="shared" ca="1" si="148"/>
        <v/>
      </c>
      <c r="BC242" s="190"/>
      <c r="BD242" s="190" t="str">
        <f ca="1">IFERROR(IF(OR(ISNUMBER(I),ISNUMBER($F$14)),IF(AND($B242&gt;=($F$16-$F$15),$B242&lt;$F$22+($F$16-$F$15)),SUM(OFFSET($T$100,($F$16-$F$15),0):$T242),""),""),"")</f>
        <v/>
      </c>
      <c r="BE242" s="190" t="str">
        <f t="shared" ca="1" si="220"/>
        <v/>
      </c>
      <c r="BF242" s="190" t="str">
        <f t="shared" ca="1" si="221"/>
        <v/>
      </c>
      <c r="BG242"/>
      <c r="BH242" s="190" t="str">
        <f ca="1">IF(ISNUMBER(OFFSET(BD242,-$F$21,0)),SUM(OFFSET($T$100,($F$16-$F$15+$F$21),0):$T242),"")</f>
        <v/>
      </c>
      <c r="BI242" s="190" t="str">
        <f t="shared" ca="1" si="196"/>
        <v/>
      </c>
      <c r="BJ242" s="190" t="str">
        <f t="shared" ca="1" si="222"/>
        <v/>
      </c>
      <c r="BK242" s="190"/>
      <c r="BL242" s="190" t="str">
        <f ca="1">IFERROR(IF(OR(ISNUMBER(I),ISNUMBER($F$14)),IF(AND($B242&gt;=($F$17-$F$15),$B242&lt;$F$22+($F$17-$F$15)),SUM(OFFSET($T$100,($F$17-$F$15),0):$T242),""),""),"")</f>
        <v/>
      </c>
      <c r="BM242" s="190" t="str">
        <f t="shared" ca="1" si="197"/>
        <v/>
      </c>
      <c r="BN242" s="190" t="str">
        <f t="shared" ca="1" si="223"/>
        <v/>
      </c>
      <c r="BO242"/>
      <c r="BP242" s="190" t="str">
        <f ca="1">IF(ISNUMBER(OFFSET(BL242,-$F$21,0)),SUM(OFFSET($T$100,($F$17-$F$15+$F$21),0):$T242),"")</f>
        <v/>
      </c>
      <c r="BQ242" s="190" t="str">
        <f t="shared" ca="1" si="198"/>
        <v/>
      </c>
      <c r="BR242" s="190" t="str">
        <f t="shared" ca="1" si="224"/>
        <v/>
      </c>
      <c r="BS242" s="190"/>
      <c r="BT242"/>
      <c r="BU242"/>
      <c r="BV242"/>
      <c r="BY242" s="99"/>
      <c r="BZ242" s="99"/>
      <c r="CA242" s="280" t="str">
        <f t="shared" si="199"/>
        <v/>
      </c>
      <c r="CB242" s="71" t="str">
        <f t="shared" si="200"/>
        <v>-</v>
      </c>
      <c r="CC242" s="33"/>
      <c r="CD242" s="261" t="str">
        <f t="shared" si="201"/>
        <v/>
      </c>
      <c r="CE242" s="280" t="str">
        <f t="shared" si="202"/>
        <v/>
      </c>
      <c r="CF242" s="71" t="str">
        <f t="shared" ca="1" si="203"/>
        <v/>
      </c>
      <c r="CG242" s="33" t="str">
        <f t="shared" si="204"/>
        <v/>
      </c>
      <c r="CH242" s="261" t="str">
        <f t="shared" ca="1" si="205"/>
        <v/>
      </c>
    </row>
    <row r="243" spans="2:86" ht="13.5" customHeight="1" x14ac:dyDescent="0.2">
      <c r="B243" s="262">
        <v>143</v>
      </c>
      <c r="C243" s="237" t="str">
        <f t="shared" si="169"/>
        <v/>
      </c>
      <c r="D243" s="237" t="str">
        <f t="shared" si="225"/>
        <v/>
      </c>
      <c r="E243" s="263" t="str">
        <f t="shared" si="206"/>
        <v/>
      </c>
      <c r="F243" s="264" t="str">
        <f t="shared" si="207"/>
        <v/>
      </c>
      <c r="G243" s="264" t="str">
        <f t="shared" si="208"/>
        <v/>
      </c>
      <c r="H243" s="240" t="str">
        <f t="shared" si="170"/>
        <v/>
      </c>
      <c r="I243" s="265" t="str">
        <f t="shared" si="171"/>
        <v/>
      </c>
      <c r="J243" s="265" t="str">
        <f t="shared" si="172"/>
        <v/>
      </c>
      <c r="K243" s="240" t="str">
        <f t="shared" si="173"/>
        <v/>
      </c>
      <c r="L243" s="265" t="str">
        <f t="shared" si="174"/>
        <v/>
      </c>
      <c r="M243" s="265" t="str">
        <f t="shared" si="175"/>
        <v/>
      </c>
      <c r="N243" s="240" t="str">
        <f t="shared" si="176"/>
        <v>-</v>
      </c>
      <c r="O243" s="265" t="str">
        <f t="shared" si="177"/>
        <v>-</v>
      </c>
      <c r="P243" s="265" t="str">
        <f t="shared" si="178"/>
        <v>-</v>
      </c>
      <c r="Q243" s="266" t="str">
        <f t="shared" si="179"/>
        <v>-</v>
      </c>
      <c r="R243" s="267" t="str">
        <f t="shared" si="180"/>
        <v>-</v>
      </c>
      <c r="S243" s="268" t="str">
        <f t="shared" si="181"/>
        <v>-</v>
      </c>
      <c r="T243" s="269" t="str">
        <f t="shared" si="182"/>
        <v/>
      </c>
      <c r="U243" s="221">
        <f t="shared" si="183"/>
        <v>143</v>
      </c>
      <c r="V243" s="220" t="str">
        <f t="shared" si="209"/>
        <v>-</v>
      </c>
      <c r="W243" s="221" t="str">
        <f t="shared" si="210"/>
        <v>-</v>
      </c>
      <c r="X243" s="221" t="str">
        <f t="shared" si="184"/>
        <v>-</v>
      </c>
      <c r="Y243" s="221" t="str">
        <f t="shared" si="185"/>
        <v>-</v>
      </c>
      <c r="Z243" s="270">
        <f t="shared" si="211"/>
        <v>0.1</v>
      </c>
      <c r="AA243" s="271" t="str">
        <f>IFERROR(IF(V242=1,AA$100*EXP(-(LN(2)/$D$65+0.04)*X242)*EXP(-(LN(2)/$D$65+0.1)*Y242),IF(V242=2,AA$100*EXP(-(LN(2)/$D$65+0.04)*(VLOOKUP(($F$16-$F$15)-1,U$99:Y242,4,FALSE)))*EXP(-(LN(2)/$D$65+0.1)*(VLOOKUP(($F$16-$F$15)-1,U$99:Y242,5,FALSE)))*EXP(-(LN(2)/$D$65+0.04)*X242)*EXP(-(LN(2)/$D$65+0.1)*Y242),IF(V242=3,AA$100*EXP(-(LN(2)/$D$65+0.04)*(VLOOKUP(($F$16-$F$15)-1,U$99:Y242,4,FALSE)))*EXP(-(LN(2)/$D$65+0.1)*(VLOOKUP(($F$16-$F$15)-1,U$99:Y242,5,FALSE)))*EXP(-(LN(2)/$D$65+0.04)*(VLOOKUP(($F$16-$F$15)*2-1,U$99:Y242,4,FALSE)))*EXP(-(LN(2)/$D$65+0.1)*(VLOOKUP(($F$16-$F$15)*2-1,U$99:Y242,5,FALSE)))*EXP(-(LN(2)/$D$65+0.04)*X242)*EXP(-(LN(2)/$D$65+0.1)*Y242),"-"))),"-")</f>
        <v>-</v>
      </c>
      <c r="AB243" s="271" t="str">
        <f>IFERROR(IF(V243=1,AB$100*EXP(-(LN(2)/$D$65+0.04)*X243)*EXP(-(LN(2)/$D$65+0.1)*Y243),IF(V243=2,AB$100*EXP(-(LN(2)/$D$65+0.04)*(VLOOKUP(($F$16-$F$15)-1,U$100:Y243,4,FALSE)))*EXP(-(LN(2)/$D$65+0.1)*(VLOOKUP(($F$16-$F$15)-1,U$100:Y243,5,FALSE)))*EXP(-(LN(2)/$D$65+0.04)*X243)*EXP(-(LN(2)/$D$65+0.1)*Y243),IF(V243=3,AB$100*EXP(-(LN(2)/$D$65+0.04)*(VLOOKUP(($F$16-$F$15)-1,U$100:Y243,4,FALSE)))*EXP(-(LN(2)/$D$65+0.1)*(VLOOKUP(($F$16-$F$15)-1,U$100:Y243,5,FALSE)))*EXP(-(LN(2)/$D$65+0.04)*(VLOOKUP(($F$16-$F$15)*2-1,U$100:Y243,4,FALSE)))*EXP(-(LN(2)/$D$65+0.1)*(VLOOKUP(($F$16-$F$15)*2-1,U$100:Y243,5,FALSE)))*EXP(-(LN(2)/$D$65+0.04)*X243)*EXP(-(LN(2)/$D$65+0.1)*Y243),"-"))),"-")</f>
        <v>-</v>
      </c>
      <c r="AC243" s="224">
        <f t="shared" si="226"/>
        <v>143</v>
      </c>
      <c r="AD243" s="223" t="str">
        <f t="shared" si="186"/>
        <v>-</v>
      </c>
      <c r="AE243" s="224" t="str">
        <f t="shared" si="213"/>
        <v>-</v>
      </c>
      <c r="AF243" s="224" t="str">
        <f t="shared" si="187"/>
        <v>-</v>
      </c>
      <c r="AG243" s="224" t="str">
        <f t="shared" si="188"/>
        <v>-</v>
      </c>
      <c r="AH243" s="272">
        <f t="shared" si="214"/>
        <v>0.1</v>
      </c>
      <c r="AI243" s="271" t="str">
        <f>IFERROR(IF(AD242=1,AI$100*EXP(-(LN(2)/$D$65+0.04)*AF242)*EXP(-(LN(2)/$D$65+0.1)*AG242),IF(AD242=2,AI$100*EXP(-(LN(2)/$D$65+0.04)*(VLOOKUP(($F$16-$F$15)-1,AC$99:AG242,4,FALSE)))*EXP(-(LN(2)/$D$65+0.1)*(VLOOKUP(($F$16-$F$15)-1,AC$99:AG242,5,FALSE)))*EXP(-(LN(2)/$D$65+0.04)*AF242)*EXP(-(LN(2)/$D$65+0.1)*AG242),IF(AD242=3,AI$100*EXP(-(LN(2)/$D$65+0.04)*(VLOOKUP(($F$16-$F$15)-1,AC$99:AG242,4,FALSE)))*EXP(-(LN(2)/$D$65+0.1)*(VLOOKUP(($F$16-$F$15)-1,AC$99:AG242,5,FALSE)))*EXP(-(LN(2)/$D$65+0.04)*(VLOOKUP(($F$16-$F$15)*2-1,AC$99:AG242,4,FALSE)))*EXP(-(LN(2)/$D$65+0.1)*(VLOOKUP(($F$16-$F$15)*2-1,AC$99:AG242,5,FALSE)))*EXP(-(LN(2)/$D$65+0.04)*AF242)*EXP(-(LN(2)/$D$65+0.1)*AG242),"-"))),"-")</f>
        <v>-</v>
      </c>
      <c r="AJ243" s="271" t="str">
        <f>IFERROR(IF(AD243=1,AJ$100*EXP(-(LN(2)/$D$65+0.04)*AF243)*EXP(-(LN(2)/$D$65+0.1)*AG243),IF(AD243=2,AJ$100*EXP(-(LN(2)/$D$65+0.04)*(VLOOKUP(($F$16-$F$15)-1,AC$100:AG243,4,FALSE)))*EXP(-(LN(2)/$D$65+0.1)*(VLOOKUP(($F$16-$F$15)-1,AC$100:AG243,5,FALSE)))*EXP(-(LN(2)/$D$65+0.04)*AF243)*EXP(-(LN(2)/$D$65+0.1)*AG243),IF(AD243=3,AJ$100*EXP(-(LN(2)/$D$65+0.04)*(VLOOKUP(($F$16-$F$15)-1,AC$100:AG243,4,FALSE)))*EXP(-(LN(2)/$D$65+0.1)*(VLOOKUP(($F$16-$F$15)-1,AC$100:AG243,5,FALSE)))*EXP(-(LN(2)/$D$65+0.04)*(VLOOKUP(($F$16-$F$15)*2-1,AC$100:AG243,4,FALSE)))*EXP(-(LN(2)/$D$65+0.1)*(VLOOKUP(($F$16-$F$15)*2-1,AC$100:AG243,5,FALSE)))*EXP(-(LN(2)/$D$65+0.04)*AF243)*EXP(-(LN(2)/$D$65+0.1)*AG243),"-"))),"-")</f>
        <v>-</v>
      </c>
      <c r="AK243" s="227">
        <f t="shared" si="215"/>
        <v>143</v>
      </c>
      <c r="AL243" s="226" t="str">
        <f t="shared" si="189"/>
        <v>-</v>
      </c>
      <c r="AM243" s="227" t="str">
        <f t="shared" si="216"/>
        <v>-</v>
      </c>
      <c r="AN243" s="227" t="str">
        <f t="shared" si="217"/>
        <v>-</v>
      </c>
      <c r="AO243" s="227" t="str">
        <f t="shared" si="190"/>
        <v>-</v>
      </c>
      <c r="AP243" s="273">
        <f t="shared" si="218"/>
        <v>0.1</v>
      </c>
      <c r="AQ243" s="271" t="str">
        <f>IFERROR(IF(AL242=1,AQ$100*EXP(-(LN(2)/$D$65+0.04)*AN242)*EXP(-(LN(2)/$D$65+0.1)*AO242),IF(AL242=2,AQ$100*EXP(-(LN(2)/$D$65+0.04)*(VLOOKUP(($F$16-$F$15)-1,AK$99:AO242,4,FALSE)))*EXP(-(LN(2)/$D$65+0.1)*(VLOOKUP(($F$16-$F$15)-1,AK$99:AO242,5,FALSE)))*EXP(-(LN(2)/$D$65+0.04)*AN242)*EXP(-(LN(2)/$D$65+0.1)*AO242),IF(AL242=3,AQ$100*EXP(-(LN(2)/$D$65+0.04)*(VLOOKUP(($F$16-$F$15)-1,AK$99:AO242,4,FALSE)))*EXP(-(LN(2)/$D$65+0.1)*(VLOOKUP(($F$16-$F$15)-1,AK$99:AO242,5,FALSE)))*EXP(-(LN(2)/$D$65+0.04)*(VLOOKUP(($F$16-$F$15)*2-1,AK$99:AO242,4,FALSE)))*EXP(-(LN(2)/$D$65+0.1)*(VLOOKUP(($F$16-$F$15)*2-1,AK$99:AO242,5,FALSE)))*EXP(-(LN(2)/$D$65+0.04)*AN242)*EXP(-(LN(2)/$D$65+0.1)*AO242),"-"))),"-")</f>
        <v>-</v>
      </c>
      <c r="AR243" s="271" t="str">
        <f>IFERROR(IF(AL243=1,AR$100*EXP(-(LN(2)/$D$65+0.04)*AN243)*EXP(-(LN(2)/$D$65+0.1)*AO243),IF(AL243=2,AR$100*EXP(-(LN(2)/$D$65+0.04)*(VLOOKUP(($F$16-$F$15)-1,AK$100:AO243,4,FALSE)))*EXP(-(LN(2)/$D$65+0.1)*(VLOOKUP(($F$16-$F$15)-1,AK$100:AO243,5,FALSE)))*EXP(-(LN(2)/$D$65+0.04)*AN243)*EXP(-(LN(2)/$D$65+0.1)*AO243),IF(AL243=3,AR$100*EXP(-(LN(2)/$D$65+0.04)*(VLOOKUP(($F$16-$F$15)-1,AK$100:AO243,4,FALSE)))*EXP(-(LN(2)/$D$65+0.1)*(VLOOKUP(($F$16-$F$15)-1,AK$100:AO243,5,FALSE)))*EXP(-(LN(2)/$D$65+0.04)*(VLOOKUP(($F$16-$F$15)*2-1,AK$100:AO243,4,FALSE)))*EXP(-(LN(2)/$D$65+0.1)*(VLOOKUP(($F$16-$F$15)*2-1,AK$100:AO243,5,FALSE)))*EXP(-(LN(2)/$D$65+0.04)*AN243)*EXP(-(LN(2)/$D$65+0.1)*AO243),"-"))),"-")</f>
        <v>-</v>
      </c>
      <c r="AS243" s="274">
        <f t="shared" si="191"/>
        <v>0</v>
      </c>
      <c r="AT243" s="274">
        <f t="shared" si="192"/>
        <v>0</v>
      </c>
      <c r="AU243" s="274">
        <f t="shared" si="193"/>
        <v>0</v>
      </c>
      <c r="AV243" s="190" t="str">
        <f>IF($B243&lt;$F$22,SUM($T$100:$T243),"")</f>
        <v/>
      </c>
      <c r="AW243" s="190" t="str">
        <f t="shared" si="194"/>
        <v>-</v>
      </c>
      <c r="AX243" s="190" t="str">
        <f t="shared" si="219"/>
        <v/>
      </c>
      <c r="AY243"/>
      <c r="AZ243" s="190" t="str">
        <f ca="1">IF(ISNUMBER(OFFSET(AV243,-$F$21,0)),SUM(OFFSET($T$100,$F$21,0):$T243),"")</f>
        <v/>
      </c>
      <c r="BA243" s="190" t="str">
        <f t="shared" ca="1" si="195"/>
        <v/>
      </c>
      <c r="BB243" s="190" t="str">
        <f t="shared" ca="1" si="148"/>
        <v/>
      </c>
      <c r="BC243" s="190"/>
      <c r="BD243" s="190" t="str">
        <f ca="1">IFERROR(IF(OR(ISNUMBER(I),ISNUMBER($F$14)),IF(AND($B243&gt;=($F$16-$F$15),$B243&lt;$F$22+($F$16-$F$15)),SUM(OFFSET($T$100,($F$16-$F$15),0):$T243),""),""),"")</f>
        <v/>
      </c>
      <c r="BE243" s="190" t="str">
        <f t="shared" ca="1" si="220"/>
        <v/>
      </c>
      <c r="BF243" s="190" t="str">
        <f t="shared" ca="1" si="221"/>
        <v/>
      </c>
      <c r="BG243"/>
      <c r="BH243" s="190" t="str">
        <f ca="1">IF(ISNUMBER(OFFSET(BD243,-$F$21,0)),SUM(OFFSET($T$100,($F$16-$F$15+$F$21),0):$T243),"")</f>
        <v/>
      </c>
      <c r="BI243" s="190" t="str">
        <f t="shared" ca="1" si="196"/>
        <v/>
      </c>
      <c r="BJ243" s="190" t="str">
        <f t="shared" ca="1" si="222"/>
        <v/>
      </c>
      <c r="BK243" s="190"/>
      <c r="BL243" s="190" t="str">
        <f ca="1">IFERROR(IF(OR(ISNUMBER(I),ISNUMBER($F$14)),IF(AND($B243&gt;=($F$17-$F$15),$B243&lt;$F$22+($F$17-$F$15)),SUM(OFFSET($T$100,($F$17-$F$15),0):$T243),""),""),"")</f>
        <v/>
      </c>
      <c r="BM243" s="190" t="str">
        <f t="shared" ca="1" si="197"/>
        <v/>
      </c>
      <c r="BN243" s="190" t="str">
        <f t="shared" ca="1" si="223"/>
        <v/>
      </c>
      <c r="BO243"/>
      <c r="BP243" s="190" t="str">
        <f ca="1">IF(ISNUMBER(OFFSET(BL243,-$F$21,0)),SUM(OFFSET($T$100,($F$17-$F$15+$F$21),0):$T243),"")</f>
        <v/>
      </c>
      <c r="BQ243" s="190" t="str">
        <f t="shared" ca="1" si="198"/>
        <v/>
      </c>
      <c r="BR243" s="190" t="str">
        <f t="shared" ca="1" si="224"/>
        <v/>
      </c>
      <c r="BS243" s="190"/>
      <c r="BT243"/>
      <c r="BU243"/>
      <c r="BV243"/>
      <c r="BY243" s="99"/>
      <c r="BZ243" s="99"/>
      <c r="CA243" s="280" t="str">
        <f t="shared" si="199"/>
        <v/>
      </c>
      <c r="CB243" s="71" t="str">
        <f t="shared" si="200"/>
        <v>-</v>
      </c>
      <c r="CC243" s="33"/>
      <c r="CD243" s="261" t="str">
        <f t="shared" si="201"/>
        <v/>
      </c>
      <c r="CE243" s="280" t="str">
        <f t="shared" si="202"/>
        <v/>
      </c>
      <c r="CF243" s="71" t="str">
        <f t="shared" ca="1" si="203"/>
        <v/>
      </c>
      <c r="CG243" s="33" t="str">
        <f t="shared" si="204"/>
        <v/>
      </c>
      <c r="CH243" s="261" t="str">
        <f t="shared" ca="1" si="205"/>
        <v/>
      </c>
    </row>
    <row r="244" spans="2:86" ht="13.5" customHeight="1" x14ac:dyDescent="0.2">
      <c r="B244" s="262">
        <v>144</v>
      </c>
      <c r="C244" s="237" t="str">
        <f t="shared" si="169"/>
        <v/>
      </c>
      <c r="D244" s="237" t="str">
        <f t="shared" si="225"/>
        <v/>
      </c>
      <c r="E244" s="263" t="str">
        <f t="shared" si="206"/>
        <v/>
      </c>
      <c r="F244" s="264" t="str">
        <f t="shared" si="207"/>
        <v/>
      </c>
      <c r="G244" s="264" t="str">
        <f t="shared" si="208"/>
        <v/>
      </c>
      <c r="H244" s="240" t="str">
        <f t="shared" si="170"/>
        <v/>
      </c>
      <c r="I244" s="265" t="str">
        <f t="shared" si="171"/>
        <v/>
      </c>
      <c r="J244" s="265" t="str">
        <f t="shared" si="172"/>
        <v/>
      </c>
      <c r="K244" s="240" t="str">
        <f t="shared" si="173"/>
        <v/>
      </c>
      <c r="L244" s="265" t="str">
        <f t="shared" si="174"/>
        <v/>
      </c>
      <c r="M244" s="265" t="str">
        <f t="shared" si="175"/>
        <v/>
      </c>
      <c r="N244" s="240" t="str">
        <f t="shared" si="176"/>
        <v>-</v>
      </c>
      <c r="O244" s="265" t="str">
        <f t="shared" si="177"/>
        <v>-</v>
      </c>
      <c r="P244" s="265" t="str">
        <f t="shared" si="178"/>
        <v>-</v>
      </c>
      <c r="Q244" s="266" t="str">
        <f t="shared" si="179"/>
        <v>-</v>
      </c>
      <c r="R244" s="267" t="str">
        <f t="shared" si="180"/>
        <v>-</v>
      </c>
      <c r="S244" s="268" t="str">
        <f t="shared" si="181"/>
        <v>-</v>
      </c>
      <c r="T244" s="269" t="str">
        <f t="shared" si="182"/>
        <v/>
      </c>
      <c r="U244" s="221">
        <f t="shared" si="183"/>
        <v>144</v>
      </c>
      <c r="V244" s="220" t="str">
        <f t="shared" si="209"/>
        <v>-</v>
      </c>
      <c r="W244" s="221" t="str">
        <f t="shared" si="210"/>
        <v>-</v>
      </c>
      <c r="X244" s="221" t="str">
        <f t="shared" si="184"/>
        <v>-</v>
      </c>
      <c r="Y244" s="221" t="str">
        <f t="shared" si="185"/>
        <v>-</v>
      </c>
      <c r="Z244" s="270">
        <f t="shared" si="211"/>
        <v>0.1</v>
      </c>
      <c r="AA244" s="271" t="str">
        <f>IFERROR(IF(V243=1,AA$100*EXP(-(LN(2)/$D$65+0.04)*X243)*EXP(-(LN(2)/$D$65+0.1)*Y243),IF(V243=2,AA$100*EXP(-(LN(2)/$D$65+0.04)*(VLOOKUP(($F$16-$F$15)-1,U$99:Y243,4,FALSE)))*EXP(-(LN(2)/$D$65+0.1)*(VLOOKUP(($F$16-$F$15)-1,U$99:Y243,5,FALSE)))*EXP(-(LN(2)/$D$65+0.04)*X243)*EXP(-(LN(2)/$D$65+0.1)*Y243),IF(V243=3,AA$100*EXP(-(LN(2)/$D$65+0.04)*(VLOOKUP(($F$16-$F$15)-1,U$99:Y243,4,FALSE)))*EXP(-(LN(2)/$D$65+0.1)*(VLOOKUP(($F$16-$F$15)-1,U$99:Y243,5,FALSE)))*EXP(-(LN(2)/$D$65+0.04)*(VLOOKUP(($F$16-$F$15)*2-1,U$99:Y243,4,FALSE)))*EXP(-(LN(2)/$D$65+0.1)*(VLOOKUP(($F$16-$F$15)*2-1,U$99:Y243,5,FALSE)))*EXP(-(LN(2)/$D$65+0.04)*X243)*EXP(-(LN(2)/$D$65+0.1)*Y243),"-"))),"-")</f>
        <v>-</v>
      </c>
      <c r="AB244" s="271" t="str">
        <f>IFERROR(IF(V244=1,AB$100*EXP(-(LN(2)/$D$65+0.04)*X244)*EXP(-(LN(2)/$D$65+0.1)*Y244),IF(V244=2,AB$100*EXP(-(LN(2)/$D$65+0.04)*(VLOOKUP(($F$16-$F$15)-1,U$100:Y244,4,FALSE)))*EXP(-(LN(2)/$D$65+0.1)*(VLOOKUP(($F$16-$F$15)-1,U$100:Y244,5,FALSE)))*EXP(-(LN(2)/$D$65+0.04)*X244)*EXP(-(LN(2)/$D$65+0.1)*Y244),IF(V244=3,AB$100*EXP(-(LN(2)/$D$65+0.04)*(VLOOKUP(($F$16-$F$15)-1,U$100:Y244,4,FALSE)))*EXP(-(LN(2)/$D$65+0.1)*(VLOOKUP(($F$16-$F$15)-1,U$100:Y244,5,FALSE)))*EXP(-(LN(2)/$D$65+0.04)*(VLOOKUP(($F$16-$F$15)*2-1,U$100:Y244,4,FALSE)))*EXP(-(LN(2)/$D$65+0.1)*(VLOOKUP(($F$16-$F$15)*2-1,U$100:Y244,5,FALSE)))*EXP(-(LN(2)/$D$65+0.04)*X244)*EXP(-(LN(2)/$D$65+0.1)*Y244),"-"))),"-")</f>
        <v>-</v>
      </c>
      <c r="AC244" s="224">
        <f t="shared" si="226"/>
        <v>144</v>
      </c>
      <c r="AD244" s="223" t="str">
        <f t="shared" si="186"/>
        <v>-</v>
      </c>
      <c r="AE244" s="224" t="str">
        <f t="shared" si="213"/>
        <v>-</v>
      </c>
      <c r="AF244" s="224" t="str">
        <f t="shared" si="187"/>
        <v>-</v>
      </c>
      <c r="AG244" s="224" t="str">
        <f t="shared" si="188"/>
        <v>-</v>
      </c>
      <c r="AH244" s="272">
        <f t="shared" si="214"/>
        <v>0.1</v>
      </c>
      <c r="AI244" s="271" t="str">
        <f>IFERROR(IF(AD243=1,AI$100*EXP(-(LN(2)/$D$65+0.04)*AF243)*EXP(-(LN(2)/$D$65+0.1)*AG243),IF(AD243=2,AI$100*EXP(-(LN(2)/$D$65+0.04)*(VLOOKUP(($F$16-$F$15)-1,AC$99:AG243,4,FALSE)))*EXP(-(LN(2)/$D$65+0.1)*(VLOOKUP(($F$16-$F$15)-1,AC$99:AG243,5,FALSE)))*EXP(-(LN(2)/$D$65+0.04)*AF243)*EXP(-(LN(2)/$D$65+0.1)*AG243),IF(AD243=3,AI$100*EXP(-(LN(2)/$D$65+0.04)*(VLOOKUP(($F$16-$F$15)-1,AC$99:AG243,4,FALSE)))*EXP(-(LN(2)/$D$65+0.1)*(VLOOKUP(($F$16-$F$15)-1,AC$99:AG243,5,FALSE)))*EXP(-(LN(2)/$D$65+0.04)*(VLOOKUP(($F$16-$F$15)*2-1,AC$99:AG243,4,FALSE)))*EXP(-(LN(2)/$D$65+0.1)*(VLOOKUP(($F$16-$F$15)*2-1,AC$99:AG243,5,FALSE)))*EXP(-(LN(2)/$D$65+0.04)*AF243)*EXP(-(LN(2)/$D$65+0.1)*AG243),"-"))),"-")</f>
        <v>-</v>
      </c>
      <c r="AJ244" s="271" t="str">
        <f>IFERROR(IF(AD244=1,AJ$100*EXP(-(LN(2)/$D$65+0.04)*AF244)*EXP(-(LN(2)/$D$65+0.1)*AG244),IF(AD244=2,AJ$100*EXP(-(LN(2)/$D$65+0.04)*(VLOOKUP(($F$16-$F$15)-1,AC$100:AG244,4,FALSE)))*EXP(-(LN(2)/$D$65+0.1)*(VLOOKUP(($F$16-$F$15)-1,AC$100:AG244,5,FALSE)))*EXP(-(LN(2)/$D$65+0.04)*AF244)*EXP(-(LN(2)/$D$65+0.1)*AG244),IF(AD244=3,AJ$100*EXP(-(LN(2)/$D$65+0.04)*(VLOOKUP(($F$16-$F$15)-1,AC$100:AG244,4,FALSE)))*EXP(-(LN(2)/$D$65+0.1)*(VLOOKUP(($F$16-$F$15)-1,AC$100:AG244,5,FALSE)))*EXP(-(LN(2)/$D$65+0.04)*(VLOOKUP(($F$16-$F$15)*2-1,AC$100:AG244,4,FALSE)))*EXP(-(LN(2)/$D$65+0.1)*(VLOOKUP(($F$16-$F$15)*2-1,AC$100:AG244,5,FALSE)))*EXP(-(LN(2)/$D$65+0.04)*AF244)*EXP(-(LN(2)/$D$65+0.1)*AG244),"-"))),"-")</f>
        <v>-</v>
      </c>
      <c r="AK244" s="227">
        <f t="shared" si="215"/>
        <v>144</v>
      </c>
      <c r="AL244" s="226" t="str">
        <f t="shared" si="189"/>
        <v>-</v>
      </c>
      <c r="AM244" s="227" t="str">
        <f t="shared" si="216"/>
        <v>-</v>
      </c>
      <c r="AN244" s="227" t="str">
        <f t="shared" si="217"/>
        <v>-</v>
      </c>
      <c r="AO244" s="227" t="str">
        <f t="shared" si="190"/>
        <v>-</v>
      </c>
      <c r="AP244" s="273">
        <f t="shared" si="218"/>
        <v>0.1</v>
      </c>
      <c r="AQ244" s="271" t="str">
        <f>IFERROR(IF(AL243=1,AQ$100*EXP(-(LN(2)/$D$65+0.04)*AN243)*EXP(-(LN(2)/$D$65+0.1)*AO243),IF(AL243=2,AQ$100*EXP(-(LN(2)/$D$65+0.04)*(VLOOKUP(($F$16-$F$15)-1,AK$99:AO243,4,FALSE)))*EXP(-(LN(2)/$D$65+0.1)*(VLOOKUP(($F$16-$F$15)-1,AK$99:AO243,5,FALSE)))*EXP(-(LN(2)/$D$65+0.04)*AN243)*EXP(-(LN(2)/$D$65+0.1)*AO243),IF(AL243=3,AQ$100*EXP(-(LN(2)/$D$65+0.04)*(VLOOKUP(($F$16-$F$15)-1,AK$99:AO243,4,FALSE)))*EXP(-(LN(2)/$D$65+0.1)*(VLOOKUP(($F$16-$F$15)-1,AK$99:AO243,5,FALSE)))*EXP(-(LN(2)/$D$65+0.04)*(VLOOKUP(($F$16-$F$15)*2-1,AK$99:AO243,4,FALSE)))*EXP(-(LN(2)/$D$65+0.1)*(VLOOKUP(($F$16-$F$15)*2-1,AK$99:AO243,5,FALSE)))*EXP(-(LN(2)/$D$65+0.04)*AN243)*EXP(-(LN(2)/$D$65+0.1)*AO243),"-"))),"-")</f>
        <v>-</v>
      </c>
      <c r="AR244" s="271" t="str">
        <f>IFERROR(IF(AL244=1,AR$100*EXP(-(LN(2)/$D$65+0.04)*AN244)*EXP(-(LN(2)/$D$65+0.1)*AO244),IF(AL244=2,AR$100*EXP(-(LN(2)/$D$65+0.04)*(VLOOKUP(($F$16-$F$15)-1,AK$100:AO244,4,FALSE)))*EXP(-(LN(2)/$D$65+0.1)*(VLOOKUP(($F$16-$F$15)-1,AK$100:AO244,5,FALSE)))*EXP(-(LN(2)/$D$65+0.04)*AN244)*EXP(-(LN(2)/$D$65+0.1)*AO244),IF(AL244=3,AR$100*EXP(-(LN(2)/$D$65+0.04)*(VLOOKUP(($F$16-$F$15)-1,AK$100:AO244,4,FALSE)))*EXP(-(LN(2)/$D$65+0.1)*(VLOOKUP(($F$16-$F$15)-1,AK$100:AO244,5,FALSE)))*EXP(-(LN(2)/$D$65+0.04)*(VLOOKUP(($F$16-$F$15)*2-1,AK$100:AO244,4,FALSE)))*EXP(-(LN(2)/$D$65+0.1)*(VLOOKUP(($F$16-$F$15)*2-1,AK$100:AO244,5,FALSE)))*EXP(-(LN(2)/$D$65+0.04)*AN244)*EXP(-(LN(2)/$D$65+0.1)*AO244),"-"))),"-")</f>
        <v>-</v>
      </c>
      <c r="AS244" s="274">
        <f t="shared" si="191"/>
        <v>0</v>
      </c>
      <c r="AT244" s="274">
        <f t="shared" si="192"/>
        <v>0</v>
      </c>
      <c r="AU244" s="274">
        <f t="shared" si="193"/>
        <v>0</v>
      </c>
      <c r="AV244" s="190" t="str">
        <f>IF($B244&lt;$F$22,SUM($T$100:$T244),"")</f>
        <v/>
      </c>
      <c r="AW244" s="190" t="str">
        <f t="shared" si="194"/>
        <v>-</v>
      </c>
      <c r="AX244" s="190" t="str">
        <f t="shared" si="219"/>
        <v/>
      </c>
      <c r="AY244"/>
      <c r="AZ244" s="190" t="str">
        <f ca="1">IF(ISNUMBER(OFFSET(AV244,-$F$21,0)),SUM(OFFSET($T$100,$F$21,0):$T244),"")</f>
        <v/>
      </c>
      <c r="BA244" s="190" t="str">
        <f t="shared" ca="1" si="195"/>
        <v/>
      </c>
      <c r="BB244" s="190" t="str">
        <f t="shared" ca="1" si="148"/>
        <v/>
      </c>
      <c r="BC244" s="190"/>
      <c r="BD244" s="190" t="str">
        <f ca="1">IFERROR(IF(OR(ISNUMBER(I),ISNUMBER($F$14)),IF(AND($B244&gt;=($F$16-$F$15),$B244&lt;$F$22+($F$16-$F$15)),SUM(OFFSET($T$100,($F$16-$F$15),0):$T244),""),""),"")</f>
        <v/>
      </c>
      <c r="BE244" s="190" t="str">
        <f t="shared" ca="1" si="220"/>
        <v/>
      </c>
      <c r="BF244" s="190" t="str">
        <f t="shared" ca="1" si="221"/>
        <v/>
      </c>
      <c r="BG244"/>
      <c r="BH244" s="190" t="str">
        <f ca="1">IF(ISNUMBER(OFFSET(BD244,-$F$21,0)),SUM(OFFSET($T$100,($F$16-$F$15+$F$21),0):$T244),"")</f>
        <v/>
      </c>
      <c r="BI244" s="190" t="str">
        <f t="shared" ca="1" si="196"/>
        <v/>
      </c>
      <c r="BJ244" s="190" t="str">
        <f t="shared" ca="1" si="222"/>
        <v/>
      </c>
      <c r="BK244" s="190"/>
      <c r="BL244" s="190" t="str">
        <f ca="1">IFERROR(IF(OR(ISNUMBER(I),ISNUMBER($F$14)),IF(AND($B244&gt;=($F$17-$F$15),$B244&lt;$F$22+($F$17-$F$15)),SUM(OFFSET($T$100,($F$17-$F$15),0):$T244),""),""),"")</f>
        <v/>
      </c>
      <c r="BM244" s="190" t="str">
        <f t="shared" ca="1" si="197"/>
        <v/>
      </c>
      <c r="BN244" s="190" t="str">
        <f t="shared" ca="1" si="223"/>
        <v/>
      </c>
      <c r="BO244"/>
      <c r="BP244" s="190" t="str">
        <f ca="1">IF(ISNUMBER(OFFSET(BL244,-$F$21,0)),SUM(OFFSET($T$100,($F$17-$F$15+$F$21),0):$T244),"")</f>
        <v/>
      </c>
      <c r="BQ244" s="190" t="str">
        <f t="shared" ca="1" si="198"/>
        <v/>
      </c>
      <c r="BR244" s="190" t="str">
        <f t="shared" ca="1" si="224"/>
        <v/>
      </c>
      <c r="BS244" s="190"/>
      <c r="BT244"/>
      <c r="BU244"/>
      <c r="BV244"/>
      <c r="BY244" s="99"/>
      <c r="BZ244" s="99"/>
      <c r="CA244" s="280" t="str">
        <f t="shared" si="199"/>
        <v/>
      </c>
      <c r="CB244" s="71" t="str">
        <f t="shared" si="200"/>
        <v>-</v>
      </c>
      <c r="CC244" s="33"/>
      <c r="CD244" s="261" t="str">
        <f t="shared" si="201"/>
        <v/>
      </c>
      <c r="CE244" s="280" t="str">
        <f t="shared" si="202"/>
        <v/>
      </c>
      <c r="CF244" s="71" t="str">
        <f t="shared" ca="1" si="203"/>
        <v/>
      </c>
      <c r="CG244" s="33" t="str">
        <f t="shared" si="204"/>
        <v/>
      </c>
      <c r="CH244" s="261" t="str">
        <f t="shared" ca="1" si="205"/>
        <v/>
      </c>
    </row>
    <row r="245" spans="2:86" ht="13.5" customHeight="1" x14ac:dyDescent="0.2">
      <c r="B245" s="262">
        <v>145</v>
      </c>
      <c r="C245" s="237" t="str">
        <f t="shared" si="169"/>
        <v/>
      </c>
      <c r="D245" s="237" t="str">
        <f t="shared" si="225"/>
        <v/>
      </c>
      <c r="E245" s="263" t="str">
        <f t="shared" si="206"/>
        <v/>
      </c>
      <c r="F245" s="264" t="str">
        <f t="shared" si="207"/>
        <v/>
      </c>
      <c r="G245" s="264" t="str">
        <f t="shared" si="208"/>
        <v/>
      </c>
      <c r="H245" s="240" t="str">
        <f t="shared" si="170"/>
        <v/>
      </c>
      <c r="I245" s="265" t="str">
        <f t="shared" si="171"/>
        <v/>
      </c>
      <c r="J245" s="265" t="str">
        <f t="shared" si="172"/>
        <v/>
      </c>
      <c r="K245" s="240" t="str">
        <f t="shared" si="173"/>
        <v/>
      </c>
      <c r="L245" s="265" t="str">
        <f t="shared" si="174"/>
        <v/>
      </c>
      <c r="M245" s="265" t="str">
        <f t="shared" si="175"/>
        <v/>
      </c>
      <c r="N245" s="240" t="str">
        <f t="shared" si="176"/>
        <v>-</v>
      </c>
      <c r="O245" s="265" t="str">
        <f t="shared" si="177"/>
        <v>-</v>
      </c>
      <c r="P245" s="265" t="str">
        <f t="shared" si="178"/>
        <v>-</v>
      </c>
      <c r="Q245" s="266" t="str">
        <f t="shared" si="179"/>
        <v>-</v>
      </c>
      <c r="R245" s="267" t="str">
        <f t="shared" si="180"/>
        <v>-</v>
      </c>
      <c r="S245" s="268" t="str">
        <f t="shared" si="181"/>
        <v>-</v>
      </c>
      <c r="T245" s="269" t="str">
        <f t="shared" si="182"/>
        <v/>
      </c>
      <c r="U245" s="221">
        <f t="shared" si="183"/>
        <v>145</v>
      </c>
      <c r="V245" s="220" t="str">
        <f t="shared" si="209"/>
        <v>-</v>
      </c>
      <c r="W245" s="221" t="str">
        <f t="shared" si="210"/>
        <v>-</v>
      </c>
      <c r="X245" s="221" t="str">
        <f t="shared" si="184"/>
        <v>-</v>
      </c>
      <c r="Y245" s="221" t="str">
        <f t="shared" si="185"/>
        <v>-</v>
      </c>
      <c r="Z245" s="270">
        <f t="shared" si="211"/>
        <v>0.1</v>
      </c>
      <c r="AA245" s="271" t="str">
        <f>IFERROR(IF(V244=1,AA$100*EXP(-(LN(2)/$D$65+0.04)*X244)*EXP(-(LN(2)/$D$65+0.1)*Y244),IF(V244=2,AA$100*EXP(-(LN(2)/$D$65+0.04)*(VLOOKUP(($F$16-$F$15)-1,U$99:Y244,4,FALSE)))*EXP(-(LN(2)/$D$65+0.1)*(VLOOKUP(($F$16-$F$15)-1,U$99:Y244,5,FALSE)))*EXP(-(LN(2)/$D$65+0.04)*X244)*EXP(-(LN(2)/$D$65+0.1)*Y244),IF(V244=3,AA$100*EXP(-(LN(2)/$D$65+0.04)*(VLOOKUP(($F$16-$F$15)-1,U$99:Y244,4,FALSE)))*EXP(-(LN(2)/$D$65+0.1)*(VLOOKUP(($F$16-$F$15)-1,U$99:Y244,5,FALSE)))*EXP(-(LN(2)/$D$65+0.04)*(VLOOKUP(($F$16-$F$15)*2-1,U$99:Y244,4,FALSE)))*EXP(-(LN(2)/$D$65+0.1)*(VLOOKUP(($F$16-$F$15)*2-1,U$99:Y244,5,FALSE)))*EXP(-(LN(2)/$D$65+0.04)*X244)*EXP(-(LN(2)/$D$65+0.1)*Y244),"-"))),"-")</f>
        <v>-</v>
      </c>
      <c r="AB245" s="271" t="str">
        <f>IFERROR(IF(V245=1,AB$100*EXP(-(LN(2)/$D$65+0.04)*X245)*EXP(-(LN(2)/$D$65+0.1)*Y245),IF(V245=2,AB$100*EXP(-(LN(2)/$D$65+0.04)*(VLOOKUP(($F$16-$F$15)-1,U$100:Y245,4,FALSE)))*EXP(-(LN(2)/$D$65+0.1)*(VLOOKUP(($F$16-$F$15)-1,U$100:Y245,5,FALSE)))*EXP(-(LN(2)/$D$65+0.04)*X245)*EXP(-(LN(2)/$D$65+0.1)*Y245),IF(V245=3,AB$100*EXP(-(LN(2)/$D$65+0.04)*(VLOOKUP(($F$16-$F$15)-1,U$100:Y245,4,FALSE)))*EXP(-(LN(2)/$D$65+0.1)*(VLOOKUP(($F$16-$F$15)-1,U$100:Y245,5,FALSE)))*EXP(-(LN(2)/$D$65+0.04)*(VLOOKUP(($F$16-$F$15)*2-1,U$100:Y245,4,FALSE)))*EXP(-(LN(2)/$D$65+0.1)*(VLOOKUP(($F$16-$F$15)*2-1,U$100:Y245,5,FALSE)))*EXP(-(LN(2)/$D$65+0.04)*X245)*EXP(-(LN(2)/$D$65+0.1)*Y245),"-"))),"-")</f>
        <v>-</v>
      </c>
      <c r="AC245" s="224">
        <f t="shared" si="226"/>
        <v>145</v>
      </c>
      <c r="AD245" s="223" t="str">
        <f t="shared" si="186"/>
        <v>-</v>
      </c>
      <c r="AE245" s="224" t="str">
        <f t="shared" si="213"/>
        <v>-</v>
      </c>
      <c r="AF245" s="224" t="str">
        <f t="shared" si="187"/>
        <v>-</v>
      </c>
      <c r="AG245" s="224" t="str">
        <f t="shared" si="188"/>
        <v>-</v>
      </c>
      <c r="AH245" s="272">
        <f t="shared" si="214"/>
        <v>0.1</v>
      </c>
      <c r="AI245" s="271" t="str">
        <f>IFERROR(IF(AD244=1,AI$100*EXP(-(LN(2)/$D$65+0.04)*AF244)*EXP(-(LN(2)/$D$65+0.1)*AG244),IF(AD244=2,AI$100*EXP(-(LN(2)/$D$65+0.04)*(VLOOKUP(($F$16-$F$15)-1,AC$99:AG244,4,FALSE)))*EXP(-(LN(2)/$D$65+0.1)*(VLOOKUP(($F$16-$F$15)-1,AC$99:AG244,5,FALSE)))*EXP(-(LN(2)/$D$65+0.04)*AF244)*EXP(-(LN(2)/$D$65+0.1)*AG244),IF(AD244=3,AI$100*EXP(-(LN(2)/$D$65+0.04)*(VLOOKUP(($F$16-$F$15)-1,AC$99:AG244,4,FALSE)))*EXP(-(LN(2)/$D$65+0.1)*(VLOOKUP(($F$16-$F$15)-1,AC$99:AG244,5,FALSE)))*EXP(-(LN(2)/$D$65+0.04)*(VLOOKUP(($F$16-$F$15)*2-1,AC$99:AG244,4,FALSE)))*EXP(-(LN(2)/$D$65+0.1)*(VLOOKUP(($F$16-$F$15)*2-1,AC$99:AG244,5,FALSE)))*EXP(-(LN(2)/$D$65+0.04)*AF244)*EXP(-(LN(2)/$D$65+0.1)*AG244),"-"))),"-")</f>
        <v>-</v>
      </c>
      <c r="AJ245" s="271" t="str">
        <f>IFERROR(IF(AD245=1,AJ$100*EXP(-(LN(2)/$D$65+0.04)*AF245)*EXP(-(LN(2)/$D$65+0.1)*AG245),IF(AD245=2,AJ$100*EXP(-(LN(2)/$D$65+0.04)*(VLOOKUP(($F$16-$F$15)-1,AC$100:AG245,4,FALSE)))*EXP(-(LN(2)/$D$65+0.1)*(VLOOKUP(($F$16-$F$15)-1,AC$100:AG245,5,FALSE)))*EXP(-(LN(2)/$D$65+0.04)*AF245)*EXP(-(LN(2)/$D$65+0.1)*AG245),IF(AD245=3,AJ$100*EXP(-(LN(2)/$D$65+0.04)*(VLOOKUP(($F$16-$F$15)-1,AC$100:AG245,4,FALSE)))*EXP(-(LN(2)/$D$65+0.1)*(VLOOKUP(($F$16-$F$15)-1,AC$100:AG245,5,FALSE)))*EXP(-(LN(2)/$D$65+0.04)*(VLOOKUP(($F$16-$F$15)*2-1,AC$100:AG245,4,FALSE)))*EXP(-(LN(2)/$D$65+0.1)*(VLOOKUP(($F$16-$F$15)*2-1,AC$100:AG245,5,FALSE)))*EXP(-(LN(2)/$D$65+0.04)*AF245)*EXP(-(LN(2)/$D$65+0.1)*AG245),"-"))),"-")</f>
        <v>-</v>
      </c>
      <c r="AK245" s="227">
        <f t="shared" si="215"/>
        <v>145</v>
      </c>
      <c r="AL245" s="226" t="str">
        <f t="shared" si="189"/>
        <v>-</v>
      </c>
      <c r="AM245" s="227" t="str">
        <f t="shared" si="216"/>
        <v>-</v>
      </c>
      <c r="AN245" s="227" t="str">
        <f t="shared" si="217"/>
        <v>-</v>
      </c>
      <c r="AO245" s="227" t="str">
        <f t="shared" si="190"/>
        <v>-</v>
      </c>
      <c r="AP245" s="273">
        <f t="shared" si="218"/>
        <v>0.1</v>
      </c>
      <c r="AQ245" s="271" t="str">
        <f>IFERROR(IF(AL244=1,AQ$100*EXP(-(LN(2)/$D$65+0.04)*AN244)*EXP(-(LN(2)/$D$65+0.1)*AO244),IF(AL244=2,AQ$100*EXP(-(LN(2)/$D$65+0.04)*(VLOOKUP(($F$16-$F$15)-1,AK$99:AO244,4,FALSE)))*EXP(-(LN(2)/$D$65+0.1)*(VLOOKUP(($F$16-$F$15)-1,AK$99:AO244,5,FALSE)))*EXP(-(LN(2)/$D$65+0.04)*AN244)*EXP(-(LN(2)/$D$65+0.1)*AO244),IF(AL244=3,AQ$100*EXP(-(LN(2)/$D$65+0.04)*(VLOOKUP(($F$16-$F$15)-1,AK$99:AO244,4,FALSE)))*EXP(-(LN(2)/$D$65+0.1)*(VLOOKUP(($F$16-$F$15)-1,AK$99:AO244,5,FALSE)))*EXP(-(LN(2)/$D$65+0.04)*(VLOOKUP(($F$16-$F$15)*2-1,AK$99:AO244,4,FALSE)))*EXP(-(LN(2)/$D$65+0.1)*(VLOOKUP(($F$16-$F$15)*2-1,AK$99:AO244,5,FALSE)))*EXP(-(LN(2)/$D$65+0.04)*AN244)*EXP(-(LN(2)/$D$65+0.1)*AO244),"-"))),"-")</f>
        <v>-</v>
      </c>
      <c r="AR245" s="271" t="str">
        <f>IFERROR(IF(AL245=1,AR$100*EXP(-(LN(2)/$D$65+0.04)*AN245)*EXP(-(LN(2)/$D$65+0.1)*AO245),IF(AL245=2,AR$100*EXP(-(LN(2)/$D$65+0.04)*(VLOOKUP(($F$16-$F$15)-1,AK$100:AO245,4,FALSE)))*EXP(-(LN(2)/$D$65+0.1)*(VLOOKUP(($F$16-$F$15)-1,AK$100:AO245,5,FALSE)))*EXP(-(LN(2)/$D$65+0.04)*AN245)*EXP(-(LN(2)/$D$65+0.1)*AO245),IF(AL245=3,AR$100*EXP(-(LN(2)/$D$65+0.04)*(VLOOKUP(($F$16-$F$15)-1,AK$100:AO245,4,FALSE)))*EXP(-(LN(2)/$D$65+0.1)*(VLOOKUP(($F$16-$F$15)-1,AK$100:AO245,5,FALSE)))*EXP(-(LN(2)/$D$65+0.04)*(VLOOKUP(($F$16-$F$15)*2-1,AK$100:AO245,4,FALSE)))*EXP(-(LN(2)/$D$65+0.1)*(VLOOKUP(($F$16-$F$15)*2-1,AK$100:AO245,5,FALSE)))*EXP(-(LN(2)/$D$65+0.04)*AN245)*EXP(-(LN(2)/$D$65+0.1)*AO245),"-"))),"-")</f>
        <v>-</v>
      </c>
      <c r="AS245" s="274">
        <f t="shared" si="191"/>
        <v>0</v>
      </c>
      <c r="AT245" s="274">
        <f t="shared" si="192"/>
        <v>0</v>
      </c>
      <c r="AU245" s="274">
        <f t="shared" si="193"/>
        <v>0</v>
      </c>
      <c r="AV245" s="190" t="str">
        <f>IF($B245&lt;$F$22,SUM($T$100:$T245),"")</f>
        <v/>
      </c>
      <c r="AW245" s="190" t="str">
        <f t="shared" si="194"/>
        <v>-</v>
      </c>
      <c r="AX245" s="190" t="str">
        <f t="shared" si="219"/>
        <v/>
      </c>
      <c r="AY245"/>
      <c r="AZ245" s="190" t="str">
        <f ca="1">IF(ISNUMBER(OFFSET(AV245,-$F$21,0)),SUM(OFFSET($T$100,$F$21,0):$T245),"")</f>
        <v/>
      </c>
      <c r="BA245" s="190" t="str">
        <f t="shared" ca="1" si="195"/>
        <v/>
      </c>
      <c r="BB245" s="190" t="str">
        <f t="shared" ca="1" si="148"/>
        <v/>
      </c>
      <c r="BC245" s="190"/>
      <c r="BD245" s="190" t="str">
        <f ca="1">IFERROR(IF(OR(ISNUMBER(I),ISNUMBER($F$14)),IF(AND($B245&gt;=($F$16-$F$15),$B245&lt;$F$22+($F$16-$F$15)),SUM(OFFSET($T$100,($F$16-$F$15),0):$T245),""),""),"")</f>
        <v/>
      </c>
      <c r="BE245" s="190" t="str">
        <f t="shared" ca="1" si="220"/>
        <v/>
      </c>
      <c r="BF245" s="190" t="str">
        <f t="shared" ca="1" si="221"/>
        <v/>
      </c>
      <c r="BG245"/>
      <c r="BH245" s="190" t="str">
        <f ca="1">IF(ISNUMBER(OFFSET(BD245,-$F$21,0)),SUM(OFFSET($T$100,($F$16-$F$15+$F$21),0):$T245),"")</f>
        <v/>
      </c>
      <c r="BI245" s="190" t="str">
        <f t="shared" ca="1" si="196"/>
        <v/>
      </c>
      <c r="BJ245" s="190" t="str">
        <f t="shared" ca="1" si="222"/>
        <v/>
      </c>
      <c r="BK245" s="190"/>
      <c r="BL245" s="190" t="str">
        <f ca="1">IFERROR(IF(OR(ISNUMBER(I),ISNUMBER($F$14)),IF(AND($B245&gt;=($F$17-$F$15),$B245&lt;$F$22+($F$17-$F$15)),SUM(OFFSET($T$100,($F$17-$F$15),0):$T245),""),""),"")</f>
        <v/>
      </c>
      <c r="BM245" s="190" t="str">
        <f t="shared" ca="1" si="197"/>
        <v/>
      </c>
      <c r="BN245" s="190" t="str">
        <f t="shared" ca="1" si="223"/>
        <v/>
      </c>
      <c r="BO245"/>
      <c r="BP245" s="190" t="str">
        <f ca="1">IF(ISNUMBER(OFFSET(BL245,-$F$21,0)),SUM(OFFSET($T$100,($F$17-$F$15+$F$21),0):$T245),"")</f>
        <v/>
      </c>
      <c r="BQ245" s="190" t="str">
        <f t="shared" ca="1" si="198"/>
        <v/>
      </c>
      <c r="BR245" s="190" t="str">
        <f t="shared" ca="1" si="224"/>
        <v/>
      </c>
      <c r="BS245" s="190"/>
      <c r="BT245"/>
      <c r="BU245"/>
      <c r="BV245"/>
      <c r="BY245" s="99"/>
      <c r="BZ245" s="99"/>
      <c r="CA245" s="280" t="str">
        <f t="shared" si="199"/>
        <v/>
      </c>
      <c r="CB245" s="71" t="str">
        <f t="shared" si="200"/>
        <v>-</v>
      </c>
      <c r="CC245" s="33"/>
      <c r="CD245" s="261" t="str">
        <f t="shared" si="201"/>
        <v/>
      </c>
      <c r="CE245" s="280" t="str">
        <f t="shared" si="202"/>
        <v/>
      </c>
      <c r="CF245" s="71" t="str">
        <f t="shared" ca="1" si="203"/>
        <v/>
      </c>
      <c r="CG245" s="33" t="str">
        <f t="shared" si="204"/>
        <v/>
      </c>
      <c r="CH245" s="261" t="str">
        <f t="shared" ca="1" si="205"/>
        <v/>
      </c>
    </row>
    <row r="246" spans="2:86" ht="13.5" customHeight="1" x14ac:dyDescent="0.2">
      <c r="B246" s="262">
        <v>146</v>
      </c>
      <c r="C246" s="237" t="str">
        <f t="shared" si="169"/>
        <v/>
      </c>
      <c r="D246" s="237" t="str">
        <f t="shared" si="225"/>
        <v/>
      </c>
      <c r="E246" s="263" t="str">
        <f t="shared" si="206"/>
        <v/>
      </c>
      <c r="F246" s="264" t="str">
        <f t="shared" si="207"/>
        <v/>
      </c>
      <c r="G246" s="264" t="str">
        <f t="shared" si="208"/>
        <v/>
      </c>
      <c r="H246" s="240" t="str">
        <f t="shared" si="170"/>
        <v/>
      </c>
      <c r="I246" s="265" t="str">
        <f t="shared" si="171"/>
        <v/>
      </c>
      <c r="J246" s="265" t="str">
        <f t="shared" si="172"/>
        <v/>
      </c>
      <c r="K246" s="240" t="str">
        <f t="shared" si="173"/>
        <v/>
      </c>
      <c r="L246" s="265" t="str">
        <f t="shared" si="174"/>
        <v/>
      </c>
      <c r="M246" s="265" t="str">
        <f t="shared" si="175"/>
        <v/>
      </c>
      <c r="N246" s="240" t="str">
        <f t="shared" si="176"/>
        <v>-</v>
      </c>
      <c r="O246" s="265" t="str">
        <f t="shared" si="177"/>
        <v>-</v>
      </c>
      <c r="P246" s="265" t="str">
        <f t="shared" si="178"/>
        <v>-</v>
      </c>
      <c r="Q246" s="266" t="str">
        <f t="shared" si="179"/>
        <v>-</v>
      </c>
      <c r="R246" s="267" t="str">
        <f t="shared" si="180"/>
        <v>-</v>
      </c>
      <c r="S246" s="268" t="str">
        <f t="shared" si="181"/>
        <v>-</v>
      </c>
      <c r="T246" s="269" t="str">
        <f t="shared" si="182"/>
        <v/>
      </c>
      <c r="U246" s="221">
        <f t="shared" si="183"/>
        <v>146</v>
      </c>
      <c r="V246" s="220" t="str">
        <f t="shared" si="209"/>
        <v>-</v>
      </c>
      <c r="W246" s="221" t="str">
        <f t="shared" si="210"/>
        <v>-</v>
      </c>
      <c r="X246" s="221" t="str">
        <f t="shared" si="184"/>
        <v>-</v>
      </c>
      <c r="Y246" s="221" t="str">
        <f t="shared" si="185"/>
        <v>-</v>
      </c>
      <c r="Z246" s="270">
        <f t="shared" si="211"/>
        <v>0.1</v>
      </c>
      <c r="AA246" s="271" t="str">
        <f>IFERROR(IF(V245=1,AA$100*EXP(-(LN(2)/$D$65+0.04)*X245)*EXP(-(LN(2)/$D$65+0.1)*Y245),IF(V245=2,AA$100*EXP(-(LN(2)/$D$65+0.04)*(VLOOKUP(($F$16-$F$15)-1,U$99:Y245,4,FALSE)))*EXP(-(LN(2)/$D$65+0.1)*(VLOOKUP(($F$16-$F$15)-1,U$99:Y245,5,FALSE)))*EXP(-(LN(2)/$D$65+0.04)*X245)*EXP(-(LN(2)/$D$65+0.1)*Y245),IF(V245=3,AA$100*EXP(-(LN(2)/$D$65+0.04)*(VLOOKUP(($F$16-$F$15)-1,U$99:Y245,4,FALSE)))*EXP(-(LN(2)/$D$65+0.1)*(VLOOKUP(($F$16-$F$15)-1,U$99:Y245,5,FALSE)))*EXP(-(LN(2)/$D$65+0.04)*(VLOOKUP(($F$16-$F$15)*2-1,U$99:Y245,4,FALSE)))*EXP(-(LN(2)/$D$65+0.1)*(VLOOKUP(($F$16-$F$15)*2-1,U$99:Y245,5,FALSE)))*EXP(-(LN(2)/$D$65+0.04)*X245)*EXP(-(LN(2)/$D$65+0.1)*Y245),"-"))),"-")</f>
        <v>-</v>
      </c>
      <c r="AB246" s="271" t="str">
        <f>IFERROR(IF(V246=1,AB$100*EXP(-(LN(2)/$D$65+0.04)*X246)*EXP(-(LN(2)/$D$65+0.1)*Y246),IF(V246=2,AB$100*EXP(-(LN(2)/$D$65+0.04)*(VLOOKUP(($F$16-$F$15)-1,U$100:Y246,4,FALSE)))*EXP(-(LN(2)/$D$65+0.1)*(VLOOKUP(($F$16-$F$15)-1,U$100:Y246,5,FALSE)))*EXP(-(LN(2)/$D$65+0.04)*X246)*EXP(-(LN(2)/$D$65+0.1)*Y246),IF(V246=3,AB$100*EXP(-(LN(2)/$D$65+0.04)*(VLOOKUP(($F$16-$F$15)-1,U$100:Y246,4,FALSE)))*EXP(-(LN(2)/$D$65+0.1)*(VLOOKUP(($F$16-$F$15)-1,U$100:Y246,5,FALSE)))*EXP(-(LN(2)/$D$65+0.04)*(VLOOKUP(($F$16-$F$15)*2-1,U$100:Y246,4,FALSE)))*EXP(-(LN(2)/$D$65+0.1)*(VLOOKUP(($F$16-$F$15)*2-1,U$100:Y246,5,FALSE)))*EXP(-(LN(2)/$D$65+0.04)*X246)*EXP(-(LN(2)/$D$65+0.1)*Y246),"-"))),"-")</f>
        <v>-</v>
      </c>
      <c r="AC246" s="224">
        <f t="shared" si="226"/>
        <v>146</v>
      </c>
      <c r="AD246" s="223" t="str">
        <f t="shared" si="186"/>
        <v>-</v>
      </c>
      <c r="AE246" s="224" t="str">
        <f t="shared" si="213"/>
        <v>-</v>
      </c>
      <c r="AF246" s="224" t="str">
        <f t="shared" si="187"/>
        <v>-</v>
      </c>
      <c r="AG246" s="224" t="str">
        <f t="shared" si="188"/>
        <v>-</v>
      </c>
      <c r="AH246" s="272">
        <f t="shared" si="214"/>
        <v>0.1</v>
      </c>
      <c r="AI246" s="271" t="str">
        <f>IFERROR(IF(AD245=1,AI$100*EXP(-(LN(2)/$D$65+0.04)*AF245)*EXP(-(LN(2)/$D$65+0.1)*AG245),IF(AD245=2,AI$100*EXP(-(LN(2)/$D$65+0.04)*(VLOOKUP(($F$16-$F$15)-1,AC$99:AG245,4,FALSE)))*EXP(-(LN(2)/$D$65+0.1)*(VLOOKUP(($F$16-$F$15)-1,AC$99:AG245,5,FALSE)))*EXP(-(LN(2)/$D$65+0.04)*AF245)*EXP(-(LN(2)/$D$65+0.1)*AG245),IF(AD245=3,AI$100*EXP(-(LN(2)/$D$65+0.04)*(VLOOKUP(($F$16-$F$15)-1,AC$99:AG245,4,FALSE)))*EXP(-(LN(2)/$D$65+0.1)*(VLOOKUP(($F$16-$F$15)-1,AC$99:AG245,5,FALSE)))*EXP(-(LN(2)/$D$65+0.04)*(VLOOKUP(($F$16-$F$15)*2-1,AC$99:AG245,4,FALSE)))*EXP(-(LN(2)/$D$65+0.1)*(VLOOKUP(($F$16-$F$15)*2-1,AC$99:AG245,5,FALSE)))*EXP(-(LN(2)/$D$65+0.04)*AF245)*EXP(-(LN(2)/$D$65+0.1)*AG245),"-"))),"-")</f>
        <v>-</v>
      </c>
      <c r="AJ246" s="271" t="str">
        <f>IFERROR(IF(AD246=1,AJ$100*EXP(-(LN(2)/$D$65+0.04)*AF246)*EXP(-(LN(2)/$D$65+0.1)*AG246),IF(AD246=2,AJ$100*EXP(-(LN(2)/$D$65+0.04)*(VLOOKUP(($F$16-$F$15)-1,AC$100:AG246,4,FALSE)))*EXP(-(LN(2)/$D$65+0.1)*(VLOOKUP(($F$16-$F$15)-1,AC$100:AG246,5,FALSE)))*EXP(-(LN(2)/$D$65+0.04)*AF246)*EXP(-(LN(2)/$D$65+0.1)*AG246),IF(AD246=3,AJ$100*EXP(-(LN(2)/$D$65+0.04)*(VLOOKUP(($F$16-$F$15)-1,AC$100:AG246,4,FALSE)))*EXP(-(LN(2)/$D$65+0.1)*(VLOOKUP(($F$16-$F$15)-1,AC$100:AG246,5,FALSE)))*EXP(-(LN(2)/$D$65+0.04)*(VLOOKUP(($F$16-$F$15)*2-1,AC$100:AG246,4,FALSE)))*EXP(-(LN(2)/$D$65+0.1)*(VLOOKUP(($F$16-$F$15)*2-1,AC$100:AG246,5,FALSE)))*EXP(-(LN(2)/$D$65+0.04)*AF246)*EXP(-(LN(2)/$D$65+0.1)*AG246),"-"))),"-")</f>
        <v>-</v>
      </c>
      <c r="AK246" s="227">
        <f t="shared" si="215"/>
        <v>146</v>
      </c>
      <c r="AL246" s="226" t="str">
        <f t="shared" si="189"/>
        <v>-</v>
      </c>
      <c r="AM246" s="227" t="str">
        <f t="shared" si="216"/>
        <v>-</v>
      </c>
      <c r="AN246" s="227" t="str">
        <f t="shared" si="217"/>
        <v>-</v>
      </c>
      <c r="AO246" s="227" t="str">
        <f t="shared" si="190"/>
        <v>-</v>
      </c>
      <c r="AP246" s="273">
        <f t="shared" si="218"/>
        <v>0.1</v>
      </c>
      <c r="AQ246" s="271" t="str">
        <f>IFERROR(IF(AL245=1,AQ$100*EXP(-(LN(2)/$D$65+0.04)*AN245)*EXP(-(LN(2)/$D$65+0.1)*AO245),IF(AL245=2,AQ$100*EXP(-(LN(2)/$D$65+0.04)*(VLOOKUP(($F$16-$F$15)-1,AK$99:AO245,4,FALSE)))*EXP(-(LN(2)/$D$65+0.1)*(VLOOKUP(($F$16-$F$15)-1,AK$99:AO245,5,FALSE)))*EXP(-(LN(2)/$D$65+0.04)*AN245)*EXP(-(LN(2)/$D$65+0.1)*AO245),IF(AL245=3,AQ$100*EXP(-(LN(2)/$D$65+0.04)*(VLOOKUP(($F$16-$F$15)-1,AK$99:AO245,4,FALSE)))*EXP(-(LN(2)/$D$65+0.1)*(VLOOKUP(($F$16-$F$15)-1,AK$99:AO245,5,FALSE)))*EXP(-(LN(2)/$D$65+0.04)*(VLOOKUP(($F$16-$F$15)*2-1,AK$99:AO245,4,FALSE)))*EXP(-(LN(2)/$D$65+0.1)*(VLOOKUP(($F$16-$F$15)*2-1,AK$99:AO245,5,FALSE)))*EXP(-(LN(2)/$D$65+0.04)*AN245)*EXP(-(LN(2)/$D$65+0.1)*AO245),"-"))),"-")</f>
        <v>-</v>
      </c>
      <c r="AR246" s="271" t="str">
        <f>IFERROR(IF(AL246=1,AR$100*EXP(-(LN(2)/$D$65+0.04)*AN246)*EXP(-(LN(2)/$D$65+0.1)*AO246),IF(AL246=2,AR$100*EXP(-(LN(2)/$D$65+0.04)*(VLOOKUP(($F$16-$F$15)-1,AK$100:AO246,4,FALSE)))*EXP(-(LN(2)/$D$65+0.1)*(VLOOKUP(($F$16-$F$15)-1,AK$100:AO246,5,FALSE)))*EXP(-(LN(2)/$D$65+0.04)*AN246)*EXP(-(LN(2)/$D$65+0.1)*AO246),IF(AL246=3,AR$100*EXP(-(LN(2)/$D$65+0.04)*(VLOOKUP(($F$16-$F$15)-1,AK$100:AO246,4,FALSE)))*EXP(-(LN(2)/$D$65+0.1)*(VLOOKUP(($F$16-$F$15)-1,AK$100:AO246,5,FALSE)))*EXP(-(LN(2)/$D$65+0.04)*(VLOOKUP(($F$16-$F$15)*2-1,AK$100:AO246,4,FALSE)))*EXP(-(LN(2)/$D$65+0.1)*(VLOOKUP(($F$16-$F$15)*2-1,AK$100:AO246,5,FALSE)))*EXP(-(LN(2)/$D$65+0.04)*AN246)*EXP(-(LN(2)/$D$65+0.1)*AO246),"-"))),"-")</f>
        <v>-</v>
      </c>
      <c r="AS246" s="274">
        <f t="shared" si="191"/>
        <v>0</v>
      </c>
      <c r="AT246" s="274">
        <f t="shared" si="192"/>
        <v>0</v>
      </c>
      <c r="AU246" s="274">
        <f t="shared" si="193"/>
        <v>0</v>
      </c>
      <c r="AV246" s="190" t="str">
        <f>IF($B246&lt;$F$22,SUM($T$100:$T246),"")</f>
        <v/>
      </c>
      <c r="AW246" s="190" t="str">
        <f t="shared" si="194"/>
        <v>-</v>
      </c>
      <c r="AX246" s="190" t="str">
        <f t="shared" si="219"/>
        <v/>
      </c>
      <c r="AY246"/>
      <c r="AZ246" s="190" t="str">
        <f ca="1">IF(ISNUMBER(OFFSET(AV246,-$F$21,0)),SUM(OFFSET($T$100,$F$21,0):$T246),"")</f>
        <v/>
      </c>
      <c r="BA246" s="190" t="str">
        <f t="shared" ca="1" si="195"/>
        <v/>
      </c>
      <c r="BB246" s="190" t="str">
        <f t="shared" ca="1" si="148"/>
        <v/>
      </c>
      <c r="BC246" s="190"/>
      <c r="BD246" s="190" t="str">
        <f ca="1">IFERROR(IF(OR(ISNUMBER(I),ISNUMBER($F$14)),IF(AND($B246&gt;=($F$16-$F$15),$B246&lt;$F$22+($F$16-$F$15)),SUM(OFFSET($T$100,($F$16-$F$15),0):$T246),""),""),"")</f>
        <v/>
      </c>
      <c r="BE246" s="190" t="str">
        <f t="shared" ca="1" si="220"/>
        <v/>
      </c>
      <c r="BF246" s="190" t="str">
        <f t="shared" ca="1" si="221"/>
        <v/>
      </c>
      <c r="BG246"/>
      <c r="BH246" s="190" t="str">
        <f ca="1">IF(ISNUMBER(OFFSET(BD246,-$F$21,0)),SUM(OFFSET($T$100,($F$16-$F$15+$F$21),0):$T246),"")</f>
        <v/>
      </c>
      <c r="BI246" s="190" t="str">
        <f t="shared" ca="1" si="196"/>
        <v/>
      </c>
      <c r="BJ246" s="190" t="str">
        <f t="shared" ca="1" si="222"/>
        <v/>
      </c>
      <c r="BK246" s="190"/>
      <c r="BL246" s="190" t="str">
        <f ca="1">IFERROR(IF(OR(ISNUMBER(I),ISNUMBER($F$14)),IF(AND($B246&gt;=($F$17-$F$15),$B246&lt;$F$22+($F$17-$F$15)),SUM(OFFSET($T$100,($F$17-$F$15),0):$T246),""),""),"")</f>
        <v/>
      </c>
      <c r="BM246" s="190" t="str">
        <f t="shared" ca="1" si="197"/>
        <v/>
      </c>
      <c r="BN246" s="190" t="str">
        <f t="shared" ca="1" si="223"/>
        <v/>
      </c>
      <c r="BO246"/>
      <c r="BP246" s="190" t="str">
        <f ca="1">IF(ISNUMBER(OFFSET(BL246,-$F$21,0)),SUM(OFFSET($T$100,($F$17-$F$15+$F$21),0):$T246),"")</f>
        <v/>
      </c>
      <c r="BQ246" s="190" t="str">
        <f t="shared" ca="1" si="198"/>
        <v/>
      </c>
      <c r="BR246" s="190" t="str">
        <f t="shared" ca="1" si="224"/>
        <v/>
      </c>
      <c r="BS246" s="190"/>
      <c r="BT246"/>
      <c r="BU246"/>
      <c r="BV246"/>
      <c r="BY246" s="99"/>
      <c r="BZ246" s="99"/>
      <c r="CA246" s="280" t="str">
        <f t="shared" si="199"/>
        <v/>
      </c>
      <c r="CB246" s="71" t="str">
        <f t="shared" si="200"/>
        <v>-</v>
      </c>
      <c r="CC246" s="33"/>
      <c r="CD246" s="261" t="str">
        <f t="shared" si="201"/>
        <v/>
      </c>
      <c r="CE246" s="280" t="str">
        <f t="shared" si="202"/>
        <v/>
      </c>
      <c r="CF246" s="71" t="str">
        <f t="shared" ca="1" si="203"/>
        <v/>
      </c>
      <c r="CG246" s="33" t="str">
        <f t="shared" si="204"/>
        <v/>
      </c>
      <c r="CH246" s="261" t="str">
        <f t="shared" ca="1" si="205"/>
        <v/>
      </c>
    </row>
    <row r="247" spans="2:86" ht="13.5" customHeight="1" x14ac:dyDescent="0.2">
      <c r="B247" s="262">
        <v>147</v>
      </c>
      <c r="C247" s="237" t="str">
        <f t="shared" si="169"/>
        <v/>
      </c>
      <c r="D247" s="237" t="str">
        <f t="shared" si="225"/>
        <v/>
      </c>
      <c r="E247" s="263" t="str">
        <f t="shared" si="206"/>
        <v/>
      </c>
      <c r="F247" s="264" t="str">
        <f t="shared" si="207"/>
        <v/>
      </c>
      <c r="G247" s="264" t="str">
        <f t="shared" si="208"/>
        <v/>
      </c>
      <c r="H247" s="240" t="str">
        <f t="shared" si="170"/>
        <v/>
      </c>
      <c r="I247" s="265" t="str">
        <f t="shared" si="171"/>
        <v/>
      </c>
      <c r="J247" s="265" t="str">
        <f t="shared" si="172"/>
        <v/>
      </c>
      <c r="K247" s="240" t="str">
        <f t="shared" si="173"/>
        <v/>
      </c>
      <c r="L247" s="265" t="str">
        <f t="shared" si="174"/>
        <v/>
      </c>
      <c r="M247" s="265" t="str">
        <f t="shared" si="175"/>
        <v/>
      </c>
      <c r="N247" s="240" t="str">
        <f t="shared" si="176"/>
        <v>-</v>
      </c>
      <c r="O247" s="265" t="str">
        <f t="shared" si="177"/>
        <v>-</v>
      </c>
      <c r="P247" s="265" t="str">
        <f t="shared" si="178"/>
        <v>-</v>
      </c>
      <c r="Q247" s="266" t="str">
        <f t="shared" si="179"/>
        <v>-</v>
      </c>
      <c r="R247" s="267" t="str">
        <f t="shared" si="180"/>
        <v>-</v>
      </c>
      <c r="S247" s="268" t="str">
        <f t="shared" si="181"/>
        <v>-</v>
      </c>
      <c r="T247" s="269" t="str">
        <f t="shared" si="182"/>
        <v/>
      </c>
      <c r="U247" s="221">
        <f t="shared" si="183"/>
        <v>147</v>
      </c>
      <c r="V247" s="220" t="str">
        <f t="shared" si="209"/>
        <v>-</v>
      </c>
      <c r="W247" s="221" t="str">
        <f t="shared" si="210"/>
        <v>-</v>
      </c>
      <c r="X247" s="221" t="str">
        <f t="shared" si="184"/>
        <v>-</v>
      </c>
      <c r="Y247" s="221" t="str">
        <f t="shared" si="185"/>
        <v>-</v>
      </c>
      <c r="Z247" s="270">
        <f t="shared" si="211"/>
        <v>0.1</v>
      </c>
      <c r="AA247" s="271" t="str">
        <f>IFERROR(IF(V246=1,AA$100*EXP(-(LN(2)/$D$65+0.04)*X246)*EXP(-(LN(2)/$D$65+0.1)*Y246),IF(V246=2,AA$100*EXP(-(LN(2)/$D$65+0.04)*(VLOOKUP(($F$16-$F$15)-1,U$99:Y246,4,FALSE)))*EXP(-(LN(2)/$D$65+0.1)*(VLOOKUP(($F$16-$F$15)-1,U$99:Y246,5,FALSE)))*EXP(-(LN(2)/$D$65+0.04)*X246)*EXP(-(LN(2)/$D$65+0.1)*Y246),IF(V246=3,AA$100*EXP(-(LN(2)/$D$65+0.04)*(VLOOKUP(($F$16-$F$15)-1,U$99:Y246,4,FALSE)))*EXP(-(LN(2)/$D$65+0.1)*(VLOOKUP(($F$16-$F$15)-1,U$99:Y246,5,FALSE)))*EXP(-(LN(2)/$D$65+0.04)*(VLOOKUP(($F$16-$F$15)*2-1,U$99:Y246,4,FALSE)))*EXP(-(LN(2)/$D$65+0.1)*(VLOOKUP(($F$16-$F$15)*2-1,U$99:Y246,5,FALSE)))*EXP(-(LN(2)/$D$65+0.04)*X246)*EXP(-(LN(2)/$D$65+0.1)*Y246),"-"))),"-")</f>
        <v>-</v>
      </c>
      <c r="AB247" s="271" t="str">
        <f>IFERROR(IF(V247=1,AB$100*EXP(-(LN(2)/$D$65+0.04)*X247)*EXP(-(LN(2)/$D$65+0.1)*Y247),IF(V247=2,AB$100*EXP(-(LN(2)/$D$65+0.04)*(VLOOKUP(($F$16-$F$15)-1,U$100:Y247,4,FALSE)))*EXP(-(LN(2)/$D$65+0.1)*(VLOOKUP(($F$16-$F$15)-1,U$100:Y247,5,FALSE)))*EXP(-(LN(2)/$D$65+0.04)*X247)*EXP(-(LN(2)/$D$65+0.1)*Y247),IF(V247=3,AB$100*EXP(-(LN(2)/$D$65+0.04)*(VLOOKUP(($F$16-$F$15)-1,U$100:Y247,4,FALSE)))*EXP(-(LN(2)/$D$65+0.1)*(VLOOKUP(($F$16-$F$15)-1,U$100:Y247,5,FALSE)))*EXP(-(LN(2)/$D$65+0.04)*(VLOOKUP(($F$16-$F$15)*2-1,U$100:Y247,4,FALSE)))*EXP(-(LN(2)/$D$65+0.1)*(VLOOKUP(($F$16-$F$15)*2-1,U$100:Y247,5,FALSE)))*EXP(-(LN(2)/$D$65+0.04)*X247)*EXP(-(LN(2)/$D$65+0.1)*Y247),"-"))),"-")</f>
        <v>-</v>
      </c>
      <c r="AC247" s="224">
        <f t="shared" si="226"/>
        <v>147</v>
      </c>
      <c r="AD247" s="223" t="str">
        <f t="shared" si="186"/>
        <v>-</v>
      </c>
      <c r="AE247" s="224" t="str">
        <f t="shared" si="213"/>
        <v>-</v>
      </c>
      <c r="AF247" s="224" t="str">
        <f t="shared" si="187"/>
        <v>-</v>
      </c>
      <c r="AG247" s="224" t="str">
        <f t="shared" si="188"/>
        <v>-</v>
      </c>
      <c r="AH247" s="272">
        <f t="shared" si="214"/>
        <v>0.1</v>
      </c>
      <c r="AI247" s="271" t="str">
        <f>IFERROR(IF(AD246=1,AI$100*EXP(-(LN(2)/$D$65+0.04)*AF246)*EXP(-(LN(2)/$D$65+0.1)*AG246),IF(AD246=2,AI$100*EXP(-(LN(2)/$D$65+0.04)*(VLOOKUP(($F$16-$F$15)-1,AC$99:AG246,4,FALSE)))*EXP(-(LN(2)/$D$65+0.1)*(VLOOKUP(($F$16-$F$15)-1,AC$99:AG246,5,FALSE)))*EXP(-(LN(2)/$D$65+0.04)*AF246)*EXP(-(LN(2)/$D$65+0.1)*AG246),IF(AD246=3,AI$100*EXP(-(LN(2)/$D$65+0.04)*(VLOOKUP(($F$16-$F$15)-1,AC$99:AG246,4,FALSE)))*EXP(-(LN(2)/$D$65+0.1)*(VLOOKUP(($F$16-$F$15)-1,AC$99:AG246,5,FALSE)))*EXP(-(LN(2)/$D$65+0.04)*(VLOOKUP(($F$16-$F$15)*2-1,AC$99:AG246,4,FALSE)))*EXP(-(LN(2)/$D$65+0.1)*(VLOOKUP(($F$16-$F$15)*2-1,AC$99:AG246,5,FALSE)))*EXP(-(LN(2)/$D$65+0.04)*AF246)*EXP(-(LN(2)/$D$65+0.1)*AG246),"-"))),"-")</f>
        <v>-</v>
      </c>
      <c r="AJ247" s="271" t="str">
        <f>IFERROR(IF(AD247=1,AJ$100*EXP(-(LN(2)/$D$65+0.04)*AF247)*EXP(-(LN(2)/$D$65+0.1)*AG247),IF(AD247=2,AJ$100*EXP(-(LN(2)/$D$65+0.04)*(VLOOKUP(($F$16-$F$15)-1,AC$100:AG247,4,FALSE)))*EXP(-(LN(2)/$D$65+0.1)*(VLOOKUP(($F$16-$F$15)-1,AC$100:AG247,5,FALSE)))*EXP(-(LN(2)/$D$65+0.04)*AF247)*EXP(-(LN(2)/$D$65+0.1)*AG247),IF(AD247=3,AJ$100*EXP(-(LN(2)/$D$65+0.04)*(VLOOKUP(($F$16-$F$15)-1,AC$100:AG247,4,FALSE)))*EXP(-(LN(2)/$D$65+0.1)*(VLOOKUP(($F$16-$F$15)-1,AC$100:AG247,5,FALSE)))*EXP(-(LN(2)/$D$65+0.04)*(VLOOKUP(($F$16-$F$15)*2-1,AC$100:AG247,4,FALSE)))*EXP(-(LN(2)/$D$65+0.1)*(VLOOKUP(($F$16-$F$15)*2-1,AC$100:AG247,5,FALSE)))*EXP(-(LN(2)/$D$65+0.04)*AF247)*EXP(-(LN(2)/$D$65+0.1)*AG247),"-"))),"-")</f>
        <v>-</v>
      </c>
      <c r="AK247" s="227">
        <f t="shared" si="215"/>
        <v>147</v>
      </c>
      <c r="AL247" s="226" t="str">
        <f t="shared" si="189"/>
        <v>-</v>
      </c>
      <c r="AM247" s="227" t="str">
        <f t="shared" si="216"/>
        <v>-</v>
      </c>
      <c r="AN247" s="227" t="str">
        <f t="shared" si="217"/>
        <v>-</v>
      </c>
      <c r="AO247" s="227" t="str">
        <f t="shared" si="190"/>
        <v>-</v>
      </c>
      <c r="AP247" s="273">
        <f t="shared" si="218"/>
        <v>0.1</v>
      </c>
      <c r="AQ247" s="271" t="str">
        <f>IFERROR(IF(AL246=1,AQ$100*EXP(-(LN(2)/$D$65+0.04)*AN246)*EXP(-(LN(2)/$D$65+0.1)*AO246),IF(AL246=2,AQ$100*EXP(-(LN(2)/$D$65+0.04)*(VLOOKUP(($F$16-$F$15)-1,AK$99:AO246,4,FALSE)))*EXP(-(LN(2)/$D$65+0.1)*(VLOOKUP(($F$16-$F$15)-1,AK$99:AO246,5,FALSE)))*EXP(-(LN(2)/$D$65+0.04)*AN246)*EXP(-(LN(2)/$D$65+0.1)*AO246),IF(AL246=3,AQ$100*EXP(-(LN(2)/$D$65+0.04)*(VLOOKUP(($F$16-$F$15)-1,AK$99:AO246,4,FALSE)))*EXP(-(LN(2)/$D$65+0.1)*(VLOOKUP(($F$16-$F$15)-1,AK$99:AO246,5,FALSE)))*EXP(-(LN(2)/$D$65+0.04)*(VLOOKUP(($F$16-$F$15)*2-1,AK$99:AO246,4,FALSE)))*EXP(-(LN(2)/$D$65+0.1)*(VLOOKUP(($F$16-$F$15)*2-1,AK$99:AO246,5,FALSE)))*EXP(-(LN(2)/$D$65+0.04)*AN246)*EXP(-(LN(2)/$D$65+0.1)*AO246),"-"))),"-")</f>
        <v>-</v>
      </c>
      <c r="AR247" s="271" t="str">
        <f>IFERROR(IF(AL247=1,AR$100*EXP(-(LN(2)/$D$65+0.04)*AN247)*EXP(-(LN(2)/$D$65+0.1)*AO247),IF(AL247=2,AR$100*EXP(-(LN(2)/$D$65+0.04)*(VLOOKUP(($F$16-$F$15)-1,AK$100:AO247,4,FALSE)))*EXP(-(LN(2)/$D$65+0.1)*(VLOOKUP(($F$16-$F$15)-1,AK$100:AO247,5,FALSE)))*EXP(-(LN(2)/$D$65+0.04)*AN247)*EXP(-(LN(2)/$D$65+0.1)*AO247),IF(AL247=3,AR$100*EXP(-(LN(2)/$D$65+0.04)*(VLOOKUP(($F$16-$F$15)-1,AK$100:AO247,4,FALSE)))*EXP(-(LN(2)/$D$65+0.1)*(VLOOKUP(($F$16-$F$15)-1,AK$100:AO247,5,FALSE)))*EXP(-(LN(2)/$D$65+0.04)*(VLOOKUP(($F$16-$F$15)*2-1,AK$100:AO247,4,FALSE)))*EXP(-(LN(2)/$D$65+0.1)*(VLOOKUP(($F$16-$F$15)*2-1,AK$100:AO247,5,FALSE)))*EXP(-(LN(2)/$D$65+0.04)*AN247)*EXP(-(LN(2)/$D$65+0.1)*AO247),"-"))),"-")</f>
        <v>-</v>
      </c>
      <c r="AS247" s="274">
        <f t="shared" si="191"/>
        <v>0</v>
      </c>
      <c r="AT247" s="274">
        <f t="shared" si="192"/>
        <v>0</v>
      </c>
      <c r="AU247" s="274">
        <f t="shared" si="193"/>
        <v>0</v>
      </c>
      <c r="AV247" s="190" t="str">
        <f>IF($B247&lt;$F$22,SUM($T$100:$T247),"")</f>
        <v/>
      </c>
      <c r="AW247" s="190" t="str">
        <f t="shared" si="194"/>
        <v>-</v>
      </c>
      <c r="AX247" s="190" t="str">
        <f t="shared" si="219"/>
        <v/>
      </c>
      <c r="AY247"/>
      <c r="AZ247" s="190" t="str">
        <f ca="1">IF(ISNUMBER(OFFSET(AV247,-$F$21,0)),SUM(OFFSET($T$100,$F$21,0):$T247),"")</f>
        <v/>
      </c>
      <c r="BA247" s="190" t="str">
        <f t="shared" ca="1" si="195"/>
        <v/>
      </c>
      <c r="BB247" s="190" t="str">
        <f t="shared" ca="1" si="148"/>
        <v/>
      </c>
      <c r="BC247" s="190"/>
      <c r="BD247" s="190" t="str">
        <f ca="1">IFERROR(IF(OR(ISNUMBER(I),ISNUMBER($F$14)),IF(AND($B247&gt;=($F$16-$F$15),$B247&lt;$F$22+($F$16-$F$15)),SUM(OFFSET($T$100,($F$16-$F$15),0):$T247),""),""),"")</f>
        <v/>
      </c>
      <c r="BE247" s="190" t="str">
        <f t="shared" ca="1" si="220"/>
        <v/>
      </c>
      <c r="BF247" s="190" t="str">
        <f t="shared" ca="1" si="221"/>
        <v/>
      </c>
      <c r="BG247"/>
      <c r="BH247" s="190" t="str">
        <f ca="1">IF(ISNUMBER(OFFSET(BD247,-$F$21,0)),SUM(OFFSET($T$100,($F$16-$F$15+$F$21),0):$T247),"")</f>
        <v/>
      </c>
      <c r="BI247" s="190" t="str">
        <f t="shared" ca="1" si="196"/>
        <v/>
      </c>
      <c r="BJ247" s="190" t="str">
        <f t="shared" ca="1" si="222"/>
        <v/>
      </c>
      <c r="BK247" s="190"/>
      <c r="BL247" s="190" t="str">
        <f ca="1">IFERROR(IF(OR(ISNUMBER(I),ISNUMBER($F$14)),IF(AND($B247&gt;=($F$17-$F$15),$B247&lt;$F$22+($F$17-$F$15)),SUM(OFFSET($T$100,($F$17-$F$15),0):$T247),""),""),"")</f>
        <v/>
      </c>
      <c r="BM247" s="190" t="str">
        <f t="shared" ca="1" si="197"/>
        <v/>
      </c>
      <c r="BN247" s="190" t="str">
        <f t="shared" ca="1" si="223"/>
        <v/>
      </c>
      <c r="BO247"/>
      <c r="BP247" s="190" t="str">
        <f ca="1">IF(ISNUMBER(OFFSET(BL247,-$F$21,0)),SUM(OFFSET($T$100,($F$17-$F$15+$F$21),0):$T247),"")</f>
        <v/>
      </c>
      <c r="BQ247" s="190" t="str">
        <f t="shared" ca="1" si="198"/>
        <v/>
      </c>
      <c r="BR247" s="190" t="str">
        <f t="shared" ca="1" si="224"/>
        <v/>
      </c>
      <c r="BS247" s="190"/>
      <c r="BT247"/>
      <c r="BU247"/>
      <c r="BV247"/>
      <c r="BY247" s="99"/>
      <c r="BZ247" s="99"/>
      <c r="CA247" s="280" t="str">
        <f t="shared" si="199"/>
        <v/>
      </c>
      <c r="CB247" s="71" t="str">
        <f t="shared" si="200"/>
        <v>-</v>
      </c>
      <c r="CC247" s="33"/>
      <c r="CD247" s="261" t="str">
        <f t="shared" si="201"/>
        <v/>
      </c>
      <c r="CE247" s="280" t="str">
        <f t="shared" si="202"/>
        <v/>
      </c>
      <c r="CF247" s="71" t="str">
        <f t="shared" ca="1" si="203"/>
        <v/>
      </c>
      <c r="CG247" s="33" t="str">
        <f t="shared" si="204"/>
        <v/>
      </c>
      <c r="CH247" s="261" t="str">
        <f t="shared" ca="1" si="205"/>
        <v/>
      </c>
    </row>
    <row r="248" spans="2:86" ht="13.5" customHeight="1" x14ac:dyDescent="0.2">
      <c r="B248" s="262">
        <v>148</v>
      </c>
      <c r="C248" s="237" t="str">
        <f t="shared" si="169"/>
        <v/>
      </c>
      <c r="D248" s="237" t="str">
        <f t="shared" si="225"/>
        <v/>
      </c>
      <c r="E248" s="263" t="str">
        <f t="shared" si="206"/>
        <v/>
      </c>
      <c r="F248" s="264" t="str">
        <f t="shared" si="207"/>
        <v/>
      </c>
      <c r="G248" s="264" t="str">
        <f t="shared" si="208"/>
        <v/>
      </c>
      <c r="H248" s="240" t="str">
        <f t="shared" si="170"/>
        <v/>
      </c>
      <c r="I248" s="265" t="str">
        <f t="shared" si="171"/>
        <v/>
      </c>
      <c r="J248" s="265" t="str">
        <f t="shared" si="172"/>
        <v/>
      </c>
      <c r="K248" s="240" t="str">
        <f t="shared" si="173"/>
        <v/>
      </c>
      <c r="L248" s="265" t="str">
        <f t="shared" si="174"/>
        <v/>
      </c>
      <c r="M248" s="265" t="str">
        <f t="shared" si="175"/>
        <v/>
      </c>
      <c r="N248" s="240" t="str">
        <f t="shared" si="176"/>
        <v>-</v>
      </c>
      <c r="O248" s="265" t="str">
        <f t="shared" si="177"/>
        <v>-</v>
      </c>
      <c r="P248" s="265" t="str">
        <f t="shared" si="178"/>
        <v>-</v>
      </c>
      <c r="Q248" s="266" t="str">
        <f t="shared" si="179"/>
        <v>-</v>
      </c>
      <c r="R248" s="267" t="str">
        <f t="shared" si="180"/>
        <v>-</v>
      </c>
      <c r="S248" s="268" t="str">
        <f t="shared" si="181"/>
        <v>-</v>
      </c>
      <c r="T248" s="269" t="str">
        <f t="shared" si="182"/>
        <v/>
      </c>
      <c r="U248" s="221">
        <f t="shared" si="183"/>
        <v>148</v>
      </c>
      <c r="V248" s="220" t="str">
        <f t="shared" si="209"/>
        <v>-</v>
      </c>
      <c r="W248" s="221" t="str">
        <f t="shared" si="210"/>
        <v>-</v>
      </c>
      <c r="X248" s="221" t="str">
        <f t="shared" si="184"/>
        <v>-</v>
      </c>
      <c r="Y248" s="221" t="str">
        <f t="shared" si="185"/>
        <v>-</v>
      </c>
      <c r="Z248" s="270">
        <f t="shared" si="211"/>
        <v>0.1</v>
      </c>
      <c r="AA248" s="271" t="str">
        <f>IFERROR(IF(V247=1,AA$100*EXP(-(LN(2)/$D$65+0.04)*X247)*EXP(-(LN(2)/$D$65+0.1)*Y247),IF(V247=2,AA$100*EXP(-(LN(2)/$D$65+0.04)*(VLOOKUP(($F$16-$F$15)-1,U$99:Y247,4,FALSE)))*EXP(-(LN(2)/$D$65+0.1)*(VLOOKUP(($F$16-$F$15)-1,U$99:Y247,5,FALSE)))*EXP(-(LN(2)/$D$65+0.04)*X247)*EXP(-(LN(2)/$D$65+0.1)*Y247),IF(V247=3,AA$100*EXP(-(LN(2)/$D$65+0.04)*(VLOOKUP(($F$16-$F$15)-1,U$99:Y247,4,FALSE)))*EXP(-(LN(2)/$D$65+0.1)*(VLOOKUP(($F$16-$F$15)-1,U$99:Y247,5,FALSE)))*EXP(-(LN(2)/$D$65+0.04)*(VLOOKUP(($F$16-$F$15)*2-1,U$99:Y247,4,FALSE)))*EXP(-(LN(2)/$D$65+0.1)*(VLOOKUP(($F$16-$F$15)*2-1,U$99:Y247,5,FALSE)))*EXP(-(LN(2)/$D$65+0.04)*X247)*EXP(-(LN(2)/$D$65+0.1)*Y247),"-"))),"-")</f>
        <v>-</v>
      </c>
      <c r="AB248" s="271" t="str">
        <f>IFERROR(IF(V248=1,AB$100*EXP(-(LN(2)/$D$65+0.04)*X248)*EXP(-(LN(2)/$D$65+0.1)*Y248),IF(V248=2,AB$100*EXP(-(LN(2)/$D$65+0.04)*(VLOOKUP(($F$16-$F$15)-1,U$100:Y248,4,FALSE)))*EXP(-(LN(2)/$D$65+0.1)*(VLOOKUP(($F$16-$F$15)-1,U$100:Y248,5,FALSE)))*EXP(-(LN(2)/$D$65+0.04)*X248)*EXP(-(LN(2)/$D$65+0.1)*Y248),IF(V248=3,AB$100*EXP(-(LN(2)/$D$65+0.04)*(VLOOKUP(($F$16-$F$15)-1,U$100:Y248,4,FALSE)))*EXP(-(LN(2)/$D$65+0.1)*(VLOOKUP(($F$16-$F$15)-1,U$100:Y248,5,FALSE)))*EXP(-(LN(2)/$D$65+0.04)*(VLOOKUP(($F$16-$F$15)*2-1,U$100:Y248,4,FALSE)))*EXP(-(LN(2)/$D$65+0.1)*(VLOOKUP(($F$16-$F$15)*2-1,U$100:Y248,5,FALSE)))*EXP(-(LN(2)/$D$65+0.04)*X248)*EXP(-(LN(2)/$D$65+0.1)*Y248),"-"))),"-")</f>
        <v>-</v>
      </c>
      <c r="AC248" s="224">
        <f t="shared" si="226"/>
        <v>148</v>
      </c>
      <c r="AD248" s="223" t="str">
        <f t="shared" si="186"/>
        <v>-</v>
      </c>
      <c r="AE248" s="224" t="str">
        <f t="shared" si="213"/>
        <v>-</v>
      </c>
      <c r="AF248" s="224" t="str">
        <f t="shared" si="187"/>
        <v>-</v>
      </c>
      <c r="AG248" s="224" t="str">
        <f t="shared" si="188"/>
        <v>-</v>
      </c>
      <c r="AH248" s="272">
        <f t="shared" si="214"/>
        <v>0.1</v>
      </c>
      <c r="AI248" s="271" t="str">
        <f>IFERROR(IF(AD247=1,AI$100*EXP(-(LN(2)/$D$65+0.04)*AF247)*EXP(-(LN(2)/$D$65+0.1)*AG247),IF(AD247=2,AI$100*EXP(-(LN(2)/$D$65+0.04)*(VLOOKUP(($F$16-$F$15)-1,AC$99:AG247,4,FALSE)))*EXP(-(LN(2)/$D$65+0.1)*(VLOOKUP(($F$16-$F$15)-1,AC$99:AG247,5,FALSE)))*EXP(-(LN(2)/$D$65+0.04)*AF247)*EXP(-(LN(2)/$D$65+0.1)*AG247),IF(AD247=3,AI$100*EXP(-(LN(2)/$D$65+0.04)*(VLOOKUP(($F$16-$F$15)-1,AC$99:AG247,4,FALSE)))*EXP(-(LN(2)/$D$65+0.1)*(VLOOKUP(($F$16-$F$15)-1,AC$99:AG247,5,FALSE)))*EXP(-(LN(2)/$D$65+0.04)*(VLOOKUP(($F$16-$F$15)*2-1,AC$99:AG247,4,FALSE)))*EXP(-(LN(2)/$D$65+0.1)*(VLOOKUP(($F$16-$F$15)*2-1,AC$99:AG247,5,FALSE)))*EXP(-(LN(2)/$D$65+0.04)*AF247)*EXP(-(LN(2)/$D$65+0.1)*AG247),"-"))),"-")</f>
        <v>-</v>
      </c>
      <c r="AJ248" s="271" t="str">
        <f>IFERROR(IF(AD248=1,AJ$100*EXP(-(LN(2)/$D$65+0.04)*AF248)*EXP(-(LN(2)/$D$65+0.1)*AG248),IF(AD248=2,AJ$100*EXP(-(LN(2)/$D$65+0.04)*(VLOOKUP(($F$16-$F$15)-1,AC$100:AG248,4,FALSE)))*EXP(-(LN(2)/$D$65+0.1)*(VLOOKUP(($F$16-$F$15)-1,AC$100:AG248,5,FALSE)))*EXP(-(LN(2)/$D$65+0.04)*AF248)*EXP(-(LN(2)/$D$65+0.1)*AG248),IF(AD248=3,AJ$100*EXP(-(LN(2)/$D$65+0.04)*(VLOOKUP(($F$16-$F$15)-1,AC$100:AG248,4,FALSE)))*EXP(-(LN(2)/$D$65+0.1)*(VLOOKUP(($F$16-$F$15)-1,AC$100:AG248,5,FALSE)))*EXP(-(LN(2)/$D$65+0.04)*(VLOOKUP(($F$16-$F$15)*2-1,AC$100:AG248,4,FALSE)))*EXP(-(LN(2)/$D$65+0.1)*(VLOOKUP(($F$16-$F$15)*2-1,AC$100:AG248,5,FALSE)))*EXP(-(LN(2)/$D$65+0.04)*AF248)*EXP(-(LN(2)/$D$65+0.1)*AG248),"-"))),"-")</f>
        <v>-</v>
      </c>
      <c r="AK248" s="227">
        <f t="shared" si="215"/>
        <v>148</v>
      </c>
      <c r="AL248" s="226" t="str">
        <f t="shared" si="189"/>
        <v>-</v>
      </c>
      <c r="AM248" s="227" t="str">
        <f t="shared" si="216"/>
        <v>-</v>
      </c>
      <c r="AN248" s="227" t="str">
        <f t="shared" si="217"/>
        <v>-</v>
      </c>
      <c r="AO248" s="227" t="str">
        <f t="shared" si="190"/>
        <v>-</v>
      </c>
      <c r="AP248" s="273">
        <f t="shared" si="218"/>
        <v>0.1</v>
      </c>
      <c r="AQ248" s="271" t="str">
        <f>IFERROR(IF(AL247=1,AQ$100*EXP(-(LN(2)/$D$65+0.04)*AN247)*EXP(-(LN(2)/$D$65+0.1)*AO247),IF(AL247=2,AQ$100*EXP(-(LN(2)/$D$65+0.04)*(VLOOKUP(($F$16-$F$15)-1,AK$99:AO247,4,FALSE)))*EXP(-(LN(2)/$D$65+0.1)*(VLOOKUP(($F$16-$F$15)-1,AK$99:AO247,5,FALSE)))*EXP(-(LN(2)/$D$65+0.04)*AN247)*EXP(-(LN(2)/$D$65+0.1)*AO247),IF(AL247=3,AQ$100*EXP(-(LN(2)/$D$65+0.04)*(VLOOKUP(($F$16-$F$15)-1,AK$99:AO247,4,FALSE)))*EXP(-(LN(2)/$D$65+0.1)*(VLOOKUP(($F$16-$F$15)-1,AK$99:AO247,5,FALSE)))*EXP(-(LN(2)/$D$65+0.04)*(VLOOKUP(($F$16-$F$15)*2-1,AK$99:AO247,4,FALSE)))*EXP(-(LN(2)/$D$65+0.1)*(VLOOKUP(($F$16-$F$15)*2-1,AK$99:AO247,5,FALSE)))*EXP(-(LN(2)/$D$65+0.04)*AN247)*EXP(-(LN(2)/$D$65+0.1)*AO247),"-"))),"-")</f>
        <v>-</v>
      </c>
      <c r="AR248" s="271" t="str">
        <f>IFERROR(IF(AL248=1,AR$100*EXP(-(LN(2)/$D$65+0.04)*AN248)*EXP(-(LN(2)/$D$65+0.1)*AO248),IF(AL248=2,AR$100*EXP(-(LN(2)/$D$65+0.04)*(VLOOKUP(($F$16-$F$15)-1,AK$100:AO248,4,FALSE)))*EXP(-(LN(2)/$D$65+0.1)*(VLOOKUP(($F$16-$F$15)-1,AK$100:AO248,5,FALSE)))*EXP(-(LN(2)/$D$65+0.04)*AN248)*EXP(-(LN(2)/$D$65+0.1)*AO248),IF(AL248=3,AR$100*EXP(-(LN(2)/$D$65+0.04)*(VLOOKUP(($F$16-$F$15)-1,AK$100:AO248,4,FALSE)))*EXP(-(LN(2)/$D$65+0.1)*(VLOOKUP(($F$16-$F$15)-1,AK$100:AO248,5,FALSE)))*EXP(-(LN(2)/$D$65+0.04)*(VLOOKUP(($F$16-$F$15)*2-1,AK$100:AO248,4,FALSE)))*EXP(-(LN(2)/$D$65+0.1)*(VLOOKUP(($F$16-$F$15)*2-1,AK$100:AO248,5,FALSE)))*EXP(-(LN(2)/$D$65+0.04)*AN248)*EXP(-(LN(2)/$D$65+0.1)*AO248),"-"))),"-")</f>
        <v>-</v>
      </c>
      <c r="AS248" s="274">
        <f t="shared" si="191"/>
        <v>0</v>
      </c>
      <c r="AT248" s="274">
        <f t="shared" si="192"/>
        <v>0</v>
      </c>
      <c r="AU248" s="274">
        <f t="shared" si="193"/>
        <v>0</v>
      </c>
      <c r="AV248" s="190" t="str">
        <f>IF($B248&lt;$F$22,SUM($T$100:$T248),"")</f>
        <v/>
      </c>
      <c r="AW248" s="190" t="str">
        <f t="shared" si="194"/>
        <v>-</v>
      </c>
      <c r="AX248" s="190" t="str">
        <f t="shared" si="219"/>
        <v/>
      </c>
      <c r="AY248"/>
      <c r="AZ248" s="190" t="str">
        <f ca="1">IF(ISNUMBER(OFFSET(AV248,-$F$21,0)),SUM(OFFSET($T$100,$F$21,0):$T248),"")</f>
        <v/>
      </c>
      <c r="BA248" s="190" t="str">
        <f t="shared" ca="1" si="195"/>
        <v/>
      </c>
      <c r="BB248" s="190" t="str">
        <f t="shared" ca="1" si="148"/>
        <v/>
      </c>
      <c r="BC248" s="190"/>
      <c r="BD248" s="190" t="str">
        <f ca="1">IFERROR(IF(OR(ISNUMBER(I),ISNUMBER($F$14)),IF(AND($B248&gt;=($F$16-$F$15),$B248&lt;$F$22+($F$16-$F$15)),SUM(OFFSET($T$100,($F$16-$F$15),0):$T248),""),""),"")</f>
        <v/>
      </c>
      <c r="BE248" s="190" t="str">
        <f t="shared" ca="1" si="220"/>
        <v/>
      </c>
      <c r="BF248" s="190" t="str">
        <f t="shared" ca="1" si="221"/>
        <v/>
      </c>
      <c r="BG248"/>
      <c r="BH248" s="190" t="str">
        <f ca="1">IF(ISNUMBER(OFFSET(BD248,-$F$21,0)),SUM(OFFSET($T$100,($F$16-$F$15+$F$21),0):$T248),"")</f>
        <v/>
      </c>
      <c r="BI248" s="190" t="str">
        <f t="shared" ca="1" si="196"/>
        <v/>
      </c>
      <c r="BJ248" s="190" t="str">
        <f t="shared" ca="1" si="222"/>
        <v/>
      </c>
      <c r="BK248" s="190"/>
      <c r="BL248" s="190" t="str">
        <f ca="1">IFERROR(IF(OR(ISNUMBER(I),ISNUMBER($F$14)),IF(AND($B248&gt;=($F$17-$F$15),$B248&lt;$F$22+($F$17-$F$15)),SUM(OFFSET($T$100,($F$17-$F$15),0):$T248),""),""),"")</f>
        <v/>
      </c>
      <c r="BM248" s="190" t="str">
        <f t="shared" ca="1" si="197"/>
        <v/>
      </c>
      <c r="BN248" s="190" t="str">
        <f t="shared" ca="1" si="223"/>
        <v/>
      </c>
      <c r="BO248"/>
      <c r="BP248" s="190" t="str">
        <f ca="1">IF(ISNUMBER(OFFSET(BL248,-$F$21,0)),SUM(OFFSET($T$100,($F$17-$F$15+$F$21),0):$T248),"")</f>
        <v/>
      </c>
      <c r="BQ248" s="190" t="str">
        <f t="shared" ca="1" si="198"/>
        <v/>
      </c>
      <c r="BR248" s="190" t="str">
        <f t="shared" ca="1" si="224"/>
        <v/>
      </c>
      <c r="BS248" s="190"/>
      <c r="BT248"/>
      <c r="BU248"/>
      <c r="BV248"/>
      <c r="BY248" s="99"/>
      <c r="BZ248" s="99"/>
      <c r="CA248" s="280" t="str">
        <f t="shared" si="199"/>
        <v/>
      </c>
      <c r="CB248" s="71" t="str">
        <f t="shared" si="200"/>
        <v>-</v>
      </c>
      <c r="CC248" s="33"/>
      <c r="CD248" s="261" t="str">
        <f t="shared" si="201"/>
        <v/>
      </c>
      <c r="CE248" s="280" t="str">
        <f t="shared" si="202"/>
        <v/>
      </c>
      <c r="CF248" s="71" t="str">
        <f t="shared" ca="1" si="203"/>
        <v/>
      </c>
      <c r="CG248" s="33" t="str">
        <f t="shared" si="204"/>
        <v/>
      </c>
      <c r="CH248" s="261" t="str">
        <f t="shared" ca="1" si="205"/>
        <v/>
      </c>
    </row>
    <row r="249" spans="2:86" ht="13.5" customHeight="1" x14ac:dyDescent="0.2">
      <c r="B249" s="262">
        <v>149</v>
      </c>
      <c r="C249" s="237" t="str">
        <f t="shared" si="169"/>
        <v/>
      </c>
      <c r="D249" s="237" t="str">
        <f t="shared" si="225"/>
        <v/>
      </c>
      <c r="E249" s="263" t="str">
        <f t="shared" si="206"/>
        <v/>
      </c>
      <c r="F249" s="264" t="str">
        <f t="shared" si="207"/>
        <v/>
      </c>
      <c r="G249" s="264" t="str">
        <f t="shared" si="208"/>
        <v/>
      </c>
      <c r="H249" s="240" t="str">
        <f t="shared" si="170"/>
        <v/>
      </c>
      <c r="I249" s="265" t="str">
        <f t="shared" si="171"/>
        <v/>
      </c>
      <c r="J249" s="265" t="str">
        <f t="shared" si="172"/>
        <v/>
      </c>
      <c r="K249" s="240" t="str">
        <f t="shared" si="173"/>
        <v/>
      </c>
      <c r="L249" s="265" t="str">
        <f t="shared" si="174"/>
        <v/>
      </c>
      <c r="M249" s="265" t="str">
        <f t="shared" si="175"/>
        <v/>
      </c>
      <c r="N249" s="240" t="str">
        <f t="shared" si="176"/>
        <v>-</v>
      </c>
      <c r="O249" s="265" t="str">
        <f t="shared" si="177"/>
        <v>-</v>
      </c>
      <c r="P249" s="265" t="str">
        <f t="shared" si="178"/>
        <v>-</v>
      </c>
      <c r="Q249" s="266" t="str">
        <f t="shared" si="179"/>
        <v>-</v>
      </c>
      <c r="R249" s="267" t="str">
        <f t="shared" si="180"/>
        <v>-</v>
      </c>
      <c r="S249" s="268" t="str">
        <f t="shared" si="181"/>
        <v>-</v>
      </c>
      <c r="T249" s="269" t="str">
        <f t="shared" si="182"/>
        <v/>
      </c>
      <c r="U249" s="221">
        <f t="shared" si="183"/>
        <v>149</v>
      </c>
      <c r="V249" s="220" t="str">
        <f t="shared" si="209"/>
        <v>-</v>
      </c>
      <c r="W249" s="221" t="str">
        <f t="shared" si="210"/>
        <v>-</v>
      </c>
      <c r="X249" s="221" t="str">
        <f t="shared" si="184"/>
        <v>-</v>
      </c>
      <c r="Y249" s="221" t="str">
        <f t="shared" si="185"/>
        <v>-</v>
      </c>
      <c r="Z249" s="270">
        <f t="shared" si="211"/>
        <v>0.1</v>
      </c>
      <c r="AA249" s="271" t="str">
        <f>IFERROR(IF(V248=1,AA$100*EXP(-(LN(2)/$D$65+0.04)*X248)*EXP(-(LN(2)/$D$65+0.1)*Y248),IF(V248=2,AA$100*EXP(-(LN(2)/$D$65+0.04)*(VLOOKUP(($F$16-$F$15)-1,U$99:Y248,4,FALSE)))*EXP(-(LN(2)/$D$65+0.1)*(VLOOKUP(($F$16-$F$15)-1,U$99:Y248,5,FALSE)))*EXP(-(LN(2)/$D$65+0.04)*X248)*EXP(-(LN(2)/$D$65+0.1)*Y248),IF(V248=3,AA$100*EXP(-(LN(2)/$D$65+0.04)*(VLOOKUP(($F$16-$F$15)-1,U$99:Y248,4,FALSE)))*EXP(-(LN(2)/$D$65+0.1)*(VLOOKUP(($F$16-$F$15)-1,U$99:Y248,5,FALSE)))*EXP(-(LN(2)/$D$65+0.04)*(VLOOKUP(($F$16-$F$15)*2-1,U$99:Y248,4,FALSE)))*EXP(-(LN(2)/$D$65+0.1)*(VLOOKUP(($F$16-$F$15)*2-1,U$99:Y248,5,FALSE)))*EXP(-(LN(2)/$D$65+0.04)*X248)*EXP(-(LN(2)/$D$65+0.1)*Y248),"-"))),"-")</f>
        <v>-</v>
      </c>
      <c r="AB249" s="271" t="str">
        <f>IFERROR(IF(V249=1,AB$100*EXP(-(LN(2)/$D$65+0.04)*X249)*EXP(-(LN(2)/$D$65+0.1)*Y249),IF(V249=2,AB$100*EXP(-(LN(2)/$D$65+0.04)*(VLOOKUP(($F$16-$F$15)-1,U$100:Y249,4,FALSE)))*EXP(-(LN(2)/$D$65+0.1)*(VLOOKUP(($F$16-$F$15)-1,U$100:Y249,5,FALSE)))*EXP(-(LN(2)/$D$65+0.04)*X249)*EXP(-(LN(2)/$D$65+0.1)*Y249),IF(V249=3,AB$100*EXP(-(LN(2)/$D$65+0.04)*(VLOOKUP(($F$16-$F$15)-1,U$100:Y249,4,FALSE)))*EXP(-(LN(2)/$D$65+0.1)*(VLOOKUP(($F$16-$F$15)-1,U$100:Y249,5,FALSE)))*EXP(-(LN(2)/$D$65+0.04)*(VLOOKUP(($F$16-$F$15)*2-1,U$100:Y249,4,FALSE)))*EXP(-(LN(2)/$D$65+0.1)*(VLOOKUP(($F$16-$F$15)*2-1,U$100:Y249,5,FALSE)))*EXP(-(LN(2)/$D$65+0.04)*X249)*EXP(-(LN(2)/$D$65+0.1)*Y249),"-"))),"-")</f>
        <v>-</v>
      </c>
      <c r="AC249" s="224">
        <f t="shared" si="226"/>
        <v>149</v>
      </c>
      <c r="AD249" s="223" t="str">
        <f t="shared" si="186"/>
        <v>-</v>
      </c>
      <c r="AE249" s="224" t="str">
        <f t="shared" si="213"/>
        <v>-</v>
      </c>
      <c r="AF249" s="224" t="str">
        <f t="shared" si="187"/>
        <v>-</v>
      </c>
      <c r="AG249" s="224" t="str">
        <f t="shared" si="188"/>
        <v>-</v>
      </c>
      <c r="AH249" s="272">
        <f t="shared" si="214"/>
        <v>0.1</v>
      </c>
      <c r="AI249" s="271" t="str">
        <f>IFERROR(IF(AD248=1,AI$100*EXP(-(LN(2)/$D$65+0.04)*AF248)*EXP(-(LN(2)/$D$65+0.1)*AG248),IF(AD248=2,AI$100*EXP(-(LN(2)/$D$65+0.04)*(VLOOKUP(($F$16-$F$15)-1,AC$99:AG248,4,FALSE)))*EXP(-(LN(2)/$D$65+0.1)*(VLOOKUP(($F$16-$F$15)-1,AC$99:AG248,5,FALSE)))*EXP(-(LN(2)/$D$65+0.04)*AF248)*EXP(-(LN(2)/$D$65+0.1)*AG248),IF(AD248=3,AI$100*EXP(-(LN(2)/$D$65+0.04)*(VLOOKUP(($F$16-$F$15)-1,AC$99:AG248,4,FALSE)))*EXP(-(LN(2)/$D$65+0.1)*(VLOOKUP(($F$16-$F$15)-1,AC$99:AG248,5,FALSE)))*EXP(-(LN(2)/$D$65+0.04)*(VLOOKUP(($F$16-$F$15)*2-1,AC$99:AG248,4,FALSE)))*EXP(-(LN(2)/$D$65+0.1)*(VLOOKUP(($F$16-$F$15)*2-1,AC$99:AG248,5,FALSE)))*EXP(-(LN(2)/$D$65+0.04)*AF248)*EXP(-(LN(2)/$D$65+0.1)*AG248),"-"))),"-")</f>
        <v>-</v>
      </c>
      <c r="AJ249" s="271" t="str">
        <f>IFERROR(IF(AD249=1,AJ$100*EXP(-(LN(2)/$D$65+0.04)*AF249)*EXP(-(LN(2)/$D$65+0.1)*AG249),IF(AD249=2,AJ$100*EXP(-(LN(2)/$D$65+0.04)*(VLOOKUP(($F$16-$F$15)-1,AC$100:AG249,4,FALSE)))*EXP(-(LN(2)/$D$65+0.1)*(VLOOKUP(($F$16-$F$15)-1,AC$100:AG249,5,FALSE)))*EXP(-(LN(2)/$D$65+0.04)*AF249)*EXP(-(LN(2)/$D$65+0.1)*AG249),IF(AD249=3,AJ$100*EXP(-(LN(2)/$D$65+0.04)*(VLOOKUP(($F$16-$F$15)-1,AC$100:AG249,4,FALSE)))*EXP(-(LN(2)/$D$65+0.1)*(VLOOKUP(($F$16-$F$15)-1,AC$100:AG249,5,FALSE)))*EXP(-(LN(2)/$D$65+0.04)*(VLOOKUP(($F$16-$F$15)*2-1,AC$100:AG249,4,FALSE)))*EXP(-(LN(2)/$D$65+0.1)*(VLOOKUP(($F$16-$F$15)*2-1,AC$100:AG249,5,FALSE)))*EXP(-(LN(2)/$D$65+0.04)*AF249)*EXP(-(LN(2)/$D$65+0.1)*AG249),"-"))),"-")</f>
        <v>-</v>
      </c>
      <c r="AK249" s="227">
        <f t="shared" si="215"/>
        <v>149</v>
      </c>
      <c r="AL249" s="226" t="str">
        <f t="shared" si="189"/>
        <v>-</v>
      </c>
      <c r="AM249" s="227" t="str">
        <f t="shared" si="216"/>
        <v>-</v>
      </c>
      <c r="AN249" s="227" t="str">
        <f t="shared" si="217"/>
        <v>-</v>
      </c>
      <c r="AO249" s="227" t="str">
        <f t="shared" si="190"/>
        <v>-</v>
      </c>
      <c r="AP249" s="273">
        <f t="shared" si="218"/>
        <v>0.1</v>
      </c>
      <c r="AQ249" s="271" t="str">
        <f>IFERROR(IF(AL248=1,AQ$100*EXP(-(LN(2)/$D$65+0.04)*AN248)*EXP(-(LN(2)/$D$65+0.1)*AO248),IF(AL248=2,AQ$100*EXP(-(LN(2)/$D$65+0.04)*(VLOOKUP(($F$16-$F$15)-1,AK$99:AO248,4,FALSE)))*EXP(-(LN(2)/$D$65+0.1)*(VLOOKUP(($F$16-$F$15)-1,AK$99:AO248,5,FALSE)))*EXP(-(LN(2)/$D$65+0.04)*AN248)*EXP(-(LN(2)/$D$65+0.1)*AO248),IF(AL248=3,AQ$100*EXP(-(LN(2)/$D$65+0.04)*(VLOOKUP(($F$16-$F$15)-1,AK$99:AO248,4,FALSE)))*EXP(-(LN(2)/$D$65+0.1)*(VLOOKUP(($F$16-$F$15)-1,AK$99:AO248,5,FALSE)))*EXP(-(LN(2)/$D$65+0.04)*(VLOOKUP(($F$16-$F$15)*2-1,AK$99:AO248,4,FALSE)))*EXP(-(LN(2)/$D$65+0.1)*(VLOOKUP(($F$16-$F$15)*2-1,AK$99:AO248,5,FALSE)))*EXP(-(LN(2)/$D$65+0.04)*AN248)*EXP(-(LN(2)/$D$65+0.1)*AO248),"-"))),"-")</f>
        <v>-</v>
      </c>
      <c r="AR249" s="271" t="str">
        <f>IFERROR(IF(AL249=1,AR$100*EXP(-(LN(2)/$D$65+0.04)*AN249)*EXP(-(LN(2)/$D$65+0.1)*AO249),IF(AL249=2,AR$100*EXP(-(LN(2)/$D$65+0.04)*(VLOOKUP(($F$16-$F$15)-1,AK$100:AO249,4,FALSE)))*EXP(-(LN(2)/$D$65+0.1)*(VLOOKUP(($F$16-$F$15)-1,AK$100:AO249,5,FALSE)))*EXP(-(LN(2)/$D$65+0.04)*AN249)*EXP(-(LN(2)/$D$65+0.1)*AO249),IF(AL249=3,AR$100*EXP(-(LN(2)/$D$65+0.04)*(VLOOKUP(($F$16-$F$15)-1,AK$100:AO249,4,FALSE)))*EXP(-(LN(2)/$D$65+0.1)*(VLOOKUP(($F$16-$F$15)-1,AK$100:AO249,5,FALSE)))*EXP(-(LN(2)/$D$65+0.04)*(VLOOKUP(($F$16-$F$15)*2-1,AK$100:AO249,4,FALSE)))*EXP(-(LN(2)/$D$65+0.1)*(VLOOKUP(($F$16-$F$15)*2-1,AK$100:AO249,5,FALSE)))*EXP(-(LN(2)/$D$65+0.04)*AN249)*EXP(-(LN(2)/$D$65+0.1)*AO249),"-"))),"-")</f>
        <v>-</v>
      </c>
      <c r="AS249" s="274">
        <f t="shared" si="191"/>
        <v>0</v>
      </c>
      <c r="AT249" s="274">
        <f t="shared" si="192"/>
        <v>0</v>
      </c>
      <c r="AU249" s="274">
        <f t="shared" si="193"/>
        <v>0</v>
      </c>
      <c r="AV249" s="190" t="str">
        <f>IF($B249&lt;$F$22,SUM($T$100:$T249),"")</f>
        <v/>
      </c>
      <c r="AW249" s="190" t="str">
        <f t="shared" si="194"/>
        <v>-</v>
      </c>
      <c r="AX249" s="190" t="str">
        <f t="shared" si="219"/>
        <v/>
      </c>
      <c r="AY249"/>
      <c r="AZ249" s="190" t="str">
        <f ca="1">IF(ISNUMBER(OFFSET(AV249,-$F$21,0)),SUM(OFFSET($T$100,$F$21,0):$T249),"")</f>
        <v/>
      </c>
      <c r="BA249" s="190" t="str">
        <f t="shared" ca="1" si="195"/>
        <v/>
      </c>
      <c r="BB249" s="190" t="str">
        <f ca="1">IF(ISNUMBER(AZ249),(AZ249-BA249)/(3*86400*(OFFSET($B249,-$F$21,0)+1))*1000,"")</f>
        <v/>
      </c>
      <c r="BC249" s="190"/>
      <c r="BD249" s="190" t="str">
        <f ca="1">IFERROR(IF(OR(ISNUMBER(I),ISNUMBER($F$14)),IF(AND($B249&gt;=($F$16-$F$15),$B249&lt;$F$22+($F$16-$F$15)),SUM(OFFSET($T$100,($F$16-$F$15),0):$T249),""),""),"")</f>
        <v/>
      </c>
      <c r="BE249" s="190" t="str">
        <f t="shared" ca="1" si="220"/>
        <v/>
      </c>
      <c r="BF249" s="190" t="str">
        <f t="shared" ca="1" si="221"/>
        <v/>
      </c>
      <c r="BG249"/>
      <c r="BH249" s="190" t="str">
        <f ca="1">IF(ISNUMBER(OFFSET(BD249,-$F$21,0)),SUM(OFFSET($T$100,($F$16-$F$15+$F$21),0):$T249),"")</f>
        <v/>
      </c>
      <c r="BI249" s="190" t="str">
        <f t="shared" ca="1" si="196"/>
        <v/>
      </c>
      <c r="BJ249" s="190" t="str">
        <f t="shared" ca="1" si="222"/>
        <v/>
      </c>
      <c r="BK249" s="190"/>
      <c r="BL249" s="190" t="str">
        <f ca="1">IFERROR(IF(OR(ISNUMBER(I),ISNUMBER($F$14)),IF(AND($B249&gt;=($F$17-$F$15),$B249&lt;$F$22+($F$17-$F$15)),SUM(OFFSET($T$100,($F$17-$F$15),0):$T249),""),""),"")</f>
        <v/>
      </c>
      <c r="BM249" s="190" t="str">
        <f t="shared" ca="1" si="197"/>
        <v/>
      </c>
      <c r="BN249" s="190" t="str">
        <f t="shared" ca="1" si="223"/>
        <v/>
      </c>
      <c r="BO249"/>
      <c r="BP249" s="190" t="str">
        <f ca="1">IF(ISNUMBER(OFFSET(BL249,-$F$21,0)),SUM(OFFSET($T$100,($F$17-$F$15+$F$21),0):$T249),"")</f>
        <v/>
      </c>
      <c r="BQ249" s="190" t="str">
        <f t="shared" ca="1" si="198"/>
        <v/>
      </c>
      <c r="BR249" s="190" t="str">
        <f t="shared" ca="1" si="224"/>
        <v/>
      </c>
      <c r="BS249" s="190"/>
      <c r="BT249"/>
      <c r="BU249"/>
      <c r="BV249"/>
      <c r="BY249" s="99"/>
      <c r="BZ249" s="99"/>
      <c r="CA249" s="280" t="str">
        <f t="shared" si="199"/>
        <v/>
      </c>
      <c r="CB249" s="71" t="str">
        <f t="shared" si="200"/>
        <v>-</v>
      </c>
      <c r="CC249" s="33"/>
      <c r="CD249" s="261" t="str">
        <f t="shared" si="201"/>
        <v/>
      </c>
      <c r="CE249" s="280" t="str">
        <f t="shared" si="202"/>
        <v/>
      </c>
      <c r="CF249" s="71" t="str">
        <f t="shared" ca="1" si="203"/>
        <v/>
      </c>
      <c r="CG249" s="33" t="str">
        <f t="shared" si="204"/>
        <v/>
      </c>
      <c r="CH249" s="261" t="str">
        <f t="shared" ca="1" si="205"/>
        <v/>
      </c>
    </row>
    <row r="250" spans="2:86" ht="13.5" customHeight="1" x14ac:dyDescent="0.2">
      <c r="B250" s="262">
        <v>150</v>
      </c>
      <c r="C250" s="237" t="str">
        <f t="shared" si="169"/>
        <v/>
      </c>
      <c r="D250" s="237" t="str">
        <f t="shared" si="225"/>
        <v/>
      </c>
      <c r="E250" s="263" t="str">
        <f t="shared" si="206"/>
        <v/>
      </c>
      <c r="F250" s="264" t="str">
        <f t="shared" si="207"/>
        <v/>
      </c>
      <c r="G250" s="264" t="str">
        <f t="shared" si="208"/>
        <v/>
      </c>
      <c r="H250" s="240" t="str">
        <f t="shared" si="170"/>
        <v/>
      </c>
      <c r="I250" s="265" t="str">
        <f t="shared" si="171"/>
        <v/>
      </c>
      <c r="J250" s="265" t="str">
        <f t="shared" si="172"/>
        <v/>
      </c>
      <c r="K250" s="240" t="str">
        <f t="shared" si="173"/>
        <v/>
      </c>
      <c r="L250" s="265" t="str">
        <f t="shared" si="174"/>
        <v/>
      </c>
      <c r="M250" s="265" t="str">
        <f t="shared" si="175"/>
        <v/>
      </c>
      <c r="N250" s="240" t="str">
        <f t="shared" si="176"/>
        <v>-</v>
      </c>
      <c r="O250" s="265" t="str">
        <f t="shared" si="177"/>
        <v>-</v>
      </c>
      <c r="P250" s="265" t="str">
        <f t="shared" si="178"/>
        <v>-</v>
      </c>
      <c r="Q250" s="266" t="str">
        <f t="shared" si="179"/>
        <v>-</v>
      </c>
      <c r="R250" s="267" t="str">
        <f t="shared" si="180"/>
        <v>-</v>
      </c>
      <c r="S250" s="268" t="str">
        <f t="shared" si="181"/>
        <v>-</v>
      </c>
      <c r="T250" s="269" t="str">
        <f t="shared" si="182"/>
        <v/>
      </c>
      <c r="U250" s="221">
        <f t="shared" si="183"/>
        <v>150</v>
      </c>
      <c r="V250" s="220" t="str">
        <f t="shared" si="209"/>
        <v>-</v>
      </c>
      <c r="W250" s="221" t="str">
        <f t="shared" si="210"/>
        <v>-</v>
      </c>
      <c r="X250" s="221" t="str">
        <f t="shared" si="184"/>
        <v>-</v>
      </c>
      <c r="Y250" s="221" t="str">
        <f t="shared" si="185"/>
        <v>-</v>
      </c>
      <c r="Z250" s="270">
        <f t="shared" si="211"/>
        <v>0.1</v>
      </c>
      <c r="AA250" s="271" t="str">
        <f>IFERROR(IF(V249=1,AA$100*EXP(-(LN(2)/$D$65+0.04)*X249)*EXP(-(LN(2)/$D$65+0.1)*Y249),IF(V249=2,AA$100*EXP(-(LN(2)/$D$65+0.04)*(VLOOKUP(($F$16-$F$15)-1,U$99:Y249,4,FALSE)))*EXP(-(LN(2)/$D$65+0.1)*(VLOOKUP(($F$16-$F$15)-1,U$99:Y249,5,FALSE)))*EXP(-(LN(2)/$D$65+0.04)*X249)*EXP(-(LN(2)/$D$65+0.1)*Y249),IF(V249=3,AA$100*EXP(-(LN(2)/$D$65+0.04)*(VLOOKUP(($F$16-$F$15)-1,U$99:Y249,4,FALSE)))*EXP(-(LN(2)/$D$65+0.1)*(VLOOKUP(($F$16-$F$15)-1,U$99:Y249,5,FALSE)))*EXP(-(LN(2)/$D$65+0.04)*(VLOOKUP(($F$16-$F$15)*2-1,U$99:Y249,4,FALSE)))*EXP(-(LN(2)/$D$65+0.1)*(VLOOKUP(($F$16-$F$15)*2-1,U$99:Y249,5,FALSE)))*EXP(-(LN(2)/$D$65+0.04)*X249)*EXP(-(LN(2)/$D$65+0.1)*Y249),"-"))),"-")</f>
        <v>-</v>
      </c>
      <c r="AB250" s="271" t="str">
        <f>IFERROR(IF(V250=1,AB$100*EXP(-(LN(2)/$D$65+0.04)*X250)*EXP(-(LN(2)/$D$65+0.1)*Y250),IF(V250=2,AB$100*EXP(-(LN(2)/$D$65+0.04)*(VLOOKUP(($F$16-$F$15)-1,U$100:Y250,4,FALSE)))*EXP(-(LN(2)/$D$65+0.1)*(VLOOKUP(($F$16-$F$15)-1,U$100:Y250,5,FALSE)))*EXP(-(LN(2)/$D$65+0.04)*X250)*EXP(-(LN(2)/$D$65+0.1)*Y250),IF(V250=3,AB$100*EXP(-(LN(2)/$D$65+0.04)*(VLOOKUP(($F$16-$F$15)-1,U$100:Y250,4,FALSE)))*EXP(-(LN(2)/$D$65+0.1)*(VLOOKUP(($F$16-$F$15)-1,U$100:Y250,5,FALSE)))*EXP(-(LN(2)/$D$65+0.04)*(VLOOKUP(($F$16-$F$15)*2-1,U$100:Y250,4,FALSE)))*EXP(-(LN(2)/$D$65+0.1)*(VLOOKUP(($F$16-$F$15)*2-1,U$100:Y250,5,FALSE)))*EXP(-(LN(2)/$D$65+0.04)*X250)*EXP(-(LN(2)/$D$65+0.1)*Y250),"-"))),"-")</f>
        <v>-</v>
      </c>
      <c r="AC250" s="224">
        <f t="shared" si="226"/>
        <v>150</v>
      </c>
      <c r="AD250" s="223" t="str">
        <f t="shared" si="186"/>
        <v>-</v>
      </c>
      <c r="AE250" s="224" t="str">
        <f t="shared" si="213"/>
        <v>-</v>
      </c>
      <c r="AF250" s="224" t="str">
        <f t="shared" si="187"/>
        <v>-</v>
      </c>
      <c r="AG250" s="224" t="str">
        <f t="shared" si="188"/>
        <v>-</v>
      </c>
      <c r="AH250" s="272">
        <f t="shared" si="214"/>
        <v>0.1</v>
      </c>
      <c r="AI250" s="271" t="str">
        <f>IFERROR(IF(AD249=1,AI$100*EXP(-(LN(2)/$D$65+0.04)*AF249)*EXP(-(LN(2)/$D$65+0.1)*AG249),IF(AD249=2,AI$100*EXP(-(LN(2)/$D$65+0.04)*(VLOOKUP(($F$16-$F$15)-1,AC$99:AG249,4,FALSE)))*EXP(-(LN(2)/$D$65+0.1)*(VLOOKUP(($F$16-$F$15)-1,AC$99:AG249,5,FALSE)))*EXP(-(LN(2)/$D$65+0.04)*AF249)*EXP(-(LN(2)/$D$65+0.1)*AG249),IF(AD249=3,AI$100*EXP(-(LN(2)/$D$65+0.04)*(VLOOKUP(($F$16-$F$15)-1,AC$99:AG249,4,FALSE)))*EXP(-(LN(2)/$D$65+0.1)*(VLOOKUP(($F$16-$F$15)-1,AC$99:AG249,5,FALSE)))*EXP(-(LN(2)/$D$65+0.04)*(VLOOKUP(($F$16-$F$15)*2-1,AC$99:AG249,4,FALSE)))*EXP(-(LN(2)/$D$65+0.1)*(VLOOKUP(($F$16-$F$15)*2-1,AC$99:AG249,5,FALSE)))*EXP(-(LN(2)/$D$65+0.04)*AF249)*EXP(-(LN(2)/$D$65+0.1)*AG249),"-"))),"-")</f>
        <v>-</v>
      </c>
      <c r="AJ250" s="271" t="str">
        <f>IFERROR(IF(AD250=1,AJ$100*EXP(-(LN(2)/$D$65+0.04)*AF250)*EXP(-(LN(2)/$D$65+0.1)*AG250),IF(AD250=2,AJ$100*EXP(-(LN(2)/$D$65+0.04)*(VLOOKUP(($F$16-$F$15)-1,AC$100:AG250,4,FALSE)))*EXP(-(LN(2)/$D$65+0.1)*(VLOOKUP(($F$16-$F$15)-1,AC$100:AG250,5,FALSE)))*EXP(-(LN(2)/$D$65+0.04)*AF250)*EXP(-(LN(2)/$D$65+0.1)*AG250),IF(AD250=3,AJ$100*EXP(-(LN(2)/$D$65+0.04)*(VLOOKUP(($F$16-$F$15)-1,AC$100:AG250,4,FALSE)))*EXP(-(LN(2)/$D$65+0.1)*(VLOOKUP(($F$16-$F$15)-1,AC$100:AG250,5,FALSE)))*EXP(-(LN(2)/$D$65+0.04)*(VLOOKUP(($F$16-$F$15)*2-1,AC$100:AG250,4,FALSE)))*EXP(-(LN(2)/$D$65+0.1)*(VLOOKUP(($F$16-$F$15)*2-1,AC$100:AG250,5,FALSE)))*EXP(-(LN(2)/$D$65+0.04)*AF250)*EXP(-(LN(2)/$D$65+0.1)*AG250),"-"))),"-")</f>
        <v>-</v>
      </c>
      <c r="AK250" s="227">
        <f t="shared" si="215"/>
        <v>150</v>
      </c>
      <c r="AL250" s="226" t="str">
        <f t="shared" si="189"/>
        <v>-</v>
      </c>
      <c r="AM250" s="227" t="str">
        <f t="shared" si="216"/>
        <v>-</v>
      </c>
      <c r="AN250" s="227" t="str">
        <f t="shared" si="217"/>
        <v>-</v>
      </c>
      <c r="AO250" s="227" t="str">
        <f t="shared" si="190"/>
        <v>-</v>
      </c>
      <c r="AP250" s="273">
        <f t="shared" si="218"/>
        <v>0.1</v>
      </c>
      <c r="AQ250" s="271" t="str">
        <f>IFERROR(IF(AL249=1,AQ$100*EXP(-(LN(2)/$D$65+0.04)*AN249)*EXP(-(LN(2)/$D$65+0.1)*AO249),IF(AL249=2,AQ$100*EXP(-(LN(2)/$D$65+0.04)*(VLOOKUP(($F$16-$F$15)-1,AK$99:AO249,4,FALSE)))*EXP(-(LN(2)/$D$65+0.1)*(VLOOKUP(($F$16-$F$15)-1,AK$99:AO249,5,FALSE)))*EXP(-(LN(2)/$D$65+0.04)*AN249)*EXP(-(LN(2)/$D$65+0.1)*AO249),IF(AL249=3,AQ$100*EXP(-(LN(2)/$D$65+0.04)*(VLOOKUP(($F$16-$F$15)-1,AK$99:AO249,4,FALSE)))*EXP(-(LN(2)/$D$65+0.1)*(VLOOKUP(($F$16-$F$15)-1,AK$99:AO249,5,FALSE)))*EXP(-(LN(2)/$D$65+0.04)*(VLOOKUP(($F$16-$F$15)*2-1,AK$99:AO249,4,FALSE)))*EXP(-(LN(2)/$D$65+0.1)*(VLOOKUP(($F$16-$F$15)*2-1,AK$99:AO249,5,FALSE)))*EXP(-(LN(2)/$D$65+0.04)*AN249)*EXP(-(LN(2)/$D$65+0.1)*AO249),"-"))),"-")</f>
        <v>-</v>
      </c>
      <c r="AR250" s="271" t="str">
        <f>IFERROR(IF(AL250=1,AR$100*EXP(-(LN(2)/$D$65+0.04)*AN250)*EXP(-(LN(2)/$D$65+0.1)*AO250),IF(AL250=2,AR$100*EXP(-(LN(2)/$D$65+0.04)*(VLOOKUP(($F$16-$F$15)-1,AK$100:AO250,4,FALSE)))*EXP(-(LN(2)/$D$65+0.1)*(VLOOKUP(($F$16-$F$15)-1,AK$100:AO250,5,FALSE)))*EXP(-(LN(2)/$D$65+0.04)*AN250)*EXP(-(LN(2)/$D$65+0.1)*AO250),IF(AL250=3,AR$100*EXP(-(LN(2)/$D$65+0.04)*(VLOOKUP(($F$16-$F$15)-1,AK$100:AO250,4,FALSE)))*EXP(-(LN(2)/$D$65+0.1)*(VLOOKUP(($F$16-$F$15)-1,AK$100:AO250,5,FALSE)))*EXP(-(LN(2)/$D$65+0.04)*(VLOOKUP(($F$16-$F$15)*2-1,AK$100:AO250,4,FALSE)))*EXP(-(LN(2)/$D$65+0.1)*(VLOOKUP(($F$16-$F$15)*2-1,AK$100:AO250,5,FALSE)))*EXP(-(LN(2)/$D$65+0.04)*AN250)*EXP(-(LN(2)/$D$65+0.1)*AO250),"-"))),"-")</f>
        <v>-</v>
      </c>
      <c r="AS250" s="274">
        <f t="shared" si="191"/>
        <v>0</v>
      </c>
      <c r="AT250" s="274">
        <f t="shared" si="192"/>
        <v>0</v>
      </c>
      <c r="AU250" s="274">
        <f t="shared" si="193"/>
        <v>0</v>
      </c>
      <c r="AV250" s="253" t="str">
        <f>IF($B250&lt;$F$22,SUM($T$100:$T250),"")</f>
        <v/>
      </c>
      <c r="AW250" s="253" t="str">
        <f t="shared" si="194"/>
        <v>-</v>
      </c>
      <c r="AX250" s="253" t="str">
        <f t="shared" si="219"/>
        <v/>
      </c>
      <c r="AY250" s="252"/>
      <c r="AZ250" s="253" t="str">
        <f ca="1">IF(ISNUMBER(OFFSET(AV250,-$F$21,0)),SUM(OFFSET($T$100,$F$21,0):$T250),"")</f>
        <v/>
      </c>
      <c r="BA250" s="253" t="str">
        <f t="shared" ca="1" si="195"/>
        <v/>
      </c>
      <c r="BB250" s="253" t="str">
        <f ca="1">IF(ISNUMBER(AZ250),(AZ250-BA250)/(3*86400*(OFFSET($B250,-$F$21,0)+1))*1000,"")</f>
        <v/>
      </c>
      <c r="BC250" s="253"/>
      <c r="BD250" s="253" t="str">
        <f ca="1">IFERROR(IF(OR(ISNUMBER(I),ISNUMBER($F$14)),IF(AND($B250&gt;=($F$16-$F$15),$B250&lt;$F$22+($F$16-$F$15)),SUM(OFFSET($T$100,($F$16-$F$15),0):$T250),""),""),"")</f>
        <v/>
      </c>
      <c r="BE250" s="253" t="str">
        <f t="shared" ca="1" si="220"/>
        <v/>
      </c>
      <c r="BF250" s="253" t="str">
        <f t="shared" ca="1" si="221"/>
        <v/>
      </c>
      <c r="BG250" s="252"/>
      <c r="BH250" s="253" t="str">
        <f ca="1">IF(ISNUMBER(OFFSET(BD250,-$F$21,0)),SUM(OFFSET($T$100,($F$16-$F$15+$F$21),0):$T250),"")</f>
        <v/>
      </c>
      <c r="BI250" s="253" t="str">
        <f t="shared" ca="1" si="196"/>
        <v/>
      </c>
      <c r="BJ250" s="253" t="str">
        <f t="shared" ca="1" si="222"/>
        <v/>
      </c>
      <c r="BK250" s="253"/>
      <c r="BL250" s="253" t="str">
        <f ca="1">IFERROR(IF(OR(ISNUMBER(I),ISNUMBER($F$14)),IF(AND($B250&gt;=($F$17-$F$15),$B250&lt;$F$22+($F$17-$F$15)),SUM(OFFSET($T$100,($F$17-$F$15),0):$T250),""),""),"")</f>
        <v/>
      </c>
      <c r="BM250" s="253" t="str">
        <f t="shared" ca="1" si="197"/>
        <v/>
      </c>
      <c r="BN250" s="253" t="str">
        <f t="shared" ca="1" si="223"/>
        <v/>
      </c>
      <c r="BO250" s="252"/>
      <c r="BP250" s="253" t="str">
        <f ca="1">IF(ISNUMBER(OFFSET(BL250,-$F$21,0)),SUM(OFFSET($T$100,($F$17-$F$15+$F$21),0):$T250),"")</f>
        <v/>
      </c>
      <c r="BQ250" s="253" t="str">
        <f t="shared" ca="1" si="198"/>
        <v/>
      </c>
      <c r="BR250" s="253" t="str">
        <f t="shared" ca="1" si="224"/>
        <v/>
      </c>
      <c r="BS250" s="253"/>
      <c r="BT250"/>
      <c r="BU250"/>
      <c r="BV250"/>
      <c r="BY250" s="99"/>
      <c r="BZ250" s="99"/>
      <c r="CA250" s="280" t="str">
        <f t="shared" si="199"/>
        <v/>
      </c>
      <c r="CB250" s="71" t="str">
        <f t="shared" si="200"/>
        <v>-</v>
      </c>
      <c r="CC250" s="33"/>
      <c r="CD250" s="261" t="str">
        <f t="shared" si="201"/>
        <v/>
      </c>
      <c r="CE250" s="280" t="str">
        <f t="shared" si="202"/>
        <v/>
      </c>
      <c r="CF250" s="71" t="str">
        <f t="shared" ca="1" si="203"/>
        <v/>
      </c>
      <c r="CG250" s="33" t="str">
        <f t="shared" si="204"/>
        <v/>
      </c>
      <c r="CH250" s="261" t="str">
        <f t="shared" ca="1" si="205"/>
        <v/>
      </c>
    </row>
  </sheetData>
  <sheetProtection algorithmName="SHA-512" hashValue="aMNO4OBYTiDZk5LVn63wBkfASwOsWimStXuS2Pp5rN6IUjtCWivdQZnEEr7Mj8OV4nz1F1kMlk2/KEv5uOnSQw==" saltValue="G8J30l4d1y3fc6j9dJh+zA==" spinCount="100000" sheet="1" objects="1" scenarios="1" selectLockedCells="1"/>
  <mergeCells count="108">
    <mergeCell ref="B2:D3"/>
    <mergeCell ref="BU94:BY94"/>
    <mergeCell ref="AW97:AW98"/>
    <mergeCell ref="BA97:BA98"/>
    <mergeCell ref="BE97:BE98"/>
    <mergeCell ref="BF97:BF98"/>
    <mergeCell ref="BH97:BH98"/>
    <mergeCell ref="BI97:BI98"/>
    <mergeCell ref="BJ97:BJ98"/>
    <mergeCell ref="BL97:BL98"/>
    <mergeCell ref="BM97:BM98"/>
    <mergeCell ref="BN97:BN98"/>
    <mergeCell ref="BP97:BP98"/>
    <mergeCell ref="BQ97:BQ98"/>
    <mergeCell ref="BR97:BR98"/>
    <mergeCell ref="C12:E12"/>
    <mergeCell ref="H12:J12"/>
    <mergeCell ref="C13:E13"/>
    <mergeCell ref="H13:J13"/>
    <mergeCell ref="C14:E14"/>
    <mergeCell ref="H14:J14"/>
    <mergeCell ref="B5:C5"/>
    <mergeCell ref="D5:J5"/>
    <mergeCell ref="B6:C6"/>
    <mergeCell ref="D6:J6"/>
    <mergeCell ref="C11:E11"/>
    <mergeCell ref="H11:J11"/>
    <mergeCell ref="C20:E20"/>
    <mergeCell ref="H20:J20"/>
    <mergeCell ref="C21:E21"/>
    <mergeCell ref="H21:J21"/>
    <mergeCell ref="C22:E22"/>
    <mergeCell ref="H22:J22"/>
    <mergeCell ref="B15:B17"/>
    <mergeCell ref="C15:E17"/>
    <mergeCell ref="G15:G17"/>
    <mergeCell ref="H15:J17"/>
    <mergeCell ref="B18:B19"/>
    <mergeCell ref="C18:E19"/>
    <mergeCell ref="F18:F19"/>
    <mergeCell ref="G18:G19"/>
    <mergeCell ref="H18:J19"/>
    <mergeCell ref="B36:D36"/>
    <mergeCell ref="B37:B38"/>
    <mergeCell ref="C37:C38"/>
    <mergeCell ref="D37:D38"/>
    <mergeCell ref="G38:I38"/>
    <mergeCell ref="G39:I39"/>
    <mergeCell ref="C23:E23"/>
    <mergeCell ref="H23:J23"/>
    <mergeCell ref="H25:K34"/>
    <mergeCell ref="B26:C26"/>
    <mergeCell ref="B27:C27"/>
    <mergeCell ref="B31:C31"/>
    <mergeCell ref="F46:F47"/>
    <mergeCell ref="G46:I47"/>
    <mergeCell ref="F48:F49"/>
    <mergeCell ref="G48:J49"/>
    <mergeCell ref="G50:I50"/>
    <mergeCell ref="G51:I51"/>
    <mergeCell ref="F40:F41"/>
    <mergeCell ref="G40:I41"/>
    <mergeCell ref="G42:I42"/>
    <mergeCell ref="F43:F44"/>
    <mergeCell ref="G43:I44"/>
    <mergeCell ref="G45:I45"/>
    <mergeCell ref="B65:C65"/>
    <mergeCell ref="G66:H66"/>
    <mergeCell ref="C69:E69"/>
    <mergeCell ref="C70:E70"/>
    <mergeCell ref="C71:E71"/>
    <mergeCell ref="B93:C93"/>
    <mergeCell ref="G52:I52"/>
    <mergeCell ref="G53:I53"/>
    <mergeCell ref="G54:I54"/>
    <mergeCell ref="G55:I55"/>
    <mergeCell ref="G56:I56"/>
    <mergeCell ref="B61:E64"/>
    <mergeCell ref="B95:B99"/>
    <mergeCell ref="C95:C99"/>
    <mergeCell ref="D95:D99"/>
    <mergeCell ref="E95:E99"/>
    <mergeCell ref="F95:F99"/>
    <mergeCell ref="G95:G99"/>
    <mergeCell ref="H95:H99"/>
    <mergeCell ref="I95:I99"/>
    <mergeCell ref="B94:D94"/>
    <mergeCell ref="E94:G94"/>
    <mergeCell ref="H94:J94"/>
    <mergeCell ref="S95:S99"/>
    <mergeCell ref="AZ97:AZ98"/>
    <mergeCell ref="BB97:BB98"/>
    <mergeCell ref="BD97:BD98"/>
    <mergeCell ref="AV97:AV98"/>
    <mergeCell ref="AX97:AX98"/>
    <mergeCell ref="J95:J99"/>
    <mergeCell ref="K95:K99"/>
    <mergeCell ref="L95:L99"/>
    <mergeCell ref="M95:M99"/>
    <mergeCell ref="N95:N99"/>
    <mergeCell ref="O95:O99"/>
    <mergeCell ref="T94:T99"/>
    <mergeCell ref="K94:M94"/>
    <mergeCell ref="N94:P94"/>
    <mergeCell ref="Q94:S94"/>
    <mergeCell ref="P95:P99"/>
    <mergeCell ref="Q95:Q99"/>
    <mergeCell ref="R95:R99"/>
  </mergeCells>
  <phoneticPr fontId="3"/>
  <conditionalFormatting sqref="B100:B114">
    <cfRule type="expression" dxfId="426" priority="316" stopIfTrue="1">
      <formula>MAX($BG$99:$BG$120)+14&lt;$B100</formula>
    </cfRule>
  </conditionalFormatting>
  <conditionalFormatting sqref="D65">
    <cfRule type="expression" dxfId="425" priority="269" stopIfTrue="1">
      <formula>$G$13=7</formula>
    </cfRule>
    <cfRule type="expression" dxfId="424" priority="268" stopIfTrue="1">
      <formula>$G$13=8</formula>
    </cfRule>
    <cfRule type="expression" dxfId="423" priority="267" stopIfTrue="1">
      <formula>$G$13=""</formula>
    </cfRule>
    <cfRule type="expression" dxfId="422" priority="286" stopIfTrue="1">
      <formula>AND(ISNUMBER(D65),MAX($C65:$C65)=D65,$G$13=8)</formula>
    </cfRule>
    <cfRule type="expression" dxfId="421" priority="285" stopIfTrue="1">
      <formula>AND(ISNUMBER(D65),MAX($C65:$C65)=D65,$G$13=7)</formula>
    </cfRule>
    <cfRule type="expression" dxfId="420" priority="284" stopIfTrue="1">
      <formula>AND(ISNUMBER(D65),MAX($C65:$C65)=D65,$G$13=6)</formula>
    </cfRule>
    <cfRule type="expression" dxfId="419" priority="283" stopIfTrue="1">
      <formula>AND(ISNUMBER(D65),MAX($C65:$C65)=D65,$G$13=5)</formula>
    </cfRule>
    <cfRule type="expression" dxfId="418" priority="282" stopIfTrue="1">
      <formula>AND(ISNUMBER(D65),MAX($C65:$C65)=D65,$G$13=4)</formula>
    </cfRule>
    <cfRule type="expression" dxfId="417" priority="281" stopIfTrue="1">
      <formula>AND(ISNUMBER(D65),MAX($C65:$C65)=D65,$G$13=3)</formula>
    </cfRule>
    <cfRule type="expression" dxfId="416" priority="280" stopIfTrue="1">
      <formula>AND(ISNUMBER(D65),MAX($C65:$C65)=D65,$G$13=2)</formula>
    </cfRule>
    <cfRule type="expression" dxfId="415" priority="279" stopIfTrue="1">
      <formula>AND(ISNUMBER(D65),MAX($C65:$C65)=D65,$G$13=1)</formula>
    </cfRule>
    <cfRule type="expression" dxfId="414" priority="278" stopIfTrue="1">
      <formula>AND(ISNUMBER(D65),MAX($C65:$C65)=D65,$G$13=0)</formula>
    </cfRule>
    <cfRule type="expression" dxfId="413" priority="277" stopIfTrue="1">
      <formula>AND(ISNUMBER(D65),MAX($C65:$C65)=D65,$G$13="")</formula>
    </cfRule>
    <cfRule type="expression" dxfId="412" priority="276" stopIfTrue="1">
      <formula>$G$13=0</formula>
    </cfRule>
    <cfRule type="expression" dxfId="411" priority="274" stopIfTrue="1">
      <formula>$G$13=2</formula>
    </cfRule>
    <cfRule type="expression" dxfId="410" priority="275" stopIfTrue="1">
      <formula>$G$13=1</formula>
    </cfRule>
    <cfRule type="expression" dxfId="409" priority="273" stopIfTrue="1">
      <formula>$G$13=3</formula>
    </cfRule>
    <cfRule type="expression" dxfId="408" priority="272" stopIfTrue="1">
      <formula>$G$13=4</formula>
    </cfRule>
    <cfRule type="expression" dxfId="407" priority="271" stopIfTrue="1">
      <formula>$G$13=5</formula>
    </cfRule>
    <cfRule type="expression" dxfId="406" priority="270" stopIfTrue="1">
      <formula>$G$13=6</formula>
    </cfRule>
  </conditionalFormatting>
  <conditionalFormatting sqref="F70">
    <cfRule type="expression" dxfId="405" priority="1" stopIfTrue="1">
      <formula>$G$13=""</formula>
    </cfRule>
    <cfRule type="expression" dxfId="404" priority="2" stopIfTrue="1">
      <formula>$G$13=8</formula>
    </cfRule>
    <cfRule type="expression" dxfId="403" priority="3" stopIfTrue="1">
      <formula>$G$13=7</formula>
    </cfRule>
    <cfRule type="expression" dxfId="402" priority="4" stopIfTrue="1">
      <formula>$G$13=6</formula>
    </cfRule>
    <cfRule type="expression" dxfId="401" priority="5" stopIfTrue="1">
      <formula>$G$13=5</formula>
    </cfRule>
    <cfRule type="expression" dxfId="400" priority="6" stopIfTrue="1">
      <formula>$G$13=4</formula>
    </cfRule>
    <cfRule type="expression" dxfId="399" priority="7" stopIfTrue="1">
      <formula>$G$13=3</formula>
    </cfRule>
    <cfRule type="expression" dxfId="398" priority="8" stopIfTrue="1">
      <formula>$G$13=2</formula>
    </cfRule>
    <cfRule type="expression" dxfId="397" priority="9" stopIfTrue="1">
      <formula>$G$13=1</formula>
    </cfRule>
    <cfRule type="expression" dxfId="396" priority="10" stopIfTrue="1">
      <formula>$G$13=0</formula>
    </cfRule>
    <cfRule type="expression" dxfId="395" priority="11" stopIfTrue="1">
      <formula>AND(ISNUMBER(F70),MAX($C70:$C70)=F70,$G$13="")</formula>
    </cfRule>
    <cfRule type="expression" dxfId="394" priority="12" stopIfTrue="1">
      <formula>AND(ISNUMBER(F70),MAX($C70:$C70)=F70,$G$13=0)</formula>
    </cfRule>
    <cfRule type="expression" dxfId="393" priority="13" stopIfTrue="1">
      <formula>AND(ISNUMBER(F70),MAX($C70:$C70)=F70,$G$13=1)</formula>
    </cfRule>
    <cfRule type="expression" dxfId="392" priority="14" stopIfTrue="1">
      <formula>AND(ISNUMBER(F70),MAX($C70:$C70)=F70,$G$13=2)</formula>
    </cfRule>
    <cfRule type="expression" dxfId="391" priority="15" stopIfTrue="1">
      <formula>AND(ISNUMBER(F70),MAX($C70:$C70)=F70,$G$13=3)</formula>
    </cfRule>
    <cfRule type="expression" dxfId="390" priority="16" stopIfTrue="1">
      <formula>AND(ISNUMBER(F70),MAX($C70:$C70)=F70,$G$13=4)</formula>
    </cfRule>
    <cfRule type="expression" dxfId="389" priority="18" stopIfTrue="1">
      <formula>AND(ISNUMBER(F70),MAX($C70:$C70)=F70,$G$13=6)</formula>
    </cfRule>
    <cfRule type="expression" dxfId="388" priority="19" stopIfTrue="1">
      <formula>AND(ISNUMBER(F70),MAX($C70:$C70)=F70,$G$13=7)</formula>
    </cfRule>
    <cfRule type="expression" dxfId="387" priority="20" stopIfTrue="1">
      <formula>AND(ISNUMBER(F70),MAX($C70:$C70)=F70,$G$13=8)</formula>
    </cfRule>
    <cfRule type="expression" dxfId="386" priority="17" stopIfTrue="1">
      <formula>AND(ISNUMBER(F70),MAX($C70:$C70)=F70,$G$13=5)</formula>
    </cfRule>
  </conditionalFormatting>
  <conditionalFormatting sqref="F71">
    <cfRule type="expression" dxfId="385" priority="21" stopIfTrue="1">
      <formula>$I$66=""</formula>
    </cfRule>
    <cfRule type="expression" dxfId="384" priority="22" stopIfTrue="1">
      <formula>$I$66=0</formula>
    </cfRule>
    <cfRule type="expression" dxfId="383" priority="23" stopIfTrue="1">
      <formula>$I$66=1</formula>
    </cfRule>
    <cfRule type="expression" dxfId="382" priority="24" stopIfTrue="1">
      <formula>$I$66=2</formula>
    </cfRule>
    <cfRule type="expression" dxfId="381" priority="25" stopIfTrue="1">
      <formula>$I$66=3</formula>
    </cfRule>
    <cfRule type="expression" dxfId="380" priority="26" stopIfTrue="1">
      <formula>$I$66=4</formula>
    </cfRule>
    <cfRule type="expression" dxfId="379" priority="27" stopIfTrue="1">
      <formula>$I$66=5</formula>
    </cfRule>
    <cfRule type="expression" dxfId="378" priority="28" stopIfTrue="1">
      <formula>$I$66=7</formula>
    </cfRule>
    <cfRule type="expression" dxfId="377" priority="29" stopIfTrue="1">
      <formula>$I$66=8</formula>
    </cfRule>
  </conditionalFormatting>
  <conditionalFormatting sqref="I3">
    <cfRule type="expression" dxfId="376" priority="294" stopIfTrue="1">
      <formula>$G$13=2</formula>
    </cfRule>
    <cfRule type="expression" dxfId="375" priority="293" stopIfTrue="1">
      <formula>$G$13=3</formula>
    </cfRule>
    <cfRule type="expression" dxfId="374" priority="291" stopIfTrue="1">
      <formula>$G$13=5</formula>
    </cfRule>
    <cfRule type="expression" dxfId="373" priority="292" stopIfTrue="1">
      <formula>$G$13=4</formula>
    </cfRule>
    <cfRule type="expression" dxfId="372" priority="290" stopIfTrue="1">
      <formula>$G$13=6</formula>
    </cfRule>
    <cfRule type="expression" dxfId="371" priority="289" stopIfTrue="1">
      <formula>$G$13=7</formula>
    </cfRule>
    <cfRule type="expression" dxfId="370" priority="288" stopIfTrue="1">
      <formula>$G$13=8</formula>
    </cfRule>
    <cfRule type="expression" dxfId="369" priority="287" stopIfTrue="1">
      <formula>$G$13=""</formula>
    </cfRule>
    <cfRule type="expression" dxfId="368" priority="296" stopIfTrue="1">
      <formula>$G$13=0</formula>
    </cfRule>
    <cfRule type="expression" dxfId="367" priority="306" stopIfTrue="1">
      <formula>AND(ISNUMBER(I3),MAX($C71:$C71)=I3,$G$13=8)</formula>
    </cfRule>
    <cfRule type="expression" dxfId="366" priority="305" stopIfTrue="1">
      <formula>AND(ISNUMBER(I3),MAX($C71:$C71)=I3,$G$13=7)</formula>
    </cfRule>
    <cfRule type="expression" dxfId="365" priority="304" stopIfTrue="1">
      <formula>AND(ISNUMBER(I3),MAX($C71:$C71)=I3,$G$13=6)</formula>
    </cfRule>
    <cfRule type="expression" dxfId="364" priority="303" stopIfTrue="1">
      <formula>AND(ISNUMBER(I3),MAX($C71:$C71)=I3,$G$13=5)</formula>
    </cfRule>
    <cfRule type="expression" dxfId="363" priority="302" stopIfTrue="1">
      <formula>AND(ISNUMBER(I3),MAX($C71:$C71)=I3,$G$13=4)</formula>
    </cfRule>
    <cfRule type="expression" dxfId="362" priority="301" stopIfTrue="1">
      <formula>AND(ISNUMBER(I3),MAX($C71:$C71)=I3,$G$13=3)</formula>
    </cfRule>
    <cfRule type="expression" dxfId="361" priority="300" stopIfTrue="1">
      <formula>AND(ISNUMBER(I3),MAX($C71:$C71)=I3,$G$13=2)</formula>
    </cfRule>
    <cfRule type="expression" dxfId="360" priority="299" stopIfTrue="1">
      <formula>AND(ISNUMBER(I3),MAX($C71:$C71)=I3,$G$13=1)</formula>
    </cfRule>
    <cfRule type="expression" dxfId="359" priority="298" stopIfTrue="1">
      <formula>AND(ISNUMBER(I3),MAX($C71:$C71)=I3,$G$13=0)</formula>
    </cfRule>
    <cfRule type="expression" dxfId="358" priority="297" stopIfTrue="1">
      <formula>AND(ISNUMBER(I3),MAX($C71:$C71)=I3,$G$13="")</formula>
    </cfRule>
    <cfRule type="expression" dxfId="357" priority="295" stopIfTrue="1">
      <formula>$G$13=1</formula>
    </cfRule>
  </conditionalFormatting>
  <conditionalFormatting sqref="Q100:Q114">
    <cfRule type="expression" dxfId="356" priority="30" stopIfTrue="1">
      <formula>MAX($BU$99:$BU$120)+14&lt;$B100</formula>
    </cfRule>
  </conditionalFormatting>
  <conditionalFormatting sqref="R100:T114">
    <cfRule type="expression" dxfId="355" priority="206" stopIfTrue="1">
      <formula>MAX($BG$99:$BG$120)+14&lt;$B100</formula>
    </cfRule>
  </conditionalFormatting>
  <conditionalFormatting sqref="T100:T114">
    <cfRule type="expression" dxfId="354" priority="207">
      <formula>MAX($BG$101:$BG$120)+4&lt;$B100</formula>
    </cfRule>
  </conditionalFormatting>
  <conditionalFormatting sqref="V99:V104">
    <cfRule type="expression" dxfId="353" priority="94" stopIfTrue="1">
      <formula>MAX($BU$99:$BU$120)+14&lt;$B99</formula>
    </cfRule>
    <cfRule type="expression" dxfId="352" priority="95">
      <formula>MAX($BU$101:$BU$120)+4&lt;$B99</formula>
    </cfRule>
  </conditionalFormatting>
  <conditionalFormatting sqref="AX88">
    <cfRule type="expression" dxfId="351" priority="40" stopIfTrue="1">
      <formula>$I$66=""</formula>
    </cfRule>
    <cfRule type="expression" dxfId="350" priority="42" stopIfTrue="1">
      <formula>$I$66=1</formula>
    </cfRule>
    <cfRule type="expression" dxfId="349" priority="43" stopIfTrue="1">
      <formula>$I$66=2</formula>
    </cfRule>
    <cfRule type="expression" dxfId="348" priority="44" stopIfTrue="1">
      <formula>$I$66=3</formula>
    </cfRule>
    <cfRule type="expression" dxfId="347" priority="45" stopIfTrue="1">
      <formula>$I$66=4</formula>
    </cfRule>
    <cfRule type="expression" dxfId="346" priority="46" stopIfTrue="1">
      <formula>$I$66=5</formula>
    </cfRule>
    <cfRule type="expression" dxfId="345" priority="47" stopIfTrue="1">
      <formula>$I$66=7</formula>
    </cfRule>
    <cfRule type="expression" dxfId="344" priority="48" stopIfTrue="1">
      <formula>$I$66=8</formula>
    </cfRule>
    <cfRule type="expression" dxfId="343" priority="41" stopIfTrue="1">
      <formula>$I$66=0</formula>
    </cfRule>
  </conditionalFormatting>
  <conditionalFormatting sqref="BB88">
    <cfRule type="expression" dxfId="342" priority="49" stopIfTrue="1">
      <formula>$I$66=""</formula>
    </cfRule>
    <cfRule type="expression" dxfId="341" priority="50" stopIfTrue="1">
      <formula>$I$66=0</formula>
    </cfRule>
    <cfRule type="expression" dxfId="340" priority="54" stopIfTrue="1">
      <formula>$I$66=4</formula>
    </cfRule>
    <cfRule type="expression" dxfId="339" priority="56" stopIfTrue="1">
      <formula>$I$66=7</formula>
    </cfRule>
    <cfRule type="expression" dxfId="338" priority="57" stopIfTrue="1">
      <formula>$I$66=8</formula>
    </cfRule>
    <cfRule type="expression" dxfId="337" priority="55" stopIfTrue="1">
      <formula>$I$66=5</formula>
    </cfRule>
    <cfRule type="expression" dxfId="336" priority="53" stopIfTrue="1">
      <formula>$I$66=3</formula>
    </cfRule>
    <cfRule type="expression" dxfId="335" priority="52" stopIfTrue="1">
      <formula>$I$66=2</formula>
    </cfRule>
    <cfRule type="expression" dxfId="334" priority="51" stopIfTrue="1">
      <formula>$I$66=1</formula>
    </cfRule>
  </conditionalFormatting>
  <conditionalFormatting sqref="BF88">
    <cfRule type="expression" dxfId="333" priority="66" stopIfTrue="1">
      <formula>$I$66=8</formula>
    </cfRule>
    <cfRule type="expression" dxfId="332" priority="64" stopIfTrue="1">
      <formula>$I$66=5</formula>
    </cfRule>
    <cfRule type="expression" dxfId="331" priority="63" stopIfTrue="1">
      <formula>$I$66=4</formula>
    </cfRule>
    <cfRule type="expression" dxfId="330" priority="62" stopIfTrue="1">
      <formula>$I$66=3</formula>
    </cfRule>
    <cfRule type="expression" dxfId="329" priority="61" stopIfTrue="1">
      <formula>$I$66=2</formula>
    </cfRule>
    <cfRule type="expression" dxfId="328" priority="60" stopIfTrue="1">
      <formula>$I$66=1</formula>
    </cfRule>
    <cfRule type="expression" dxfId="327" priority="59" stopIfTrue="1">
      <formula>$I$66=0</formula>
    </cfRule>
    <cfRule type="expression" dxfId="326" priority="58" stopIfTrue="1">
      <formula>$I$66=""</formula>
    </cfRule>
    <cfRule type="expression" dxfId="325" priority="65" stopIfTrue="1">
      <formula>$I$66=7</formula>
    </cfRule>
  </conditionalFormatting>
  <conditionalFormatting sqref="BJ88">
    <cfRule type="expression" dxfId="324" priority="74" stopIfTrue="1">
      <formula>$I$66=7</formula>
    </cfRule>
    <cfRule type="expression" dxfId="323" priority="73" stopIfTrue="1">
      <formula>$I$66=5</formula>
    </cfRule>
    <cfRule type="expression" dxfId="322" priority="72" stopIfTrue="1">
      <formula>$I$66=4</formula>
    </cfRule>
    <cfRule type="expression" dxfId="321" priority="71" stopIfTrue="1">
      <formula>$I$66=3</formula>
    </cfRule>
    <cfRule type="expression" dxfId="320" priority="70" stopIfTrue="1">
      <formula>$I$66=2</formula>
    </cfRule>
    <cfRule type="expression" dxfId="319" priority="69" stopIfTrue="1">
      <formula>$I$66=1</formula>
    </cfRule>
    <cfRule type="expression" dxfId="318" priority="68" stopIfTrue="1">
      <formula>$I$66=0</formula>
    </cfRule>
    <cfRule type="expression" dxfId="317" priority="67" stopIfTrue="1">
      <formula>$I$66=""</formula>
    </cfRule>
    <cfRule type="expression" dxfId="316" priority="75" stopIfTrue="1">
      <formula>$I$66=8</formula>
    </cfRule>
  </conditionalFormatting>
  <conditionalFormatting sqref="BN88">
    <cfRule type="expression" dxfId="315" priority="80" stopIfTrue="1">
      <formula>$I$66=3</formula>
    </cfRule>
    <cfRule type="expression" dxfId="314" priority="79" stopIfTrue="1">
      <formula>$I$66=2</formula>
    </cfRule>
    <cfRule type="expression" dxfId="313" priority="78" stopIfTrue="1">
      <formula>$I$66=1</formula>
    </cfRule>
    <cfRule type="expression" dxfId="312" priority="77" stopIfTrue="1">
      <formula>$I$66=0</formula>
    </cfRule>
    <cfRule type="expression" dxfId="311" priority="83" stopIfTrue="1">
      <formula>$I$66=7</formula>
    </cfRule>
    <cfRule type="expression" dxfId="310" priority="82" stopIfTrue="1">
      <formula>$I$66=5</formula>
    </cfRule>
    <cfRule type="expression" dxfId="309" priority="84" stopIfTrue="1">
      <formula>$I$66=8</formula>
    </cfRule>
    <cfRule type="expression" dxfId="308" priority="81" stopIfTrue="1">
      <formula>$I$66=4</formula>
    </cfRule>
    <cfRule type="expression" dxfId="307" priority="76" stopIfTrue="1">
      <formula>$I$66=""</formula>
    </cfRule>
  </conditionalFormatting>
  <conditionalFormatting sqref="BR88">
    <cfRule type="expression" dxfId="306" priority="93" stopIfTrue="1">
      <formula>$I$66=8</formula>
    </cfRule>
    <cfRule type="expression" dxfId="305" priority="86" stopIfTrue="1">
      <formula>$I$66=0</formula>
    </cfRule>
    <cfRule type="expression" dxfId="304" priority="85" stopIfTrue="1">
      <formula>$I$66=""</formula>
    </cfRule>
    <cfRule type="expression" dxfId="303" priority="91" stopIfTrue="1">
      <formula>$I$66=5</formula>
    </cfRule>
    <cfRule type="expression" dxfId="302" priority="92" stopIfTrue="1">
      <formula>$I$66=7</formula>
    </cfRule>
    <cfRule type="expression" dxfId="301" priority="90" stopIfTrue="1">
      <formula>$I$66=4</formula>
    </cfRule>
    <cfRule type="expression" dxfId="300" priority="89" stopIfTrue="1">
      <formula>$I$66=3</formula>
    </cfRule>
    <cfRule type="expression" dxfId="299" priority="88" stopIfTrue="1">
      <formula>$I$66=2</formula>
    </cfRule>
    <cfRule type="expression" dxfId="298" priority="87" stopIfTrue="1">
      <formula>$I$66=1</formula>
    </cfRule>
  </conditionalFormatting>
  <hyperlinks>
    <hyperlink ref="C72" location="入力及び計算結果!A1" display="「入力及び計算結果」に戻る" xr:uid="{00000000-0004-0000-0900-000000000000}"/>
  </hyperlinks>
  <pageMargins left="0.7" right="0.7" top="0.75" bottom="0.75" header="0.3" footer="0.3"/>
  <pageSetup paperSize="9"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O250"/>
  <sheetViews>
    <sheetView zoomScale="90" zoomScaleNormal="90" workbookViewId="0">
      <selection activeCell="D31" sqref="D31"/>
    </sheetView>
  </sheetViews>
  <sheetFormatPr defaultRowHeight="13" x14ac:dyDescent="0.2"/>
  <cols>
    <col min="1" max="1" width="2.453125" style="91" customWidth="1"/>
    <col min="2" max="2" width="12.08984375" customWidth="1"/>
    <col min="3" max="3" width="24.08984375" customWidth="1"/>
    <col min="4" max="9" width="12.453125" customWidth="1"/>
    <col min="10" max="10" width="15.453125" customWidth="1"/>
    <col min="11" max="21" width="12.453125" customWidth="1"/>
    <col min="22" max="22" width="12.08984375" customWidth="1"/>
    <col min="23" max="23" width="11.90625" bestFit="1" customWidth="1"/>
    <col min="24" max="24" width="9.26953125" customWidth="1"/>
    <col min="25" max="25" width="19.7265625" customWidth="1"/>
    <col min="26" max="26" width="5.7265625" customWidth="1"/>
    <col min="27" max="28" width="13.90625" customWidth="1"/>
    <col min="29" max="29" width="12.453125" customWidth="1"/>
    <col min="30" max="30" width="12.08984375" customWidth="1"/>
    <col min="31" max="31" width="11.90625" bestFit="1" customWidth="1"/>
    <col min="32" max="32" width="9.26953125" customWidth="1"/>
    <col min="33" max="33" width="19.7265625" customWidth="1"/>
    <col min="34" max="34" width="5.7265625" customWidth="1"/>
    <col min="35" max="36" width="13.90625" customWidth="1"/>
    <col min="37" max="37" width="12.453125" customWidth="1"/>
    <col min="38" max="38" width="12.08984375" customWidth="1"/>
    <col min="39" max="39" width="11.90625" bestFit="1" customWidth="1"/>
    <col min="40" max="40" width="9.26953125" customWidth="1"/>
    <col min="41" max="41" width="19.7265625" customWidth="1"/>
    <col min="42" max="42" width="5.7265625" customWidth="1"/>
    <col min="43" max="47" width="13.90625" customWidth="1"/>
    <col min="48" max="48" width="11.453125" customWidth="1"/>
    <col min="49" max="50" width="13.453125" customWidth="1"/>
    <col min="51" max="51" width="11.90625" style="99" customWidth="1"/>
    <col min="52" max="52" width="12.453125" style="99" customWidth="1"/>
    <col min="53" max="53" width="13.7265625" style="143" customWidth="1"/>
    <col min="54" max="54" width="14.453125" style="99" customWidth="1"/>
    <col min="55" max="55" width="12.453125" style="143" customWidth="1"/>
    <col min="56" max="56" width="16.08984375" style="143" customWidth="1"/>
    <col min="57" max="57" width="13.26953125" style="143" customWidth="1"/>
    <col min="58" max="58" width="14.453125" style="143" customWidth="1"/>
    <col min="59" max="59" width="11.90625" style="99" customWidth="1"/>
    <col min="60" max="60" width="12.453125" style="99" customWidth="1"/>
    <col min="61" max="61" width="13.453125" style="143" customWidth="1"/>
    <col min="62" max="62" width="14.453125" style="99" customWidth="1"/>
    <col min="63" max="63" width="12.7265625" style="143" customWidth="1"/>
    <col min="64" max="64" width="16.08984375" style="143" customWidth="1"/>
    <col min="65" max="65" width="13.26953125" style="143" customWidth="1"/>
    <col min="66" max="66" width="14.453125" style="143" customWidth="1"/>
    <col min="67" max="67" width="11.90625" style="99" customWidth="1"/>
    <col min="68" max="68" width="12.453125" style="99" customWidth="1"/>
    <col min="69" max="69" width="14.08984375" style="143" customWidth="1"/>
    <col min="70" max="70" width="14.90625" style="99" customWidth="1"/>
    <col min="71" max="71" width="16.08984375" style="143" customWidth="1"/>
    <col min="72" max="72" width="8.7265625" style="143" customWidth="1"/>
    <col min="73" max="73" width="10.7265625" style="80" customWidth="1"/>
    <col min="74" max="74" width="14.08984375" style="143" customWidth="1"/>
    <col min="75" max="75" width="14.08984375" style="99" customWidth="1"/>
    <col min="76" max="76" width="9.08984375" style="99" customWidth="1"/>
    <col min="77" max="77" width="9.08984375" style="80" customWidth="1"/>
    <col min="78" max="78" width="13.08984375" style="80" customWidth="1"/>
    <col min="79" max="81" width="9.08984375" style="80" customWidth="1"/>
    <col min="82" max="82" width="13.08984375" style="80" customWidth="1"/>
    <col min="83" max="84" width="9.08984375" style="80" customWidth="1"/>
    <col min="85" max="87" width="9.08984375" style="99" customWidth="1"/>
    <col min="89" max="89" width="11.453125" bestFit="1" customWidth="1"/>
    <col min="90" max="90" width="5.08984375" customWidth="1"/>
    <col min="92" max="92" width="11.453125" bestFit="1" customWidth="1"/>
    <col min="93" max="93" width="5.08984375" customWidth="1"/>
    <col min="95" max="95" width="11.453125" bestFit="1" customWidth="1"/>
    <col min="96" max="96" width="5.08984375" customWidth="1"/>
  </cols>
  <sheetData>
    <row r="1" spans="2:84" ht="15" customHeight="1" x14ac:dyDescent="0.2">
      <c r="B1" s="17" t="str">
        <f>入力及び計算結果!B1</f>
        <v>ver.1.0（2026/07/01）</v>
      </c>
      <c r="C1" s="39"/>
      <c r="D1" s="39"/>
    </row>
    <row r="2" spans="2:84" ht="15" customHeight="1" x14ac:dyDescent="0.2">
      <c r="B2" s="606" t="s">
        <v>350</v>
      </c>
      <c r="C2" s="606"/>
      <c r="D2" s="606"/>
      <c r="F2" s="89"/>
      <c r="G2" s="21" t="s">
        <v>96</v>
      </c>
      <c r="AW2" s="99"/>
      <c r="AX2" s="99"/>
      <c r="AY2" s="143"/>
      <c r="BB2" s="143"/>
      <c r="BE2" s="99"/>
      <c r="BF2" s="99"/>
      <c r="BG2" s="143"/>
      <c r="BJ2" s="143"/>
      <c r="BM2" s="99"/>
      <c r="BN2" s="99"/>
      <c r="BO2" s="143"/>
      <c r="BR2" s="143"/>
      <c r="BS2" s="80"/>
      <c r="BU2" s="99"/>
      <c r="BV2" s="99"/>
      <c r="BW2" s="80"/>
      <c r="BX2" s="80"/>
      <c r="CE2" s="99"/>
      <c r="CF2" s="99"/>
    </row>
    <row r="3" spans="2:84" ht="15" customHeight="1" x14ac:dyDescent="0.2">
      <c r="B3" s="606"/>
      <c r="C3" s="606"/>
      <c r="D3" s="606"/>
      <c r="F3" s="22"/>
      <c r="G3" t="s">
        <v>97</v>
      </c>
      <c r="I3" s="23"/>
      <c r="J3" s="21" t="s">
        <v>98</v>
      </c>
      <c r="W3" s="99"/>
      <c r="X3" s="99"/>
      <c r="Y3" s="99"/>
      <c r="Z3" s="99"/>
      <c r="AA3" s="99"/>
      <c r="AB3" s="99"/>
      <c r="AE3" s="99"/>
      <c r="AF3" s="99"/>
      <c r="AG3" s="99"/>
      <c r="AH3" s="99"/>
      <c r="AI3" s="99"/>
      <c r="AJ3" s="99"/>
      <c r="AM3" s="99"/>
      <c r="AN3" s="99"/>
      <c r="AO3" s="99"/>
      <c r="AP3" s="99"/>
      <c r="AQ3" s="99"/>
      <c r="AR3" s="99"/>
      <c r="AS3" s="99"/>
      <c r="AT3" s="99"/>
      <c r="AU3" s="99"/>
      <c r="AV3" s="99"/>
      <c r="AW3" s="99"/>
      <c r="AX3" s="99"/>
      <c r="BA3" s="144"/>
      <c r="BB3" s="80"/>
      <c r="BC3" s="144"/>
      <c r="BD3" s="144"/>
      <c r="BE3" s="144"/>
      <c r="BF3" s="144"/>
      <c r="BI3" s="144"/>
      <c r="BJ3" s="80"/>
      <c r="BK3" s="144"/>
      <c r="BL3" s="144"/>
      <c r="BM3" s="144"/>
      <c r="BN3" s="144"/>
      <c r="BQ3" s="144"/>
      <c r="BR3" s="80"/>
      <c r="BS3" s="144"/>
      <c r="BT3" s="144"/>
      <c r="BV3" s="144"/>
      <c r="BW3" s="80"/>
      <c r="BX3" s="80"/>
    </row>
    <row r="4" spans="2:84" ht="13.5" customHeight="1" thickBot="1" x14ac:dyDescent="0.25">
      <c r="F4" s="90"/>
      <c r="W4" s="99"/>
      <c r="X4" s="99"/>
      <c r="Y4" s="99"/>
      <c r="Z4" s="99"/>
      <c r="AA4" s="99"/>
      <c r="AB4" s="99"/>
      <c r="AE4" s="99"/>
      <c r="AF4" s="99"/>
      <c r="AG4" s="99"/>
      <c r="AH4" s="99"/>
      <c r="AI4" s="99"/>
      <c r="AJ4" s="99"/>
      <c r="AM4" s="99"/>
      <c r="AN4" s="99"/>
      <c r="AO4" s="99"/>
      <c r="AP4" s="99"/>
      <c r="AQ4" s="99"/>
      <c r="AR4" s="99"/>
      <c r="AS4" s="99"/>
      <c r="AT4" s="99"/>
      <c r="AU4" s="99"/>
      <c r="AV4" s="99"/>
      <c r="AW4" s="99"/>
      <c r="AX4" s="99"/>
      <c r="BA4" s="144"/>
      <c r="BB4" s="80"/>
      <c r="BC4" s="144"/>
      <c r="BD4" s="144"/>
      <c r="BE4" s="144"/>
      <c r="BF4" s="144"/>
      <c r="BI4" s="144"/>
      <c r="BJ4" s="80"/>
      <c r="BK4" s="144"/>
      <c r="BL4" s="144"/>
      <c r="BM4" s="144"/>
      <c r="BN4" s="144"/>
      <c r="BQ4" s="144"/>
      <c r="BR4" s="80"/>
      <c r="BS4" s="144"/>
      <c r="BT4" s="144"/>
      <c r="BV4" s="144"/>
      <c r="BW4" s="80"/>
      <c r="BX4" s="80"/>
    </row>
    <row r="5" spans="2:84" ht="13.5" customHeight="1" thickTop="1" thickBot="1" x14ac:dyDescent="0.25">
      <c r="B5" s="531" t="s">
        <v>155</v>
      </c>
      <c r="C5" s="532"/>
      <c r="D5" s="533" t="str">
        <f>IF(ISBLANK(入力及び計算結果!C6),"",IF(ISBLANK(入力及び計算結果!F7),"",IF(AND(OR(入力及び計算結果!F7=0,入力及び計算結果!F7=2),入力及び計算結果!F9=1),入力及び計算結果!C6,"")))</f>
        <v/>
      </c>
      <c r="E5" s="534"/>
      <c r="F5" s="534"/>
      <c r="G5" s="534"/>
      <c r="H5" s="534"/>
      <c r="I5" s="534"/>
      <c r="J5" s="535"/>
    </row>
    <row r="6" spans="2:84" ht="27" customHeight="1" thickTop="1" thickBot="1" x14ac:dyDescent="0.25">
      <c r="B6" s="536" t="s">
        <v>156</v>
      </c>
      <c r="C6" s="532"/>
      <c r="D6" s="533" t="str">
        <f>IF(ISBLANK(入力及び計算結果!E57),"",入力及び計算結果!E57)</f>
        <v/>
      </c>
      <c r="E6" s="534"/>
      <c r="F6" s="534"/>
      <c r="G6" s="534"/>
      <c r="H6" s="534"/>
      <c r="I6" s="534"/>
      <c r="J6" s="535"/>
    </row>
    <row r="7" spans="2:84" ht="13.5" customHeight="1" thickTop="1" x14ac:dyDescent="0.2">
      <c r="B7" s="145" t="s">
        <v>157</v>
      </c>
      <c r="C7" s="145"/>
      <c r="D7" s="145"/>
      <c r="E7" s="145"/>
      <c r="F7" s="145"/>
      <c r="G7" s="145"/>
      <c r="H7" s="145"/>
      <c r="I7" s="145"/>
    </row>
    <row r="8" spans="2:84" ht="13.5" customHeight="1" x14ac:dyDescent="0.2">
      <c r="B8" s="145"/>
      <c r="C8" s="145"/>
      <c r="D8" s="145"/>
      <c r="E8" s="145"/>
      <c r="F8" s="145"/>
      <c r="G8" s="145"/>
      <c r="H8" s="145"/>
      <c r="I8" s="145"/>
    </row>
    <row r="9" spans="2:84" ht="13.5" customHeight="1" x14ac:dyDescent="0.2">
      <c r="B9" s="91"/>
    </row>
    <row r="10" spans="2:84" ht="13.5" customHeight="1" x14ac:dyDescent="0.2">
      <c r="B10" s="40" t="s">
        <v>158</v>
      </c>
    </row>
    <row r="11" spans="2:84" ht="13.5" customHeight="1" x14ac:dyDescent="0.2">
      <c r="B11" s="95" t="s">
        <v>159</v>
      </c>
      <c r="C11" s="537" t="s">
        <v>160</v>
      </c>
      <c r="D11" s="537"/>
      <c r="E11" s="537"/>
      <c r="F11" s="95" t="s">
        <v>161</v>
      </c>
      <c r="G11" s="95" t="s">
        <v>162</v>
      </c>
      <c r="H11" s="537" t="s">
        <v>163</v>
      </c>
      <c r="I11" s="537"/>
      <c r="J11" s="537"/>
    </row>
    <row r="12" spans="2:84" ht="13.5" customHeight="1" thickBot="1" x14ac:dyDescent="0.25">
      <c r="B12" s="43" t="s">
        <v>164</v>
      </c>
      <c r="C12" s="380" t="s">
        <v>103</v>
      </c>
      <c r="D12" s="452"/>
      <c r="E12" s="453"/>
      <c r="F12" s="146">
        <v>50</v>
      </c>
      <c r="G12" s="43" t="s">
        <v>165</v>
      </c>
      <c r="H12" s="438"/>
      <c r="I12" s="439"/>
      <c r="J12" s="440"/>
    </row>
    <row r="13" spans="2:84" ht="13.5" customHeight="1" thickTop="1" thickBot="1" x14ac:dyDescent="0.25">
      <c r="B13" s="87" t="s">
        <v>166</v>
      </c>
      <c r="C13" s="375" t="s">
        <v>167</v>
      </c>
      <c r="D13" s="375"/>
      <c r="E13" s="401"/>
      <c r="F13" s="147" t="str">
        <f>IF(ISBLANK(入力及び計算結果!E49),"",入力及び計算結果!E49)</f>
        <v/>
      </c>
      <c r="G13" s="69" t="s">
        <v>168</v>
      </c>
      <c r="H13" s="545" t="s">
        <v>169</v>
      </c>
      <c r="I13" s="545"/>
      <c r="J13" s="545"/>
    </row>
    <row r="14" spans="2:84" ht="13.5" customHeight="1" thickTop="1" thickBot="1" x14ac:dyDescent="0.25">
      <c r="B14" s="149" t="s">
        <v>170</v>
      </c>
      <c r="C14" s="401" t="s">
        <v>171</v>
      </c>
      <c r="D14" s="402"/>
      <c r="E14" s="403"/>
      <c r="F14" s="147" t="str">
        <f>IF(ISBLANK(入力及び計算結果!E51),"",入力及び計算結果!E51)</f>
        <v/>
      </c>
      <c r="G14" s="75"/>
      <c r="H14" s="528" t="s">
        <v>348</v>
      </c>
      <c r="I14" s="529"/>
      <c r="J14" s="530"/>
    </row>
    <row r="15" spans="2:84" ht="13.5" customHeight="1" thickTop="1" x14ac:dyDescent="0.2">
      <c r="B15" s="526" t="s">
        <v>173</v>
      </c>
      <c r="C15" s="547" t="s">
        <v>174</v>
      </c>
      <c r="D15" s="539"/>
      <c r="E15" s="539"/>
      <c r="F15" s="151">
        <v>0</v>
      </c>
      <c r="G15" s="526" t="s">
        <v>146</v>
      </c>
      <c r="H15" s="550"/>
      <c r="I15" s="551"/>
      <c r="J15" s="552"/>
    </row>
    <row r="16" spans="2:84" ht="13.5" customHeight="1" x14ac:dyDescent="0.2">
      <c r="B16" s="546"/>
      <c r="C16" s="548"/>
      <c r="D16" s="549"/>
      <c r="E16" s="549"/>
      <c r="F16" s="152">
        <v>14</v>
      </c>
      <c r="G16" s="546"/>
      <c r="H16" s="553"/>
      <c r="I16" s="554"/>
      <c r="J16" s="555"/>
    </row>
    <row r="17" spans="2:76" ht="13.5" customHeight="1" thickBot="1" x14ac:dyDescent="0.25">
      <c r="B17" s="546"/>
      <c r="C17" s="548"/>
      <c r="D17" s="549"/>
      <c r="E17" s="549"/>
      <c r="F17" s="153">
        <v>28</v>
      </c>
      <c r="G17" s="546"/>
      <c r="H17" s="553"/>
      <c r="I17" s="554"/>
      <c r="J17" s="555"/>
    </row>
    <row r="18" spans="2:76" ht="27" customHeight="1" thickTop="1" thickBot="1" x14ac:dyDescent="0.25">
      <c r="B18" s="526" t="s">
        <v>124</v>
      </c>
      <c r="C18" s="538" t="s">
        <v>292</v>
      </c>
      <c r="D18" s="539"/>
      <c r="E18" s="539"/>
      <c r="F18" s="542" t="str">
        <f>IF(ISBLANK(入力及び計算結果!E52),"",入力及び計算結果!E52)</f>
        <v/>
      </c>
      <c r="G18" s="543"/>
      <c r="H18" s="476" t="s">
        <v>54</v>
      </c>
      <c r="I18" s="476"/>
      <c r="J18" s="476"/>
    </row>
    <row r="19" spans="2:76" ht="27" customHeight="1" thickTop="1" thickBot="1" x14ac:dyDescent="0.25">
      <c r="B19" s="527"/>
      <c r="C19" s="540"/>
      <c r="D19" s="541"/>
      <c r="E19" s="541"/>
      <c r="F19" s="542"/>
      <c r="G19" s="544"/>
      <c r="H19" s="476"/>
      <c r="I19" s="476"/>
      <c r="J19" s="476"/>
    </row>
    <row r="20" spans="2:76" ht="27" customHeight="1" thickTop="1" thickBot="1" x14ac:dyDescent="0.25">
      <c r="B20" s="148" t="s">
        <v>176</v>
      </c>
      <c r="C20" s="401" t="s">
        <v>177</v>
      </c>
      <c r="D20" s="402"/>
      <c r="E20" s="402"/>
      <c r="F20" s="156">
        <v>1</v>
      </c>
      <c r="G20" s="69"/>
      <c r="H20" s="373" t="s">
        <v>293</v>
      </c>
      <c r="I20" s="436"/>
      <c r="J20" s="437"/>
    </row>
    <row r="21" spans="2:76" ht="13.5" customHeight="1" thickTop="1" thickBot="1" x14ac:dyDescent="0.25">
      <c r="B21" s="87" t="s">
        <v>178</v>
      </c>
      <c r="C21" s="375" t="s">
        <v>179</v>
      </c>
      <c r="D21" s="375"/>
      <c r="E21" s="401"/>
      <c r="F21" s="147" t="str">
        <f>IF(ISBLANK(入力及び計算結果!E54),"",入力及び計算結果!E54)</f>
        <v/>
      </c>
      <c r="G21" s="69" t="s">
        <v>146</v>
      </c>
      <c r="H21" s="398" t="s">
        <v>180</v>
      </c>
      <c r="I21" s="399"/>
      <c r="J21" s="400"/>
    </row>
    <row r="22" spans="2:76" ht="13.5" customHeight="1" thickTop="1" thickBot="1" x14ac:dyDescent="0.25">
      <c r="B22" s="87" t="s">
        <v>181</v>
      </c>
      <c r="C22" s="401" t="s">
        <v>105</v>
      </c>
      <c r="D22" s="402"/>
      <c r="E22" s="410"/>
      <c r="F22" s="157">
        <v>21</v>
      </c>
      <c r="G22" s="69" t="s">
        <v>146</v>
      </c>
      <c r="H22" s="401"/>
      <c r="I22" s="402"/>
      <c r="J22" s="410"/>
    </row>
    <row r="23" spans="2:76" ht="13.5" customHeight="1" thickTop="1" thickBot="1" x14ac:dyDescent="0.25">
      <c r="B23" s="87" t="s">
        <v>182</v>
      </c>
      <c r="C23" s="375" t="s">
        <v>183</v>
      </c>
      <c r="D23" s="375"/>
      <c r="E23" s="401"/>
      <c r="F23" s="147" t="str">
        <f>IF(ISBLANK(入力及び計算結果!E56),"",入力及び計算結果!E56)</f>
        <v/>
      </c>
      <c r="G23" s="69" t="s">
        <v>184</v>
      </c>
      <c r="H23" s="398"/>
      <c r="I23" s="399"/>
      <c r="J23" s="400"/>
    </row>
    <row r="24" spans="2:76" ht="13.5" customHeight="1" thickTop="1" x14ac:dyDescent="0.2">
      <c r="B24" s="91"/>
      <c r="H24" s="67"/>
      <c r="I24" s="67"/>
      <c r="W24" s="99"/>
      <c r="X24" s="99"/>
      <c r="Y24" s="99"/>
      <c r="Z24" s="99"/>
      <c r="AA24" s="99"/>
      <c r="AB24" s="99"/>
      <c r="AE24" s="99"/>
      <c r="AF24" s="99"/>
      <c r="AG24" s="99"/>
      <c r="AH24" s="99"/>
      <c r="AI24" s="99"/>
      <c r="AJ24" s="99"/>
      <c r="AM24" s="99"/>
      <c r="AN24" s="99"/>
      <c r="AO24" s="99"/>
      <c r="AP24" s="99"/>
      <c r="AQ24" s="99"/>
      <c r="AR24" s="99"/>
      <c r="AS24" s="99"/>
      <c r="AT24" s="99"/>
      <c r="AU24" s="99"/>
      <c r="AV24" s="99"/>
      <c r="AW24" s="99"/>
      <c r="AX24" s="99"/>
      <c r="BX24" s="80"/>
    </row>
    <row r="25" spans="2:76" ht="13.5" customHeight="1" thickBot="1" x14ac:dyDescent="0.25">
      <c r="B25" s="40" t="s">
        <v>185</v>
      </c>
      <c r="H25" s="570" t="s">
        <v>186</v>
      </c>
      <c r="I25" s="570"/>
      <c r="J25" s="570"/>
      <c r="K25" s="570"/>
      <c r="W25" s="99"/>
      <c r="X25" s="99"/>
      <c r="Y25" s="99"/>
      <c r="Z25" s="99"/>
      <c r="AA25" s="99"/>
      <c r="AB25" s="99"/>
      <c r="AE25" s="99"/>
      <c r="AF25" s="99"/>
      <c r="AG25" s="99"/>
      <c r="AH25" s="99"/>
      <c r="AI25" s="99"/>
      <c r="AJ25" s="99"/>
      <c r="AM25" s="99"/>
      <c r="AN25" s="99"/>
      <c r="AO25" s="99"/>
      <c r="AP25" s="99"/>
      <c r="AQ25" s="99"/>
      <c r="AR25" s="99"/>
      <c r="AS25" s="99"/>
      <c r="AT25" s="99"/>
      <c r="AU25" s="99"/>
      <c r="AV25" s="99"/>
      <c r="AW25" s="99"/>
      <c r="AX25" s="99"/>
      <c r="BX25" s="80"/>
    </row>
    <row r="26" spans="2:76" ht="13.5" customHeight="1" thickTop="1" thickBot="1" x14ac:dyDescent="0.25">
      <c r="B26" s="556" t="s">
        <v>187</v>
      </c>
      <c r="C26" s="557"/>
      <c r="D26" s="1"/>
      <c r="E26" s="104" t="s">
        <v>146</v>
      </c>
      <c r="G26" s="100"/>
      <c r="H26" s="570"/>
      <c r="I26" s="570"/>
      <c r="J26" s="570"/>
      <c r="K26" s="570"/>
      <c r="W26" s="99"/>
      <c r="X26" s="99"/>
      <c r="Y26" s="99"/>
      <c r="Z26" s="99"/>
      <c r="AA26" s="99"/>
      <c r="AB26" s="99"/>
      <c r="AE26" s="99"/>
      <c r="AF26" s="99"/>
      <c r="AG26" s="99"/>
      <c r="AH26" s="99"/>
      <c r="AI26" s="99"/>
      <c r="AJ26" s="99"/>
      <c r="AM26" s="99"/>
      <c r="AN26" s="99"/>
      <c r="AO26" s="99"/>
      <c r="AP26" s="99"/>
      <c r="AQ26" s="99"/>
      <c r="AR26" s="99"/>
      <c r="AS26" s="99"/>
      <c r="AT26" s="99"/>
      <c r="AU26" s="99"/>
      <c r="AV26" s="99"/>
      <c r="AW26" s="99"/>
      <c r="AX26" s="99"/>
      <c r="BX26" s="80"/>
    </row>
    <row r="27" spans="2:76" ht="13.5" customHeight="1" thickTop="1" thickBot="1" x14ac:dyDescent="0.25">
      <c r="B27" s="380" t="s">
        <v>188</v>
      </c>
      <c r="C27" s="506"/>
      <c r="D27" s="1"/>
      <c r="E27" s="104" t="s">
        <v>146</v>
      </c>
      <c r="G27" s="100"/>
      <c r="H27" s="570"/>
      <c r="I27" s="570"/>
      <c r="J27" s="570"/>
      <c r="K27" s="570"/>
      <c r="W27" s="99"/>
      <c r="X27" s="99"/>
      <c r="Y27" s="99"/>
      <c r="Z27" s="99"/>
      <c r="AA27" s="99"/>
      <c r="AB27" s="99"/>
      <c r="AE27" s="99"/>
      <c r="AF27" s="99"/>
      <c r="AG27" s="99"/>
      <c r="AH27" s="99"/>
      <c r="AI27" s="99"/>
      <c r="AJ27" s="99"/>
      <c r="AM27" s="99"/>
      <c r="AN27" s="99"/>
      <c r="AO27" s="99"/>
      <c r="AP27" s="99"/>
      <c r="AQ27" s="99"/>
      <c r="AR27" s="99"/>
      <c r="AS27" s="99"/>
      <c r="AT27" s="99"/>
      <c r="AU27" s="99"/>
      <c r="AV27" s="99"/>
      <c r="AW27" s="99"/>
      <c r="AX27" s="99"/>
      <c r="BX27" s="80"/>
    </row>
    <row r="28" spans="2:76" ht="13.5" customHeight="1" thickTop="1" x14ac:dyDescent="0.2">
      <c r="B28" s="91"/>
      <c r="C28" s="116" t="s">
        <v>189</v>
      </c>
      <c r="D28">
        <f>IF(D31&lt;&gt;0,"使用しない",IF(D26="",0,LN(2)/D26))</f>
        <v>0</v>
      </c>
      <c r="G28" s="100"/>
      <c r="H28" s="570"/>
      <c r="I28" s="570"/>
      <c r="J28" s="570"/>
      <c r="K28" s="570"/>
      <c r="W28" s="99"/>
      <c r="X28" s="99"/>
      <c r="Y28" s="99"/>
      <c r="Z28" s="99"/>
      <c r="AA28" s="99"/>
      <c r="AB28" s="99"/>
      <c r="AE28" s="99"/>
      <c r="AF28" s="99"/>
      <c r="AG28" s="99"/>
      <c r="AH28" s="99"/>
      <c r="AI28" s="99"/>
      <c r="AJ28" s="99"/>
      <c r="AM28" s="99"/>
      <c r="AN28" s="99"/>
      <c r="AO28" s="99"/>
      <c r="AP28" s="99"/>
      <c r="AQ28" s="99"/>
      <c r="AR28" s="99"/>
      <c r="AS28" s="99"/>
      <c r="AT28" s="99"/>
      <c r="AU28" s="99"/>
      <c r="AV28" s="99"/>
      <c r="AW28" s="99"/>
      <c r="AX28" s="99"/>
      <c r="BX28" s="80"/>
    </row>
    <row r="29" spans="2:76" ht="13.5" customHeight="1" x14ac:dyDescent="0.2">
      <c r="B29" s="91"/>
      <c r="C29" s="116" t="s">
        <v>190</v>
      </c>
      <c r="D29">
        <f>IF(D31&lt;&gt;0,"使用しない",IF(D28&lt;&gt;0,IF(D27="","加水分解半減期を入力してください",LN(2)/D27),IF(D27="",0,LN(2)/D27)))</f>
        <v>0</v>
      </c>
      <c r="G29" s="100"/>
      <c r="H29" s="570"/>
      <c r="I29" s="570"/>
      <c r="J29" s="570"/>
      <c r="K29" s="570"/>
      <c r="W29" s="99"/>
      <c r="X29" s="99"/>
      <c r="Y29" s="99"/>
      <c r="Z29" s="99"/>
      <c r="AA29" s="99"/>
      <c r="AB29" s="99"/>
      <c r="AE29" s="99"/>
      <c r="AF29" s="99"/>
      <c r="AG29" s="99"/>
      <c r="AH29" s="99"/>
      <c r="AI29" s="99"/>
      <c r="AJ29" s="99"/>
      <c r="AM29" s="99"/>
      <c r="AN29" s="99"/>
      <c r="AO29" s="99"/>
      <c r="AP29" s="99"/>
      <c r="AQ29" s="99"/>
      <c r="AR29" s="99"/>
      <c r="AS29" s="99"/>
      <c r="AT29" s="99"/>
      <c r="AU29" s="99"/>
      <c r="AV29" s="99"/>
      <c r="AW29" s="99"/>
      <c r="AX29" s="99"/>
      <c r="BX29" s="80"/>
    </row>
    <row r="30" spans="2:76" ht="13.5" customHeight="1" thickBot="1" x14ac:dyDescent="0.25">
      <c r="B30" t="s">
        <v>191</v>
      </c>
      <c r="G30" s="100"/>
      <c r="H30" s="570"/>
      <c r="I30" s="570"/>
      <c r="J30" s="570"/>
      <c r="K30" s="570"/>
      <c r="W30" s="99"/>
      <c r="X30" s="99"/>
      <c r="Y30" s="99"/>
      <c r="Z30" s="99"/>
      <c r="AA30" s="99"/>
      <c r="AB30" s="99"/>
      <c r="AE30" s="99"/>
      <c r="AF30" s="99"/>
      <c r="AG30" s="99"/>
      <c r="AH30" s="99"/>
      <c r="AI30" s="99"/>
      <c r="AJ30" s="99"/>
      <c r="AM30" s="99"/>
      <c r="AN30" s="99"/>
      <c r="AO30" s="99"/>
      <c r="AP30" s="99"/>
      <c r="AQ30" s="99"/>
      <c r="AR30" s="99"/>
      <c r="AS30" s="99"/>
      <c r="AT30" s="99"/>
      <c r="AU30" s="99"/>
      <c r="AV30" s="99"/>
      <c r="AW30" s="99"/>
      <c r="AX30" s="99"/>
      <c r="BX30" s="80"/>
    </row>
    <row r="31" spans="2:76" ht="13.5" customHeight="1" thickTop="1" thickBot="1" x14ac:dyDescent="0.25">
      <c r="B31" s="380" t="s">
        <v>192</v>
      </c>
      <c r="C31" s="506"/>
      <c r="D31" s="1"/>
      <c r="E31" s="104" t="s">
        <v>146</v>
      </c>
      <c r="G31" s="100"/>
      <c r="H31" s="570"/>
      <c r="I31" s="570"/>
      <c r="J31" s="570"/>
      <c r="K31" s="570"/>
      <c r="W31" s="99"/>
      <c r="X31" s="99"/>
      <c r="Y31" s="99"/>
      <c r="Z31" s="99"/>
      <c r="AA31" s="99"/>
      <c r="AB31" s="99"/>
      <c r="AE31" s="99"/>
      <c r="AF31" s="99"/>
      <c r="AG31" s="99"/>
      <c r="AH31" s="99"/>
      <c r="AI31" s="99"/>
      <c r="AJ31" s="99"/>
      <c r="AM31" s="99"/>
      <c r="AN31" s="99"/>
      <c r="AO31" s="99"/>
      <c r="AP31" s="99"/>
      <c r="AQ31" s="99"/>
      <c r="AR31" s="99"/>
      <c r="AS31" s="99"/>
      <c r="AT31" s="99"/>
      <c r="AU31" s="99"/>
      <c r="AV31" s="99"/>
      <c r="AW31" s="99"/>
      <c r="AX31" s="99"/>
      <c r="BX31" s="80"/>
    </row>
    <row r="32" spans="2:76" ht="13.5" customHeight="1" thickTop="1" x14ac:dyDescent="0.2">
      <c r="B32" s="91"/>
      <c r="C32" s="117" t="s">
        <v>193</v>
      </c>
      <c r="D32">
        <f>IF(AND(D28&lt;&gt;0,NOT(D28="使用しない")),"使用しない",IF(AND(D29&lt;&gt;0,NOT(D29="使用しない")),0,IF(D31="",0,LN(2)/D31)))</f>
        <v>0</v>
      </c>
      <c r="G32" s="100"/>
      <c r="H32" s="570"/>
      <c r="I32" s="570"/>
      <c r="J32" s="570"/>
      <c r="K32" s="570"/>
      <c r="W32" s="99"/>
      <c r="X32" s="99"/>
      <c r="Y32" s="99"/>
      <c r="Z32" s="99"/>
      <c r="AA32" s="99"/>
      <c r="AB32" s="99"/>
      <c r="AE32" s="99"/>
      <c r="AF32" s="99"/>
      <c r="AG32" s="99"/>
      <c r="AH32" s="99"/>
      <c r="AI32" s="99"/>
      <c r="AJ32" s="99"/>
      <c r="AM32" s="99"/>
      <c r="AN32" s="99"/>
      <c r="AO32" s="99"/>
      <c r="AP32" s="99"/>
      <c r="AQ32" s="99"/>
      <c r="AR32" s="99"/>
      <c r="AS32" s="99"/>
      <c r="AT32" s="99"/>
      <c r="AU32" s="99"/>
      <c r="AV32" s="99"/>
      <c r="AW32" s="99"/>
      <c r="AX32" s="99"/>
      <c r="BX32" s="80"/>
    </row>
    <row r="33" spans="2:76" ht="13.5" customHeight="1" x14ac:dyDescent="0.2">
      <c r="B33" s="91"/>
      <c r="C33" s="117"/>
      <c r="G33" s="100"/>
      <c r="H33" s="570"/>
      <c r="I33" s="570"/>
      <c r="J33" s="570"/>
      <c r="K33" s="570"/>
      <c r="W33" s="99"/>
      <c r="X33" s="99"/>
      <c r="Y33" s="99"/>
      <c r="Z33" s="99"/>
      <c r="AA33" s="99"/>
      <c r="AB33" s="99"/>
      <c r="AE33" s="99"/>
      <c r="AF33" s="99"/>
      <c r="AG33" s="99"/>
      <c r="AH33" s="99"/>
      <c r="AI33" s="99"/>
      <c r="AJ33" s="99"/>
      <c r="AM33" s="99"/>
      <c r="AN33" s="99"/>
      <c r="AO33" s="99"/>
      <c r="AP33" s="99"/>
      <c r="AQ33" s="99"/>
      <c r="AR33" s="99"/>
      <c r="AS33" s="99"/>
      <c r="AT33" s="99"/>
      <c r="AU33" s="99"/>
      <c r="AV33" s="99"/>
      <c r="AW33" s="99"/>
      <c r="AX33" s="99"/>
      <c r="BX33" s="80"/>
    </row>
    <row r="34" spans="2:76" ht="13.5" customHeight="1" x14ac:dyDescent="0.2">
      <c r="B34" s="91"/>
      <c r="C34" s="116" t="s">
        <v>194</v>
      </c>
      <c r="D34">
        <f>IF(OR(D32="使用しない",D32=0),D28+D29,D32)</f>
        <v>0</v>
      </c>
      <c r="G34" s="100"/>
      <c r="H34" s="570"/>
      <c r="I34" s="570"/>
      <c r="J34" s="570"/>
      <c r="K34" s="570"/>
      <c r="W34" s="99"/>
      <c r="X34" s="99"/>
      <c r="Y34" s="99"/>
      <c r="Z34" s="99"/>
      <c r="AA34" s="99"/>
      <c r="AB34" s="99"/>
      <c r="AE34" s="99"/>
      <c r="AF34" s="99"/>
      <c r="AG34" s="99"/>
      <c r="AH34" s="99"/>
      <c r="AI34" s="99"/>
      <c r="AJ34" s="99"/>
      <c r="AM34" s="99"/>
      <c r="AN34" s="99"/>
      <c r="AO34" s="99"/>
      <c r="AP34" s="99"/>
      <c r="AQ34" s="99"/>
      <c r="AR34" s="99"/>
      <c r="AS34" s="99"/>
      <c r="AT34" s="99"/>
      <c r="AU34" s="99"/>
      <c r="AV34" s="99"/>
      <c r="AW34" s="99"/>
      <c r="AX34" s="99"/>
      <c r="BX34" s="80"/>
    </row>
    <row r="35" spans="2:76" ht="13.5" customHeight="1" x14ac:dyDescent="0.2">
      <c r="B35" s="91"/>
      <c r="G35" s="100"/>
      <c r="H35" s="100"/>
      <c r="I35" s="100"/>
      <c r="J35" s="100"/>
      <c r="W35" s="99"/>
      <c r="X35" s="99"/>
      <c r="Y35" s="99"/>
      <c r="Z35" s="99"/>
      <c r="AA35" s="99"/>
      <c r="AB35" s="99"/>
      <c r="AE35" s="99"/>
      <c r="AF35" s="99"/>
      <c r="AG35" s="99"/>
      <c r="AH35" s="99"/>
      <c r="AI35" s="99"/>
      <c r="AJ35" s="99"/>
      <c r="AM35" s="99"/>
      <c r="AN35" s="99"/>
      <c r="AO35" s="99"/>
      <c r="AP35" s="99"/>
      <c r="AQ35" s="99"/>
      <c r="AR35" s="99"/>
      <c r="AS35" s="99"/>
      <c r="AT35" s="99"/>
      <c r="AU35" s="99"/>
      <c r="AV35" s="99"/>
      <c r="AW35" s="99"/>
      <c r="AX35" s="99"/>
      <c r="BX35" s="80"/>
    </row>
    <row r="36" spans="2:76" ht="13.5" customHeight="1" thickBot="1" x14ac:dyDescent="0.25">
      <c r="B36" s="569" t="s">
        <v>195</v>
      </c>
      <c r="C36" s="569"/>
      <c r="D36" s="569"/>
      <c r="F36" s="160" t="s">
        <v>196</v>
      </c>
      <c r="W36" s="99"/>
      <c r="X36" s="99"/>
      <c r="Y36" s="99"/>
      <c r="Z36" s="99"/>
      <c r="AA36" s="99"/>
      <c r="AB36" s="99"/>
      <c r="AE36" s="99"/>
      <c r="AF36" s="99"/>
      <c r="AG36" s="99"/>
      <c r="AH36" s="99"/>
      <c r="AI36" s="99"/>
      <c r="AJ36" s="99"/>
      <c r="AM36" s="99"/>
      <c r="AN36" s="99"/>
      <c r="AO36" s="99"/>
      <c r="AP36" s="99"/>
      <c r="AQ36" s="99"/>
      <c r="AR36" s="99"/>
      <c r="AS36" s="99"/>
      <c r="AT36" s="99"/>
      <c r="AU36" s="99"/>
      <c r="AV36" s="99"/>
      <c r="AW36" s="99"/>
      <c r="AX36" s="99"/>
      <c r="BX36" s="80"/>
    </row>
    <row r="37" spans="2:76" ht="13.5" customHeight="1" thickTop="1" x14ac:dyDescent="0.2">
      <c r="B37" s="567" t="s">
        <v>197</v>
      </c>
      <c r="C37" s="567" t="s">
        <v>198</v>
      </c>
      <c r="D37" s="505" t="s">
        <v>199</v>
      </c>
      <c r="F37" s="71" t="s">
        <v>159</v>
      </c>
      <c r="G37" s="45" t="s">
        <v>160</v>
      </c>
      <c r="H37" s="161"/>
      <c r="I37" s="162"/>
      <c r="J37" s="71" t="s">
        <v>161</v>
      </c>
      <c r="K37" s="71" t="s">
        <v>162</v>
      </c>
      <c r="W37" s="99"/>
      <c r="X37" s="99"/>
      <c r="Y37" s="99"/>
      <c r="Z37" s="99"/>
      <c r="AA37" s="99"/>
      <c r="AB37" s="99"/>
      <c r="AE37" s="99"/>
      <c r="AF37" s="99"/>
      <c r="AG37" s="99"/>
      <c r="AH37" s="99"/>
      <c r="AI37" s="99"/>
      <c r="AJ37" s="99"/>
      <c r="AM37" s="99"/>
      <c r="AN37" s="99"/>
      <c r="AO37" s="99"/>
      <c r="AP37" s="99"/>
      <c r="AQ37" s="99"/>
      <c r="AR37" s="99"/>
      <c r="AS37" s="99"/>
      <c r="AT37" s="99"/>
      <c r="AU37" s="99"/>
      <c r="AV37" s="99"/>
      <c r="AW37" s="99"/>
      <c r="AX37" s="99"/>
      <c r="BX37" s="80"/>
    </row>
    <row r="38" spans="2:76" ht="13.5" customHeight="1" x14ac:dyDescent="0.2">
      <c r="B38" s="568"/>
      <c r="C38" s="568"/>
      <c r="D38" s="505"/>
      <c r="F38" s="46" t="s">
        <v>200</v>
      </c>
      <c r="G38" s="401" t="s">
        <v>201</v>
      </c>
      <c r="H38" s="402"/>
      <c r="I38" s="410"/>
      <c r="J38" s="163">
        <v>30</v>
      </c>
      <c r="K38" s="87" t="s">
        <v>202</v>
      </c>
      <c r="W38" s="99"/>
      <c r="X38" s="99"/>
      <c r="Y38" s="99"/>
      <c r="Z38" s="99"/>
      <c r="AA38" s="99"/>
      <c r="AB38" s="99"/>
      <c r="AE38" s="99"/>
      <c r="AF38" s="99"/>
      <c r="AG38" s="99"/>
      <c r="AH38" s="99"/>
      <c r="AI38" s="99"/>
      <c r="AJ38" s="99"/>
      <c r="AM38" s="99"/>
      <c r="AN38" s="99"/>
      <c r="AO38" s="99"/>
      <c r="AP38" s="99"/>
      <c r="AQ38" s="99"/>
      <c r="AR38" s="99"/>
      <c r="AS38" s="99"/>
      <c r="AT38" s="99"/>
      <c r="AU38" s="99"/>
      <c r="AV38" s="99"/>
      <c r="AW38" s="99"/>
      <c r="AX38" s="99"/>
      <c r="BX38" s="80"/>
    </row>
    <row r="39" spans="2:76" ht="13.5" customHeight="1" x14ac:dyDescent="0.2">
      <c r="B39" s="164" t="str">
        <f>IF(ISBLANK(入力及び計算結果!E58),"",入力及び計算結果!E58)</f>
        <v/>
      </c>
      <c r="C39" s="164" t="str">
        <f>IF(ISBLANK(入力及び計算結果!E59),"",入力及び計算結果!E59)</f>
        <v/>
      </c>
      <c r="D39" s="165" t="str">
        <f>IF(ISNUMBER(C39),LN(C39/C$39),"")</f>
        <v/>
      </c>
      <c r="F39" s="46" t="s">
        <v>203</v>
      </c>
      <c r="G39" s="401" t="s">
        <v>204</v>
      </c>
      <c r="H39" s="402"/>
      <c r="I39" s="410"/>
      <c r="J39" s="163">
        <v>20</v>
      </c>
      <c r="K39" s="46" t="s">
        <v>202</v>
      </c>
      <c r="W39" s="99"/>
      <c r="X39" s="99"/>
      <c r="Y39" s="99"/>
      <c r="Z39" s="99"/>
      <c r="AA39" s="99"/>
      <c r="AB39" s="99"/>
      <c r="AE39" s="99"/>
      <c r="AF39" s="99"/>
      <c r="AG39" s="99"/>
      <c r="AH39" s="99"/>
      <c r="AI39" s="99"/>
      <c r="AJ39" s="99"/>
      <c r="AM39" s="99"/>
      <c r="AN39" s="99"/>
      <c r="AO39" s="99"/>
      <c r="AP39" s="99"/>
      <c r="AQ39" s="99"/>
      <c r="AR39" s="99"/>
      <c r="AS39" s="99"/>
      <c r="AT39" s="99"/>
      <c r="AU39" s="99"/>
      <c r="AV39" s="99"/>
      <c r="AW39" s="99"/>
      <c r="AX39" s="99"/>
      <c r="BX39" s="80"/>
    </row>
    <row r="40" spans="2:76" ht="13.5" customHeight="1" x14ac:dyDescent="0.2">
      <c r="B40" s="164" t="str">
        <f>IF(ISBLANK(入力及び計算結果!F58),"",入力及び計算結果!F58)</f>
        <v/>
      </c>
      <c r="C40" s="164" t="str">
        <f>IF(ISBLANK(入力及び計算結果!F59),"",入力及び計算結果!F59)</f>
        <v/>
      </c>
      <c r="D40" s="165" t="str">
        <f>IF(ISNUMBER(C40),LN(C40/C$39),"")</f>
        <v/>
      </c>
      <c r="F40" s="526" t="s">
        <v>77</v>
      </c>
      <c r="G40" s="538" t="s">
        <v>294</v>
      </c>
      <c r="H40" s="482"/>
      <c r="I40" s="564"/>
      <c r="J40" s="166">
        <v>1.9</v>
      </c>
      <c r="K40" s="150" t="s">
        <v>206</v>
      </c>
      <c r="W40" s="99"/>
      <c r="X40" s="99"/>
      <c r="Y40" s="99"/>
      <c r="Z40" s="99"/>
      <c r="AA40" s="99"/>
      <c r="AB40" s="99"/>
      <c r="AE40" s="99"/>
      <c r="AF40" s="99"/>
      <c r="AG40" s="99"/>
      <c r="AH40" s="99"/>
      <c r="AI40" s="99"/>
      <c r="AJ40" s="99"/>
      <c r="AM40" s="99"/>
      <c r="AN40" s="99"/>
      <c r="AO40" s="99"/>
      <c r="AP40" s="99"/>
      <c r="AQ40" s="99"/>
      <c r="AR40" s="99"/>
      <c r="AS40" s="99"/>
      <c r="AT40" s="99"/>
      <c r="AU40" s="99"/>
      <c r="AV40" s="99"/>
      <c r="AW40" s="99"/>
      <c r="AX40" s="99"/>
      <c r="BX40" s="80"/>
    </row>
    <row r="41" spans="2:76" ht="13.5" customHeight="1" x14ac:dyDescent="0.2">
      <c r="B41" s="164" t="str">
        <f>IF(ISBLANK(入力及び計算結果!G58),"",入力及び計算結果!G58)</f>
        <v/>
      </c>
      <c r="C41" s="164" t="str">
        <f>IF(ISBLANK(入力及び計算結果!G59),"",入力及び計算結果!G59)</f>
        <v/>
      </c>
      <c r="D41" s="165" t="str">
        <f>IF(ISNUMBER(C41),LN(C41/C$39),"")</f>
        <v/>
      </c>
      <c r="F41" s="527"/>
      <c r="G41" s="565"/>
      <c r="H41" s="489"/>
      <c r="I41" s="566"/>
      <c r="J41" s="167"/>
      <c r="K41" s="155"/>
      <c r="W41" s="99"/>
      <c r="X41" s="99"/>
      <c r="Y41" s="99"/>
      <c r="Z41" s="99"/>
      <c r="AA41" s="99"/>
      <c r="AB41" s="99"/>
      <c r="AE41" s="99"/>
      <c r="AF41" s="99"/>
      <c r="AG41" s="99"/>
      <c r="AH41" s="99"/>
      <c r="AI41" s="99"/>
      <c r="AJ41" s="99"/>
      <c r="AM41" s="99"/>
      <c r="AN41" s="99"/>
      <c r="AO41" s="99"/>
      <c r="AP41" s="99"/>
      <c r="AQ41" s="99"/>
      <c r="AR41" s="99"/>
      <c r="AS41" s="99"/>
      <c r="AT41" s="99"/>
      <c r="AU41" s="99"/>
      <c r="AV41" s="99"/>
      <c r="AW41" s="99"/>
      <c r="AX41" s="99"/>
      <c r="BX41" s="80"/>
    </row>
    <row r="42" spans="2:76" ht="13.5" customHeight="1" x14ac:dyDescent="0.2">
      <c r="B42" s="164" t="str">
        <f>IF(ISBLANK(入力及び計算結果!H58),"",入力及び計算結果!H58)</f>
        <v/>
      </c>
      <c r="C42" s="164" t="str">
        <f>IF(ISBLANK(入力及び計算結果!H59),"",入力及び計算結果!H59)</f>
        <v/>
      </c>
      <c r="D42" s="165" t="str">
        <f>IF(ISNUMBER(C42),LN(C42/C$39),"")</f>
        <v/>
      </c>
      <c r="F42" s="46" t="s">
        <v>207</v>
      </c>
      <c r="G42" s="401" t="s">
        <v>208</v>
      </c>
      <c r="H42" s="402"/>
      <c r="I42" s="410"/>
      <c r="J42" s="163">
        <v>0.8</v>
      </c>
      <c r="K42" s="46" t="s">
        <v>209</v>
      </c>
      <c r="W42" s="99"/>
      <c r="X42" s="99"/>
      <c r="Y42" s="99"/>
      <c r="Z42" s="99"/>
      <c r="AA42" s="99"/>
      <c r="AB42" s="99"/>
      <c r="AE42" s="99"/>
      <c r="AF42" s="99"/>
      <c r="AG42" s="99"/>
      <c r="AH42" s="99"/>
      <c r="AI42" s="99"/>
      <c r="AJ42" s="99"/>
      <c r="AM42" s="99"/>
      <c r="AN42" s="99"/>
      <c r="AO42" s="99"/>
      <c r="AP42" s="99"/>
      <c r="AQ42" s="99"/>
      <c r="AR42" s="99"/>
      <c r="AS42" s="99"/>
      <c r="AT42" s="99"/>
      <c r="AU42" s="99"/>
      <c r="AV42" s="99"/>
      <c r="AW42" s="99"/>
      <c r="AX42" s="99"/>
      <c r="BX42" s="80"/>
    </row>
    <row r="43" spans="2:76" ht="13.5" customHeight="1" x14ac:dyDescent="0.2">
      <c r="B43" s="164" t="str">
        <f>IF(ISBLANK(入力及び計算結果!I58),"",入力及び計算結果!I58)</f>
        <v/>
      </c>
      <c r="C43" s="164" t="str">
        <f>IF(ISBLANK(入力及び計算結果!I59),"",入力及び計算結果!I59)</f>
        <v/>
      </c>
      <c r="D43" s="165" t="str">
        <f>IF(ISNUMBER(C43),LN(C43/C$39),"")</f>
        <v/>
      </c>
      <c r="F43" s="526" t="s">
        <v>210</v>
      </c>
      <c r="G43" s="547" t="s">
        <v>295</v>
      </c>
      <c r="H43" s="539"/>
      <c r="I43" s="571"/>
      <c r="J43" s="166">
        <v>100</v>
      </c>
      <c r="K43" s="150" t="s">
        <v>206</v>
      </c>
      <c r="W43" s="99"/>
      <c r="X43" s="99"/>
      <c r="Y43" s="99"/>
      <c r="Z43" s="99"/>
      <c r="AA43" s="99"/>
      <c r="AB43" s="99"/>
      <c r="AE43" s="99"/>
      <c r="AF43" s="99"/>
      <c r="AG43" s="99"/>
      <c r="AH43" s="99"/>
      <c r="AI43" s="99"/>
      <c r="AJ43" s="99"/>
      <c r="AM43" s="99"/>
      <c r="AN43" s="99"/>
      <c r="AO43" s="99"/>
      <c r="AP43" s="99"/>
      <c r="AQ43" s="99"/>
      <c r="AR43" s="99"/>
      <c r="AS43" s="99"/>
      <c r="AT43" s="99"/>
      <c r="AU43" s="99"/>
      <c r="AV43" s="99"/>
      <c r="AW43" s="99"/>
      <c r="AX43" s="99"/>
      <c r="BX43" s="80"/>
    </row>
    <row r="44" spans="2:76" ht="13.5" customHeight="1" x14ac:dyDescent="0.2">
      <c r="B44" s="164" t="str">
        <f>IF(ISBLANK(入力及び計算結果!J58),"",入力及び計算結果!J58)</f>
        <v/>
      </c>
      <c r="C44" s="164" t="str">
        <f>IF(ISBLANK(入力及び計算結果!J59),"",入力及び計算結果!J59)</f>
        <v/>
      </c>
      <c r="D44" s="165" t="str">
        <f t="shared" ref="D44:D59" si="0">IF(ISNUMBER(C44),LN(C44/C$39),"")</f>
        <v/>
      </c>
      <c r="F44" s="527"/>
      <c r="G44" s="540"/>
      <c r="H44" s="541"/>
      <c r="I44" s="572"/>
      <c r="J44" s="167"/>
      <c r="K44" s="155"/>
      <c r="W44" s="99"/>
      <c r="X44" s="99"/>
      <c r="Y44" s="99"/>
      <c r="Z44" s="99"/>
      <c r="AA44" s="99"/>
      <c r="AB44" s="99"/>
      <c r="AE44" s="99"/>
      <c r="AF44" s="99"/>
      <c r="AG44" s="99"/>
      <c r="AH44" s="99"/>
      <c r="AI44" s="99"/>
      <c r="AJ44" s="99"/>
      <c r="AM44" s="99"/>
      <c r="AN44" s="99"/>
      <c r="AO44" s="99"/>
      <c r="AP44" s="99"/>
      <c r="AQ44" s="99"/>
      <c r="AR44" s="99"/>
      <c r="AS44" s="99"/>
      <c r="AT44" s="99"/>
      <c r="AU44" s="99"/>
      <c r="AV44" s="99"/>
      <c r="AW44" s="99"/>
      <c r="AX44" s="99"/>
      <c r="BX44" s="80"/>
    </row>
    <row r="45" spans="2:76" ht="13.5" customHeight="1" x14ac:dyDescent="0.2">
      <c r="B45" s="164" t="str">
        <f>IF(ISBLANK(入力及び計算結果!K58),"",入力及び計算結果!K58)</f>
        <v/>
      </c>
      <c r="C45" s="164" t="str">
        <f>IF(ISBLANK(入力及び計算結果!K59),"",入力及び計算結果!K59)</f>
        <v/>
      </c>
      <c r="D45" s="165" t="str">
        <f t="shared" si="0"/>
        <v/>
      </c>
      <c r="F45" s="46" t="s">
        <v>212</v>
      </c>
      <c r="G45" s="401" t="s">
        <v>213</v>
      </c>
      <c r="H45" s="402"/>
      <c r="I45" s="410"/>
      <c r="J45" s="163">
        <v>0.33</v>
      </c>
      <c r="K45" s="46" t="s">
        <v>209</v>
      </c>
      <c r="W45" s="99"/>
      <c r="X45" s="99"/>
      <c r="Y45" s="99"/>
      <c r="Z45" s="99"/>
      <c r="AA45" s="99"/>
      <c r="AB45" s="99"/>
      <c r="AE45" s="99"/>
      <c r="AF45" s="99"/>
      <c r="AG45" s="99"/>
      <c r="AH45" s="99"/>
      <c r="AI45" s="99"/>
      <c r="AJ45" s="99"/>
      <c r="AM45" s="99"/>
      <c r="AN45" s="99"/>
      <c r="AO45" s="99"/>
      <c r="AP45" s="99"/>
      <c r="AQ45" s="99"/>
      <c r="AR45" s="99"/>
      <c r="AS45" s="99"/>
      <c r="AT45" s="99"/>
      <c r="AU45" s="99"/>
      <c r="AV45" s="99"/>
      <c r="AW45" s="99"/>
      <c r="AX45" s="99"/>
      <c r="BX45" s="80"/>
    </row>
    <row r="46" spans="2:76" ht="13.5" customHeight="1" x14ac:dyDescent="0.2">
      <c r="B46" s="164" t="str">
        <f>IF(ISBLANK(入力及び計算結果!L58),"",入力及び計算結果!L58)</f>
        <v/>
      </c>
      <c r="C46" s="164" t="str">
        <f>IF(ISBLANK(入力及び計算結果!L59),"",入力及び計算結果!L59)</f>
        <v/>
      </c>
      <c r="D46" s="165" t="str">
        <f t="shared" si="0"/>
        <v/>
      </c>
      <c r="F46" s="526" t="s">
        <v>214</v>
      </c>
      <c r="G46" s="547" t="s">
        <v>215</v>
      </c>
      <c r="H46" s="539"/>
      <c r="I46" s="571"/>
      <c r="J46" s="166">
        <v>1</v>
      </c>
      <c r="K46" s="150" t="s">
        <v>146</v>
      </c>
      <c r="W46" s="99"/>
      <c r="X46" s="99"/>
      <c r="Y46" s="99"/>
      <c r="Z46" s="99"/>
      <c r="AA46" s="99"/>
      <c r="AB46" s="99"/>
      <c r="AE46" s="99"/>
      <c r="AF46" s="99"/>
      <c r="AG46" s="99"/>
      <c r="AH46" s="99"/>
      <c r="AI46" s="99"/>
      <c r="AJ46" s="99"/>
      <c r="AM46" s="99"/>
      <c r="AN46" s="99"/>
      <c r="AO46" s="99"/>
      <c r="AP46" s="99"/>
      <c r="AQ46" s="99"/>
      <c r="AR46" s="99"/>
      <c r="AS46" s="99"/>
      <c r="AT46" s="99"/>
      <c r="AU46" s="99"/>
      <c r="AV46" s="99"/>
      <c r="AW46" s="99"/>
      <c r="AX46" s="99"/>
      <c r="BX46" s="80"/>
    </row>
    <row r="47" spans="2:76" ht="13.5" customHeight="1" x14ac:dyDescent="0.2">
      <c r="B47" s="164" t="str">
        <f>IF(ISBLANK(入力及び計算結果!M58),"",入力及び計算結果!M58)</f>
        <v/>
      </c>
      <c r="C47" s="164" t="str">
        <f>IF(ISBLANK(入力及び計算結果!M59),"",入力及び計算結果!M59)</f>
        <v/>
      </c>
      <c r="D47" s="165" t="str">
        <f t="shared" si="0"/>
        <v/>
      </c>
      <c r="F47" s="527"/>
      <c r="G47" s="540"/>
      <c r="H47" s="541"/>
      <c r="I47" s="572"/>
      <c r="J47" s="167"/>
      <c r="K47" s="155"/>
      <c r="W47" s="99"/>
      <c r="X47" s="99"/>
      <c r="Y47" s="99"/>
      <c r="Z47" s="99"/>
      <c r="AA47" s="99"/>
      <c r="AB47" s="99"/>
      <c r="AE47" s="99"/>
      <c r="AF47" s="99"/>
      <c r="AG47" s="99"/>
      <c r="AH47" s="99"/>
      <c r="AI47" s="99"/>
      <c r="AJ47" s="99"/>
      <c r="AM47" s="99"/>
      <c r="AN47" s="99"/>
      <c r="AO47" s="99"/>
      <c r="AP47" s="99"/>
      <c r="AQ47" s="99"/>
      <c r="AR47" s="99"/>
      <c r="AS47" s="99"/>
      <c r="AT47" s="99"/>
      <c r="AU47" s="99"/>
      <c r="AV47" s="99"/>
      <c r="AW47" s="99"/>
      <c r="AX47" s="99"/>
      <c r="BX47" s="80"/>
    </row>
    <row r="48" spans="2:76" ht="13.5" customHeight="1" x14ac:dyDescent="0.2">
      <c r="B48" s="164" t="str">
        <f>IF(ISBLANK(入力及び計算結果!N58),"",入力及び計算結果!N58)</f>
        <v/>
      </c>
      <c r="C48" s="164" t="str">
        <f>IF(ISBLANK(入力及び計算結果!N59),"",入力及び計算結果!N59)</f>
        <v/>
      </c>
      <c r="D48" s="165" t="str">
        <f t="shared" si="0"/>
        <v/>
      </c>
      <c r="F48" s="526" t="s">
        <v>216</v>
      </c>
      <c r="G48" s="538" t="s">
        <v>217</v>
      </c>
      <c r="H48" s="539"/>
      <c r="I48" s="539"/>
      <c r="J48" s="571"/>
      <c r="K48" s="150" t="s">
        <v>218</v>
      </c>
      <c r="W48" s="99"/>
      <c r="X48" s="99"/>
      <c r="Y48" s="99"/>
      <c r="Z48" s="99"/>
      <c r="AA48" s="99"/>
      <c r="AB48" s="99"/>
      <c r="AE48" s="99"/>
      <c r="AF48" s="99"/>
      <c r="AG48" s="99"/>
      <c r="AH48" s="99"/>
      <c r="AI48" s="99"/>
      <c r="AJ48" s="99"/>
      <c r="AM48" s="99"/>
      <c r="AN48" s="99"/>
      <c r="AO48" s="99"/>
      <c r="AP48" s="99"/>
      <c r="AQ48" s="99"/>
      <c r="AR48" s="99"/>
      <c r="AS48" s="99"/>
      <c r="AT48" s="99"/>
      <c r="AU48" s="99"/>
      <c r="AV48" s="99"/>
      <c r="AW48" s="99"/>
      <c r="AX48" s="99"/>
      <c r="BX48" s="80"/>
    </row>
    <row r="49" spans="1:87" ht="13.5" customHeight="1" x14ac:dyDescent="0.2">
      <c r="B49" s="4"/>
      <c r="C49" s="4"/>
      <c r="D49" s="165" t="str">
        <f t="shared" si="0"/>
        <v/>
      </c>
      <c r="F49" s="527"/>
      <c r="G49" s="540"/>
      <c r="H49" s="541"/>
      <c r="I49" s="541"/>
      <c r="J49" s="572"/>
      <c r="K49" s="155"/>
      <c r="W49" s="99"/>
      <c r="X49" s="99"/>
      <c r="Y49" s="99"/>
      <c r="Z49" s="99"/>
      <c r="AA49" s="99"/>
      <c r="AB49" s="99"/>
      <c r="AE49" s="99"/>
      <c r="AF49" s="99"/>
      <c r="AG49" s="99"/>
      <c r="AH49" s="99"/>
      <c r="AI49" s="99"/>
      <c r="AJ49" s="99"/>
      <c r="AM49" s="99"/>
      <c r="AN49" s="99"/>
      <c r="AO49" s="99"/>
      <c r="AP49" s="99"/>
      <c r="AQ49" s="99"/>
      <c r="AR49" s="99"/>
      <c r="AS49" s="99"/>
      <c r="AT49" s="99"/>
      <c r="AU49" s="99"/>
      <c r="AV49" s="99"/>
      <c r="AW49" s="99"/>
      <c r="AX49" s="99"/>
      <c r="BX49" s="80"/>
    </row>
    <row r="50" spans="1:87" ht="13.5" customHeight="1" x14ac:dyDescent="0.2">
      <c r="B50" s="4"/>
      <c r="C50" s="4"/>
      <c r="D50" s="165" t="str">
        <f t="shared" si="0"/>
        <v/>
      </c>
      <c r="F50" s="43" t="s">
        <v>219</v>
      </c>
      <c r="G50" s="380" t="s">
        <v>220</v>
      </c>
      <c r="H50" s="452"/>
      <c r="I50" s="453"/>
      <c r="J50" s="168">
        <v>2000</v>
      </c>
      <c r="K50" s="87" t="s">
        <v>218</v>
      </c>
      <c r="W50" s="99"/>
      <c r="X50" s="99"/>
      <c r="Y50" s="99"/>
      <c r="Z50" s="99"/>
      <c r="AA50" s="99"/>
      <c r="AB50" s="99"/>
      <c r="AE50" s="99"/>
      <c r="AF50" s="99"/>
      <c r="AG50" s="99"/>
      <c r="AH50" s="99"/>
      <c r="AI50" s="99"/>
      <c r="AJ50" s="99"/>
      <c r="AM50" s="99"/>
      <c r="AN50" s="99"/>
      <c r="AO50" s="99"/>
      <c r="AP50" s="99"/>
      <c r="AQ50" s="99"/>
      <c r="AR50" s="99"/>
      <c r="AS50" s="99"/>
      <c r="AT50" s="99"/>
      <c r="AU50" s="99"/>
      <c r="AV50" s="99"/>
      <c r="AW50" s="99"/>
      <c r="AX50" s="99"/>
      <c r="BX50" s="80"/>
    </row>
    <row r="51" spans="1:87" ht="13.5" customHeight="1" x14ac:dyDescent="0.2">
      <c r="B51" s="4"/>
      <c r="C51" s="4"/>
      <c r="D51" s="165" t="str">
        <f t="shared" si="0"/>
        <v/>
      </c>
      <c r="F51" s="27" t="s">
        <v>221</v>
      </c>
      <c r="G51" s="380" t="s">
        <v>222</v>
      </c>
      <c r="H51" s="452"/>
      <c r="I51" s="453"/>
      <c r="J51" s="168">
        <v>1</v>
      </c>
      <c r="K51" s="87" t="s">
        <v>223</v>
      </c>
      <c r="W51" s="99"/>
      <c r="X51" s="99"/>
      <c r="Y51" s="99"/>
      <c r="Z51" s="99"/>
      <c r="AA51" s="99"/>
      <c r="AB51" s="99"/>
      <c r="AE51" s="99"/>
      <c r="AF51" s="99"/>
      <c r="AG51" s="99"/>
      <c r="AH51" s="99"/>
      <c r="AI51" s="99"/>
      <c r="AJ51" s="99"/>
      <c r="AM51" s="99"/>
      <c r="AN51" s="99"/>
      <c r="AO51" s="99"/>
      <c r="AP51" s="99"/>
      <c r="AQ51" s="99"/>
      <c r="AR51" s="99"/>
      <c r="AS51" s="99"/>
      <c r="AT51" s="99"/>
      <c r="AU51" s="99"/>
      <c r="AV51" s="99"/>
      <c r="AW51" s="99"/>
      <c r="AX51" s="99"/>
      <c r="BX51" s="80"/>
    </row>
    <row r="52" spans="1:87" ht="13.5" customHeight="1" x14ac:dyDescent="0.2">
      <c r="B52" s="4"/>
      <c r="C52" s="4"/>
      <c r="D52" s="165" t="str">
        <f t="shared" si="0"/>
        <v/>
      </c>
      <c r="F52" s="27" t="s">
        <v>224</v>
      </c>
      <c r="G52" s="380" t="s">
        <v>296</v>
      </c>
      <c r="H52" s="452"/>
      <c r="I52" s="453"/>
      <c r="J52" s="168">
        <v>1.2</v>
      </c>
      <c r="K52" s="87" t="s">
        <v>206</v>
      </c>
      <c r="W52" s="99"/>
      <c r="X52" s="99"/>
      <c r="Y52" s="99"/>
      <c r="Z52" s="99"/>
      <c r="AA52" s="99"/>
      <c r="AB52" s="99"/>
      <c r="AE52" s="99"/>
      <c r="AF52" s="99"/>
      <c r="AG52" s="99"/>
      <c r="AH52" s="99"/>
      <c r="AI52" s="99"/>
      <c r="AJ52" s="99"/>
      <c r="AM52" s="99"/>
      <c r="AN52" s="99"/>
      <c r="AO52" s="99"/>
      <c r="AP52" s="99"/>
      <c r="AQ52" s="99"/>
      <c r="AR52" s="99"/>
      <c r="AS52" s="99"/>
      <c r="AT52" s="99"/>
      <c r="AU52" s="99"/>
      <c r="AV52" s="99"/>
      <c r="AW52" s="99"/>
      <c r="AX52" s="99"/>
      <c r="BX52" s="80"/>
    </row>
    <row r="53" spans="1:87" ht="13.5" customHeight="1" x14ac:dyDescent="0.2">
      <c r="B53" s="4"/>
      <c r="C53" s="4"/>
      <c r="D53" s="165" t="str">
        <f t="shared" si="0"/>
        <v/>
      </c>
      <c r="F53" s="27" t="s">
        <v>226</v>
      </c>
      <c r="G53" s="380" t="s">
        <v>227</v>
      </c>
      <c r="H53" s="452"/>
      <c r="I53" s="453"/>
      <c r="J53" s="168">
        <v>1</v>
      </c>
      <c r="K53" s="87" t="s">
        <v>223</v>
      </c>
      <c r="W53" s="99"/>
      <c r="X53" s="99"/>
      <c r="Y53" s="99"/>
      <c r="Z53" s="99"/>
      <c r="AA53" s="99"/>
      <c r="AB53" s="99"/>
      <c r="AE53" s="99"/>
      <c r="AF53" s="99"/>
      <c r="AG53" s="99"/>
      <c r="AH53" s="99"/>
      <c r="AI53" s="99"/>
      <c r="AJ53" s="99"/>
      <c r="AM53" s="99"/>
      <c r="AN53" s="99"/>
      <c r="AO53" s="99"/>
      <c r="AP53" s="99"/>
      <c r="AQ53" s="99"/>
      <c r="AR53" s="99"/>
      <c r="AS53" s="99"/>
      <c r="AT53" s="99"/>
      <c r="AU53" s="99"/>
      <c r="AV53" s="99"/>
      <c r="AW53" s="99"/>
      <c r="AX53" s="99"/>
      <c r="BX53" s="80"/>
    </row>
    <row r="54" spans="1:87" ht="13.5" customHeight="1" x14ac:dyDescent="0.2">
      <c r="B54" s="4"/>
      <c r="C54" s="5"/>
      <c r="D54" s="165" t="str">
        <f t="shared" si="0"/>
        <v/>
      </c>
      <c r="F54" s="27" t="s">
        <v>228</v>
      </c>
      <c r="G54" s="576" t="s">
        <v>229</v>
      </c>
      <c r="H54" s="577"/>
      <c r="I54" s="578"/>
      <c r="J54" s="168">
        <v>2.4</v>
      </c>
      <c r="K54" s="87" t="s">
        <v>230</v>
      </c>
      <c r="W54" s="99"/>
      <c r="X54" s="99"/>
      <c r="Y54" s="99"/>
      <c r="Z54" s="99"/>
      <c r="AA54" s="99"/>
      <c r="AB54" s="99"/>
      <c r="AE54" s="99"/>
      <c r="AF54" s="99"/>
      <c r="AG54" s="99"/>
      <c r="AH54" s="99"/>
      <c r="AI54" s="99"/>
      <c r="AJ54" s="99"/>
      <c r="AM54" s="99"/>
      <c r="AN54" s="99"/>
      <c r="AO54" s="99"/>
      <c r="AP54" s="99"/>
      <c r="AQ54" s="99"/>
      <c r="AR54" s="99"/>
      <c r="AS54" s="99"/>
      <c r="AT54" s="99"/>
      <c r="AU54" s="99"/>
      <c r="AV54" s="99"/>
      <c r="AW54" s="99"/>
      <c r="AX54" s="99"/>
      <c r="BX54" s="80"/>
    </row>
    <row r="55" spans="1:87" ht="13.5" customHeight="1" x14ac:dyDescent="0.2">
      <c r="B55" s="4"/>
      <c r="C55" s="4"/>
      <c r="D55" s="165" t="str">
        <f t="shared" si="0"/>
        <v/>
      </c>
      <c r="F55" s="27" t="s">
        <v>231</v>
      </c>
      <c r="G55" s="380" t="s">
        <v>232</v>
      </c>
      <c r="H55" s="452"/>
      <c r="I55" s="453"/>
      <c r="J55" s="168">
        <v>2.9</v>
      </c>
      <c r="K55" s="87" t="s">
        <v>206</v>
      </c>
      <c r="W55" s="99"/>
      <c r="X55" s="99"/>
      <c r="Y55" s="99"/>
      <c r="Z55" s="99"/>
      <c r="AA55" s="99"/>
      <c r="AB55" s="99"/>
      <c r="AE55" s="99"/>
      <c r="AF55" s="99"/>
      <c r="AG55" s="99"/>
      <c r="AH55" s="99"/>
      <c r="AI55" s="99"/>
      <c r="AJ55" s="99"/>
      <c r="AM55" s="99"/>
      <c r="AN55" s="99"/>
      <c r="AO55" s="99"/>
      <c r="AP55" s="99"/>
      <c r="AQ55" s="99"/>
      <c r="AR55" s="99"/>
      <c r="AS55" s="99"/>
      <c r="AT55" s="99"/>
      <c r="AU55" s="99"/>
      <c r="AV55" s="99"/>
      <c r="AW55" s="99"/>
      <c r="AX55" s="99"/>
      <c r="BX55" s="80"/>
    </row>
    <row r="56" spans="1:87" ht="13.5" customHeight="1" x14ac:dyDescent="0.2">
      <c r="B56" s="4"/>
      <c r="C56" s="4"/>
      <c r="D56" s="165" t="str">
        <f t="shared" si="0"/>
        <v/>
      </c>
      <c r="F56" s="27" t="s">
        <v>233</v>
      </c>
      <c r="G56" s="380" t="s">
        <v>234</v>
      </c>
      <c r="H56" s="452"/>
      <c r="I56" s="453"/>
      <c r="J56" s="169" t="str">
        <f>IF(ISNUMBER(Koc),(Plevee/rws)*Koc*(Oclevee/100)+1,"-")</f>
        <v>-</v>
      </c>
      <c r="K56" s="170" t="s">
        <v>230</v>
      </c>
      <c r="W56" s="99"/>
      <c r="X56" s="99"/>
      <c r="Y56" s="99"/>
      <c r="Z56" s="99"/>
      <c r="AA56" s="99"/>
      <c r="AB56" s="99"/>
      <c r="AE56" s="99"/>
      <c r="AF56" s="99"/>
      <c r="AG56" s="99"/>
      <c r="AH56" s="99"/>
      <c r="AI56" s="99"/>
      <c r="AJ56" s="99"/>
      <c r="AM56" s="99"/>
      <c r="AN56" s="99"/>
      <c r="AO56" s="99"/>
      <c r="AP56" s="99"/>
      <c r="AQ56" s="99"/>
      <c r="AR56" s="99"/>
      <c r="AS56" s="99"/>
      <c r="AT56" s="99"/>
      <c r="AU56" s="99"/>
      <c r="AV56" s="99"/>
      <c r="AW56" s="99"/>
      <c r="AX56" s="99"/>
      <c r="BX56" s="80"/>
    </row>
    <row r="57" spans="1:87" ht="13.5" customHeight="1" x14ac:dyDescent="0.2">
      <c r="B57" s="4"/>
      <c r="C57" s="4"/>
      <c r="D57" s="165" t="str">
        <f t="shared" si="0"/>
        <v/>
      </c>
      <c r="F57" s="171"/>
      <c r="H57" s="67"/>
      <c r="I57" s="67"/>
      <c r="J57" s="172"/>
      <c r="W57" s="99"/>
      <c r="X57" s="99"/>
      <c r="Y57" s="99"/>
      <c r="Z57" s="99"/>
      <c r="AA57" s="99"/>
      <c r="AB57" s="99"/>
      <c r="AE57" s="99"/>
      <c r="AF57" s="99"/>
      <c r="AG57" s="99"/>
      <c r="AH57" s="99"/>
      <c r="AI57" s="99"/>
      <c r="AJ57" s="99"/>
      <c r="AM57" s="99"/>
      <c r="AN57" s="99"/>
      <c r="AO57" s="99"/>
      <c r="AP57" s="99"/>
      <c r="AQ57" s="99"/>
      <c r="AR57" s="99"/>
      <c r="AS57" s="99"/>
      <c r="AT57" s="99"/>
      <c r="AU57" s="99"/>
      <c r="AV57" s="99"/>
      <c r="AW57" s="99"/>
      <c r="AX57" s="99"/>
      <c r="BX57" s="80"/>
    </row>
    <row r="58" spans="1:87" ht="13.5" customHeight="1" x14ac:dyDescent="0.2">
      <c r="B58" s="4"/>
      <c r="C58" s="4"/>
      <c r="D58" s="165" t="str">
        <f t="shared" si="0"/>
        <v/>
      </c>
      <c r="F58" s="123"/>
      <c r="H58" s="67"/>
      <c r="I58" s="67"/>
      <c r="W58" s="99"/>
      <c r="X58" s="99"/>
      <c r="Y58" s="99"/>
      <c r="Z58" s="99"/>
      <c r="AA58" s="99"/>
      <c r="AB58" s="99"/>
      <c r="AE58" s="99"/>
      <c r="AF58" s="99"/>
      <c r="AG58" s="99"/>
      <c r="AH58" s="99"/>
      <c r="AI58" s="99"/>
      <c r="AJ58" s="99"/>
      <c r="AM58" s="99"/>
      <c r="AN58" s="99"/>
      <c r="AO58" s="99"/>
      <c r="AP58" s="99"/>
      <c r="AQ58" s="99"/>
      <c r="AR58" s="99"/>
      <c r="AS58" s="99"/>
      <c r="AT58" s="99"/>
      <c r="AU58" s="99"/>
      <c r="AV58" s="99"/>
      <c r="AW58" s="99"/>
      <c r="AX58" s="99"/>
      <c r="BX58" s="80"/>
    </row>
    <row r="59" spans="1:87" ht="13.5" customHeight="1" thickBot="1" x14ac:dyDescent="0.25">
      <c r="B59" s="6"/>
      <c r="C59" s="6"/>
      <c r="D59" s="165" t="str">
        <f t="shared" si="0"/>
        <v/>
      </c>
      <c r="H59" s="67"/>
      <c r="I59" s="67"/>
      <c r="W59" s="99"/>
      <c r="X59" s="99"/>
      <c r="Y59" s="99"/>
      <c r="Z59" s="99"/>
      <c r="AA59" s="99"/>
      <c r="AB59" s="99"/>
      <c r="AE59" s="99"/>
      <c r="AF59" s="99"/>
      <c r="AG59" s="99"/>
      <c r="AH59" s="99"/>
      <c r="AI59" s="99"/>
      <c r="AJ59" s="99"/>
      <c r="AM59" s="99"/>
      <c r="AN59" s="99"/>
      <c r="AO59" s="99"/>
      <c r="AP59" s="99"/>
      <c r="AQ59" s="99"/>
      <c r="AR59" s="99"/>
      <c r="AS59" s="99"/>
      <c r="AT59" s="99"/>
      <c r="AU59" s="99"/>
      <c r="AV59" s="99"/>
      <c r="AW59" s="99"/>
      <c r="AX59" s="99"/>
      <c r="BX59" s="80"/>
    </row>
    <row r="60" spans="1:87" ht="13.5" customHeight="1" thickTop="1" x14ac:dyDescent="0.2">
      <c r="B60" s="91"/>
      <c r="H60" s="67"/>
      <c r="I60" s="67"/>
      <c r="W60" s="99"/>
      <c r="X60" s="99"/>
      <c r="Y60" s="99"/>
      <c r="Z60" s="99"/>
      <c r="AA60" s="99"/>
      <c r="AB60" s="99"/>
      <c r="AE60" s="99"/>
      <c r="AF60" s="99"/>
      <c r="AG60" s="99"/>
      <c r="AH60" s="99"/>
      <c r="AI60" s="99"/>
      <c r="AJ60" s="99"/>
      <c r="AM60" s="99"/>
      <c r="AN60" s="99"/>
      <c r="AO60" s="99"/>
      <c r="AP60" s="99"/>
      <c r="AQ60" s="99"/>
      <c r="AR60" s="99"/>
      <c r="AS60" s="99"/>
      <c r="AT60" s="99"/>
      <c r="AU60" s="99"/>
      <c r="AV60" s="99"/>
      <c r="AW60" s="99"/>
      <c r="AX60" s="99"/>
      <c r="BX60" s="80"/>
    </row>
    <row r="61" spans="1:87" ht="13.5" customHeight="1" x14ac:dyDescent="0.2">
      <c r="A61"/>
      <c r="B61" s="579" t="s">
        <v>235</v>
      </c>
      <c r="C61" s="522"/>
      <c r="D61" s="522"/>
      <c r="E61" s="522"/>
      <c r="V61" s="67"/>
      <c r="W61" s="67"/>
      <c r="X61" s="67"/>
      <c r="Y61" s="67"/>
      <c r="Z61" s="67"/>
      <c r="AA61" s="67"/>
      <c r="AB61" s="67"/>
      <c r="AD61" s="67"/>
      <c r="AE61" s="67"/>
      <c r="AF61" s="67"/>
      <c r="AG61" s="67"/>
      <c r="AH61" s="67"/>
      <c r="AI61" s="67"/>
      <c r="AJ61" s="67"/>
      <c r="AL61" s="67"/>
      <c r="AM61" s="67"/>
      <c r="AN61" s="67"/>
      <c r="AO61" s="67"/>
      <c r="AP61" s="67"/>
      <c r="AQ61" s="67"/>
      <c r="AR61" s="67"/>
      <c r="AS61" s="67"/>
      <c r="AT61" s="67"/>
      <c r="AU61" s="67"/>
      <c r="AV61" s="67"/>
      <c r="AW61" s="67"/>
      <c r="AX61" s="67"/>
      <c r="AY61" s="67"/>
      <c r="AZ61" s="80"/>
      <c r="BA61" s="144"/>
      <c r="BB61" s="80"/>
      <c r="BC61" s="144"/>
      <c r="BD61" s="144"/>
      <c r="BE61" s="144"/>
      <c r="BF61" s="144"/>
      <c r="BG61" s="67"/>
      <c r="BH61" s="80"/>
      <c r="BI61" s="144"/>
      <c r="BJ61" s="80"/>
      <c r="BK61" s="144"/>
      <c r="BL61" s="144"/>
      <c r="BM61" s="144"/>
      <c r="BN61" s="144"/>
      <c r="BO61" s="67"/>
      <c r="BP61" s="80"/>
      <c r="BQ61" s="144"/>
      <c r="BR61" s="80"/>
      <c r="BS61" s="144"/>
      <c r="BT61" s="144"/>
      <c r="BV61" s="144"/>
      <c r="BW61" s="80"/>
      <c r="BX61" s="67"/>
      <c r="BY61" s="67"/>
      <c r="CB61"/>
      <c r="CC61"/>
      <c r="CD61"/>
      <c r="CE61"/>
      <c r="CF61"/>
      <c r="CG61"/>
      <c r="CH61"/>
      <c r="CI61"/>
    </row>
    <row r="62" spans="1:87" ht="13.5" customHeight="1" x14ac:dyDescent="0.2">
      <c r="A62"/>
      <c r="B62" s="522"/>
      <c r="C62" s="522"/>
      <c r="D62" s="522"/>
      <c r="E62" s="522"/>
      <c r="V62" s="67"/>
      <c r="W62" s="67"/>
      <c r="X62" s="67"/>
      <c r="Y62" s="67"/>
      <c r="Z62" s="67"/>
      <c r="AA62" s="67"/>
      <c r="AB62" s="67"/>
      <c r="AD62" s="67"/>
      <c r="AE62" s="67"/>
      <c r="AF62" s="67"/>
      <c r="AG62" s="67"/>
      <c r="AH62" s="67"/>
      <c r="AI62" s="67"/>
      <c r="AJ62" s="67"/>
      <c r="AL62" s="67"/>
      <c r="AM62" s="67"/>
      <c r="AN62" s="67"/>
      <c r="AO62" s="67"/>
      <c r="AP62" s="67"/>
      <c r="AQ62" s="67"/>
      <c r="AR62" s="67"/>
      <c r="AS62" s="67"/>
      <c r="AT62" s="67"/>
      <c r="AU62" s="67"/>
      <c r="AV62" s="67"/>
      <c r="AW62" s="67"/>
      <c r="AX62" s="67"/>
      <c r="AY62" s="67"/>
      <c r="AZ62" s="80"/>
      <c r="BA62" s="144"/>
      <c r="BB62" s="80"/>
      <c r="BC62" s="144"/>
      <c r="BD62" s="144"/>
      <c r="BE62" s="144"/>
      <c r="BF62" s="144"/>
      <c r="BG62" s="67"/>
      <c r="BH62" s="80"/>
      <c r="BI62" s="144"/>
      <c r="BJ62" s="80"/>
      <c r="BK62" s="144"/>
      <c r="BL62" s="144"/>
      <c r="BM62" s="144"/>
      <c r="BN62" s="144"/>
      <c r="BO62" s="67"/>
      <c r="BP62" s="80"/>
      <c r="BQ62" s="144"/>
      <c r="BR62" s="80"/>
      <c r="BS62" s="144"/>
      <c r="BT62" s="144"/>
      <c r="BV62" s="144"/>
      <c r="BW62" s="80"/>
      <c r="BX62" s="67"/>
      <c r="BY62" s="67"/>
      <c r="CB62"/>
      <c r="CC62"/>
      <c r="CD62"/>
      <c r="CE62"/>
      <c r="CF62"/>
      <c r="CG62"/>
      <c r="CH62"/>
      <c r="CI62"/>
    </row>
    <row r="63" spans="1:87" ht="13.5" customHeight="1" x14ac:dyDescent="0.2">
      <c r="A63"/>
      <c r="B63" s="522"/>
      <c r="C63" s="522"/>
      <c r="D63" s="522"/>
      <c r="E63" s="522"/>
      <c r="V63" s="67"/>
      <c r="W63" s="67"/>
      <c r="X63" s="67"/>
      <c r="Y63" s="67"/>
      <c r="Z63" s="67"/>
      <c r="AA63" s="67"/>
      <c r="AB63" s="67"/>
      <c r="AD63" s="67"/>
      <c r="AE63" s="67"/>
      <c r="AF63" s="67"/>
      <c r="AG63" s="67"/>
      <c r="AH63" s="67"/>
      <c r="AI63" s="67"/>
      <c r="AJ63" s="67"/>
      <c r="AL63" s="67"/>
      <c r="AM63" s="67"/>
      <c r="AN63" s="67"/>
      <c r="AO63" s="67"/>
      <c r="AP63" s="67"/>
      <c r="AQ63" s="67"/>
      <c r="AR63" s="67"/>
      <c r="AS63" s="67"/>
      <c r="AT63" s="67"/>
      <c r="AU63" s="67"/>
      <c r="AV63" s="67"/>
      <c r="AW63" s="67"/>
      <c r="AX63" s="67"/>
      <c r="AY63" s="67"/>
      <c r="AZ63" s="80"/>
      <c r="BA63" s="144"/>
      <c r="BB63" s="80"/>
      <c r="BC63" s="144"/>
      <c r="BD63" s="144"/>
      <c r="BE63" s="144"/>
      <c r="BF63" s="144"/>
      <c r="BG63" s="67"/>
      <c r="BH63" s="80"/>
      <c r="BI63" s="144"/>
      <c r="BJ63" s="80"/>
      <c r="BK63" s="144"/>
      <c r="BL63" s="144"/>
      <c r="BM63" s="144"/>
      <c r="BN63" s="144"/>
      <c r="BO63" s="67"/>
      <c r="BP63" s="80"/>
      <c r="BQ63" s="144"/>
      <c r="BR63" s="80"/>
      <c r="BS63" s="144"/>
      <c r="BT63" s="144"/>
      <c r="BV63" s="144"/>
      <c r="BW63" s="80"/>
      <c r="BX63" s="67"/>
      <c r="BY63" s="67"/>
      <c r="CB63"/>
      <c r="CC63"/>
      <c r="CD63"/>
      <c r="CE63"/>
      <c r="CF63"/>
      <c r="CG63"/>
      <c r="CH63"/>
      <c r="CI63"/>
    </row>
    <row r="64" spans="1:87" ht="13.5" customHeight="1" x14ac:dyDescent="0.2">
      <c r="A64"/>
      <c r="B64" s="522"/>
      <c r="C64" s="522"/>
      <c r="D64" s="522"/>
      <c r="E64" s="522"/>
      <c r="V64" s="67"/>
      <c r="W64" s="67"/>
      <c r="X64" s="67"/>
      <c r="Y64" s="67"/>
      <c r="Z64" s="67"/>
      <c r="AA64" s="67"/>
      <c r="AB64" s="67"/>
      <c r="AD64" s="67"/>
      <c r="AE64" s="67"/>
      <c r="AF64" s="67"/>
      <c r="AG64" s="67"/>
      <c r="AH64" s="67"/>
      <c r="AI64" s="67"/>
      <c r="AJ64" s="67"/>
      <c r="AL64" s="67"/>
      <c r="AM64" s="67"/>
      <c r="AN64" s="67"/>
      <c r="AO64" s="67"/>
      <c r="AP64" s="67"/>
      <c r="AQ64" s="67"/>
      <c r="AR64" s="67"/>
      <c r="AS64" s="67"/>
      <c r="AT64" s="67"/>
      <c r="AU64" s="67"/>
      <c r="AV64" s="67"/>
      <c r="AW64" s="67"/>
      <c r="AX64" s="67"/>
      <c r="AY64" s="67"/>
      <c r="AZ64" s="80"/>
      <c r="BA64" s="144"/>
      <c r="BB64" s="80"/>
      <c r="BC64" s="144"/>
      <c r="BD64" s="144"/>
      <c r="BE64" s="144"/>
      <c r="BF64" s="144"/>
      <c r="BG64" s="67"/>
      <c r="BH64" s="80"/>
      <c r="BI64" s="144"/>
      <c r="BJ64" s="80"/>
      <c r="BK64" s="144"/>
      <c r="BL64" s="144"/>
      <c r="BM64" s="144"/>
      <c r="BN64" s="144"/>
      <c r="BO64" s="67"/>
      <c r="BP64" s="80"/>
      <c r="BQ64" s="144"/>
      <c r="BR64" s="80"/>
      <c r="BS64" s="144"/>
      <c r="BT64" s="144"/>
      <c r="BV64" s="144"/>
      <c r="BW64" s="80"/>
      <c r="BX64" s="67"/>
      <c r="BY64" s="67"/>
      <c r="CB64"/>
      <c r="CC64"/>
      <c r="CD64"/>
      <c r="CE64"/>
      <c r="CF64"/>
      <c r="CG64"/>
      <c r="CH64"/>
      <c r="CI64"/>
    </row>
    <row r="65" spans="1:91" ht="13.5" customHeight="1" thickBot="1" x14ac:dyDescent="0.25">
      <c r="B65" s="380" t="s">
        <v>236</v>
      </c>
      <c r="C65" s="452"/>
      <c r="D65" s="23" t="str">
        <f>IF(ISERR(LN(2)/(-SLOPE(D39:D59,B39:B59))),"",(LN(2)/(-SLOPE(D39:D59,B39:B59))))</f>
        <v/>
      </c>
      <c r="E65" s="104" t="s">
        <v>146</v>
      </c>
      <c r="H65" s="67"/>
      <c r="I65" s="67"/>
      <c r="W65" s="99"/>
      <c r="X65" s="99"/>
      <c r="Y65" s="99"/>
      <c r="Z65" s="67"/>
      <c r="AA65" s="99"/>
      <c r="AB65" s="99"/>
      <c r="AE65" s="99"/>
      <c r="AF65" s="99"/>
      <c r="AG65" s="99"/>
      <c r="AH65" s="67"/>
      <c r="AI65" s="99"/>
      <c r="AJ65" s="99"/>
      <c r="AM65" s="99"/>
      <c r="AN65" s="99"/>
      <c r="AO65" s="99"/>
      <c r="AP65" s="67"/>
      <c r="AQ65" s="99"/>
      <c r="AR65" s="99"/>
      <c r="AS65" s="99"/>
      <c r="AT65" s="99"/>
      <c r="AU65" s="99"/>
      <c r="AV65" s="99"/>
      <c r="AW65" s="99"/>
      <c r="AX65" s="99"/>
      <c r="BX65" s="80"/>
    </row>
    <row r="66" spans="1:91" ht="13.5" customHeight="1" thickTop="1" thickBot="1" x14ac:dyDescent="0.25">
      <c r="B66" s="91"/>
      <c r="C66" s="173"/>
      <c r="G66" s="507" t="s">
        <v>117</v>
      </c>
      <c r="H66" s="580"/>
      <c r="I66" s="2"/>
      <c r="W66" s="99"/>
      <c r="X66" s="99"/>
      <c r="Y66" s="99"/>
      <c r="Z66" s="67"/>
      <c r="AA66" s="99"/>
      <c r="AB66" s="99"/>
      <c r="AE66" s="99"/>
      <c r="AF66" s="99"/>
      <c r="AG66" s="99"/>
      <c r="AH66" s="67"/>
      <c r="AI66" s="99"/>
      <c r="AJ66" s="99"/>
      <c r="AM66" s="99"/>
      <c r="AN66" s="99"/>
      <c r="AO66" s="99"/>
      <c r="AP66" s="67"/>
      <c r="AQ66" s="99"/>
      <c r="AR66" s="99"/>
      <c r="AS66" s="99"/>
      <c r="AT66" s="99"/>
      <c r="AU66" s="99"/>
      <c r="AV66" s="99"/>
      <c r="AW66" s="99"/>
      <c r="AX66" s="99"/>
      <c r="BX66" s="80"/>
    </row>
    <row r="67" spans="1:91" ht="13.5" customHeight="1" thickTop="1" x14ac:dyDescent="0.2">
      <c r="B67" s="91"/>
      <c r="C67" s="123"/>
      <c r="G67" s="79" t="s">
        <v>120</v>
      </c>
      <c r="H67" s="115"/>
      <c r="I67" s="115"/>
      <c r="Q67" s="99"/>
      <c r="R67" s="99"/>
      <c r="S67" s="99"/>
      <c r="T67" s="99"/>
      <c r="U67" s="67"/>
      <c r="V67" s="67"/>
      <c r="W67" s="99"/>
      <c r="X67" s="99"/>
      <c r="Y67" s="99"/>
      <c r="Z67" s="99"/>
      <c r="AA67" s="99"/>
      <c r="AB67" s="99"/>
      <c r="AC67" s="67"/>
      <c r="AD67" s="67"/>
      <c r="AE67" s="99"/>
      <c r="AF67" s="99"/>
      <c r="AG67" s="99"/>
      <c r="AH67" s="99"/>
      <c r="AI67" s="99"/>
      <c r="AJ67" s="99"/>
      <c r="AK67" s="67"/>
      <c r="AL67" s="67"/>
      <c r="AM67" s="99"/>
      <c r="AN67" s="99"/>
      <c r="AO67" s="99"/>
      <c r="AP67" s="99"/>
      <c r="AQ67" s="99"/>
      <c r="AR67" s="99"/>
      <c r="AS67" s="99"/>
      <c r="AT67" s="99"/>
      <c r="AU67" s="143"/>
      <c r="AV67" s="99"/>
      <c r="AW67" s="143"/>
      <c r="AX67" s="143"/>
      <c r="AY67" s="143"/>
      <c r="AZ67" s="143"/>
      <c r="BA67" s="99"/>
      <c r="BD67" s="99"/>
      <c r="BG67" s="143"/>
      <c r="BH67" s="143"/>
      <c r="BI67" s="99"/>
      <c r="BL67" s="99"/>
      <c r="BO67" s="143"/>
      <c r="BP67" s="143"/>
      <c r="BR67" s="143"/>
      <c r="BT67" s="80"/>
      <c r="BV67" s="80"/>
      <c r="BW67" s="80"/>
      <c r="BX67" s="80"/>
      <c r="CA67" s="99"/>
      <c r="CB67" s="99"/>
      <c r="CC67" s="99"/>
      <c r="CD67" s="99"/>
      <c r="CE67" s="99"/>
      <c r="CF67" s="99"/>
      <c r="CI67"/>
    </row>
    <row r="68" spans="1:91" ht="13.5" customHeight="1" thickBot="1" x14ac:dyDescent="0.25">
      <c r="B68" s="91"/>
      <c r="C68" s="40" t="s">
        <v>237</v>
      </c>
      <c r="Q68" s="99"/>
      <c r="R68" s="99"/>
      <c r="S68" s="99"/>
      <c r="T68" s="99"/>
      <c r="U68" s="67"/>
      <c r="V68" s="67"/>
      <c r="W68" s="99"/>
      <c r="X68" s="99"/>
      <c r="Y68" s="99"/>
      <c r="Z68" s="99"/>
      <c r="AA68" s="99"/>
      <c r="AB68" s="99"/>
      <c r="AC68" s="67"/>
      <c r="AD68" s="67"/>
      <c r="AE68" s="99"/>
      <c r="AF68" s="99"/>
      <c r="AG68" s="99"/>
      <c r="AH68" s="99"/>
      <c r="AI68" s="99"/>
      <c r="AJ68" s="99"/>
      <c r="AK68" s="67"/>
      <c r="AL68" s="67"/>
      <c r="AM68" s="99"/>
      <c r="AN68" s="99"/>
      <c r="AO68" s="99"/>
      <c r="AP68" s="99"/>
      <c r="AQ68" s="99"/>
      <c r="AR68" s="99"/>
      <c r="AS68" s="99"/>
      <c r="AT68" s="99"/>
      <c r="AU68" s="143"/>
      <c r="AV68" s="99"/>
      <c r="AW68" s="143"/>
      <c r="AX68" s="143"/>
      <c r="AY68" s="143"/>
      <c r="AZ68" s="143"/>
      <c r="BA68" s="99"/>
      <c r="BD68" s="99"/>
      <c r="BG68" s="143"/>
      <c r="BH68" s="143"/>
      <c r="BI68" s="99"/>
      <c r="BL68" s="99"/>
      <c r="BO68" s="143"/>
      <c r="BP68" s="143"/>
      <c r="BR68" s="143"/>
      <c r="BT68" s="80"/>
      <c r="BV68" s="80"/>
      <c r="BW68" s="80"/>
      <c r="BX68" s="80"/>
      <c r="CA68" s="99"/>
      <c r="CB68" s="99"/>
      <c r="CC68" s="99"/>
      <c r="CD68" s="99"/>
      <c r="CE68" s="99"/>
      <c r="CF68" s="99"/>
      <c r="CI68"/>
    </row>
    <row r="69" spans="1:91" ht="103.5" customHeight="1" thickTop="1" thickBot="1" x14ac:dyDescent="0.25">
      <c r="B69" s="91"/>
      <c r="C69" s="607" t="s">
        <v>238</v>
      </c>
      <c r="D69" s="608"/>
      <c r="E69" s="609"/>
      <c r="F69" s="174" t="str">
        <f>IF(NOT(ISNUMBER(ffp)),"-",IF(F70=AJ87,AH84,IF(F70=AN87,AL84,IF(F70=AR87,AP84,IF(F70=AV87,AT84,IF(F70=AZ87,AX84,"-"))))))</f>
        <v>-</v>
      </c>
      <c r="Q69" s="99"/>
      <c r="R69" s="99"/>
      <c r="S69" s="99"/>
      <c r="T69" s="99"/>
      <c r="U69" s="67"/>
      <c r="V69" s="67"/>
      <c r="W69" s="99"/>
      <c r="X69" s="99"/>
      <c r="Y69" s="99"/>
      <c r="Z69" s="99"/>
      <c r="AA69" s="99"/>
      <c r="AB69" s="99"/>
      <c r="AC69" s="67"/>
      <c r="AD69" s="67"/>
      <c r="AE69" s="99"/>
      <c r="AF69" s="99"/>
      <c r="AG69" s="99"/>
      <c r="AH69" s="99"/>
      <c r="AI69" s="99"/>
      <c r="AJ69" s="99"/>
      <c r="AK69" s="67"/>
      <c r="AL69" s="67"/>
      <c r="AM69" s="99"/>
      <c r="AN69" s="99"/>
      <c r="AO69" s="99"/>
      <c r="AP69" s="99"/>
      <c r="AQ69" s="99"/>
      <c r="AR69" s="99"/>
      <c r="AS69" s="80"/>
      <c r="AT69" s="80"/>
      <c r="AU69" s="144"/>
      <c r="AV69" s="80"/>
      <c r="AW69" s="144"/>
      <c r="AX69" s="144"/>
      <c r="AY69" s="144"/>
      <c r="AZ69" s="144"/>
      <c r="BA69" s="80"/>
      <c r="BB69" s="80"/>
      <c r="BC69" s="144"/>
      <c r="BD69" s="80"/>
      <c r="BE69" s="144"/>
      <c r="BF69" s="144"/>
      <c r="BG69" s="144"/>
      <c r="BH69" s="144"/>
      <c r="BI69" s="80"/>
      <c r="BJ69" s="80"/>
      <c r="BK69" s="144"/>
      <c r="BL69" s="80"/>
      <c r="BM69" s="144"/>
      <c r="BN69" s="144"/>
      <c r="BO69" s="144"/>
      <c r="BP69" s="144"/>
      <c r="BQ69" s="144"/>
      <c r="BR69" s="144"/>
      <c r="BS69" s="144"/>
      <c r="BT69" s="80"/>
      <c r="BV69" s="80"/>
      <c r="BW69" s="80"/>
      <c r="BX69" s="80"/>
      <c r="CA69" s="99"/>
      <c r="CB69" s="99"/>
      <c r="CC69" s="99"/>
      <c r="CD69" s="99"/>
      <c r="CE69" s="99"/>
      <c r="CF69"/>
      <c r="CG69"/>
      <c r="CH69"/>
      <c r="CI69"/>
    </row>
    <row r="70" spans="1:91" ht="13.5" customHeight="1" thickTop="1" x14ac:dyDescent="0.2">
      <c r="C70" s="610" t="s">
        <v>152</v>
      </c>
      <c r="D70" s="611"/>
      <c r="E70" s="612"/>
      <c r="F70" s="175" t="str">
        <f>IF(NOT(AND(ISNUMBER(ffp),ISNUMBER(F14),ISNUMBER(F13))),"-",IF(MAX(AX87,BB87,BF87,BJ87,BN87,BR87)&gt;0,MAX(AX87,BB87,BF87,BJ87,BN87,BR87),"-"))</f>
        <v>-</v>
      </c>
      <c r="Q70" s="99"/>
      <c r="R70" s="99"/>
      <c r="S70" s="99"/>
      <c r="T70" s="99"/>
      <c r="U70" s="67"/>
      <c r="V70" s="67"/>
      <c r="W70" s="99"/>
      <c r="X70" s="99"/>
      <c r="Y70" s="99"/>
      <c r="Z70" s="99"/>
      <c r="AA70" s="99"/>
      <c r="AB70" s="99"/>
      <c r="AC70" s="67"/>
      <c r="AD70" s="67"/>
      <c r="AE70" s="99"/>
      <c r="AF70" s="99"/>
      <c r="AG70" s="99"/>
      <c r="AH70" s="99"/>
      <c r="AI70" s="99"/>
      <c r="AJ70" s="99"/>
      <c r="AK70" s="67"/>
      <c r="AL70" s="67"/>
      <c r="AM70" s="99"/>
      <c r="AN70" s="99"/>
      <c r="AO70" s="99"/>
      <c r="AP70" s="99"/>
      <c r="AQ70" s="99"/>
      <c r="AR70" s="99"/>
      <c r="AS70" s="80"/>
      <c r="AT70" s="80"/>
      <c r="AU70" s="144"/>
      <c r="AV70" s="80"/>
      <c r="AW70" s="144"/>
      <c r="AX70" s="144"/>
      <c r="AY70" s="144"/>
      <c r="AZ70" s="144"/>
      <c r="BA70" s="80"/>
      <c r="BB70" s="80"/>
      <c r="BC70" s="144"/>
      <c r="BD70" s="80"/>
      <c r="BE70" s="144"/>
      <c r="BF70" s="144"/>
      <c r="BG70" s="144"/>
      <c r="BH70" s="144"/>
      <c r="BI70" s="80"/>
      <c r="BJ70" s="80"/>
      <c r="BK70" s="144"/>
      <c r="BL70" s="80"/>
      <c r="BM70" s="144"/>
      <c r="BN70" s="144"/>
      <c r="BO70" s="144"/>
      <c r="BP70" s="144"/>
      <c r="BQ70" s="144"/>
      <c r="BR70" s="144"/>
      <c r="BS70" s="144"/>
      <c r="BT70" s="80"/>
      <c r="BV70" s="80"/>
      <c r="BW70" s="80"/>
      <c r="BX70" s="80"/>
      <c r="CA70" s="99"/>
      <c r="CB70" s="99"/>
      <c r="CC70" s="99"/>
      <c r="CD70" s="99"/>
      <c r="CE70" s="99"/>
      <c r="CF70"/>
      <c r="CG70"/>
      <c r="CH70"/>
      <c r="CI70"/>
    </row>
    <row r="71" spans="1:91" ht="13.5" customHeight="1" thickBot="1" x14ac:dyDescent="0.25">
      <c r="C71" s="573" t="s">
        <v>239</v>
      </c>
      <c r="D71" s="574"/>
      <c r="E71" s="575"/>
      <c r="F71" s="176" t="str">
        <f>IF(NOT(ISNUMBER(ffp)),"-",IF(F70=AX87,AX88,IF(F70=BB87,BB88,IF(F70=BF87,BF88,IF(F70=BJ87,BJ88,IF(F70=BN87,BN88,BR88))))))</f>
        <v>-</v>
      </c>
      <c r="O71" s="99"/>
      <c r="P71" s="99"/>
      <c r="Q71" s="99"/>
      <c r="R71" s="99"/>
      <c r="S71" s="67"/>
      <c r="T71" s="67"/>
      <c r="U71" s="67"/>
      <c r="V71" s="67"/>
      <c r="W71" s="99"/>
      <c r="X71" s="99"/>
      <c r="Y71" s="99"/>
      <c r="Z71" s="99"/>
      <c r="AA71" s="99"/>
      <c r="AB71" s="99"/>
      <c r="AC71" s="67"/>
      <c r="AD71" s="67"/>
      <c r="AE71" s="99"/>
      <c r="AF71" s="99"/>
      <c r="AG71" s="99"/>
      <c r="AH71" s="99"/>
      <c r="AI71" s="99"/>
      <c r="AJ71" s="99"/>
      <c r="AK71" s="67"/>
      <c r="AL71" s="67"/>
      <c r="AM71" s="99"/>
      <c r="AN71" s="99"/>
      <c r="AO71" s="99"/>
      <c r="AP71" s="99"/>
      <c r="AQ71" s="99"/>
      <c r="AR71" s="99"/>
      <c r="AS71" s="80"/>
      <c r="AT71" s="80"/>
      <c r="AU71" s="144"/>
      <c r="AV71" s="80"/>
      <c r="AW71" s="144"/>
      <c r="AX71" s="144"/>
      <c r="AY71" s="144"/>
      <c r="AZ71" s="144"/>
      <c r="BA71" s="80"/>
      <c r="BB71" s="80"/>
      <c r="BC71" s="144"/>
      <c r="BD71" s="80"/>
      <c r="BE71" s="144"/>
      <c r="BF71" s="144"/>
      <c r="BG71" s="144"/>
      <c r="BH71" s="144"/>
      <c r="BI71" s="80"/>
      <c r="BJ71" s="80"/>
      <c r="BK71" s="144"/>
      <c r="BL71" s="80"/>
      <c r="BM71" s="144"/>
      <c r="BN71" s="144"/>
      <c r="BO71" s="144"/>
      <c r="BP71" s="144"/>
      <c r="BQ71" s="144"/>
      <c r="BR71" s="144"/>
      <c r="BS71" s="144"/>
      <c r="BT71" s="80"/>
      <c r="BV71" s="80"/>
      <c r="BW71" s="80"/>
      <c r="BX71" s="80"/>
      <c r="CA71" s="99"/>
      <c r="CB71" s="99"/>
      <c r="CC71" s="99"/>
      <c r="CD71" s="99"/>
      <c r="CE71" s="99"/>
      <c r="CF71"/>
      <c r="CG71"/>
      <c r="CH71"/>
      <c r="CI71"/>
    </row>
    <row r="72" spans="1:91" ht="13.5" customHeight="1" thickTop="1" x14ac:dyDescent="0.2">
      <c r="C72" s="10" t="s">
        <v>129</v>
      </c>
      <c r="D72" s="177"/>
      <c r="E72" s="177"/>
      <c r="F72" s="177"/>
      <c r="G72" s="177"/>
      <c r="H72" s="178"/>
      <c r="I72" s="179"/>
      <c r="Q72" s="99"/>
      <c r="R72" s="99"/>
      <c r="S72" s="99"/>
      <c r="T72" s="99"/>
      <c r="U72" s="67"/>
      <c r="V72" s="67"/>
      <c r="W72" s="99"/>
      <c r="X72" s="99"/>
      <c r="Y72" s="99"/>
      <c r="Z72" s="99"/>
      <c r="AA72" s="99"/>
      <c r="AB72" s="99"/>
      <c r="AC72" s="67"/>
      <c r="AD72" s="67"/>
      <c r="AE72" s="99"/>
      <c r="AF72" s="99"/>
      <c r="AG72" s="99"/>
      <c r="AH72" s="99"/>
      <c r="AI72" s="99"/>
      <c r="AJ72" s="99"/>
      <c r="AK72" s="67"/>
      <c r="AL72" s="67"/>
      <c r="AM72" s="99"/>
      <c r="AN72" s="99"/>
      <c r="AO72" s="99"/>
      <c r="AP72" s="99"/>
      <c r="AQ72" s="99"/>
      <c r="AR72" s="99"/>
      <c r="AS72" s="99"/>
      <c r="AT72" s="99"/>
      <c r="AU72" s="143"/>
      <c r="AV72" s="99"/>
      <c r="AW72" s="143"/>
      <c r="AX72" s="143"/>
      <c r="AY72" s="143"/>
      <c r="AZ72" s="143"/>
      <c r="BA72" s="99"/>
      <c r="BD72" s="99"/>
      <c r="BG72" s="143"/>
      <c r="BH72" s="143"/>
      <c r="BI72" s="99"/>
      <c r="BL72" s="99"/>
      <c r="BO72" s="143"/>
      <c r="BP72" s="143"/>
      <c r="BR72" s="143"/>
      <c r="BT72" s="80"/>
      <c r="BV72" s="80"/>
      <c r="BW72" s="80"/>
      <c r="BX72" s="80"/>
      <c r="CA72" s="99"/>
      <c r="CB72" s="99"/>
      <c r="CC72" s="99"/>
      <c r="CD72" s="99"/>
      <c r="CE72" s="99"/>
      <c r="CF72" s="99"/>
      <c r="CI72"/>
    </row>
    <row r="73" spans="1:91" ht="13.5" customHeight="1" x14ac:dyDescent="0.2">
      <c r="H73" s="67"/>
      <c r="I73" s="67"/>
      <c r="W73" s="99"/>
      <c r="X73" s="99"/>
      <c r="Y73" s="99"/>
      <c r="Z73" s="67"/>
      <c r="AA73" s="99"/>
      <c r="AB73" s="99"/>
      <c r="AE73" s="99"/>
      <c r="AF73" s="99"/>
      <c r="AG73" s="99"/>
      <c r="AH73" s="67"/>
      <c r="AI73" s="99"/>
      <c r="AJ73" s="99"/>
      <c r="AM73" s="99"/>
      <c r="AN73" s="99"/>
      <c r="AO73" s="99"/>
      <c r="AP73" s="67"/>
      <c r="AQ73" s="99"/>
      <c r="AR73" s="99"/>
      <c r="AS73" s="99"/>
      <c r="AT73" s="99"/>
      <c r="AU73" s="99"/>
      <c r="AV73" s="99"/>
      <c r="AW73" s="99"/>
      <c r="AX73" s="99"/>
      <c r="BX73" s="80"/>
    </row>
    <row r="74" spans="1:91" s="67" customFormat="1" ht="27" customHeight="1" x14ac:dyDescent="0.2">
      <c r="A74" s="180"/>
      <c r="B74" s="181" t="s">
        <v>240</v>
      </c>
      <c r="C74" s="182"/>
      <c r="D74" s="182"/>
      <c r="E74" s="182"/>
      <c r="F74" s="182"/>
      <c r="G74" s="182"/>
      <c r="H74" s="182"/>
      <c r="I74" s="182"/>
      <c r="J74" s="182"/>
      <c r="K74" s="182"/>
      <c r="T74" s="183"/>
      <c r="U74" s="183"/>
      <c r="V74" s="99"/>
      <c r="W74"/>
      <c r="X74"/>
      <c r="Y74"/>
      <c r="AA74"/>
      <c r="AB74"/>
      <c r="AC74" s="183"/>
      <c r="AD74" s="99"/>
      <c r="AE74"/>
      <c r="AF74"/>
      <c r="AG74"/>
      <c r="AI74"/>
      <c r="AJ74"/>
      <c r="AK74" s="183"/>
      <c r="AL74" s="99"/>
      <c r="AM74"/>
      <c r="AN74"/>
      <c r="AO74"/>
      <c r="AQ74"/>
      <c r="AR74"/>
      <c r="AS74"/>
      <c r="AT74"/>
      <c r="AU74"/>
      <c r="AV74"/>
      <c r="AW74"/>
      <c r="AX74"/>
      <c r="AY74" s="99"/>
      <c r="AZ74" s="99"/>
      <c r="BA74" s="143"/>
      <c r="BB74" s="99"/>
      <c r="BC74" s="143"/>
      <c r="BD74" s="143"/>
      <c r="BE74" s="143"/>
      <c r="BF74" s="143"/>
      <c r="BG74" s="99"/>
      <c r="BH74" s="99"/>
      <c r="BI74" s="143"/>
      <c r="BJ74" s="99"/>
      <c r="BK74" s="143"/>
      <c r="BL74" s="143"/>
      <c r="BM74" s="143"/>
      <c r="BN74" s="143"/>
      <c r="BO74" s="99"/>
      <c r="BP74" s="99"/>
      <c r="BQ74" s="143"/>
      <c r="BR74" s="99"/>
      <c r="BS74" s="143"/>
      <c r="BT74" s="143"/>
      <c r="BU74" s="80"/>
      <c r="BV74" s="143"/>
      <c r="BW74" s="99"/>
      <c r="BX74" s="99"/>
      <c r="BY74" s="80"/>
      <c r="BZ74" s="80"/>
      <c r="CA74" s="80"/>
      <c r="CB74" s="80"/>
      <c r="CC74" s="80"/>
      <c r="CD74" s="80"/>
      <c r="CE74" s="80"/>
      <c r="CF74" s="80"/>
      <c r="CI74" s="99"/>
      <c r="CJ74" s="99"/>
      <c r="CK74" s="99"/>
      <c r="CL74" s="99"/>
      <c r="CM74" s="99"/>
    </row>
    <row r="75" spans="1:91" x14ac:dyDescent="0.2">
      <c r="B75" s="100"/>
      <c r="C75" s="100"/>
      <c r="T75" s="184"/>
      <c r="U75" s="184"/>
      <c r="V75" s="99"/>
      <c r="Z75" s="67"/>
      <c r="AC75" s="184"/>
      <c r="AD75" s="99"/>
      <c r="AH75" s="67"/>
      <c r="AK75" s="184"/>
      <c r="AL75" s="99"/>
      <c r="AP75" s="67"/>
      <c r="CG75"/>
      <c r="CH75"/>
      <c r="CJ75" s="99"/>
      <c r="CK75" s="99"/>
      <c r="CL75" s="99"/>
      <c r="CM75" s="99"/>
    </row>
    <row r="76" spans="1:91" x14ac:dyDescent="0.2">
      <c r="B76" s="92"/>
      <c r="C76" s="92"/>
      <c r="T76" s="177"/>
      <c r="U76" s="177"/>
      <c r="V76" s="99"/>
      <c r="Z76" s="67"/>
      <c r="AC76" s="177"/>
      <c r="AD76" s="99"/>
      <c r="AH76" s="67"/>
      <c r="AK76" s="177"/>
      <c r="AL76" s="99"/>
      <c r="AP76" s="67"/>
      <c r="CG76"/>
      <c r="CH76"/>
      <c r="CJ76" s="99"/>
      <c r="CK76" s="99"/>
      <c r="CL76" s="99"/>
      <c r="CM76" s="99"/>
    </row>
    <row r="77" spans="1:91" x14ac:dyDescent="0.2">
      <c r="B77" s="92"/>
      <c r="C77" s="92"/>
      <c r="D77" s="92"/>
      <c r="E77" s="92"/>
      <c r="F77" s="92"/>
      <c r="V77" s="99"/>
      <c r="Z77" s="67"/>
      <c r="AD77" s="99"/>
      <c r="AH77" s="67"/>
      <c r="AL77" s="99"/>
      <c r="AP77" s="67"/>
      <c r="CG77"/>
      <c r="CH77"/>
      <c r="CJ77" s="99"/>
      <c r="CK77" s="99"/>
      <c r="CL77" s="99"/>
      <c r="CM77" s="99"/>
    </row>
    <row r="78" spans="1:91" x14ac:dyDescent="0.2">
      <c r="D78" s="92"/>
      <c r="E78" s="92"/>
      <c r="F78" s="92"/>
      <c r="V78" s="99"/>
      <c r="AD78" s="99"/>
      <c r="AL78" s="99"/>
      <c r="CG78"/>
      <c r="CH78"/>
      <c r="CJ78" s="99"/>
      <c r="CK78" s="99"/>
      <c r="CL78" s="99"/>
      <c r="CM78" s="99"/>
    </row>
    <row r="79" spans="1:91" x14ac:dyDescent="0.2">
      <c r="V79" s="99"/>
      <c r="AD79" s="99"/>
      <c r="AL79" s="99"/>
      <c r="CG79"/>
      <c r="CH79"/>
      <c r="CJ79" s="99"/>
      <c r="CK79" s="99"/>
      <c r="CL79" s="99"/>
      <c r="CM79" s="99"/>
    </row>
    <row r="80" spans="1:91" x14ac:dyDescent="0.2">
      <c r="V80" s="99"/>
      <c r="AD80" s="99"/>
      <c r="AL80" s="99"/>
      <c r="CG80"/>
      <c r="CH80"/>
      <c r="CJ80" s="99"/>
      <c r="CK80" s="99"/>
      <c r="CL80" s="99"/>
      <c r="CM80" s="99"/>
    </row>
    <row r="81" spans="2:93" x14ac:dyDescent="0.2">
      <c r="V81" s="99"/>
      <c r="AD81" s="99"/>
      <c r="AL81" s="99"/>
      <c r="CH81"/>
      <c r="CJ81" s="99"/>
      <c r="CK81" s="99"/>
      <c r="CL81" s="99"/>
      <c r="CM81" s="99"/>
    </row>
    <row r="82" spans="2:93" x14ac:dyDescent="0.2">
      <c r="V82" s="185"/>
      <c r="AD82" s="185"/>
      <c r="AL82" s="185"/>
      <c r="CJ82" s="99"/>
      <c r="CK82" s="99"/>
      <c r="CL82" s="99"/>
      <c r="CM82" s="99"/>
    </row>
    <row r="83" spans="2:93" x14ac:dyDescent="0.2">
      <c r="CJ83" s="99"/>
      <c r="CK83" s="99"/>
      <c r="CL83" s="99"/>
      <c r="CM83" s="99"/>
    </row>
    <row r="84" spans="2:93" x14ac:dyDescent="0.2">
      <c r="AV84" s="79" t="str">
        <f>_xlfn.CONCAT("1回目散布から",F22,"日")</f>
        <v>1回目散布から21日</v>
      </c>
      <c r="AZ84" s="79" t="str">
        <f>_xlfn.CONCAT("1回目散布の止水期間終了から",F22,"日")</f>
        <v>1回目散布の止水期間終了から21日</v>
      </c>
      <c r="BD84" s="79" t="str">
        <f>_xlfn.CONCAT("2回目散布から",F22,"日")</f>
        <v>2回目散布から21日</v>
      </c>
      <c r="BH84" s="79" t="str">
        <f>_xlfn.CONCAT("2回目散布の止水期間終了から",F22,"日")</f>
        <v>2回目散布の止水期間終了から21日</v>
      </c>
      <c r="BL84" s="79" t="str">
        <f>_xlfn.CONCAT("3回目散布から",F22,"日")</f>
        <v>3回目散布から21日</v>
      </c>
      <c r="BP84" s="79" t="str">
        <f>_xlfn.CONCAT("3回目散布の止水期間終了から",F22,"日")</f>
        <v>3回目散布の止水期間終了から21日</v>
      </c>
      <c r="CJ84" s="99"/>
      <c r="CK84" s="99"/>
      <c r="CL84" s="99"/>
      <c r="CM84" s="99"/>
    </row>
    <row r="85" spans="2:93" x14ac:dyDescent="0.2">
      <c r="AT85" s="186"/>
      <c r="AV85" s="44" t="s">
        <v>241</v>
      </c>
      <c r="AW85" s="87" t="s">
        <v>242</v>
      </c>
      <c r="AX85" s="187">
        <f>IF(ISNUMBER($F$22),VLOOKUP($F$22-1,$U$100:$AX$250,28),"-")</f>
        <v>0</v>
      </c>
      <c r="AZ85" s="44" t="s">
        <v>241</v>
      </c>
      <c r="BA85" s="87" t="s">
        <v>242</v>
      </c>
      <c r="BB85" s="187" t="str">
        <f>IFERROR(VLOOKUP($F$22+$F$21-1,$U$100:$BB$250,32),"-")</f>
        <v>-</v>
      </c>
      <c r="BD85" s="44" t="s">
        <v>241</v>
      </c>
      <c r="BE85" s="87" t="s">
        <v>242</v>
      </c>
      <c r="BF85" s="187" t="str">
        <f ca="1">IF(ISNUMBER($F$22),VLOOKUP($F$22-1+$F$16,$U$100:$BF$250,36),"-")</f>
        <v/>
      </c>
      <c r="BH85" s="44" t="s">
        <v>241</v>
      </c>
      <c r="BI85" s="87" t="s">
        <v>242</v>
      </c>
      <c r="BJ85" s="187" t="str">
        <f>IFERROR(VLOOKUP($F$22+$F$21-1+$F$16,$U$100:$BJ$250,40),"-")</f>
        <v>-</v>
      </c>
      <c r="BL85" s="44" t="s">
        <v>241</v>
      </c>
      <c r="BM85" s="87" t="s">
        <v>242</v>
      </c>
      <c r="BN85" s="187" t="str">
        <f ca="1">IF(ISNUMBER($F$22),VLOOKUP($F$22-1+$F$17,$U$100:$BN$250,44),"-")</f>
        <v/>
      </c>
      <c r="BP85" s="44" t="s">
        <v>241</v>
      </c>
      <c r="BQ85" s="87" t="s">
        <v>242</v>
      </c>
      <c r="BR85" s="187" t="str">
        <f>IFERROR(VLOOKUP($F$22+$F$21-1+$F$17,$U$100:$BR$250,48),"-")</f>
        <v>-</v>
      </c>
      <c r="CJ85" s="99"/>
      <c r="CK85" s="99"/>
      <c r="CL85" s="99"/>
      <c r="CM85" s="99"/>
    </row>
    <row r="86" spans="2:93" x14ac:dyDescent="0.2">
      <c r="AV86" s="44" t="s">
        <v>243</v>
      </c>
      <c r="AW86" s="188" t="s">
        <v>244</v>
      </c>
      <c r="AX86" s="187" t="str">
        <f xml:space="preserve"> IF(ISNUMBER($F$22),VLOOKUP($F$22-1,$U$100:$AX$250,29),"-")</f>
        <v>-</v>
      </c>
      <c r="AZ86" s="44" t="s">
        <v>243</v>
      </c>
      <c r="BA86" s="188" t="s">
        <v>244</v>
      </c>
      <c r="BB86" s="187" t="str">
        <f>IFERROR(VLOOKUP($F$22+$F$21-1,$U$100:$BB$250,33),"-")</f>
        <v>-</v>
      </c>
      <c r="BD86" s="44" t="s">
        <v>243</v>
      </c>
      <c r="BE86" s="188" t="s">
        <v>244</v>
      </c>
      <c r="BF86" s="187" t="str">
        <f ca="1">IF(ISNUMBER($F$22),VLOOKUP($F$22-1+$F$16,$U$100:$BF$250,37),"-")</f>
        <v/>
      </c>
      <c r="BH86" s="44" t="s">
        <v>243</v>
      </c>
      <c r="BI86" s="188" t="s">
        <v>244</v>
      </c>
      <c r="BJ86" s="187" t="str">
        <f>IFERROR(VLOOKUP($F$22+$F$21-1+$F$16,$U$100:$BJ$250,41),"-")</f>
        <v>-</v>
      </c>
      <c r="BL86" s="44" t="s">
        <v>243</v>
      </c>
      <c r="BM86" s="188" t="s">
        <v>244</v>
      </c>
      <c r="BN86" s="187" t="str">
        <f ca="1">IF(ISNUMBER($F$22),VLOOKUP($F$22-1+$F$17,$U$100:$BN$250,45),"-")</f>
        <v/>
      </c>
      <c r="BP86" s="44" t="s">
        <v>243</v>
      </c>
      <c r="BQ86" s="188" t="s">
        <v>244</v>
      </c>
      <c r="BR86" s="187" t="str">
        <f>IFERROR(VLOOKUP($F$22+$F$21-1+$F$17,$U$100:$BR$250,49),"-")</f>
        <v>-</v>
      </c>
      <c r="CJ86" s="99"/>
      <c r="CK86" s="99"/>
      <c r="CL86" s="99"/>
      <c r="CM86" s="99"/>
    </row>
    <row r="87" spans="2:93" x14ac:dyDescent="0.2">
      <c r="AV87" s="27" t="s">
        <v>152</v>
      </c>
      <c r="AW87" s="27"/>
      <c r="AX87" s="189" t="str">
        <f>IF(ISNUMBER($F$22),VLOOKUP($F$22-1,$U$100:$AX$250,30),"-")</f>
        <v/>
      </c>
      <c r="AZ87" s="27" t="s">
        <v>152</v>
      </c>
      <c r="BA87" s="27"/>
      <c r="BB87" s="189" t="str">
        <f>IFERROR(VLOOKUP($F$22+$F$21-1,$U$100:$BB$250,34),"-")</f>
        <v>-</v>
      </c>
      <c r="BD87" s="27" t="s">
        <v>152</v>
      </c>
      <c r="BE87" s="27"/>
      <c r="BF87" s="189" t="str">
        <f ca="1">IF(ISNUMBER($F$22),VLOOKUP($F$22-1+$F$16,$U$100:$BF$250,38),"-")</f>
        <v/>
      </c>
      <c r="BH87" s="27" t="s">
        <v>152</v>
      </c>
      <c r="BI87" s="27"/>
      <c r="BJ87" s="189" t="str">
        <f>IFERROR(VLOOKUP($F$22+$F$21-1+$F$16,$U$100:$BJ$250,42),"-")</f>
        <v>-</v>
      </c>
      <c r="BL87" s="27" t="s">
        <v>152</v>
      </c>
      <c r="BM87" s="27"/>
      <c r="BN87" s="189" t="str">
        <f ca="1">IF(ISNUMBER($F$22),VLOOKUP($F$22-1+$F$17,$U$100:$BN$250,46),"-")</f>
        <v/>
      </c>
      <c r="BP87" s="27" t="s">
        <v>152</v>
      </c>
      <c r="BQ87" s="27"/>
      <c r="BR87" s="189" t="str">
        <f>IFERROR(VLOOKUP($F$22+$F$21-1+$F$17,$U$100:$BR$250,50),"-")</f>
        <v>-</v>
      </c>
      <c r="CJ87" s="99"/>
      <c r="CK87" s="99"/>
      <c r="CL87" s="99"/>
      <c r="CM87" s="99"/>
    </row>
    <row r="88" spans="2:93" x14ac:dyDescent="0.2">
      <c r="AV88" s="27" t="s">
        <v>245</v>
      </c>
      <c r="AW88" s="27"/>
      <c r="AX88" s="23" t="str">
        <f>IF(ISNUMBER(AX87),IF(ISBLANK(ffp),"-",IF(k=0,"分解を考慮せず",AX87*EXP(-0.17*k))),"-")</f>
        <v>-</v>
      </c>
      <c r="AZ88" s="27" t="s">
        <v>245</v>
      </c>
      <c r="BA88" s="27"/>
      <c r="BB88" s="23" t="str">
        <f>IFERROR(IF(ISBLANK(ffp),"-",IF(k=0,"分解を考慮せず",BB87*EXP(-0.17*k))),"-")</f>
        <v>分解を考慮せず</v>
      </c>
      <c r="BD88" s="27" t="s">
        <v>245</v>
      </c>
      <c r="BE88" s="27"/>
      <c r="BF88" s="23" t="str">
        <f ca="1">IF(ISNUMBER(BF87),IF(ISBLANK(ffp),"-",IF(k=0,"分解を考慮せず",BF87*EXP(-0.17*k))),"-")</f>
        <v>-</v>
      </c>
      <c r="BH88" s="27" t="s">
        <v>245</v>
      </c>
      <c r="BI88" s="27"/>
      <c r="BJ88" s="23" t="str">
        <f>IF(ISNUMBER(BJ87),IF(ISBLANK(ffp),"-",IF(k=0,"分解を考慮せず",BJ87*EXP(-0.17*k))),"-")</f>
        <v>-</v>
      </c>
      <c r="BL88" s="27" t="s">
        <v>245</v>
      </c>
      <c r="BM88" s="27"/>
      <c r="BN88" s="23" t="str">
        <f ca="1">IF(ISNUMBER(BN87),IF(ISBLANK(ffp),"-",IF(k=0,"分解を考慮せず",BN87*EXP(-0.17*k))),"-")</f>
        <v>-</v>
      </c>
      <c r="BP88" s="27" t="s">
        <v>245</v>
      </c>
      <c r="BQ88" s="27"/>
      <c r="BR88" s="23" t="str">
        <f>IF(ISNUMBER(BR87),IF(ISBLANK(ffp),"-",IF(k=0,"分解を考慮せず",BR87*EXP(-0.17*k))),"-")</f>
        <v>-</v>
      </c>
      <c r="CJ88" s="99"/>
      <c r="CK88" s="99"/>
      <c r="CL88" s="99"/>
      <c r="CM88" s="99"/>
    </row>
    <row r="89" spans="2:93" x14ac:dyDescent="0.2">
      <c r="AV89" s="79"/>
      <c r="AW89" s="99"/>
      <c r="AX89" s="143"/>
      <c r="AZ89" s="79"/>
      <c r="BB89" s="143"/>
      <c r="BD89" s="79"/>
      <c r="BE89" s="99"/>
      <c r="BH89" s="79"/>
      <c r="BJ89" s="143"/>
      <c r="BL89" s="79"/>
      <c r="BM89" s="99"/>
      <c r="BP89" s="79"/>
      <c r="BR89" s="143"/>
      <c r="BT89" s="99"/>
      <c r="BU89" s="99"/>
      <c r="BV89" s="80"/>
      <c r="BW89" s="80"/>
      <c r="BX89" s="80"/>
      <c r="CD89" s="99"/>
      <c r="CE89" s="99"/>
      <c r="CF89" s="99"/>
      <c r="CJ89" s="99"/>
    </row>
    <row r="90" spans="2:93" x14ac:dyDescent="0.2">
      <c r="AV90" s="99"/>
      <c r="AW90" s="99"/>
      <c r="AX90" s="143"/>
      <c r="BB90" s="143"/>
      <c r="BD90" s="99"/>
      <c r="BE90" s="99"/>
      <c r="BJ90" s="143"/>
      <c r="BL90" s="99"/>
      <c r="BM90" s="99"/>
      <c r="BR90" s="143"/>
      <c r="BT90" s="99"/>
      <c r="BU90" s="99"/>
      <c r="BV90" s="80"/>
      <c r="BW90" s="80"/>
      <c r="BX90" s="80"/>
      <c r="CD90" s="99"/>
      <c r="CE90" s="99"/>
      <c r="CF90" s="99"/>
      <c r="CJ90" s="99"/>
    </row>
    <row r="91" spans="2:93" x14ac:dyDescent="0.2">
      <c r="AV91" s="21"/>
      <c r="AX91" s="190"/>
      <c r="AY91"/>
      <c r="AZ91" s="21"/>
      <c r="BB91" s="190"/>
      <c r="BD91" s="21"/>
      <c r="BF91" s="190"/>
      <c r="BG91"/>
      <c r="BH91" s="21"/>
      <c r="BJ91" s="190"/>
      <c r="BL91" s="21"/>
      <c r="BN91" s="190"/>
      <c r="BO91"/>
      <c r="BP91" s="21"/>
      <c r="BR91" s="190"/>
      <c r="BT91" s="99"/>
      <c r="BU91" s="99"/>
      <c r="BV91" s="80"/>
      <c r="BW91" s="80"/>
      <c r="BX91" s="80"/>
      <c r="CD91" s="99"/>
      <c r="CE91" s="99"/>
      <c r="CF91" s="99"/>
      <c r="CJ91" s="99"/>
    </row>
    <row r="92" spans="2:93" x14ac:dyDescent="0.2">
      <c r="AV92" s="21"/>
      <c r="AX92" s="191"/>
      <c r="AY92"/>
      <c r="AZ92" s="21"/>
      <c r="BB92" s="191"/>
      <c r="BD92" s="21"/>
      <c r="BF92" s="191"/>
      <c r="BG92"/>
      <c r="BH92" s="21"/>
      <c r="BJ92" s="191"/>
      <c r="BL92" s="21"/>
      <c r="BN92" s="191"/>
      <c r="BO92"/>
      <c r="BP92" s="21"/>
      <c r="BR92" s="191"/>
      <c r="BT92" s="99"/>
      <c r="BU92" s="99"/>
      <c r="BV92" s="80"/>
      <c r="BW92" s="80"/>
      <c r="BX92" s="80"/>
      <c r="CD92" s="99"/>
      <c r="CE92" s="99"/>
      <c r="CF92" s="99"/>
      <c r="CJ92" s="99"/>
    </row>
    <row r="93" spans="2:93" ht="13.5" thickBot="1" x14ac:dyDescent="0.25">
      <c r="B93" s="605"/>
      <c r="C93" s="605"/>
      <c r="D93" s="192"/>
      <c r="E93" s="99"/>
      <c r="F93" s="99"/>
      <c r="G93" s="99"/>
      <c r="H93" s="99"/>
      <c r="I93" s="99"/>
      <c r="J93" s="99"/>
      <c r="K93" s="99"/>
      <c r="L93" s="99"/>
      <c r="M93" s="99"/>
      <c r="N93" s="99"/>
      <c r="O93" s="99"/>
      <c r="P93" s="99"/>
      <c r="Q93" s="99"/>
      <c r="R93" s="99"/>
      <c r="S93" s="99"/>
      <c r="T93" s="99"/>
      <c r="AV93" s="21"/>
      <c r="AX93" s="190"/>
      <c r="AY93"/>
      <c r="AZ93" s="193"/>
      <c r="BB93" s="190"/>
      <c r="BC93" s="190"/>
      <c r="BD93" s="21"/>
      <c r="BF93" s="190"/>
      <c r="BG93"/>
      <c r="BH93" s="193"/>
      <c r="BJ93" s="190"/>
      <c r="BK93" s="190"/>
      <c r="BL93" s="21"/>
      <c r="BN93" s="190"/>
      <c r="BO93"/>
      <c r="BP93" s="193"/>
      <c r="BR93" s="190"/>
      <c r="BS93" s="190"/>
      <c r="BT93"/>
      <c r="BU93"/>
      <c r="BV93" s="80"/>
      <c r="BW93" s="80" t="s">
        <v>246</v>
      </c>
      <c r="BX93" s="80"/>
      <c r="CD93" s="99"/>
      <c r="CE93" s="99"/>
      <c r="CF93" s="99"/>
      <c r="CJ93" s="99"/>
    </row>
    <row r="94" spans="2:93" ht="27" customHeight="1" thickTop="1" x14ac:dyDescent="0.2">
      <c r="B94" s="599"/>
      <c r="C94" s="600"/>
      <c r="D94" s="601"/>
      <c r="E94" s="599" t="s">
        <v>247</v>
      </c>
      <c r="F94" s="600"/>
      <c r="G94" s="600"/>
      <c r="H94" s="599" t="s">
        <v>248</v>
      </c>
      <c r="I94" s="600"/>
      <c r="J94" s="600"/>
      <c r="K94" s="599" t="s">
        <v>249</v>
      </c>
      <c r="L94" s="600"/>
      <c r="M94" s="600"/>
      <c r="N94" s="599" t="s">
        <v>250</v>
      </c>
      <c r="O94" s="600"/>
      <c r="P94" s="600"/>
      <c r="Q94" s="599" t="s">
        <v>251</v>
      </c>
      <c r="R94" s="600"/>
      <c r="S94" s="600"/>
      <c r="T94" s="602" t="s">
        <v>252</v>
      </c>
      <c r="U94" s="194"/>
      <c r="V94" s="194"/>
      <c r="W94" s="194"/>
      <c r="X94" s="194"/>
      <c r="Y94" s="194"/>
      <c r="Z94" s="194"/>
      <c r="AA94" s="194"/>
      <c r="AB94" s="194"/>
      <c r="AC94" s="194"/>
      <c r="AD94" s="194"/>
      <c r="AE94" s="194"/>
      <c r="AF94" s="194"/>
      <c r="AG94" s="194"/>
      <c r="AH94" s="194"/>
      <c r="AI94" s="194"/>
      <c r="AJ94" s="194"/>
      <c r="AK94" s="194"/>
      <c r="AL94" s="194"/>
      <c r="AM94" s="194"/>
      <c r="AN94" s="194"/>
      <c r="AO94" s="194"/>
      <c r="AP94" s="194"/>
      <c r="AQ94" s="194"/>
      <c r="AR94" s="194"/>
      <c r="AS94" s="194"/>
      <c r="AT94" s="194"/>
      <c r="AU94" s="194"/>
      <c r="AV94" s="145"/>
      <c r="AX94" s="195"/>
      <c r="AY94"/>
      <c r="AZ94" s="196"/>
      <c r="BB94" s="195"/>
      <c r="BC94" s="190"/>
      <c r="BD94" s="145"/>
      <c r="BF94" s="195"/>
      <c r="BG94"/>
      <c r="BH94" s="196"/>
      <c r="BJ94" s="195"/>
      <c r="BK94" s="190"/>
      <c r="BL94" s="145"/>
      <c r="BN94" s="195"/>
      <c r="BO94"/>
      <c r="BP94" s="196"/>
      <c r="BR94" s="195"/>
      <c r="BS94" s="190"/>
      <c r="BT94"/>
      <c r="BU94" s="581" t="s">
        <v>253</v>
      </c>
      <c r="BV94" s="582"/>
      <c r="BW94" s="582"/>
      <c r="BX94" s="582"/>
      <c r="BY94" s="583"/>
      <c r="BZ94"/>
      <c r="CA94" s="199">
        <v>21</v>
      </c>
      <c r="CB94" s="200"/>
      <c r="CC94" s="201"/>
      <c r="CD94" s="197"/>
      <c r="CE94" s="199">
        <f>F22</f>
        <v>21</v>
      </c>
      <c r="CF94" s="200"/>
      <c r="CG94" s="201"/>
      <c r="CH94" s="197"/>
      <c r="CI94" s="202"/>
      <c r="CJ94" s="99"/>
      <c r="CK94" s="99"/>
      <c r="CL94" s="99"/>
      <c r="CM94" s="99"/>
      <c r="CN94" s="99"/>
      <c r="CO94" s="99"/>
    </row>
    <row r="95" spans="2:93" ht="13.5" customHeight="1" x14ac:dyDescent="0.2">
      <c r="B95" s="584" t="s">
        <v>254</v>
      </c>
      <c r="C95" s="587" t="s">
        <v>255</v>
      </c>
      <c r="D95" s="590" t="s">
        <v>256</v>
      </c>
      <c r="E95" s="593" t="s">
        <v>257</v>
      </c>
      <c r="F95" s="596" t="s">
        <v>258</v>
      </c>
      <c r="G95" s="596" t="s">
        <v>259</v>
      </c>
      <c r="H95" s="593" t="s">
        <v>257</v>
      </c>
      <c r="I95" s="596" t="s">
        <v>258</v>
      </c>
      <c r="J95" s="596" t="s">
        <v>259</v>
      </c>
      <c r="K95" s="593" t="s">
        <v>257</v>
      </c>
      <c r="L95" s="596" t="s">
        <v>258</v>
      </c>
      <c r="M95" s="596" t="s">
        <v>259</v>
      </c>
      <c r="N95" s="593" t="s">
        <v>257</v>
      </c>
      <c r="O95" s="596" t="s">
        <v>258</v>
      </c>
      <c r="P95" s="596" t="s">
        <v>259</v>
      </c>
      <c r="Q95" s="593" t="s">
        <v>257</v>
      </c>
      <c r="R95" s="596" t="s">
        <v>258</v>
      </c>
      <c r="S95" s="596" t="s">
        <v>259</v>
      </c>
      <c r="T95" s="603"/>
      <c r="U95" s="194"/>
      <c r="V95" s="194"/>
      <c r="W95" s="194"/>
      <c r="X95" s="194"/>
      <c r="Y95" s="194"/>
      <c r="Z95" s="194"/>
      <c r="AA95" s="194"/>
      <c r="AB95" s="194"/>
      <c r="AC95" s="194"/>
      <c r="AD95" s="194"/>
      <c r="AE95" s="194"/>
      <c r="AF95" s="194"/>
      <c r="AG95" s="194"/>
      <c r="AH95" s="194"/>
      <c r="AI95" s="194"/>
      <c r="AJ95" s="194"/>
      <c r="AK95" s="194"/>
      <c r="AL95" s="194"/>
      <c r="AM95" s="194"/>
      <c r="AN95" s="194"/>
      <c r="AO95" s="194"/>
      <c r="AP95" s="194"/>
      <c r="AQ95" s="194"/>
      <c r="AR95" s="194"/>
      <c r="AS95" s="194"/>
      <c r="AT95" s="194"/>
      <c r="AU95" s="194"/>
      <c r="AV95" s="99"/>
      <c r="AW95" s="99"/>
      <c r="AX95" s="143"/>
      <c r="AZ95" s="143"/>
      <c r="BB95" s="143"/>
      <c r="BC95" s="190"/>
      <c r="BD95" s="99"/>
      <c r="BE95" s="99"/>
      <c r="BH95" s="143"/>
      <c r="BJ95" s="143"/>
      <c r="BK95" s="190"/>
      <c r="BL95" s="99"/>
      <c r="BM95" s="99"/>
      <c r="BP95" s="143"/>
      <c r="BR95" s="143"/>
      <c r="BS95" s="190"/>
      <c r="BT95"/>
      <c r="BU95" s="204" t="s">
        <v>260</v>
      </c>
      <c r="BV95" s="203" t="s">
        <v>261</v>
      </c>
      <c r="BW95" s="31" t="s">
        <v>262</v>
      </c>
      <c r="BX95" s="31" t="s">
        <v>263</v>
      </c>
      <c r="BY95" s="205" t="s">
        <v>264</v>
      </c>
      <c r="BZ95"/>
      <c r="CA95" s="206" t="s">
        <v>265</v>
      </c>
      <c r="CB95" s="71" t="s">
        <v>266</v>
      </c>
      <c r="CC95" s="71"/>
      <c r="CD95" s="207"/>
      <c r="CE95" s="206" t="s">
        <v>265</v>
      </c>
      <c r="CF95" s="71" t="s">
        <v>266</v>
      </c>
      <c r="CG95" s="71"/>
      <c r="CH95" s="207"/>
      <c r="CI95" s="202"/>
      <c r="CJ95" s="99"/>
      <c r="CK95" s="99"/>
      <c r="CL95" s="99"/>
      <c r="CM95" s="99"/>
      <c r="CN95" s="99"/>
      <c r="CO95" s="99"/>
    </row>
    <row r="96" spans="2:93" ht="13.5" customHeight="1" x14ac:dyDescent="0.2">
      <c r="B96" s="585"/>
      <c r="C96" s="588"/>
      <c r="D96" s="591"/>
      <c r="E96" s="594"/>
      <c r="F96" s="597"/>
      <c r="G96" s="597"/>
      <c r="H96" s="594"/>
      <c r="I96" s="597"/>
      <c r="J96" s="597"/>
      <c r="K96" s="594"/>
      <c r="L96" s="597"/>
      <c r="M96" s="597"/>
      <c r="N96" s="594"/>
      <c r="O96" s="597"/>
      <c r="P96" s="597"/>
      <c r="Q96" s="594"/>
      <c r="R96" s="597"/>
      <c r="S96" s="597"/>
      <c r="T96" s="603"/>
      <c r="U96" s="194"/>
      <c r="V96" s="194"/>
      <c r="W96" s="194"/>
      <c r="X96" s="194"/>
      <c r="Y96" s="194"/>
      <c r="Z96" s="194"/>
      <c r="AA96" s="194"/>
      <c r="AB96" s="194"/>
      <c r="AC96" s="194"/>
      <c r="AD96" s="194"/>
      <c r="AE96" s="194"/>
      <c r="AF96" s="194"/>
      <c r="AG96" s="194"/>
      <c r="AH96" s="194"/>
      <c r="AI96" s="194"/>
      <c r="AJ96" s="194"/>
      <c r="AK96" s="194"/>
      <c r="AL96" s="194"/>
      <c r="AM96" s="194"/>
      <c r="AN96" s="194"/>
      <c r="AO96" s="194"/>
      <c r="AP96" s="194"/>
      <c r="AQ96" s="194"/>
      <c r="AR96" s="194"/>
      <c r="AS96" s="194"/>
      <c r="AT96" s="194"/>
      <c r="AU96" s="194"/>
      <c r="AV96" s="99"/>
      <c r="AW96" s="99"/>
      <c r="AX96" s="143"/>
      <c r="AZ96" s="143"/>
      <c r="BB96" s="143"/>
      <c r="BC96" s="191"/>
      <c r="BD96" s="99"/>
      <c r="BE96" s="99"/>
      <c r="BH96" s="143"/>
      <c r="BJ96" s="143"/>
      <c r="BK96" s="191"/>
      <c r="BL96" s="99"/>
      <c r="BM96" s="99"/>
      <c r="BP96" s="143"/>
      <c r="BR96" s="143"/>
      <c r="BS96" s="191"/>
      <c r="BT96"/>
      <c r="BU96" s="210"/>
      <c r="BV96" s="208"/>
      <c r="BW96" s="24"/>
      <c r="BX96" s="24"/>
      <c r="BY96" s="209"/>
      <c r="BZ96"/>
      <c r="CA96" s="206" t="str">
        <f>IF(CB96&gt;0,VLOOKUP(CB96,CB100:CC250,2,FALSE),"-")</f>
        <v>-</v>
      </c>
      <c r="CB96" s="71">
        <f>MAX(CB100:CB250)</f>
        <v>0</v>
      </c>
      <c r="CC96" s="71"/>
      <c r="CD96" s="207"/>
      <c r="CE96" s="206" t="str">
        <f ca="1">IF(CF96&gt;0,VLOOKUP(CF96,CF100:CG250,2,FALSE),"-")</f>
        <v>-</v>
      </c>
      <c r="CF96" s="71">
        <f ca="1">MAX(CF100:CF250)</f>
        <v>0</v>
      </c>
      <c r="CG96" s="71"/>
      <c r="CH96" s="207"/>
      <c r="CI96" s="202"/>
      <c r="CJ96" s="99"/>
      <c r="CK96" s="99"/>
      <c r="CL96" s="99"/>
      <c r="CM96" s="99"/>
      <c r="CN96" s="99"/>
      <c r="CO96" s="99"/>
    </row>
    <row r="97" spans="2:93" ht="13.5" customHeight="1" x14ac:dyDescent="0.2">
      <c r="B97" s="585"/>
      <c r="C97" s="588"/>
      <c r="D97" s="591"/>
      <c r="E97" s="594"/>
      <c r="F97" s="597"/>
      <c r="G97" s="597"/>
      <c r="H97" s="594"/>
      <c r="I97" s="597"/>
      <c r="J97" s="597"/>
      <c r="K97" s="594"/>
      <c r="L97" s="597"/>
      <c r="M97" s="597"/>
      <c r="N97" s="594"/>
      <c r="O97" s="597"/>
      <c r="P97" s="597"/>
      <c r="Q97" s="594"/>
      <c r="R97" s="597"/>
      <c r="S97" s="597"/>
      <c r="T97" s="603"/>
      <c r="U97" s="194"/>
      <c r="V97" s="194"/>
      <c r="W97" s="194"/>
      <c r="X97" s="194"/>
      <c r="Y97" s="194"/>
      <c r="Z97" s="194"/>
      <c r="AA97" s="194" t="s">
        <v>267</v>
      </c>
      <c r="AB97" s="194" t="s">
        <v>268</v>
      </c>
      <c r="AC97" s="194"/>
      <c r="AD97" s="194"/>
      <c r="AE97" s="194"/>
      <c r="AF97" s="194"/>
      <c r="AG97" s="194"/>
      <c r="AH97" s="194"/>
      <c r="AI97" s="194" t="s">
        <v>267</v>
      </c>
      <c r="AJ97" s="194" t="s">
        <v>268</v>
      </c>
      <c r="AK97" s="194"/>
      <c r="AL97" s="194"/>
      <c r="AM97" s="194"/>
      <c r="AN97" s="194"/>
      <c r="AO97" s="194"/>
      <c r="AP97" s="194"/>
      <c r="AQ97" s="194" t="s">
        <v>267</v>
      </c>
      <c r="AR97" s="194" t="s">
        <v>268</v>
      </c>
      <c r="AS97" s="194"/>
      <c r="AT97" s="194"/>
      <c r="AU97" s="194"/>
      <c r="AV97" s="605" t="s">
        <v>269</v>
      </c>
      <c r="AW97" s="605" t="s">
        <v>270</v>
      </c>
      <c r="AX97" s="605" t="s">
        <v>271</v>
      </c>
      <c r="AY97"/>
      <c r="AZ97" s="605" t="s">
        <v>272</v>
      </c>
      <c r="BA97" s="605" t="s">
        <v>273</v>
      </c>
      <c r="BB97" s="605" t="s">
        <v>274</v>
      </c>
      <c r="BC97" s="190"/>
      <c r="BD97" s="605" t="s">
        <v>269</v>
      </c>
      <c r="BE97" s="605" t="s">
        <v>270</v>
      </c>
      <c r="BF97" s="605" t="s">
        <v>271</v>
      </c>
      <c r="BG97"/>
      <c r="BH97" s="605" t="s">
        <v>272</v>
      </c>
      <c r="BI97" s="605" t="s">
        <v>273</v>
      </c>
      <c r="BJ97" s="605" t="s">
        <v>274</v>
      </c>
      <c r="BK97" s="190"/>
      <c r="BL97" s="605" t="s">
        <v>269</v>
      </c>
      <c r="BM97" s="605" t="s">
        <v>270</v>
      </c>
      <c r="BN97" s="605" t="s">
        <v>271</v>
      </c>
      <c r="BO97"/>
      <c r="BP97" s="605" t="s">
        <v>272</v>
      </c>
      <c r="BQ97" s="605" t="s">
        <v>273</v>
      </c>
      <c r="BR97" s="605" t="s">
        <v>274</v>
      </c>
      <c r="BS97" s="190"/>
      <c r="BT97"/>
      <c r="BU97" s="210"/>
      <c r="BV97" s="208"/>
      <c r="BW97" s="24"/>
      <c r="BX97" s="24"/>
      <c r="BY97" s="209"/>
      <c r="BZ97"/>
      <c r="CA97" s="211" t="str">
        <f>CA96</f>
        <v>-</v>
      </c>
      <c r="CB97" s="212">
        <f>IF(ISNUMBER(CB96),ROUND(CB96,IF($I$66="",4,$I$66)),"-")</f>
        <v>0</v>
      </c>
      <c r="CC97" s="212"/>
      <c r="CD97" s="213"/>
      <c r="CE97" s="211" t="str">
        <f ca="1">CE96</f>
        <v>-</v>
      </c>
      <c r="CF97" s="212">
        <f ca="1">IF(ISNUMBER(CF96),ROUND(CF96,IF($I$66="",4,$I$66)),"-")</f>
        <v>0</v>
      </c>
      <c r="CG97" s="212"/>
      <c r="CH97" s="213"/>
      <c r="CI97" s="202"/>
      <c r="CJ97" s="99"/>
      <c r="CK97" s="99"/>
      <c r="CL97" s="99"/>
      <c r="CM97" s="99"/>
      <c r="CN97" s="99"/>
      <c r="CO97" s="99"/>
    </row>
    <row r="98" spans="2:93" ht="13.5" customHeight="1" x14ac:dyDescent="0.2">
      <c r="B98" s="585"/>
      <c r="C98" s="588"/>
      <c r="D98" s="591"/>
      <c r="E98" s="594"/>
      <c r="F98" s="597"/>
      <c r="G98" s="597"/>
      <c r="H98" s="594"/>
      <c r="I98" s="597"/>
      <c r="J98" s="597"/>
      <c r="K98" s="594"/>
      <c r="L98" s="597"/>
      <c r="M98" s="597"/>
      <c r="N98" s="594"/>
      <c r="O98" s="597"/>
      <c r="P98" s="597"/>
      <c r="Q98" s="594"/>
      <c r="R98" s="597"/>
      <c r="S98" s="597"/>
      <c r="T98" s="603"/>
      <c r="U98" s="214" t="s">
        <v>275</v>
      </c>
      <c r="V98" s="214" t="s">
        <v>276</v>
      </c>
      <c r="W98" s="214" t="s">
        <v>277</v>
      </c>
      <c r="X98" s="214" t="s">
        <v>278</v>
      </c>
      <c r="Y98" s="214" t="s">
        <v>279</v>
      </c>
      <c r="Z98" s="214" t="s">
        <v>280</v>
      </c>
      <c r="AA98" s="214" t="s">
        <v>281</v>
      </c>
      <c r="AB98" s="214" t="s">
        <v>281</v>
      </c>
      <c r="AC98" s="215" t="s">
        <v>275</v>
      </c>
      <c r="AD98" s="215" t="s">
        <v>276</v>
      </c>
      <c r="AE98" s="215" t="s">
        <v>277</v>
      </c>
      <c r="AF98" s="215" t="s">
        <v>278</v>
      </c>
      <c r="AG98" s="215" t="s">
        <v>279</v>
      </c>
      <c r="AH98" s="215" t="s">
        <v>280</v>
      </c>
      <c r="AI98" s="215" t="s">
        <v>281</v>
      </c>
      <c r="AJ98" s="215" t="s">
        <v>281</v>
      </c>
      <c r="AK98" s="216" t="s">
        <v>275</v>
      </c>
      <c r="AL98" s="216" t="s">
        <v>276</v>
      </c>
      <c r="AM98" s="216" t="s">
        <v>277</v>
      </c>
      <c r="AN98" s="216" t="s">
        <v>278</v>
      </c>
      <c r="AO98" s="216" t="s">
        <v>279</v>
      </c>
      <c r="AP98" s="216" t="s">
        <v>280</v>
      </c>
      <c r="AQ98" s="216" t="s">
        <v>281</v>
      </c>
      <c r="AR98" s="216" t="s">
        <v>281</v>
      </c>
      <c r="AS98" s="194" t="s">
        <v>282</v>
      </c>
      <c r="AT98" s="194" t="s">
        <v>283</v>
      </c>
      <c r="AU98" s="194" t="s">
        <v>284</v>
      </c>
      <c r="AV98" s="605"/>
      <c r="AW98" s="605"/>
      <c r="AX98" s="605"/>
      <c r="AY98"/>
      <c r="AZ98" s="605"/>
      <c r="BA98" s="605"/>
      <c r="BB98" s="605"/>
      <c r="BC98" s="190"/>
      <c r="BD98" s="605"/>
      <c r="BE98" s="605"/>
      <c r="BF98" s="605"/>
      <c r="BG98"/>
      <c r="BH98" s="605"/>
      <c r="BI98" s="605"/>
      <c r="BJ98" s="605"/>
      <c r="BK98" s="190"/>
      <c r="BL98" s="605"/>
      <c r="BM98" s="605"/>
      <c r="BN98" s="605"/>
      <c r="BO98"/>
      <c r="BP98" s="605"/>
      <c r="BQ98" s="605"/>
      <c r="BR98" s="605"/>
      <c r="BS98" s="190"/>
      <c r="BT98"/>
      <c r="BU98" s="210"/>
      <c r="BV98" s="208"/>
      <c r="BW98" s="24"/>
      <c r="BX98" s="24"/>
      <c r="BY98" s="209"/>
      <c r="BZ98"/>
      <c r="CA98" s="206"/>
      <c r="CB98" s="71"/>
      <c r="CC98" s="71"/>
      <c r="CD98" s="207"/>
      <c r="CE98" s="206"/>
      <c r="CF98" s="71"/>
      <c r="CG98" s="71"/>
      <c r="CH98" s="207"/>
      <c r="CI98" s="202"/>
      <c r="CJ98" s="99"/>
      <c r="CK98" s="99"/>
      <c r="CL98" s="99"/>
      <c r="CM98" s="99"/>
      <c r="CN98" s="99"/>
      <c r="CO98" s="99"/>
    </row>
    <row r="99" spans="2:93" ht="13.5" customHeight="1" thickBot="1" x14ac:dyDescent="0.25">
      <c r="B99" s="586"/>
      <c r="C99" s="589"/>
      <c r="D99" s="592"/>
      <c r="E99" s="595"/>
      <c r="F99" s="598"/>
      <c r="G99" s="598"/>
      <c r="H99" s="595"/>
      <c r="I99" s="598"/>
      <c r="J99" s="598"/>
      <c r="K99" s="595"/>
      <c r="L99" s="598"/>
      <c r="M99" s="598"/>
      <c r="N99" s="595"/>
      <c r="O99" s="598"/>
      <c r="P99" s="598"/>
      <c r="Q99" s="595"/>
      <c r="R99" s="598"/>
      <c r="S99" s="598"/>
      <c r="T99" s="604"/>
      <c r="U99" s="219"/>
      <c r="V99" s="220" t="str">
        <f>IF(ISNUMBER($F$14),IF(B99&lt;($F$16-$F$15)*$F$14,INT(B99/($F$16-$F$15))+1,V97),"-")</f>
        <v>-</v>
      </c>
      <c r="W99" s="221">
        <v>0</v>
      </c>
      <c r="X99" s="221">
        <v>0</v>
      </c>
      <c r="Y99" s="221">
        <f>W99-X99</f>
        <v>0</v>
      </c>
      <c r="Z99" s="219"/>
      <c r="AA99" s="219"/>
      <c r="AB99" s="219"/>
      <c r="AC99" s="222"/>
      <c r="AD99" s="223" t="str">
        <f>IFERROR(IF($F$14-1&gt;0,IF(B99&lt;($F$16-$F$15)*($F$14-1),INT(B99/($F$16-$F$15))+1,AD97),"-"),"-")</f>
        <v>-</v>
      </c>
      <c r="AE99" s="224">
        <v>0</v>
      </c>
      <c r="AF99" s="224">
        <v>0</v>
      </c>
      <c r="AG99" s="224">
        <f>AE99-AF99</f>
        <v>0</v>
      </c>
      <c r="AH99" s="222"/>
      <c r="AI99" s="222"/>
      <c r="AJ99" s="222"/>
      <c r="AK99" s="225"/>
      <c r="AL99" s="226" t="str">
        <f>IFERROR(IF($F$14-2&gt;0,IF(B99&lt;($F$16-$F$15)*($F$14-2),INT(B99/($F$16-$F$15))+1,AL97),"-"),"-")</f>
        <v>-</v>
      </c>
      <c r="AM99" s="227">
        <v>0</v>
      </c>
      <c r="AN99" s="227">
        <v>0</v>
      </c>
      <c r="AO99" s="227">
        <f>AM99-AN99</f>
        <v>0</v>
      </c>
      <c r="AP99" s="225"/>
      <c r="AQ99" s="225"/>
      <c r="AR99" s="225"/>
      <c r="AV99" s="228"/>
      <c r="AX99" s="190"/>
      <c r="AY99"/>
      <c r="AZ99" s="190"/>
      <c r="BA99" s="190"/>
      <c r="BB99" s="190"/>
      <c r="BC99" s="190"/>
      <c r="BD99" s="228"/>
      <c r="BE99"/>
      <c r="BF99" s="190"/>
      <c r="BG99"/>
      <c r="BH99" s="190"/>
      <c r="BI99" s="190"/>
      <c r="BJ99" s="190"/>
      <c r="BK99" s="190"/>
      <c r="BL99" s="228"/>
      <c r="BM99"/>
      <c r="BN99" s="190"/>
      <c r="BO99"/>
      <c r="BP99" s="190"/>
      <c r="BQ99" s="190"/>
      <c r="BR99" s="190"/>
      <c r="BS99" s="190"/>
      <c r="BT99"/>
      <c r="BU99" s="229"/>
      <c r="BV99" s="217"/>
      <c r="BW99" s="230"/>
      <c r="BX99" s="230"/>
      <c r="BY99" s="218"/>
      <c r="BZ99"/>
      <c r="CA99" s="231" t="s">
        <v>285</v>
      </c>
      <c r="CB99" s="232" t="s">
        <v>286</v>
      </c>
      <c r="CC99" s="233" t="s">
        <v>287</v>
      </c>
      <c r="CD99" s="234" t="s">
        <v>288</v>
      </c>
      <c r="CE99" s="231" t="s">
        <v>285</v>
      </c>
      <c r="CF99" s="232" t="s">
        <v>286</v>
      </c>
      <c r="CG99" s="233" t="s">
        <v>287</v>
      </c>
      <c r="CH99" s="234" t="s">
        <v>288</v>
      </c>
      <c r="CI99" s="202"/>
      <c r="CJ99" s="99"/>
      <c r="CK99" s="99"/>
      <c r="CL99" s="99"/>
      <c r="CM99" s="99"/>
      <c r="CN99" s="99"/>
      <c r="CO99" s="99"/>
    </row>
    <row r="100" spans="2:93" ht="13.5" customHeight="1" thickTop="1" x14ac:dyDescent="0.2">
      <c r="B100" s="235">
        <v>0</v>
      </c>
      <c r="C100" s="236" t="str">
        <f t="shared" ref="C100:C163" si="1">IF(ISERROR(VLOOKUP(B100,$B$39:$C$73,2,0)),"",VLOOKUP(B100,$B$39:$C$73,2,0))</f>
        <v/>
      </c>
      <c r="D100" s="237" t="str">
        <f>IF(ISNUMBER(C100),C100,"-")</f>
        <v>-</v>
      </c>
      <c r="E100" s="238" t="str">
        <f>IF(ISNUMBER($F$14),IF(ISNUMBER(AA100),AA100,""),"")</f>
        <v/>
      </c>
      <c r="F100" s="239" t="str">
        <f>IF(OR($F$14=2,$F$14=3),IF(($F$16-$F$15)&gt;B100," ",VLOOKUP((B100-($F$16-$F$15)),$AC$100:$AI$250,7,FALSE)),"")</f>
        <v/>
      </c>
      <c r="G100" s="239" t="str">
        <f>IF($F$14=3,IF(($F$16-$F$15)*2&gt;B100," ",VLOOKUP((B100-($F$16-$F$15)*2),$AK$100:$AQ$250,7,FALSE)),"")</f>
        <v/>
      </c>
      <c r="H100" s="240" t="str">
        <f>IF(E100&lt;&gt;"",IF($B100&lt;$F$21,"",IF(ISNUMBER(F100),IF(ISNUMBER(I100),(E100*30*50*ffp),""),(E100*30*50*ffp))),"")</f>
        <v/>
      </c>
      <c r="I100" s="241" t="str">
        <f t="shared" ref="I100:I131" si="2">IFERROR(IF(F100&lt;&gt;"",IF($B100&lt;$F$21+$F$16,"",IF(ISNUMBER(G100),IF(ISNUMBER(J100),(F100*30*50*ffp),""),(F100*30*50*ffp))),""),"")</f>
        <v/>
      </c>
      <c r="J100" s="241" t="str">
        <f t="shared" ref="J100:J131" si="3">IFERROR(IF(G100&lt;&gt;"",IF($B100&lt;$F$21+$F$17,"",(G100*30*50*ffp)),""),"")</f>
        <v/>
      </c>
      <c r="K100" s="242" t="str">
        <f t="shared" ref="K100:K131" si="4">IF(E100&lt;&gt;"",((E100*20*50*ffp)/Klevee),"")</f>
        <v/>
      </c>
      <c r="L100" s="241" t="str">
        <f t="shared" ref="L100:L131" si="5">IF(ISNUMBER(F100),((F100*20*50*ffp)/Klevee),"")</f>
        <v/>
      </c>
      <c r="M100" s="241" t="str">
        <f t="shared" ref="M100:M131" si="6">IF(ISNUMBER(G100),((G100*20*50*ffp)/Klevee),"")</f>
        <v/>
      </c>
      <c r="N100" s="242" t="str">
        <f t="shared" ref="N100:N131" si="7">IF(AND(ISNUMBER(I),ISNUMBER($F$14),ISNUMBER($F$20)),IF($B100=0,I*($J$40/100)*$J$42*1,""),"-")</f>
        <v>-</v>
      </c>
      <c r="O100" s="241" t="str">
        <f t="shared" ref="O100:O131" si="8">IF(ISNUMBER($F$14),IF($F$14&gt;1,IF($B100=0+$F$16,I*($J$40/100)*$J$42*1,""),""),"-")</f>
        <v>-</v>
      </c>
      <c r="P100" s="241" t="str">
        <f t="shared" ref="P100:P131" si="9">IF(ISNUMBER($F$14),IF($F$14&gt;2,IF($B100=0+$F$17,I*($J$40/100)*$J$42*1,""),""),"-")</f>
        <v>-</v>
      </c>
      <c r="Q100" s="243" t="str">
        <f t="shared" ref="Q100:Q131" si="10">IF(AND(ISNUMBER(I),ISNUMBER($F$14),ISNUMBER($F$20)),IF($B100=0,I*(dt/100)*$J$45*1,""),"-")</f>
        <v>-</v>
      </c>
      <c r="R100" s="244" t="str">
        <f t="shared" ref="R100:R131" si="11">IF(ISNUMBER($F$14),IF($F$14&gt;1,IF($B100=0+$F$16,I*(dt/100)*$J$45*1,""),""),"-")</f>
        <v>-</v>
      </c>
      <c r="S100" s="245" t="str">
        <f t="shared" ref="S100:S131" si="12">IF(ISNUMBER($F$14),IF($F$14&gt;2,IF($B100=0+$F$17,I*(dt/100)*$J$45*1,""),""),"-")</f>
        <v>-</v>
      </c>
      <c r="T100" s="246" t="str">
        <f t="shared" ref="T100:T163" si="13">IF(SUM(H100:S100)=0,"",SUM(H100:S100))</f>
        <v/>
      </c>
      <c r="U100" s="247">
        <f t="shared" ref="U100:U163" si="14">B100</f>
        <v>0</v>
      </c>
      <c r="V100" s="248" t="str">
        <f>IF(ISNUMBER($F$14),IF(B100&lt;($F$16-$F$15)*$F$14,INT(B100/($F$16-$F$15))+1,V98),"-")</f>
        <v>-</v>
      </c>
      <c r="W100" s="247" t="str">
        <f>IF(ISNUMBER($F$14),IF(B100&lt;$F$14*($F$16-$F$15),B100-INT(B100/($F$16-$F$15))*($F$16-$F$15)+1,W99+1),"-")</f>
        <v>-</v>
      </c>
      <c r="X100" s="247" t="str">
        <f t="shared" ref="X100:X163" si="15">IFERROR(IF($F$21=0,0,IF(V100=V99,IF(B100-(V100-1)*($F$16-$F$15)&lt;$F$21,X99+1,X99),1)),"-")</f>
        <v>-</v>
      </c>
      <c r="Y100" s="247" t="str">
        <f t="shared" ref="Y100:Y163" si="16">IFERROR(W100-X100,"-")</f>
        <v>-</v>
      </c>
      <c r="Z100" s="249">
        <f>IF(Y100&gt;0,0.1,0.04)</f>
        <v>0.1</v>
      </c>
      <c r="AA100" s="250" t="str">
        <f>IFERROR(IF(V99=1,D100*EXP(-(0.04*X99+0.1*Y99)),IF(V99=2,D100*EXP(-(0.04*($F$21+X99)+0.1*(($F$16-$F$15)-$F$21+Y99))),D100*EXP(-(0.04*($F$21*2+X99)+0.1*((($F$16-$F$15)-$F$21)*2-Y99))))),"-")</f>
        <v>-</v>
      </c>
      <c r="AB100" s="250" t="str">
        <f t="shared" ref="AB100:AB114" si="17">IFERROR(IF(V100=1,D100*EXP(-(0.04*X100+0.1*Y100)),IF(V100=2,D100*EXP(-(0.04*($F$21+X100)+0.1*(($F$16-$F$15)-$F$21+Y100))),D100*EXP(-(0.04*($F$21*2+X100)+0.1*((($F$16-$F$15)-$F$21)*2-Y100))))),"-")</f>
        <v>-</v>
      </c>
      <c r="AC100" s="247">
        <f>B100</f>
        <v>0</v>
      </c>
      <c r="AD100" s="248" t="str">
        <f t="shared" ref="AD100:AD163" si="18">IFERROR(IF($F$14-1&gt;0,IF(B100&lt;($F$16-$F$15)*($F$14-1),INT(B100/($F$16-$F$15))+1,AD98),"-"),"-")</f>
        <v>-</v>
      </c>
      <c r="AE100" s="247" t="str">
        <f>IFERROR(IF($F$14-1&gt;0,IF(B100&lt;($F$14-1)*($F$16-$F$15),B100-INT(B100/($F$16-$F$15))*($F$16-$F$15)+1,AE99+1),"-"),"-")</f>
        <v>-</v>
      </c>
      <c r="AF100" s="247" t="str">
        <f t="shared" ref="AF100:AF163" si="19">IFERROR(IF($F$21=0,0,IF(AD100=AD99,IF(B100-(AD100-1)*($F$16-$F$15)&lt;$F$21,AF99+1,AF99),1)),"-")</f>
        <v>-</v>
      </c>
      <c r="AG100" s="247" t="str">
        <f t="shared" ref="AG100:AG163" si="20">IFERROR(AE100-AF100,"-")</f>
        <v>-</v>
      </c>
      <c r="AH100" s="249">
        <f>IF(AG100&gt;0,0.1,0.04)</f>
        <v>0.1</v>
      </c>
      <c r="AI100" s="250" t="str">
        <f t="shared" ref="AI100:AI114" si="21">IFERROR(IF(AD99=1,D100*EXP(-(0.04*AF99+0.1*AG99)),IF(AD99=2,D100*EXP(-(0.04*($F$21+AF99)+0.1*(($F$16-$F$15)-$F$21+AG99))),D100*EXP(-(0.04*($F$21*2+AF99)+0.1*((($F$16-$F$15)-$F$21)*2-AG99))))),"-")</f>
        <v>-</v>
      </c>
      <c r="AJ100" s="250" t="str">
        <f>IFERROR(IF(AD100=1,D100*EXP(-(0.04*AF100+0.1*AG100)),IF(AD100=2,D100*EXP(-(0.04*($F$21+AF100)+0.1*(($F$16-$F$15)-$F$21+AG100))),D100*EXP(-(0.04*($F$21*2+AF100)+0.1*((($F$16-$F$15)-$F$21)*2-AG100))))),"-")</f>
        <v>-</v>
      </c>
      <c r="AK100" s="247">
        <f>B100</f>
        <v>0</v>
      </c>
      <c r="AL100" s="248" t="str">
        <f t="shared" ref="AL100:AL163" si="22">IFERROR(IF($F$14-2&gt;0,IF(B100&lt;($F$16-$F$15)*($F$14-2),INT(B100/($F$16-$F$15))+1,AL98),"-"),"-")</f>
        <v>-</v>
      </c>
      <c r="AM100" s="247" t="str">
        <f>IFERROR(IF($F$14-2&gt;0,IF(B100&lt;($F$14-2)*($F$16-$F$15),B100-INT(B100/($F$16-$F$15))*($F$16-$F$15)+1,AM99+1),"-"),"-")</f>
        <v>-</v>
      </c>
      <c r="AN100" s="247" t="str">
        <f>IFERROR(IF($F$21=0,0,IF(AL100=AL99,IF(B100-(AL100-1)*($F$16-$F$15)&lt;$F$21,AN99+1,AN99),1)),"-")</f>
        <v>-</v>
      </c>
      <c r="AO100" s="247" t="str">
        <f t="shared" ref="AO100:AO163" si="23">IFERROR(AM100-AN100,"-")</f>
        <v>-</v>
      </c>
      <c r="AP100" s="249">
        <f>IF(AO100&gt;0,0.1,0.04)</f>
        <v>0.1</v>
      </c>
      <c r="AQ100" s="250" t="str">
        <f>IFERROR(IF(AL99=1,D100*EXP(-(0.04*AN99+0.1*AO99)),IF(AL99=2,D100*EXP(-(0.04*($F$21+AN99)+0.1*(($F$16-$F$15)-$F$21+AO99))),D100*EXP(-(0.04*($F$21*2+AN99)+0.1*((($F$16-$F$15)-$F$21)*2-AO99))))),"-")</f>
        <v>-</v>
      </c>
      <c r="AR100" s="250" t="str">
        <f>IFERROR(IF(AL100=1,D100*EXP(-(0.04*AN100+0.1*AO100)),IF(AL100=2,D100*EXP(-(0.04*($F$21+AN100)+0.1*(($F$16-$F$15)-$F$21+AO100))),D100*EXP(-(0.04*($F$21*2+AN100)+0.1*((($F$16-$F$15)-$F$21)*2-AO100))))),"-")</f>
        <v>-</v>
      </c>
      <c r="AS100" s="250">
        <f t="shared" ref="AS100:AS163" si="24">SUM(H100:J100)</f>
        <v>0</v>
      </c>
      <c r="AT100" s="250">
        <f t="shared" ref="AT100:AT163" si="25">SUM(K100:M100)</f>
        <v>0</v>
      </c>
      <c r="AU100" s="250">
        <f t="shared" ref="AU100:AU163" si="26">SUM(N100:S100)</f>
        <v>0</v>
      </c>
      <c r="AV100" s="251">
        <f>IF($B100&lt;$F$22,SUM($T$100:$T100),"")</f>
        <v>0</v>
      </c>
      <c r="AW100" s="251" t="str">
        <f>IF(ISNUMBER(Koc),IF(ISNUMBER(AV100),AV100*(Koc*(Ocse/100)*Pse*Vse)/(Koc*(Ocse/100)*Pse*Vse+1*86400*($B100+1)),""),"-")</f>
        <v>-</v>
      </c>
      <c r="AX100" s="251" t="str">
        <f>IF(ISNUMBER(AW100),IF(ISNUMBER(AV100),(AV100-AW100)/(3*86400*($B100+1))*1000,""),"")</f>
        <v/>
      </c>
      <c r="AY100" s="252"/>
      <c r="AZ100" s="251" t="str">
        <f ca="1">IF(ISNUMBER(OFFSET(AV100,-$F$21,0)),SUM(OFFSET($T$100,$F$21,0):$T100),"")</f>
        <v/>
      </c>
      <c r="BA100" s="251" t="str">
        <f t="shared" ref="BA100:BA131" ca="1" si="27">IF(ISNUMBER(OFFSET(AV100,-$F$21,0)),AZ100*(Koc*(Ocse/100)*Pse*Vse)/(Koc*(Ocse/100)*Pse*Vse+1*86400*($B100+1)),"")</f>
        <v/>
      </c>
      <c r="BB100" s="251" t="str">
        <f ca="1">IF(ISNUMBER(AZ100),(AZ100-BA100)/(3*86400*(OFFSET($B100,-$F$21,0)+1))*1000,"")</f>
        <v/>
      </c>
      <c r="BC100" s="253"/>
      <c r="BD100" s="251" t="str">
        <f ca="1">IFERROR(IF(OR(ISNUMBER(I),ISNUMBER($F$14)),IF(AND($B100&gt;=($F$16-$F$15),$B100&lt;$F$22+($F$16-$F$15)),SUM(OFFSET($T$100,($F$16-$F$15),0):$T100),""),""),"")</f>
        <v/>
      </c>
      <c r="BE100" s="251" t="str">
        <f ca="1">IF(ISNUMBER(BD100),BD100*(Koc*(Ocse/100)*Pse*Vse)/(Koc*(Ocse/100)*Pse*Vse+1*86400*($B100+1)),"")</f>
        <v/>
      </c>
      <c r="BF100" s="251" t="str">
        <f ca="1">IF(ISNUMBER(BD100),(BD100-BE100)/(3*86400*($B100-($F$16-$F$15)+1))*1000,"")</f>
        <v/>
      </c>
      <c r="BG100" s="252"/>
      <c r="BH100" s="253" t="str">
        <f ca="1">IF(ISNUMBER(OFFSET(BD100,-$F$21,0)),SUM(OFFSET($T$100,($F$16-$F$15+$F$21),0):$T100),"")</f>
        <v/>
      </c>
      <c r="BI100" s="253" t="str">
        <f t="shared" ref="BI100:BI131" ca="1" si="28">IF(ISNUMBER(OFFSET(BD100,-$F$21,0)),BH100*(Koc*(Ocse/100)*Pse*Vse)/(Koc*(Ocse/100)*Pse*Vse+1*86400*($B100+1)),"")</f>
        <v/>
      </c>
      <c r="BJ100" s="253" t="str">
        <f ca="1">IF(ISNUMBER(BH100),(BH100-BI100)/(3*86400*((OFFSET($B100,-$F$21,0)-($F$16-$F$15)+1)))*1000,"")</f>
        <v/>
      </c>
      <c r="BK100" s="253"/>
      <c r="BL100" s="251" t="str">
        <f ca="1">IFERROR(IF(OR(ISNUMBER(I),ISNUMBER($F$14)),IF(AND($B100&gt;=($F$17-$F$15),$B100&lt;$F$22+($F$17-$F$15)),SUM(OFFSET($T$100,($F$17-$F$15),0):$T100),""),""),"")</f>
        <v/>
      </c>
      <c r="BM100" s="251" t="str">
        <f t="shared" ref="BM100:BM131" ca="1" si="29">IF(ISNUMBER(BL100),BL100*(Koc*(Ocse/100)*Pse*Vse)/(Koc*(Ocse/100)*Pse*Vse+1*86400*($B100+1)),"")</f>
        <v/>
      </c>
      <c r="BN100" s="251" t="str">
        <f ca="1">IF(ISNUMBER(BL100),(BL100-BM100)/(3*86400*($B100-($F$17-$F$15)+1))*1000,"")</f>
        <v/>
      </c>
      <c r="BO100" s="252"/>
      <c r="BP100" s="251" t="str">
        <f ca="1">IF(ISNUMBER(OFFSET(BL100,-$F$21,0)),SUM(OFFSET($T$100,($F$17-$F$15+$F$21),0):$T100),"")</f>
        <v/>
      </c>
      <c r="BQ100" s="251" t="str">
        <f ca="1">IF(ISNUMBER(OFFSET(BL100,-$F$21,0)),BP100*(Koc*(Ocse/100)*Pse*Vse)/(Koc*(Ocse/100)*Pse*Vse+1*86400*($B100+1)),"")</f>
        <v/>
      </c>
      <c r="BR100" s="251" t="str">
        <f ca="1">IF(ISNUMBER(BP100),(BP100-BQ100)/(3*86400*(OFFSET($B100,-$F$21,0)-($F$17-$F$15)+1))*1000,"")</f>
        <v/>
      </c>
      <c r="BS100" s="253"/>
      <c r="BT100"/>
      <c r="BU100" s="254" t="str">
        <f>IF(B39&lt;&gt;"",B39,"")</f>
        <v/>
      </c>
      <c r="BV100" s="255">
        <v>0</v>
      </c>
      <c r="BW100" s="256"/>
      <c r="BX100" s="256"/>
      <c r="BY100" s="257"/>
      <c r="BZ100"/>
      <c r="CA100" s="258" t="str">
        <f t="shared" ref="CA100:CA131" si="30">IFERROR(IF($B100&lt;$CA$94,T100*(Koc*(Ocse/100)*Pse*Vse)/(Koc*(Ocse/100)*Pse*Vse+1*86400*$CA$94),""),"-")</f>
        <v>-</v>
      </c>
      <c r="CB100" s="33" t="str">
        <f t="shared" ref="CB100:CB163" si="31">IF(ISNUMBER(T100),IF($B100&lt;$CA$94,(T100-CA100)/(3*86400)*1000,""),"-")</f>
        <v>-</v>
      </c>
      <c r="CC100" s="33" t="str">
        <f t="shared" ref="CC100:CC120" si="32">$B100&amp;"-"&amp;$B100+1</f>
        <v>0-1</v>
      </c>
      <c r="CD100" s="259" t="str">
        <f t="shared" ref="CD100:CD163" si="33">IF(CC100=CA$96,CB$96,"")</f>
        <v/>
      </c>
      <c r="CE100" s="260" t="str">
        <f t="shared" ref="CE100:CE131" si="34">IFERROR(IF($B100&lt;$CE$94,T100*(Koc*(Ocse/100)*Pse*Vse)/(Koc*(Ocse/100)*Pse*Vse+1*86400*$CE$94),""),"-")</f>
        <v>-</v>
      </c>
      <c r="CF100" s="33" t="str">
        <f t="shared" ref="CF100:CF131" ca="1" si="35">IFERROR(IF($B100&lt;$CE$94,IF(NOT(ISNUMBER(ffp)),"-",IF($F$70=$AX$87,AX100,IF($F$70=$BB$87,OFFSET(BB100,$F$21,0),IF($F$70=$BF$87,OFFSET(BF100,$F$16,0),IF($F$70=$BJ$87,OFFSET(BJ100,$F$16+$F$21,0),IF($F$70=$BN$87,OFFSET(BN100,$F$17,0),OFFSET(BR100,$F$17+$F$21,0))))))),""),"-")</f>
        <v>-</v>
      </c>
      <c r="CG100" s="33" t="str">
        <f t="shared" ref="CG100:CG163" si="36">IF($B100&lt;$CE$94,$B100&amp;"-"&amp;$B100+1,"")</f>
        <v>0-1</v>
      </c>
      <c r="CH100" s="261" t="str">
        <f t="shared" ref="CH100:CH163" ca="1" si="37">IF(CG100=CE$96,CF$96,"")</f>
        <v/>
      </c>
      <c r="CI100" s="202"/>
      <c r="CJ100" s="99"/>
      <c r="CK100" s="99"/>
      <c r="CL100" s="99"/>
      <c r="CM100" s="99"/>
      <c r="CN100" s="99"/>
      <c r="CO100" s="99"/>
    </row>
    <row r="101" spans="2:93" ht="13.5" customHeight="1" x14ac:dyDescent="0.2">
      <c r="B101" s="262">
        <v>1</v>
      </c>
      <c r="C101" s="236" t="str">
        <f t="shared" si="1"/>
        <v/>
      </c>
      <c r="D101" s="237" t="str">
        <f>IFERROR(IF(B101&lt;$F$22,IF(ISNUMBER($D$65),IF(MAX($BU$101:$BU$120)&lt;B101, "", IF(B101=VLOOKUP(B101, $BU$101:$BU$120,1,1), C101,D100-INDEX($BY$101:$BY$120, MATCH(VLOOKUP(B101, $BU$101:$BU$120,1,1), $BU$101:$BU$120)+1, 1))),D100-VLOOKUP(MAX($BU$101:$BU$120),$BU$101:$BY$120,5)),""),"-")</f>
        <v>-</v>
      </c>
      <c r="E101" s="263" t="str">
        <f t="shared" ref="E101:E164" si="38">IF(ISNUMBER($F$14),IF(ISNUMBER(AA101),AA101,""),"")</f>
        <v/>
      </c>
      <c r="F101" s="264" t="str">
        <f t="shared" ref="F101:F164" si="39">IF(OR($F$14=2,$F$14=3),IF(($F$16-$F$15)&gt;B101," ",VLOOKUP((B101-($F$16-$F$15)),$AC$100:$AI$250,7,FALSE)),"")</f>
        <v/>
      </c>
      <c r="G101" s="264" t="str">
        <f t="shared" ref="G101:G164" si="40">IF($F$14=3,IF(($F$16-$F$15)*2&gt;B101," ",VLOOKUP((B101-($F$16-$F$15)*2),$AK$100:$AQ$250,7,FALSE)),"")</f>
        <v/>
      </c>
      <c r="H101" s="240" t="str">
        <f t="shared" ref="H101:H131" si="41">IF(E101&lt;&gt;"",IF($B101&lt;$F$21,"",IF(ISNUMBER(F101),IF(ISNUMBER(I101),(E101*30*50*ffp),""),(E101*30*50*ffp))),"")</f>
        <v/>
      </c>
      <c r="I101" s="265" t="str">
        <f t="shared" si="2"/>
        <v/>
      </c>
      <c r="J101" s="265" t="str">
        <f t="shared" si="3"/>
        <v/>
      </c>
      <c r="K101" s="240" t="str">
        <f t="shared" si="4"/>
        <v/>
      </c>
      <c r="L101" s="265" t="str">
        <f t="shared" si="5"/>
        <v/>
      </c>
      <c r="M101" s="265" t="str">
        <f t="shared" si="6"/>
        <v/>
      </c>
      <c r="N101" s="240" t="str">
        <f t="shared" si="7"/>
        <v>-</v>
      </c>
      <c r="O101" s="265" t="str">
        <f t="shared" si="8"/>
        <v>-</v>
      </c>
      <c r="P101" s="265" t="str">
        <f t="shared" si="9"/>
        <v>-</v>
      </c>
      <c r="Q101" s="266" t="str">
        <f t="shared" si="10"/>
        <v>-</v>
      </c>
      <c r="R101" s="267" t="str">
        <f t="shared" si="11"/>
        <v>-</v>
      </c>
      <c r="S101" s="268" t="str">
        <f t="shared" si="12"/>
        <v>-</v>
      </c>
      <c r="T101" s="269" t="str">
        <f t="shared" si="13"/>
        <v/>
      </c>
      <c r="U101" s="221">
        <f t="shared" si="14"/>
        <v>1</v>
      </c>
      <c r="V101" s="220" t="str">
        <f t="shared" ref="V101:V164" si="42">IF(ISNUMBER($F$14),IF(B101&lt;($F$16-$F$15)*$F$14,INT(B101/($F$16-$F$15))+1,V99),"-")</f>
        <v>-</v>
      </c>
      <c r="W101" s="221" t="str">
        <f t="shared" ref="W101:W164" si="43">IF(ISNUMBER($F$14),IF(B101&lt;$F$14*($F$16-$F$15),B101-INT(B101/($F$16-$F$15))*($F$16-$F$15)+1,W100+1),"-")</f>
        <v>-</v>
      </c>
      <c r="X101" s="221" t="str">
        <f t="shared" si="15"/>
        <v>-</v>
      </c>
      <c r="Y101" s="221" t="str">
        <f t="shared" si="16"/>
        <v>-</v>
      </c>
      <c r="Z101" s="270">
        <f t="shared" ref="Z101:Z164" si="44">IF(Y101&gt;0,0.1,0.04)</f>
        <v>0.1</v>
      </c>
      <c r="AA101" s="271" t="str">
        <f>IFERROR(IF(V100=1,D101*EXP(-(0.04*X100+0.1*Y100)),IF(V100=2,D101*EXP(-(0.04*($F$21+X100)+0.1*(($F$16-$F$15)-$F$21+Y100))),D101*EXP(-(0.04*($F$21*2+X100)+0.1*((($F$16-$F$15)-$F$21)*2-Y100))))),"-")</f>
        <v>-</v>
      </c>
      <c r="AB101" s="271" t="str">
        <f t="shared" si="17"/>
        <v>-</v>
      </c>
      <c r="AC101" s="224">
        <f t="shared" ref="AC101:AC164" si="45">B101</f>
        <v>1</v>
      </c>
      <c r="AD101" s="223" t="str">
        <f t="shared" si="18"/>
        <v>-</v>
      </c>
      <c r="AE101" s="224" t="str">
        <f t="shared" ref="AE101:AE164" si="46">IFERROR(IF($F$14-1&gt;0,IF(B101&lt;($F$14-1)*($F$16-$F$15),B101-INT(B101/($F$16-$F$15))*($F$16-$F$15)+1,AE100+1),"-"),"-")</f>
        <v>-</v>
      </c>
      <c r="AF101" s="224" t="str">
        <f t="shared" si="19"/>
        <v>-</v>
      </c>
      <c r="AG101" s="224" t="str">
        <f t="shared" si="20"/>
        <v>-</v>
      </c>
      <c r="AH101" s="272">
        <f t="shared" ref="AH101:AH164" si="47">IF(AG101&gt;0,0.1,0.04)</f>
        <v>0.1</v>
      </c>
      <c r="AI101" s="271" t="str">
        <f t="shared" si="21"/>
        <v>-</v>
      </c>
      <c r="AJ101" s="271" t="str">
        <f t="shared" ref="AJ101:AJ112" si="48">IFERROR(IF(AD101=1,D101*EXP(-(0.04*AF101+0.1*AG101)),IF(AD101=2,D101*EXP(-(0.04*($F$21+AF101)+0.1*(($F$16-$F$15)-$F$21+AG101))),D101*EXP(-(0.04*($F$21*2+AF101)+0.1*((($F$16-$F$15)-$F$21)*2-AG101))))),"-")</f>
        <v>-</v>
      </c>
      <c r="AK101" s="227">
        <f t="shared" ref="AK101:AK164" si="49">B101</f>
        <v>1</v>
      </c>
      <c r="AL101" s="226" t="str">
        <f t="shared" si="22"/>
        <v>-</v>
      </c>
      <c r="AM101" s="227" t="str">
        <f t="shared" ref="AM101:AM164" si="50">IFERROR(IF($F$14-2&gt;0,IF(B101&lt;($F$14-2)*($F$16-$F$15),B101-INT(B101/($F$16-$F$15))*($F$16-$F$15)+1,AM100+1),"-"),"-")</f>
        <v>-</v>
      </c>
      <c r="AN101" s="227" t="str">
        <f t="shared" ref="AN101:AN164" si="51">IFERROR(IF($F$21=0,0,IF(AL101=AL100,IF(B101-(AL101-1)*($F$16-$F$15)&lt;$F$21,AN100+1,AN100),1)),"-")</f>
        <v>-</v>
      </c>
      <c r="AO101" s="227" t="str">
        <f t="shared" si="23"/>
        <v>-</v>
      </c>
      <c r="AP101" s="273">
        <f t="shared" ref="AP101:AP164" si="52">IF(AO101&gt;0,0.1,0.04)</f>
        <v>0.1</v>
      </c>
      <c r="AQ101" s="271" t="str">
        <f t="shared" ref="AQ101:AQ113" si="53">IFERROR(IF(AL100=1,D101*EXP(-(0.04*AN100+0.1*AO100)),IF(AL100=2,D101*EXP(-(0.04*($F$21+AN100)+0.1*(($F$16-$F$15)-$F$21+AO100))),D101*EXP(-(0.04*($F$21*2+AN100)+0.1*((($F$16-$F$15)-$F$21)*2-AO100))))),"-")</f>
        <v>-</v>
      </c>
      <c r="AR101" s="271" t="str">
        <f t="shared" ref="AR101:AR113" si="54">IFERROR(IF(AL101=1,D101*EXP(-(0.04*AN101+0.1*AO101)),IF(AL101=2,D101*EXP(-(0.04*($F$21+AN101)+0.1*(($F$16-$F$15)-$F$21+AO101))),D101*EXP(-(0.04*($F$21*2+AN101)+0.1*((($F$16-$F$15)-$F$21)*2-AO101))))),"-")</f>
        <v>-</v>
      </c>
      <c r="AS101" s="274">
        <f t="shared" si="24"/>
        <v>0</v>
      </c>
      <c r="AT101" s="274">
        <f t="shared" si="25"/>
        <v>0</v>
      </c>
      <c r="AU101" s="274">
        <f t="shared" si="26"/>
        <v>0</v>
      </c>
      <c r="AV101" s="275">
        <f>IF($B101&lt;$F$22,SUM($T$100:$T101),"")</f>
        <v>0</v>
      </c>
      <c r="AW101" s="275" t="str">
        <f t="shared" ref="AW101:AW131" si="55">IF(ISNUMBER(Koc),IF(ISNUMBER(AV101),AV101*(Koc*(Ocse/100)*Pse*Vse)/(Koc*(Ocse/100)*Pse*Vse+1*86400*($B101+1)),""),"-")</f>
        <v>-</v>
      </c>
      <c r="AX101" s="275" t="str">
        <f t="shared" ref="AX101:AX164" si="56">IF(ISNUMBER(AW101),IF(ISNUMBER(AV101),(AV101-AW101)/(3*86400*($B101+1))*1000,""),"")</f>
        <v/>
      </c>
      <c r="AY101"/>
      <c r="AZ101" s="275" t="str">
        <f ca="1">IF(ISNUMBER(OFFSET(AV101,-$F$21,0)),SUM(OFFSET($T$100,$F$21,0):$T101),"")</f>
        <v/>
      </c>
      <c r="BA101" s="275" t="str">
        <f t="shared" ca="1" si="27"/>
        <v/>
      </c>
      <c r="BB101" s="275" t="str">
        <f t="shared" ref="BB101:BB119" ca="1" si="57">IF(ISNUMBER(AZ101),(AZ101-BA101)/(3*86400*(OFFSET($B101,-$F$21,0)+1))*1000,"")</f>
        <v/>
      </c>
      <c r="BC101" s="190"/>
      <c r="BD101" s="275" t="str">
        <f ca="1">IFERROR(IF(OR(ISNUMBER(I),ISNUMBER($F$14)),IF(AND($B101&gt;=($F$16-$F$15),$B101&lt;$F$22+($F$16-$F$15)),SUM(OFFSET($T$100,($F$16-$F$15),0):$T101),""),""),"")</f>
        <v/>
      </c>
      <c r="BE101" s="275" t="str">
        <f t="shared" ref="BE101:BE164" ca="1" si="58">IF(ISNUMBER(BD101),BD101*(Koc*(Ocse/100)*Pse*Vse)/(Koc*(Ocse/100)*Pse*Vse+1*86400*($B101+1)),"")</f>
        <v/>
      </c>
      <c r="BF101" s="275" t="str">
        <f t="shared" ref="BF101:BF164" ca="1" si="59">IF(ISNUMBER(BD101),(BD101-BE101)/(3*86400*($B101-($F$16-$F$15)+1))*1000,"")</f>
        <v/>
      </c>
      <c r="BG101"/>
      <c r="BH101" s="190" t="str">
        <f ca="1">IF(ISNUMBER(OFFSET(BD101,-$F$21,0)),SUM(OFFSET($T$100,($F$16-$F$15+$F$21),0):$T101),"")</f>
        <v/>
      </c>
      <c r="BI101" s="190" t="str">
        <f t="shared" ca="1" si="28"/>
        <v/>
      </c>
      <c r="BJ101" s="190" t="str">
        <f t="shared" ref="BJ101:BJ164" ca="1" si="60">IF(ISNUMBER(BH101),(BH101-BI101)/(3*86400*((OFFSET($B101,-$F$21,0)-($F$16-$F$15)+1)))*1000,"")</f>
        <v/>
      </c>
      <c r="BK101" s="190"/>
      <c r="BL101" s="275" t="str">
        <f ca="1">IFERROR(IF(OR(ISNUMBER(I),ISNUMBER($F$14)),IF(AND($B101&gt;=($F$17-$F$15),$B101&lt;$F$22+($F$17-$F$15)),SUM(OFFSET($T$100,($F$17-$F$15),0):$T101),""),""),"")</f>
        <v/>
      </c>
      <c r="BM101" s="275" t="str">
        <f t="shared" ca="1" si="29"/>
        <v/>
      </c>
      <c r="BN101" s="275" t="str">
        <f t="shared" ref="BN101:BN164" ca="1" si="61">IF(ISNUMBER(BL101),(BL101-BM101)/(3*86400*($B101-($F$17-$F$15)+1))*1000,"")</f>
        <v/>
      </c>
      <c r="BO101"/>
      <c r="BP101" s="275" t="str">
        <f ca="1">IF(ISNUMBER(OFFSET(BL101,-$F$21,0)),SUM(OFFSET($T$100,($F$17-$F$15+$F$21),0):$T101),"")</f>
        <v/>
      </c>
      <c r="BQ101" s="275" t="str">
        <f t="shared" ref="BQ101:BQ131" ca="1" si="62">IF(ISNUMBER(OFFSET(BL101,-$F$21,0)),BP101*(Koc*(Ocse/100)*Pse*Vse)/(Koc*(Ocse/100)*Pse*Vse+1*86400*($B101+1)),"")</f>
        <v/>
      </c>
      <c r="BR101" s="275" t="str">
        <f t="shared" ref="BR101:BR164" ca="1" si="63">IF(ISNUMBER(BP101),(BP101-BQ101)/(3*86400*(OFFSET($B101,-$F$21,0)-($F$17-$F$15)+1))*1000,"")</f>
        <v/>
      </c>
      <c r="BS101" s="190"/>
      <c r="BT101"/>
      <c r="BU101" s="276" t="str">
        <f t="shared" ref="BU101:BU120" si="64">IF(B40&lt;&gt;"",B40,"end")</f>
        <v>end</v>
      </c>
      <c r="BV101" s="277">
        <v>1</v>
      </c>
      <c r="BW101" s="278">
        <f>IF(BU101&lt;&gt;"",MIN(BU100:BU101),"")</f>
        <v>0</v>
      </c>
      <c r="BX101" s="278">
        <f>IF(BU101&lt;&gt;"",MAX(BU100:BU101),"")</f>
        <v>0</v>
      </c>
      <c r="BY101" s="279" t="str">
        <f t="shared" ref="BY101:BY120" si="65">IF(B40&lt;&gt;"",(C39-C40)/(B40-B39),"")</f>
        <v/>
      </c>
      <c r="BZ101"/>
      <c r="CA101" s="280" t="str">
        <f t="shared" si="30"/>
        <v>-</v>
      </c>
      <c r="CB101" s="71" t="str">
        <f t="shared" si="31"/>
        <v>-</v>
      </c>
      <c r="CC101" s="33" t="str">
        <f t="shared" si="32"/>
        <v>1-2</v>
      </c>
      <c r="CD101" s="259" t="str">
        <f t="shared" si="33"/>
        <v/>
      </c>
      <c r="CE101" s="280" t="str">
        <f t="shared" si="34"/>
        <v>-</v>
      </c>
      <c r="CF101" s="71" t="str">
        <f t="shared" ca="1" si="35"/>
        <v>-</v>
      </c>
      <c r="CG101" s="33" t="str">
        <f t="shared" si="36"/>
        <v>1-2</v>
      </c>
      <c r="CH101" s="261" t="str">
        <f t="shared" ca="1" si="37"/>
        <v/>
      </c>
      <c r="CI101" s="202"/>
      <c r="CJ101" s="99"/>
      <c r="CK101" s="99"/>
      <c r="CL101" s="99"/>
      <c r="CM101" s="99"/>
      <c r="CN101" s="99"/>
      <c r="CO101" s="99"/>
    </row>
    <row r="102" spans="2:93" ht="13.5" customHeight="1" x14ac:dyDescent="0.2">
      <c r="B102" s="262">
        <v>2</v>
      </c>
      <c r="C102" s="237" t="str">
        <f t="shared" si="1"/>
        <v/>
      </c>
      <c r="D102" s="237" t="str">
        <f t="shared" ref="D102:D165" si="66">IFERROR(IF(B102&lt;$F$22,IF(ISNUMBER($D$65),IF(MAX($BU$101:$BU$120)&lt;B102, "", IF(B102=VLOOKUP(B102, $BU$101:$BU$120,1,1), C102,D101-INDEX($BY$101:$BY$120, MATCH(VLOOKUP(B102, $BU$101:$BU$120,1,1), $BU$101:$BU$120)+1, 1))),D101-VLOOKUP(MAX($BU$101:$BU$120),$BU$101:$BY$120,5)),""),"-")</f>
        <v>-</v>
      </c>
      <c r="E102" s="263" t="str">
        <f t="shared" si="38"/>
        <v/>
      </c>
      <c r="F102" s="264" t="str">
        <f t="shared" si="39"/>
        <v/>
      </c>
      <c r="G102" s="264" t="str">
        <f t="shared" si="40"/>
        <v/>
      </c>
      <c r="H102" s="240" t="str">
        <f t="shared" si="41"/>
        <v/>
      </c>
      <c r="I102" s="265" t="str">
        <f t="shared" si="2"/>
        <v/>
      </c>
      <c r="J102" s="265" t="str">
        <f t="shared" si="3"/>
        <v/>
      </c>
      <c r="K102" s="240" t="str">
        <f t="shared" si="4"/>
        <v/>
      </c>
      <c r="L102" s="265" t="str">
        <f t="shared" si="5"/>
        <v/>
      </c>
      <c r="M102" s="265" t="str">
        <f t="shared" si="6"/>
        <v/>
      </c>
      <c r="N102" s="240" t="str">
        <f t="shared" si="7"/>
        <v>-</v>
      </c>
      <c r="O102" s="265" t="str">
        <f t="shared" si="8"/>
        <v>-</v>
      </c>
      <c r="P102" s="265" t="str">
        <f t="shared" si="9"/>
        <v>-</v>
      </c>
      <c r="Q102" s="266" t="str">
        <f t="shared" si="10"/>
        <v>-</v>
      </c>
      <c r="R102" s="267" t="str">
        <f t="shared" si="11"/>
        <v>-</v>
      </c>
      <c r="S102" s="268" t="str">
        <f t="shared" si="12"/>
        <v>-</v>
      </c>
      <c r="T102" s="269" t="str">
        <f t="shared" si="13"/>
        <v/>
      </c>
      <c r="U102" s="221">
        <f t="shared" si="14"/>
        <v>2</v>
      </c>
      <c r="V102" s="220" t="str">
        <f t="shared" si="42"/>
        <v>-</v>
      </c>
      <c r="W102" s="221" t="str">
        <f t="shared" si="43"/>
        <v>-</v>
      </c>
      <c r="X102" s="221" t="str">
        <f t="shared" si="15"/>
        <v>-</v>
      </c>
      <c r="Y102" s="221" t="str">
        <f t="shared" si="16"/>
        <v>-</v>
      </c>
      <c r="Z102" s="270">
        <f t="shared" si="44"/>
        <v>0.1</v>
      </c>
      <c r="AA102" s="271" t="str">
        <f t="shared" ref="AA102:AA114" si="67">IFERROR(IF(V101=1,D102*EXP(-(0.04*X101+0.1*Y101)),IF(V101=2,D102*EXP(-(0.04*($F$21+X101)+0.1*(($F$16-$F$15)-$F$21+Y101))),D102*EXP(-(0.04*($F$21*2+X101)+0.1*((($F$16-$F$15)-$F$21)*2-Y101))))),"-")</f>
        <v>-</v>
      </c>
      <c r="AB102" s="271" t="str">
        <f t="shared" si="17"/>
        <v>-</v>
      </c>
      <c r="AC102" s="224">
        <f t="shared" si="45"/>
        <v>2</v>
      </c>
      <c r="AD102" s="223" t="str">
        <f t="shared" si="18"/>
        <v>-</v>
      </c>
      <c r="AE102" s="224" t="str">
        <f t="shared" si="46"/>
        <v>-</v>
      </c>
      <c r="AF102" s="224" t="str">
        <f t="shared" si="19"/>
        <v>-</v>
      </c>
      <c r="AG102" s="224" t="str">
        <f t="shared" si="20"/>
        <v>-</v>
      </c>
      <c r="AH102" s="272">
        <f t="shared" si="47"/>
        <v>0.1</v>
      </c>
      <c r="AI102" s="271" t="str">
        <f t="shared" si="21"/>
        <v>-</v>
      </c>
      <c r="AJ102" s="271" t="str">
        <f t="shared" si="48"/>
        <v>-</v>
      </c>
      <c r="AK102" s="227">
        <f t="shared" si="49"/>
        <v>2</v>
      </c>
      <c r="AL102" s="226" t="str">
        <f t="shared" si="22"/>
        <v>-</v>
      </c>
      <c r="AM102" s="227" t="str">
        <f t="shared" si="50"/>
        <v>-</v>
      </c>
      <c r="AN102" s="227" t="str">
        <f t="shared" si="51"/>
        <v>-</v>
      </c>
      <c r="AO102" s="227" t="str">
        <f t="shared" si="23"/>
        <v>-</v>
      </c>
      <c r="AP102" s="273">
        <f t="shared" si="52"/>
        <v>0.1</v>
      </c>
      <c r="AQ102" s="271" t="str">
        <f t="shared" si="53"/>
        <v>-</v>
      </c>
      <c r="AR102" s="271" t="str">
        <f t="shared" si="54"/>
        <v>-</v>
      </c>
      <c r="AS102" s="274">
        <f t="shared" si="24"/>
        <v>0</v>
      </c>
      <c r="AT102" s="274">
        <f t="shared" si="25"/>
        <v>0</v>
      </c>
      <c r="AU102" s="274">
        <f t="shared" si="26"/>
        <v>0</v>
      </c>
      <c r="AV102" s="275">
        <f>IF($B102&lt;$F$22,SUM($T$100:$T102),"")</f>
        <v>0</v>
      </c>
      <c r="AW102" s="275" t="str">
        <f t="shared" si="55"/>
        <v>-</v>
      </c>
      <c r="AX102" s="275" t="str">
        <f t="shared" si="56"/>
        <v/>
      </c>
      <c r="AY102"/>
      <c r="AZ102" s="275" t="str">
        <f ca="1">IF(ISNUMBER(OFFSET(AV102,-$F$21,0)),SUM(OFFSET($T$100,$F$21,0):$T102),"")</f>
        <v/>
      </c>
      <c r="BA102" s="275" t="str">
        <f t="shared" ca="1" si="27"/>
        <v/>
      </c>
      <c r="BB102" s="275" t="str">
        <f t="shared" ca="1" si="57"/>
        <v/>
      </c>
      <c r="BC102" s="190"/>
      <c r="BD102" s="275" t="str">
        <f ca="1">IFERROR(IF(OR(ISNUMBER(I),ISNUMBER($F$14)),IF(AND($B102&gt;=($F$16-$F$15),$B102&lt;$F$22+($F$16-$F$15)),SUM(OFFSET($T$100,($F$16-$F$15),0):$T102),""),""),"")</f>
        <v/>
      </c>
      <c r="BE102" s="275" t="str">
        <f t="shared" ca="1" si="58"/>
        <v/>
      </c>
      <c r="BF102" s="275" t="str">
        <f t="shared" ca="1" si="59"/>
        <v/>
      </c>
      <c r="BG102"/>
      <c r="BH102" s="190" t="str">
        <f ca="1">IF(ISNUMBER(OFFSET(BD102,-$F$21,0)),SUM(OFFSET($T$100,($F$16-$F$15+$F$21),0):$T102),"")</f>
        <v/>
      </c>
      <c r="BI102" s="190" t="str">
        <f t="shared" ca="1" si="28"/>
        <v/>
      </c>
      <c r="BJ102" s="190" t="str">
        <f t="shared" ca="1" si="60"/>
        <v/>
      </c>
      <c r="BK102" s="190"/>
      <c r="BL102" s="275" t="str">
        <f ca="1">IFERROR(IF(OR(ISNUMBER(I),ISNUMBER($F$14)),IF(AND($B102&gt;=($F$17-$F$15),$B102&lt;$F$22+($F$17-$F$15)),SUM(OFFSET($T$100,($F$17-$F$15),0):$T102),""),""),"")</f>
        <v/>
      </c>
      <c r="BM102" s="275" t="str">
        <f t="shared" ca="1" si="29"/>
        <v/>
      </c>
      <c r="BN102" s="275" t="str">
        <f t="shared" ca="1" si="61"/>
        <v/>
      </c>
      <c r="BO102"/>
      <c r="BP102" s="275" t="str">
        <f ca="1">IF(ISNUMBER(OFFSET(BL102,-$F$21,0)),SUM(OFFSET($T$100,($F$17-$F$15+$F$21),0):$T102),"")</f>
        <v/>
      </c>
      <c r="BQ102" s="275" t="str">
        <f t="shared" ca="1" si="62"/>
        <v/>
      </c>
      <c r="BR102" s="275" t="str">
        <f t="shared" ca="1" si="63"/>
        <v/>
      </c>
      <c r="BS102" s="190"/>
      <c r="BT102"/>
      <c r="BU102" s="276" t="str">
        <f t="shared" si="64"/>
        <v>end</v>
      </c>
      <c r="BV102" s="277">
        <v>2</v>
      </c>
      <c r="BW102" s="278">
        <f>IF(BU102&lt;&gt;"",MIN(BU101:BU102),"")</f>
        <v>0</v>
      </c>
      <c r="BX102" s="278">
        <f>IF(BU102&lt;&gt;"",MAX(BU101:BU102),"")</f>
        <v>0</v>
      </c>
      <c r="BY102" s="279" t="str">
        <f t="shared" si="65"/>
        <v/>
      </c>
      <c r="BZ102"/>
      <c r="CA102" s="280" t="str">
        <f t="shared" si="30"/>
        <v>-</v>
      </c>
      <c r="CB102" s="71" t="str">
        <f t="shared" si="31"/>
        <v>-</v>
      </c>
      <c r="CC102" s="33" t="str">
        <f t="shared" si="32"/>
        <v>2-3</v>
      </c>
      <c r="CD102" s="259" t="str">
        <f t="shared" si="33"/>
        <v/>
      </c>
      <c r="CE102" s="280" t="str">
        <f t="shared" si="34"/>
        <v>-</v>
      </c>
      <c r="CF102" s="71" t="str">
        <f t="shared" ca="1" si="35"/>
        <v>-</v>
      </c>
      <c r="CG102" s="33" t="str">
        <f t="shared" si="36"/>
        <v>2-3</v>
      </c>
      <c r="CH102" s="261" t="str">
        <f t="shared" ca="1" si="37"/>
        <v/>
      </c>
      <c r="CI102" s="202"/>
      <c r="CJ102" s="99"/>
      <c r="CK102" s="99"/>
      <c r="CL102" s="99"/>
      <c r="CM102" s="99"/>
      <c r="CN102" s="99"/>
      <c r="CO102" s="99"/>
    </row>
    <row r="103" spans="2:93" ht="13.5" customHeight="1" x14ac:dyDescent="0.2">
      <c r="B103" s="262">
        <v>3</v>
      </c>
      <c r="C103" s="236" t="str">
        <f t="shared" si="1"/>
        <v/>
      </c>
      <c r="D103" s="237" t="str">
        <f t="shared" si="66"/>
        <v>-</v>
      </c>
      <c r="E103" s="263" t="str">
        <f t="shared" si="38"/>
        <v/>
      </c>
      <c r="F103" s="264" t="str">
        <f t="shared" si="39"/>
        <v/>
      </c>
      <c r="G103" s="264" t="str">
        <f t="shared" si="40"/>
        <v/>
      </c>
      <c r="H103" s="240" t="str">
        <f t="shared" si="41"/>
        <v/>
      </c>
      <c r="I103" s="265" t="str">
        <f t="shared" si="2"/>
        <v/>
      </c>
      <c r="J103" s="265" t="str">
        <f t="shared" si="3"/>
        <v/>
      </c>
      <c r="K103" s="240" t="str">
        <f t="shared" si="4"/>
        <v/>
      </c>
      <c r="L103" s="265" t="str">
        <f t="shared" si="5"/>
        <v/>
      </c>
      <c r="M103" s="265" t="str">
        <f t="shared" si="6"/>
        <v/>
      </c>
      <c r="N103" s="240" t="str">
        <f t="shared" si="7"/>
        <v>-</v>
      </c>
      <c r="O103" s="265" t="str">
        <f t="shared" si="8"/>
        <v>-</v>
      </c>
      <c r="P103" s="265" t="str">
        <f t="shared" si="9"/>
        <v>-</v>
      </c>
      <c r="Q103" s="266" t="str">
        <f t="shared" si="10"/>
        <v>-</v>
      </c>
      <c r="R103" s="267" t="str">
        <f t="shared" si="11"/>
        <v>-</v>
      </c>
      <c r="S103" s="268" t="str">
        <f t="shared" si="12"/>
        <v>-</v>
      </c>
      <c r="T103" s="269" t="str">
        <f t="shared" si="13"/>
        <v/>
      </c>
      <c r="U103" s="221">
        <f t="shared" si="14"/>
        <v>3</v>
      </c>
      <c r="V103" s="220" t="str">
        <f t="shared" si="42"/>
        <v>-</v>
      </c>
      <c r="W103" s="221" t="str">
        <f t="shared" si="43"/>
        <v>-</v>
      </c>
      <c r="X103" s="221" t="str">
        <f t="shared" si="15"/>
        <v>-</v>
      </c>
      <c r="Y103" s="221" t="str">
        <f t="shared" si="16"/>
        <v>-</v>
      </c>
      <c r="Z103" s="270">
        <f t="shared" si="44"/>
        <v>0.1</v>
      </c>
      <c r="AA103" s="271" t="str">
        <f t="shared" si="67"/>
        <v>-</v>
      </c>
      <c r="AB103" s="271" t="str">
        <f t="shared" si="17"/>
        <v>-</v>
      </c>
      <c r="AC103" s="224">
        <f t="shared" si="45"/>
        <v>3</v>
      </c>
      <c r="AD103" s="223" t="str">
        <f t="shared" si="18"/>
        <v>-</v>
      </c>
      <c r="AE103" s="224" t="str">
        <f t="shared" si="46"/>
        <v>-</v>
      </c>
      <c r="AF103" s="224" t="str">
        <f t="shared" si="19"/>
        <v>-</v>
      </c>
      <c r="AG103" s="224" t="str">
        <f t="shared" si="20"/>
        <v>-</v>
      </c>
      <c r="AH103" s="272">
        <f t="shared" si="47"/>
        <v>0.1</v>
      </c>
      <c r="AI103" s="271" t="str">
        <f t="shared" si="21"/>
        <v>-</v>
      </c>
      <c r="AJ103" s="271" t="str">
        <f t="shared" si="48"/>
        <v>-</v>
      </c>
      <c r="AK103" s="227">
        <f t="shared" si="49"/>
        <v>3</v>
      </c>
      <c r="AL103" s="226" t="str">
        <f t="shared" si="22"/>
        <v>-</v>
      </c>
      <c r="AM103" s="227" t="str">
        <f t="shared" si="50"/>
        <v>-</v>
      </c>
      <c r="AN103" s="227" t="str">
        <f t="shared" si="51"/>
        <v>-</v>
      </c>
      <c r="AO103" s="227" t="str">
        <f t="shared" si="23"/>
        <v>-</v>
      </c>
      <c r="AP103" s="273">
        <f t="shared" si="52"/>
        <v>0.1</v>
      </c>
      <c r="AQ103" s="271" t="str">
        <f t="shared" si="53"/>
        <v>-</v>
      </c>
      <c r="AR103" s="271" t="str">
        <f t="shared" si="54"/>
        <v>-</v>
      </c>
      <c r="AS103" s="274">
        <f t="shared" si="24"/>
        <v>0</v>
      </c>
      <c r="AT103" s="274">
        <f t="shared" si="25"/>
        <v>0</v>
      </c>
      <c r="AU103" s="274">
        <f t="shared" si="26"/>
        <v>0</v>
      </c>
      <c r="AV103" s="275">
        <f>IF($B103&lt;$F$22,SUM($T$100:$T103),"")</f>
        <v>0</v>
      </c>
      <c r="AW103" s="275" t="str">
        <f t="shared" si="55"/>
        <v>-</v>
      </c>
      <c r="AX103" s="275" t="str">
        <f t="shared" si="56"/>
        <v/>
      </c>
      <c r="AY103"/>
      <c r="AZ103" s="275" t="str">
        <f ca="1">IF(ISNUMBER(OFFSET(AV103,-$F$21,0)),SUM(OFFSET($T$100,$F$21,0):$T103),"")</f>
        <v/>
      </c>
      <c r="BA103" s="275" t="str">
        <f t="shared" ca="1" si="27"/>
        <v/>
      </c>
      <c r="BB103" s="275" t="str">
        <f t="shared" ca="1" si="57"/>
        <v/>
      </c>
      <c r="BC103" s="190"/>
      <c r="BD103" s="275" t="str">
        <f ca="1">IFERROR(IF(OR(ISNUMBER(I),ISNUMBER($F$14)),IF(AND($B103&gt;=($F$16-$F$15),$B103&lt;$F$22+($F$16-$F$15)),SUM(OFFSET($T$100,($F$16-$F$15),0):$T103),""),""),"")</f>
        <v/>
      </c>
      <c r="BE103" s="275" t="str">
        <f t="shared" ca="1" si="58"/>
        <v/>
      </c>
      <c r="BF103" s="275" t="str">
        <f t="shared" ca="1" si="59"/>
        <v/>
      </c>
      <c r="BG103"/>
      <c r="BH103" s="190" t="str">
        <f ca="1">IF(ISNUMBER(OFFSET(BD103,-$F$21,0)),SUM(OFFSET($T$100,($F$16-$F$15+$F$21),0):$T103),"")</f>
        <v/>
      </c>
      <c r="BI103" s="190" t="str">
        <f t="shared" ca="1" si="28"/>
        <v/>
      </c>
      <c r="BJ103" s="190" t="str">
        <f t="shared" ca="1" si="60"/>
        <v/>
      </c>
      <c r="BK103" s="190"/>
      <c r="BL103" s="275" t="str">
        <f ca="1">IFERROR(IF(OR(ISNUMBER(I),ISNUMBER($F$14)),IF(AND($B103&gt;=($F$17-$F$15),$B103&lt;$F$22+($F$17-$F$15)),SUM(OFFSET($T$100,($F$17-$F$15),0):$T103),""),""),"")</f>
        <v/>
      </c>
      <c r="BM103" s="275" t="str">
        <f t="shared" ca="1" si="29"/>
        <v/>
      </c>
      <c r="BN103" s="275" t="str">
        <f t="shared" ca="1" si="61"/>
        <v/>
      </c>
      <c r="BO103"/>
      <c r="BP103" s="275" t="str">
        <f ca="1">IF(ISNUMBER(OFFSET(BL103,-$F$21,0)),SUM(OFFSET($T$100,($F$17-$F$15+$F$21),0):$T103),"")</f>
        <v/>
      </c>
      <c r="BQ103" s="275" t="str">
        <f t="shared" ca="1" si="62"/>
        <v/>
      </c>
      <c r="BR103" s="275" t="str">
        <f t="shared" ca="1" si="63"/>
        <v/>
      </c>
      <c r="BS103" s="190"/>
      <c r="BT103"/>
      <c r="BU103" s="276" t="str">
        <f t="shared" si="64"/>
        <v>end</v>
      </c>
      <c r="BV103" s="277">
        <v>3</v>
      </c>
      <c r="BW103" s="278">
        <f>IF(BU103&lt;&gt;"",MIN(BU102:BU103),"")</f>
        <v>0</v>
      </c>
      <c r="BX103" s="278">
        <f>IF(BU103&lt;&gt;"",MAX(BU102:BU103),"")</f>
        <v>0</v>
      </c>
      <c r="BY103" s="279" t="str">
        <f t="shared" si="65"/>
        <v/>
      </c>
      <c r="BZ103"/>
      <c r="CA103" s="280" t="str">
        <f t="shared" si="30"/>
        <v>-</v>
      </c>
      <c r="CB103" s="71" t="str">
        <f t="shared" si="31"/>
        <v>-</v>
      </c>
      <c r="CC103" s="33" t="str">
        <f t="shared" si="32"/>
        <v>3-4</v>
      </c>
      <c r="CD103" s="259" t="str">
        <f t="shared" si="33"/>
        <v/>
      </c>
      <c r="CE103" s="280" t="str">
        <f t="shared" si="34"/>
        <v>-</v>
      </c>
      <c r="CF103" s="71" t="str">
        <f t="shared" ca="1" si="35"/>
        <v>-</v>
      </c>
      <c r="CG103" s="33" t="str">
        <f t="shared" si="36"/>
        <v>3-4</v>
      </c>
      <c r="CH103" s="261" t="str">
        <f t="shared" ca="1" si="37"/>
        <v/>
      </c>
      <c r="CI103" s="202"/>
      <c r="CJ103" s="99"/>
      <c r="CK103" s="99"/>
      <c r="CL103" s="99"/>
      <c r="CM103" s="99"/>
      <c r="CN103" s="99"/>
      <c r="CO103" s="99"/>
    </row>
    <row r="104" spans="2:93" ht="13.5" customHeight="1" x14ac:dyDescent="0.2">
      <c r="B104" s="262">
        <v>4</v>
      </c>
      <c r="C104" s="237" t="str">
        <f t="shared" si="1"/>
        <v/>
      </c>
      <c r="D104" s="237" t="str">
        <f t="shared" si="66"/>
        <v>-</v>
      </c>
      <c r="E104" s="263" t="str">
        <f t="shared" si="38"/>
        <v/>
      </c>
      <c r="F104" s="264" t="str">
        <f t="shared" si="39"/>
        <v/>
      </c>
      <c r="G104" s="264" t="str">
        <f t="shared" si="40"/>
        <v/>
      </c>
      <c r="H104" s="240" t="str">
        <f t="shared" si="41"/>
        <v/>
      </c>
      <c r="I104" s="265" t="str">
        <f t="shared" si="2"/>
        <v/>
      </c>
      <c r="J104" s="265" t="str">
        <f t="shared" si="3"/>
        <v/>
      </c>
      <c r="K104" s="240" t="str">
        <f t="shared" si="4"/>
        <v/>
      </c>
      <c r="L104" s="265" t="str">
        <f t="shared" si="5"/>
        <v/>
      </c>
      <c r="M104" s="265" t="str">
        <f t="shared" si="6"/>
        <v/>
      </c>
      <c r="N104" s="240" t="str">
        <f t="shared" si="7"/>
        <v>-</v>
      </c>
      <c r="O104" s="265" t="str">
        <f t="shared" si="8"/>
        <v>-</v>
      </c>
      <c r="P104" s="265" t="str">
        <f t="shared" si="9"/>
        <v>-</v>
      </c>
      <c r="Q104" s="266" t="str">
        <f t="shared" si="10"/>
        <v>-</v>
      </c>
      <c r="R104" s="267" t="str">
        <f t="shared" si="11"/>
        <v>-</v>
      </c>
      <c r="S104" s="268" t="str">
        <f t="shared" si="12"/>
        <v>-</v>
      </c>
      <c r="T104" s="269" t="str">
        <f t="shared" si="13"/>
        <v/>
      </c>
      <c r="U104" s="221">
        <f t="shared" si="14"/>
        <v>4</v>
      </c>
      <c r="V104" s="220" t="str">
        <f t="shared" si="42"/>
        <v>-</v>
      </c>
      <c r="W104" s="221" t="str">
        <f t="shared" si="43"/>
        <v>-</v>
      </c>
      <c r="X104" s="221" t="str">
        <f t="shared" si="15"/>
        <v>-</v>
      </c>
      <c r="Y104" s="221" t="str">
        <f t="shared" si="16"/>
        <v>-</v>
      </c>
      <c r="Z104" s="270">
        <f t="shared" si="44"/>
        <v>0.1</v>
      </c>
      <c r="AA104" s="271" t="str">
        <f t="shared" si="67"/>
        <v>-</v>
      </c>
      <c r="AB104" s="271" t="str">
        <f t="shared" si="17"/>
        <v>-</v>
      </c>
      <c r="AC104" s="224">
        <f t="shared" si="45"/>
        <v>4</v>
      </c>
      <c r="AD104" s="223" t="str">
        <f t="shared" si="18"/>
        <v>-</v>
      </c>
      <c r="AE104" s="224" t="str">
        <f t="shared" si="46"/>
        <v>-</v>
      </c>
      <c r="AF104" s="224" t="str">
        <f t="shared" si="19"/>
        <v>-</v>
      </c>
      <c r="AG104" s="224" t="str">
        <f t="shared" si="20"/>
        <v>-</v>
      </c>
      <c r="AH104" s="272">
        <f t="shared" si="47"/>
        <v>0.1</v>
      </c>
      <c r="AI104" s="271" t="str">
        <f t="shared" si="21"/>
        <v>-</v>
      </c>
      <c r="AJ104" s="271" t="str">
        <f t="shared" si="48"/>
        <v>-</v>
      </c>
      <c r="AK104" s="227">
        <f t="shared" si="49"/>
        <v>4</v>
      </c>
      <c r="AL104" s="226" t="str">
        <f t="shared" si="22"/>
        <v>-</v>
      </c>
      <c r="AM104" s="227" t="str">
        <f t="shared" si="50"/>
        <v>-</v>
      </c>
      <c r="AN104" s="227" t="str">
        <f t="shared" si="51"/>
        <v>-</v>
      </c>
      <c r="AO104" s="227" t="str">
        <f t="shared" si="23"/>
        <v>-</v>
      </c>
      <c r="AP104" s="273">
        <f t="shared" si="52"/>
        <v>0.1</v>
      </c>
      <c r="AQ104" s="271" t="str">
        <f t="shared" si="53"/>
        <v>-</v>
      </c>
      <c r="AR104" s="271" t="str">
        <f t="shared" si="54"/>
        <v>-</v>
      </c>
      <c r="AS104" s="274">
        <f t="shared" si="24"/>
        <v>0</v>
      </c>
      <c r="AT104" s="274">
        <f t="shared" si="25"/>
        <v>0</v>
      </c>
      <c r="AU104" s="274">
        <f t="shared" si="26"/>
        <v>0</v>
      </c>
      <c r="AV104" s="275">
        <f>IF($B104&lt;$F$22,SUM($T$100:$T104),"")</f>
        <v>0</v>
      </c>
      <c r="AW104" s="275" t="str">
        <f t="shared" si="55"/>
        <v>-</v>
      </c>
      <c r="AX104" s="275" t="str">
        <f t="shared" si="56"/>
        <v/>
      </c>
      <c r="AY104"/>
      <c r="AZ104" s="275" t="str">
        <f ca="1">IF(ISNUMBER(OFFSET(AV104,-$F$21,0)),SUM(OFFSET($T$100,$F$21,0):$T104),"")</f>
        <v/>
      </c>
      <c r="BA104" s="275" t="str">
        <f t="shared" ca="1" si="27"/>
        <v/>
      </c>
      <c r="BB104" s="275" t="str">
        <f t="shared" ca="1" si="57"/>
        <v/>
      </c>
      <c r="BC104" s="190"/>
      <c r="BD104" s="275" t="str">
        <f ca="1">IFERROR(IF(OR(ISNUMBER(I),ISNUMBER($F$14)),IF(AND($B104&gt;=($F$16-$F$15),$B104&lt;$F$22+($F$16-$F$15)),SUM(OFFSET($T$100,($F$16-$F$15),0):$T104),""),""),"")</f>
        <v/>
      </c>
      <c r="BE104" s="275" t="str">
        <f t="shared" ca="1" si="58"/>
        <v/>
      </c>
      <c r="BF104" s="275" t="str">
        <f t="shared" ca="1" si="59"/>
        <v/>
      </c>
      <c r="BG104"/>
      <c r="BH104" s="190" t="str">
        <f ca="1">IF(ISNUMBER(OFFSET(BD104,-$F$21,0)),SUM(OFFSET($T$100,($F$16-$F$15+$F$21),0):$T104),"")</f>
        <v/>
      </c>
      <c r="BI104" s="190" t="str">
        <f t="shared" ca="1" si="28"/>
        <v/>
      </c>
      <c r="BJ104" s="190" t="str">
        <f t="shared" ca="1" si="60"/>
        <v/>
      </c>
      <c r="BK104" s="190"/>
      <c r="BL104" s="275" t="str">
        <f ca="1">IFERROR(IF(OR(ISNUMBER(I),ISNUMBER($F$14)),IF(AND($B104&gt;=($F$17-$F$15),$B104&lt;$F$22+($F$17-$F$15)),SUM(OFFSET($T$100,($F$17-$F$15),0):$T104),""),""),"")</f>
        <v/>
      </c>
      <c r="BM104" s="275" t="str">
        <f t="shared" ca="1" si="29"/>
        <v/>
      </c>
      <c r="BN104" s="275" t="str">
        <f t="shared" ca="1" si="61"/>
        <v/>
      </c>
      <c r="BO104"/>
      <c r="BP104" s="275" t="str">
        <f ca="1">IF(ISNUMBER(OFFSET(BL104,-$F$21,0)),SUM(OFFSET($T$100,($F$17-$F$15+$F$21),0):$T104),"")</f>
        <v/>
      </c>
      <c r="BQ104" s="275" t="str">
        <f t="shared" ca="1" si="62"/>
        <v/>
      </c>
      <c r="BR104" s="275" t="str">
        <f t="shared" ca="1" si="63"/>
        <v/>
      </c>
      <c r="BS104" s="190"/>
      <c r="BT104"/>
      <c r="BU104" s="276" t="str">
        <f t="shared" si="64"/>
        <v>end</v>
      </c>
      <c r="BV104" s="277">
        <v>4</v>
      </c>
      <c r="BW104" s="278">
        <f>IF(BU104&lt;&gt;"",MIN(BU103:BU104),"")</f>
        <v>0</v>
      </c>
      <c r="BX104" s="278">
        <f>IF(BU104&lt;&gt;"",MAX(BU103:BU104),"")</f>
        <v>0</v>
      </c>
      <c r="BY104" s="279" t="str">
        <f t="shared" si="65"/>
        <v/>
      </c>
      <c r="BZ104"/>
      <c r="CA104" s="281" t="str">
        <f t="shared" si="30"/>
        <v>-</v>
      </c>
      <c r="CB104" s="31" t="str">
        <f t="shared" si="31"/>
        <v>-</v>
      </c>
      <c r="CC104" s="24" t="str">
        <f t="shared" si="32"/>
        <v>4-5</v>
      </c>
      <c r="CD104" s="282" t="str">
        <f t="shared" si="33"/>
        <v/>
      </c>
      <c r="CE104" s="281" t="str">
        <f t="shared" si="34"/>
        <v>-</v>
      </c>
      <c r="CF104" s="31" t="str">
        <f t="shared" ca="1" si="35"/>
        <v>-</v>
      </c>
      <c r="CG104" s="24" t="str">
        <f t="shared" si="36"/>
        <v>4-5</v>
      </c>
      <c r="CH104" s="283" t="str">
        <f t="shared" ca="1" si="37"/>
        <v/>
      </c>
      <c r="CI104" s="202"/>
      <c r="CJ104" s="99"/>
      <c r="CK104" s="99"/>
      <c r="CL104" s="99"/>
      <c r="CM104" s="99"/>
      <c r="CN104" s="99"/>
      <c r="CO104" s="99"/>
    </row>
    <row r="105" spans="2:93" ht="13.5" customHeight="1" x14ac:dyDescent="0.2">
      <c r="B105" s="262">
        <v>5</v>
      </c>
      <c r="C105" s="237" t="str">
        <f t="shared" si="1"/>
        <v/>
      </c>
      <c r="D105" s="237" t="str">
        <f t="shared" si="66"/>
        <v>-</v>
      </c>
      <c r="E105" s="263" t="str">
        <f t="shared" si="38"/>
        <v/>
      </c>
      <c r="F105" s="264" t="str">
        <f t="shared" si="39"/>
        <v/>
      </c>
      <c r="G105" s="264" t="str">
        <f t="shared" si="40"/>
        <v/>
      </c>
      <c r="H105" s="240" t="str">
        <f t="shared" si="41"/>
        <v/>
      </c>
      <c r="I105" s="265" t="str">
        <f t="shared" si="2"/>
        <v/>
      </c>
      <c r="J105" s="265" t="str">
        <f t="shared" si="3"/>
        <v/>
      </c>
      <c r="K105" s="240" t="str">
        <f t="shared" si="4"/>
        <v/>
      </c>
      <c r="L105" s="265" t="str">
        <f t="shared" si="5"/>
        <v/>
      </c>
      <c r="M105" s="265" t="str">
        <f t="shared" si="6"/>
        <v/>
      </c>
      <c r="N105" s="240" t="str">
        <f t="shared" si="7"/>
        <v>-</v>
      </c>
      <c r="O105" s="265" t="str">
        <f t="shared" si="8"/>
        <v>-</v>
      </c>
      <c r="P105" s="265" t="str">
        <f t="shared" si="9"/>
        <v>-</v>
      </c>
      <c r="Q105" s="266" t="str">
        <f t="shared" si="10"/>
        <v>-</v>
      </c>
      <c r="R105" s="267" t="str">
        <f t="shared" si="11"/>
        <v>-</v>
      </c>
      <c r="S105" s="268" t="str">
        <f t="shared" si="12"/>
        <v>-</v>
      </c>
      <c r="T105" s="269" t="str">
        <f t="shared" si="13"/>
        <v/>
      </c>
      <c r="U105" s="221">
        <f t="shared" si="14"/>
        <v>5</v>
      </c>
      <c r="V105" s="220" t="str">
        <f t="shared" si="42"/>
        <v>-</v>
      </c>
      <c r="W105" s="221" t="str">
        <f t="shared" si="43"/>
        <v>-</v>
      </c>
      <c r="X105" s="221" t="str">
        <f t="shared" si="15"/>
        <v>-</v>
      </c>
      <c r="Y105" s="221" t="str">
        <f t="shared" si="16"/>
        <v>-</v>
      </c>
      <c r="Z105" s="270">
        <f t="shared" si="44"/>
        <v>0.1</v>
      </c>
      <c r="AA105" s="271" t="str">
        <f t="shared" si="67"/>
        <v>-</v>
      </c>
      <c r="AB105" s="271" t="str">
        <f t="shared" si="17"/>
        <v>-</v>
      </c>
      <c r="AC105" s="224">
        <f t="shared" si="45"/>
        <v>5</v>
      </c>
      <c r="AD105" s="223" t="str">
        <f t="shared" si="18"/>
        <v>-</v>
      </c>
      <c r="AE105" s="224" t="str">
        <f t="shared" si="46"/>
        <v>-</v>
      </c>
      <c r="AF105" s="224" t="str">
        <f t="shared" si="19"/>
        <v>-</v>
      </c>
      <c r="AG105" s="224" t="str">
        <f t="shared" si="20"/>
        <v>-</v>
      </c>
      <c r="AH105" s="272">
        <f t="shared" si="47"/>
        <v>0.1</v>
      </c>
      <c r="AI105" s="271" t="str">
        <f t="shared" si="21"/>
        <v>-</v>
      </c>
      <c r="AJ105" s="271" t="str">
        <f t="shared" si="48"/>
        <v>-</v>
      </c>
      <c r="AK105" s="227">
        <f t="shared" si="49"/>
        <v>5</v>
      </c>
      <c r="AL105" s="226" t="str">
        <f t="shared" si="22"/>
        <v>-</v>
      </c>
      <c r="AM105" s="227" t="str">
        <f t="shared" si="50"/>
        <v>-</v>
      </c>
      <c r="AN105" s="227" t="str">
        <f t="shared" si="51"/>
        <v>-</v>
      </c>
      <c r="AO105" s="227" t="str">
        <f t="shared" si="23"/>
        <v>-</v>
      </c>
      <c r="AP105" s="273">
        <f t="shared" si="52"/>
        <v>0.1</v>
      </c>
      <c r="AQ105" s="271" t="str">
        <f t="shared" si="53"/>
        <v>-</v>
      </c>
      <c r="AR105" s="271" t="str">
        <f t="shared" si="54"/>
        <v>-</v>
      </c>
      <c r="AS105" s="274">
        <f t="shared" si="24"/>
        <v>0</v>
      </c>
      <c r="AT105" s="274">
        <f t="shared" si="25"/>
        <v>0</v>
      </c>
      <c r="AU105" s="274">
        <f t="shared" si="26"/>
        <v>0</v>
      </c>
      <c r="AV105" s="275">
        <f>IF($B105&lt;$F$22,SUM($T$100:$T105),"")</f>
        <v>0</v>
      </c>
      <c r="AW105" s="275" t="str">
        <f t="shared" si="55"/>
        <v>-</v>
      </c>
      <c r="AX105" s="275" t="str">
        <f t="shared" si="56"/>
        <v/>
      </c>
      <c r="AY105"/>
      <c r="AZ105" s="275" t="str">
        <f ca="1">IF(ISNUMBER(OFFSET(AV105,-$F$21,0)),SUM(OFFSET($T$100,$F$21,0):$T105),"")</f>
        <v/>
      </c>
      <c r="BA105" s="275" t="str">
        <f t="shared" ca="1" si="27"/>
        <v/>
      </c>
      <c r="BB105" s="275" t="str">
        <f t="shared" ca="1" si="57"/>
        <v/>
      </c>
      <c r="BC105" s="190"/>
      <c r="BD105" s="275" t="str">
        <f ca="1">IFERROR(IF(OR(ISNUMBER(I),ISNUMBER($F$14)),IF(AND($B105&gt;=($F$16-$F$15),$B105&lt;$F$22+($F$16-$F$15)),SUM(OFFSET($T$100,($F$16-$F$15),0):$T105),""),""),"")</f>
        <v/>
      </c>
      <c r="BE105" s="275" t="str">
        <f t="shared" ca="1" si="58"/>
        <v/>
      </c>
      <c r="BF105" s="275" t="str">
        <f t="shared" ca="1" si="59"/>
        <v/>
      </c>
      <c r="BG105"/>
      <c r="BH105" s="190" t="str">
        <f ca="1">IF(ISNUMBER(OFFSET(BD105,-$F$21,0)),SUM(OFFSET($T$100,($F$16-$F$15+$F$21),0):$T105),"")</f>
        <v/>
      </c>
      <c r="BI105" s="190" t="str">
        <f t="shared" ca="1" si="28"/>
        <v/>
      </c>
      <c r="BJ105" s="190" t="str">
        <f t="shared" ca="1" si="60"/>
        <v/>
      </c>
      <c r="BK105" s="190"/>
      <c r="BL105" s="275" t="str">
        <f ca="1">IFERROR(IF(OR(ISNUMBER(I),ISNUMBER($F$14)),IF(AND($B105&gt;=($F$17-$F$15),$B105&lt;$F$22+($F$17-$F$15)),SUM(OFFSET($T$100,($F$17-$F$15),0):$T105),""),""),"")</f>
        <v/>
      </c>
      <c r="BM105" s="275" t="str">
        <f t="shared" ca="1" si="29"/>
        <v/>
      </c>
      <c r="BN105" s="275" t="str">
        <f t="shared" ca="1" si="61"/>
        <v/>
      </c>
      <c r="BO105"/>
      <c r="BP105" s="275" t="str">
        <f ca="1">IF(ISNUMBER(OFFSET(BL105,-$F$21,0)),SUM(OFFSET($T$100,($F$17-$F$15+$F$21),0):$T105),"")</f>
        <v/>
      </c>
      <c r="BQ105" s="275" t="str">
        <f t="shared" ca="1" si="62"/>
        <v/>
      </c>
      <c r="BR105" s="275" t="str">
        <f t="shared" ca="1" si="63"/>
        <v/>
      </c>
      <c r="BS105" s="190"/>
      <c r="BT105"/>
      <c r="BU105" s="276" t="str">
        <f t="shared" si="64"/>
        <v>end</v>
      </c>
      <c r="BV105" s="277">
        <v>5</v>
      </c>
      <c r="BW105" s="278">
        <f>IF(BU105&lt;&gt;"",MIN(BU104:BU105),"")</f>
        <v>0</v>
      </c>
      <c r="BX105" s="278">
        <f>IF(BU105&lt;&gt;"",MAX(BU104:BU105),"")</f>
        <v>0</v>
      </c>
      <c r="BY105" s="279" t="str">
        <f t="shared" si="65"/>
        <v/>
      </c>
      <c r="BZ105"/>
      <c r="CA105" s="284" t="str">
        <f t="shared" si="30"/>
        <v>-</v>
      </c>
      <c r="CB105" s="285" t="str">
        <f t="shared" si="31"/>
        <v>-</v>
      </c>
      <c r="CC105" s="285" t="str">
        <f t="shared" si="32"/>
        <v>5-6</v>
      </c>
      <c r="CD105" s="286" t="str">
        <f t="shared" si="33"/>
        <v/>
      </c>
      <c r="CE105" s="287" t="str">
        <f t="shared" si="34"/>
        <v>-</v>
      </c>
      <c r="CF105" s="285" t="str">
        <f t="shared" ca="1" si="35"/>
        <v>-</v>
      </c>
      <c r="CG105" s="285" t="str">
        <f t="shared" si="36"/>
        <v>5-6</v>
      </c>
      <c r="CH105" s="288" t="str">
        <f t="shared" ca="1" si="37"/>
        <v/>
      </c>
      <c r="CJ105" s="99"/>
      <c r="CK105" s="99"/>
      <c r="CL105" s="99"/>
      <c r="CM105" s="99"/>
      <c r="CN105" s="99"/>
      <c r="CO105" s="99"/>
    </row>
    <row r="106" spans="2:93" ht="13.5" customHeight="1" x14ac:dyDescent="0.2">
      <c r="B106" s="262">
        <v>6</v>
      </c>
      <c r="C106" s="237" t="str">
        <f t="shared" si="1"/>
        <v/>
      </c>
      <c r="D106" s="237" t="str">
        <f t="shared" si="66"/>
        <v>-</v>
      </c>
      <c r="E106" s="263" t="str">
        <f t="shared" si="38"/>
        <v/>
      </c>
      <c r="F106" s="264" t="str">
        <f t="shared" si="39"/>
        <v/>
      </c>
      <c r="G106" s="264" t="str">
        <f t="shared" si="40"/>
        <v/>
      </c>
      <c r="H106" s="240" t="str">
        <f t="shared" si="41"/>
        <v/>
      </c>
      <c r="I106" s="265" t="str">
        <f t="shared" si="2"/>
        <v/>
      </c>
      <c r="J106" s="265" t="str">
        <f t="shared" si="3"/>
        <v/>
      </c>
      <c r="K106" s="240" t="str">
        <f t="shared" si="4"/>
        <v/>
      </c>
      <c r="L106" s="265" t="str">
        <f t="shared" si="5"/>
        <v/>
      </c>
      <c r="M106" s="265" t="str">
        <f t="shared" si="6"/>
        <v/>
      </c>
      <c r="N106" s="240" t="str">
        <f t="shared" si="7"/>
        <v>-</v>
      </c>
      <c r="O106" s="265" t="str">
        <f t="shared" si="8"/>
        <v>-</v>
      </c>
      <c r="P106" s="265" t="str">
        <f t="shared" si="9"/>
        <v>-</v>
      </c>
      <c r="Q106" s="266" t="str">
        <f t="shared" si="10"/>
        <v>-</v>
      </c>
      <c r="R106" s="267" t="str">
        <f t="shared" si="11"/>
        <v>-</v>
      </c>
      <c r="S106" s="268" t="str">
        <f t="shared" si="12"/>
        <v>-</v>
      </c>
      <c r="T106" s="269" t="str">
        <f t="shared" si="13"/>
        <v/>
      </c>
      <c r="U106" s="221">
        <f t="shared" si="14"/>
        <v>6</v>
      </c>
      <c r="V106" s="220" t="str">
        <f t="shared" si="42"/>
        <v>-</v>
      </c>
      <c r="W106" s="221" t="str">
        <f t="shared" si="43"/>
        <v>-</v>
      </c>
      <c r="X106" s="221" t="str">
        <f t="shared" si="15"/>
        <v>-</v>
      </c>
      <c r="Y106" s="221" t="str">
        <f t="shared" si="16"/>
        <v>-</v>
      </c>
      <c r="Z106" s="270">
        <f t="shared" si="44"/>
        <v>0.1</v>
      </c>
      <c r="AA106" s="271" t="str">
        <f t="shared" si="67"/>
        <v>-</v>
      </c>
      <c r="AB106" s="271" t="str">
        <f t="shared" si="17"/>
        <v>-</v>
      </c>
      <c r="AC106" s="224">
        <f t="shared" si="45"/>
        <v>6</v>
      </c>
      <c r="AD106" s="223" t="str">
        <f t="shared" si="18"/>
        <v>-</v>
      </c>
      <c r="AE106" s="224" t="str">
        <f t="shared" si="46"/>
        <v>-</v>
      </c>
      <c r="AF106" s="224" t="str">
        <f t="shared" si="19"/>
        <v>-</v>
      </c>
      <c r="AG106" s="224" t="str">
        <f t="shared" si="20"/>
        <v>-</v>
      </c>
      <c r="AH106" s="272">
        <f t="shared" si="47"/>
        <v>0.1</v>
      </c>
      <c r="AI106" s="271" t="str">
        <f t="shared" si="21"/>
        <v>-</v>
      </c>
      <c r="AJ106" s="271" t="str">
        <f t="shared" si="48"/>
        <v>-</v>
      </c>
      <c r="AK106" s="227">
        <f t="shared" si="49"/>
        <v>6</v>
      </c>
      <c r="AL106" s="226" t="str">
        <f t="shared" si="22"/>
        <v>-</v>
      </c>
      <c r="AM106" s="227" t="str">
        <f t="shared" si="50"/>
        <v>-</v>
      </c>
      <c r="AN106" s="227" t="str">
        <f t="shared" si="51"/>
        <v>-</v>
      </c>
      <c r="AO106" s="227" t="str">
        <f t="shared" si="23"/>
        <v>-</v>
      </c>
      <c r="AP106" s="273">
        <f t="shared" si="52"/>
        <v>0.1</v>
      </c>
      <c r="AQ106" s="271" t="str">
        <f t="shared" si="53"/>
        <v>-</v>
      </c>
      <c r="AR106" s="271" t="str">
        <f t="shared" si="54"/>
        <v>-</v>
      </c>
      <c r="AS106" s="274">
        <f t="shared" si="24"/>
        <v>0</v>
      </c>
      <c r="AT106" s="274">
        <f t="shared" si="25"/>
        <v>0</v>
      </c>
      <c r="AU106" s="274">
        <f t="shared" si="26"/>
        <v>0</v>
      </c>
      <c r="AV106" s="275">
        <f>IF($B106&lt;$F$22,SUM($T$100:$T106),"")</f>
        <v>0</v>
      </c>
      <c r="AW106" s="275" t="str">
        <f t="shared" si="55"/>
        <v>-</v>
      </c>
      <c r="AX106" s="275" t="str">
        <f t="shared" si="56"/>
        <v/>
      </c>
      <c r="AY106"/>
      <c r="AZ106" s="275" t="str">
        <f ca="1">IF(ISNUMBER(OFFSET(AV106,-$F$21,0)),SUM(OFFSET($T$100,$F$21,0):$T106),"")</f>
        <v/>
      </c>
      <c r="BA106" s="275" t="str">
        <f t="shared" ca="1" si="27"/>
        <v/>
      </c>
      <c r="BB106" s="275" t="str">
        <f t="shared" ca="1" si="57"/>
        <v/>
      </c>
      <c r="BC106" s="190"/>
      <c r="BD106" s="275" t="str">
        <f ca="1">IFERROR(IF(OR(ISNUMBER(I),ISNUMBER($F$14)),IF(AND($B106&gt;=($F$16-$F$15),$B106&lt;$F$22+($F$16-$F$15)),SUM(OFFSET($T$100,($F$16-$F$15),0):$T106),""),""),"")</f>
        <v/>
      </c>
      <c r="BE106" s="275" t="str">
        <f t="shared" ca="1" si="58"/>
        <v/>
      </c>
      <c r="BF106" s="275" t="str">
        <f t="shared" ca="1" si="59"/>
        <v/>
      </c>
      <c r="BG106"/>
      <c r="BH106" s="190" t="str">
        <f ca="1">IF(ISNUMBER(OFFSET(BD106,-$F$21,0)),SUM(OFFSET($T$100,($F$16-$F$15+$F$21),0):$T106),"")</f>
        <v/>
      </c>
      <c r="BI106" s="190" t="str">
        <f t="shared" ca="1" si="28"/>
        <v/>
      </c>
      <c r="BJ106" s="190" t="str">
        <f t="shared" ca="1" si="60"/>
        <v/>
      </c>
      <c r="BK106" s="190"/>
      <c r="BL106" s="275" t="str">
        <f ca="1">IFERROR(IF(OR(ISNUMBER(I),ISNUMBER($F$14)),IF(AND($B106&gt;=($F$17-$F$15),$B106&lt;$F$22+($F$17-$F$15)),SUM(OFFSET($T$100,($F$17-$F$15),0):$T106),""),""),"")</f>
        <v/>
      </c>
      <c r="BM106" s="275" t="str">
        <f t="shared" ca="1" si="29"/>
        <v/>
      </c>
      <c r="BN106" s="275" t="str">
        <f t="shared" ca="1" si="61"/>
        <v/>
      </c>
      <c r="BO106"/>
      <c r="BP106" s="275" t="str">
        <f ca="1">IF(ISNUMBER(OFFSET(BL106,-$F$21,0)),SUM(OFFSET($T$100,($F$17-$F$15+$F$21),0):$T106),"")</f>
        <v/>
      </c>
      <c r="BQ106" s="275" t="str">
        <f t="shared" ca="1" si="62"/>
        <v/>
      </c>
      <c r="BR106" s="275" t="str">
        <f t="shared" ca="1" si="63"/>
        <v/>
      </c>
      <c r="BS106" s="190"/>
      <c r="BT106"/>
      <c r="BU106" s="276" t="str">
        <f t="shared" si="64"/>
        <v>end</v>
      </c>
      <c r="BV106" s="277">
        <v>6</v>
      </c>
      <c r="BW106" s="278" t="str">
        <f>IF(AND(BU106="end",BU105="end"), "", IF(BU106&lt;&gt;"",MIN(BU105:BU106),""))</f>
        <v/>
      </c>
      <c r="BX106" s="278" t="str">
        <f>IF(AND(BU106="end",BU105="end"), "", IF(BU106&lt;&gt;"",MAX(BU105:BU106),""))</f>
        <v/>
      </c>
      <c r="BY106" s="279" t="str">
        <f t="shared" si="65"/>
        <v/>
      </c>
      <c r="BZ106"/>
      <c r="CA106" s="284" t="str">
        <f t="shared" si="30"/>
        <v>-</v>
      </c>
      <c r="CB106" s="285" t="str">
        <f t="shared" si="31"/>
        <v>-</v>
      </c>
      <c r="CC106" s="285" t="str">
        <f t="shared" si="32"/>
        <v>6-7</v>
      </c>
      <c r="CD106" s="286" t="str">
        <f t="shared" si="33"/>
        <v/>
      </c>
      <c r="CE106" s="287" t="str">
        <f t="shared" si="34"/>
        <v>-</v>
      </c>
      <c r="CF106" s="285" t="str">
        <f t="shared" ca="1" si="35"/>
        <v>-</v>
      </c>
      <c r="CG106" s="285" t="str">
        <f t="shared" si="36"/>
        <v>6-7</v>
      </c>
      <c r="CH106" s="288" t="str">
        <f t="shared" ca="1" si="37"/>
        <v/>
      </c>
      <c r="CJ106" s="99"/>
      <c r="CK106" s="99"/>
      <c r="CL106" s="99"/>
      <c r="CM106" s="99"/>
      <c r="CN106" s="99"/>
      <c r="CO106" s="99"/>
    </row>
    <row r="107" spans="2:93" ht="13.5" customHeight="1" x14ac:dyDescent="0.2">
      <c r="B107" s="262">
        <v>7</v>
      </c>
      <c r="C107" s="236" t="str">
        <f t="shared" si="1"/>
        <v/>
      </c>
      <c r="D107" s="237" t="str">
        <f t="shared" si="66"/>
        <v>-</v>
      </c>
      <c r="E107" s="263" t="str">
        <f t="shared" si="38"/>
        <v/>
      </c>
      <c r="F107" s="264" t="str">
        <f t="shared" si="39"/>
        <v/>
      </c>
      <c r="G107" s="264" t="str">
        <f t="shared" si="40"/>
        <v/>
      </c>
      <c r="H107" s="240" t="str">
        <f t="shared" si="41"/>
        <v/>
      </c>
      <c r="I107" s="265" t="str">
        <f t="shared" si="2"/>
        <v/>
      </c>
      <c r="J107" s="265" t="str">
        <f t="shared" si="3"/>
        <v/>
      </c>
      <c r="K107" s="240" t="str">
        <f t="shared" si="4"/>
        <v/>
      </c>
      <c r="L107" s="265" t="str">
        <f t="shared" si="5"/>
        <v/>
      </c>
      <c r="M107" s="265" t="str">
        <f t="shared" si="6"/>
        <v/>
      </c>
      <c r="N107" s="240" t="str">
        <f t="shared" si="7"/>
        <v>-</v>
      </c>
      <c r="O107" s="265" t="str">
        <f t="shared" si="8"/>
        <v>-</v>
      </c>
      <c r="P107" s="265" t="str">
        <f t="shared" si="9"/>
        <v>-</v>
      </c>
      <c r="Q107" s="266" t="str">
        <f t="shared" si="10"/>
        <v>-</v>
      </c>
      <c r="R107" s="267" t="str">
        <f t="shared" si="11"/>
        <v>-</v>
      </c>
      <c r="S107" s="268" t="str">
        <f t="shared" si="12"/>
        <v>-</v>
      </c>
      <c r="T107" s="269" t="str">
        <f t="shared" si="13"/>
        <v/>
      </c>
      <c r="U107" s="221">
        <f t="shared" si="14"/>
        <v>7</v>
      </c>
      <c r="V107" s="220" t="str">
        <f t="shared" si="42"/>
        <v>-</v>
      </c>
      <c r="W107" s="221" t="str">
        <f t="shared" si="43"/>
        <v>-</v>
      </c>
      <c r="X107" s="221" t="str">
        <f t="shared" si="15"/>
        <v>-</v>
      </c>
      <c r="Y107" s="221" t="str">
        <f t="shared" si="16"/>
        <v>-</v>
      </c>
      <c r="Z107" s="270">
        <f t="shared" si="44"/>
        <v>0.1</v>
      </c>
      <c r="AA107" s="271" t="str">
        <f t="shared" si="67"/>
        <v>-</v>
      </c>
      <c r="AB107" s="271" t="str">
        <f t="shared" si="17"/>
        <v>-</v>
      </c>
      <c r="AC107" s="224">
        <f t="shared" si="45"/>
        <v>7</v>
      </c>
      <c r="AD107" s="223" t="str">
        <f t="shared" si="18"/>
        <v>-</v>
      </c>
      <c r="AE107" s="224" t="str">
        <f t="shared" si="46"/>
        <v>-</v>
      </c>
      <c r="AF107" s="224" t="str">
        <f t="shared" si="19"/>
        <v>-</v>
      </c>
      <c r="AG107" s="224" t="str">
        <f t="shared" si="20"/>
        <v>-</v>
      </c>
      <c r="AH107" s="272">
        <f t="shared" si="47"/>
        <v>0.1</v>
      </c>
      <c r="AI107" s="271" t="str">
        <f t="shared" si="21"/>
        <v>-</v>
      </c>
      <c r="AJ107" s="271" t="str">
        <f t="shared" si="48"/>
        <v>-</v>
      </c>
      <c r="AK107" s="227">
        <f t="shared" si="49"/>
        <v>7</v>
      </c>
      <c r="AL107" s="226" t="str">
        <f t="shared" si="22"/>
        <v>-</v>
      </c>
      <c r="AM107" s="227" t="str">
        <f t="shared" si="50"/>
        <v>-</v>
      </c>
      <c r="AN107" s="227" t="str">
        <f t="shared" si="51"/>
        <v>-</v>
      </c>
      <c r="AO107" s="227" t="str">
        <f t="shared" si="23"/>
        <v>-</v>
      </c>
      <c r="AP107" s="273">
        <f t="shared" si="52"/>
        <v>0.1</v>
      </c>
      <c r="AQ107" s="271" t="str">
        <f t="shared" si="53"/>
        <v>-</v>
      </c>
      <c r="AR107" s="271" t="str">
        <f t="shared" si="54"/>
        <v>-</v>
      </c>
      <c r="AS107" s="274">
        <f t="shared" si="24"/>
        <v>0</v>
      </c>
      <c r="AT107" s="274">
        <f t="shared" si="25"/>
        <v>0</v>
      </c>
      <c r="AU107" s="274">
        <f t="shared" si="26"/>
        <v>0</v>
      </c>
      <c r="AV107" s="275">
        <f>IF($B107&lt;$F$22,SUM($T$100:$T107),"")</f>
        <v>0</v>
      </c>
      <c r="AW107" s="275" t="str">
        <f t="shared" si="55"/>
        <v>-</v>
      </c>
      <c r="AX107" s="275" t="str">
        <f t="shared" si="56"/>
        <v/>
      </c>
      <c r="AY107"/>
      <c r="AZ107" s="275" t="str">
        <f ca="1">IF(ISNUMBER(OFFSET(AV107,-$F$21,0)),SUM(OFFSET($T$100,$F$21,0):$T107),"")</f>
        <v/>
      </c>
      <c r="BA107" s="275" t="str">
        <f t="shared" ca="1" si="27"/>
        <v/>
      </c>
      <c r="BB107" s="275" t="str">
        <f t="shared" ca="1" si="57"/>
        <v/>
      </c>
      <c r="BC107" s="190"/>
      <c r="BD107" s="275" t="str">
        <f ca="1">IFERROR(IF(OR(ISNUMBER(I),ISNUMBER($F$14)),IF(AND($B107&gt;=($F$16-$F$15),$B107&lt;$F$22+($F$16-$F$15)),SUM(OFFSET($T$100,($F$16-$F$15),0):$T107),""),""),"")</f>
        <v/>
      </c>
      <c r="BE107" s="275" t="str">
        <f t="shared" ca="1" si="58"/>
        <v/>
      </c>
      <c r="BF107" s="275" t="str">
        <f t="shared" ca="1" si="59"/>
        <v/>
      </c>
      <c r="BG107"/>
      <c r="BH107" s="190" t="str">
        <f ca="1">IF(ISNUMBER(OFFSET(BD107,-$F$21,0)),SUM(OFFSET($T$100,($F$16-$F$15+$F$21),0):$T107),"")</f>
        <v/>
      </c>
      <c r="BI107" s="190" t="str">
        <f t="shared" ca="1" si="28"/>
        <v/>
      </c>
      <c r="BJ107" s="190" t="str">
        <f t="shared" ca="1" si="60"/>
        <v/>
      </c>
      <c r="BK107" s="190"/>
      <c r="BL107" s="275" t="str">
        <f ca="1">IFERROR(IF(OR(ISNUMBER(I),ISNUMBER($F$14)),IF(AND($B107&gt;=($F$17-$F$15),$B107&lt;$F$22+($F$17-$F$15)),SUM(OFFSET($T$100,($F$17-$F$15),0):$T107),""),""),"")</f>
        <v/>
      </c>
      <c r="BM107" s="275" t="str">
        <f t="shared" ca="1" si="29"/>
        <v/>
      </c>
      <c r="BN107" s="275" t="str">
        <f t="shared" ca="1" si="61"/>
        <v/>
      </c>
      <c r="BO107"/>
      <c r="BP107" s="275" t="str">
        <f ca="1">IF(ISNUMBER(OFFSET(BL107,-$F$21,0)),SUM(OFFSET($T$100,($F$17-$F$15+$F$21),0):$T107),"")</f>
        <v/>
      </c>
      <c r="BQ107" s="275" t="str">
        <f t="shared" ca="1" si="62"/>
        <v/>
      </c>
      <c r="BR107" s="275" t="str">
        <f t="shared" ca="1" si="63"/>
        <v/>
      </c>
      <c r="BS107" s="190"/>
      <c r="BT107"/>
      <c r="BU107" s="276" t="str">
        <f t="shared" si="64"/>
        <v>end</v>
      </c>
      <c r="BV107" s="277">
        <v>7</v>
      </c>
      <c r="BW107" s="278" t="str">
        <f>IF(AND(BU107="end",BU106="end"), "", IF(BU107&lt;&gt;"",MIN(BU106:BU107),""))</f>
        <v/>
      </c>
      <c r="BX107" s="278" t="str">
        <f t="shared" ref="BX107:BX120" si="68">IF(AND(BU107="end",BU106="end"), "", IF(BU107&lt;&gt;"",MAX(BU106:BU107),""))</f>
        <v/>
      </c>
      <c r="BY107" s="279" t="str">
        <f t="shared" si="65"/>
        <v/>
      </c>
      <c r="BZ107"/>
      <c r="CA107" s="284" t="str">
        <f t="shared" si="30"/>
        <v>-</v>
      </c>
      <c r="CB107" s="285" t="str">
        <f t="shared" si="31"/>
        <v>-</v>
      </c>
      <c r="CC107" s="285" t="str">
        <f t="shared" si="32"/>
        <v>7-8</v>
      </c>
      <c r="CD107" s="286" t="str">
        <f t="shared" si="33"/>
        <v/>
      </c>
      <c r="CE107" s="287" t="str">
        <f t="shared" si="34"/>
        <v>-</v>
      </c>
      <c r="CF107" s="285" t="str">
        <f t="shared" ca="1" si="35"/>
        <v>-</v>
      </c>
      <c r="CG107" s="285" t="str">
        <f t="shared" si="36"/>
        <v>7-8</v>
      </c>
      <c r="CH107" s="288" t="str">
        <f t="shared" ca="1" si="37"/>
        <v/>
      </c>
      <c r="CJ107" s="99"/>
      <c r="CK107" s="99"/>
      <c r="CL107" s="99"/>
      <c r="CM107" s="99"/>
      <c r="CN107" s="99"/>
      <c r="CO107" s="99"/>
    </row>
    <row r="108" spans="2:93" ht="13.5" customHeight="1" x14ac:dyDescent="0.2">
      <c r="B108" s="262">
        <v>8</v>
      </c>
      <c r="C108" s="237" t="str">
        <f t="shared" si="1"/>
        <v/>
      </c>
      <c r="D108" s="237" t="str">
        <f t="shared" si="66"/>
        <v>-</v>
      </c>
      <c r="E108" s="263" t="str">
        <f t="shared" si="38"/>
        <v/>
      </c>
      <c r="F108" s="264" t="str">
        <f t="shared" si="39"/>
        <v/>
      </c>
      <c r="G108" s="264" t="str">
        <f t="shared" si="40"/>
        <v/>
      </c>
      <c r="H108" s="240" t="str">
        <f t="shared" si="41"/>
        <v/>
      </c>
      <c r="I108" s="265" t="str">
        <f t="shared" si="2"/>
        <v/>
      </c>
      <c r="J108" s="265" t="str">
        <f t="shared" si="3"/>
        <v/>
      </c>
      <c r="K108" s="240" t="str">
        <f t="shared" si="4"/>
        <v/>
      </c>
      <c r="L108" s="265" t="str">
        <f t="shared" si="5"/>
        <v/>
      </c>
      <c r="M108" s="265" t="str">
        <f t="shared" si="6"/>
        <v/>
      </c>
      <c r="N108" s="240" t="str">
        <f t="shared" si="7"/>
        <v>-</v>
      </c>
      <c r="O108" s="265" t="str">
        <f t="shared" si="8"/>
        <v>-</v>
      </c>
      <c r="P108" s="265" t="str">
        <f t="shared" si="9"/>
        <v>-</v>
      </c>
      <c r="Q108" s="266" t="str">
        <f t="shared" si="10"/>
        <v>-</v>
      </c>
      <c r="R108" s="267" t="str">
        <f t="shared" si="11"/>
        <v>-</v>
      </c>
      <c r="S108" s="268" t="str">
        <f t="shared" si="12"/>
        <v>-</v>
      </c>
      <c r="T108" s="269" t="str">
        <f t="shared" si="13"/>
        <v/>
      </c>
      <c r="U108" s="221">
        <f t="shared" si="14"/>
        <v>8</v>
      </c>
      <c r="V108" s="220" t="str">
        <f t="shared" si="42"/>
        <v>-</v>
      </c>
      <c r="W108" s="221" t="str">
        <f t="shared" si="43"/>
        <v>-</v>
      </c>
      <c r="X108" s="221" t="str">
        <f t="shared" si="15"/>
        <v>-</v>
      </c>
      <c r="Y108" s="221" t="str">
        <f t="shared" si="16"/>
        <v>-</v>
      </c>
      <c r="Z108" s="270">
        <f t="shared" si="44"/>
        <v>0.1</v>
      </c>
      <c r="AA108" s="271" t="str">
        <f t="shared" si="67"/>
        <v>-</v>
      </c>
      <c r="AB108" s="271" t="str">
        <f t="shared" si="17"/>
        <v>-</v>
      </c>
      <c r="AC108" s="224">
        <f t="shared" si="45"/>
        <v>8</v>
      </c>
      <c r="AD108" s="223" t="str">
        <f t="shared" si="18"/>
        <v>-</v>
      </c>
      <c r="AE108" s="224" t="str">
        <f t="shared" si="46"/>
        <v>-</v>
      </c>
      <c r="AF108" s="224" t="str">
        <f t="shared" si="19"/>
        <v>-</v>
      </c>
      <c r="AG108" s="224" t="str">
        <f t="shared" si="20"/>
        <v>-</v>
      </c>
      <c r="AH108" s="272">
        <f t="shared" si="47"/>
        <v>0.1</v>
      </c>
      <c r="AI108" s="271" t="str">
        <f t="shared" si="21"/>
        <v>-</v>
      </c>
      <c r="AJ108" s="271" t="str">
        <f t="shared" si="48"/>
        <v>-</v>
      </c>
      <c r="AK108" s="227">
        <f t="shared" si="49"/>
        <v>8</v>
      </c>
      <c r="AL108" s="226" t="str">
        <f t="shared" si="22"/>
        <v>-</v>
      </c>
      <c r="AM108" s="227" t="str">
        <f t="shared" si="50"/>
        <v>-</v>
      </c>
      <c r="AN108" s="227" t="str">
        <f t="shared" si="51"/>
        <v>-</v>
      </c>
      <c r="AO108" s="227" t="str">
        <f t="shared" si="23"/>
        <v>-</v>
      </c>
      <c r="AP108" s="273">
        <f t="shared" si="52"/>
        <v>0.1</v>
      </c>
      <c r="AQ108" s="271" t="str">
        <f t="shared" si="53"/>
        <v>-</v>
      </c>
      <c r="AR108" s="271" t="str">
        <f t="shared" si="54"/>
        <v>-</v>
      </c>
      <c r="AS108" s="274">
        <f t="shared" si="24"/>
        <v>0</v>
      </c>
      <c r="AT108" s="274">
        <f t="shared" si="25"/>
        <v>0</v>
      </c>
      <c r="AU108" s="274">
        <f t="shared" si="26"/>
        <v>0</v>
      </c>
      <c r="AV108" s="275">
        <f>IF($B108&lt;$F$22,SUM($T$100:$T108),"")</f>
        <v>0</v>
      </c>
      <c r="AW108" s="275" t="str">
        <f t="shared" si="55"/>
        <v>-</v>
      </c>
      <c r="AX108" s="275" t="str">
        <f t="shared" si="56"/>
        <v/>
      </c>
      <c r="AY108"/>
      <c r="AZ108" s="275" t="str">
        <f ca="1">IF(ISNUMBER(OFFSET(AV108,-$F$21,0)),SUM(OFFSET($T$100,$F$21,0):$T108),"")</f>
        <v/>
      </c>
      <c r="BA108" s="275" t="str">
        <f t="shared" ca="1" si="27"/>
        <v/>
      </c>
      <c r="BB108" s="275" t="str">
        <f t="shared" ca="1" si="57"/>
        <v/>
      </c>
      <c r="BC108" s="190"/>
      <c r="BD108" s="275" t="str">
        <f ca="1">IFERROR(IF(OR(ISNUMBER(I),ISNUMBER($F$14)),IF(AND($B108&gt;=($F$16-$F$15),$B108&lt;$F$22+($F$16-$F$15)),SUM(OFFSET($T$100,($F$16-$F$15),0):$T108),""),""),"")</f>
        <v/>
      </c>
      <c r="BE108" s="275" t="str">
        <f t="shared" ca="1" si="58"/>
        <v/>
      </c>
      <c r="BF108" s="275" t="str">
        <f t="shared" ca="1" si="59"/>
        <v/>
      </c>
      <c r="BG108"/>
      <c r="BH108" s="190" t="str">
        <f ca="1">IF(ISNUMBER(OFFSET(BD108,-$F$21,0)),SUM(OFFSET($T$100,($F$16-$F$15+$F$21),0):$T108),"")</f>
        <v/>
      </c>
      <c r="BI108" s="190" t="str">
        <f t="shared" ca="1" si="28"/>
        <v/>
      </c>
      <c r="BJ108" s="190" t="str">
        <f t="shared" ca="1" si="60"/>
        <v/>
      </c>
      <c r="BK108" s="190"/>
      <c r="BL108" s="275" t="str">
        <f ca="1">IFERROR(IF(OR(ISNUMBER(I),ISNUMBER($F$14)),IF(AND($B108&gt;=($F$17-$F$15),$B108&lt;$F$22+($F$17-$F$15)),SUM(OFFSET($T$100,($F$17-$F$15),0):$T108),""),""),"")</f>
        <v/>
      </c>
      <c r="BM108" s="275" t="str">
        <f t="shared" ca="1" si="29"/>
        <v/>
      </c>
      <c r="BN108" s="275" t="str">
        <f t="shared" ca="1" si="61"/>
        <v/>
      </c>
      <c r="BO108"/>
      <c r="BP108" s="275" t="str">
        <f ca="1">IF(ISNUMBER(OFFSET(BL108,-$F$21,0)),SUM(OFFSET($T$100,($F$17-$F$15+$F$21),0):$T108),"")</f>
        <v/>
      </c>
      <c r="BQ108" s="275" t="str">
        <f t="shared" ca="1" si="62"/>
        <v/>
      </c>
      <c r="BR108" s="275" t="str">
        <f t="shared" ca="1" si="63"/>
        <v/>
      </c>
      <c r="BS108" s="190"/>
      <c r="BT108"/>
      <c r="BU108" s="276" t="str">
        <f t="shared" si="64"/>
        <v>end</v>
      </c>
      <c r="BV108" s="277">
        <v>8</v>
      </c>
      <c r="BW108" s="278" t="str">
        <f t="shared" ref="BW108:BW120" si="69">IF(AND(BU108="end",BU107="end"), "", IF(BU108&lt;&gt;"",MIN(BU107:BU108),""))</f>
        <v/>
      </c>
      <c r="BX108" s="278" t="str">
        <f t="shared" si="68"/>
        <v/>
      </c>
      <c r="BY108" s="279" t="str">
        <f t="shared" si="65"/>
        <v/>
      </c>
      <c r="BZ108"/>
      <c r="CA108" s="284" t="str">
        <f t="shared" si="30"/>
        <v>-</v>
      </c>
      <c r="CB108" s="285" t="str">
        <f t="shared" si="31"/>
        <v>-</v>
      </c>
      <c r="CC108" s="285" t="str">
        <f t="shared" si="32"/>
        <v>8-9</v>
      </c>
      <c r="CD108" s="286" t="str">
        <f t="shared" si="33"/>
        <v/>
      </c>
      <c r="CE108" s="287" t="str">
        <f t="shared" si="34"/>
        <v>-</v>
      </c>
      <c r="CF108" s="285" t="str">
        <f t="shared" ca="1" si="35"/>
        <v>-</v>
      </c>
      <c r="CG108" s="285" t="str">
        <f t="shared" si="36"/>
        <v>8-9</v>
      </c>
      <c r="CH108" s="288" t="str">
        <f t="shared" ca="1" si="37"/>
        <v/>
      </c>
      <c r="CJ108" s="99"/>
      <c r="CK108" s="99"/>
      <c r="CL108" s="99"/>
      <c r="CM108" s="99"/>
      <c r="CN108" s="99"/>
      <c r="CO108" s="99"/>
    </row>
    <row r="109" spans="2:93" ht="13.5" customHeight="1" x14ac:dyDescent="0.2">
      <c r="B109" s="262">
        <v>9</v>
      </c>
      <c r="C109" s="237" t="str">
        <f t="shared" si="1"/>
        <v/>
      </c>
      <c r="D109" s="237" t="str">
        <f t="shared" si="66"/>
        <v>-</v>
      </c>
      <c r="E109" s="263" t="str">
        <f t="shared" si="38"/>
        <v/>
      </c>
      <c r="F109" s="264" t="str">
        <f t="shared" si="39"/>
        <v/>
      </c>
      <c r="G109" s="264" t="str">
        <f t="shared" si="40"/>
        <v/>
      </c>
      <c r="H109" s="240" t="str">
        <f t="shared" si="41"/>
        <v/>
      </c>
      <c r="I109" s="265" t="str">
        <f t="shared" si="2"/>
        <v/>
      </c>
      <c r="J109" s="265" t="str">
        <f t="shared" si="3"/>
        <v/>
      </c>
      <c r="K109" s="240" t="str">
        <f t="shared" si="4"/>
        <v/>
      </c>
      <c r="L109" s="265" t="str">
        <f t="shared" si="5"/>
        <v/>
      </c>
      <c r="M109" s="265" t="str">
        <f t="shared" si="6"/>
        <v/>
      </c>
      <c r="N109" s="240" t="str">
        <f t="shared" si="7"/>
        <v>-</v>
      </c>
      <c r="O109" s="265" t="str">
        <f t="shared" si="8"/>
        <v>-</v>
      </c>
      <c r="P109" s="265" t="str">
        <f t="shared" si="9"/>
        <v>-</v>
      </c>
      <c r="Q109" s="266" t="str">
        <f t="shared" si="10"/>
        <v>-</v>
      </c>
      <c r="R109" s="267" t="str">
        <f t="shared" si="11"/>
        <v>-</v>
      </c>
      <c r="S109" s="268" t="str">
        <f t="shared" si="12"/>
        <v>-</v>
      </c>
      <c r="T109" s="269" t="str">
        <f t="shared" si="13"/>
        <v/>
      </c>
      <c r="U109" s="221">
        <f t="shared" si="14"/>
        <v>9</v>
      </c>
      <c r="V109" s="220" t="str">
        <f t="shared" si="42"/>
        <v>-</v>
      </c>
      <c r="W109" s="221" t="str">
        <f t="shared" si="43"/>
        <v>-</v>
      </c>
      <c r="X109" s="221" t="str">
        <f t="shared" si="15"/>
        <v>-</v>
      </c>
      <c r="Y109" s="221" t="str">
        <f t="shared" si="16"/>
        <v>-</v>
      </c>
      <c r="Z109" s="270">
        <f t="shared" si="44"/>
        <v>0.1</v>
      </c>
      <c r="AA109" s="271" t="str">
        <f t="shared" si="67"/>
        <v>-</v>
      </c>
      <c r="AB109" s="271" t="str">
        <f t="shared" si="17"/>
        <v>-</v>
      </c>
      <c r="AC109" s="224">
        <f t="shared" si="45"/>
        <v>9</v>
      </c>
      <c r="AD109" s="223" t="str">
        <f t="shared" si="18"/>
        <v>-</v>
      </c>
      <c r="AE109" s="224" t="str">
        <f t="shared" si="46"/>
        <v>-</v>
      </c>
      <c r="AF109" s="224" t="str">
        <f t="shared" si="19"/>
        <v>-</v>
      </c>
      <c r="AG109" s="224" t="str">
        <f t="shared" si="20"/>
        <v>-</v>
      </c>
      <c r="AH109" s="272">
        <f t="shared" si="47"/>
        <v>0.1</v>
      </c>
      <c r="AI109" s="271" t="str">
        <f t="shared" si="21"/>
        <v>-</v>
      </c>
      <c r="AJ109" s="271" t="str">
        <f t="shared" si="48"/>
        <v>-</v>
      </c>
      <c r="AK109" s="227">
        <f t="shared" si="49"/>
        <v>9</v>
      </c>
      <c r="AL109" s="226" t="str">
        <f t="shared" si="22"/>
        <v>-</v>
      </c>
      <c r="AM109" s="227" t="str">
        <f t="shared" si="50"/>
        <v>-</v>
      </c>
      <c r="AN109" s="227" t="str">
        <f t="shared" si="51"/>
        <v>-</v>
      </c>
      <c r="AO109" s="227" t="str">
        <f t="shared" si="23"/>
        <v>-</v>
      </c>
      <c r="AP109" s="273">
        <f t="shared" si="52"/>
        <v>0.1</v>
      </c>
      <c r="AQ109" s="271" t="str">
        <f t="shared" si="53"/>
        <v>-</v>
      </c>
      <c r="AR109" s="271" t="str">
        <f t="shared" si="54"/>
        <v>-</v>
      </c>
      <c r="AS109" s="274">
        <f t="shared" si="24"/>
        <v>0</v>
      </c>
      <c r="AT109" s="274">
        <f t="shared" si="25"/>
        <v>0</v>
      </c>
      <c r="AU109" s="274">
        <f t="shared" si="26"/>
        <v>0</v>
      </c>
      <c r="AV109" s="275">
        <f>IF($B109&lt;$F$22,SUM($T$100:$T109),"")</f>
        <v>0</v>
      </c>
      <c r="AW109" s="275" t="str">
        <f t="shared" si="55"/>
        <v>-</v>
      </c>
      <c r="AX109" s="275" t="str">
        <f t="shared" si="56"/>
        <v/>
      </c>
      <c r="AY109"/>
      <c r="AZ109" s="275" t="str">
        <f ca="1">IF(ISNUMBER(OFFSET(AV109,-$F$21,0)),SUM(OFFSET($T$100,$F$21,0):$T109),"")</f>
        <v/>
      </c>
      <c r="BA109" s="275" t="str">
        <f t="shared" ca="1" si="27"/>
        <v/>
      </c>
      <c r="BB109" s="275" t="str">
        <f t="shared" ca="1" si="57"/>
        <v/>
      </c>
      <c r="BC109" s="190"/>
      <c r="BD109" s="275" t="str">
        <f ca="1">IFERROR(IF(OR(ISNUMBER(I),ISNUMBER($F$14)),IF(AND($B109&gt;=($F$16-$F$15),$B109&lt;$F$22+($F$16-$F$15)),SUM(OFFSET($T$100,($F$16-$F$15),0):$T109),""),""),"")</f>
        <v/>
      </c>
      <c r="BE109" s="275" t="str">
        <f t="shared" ca="1" si="58"/>
        <v/>
      </c>
      <c r="BF109" s="275" t="str">
        <f t="shared" ca="1" si="59"/>
        <v/>
      </c>
      <c r="BG109"/>
      <c r="BH109" s="190" t="str">
        <f ca="1">IF(ISNUMBER(OFFSET(BD109,-$F$21,0)),SUM(OFFSET($T$100,($F$16-$F$15+$F$21),0):$T109),"")</f>
        <v/>
      </c>
      <c r="BI109" s="190" t="str">
        <f t="shared" ca="1" si="28"/>
        <v/>
      </c>
      <c r="BJ109" s="190" t="str">
        <f t="shared" ca="1" si="60"/>
        <v/>
      </c>
      <c r="BK109" s="190"/>
      <c r="BL109" s="275" t="str">
        <f ca="1">IFERROR(IF(OR(ISNUMBER(I),ISNUMBER($F$14)),IF(AND($B109&gt;=($F$17-$F$15),$B109&lt;$F$22+($F$17-$F$15)),SUM(OFFSET($T$100,($F$17-$F$15),0):$T109),""),""),"")</f>
        <v/>
      </c>
      <c r="BM109" s="275" t="str">
        <f t="shared" ca="1" si="29"/>
        <v/>
      </c>
      <c r="BN109" s="275" t="str">
        <f t="shared" ca="1" si="61"/>
        <v/>
      </c>
      <c r="BO109"/>
      <c r="BP109" s="275" t="str">
        <f ca="1">IF(ISNUMBER(OFFSET(BL109,-$F$21,0)),SUM(OFFSET($T$100,($F$17-$F$15+$F$21),0):$T109),"")</f>
        <v/>
      </c>
      <c r="BQ109" s="275" t="str">
        <f t="shared" ca="1" si="62"/>
        <v/>
      </c>
      <c r="BR109" s="275" t="str">
        <f t="shared" ca="1" si="63"/>
        <v/>
      </c>
      <c r="BS109" s="190"/>
      <c r="BT109"/>
      <c r="BU109" s="276" t="str">
        <f t="shared" si="64"/>
        <v>end</v>
      </c>
      <c r="BV109" s="277">
        <v>9</v>
      </c>
      <c r="BW109" s="278" t="str">
        <f t="shared" si="69"/>
        <v/>
      </c>
      <c r="BX109" s="278" t="str">
        <f t="shared" si="68"/>
        <v/>
      </c>
      <c r="BY109" s="279" t="str">
        <f t="shared" si="65"/>
        <v/>
      </c>
      <c r="BZ109"/>
      <c r="CA109" s="284" t="str">
        <f t="shared" si="30"/>
        <v>-</v>
      </c>
      <c r="CB109" s="285" t="str">
        <f t="shared" si="31"/>
        <v>-</v>
      </c>
      <c r="CC109" s="285" t="str">
        <f t="shared" si="32"/>
        <v>9-10</v>
      </c>
      <c r="CD109" s="286" t="str">
        <f t="shared" si="33"/>
        <v/>
      </c>
      <c r="CE109" s="287" t="str">
        <f t="shared" si="34"/>
        <v>-</v>
      </c>
      <c r="CF109" s="285" t="str">
        <f t="shared" ca="1" si="35"/>
        <v>-</v>
      </c>
      <c r="CG109" s="285" t="str">
        <f t="shared" si="36"/>
        <v>9-10</v>
      </c>
      <c r="CH109" s="288" t="str">
        <f t="shared" ca="1" si="37"/>
        <v/>
      </c>
      <c r="CJ109" s="99"/>
      <c r="CK109" s="99"/>
      <c r="CL109" s="99"/>
      <c r="CM109" s="99"/>
      <c r="CN109" s="99"/>
      <c r="CO109" s="99"/>
    </row>
    <row r="110" spans="2:93" ht="13.5" customHeight="1" x14ac:dyDescent="0.2">
      <c r="B110" s="262">
        <v>10</v>
      </c>
      <c r="C110" s="237" t="str">
        <f t="shared" si="1"/>
        <v/>
      </c>
      <c r="D110" s="237" t="str">
        <f t="shared" si="66"/>
        <v>-</v>
      </c>
      <c r="E110" s="263" t="str">
        <f t="shared" si="38"/>
        <v/>
      </c>
      <c r="F110" s="264" t="str">
        <f t="shared" si="39"/>
        <v/>
      </c>
      <c r="G110" s="264" t="str">
        <f t="shared" si="40"/>
        <v/>
      </c>
      <c r="H110" s="240" t="str">
        <f t="shared" si="41"/>
        <v/>
      </c>
      <c r="I110" s="265" t="str">
        <f t="shared" si="2"/>
        <v/>
      </c>
      <c r="J110" s="265" t="str">
        <f t="shared" si="3"/>
        <v/>
      </c>
      <c r="K110" s="240" t="str">
        <f t="shared" si="4"/>
        <v/>
      </c>
      <c r="L110" s="265" t="str">
        <f t="shared" si="5"/>
        <v/>
      </c>
      <c r="M110" s="265" t="str">
        <f t="shared" si="6"/>
        <v/>
      </c>
      <c r="N110" s="240" t="str">
        <f t="shared" si="7"/>
        <v>-</v>
      </c>
      <c r="O110" s="265" t="str">
        <f t="shared" si="8"/>
        <v>-</v>
      </c>
      <c r="P110" s="265" t="str">
        <f t="shared" si="9"/>
        <v>-</v>
      </c>
      <c r="Q110" s="266" t="str">
        <f t="shared" si="10"/>
        <v>-</v>
      </c>
      <c r="R110" s="267" t="str">
        <f t="shared" si="11"/>
        <v>-</v>
      </c>
      <c r="S110" s="268" t="str">
        <f t="shared" si="12"/>
        <v>-</v>
      </c>
      <c r="T110" s="269" t="str">
        <f t="shared" si="13"/>
        <v/>
      </c>
      <c r="U110" s="221">
        <f t="shared" si="14"/>
        <v>10</v>
      </c>
      <c r="V110" s="220" t="str">
        <f t="shared" si="42"/>
        <v>-</v>
      </c>
      <c r="W110" s="221" t="str">
        <f t="shared" si="43"/>
        <v>-</v>
      </c>
      <c r="X110" s="221" t="str">
        <f t="shared" si="15"/>
        <v>-</v>
      </c>
      <c r="Y110" s="221" t="str">
        <f t="shared" si="16"/>
        <v>-</v>
      </c>
      <c r="Z110" s="270">
        <f t="shared" si="44"/>
        <v>0.1</v>
      </c>
      <c r="AA110" s="271" t="str">
        <f t="shared" si="67"/>
        <v>-</v>
      </c>
      <c r="AB110" s="271" t="str">
        <f t="shared" si="17"/>
        <v>-</v>
      </c>
      <c r="AC110" s="224">
        <f t="shared" si="45"/>
        <v>10</v>
      </c>
      <c r="AD110" s="223" t="str">
        <f t="shared" si="18"/>
        <v>-</v>
      </c>
      <c r="AE110" s="224" t="str">
        <f t="shared" si="46"/>
        <v>-</v>
      </c>
      <c r="AF110" s="224" t="str">
        <f t="shared" si="19"/>
        <v>-</v>
      </c>
      <c r="AG110" s="224" t="str">
        <f t="shared" si="20"/>
        <v>-</v>
      </c>
      <c r="AH110" s="272">
        <f t="shared" si="47"/>
        <v>0.1</v>
      </c>
      <c r="AI110" s="271" t="str">
        <f t="shared" si="21"/>
        <v>-</v>
      </c>
      <c r="AJ110" s="271" t="str">
        <f t="shared" si="48"/>
        <v>-</v>
      </c>
      <c r="AK110" s="227">
        <f t="shared" si="49"/>
        <v>10</v>
      </c>
      <c r="AL110" s="226" t="str">
        <f t="shared" si="22"/>
        <v>-</v>
      </c>
      <c r="AM110" s="227" t="str">
        <f t="shared" si="50"/>
        <v>-</v>
      </c>
      <c r="AN110" s="227" t="str">
        <f t="shared" si="51"/>
        <v>-</v>
      </c>
      <c r="AO110" s="227" t="str">
        <f t="shared" si="23"/>
        <v>-</v>
      </c>
      <c r="AP110" s="273">
        <f t="shared" si="52"/>
        <v>0.1</v>
      </c>
      <c r="AQ110" s="271" t="str">
        <f t="shared" si="53"/>
        <v>-</v>
      </c>
      <c r="AR110" s="271" t="str">
        <f t="shared" si="54"/>
        <v>-</v>
      </c>
      <c r="AS110" s="274">
        <f t="shared" si="24"/>
        <v>0</v>
      </c>
      <c r="AT110" s="274">
        <f t="shared" si="25"/>
        <v>0</v>
      </c>
      <c r="AU110" s="274">
        <f t="shared" si="26"/>
        <v>0</v>
      </c>
      <c r="AV110" s="275">
        <f>IF($B110&lt;$F$22,SUM($T$100:$T110),"")</f>
        <v>0</v>
      </c>
      <c r="AW110" s="275" t="str">
        <f t="shared" si="55"/>
        <v>-</v>
      </c>
      <c r="AX110" s="275" t="str">
        <f t="shared" si="56"/>
        <v/>
      </c>
      <c r="AY110"/>
      <c r="AZ110" s="275" t="str">
        <f ca="1">IF(ISNUMBER(OFFSET(AV110,-$F$21,0)),SUM(OFFSET($T$100,$F$21,0):$T110),"")</f>
        <v/>
      </c>
      <c r="BA110" s="275" t="str">
        <f t="shared" ca="1" si="27"/>
        <v/>
      </c>
      <c r="BB110" s="275" t="str">
        <f t="shared" ca="1" si="57"/>
        <v/>
      </c>
      <c r="BC110" s="190"/>
      <c r="BD110" s="275" t="str">
        <f ca="1">IFERROR(IF(OR(ISNUMBER(I),ISNUMBER($F$14)),IF(AND($B110&gt;=($F$16-$F$15),$B110&lt;$F$22+($F$16-$F$15)),SUM(OFFSET($T$100,($F$16-$F$15),0):$T110),""),""),"")</f>
        <v/>
      </c>
      <c r="BE110" s="275" t="str">
        <f t="shared" ca="1" si="58"/>
        <v/>
      </c>
      <c r="BF110" s="275" t="str">
        <f t="shared" ca="1" si="59"/>
        <v/>
      </c>
      <c r="BG110"/>
      <c r="BH110" s="190" t="str">
        <f ca="1">IF(ISNUMBER(OFFSET(BD110,-$F$21,0)),SUM(OFFSET($T$100,($F$16-$F$15+$F$21),0):$T110),"")</f>
        <v/>
      </c>
      <c r="BI110" s="190" t="str">
        <f t="shared" ca="1" si="28"/>
        <v/>
      </c>
      <c r="BJ110" s="190" t="str">
        <f t="shared" ca="1" si="60"/>
        <v/>
      </c>
      <c r="BK110" s="190"/>
      <c r="BL110" s="275" t="str">
        <f ca="1">IFERROR(IF(OR(ISNUMBER(I),ISNUMBER($F$14)),IF(AND($B110&gt;=($F$17-$F$15),$B110&lt;$F$22+($F$17-$F$15)),SUM(OFFSET($T$100,($F$17-$F$15),0):$T110),""),""),"")</f>
        <v/>
      </c>
      <c r="BM110" s="275" t="str">
        <f t="shared" ca="1" si="29"/>
        <v/>
      </c>
      <c r="BN110" s="275" t="str">
        <f t="shared" ca="1" si="61"/>
        <v/>
      </c>
      <c r="BO110"/>
      <c r="BP110" s="275" t="str">
        <f ca="1">IF(ISNUMBER(OFFSET(BL110,-$F$21,0)),SUM(OFFSET($T$100,($F$17-$F$15+$F$21),0):$T110),"")</f>
        <v/>
      </c>
      <c r="BQ110" s="275" t="str">
        <f t="shared" ca="1" si="62"/>
        <v/>
      </c>
      <c r="BR110" s="275" t="str">
        <f t="shared" ca="1" si="63"/>
        <v/>
      </c>
      <c r="BS110" s="190"/>
      <c r="BT110"/>
      <c r="BU110" s="276" t="str">
        <f t="shared" si="64"/>
        <v>end</v>
      </c>
      <c r="BV110" s="277">
        <v>10</v>
      </c>
      <c r="BW110" s="278" t="str">
        <f t="shared" si="69"/>
        <v/>
      </c>
      <c r="BX110" s="278" t="str">
        <f t="shared" si="68"/>
        <v/>
      </c>
      <c r="BY110" s="279" t="str">
        <f t="shared" si="65"/>
        <v/>
      </c>
      <c r="BZ110"/>
      <c r="CA110" s="284" t="str">
        <f t="shared" si="30"/>
        <v>-</v>
      </c>
      <c r="CB110" s="285" t="str">
        <f t="shared" si="31"/>
        <v>-</v>
      </c>
      <c r="CC110" s="285" t="str">
        <f t="shared" si="32"/>
        <v>10-11</v>
      </c>
      <c r="CD110" s="286" t="str">
        <f t="shared" si="33"/>
        <v/>
      </c>
      <c r="CE110" s="287" t="str">
        <f t="shared" si="34"/>
        <v>-</v>
      </c>
      <c r="CF110" s="285" t="str">
        <f t="shared" ca="1" si="35"/>
        <v>-</v>
      </c>
      <c r="CG110" s="285" t="str">
        <f t="shared" si="36"/>
        <v>10-11</v>
      </c>
      <c r="CH110" s="288" t="str">
        <f t="shared" ca="1" si="37"/>
        <v/>
      </c>
      <c r="CJ110" s="99"/>
      <c r="CK110" s="99"/>
      <c r="CL110" s="99"/>
      <c r="CM110" s="99"/>
      <c r="CN110" s="99"/>
      <c r="CO110" s="99"/>
    </row>
    <row r="111" spans="2:93" ht="13.5" customHeight="1" x14ac:dyDescent="0.2">
      <c r="B111" s="262">
        <v>11</v>
      </c>
      <c r="C111" s="237" t="str">
        <f t="shared" si="1"/>
        <v/>
      </c>
      <c r="D111" s="237" t="str">
        <f t="shared" si="66"/>
        <v>-</v>
      </c>
      <c r="E111" s="263" t="str">
        <f t="shared" si="38"/>
        <v/>
      </c>
      <c r="F111" s="264" t="str">
        <f t="shared" si="39"/>
        <v/>
      </c>
      <c r="G111" s="264" t="str">
        <f t="shared" si="40"/>
        <v/>
      </c>
      <c r="H111" s="240" t="str">
        <f t="shared" si="41"/>
        <v/>
      </c>
      <c r="I111" s="265" t="str">
        <f t="shared" si="2"/>
        <v/>
      </c>
      <c r="J111" s="265" t="str">
        <f t="shared" si="3"/>
        <v/>
      </c>
      <c r="K111" s="240" t="str">
        <f t="shared" si="4"/>
        <v/>
      </c>
      <c r="L111" s="265" t="str">
        <f t="shared" si="5"/>
        <v/>
      </c>
      <c r="M111" s="265" t="str">
        <f t="shared" si="6"/>
        <v/>
      </c>
      <c r="N111" s="240" t="str">
        <f t="shared" si="7"/>
        <v>-</v>
      </c>
      <c r="O111" s="265" t="str">
        <f t="shared" si="8"/>
        <v>-</v>
      </c>
      <c r="P111" s="265" t="str">
        <f t="shared" si="9"/>
        <v>-</v>
      </c>
      <c r="Q111" s="266" t="str">
        <f t="shared" si="10"/>
        <v>-</v>
      </c>
      <c r="R111" s="267" t="str">
        <f t="shared" si="11"/>
        <v>-</v>
      </c>
      <c r="S111" s="268" t="str">
        <f t="shared" si="12"/>
        <v>-</v>
      </c>
      <c r="T111" s="269" t="str">
        <f t="shared" si="13"/>
        <v/>
      </c>
      <c r="U111" s="221">
        <f t="shared" si="14"/>
        <v>11</v>
      </c>
      <c r="V111" s="220" t="str">
        <f t="shared" si="42"/>
        <v>-</v>
      </c>
      <c r="W111" s="221" t="str">
        <f t="shared" si="43"/>
        <v>-</v>
      </c>
      <c r="X111" s="221" t="str">
        <f t="shared" si="15"/>
        <v>-</v>
      </c>
      <c r="Y111" s="221" t="str">
        <f t="shared" si="16"/>
        <v>-</v>
      </c>
      <c r="Z111" s="270">
        <f t="shared" si="44"/>
        <v>0.1</v>
      </c>
      <c r="AA111" s="271" t="str">
        <f t="shared" si="67"/>
        <v>-</v>
      </c>
      <c r="AB111" s="271" t="str">
        <f t="shared" si="17"/>
        <v>-</v>
      </c>
      <c r="AC111" s="224">
        <f t="shared" si="45"/>
        <v>11</v>
      </c>
      <c r="AD111" s="223" t="str">
        <f t="shared" si="18"/>
        <v>-</v>
      </c>
      <c r="AE111" s="224" t="str">
        <f t="shared" si="46"/>
        <v>-</v>
      </c>
      <c r="AF111" s="224" t="str">
        <f t="shared" si="19"/>
        <v>-</v>
      </c>
      <c r="AG111" s="224" t="str">
        <f t="shared" si="20"/>
        <v>-</v>
      </c>
      <c r="AH111" s="272">
        <f t="shared" si="47"/>
        <v>0.1</v>
      </c>
      <c r="AI111" s="271" t="str">
        <f t="shared" si="21"/>
        <v>-</v>
      </c>
      <c r="AJ111" s="271" t="str">
        <f t="shared" si="48"/>
        <v>-</v>
      </c>
      <c r="AK111" s="227">
        <f t="shared" si="49"/>
        <v>11</v>
      </c>
      <c r="AL111" s="226" t="str">
        <f t="shared" si="22"/>
        <v>-</v>
      </c>
      <c r="AM111" s="227" t="str">
        <f t="shared" si="50"/>
        <v>-</v>
      </c>
      <c r="AN111" s="227" t="str">
        <f t="shared" si="51"/>
        <v>-</v>
      </c>
      <c r="AO111" s="227" t="str">
        <f t="shared" si="23"/>
        <v>-</v>
      </c>
      <c r="AP111" s="273">
        <f t="shared" si="52"/>
        <v>0.1</v>
      </c>
      <c r="AQ111" s="271" t="str">
        <f t="shared" si="53"/>
        <v>-</v>
      </c>
      <c r="AR111" s="271" t="str">
        <f t="shared" si="54"/>
        <v>-</v>
      </c>
      <c r="AS111" s="274">
        <f t="shared" si="24"/>
        <v>0</v>
      </c>
      <c r="AT111" s="274">
        <f t="shared" si="25"/>
        <v>0</v>
      </c>
      <c r="AU111" s="274">
        <f t="shared" si="26"/>
        <v>0</v>
      </c>
      <c r="AV111" s="275">
        <f>IF($B111&lt;$F$22,SUM($T$100:$T111),"")</f>
        <v>0</v>
      </c>
      <c r="AW111" s="275" t="str">
        <f t="shared" si="55"/>
        <v>-</v>
      </c>
      <c r="AX111" s="275" t="str">
        <f t="shared" si="56"/>
        <v/>
      </c>
      <c r="AY111"/>
      <c r="AZ111" s="275" t="str">
        <f ca="1">IF(ISNUMBER(OFFSET(AV111,-$F$21,0)),SUM(OFFSET($T$100,$F$21,0):$T111),"")</f>
        <v/>
      </c>
      <c r="BA111" s="275" t="str">
        <f t="shared" ca="1" si="27"/>
        <v/>
      </c>
      <c r="BB111" s="275" t="str">
        <f t="shared" ca="1" si="57"/>
        <v/>
      </c>
      <c r="BC111" s="190"/>
      <c r="BD111" s="275" t="str">
        <f ca="1">IFERROR(IF(OR(ISNUMBER(I),ISNUMBER($F$14)),IF(AND($B111&gt;=($F$16-$F$15),$B111&lt;$F$22+($F$16-$F$15)),SUM(OFFSET($T$100,($F$16-$F$15),0):$T111),""),""),"")</f>
        <v/>
      </c>
      <c r="BE111" s="275" t="str">
        <f t="shared" ca="1" si="58"/>
        <v/>
      </c>
      <c r="BF111" s="275" t="str">
        <f t="shared" ca="1" si="59"/>
        <v/>
      </c>
      <c r="BG111"/>
      <c r="BH111" s="190" t="str">
        <f ca="1">IF(ISNUMBER(OFFSET(BD111,-$F$21,0)),SUM(OFFSET($T$100,($F$16-$F$15+$F$21),0):$T111),"")</f>
        <v/>
      </c>
      <c r="BI111" s="190" t="str">
        <f t="shared" ca="1" si="28"/>
        <v/>
      </c>
      <c r="BJ111" s="190" t="str">
        <f t="shared" ca="1" si="60"/>
        <v/>
      </c>
      <c r="BK111" s="190"/>
      <c r="BL111" s="275" t="str">
        <f ca="1">IFERROR(IF(OR(ISNUMBER(I),ISNUMBER($F$14)),IF(AND($B111&gt;=($F$17-$F$15),$B111&lt;$F$22+($F$17-$F$15)),SUM(OFFSET($T$100,($F$17-$F$15),0):$T111),""),""),"")</f>
        <v/>
      </c>
      <c r="BM111" s="275" t="str">
        <f t="shared" ca="1" si="29"/>
        <v/>
      </c>
      <c r="BN111" s="275" t="str">
        <f t="shared" ca="1" si="61"/>
        <v/>
      </c>
      <c r="BO111"/>
      <c r="BP111" s="275" t="str">
        <f ca="1">IF(ISNUMBER(OFFSET(BL111,-$F$21,0)),SUM(OFFSET($T$100,($F$17-$F$15+$F$21),0):$T111),"")</f>
        <v/>
      </c>
      <c r="BQ111" s="275" t="str">
        <f t="shared" ca="1" si="62"/>
        <v/>
      </c>
      <c r="BR111" s="275" t="str">
        <f t="shared" ca="1" si="63"/>
        <v/>
      </c>
      <c r="BS111" s="190"/>
      <c r="BT111"/>
      <c r="BU111" s="276" t="str">
        <f t="shared" si="64"/>
        <v>end</v>
      </c>
      <c r="BV111" s="277">
        <v>11</v>
      </c>
      <c r="BW111" s="278" t="str">
        <f t="shared" si="69"/>
        <v/>
      </c>
      <c r="BX111" s="278" t="str">
        <f t="shared" si="68"/>
        <v/>
      </c>
      <c r="BY111" s="279" t="str">
        <f t="shared" si="65"/>
        <v/>
      </c>
      <c r="BZ111"/>
      <c r="CA111" s="284" t="str">
        <f t="shared" si="30"/>
        <v>-</v>
      </c>
      <c r="CB111" s="285" t="str">
        <f t="shared" si="31"/>
        <v>-</v>
      </c>
      <c r="CC111" s="285" t="str">
        <f t="shared" si="32"/>
        <v>11-12</v>
      </c>
      <c r="CD111" s="286" t="str">
        <f t="shared" si="33"/>
        <v/>
      </c>
      <c r="CE111" s="287" t="str">
        <f t="shared" si="34"/>
        <v>-</v>
      </c>
      <c r="CF111" s="285" t="str">
        <f t="shared" ca="1" si="35"/>
        <v>-</v>
      </c>
      <c r="CG111" s="285" t="str">
        <f t="shared" si="36"/>
        <v>11-12</v>
      </c>
      <c r="CH111" s="288" t="str">
        <f t="shared" ca="1" si="37"/>
        <v/>
      </c>
      <c r="CJ111" s="99"/>
      <c r="CK111" s="99"/>
      <c r="CL111" s="99"/>
      <c r="CM111" s="99"/>
      <c r="CN111" s="99"/>
      <c r="CO111" s="99"/>
    </row>
    <row r="112" spans="2:93" ht="13.5" customHeight="1" x14ac:dyDescent="0.2">
      <c r="B112" s="262">
        <v>12</v>
      </c>
      <c r="C112" s="237" t="str">
        <f t="shared" si="1"/>
        <v/>
      </c>
      <c r="D112" s="237" t="str">
        <f t="shared" si="66"/>
        <v>-</v>
      </c>
      <c r="E112" s="263" t="str">
        <f t="shared" si="38"/>
        <v/>
      </c>
      <c r="F112" s="264" t="str">
        <f t="shared" si="39"/>
        <v/>
      </c>
      <c r="G112" s="264" t="str">
        <f t="shared" si="40"/>
        <v/>
      </c>
      <c r="H112" s="240" t="str">
        <f t="shared" si="41"/>
        <v/>
      </c>
      <c r="I112" s="265" t="str">
        <f t="shared" si="2"/>
        <v/>
      </c>
      <c r="J112" s="265" t="str">
        <f t="shared" si="3"/>
        <v/>
      </c>
      <c r="K112" s="240" t="str">
        <f t="shared" si="4"/>
        <v/>
      </c>
      <c r="L112" s="265" t="str">
        <f t="shared" si="5"/>
        <v/>
      </c>
      <c r="M112" s="265" t="str">
        <f t="shared" si="6"/>
        <v/>
      </c>
      <c r="N112" s="240" t="str">
        <f t="shared" si="7"/>
        <v>-</v>
      </c>
      <c r="O112" s="265" t="str">
        <f t="shared" si="8"/>
        <v>-</v>
      </c>
      <c r="P112" s="265" t="str">
        <f t="shared" si="9"/>
        <v>-</v>
      </c>
      <c r="Q112" s="266" t="str">
        <f t="shared" si="10"/>
        <v>-</v>
      </c>
      <c r="R112" s="267" t="str">
        <f t="shared" si="11"/>
        <v>-</v>
      </c>
      <c r="S112" s="268" t="str">
        <f t="shared" si="12"/>
        <v>-</v>
      </c>
      <c r="T112" s="269" t="str">
        <f t="shared" si="13"/>
        <v/>
      </c>
      <c r="U112" s="221">
        <f t="shared" si="14"/>
        <v>12</v>
      </c>
      <c r="V112" s="220" t="str">
        <f t="shared" si="42"/>
        <v>-</v>
      </c>
      <c r="W112" s="221" t="str">
        <f t="shared" si="43"/>
        <v>-</v>
      </c>
      <c r="X112" s="221" t="str">
        <f t="shared" si="15"/>
        <v>-</v>
      </c>
      <c r="Y112" s="221" t="str">
        <f t="shared" si="16"/>
        <v>-</v>
      </c>
      <c r="Z112" s="270">
        <f t="shared" si="44"/>
        <v>0.1</v>
      </c>
      <c r="AA112" s="271" t="str">
        <f t="shared" si="67"/>
        <v>-</v>
      </c>
      <c r="AB112" s="271" t="str">
        <f t="shared" si="17"/>
        <v>-</v>
      </c>
      <c r="AC112" s="224">
        <f t="shared" si="45"/>
        <v>12</v>
      </c>
      <c r="AD112" s="223" t="str">
        <f t="shared" si="18"/>
        <v>-</v>
      </c>
      <c r="AE112" s="224" t="str">
        <f t="shared" si="46"/>
        <v>-</v>
      </c>
      <c r="AF112" s="224" t="str">
        <f t="shared" si="19"/>
        <v>-</v>
      </c>
      <c r="AG112" s="224" t="str">
        <f t="shared" si="20"/>
        <v>-</v>
      </c>
      <c r="AH112" s="272">
        <f t="shared" si="47"/>
        <v>0.1</v>
      </c>
      <c r="AI112" s="271" t="str">
        <f t="shared" si="21"/>
        <v>-</v>
      </c>
      <c r="AJ112" s="271" t="str">
        <f t="shared" si="48"/>
        <v>-</v>
      </c>
      <c r="AK112" s="227">
        <f t="shared" si="49"/>
        <v>12</v>
      </c>
      <c r="AL112" s="226" t="str">
        <f t="shared" si="22"/>
        <v>-</v>
      </c>
      <c r="AM112" s="227" t="str">
        <f t="shared" si="50"/>
        <v>-</v>
      </c>
      <c r="AN112" s="227" t="str">
        <f t="shared" si="51"/>
        <v>-</v>
      </c>
      <c r="AO112" s="227" t="str">
        <f t="shared" si="23"/>
        <v>-</v>
      </c>
      <c r="AP112" s="273">
        <f t="shared" si="52"/>
        <v>0.1</v>
      </c>
      <c r="AQ112" s="271" t="str">
        <f t="shared" si="53"/>
        <v>-</v>
      </c>
      <c r="AR112" s="271" t="str">
        <f t="shared" si="54"/>
        <v>-</v>
      </c>
      <c r="AS112" s="274">
        <f t="shared" si="24"/>
        <v>0</v>
      </c>
      <c r="AT112" s="274">
        <f t="shared" si="25"/>
        <v>0</v>
      </c>
      <c r="AU112" s="274">
        <f t="shared" si="26"/>
        <v>0</v>
      </c>
      <c r="AV112" s="275">
        <f>IF($B112&lt;$F$22,SUM($T$100:$T112),"")</f>
        <v>0</v>
      </c>
      <c r="AW112" s="275" t="str">
        <f t="shared" si="55"/>
        <v>-</v>
      </c>
      <c r="AX112" s="275" t="str">
        <f t="shared" si="56"/>
        <v/>
      </c>
      <c r="AY112"/>
      <c r="AZ112" s="275" t="str">
        <f ca="1">IF(ISNUMBER(OFFSET(AV112,-$F$21,0)),SUM(OFFSET($T$100,$F$21,0):$T112),"")</f>
        <v/>
      </c>
      <c r="BA112" s="275" t="str">
        <f t="shared" ca="1" si="27"/>
        <v/>
      </c>
      <c r="BB112" s="275" t="str">
        <f t="shared" ca="1" si="57"/>
        <v/>
      </c>
      <c r="BC112" s="190"/>
      <c r="BD112" s="275" t="str">
        <f ca="1">IFERROR(IF(OR(ISNUMBER(I),ISNUMBER($F$14)),IF(AND($B112&gt;=($F$16-$F$15),$B112&lt;$F$22+($F$16-$F$15)),SUM(OFFSET($T$100,($F$16-$F$15),0):$T112),""),""),"")</f>
        <v/>
      </c>
      <c r="BE112" s="275" t="str">
        <f t="shared" ca="1" si="58"/>
        <v/>
      </c>
      <c r="BF112" s="275" t="str">
        <f t="shared" ca="1" si="59"/>
        <v/>
      </c>
      <c r="BG112"/>
      <c r="BH112" s="190" t="str">
        <f ca="1">IF(ISNUMBER(OFFSET(BD112,-$F$21,0)),SUM(OFFSET($T$100,($F$16-$F$15+$F$21),0):$T112),"")</f>
        <v/>
      </c>
      <c r="BI112" s="190" t="str">
        <f t="shared" ca="1" si="28"/>
        <v/>
      </c>
      <c r="BJ112" s="190" t="str">
        <f t="shared" ca="1" si="60"/>
        <v/>
      </c>
      <c r="BK112" s="190"/>
      <c r="BL112" s="275" t="str">
        <f ca="1">IFERROR(IF(OR(ISNUMBER(I),ISNUMBER($F$14)),IF(AND($B112&gt;=($F$17-$F$15),$B112&lt;$F$22+($F$17-$F$15)),SUM(OFFSET($T$100,($F$17-$F$15),0):$T112),""),""),"")</f>
        <v/>
      </c>
      <c r="BM112" s="275" t="str">
        <f t="shared" ca="1" si="29"/>
        <v/>
      </c>
      <c r="BN112" s="275" t="str">
        <f t="shared" ca="1" si="61"/>
        <v/>
      </c>
      <c r="BO112"/>
      <c r="BP112" s="275" t="str">
        <f ca="1">IF(ISNUMBER(OFFSET(BL112,-$F$21,0)),SUM(OFFSET($T$100,($F$17-$F$15+$F$21),0):$T112),"")</f>
        <v/>
      </c>
      <c r="BQ112" s="275" t="str">
        <f t="shared" ca="1" si="62"/>
        <v/>
      </c>
      <c r="BR112" s="275" t="str">
        <f t="shared" ca="1" si="63"/>
        <v/>
      </c>
      <c r="BS112" s="190"/>
      <c r="BT112"/>
      <c r="BU112" s="276" t="str">
        <f t="shared" si="64"/>
        <v>end</v>
      </c>
      <c r="BV112" s="277">
        <v>12</v>
      </c>
      <c r="BW112" s="278" t="str">
        <f t="shared" si="69"/>
        <v/>
      </c>
      <c r="BX112" s="278" t="str">
        <f t="shared" si="68"/>
        <v/>
      </c>
      <c r="BY112" s="279" t="str">
        <f t="shared" si="65"/>
        <v/>
      </c>
      <c r="BZ112"/>
      <c r="CA112" s="284" t="str">
        <f t="shared" si="30"/>
        <v>-</v>
      </c>
      <c r="CB112" s="285" t="str">
        <f t="shared" si="31"/>
        <v>-</v>
      </c>
      <c r="CC112" s="285" t="str">
        <f t="shared" si="32"/>
        <v>12-13</v>
      </c>
      <c r="CD112" s="286" t="str">
        <f t="shared" si="33"/>
        <v/>
      </c>
      <c r="CE112" s="287" t="str">
        <f t="shared" si="34"/>
        <v>-</v>
      </c>
      <c r="CF112" s="285" t="str">
        <f t="shared" ca="1" si="35"/>
        <v>-</v>
      </c>
      <c r="CG112" s="285" t="str">
        <f t="shared" si="36"/>
        <v>12-13</v>
      </c>
      <c r="CH112" s="288" t="str">
        <f t="shared" ca="1" si="37"/>
        <v/>
      </c>
      <c r="CJ112" s="99"/>
      <c r="CK112" s="99"/>
      <c r="CL112" s="99"/>
      <c r="CM112" s="99"/>
      <c r="CN112" s="99"/>
      <c r="CO112" s="99"/>
    </row>
    <row r="113" spans="2:93" ht="13.5" customHeight="1" x14ac:dyDescent="0.2">
      <c r="B113" s="262">
        <v>13</v>
      </c>
      <c r="C113" s="237" t="str">
        <f t="shared" si="1"/>
        <v/>
      </c>
      <c r="D113" s="237" t="str">
        <f t="shared" si="66"/>
        <v>-</v>
      </c>
      <c r="E113" s="263" t="str">
        <f t="shared" si="38"/>
        <v/>
      </c>
      <c r="F113" s="289" t="str">
        <f t="shared" si="39"/>
        <v/>
      </c>
      <c r="G113" s="264" t="str">
        <f t="shared" si="40"/>
        <v/>
      </c>
      <c r="H113" s="240" t="str">
        <f>IF(E113&lt;&gt;"",IF($B113&lt;$F$21,"",IF(ISNUMBER(F113),IF(ISNUMBER(I113),(E113*30*50*ffp),""),(E113*30*50*ffp))),"")</f>
        <v/>
      </c>
      <c r="I113" s="265" t="str">
        <f t="shared" si="2"/>
        <v/>
      </c>
      <c r="J113" s="265" t="str">
        <f t="shared" si="3"/>
        <v/>
      </c>
      <c r="K113" s="240" t="str">
        <f t="shared" si="4"/>
        <v/>
      </c>
      <c r="L113" s="265" t="str">
        <f t="shared" si="5"/>
        <v/>
      </c>
      <c r="M113" s="265" t="str">
        <f t="shared" si="6"/>
        <v/>
      </c>
      <c r="N113" s="240" t="str">
        <f t="shared" si="7"/>
        <v>-</v>
      </c>
      <c r="O113" s="265" t="str">
        <f t="shared" si="8"/>
        <v>-</v>
      </c>
      <c r="P113" s="265" t="str">
        <f t="shared" si="9"/>
        <v>-</v>
      </c>
      <c r="Q113" s="266" t="str">
        <f t="shared" si="10"/>
        <v>-</v>
      </c>
      <c r="R113" s="267" t="str">
        <f t="shared" si="11"/>
        <v>-</v>
      </c>
      <c r="S113" s="268" t="str">
        <f t="shared" si="12"/>
        <v>-</v>
      </c>
      <c r="T113" s="269" t="str">
        <f t="shared" si="13"/>
        <v/>
      </c>
      <c r="U113" s="221">
        <f t="shared" si="14"/>
        <v>13</v>
      </c>
      <c r="V113" s="220" t="str">
        <f t="shared" si="42"/>
        <v>-</v>
      </c>
      <c r="W113" s="221" t="str">
        <f t="shared" si="43"/>
        <v>-</v>
      </c>
      <c r="X113" s="221" t="str">
        <f t="shared" si="15"/>
        <v>-</v>
      </c>
      <c r="Y113" s="221" t="str">
        <f t="shared" si="16"/>
        <v>-</v>
      </c>
      <c r="Z113" s="270">
        <f t="shared" si="44"/>
        <v>0.1</v>
      </c>
      <c r="AA113" s="271" t="str">
        <f t="shared" si="67"/>
        <v>-</v>
      </c>
      <c r="AB113" s="271" t="str">
        <f t="shared" si="17"/>
        <v>-</v>
      </c>
      <c r="AC113" s="224">
        <f t="shared" si="45"/>
        <v>13</v>
      </c>
      <c r="AD113" s="223" t="str">
        <f t="shared" si="18"/>
        <v>-</v>
      </c>
      <c r="AE113" s="224" t="str">
        <f t="shared" si="46"/>
        <v>-</v>
      </c>
      <c r="AF113" s="224" t="str">
        <f t="shared" si="19"/>
        <v>-</v>
      </c>
      <c r="AG113" s="224" t="str">
        <f t="shared" si="20"/>
        <v>-</v>
      </c>
      <c r="AH113" s="272">
        <f t="shared" si="47"/>
        <v>0.1</v>
      </c>
      <c r="AI113" s="271" t="str">
        <f t="shared" si="21"/>
        <v>-</v>
      </c>
      <c r="AJ113" s="271" t="str">
        <f>IFERROR(IF(AD113=1,D113*EXP(-(0.04*AF113+0.1*AG113)),IF(AD113=2,D113*EXP(-(0.04*($F$21+AF113)+0.1*(($F$16-$F$15)-$F$21+AG113))),D113*EXP(-(0.04*($F$21*2+AF113)+0.1*((($F$16-$F$15)-$F$21)*2-AG113))))),"-")</f>
        <v>-</v>
      </c>
      <c r="AK113" s="227">
        <f t="shared" si="49"/>
        <v>13</v>
      </c>
      <c r="AL113" s="226" t="str">
        <f t="shared" si="22"/>
        <v>-</v>
      </c>
      <c r="AM113" s="227" t="str">
        <f t="shared" si="50"/>
        <v>-</v>
      </c>
      <c r="AN113" s="227" t="str">
        <f t="shared" si="51"/>
        <v>-</v>
      </c>
      <c r="AO113" s="227" t="str">
        <f t="shared" si="23"/>
        <v>-</v>
      </c>
      <c r="AP113" s="273">
        <f t="shared" si="52"/>
        <v>0.1</v>
      </c>
      <c r="AQ113" s="271" t="str">
        <f t="shared" si="53"/>
        <v>-</v>
      </c>
      <c r="AR113" s="271" t="str">
        <f t="shared" si="54"/>
        <v>-</v>
      </c>
      <c r="AS113" s="274">
        <f t="shared" si="24"/>
        <v>0</v>
      </c>
      <c r="AT113" s="274">
        <f t="shared" si="25"/>
        <v>0</v>
      </c>
      <c r="AU113" s="274">
        <f t="shared" si="26"/>
        <v>0</v>
      </c>
      <c r="AV113" s="275">
        <f>IF($B113&lt;$F$22,SUM($T$100:$T113),"")</f>
        <v>0</v>
      </c>
      <c r="AW113" s="275" t="str">
        <f t="shared" si="55"/>
        <v>-</v>
      </c>
      <c r="AX113" s="275" t="str">
        <f t="shared" si="56"/>
        <v/>
      </c>
      <c r="AY113"/>
      <c r="AZ113" s="275" t="str">
        <f ca="1">IF(ISNUMBER(OFFSET(AV113,-$F$21,0)),SUM(OFFSET($T$100,$F$21,0):$T113),"")</f>
        <v/>
      </c>
      <c r="BA113" s="275" t="str">
        <f t="shared" ca="1" si="27"/>
        <v/>
      </c>
      <c r="BB113" s="275" t="str">
        <f t="shared" ca="1" si="57"/>
        <v/>
      </c>
      <c r="BC113" s="190"/>
      <c r="BD113" s="275" t="str">
        <f ca="1">IFERROR(IF(OR(ISNUMBER(I),ISNUMBER($F$14)),IF(AND($B113&gt;=($F$16-$F$15),$B113&lt;$F$22+($F$16-$F$15)),SUM(OFFSET($T$100,($F$16-$F$15),0):$T113),""),""),"")</f>
        <v/>
      </c>
      <c r="BE113" s="275" t="str">
        <f t="shared" ca="1" si="58"/>
        <v/>
      </c>
      <c r="BF113" s="275" t="str">
        <f t="shared" ca="1" si="59"/>
        <v/>
      </c>
      <c r="BG113"/>
      <c r="BH113" s="190" t="str">
        <f ca="1">IF(ISNUMBER(OFFSET(BD113,-$F$21,0)),SUM(OFFSET($T$100,($F$16-$F$15+$F$21),0):$T113),"")</f>
        <v/>
      </c>
      <c r="BI113" s="190" t="str">
        <f t="shared" ca="1" si="28"/>
        <v/>
      </c>
      <c r="BJ113" s="190" t="str">
        <f t="shared" ca="1" si="60"/>
        <v/>
      </c>
      <c r="BK113" s="190"/>
      <c r="BL113" s="275" t="str">
        <f ca="1">IFERROR(IF(OR(ISNUMBER(I),ISNUMBER($F$14)),IF(AND($B113&gt;=($F$17-$F$15),$B113&lt;$F$22+($F$17-$F$15)),SUM(OFFSET($T$100,($F$17-$F$15),0):$T113),""),""),"")</f>
        <v/>
      </c>
      <c r="BM113" s="275" t="str">
        <f t="shared" ca="1" si="29"/>
        <v/>
      </c>
      <c r="BN113" s="275" t="str">
        <f t="shared" ca="1" si="61"/>
        <v/>
      </c>
      <c r="BO113"/>
      <c r="BP113" s="275" t="str">
        <f ca="1">IF(ISNUMBER(OFFSET(BL113,-$F$21,0)),SUM(OFFSET($T$100,($F$17-$F$15+$F$21),0):$T113),"")</f>
        <v/>
      </c>
      <c r="BQ113" s="275" t="str">
        <f t="shared" ca="1" si="62"/>
        <v/>
      </c>
      <c r="BR113" s="275" t="str">
        <f t="shared" ca="1" si="63"/>
        <v/>
      </c>
      <c r="BS113" s="190"/>
      <c r="BT113"/>
      <c r="BU113" s="276" t="str">
        <f t="shared" si="64"/>
        <v>end</v>
      </c>
      <c r="BV113" s="277">
        <v>13</v>
      </c>
      <c r="BW113" s="278" t="str">
        <f t="shared" si="69"/>
        <v/>
      </c>
      <c r="BX113" s="278" t="str">
        <f t="shared" si="68"/>
        <v/>
      </c>
      <c r="BY113" s="279" t="str">
        <f t="shared" si="65"/>
        <v/>
      </c>
      <c r="BZ113"/>
      <c r="CA113" s="284" t="str">
        <f t="shared" si="30"/>
        <v>-</v>
      </c>
      <c r="CB113" s="285" t="str">
        <f t="shared" si="31"/>
        <v>-</v>
      </c>
      <c r="CC113" s="285" t="str">
        <f t="shared" si="32"/>
        <v>13-14</v>
      </c>
      <c r="CD113" s="286" t="str">
        <f t="shared" si="33"/>
        <v/>
      </c>
      <c r="CE113" s="287" t="str">
        <f t="shared" si="34"/>
        <v>-</v>
      </c>
      <c r="CF113" s="285" t="str">
        <f t="shared" ca="1" si="35"/>
        <v>-</v>
      </c>
      <c r="CG113" s="285" t="str">
        <f t="shared" si="36"/>
        <v>13-14</v>
      </c>
      <c r="CH113" s="288" t="str">
        <f t="shared" ca="1" si="37"/>
        <v/>
      </c>
      <c r="CJ113" s="99"/>
      <c r="CK113" s="99"/>
      <c r="CL113" s="99"/>
      <c r="CM113" s="99"/>
      <c r="CN113" s="99"/>
      <c r="CO113" s="99"/>
    </row>
    <row r="114" spans="2:93" ht="13.5" customHeight="1" x14ac:dyDescent="0.2">
      <c r="B114" s="262">
        <v>14</v>
      </c>
      <c r="C114" s="236" t="str">
        <f t="shared" si="1"/>
        <v/>
      </c>
      <c r="D114" s="237" t="str">
        <f t="shared" si="66"/>
        <v>-</v>
      </c>
      <c r="E114" s="290" t="str">
        <f t="shared" si="38"/>
        <v/>
      </c>
      <c r="F114" s="264" t="str">
        <f t="shared" si="39"/>
        <v/>
      </c>
      <c r="G114" s="291" t="str">
        <f t="shared" si="40"/>
        <v/>
      </c>
      <c r="H114" s="240" t="str">
        <f>IF(E114&lt;&gt;"",IF($B114&lt;$F$21,"",IF(ISNUMBER(F114),IF(ISNUMBER(I114),(E114*30*50*ffp),""),(E114*30*50*ffp))),"")</f>
        <v/>
      </c>
      <c r="I114" s="265" t="str">
        <f t="shared" si="2"/>
        <v/>
      </c>
      <c r="J114" s="265" t="str">
        <f t="shared" si="3"/>
        <v/>
      </c>
      <c r="K114" s="240" t="str">
        <f t="shared" si="4"/>
        <v/>
      </c>
      <c r="L114" s="265" t="str">
        <f t="shared" si="5"/>
        <v/>
      </c>
      <c r="M114" s="265" t="str">
        <f t="shared" si="6"/>
        <v/>
      </c>
      <c r="N114" s="240" t="str">
        <f t="shared" si="7"/>
        <v>-</v>
      </c>
      <c r="O114" s="265" t="str">
        <f t="shared" si="8"/>
        <v>-</v>
      </c>
      <c r="P114" s="265" t="str">
        <f t="shared" si="9"/>
        <v>-</v>
      </c>
      <c r="Q114" s="266" t="str">
        <f t="shared" si="10"/>
        <v>-</v>
      </c>
      <c r="R114" s="267" t="str">
        <f t="shared" si="11"/>
        <v>-</v>
      </c>
      <c r="S114" s="268" t="str">
        <f t="shared" si="12"/>
        <v>-</v>
      </c>
      <c r="T114" s="269" t="str">
        <f t="shared" si="13"/>
        <v/>
      </c>
      <c r="U114" s="221">
        <f t="shared" si="14"/>
        <v>14</v>
      </c>
      <c r="V114" s="220" t="str">
        <f t="shared" si="42"/>
        <v>-</v>
      </c>
      <c r="W114" s="221" t="str">
        <f t="shared" si="43"/>
        <v>-</v>
      </c>
      <c r="X114" s="221" t="str">
        <f t="shared" si="15"/>
        <v>-</v>
      </c>
      <c r="Y114" s="221" t="str">
        <f t="shared" si="16"/>
        <v>-</v>
      </c>
      <c r="Z114" s="270">
        <f t="shared" si="44"/>
        <v>0.1</v>
      </c>
      <c r="AA114" s="271" t="str">
        <f t="shared" si="67"/>
        <v>-</v>
      </c>
      <c r="AB114" s="292" t="str">
        <f t="shared" si="17"/>
        <v>-</v>
      </c>
      <c r="AC114" s="224">
        <f t="shared" si="45"/>
        <v>14</v>
      </c>
      <c r="AD114" s="223" t="str">
        <f t="shared" si="18"/>
        <v>-</v>
      </c>
      <c r="AE114" s="224" t="str">
        <f t="shared" si="46"/>
        <v>-</v>
      </c>
      <c r="AF114" s="224" t="str">
        <f t="shared" si="19"/>
        <v>-</v>
      </c>
      <c r="AG114" s="224" t="str">
        <f t="shared" si="20"/>
        <v>-</v>
      </c>
      <c r="AH114" s="272">
        <f t="shared" si="47"/>
        <v>0.1</v>
      </c>
      <c r="AI114" s="271" t="str">
        <f t="shared" si="21"/>
        <v>-</v>
      </c>
      <c r="AJ114" s="292" t="str">
        <f>IFERROR(IF(AD114=1,D114*EXP(-(0.04*AF114+0.1*AG114)),IF(AD114=2,D114*EXP(-(0.04*($F$21+AF114)+0.1*(($F$16-$F$15)-$F$21+AG114))),D114*EXP(-(0.04*($F$21*2+AF114)+0.1*((($F$16-$F$15)-$F$21)*2-AG114))))),"-")</f>
        <v>-</v>
      </c>
      <c r="AK114" s="227">
        <f t="shared" si="49"/>
        <v>14</v>
      </c>
      <c r="AL114" s="226" t="str">
        <f t="shared" si="22"/>
        <v>-</v>
      </c>
      <c r="AM114" s="227" t="str">
        <f t="shared" si="50"/>
        <v>-</v>
      </c>
      <c r="AN114" s="227" t="str">
        <f t="shared" si="51"/>
        <v>-</v>
      </c>
      <c r="AO114" s="227" t="str">
        <f t="shared" si="23"/>
        <v>-</v>
      </c>
      <c r="AP114" s="273">
        <f t="shared" si="52"/>
        <v>0.1</v>
      </c>
      <c r="AQ114" s="271" t="str">
        <f>IFERROR(IF(AL113=1,D114*EXP(-(0.04*AN113+0.1*AO113)),IF(AL113=2,D114*EXP(-(0.04*($F$21+AN113)+0.1*(($F$16-$F$15)-$F$21+AO113))),D114*EXP(-(0.04*($F$21*2+AN113)+0.1*((($F$16-$F$15)-$F$21)*2-AO113))))),"-")</f>
        <v>-</v>
      </c>
      <c r="AR114" s="292" t="str">
        <f>IFERROR(IF(AL114=1,D114*EXP(-(0.04*AN114+0.1*AO114)),IF(AL114=2,D114*EXP(-(0.04*($F$21+AN114)+0.1*(($F$16-$F$15)-$F$21+AO114))),D114*EXP(-(0.04*($F$21*2+AN114)+0.1*((($F$16-$F$15)-$F$21)*2-AO114))))),"-")</f>
        <v>-</v>
      </c>
      <c r="AS114" s="274">
        <f t="shared" si="24"/>
        <v>0</v>
      </c>
      <c r="AT114" s="274">
        <f t="shared" si="25"/>
        <v>0</v>
      </c>
      <c r="AU114" s="274">
        <f t="shared" si="26"/>
        <v>0</v>
      </c>
      <c r="AV114" s="275">
        <f>IF($B114&lt;$F$22,SUM($T$100:$T114),"")</f>
        <v>0</v>
      </c>
      <c r="AW114" s="275" t="str">
        <f t="shared" si="55"/>
        <v>-</v>
      </c>
      <c r="AX114" s="275" t="str">
        <f t="shared" si="56"/>
        <v/>
      </c>
      <c r="AY114"/>
      <c r="AZ114" s="275" t="str">
        <f ca="1">IF(ISNUMBER(OFFSET(AV114,-$F$21,0)),SUM(OFFSET($T$100,$F$21,0):$T114),"")</f>
        <v/>
      </c>
      <c r="BA114" s="275" t="str">
        <f t="shared" ca="1" si="27"/>
        <v/>
      </c>
      <c r="BB114" s="275" t="str">
        <f t="shared" ca="1" si="57"/>
        <v/>
      </c>
      <c r="BC114" s="190"/>
      <c r="BD114" s="275" t="str">
        <f ca="1">IFERROR(IF(OR(ISNUMBER(I),ISNUMBER($F$14)),IF(AND($B114&gt;=($F$16-$F$15),$B114&lt;$F$22+($F$16-$F$15)),SUM(OFFSET($T$100,($F$16-$F$15),0):$T114),""),""),"")</f>
        <v/>
      </c>
      <c r="BE114" s="275" t="str">
        <f t="shared" ca="1" si="58"/>
        <v/>
      </c>
      <c r="BF114" s="275" t="str">
        <f ca="1">IF(ISNUMBER(BD114),(BD114-BE114)/(3*86400*($B114-($F$16-$F$15)+1))*1000,"")</f>
        <v/>
      </c>
      <c r="BG114"/>
      <c r="BH114" s="190" t="str">
        <f ca="1">IF(ISNUMBER(OFFSET(BD114,-$F$21,0)),SUM(OFFSET($T$100,($F$16-$F$15+$F$21),0):$T114),"")</f>
        <v/>
      </c>
      <c r="BI114" s="190" t="str">
        <f t="shared" ca="1" si="28"/>
        <v/>
      </c>
      <c r="BJ114" s="190" t="str">
        <f t="shared" ca="1" si="60"/>
        <v/>
      </c>
      <c r="BK114" s="190"/>
      <c r="BL114" s="275" t="str">
        <f ca="1">IFERROR(IF(OR(ISNUMBER(I),ISNUMBER($F$14)),IF(AND($B114&gt;=($F$17-$F$15),$B114&lt;$F$22+($F$17-$F$15)),SUM(OFFSET($T$100,($F$17-$F$15),0):$T114),""),""),"")</f>
        <v/>
      </c>
      <c r="BM114" s="275" t="str">
        <f t="shared" ca="1" si="29"/>
        <v/>
      </c>
      <c r="BN114" s="275" t="str">
        <f t="shared" ca="1" si="61"/>
        <v/>
      </c>
      <c r="BO114"/>
      <c r="BP114" s="275" t="str">
        <f ca="1">IF(ISNUMBER(OFFSET(BL114,-$F$21,0)),SUM(OFFSET($T$100,($F$17-$F$15+$F$21),0):$T114),"")</f>
        <v/>
      </c>
      <c r="BQ114" s="275" t="str">
        <f t="shared" ca="1" si="62"/>
        <v/>
      </c>
      <c r="BR114" s="275" t="str">
        <f t="shared" ca="1" si="63"/>
        <v/>
      </c>
      <c r="BS114" s="190"/>
      <c r="BT114"/>
      <c r="BU114" s="276" t="str">
        <f t="shared" si="64"/>
        <v>end</v>
      </c>
      <c r="BV114" s="277">
        <v>14</v>
      </c>
      <c r="BW114" s="278" t="str">
        <f t="shared" si="69"/>
        <v/>
      </c>
      <c r="BX114" s="278" t="str">
        <f t="shared" si="68"/>
        <v/>
      </c>
      <c r="BY114" s="279" t="str">
        <f t="shared" si="65"/>
        <v/>
      </c>
      <c r="BZ114"/>
      <c r="CA114" s="284" t="str">
        <f t="shared" si="30"/>
        <v>-</v>
      </c>
      <c r="CB114" s="285" t="str">
        <f t="shared" si="31"/>
        <v>-</v>
      </c>
      <c r="CC114" s="285" t="str">
        <f t="shared" si="32"/>
        <v>14-15</v>
      </c>
      <c r="CD114" s="286" t="str">
        <f t="shared" si="33"/>
        <v/>
      </c>
      <c r="CE114" s="287" t="str">
        <f t="shared" si="34"/>
        <v>-</v>
      </c>
      <c r="CF114" s="285" t="str">
        <f t="shared" ca="1" si="35"/>
        <v>-</v>
      </c>
      <c r="CG114" s="285" t="str">
        <f t="shared" si="36"/>
        <v>14-15</v>
      </c>
      <c r="CH114" s="288" t="str">
        <f t="shared" ca="1" si="37"/>
        <v/>
      </c>
      <c r="CJ114" s="99"/>
      <c r="CK114" s="99"/>
      <c r="CL114" s="99"/>
      <c r="CM114" s="99"/>
      <c r="CN114" s="99"/>
      <c r="CO114" s="99"/>
    </row>
    <row r="115" spans="2:93" ht="13.5" customHeight="1" x14ac:dyDescent="0.2">
      <c r="B115" s="293">
        <v>15</v>
      </c>
      <c r="C115" s="237" t="str">
        <f t="shared" si="1"/>
        <v/>
      </c>
      <c r="D115" s="237" t="str">
        <f t="shared" si="66"/>
        <v>-</v>
      </c>
      <c r="E115" s="290" t="str">
        <f t="shared" si="38"/>
        <v/>
      </c>
      <c r="F115" s="264" t="str">
        <f t="shared" si="39"/>
        <v/>
      </c>
      <c r="G115" s="291" t="str">
        <f t="shared" si="40"/>
        <v/>
      </c>
      <c r="H115" s="240" t="str">
        <f t="shared" si="41"/>
        <v/>
      </c>
      <c r="I115" s="265" t="str">
        <f t="shared" si="2"/>
        <v/>
      </c>
      <c r="J115" s="265" t="str">
        <f t="shared" si="3"/>
        <v/>
      </c>
      <c r="K115" s="240" t="str">
        <f t="shared" si="4"/>
        <v/>
      </c>
      <c r="L115" s="265" t="str">
        <f t="shared" si="5"/>
        <v/>
      </c>
      <c r="M115" s="265" t="str">
        <f t="shared" si="6"/>
        <v/>
      </c>
      <c r="N115" s="240" t="str">
        <f t="shared" si="7"/>
        <v>-</v>
      </c>
      <c r="O115" s="265" t="str">
        <f t="shared" si="8"/>
        <v>-</v>
      </c>
      <c r="P115" s="265" t="str">
        <f t="shared" si="9"/>
        <v>-</v>
      </c>
      <c r="Q115" s="266" t="str">
        <f t="shared" si="10"/>
        <v>-</v>
      </c>
      <c r="R115" s="267" t="str">
        <f t="shared" si="11"/>
        <v>-</v>
      </c>
      <c r="S115" s="268" t="str">
        <f t="shared" si="12"/>
        <v>-</v>
      </c>
      <c r="T115" s="269" t="str">
        <f t="shared" si="13"/>
        <v/>
      </c>
      <c r="U115" s="221">
        <f t="shared" si="14"/>
        <v>15</v>
      </c>
      <c r="V115" s="220" t="str">
        <f t="shared" si="42"/>
        <v>-</v>
      </c>
      <c r="W115" s="221" t="str">
        <f t="shared" si="43"/>
        <v>-</v>
      </c>
      <c r="X115" s="221" t="str">
        <f t="shared" si="15"/>
        <v>-</v>
      </c>
      <c r="Y115" s="221" t="str">
        <f t="shared" si="16"/>
        <v>-</v>
      </c>
      <c r="Z115" s="270">
        <f t="shared" si="44"/>
        <v>0.1</v>
      </c>
      <c r="AA115" s="292" t="str">
        <f>IFERROR(IF(V114=1,AA100*EXP(-(LN(2)/$D$65+0.04)*X114)*EXP(-(LN(2)/$D$65+0.1)*Y114),IF(V114=2,AA100*EXP(-(LN(2)/$D$65+0.04)*(VLOOKUP(($F$16-$F$15)-1,U99:Y114,4,FALSE)))*EXP(-(LN(2)/$D$65+0.1)*(VLOOKUP(($F$16-$F$15)-1,U99:Y114,5,FALSE)))*EXP(-(LN(2)/$D$65+0.04)*X114)*EXP(-(LN(2)/$D$65+0.1)*Y114),AA100*EXP(-(LN(2)/$D$65+0.04)*(VLOOKUP(($F$16-$F$15)-1,U99:Y114,4,FALSE)))*EXP(-(LN(2)/$D$65+0.1)*(VLOOKUP(($F$16-$F$15)-1,U99:Y114,5,FALSE)))*EXP(-(LN(2)/$D$65+0.04)*(VLOOKUP(($F$16-$F$15)*2-1,U99:Y114,4,FALSE)))*EXP(-(LN(2)/$D$65+0.1)*(VLOOKUP(($F$16-$F$15)*2-1,U99:Y114,5,FALSE)))*EXP(-(LN(2)/$D$65+0.04)*X114)*EXP(-(LN(2)/$D$65+0.1)*Y114))),"-")</f>
        <v>-</v>
      </c>
      <c r="AB115" s="271" t="str">
        <f>IFERROR(IF(V115=1,AB$100*EXP(-(LN(2)/$D$65+0.04)*X115)*EXP(-(LN(2)/$D$65+0.1)*Y115),IF(V115=2,AB$100*EXP(-(LN(2)/$D$65+0.04)*(VLOOKUP(($F$16-$F$15)-1,U$100:Y115,4,FALSE)))*EXP(-(LN(2)/$D$65+0.1)*(VLOOKUP(($F$16-$F$15)-1,U$100:Y115,5,FALSE)))*EXP(-(LN(2)/$D$65+0.04)*X115)*EXP(-(LN(2)/$D$65+0.1)*Y115),IF(V115=3,AB$100*EXP(-(LN(2)/$D$65+0.04)*(VLOOKUP(($F$16-$F$15)-1,U$100:Y115,4,FALSE)))*EXP(-(LN(2)/$D$65+0.1)*(VLOOKUP(($F$16-$F$15)-1,U$100:Y115,5,FALSE)))*EXP(-(LN(2)/$D$65+0.04)*(VLOOKUP(($F$16-$F$15)*2-1,U$100:Y115,4,FALSE)))*EXP(-(LN(2)/$D$65+0.1)*(VLOOKUP(($F$16-$F$15)*2-1,U$100:Y115,5,FALSE)))*EXP(-(LN(2)/$D$65+0.04)*X115)*EXP(-(LN(2)/$D$65+0.1)*Y115),"-"))),"-")</f>
        <v>-</v>
      </c>
      <c r="AC115" s="224">
        <f t="shared" si="45"/>
        <v>15</v>
      </c>
      <c r="AD115" s="223" t="str">
        <f t="shared" si="18"/>
        <v>-</v>
      </c>
      <c r="AE115" s="224" t="str">
        <f t="shared" si="46"/>
        <v>-</v>
      </c>
      <c r="AF115" s="224" t="str">
        <f t="shared" si="19"/>
        <v>-</v>
      </c>
      <c r="AG115" s="224" t="str">
        <f t="shared" si="20"/>
        <v>-</v>
      </c>
      <c r="AH115" s="272">
        <f t="shared" si="47"/>
        <v>0.1</v>
      </c>
      <c r="AI115" s="292" t="str">
        <f>IFERROR(IF(AD114=1,AI100*EXP(-(LN(2)/$D$65+0.04)*AF114)*EXP(-(LN(2)/$D$65+0.1)*AG114),IF(AD114=2,AI100*EXP(-(LN(2)/$D$65+0.04)*(VLOOKUP(($F$16-$F$15)-1,AC99:AG114,4,FALSE)))*EXP(-(LN(2)/$D$65+0.1)*(VLOOKUP(($F$16-$F$15)-1,AC99:AG114,5,FALSE)))*EXP(-(LN(2)/$D$65+0.04)*AF114)*EXP(-(LN(2)/$D$65+0.1)*AG114),AI100*EXP(-(LN(2)/$D$65+0.04)*(VLOOKUP(($F$16-$F$15)-1,AC99:AG114,4,FALSE)))*EXP(-(LN(2)/$D$65+0.1)*(VLOOKUP(($F$16-$F$15)-1,AC99:AG114,5,FALSE)))*EXP(-(LN(2)/$D$65+0.04)*(VLOOKUP(($F$16-$F$15)*2-1,AC99:AG114,4,FALSE)))*EXP(-(LN(2)/$D$65+0.1)*(VLOOKUP(($F$16-$F$15)*2-1,AC99:AG114,5,FALSE)))*EXP(-(LN(2)/$D$65+0.04)*AF114)*EXP(-(LN(2)/$D$65+0.1)*AG114))),"-")</f>
        <v>-</v>
      </c>
      <c r="AJ115" s="271" t="str">
        <f>IFERROR(IF(AD115=1,AJ$100*EXP(-(LN(2)/$D$65+0.04)*AF115)*EXP(-(LN(2)/$D$65+0.1)*AG115),IF(AD115=2,AJ$100*EXP(-(LN(2)/$D$65+0.04)*(VLOOKUP(($F$16-$F$15)-1,AC$100:AG115,4,FALSE)))*EXP(-(LN(2)/$D$65+0.1)*(VLOOKUP(($F$16-$F$15)-1,AC$100:AG115,5,FALSE)))*EXP(-(LN(2)/$D$65+0.04)*AF115)*EXP(-(LN(2)/$D$65+0.1)*AG115),IF(AD115=3,AJ$100*EXP(-(LN(2)/$D$65+0.04)*(VLOOKUP(($F$16-$F$15)-1,AC$100:AG115,4,FALSE)))*EXP(-(LN(2)/$D$65+0.1)*(VLOOKUP(($F$16-$F$15)-1,AC$100:AG115,5,FALSE)))*EXP(-(LN(2)/$D$65+0.04)*(VLOOKUP(($F$16-$F$15)*2-1,AC$100:AG115,4,FALSE)))*EXP(-(LN(2)/$D$65+0.1)*(VLOOKUP(($F$16-$F$15)*2-1,AC$100:AG115,5,FALSE)))*EXP(-(LN(2)/$D$65+0.04)*AF115)*EXP(-(LN(2)/$D$65+0.1)*AG115),"-"))),"-")</f>
        <v>-</v>
      </c>
      <c r="AK115" s="227">
        <f t="shared" si="49"/>
        <v>15</v>
      </c>
      <c r="AL115" s="226" t="str">
        <f t="shared" si="22"/>
        <v>-</v>
      </c>
      <c r="AM115" s="227" t="str">
        <f t="shared" si="50"/>
        <v>-</v>
      </c>
      <c r="AN115" s="227" t="str">
        <f t="shared" si="51"/>
        <v>-</v>
      </c>
      <c r="AO115" s="227" t="str">
        <f t="shared" si="23"/>
        <v>-</v>
      </c>
      <c r="AP115" s="273">
        <f t="shared" si="52"/>
        <v>0.1</v>
      </c>
      <c r="AQ115" s="292" t="str">
        <f>IFERROR(IF(AL114=1,AQ100*EXP(-(LN(2)/$D$65+0.04)*AN114)*EXP(-(LN(2)/$D$65+0.1)*AO114),IF(AL114=2,AQ100*EXP(-(LN(2)/$D$65+0.04)*(VLOOKUP(($F$16-$F$15)-1,AK99:AO114,4,FALSE)))*EXP(-(LN(2)/$D$65+0.1)*(VLOOKUP(($F$16-$F$15)-1,AK99:AO114,5,FALSE)))*EXP(-(LN(2)/$D$65+0.04)*AN114)*EXP(-(LN(2)/$D$65+0.1)*AO114),AQ100*EXP(-(LN(2)/$D$65+0.04)*(VLOOKUP(($F$16-$F$15)-1,AK99:AO114,4,FALSE)))*EXP(-(LN(2)/$D$65+0.1)*(VLOOKUP(($F$16-$F$15)-1,AK99:AO114,5,FALSE)))*EXP(-(LN(2)/$D$65+0.04)*(VLOOKUP(($F$16-$F$15)*2-1,AK99:AO114,4,FALSE)))*EXP(-(LN(2)/$D$65+0.1)*(VLOOKUP(($F$16-$F$15)*2-1,AK99:AO114,5,FALSE)))*EXP(-(LN(2)/$D$65+0.04)*AN114)*EXP(-(LN(2)/$D$65+0.1)*AO114))),"-")</f>
        <v>-</v>
      </c>
      <c r="AR115" s="271" t="str">
        <f>IFERROR(IF(AL115=1,AR$100*EXP(-(LN(2)/$D$65+0.04)*AN115)*EXP(-(LN(2)/$D$65+0.1)*AO115),IF(AL115=2,AR$100*EXP(-(LN(2)/$D$65+0.04)*(VLOOKUP(($F$16-$F$15)-1,AK$100:AO115,4,FALSE)))*EXP(-(LN(2)/$D$65+0.1)*(VLOOKUP(($F$16-$F$15)-1,AK$100:AO115,5,FALSE)))*EXP(-(LN(2)/$D$65+0.04)*AN115)*EXP(-(LN(2)/$D$65+0.1)*AO115),IF(AL115=3,AR$100*EXP(-(LN(2)/$D$65+0.04)*(VLOOKUP(($F$16-$F$15)-1,AK$100:AO115,4,FALSE)))*EXP(-(LN(2)/$D$65+0.1)*(VLOOKUP(($F$16-$F$15)-1,AK$100:AO115,5,FALSE)))*EXP(-(LN(2)/$D$65+0.04)*(VLOOKUP(($F$16-$F$15)*2-1,AK$100:AO115,4,FALSE)))*EXP(-(LN(2)/$D$65+0.1)*(VLOOKUP(($F$16-$F$15)*2-1,AK$100:AO115,5,FALSE)))*EXP(-(LN(2)/$D$65+0.04)*AN115)*EXP(-(LN(2)/$D$65+0.1)*AO115),"-"))),"-")</f>
        <v>-</v>
      </c>
      <c r="AS115" s="294">
        <f t="shared" si="24"/>
        <v>0</v>
      </c>
      <c r="AT115" s="294">
        <f t="shared" si="25"/>
        <v>0</v>
      </c>
      <c r="AU115" s="294">
        <f t="shared" si="26"/>
        <v>0</v>
      </c>
      <c r="AV115" s="275">
        <f>IF($B115&lt;$F$22,SUM($T$100:$T115),"")</f>
        <v>0</v>
      </c>
      <c r="AW115" s="275" t="str">
        <f t="shared" si="55"/>
        <v>-</v>
      </c>
      <c r="AX115" s="275" t="str">
        <f t="shared" si="56"/>
        <v/>
      </c>
      <c r="AY115"/>
      <c r="AZ115" s="275" t="str">
        <f ca="1">IF(ISNUMBER(OFFSET(AV115,-$F$21,0)),SUM(OFFSET($T$100,$F$21,0):$T115),"")</f>
        <v/>
      </c>
      <c r="BA115" s="275" t="str">
        <f t="shared" ca="1" si="27"/>
        <v/>
      </c>
      <c r="BB115" s="275" t="str">
        <f t="shared" ca="1" si="57"/>
        <v/>
      </c>
      <c r="BC115" s="190"/>
      <c r="BD115" s="275" t="str">
        <f ca="1">IFERROR(IF(OR(ISNUMBER(I),ISNUMBER($F$14)),IF(AND($B115&gt;=($F$16-$F$15),$B115&lt;$F$22+($F$16-$F$15)),SUM(OFFSET($T$100,($F$16-$F$15),0):$T115),""),""),"")</f>
        <v/>
      </c>
      <c r="BE115" s="275" t="str">
        <f t="shared" ca="1" si="58"/>
        <v/>
      </c>
      <c r="BF115" s="275" t="str">
        <f t="shared" ca="1" si="59"/>
        <v/>
      </c>
      <c r="BG115"/>
      <c r="BH115" s="190" t="str">
        <f ca="1">IF(ISNUMBER(OFFSET(BD115,-$F$21,0)),SUM(OFFSET($T$100,($F$16-$F$15+$F$21),0):$T115),"")</f>
        <v/>
      </c>
      <c r="BI115" s="190" t="str">
        <f t="shared" ca="1" si="28"/>
        <v/>
      </c>
      <c r="BJ115" s="190" t="str">
        <f t="shared" ca="1" si="60"/>
        <v/>
      </c>
      <c r="BK115" s="190"/>
      <c r="BL115" s="275" t="str">
        <f ca="1">IFERROR(IF(OR(ISNUMBER(I),ISNUMBER($F$14)),IF(AND($B115&gt;=($F$17-$F$15),$B115&lt;$F$22+($F$17-$F$15)),SUM(OFFSET($T$100,($F$17-$F$15),0):$T115),""),""),"")</f>
        <v/>
      </c>
      <c r="BM115" s="275" t="str">
        <f t="shared" ca="1" si="29"/>
        <v/>
      </c>
      <c r="BN115" s="275" t="str">
        <f t="shared" ca="1" si="61"/>
        <v/>
      </c>
      <c r="BO115"/>
      <c r="BP115" s="275" t="str">
        <f ca="1">IF(ISNUMBER(OFFSET(BL115,-$F$21,0)),SUM(OFFSET($T$100,($F$17-$F$15+$F$21),0):$T115),"")</f>
        <v/>
      </c>
      <c r="BQ115" s="275" t="str">
        <f t="shared" ca="1" si="62"/>
        <v/>
      </c>
      <c r="BR115" s="275" t="str">
        <f t="shared" ca="1" si="63"/>
        <v/>
      </c>
      <c r="BS115" s="190"/>
      <c r="BT115"/>
      <c r="BU115" s="276" t="str">
        <f t="shared" si="64"/>
        <v>end</v>
      </c>
      <c r="BV115" s="277">
        <v>15</v>
      </c>
      <c r="BW115" s="278" t="str">
        <f>IF(AND(BU115="end",BU114="end"), "", IF(BU115&lt;&gt;"",MIN(BU114:BU115),""))</f>
        <v/>
      </c>
      <c r="BX115" s="278" t="str">
        <f>IF(AND(BU115="end",BU114="end"), "", IF(BU115&lt;&gt;"",MAX(BU114:BU115),""))</f>
        <v/>
      </c>
      <c r="BY115" s="279" t="str">
        <f t="shared" si="65"/>
        <v/>
      </c>
      <c r="BZ115"/>
      <c r="CA115" s="258" t="str">
        <f t="shared" si="30"/>
        <v>-</v>
      </c>
      <c r="CB115" s="33" t="str">
        <f t="shared" si="31"/>
        <v>-</v>
      </c>
      <c r="CC115" s="33" t="str">
        <f t="shared" si="32"/>
        <v>15-16</v>
      </c>
      <c r="CD115" s="261" t="str">
        <f t="shared" si="33"/>
        <v/>
      </c>
      <c r="CE115" s="258" t="str">
        <f t="shared" si="34"/>
        <v>-</v>
      </c>
      <c r="CF115" s="33" t="str">
        <f t="shared" ca="1" si="35"/>
        <v>-</v>
      </c>
      <c r="CG115" s="33" t="str">
        <f t="shared" si="36"/>
        <v>15-16</v>
      </c>
      <c r="CH115" s="261" t="str">
        <f t="shared" ca="1" si="37"/>
        <v/>
      </c>
      <c r="CI115" s="202"/>
      <c r="CJ115" s="99"/>
      <c r="CK115" s="99"/>
      <c r="CL115" s="99"/>
      <c r="CM115" s="99"/>
      <c r="CN115" s="99"/>
      <c r="CO115" s="99"/>
    </row>
    <row r="116" spans="2:93" ht="13.5" customHeight="1" x14ac:dyDescent="0.2">
      <c r="B116" s="262">
        <v>16</v>
      </c>
      <c r="C116" s="237" t="str">
        <f t="shared" si="1"/>
        <v/>
      </c>
      <c r="D116" s="237" t="str">
        <f t="shared" si="66"/>
        <v>-</v>
      </c>
      <c r="E116" s="290" t="str">
        <f t="shared" si="38"/>
        <v/>
      </c>
      <c r="F116" s="264" t="str">
        <f t="shared" si="39"/>
        <v/>
      </c>
      <c r="G116" s="291" t="str">
        <f t="shared" si="40"/>
        <v/>
      </c>
      <c r="H116" s="240" t="str">
        <f t="shared" si="41"/>
        <v/>
      </c>
      <c r="I116" s="265" t="str">
        <f t="shared" si="2"/>
        <v/>
      </c>
      <c r="J116" s="265" t="str">
        <f t="shared" si="3"/>
        <v/>
      </c>
      <c r="K116" s="240" t="str">
        <f t="shared" si="4"/>
        <v/>
      </c>
      <c r="L116" s="265" t="str">
        <f t="shared" si="5"/>
        <v/>
      </c>
      <c r="M116" s="265" t="str">
        <f t="shared" si="6"/>
        <v/>
      </c>
      <c r="N116" s="240" t="str">
        <f t="shared" si="7"/>
        <v>-</v>
      </c>
      <c r="O116" s="265" t="str">
        <f t="shared" si="8"/>
        <v>-</v>
      </c>
      <c r="P116" s="265" t="str">
        <f t="shared" si="9"/>
        <v>-</v>
      </c>
      <c r="Q116" s="266" t="str">
        <f t="shared" si="10"/>
        <v>-</v>
      </c>
      <c r="R116" s="267" t="str">
        <f t="shared" si="11"/>
        <v>-</v>
      </c>
      <c r="S116" s="268" t="str">
        <f t="shared" si="12"/>
        <v>-</v>
      </c>
      <c r="T116" s="269" t="str">
        <f t="shared" si="13"/>
        <v/>
      </c>
      <c r="U116" s="221">
        <f t="shared" si="14"/>
        <v>16</v>
      </c>
      <c r="V116" s="220" t="str">
        <f t="shared" si="42"/>
        <v>-</v>
      </c>
      <c r="W116" s="221" t="str">
        <f t="shared" si="43"/>
        <v>-</v>
      </c>
      <c r="X116" s="221" t="str">
        <f t="shared" si="15"/>
        <v>-</v>
      </c>
      <c r="Y116" s="221" t="str">
        <f t="shared" si="16"/>
        <v>-</v>
      </c>
      <c r="Z116" s="270">
        <f t="shared" si="44"/>
        <v>0.1</v>
      </c>
      <c r="AA116" s="271" t="str">
        <f>IFERROR(IF(V115=1,AA$100*EXP(-(LN(2)/$D$65+0.04)*X115)*EXP(-(LN(2)/$D$65+0.1)*Y115),IF(V115=2,AA$100*EXP(-(LN(2)/$D$65+0.04)*(VLOOKUP(($F$16-$F$15)-1,U$99:Y115,4,FALSE)))*EXP(-(LN(2)/$D$65+0.1)*(VLOOKUP(($F$16-$F$15)-1,U$99:Y115,5,FALSE)))*EXP(-(LN(2)/$D$65+0.04)*X115)*EXP(-(LN(2)/$D$65+0.1)*Y115),IF(V115=3,AA$100*EXP(-(LN(2)/$D$65+0.04)*(VLOOKUP(($F$16-$F$15)-1,U$99:Y115,4,FALSE)))*EXP(-(LN(2)/$D$65+0.1)*(VLOOKUP(($F$16-$F$15)-1,U$99:Y115,5,FALSE)))*EXP(-(LN(2)/$D$65+0.04)*(VLOOKUP(($F$16-$F$15)*2-1,U$99:Y115,4,FALSE)))*EXP(-(LN(2)/$D$65+0.1)*(VLOOKUP(($F$16-$F$15)*2-1,U$99:Y115,5,FALSE)))*EXP(-(LN(2)/$D$65+0.04)*X115)*EXP(-(LN(2)/$D$65+0.1)*Y115),"-"))),"-")</f>
        <v>-</v>
      </c>
      <c r="AB116" s="271" t="str">
        <f>IFERROR(IF(V116=1,AB$100*EXP(-(LN(2)/$D$65+0.04)*X116)*EXP(-(LN(2)/$D$65+0.1)*Y116),IF(V116=2,AB$100*EXP(-(LN(2)/$D$65+0.04)*(VLOOKUP(($F$16-$F$15)-1,U$100:Y116,4,FALSE)))*EXP(-(LN(2)/$D$65+0.1)*(VLOOKUP(($F$16-$F$15)-1,U$100:Y116,5,FALSE)))*EXP(-(LN(2)/$D$65+0.04)*X116)*EXP(-(LN(2)/$D$65+0.1)*Y116),IF(V116=3,AB$100*EXP(-(LN(2)/$D$65+0.04)*(VLOOKUP(($F$16-$F$15)-1,U$100:Y116,4,FALSE)))*EXP(-(LN(2)/$D$65+0.1)*(VLOOKUP(($F$16-$F$15)-1,U$100:Y116,5,FALSE)))*EXP(-(LN(2)/$D$65+0.04)*(VLOOKUP(($F$16-$F$15)*2-1,U$100:Y116,4,FALSE)))*EXP(-(LN(2)/$D$65+0.1)*(VLOOKUP(($F$16-$F$15)*2-1,U$100:Y116,5,FALSE)))*EXP(-(LN(2)/$D$65+0.04)*X116)*EXP(-(LN(2)/$D$65+0.1)*Y116),"-"))),"-")</f>
        <v>-</v>
      </c>
      <c r="AC116" s="224">
        <f t="shared" si="45"/>
        <v>16</v>
      </c>
      <c r="AD116" s="223" t="str">
        <f t="shared" si="18"/>
        <v>-</v>
      </c>
      <c r="AE116" s="224" t="str">
        <f t="shared" si="46"/>
        <v>-</v>
      </c>
      <c r="AF116" s="224" t="str">
        <f t="shared" si="19"/>
        <v>-</v>
      </c>
      <c r="AG116" s="224" t="str">
        <f t="shared" si="20"/>
        <v>-</v>
      </c>
      <c r="AH116" s="272">
        <f t="shared" si="47"/>
        <v>0.1</v>
      </c>
      <c r="AI116" s="271" t="str">
        <f>IFERROR(IF(AD115=1,AI$100*EXP(-(LN(2)/$D$65+0.04)*AF115)*EXP(-(LN(2)/$D$65+0.1)*AG115),IF(AD115=2,AI$100*EXP(-(LN(2)/$D$65+0.04)*(VLOOKUP(($F$16-$F$15)-1,AC$99:AG115,4,FALSE)))*EXP(-(LN(2)/$D$65+0.1)*(VLOOKUP(($F$16-$F$15)-1,AC$99:AG115,5,FALSE)))*EXP(-(LN(2)/$D$65+0.04)*AF115)*EXP(-(LN(2)/$D$65+0.1)*AG115),IF(AD115=3,AI$100*EXP(-(LN(2)/$D$65+0.04)*(VLOOKUP(($F$16-$F$15)-1,AC$99:AG115,4,FALSE)))*EXP(-(LN(2)/$D$65+0.1)*(VLOOKUP(($F$16-$F$15)-1,AC$99:AG115,5,FALSE)))*EXP(-(LN(2)/$D$65+0.04)*(VLOOKUP(($F$16-$F$15)*2-1,AC$99:AG115,4,FALSE)))*EXP(-(LN(2)/$D$65+0.1)*(VLOOKUP(($F$16-$F$15)*2-1,AC$99:AG115,5,FALSE)))*EXP(-(LN(2)/$D$65+0.04)*AF115)*EXP(-(LN(2)/$D$65+0.1)*AG115),"-"))),"-")</f>
        <v>-</v>
      </c>
      <c r="AJ116" s="271" t="str">
        <f>IFERROR(IF(AD116=1,AJ$100*EXP(-(LN(2)/$D$65+0.04)*AF116)*EXP(-(LN(2)/$D$65+0.1)*AG116),IF(AD116=2,AJ$100*EXP(-(LN(2)/$D$65+0.04)*(VLOOKUP(($F$16-$F$15)-1,AC$100:AG116,4,FALSE)))*EXP(-(LN(2)/$D$65+0.1)*(VLOOKUP(($F$16-$F$15)-1,AC$100:AG116,5,FALSE)))*EXP(-(LN(2)/$D$65+0.04)*AF116)*EXP(-(LN(2)/$D$65+0.1)*AG116),IF(AD116=3,AJ$100*EXP(-(LN(2)/$D$65+0.04)*(VLOOKUP(($F$16-$F$15)-1,AC$100:AG116,4,FALSE)))*EXP(-(LN(2)/$D$65+0.1)*(VLOOKUP(($F$16-$F$15)-1,AC$100:AG116,5,FALSE)))*EXP(-(LN(2)/$D$65+0.04)*(VLOOKUP(($F$16-$F$15)*2-1,AC$100:AG116,4,FALSE)))*EXP(-(LN(2)/$D$65+0.1)*(VLOOKUP(($F$16-$F$15)*2-1,AC$100:AG116,5,FALSE)))*EXP(-(LN(2)/$D$65+0.04)*AF116)*EXP(-(LN(2)/$D$65+0.1)*AG116),"-"))),"-")</f>
        <v>-</v>
      </c>
      <c r="AK116" s="227">
        <f t="shared" si="49"/>
        <v>16</v>
      </c>
      <c r="AL116" s="226" t="str">
        <f t="shared" si="22"/>
        <v>-</v>
      </c>
      <c r="AM116" s="227" t="str">
        <f t="shared" si="50"/>
        <v>-</v>
      </c>
      <c r="AN116" s="227" t="str">
        <f t="shared" si="51"/>
        <v>-</v>
      </c>
      <c r="AO116" s="227" t="str">
        <f t="shared" si="23"/>
        <v>-</v>
      </c>
      <c r="AP116" s="273">
        <f t="shared" si="52"/>
        <v>0.1</v>
      </c>
      <c r="AQ116" s="271" t="str">
        <f>IFERROR(IF(AL115=1,AQ$100*EXP(-(LN(2)/$D$65+0.04)*AN115)*EXP(-(LN(2)/$D$65+0.1)*AO115),IF(AL115=2,AQ$100*EXP(-(LN(2)/$D$65+0.04)*(VLOOKUP(($F$16-$F$15)-1,AK$99:AO115,4,FALSE)))*EXP(-(LN(2)/$D$65+0.1)*(VLOOKUP(($F$16-$F$15)-1,AK$99:AO115,5,FALSE)))*EXP(-(LN(2)/$D$65+0.04)*AN115)*EXP(-(LN(2)/$D$65+0.1)*AO115),IF(AL115=3,AQ$100*EXP(-(LN(2)/$D$65+0.04)*(VLOOKUP(($F$16-$F$15)-1,AK$99:AO115,4,FALSE)))*EXP(-(LN(2)/$D$65+0.1)*(VLOOKUP(($F$16-$F$15)-1,AK$99:AO115,5,FALSE)))*EXP(-(LN(2)/$D$65+0.04)*(VLOOKUP(($F$16-$F$15)*2-1,AK$99:AO115,4,FALSE)))*EXP(-(LN(2)/$D$65+0.1)*(VLOOKUP(($F$16-$F$15)*2-1,AK$99:AO115,5,FALSE)))*EXP(-(LN(2)/$D$65+0.04)*AN115)*EXP(-(LN(2)/$D$65+0.1)*AO115),"-"))),"-")</f>
        <v>-</v>
      </c>
      <c r="AR116" s="271" t="str">
        <f>IFERROR(IF(AL116=1,AR$100*EXP(-(LN(2)/$D$65+0.04)*AN116)*EXP(-(LN(2)/$D$65+0.1)*AO116),IF(AL116=2,AR$100*EXP(-(LN(2)/$D$65+0.04)*(VLOOKUP(($F$16-$F$15)-1,AK$100:AO116,4,FALSE)))*EXP(-(LN(2)/$D$65+0.1)*(VLOOKUP(($F$16-$F$15)-1,AK$100:AO116,5,FALSE)))*EXP(-(LN(2)/$D$65+0.04)*AN116)*EXP(-(LN(2)/$D$65+0.1)*AO116),IF(AL116=3,AR$100*EXP(-(LN(2)/$D$65+0.04)*(VLOOKUP(($F$16-$F$15)-1,AK$100:AO116,4,FALSE)))*EXP(-(LN(2)/$D$65+0.1)*(VLOOKUP(($F$16-$F$15)-1,AK$100:AO116,5,FALSE)))*EXP(-(LN(2)/$D$65+0.04)*(VLOOKUP(($F$16-$F$15)*2-1,AK$100:AO116,4,FALSE)))*EXP(-(LN(2)/$D$65+0.1)*(VLOOKUP(($F$16-$F$15)*2-1,AK$100:AO116,5,FALSE)))*EXP(-(LN(2)/$D$65+0.04)*AN116)*EXP(-(LN(2)/$D$65+0.1)*AO116),"-"))),"-")</f>
        <v>-</v>
      </c>
      <c r="AS116" s="274">
        <f t="shared" si="24"/>
        <v>0</v>
      </c>
      <c r="AT116" s="274">
        <f t="shared" si="25"/>
        <v>0</v>
      </c>
      <c r="AU116" s="274">
        <f t="shared" si="26"/>
        <v>0</v>
      </c>
      <c r="AV116" s="275">
        <f>IF($B116&lt;$F$22,SUM($T$100:$T116),"")</f>
        <v>0</v>
      </c>
      <c r="AW116" s="275" t="str">
        <f t="shared" si="55"/>
        <v>-</v>
      </c>
      <c r="AX116" s="275" t="str">
        <f t="shared" si="56"/>
        <v/>
      </c>
      <c r="AY116"/>
      <c r="AZ116" s="275" t="str">
        <f ca="1">IF(ISNUMBER(OFFSET(AV116,-$F$21,0)),SUM(OFFSET($T$100,$F$21,0):$T116),"")</f>
        <v/>
      </c>
      <c r="BA116" s="275" t="str">
        <f t="shared" ca="1" si="27"/>
        <v/>
      </c>
      <c r="BB116" s="275" t="str">
        <f t="shared" ca="1" si="57"/>
        <v/>
      </c>
      <c r="BC116" s="190"/>
      <c r="BD116" s="275" t="str">
        <f ca="1">IFERROR(IF(OR(ISNUMBER(I),ISNUMBER($F$14)),IF(AND($B116&gt;=($F$16-$F$15),$B116&lt;$F$22+($F$16-$F$15)),SUM(OFFSET($T$100,($F$16-$F$15),0):$T116),""),""),"")</f>
        <v/>
      </c>
      <c r="BE116" s="275" t="str">
        <f t="shared" ca="1" si="58"/>
        <v/>
      </c>
      <c r="BF116" s="275" t="str">
        <f t="shared" ca="1" si="59"/>
        <v/>
      </c>
      <c r="BG116"/>
      <c r="BH116" s="190" t="str">
        <f ca="1">IF(ISNUMBER(OFFSET(BD116,-$F$21,0)),SUM(OFFSET($T$100,($F$16-$F$15+$F$21),0):$T116),"")</f>
        <v/>
      </c>
      <c r="BI116" s="190" t="str">
        <f t="shared" ca="1" si="28"/>
        <v/>
      </c>
      <c r="BJ116" s="190" t="str">
        <f t="shared" ca="1" si="60"/>
        <v/>
      </c>
      <c r="BK116" s="190"/>
      <c r="BL116" s="275" t="str">
        <f ca="1">IFERROR(IF(OR(ISNUMBER(I),ISNUMBER($F$14)),IF(AND($B116&gt;=($F$17-$F$15),$B116&lt;$F$22+($F$17-$F$15)),SUM(OFFSET($T$100,($F$17-$F$15),0):$T116),""),""),"")</f>
        <v/>
      </c>
      <c r="BM116" s="275" t="str">
        <f t="shared" ca="1" si="29"/>
        <v/>
      </c>
      <c r="BN116" s="275" t="str">
        <f t="shared" ca="1" si="61"/>
        <v/>
      </c>
      <c r="BO116"/>
      <c r="BP116" s="275" t="str">
        <f ca="1">IF(ISNUMBER(OFFSET(BL116,-$F$21,0)),SUM(OFFSET($T$100,($F$17-$F$15+$F$21),0):$T116),"")</f>
        <v/>
      </c>
      <c r="BQ116" s="275" t="str">
        <f t="shared" ca="1" si="62"/>
        <v/>
      </c>
      <c r="BR116" s="275" t="str">
        <f t="shared" ca="1" si="63"/>
        <v/>
      </c>
      <c r="BS116" s="190"/>
      <c r="BT116"/>
      <c r="BU116" s="276" t="str">
        <f t="shared" si="64"/>
        <v>end</v>
      </c>
      <c r="BV116" s="277">
        <v>16</v>
      </c>
      <c r="BW116" s="278" t="str">
        <f t="shared" si="69"/>
        <v/>
      </c>
      <c r="BX116" s="278" t="str">
        <f t="shared" si="68"/>
        <v/>
      </c>
      <c r="BY116" s="279" t="str">
        <f t="shared" si="65"/>
        <v/>
      </c>
      <c r="BZ116"/>
      <c r="CA116" s="280" t="str">
        <f t="shared" si="30"/>
        <v>-</v>
      </c>
      <c r="CB116" s="71" t="str">
        <f t="shared" si="31"/>
        <v>-</v>
      </c>
      <c r="CC116" s="33" t="str">
        <f t="shared" si="32"/>
        <v>16-17</v>
      </c>
      <c r="CD116" s="261" t="str">
        <f t="shared" si="33"/>
        <v/>
      </c>
      <c r="CE116" s="280" t="str">
        <f t="shared" si="34"/>
        <v>-</v>
      </c>
      <c r="CF116" s="71" t="str">
        <f t="shared" ca="1" si="35"/>
        <v>-</v>
      </c>
      <c r="CG116" s="33" t="str">
        <f t="shared" si="36"/>
        <v>16-17</v>
      </c>
      <c r="CH116" s="261" t="str">
        <f t="shared" ca="1" si="37"/>
        <v/>
      </c>
      <c r="CI116" s="202"/>
      <c r="CJ116" s="99"/>
      <c r="CK116" s="99"/>
      <c r="CL116" s="99"/>
      <c r="CM116" s="99"/>
      <c r="CN116" s="99"/>
      <c r="CO116" s="99"/>
    </row>
    <row r="117" spans="2:93" ht="13.5" customHeight="1" x14ac:dyDescent="0.2">
      <c r="B117" s="262">
        <v>17</v>
      </c>
      <c r="C117" s="237" t="str">
        <f t="shared" si="1"/>
        <v/>
      </c>
      <c r="D117" s="237" t="str">
        <f t="shared" si="66"/>
        <v>-</v>
      </c>
      <c r="E117" s="290" t="str">
        <f t="shared" si="38"/>
        <v/>
      </c>
      <c r="F117" s="264" t="str">
        <f t="shared" si="39"/>
        <v/>
      </c>
      <c r="G117" s="291" t="str">
        <f t="shared" si="40"/>
        <v/>
      </c>
      <c r="H117" s="240" t="str">
        <f t="shared" si="41"/>
        <v/>
      </c>
      <c r="I117" s="265" t="str">
        <f t="shared" si="2"/>
        <v/>
      </c>
      <c r="J117" s="265" t="str">
        <f t="shared" si="3"/>
        <v/>
      </c>
      <c r="K117" s="240" t="str">
        <f t="shared" si="4"/>
        <v/>
      </c>
      <c r="L117" s="265" t="str">
        <f t="shared" si="5"/>
        <v/>
      </c>
      <c r="M117" s="265" t="str">
        <f t="shared" si="6"/>
        <v/>
      </c>
      <c r="N117" s="240" t="str">
        <f t="shared" si="7"/>
        <v>-</v>
      </c>
      <c r="O117" s="265" t="str">
        <f t="shared" si="8"/>
        <v>-</v>
      </c>
      <c r="P117" s="265" t="str">
        <f t="shared" si="9"/>
        <v>-</v>
      </c>
      <c r="Q117" s="266" t="str">
        <f t="shared" si="10"/>
        <v>-</v>
      </c>
      <c r="R117" s="267" t="str">
        <f t="shared" si="11"/>
        <v>-</v>
      </c>
      <c r="S117" s="268" t="str">
        <f t="shared" si="12"/>
        <v>-</v>
      </c>
      <c r="T117" s="269" t="str">
        <f t="shared" si="13"/>
        <v/>
      </c>
      <c r="U117" s="221">
        <f t="shared" si="14"/>
        <v>17</v>
      </c>
      <c r="V117" s="220" t="str">
        <f t="shared" si="42"/>
        <v>-</v>
      </c>
      <c r="W117" s="221" t="str">
        <f t="shared" si="43"/>
        <v>-</v>
      </c>
      <c r="X117" s="221" t="str">
        <f t="shared" si="15"/>
        <v>-</v>
      </c>
      <c r="Y117" s="221" t="str">
        <f t="shared" si="16"/>
        <v>-</v>
      </c>
      <c r="Z117" s="270">
        <f t="shared" si="44"/>
        <v>0.1</v>
      </c>
      <c r="AA117" s="271" t="str">
        <f>IFERROR(IF(V116=1,AA$100*EXP(-(LN(2)/$D$65+0.04)*X116)*EXP(-(LN(2)/$D$65+0.1)*Y116),IF(V116=2,AA$100*EXP(-(LN(2)/$D$65+0.04)*(VLOOKUP(($F$16-$F$15)-1,U$99:Y116,4,FALSE)))*EXP(-(LN(2)/$D$65+0.1)*(VLOOKUP(($F$16-$F$15)-1,U$99:Y116,5,FALSE)))*EXP(-(LN(2)/$D$65+0.04)*X116)*EXP(-(LN(2)/$D$65+0.1)*Y116),IF(V116=3,AA$100*EXP(-(LN(2)/$D$65+0.04)*(VLOOKUP(($F$16-$F$15)-1,U$99:Y116,4,FALSE)))*EXP(-(LN(2)/$D$65+0.1)*(VLOOKUP(($F$16-$F$15)-1,U$99:Y116,5,FALSE)))*EXP(-(LN(2)/$D$65+0.04)*(VLOOKUP(($F$16-$F$15)*2-1,U$99:Y116,4,FALSE)))*EXP(-(LN(2)/$D$65+0.1)*(VLOOKUP(($F$16-$F$15)*2-1,U$99:Y116,5,FALSE)))*EXP(-(LN(2)/$D$65+0.04)*X116)*EXP(-(LN(2)/$D$65+0.1)*Y116),"-"))),"-")</f>
        <v>-</v>
      </c>
      <c r="AB117" s="271" t="str">
        <f>IFERROR(IF(V117=1,AB$100*EXP(-(LN(2)/$D$65+0.04)*X117)*EXP(-(LN(2)/$D$65+0.1)*Y117),IF(V117=2,AB$100*EXP(-(LN(2)/$D$65+0.04)*(VLOOKUP(($F$16-$F$15)-1,U$100:Y117,4,FALSE)))*EXP(-(LN(2)/$D$65+0.1)*(VLOOKUP(($F$16-$F$15)-1,U$100:Y117,5,FALSE)))*EXP(-(LN(2)/$D$65+0.04)*X117)*EXP(-(LN(2)/$D$65+0.1)*Y117),IF(V117=3,AB$100*EXP(-(LN(2)/$D$65+0.04)*(VLOOKUP(($F$16-$F$15)-1,U$100:Y117,4,FALSE)))*EXP(-(LN(2)/$D$65+0.1)*(VLOOKUP(($F$16-$F$15)-1,U$100:Y117,5,FALSE)))*EXP(-(LN(2)/$D$65+0.04)*(VLOOKUP(($F$16-$F$15)*2-1,U$100:Y117,4,FALSE)))*EXP(-(LN(2)/$D$65+0.1)*(VLOOKUP(($F$16-$F$15)*2-1,U$100:Y117,5,FALSE)))*EXP(-(LN(2)/$D$65+0.04)*X117)*EXP(-(LN(2)/$D$65+0.1)*Y117),"-"))),"-")</f>
        <v>-</v>
      </c>
      <c r="AC117" s="224">
        <f t="shared" si="45"/>
        <v>17</v>
      </c>
      <c r="AD117" s="223" t="str">
        <f t="shared" si="18"/>
        <v>-</v>
      </c>
      <c r="AE117" s="224" t="str">
        <f t="shared" si="46"/>
        <v>-</v>
      </c>
      <c r="AF117" s="224" t="str">
        <f t="shared" si="19"/>
        <v>-</v>
      </c>
      <c r="AG117" s="224" t="str">
        <f t="shared" si="20"/>
        <v>-</v>
      </c>
      <c r="AH117" s="272">
        <f t="shared" si="47"/>
        <v>0.1</v>
      </c>
      <c r="AI117" s="271" t="str">
        <f>IFERROR(IF(AD116=1,AI$100*EXP(-(LN(2)/$D$65+0.04)*AF116)*EXP(-(LN(2)/$D$65+0.1)*AG116),IF(AD116=2,AI$100*EXP(-(LN(2)/$D$65+0.04)*(VLOOKUP(($F$16-$F$15)-1,AC$99:AG116,4,FALSE)))*EXP(-(LN(2)/$D$65+0.1)*(VLOOKUP(($F$16-$F$15)-1,AC$99:AG116,5,FALSE)))*EXP(-(LN(2)/$D$65+0.04)*AF116)*EXP(-(LN(2)/$D$65+0.1)*AG116),IF(AD116=3,AI$100*EXP(-(LN(2)/$D$65+0.04)*(VLOOKUP(($F$16-$F$15)-1,AC$99:AG116,4,FALSE)))*EXP(-(LN(2)/$D$65+0.1)*(VLOOKUP(($F$16-$F$15)-1,AC$99:AG116,5,FALSE)))*EXP(-(LN(2)/$D$65+0.04)*(VLOOKUP(($F$16-$F$15)*2-1,AC$99:AG116,4,FALSE)))*EXP(-(LN(2)/$D$65+0.1)*(VLOOKUP(($F$16-$F$15)*2-1,AC$99:AG116,5,FALSE)))*EXP(-(LN(2)/$D$65+0.04)*AF116)*EXP(-(LN(2)/$D$65+0.1)*AG116),"-"))),"-")</f>
        <v>-</v>
      </c>
      <c r="AJ117" s="271" t="str">
        <f>IFERROR(IF(AD117=1,AJ$100*EXP(-(LN(2)/$D$65+0.04)*AF117)*EXP(-(LN(2)/$D$65+0.1)*AG117),IF(AD117=2,AJ$100*EXP(-(LN(2)/$D$65+0.04)*(VLOOKUP(($F$16-$F$15)-1,AC$100:AG117,4,FALSE)))*EXP(-(LN(2)/$D$65+0.1)*(VLOOKUP(($F$16-$F$15)-1,AC$100:AG117,5,FALSE)))*EXP(-(LN(2)/$D$65+0.04)*AF117)*EXP(-(LN(2)/$D$65+0.1)*AG117),IF(AD117=3,AJ$100*EXP(-(LN(2)/$D$65+0.04)*(VLOOKUP(($F$16-$F$15)-1,AC$100:AG117,4,FALSE)))*EXP(-(LN(2)/$D$65+0.1)*(VLOOKUP(($F$16-$F$15)-1,AC$100:AG117,5,FALSE)))*EXP(-(LN(2)/$D$65+0.04)*(VLOOKUP(($F$16-$F$15)*2-1,AC$100:AG117,4,FALSE)))*EXP(-(LN(2)/$D$65+0.1)*(VLOOKUP(($F$16-$F$15)*2-1,AC$100:AG117,5,FALSE)))*EXP(-(LN(2)/$D$65+0.04)*AF117)*EXP(-(LN(2)/$D$65+0.1)*AG117),"-"))),"-")</f>
        <v>-</v>
      </c>
      <c r="AK117" s="227">
        <f t="shared" si="49"/>
        <v>17</v>
      </c>
      <c r="AL117" s="226" t="str">
        <f t="shared" si="22"/>
        <v>-</v>
      </c>
      <c r="AM117" s="227" t="str">
        <f t="shared" si="50"/>
        <v>-</v>
      </c>
      <c r="AN117" s="227" t="str">
        <f t="shared" si="51"/>
        <v>-</v>
      </c>
      <c r="AO117" s="227" t="str">
        <f t="shared" si="23"/>
        <v>-</v>
      </c>
      <c r="AP117" s="273">
        <f t="shared" si="52"/>
        <v>0.1</v>
      </c>
      <c r="AQ117" s="271" t="str">
        <f>IFERROR(IF(AL116=1,AQ$100*EXP(-(LN(2)/$D$65+0.04)*AN116)*EXP(-(LN(2)/$D$65+0.1)*AO116),IF(AL116=2,AQ$100*EXP(-(LN(2)/$D$65+0.04)*(VLOOKUP(($F$16-$F$15)-1,AK$99:AO116,4,FALSE)))*EXP(-(LN(2)/$D$65+0.1)*(VLOOKUP(($F$16-$F$15)-1,AK$99:AO116,5,FALSE)))*EXP(-(LN(2)/$D$65+0.04)*AN116)*EXP(-(LN(2)/$D$65+0.1)*AO116),IF(AL116=3,AQ$100*EXP(-(LN(2)/$D$65+0.04)*(VLOOKUP(($F$16-$F$15)-1,AK$99:AO116,4,FALSE)))*EXP(-(LN(2)/$D$65+0.1)*(VLOOKUP(($F$16-$F$15)-1,AK$99:AO116,5,FALSE)))*EXP(-(LN(2)/$D$65+0.04)*(VLOOKUP(($F$16-$F$15)*2-1,AK$99:AO116,4,FALSE)))*EXP(-(LN(2)/$D$65+0.1)*(VLOOKUP(($F$16-$F$15)*2-1,AK$99:AO116,5,FALSE)))*EXP(-(LN(2)/$D$65+0.04)*AN116)*EXP(-(LN(2)/$D$65+0.1)*AO116),"-"))),"-")</f>
        <v>-</v>
      </c>
      <c r="AR117" s="271" t="str">
        <f>IFERROR(IF(AL117=1,AR$100*EXP(-(LN(2)/$D$65+0.04)*AN117)*EXP(-(LN(2)/$D$65+0.1)*AO117),IF(AL117=2,AR$100*EXP(-(LN(2)/$D$65+0.04)*(VLOOKUP(($F$16-$F$15)-1,AK$100:AO117,4,FALSE)))*EXP(-(LN(2)/$D$65+0.1)*(VLOOKUP(($F$16-$F$15)-1,AK$100:AO117,5,FALSE)))*EXP(-(LN(2)/$D$65+0.04)*AN117)*EXP(-(LN(2)/$D$65+0.1)*AO117),IF(AL117=3,AR$100*EXP(-(LN(2)/$D$65+0.04)*(VLOOKUP(($F$16-$F$15)-1,AK$100:AO117,4,FALSE)))*EXP(-(LN(2)/$D$65+0.1)*(VLOOKUP(($F$16-$F$15)-1,AK$100:AO117,5,FALSE)))*EXP(-(LN(2)/$D$65+0.04)*(VLOOKUP(($F$16-$F$15)*2-1,AK$100:AO117,4,FALSE)))*EXP(-(LN(2)/$D$65+0.1)*(VLOOKUP(($F$16-$F$15)*2-1,AK$100:AO117,5,FALSE)))*EXP(-(LN(2)/$D$65+0.04)*AN117)*EXP(-(LN(2)/$D$65+0.1)*AO117),"-"))),"-")</f>
        <v>-</v>
      </c>
      <c r="AS117" s="274">
        <f t="shared" si="24"/>
        <v>0</v>
      </c>
      <c r="AT117" s="274">
        <f t="shared" si="25"/>
        <v>0</v>
      </c>
      <c r="AU117" s="274">
        <f t="shared" si="26"/>
        <v>0</v>
      </c>
      <c r="AV117" s="275">
        <f>IF($B117&lt;$F$22,SUM($T$100:$T117),"")</f>
        <v>0</v>
      </c>
      <c r="AW117" s="275" t="str">
        <f t="shared" si="55"/>
        <v>-</v>
      </c>
      <c r="AX117" s="275" t="str">
        <f t="shared" si="56"/>
        <v/>
      </c>
      <c r="AY117"/>
      <c r="AZ117" s="275" t="str">
        <f ca="1">IF(ISNUMBER(OFFSET(AV117,-$F$21,0)),SUM(OFFSET($T$100,$F$21,0):$T117),"")</f>
        <v/>
      </c>
      <c r="BA117" s="275" t="str">
        <f t="shared" ca="1" si="27"/>
        <v/>
      </c>
      <c r="BB117" s="275" t="str">
        <f t="shared" ca="1" si="57"/>
        <v/>
      </c>
      <c r="BC117" s="190"/>
      <c r="BD117" s="275" t="str">
        <f ca="1">IFERROR(IF(OR(ISNUMBER(I),ISNUMBER($F$14)),IF(AND($B117&gt;=($F$16-$F$15),$B117&lt;$F$22+($F$16-$F$15)),SUM(OFFSET($T$100,($F$16-$F$15),0):$T117),""),""),"")</f>
        <v/>
      </c>
      <c r="BE117" s="275" t="str">
        <f t="shared" ca="1" si="58"/>
        <v/>
      </c>
      <c r="BF117" s="275" t="str">
        <f t="shared" ca="1" si="59"/>
        <v/>
      </c>
      <c r="BG117"/>
      <c r="BH117" s="190" t="str">
        <f ca="1">IF(ISNUMBER(OFFSET(BD117,-$F$21,0)),SUM(OFFSET($T$100,($F$16-$F$15+$F$21),0):$T117),"")</f>
        <v/>
      </c>
      <c r="BI117" s="190" t="str">
        <f t="shared" ca="1" si="28"/>
        <v/>
      </c>
      <c r="BJ117" s="190" t="str">
        <f t="shared" ca="1" si="60"/>
        <v/>
      </c>
      <c r="BK117" s="190"/>
      <c r="BL117" s="275" t="str">
        <f ca="1">IFERROR(IF(OR(ISNUMBER(I),ISNUMBER($F$14)),IF(AND($B117&gt;=($F$17-$F$15),$B117&lt;$F$22+($F$17-$F$15)),SUM(OFFSET($T$100,($F$17-$F$15),0):$T117),""),""),"")</f>
        <v/>
      </c>
      <c r="BM117" s="275" t="str">
        <f t="shared" ca="1" si="29"/>
        <v/>
      </c>
      <c r="BN117" s="275" t="str">
        <f t="shared" ca="1" si="61"/>
        <v/>
      </c>
      <c r="BO117"/>
      <c r="BP117" s="275" t="str">
        <f ca="1">IF(ISNUMBER(OFFSET(BL117,-$F$21,0)),SUM(OFFSET($T$100,($F$17-$F$15+$F$21),0):$T117),"")</f>
        <v/>
      </c>
      <c r="BQ117" s="275" t="str">
        <f t="shared" ca="1" si="62"/>
        <v/>
      </c>
      <c r="BR117" s="275" t="str">
        <f t="shared" ca="1" si="63"/>
        <v/>
      </c>
      <c r="BS117" s="190"/>
      <c r="BT117"/>
      <c r="BU117" s="276" t="str">
        <f t="shared" si="64"/>
        <v>end</v>
      </c>
      <c r="BV117" s="277">
        <v>17</v>
      </c>
      <c r="BW117" s="278" t="str">
        <f t="shared" si="69"/>
        <v/>
      </c>
      <c r="BX117" s="278" t="str">
        <f t="shared" si="68"/>
        <v/>
      </c>
      <c r="BY117" s="279" t="str">
        <f t="shared" si="65"/>
        <v/>
      </c>
      <c r="BZ117"/>
      <c r="CA117" s="280" t="str">
        <f t="shared" si="30"/>
        <v>-</v>
      </c>
      <c r="CB117" s="71" t="str">
        <f t="shared" si="31"/>
        <v>-</v>
      </c>
      <c r="CC117" s="33" t="str">
        <f t="shared" si="32"/>
        <v>17-18</v>
      </c>
      <c r="CD117" s="261" t="str">
        <f t="shared" si="33"/>
        <v/>
      </c>
      <c r="CE117" s="280" t="str">
        <f t="shared" si="34"/>
        <v>-</v>
      </c>
      <c r="CF117" s="71" t="str">
        <f t="shared" ca="1" si="35"/>
        <v>-</v>
      </c>
      <c r="CG117" s="33" t="str">
        <f t="shared" si="36"/>
        <v>17-18</v>
      </c>
      <c r="CH117" s="261" t="str">
        <f t="shared" ca="1" si="37"/>
        <v/>
      </c>
      <c r="CI117" s="202"/>
      <c r="CJ117" s="99"/>
      <c r="CK117" s="99"/>
      <c r="CL117" s="99"/>
      <c r="CM117" s="99"/>
      <c r="CN117" s="99"/>
      <c r="CO117" s="99"/>
    </row>
    <row r="118" spans="2:93" ht="13.5" customHeight="1" x14ac:dyDescent="0.2">
      <c r="B118" s="262">
        <v>18</v>
      </c>
      <c r="C118" s="237" t="str">
        <f t="shared" si="1"/>
        <v/>
      </c>
      <c r="D118" s="237" t="str">
        <f t="shared" si="66"/>
        <v>-</v>
      </c>
      <c r="E118" s="290" t="str">
        <f t="shared" si="38"/>
        <v/>
      </c>
      <c r="F118" s="264" t="str">
        <f t="shared" si="39"/>
        <v/>
      </c>
      <c r="G118" s="291" t="str">
        <f t="shared" si="40"/>
        <v/>
      </c>
      <c r="H118" s="240" t="str">
        <f t="shared" si="41"/>
        <v/>
      </c>
      <c r="I118" s="265" t="str">
        <f t="shared" si="2"/>
        <v/>
      </c>
      <c r="J118" s="265" t="str">
        <f t="shared" si="3"/>
        <v/>
      </c>
      <c r="K118" s="240" t="str">
        <f t="shared" si="4"/>
        <v/>
      </c>
      <c r="L118" s="265" t="str">
        <f t="shared" si="5"/>
        <v/>
      </c>
      <c r="M118" s="265" t="str">
        <f t="shared" si="6"/>
        <v/>
      </c>
      <c r="N118" s="240" t="str">
        <f t="shared" si="7"/>
        <v>-</v>
      </c>
      <c r="O118" s="265" t="str">
        <f t="shared" si="8"/>
        <v>-</v>
      </c>
      <c r="P118" s="265" t="str">
        <f t="shared" si="9"/>
        <v>-</v>
      </c>
      <c r="Q118" s="266" t="str">
        <f t="shared" si="10"/>
        <v>-</v>
      </c>
      <c r="R118" s="267" t="str">
        <f t="shared" si="11"/>
        <v>-</v>
      </c>
      <c r="S118" s="268" t="str">
        <f t="shared" si="12"/>
        <v>-</v>
      </c>
      <c r="T118" s="269" t="str">
        <f t="shared" si="13"/>
        <v/>
      </c>
      <c r="U118" s="221">
        <f t="shared" si="14"/>
        <v>18</v>
      </c>
      <c r="V118" s="220" t="str">
        <f t="shared" si="42"/>
        <v>-</v>
      </c>
      <c r="W118" s="221" t="str">
        <f t="shared" si="43"/>
        <v>-</v>
      </c>
      <c r="X118" s="221" t="str">
        <f t="shared" si="15"/>
        <v>-</v>
      </c>
      <c r="Y118" s="221" t="str">
        <f t="shared" si="16"/>
        <v>-</v>
      </c>
      <c r="Z118" s="270">
        <f t="shared" si="44"/>
        <v>0.1</v>
      </c>
      <c r="AA118" s="271" t="str">
        <f>IFERROR(IF(V117=1,AA$100*EXP(-(LN(2)/$D$65+0.04)*X117)*EXP(-(LN(2)/$D$65+0.1)*Y117),IF(V117=2,AA$100*EXP(-(LN(2)/$D$65+0.04)*(VLOOKUP(($F$16-$F$15)-1,U$99:Y117,4,FALSE)))*EXP(-(LN(2)/$D$65+0.1)*(VLOOKUP(($F$16-$F$15)-1,U$99:Y117,5,FALSE)))*EXP(-(LN(2)/$D$65+0.04)*X117)*EXP(-(LN(2)/$D$65+0.1)*Y117),IF(V117=3,AA$100*EXP(-(LN(2)/$D$65+0.04)*(VLOOKUP(($F$16-$F$15)-1,U$99:Y117,4,FALSE)))*EXP(-(LN(2)/$D$65+0.1)*(VLOOKUP(($F$16-$F$15)-1,U$99:Y117,5,FALSE)))*EXP(-(LN(2)/$D$65+0.04)*(VLOOKUP(($F$16-$F$15)*2-1,U$99:Y117,4,FALSE)))*EXP(-(LN(2)/$D$65+0.1)*(VLOOKUP(($F$16-$F$15)*2-1,U$99:Y117,5,FALSE)))*EXP(-(LN(2)/$D$65+0.04)*X117)*EXP(-(LN(2)/$D$65+0.1)*Y117),"-"))),"-")</f>
        <v>-</v>
      </c>
      <c r="AB118" s="271" t="str">
        <f>IFERROR(IF(V118=1,AB$100*EXP(-(LN(2)/$D$65+0.04)*X118)*EXP(-(LN(2)/$D$65+0.1)*Y118),IF(V118=2,AB$100*EXP(-(LN(2)/$D$65+0.04)*(VLOOKUP(($F$16-$F$15)-1,U$100:Y118,4,FALSE)))*EXP(-(LN(2)/$D$65+0.1)*(VLOOKUP(($F$16-$F$15)-1,U$100:Y118,5,FALSE)))*EXP(-(LN(2)/$D$65+0.04)*X118)*EXP(-(LN(2)/$D$65+0.1)*Y118),IF(V118=3,AB$100*EXP(-(LN(2)/$D$65+0.04)*(VLOOKUP(($F$16-$F$15)-1,U$100:Y118,4,FALSE)))*EXP(-(LN(2)/$D$65+0.1)*(VLOOKUP(($F$16-$F$15)-1,U$100:Y118,5,FALSE)))*EXP(-(LN(2)/$D$65+0.04)*(VLOOKUP(($F$16-$F$15)*2-1,U$100:Y118,4,FALSE)))*EXP(-(LN(2)/$D$65+0.1)*(VLOOKUP(($F$16-$F$15)*2-1,U$100:Y118,5,FALSE)))*EXP(-(LN(2)/$D$65+0.04)*X118)*EXP(-(LN(2)/$D$65+0.1)*Y118),"-"))),"-")</f>
        <v>-</v>
      </c>
      <c r="AC118" s="224">
        <f t="shared" si="45"/>
        <v>18</v>
      </c>
      <c r="AD118" s="223" t="str">
        <f t="shared" si="18"/>
        <v>-</v>
      </c>
      <c r="AE118" s="224" t="str">
        <f t="shared" si="46"/>
        <v>-</v>
      </c>
      <c r="AF118" s="224" t="str">
        <f t="shared" si="19"/>
        <v>-</v>
      </c>
      <c r="AG118" s="224" t="str">
        <f t="shared" si="20"/>
        <v>-</v>
      </c>
      <c r="AH118" s="272">
        <f t="shared" si="47"/>
        <v>0.1</v>
      </c>
      <c r="AI118" s="271" t="str">
        <f>IFERROR(IF(AD117=1,AI$100*EXP(-(LN(2)/$D$65+0.04)*AF117)*EXP(-(LN(2)/$D$65+0.1)*AG117),IF(AD117=2,AI$100*EXP(-(LN(2)/$D$65+0.04)*(VLOOKUP(($F$16-$F$15)-1,AC$99:AG117,4,FALSE)))*EXP(-(LN(2)/$D$65+0.1)*(VLOOKUP(($F$16-$F$15)-1,AC$99:AG117,5,FALSE)))*EXP(-(LN(2)/$D$65+0.04)*AF117)*EXP(-(LN(2)/$D$65+0.1)*AG117),IF(AD117=3,AI$100*EXP(-(LN(2)/$D$65+0.04)*(VLOOKUP(($F$16-$F$15)-1,AC$99:AG117,4,FALSE)))*EXP(-(LN(2)/$D$65+0.1)*(VLOOKUP(($F$16-$F$15)-1,AC$99:AG117,5,FALSE)))*EXP(-(LN(2)/$D$65+0.04)*(VLOOKUP(($F$16-$F$15)*2-1,AC$99:AG117,4,FALSE)))*EXP(-(LN(2)/$D$65+0.1)*(VLOOKUP(($F$16-$F$15)*2-1,AC$99:AG117,5,FALSE)))*EXP(-(LN(2)/$D$65+0.04)*AF117)*EXP(-(LN(2)/$D$65+0.1)*AG117),"-"))),"-")</f>
        <v>-</v>
      </c>
      <c r="AJ118" s="271" t="str">
        <f>IFERROR(IF(AD118=1,AJ$100*EXP(-(LN(2)/$D$65+0.04)*AF118)*EXP(-(LN(2)/$D$65+0.1)*AG118),IF(AD118=2,AJ$100*EXP(-(LN(2)/$D$65+0.04)*(VLOOKUP(($F$16-$F$15)-1,AC$100:AG118,4,FALSE)))*EXP(-(LN(2)/$D$65+0.1)*(VLOOKUP(($F$16-$F$15)-1,AC$100:AG118,5,FALSE)))*EXP(-(LN(2)/$D$65+0.04)*AF118)*EXP(-(LN(2)/$D$65+0.1)*AG118),IF(AD118=3,AJ$100*EXP(-(LN(2)/$D$65+0.04)*(VLOOKUP(($F$16-$F$15)-1,AC$100:AG118,4,FALSE)))*EXP(-(LN(2)/$D$65+0.1)*(VLOOKUP(($F$16-$F$15)-1,AC$100:AG118,5,FALSE)))*EXP(-(LN(2)/$D$65+0.04)*(VLOOKUP(($F$16-$F$15)*2-1,AC$100:AG118,4,FALSE)))*EXP(-(LN(2)/$D$65+0.1)*(VLOOKUP(($F$16-$F$15)*2-1,AC$100:AG118,5,FALSE)))*EXP(-(LN(2)/$D$65+0.04)*AF118)*EXP(-(LN(2)/$D$65+0.1)*AG118),"-"))),"-")</f>
        <v>-</v>
      </c>
      <c r="AK118" s="227">
        <f t="shared" si="49"/>
        <v>18</v>
      </c>
      <c r="AL118" s="226" t="str">
        <f t="shared" si="22"/>
        <v>-</v>
      </c>
      <c r="AM118" s="227" t="str">
        <f t="shared" si="50"/>
        <v>-</v>
      </c>
      <c r="AN118" s="227" t="str">
        <f t="shared" si="51"/>
        <v>-</v>
      </c>
      <c r="AO118" s="227" t="str">
        <f t="shared" si="23"/>
        <v>-</v>
      </c>
      <c r="AP118" s="273">
        <f t="shared" si="52"/>
        <v>0.1</v>
      </c>
      <c r="AQ118" s="271" t="str">
        <f>IFERROR(IF(AL117=1,AQ$100*EXP(-(LN(2)/$D$65+0.04)*AN117)*EXP(-(LN(2)/$D$65+0.1)*AO117),IF(AL117=2,AQ$100*EXP(-(LN(2)/$D$65+0.04)*(VLOOKUP(($F$16-$F$15)-1,AK$99:AO117,4,FALSE)))*EXP(-(LN(2)/$D$65+0.1)*(VLOOKUP(($F$16-$F$15)-1,AK$99:AO117,5,FALSE)))*EXP(-(LN(2)/$D$65+0.04)*AN117)*EXP(-(LN(2)/$D$65+0.1)*AO117),IF(AL117=3,AQ$100*EXP(-(LN(2)/$D$65+0.04)*(VLOOKUP(($F$16-$F$15)-1,AK$99:AO117,4,FALSE)))*EXP(-(LN(2)/$D$65+0.1)*(VLOOKUP(($F$16-$F$15)-1,AK$99:AO117,5,FALSE)))*EXP(-(LN(2)/$D$65+0.04)*(VLOOKUP(($F$16-$F$15)*2-1,AK$99:AO117,4,FALSE)))*EXP(-(LN(2)/$D$65+0.1)*(VLOOKUP(($F$16-$F$15)*2-1,AK$99:AO117,5,FALSE)))*EXP(-(LN(2)/$D$65+0.04)*AN117)*EXP(-(LN(2)/$D$65+0.1)*AO117),"-"))),"-")</f>
        <v>-</v>
      </c>
      <c r="AR118" s="271" t="str">
        <f>IFERROR(IF(AL118=1,AR$100*EXP(-(LN(2)/$D$65+0.04)*AN118)*EXP(-(LN(2)/$D$65+0.1)*AO118),IF(AL118=2,AR$100*EXP(-(LN(2)/$D$65+0.04)*(VLOOKUP(($F$16-$F$15)-1,AK$100:AO118,4,FALSE)))*EXP(-(LN(2)/$D$65+0.1)*(VLOOKUP(($F$16-$F$15)-1,AK$100:AO118,5,FALSE)))*EXP(-(LN(2)/$D$65+0.04)*AN118)*EXP(-(LN(2)/$D$65+0.1)*AO118),IF(AL118=3,AR$100*EXP(-(LN(2)/$D$65+0.04)*(VLOOKUP(($F$16-$F$15)-1,AK$100:AO118,4,FALSE)))*EXP(-(LN(2)/$D$65+0.1)*(VLOOKUP(($F$16-$F$15)-1,AK$100:AO118,5,FALSE)))*EXP(-(LN(2)/$D$65+0.04)*(VLOOKUP(($F$16-$F$15)*2-1,AK$100:AO118,4,FALSE)))*EXP(-(LN(2)/$D$65+0.1)*(VLOOKUP(($F$16-$F$15)*2-1,AK$100:AO118,5,FALSE)))*EXP(-(LN(2)/$D$65+0.04)*AN118)*EXP(-(LN(2)/$D$65+0.1)*AO118),"-"))),"-")</f>
        <v>-</v>
      </c>
      <c r="AS118" s="274">
        <f t="shared" si="24"/>
        <v>0</v>
      </c>
      <c r="AT118" s="274">
        <f t="shared" si="25"/>
        <v>0</v>
      </c>
      <c r="AU118" s="274">
        <f t="shared" si="26"/>
        <v>0</v>
      </c>
      <c r="AV118" s="275">
        <f>IF($B118&lt;$F$22,SUM($T$100:$T118),"")</f>
        <v>0</v>
      </c>
      <c r="AW118" s="275" t="str">
        <f t="shared" si="55"/>
        <v>-</v>
      </c>
      <c r="AX118" s="275" t="str">
        <f t="shared" si="56"/>
        <v/>
      </c>
      <c r="AY118"/>
      <c r="AZ118" s="275" t="str">
        <f ca="1">IF(ISNUMBER(OFFSET(AV118,-$F$21,0)),SUM(OFFSET($T$100,$F$21,0):$T118),"")</f>
        <v/>
      </c>
      <c r="BA118" s="275" t="str">
        <f t="shared" ca="1" si="27"/>
        <v/>
      </c>
      <c r="BB118" s="275" t="str">
        <f t="shared" ca="1" si="57"/>
        <v/>
      </c>
      <c r="BC118" s="190"/>
      <c r="BD118" s="275" t="str">
        <f ca="1">IFERROR(IF(OR(ISNUMBER(I),ISNUMBER($F$14)),IF(AND($B118&gt;=($F$16-$F$15),$B118&lt;$F$22+($F$16-$F$15)),SUM(OFFSET($T$100,($F$16-$F$15),0):$T118),""),""),"")</f>
        <v/>
      </c>
      <c r="BE118" s="275" t="str">
        <f t="shared" ca="1" si="58"/>
        <v/>
      </c>
      <c r="BF118" s="275" t="str">
        <f t="shared" ca="1" si="59"/>
        <v/>
      </c>
      <c r="BG118"/>
      <c r="BH118" s="190" t="str">
        <f ca="1">IF(ISNUMBER(OFFSET(BD118,-$F$21,0)),SUM(OFFSET($T$100,($F$16-$F$15+$F$21),0):$T118),"")</f>
        <v/>
      </c>
      <c r="BI118" s="190" t="str">
        <f t="shared" ca="1" si="28"/>
        <v/>
      </c>
      <c r="BJ118" s="190" t="str">
        <f t="shared" ca="1" si="60"/>
        <v/>
      </c>
      <c r="BK118" s="190"/>
      <c r="BL118" s="275" t="str">
        <f ca="1">IFERROR(IF(OR(ISNUMBER(I),ISNUMBER($F$14)),IF(AND($B118&gt;=($F$17-$F$15),$B118&lt;$F$22+($F$17-$F$15)),SUM(OFFSET($T$100,($F$17-$F$15),0):$T118),""),""),"")</f>
        <v/>
      </c>
      <c r="BM118" s="275" t="str">
        <f t="shared" ca="1" si="29"/>
        <v/>
      </c>
      <c r="BN118" s="275" t="str">
        <f t="shared" ca="1" si="61"/>
        <v/>
      </c>
      <c r="BO118"/>
      <c r="BP118" s="275" t="str">
        <f ca="1">IF(ISNUMBER(OFFSET(BL118,-$F$21,0)),SUM(OFFSET($T$100,($F$17-$F$15+$F$21),0):$T118),"")</f>
        <v/>
      </c>
      <c r="BQ118" s="275" t="str">
        <f t="shared" ca="1" si="62"/>
        <v/>
      </c>
      <c r="BR118" s="275" t="str">
        <f t="shared" ca="1" si="63"/>
        <v/>
      </c>
      <c r="BS118" s="190"/>
      <c r="BT118"/>
      <c r="BU118" s="276" t="str">
        <f t="shared" si="64"/>
        <v>end</v>
      </c>
      <c r="BV118" s="277">
        <v>18</v>
      </c>
      <c r="BW118" s="278" t="str">
        <f t="shared" si="69"/>
        <v/>
      </c>
      <c r="BX118" s="278" t="str">
        <f t="shared" si="68"/>
        <v/>
      </c>
      <c r="BY118" s="279" t="str">
        <f t="shared" si="65"/>
        <v/>
      </c>
      <c r="BZ118"/>
      <c r="CA118" s="280" t="str">
        <f t="shared" si="30"/>
        <v>-</v>
      </c>
      <c r="CB118" s="71" t="str">
        <f t="shared" si="31"/>
        <v>-</v>
      </c>
      <c r="CC118" s="33" t="str">
        <f t="shared" si="32"/>
        <v>18-19</v>
      </c>
      <c r="CD118" s="261" t="str">
        <f t="shared" si="33"/>
        <v/>
      </c>
      <c r="CE118" s="280" t="str">
        <f t="shared" si="34"/>
        <v>-</v>
      </c>
      <c r="CF118" s="71" t="str">
        <f t="shared" ca="1" si="35"/>
        <v>-</v>
      </c>
      <c r="CG118" s="33" t="str">
        <f t="shared" si="36"/>
        <v>18-19</v>
      </c>
      <c r="CH118" s="261" t="str">
        <f t="shared" ca="1" si="37"/>
        <v/>
      </c>
      <c r="CI118" s="202"/>
      <c r="CJ118" s="99"/>
      <c r="CK118" s="99"/>
      <c r="CL118" s="99"/>
      <c r="CM118" s="99"/>
      <c r="CN118" s="99"/>
      <c r="CO118" s="99"/>
    </row>
    <row r="119" spans="2:93" ht="13.5" customHeight="1" x14ac:dyDescent="0.2">
      <c r="B119" s="262">
        <v>19</v>
      </c>
      <c r="C119" s="237" t="str">
        <f t="shared" si="1"/>
        <v/>
      </c>
      <c r="D119" s="237" t="str">
        <f t="shared" si="66"/>
        <v>-</v>
      </c>
      <c r="E119" s="290" t="str">
        <f t="shared" si="38"/>
        <v/>
      </c>
      <c r="F119" s="264" t="str">
        <f t="shared" si="39"/>
        <v/>
      </c>
      <c r="G119" s="291" t="str">
        <f t="shared" si="40"/>
        <v/>
      </c>
      <c r="H119" s="240" t="str">
        <f t="shared" si="41"/>
        <v/>
      </c>
      <c r="I119" s="265" t="str">
        <f t="shared" si="2"/>
        <v/>
      </c>
      <c r="J119" s="265" t="str">
        <f t="shared" si="3"/>
        <v/>
      </c>
      <c r="K119" s="240" t="str">
        <f t="shared" si="4"/>
        <v/>
      </c>
      <c r="L119" s="265" t="str">
        <f t="shared" si="5"/>
        <v/>
      </c>
      <c r="M119" s="265" t="str">
        <f t="shared" si="6"/>
        <v/>
      </c>
      <c r="N119" s="240" t="str">
        <f t="shared" si="7"/>
        <v>-</v>
      </c>
      <c r="O119" s="265" t="str">
        <f t="shared" si="8"/>
        <v>-</v>
      </c>
      <c r="P119" s="265" t="str">
        <f t="shared" si="9"/>
        <v>-</v>
      </c>
      <c r="Q119" s="266" t="str">
        <f t="shared" si="10"/>
        <v>-</v>
      </c>
      <c r="R119" s="267" t="str">
        <f t="shared" si="11"/>
        <v>-</v>
      </c>
      <c r="S119" s="268" t="str">
        <f t="shared" si="12"/>
        <v>-</v>
      </c>
      <c r="T119" s="269" t="str">
        <f t="shared" si="13"/>
        <v/>
      </c>
      <c r="U119" s="221">
        <f t="shared" si="14"/>
        <v>19</v>
      </c>
      <c r="V119" s="220" t="str">
        <f t="shared" si="42"/>
        <v>-</v>
      </c>
      <c r="W119" s="221" t="str">
        <f t="shared" si="43"/>
        <v>-</v>
      </c>
      <c r="X119" s="221" t="str">
        <f t="shared" si="15"/>
        <v>-</v>
      </c>
      <c r="Y119" s="221" t="str">
        <f t="shared" si="16"/>
        <v>-</v>
      </c>
      <c r="Z119" s="270">
        <f t="shared" si="44"/>
        <v>0.1</v>
      </c>
      <c r="AA119" s="271" t="str">
        <f>IFERROR(IF(V118=1,AA$100*EXP(-(LN(2)/$D$65+0.04)*X118)*EXP(-(LN(2)/$D$65+0.1)*Y118),IF(V118=2,AA$100*EXP(-(LN(2)/$D$65+0.04)*(VLOOKUP(($F$16-$F$15)-1,U$99:Y118,4,FALSE)))*EXP(-(LN(2)/$D$65+0.1)*(VLOOKUP(($F$16-$F$15)-1,U$99:Y118,5,FALSE)))*EXP(-(LN(2)/$D$65+0.04)*X118)*EXP(-(LN(2)/$D$65+0.1)*Y118),IF(V118=3,AA$100*EXP(-(LN(2)/$D$65+0.04)*(VLOOKUP(($F$16-$F$15)-1,U$99:Y118,4,FALSE)))*EXP(-(LN(2)/$D$65+0.1)*(VLOOKUP(($F$16-$F$15)-1,U$99:Y118,5,FALSE)))*EXP(-(LN(2)/$D$65+0.04)*(VLOOKUP(($F$16-$F$15)*2-1,U$99:Y118,4,FALSE)))*EXP(-(LN(2)/$D$65+0.1)*(VLOOKUP(($F$16-$F$15)*2-1,U$99:Y118,5,FALSE)))*EXP(-(LN(2)/$D$65+0.04)*X118)*EXP(-(LN(2)/$D$65+0.1)*Y118),"-"))),"-")</f>
        <v>-</v>
      </c>
      <c r="AB119" s="271" t="str">
        <f>IFERROR(IF(V119=1,AB$100*EXP(-(LN(2)/$D$65+0.04)*X119)*EXP(-(LN(2)/$D$65+0.1)*Y119),IF(V119=2,AB$100*EXP(-(LN(2)/$D$65+0.04)*(VLOOKUP(($F$16-$F$15)-1,U$100:Y119,4,FALSE)))*EXP(-(LN(2)/$D$65+0.1)*(VLOOKUP(($F$16-$F$15)-1,U$100:Y119,5,FALSE)))*EXP(-(LN(2)/$D$65+0.04)*X119)*EXP(-(LN(2)/$D$65+0.1)*Y119),IF(V119=3,AB$100*EXP(-(LN(2)/$D$65+0.04)*(VLOOKUP(($F$16-$F$15)-1,U$100:Y119,4,FALSE)))*EXP(-(LN(2)/$D$65+0.1)*(VLOOKUP(($F$16-$F$15)-1,U$100:Y119,5,FALSE)))*EXP(-(LN(2)/$D$65+0.04)*(VLOOKUP(($F$16-$F$15)*2-1,U$100:Y119,4,FALSE)))*EXP(-(LN(2)/$D$65+0.1)*(VLOOKUP(($F$16-$F$15)*2-1,U$100:Y119,5,FALSE)))*EXP(-(LN(2)/$D$65+0.04)*X119)*EXP(-(LN(2)/$D$65+0.1)*Y119),"-"))),"-")</f>
        <v>-</v>
      </c>
      <c r="AC119" s="224">
        <f t="shared" si="45"/>
        <v>19</v>
      </c>
      <c r="AD119" s="223" t="str">
        <f t="shared" si="18"/>
        <v>-</v>
      </c>
      <c r="AE119" s="224" t="str">
        <f t="shared" si="46"/>
        <v>-</v>
      </c>
      <c r="AF119" s="224" t="str">
        <f t="shared" si="19"/>
        <v>-</v>
      </c>
      <c r="AG119" s="224" t="str">
        <f t="shared" si="20"/>
        <v>-</v>
      </c>
      <c r="AH119" s="272">
        <f t="shared" si="47"/>
        <v>0.1</v>
      </c>
      <c r="AI119" s="271" t="str">
        <f>IFERROR(IF(AD118=1,AI$100*EXP(-(LN(2)/$D$65+0.04)*AF118)*EXP(-(LN(2)/$D$65+0.1)*AG118),IF(AD118=2,AI$100*EXP(-(LN(2)/$D$65+0.04)*(VLOOKUP(($F$16-$F$15)-1,AC$99:AG118,4,FALSE)))*EXP(-(LN(2)/$D$65+0.1)*(VLOOKUP(($F$16-$F$15)-1,AC$99:AG118,5,FALSE)))*EXP(-(LN(2)/$D$65+0.04)*AF118)*EXP(-(LN(2)/$D$65+0.1)*AG118),IF(AD118=3,AI$100*EXP(-(LN(2)/$D$65+0.04)*(VLOOKUP(($F$16-$F$15)-1,AC$99:AG118,4,FALSE)))*EXP(-(LN(2)/$D$65+0.1)*(VLOOKUP(($F$16-$F$15)-1,AC$99:AG118,5,FALSE)))*EXP(-(LN(2)/$D$65+0.04)*(VLOOKUP(($F$16-$F$15)*2-1,AC$99:AG118,4,FALSE)))*EXP(-(LN(2)/$D$65+0.1)*(VLOOKUP(($F$16-$F$15)*2-1,AC$99:AG118,5,FALSE)))*EXP(-(LN(2)/$D$65+0.04)*AF118)*EXP(-(LN(2)/$D$65+0.1)*AG118),"-"))),"-")</f>
        <v>-</v>
      </c>
      <c r="AJ119" s="271" t="str">
        <f>IFERROR(IF(AD119=1,AJ$100*EXP(-(LN(2)/$D$65+0.04)*AF119)*EXP(-(LN(2)/$D$65+0.1)*AG119),IF(AD119=2,AJ$100*EXP(-(LN(2)/$D$65+0.04)*(VLOOKUP(($F$16-$F$15)-1,AC$100:AG119,4,FALSE)))*EXP(-(LN(2)/$D$65+0.1)*(VLOOKUP(($F$16-$F$15)-1,AC$100:AG119,5,FALSE)))*EXP(-(LN(2)/$D$65+0.04)*AF119)*EXP(-(LN(2)/$D$65+0.1)*AG119),IF(AD119=3,AJ$100*EXP(-(LN(2)/$D$65+0.04)*(VLOOKUP(($F$16-$F$15)-1,AC$100:AG119,4,FALSE)))*EXP(-(LN(2)/$D$65+0.1)*(VLOOKUP(($F$16-$F$15)-1,AC$100:AG119,5,FALSE)))*EXP(-(LN(2)/$D$65+0.04)*(VLOOKUP(($F$16-$F$15)*2-1,AC$100:AG119,4,FALSE)))*EXP(-(LN(2)/$D$65+0.1)*(VLOOKUP(($F$16-$F$15)*2-1,AC$100:AG119,5,FALSE)))*EXP(-(LN(2)/$D$65+0.04)*AF119)*EXP(-(LN(2)/$D$65+0.1)*AG119),"-"))),"-")</f>
        <v>-</v>
      </c>
      <c r="AK119" s="227">
        <f t="shared" si="49"/>
        <v>19</v>
      </c>
      <c r="AL119" s="226" t="str">
        <f t="shared" si="22"/>
        <v>-</v>
      </c>
      <c r="AM119" s="227" t="str">
        <f t="shared" si="50"/>
        <v>-</v>
      </c>
      <c r="AN119" s="227" t="str">
        <f t="shared" si="51"/>
        <v>-</v>
      </c>
      <c r="AO119" s="227" t="str">
        <f t="shared" si="23"/>
        <v>-</v>
      </c>
      <c r="AP119" s="273">
        <f t="shared" si="52"/>
        <v>0.1</v>
      </c>
      <c r="AQ119" s="271" t="str">
        <f>IFERROR(IF(AL118=1,AQ$100*EXP(-(LN(2)/$D$65+0.04)*AN118)*EXP(-(LN(2)/$D$65+0.1)*AO118),IF(AL118=2,AQ$100*EXP(-(LN(2)/$D$65+0.04)*(VLOOKUP(($F$16-$F$15)-1,AK$99:AO118,4,FALSE)))*EXP(-(LN(2)/$D$65+0.1)*(VLOOKUP(($F$16-$F$15)-1,AK$99:AO118,5,FALSE)))*EXP(-(LN(2)/$D$65+0.04)*AN118)*EXP(-(LN(2)/$D$65+0.1)*AO118),IF(AL118=3,AQ$100*EXP(-(LN(2)/$D$65+0.04)*(VLOOKUP(($F$16-$F$15)-1,AK$99:AO118,4,FALSE)))*EXP(-(LN(2)/$D$65+0.1)*(VLOOKUP(($F$16-$F$15)-1,AK$99:AO118,5,FALSE)))*EXP(-(LN(2)/$D$65+0.04)*(VLOOKUP(($F$16-$F$15)*2-1,AK$99:AO118,4,FALSE)))*EXP(-(LN(2)/$D$65+0.1)*(VLOOKUP(($F$16-$F$15)*2-1,AK$99:AO118,5,FALSE)))*EXP(-(LN(2)/$D$65+0.04)*AN118)*EXP(-(LN(2)/$D$65+0.1)*AO118),"-"))),"-")</f>
        <v>-</v>
      </c>
      <c r="AR119" s="271" t="str">
        <f>IFERROR(IF(AL119=1,AR$100*EXP(-(LN(2)/$D$65+0.04)*AN119)*EXP(-(LN(2)/$D$65+0.1)*AO119),IF(AL119=2,AR$100*EXP(-(LN(2)/$D$65+0.04)*(VLOOKUP(($F$16-$F$15)-1,AK$100:AO119,4,FALSE)))*EXP(-(LN(2)/$D$65+0.1)*(VLOOKUP(($F$16-$F$15)-1,AK$100:AO119,5,FALSE)))*EXP(-(LN(2)/$D$65+0.04)*AN119)*EXP(-(LN(2)/$D$65+0.1)*AO119),IF(AL119=3,AR$100*EXP(-(LN(2)/$D$65+0.04)*(VLOOKUP(($F$16-$F$15)-1,AK$100:AO119,4,FALSE)))*EXP(-(LN(2)/$D$65+0.1)*(VLOOKUP(($F$16-$F$15)-1,AK$100:AO119,5,FALSE)))*EXP(-(LN(2)/$D$65+0.04)*(VLOOKUP(($F$16-$F$15)*2-1,AK$100:AO119,4,FALSE)))*EXP(-(LN(2)/$D$65+0.1)*(VLOOKUP(($F$16-$F$15)*2-1,AK$100:AO119,5,FALSE)))*EXP(-(LN(2)/$D$65+0.04)*AN119)*EXP(-(LN(2)/$D$65+0.1)*AO119),"-"))),"-")</f>
        <v>-</v>
      </c>
      <c r="AS119" s="274">
        <f t="shared" si="24"/>
        <v>0</v>
      </c>
      <c r="AT119" s="274">
        <f t="shared" si="25"/>
        <v>0</v>
      </c>
      <c r="AU119" s="274">
        <f t="shared" si="26"/>
        <v>0</v>
      </c>
      <c r="AV119" s="275">
        <f>IF($B119&lt;$F$22,SUM($T$100:$T119),"")</f>
        <v>0</v>
      </c>
      <c r="AW119" s="275" t="str">
        <f t="shared" si="55"/>
        <v>-</v>
      </c>
      <c r="AX119" s="275" t="str">
        <f t="shared" si="56"/>
        <v/>
      </c>
      <c r="AY119"/>
      <c r="AZ119" s="275" t="str">
        <f ca="1">IF(ISNUMBER(OFFSET(AV119,-$F$21,0)),SUM(OFFSET($T$100,$F$21,0):$T119),"")</f>
        <v/>
      </c>
      <c r="BA119" s="275" t="str">
        <f t="shared" ca="1" si="27"/>
        <v/>
      </c>
      <c r="BB119" s="275" t="str">
        <f t="shared" ca="1" si="57"/>
        <v/>
      </c>
      <c r="BC119" s="190"/>
      <c r="BD119" s="275" t="str">
        <f ca="1">IFERROR(IF(OR(ISNUMBER(I),ISNUMBER($F$14)),IF(AND($B119&gt;=($F$16-$F$15),$B119&lt;$F$22+($F$16-$F$15)),SUM(OFFSET($T$100,($F$16-$F$15),0):$T119),""),""),"")</f>
        <v/>
      </c>
      <c r="BE119" s="275" t="str">
        <f t="shared" ca="1" si="58"/>
        <v/>
      </c>
      <c r="BF119" s="275" t="str">
        <f t="shared" ca="1" si="59"/>
        <v/>
      </c>
      <c r="BG119"/>
      <c r="BH119" s="190" t="str">
        <f ca="1">IF(ISNUMBER(OFFSET(BD119,-$F$21,0)),SUM(OFFSET($T$100,($F$16-$F$15+$F$21),0):$T119),"")</f>
        <v/>
      </c>
      <c r="BI119" s="190" t="str">
        <f t="shared" ca="1" si="28"/>
        <v/>
      </c>
      <c r="BJ119" s="190" t="str">
        <f t="shared" ca="1" si="60"/>
        <v/>
      </c>
      <c r="BK119" s="190"/>
      <c r="BL119" s="275" t="str">
        <f ca="1">IFERROR(IF(OR(ISNUMBER(I),ISNUMBER($F$14)),IF(AND($B119&gt;=($F$17-$F$15),$B119&lt;$F$22+($F$17-$F$15)),SUM(OFFSET($T$100,($F$17-$F$15),0):$T119),""),""),"")</f>
        <v/>
      </c>
      <c r="BM119" s="275" t="str">
        <f t="shared" ca="1" si="29"/>
        <v/>
      </c>
      <c r="BN119" s="275" t="str">
        <f t="shared" ca="1" si="61"/>
        <v/>
      </c>
      <c r="BO119"/>
      <c r="BP119" s="275" t="str">
        <f ca="1">IF(ISNUMBER(OFFSET(BL119,-$F$21,0)),SUM(OFFSET($T$100,($F$17-$F$15+$F$21),0):$T119),"")</f>
        <v/>
      </c>
      <c r="BQ119" s="275" t="str">
        <f t="shared" ca="1" si="62"/>
        <v/>
      </c>
      <c r="BR119" s="275" t="str">
        <f t="shared" ca="1" si="63"/>
        <v/>
      </c>
      <c r="BS119" s="190"/>
      <c r="BT119"/>
      <c r="BU119" s="276" t="str">
        <f t="shared" si="64"/>
        <v>end</v>
      </c>
      <c r="BV119" s="277">
        <v>19</v>
      </c>
      <c r="BW119" s="278" t="str">
        <f t="shared" si="69"/>
        <v/>
      </c>
      <c r="BX119" s="278" t="str">
        <f t="shared" si="68"/>
        <v/>
      </c>
      <c r="BY119" s="279" t="str">
        <f t="shared" si="65"/>
        <v/>
      </c>
      <c r="BZ119"/>
      <c r="CA119" s="280" t="str">
        <f t="shared" si="30"/>
        <v>-</v>
      </c>
      <c r="CB119" s="71" t="str">
        <f t="shared" si="31"/>
        <v>-</v>
      </c>
      <c r="CC119" s="33" t="str">
        <f t="shared" si="32"/>
        <v>19-20</v>
      </c>
      <c r="CD119" s="261" t="str">
        <f t="shared" si="33"/>
        <v/>
      </c>
      <c r="CE119" s="280" t="str">
        <f t="shared" si="34"/>
        <v>-</v>
      </c>
      <c r="CF119" s="71" t="str">
        <f t="shared" ca="1" si="35"/>
        <v>-</v>
      </c>
      <c r="CG119" s="33" t="str">
        <f t="shared" si="36"/>
        <v>19-20</v>
      </c>
      <c r="CH119" s="261" t="str">
        <f t="shared" ca="1" si="37"/>
        <v/>
      </c>
      <c r="CI119" s="202"/>
      <c r="CJ119" s="99"/>
      <c r="CK119" s="99"/>
      <c r="CL119" s="99"/>
      <c r="CM119" s="99"/>
      <c r="CN119" s="99"/>
      <c r="CO119" s="99"/>
    </row>
    <row r="120" spans="2:93" ht="13.5" customHeight="1" x14ac:dyDescent="0.2">
      <c r="B120" s="262">
        <v>20</v>
      </c>
      <c r="C120" s="237" t="str">
        <f t="shared" si="1"/>
        <v/>
      </c>
      <c r="D120" s="237" t="str">
        <f t="shared" si="66"/>
        <v>-</v>
      </c>
      <c r="E120" s="290" t="str">
        <f t="shared" si="38"/>
        <v/>
      </c>
      <c r="F120" s="264" t="str">
        <f t="shared" si="39"/>
        <v/>
      </c>
      <c r="G120" s="291" t="str">
        <f t="shared" si="40"/>
        <v/>
      </c>
      <c r="H120" s="240" t="str">
        <f t="shared" si="41"/>
        <v/>
      </c>
      <c r="I120" s="265" t="str">
        <f t="shared" si="2"/>
        <v/>
      </c>
      <c r="J120" s="265" t="str">
        <f t="shared" si="3"/>
        <v/>
      </c>
      <c r="K120" s="240" t="str">
        <f t="shared" si="4"/>
        <v/>
      </c>
      <c r="L120" s="265" t="str">
        <f t="shared" si="5"/>
        <v/>
      </c>
      <c r="M120" s="265" t="str">
        <f t="shared" si="6"/>
        <v/>
      </c>
      <c r="N120" s="240" t="str">
        <f t="shared" si="7"/>
        <v>-</v>
      </c>
      <c r="O120" s="265" t="str">
        <f t="shared" si="8"/>
        <v>-</v>
      </c>
      <c r="P120" s="265" t="str">
        <f t="shared" si="9"/>
        <v>-</v>
      </c>
      <c r="Q120" s="266" t="str">
        <f t="shared" si="10"/>
        <v>-</v>
      </c>
      <c r="R120" s="267" t="str">
        <f t="shared" si="11"/>
        <v>-</v>
      </c>
      <c r="S120" s="268" t="str">
        <f t="shared" si="12"/>
        <v>-</v>
      </c>
      <c r="T120" s="269" t="str">
        <f t="shared" si="13"/>
        <v/>
      </c>
      <c r="U120" s="221">
        <f t="shared" si="14"/>
        <v>20</v>
      </c>
      <c r="V120" s="220" t="str">
        <f t="shared" si="42"/>
        <v>-</v>
      </c>
      <c r="W120" s="221" t="str">
        <f t="shared" si="43"/>
        <v>-</v>
      </c>
      <c r="X120" s="221" t="str">
        <f t="shared" si="15"/>
        <v>-</v>
      </c>
      <c r="Y120" s="221" t="str">
        <f t="shared" si="16"/>
        <v>-</v>
      </c>
      <c r="Z120" s="270">
        <f t="shared" si="44"/>
        <v>0.1</v>
      </c>
      <c r="AA120" s="271" t="str">
        <f>IFERROR(IF(V119=1,AA$100*EXP(-(LN(2)/$D$65+0.04)*X119)*EXP(-(LN(2)/$D$65+0.1)*Y119),IF(V119=2,AA$100*EXP(-(LN(2)/$D$65+0.04)*(VLOOKUP(($F$16-$F$15)-1,U$99:Y119,4,FALSE)))*EXP(-(LN(2)/$D$65+0.1)*(VLOOKUP(($F$16-$F$15)-1,U$99:Y119,5,FALSE)))*EXP(-(LN(2)/$D$65+0.04)*X119)*EXP(-(LN(2)/$D$65+0.1)*Y119),IF(V119=3,AA$100*EXP(-(LN(2)/$D$65+0.04)*(VLOOKUP(($F$16-$F$15)-1,U$99:Y119,4,FALSE)))*EXP(-(LN(2)/$D$65+0.1)*(VLOOKUP(($F$16-$F$15)-1,U$99:Y119,5,FALSE)))*EXP(-(LN(2)/$D$65+0.04)*(VLOOKUP(($F$16-$F$15)*2-1,U$99:Y119,4,FALSE)))*EXP(-(LN(2)/$D$65+0.1)*(VLOOKUP(($F$16-$F$15)*2-1,U$99:Y119,5,FALSE)))*EXP(-(LN(2)/$D$65+0.04)*X119)*EXP(-(LN(2)/$D$65+0.1)*Y119),"-"))),"-")</f>
        <v>-</v>
      </c>
      <c r="AB120" s="271" t="str">
        <f>IFERROR(IF(V120=1,AB$100*EXP(-(LN(2)/$D$65+0.04)*X120)*EXP(-(LN(2)/$D$65+0.1)*Y120),IF(V120=2,AB$100*EXP(-(LN(2)/$D$65+0.04)*(VLOOKUP(($F$16-$F$15)-1,U$100:Y120,4,FALSE)))*EXP(-(LN(2)/$D$65+0.1)*(VLOOKUP(($F$16-$F$15)-1,U$100:Y120,5,FALSE)))*EXP(-(LN(2)/$D$65+0.04)*X120)*EXP(-(LN(2)/$D$65+0.1)*Y120),IF(V120=3,AB$100*EXP(-(LN(2)/$D$65+0.04)*(VLOOKUP(($F$16-$F$15)-1,U$100:Y120,4,FALSE)))*EXP(-(LN(2)/$D$65+0.1)*(VLOOKUP(($F$16-$F$15)-1,U$100:Y120,5,FALSE)))*EXP(-(LN(2)/$D$65+0.04)*(VLOOKUP(($F$16-$F$15)*2-1,U$100:Y120,4,FALSE)))*EXP(-(LN(2)/$D$65+0.1)*(VLOOKUP(($F$16-$F$15)*2-1,U$100:Y120,5,FALSE)))*EXP(-(LN(2)/$D$65+0.04)*X120)*EXP(-(LN(2)/$D$65+0.1)*Y120),"-"))),"-")</f>
        <v>-</v>
      </c>
      <c r="AC120" s="224">
        <f t="shared" si="45"/>
        <v>20</v>
      </c>
      <c r="AD120" s="223" t="str">
        <f t="shared" si="18"/>
        <v>-</v>
      </c>
      <c r="AE120" s="224" t="str">
        <f t="shared" si="46"/>
        <v>-</v>
      </c>
      <c r="AF120" s="224" t="str">
        <f t="shared" si="19"/>
        <v>-</v>
      </c>
      <c r="AG120" s="224" t="str">
        <f t="shared" si="20"/>
        <v>-</v>
      </c>
      <c r="AH120" s="272">
        <f t="shared" si="47"/>
        <v>0.1</v>
      </c>
      <c r="AI120" s="271" t="str">
        <f>IFERROR(IF(AD119=1,AI$100*EXP(-(LN(2)/$D$65+0.04)*AF119)*EXP(-(LN(2)/$D$65+0.1)*AG119),IF(AD119=2,AI$100*EXP(-(LN(2)/$D$65+0.04)*(VLOOKUP(($F$16-$F$15)-1,AC$99:AG119,4,FALSE)))*EXP(-(LN(2)/$D$65+0.1)*(VLOOKUP(($F$16-$F$15)-1,AC$99:AG119,5,FALSE)))*EXP(-(LN(2)/$D$65+0.04)*AF119)*EXP(-(LN(2)/$D$65+0.1)*AG119),IF(AD119=3,AI$100*EXP(-(LN(2)/$D$65+0.04)*(VLOOKUP(($F$16-$F$15)-1,AC$99:AG119,4,FALSE)))*EXP(-(LN(2)/$D$65+0.1)*(VLOOKUP(($F$16-$F$15)-1,AC$99:AG119,5,FALSE)))*EXP(-(LN(2)/$D$65+0.04)*(VLOOKUP(($F$16-$F$15)*2-1,AC$99:AG119,4,FALSE)))*EXP(-(LN(2)/$D$65+0.1)*(VLOOKUP(($F$16-$F$15)*2-1,AC$99:AG119,5,FALSE)))*EXP(-(LN(2)/$D$65+0.04)*AF119)*EXP(-(LN(2)/$D$65+0.1)*AG119),"-"))),"-")</f>
        <v>-</v>
      </c>
      <c r="AJ120" s="271" t="str">
        <f>IFERROR(IF(AD120=1,AJ$100*EXP(-(LN(2)/$D$65+0.04)*AF120)*EXP(-(LN(2)/$D$65+0.1)*AG120),IF(AD120=2,AJ$100*EXP(-(LN(2)/$D$65+0.04)*(VLOOKUP(($F$16-$F$15)-1,AC$100:AG120,4,FALSE)))*EXP(-(LN(2)/$D$65+0.1)*(VLOOKUP(($F$16-$F$15)-1,AC$100:AG120,5,FALSE)))*EXP(-(LN(2)/$D$65+0.04)*AF120)*EXP(-(LN(2)/$D$65+0.1)*AG120),IF(AD120=3,AJ$100*EXP(-(LN(2)/$D$65+0.04)*(VLOOKUP(($F$16-$F$15)-1,AC$100:AG120,4,FALSE)))*EXP(-(LN(2)/$D$65+0.1)*(VLOOKUP(($F$16-$F$15)-1,AC$100:AG120,5,FALSE)))*EXP(-(LN(2)/$D$65+0.04)*(VLOOKUP(($F$16-$F$15)*2-1,AC$100:AG120,4,FALSE)))*EXP(-(LN(2)/$D$65+0.1)*(VLOOKUP(($F$16-$F$15)*2-1,AC$100:AG120,5,FALSE)))*EXP(-(LN(2)/$D$65+0.04)*AF120)*EXP(-(LN(2)/$D$65+0.1)*AG120),"-"))),"-")</f>
        <v>-</v>
      </c>
      <c r="AK120" s="227">
        <f t="shared" si="49"/>
        <v>20</v>
      </c>
      <c r="AL120" s="226" t="str">
        <f t="shared" si="22"/>
        <v>-</v>
      </c>
      <c r="AM120" s="227" t="str">
        <f t="shared" si="50"/>
        <v>-</v>
      </c>
      <c r="AN120" s="227" t="str">
        <f t="shared" si="51"/>
        <v>-</v>
      </c>
      <c r="AO120" s="227" t="str">
        <f t="shared" si="23"/>
        <v>-</v>
      </c>
      <c r="AP120" s="273">
        <f t="shared" si="52"/>
        <v>0.1</v>
      </c>
      <c r="AQ120" s="271" t="str">
        <f>IFERROR(IF(AL119=1,AQ$100*EXP(-(LN(2)/$D$65+0.04)*AN119)*EXP(-(LN(2)/$D$65+0.1)*AO119),IF(AL119=2,AQ$100*EXP(-(LN(2)/$D$65+0.04)*(VLOOKUP(($F$16-$F$15)-1,AK$99:AO119,4,FALSE)))*EXP(-(LN(2)/$D$65+0.1)*(VLOOKUP(($F$16-$F$15)-1,AK$99:AO119,5,FALSE)))*EXP(-(LN(2)/$D$65+0.04)*AN119)*EXP(-(LN(2)/$D$65+0.1)*AO119),IF(AL119=3,AQ$100*EXP(-(LN(2)/$D$65+0.04)*(VLOOKUP(($F$16-$F$15)-1,AK$99:AO119,4,FALSE)))*EXP(-(LN(2)/$D$65+0.1)*(VLOOKUP(($F$16-$F$15)-1,AK$99:AO119,5,FALSE)))*EXP(-(LN(2)/$D$65+0.04)*(VLOOKUP(($F$16-$F$15)*2-1,AK$99:AO119,4,FALSE)))*EXP(-(LN(2)/$D$65+0.1)*(VLOOKUP(($F$16-$F$15)*2-1,AK$99:AO119,5,FALSE)))*EXP(-(LN(2)/$D$65+0.04)*AN119)*EXP(-(LN(2)/$D$65+0.1)*AO119),"-"))),"-")</f>
        <v>-</v>
      </c>
      <c r="AR120" s="271" t="str">
        <f>IFERROR(IF(AL120=1,AR$100*EXP(-(LN(2)/$D$65+0.04)*AN120)*EXP(-(LN(2)/$D$65+0.1)*AO120),IF(AL120=2,AR$100*EXP(-(LN(2)/$D$65+0.04)*(VLOOKUP(($F$16-$F$15)-1,AK$100:AO120,4,FALSE)))*EXP(-(LN(2)/$D$65+0.1)*(VLOOKUP(($F$16-$F$15)-1,AK$100:AO120,5,FALSE)))*EXP(-(LN(2)/$D$65+0.04)*AN120)*EXP(-(LN(2)/$D$65+0.1)*AO120),IF(AL120=3,AR$100*EXP(-(LN(2)/$D$65+0.04)*(VLOOKUP(($F$16-$F$15)-1,AK$100:AO120,4,FALSE)))*EXP(-(LN(2)/$D$65+0.1)*(VLOOKUP(($F$16-$F$15)-1,AK$100:AO120,5,FALSE)))*EXP(-(LN(2)/$D$65+0.04)*(VLOOKUP(($F$16-$F$15)*2-1,AK$100:AO120,4,FALSE)))*EXP(-(LN(2)/$D$65+0.1)*(VLOOKUP(($F$16-$F$15)*2-1,AK$100:AO120,5,FALSE)))*EXP(-(LN(2)/$D$65+0.04)*AN120)*EXP(-(LN(2)/$D$65+0.1)*AO120),"-"))),"-")</f>
        <v>-</v>
      </c>
      <c r="AS120" s="274">
        <f t="shared" si="24"/>
        <v>0</v>
      </c>
      <c r="AT120" s="274">
        <f t="shared" si="25"/>
        <v>0</v>
      </c>
      <c r="AU120" s="274">
        <f t="shared" si="26"/>
        <v>0</v>
      </c>
      <c r="AV120" s="253">
        <f>IF($B120&lt;$F$22,SUM($T$100:$T120),"")</f>
        <v>0</v>
      </c>
      <c r="AW120" s="253" t="str">
        <f t="shared" si="55"/>
        <v>-</v>
      </c>
      <c r="AX120" s="253" t="str">
        <f t="shared" si="56"/>
        <v/>
      </c>
      <c r="AY120" s="295"/>
      <c r="AZ120" s="253" t="str">
        <f ca="1">IF(ISNUMBER(OFFSET(AV120,-$F$21,0)),SUM(OFFSET($T$100,$F$21,0):$T120),"")</f>
        <v/>
      </c>
      <c r="BA120" s="253" t="str">
        <f t="shared" ca="1" si="27"/>
        <v/>
      </c>
      <c r="BB120" s="253" t="str">
        <f ca="1">IF(ISNUMBER(AZ120),(AZ120-BA120)/(3*86400*(OFFSET($B120,-$F$21,0)+1))*1000,"")</f>
        <v/>
      </c>
      <c r="BC120" s="253"/>
      <c r="BD120" s="253" t="str">
        <f ca="1">IFERROR(IF(OR(ISNUMBER(I),ISNUMBER($F$14)),IF(AND($B120&gt;=($F$16-$F$15),$B120&lt;$F$22+($F$16-$F$15)),SUM(OFFSET($T$100,($F$16-$F$15),0):$T120),""),""),"")</f>
        <v/>
      </c>
      <c r="BE120" s="253" t="str">
        <f t="shared" ca="1" si="58"/>
        <v/>
      </c>
      <c r="BF120" s="253" t="str">
        <f t="shared" ca="1" si="59"/>
        <v/>
      </c>
      <c r="BG120" s="295"/>
      <c r="BH120" s="253" t="str">
        <f ca="1">IF(ISNUMBER(OFFSET(BD120,-$F$21,0)),SUM(OFFSET($T$100,($F$16-$F$15+$F$21),0):$T120),"")</f>
        <v/>
      </c>
      <c r="BI120" s="253" t="str">
        <f t="shared" ca="1" si="28"/>
        <v/>
      </c>
      <c r="BJ120" s="253" t="str">
        <f t="shared" ca="1" si="60"/>
        <v/>
      </c>
      <c r="BK120" s="253"/>
      <c r="BL120" s="253" t="str">
        <f ca="1">IFERROR(IF(OR(ISNUMBER(I),ISNUMBER($F$14)),IF(AND($B120&gt;=($F$17-$F$15),$B120&lt;$F$22+($F$17-$F$15)),SUM(OFFSET($T$100,($F$17-$F$15),0):$T120),""),""),"")</f>
        <v/>
      </c>
      <c r="BM120" s="253" t="str">
        <f t="shared" ca="1" si="29"/>
        <v/>
      </c>
      <c r="BN120" s="253" t="str">
        <f t="shared" ca="1" si="61"/>
        <v/>
      </c>
      <c r="BO120" s="295"/>
      <c r="BP120" s="253" t="str">
        <f ca="1">IF(ISNUMBER(OFFSET(BL120,-$F$21,0)),SUM(OFFSET($T$100,($F$17-$F$15+$F$21),0):$T120),"")</f>
        <v/>
      </c>
      <c r="BQ120" s="253" t="str">
        <f t="shared" ca="1" si="62"/>
        <v/>
      </c>
      <c r="BR120" s="253" t="str">
        <f t="shared" ca="1" si="63"/>
        <v/>
      </c>
      <c r="BS120" s="253"/>
      <c r="BT120" s="296"/>
      <c r="BU120" s="297" t="str">
        <f t="shared" si="64"/>
        <v>end</v>
      </c>
      <c r="BV120" s="277">
        <v>20</v>
      </c>
      <c r="BW120" s="298" t="str">
        <f t="shared" si="69"/>
        <v/>
      </c>
      <c r="BX120" s="298" t="str">
        <f t="shared" si="68"/>
        <v/>
      </c>
      <c r="BY120" s="299" t="str">
        <f t="shared" si="65"/>
        <v/>
      </c>
      <c r="BZ120" s="67"/>
      <c r="CA120" s="280" t="str">
        <f t="shared" si="30"/>
        <v>-</v>
      </c>
      <c r="CB120" s="71" t="str">
        <f t="shared" si="31"/>
        <v>-</v>
      </c>
      <c r="CC120" s="33" t="str">
        <f t="shared" si="32"/>
        <v>20-21</v>
      </c>
      <c r="CD120" s="261" t="str">
        <f t="shared" si="33"/>
        <v/>
      </c>
      <c r="CE120" s="280" t="str">
        <f t="shared" si="34"/>
        <v>-</v>
      </c>
      <c r="CF120" s="71" t="str">
        <f t="shared" ca="1" si="35"/>
        <v>-</v>
      </c>
      <c r="CG120" s="33" t="str">
        <f t="shared" si="36"/>
        <v>20-21</v>
      </c>
      <c r="CH120" s="261" t="str">
        <f t="shared" ca="1" si="37"/>
        <v/>
      </c>
      <c r="CI120" s="202"/>
      <c r="CJ120" s="99"/>
      <c r="CK120" s="99"/>
      <c r="CL120" s="99"/>
      <c r="CM120" s="99"/>
      <c r="CN120" s="99"/>
      <c r="CO120" s="99"/>
    </row>
    <row r="121" spans="2:93" ht="13.5" customHeight="1" x14ac:dyDescent="0.2">
      <c r="B121" s="262">
        <v>21</v>
      </c>
      <c r="C121" s="237" t="str">
        <f t="shared" si="1"/>
        <v/>
      </c>
      <c r="D121" s="237" t="str">
        <f t="shared" si="66"/>
        <v/>
      </c>
      <c r="E121" s="290" t="str">
        <f t="shared" si="38"/>
        <v/>
      </c>
      <c r="F121" s="264" t="str">
        <f t="shared" si="39"/>
        <v/>
      </c>
      <c r="G121" s="291" t="str">
        <f t="shared" si="40"/>
        <v/>
      </c>
      <c r="H121" s="240" t="str">
        <f t="shared" si="41"/>
        <v/>
      </c>
      <c r="I121" s="265" t="str">
        <f t="shared" si="2"/>
        <v/>
      </c>
      <c r="J121" s="265" t="str">
        <f t="shared" si="3"/>
        <v/>
      </c>
      <c r="K121" s="240" t="str">
        <f t="shared" si="4"/>
        <v/>
      </c>
      <c r="L121" s="265" t="str">
        <f t="shared" si="5"/>
        <v/>
      </c>
      <c r="M121" s="265" t="str">
        <f t="shared" si="6"/>
        <v/>
      </c>
      <c r="N121" s="240" t="str">
        <f t="shared" si="7"/>
        <v>-</v>
      </c>
      <c r="O121" s="265" t="str">
        <f t="shared" si="8"/>
        <v>-</v>
      </c>
      <c r="P121" s="265" t="str">
        <f t="shared" si="9"/>
        <v>-</v>
      </c>
      <c r="Q121" s="266" t="str">
        <f t="shared" si="10"/>
        <v>-</v>
      </c>
      <c r="R121" s="267" t="str">
        <f t="shared" si="11"/>
        <v>-</v>
      </c>
      <c r="S121" s="268" t="str">
        <f t="shared" si="12"/>
        <v>-</v>
      </c>
      <c r="T121" s="269" t="str">
        <f t="shared" si="13"/>
        <v/>
      </c>
      <c r="U121" s="221">
        <f t="shared" si="14"/>
        <v>21</v>
      </c>
      <c r="V121" s="220" t="str">
        <f t="shared" si="42"/>
        <v>-</v>
      </c>
      <c r="W121" s="221" t="str">
        <f t="shared" si="43"/>
        <v>-</v>
      </c>
      <c r="X121" s="221" t="str">
        <f t="shared" si="15"/>
        <v>-</v>
      </c>
      <c r="Y121" s="221" t="str">
        <f t="shared" si="16"/>
        <v>-</v>
      </c>
      <c r="Z121" s="270">
        <f t="shared" si="44"/>
        <v>0.1</v>
      </c>
      <c r="AA121" s="271" t="str">
        <f>IFERROR(IF(V120=1,AA$100*EXP(-(LN(2)/$D$65+0.04)*X120)*EXP(-(LN(2)/$D$65+0.1)*Y120),IF(V120=2,AA$100*EXP(-(LN(2)/$D$65+0.04)*(VLOOKUP(($F$16-$F$15)-1,U$99:Y120,4,FALSE)))*EXP(-(LN(2)/$D$65+0.1)*(VLOOKUP(($F$16-$F$15)-1,U$99:Y120,5,FALSE)))*EXP(-(LN(2)/$D$65+0.04)*X120)*EXP(-(LN(2)/$D$65+0.1)*Y120),IF(V120=3,AA$100*EXP(-(LN(2)/$D$65+0.04)*(VLOOKUP(($F$16-$F$15)-1,U$99:Y120,4,FALSE)))*EXP(-(LN(2)/$D$65+0.1)*(VLOOKUP(($F$16-$F$15)-1,U$99:Y120,5,FALSE)))*EXP(-(LN(2)/$D$65+0.04)*(VLOOKUP(($F$16-$F$15)*2-1,U$99:Y120,4,FALSE)))*EXP(-(LN(2)/$D$65+0.1)*(VLOOKUP(($F$16-$F$15)*2-1,U$99:Y120,5,FALSE)))*EXP(-(LN(2)/$D$65+0.04)*X120)*EXP(-(LN(2)/$D$65+0.1)*Y120),"-"))),"-")</f>
        <v>-</v>
      </c>
      <c r="AB121" s="271" t="str">
        <f>IFERROR(IF(V121=1,AB$100*EXP(-(LN(2)/$D$65+0.04)*X121)*EXP(-(LN(2)/$D$65+0.1)*Y121),IF(V121=2,AB$100*EXP(-(LN(2)/$D$65+0.04)*(VLOOKUP(($F$16-$F$15)-1,U$100:Y121,4,FALSE)))*EXP(-(LN(2)/$D$65+0.1)*(VLOOKUP(($F$16-$F$15)-1,U$100:Y121,5,FALSE)))*EXP(-(LN(2)/$D$65+0.04)*X121)*EXP(-(LN(2)/$D$65+0.1)*Y121),IF(V121=3,AB$100*EXP(-(LN(2)/$D$65+0.04)*(VLOOKUP(($F$16-$F$15)-1,U$100:Y121,4,FALSE)))*EXP(-(LN(2)/$D$65+0.1)*(VLOOKUP(($F$16-$F$15)-1,U$100:Y121,5,FALSE)))*EXP(-(LN(2)/$D$65+0.04)*(VLOOKUP(($F$16-$F$15)*2-1,U$100:Y121,4,FALSE)))*EXP(-(LN(2)/$D$65+0.1)*(VLOOKUP(($F$16-$F$15)*2-1,U$100:Y121,5,FALSE)))*EXP(-(LN(2)/$D$65+0.04)*X121)*EXP(-(LN(2)/$D$65+0.1)*Y121),"-"))),"-")</f>
        <v>-</v>
      </c>
      <c r="AC121" s="224">
        <f t="shared" si="45"/>
        <v>21</v>
      </c>
      <c r="AD121" s="223" t="str">
        <f t="shared" si="18"/>
        <v>-</v>
      </c>
      <c r="AE121" s="224" t="str">
        <f t="shared" si="46"/>
        <v>-</v>
      </c>
      <c r="AF121" s="224" t="str">
        <f t="shared" si="19"/>
        <v>-</v>
      </c>
      <c r="AG121" s="224" t="str">
        <f t="shared" si="20"/>
        <v>-</v>
      </c>
      <c r="AH121" s="272">
        <f t="shared" si="47"/>
        <v>0.1</v>
      </c>
      <c r="AI121" s="271" t="str">
        <f>IFERROR(IF(AD120=1,AI$100*EXP(-(LN(2)/$D$65+0.04)*AF120)*EXP(-(LN(2)/$D$65+0.1)*AG120),IF(AD120=2,AI$100*EXP(-(LN(2)/$D$65+0.04)*(VLOOKUP(($F$16-$F$15)-1,AC$99:AG120,4,FALSE)))*EXP(-(LN(2)/$D$65+0.1)*(VLOOKUP(($F$16-$F$15)-1,AC$99:AG120,5,FALSE)))*EXP(-(LN(2)/$D$65+0.04)*AF120)*EXP(-(LN(2)/$D$65+0.1)*AG120),IF(AD120=3,AI$100*EXP(-(LN(2)/$D$65+0.04)*(VLOOKUP(($F$16-$F$15)-1,AC$99:AG120,4,FALSE)))*EXP(-(LN(2)/$D$65+0.1)*(VLOOKUP(($F$16-$F$15)-1,AC$99:AG120,5,FALSE)))*EXP(-(LN(2)/$D$65+0.04)*(VLOOKUP(($F$16-$F$15)*2-1,AC$99:AG120,4,FALSE)))*EXP(-(LN(2)/$D$65+0.1)*(VLOOKUP(($F$16-$F$15)*2-1,AC$99:AG120,5,FALSE)))*EXP(-(LN(2)/$D$65+0.04)*AF120)*EXP(-(LN(2)/$D$65+0.1)*AG120),"-"))),"-")</f>
        <v>-</v>
      </c>
      <c r="AJ121" s="271" t="str">
        <f>IFERROR(IF(AD121=1,AJ$100*EXP(-(LN(2)/$D$65+0.04)*AF121)*EXP(-(LN(2)/$D$65+0.1)*AG121),IF(AD121=2,AJ$100*EXP(-(LN(2)/$D$65+0.04)*(VLOOKUP(($F$16-$F$15)-1,AC$100:AG121,4,FALSE)))*EXP(-(LN(2)/$D$65+0.1)*(VLOOKUP(($F$16-$F$15)-1,AC$100:AG121,5,FALSE)))*EXP(-(LN(2)/$D$65+0.04)*AF121)*EXP(-(LN(2)/$D$65+0.1)*AG121),IF(AD121=3,AJ$100*EXP(-(LN(2)/$D$65+0.04)*(VLOOKUP(($F$16-$F$15)-1,AC$100:AG121,4,FALSE)))*EXP(-(LN(2)/$D$65+0.1)*(VLOOKUP(($F$16-$F$15)-1,AC$100:AG121,5,FALSE)))*EXP(-(LN(2)/$D$65+0.04)*(VLOOKUP(($F$16-$F$15)*2-1,AC$100:AG121,4,FALSE)))*EXP(-(LN(2)/$D$65+0.1)*(VLOOKUP(($F$16-$F$15)*2-1,AC$100:AG121,5,FALSE)))*EXP(-(LN(2)/$D$65+0.04)*AF121)*EXP(-(LN(2)/$D$65+0.1)*AG121),"-"))),"-")</f>
        <v>-</v>
      </c>
      <c r="AK121" s="227">
        <f t="shared" si="49"/>
        <v>21</v>
      </c>
      <c r="AL121" s="226" t="str">
        <f t="shared" si="22"/>
        <v>-</v>
      </c>
      <c r="AM121" s="227" t="str">
        <f t="shared" si="50"/>
        <v>-</v>
      </c>
      <c r="AN121" s="227" t="str">
        <f t="shared" si="51"/>
        <v>-</v>
      </c>
      <c r="AO121" s="227" t="str">
        <f t="shared" si="23"/>
        <v>-</v>
      </c>
      <c r="AP121" s="273">
        <f t="shared" si="52"/>
        <v>0.1</v>
      </c>
      <c r="AQ121" s="271" t="str">
        <f>IFERROR(IF(AL120=1,AQ$100*EXP(-(LN(2)/$D$65+0.04)*AN120)*EXP(-(LN(2)/$D$65+0.1)*AO120),IF(AL120=2,AQ$100*EXP(-(LN(2)/$D$65+0.04)*(VLOOKUP(($F$16-$F$15)-1,AK$99:AO120,4,FALSE)))*EXP(-(LN(2)/$D$65+0.1)*(VLOOKUP(($F$16-$F$15)-1,AK$99:AO120,5,FALSE)))*EXP(-(LN(2)/$D$65+0.04)*AN120)*EXP(-(LN(2)/$D$65+0.1)*AO120),IF(AL120=3,AQ$100*EXP(-(LN(2)/$D$65+0.04)*(VLOOKUP(($F$16-$F$15)-1,AK$99:AO120,4,FALSE)))*EXP(-(LN(2)/$D$65+0.1)*(VLOOKUP(($F$16-$F$15)-1,AK$99:AO120,5,FALSE)))*EXP(-(LN(2)/$D$65+0.04)*(VLOOKUP(($F$16-$F$15)*2-1,AK$99:AO120,4,FALSE)))*EXP(-(LN(2)/$D$65+0.1)*(VLOOKUP(($F$16-$F$15)*2-1,AK$99:AO120,5,FALSE)))*EXP(-(LN(2)/$D$65+0.04)*AN120)*EXP(-(LN(2)/$D$65+0.1)*AO120),"-"))),"-")</f>
        <v>-</v>
      </c>
      <c r="AR121" s="271" t="str">
        <f>IFERROR(IF(AL121=1,AR$100*EXP(-(LN(2)/$D$65+0.04)*AN121)*EXP(-(LN(2)/$D$65+0.1)*AO121),IF(AL121=2,AR$100*EXP(-(LN(2)/$D$65+0.04)*(VLOOKUP(($F$16-$F$15)-1,AK$100:AO121,4,FALSE)))*EXP(-(LN(2)/$D$65+0.1)*(VLOOKUP(($F$16-$F$15)-1,AK$100:AO121,5,FALSE)))*EXP(-(LN(2)/$D$65+0.04)*AN121)*EXP(-(LN(2)/$D$65+0.1)*AO121),IF(AL121=3,AR$100*EXP(-(LN(2)/$D$65+0.04)*(VLOOKUP(($F$16-$F$15)-1,AK$100:AO121,4,FALSE)))*EXP(-(LN(2)/$D$65+0.1)*(VLOOKUP(($F$16-$F$15)-1,AK$100:AO121,5,FALSE)))*EXP(-(LN(2)/$D$65+0.04)*(VLOOKUP(($F$16-$F$15)*2-1,AK$100:AO121,4,FALSE)))*EXP(-(LN(2)/$D$65+0.1)*(VLOOKUP(($F$16-$F$15)*2-1,AK$100:AO121,5,FALSE)))*EXP(-(LN(2)/$D$65+0.04)*AN121)*EXP(-(LN(2)/$D$65+0.1)*AO121),"-"))),"-")</f>
        <v>-</v>
      </c>
      <c r="AS121" s="274">
        <f t="shared" si="24"/>
        <v>0</v>
      </c>
      <c r="AT121" s="274">
        <f t="shared" si="25"/>
        <v>0</v>
      </c>
      <c r="AU121" s="274">
        <f t="shared" si="26"/>
        <v>0</v>
      </c>
      <c r="AV121" s="190" t="str">
        <f>IF($B121&lt;$F$22,SUM($T$100:$T121),"")</f>
        <v/>
      </c>
      <c r="AW121" s="190" t="str">
        <f t="shared" si="55"/>
        <v>-</v>
      </c>
      <c r="AX121" s="190" t="str">
        <f t="shared" si="56"/>
        <v/>
      </c>
      <c r="AY121"/>
      <c r="AZ121" s="190" t="str">
        <f ca="1">IF(ISNUMBER(OFFSET(AV121,-$F$21,0)),SUM(OFFSET($T$100,$F$21,0):$T121),"")</f>
        <v/>
      </c>
      <c r="BA121" s="190" t="str">
        <f t="shared" ca="1" si="27"/>
        <v/>
      </c>
      <c r="BB121" s="190" t="str">
        <f t="shared" ref="BB121:BB184" ca="1" si="70">IF(ISNUMBER(AZ121),(AZ121-BA121)/(3*86400*(OFFSET($B121,-$F$21,0)+1))*1000,"")</f>
        <v/>
      </c>
      <c r="BC121" s="190"/>
      <c r="BD121" s="190" t="str">
        <f ca="1">IFERROR(IF(OR(ISNUMBER(I),ISNUMBER($F$14)),IF(AND($B121&gt;=($F$16-$F$15),$B121&lt;$F$22+($F$16-$F$15)),SUM(OFFSET($T$100,($F$16-$F$15),0):$T121),""),""),"")</f>
        <v/>
      </c>
      <c r="BE121" s="190" t="str">
        <f t="shared" ca="1" si="58"/>
        <v/>
      </c>
      <c r="BF121" s="190" t="str">
        <f t="shared" ca="1" si="59"/>
        <v/>
      </c>
      <c r="BG121"/>
      <c r="BH121" s="190" t="str">
        <f ca="1">IF(ISNUMBER(OFFSET(BD121,-$F$21,0)),SUM(OFFSET($T$100,($F$16-$F$15+$F$21),0):$T121),"")</f>
        <v/>
      </c>
      <c r="BI121" s="190" t="str">
        <f t="shared" ca="1" si="28"/>
        <v/>
      </c>
      <c r="BJ121" s="190" t="str">
        <f t="shared" ca="1" si="60"/>
        <v/>
      </c>
      <c r="BK121" s="190"/>
      <c r="BL121" s="190" t="str">
        <f ca="1">IFERROR(IF(OR(ISNUMBER(I),ISNUMBER($F$14)),IF(AND($B121&gt;=($F$17-$F$15),$B121&lt;$F$22+($F$17-$F$15)),SUM(OFFSET($T$100,($F$17-$F$15),0):$T121),""),""),"")</f>
        <v/>
      </c>
      <c r="BM121" s="190" t="str">
        <f t="shared" ca="1" si="29"/>
        <v/>
      </c>
      <c r="BN121" s="190" t="str">
        <f t="shared" ca="1" si="61"/>
        <v/>
      </c>
      <c r="BO121"/>
      <c r="BP121" s="190" t="str">
        <f ca="1">IF(ISNUMBER(OFFSET(BL121,-$F$21,0)),SUM(OFFSET($T$100,($F$17-$F$15+$F$21),0):$T121),"")</f>
        <v/>
      </c>
      <c r="BQ121" s="190" t="str">
        <f t="shared" ca="1" si="62"/>
        <v/>
      </c>
      <c r="BR121" s="190" t="str">
        <f t="shared" ca="1" si="63"/>
        <v/>
      </c>
      <c r="BS121" s="190"/>
      <c r="BT121"/>
      <c r="BU121" s="300" t="s">
        <v>289</v>
      </c>
      <c r="BV121" s="301"/>
      <c r="BW121" s="300"/>
      <c r="BX121" s="300"/>
      <c r="BY121" s="300"/>
      <c r="BZ121" s="302"/>
      <c r="CA121" s="280" t="str">
        <f t="shared" si="30"/>
        <v/>
      </c>
      <c r="CB121" s="71" t="str">
        <f t="shared" si="31"/>
        <v>-</v>
      </c>
      <c r="CC121" s="33"/>
      <c r="CD121" s="261" t="str">
        <f t="shared" si="33"/>
        <v/>
      </c>
      <c r="CE121" s="280" t="str">
        <f t="shared" si="34"/>
        <v/>
      </c>
      <c r="CF121" s="71" t="str">
        <f t="shared" ca="1" si="35"/>
        <v/>
      </c>
      <c r="CG121" s="33" t="str">
        <f t="shared" si="36"/>
        <v/>
      </c>
      <c r="CH121" s="261" t="str">
        <f t="shared" ca="1" si="37"/>
        <v/>
      </c>
      <c r="CI121" s="202"/>
      <c r="CJ121" s="99"/>
      <c r="CK121" s="99"/>
      <c r="CL121" s="99"/>
      <c r="CM121" s="99"/>
      <c r="CN121" s="99"/>
      <c r="CO121" s="99"/>
    </row>
    <row r="122" spans="2:93" ht="13.5" customHeight="1" x14ac:dyDescent="0.2">
      <c r="B122" s="262">
        <v>22</v>
      </c>
      <c r="C122" s="237" t="str">
        <f t="shared" si="1"/>
        <v/>
      </c>
      <c r="D122" s="237" t="str">
        <f t="shared" si="66"/>
        <v/>
      </c>
      <c r="E122" s="290" t="str">
        <f t="shared" si="38"/>
        <v/>
      </c>
      <c r="F122" s="264" t="str">
        <f t="shared" si="39"/>
        <v/>
      </c>
      <c r="G122" s="291" t="str">
        <f t="shared" si="40"/>
        <v/>
      </c>
      <c r="H122" s="240" t="str">
        <f t="shared" si="41"/>
        <v/>
      </c>
      <c r="I122" s="265" t="str">
        <f t="shared" si="2"/>
        <v/>
      </c>
      <c r="J122" s="265" t="str">
        <f t="shared" si="3"/>
        <v/>
      </c>
      <c r="K122" s="240" t="str">
        <f t="shared" si="4"/>
        <v/>
      </c>
      <c r="L122" s="265" t="str">
        <f t="shared" si="5"/>
        <v/>
      </c>
      <c r="M122" s="265" t="str">
        <f t="shared" si="6"/>
        <v/>
      </c>
      <c r="N122" s="240" t="str">
        <f t="shared" si="7"/>
        <v>-</v>
      </c>
      <c r="O122" s="265" t="str">
        <f t="shared" si="8"/>
        <v>-</v>
      </c>
      <c r="P122" s="265" t="str">
        <f t="shared" si="9"/>
        <v>-</v>
      </c>
      <c r="Q122" s="266" t="str">
        <f t="shared" si="10"/>
        <v>-</v>
      </c>
      <c r="R122" s="267" t="str">
        <f t="shared" si="11"/>
        <v>-</v>
      </c>
      <c r="S122" s="268" t="str">
        <f t="shared" si="12"/>
        <v>-</v>
      </c>
      <c r="T122" s="269" t="str">
        <f t="shared" si="13"/>
        <v/>
      </c>
      <c r="U122" s="221">
        <f t="shared" si="14"/>
        <v>22</v>
      </c>
      <c r="V122" s="220" t="str">
        <f t="shared" si="42"/>
        <v>-</v>
      </c>
      <c r="W122" s="221" t="str">
        <f t="shared" si="43"/>
        <v>-</v>
      </c>
      <c r="X122" s="221" t="str">
        <f t="shared" si="15"/>
        <v>-</v>
      </c>
      <c r="Y122" s="221" t="str">
        <f t="shared" si="16"/>
        <v>-</v>
      </c>
      <c r="Z122" s="270">
        <f t="shared" si="44"/>
        <v>0.1</v>
      </c>
      <c r="AA122" s="271" t="str">
        <f>IFERROR(IF(V121=1,AA$100*EXP(-(LN(2)/$D$65+0.04)*X121)*EXP(-(LN(2)/$D$65+0.1)*Y121),IF(V121=2,AA$100*EXP(-(LN(2)/$D$65+0.04)*(VLOOKUP(($F$16-$F$15)-1,U$99:Y121,4,FALSE)))*EXP(-(LN(2)/$D$65+0.1)*(VLOOKUP(($F$16-$F$15)-1,U$99:Y121,5,FALSE)))*EXP(-(LN(2)/$D$65+0.04)*X121)*EXP(-(LN(2)/$D$65+0.1)*Y121),IF(V121=3,AA$100*EXP(-(LN(2)/$D$65+0.04)*(VLOOKUP(($F$16-$F$15)-1,U$99:Y121,4,FALSE)))*EXP(-(LN(2)/$D$65+0.1)*(VLOOKUP(($F$16-$F$15)-1,U$99:Y121,5,FALSE)))*EXP(-(LN(2)/$D$65+0.04)*(VLOOKUP(($F$16-$F$15)*2-1,U$99:Y121,4,FALSE)))*EXP(-(LN(2)/$D$65+0.1)*(VLOOKUP(($F$16-$F$15)*2-1,U$99:Y121,5,FALSE)))*EXP(-(LN(2)/$D$65+0.04)*X121)*EXP(-(LN(2)/$D$65+0.1)*Y121),"-"))),"-")</f>
        <v>-</v>
      </c>
      <c r="AB122" s="271" t="str">
        <f>IFERROR(IF(V122=1,AB$100*EXP(-(LN(2)/$D$65+0.04)*X122)*EXP(-(LN(2)/$D$65+0.1)*Y122),IF(V122=2,AB$100*EXP(-(LN(2)/$D$65+0.04)*(VLOOKUP(($F$16-$F$15)-1,U$100:Y122,4,FALSE)))*EXP(-(LN(2)/$D$65+0.1)*(VLOOKUP(($F$16-$F$15)-1,U$100:Y122,5,FALSE)))*EXP(-(LN(2)/$D$65+0.04)*X122)*EXP(-(LN(2)/$D$65+0.1)*Y122),IF(V122=3,AB$100*EXP(-(LN(2)/$D$65+0.04)*(VLOOKUP(($F$16-$F$15)-1,U$100:Y122,4,FALSE)))*EXP(-(LN(2)/$D$65+0.1)*(VLOOKUP(($F$16-$F$15)-1,U$100:Y122,5,FALSE)))*EXP(-(LN(2)/$D$65+0.04)*(VLOOKUP(($F$16-$F$15)*2-1,U$100:Y122,4,FALSE)))*EXP(-(LN(2)/$D$65+0.1)*(VLOOKUP(($F$16-$F$15)*2-1,U$100:Y122,5,FALSE)))*EXP(-(LN(2)/$D$65+0.04)*X122)*EXP(-(LN(2)/$D$65+0.1)*Y122),"-"))),"-")</f>
        <v>-</v>
      </c>
      <c r="AC122" s="224">
        <f t="shared" si="45"/>
        <v>22</v>
      </c>
      <c r="AD122" s="223" t="str">
        <f t="shared" si="18"/>
        <v>-</v>
      </c>
      <c r="AE122" s="224" t="str">
        <f t="shared" si="46"/>
        <v>-</v>
      </c>
      <c r="AF122" s="224" t="str">
        <f t="shared" si="19"/>
        <v>-</v>
      </c>
      <c r="AG122" s="224" t="str">
        <f t="shared" si="20"/>
        <v>-</v>
      </c>
      <c r="AH122" s="272">
        <f t="shared" si="47"/>
        <v>0.1</v>
      </c>
      <c r="AI122" s="271" t="str">
        <f>IFERROR(IF(AD121=1,AI$100*EXP(-(LN(2)/$D$65+0.04)*AF121)*EXP(-(LN(2)/$D$65+0.1)*AG121),IF(AD121=2,AI$100*EXP(-(LN(2)/$D$65+0.04)*(VLOOKUP(($F$16-$F$15)-1,AC$99:AG121,4,FALSE)))*EXP(-(LN(2)/$D$65+0.1)*(VLOOKUP(($F$16-$F$15)-1,AC$99:AG121,5,FALSE)))*EXP(-(LN(2)/$D$65+0.04)*AF121)*EXP(-(LN(2)/$D$65+0.1)*AG121),IF(AD121=3,AI$100*EXP(-(LN(2)/$D$65+0.04)*(VLOOKUP(($F$16-$F$15)-1,AC$99:AG121,4,FALSE)))*EXP(-(LN(2)/$D$65+0.1)*(VLOOKUP(($F$16-$F$15)-1,AC$99:AG121,5,FALSE)))*EXP(-(LN(2)/$D$65+0.04)*(VLOOKUP(($F$16-$F$15)*2-1,AC$99:AG121,4,FALSE)))*EXP(-(LN(2)/$D$65+0.1)*(VLOOKUP(($F$16-$F$15)*2-1,AC$99:AG121,5,FALSE)))*EXP(-(LN(2)/$D$65+0.04)*AF121)*EXP(-(LN(2)/$D$65+0.1)*AG121),"-"))),"-")</f>
        <v>-</v>
      </c>
      <c r="AJ122" s="271" t="str">
        <f>IFERROR(IF(AD122=1,AJ$100*EXP(-(LN(2)/$D$65+0.04)*AF122)*EXP(-(LN(2)/$D$65+0.1)*AG122),IF(AD122=2,AJ$100*EXP(-(LN(2)/$D$65+0.04)*(VLOOKUP(($F$16-$F$15)-1,AC$100:AG122,4,FALSE)))*EXP(-(LN(2)/$D$65+0.1)*(VLOOKUP(($F$16-$F$15)-1,AC$100:AG122,5,FALSE)))*EXP(-(LN(2)/$D$65+0.04)*AF122)*EXP(-(LN(2)/$D$65+0.1)*AG122),IF(AD122=3,AJ$100*EXP(-(LN(2)/$D$65+0.04)*(VLOOKUP(($F$16-$F$15)-1,AC$100:AG122,4,FALSE)))*EXP(-(LN(2)/$D$65+0.1)*(VLOOKUP(($F$16-$F$15)-1,AC$100:AG122,5,FALSE)))*EXP(-(LN(2)/$D$65+0.04)*(VLOOKUP(($F$16-$F$15)*2-1,AC$100:AG122,4,FALSE)))*EXP(-(LN(2)/$D$65+0.1)*(VLOOKUP(($F$16-$F$15)*2-1,AC$100:AG122,5,FALSE)))*EXP(-(LN(2)/$D$65+0.04)*AF122)*EXP(-(LN(2)/$D$65+0.1)*AG122),"-"))),"-")</f>
        <v>-</v>
      </c>
      <c r="AK122" s="227">
        <f t="shared" si="49"/>
        <v>22</v>
      </c>
      <c r="AL122" s="226" t="str">
        <f t="shared" si="22"/>
        <v>-</v>
      </c>
      <c r="AM122" s="227" t="str">
        <f t="shared" si="50"/>
        <v>-</v>
      </c>
      <c r="AN122" s="227" t="str">
        <f t="shared" si="51"/>
        <v>-</v>
      </c>
      <c r="AO122" s="227" t="str">
        <f t="shared" si="23"/>
        <v>-</v>
      </c>
      <c r="AP122" s="273">
        <f t="shared" si="52"/>
        <v>0.1</v>
      </c>
      <c r="AQ122" s="271" t="str">
        <f>IFERROR(IF(AL121=1,AQ$100*EXP(-(LN(2)/$D$65+0.04)*AN121)*EXP(-(LN(2)/$D$65+0.1)*AO121),IF(AL121=2,AQ$100*EXP(-(LN(2)/$D$65+0.04)*(VLOOKUP(($F$16-$F$15)-1,AK$99:AO121,4,FALSE)))*EXP(-(LN(2)/$D$65+0.1)*(VLOOKUP(($F$16-$F$15)-1,AK$99:AO121,5,FALSE)))*EXP(-(LN(2)/$D$65+0.04)*AN121)*EXP(-(LN(2)/$D$65+0.1)*AO121),IF(AL121=3,AQ$100*EXP(-(LN(2)/$D$65+0.04)*(VLOOKUP(($F$16-$F$15)-1,AK$99:AO121,4,FALSE)))*EXP(-(LN(2)/$D$65+0.1)*(VLOOKUP(($F$16-$F$15)-1,AK$99:AO121,5,FALSE)))*EXP(-(LN(2)/$D$65+0.04)*(VLOOKUP(($F$16-$F$15)*2-1,AK$99:AO121,4,FALSE)))*EXP(-(LN(2)/$D$65+0.1)*(VLOOKUP(($F$16-$F$15)*2-1,AK$99:AO121,5,FALSE)))*EXP(-(LN(2)/$D$65+0.04)*AN121)*EXP(-(LN(2)/$D$65+0.1)*AO121),"-"))),"-")</f>
        <v>-</v>
      </c>
      <c r="AR122" s="271" t="str">
        <f>IFERROR(IF(AL122=1,AR$100*EXP(-(LN(2)/$D$65+0.04)*AN122)*EXP(-(LN(2)/$D$65+0.1)*AO122),IF(AL122=2,AR$100*EXP(-(LN(2)/$D$65+0.04)*(VLOOKUP(($F$16-$F$15)-1,AK$100:AO122,4,FALSE)))*EXP(-(LN(2)/$D$65+0.1)*(VLOOKUP(($F$16-$F$15)-1,AK$100:AO122,5,FALSE)))*EXP(-(LN(2)/$D$65+0.04)*AN122)*EXP(-(LN(2)/$D$65+0.1)*AO122),IF(AL122=3,AR$100*EXP(-(LN(2)/$D$65+0.04)*(VLOOKUP(($F$16-$F$15)-1,AK$100:AO122,4,FALSE)))*EXP(-(LN(2)/$D$65+0.1)*(VLOOKUP(($F$16-$F$15)-1,AK$100:AO122,5,FALSE)))*EXP(-(LN(2)/$D$65+0.04)*(VLOOKUP(($F$16-$F$15)*2-1,AK$100:AO122,4,FALSE)))*EXP(-(LN(2)/$D$65+0.1)*(VLOOKUP(($F$16-$F$15)*2-1,AK$100:AO122,5,FALSE)))*EXP(-(LN(2)/$D$65+0.04)*AN122)*EXP(-(LN(2)/$D$65+0.1)*AO122),"-"))),"-")</f>
        <v>-</v>
      </c>
      <c r="AS122" s="274">
        <f t="shared" si="24"/>
        <v>0</v>
      </c>
      <c r="AT122" s="274">
        <f t="shared" si="25"/>
        <v>0</v>
      </c>
      <c r="AU122" s="274">
        <f t="shared" si="26"/>
        <v>0</v>
      </c>
      <c r="AV122" s="190" t="str">
        <f>IF($B122&lt;$F$22,SUM($T$100:$T122),"")</f>
        <v/>
      </c>
      <c r="AW122" s="190" t="str">
        <f t="shared" si="55"/>
        <v>-</v>
      </c>
      <c r="AX122" s="190" t="str">
        <f t="shared" si="56"/>
        <v/>
      </c>
      <c r="AY122"/>
      <c r="AZ122" s="190" t="str">
        <f ca="1">IF(ISNUMBER(OFFSET(AV122,-$F$21,0)),SUM(OFFSET($T$100,$F$21,0):$T122),"")</f>
        <v/>
      </c>
      <c r="BA122" s="190" t="str">
        <f t="shared" ca="1" si="27"/>
        <v/>
      </c>
      <c r="BB122" s="190" t="str">
        <f t="shared" ca="1" si="70"/>
        <v/>
      </c>
      <c r="BC122" s="190"/>
      <c r="BD122" s="190" t="str">
        <f ca="1">IFERROR(IF(OR(ISNUMBER(I),ISNUMBER($F$14)),IF(AND($B122&gt;=($F$16-$F$15),$B122&lt;$F$22+($F$16-$F$15)),SUM(OFFSET($T$100,($F$16-$F$15),0):$T122),""),""),"")</f>
        <v/>
      </c>
      <c r="BE122" s="190" t="str">
        <f t="shared" ca="1" si="58"/>
        <v/>
      </c>
      <c r="BF122" s="190" t="str">
        <f t="shared" ca="1" si="59"/>
        <v/>
      </c>
      <c r="BG122"/>
      <c r="BH122" s="190" t="str">
        <f ca="1">IF(ISNUMBER(OFFSET(BD122,-$F$21,0)),SUM(OFFSET($T$100,($F$16-$F$15+$F$21),0):$T122),"")</f>
        <v/>
      </c>
      <c r="BI122" s="190" t="str">
        <f t="shared" ca="1" si="28"/>
        <v/>
      </c>
      <c r="BJ122" s="190" t="str">
        <f t="shared" ca="1" si="60"/>
        <v/>
      </c>
      <c r="BK122" s="190"/>
      <c r="BL122" s="190" t="str">
        <f ca="1">IFERROR(IF(OR(ISNUMBER(I),ISNUMBER($F$14)),IF(AND($B122&gt;=($F$17-$F$15),$B122&lt;$F$22+($F$17-$F$15)),SUM(OFFSET($T$100,($F$17-$F$15),0):$T122),""),""),"")</f>
        <v/>
      </c>
      <c r="BM122" s="190" t="str">
        <f t="shared" ca="1" si="29"/>
        <v/>
      </c>
      <c r="BN122" s="190" t="str">
        <f t="shared" ca="1" si="61"/>
        <v/>
      </c>
      <c r="BO122"/>
      <c r="BP122" s="190" t="str">
        <f ca="1">IF(ISNUMBER(OFFSET(BL122,-$F$21,0)),SUM(OFFSET($T$100,($F$17-$F$15+$F$21),0):$T122),"")</f>
        <v/>
      </c>
      <c r="BQ122" s="190" t="str">
        <f t="shared" ca="1" si="62"/>
        <v/>
      </c>
      <c r="BR122" s="190" t="str">
        <f t="shared" ca="1" si="63"/>
        <v/>
      </c>
      <c r="BS122" s="190"/>
      <c r="BT122"/>
      <c r="BU122" s="185"/>
      <c r="BV122" s="303"/>
      <c r="BW122" s="185"/>
      <c r="BX122" s="185"/>
      <c r="BY122" s="185"/>
      <c r="BZ122" s="302"/>
      <c r="CA122" s="280" t="str">
        <f t="shared" si="30"/>
        <v/>
      </c>
      <c r="CB122" s="71" t="str">
        <f t="shared" si="31"/>
        <v>-</v>
      </c>
      <c r="CC122" s="33"/>
      <c r="CD122" s="261" t="str">
        <f t="shared" si="33"/>
        <v/>
      </c>
      <c r="CE122" s="280" t="str">
        <f t="shared" si="34"/>
        <v/>
      </c>
      <c r="CF122" s="71" t="str">
        <f t="shared" ca="1" si="35"/>
        <v/>
      </c>
      <c r="CG122" s="33" t="str">
        <f t="shared" si="36"/>
        <v/>
      </c>
      <c r="CH122" s="261" t="str">
        <f t="shared" ca="1" si="37"/>
        <v/>
      </c>
      <c r="CI122" s="202"/>
      <c r="CJ122" s="99"/>
      <c r="CK122" s="99"/>
      <c r="CL122" s="99"/>
      <c r="CM122" s="99"/>
      <c r="CN122" s="99"/>
      <c r="CO122" s="99"/>
    </row>
    <row r="123" spans="2:93" ht="13.5" customHeight="1" x14ac:dyDescent="0.2">
      <c r="B123" s="262">
        <v>23</v>
      </c>
      <c r="C123" s="237" t="str">
        <f t="shared" si="1"/>
        <v/>
      </c>
      <c r="D123" s="237" t="str">
        <f t="shared" si="66"/>
        <v/>
      </c>
      <c r="E123" s="290" t="str">
        <f t="shared" si="38"/>
        <v/>
      </c>
      <c r="F123" s="264" t="str">
        <f t="shared" si="39"/>
        <v/>
      </c>
      <c r="G123" s="291" t="str">
        <f t="shared" si="40"/>
        <v/>
      </c>
      <c r="H123" s="240" t="str">
        <f t="shared" si="41"/>
        <v/>
      </c>
      <c r="I123" s="265" t="str">
        <f t="shared" si="2"/>
        <v/>
      </c>
      <c r="J123" s="265" t="str">
        <f t="shared" si="3"/>
        <v/>
      </c>
      <c r="K123" s="240" t="str">
        <f t="shared" si="4"/>
        <v/>
      </c>
      <c r="L123" s="265" t="str">
        <f t="shared" si="5"/>
        <v/>
      </c>
      <c r="M123" s="265" t="str">
        <f t="shared" si="6"/>
        <v/>
      </c>
      <c r="N123" s="240" t="str">
        <f t="shared" si="7"/>
        <v>-</v>
      </c>
      <c r="O123" s="265" t="str">
        <f t="shared" si="8"/>
        <v>-</v>
      </c>
      <c r="P123" s="265" t="str">
        <f t="shared" si="9"/>
        <v>-</v>
      </c>
      <c r="Q123" s="266" t="str">
        <f t="shared" si="10"/>
        <v>-</v>
      </c>
      <c r="R123" s="267" t="str">
        <f t="shared" si="11"/>
        <v>-</v>
      </c>
      <c r="S123" s="268" t="str">
        <f t="shared" si="12"/>
        <v>-</v>
      </c>
      <c r="T123" s="269" t="str">
        <f t="shared" si="13"/>
        <v/>
      </c>
      <c r="U123" s="221">
        <f t="shared" si="14"/>
        <v>23</v>
      </c>
      <c r="V123" s="220" t="str">
        <f t="shared" si="42"/>
        <v>-</v>
      </c>
      <c r="W123" s="221" t="str">
        <f t="shared" si="43"/>
        <v>-</v>
      </c>
      <c r="X123" s="221" t="str">
        <f t="shared" si="15"/>
        <v>-</v>
      </c>
      <c r="Y123" s="221" t="str">
        <f t="shared" si="16"/>
        <v>-</v>
      </c>
      <c r="Z123" s="270">
        <f t="shared" si="44"/>
        <v>0.1</v>
      </c>
      <c r="AA123" s="271" t="str">
        <f>IFERROR(IF(V122=1,AA$100*EXP(-(LN(2)/$D$65+0.04)*X122)*EXP(-(LN(2)/$D$65+0.1)*Y122),IF(V122=2,AA$100*EXP(-(LN(2)/$D$65+0.04)*(VLOOKUP(($F$16-$F$15)-1,U$99:Y122,4,FALSE)))*EXP(-(LN(2)/$D$65+0.1)*(VLOOKUP(($F$16-$F$15)-1,U$99:Y122,5,FALSE)))*EXP(-(LN(2)/$D$65+0.04)*X122)*EXP(-(LN(2)/$D$65+0.1)*Y122),IF(V122=3,AA$100*EXP(-(LN(2)/$D$65+0.04)*(VLOOKUP(($F$16-$F$15)-1,U$99:Y122,4,FALSE)))*EXP(-(LN(2)/$D$65+0.1)*(VLOOKUP(($F$16-$F$15)-1,U$99:Y122,5,FALSE)))*EXP(-(LN(2)/$D$65+0.04)*(VLOOKUP(($F$16-$F$15)*2-1,U$99:Y122,4,FALSE)))*EXP(-(LN(2)/$D$65+0.1)*(VLOOKUP(($F$16-$F$15)*2-1,U$99:Y122,5,FALSE)))*EXP(-(LN(2)/$D$65+0.04)*X122)*EXP(-(LN(2)/$D$65+0.1)*Y122),"-"))),"-")</f>
        <v>-</v>
      </c>
      <c r="AB123" s="271" t="str">
        <f>IFERROR(IF(V123=1,AB$100*EXP(-(LN(2)/$D$65+0.04)*X123)*EXP(-(LN(2)/$D$65+0.1)*Y123),IF(V123=2,AB$100*EXP(-(LN(2)/$D$65+0.04)*(VLOOKUP(($F$16-$F$15)-1,U$100:Y123,4,FALSE)))*EXP(-(LN(2)/$D$65+0.1)*(VLOOKUP(($F$16-$F$15)-1,U$100:Y123,5,FALSE)))*EXP(-(LN(2)/$D$65+0.04)*X123)*EXP(-(LN(2)/$D$65+0.1)*Y123),IF(V123=3,AB$100*EXP(-(LN(2)/$D$65+0.04)*(VLOOKUP(($F$16-$F$15)-1,U$100:Y123,4,FALSE)))*EXP(-(LN(2)/$D$65+0.1)*(VLOOKUP(($F$16-$F$15)-1,U$100:Y123,5,FALSE)))*EXP(-(LN(2)/$D$65+0.04)*(VLOOKUP(($F$16-$F$15)*2-1,U$100:Y123,4,FALSE)))*EXP(-(LN(2)/$D$65+0.1)*(VLOOKUP(($F$16-$F$15)*2-1,U$100:Y123,5,FALSE)))*EXP(-(LN(2)/$D$65+0.04)*X123)*EXP(-(LN(2)/$D$65+0.1)*Y123),"-"))),"-")</f>
        <v>-</v>
      </c>
      <c r="AC123" s="224">
        <f t="shared" si="45"/>
        <v>23</v>
      </c>
      <c r="AD123" s="223" t="str">
        <f t="shared" si="18"/>
        <v>-</v>
      </c>
      <c r="AE123" s="224" t="str">
        <f t="shared" si="46"/>
        <v>-</v>
      </c>
      <c r="AF123" s="224" t="str">
        <f t="shared" si="19"/>
        <v>-</v>
      </c>
      <c r="AG123" s="224" t="str">
        <f t="shared" si="20"/>
        <v>-</v>
      </c>
      <c r="AH123" s="272">
        <f t="shared" si="47"/>
        <v>0.1</v>
      </c>
      <c r="AI123" s="271" t="str">
        <f>IFERROR(IF(AD122=1,AI$100*EXP(-(LN(2)/$D$65+0.04)*AF122)*EXP(-(LN(2)/$D$65+0.1)*AG122),IF(AD122=2,AI$100*EXP(-(LN(2)/$D$65+0.04)*(VLOOKUP(($F$16-$F$15)-1,AC$99:AG122,4,FALSE)))*EXP(-(LN(2)/$D$65+0.1)*(VLOOKUP(($F$16-$F$15)-1,AC$99:AG122,5,FALSE)))*EXP(-(LN(2)/$D$65+0.04)*AF122)*EXP(-(LN(2)/$D$65+0.1)*AG122),IF(AD122=3,AI$100*EXP(-(LN(2)/$D$65+0.04)*(VLOOKUP(($F$16-$F$15)-1,AC$99:AG122,4,FALSE)))*EXP(-(LN(2)/$D$65+0.1)*(VLOOKUP(($F$16-$F$15)-1,AC$99:AG122,5,FALSE)))*EXP(-(LN(2)/$D$65+0.04)*(VLOOKUP(($F$16-$F$15)*2-1,AC$99:AG122,4,FALSE)))*EXP(-(LN(2)/$D$65+0.1)*(VLOOKUP(($F$16-$F$15)*2-1,AC$99:AG122,5,FALSE)))*EXP(-(LN(2)/$D$65+0.04)*AF122)*EXP(-(LN(2)/$D$65+0.1)*AG122),"-"))),"-")</f>
        <v>-</v>
      </c>
      <c r="AJ123" s="271" t="str">
        <f>IFERROR(IF(AD123=1,AJ$100*EXP(-(LN(2)/$D$65+0.04)*AF123)*EXP(-(LN(2)/$D$65+0.1)*AG123),IF(AD123=2,AJ$100*EXP(-(LN(2)/$D$65+0.04)*(VLOOKUP(($F$16-$F$15)-1,AC$100:AG123,4,FALSE)))*EXP(-(LN(2)/$D$65+0.1)*(VLOOKUP(($F$16-$F$15)-1,AC$100:AG123,5,FALSE)))*EXP(-(LN(2)/$D$65+0.04)*AF123)*EXP(-(LN(2)/$D$65+0.1)*AG123),IF(AD123=3,AJ$100*EXP(-(LN(2)/$D$65+0.04)*(VLOOKUP(($F$16-$F$15)-1,AC$100:AG123,4,FALSE)))*EXP(-(LN(2)/$D$65+0.1)*(VLOOKUP(($F$16-$F$15)-1,AC$100:AG123,5,FALSE)))*EXP(-(LN(2)/$D$65+0.04)*(VLOOKUP(($F$16-$F$15)*2-1,AC$100:AG123,4,FALSE)))*EXP(-(LN(2)/$D$65+0.1)*(VLOOKUP(($F$16-$F$15)*2-1,AC$100:AG123,5,FALSE)))*EXP(-(LN(2)/$D$65+0.04)*AF123)*EXP(-(LN(2)/$D$65+0.1)*AG123),"-"))),"-")</f>
        <v>-</v>
      </c>
      <c r="AK123" s="227">
        <f t="shared" si="49"/>
        <v>23</v>
      </c>
      <c r="AL123" s="226" t="str">
        <f t="shared" si="22"/>
        <v>-</v>
      </c>
      <c r="AM123" s="227" t="str">
        <f t="shared" si="50"/>
        <v>-</v>
      </c>
      <c r="AN123" s="227" t="str">
        <f t="shared" si="51"/>
        <v>-</v>
      </c>
      <c r="AO123" s="227" t="str">
        <f t="shared" si="23"/>
        <v>-</v>
      </c>
      <c r="AP123" s="273">
        <f t="shared" si="52"/>
        <v>0.1</v>
      </c>
      <c r="AQ123" s="271" t="str">
        <f>IFERROR(IF(AL122=1,AQ$100*EXP(-(LN(2)/$D$65+0.04)*AN122)*EXP(-(LN(2)/$D$65+0.1)*AO122),IF(AL122=2,AQ$100*EXP(-(LN(2)/$D$65+0.04)*(VLOOKUP(($F$16-$F$15)-1,AK$99:AO122,4,FALSE)))*EXP(-(LN(2)/$D$65+0.1)*(VLOOKUP(($F$16-$F$15)-1,AK$99:AO122,5,FALSE)))*EXP(-(LN(2)/$D$65+0.04)*AN122)*EXP(-(LN(2)/$D$65+0.1)*AO122),IF(AL122=3,AQ$100*EXP(-(LN(2)/$D$65+0.04)*(VLOOKUP(($F$16-$F$15)-1,AK$99:AO122,4,FALSE)))*EXP(-(LN(2)/$D$65+0.1)*(VLOOKUP(($F$16-$F$15)-1,AK$99:AO122,5,FALSE)))*EXP(-(LN(2)/$D$65+0.04)*(VLOOKUP(($F$16-$F$15)*2-1,AK$99:AO122,4,FALSE)))*EXP(-(LN(2)/$D$65+0.1)*(VLOOKUP(($F$16-$F$15)*2-1,AK$99:AO122,5,FALSE)))*EXP(-(LN(2)/$D$65+0.04)*AN122)*EXP(-(LN(2)/$D$65+0.1)*AO122),"-"))),"-")</f>
        <v>-</v>
      </c>
      <c r="AR123" s="271" t="str">
        <f>IFERROR(IF(AL123=1,AR$100*EXP(-(LN(2)/$D$65+0.04)*AN123)*EXP(-(LN(2)/$D$65+0.1)*AO123),IF(AL123=2,AR$100*EXP(-(LN(2)/$D$65+0.04)*(VLOOKUP(($F$16-$F$15)-1,AK$100:AO123,4,FALSE)))*EXP(-(LN(2)/$D$65+0.1)*(VLOOKUP(($F$16-$F$15)-1,AK$100:AO123,5,FALSE)))*EXP(-(LN(2)/$D$65+0.04)*AN123)*EXP(-(LN(2)/$D$65+0.1)*AO123),IF(AL123=3,AR$100*EXP(-(LN(2)/$D$65+0.04)*(VLOOKUP(($F$16-$F$15)-1,AK$100:AO123,4,FALSE)))*EXP(-(LN(2)/$D$65+0.1)*(VLOOKUP(($F$16-$F$15)-1,AK$100:AO123,5,FALSE)))*EXP(-(LN(2)/$D$65+0.04)*(VLOOKUP(($F$16-$F$15)*2-1,AK$100:AO123,4,FALSE)))*EXP(-(LN(2)/$D$65+0.1)*(VLOOKUP(($F$16-$F$15)*2-1,AK$100:AO123,5,FALSE)))*EXP(-(LN(2)/$D$65+0.04)*AN123)*EXP(-(LN(2)/$D$65+0.1)*AO123),"-"))),"-")</f>
        <v>-</v>
      </c>
      <c r="AS123" s="274">
        <f t="shared" si="24"/>
        <v>0</v>
      </c>
      <c r="AT123" s="274">
        <f t="shared" si="25"/>
        <v>0</v>
      </c>
      <c r="AU123" s="274">
        <f t="shared" si="26"/>
        <v>0</v>
      </c>
      <c r="AV123" s="190" t="str">
        <f>IF($B123&lt;$F$22,SUM($T$100:$T123),"")</f>
        <v/>
      </c>
      <c r="AW123" s="190" t="str">
        <f t="shared" si="55"/>
        <v>-</v>
      </c>
      <c r="AX123" s="190" t="str">
        <f t="shared" si="56"/>
        <v/>
      </c>
      <c r="AY123"/>
      <c r="AZ123" s="190" t="str">
        <f ca="1">IF(ISNUMBER(OFFSET(AV123,-$F$21,0)),SUM(OFFSET($T$100,$F$21,0):$T123),"")</f>
        <v/>
      </c>
      <c r="BA123" s="190" t="str">
        <f t="shared" ca="1" si="27"/>
        <v/>
      </c>
      <c r="BB123" s="190" t="str">
        <f t="shared" ca="1" si="70"/>
        <v/>
      </c>
      <c r="BC123" s="190"/>
      <c r="BD123" s="190" t="str">
        <f ca="1">IFERROR(IF(OR(ISNUMBER(I),ISNUMBER($F$14)),IF(AND($B123&gt;=($F$16-$F$15),$B123&lt;$F$22+($F$16-$F$15)),SUM(OFFSET($T$100,($F$16-$F$15),0):$T123),""),""),"")</f>
        <v/>
      </c>
      <c r="BE123" s="190" t="str">
        <f t="shared" ca="1" si="58"/>
        <v/>
      </c>
      <c r="BF123" s="190" t="str">
        <f t="shared" ca="1" si="59"/>
        <v/>
      </c>
      <c r="BG123"/>
      <c r="BH123" s="190" t="str">
        <f ca="1">IF(ISNUMBER(OFFSET(BD123,-$F$21,0)),SUM(OFFSET($T$100,($F$16-$F$15+$F$21),0):$T123),"")</f>
        <v/>
      </c>
      <c r="BI123" s="190" t="str">
        <f t="shared" ca="1" si="28"/>
        <v/>
      </c>
      <c r="BJ123" s="190" t="str">
        <f t="shared" ca="1" si="60"/>
        <v/>
      </c>
      <c r="BK123" s="190"/>
      <c r="BL123" s="190" t="str">
        <f ca="1">IFERROR(IF(OR(ISNUMBER(I),ISNUMBER($F$14)),IF(AND($B123&gt;=($F$17-$F$15),$B123&lt;$F$22+($F$17-$F$15)),SUM(OFFSET($T$100,($F$17-$F$15),0):$T123),""),""),"")</f>
        <v/>
      </c>
      <c r="BM123" s="190" t="str">
        <f t="shared" ca="1" si="29"/>
        <v/>
      </c>
      <c r="BN123" s="190" t="str">
        <f t="shared" ca="1" si="61"/>
        <v/>
      </c>
      <c r="BO123"/>
      <c r="BP123" s="190" t="str">
        <f ca="1">IF(ISNUMBER(OFFSET(BL123,-$F$21,0)),SUM(OFFSET($T$100,($F$17-$F$15+$F$21),0):$T123),"")</f>
        <v/>
      </c>
      <c r="BQ123" s="190" t="str">
        <f t="shared" ca="1" si="62"/>
        <v/>
      </c>
      <c r="BR123" s="190" t="str">
        <f t="shared" ca="1" si="63"/>
        <v/>
      </c>
      <c r="BS123" s="190"/>
      <c r="BT123"/>
      <c r="BU123" s="185"/>
      <c r="BV123" s="304"/>
      <c r="BW123" s="185"/>
      <c r="BX123" s="185"/>
      <c r="BY123" s="185"/>
      <c r="BZ123"/>
      <c r="CA123" s="280" t="str">
        <f t="shared" si="30"/>
        <v/>
      </c>
      <c r="CB123" s="71" t="str">
        <f t="shared" si="31"/>
        <v>-</v>
      </c>
      <c r="CC123" s="33"/>
      <c r="CD123" s="261" t="str">
        <f t="shared" si="33"/>
        <v/>
      </c>
      <c r="CE123" s="280" t="str">
        <f t="shared" si="34"/>
        <v/>
      </c>
      <c r="CF123" s="71" t="str">
        <f t="shared" ca="1" si="35"/>
        <v/>
      </c>
      <c r="CG123" s="33" t="str">
        <f t="shared" si="36"/>
        <v/>
      </c>
      <c r="CH123" s="261" t="str">
        <f t="shared" ca="1" si="37"/>
        <v/>
      </c>
      <c r="CI123" s="202"/>
      <c r="CJ123" s="99"/>
      <c r="CK123" s="99"/>
      <c r="CL123" s="99"/>
      <c r="CM123" s="99"/>
      <c r="CN123" s="99"/>
      <c r="CO123" s="99"/>
    </row>
    <row r="124" spans="2:93" ht="13.5" customHeight="1" x14ac:dyDescent="0.2">
      <c r="B124" s="262">
        <v>24</v>
      </c>
      <c r="C124" s="237" t="str">
        <f t="shared" si="1"/>
        <v/>
      </c>
      <c r="D124" s="237" t="str">
        <f t="shared" si="66"/>
        <v/>
      </c>
      <c r="E124" s="290" t="str">
        <f t="shared" si="38"/>
        <v/>
      </c>
      <c r="F124" s="264" t="str">
        <f t="shared" si="39"/>
        <v/>
      </c>
      <c r="G124" s="291" t="str">
        <f t="shared" si="40"/>
        <v/>
      </c>
      <c r="H124" s="240" t="str">
        <f t="shared" si="41"/>
        <v/>
      </c>
      <c r="I124" s="265" t="str">
        <f t="shared" si="2"/>
        <v/>
      </c>
      <c r="J124" s="265" t="str">
        <f t="shared" si="3"/>
        <v/>
      </c>
      <c r="K124" s="240" t="str">
        <f t="shared" si="4"/>
        <v/>
      </c>
      <c r="L124" s="265" t="str">
        <f t="shared" si="5"/>
        <v/>
      </c>
      <c r="M124" s="265" t="str">
        <f t="shared" si="6"/>
        <v/>
      </c>
      <c r="N124" s="240" t="str">
        <f t="shared" si="7"/>
        <v>-</v>
      </c>
      <c r="O124" s="265" t="str">
        <f t="shared" si="8"/>
        <v>-</v>
      </c>
      <c r="P124" s="265" t="str">
        <f t="shared" si="9"/>
        <v>-</v>
      </c>
      <c r="Q124" s="266" t="str">
        <f t="shared" si="10"/>
        <v>-</v>
      </c>
      <c r="R124" s="267" t="str">
        <f t="shared" si="11"/>
        <v>-</v>
      </c>
      <c r="S124" s="268" t="str">
        <f t="shared" si="12"/>
        <v>-</v>
      </c>
      <c r="T124" s="269" t="str">
        <f t="shared" si="13"/>
        <v/>
      </c>
      <c r="U124" s="221">
        <f t="shared" si="14"/>
        <v>24</v>
      </c>
      <c r="V124" s="220" t="str">
        <f t="shared" si="42"/>
        <v>-</v>
      </c>
      <c r="W124" s="221" t="str">
        <f t="shared" si="43"/>
        <v>-</v>
      </c>
      <c r="X124" s="221" t="str">
        <f t="shared" si="15"/>
        <v>-</v>
      </c>
      <c r="Y124" s="221" t="str">
        <f t="shared" si="16"/>
        <v>-</v>
      </c>
      <c r="Z124" s="270">
        <f t="shared" si="44"/>
        <v>0.1</v>
      </c>
      <c r="AA124" s="271" t="str">
        <f>IFERROR(IF(V123=1,AA$100*EXP(-(LN(2)/$D$65+0.04)*X123)*EXP(-(LN(2)/$D$65+0.1)*Y123),IF(V123=2,AA$100*EXP(-(LN(2)/$D$65+0.04)*(VLOOKUP(($F$16-$F$15)-1,U$99:Y123,4,FALSE)))*EXP(-(LN(2)/$D$65+0.1)*(VLOOKUP(($F$16-$F$15)-1,U$99:Y123,5,FALSE)))*EXP(-(LN(2)/$D$65+0.04)*X123)*EXP(-(LN(2)/$D$65+0.1)*Y123),IF(V123=3,AA$100*EXP(-(LN(2)/$D$65+0.04)*(VLOOKUP(($F$16-$F$15)-1,U$99:Y123,4,FALSE)))*EXP(-(LN(2)/$D$65+0.1)*(VLOOKUP(($F$16-$F$15)-1,U$99:Y123,5,FALSE)))*EXP(-(LN(2)/$D$65+0.04)*(VLOOKUP(($F$16-$F$15)*2-1,U$99:Y123,4,FALSE)))*EXP(-(LN(2)/$D$65+0.1)*(VLOOKUP(($F$16-$F$15)*2-1,U$99:Y123,5,FALSE)))*EXP(-(LN(2)/$D$65+0.04)*X123)*EXP(-(LN(2)/$D$65+0.1)*Y123),"-"))),"-")</f>
        <v>-</v>
      </c>
      <c r="AB124" s="271" t="str">
        <f>IFERROR(IF(V124=1,AB$100*EXP(-(LN(2)/$D$65+0.04)*X124)*EXP(-(LN(2)/$D$65+0.1)*Y124),IF(V124=2,AB$100*EXP(-(LN(2)/$D$65+0.04)*(VLOOKUP(($F$16-$F$15)-1,U$100:Y124,4,FALSE)))*EXP(-(LN(2)/$D$65+0.1)*(VLOOKUP(($F$16-$F$15)-1,U$100:Y124,5,FALSE)))*EXP(-(LN(2)/$D$65+0.04)*X124)*EXP(-(LN(2)/$D$65+0.1)*Y124),IF(V124=3,AB$100*EXP(-(LN(2)/$D$65+0.04)*(VLOOKUP(($F$16-$F$15)-1,U$100:Y124,4,FALSE)))*EXP(-(LN(2)/$D$65+0.1)*(VLOOKUP(($F$16-$F$15)-1,U$100:Y124,5,FALSE)))*EXP(-(LN(2)/$D$65+0.04)*(VLOOKUP(($F$16-$F$15)*2-1,U$100:Y124,4,FALSE)))*EXP(-(LN(2)/$D$65+0.1)*(VLOOKUP(($F$16-$F$15)*2-1,U$100:Y124,5,FALSE)))*EXP(-(LN(2)/$D$65+0.04)*X124)*EXP(-(LN(2)/$D$65+0.1)*Y124),"-"))),"-")</f>
        <v>-</v>
      </c>
      <c r="AC124" s="224">
        <f t="shared" si="45"/>
        <v>24</v>
      </c>
      <c r="AD124" s="223" t="str">
        <f t="shared" si="18"/>
        <v>-</v>
      </c>
      <c r="AE124" s="224" t="str">
        <f t="shared" si="46"/>
        <v>-</v>
      </c>
      <c r="AF124" s="224" t="str">
        <f t="shared" si="19"/>
        <v>-</v>
      </c>
      <c r="AG124" s="224" t="str">
        <f t="shared" si="20"/>
        <v>-</v>
      </c>
      <c r="AH124" s="272">
        <f t="shared" si="47"/>
        <v>0.1</v>
      </c>
      <c r="AI124" s="271" t="str">
        <f>IFERROR(IF(AD123=1,AI$100*EXP(-(LN(2)/$D$65+0.04)*AF123)*EXP(-(LN(2)/$D$65+0.1)*AG123),IF(AD123=2,AI$100*EXP(-(LN(2)/$D$65+0.04)*(VLOOKUP(($F$16-$F$15)-1,AC$99:AG123,4,FALSE)))*EXP(-(LN(2)/$D$65+0.1)*(VLOOKUP(($F$16-$F$15)-1,AC$99:AG123,5,FALSE)))*EXP(-(LN(2)/$D$65+0.04)*AF123)*EXP(-(LN(2)/$D$65+0.1)*AG123),IF(AD123=3,AI$100*EXP(-(LN(2)/$D$65+0.04)*(VLOOKUP(($F$16-$F$15)-1,AC$99:AG123,4,FALSE)))*EXP(-(LN(2)/$D$65+0.1)*(VLOOKUP(($F$16-$F$15)-1,AC$99:AG123,5,FALSE)))*EXP(-(LN(2)/$D$65+0.04)*(VLOOKUP(($F$16-$F$15)*2-1,AC$99:AG123,4,FALSE)))*EXP(-(LN(2)/$D$65+0.1)*(VLOOKUP(($F$16-$F$15)*2-1,AC$99:AG123,5,FALSE)))*EXP(-(LN(2)/$D$65+0.04)*AF123)*EXP(-(LN(2)/$D$65+0.1)*AG123),"-"))),"-")</f>
        <v>-</v>
      </c>
      <c r="AJ124" s="271" t="str">
        <f>IFERROR(IF(AD124=1,AJ$100*EXP(-(LN(2)/$D$65+0.04)*AF124)*EXP(-(LN(2)/$D$65+0.1)*AG124),IF(AD124=2,AJ$100*EXP(-(LN(2)/$D$65+0.04)*(VLOOKUP(($F$16-$F$15)-1,AC$100:AG124,4,FALSE)))*EXP(-(LN(2)/$D$65+0.1)*(VLOOKUP(($F$16-$F$15)-1,AC$100:AG124,5,FALSE)))*EXP(-(LN(2)/$D$65+0.04)*AF124)*EXP(-(LN(2)/$D$65+0.1)*AG124),IF(AD124=3,AJ$100*EXP(-(LN(2)/$D$65+0.04)*(VLOOKUP(($F$16-$F$15)-1,AC$100:AG124,4,FALSE)))*EXP(-(LN(2)/$D$65+0.1)*(VLOOKUP(($F$16-$F$15)-1,AC$100:AG124,5,FALSE)))*EXP(-(LN(2)/$D$65+0.04)*(VLOOKUP(($F$16-$F$15)*2-1,AC$100:AG124,4,FALSE)))*EXP(-(LN(2)/$D$65+0.1)*(VLOOKUP(($F$16-$F$15)*2-1,AC$100:AG124,5,FALSE)))*EXP(-(LN(2)/$D$65+0.04)*AF124)*EXP(-(LN(2)/$D$65+0.1)*AG124),"-"))),"-")</f>
        <v>-</v>
      </c>
      <c r="AK124" s="227">
        <f t="shared" si="49"/>
        <v>24</v>
      </c>
      <c r="AL124" s="226" t="str">
        <f t="shared" si="22"/>
        <v>-</v>
      </c>
      <c r="AM124" s="227" t="str">
        <f t="shared" si="50"/>
        <v>-</v>
      </c>
      <c r="AN124" s="227" t="str">
        <f t="shared" si="51"/>
        <v>-</v>
      </c>
      <c r="AO124" s="227" t="str">
        <f t="shared" si="23"/>
        <v>-</v>
      </c>
      <c r="AP124" s="273">
        <f t="shared" si="52"/>
        <v>0.1</v>
      </c>
      <c r="AQ124" s="271" t="str">
        <f>IFERROR(IF(AL123=1,AQ$100*EXP(-(LN(2)/$D$65+0.04)*AN123)*EXP(-(LN(2)/$D$65+0.1)*AO123),IF(AL123=2,AQ$100*EXP(-(LN(2)/$D$65+0.04)*(VLOOKUP(($F$16-$F$15)-1,AK$99:AO123,4,FALSE)))*EXP(-(LN(2)/$D$65+0.1)*(VLOOKUP(($F$16-$F$15)-1,AK$99:AO123,5,FALSE)))*EXP(-(LN(2)/$D$65+0.04)*AN123)*EXP(-(LN(2)/$D$65+0.1)*AO123),IF(AL123=3,AQ$100*EXP(-(LN(2)/$D$65+0.04)*(VLOOKUP(($F$16-$F$15)-1,AK$99:AO123,4,FALSE)))*EXP(-(LN(2)/$D$65+0.1)*(VLOOKUP(($F$16-$F$15)-1,AK$99:AO123,5,FALSE)))*EXP(-(LN(2)/$D$65+0.04)*(VLOOKUP(($F$16-$F$15)*2-1,AK$99:AO123,4,FALSE)))*EXP(-(LN(2)/$D$65+0.1)*(VLOOKUP(($F$16-$F$15)*2-1,AK$99:AO123,5,FALSE)))*EXP(-(LN(2)/$D$65+0.04)*AN123)*EXP(-(LN(2)/$D$65+0.1)*AO123),"-"))),"-")</f>
        <v>-</v>
      </c>
      <c r="AR124" s="271" t="str">
        <f>IFERROR(IF(AL124=1,AR$100*EXP(-(LN(2)/$D$65+0.04)*AN124)*EXP(-(LN(2)/$D$65+0.1)*AO124),IF(AL124=2,AR$100*EXP(-(LN(2)/$D$65+0.04)*(VLOOKUP(($F$16-$F$15)-1,AK$100:AO124,4,FALSE)))*EXP(-(LN(2)/$D$65+0.1)*(VLOOKUP(($F$16-$F$15)-1,AK$100:AO124,5,FALSE)))*EXP(-(LN(2)/$D$65+0.04)*AN124)*EXP(-(LN(2)/$D$65+0.1)*AO124),IF(AL124=3,AR$100*EXP(-(LN(2)/$D$65+0.04)*(VLOOKUP(($F$16-$F$15)-1,AK$100:AO124,4,FALSE)))*EXP(-(LN(2)/$D$65+0.1)*(VLOOKUP(($F$16-$F$15)-1,AK$100:AO124,5,FALSE)))*EXP(-(LN(2)/$D$65+0.04)*(VLOOKUP(($F$16-$F$15)*2-1,AK$100:AO124,4,FALSE)))*EXP(-(LN(2)/$D$65+0.1)*(VLOOKUP(($F$16-$F$15)*2-1,AK$100:AO124,5,FALSE)))*EXP(-(LN(2)/$D$65+0.04)*AN124)*EXP(-(LN(2)/$D$65+0.1)*AO124),"-"))),"-")</f>
        <v>-</v>
      </c>
      <c r="AS124" s="274">
        <f t="shared" si="24"/>
        <v>0</v>
      </c>
      <c r="AT124" s="274">
        <f t="shared" si="25"/>
        <v>0</v>
      </c>
      <c r="AU124" s="274">
        <f t="shared" si="26"/>
        <v>0</v>
      </c>
      <c r="AV124" s="190" t="str">
        <f>IF($B124&lt;$F$22,SUM($T$100:$T124),"")</f>
        <v/>
      </c>
      <c r="AW124" s="190" t="str">
        <f t="shared" si="55"/>
        <v>-</v>
      </c>
      <c r="AX124" s="190" t="str">
        <f t="shared" si="56"/>
        <v/>
      </c>
      <c r="AY124"/>
      <c r="AZ124" s="190" t="str">
        <f ca="1">IF(ISNUMBER(OFFSET(AV124,-$F$21,0)),SUM(OFFSET($T$100,$F$21,0):$T124),"")</f>
        <v/>
      </c>
      <c r="BA124" s="190" t="str">
        <f t="shared" ca="1" si="27"/>
        <v/>
      </c>
      <c r="BB124" s="190" t="str">
        <f t="shared" ca="1" si="70"/>
        <v/>
      </c>
      <c r="BC124" s="190"/>
      <c r="BD124" s="190" t="str">
        <f ca="1">IFERROR(IF(OR(ISNUMBER(I),ISNUMBER($F$14)),IF(AND($B124&gt;=($F$16-$F$15),$B124&lt;$F$22+($F$16-$F$15)),SUM(OFFSET($T$100,($F$16-$F$15),0):$T124),""),""),"")</f>
        <v/>
      </c>
      <c r="BE124" s="190" t="str">
        <f t="shared" ca="1" si="58"/>
        <v/>
      </c>
      <c r="BF124" s="190" t="str">
        <f t="shared" ca="1" si="59"/>
        <v/>
      </c>
      <c r="BG124"/>
      <c r="BH124" s="190" t="str">
        <f ca="1">IF(ISNUMBER(OFFSET(BD124,-$F$21,0)),SUM(OFFSET($T$100,($F$16-$F$15+$F$21),0):$T124),"")</f>
        <v/>
      </c>
      <c r="BI124" s="190" t="str">
        <f t="shared" ca="1" si="28"/>
        <v/>
      </c>
      <c r="BJ124" s="190" t="str">
        <f t="shared" ca="1" si="60"/>
        <v/>
      </c>
      <c r="BK124" s="190"/>
      <c r="BL124" s="190" t="str">
        <f ca="1">IFERROR(IF(OR(ISNUMBER(I),ISNUMBER($F$14)),IF(AND($B124&gt;=($F$17-$F$15),$B124&lt;$F$22+($F$17-$F$15)),SUM(OFFSET($T$100,($F$17-$F$15),0):$T124),""),""),"")</f>
        <v/>
      </c>
      <c r="BM124" s="190" t="str">
        <f t="shared" ca="1" si="29"/>
        <v/>
      </c>
      <c r="BN124" s="190" t="str">
        <f t="shared" ca="1" si="61"/>
        <v/>
      </c>
      <c r="BO124"/>
      <c r="BP124" s="190" t="str">
        <f ca="1">IF(ISNUMBER(OFFSET(BL124,-$F$21,0)),SUM(OFFSET($T$100,($F$17-$F$15+$F$21),0):$T124),"")</f>
        <v/>
      </c>
      <c r="BQ124" s="190" t="str">
        <f t="shared" ca="1" si="62"/>
        <v/>
      </c>
      <c r="BR124" s="190" t="str">
        <f t="shared" ca="1" si="63"/>
        <v/>
      </c>
      <c r="BS124" s="190"/>
      <c r="BT124"/>
      <c r="BU124" s="185"/>
      <c r="BV124" s="184"/>
      <c r="BW124" s="185"/>
      <c r="BX124" s="185"/>
      <c r="BY124" s="185"/>
      <c r="BZ124"/>
      <c r="CA124" s="280" t="str">
        <f t="shared" si="30"/>
        <v/>
      </c>
      <c r="CB124" s="71" t="str">
        <f t="shared" si="31"/>
        <v>-</v>
      </c>
      <c r="CC124" s="33"/>
      <c r="CD124" s="261" t="str">
        <f t="shared" si="33"/>
        <v/>
      </c>
      <c r="CE124" s="280" t="str">
        <f t="shared" si="34"/>
        <v/>
      </c>
      <c r="CF124" s="71" t="str">
        <f t="shared" ca="1" si="35"/>
        <v/>
      </c>
      <c r="CG124" s="33" t="str">
        <f t="shared" si="36"/>
        <v/>
      </c>
      <c r="CH124" s="261" t="str">
        <f t="shared" ca="1" si="37"/>
        <v/>
      </c>
      <c r="CI124" s="202"/>
      <c r="CJ124" s="99"/>
      <c r="CK124" s="99"/>
      <c r="CL124" s="99"/>
      <c r="CM124" s="99"/>
      <c r="CN124" s="99"/>
      <c r="CO124" s="99"/>
    </row>
    <row r="125" spans="2:93" ht="13.5" customHeight="1" x14ac:dyDescent="0.2">
      <c r="B125" s="262">
        <v>25</v>
      </c>
      <c r="C125" s="237" t="str">
        <f t="shared" si="1"/>
        <v/>
      </c>
      <c r="D125" s="237" t="str">
        <f t="shared" si="66"/>
        <v/>
      </c>
      <c r="E125" s="290" t="str">
        <f t="shared" si="38"/>
        <v/>
      </c>
      <c r="F125" s="264" t="str">
        <f t="shared" si="39"/>
        <v/>
      </c>
      <c r="G125" s="291" t="str">
        <f t="shared" si="40"/>
        <v/>
      </c>
      <c r="H125" s="240" t="str">
        <f t="shared" si="41"/>
        <v/>
      </c>
      <c r="I125" s="265" t="str">
        <f t="shared" si="2"/>
        <v/>
      </c>
      <c r="J125" s="265" t="str">
        <f t="shared" si="3"/>
        <v/>
      </c>
      <c r="K125" s="240" t="str">
        <f t="shared" si="4"/>
        <v/>
      </c>
      <c r="L125" s="265" t="str">
        <f t="shared" si="5"/>
        <v/>
      </c>
      <c r="M125" s="265" t="str">
        <f t="shared" si="6"/>
        <v/>
      </c>
      <c r="N125" s="240" t="str">
        <f t="shared" si="7"/>
        <v>-</v>
      </c>
      <c r="O125" s="265" t="str">
        <f t="shared" si="8"/>
        <v>-</v>
      </c>
      <c r="P125" s="265" t="str">
        <f t="shared" si="9"/>
        <v>-</v>
      </c>
      <c r="Q125" s="266" t="str">
        <f t="shared" si="10"/>
        <v>-</v>
      </c>
      <c r="R125" s="267" t="str">
        <f t="shared" si="11"/>
        <v>-</v>
      </c>
      <c r="S125" s="268" t="str">
        <f t="shared" si="12"/>
        <v>-</v>
      </c>
      <c r="T125" s="269" t="str">
        <f t="shared" si="13"/>
        <v/>
      </c>
      <c r="U125" s="221">
        <f t="shared" si="14"/>
        <v>25</v>
      </c>
      <c r="V125" s="220" t="str">
        <f t="shared" si="42"/>
        <v>-</v>
      </c>
      <c r="W125" s="221" t="str">
        <f t="shared" si="43"/>
        <v>-</v>
      </c>
      <c r="X125" s="221" t="str">
        <f t="shared" si="15"/>
        <v>-</v>
      </c>
      <c r="Y125" s="221" t="str">
        <f t="shared" si="16"/>
        <v>-</v>
      </c>
      <c r="Z125" s="270">
        <f t="shared" si="44"/>
        <v>0.1</v>
      </c>
      <c r="AA125" s="271" t="str">
        <f>IFERROR(IF(V124=1,AA$100*EXP(-(LN(2)/$D$65+0.04)*X124)*EXP(-(LN(2)/$D$65+0.1)*Y124),IF(V124=2,AA$100*EXP(-(LN(2)/$D$65+0.04)*(VLOOKUP(($F$16-$F$15)-1,U$99:Y124,4,FALSE)))*EXP(-(LN(2)/$D$65+0.1)*(VLOOKUP(($F$16-$F$15)-1,U$99:Y124,5,FALSE)))*EXP(-(LN(2)/$D$65+0.04)*X124)*EXP(-(LN(2)/$D$65+0.1)*Y124),IF(V124=3,AA$100*EXP(-(LN(2)/$D$65+0.04)*(VLOOKUP(($F$16-$F$15)-1,U$99:Y124,4,FALSE)))*EXP(-(LN(2)/$D$65+0.1)*(VLOOKUP(($F$16-$F$15)-1,U$99:Y124,5,FALSE)))*EXP(-(LN(2)/$D$65+0.04)*(VLOOKUP(($F$16-$F$15)*2-1,U$99:Y124,4,FALSE)))*EXP(-(LN(2)/$D$65+0.1)*(VLOOKUP(($F$16-$F$15)*2-1,U$99:Y124,5,FALSE)))*EXP(-(LN(2)/$D$65+0.04)*X124)*EXP(-(LN(2)/$D$65+0.1)*Y124),"-"))),"-")</f>
        <v>-</v>
      </c>
      <c r="AB125" s="271" t="str">
        <f>IFERROR(IF(V125=1,AB$100*EXP(-(LN(2)/$D$65+0.04)*X125)*EXP(-(LN(2)/$D$65+0.1)*Y125),IF(V125=2,AB$100*EXP(-(LN(2)/$D$65+0.04)*(VLOOKUP(($F$16-$F$15)-1,U$100:Y125,4,FALSE)))*EXP(-(LN(2)/$D$65+0.1)*(VLOOKUP(($F$16-$F$15)-1,U$100:Y125,5,FALSE)))*EXP(-(LN(2)/$D$65+0.04)*X125)*EXP(-(LN(2)/$D$65+0.1)*Y125),IF(V125=3,AB$100*EXP(-(LN(2)/$D$65+0.04)*(VLOOKUP(($F$16-$F$15)-1,U$100:Y125,4,FALSE)))*EXP(-(LN(2)/$D$65+0.1)*(VLOOKUP(($F$16-$F$15)-1,U$100:Y125,5,FALSE)))*EXP(-(LN(2)/$D$65+0.04)*(VLOOKUP(($F$16-$F$15)*2-1,U$100:Y125,4,FALSE)))*EXP(-(LN(2)/$D$65+0.1)*(VLOOKUP(($F$16-$F$15)*2-1,U$100:Y125,5,FALSE)))*EXP(-(LN(2)/$D$65+0.04)*X125)*EXP(-(LN(2)/$D$65+0.1)*Y125),"-"))),"-")</f>
        <v>-</v>
      </c>
      <c r="AC125" s="224">
        <f t="shared" si="45"/>
        <v>25</v>
      </c>
      <c r="AD125" s="223" t="str">
        <f t="shared" si="18"/>
        <v>-</v>
      </c>
      <c r="AE125" s="224" t="str">
        <f t="shared" si="46"/>
        <v>-</v>
      </c>
      <c r="AF125" s="224" t="str">
        <f t="shared" si="19"/>
        <v>-</v>
      </c>
      <c r="AG125" s="224" t="str">
        <f t="shared" si="20"/>
        <v>-</v>
      </c>
      <c r="AH125" s="272">
        <f t="shared" si="47"/>
        <v>0.1</v>
      </c>
      <c r="AI125" s="271" t="str">
        <f>IFERROR(IF(AD124=1,AI$100*EXP(-(LN(2)/$D$65+0.04)*AF124)*EXP(-(LN(2)/$D$65+0.1)*AG124),IF(AD124=2,AI$100*EXP(-(LN(2)/$D$65+0.04)*(VLOOKUP(($F$16-$F$15)-1,AC$99:AG124,4,FALSE)))*EXP(-(LN(2)/$D$65+0.1)*(VLOOKUP(($F$16-$F$15)-1,AC$99:AG124,5,FALSE)))*EXP(-(LN(2)/$D$65+0.04)*AF124)*EXP(-(LN(2)/$D$65+0.1)*AG124),IF(AD124=3,AI$100*EXP(-(LN(2)/$D$65+0.04)*(VLOOKUP(($F$16-$F$15)-1,AC$99:AG124,4,FALSE)))*EXP(-(LN(2)/$D$65+0.1)*(VLOOKUP(($F$16-$F$15)-1,AC$99:AG124,5,FALSE)))*EXP(-(LN(2)/$D$65+0.04)*(VLOOKUP(($F$16-$F$15)*2-1,AC$99:AG124,4,FALSE)))*EXP(-(LN(2)/$D$65+0.1)*(VLOOKUP(($F$16-$F$15)*2-1,AC$99:AG124,5,FALSE)))*EXP(-(LN(2)/$D$65+0.04)*AF124)*EXP(-(LN(2)/$D$65+0.1)*AG124),"-"))),"-")</f>
        <v>-</v>
      </c>
      <c r="AJ125" s="271" t="str">
        <f>IFERROR(IF(AD125=1,AJ$100*EXP(-(LN(2)/$D$65+0.04)*AF125)*EXP(-(LN(2)/$D$65+0.1)*AG125),IF(AD125=2,AJ$100*EXP(-(LN(2)/$D$65+0.04)*(VLOOKUP(($F$16-$F$15)-1,AC$100:AG125,4,FALSE)))*EXP(-(LN(2)/$D$65+0.1)*(VLOOKUP(($F$16-$F$15)-1,AC$100:AG125,5,FALSE)))*EXP(-(LN(2)/$D$65+0.04)*AF125)*EXP(-(LN(2)/$D$65+0.1)*AG125),IF(AD125=3,AJ$100*EXP(-(LN(2)/$D$65+0.04)*(VLOOKUP(($F$16-$F$15)-1,AC$100:AG125,4,FALSE)))*EXP(-(LN(2)/$D$65+0.1)*(VLOOKUP(($F$16-$F$15)-1,AC$100:AG125,5,FALSE)))*EXP(-(LN(2)/$D$65+0.04)*(VLOOKUP(($F$16-$F$15)*2-1,AC$100:AG125,4,FALSE)))*EXP(-(LN(2)/$D$65+0.1)*(VLOOKUP(($F$16-$F$15)*2-1,AC$100:AG125,5,FALSE)))*EXP(-(LN(2)/$D$65+0.04)*AF125)*EXP(-(LN(2)/$D$65+0.1)*AG125),"-"))),"-")</f>
        <v>-</v>
      </c>
      <c r="AK125" s="227">
        <f t="shared" si="49"/>
        <v>25</v>
      </c>
      <c r="AL125" s="226" t="str">
        <f t="shared" si="22"/>
        <v>-</v>
      </c>
      <c r="AM125" s="227" t="str">
        <f t="shared" si="50"/>
        <v>-</v>
      </c>
      <c r="AN125" s="227" t="str">
        <f t="shared" si="51"/>
        <v>-</v>
      </c>
      <c r="AO125" s="227" t="str">
        <f t="shared" si="23"/>
        <v>-</v>
      </c>
      <c r="AP125" s="273">
        <f t="shared" si="52"/>
        <v>0.1</v>
      </c>
      <c r="AQ125" s="271" t="str">
        <f>IFERROR(IF(AL124=1,AQ$100*EXP(-(LN(2)/$D$65+0.04)*AN124)*EXP(-(LN(2)/$D$65+0.1)*AO124),IF(AL124=2,AQ$100*EXP(-(LN(2)/$D$65+0.04)*(VLOOKUP(($F$16-$F$15)-1,AK$99:AO124,4,FALSE)))*EXP(-(LN(2)/$D$65+0.1)*(VLOOKUP(($F$16-$F$15)-1,AK$99:AO124,5,FALSE)))*EXP(-(LN(2)/$D$65+0.04)*AN124)*EXP(-(LN(2)/$D$65+0.1)*AO124),IF(AL124=3,AQ$100*EXP(-(LN(2)/$D$65+0.04)*(VLOOKUP(($F$16-$F$15)-1,AK$99:AO124,4,FALSE)))*EXP(-(LN(2)/$D$65+0.1)*(VLOOKUP(($F$16-$F$15)-1,AK$99:AO124,5,FALSE)))*EXP(-(LN(2)/$D$65+0.04)*(VLOOKUP(($F$16-$F$15)*2-1,AK$99:AO124,4,FALSE)))*EXP(-(LN(2)/$D$65+0.1)*(VLOOKUP(($F$16-$F$15)*2-1,AK$99:AO124,5,FALSE)))*EXP(-(LN(2)/$D$65+0.04)*AN124)*EXP(-(LN(2)/$D$65+0.1)*AO124),"-"))),"-")</f>
        <v>-</v>
      </c>
      <c r="AR125" s="271" t="str">
        <f>IFERROR(IF(AL125=1,AR$100*EXP(-(LN(2)/$D$65+0.04)*AN125)*EXP(-(LN(2)/$D$65+0.1)*AO125),IF(AL125=2,AR$100*EXP(-(LN(2)/$D$65+0.04)*(VLOOKUP(($F$16-$F$15)-1,AK$100:AO125,4,FALSE)))*EXP(-(LN(2)/$D$65+0.1)*(VLOOKUP(($F$16-$F$15)-1,AK$100:AO125,5,FALSE)))*EXP(-(LN(2)/$D$65+0.04)*AN125)*EXP(-(LN(2)/$D$65+0.1)*AO125),IF(AL125=3,AR$100*EXP(-(LN(2)/$D$65+0.04)*(VLOOKUP(($F$16-$F$15)-1,AK$100:AO125,4,FALSE)))*EXP(-(LN(2)/$D$65+0.1)*(VLOOKUP(($F$16-$F$15)-1,AK$100:AO125,5,FALSE)))*EXP(-(LN(2)/$D$65+0.04)*(VLOOKUP(($F$16-$F$15)*2-1,AK$100:AO125,4,FALSE)))*EXP(-(LN(2)/$D$65+0.1)*(VLOOKUP(($F$16-$F$15)*2-1,AK$100:AO125,5,FALSE)))*EXP(-(LN(2)/$D$65+0.04)*AN125)*EXP(-(LN(2)/$D$65+0.1)*AO125),"-"))),"-")</f>
        <v>-</v>
      </c>
      <c r="AS125" s="274">
        <f t="shared" si="24"/>
        <v>0</v>
      </c>
      <c r="AT125" s="274">
        <f t="shared" si="25"/>
        <v>0</v>
      </c>
      <c r="AU125" s="274">
        <f t="shared" si="26"/>
        <v>0</v>
      </c>
      <c r="AV125" s="190" t="str">
        <f>IF($B125&lt;$F$22,SUM($T$100:$T125),"")</f>
        <v/>
      </c>
      <c r="AW125" s="190" t="str">
        <f t="shared" si="55"/>
        <v>-</v>
      </c>
      <c r="AX125" s="190" t="str">
        <f t="shared" si="56"/>
        <v/>
      </c>
      <c r="AY125"/>
      <c r="AZ125" s="190" t="str">
        <f ca="1">IF(ISNUMBER(OFFSET(AV125,-$F$21,0)),SUM(OFFSET($T$100,$F$21,0):$T125),"")</f>
        <v/>
      </c>
      <c r="BA125" s="190" t="str">
        <f t="shared" ca="1" si="27"/>
        <v/>
      </c>
      <c r="BB125" s="190" t="str">
        <f t="shared" ca="1" si="70"/>
        <v/>
      </c>
      <c r="BC125" s="190"/>
      <c r="BD125" s="190" t="str">
        <f ca="1">IFERROR(IF(OR(ISNUMBER(I),ISNUMBER($F$14)),IF(AND($B125&gt;=($F$16-$F$15),$B125&lt;$F$22+($F$16-$F$15)),SUM(OFFSET($T$100,($F$16-$F$15),0):$T125),""),""),"")</f>
        <v/>
      </c>
      <c r="BE125" s="190" t="str">
        <f t="shared" ca="1" si="58"/>
        <v/>
      </c>
      <c r="BF125" s="190" t="str">
        <f t="shared" ca="1" si="59"/>
        <v/>
      </c>
      <c r="BG125"/>
      <c r="BH125" s="190" t="str">
        <f ca="1">IF(ISNUMBER(OFFSET(BD125,-$F$21,0)),SUM(OFFSET($T$100,($F$16-$F$15+$F$21),0):$T125),"")</f>
        <v/>
      </c>
      <c r="BI125" s="190" t="str">
        <f t="shared" ca="1" si="28"/>
        <v/>
      </c>
      <c r="BJ125" s="190" t="str">
        <f t="shared" ca="1" si="60"/>
        <v/>
      </c>
      <c r="BK125" s="190"/>
      <c r="BL125" s="190" t="str">
        <f ca="1">IFERROR(IF(OR(ISNUMBER(I),ISNUMBER($F$14)),IF(AND($B125&gt;=($F$17-$F$15),$B125&lt;$F$22+($F$17-$F$15)),SUM(OFFSET($T$100,($F$17-$F$15),0):$T125),""),""),"")</f>
        <v/>
      </c>
      <c r="BM125" s="190" t="str">
        <f t="shared" ca="1" si="29"/>
        <v/>
      </c>
      <c r="BN125" s="190" t="str">
        <f t="shared" ca="1" si="61"/>
        <v/>
      </c>
      <c r="BO125"/>
      <c r="BP125" s="190" t="str">
        <f ca="1">IF(ISNUMBER(OFFSET(BL125,-$F$21,0)),SUM(OFFSET($T$100,($F$17-$F$15+$F$21),0):$T125),"")</f>
        <v/>
      </c>
      <c r="BQ125" s="190" t="str">
        <f t="shared" ca="1" si="62"/>
        <v/>
      </c>
      <c r="BR125" s="190" t="str">
        <f t="shared" ca="1" si="63"/>
        <v/>
      </c>
      <c r="BS125" s="190"/>
      <c r="BT125"/>
      <c r="BU125" s="185"/>
      <c r="BV125" s="177"/>
      <c r="BW125" s="185"/>
      <c r="BX125" s="185"/>
      <c r="BY125" s="185"/>
      <c r="BZ125"/>
      <c r="CA125" s="280" t="str">
        <f t="shared" si="30"/>
        <v/>
      </c>
      <c r="CB125" s="71" t="str">
        <f t="shared" si="31"/>
        <v>-</v>
      </c>
      <c r="CC125" s="33"/>
      <c r="CD125" s="261" t="str">
        <f t="shared" si="33"/>
        <v/>
      </c>
      <c r="CE125" s="280" t="str">
        <f t="shared" si="34"/>
        <v/>
      </c>
      <c r="CF125" s="71" t="str">
        <f t="shared" ca="1" si="35"/>
        <v/>
      </c>
      <c r="CG125" s="33" t="str">
        <f t="shared" si="36"/>
        <v/>
      </c>
      <c r="CH125" s="261" t="str">
        <f t="shared" ca="1" si="37"/>
        <v/>
      </c>
      <c r="CI125" s="202"/>
      <c r="CJ125" s="99"/>
      <c r="CK125" s="99"/>
      <c r="CL125" s="99"/>
      <c r="CM125" s="99"/>
      <c r="CN125" s="99"/>
      <c r="CO125" s="99"/>
    </row>
    <row r="126" spans="2:93" ht="13.5" customHeight="1" x14ac:dyDescent="0.2">
      <c r="B126" s="262">
        <v>26</v>
      </c>
      <c r="C126" s="237" t="str">
        <f t="shared" si="1"/>
        <v/>
      </c>
      <c r="D126" s="237" t="str">
        <f t="shared" si="66"/>
        <v/>
      </c>
      <c r="E126" s="290" t="str">
        <f t="shared" si="38"/>
        <v/>
      </c>
      <c r="F126" s="264" t="str">
        <f t="shared" si="39"/>
        <v/>
      </c>
      <c r="G126" s="291" t="str">
        <f t="shared" si="40"/>
        <v/>
      </c>
      <c r="H126" s="240" t="str">
        <f t="shared" si="41"/>
        <v/>
      </c>
      <c r="I126" s="265" t="str">
        <f t="shared" si="2"/>
        <v/>
      </c>
      <c r="J126" s="265" t="str">
        <f t="shared" si="3"/>
        <v/>
      </c>
      <c r="K126" s="240" t="str">
        <f t="shared" si="4"/>
        <v/>
      </c>
      <c r="L126" s="265" t="str">
        <f t="shared" si="5"/>
        <v/>
      </c>
      <c r="M126" s="265" t="str">
        <f t="shared" si="6"/>
        <v/>
      </c>
      <c r="N126" s="240" t="str">
        <f t="shared" si="7"/>
        <v>-</v>
      </c>
      <c r="O126" s="265" t="str">
        <f t="shared" si="8"/>
        <v>-</v>
      </c>
      <c r="P126" s="265" t="str">
        <f t="shared" si="9"/>
        <v>-</v>
      </c>
      <c r="Q126" s="266" t="str">
        <f t="shared" si="10"/>
        <v>-</v>
      </c>
      <c r="R126" s="267" t="str">
        <f t="shared" si="11"/>
        <v>-</v>
      </c>
      <c r="S126" s="268" t="str">
        <f t="shared" si="12"/>
        <v>-</v>
      </c>
      <c r="T126" s="269" t="str">
        <f t="shared" si="13"/>
        <v/>
      </c>
      <c r="U126" s="221">
        <f t="shared" si="14"/>
        <v>26</v>
      </c>
      <c r="V126" s="220" t="str">
        <f t="shared" si="42"/>
        <v>-</v>
      </c>
      <c r="W126" s="221" t="str">
        <f t="shared" si="43"/>
        <v>-</v>
      </c>
      <c r="X126" s="221" t="str">
        <f t="shared" si="15"/>
        <v>-</v>
      </c>
      <c r="Y126" s="221" t="str">
        <f t="shared" si="16"/>
        <v>-</v>
      </c>
      <c r="Z126" s="270">
        <f t="shared" si="44"/>
        <v>0.1</v>
      </c>
      <c r="AA126" s="271" t="str">
        <f>IFERROR(IF(V125=1,AA$100*EXP(-(LN(2)/$D$65+0.04)*X125)*EXP(-(LN(2)/$D$65+0.1)*Y125),IF(V125=2,AA$100*EXP(-(LN(2)/$D$65+0.04)*(VLOOKUP(($F$16-$F$15)-1,U$99:Y125,4,FALSE)))*EXP(-(LN(2)/$D$65+0.1)*(VLOOKUP(($F$16-$F$15)-1,U$99:Y125,5,FALSE)))*EXP(-(LN(2)/$D$65+0.04)*X125)*EXP(-(LN(2)/$D$65+0.1)*Y125),IF(V125=3,AA$100*EXP(-(LN(2)/$D$65+0.04)*(VLOOKUP(($F$16-$F$15)-1,U$99:Y125,4,FALSE)))*EXP(-(LN(2)/$D$65+0.1)*(VLOOKUP(($F$16-$F$15)-1,U$99:Y125,5,FALSE)))*EXP(-(LN(2)/$D$65+0.04)*(VLOOKUP(($F$16-$F$15)*2-1,U$99:Y125,4,FALSE)))*EXP(-(LN(2)/$D$65+0.1)*(VLOOKUP(($F$16-$F$15)*2-1,U$99:Y125,5,FALSE)))*EXP(-(LN(2)/$D$65+0.04)*X125)*EXP(-(LN(2)/$D$65+0.1)*Y125),"-"))),"-")</f>
        <v>-</v>
      </c>
      <c r="AB126" s="271" t="str">
        <f>IFERROR(IF(V126=1,AB$100*EXP(-(LN(2)/$D$65+0.04)*X126)*EXP(-(LN(2)/$D$65+0.1)*Y126),IF(V126=2,AB$100*EXP(-(LN(2)/$D$65+0.04)*(VLOOKUP(($F$16-$F$15)-1,U$100:Y126,4,FALSE)))*EXP(-(LN(2)/$D$65+0.1)*(VLOOKUP(($F$16-$F$15)-1,U$100:Y126,5,FALSE)))*EXP(-(LN(2)/$D$65+0.04)*X126)*EXP(-(LN(2)/$D$65+0.1)*Y126),IF(V126=3,AB$100*EXP(-(LN(2)/$D$65+0.04)*(VLOOKUP(($F$16-$F$15)-1,U$100:Y126,4,FALSE)))*EXP(-(LN(2)/$D$65+0.1)*(VLOOKUP(($F$16-$F$15)-1,U$100:Y126,5,FALSE)))*EXP(-(LN(2)/$D$65+0.04)*(VLOOKUP(($F$16-$F$15)*2-1,U$100:Y126,4,FALSE)))*EXP(-(LN(2)/$D$65+0.1)*(VLOOKUP(($F$16-$F$15)*2-1,U$100:Y126,5,FALSE)))*EXP(-(LN(2)/$D$65+0.04)*X126)*EXP(-(LN(2)/$D$65+0.1)*Y126),"-"))),"-")</f>
        <v>-</v>
      </c>
      <c r="AC126" s="224">
        <f t="shared" si="45"/>
        <v>26</v>
      </c>
      <c r="AD126" s="223" t="str">
        <f t="shared" si="18"/>
        <v>-</v>
      </c>
      <c r="AE126" s="224" t="str">
        <f t="shared" si="46"/>
        <v>-</v>
      </c>
      <c r="AF126" s="224" t="str">
        <f t="shared" si="19"/>
        <v>-</v>
      </c>
      <c r="AG126" s="224" t="str">
        <f t="shared" si="20"/>
        <v>-</v>
      </c>
      <c r="AH126" s="272">
        <f t="shared" si="47"/>
        <v>0.1</v>
      </c>
      <c r="AI126" s="271" t="str">
        <f>IFERROR(IF(AD125=1,AI$100*EXP(-(LN(2)/$D$65+0.04)*AF125)*EXP(-(LN(2)/$D$65+0.1)*AG125),IF(AD125=2,AI$100*EXP(-(LN(2)/$D$65+0.04)*(VLOOKUP(($F$16-$F$15)-1,AC$99:AG125,4,FALSE)))*EXP(-(LN(2)/$D$65+0.1)*(VLOOKUP(($F$16-$F$15)-1,AC$99:AG125,5,FALSE)))*EXP(-(LN(2)/$D$65+0.04)*AF125)*EXP(-(LN(2)/$D$65+0.1)*AG125),IF(AD125=3,AI$100*EXP(-(LN(2)/$D$65+0.04)*(VLOOKUP(($F$16-$F$15)-1,AC$99:AG125,4,FALSE)))*EXP(-(LN(2)/$D$65+0.1)*(VLOOKUP(($F$16-$F$15)-1,AC$99:AG125,5,FALSE)))*EXP(-(LN(2)/$D$65+0.04)*(VLOOKUP(($F$16-$F$15)*2-1,AC$99:AG125,4,FALSE)))*EXP(-(LN(2)/$D$65+0.1)*(VLOOKUP(($F$16-$F$15)*2-1,AC$99:AG125,5,FALSE)))*EXP(-(LN(2)/$D$65+0.04)*AF125)*EXP(-(LN(2)/$D$65+0.1)*AG125),"-"))),"-")</f>
        <v>-</v>
      </c>
      <c r="AJ126" s="271" t="str">
        <f>IFERROR(IF(AD126=1,AJ$100*EXP(-(LN(2)/$D$65+0.04)*AF126)*EXP(-(LN(2)/$D$65+0.1)*AG126),IF(AD126=2,AJ$100*EXP(-(LN(2)/$D$65+0.04)*(VLOOKUP(($F$16-$F$15)-1,AC$100:AG126,4,FALSE)))*EXP(-(LN(2)/$D$65+0.1)*(VLOOKUP(($F$16-$F$15)-1,AC$100:AG126,5,FALSE)))*EXP(-(LN(2)/$D$65+0.04)*AF126)*EXP(-(LN(2)/$D$65+0.1)*AG126),IF(AD126=3,AJ$100*EXP(-(LN(2)/$D$65+0.04)*(VLOOKUP(($F$16-$F$15)-1,AC$100:AG126,4,FALSE)))*EXP(-(LN(2)/$D$65+0.1)*(VLOOKUP(($F$16-$F$15)-1,AC$100:AG126,5,FALSE)))*EXP(-(LN(2)/$D$65+0.04)*(VLOOKUP(($F$16-$F$15)*2-1,AC$100:AG126,4,FALSE)))*EXP(-(LN(2)/$D$65+0.1)*(VLOOKUP(($F$16-$F$15)*2-1,AC$100:AG126,5,FALSE)))*EXP(-(LN(2)/$D$65+0.04)*AF126)*EXP(-(LN(2)/$D$65+0.1)*AG126),"-"))),"-")</f>
        <v>-</v>
      </c>
      <c r="AK126" s="227">
        <f t="shared" si="49"/>
        <v>26</v>
      </c>
      <c r="AL126" s="226" t="str">
        <f t="shared" si="22"/>
        <v>-</v>
      </c>
      <c r="AM126" s="227" t="str">
        <f t="shared" si="50"/>
        <v>-</v>
      </c>
      <c r="AN126" s="227" t="str">
        <f t="shared" si="51"/>
        <v>-</v>
      </c>
      <c r="AO126" s="227" t="str">
        <f t="shared" si="23"/>
        <v>-</v>
      </c>
      <c r="AP126" s="273">
        <f t="shared" si="52"/>
        <v>0.1</v>
      </c>
      <c r="AQ126" s="271" t="str">
        <f>IFERROR(IF(AL125=1,AQ$100*EXP(-(LN(2)/$D$65+0.04)*AN125)*EXP(-(LN(2)/$D$65+0.1)*AO125),IF(AL125=2,AQ$100*EXP(-(LN(2)/$D$65+0.04)*(VLOOKUP(($F$16-$F$15)-1,AK$99:AO125,4,FALSE)))*EXP(-(LN(2)/$D$65+0.1)*(VLOOKUP(($F$16-$F$15)-1,AK$99:AO125,5,FALSE)))*EXP(-(LN(2)/$D$65+0.04)*AN125)*EXP(-(LN(2)/$D$65+0.1)*AO125),IF(AL125=3,AQ$100*EXP(-(LN(2)/$D$65+0.04)*(VLOOKUP(($F$16-$F$15)-1,AK$99:AO125,4,FALSE)))*EXP(-(LN(2)/$D$65+0.1)*(VLOOKUP(($F$16-$F$15)-1,AK$99:AO125,5,FALSE)))*EXP(-(LN(2)/$D$65+0.04)*(VLOOKUP(($F$16-$F$15)*2-1,AK$99:AO125,4,FALSE)))*EXP(-(LN(2)/$D$65+0.1)*(VLOOKUP(($F$16-$F$15)*2-1,AK$99:AO125,5,FALSE)))*EXP(-(LN(2)/$D$65+0.04)*AN125)*EXP(-(LN(2)/$D$65+0.1)*AO125),"-"))),"-")</f>
        <v>-</v>
      </c>
      <c r="AR126" s="271" t="str">
        <f>IFERROR(IF(AL126=1,AR$100*EXP(-(LN(2)/$D$65+0.04)*AN126)*EXP(-(LN(2)/$D$65+0.1)*AO126),IF(AL126=2,AR$100*EXP(-(LN(2)/$D$65+0.04)*(VLOOKUP(($F$16-$F$15)-1,AK$100:AO126,4,FALSE)))*EXP(-(LN(2)/$D$65+0.1)*(VLOOKUP(($F$16-$F$15)-1,AK$100:AO126,5,FALSE)))*EXP(-(LN(2)/$D$65+0.04)*AN126)*EXP(-(LN(2)/$D$65+0.1)*AO126),IF(AL126=3,AR$100*EXP(-(LN(2)/$D$65+0.04)*(VLOOKUP(($F$16-$F$15)-1,AK$100:AO126,4,FALSE)))*EXP(-(LN(2)/$D$65+0.1)*(VLOOKUP(($F$16-$F$15)-1,AK$100:AO126,5,FALSE)))*EXP(-(LN(2)/$D$65+0.04)*(VLOOKUP(($F$16-$F$15)*2-1,AK$100:AO126,4,FALSE)))*EXP(-(LN(2)/$D$65+0.1)*(VLOOKUP(($F$16-$F$15)*2-1,AK$100:AO126,5,FALSE)))*EXP(-(LN(2)/$D$65+0.04)*AN126)*EXP(-(LN(2)/$D$65+0.1)*AO126),"-"))),"-")</f>
        <v>-</v>
      </c>
      <c r="AS126" s="274">
        <f t="shared" si="24"/>
        <v>0</v>
      </c>
      <c r="AT126" s="274">
        <f t="shared" si="25"/>
        <v>0</v>
      </c>
      <c r="AU126" s="274">
        <f t="shared" si="26"/>
        <v>0</v>
      </c>
      <c r="AV126" s="190" t="str">
        <f>IF($B126&lt;$F$22,SUM($T$100:$T126),"")</f>
        <v/>
      </c>
      <c r="AW126" s="190" t="str">
        <f t="shared" si="55"/>
        <v>-</v>
      </c>
      <c r="AX126" s="190" t="str">
        <f t="shared" si="56"/>
        <v/>
      </c>
      <c r="AY126"/>
      <c r="AZ126" s="190" t="str">
        <f ca="1">IF(ISNUMBER(OFFSET(AV126,-$F$21,0)),SUM(OFFSET($T$100,$F$21,0):$T126),"")</f>
        <v/>
      </c>
      <c r="BA126" s="190" t="str">
        <f t="shared" ca="1" si="27"/>
        <v/>
      </c>
      <c r="BB126" s="190" t="str">
        <f t="shared" ca="1" si="70"/>
        <v/>
      </c>
      <c r="BC126" s="190"/>
      <c r="BD126" s="190" t="str">
        <f ca="1">IFERROR(IF(OR(ISNUMBER(I),ISNUMBER($F$14)),IF(AND($B126&gt;=($F$16-$F$15),$B126&lt;$F$22+($F$16-$F$15)),SUM(OFFSET($T$100,($F$16-$F$15),0):$T126),""),""),"")</f>
        <v/>
      </c>
      <c r="BE126" s="190" t="str">
        <f t="shared" ca="1" si="58"/>
        <v/>
      </c>
      <c r="BF126" s="190" t="str">
        <f t="shared" ca="1" si="59"/>
        <v/>
      </c>
      <c r="BG126"/>
      <c r="BH126" s="190" t="str">
        <f ca="1">IF(ISNUMBER(OFFSET(BD126,-$F$21,0)),SUM(OFFSET($T$100,($F$16-$F$15+$F$21),0):$T126),"")</f>
        <v/>
      </c>
      <c r="BI126" s="190" t="str">
        <f t="shared" ca="1" si="28"/>
        <v/>
      </c>
      <c r="BJ126" s="190" t="str">
        <f t="shared" ca="1" si="60"/>
        <v/>
      </c>
      <c r="BK126" s="190"/>
      <c r="BL126" s="190" t="str">
        <f ca="1">IFERROR(IF(OR(ISNUMBER(I),ISNUMBER($F$14)),IF(AND($B126&gt;=($F$17-$F$15),$B126&lt;$F$22+($F$17-$F$15)),SUM(OFFSET($T$100,($F$17-$F$15),0):$T126),""),""),"")</f>
        <v/>
      </c>
      <c r="BM126" s="190" t="str">
        <f t="shared" ca="1" si="29"/>
        <v/>
      </c>
      <c r="BN126" s="190" t="str">
        <f t="shared" ca="1" si="61"/>
        <v/>
      </c>
      <c r="BO126"/>
      <c r="BP126" s="190" t="str">
        <f ca="1">IF(ISNUMBER(OFFSET(BL126,-$F$21,0)),SUM(OFFSET($T$100,($F$17-$F$15+$F$21),0):$T126),"")</f>
        <v/>
      </c>
      <c r="BQ126" s="190" t="str">
        <f t="shared" ca="1" si="62"/>
        <v/>
      </c>
      <c r="BR126" s="190" t="str">
        <f t="shared" ca="1" si="63"/>
        <v/>
      </c>
      <c r="BS126" s="190"/>
      <c r="BT126"/>
      <c r="BU126" s="185"/>
      <c r="BV126"/>
      <c r="BW126" s="185" t="str">
        <f>IF(BU126&lt;&gt;"",MIN(BU125:BU126),"")</f>
        <v/>
      </c>
      <c r="BX126" s="185" t="str">
        <f>IF(BU126&lt;&gt;"",MAX(BU125:BU126),"")</f>
        <v/>
      </c>
      <c r="BY126" s="185" t="str">
        <f>IF(B76&lt;&gt;"",(C75-C76)/(B76-B75),"")</f>
        <v/>
      </c>
      <c r="BZ126"/>
      <c r="CA126" s="280" t="str">
        <f t="shared" si="30"/>
        <v/>
      </c>
      <c r="CB126" s="71" t="str">
        <f t="shared" si="31"/>
        <v>-</v>
      </c>
      <c r="CC126" s="33"/>
      <c r="CD126" s="261" t="str">
        <f t="shared" si="33"/>
        <v/>
      </c>
      <c r="CE126" s="280" t="str">
        <f t="shared" si="34"/>
        <v/>
      </c>
      <c r="CF126" s="71" t="str">
        <f t="shared" ca="1" si="35"/>
        <v/>
      </c>
      <c r="CG126" s="33" t="str">
        <f t="shared" si="36"/>
        <v/>
      </c>
      <c r="CH126" s="261" t="str">
        <f t="shared" ca="1" si="37"/>
        <v/>
      </c>
      <c r="CI126" s="202"/>
      <c r="CJ126" s="99"/>
      <c r="CK126" s="99"/>
      <c r="CL126" s="99"/>
      <c r="CM126" s="99"/>
      <c r="CN126" s="99"/>
      <c r="CO126" s="99"/>
    </row>
    <row r="127" spans="2:93" ht="13.5" customHeight="1" x14ac:dyDescent="0.2">
      <c r="B127" s="262">
        <v>27</v>
      </c>
      <c r="C127" s="237" t="str">
        <f t="shared" si="1"/>
        <v/>
      </c>
      <c r="D127" s="237" t="str">
        <f t="shared" si="66"/>
        <v/>
      </c>
      <c r="E127" s="290" t="str">
        <f t="shared" si="38"/>
        <v/>
      </c>
      <c r="F127" s="264" t="str">
        <f t="shared" si="39"/>
        <v/>
      </c>
      <c r="G127" s="305" t="str">
        <f t="shared" si="40"/>
        <v/>
      </c>
      <c r="H127" s="240" t="str">
        <f t="shared" si="41"/>
        <v/>
      </c>
      <c r="I127" s="265" t="str">
        <f t="shared" si="2"/>
        <v/>
      </c>
      <c r="J127" s="265" t="str">
        <f t="shared" si="3"/>
        <v/>
      </c>
      <c r="K127" s="240" t="str">
        <f t="shared" si="4"/>
        <v/>
      </c>
      <c r="L127" s="265" t="str">
        <f t="shared" si="5"/>
        <v/>
      </c>
      <c r="M127" s="265" t="str">
        <f t="shared" si="6"/>
        <v/>
      </c>
      <c r="N127" s="240" t="str">
        <f t="shared" si="7"/>
        <v>-</v>
      </c>
      <c r="O127" s="265" t="str">
        <f t="shared" si="8"/>
        <v>-</v>
      </c>
      <c r="P127" s="265" t="str">
        <f t="shared" si="9"/>
        <v>-</v>
      </c>
      <c r="Q127" s="266" t="str">
        <f t="shared" si="10"/>
        <v>-</v>
      </c>
      <c r="R127" s="267" t="str">
        <f t="shared" si="11"/>
        <v>-</v>
      </c>
      <c r="S127" s="268" t="str">
        <f t="shared" si="12"/>
        <v>-</v>
      </c>
      <c r="T127" s="269" t="str">
        <f t="shared" si="13"/>
        <v/>
      </c>
      <c r="U127" s="221">
        <f t="shared" si="14"/>
        <v>27</v>
      </c>
      <c r="V127" s="220" t="str">
        <f t="shared" si="42"/>
        <v>-</v>
      </c>
      <c r="W127" s="221" t="str">
        <f t="shared" si="43"/>
        <v>-</v>
      </c>
      <c r="X127" s="221" t="str">
        <f t="shared" si="15"/>
        <v>-</v>
      </c>
      <c r="Y127" s="221" t="str">
        <f t="shared" si="16"/>
        <v>-</v>
      </c>
      <c r="Z127" s="270">
        <f t="shared" si="44"/>
        <v>0.1</v>
      </c>
      <c r="AA127" s="271" t="str">
        <f>IFERROR(IF(V126=1,AA$100*EXP(-(LN(2)/$D$65+0.04)*X126)*EXP(-(LN(2)/$D$65+0.1)*Y126),IF(V126=2,AA$100*EXP(-(LN(2)/$D$65+0.04)*(VLOOKUP(($F$16-$F$15)-1,U$99:Y126,4,FALSE)))*EXP(-(LN(2)/$D$65+0.1)*(VLOOKUP(($F$16-$F$15)-1,U$99:Y126,5,FALSE)))*EXP(-(LN(2)/$D$65+0.04)*X126)*EXP(-(LN(2)/$D$65+0.1)*Y126),IF(V126=3,AA$100*EXP(-(LN(2)/$D$65+0.04)*(VLOOKUP(($F$16-$F$15)-1,U$99:Y126,4,FALSE)))*EXP(-(LN(2)/$D$65+0.1)*(VLOOKUP(($F$16-$F$15)-1,U$99:Y126,5,FALSE)))*EXP(-(LN(2)/$D$65+0.04)*(VLOOKUP(($F$16-$F$15)*2-1,U$99:Y126,4,FALSE)))*EXP(-(LN(2)/$D$65+0.1)*(VLOOKUP(($F$16-$F$15)*2-1,U$99:Y126,5,FALSE)))*EXP(-(LN(2)/$D$65+0.04)*X126)*EXP(-(LN(2)/$D$65+0.1)*Y126),"-"))),"-")</f>
        <v>-</v>
      </c>
      <c r="AB127" s="271" t="str">
        <f>IFERROR(IF(V127=1,AB$100*EXP(-(LN(2)/$D$65+0.04)*X127)*EXP(-(LN(2)/$D$65+0.1)*Y127),IF(V127=2,AB$100*EXP(-(LN(2)/$D$65+0.04)*(VLOOKUP(($F$16-$F$15)-1,U$100:Y127,4,FALSE)))*EXP(-(LN(2)/$D$65+0.1)*(VLOOKUP(($F$16-$F$15)-1,U$100:Y127,5,FALSE)))*EXP(-(LN(2)/$D$65+0.04)*X127)*EXP(-(LN(2)/$D$65+0.1)*Y127),IF(V127=3,AB$100*EXP(-(LN(2)/$D$65+0.04)*(VLOOKUP(($F$16-$F$15)-1,U$100:Y127,4,FALSE)))*EXP(-(LN(2)/$D$65+0.1)*(VLOOKUP(($F$16-$F$15)-1,U$100:Y127,5,FALSE)))*EXP(-(LN(2)/$D$65+0.04)*(VLOOKUP(($F$16-$F$15)*2-1,U$100:Y127,4,FALSE)))*EXP(-(LN(2)/$D$65+0.1)*(VLOOKUP(($F$16-$F$15)*2-1,U$100:Y127,5,FALSE)))*EXP(-(LN(2)/$D$65+0.04)*X127)*EXP(-(LN(2)/$D$65+0.1)*Y127),"-"))),"-")</f>
        <v>-</v>
      </c>
      <c r="AC127" s="224">
        <f t="shared" si="45"/>
        <v>27</v>
      </c>
      <c r="AD127" s="223" t="str">
        <f t="shared" si="18"/>
        <v>-</v>
      </c>
      <c r="AE127" s="224" t="str">
        <f t="shared" si="46"/>
        <v>-</v>
      </c>
      <c r="AF127" s="224" t="str">
        <f t="shared" si="19"/>
        <v>-</v>
      </c>
      <c r="AG127" s="224" t="str">
        <f t="shared" si="20"/>
        <v>-</v>
      </c>
      <c r="AH127" s="272">
        <f t="shared" si="47"/>
        <v>0.1</v>
      </c>
      <c r="AI127" s="271" t="str">
        <f>IFERROR(IF(AD126=1,AI$100*EXP(-(LN(2)/$D$65+0.04)*AF126)*EXP(-(LN(2)/$D$65+0.1)*AG126),IF(AD126=2,AI$100*EXP(-(LN(2)/$D$65+0.04)*(VLOOKUP(($F$16-$F$15)-1,AC$99:AG126,4,FALSE)))*EXP(-(LN(2)/$D$65+0.1)*(VLOOKUP(($F$16-$F$15)-1,AC$99:AG126,5,FALSE)))*EXP(-(LN(2)/$D$65+0.04)*AF126)*EXP(-(LN(2)/$D$65+0.1)*AG126),IF(AD126=3,AI$100*EXP(-(LN(2)/$D$65+0.04)*(VLOOKUP(($F$16-$F$15)-1,AC$99:AG126,4,FALSE)))*EXP(-(LN(2)/$D$65+0.1)*(VLOOKUP(($F$16-$F$15)-1,AC$99:AG126,5,FALSE)))*EXP(-(LN(2)/$D$65+0.04)*(VLOOKUP(($F$16-$F$15)*2-1,AC$99:AG126,4,FALSE)))*EXP(-(LN(2)/$D$65+0.1)*(VLOOKUP(($F$16-$F$15)*2-1,AC$99:AG126,5,FALSE)))*EXP(-(LN(2)/$D$65+0.04)*AF126)*EXP(-(LN(2)/$D$65+0.1)*AG126),"-"))),"-")</f>
        <v>-</v>
      </c>
      <c r="AJ127" s="271" t="str">
        <f>IFERROR(IF(AD127=1,AJ$100*EXP(-(LN(2)/$D$65+0.04)*AF127)*EXP(-(LN(2)/$D$65+0.1)*AG127),IF(AD127=2,AJ$100*EXP(-(LN(2)/$D$65+0.04)*(VLOOKUP(($F$16-$F$15)-1,AC$100:AG127,4,FALSE)))*EXP(-(LN(2)/$D$65+0.1)*(VLOOKUP(($F$16-$F$15)-1,AC$100:AG127,5,FALSE)))*EXP(-(LN(2)/$D$65+0.04)*AF127)*EXP(-(LN(2)/$D$65+0.1)*AG127),IF(AD127=3,AJ$100*EXP(-(LN(2)/$D$65+0.04)*(VLOOKUP(($F$16-$F$15)-1,AC$100:AG127,4,FALSE)))*EXP(-(LN(2)/$D$65+0.1)*(VLOOKUP(($F$16-$F$15)-1,AC$100:AG127,5,FALSE)))*EXP(-(LN(2)/$D$65+0.04)*(VLOOKUP(($F$16-$F$15)*2-1,AC$100:AG127,4,FALSE)))*EXP(-(LN(2)/$D$65+0.1)*(VLOOKUP(($F$16-$F$15)*2-1,AC$100:AG127,5,FALSE)))*EXP(-(LN(2)/$D$65+0.04)*AF127)*EXP(-(LN(2)/$D$65+0.1)*AG127),"-"))),"-")</f>
        <v>-</v>
      </c>
      <c r="AK127" s="227">
        <f t="shared" si="49"/>
        <v>27</v>
      </c>
      <c r="AL127" s="226" t="str">
        <f t="shared" si="22"/>
        <v>-</v>
      </c>
      <c r="AM127" s="227" t="str">
        <f t="shared" si="50"/>
        <v>-</v>
      </c>
      <c r="AN127" s="227" t="str">
        <f t="shared" si="51"/>
        <v>-</v>
      </c>
      <c r="AO127" s="227" t="str">
        <f t="shared" si="23"/>
        <v>-</v>
      </c>
      <c r="AP127" s="273">
        <f t="shared" si="52"/>
        <v>0.1</v>
      </c>
      <c r="AQ127" s="271" t="str">
        <f>IFERROR(IF(AL126=1,AQ$100*EXP(-(LN(2)/$D$65+0.04)*AN126)*EXP(-(LN(2)/$D$65+0.1)*AO126),IF(AL126=2,AQ$100*EXP(-(LN(2)/$D$65+0.04)*(VLOOKUP(($F$16-$F$15)-1,AK$99:AO126,4,FALSE)))*EXP(-(LN(2)/$D$65+0.1)*(VLOOKUP(($F$16-$F$15)-1,AK$99:AO126,5,FALSE)))*EXP(-(LN(2)/$D$65+0.04)*AN126)*EXP(-(LN(2)/$D$65+0.1)*AO126),IF(AL126=3,AQ$100*EXP(-(LN(2)/$D$65+0.04)*(VLOOKUP(($F$16-$F$15)-1,AK$99:AO126,4,FALSE)))*EXP(-(LN(2)/$D$65+0.1)*(VLOOKUP(($F$16-$F$15)-1,AK$99:AO126,5,FALSE)))*EXP(-(LN(2)/$D$65+0.04)*(VLOOKUP(($F$16-$F$15)*2-1,AK$99:AO126,4,FALSE)))*EXP(-(LN(2)/$D$65+0.1)*(VLOOKUP(($F$16-$F$15)*2-1,AK$99:AO126,5,FALSE)))*EXP(-(LN(2)/$D$65+0.04)*AN126)*EXP(-(LN(2)/$D$65+0.1)*AO126),"-"))),"-")</f>
        <v>-</v>
      </c>
      <c r="AR127" s="271" t="str">
        <f>IFERROR(IF(AL127=1,AR$100*EXP(-(LN(2)/$D$65+0.04)*AN127)*EXP(-(LN(2)/$D$65+0.1)*AO127),IF(AL127=2,AR$100*EXP(-(LN(2)/$D$65+0.04)*(VLOOKUP(($F$16-$F$15)-1,AK$100:AO127,4,FALSE)))*EXP(-(LN(2)/$D$65+0.1)*(VLOOKUP(($F$16-$F$15)-1,AK$100:AO127,5,FALSE)))*EXP(-(LN(2)/$D$65+0.04)*AN127)*EXP(-(LN(2)/$D$65+0.1)*AO127),IF(AL127=3,AR$100*EXP(-(LN(2)/$D$65+0.04)*(VLOOKUP(($F$16-$F$15)-1,AK$100:AO127,4,FALSE)))*EXP(-(LN(2)/$D$65+0.1)*(VLOOKUP(($F$16-$F$15)-1,AK$100:AO127,5,FALSE)))*EXP(-(LN(2)/$D$65+0.04)*(VLOOKUP(($F$16-$F$15)*2-1,AK$100:AO127,4,FALSE)))*EXP(-(LN(2)/$D$65+0.1)*(VLOOKUP(($F$16-$F$15)*2-1,AK$100:AO127,5,FALSE)))*EXP(-(LN(2)/$D$65+0.04)*AN127)*EXP(-(LN(2)/$D$65+0.1)*AO127),"-"))),"-")</f>
        <v>-</v>
      </c>
      <c r="AS127" s="274">
        <f t="shared" si="24"/>
        <v>0</v>
      </c>
      <c r="AT127" s="274">
        <f t="shared" si="25"/>
        <v>0</v>
      </c>
      <c r="AU127" s="274">
        <f t="shared" si="26"/>
        <v>0</v>
      </c>
      <c r="AV127" s="190" t="str">
        <f>IF($B127&lt;$F$22,SUM($T$100:$T127),"")</f>
        <v/>
      </c>
      <c r="AW127" s="190" t="str">
        <f t="shared" si="55"/>
        <v>-</v>
      </c>
      <c r="AX127" s="190" t="str">
        <f t="shared" si="56"/>
        <v/>
      </c>
      <c r="AY127"/>
      <c r="AZ127" s="190" t="str">
        <f ca="1">IF(ISNUMBER(OFFSET(AV127,-$F$21,0)),SUM(OFFSET($T$100,$F$21,0):$T127),"")</f>
        <v/>
      </c>
      <c r="BA127" s="190" t="str">
        <f t="shared" ca="1" si="27"/>
        <v/>
      </c>
      <c r="BB127" s="190" t="str">
        <f t="shared" ca="1" si="70"/>
        <v/>
      </c>
      <c r="BC127" s="190"/>
      <c r="BD127" s="190" t="str">
        <f ca="1">IFERROR(IF(OR(ISNUMBER(I),ISNUMBER($F$14)),IF(AND($B127&gt;=($F$16-$F$15),$B127&lt;$F$22+($F$16-$F$15)),SUM(OFFSET($T$100,($F$16-$F$15),0):$T127),""),""),"")</f>
        <v/>
      </c>
      <c r="BE127" s="190" t="str">
        <f t="shared" ca="1" si="58"/>
        <v/>
      </c>
      <c r="BF127" s="190" t="str">
        <f t="shared" ca="1" si="59"/>
        <v/>
      </c>
      <c r="BG127"/>
      <c r="BH127" s="190" t="str">
        <f ca="1">IF(ISNUMBER(OFFSET(BD127,-$F$21,0)),SUM(OFFSET($T$100,($F$16-$F$15+$F$21),0):$T127),"")</f>
        <v/>
      </c>
      <c r="BI127" s="190" t="str">
        <f t="shared" ca="1" si="28"/>
        <v/>
      </c>
      <c r="BJ127" s="190" t="str">
        <f t="shared" ca="1" si="60"/>
        <v/>
      </c>
      <c r="BK127" s="190"/>
      <c r="BL127" s="190" t="str">
        <f ca="1">IFERROR(IF(OR(ISNUMBER(I),ISNUMBER($F$14)),IF(AND($B127&gt;=($F$17-$F$15),$B127&lt;$F$22+($F$17-$F$15)),SUM(OFFSET($T$100,($F$17-$F$15),0):$T127),""),""),"")</f>
        <v/>
      </c>
      <c r="BM127" s="190" t="str">
        <f t="shared" ca="1" si="29"/>
        <v/>
      </c>
      <c r="BN127" s="190" t="str">
        <f t="shared" ca="1" si="61"/>
        <v/>
      </c>
      <c r="BO127"/>
      <c r="BP127" s="190" t="str">
        <f ca="1">IF(ISNUMBER(OFFSET(BL127,-$F$21,0)),SUM(OFFSET($T$100,($F$17-$F$15+$F$21),0):$T127),"")</f>
        <v/>
      </c>
      <c r="BQ127" s="190" t="str">
        <f t="shared" ca="1" si="62"/>
        <v/>
      </c>
      <c r="BR127" s="190" t="str">
        <f t="shared" ca="1" si="63"/>
        <v/>
      </c>
      <c r="BS127" s="190"/>
      <c r="BT127"/>
      <c r="BU127"/>
      <c r="BV127"/>
      <c r="BY127" s="99"/>
      <c r="BZ127" s="99"/>
      <c r="CA127" s="280" t="str">
        <f t="shared" si="30"/>
        <v/>
      </c>
      <c r="CB127" s="71" t="str">
        <f t="shared" si="31"/>
        <v>-</v>
      </c>
      <c r="CC127" s="33"/>
      <c r="CD127" s="261" t="str">
        <f t="shared" si="33"/>
        <v/>
      </c>
      <c r="CE127" s="280" t="str">
        <f t="shared" si="34"/>
        <v/>
      </c>
      <c r="CF127" s="71" t="str">
        <f t="shared" ca="1" si="35"/>
        <v/>
      </c>
      <c r="CG127" s="33" t="str">
        <f t="shared" si="36"/>
        <v/>
      </c>
      <c r="CH127" s="261" t="str">
        <f t="shared" ca="1" si="37"/>
        <v/>
      </c>
      <c r="CI127" s="202"/>
      <c r="CJ127" s="99"/>
      <c r="CK127" s="99"/>
      <c r="CL127" s="99"/>
      <c r="CM127" s="99"/>
      <c r="CN127" s="99"/>
      <c r="CO127" s="99"/>
    </row>
    <row r="128" spans="2:93" ht="13.5" customHeight="1" x14ac:dyDescent="0.2">
      <c r="B128" s="262">
        <v>28</v>
      </c>
      <c r="C128" s="237" t="str">
        <f t="shared" si="1"/>
        <v/>
      </c>
      <c r="D128" s="237" t="str">
        <f t="shared" si="66"/>
        <v/>
      </c>
      <c r="E128" s="290" t="str">
        <f t="shared" si="38"/>
        <v/>
      </c>
      <c r="F128" s="264" t="str">
        <f t="shared" si="39"/>
        <v/>
      </c>
      <c r="G128" s="306" t="str">
        <f t="shared" si="40"/>
        <v/>
      </c>
      <c r="H128" s="240" t="str">
        <f t="shared" si="41"/>
        <v/>
      </c>
      <c r="I128" s="265" t="str">
        <f t="shared" si="2"/>
        <v/>
      </c>
      <c r="J128" s="265" t="str">
        <f t="shared" si="3"/>
        <v/>
      </c>
      <c r="K128" s="240" t="str">
        <f t="shared" si="4"/>
        <v/>
      </c>
      <c r="L128" s="265" t="str">
        <f t="shared" si="5"/>
        <v/>
      </c>
      <c r="M128" s="265" t="str">
        <f t="shared" si="6"/>
        <v/>
      </c>
      <c r="N128" s="240" t="str">
        <f t="shared" si="7"/>
        <v>-</v>
      </c>
      <c r="O128" s="265" t="str">
        <f t="shared" si="8"/>
        <v>-</v>
      </c>
      <c r="P128" s="265" t="str">
        <f t="shared" si="9"/>
        <v>-</v>
      </c>
      <c r="Q128" s="266" t="str">
        <f t="shared" si="10"/>
        <v>-</v>
      </c>
      <c r="R128" s="267" t="str">
        <f t="shared" si="11"/>
        <v>-</v>
      </c>
      <c r="S128" s="268" t="str">
        <f t="shared" si="12"/>
        <v>-</v>
      </c>
      <c r="T128" s="269" t="str">
        <f t="shared" si="13"/>
        <v/>
      </c>
      <c r="U128" s="221">
        <f t="shared" si="14"/>
        <v>28</v>
      </c>
      <c r="V128" s="220" t="str">
        <f t="shared" si="42"/>
        <v>-</v>
      </c>
      <c r="W128" s="221" t="str">
        <f t="shared" si="43"/>
        <v>-</v>
      </c>
      <c r="X128" s="221" t="str">
        <f t="shared" si="15"/>
        <v>-</v>
      </c>
      <c r="Y128" s="221" t="str">
        <f t="shared" si="16"/>
        <v>-</v>
      </c>
      <c r="Z128" s="270">
        <f t="shared" si="44"/>
        <v>0.1</v>
      </c>
      <c r="AA128" s="271" t="str">
        <f>IFERROR(IF(V127=1,AA$100*EXP(-(LN(2)/$D$65+0.04)*X127)*EXP(-(LN(2)/$D$65+0.1)*Y127),IF(V127=2,AA$100*EXP(-(LN(2)/$D$65+0.04)*(VLOOKUP(($F$16-$F$15)-1,U$99:Y127,4,FALSE)))*EXP(-(LN(2)/$D$65+0.1)*(VLOOKUP(($F$16-$F$15)-1,U$99:Y127,5,FALSE)))*EXP(-(LN(2)/$D$65+0.04)*X127)*EXP(-(LN(2)/$D$65+0.1)*Y127),IF(V127=3,AA$100*EXP(-(LN(2)/$D$65+0.04)*(VLOOKUP(($F$16-$F$15)-1,U$99:Y127,4,FALSE)))*EXP(-(LN(2)/$D$65+0.1)*(VLOOKUP(($F$16-$F$15)-1,U$99:Y127,5,FALSE)))*EXP(-(LN(2)/$D$65+0.04)*(VLOOKUP(($F$16-$F$15)*2-1,U$99:Y127,4,FALSE)))*EXP(-(LN(2)/$D$65+0.1)*(VLOOKUP(($F$16-$F$15)*2-1,U$99:Y127,5,FALSE)))*EXP(-(LN(2)/$D$65+0.04)*X127)*EXP(-(LN(2)/$D$65+0.1)*Y127),"-"))),"-")</f>
        <v>-</v>
      </c>
      <c r="AB128" s="271" t="str">
        <f>IFERROR(IF(V128=1,AB$100*EXP(-(LN(2)/$D$65+0.04)*X128)*EXP(-(LN(2)/$D$65+0.1)*Y128),IF(V128=2,AB$100*EXP(-(LN(2)/$D$65+0.04)*(VLOOKUP(($F$16-$F$15)-1,U$100:Y128,4,FALSE)))*EXP(-(LN(2)/$D$65+0.1)*(VLOOKUP(($F$16-$F$15)-1,U$100:Y128,5,FALSE)))*EXP(-(LN(2)/$D$65+0.04)*X128)*EXP(-(LN(2)/$D$65+0.1)*Y128),IF(V128=3,AB$100*EXP(-(LN(2)/$D$65+0.04)*(VLOOKUP(($F$16-$F$15)-1,U$100:Y128,4,FALSE)))*EXP(-(LN(2)/$D$65+0.1)*(VLOOKUP(($F$16-$F$15)-1,U$100:Y128,5,FALSE)))*EXP(-(LN(2)/$D$65+0.04)*(VLOOKUP(($F$16-$F$15)*2-1,U$100:Y128,4,FALSE)))*EXP(-(LN(2)/$D$65+0.1)*(VLOOKUP(($F$16-$F$15)*2-1,U$100:Y128,5,FALSE)))*EXP(-(LN(2)/$D$65+0.04)*X128)*EXP(-(LN(2)/$D$65+0.1)*Y128),"-"))),"-")</f>
        <v>-</v>
      </c>
      <c r="AC128" s="224">
        <f t="shared" si="45"/>
        <v>28</v>
      </c>
      <c r="AD128" s="223" t="str">
        <f t="shared" si="18"/>
        <v>-</v>
      </c>
      <c r="AE128" s="224" t="str">
        <f t="shared" si="46"/>
        <v>-</v>
      </c>
      <c r="AF128" s="224" t="str">
        <f t="shared" si="19"/>
        <v>-</v>
      </c>
      <c r="AG128" s="224" t="str">
        <f t="shared" si="20"/>
        <v>-</v>
      </c>
      <c r="AH128" s="272">
        <f t="shared" si="47"/>
        <v>0.1</v>
      </c>
      <c r="AI128" s="271" t="str">
        <f>IFERROR(IF(AD127=1,AI$100*EXP(-(LN(2)/$D$65+0.04)*AF127)*EXP(-(LN(2)/$D$65+0.1)*AG127),IF(AD127=2,AI$100*EXP(-(LN(2)/$D$65+0.04)*(VLOOKUP(($F$16-$F$15)-1,AC$99:AG127,4,FALSE)))*EXP(-(LN(2)/$D$65+0.1)*(VLOOKUP(($F$16-$F$15)-1,AC$99:AG127,5,FALSE)))*EXP(-(LN(2)/$D$65+0.04)*AF127)*EXP(-(LN(2)/$D$65+0.1)*AG127),IF(AD127=3,AI$100*EXP(-(LN(2)/$D$65+0.04)*(VLOOKUP(($F$16-$F$15)-1,AC$99:AG127,4,FALSE)))*EXP(-(LN(2)/$D$65+0.1)*(VLOOKUP(($F$16-$F$15)-1,AC$99:AG127,5,FALSE)))*EXP(-(LN(2)/$D$65+0.04)*(VLOOKUP(($F$16-$F$15)*2-1,AC$99:AG127,4,FALSE)))*EXP(-(LN(2)/$D$65+0.1)*(VLOOKUP(($F$16-$F$15)*2-1,AC$99:AG127,5,FALSE)))*EXP(-(LN(2)/$D$65+0.04)*AF127)*EXP(-(LN(2)/$D$65+0.1)*AG127),"-"))),"-")</f>
        <v>-</v>
      </c>
      <c r="AJ128" s="271" t="str">
        <f>IFERROR(IF(AD128=1,AJ$100*EXP(-(LN(2)/$D$65+0.04)*AF128)*EXP(-(LN(2)/$D$65+0.1)*AG128),IF(AD128=2,AJ$100*EXP(-(LN(2)/$D$65+0.04)*(VLOOKUP(($F$16-$F$15)-1,AC$100:AG128,4,FALSE)))*EXP(-(LN(2)/$D$65+0.1)*(VLOOKUP(($F$16-$F$15)-1,AC$100:AG128,5,FALSE)))*EXP(-(LN(2)/$D$65+0.04)*AF128)*EXP(-(LN(2)/$D$65+0.1)*AG128),IF(AD128=3,AJ$100*EXP(-(LN(2)/$D$65+0.04)*(VLOOKUP(($F$16-$F$15)-1,AC$100:AG128,4,FALSE)))*EXP(-(LN(2)/$D$65+0.1)*(VLOOKUP(($F$16-$F$15)-1,AC$100:AG128,5,FALSE)))*EXP(-(LN(2)/$D$65+0.04)*(VLOOKUP(($F$16-$F$15)*2-1,AC$100:AG128,4,FALSE)))*EXP(-(LN(2)/$D$65+0.1)*(VLOOKUP(($F$16-$F$15)*2-1,AC$100:AG128,5,FALSE)))*EXP(-(LN(2)/$D$65+0.04)*AF128)*EXP(-(LN(2)/$D$65+0.1)*AG128),"-"))),"-")</f>
        <v>-</v>
      </c>
      <c r="AK128" s="227">
        <f t="shared" si="49"/>
        <v>28</v>
      </c>
      <c r="AL128" s="226" t="str">
        <f t="shared" si="22"/>
        <v>-</v>
      </c>
      <c r="AM128" s="227" t="str">
        <f t="shared" si="50"/>
        <v>-</v>
      </c>
      <c r="AN128" s="227" t="str">
        <f t="shared" si="51"/>
        <v>-</v>
      </c>
      <c r="AO128" s="227" t="str">
        <f t="shared" si="23"/>
        <v>-</v>
      </c>
      <c r="AP128" s="273">
        <f t="shared" si="52"/>
        <v>0.1</v>
      </c>
      <c r="AQ128" s="271" t="str">
        <f>IFERROR(IF(AL127=1,AQ$100*EXP(-(LN(2)/$D$65+0.04)*AN127)*EXP(-(LN(2)/$D$65+0.1)*AO127),IF(AL127=2,AQ$100*EXP(-(LN(2)/$D$65+0.04)*(VLOOKUP(($F$16-$F$15)-1,AK$99:AO127,4,FALSE)))*EXP(-(LN(2)/$D$65+0.1)*(VLOOKUP(($F$16-$F$15)-1,AK$99:AO127,5,FALSE)))*EXP(-(LN(2)/$D$65+0.04)*AN127)*EXP(-(LN(2)/$D$65+0.1)*AO127),IF(AL127=3,AQ$100*EXP(-(LN(2)/$D$65+0.04)*(VLOOKUP(($F$16-$F$15)-1,AK$99:AO127,4,FALSE)))*EXP(-(LN(2)/$D$65+0.1)*(VLOOKUP(($F$16-$F$15)-1,AK$99:AO127,5,FALSE)))*EXP(-(LN(2)/$D$65+0.04)*(VLOOKUP(($F$16-$F$15)*2-1,AK$99:AO127,4,FALSE)))*EXP(-(LN(2)/$D$65+0.1)*(VLOOKUP(($F$16-$F$15)*2-1,AK$99:AO127,5,FALSE)))*EXP(-(LN(2)/$D$65+0.04)*AN127)*EXP(-(LN(2)/$D$65+0.1)*AO127),"-"))),"-")</f>
        <v>-</v>
      </c>
      <c r="AR128" s="271" t="str">
        <f>IFERROR(IF(AL128=1,AR$100*EXP(-(LN(2)/$D$65+0.04)*AN128)*EXP(-(LN(2)/$D$65+0.1)*AO128),IF(AL128=2,AR$100*EXP(-(LN(2)/$D$65+0.04)*(VLOOKUP(($F$16-$F$15)-1,AK$100:AO128,4,FALSE)))*EXP(-(LN(2)/$D$65+0.1)*(VLOOKUP(($F$16-$F$15)-1,AK$100:AO128,5,FALSE)))*EXP(-(LN(2)/$D$65+0.04)*AN128)*EXP(-(LN(2)/$D$65+0.1)*AO128),IF(AL128=3,AR$100*EXP(-(LN(2)/$D$65+0.04)*(VLOOKUP(($F$16-$F$15)-1,AK$100:AO128,4,FALSE)))*EXP(-(LN(2)/$D$65+0.1)*(VLOOKUP(($F$16-$F$15)-1,AK$100:AO128,5,FALSE)))*EXP(-(LN(2)/$D$65+0.04)*(VLOOKUP(($F$16-$F$15)*2-1,AK$100:AO128,4,FALSE)))*EXP(-(LN(2)/$D$65+0.1)*(VLOOKUP(($F$16-$F$15)*2-1,AK$100:AO128,5,FALSE)))*EXP(-(LN(2)/$D$65+0.04)*AN128)*EXP(-(LN(2)/$D$65+0.1)*AO128),"-"))),"-")</f>
        <v>-</v>
      </c>
      <c r="AS128" s="274">
        <f t="shared" si="24"/>
        <v>0</v>
      </c>
      <c r="AT128" s="274">
        <f t="shared" si="25"/>
        <v>0</v>
      </c>
      <c r="AU128" s="274">
        <f t="shared" si="26"/>
        <v>0</v>
      </c>
      <c r="AV128" s="190" t="str">
        <f>IF($B128&lt;$F$22,SUM($T$100:$T128),"")</f>
        <v/>
      </c>
      <c r="AW128" s="190" t="str">
        <f t="shared" si="55"/>
        <v>-</v>
      </c>
      <c r="AX128" s="190" t="str">
        <f t="shared" si="56"/>
        <v/>
      </c>
      <c r="AY128"/>
      <c r="AZ128" s="190" t="str">
        <f ca="1">IF(ISNUMBER(OFFSET(AV128,-$F$21,0)),SUM(OFFSET($T$100,$F$21,0):$T128),"")</f>
        <v/>
      </c>
      <c r="BA128" s="190" t="str">
        <f t="shared" ca="1" si="27"/>
        <v/>
      </c>
      <c r="BB128" s="190" t="str">
        <f t="shared" ca="1" si="70"/>
        <v/>
      </c>
      <c r="BC128" s="190"/>
      <c r="BD128" s="190" t="str">
        <f ca="1">IFERROR(IF(OR(ISNUMBER(I),ISNUMBER($F$14)),IF(AND($B128&gt;=($F$16-$F$15),$B128&lt;$F$22+($F$16-$F$15)),SUM(OFFSET($T$100,($F$16-$F$15),0):$T128),""),""),"")</f>
        <v/>
      </c>
      <c r="BE128" s="190" t="str">
        <f t="shared" ca="1" si="58"/>
        <v/>
      </c>
      <c r="BF128" s="190" t="str">
        <f t="shared" ca="1" si="59"/>
        <v/>
      </c>
      <c r="BG128"/>
      <c r="BH128" s="190" t="str">
        <f ca="1">IF(ISNUMBER(OFFSET(BD128,-$F$21,0)),SUM(OFFSET($T$100,($F$16-$F$15+$F$21),0):$T128),"")</f>
        <v/>
      </c>
      <c r="BI128" s="190" t="str">
        <f t="shared" ca="1" si="28"/>
        <v/>
      </c>
      <c r="BJ128" s="190" t="str">
        <f t="shared" ca="1" si="60"/>
        <v/>
      </c>
      <c r="BK128" s="190"/>
      <c r="BL128" s="190" t="str">
        <f ca="1">IFERROR(IF(OR(ISNUMBER(I),ISNUMBER($F$14)),IF(AND($B128&gt;=($F$17-$F$15),$B128&lt;$F$22+($F$17-$F$15)),SUM(OFFSET($T$100,($F$17-$F$15),0):$T128),""),""),"")</f>
        <v/>
      </c>
      <c r="BM128" s="190" t="str">
        <f t="shared" ca="1" si="29"/>
        <v/>
      </c>
      <c r="BN128" s="190" t="str">
        <f t="shared" ca="1" si="61"/>
        <v/>
      </c>
      <c r="BO128"/>
      <c r="BP128" s="190" t="str">
        <f ca="1">IF(ISNUMBER(OFFSET(BL128,-$F$21,0)),SUM(OFFSET($T$100,($F$17-$F$15+$F$21),0):$T128),"")</f>
        <v/>
      </c>
      <c r="BQ128" s="190" t="str">
        <f t="shared" ca="1" si="62"/>
        <v/>
      </c>
      <c r="BR128" s="190" t="str">
        <f t="shared" ca="1" si="63"/>
        <v/>
      </c>
      <c r="BS128" s="190"/>
      <c r="BT128"/>
      <c r="BU128"/>
      <c r="BV128"/>
      <c r="BY128" s="99"/>
      <c r="BZ128" s="99"/>
      <c r="CA128" s="280" t="str">
        <f t="shared" si="30"/>
        <v/>
      </c>
      <c r="CB128" s="71" t="str">
        <f t="shared" si="31"/>
        <v>-</v>
      </c>
      <c r="CC128" s="33"/>
      <c r="CD128" s="261" t="str">
        <f t="shared" si="33"/>
        <v/>
      </c>
      <c r="CE128" s="280" t="str">
        <f t="shared" si="34"/>
        <v/>
      </c>
      <c r="CF128" s="71" t="str">
        <f t="shared" ca="1" si="35"/>
        <v/>
      </c>
      <c r="CG128" s="33" t="str">
        <f t="shared" si="36"/>
        <v/>
      </c>
      <c r="CH128" s="261" t="str">
        <f t="shared" ca="1" si="37"/>
        <v/>
      </c>
      <c r="CI128" s="202"/>
      <c r="CJ128" s="99"/>
      <c r="CK128" s="99"/>
      <c r="CL128" s="99"/>
      <c r="CM128" s="99"/>
      <c r="CN128" s="99"/>
      <c r="CO128" s="99"/>
    </row>
    <row r="129" spans="2:93" ht="13.5" customHeight="1" x14ac:dyDescent="0.2">
      <c r="B129" s="262">
        <v>29</v>
      </c>
      <c r="C129" s="237" t="str">
        <f t="shared" si="1"/>
        <v/>
      </c>
      <c r="D129" s="237" t="str">
        <f t="shared" si="66"/>
        <v/>
      </c>
      <c r="E129" s="290" t="str">
        <f t="shared" si="38"/>
        <v/>
      </c>
      <c r="F129" s="264" t="str">
        <f t="shared" si="39"/>
        <v/>
      </c>
      <c r="G129" s="291" t="str">
        <f t="shared" si="40"/>
        <v/>
      </c>
      <c r="H129" s="240" t="str">
        <f t="shared" si="41"/>
        <v/>
      </c>
      <c r="I129" s="265" t="str">
        <f t="shared" si="2"/>
        <v/>
      </c>
      <c r="J129" s="265" t="str">
        <f t="shared" si="3"/>
        <v/>
      </c>
      <c r="K129" s="240" t="str">
        <f t="shared" si="4"/>
        <v/>
      </c>
      <c r="L129" s="265" t="str">
        <f t="shared" si="5"/>
        <v/>
      </c>
      <c r="M129" s="265" t="str">
        <f t="shared" si="6"/>
        <v/>
      </c>
      <c r="N129" s="240" t="str">
        <f t="shared" si="7"/>
        <v>-</v>
      </c>
      <c r="O129" s="265" t="str">
        <f t="shared" si="8"/>
        <v>-</v>
      </c>
      <c r="P129" s="265" t="str">
        <f t="shared" si="9"/>
        <v>-</v>
      </c>
      <c r="Q129" s="266" t="str">
        <f t="shared" si="10"/>
        <v>-</v>
      </c>
      <c r="R129" s="267" t="str">
        <f t="shared" si="11"/>
        <v>-</v>
      </c>
      <c r="S129" s="268" t="str">
        <f t="shared" si="12"/>
        <v>-</v>
      </c>
      <c r="T129" s="269" t="str">
        <f t="shared" si="13"/>
        <v/>
      </c>
      <c r="U129" s="221">
        <f t="shared" si="14"/>
        <v>29</v>
      </c>
      <c r="V129" s="220" t="str">
        <f t="shared" si="42"/>
        <v>-</v>
      </c>
      <c r="W129" s="221" t="str">
        <f t="shared" si="43"/>
        <v>-</v>
      </c>
      <c r="X129" s="221" t="str">
        <f t="shared" si="15"/>
        <v>-</v>
      </c>
      <c r="Y129" s="221" t="str">
        <f t="shared" si="16"/>
        <v>-</v>
      </c>
      <c r="Z129" s="270">
        <f t="shared" si="44"/>
        <v>0.1</v>
      </c>
      <c r="AA129" s="271" t="str">
        <f>IFERROR(IF(V128=1,AA$100*EXP(-(LN(2)/$D$65+0.04)*X128)*EXP(-(LN(2)/$D$65+0.1)*Y128),IF(V128=2,AA$100*EXP(-(LN(2)/$D$65+0.04)*(VLOOKUP(($F$16-$F$15)-1,U$99:Y128,4,FALSE)))*EXP(-(LN(2)/$D$65+0.1)*(VLOOKUP(($F$16-$F$15)-1,U$99:Y128,5,FALSE)))*EXP(-(LN(2)/$D$65+0.04)*X128)*EXP(-(LN(2)/$D$65+0.1)*Y128),IF(V128=3,AA$100*EXP(-(LN(2)/$D$65+0.04)*(VLOOKUP(($F$16-$F$15)-1,U$99:Y128,4,FALSE)))*EXP(-(LN(2)/$D$65+0.1)*(VLOOKUP(($F$16-$F$15)-1,U$99:Y128,5,FALSE)))*EXP(-(LN(2)/$D$65+0.04)*(VLOOKUP(($F$16-$F$15)*2-1,U$99:Y128,4,FALSE)))*EXP(-(LN(2)/$D$65+0.1)*(VLOOKUP(($F$16-$F$15)*2-1,U$99:Y128,5,FALSE)))*EXP(-(LN(2)/$D$65+0.04)*X128)*EXP(-(LN(2)/$D$65+0.1)*Y128),"-"))),"-")</f>
        <v>-</v>
      </c>
      <c r="AB129" s="271" t="str">
        <f>IFERROR(IF(V129=1,AB$100*EXP(-(LN(2)/$D$65+0.04)*X129)*EXP(-(LN(2)/$D$65+0.1)*Y129),IF(V129=2,AB$100*EXP(-(LN(2)/$D$65+0.04)*(VLOOKUP(($F$16-$F$15)-1,U$100:Y129,4,FALSE)))*EXP(-(LN(2)/$D$65+0.1)*(VLOOKUP(($F$16-$F$15)-1,U$100:Y129,5,FALSE)))*EXP(-(LN(2)/$D$65+0.04)*X129)*EXP(-(LN(2)/$D$65+0.1)*Y129),IF(V129=3,AB$100*EXP(-(LN(2)/$D$65+0.04)*(VLOOKUP(($F$16-$F$15)-1,U$100:Y129,4,FALSE)))*EXP(-(LN(2)/$D$65+0.1)*(VLOOKUP(($F$16-$F$15)-1,U$100:Y129,5,FALSE)))*EXP(-(LN(2)/$D$65+0.04)*(VLOOKUP(($F$16-$F$15)*2-1,U$100:Y129,4,FALSE)))*EXP(-(LN(2)/$D$65+0.1)*(VLOOKUP(($F$16-$F$15)*2-1,U$100:Y129,5,FALSE)))*EXP(-(LN(2)/$D$65+0.04)*X129)*EXP(-(LN(2)/$D$65+0.1)*Y129),"-"))),"-")</f>
        <v>-</v>
      </c>
      <c r="AC129" s="224">
        <f t="shared" si="45"/>
        <v>29</v>
      </c>
      <c r="AD129" s="223" t="str">
        <f t="shared" si="18"/>
        <v>-</v>
      </c>
      <c r="AE129" s="224" t="str">
        <f t="shared" si="46"/>
        <v>-</v>
      </c>
      <c r="AF129" s="224" t="str">
        <f t="shared" si="19"/>
        <v>-</v>
      </c>
      <c r="AG129" s="224" t="str">
        <f t="shared" si="20"/>
        <v>-</v>
      </c>
      <c r="AH129" s="272">
        <f t="shared" si="47"/>
        <v>0.1</v>
      </c>
      <c r="AI129" s="271" t="str">
        <f>IFERROR(IF(AD128=1,AI$100*EXP(-(LN(2)/$D$65+0.04)*AF128)*EXP(-(LN(2)/$D$65+0.1)*AG128),IF(AD128=2,AI$100*EXP(-(LN(2)/$D$65+0.04)*(VLOOKUP(($F$16-$F$15)-1,AC$99:AG128,4,FALSE)))*EXP(-(LN(2)/$D$65+0.1)*(VLOOKUP(($F$16-$F$15)-1,AC$99:AG128,5,FALSE)))*EXP(-(LN(2)/$D$65+0.04)*AF128)*EXP(-(LN(2)/$D$65+0.1)*AG128),IF(AD128=3,AI$100*EXP(-(LN(2)/$D$65+0.04)*(VLOOKUP(($F$16-$F$15)-1,AC$99:AG128,4,FALSE)))*EXP(-(LN(2)/$D$65+0.1)*(VLOOKUP(($F$16-$F$15)-1,AC$99:AG128,5,FALSE)))*EXP(-(LN(2)/$D$65+0.04)*(VLOOKUP(($F$16-$F$15)*2-1,AC$99:AG128,4,FALSE)))*EXP(-(LN(2)/$D$65+0.1)*(VLOOKUP(($F$16-$F$15)*2-1,AC$99:AG128,5,FALSE)))*EXP(-(LN(2)/$D$65+0.04)*AF128)*EXP(-(LN(2)/$D$65+0.1)*AG128),"-"))),"-")</f>
        <v>-</v>
      </c>
      <c r="AJ129" s="271" t="str">
        <f>IFERROR(IF(AD129=1,AJ$100*EXP(-(LN(2)/$D$65+0.04)*AF129)*EXP(-(LN(2)/$D$65+0.1)*AG129),IF(AD129=2,AJ$100*EXP(-(LN(2)/$D$65+0.04)*(VLOOKUP(($F$16-$F$15)-1,AC$100:AG129,4,FALSE)))*EXP(-(LN(2)/$D$65+0.1)*(VLOOKUP(($F$16-$F$15)-1,AC$100:AG129,5,FALSE)))*EXP(-(LN(2)/$D$65+0.04)*AF129)*EXP(-(LN(2)/$D$65+0.1)*AG129),IF(AD129=3,AJ$100*EXP(-(LN(2)/$D$65+0.04)*(VLOOKUP(($F$16-$F$15)-1,AC$100:AG129,4,FALSE)))*EXP(-(LN(2)/$D$65+0.1)*(VLOOKUP(($F$16-$F$15)-1,AC$100:AG129,5,FALSE)))*EXP(-(LN(2)/$D$65+0.04)*(VLOOKUP(($F$16-$F$15)*2-1,AC$100:AG129,4,FALSE)))*EXP(-(LN(2)/$D$65+0.1)*(VLOOKUP(($F$16-$F$15)*2-1,AC$100:AG129,5,FALSE)))*EXP(-(LN(2)/$D$65+0.04)*AF129)*EXP(-(LN(2)/$D$65+0.1)*AG129),"-"))),"-")</f>
        <v>-</v>
      </c>
      <c r="AK129" s="227">
        <f t="shared" si="49"/>
        <v>29</v>
      </c>
      <c r="AL129" s="226" t="str">
        <f t="shared" si="22"/>
        <v>-</v>
      </c>
      <c r="AM129" s="227" t="str">
        <f t="shared" si="50"/>
        <v>-</v>
      </c>
      <c r="AN129" s="227" t="str">
        <f t="shared" si="51"/>
        <v>-</v>
      </c>
      <c r="AO129" s="227" t="str">
        <f t="shared" si="23"/>
        <v>-</v>
      </c>
      <c r="AP129" s="273">
        <f t="shared" si="52"/>
        <v>0.1</v>
      </c>
      <c r="AQ129" s="271" t="str">
        <f>IFERROR(IF(AL128=1,AQ$100*EXP(-(LN(2)/$D$65+0.04)*AN128)*EXP(-(LN(2)/$D$65+0.1)*AO128),IF(AL128=2,AQ$100*EXP(-(LN(2)/$D$65+0.04)*(VLOOKUP(($F$16-$F$15)-1,AK$99:AO128,4,FALSE)))*EXP(-(LN(2)/$D$65+0.1)*(VLOOKUP(($F$16-$F$15)-1,AK$99:AO128,5,FALSE)))*EXP(-(LN(2)/$D$65+0.04)*AN128)*EXP(-(LN(2)/$D$65+0.1)*AO128),IF(AL128=3,AQ$100*EXP(-(LN(2)/$D$65+0.04)*(VLOOKUP(($F$16-$F$15)-1,AK$99:AO128,4,FALSE)))*EXP(-(LN(2)/$D$65+0.1)*(VLOOKUP(($F$16-$F$15)-1,AK$99:AO128,5,FALSE)))*EXP(-(LN(2)/$D$65+0.04)*(VLOOKUP(($F$16-$F$15)*2-1,AK$99:AO128,4,FALSE)))*EXP(-(LN(2)/$D$65+0.1)*(VLOOKUP(($F$16-$F$15)*2-1,AK$99:AO128,5,FALSE)))*EXP(-(LN(2)/$D$65+0.04)*AN128)*EXP(-(LN(2)/$D$65+0.1)*AO128),"-"))),"-")</f>
        <v>-</v>
      </c>
      <c r="AR129" s="271" t="str">
        <f>IFERROR(IF(AL129=1,AR$100*EXP(-(LN(2)/$D$65+0.04)*AN129)*EXP(-(LN(2)/$D$65+0.1)*AO129),IF(AL129=2,AR$100*EXP(-(LN(2)/$D$65+0.04)*(VLOOKUP(($F$16-$F$15)-1,AK$100:AO129,4,FALSE)))*EXP(-(LN(2)/$D$65+0.1)*(VLOOKUP(($F$16-$F$15)-1,AK$100:AO129,5,FALSE)))*EXP(-(LN(2)/$D$65+0.04)*AN129)*EXP(-(LN(2)/$D$65+0.1)*AO129),IF(AL129=3,AR$100*EXP(-(LN(2)/$D$65+0.04)*(VLOOKUP(($F$16-$F$15)-1,AK$100:AO129,4,FALSE)))*EXP(-(LN(2)/$D$65+0.1)*(VLOOKUP(($F$16-$F$15)-1,AK$100:AO129,5,FALSE)))*EXP(-(LN(2)/$D$65+0.04)*(VLOOKUP(($F$16-$F$15)*2-1,AK$100:AO129,4,FALSE)))*EXP(-(LN(2)/$D$65+0.1)*(VLOOKUP(($F$16-$F$15)*2-1,AK$100:AO129,5,FALSE)))*EXP(-(LN(2)/$D$65+0.04)*AN129)*EXP(-(LN(2)/$D$65+0.1)*AO129),"-"))),"-")</f>
        <v>-</v>
      </c>
      <c r="AS129" s="274">
        <f t="shared" si="24"/>
        <v>0</v>
      </c>
      <c r="AT129" s="274">
        <f t="shared" si="25"/>
        <v>0</v>
      </c>
      <c r="AU129" s="274">
        <f t="shared" si="26"/>
        <v>0</v>
      </c>
      <c r="AV129" s="190" t="str">
        <f>IF($B129&lt;$F$22,SUM($T$100:$T129),"")</f>
        <v/>
      </c>
      <c r="AW129" s="190" t="str">
        <f t="shared" si="55"/>
        <v>-</v>
      </c>
      <c r="AX129" s="190" t="str">
        <f t="shared" si="56"/>
        <v/>
      </c>
      <c r="AY129"/>
      <c r="AZ129" s="190" t="str">
        <f ca="1">IF(ISNUMBER(OFFSET(AV129,-$F$21,0)),SUM(OFFSET($T$100,$F$21,0):$T129),"")</f>
        <v/>
      </c>
      <c r="BA129" s="190" t="str">
        <f t="shared" ca="1" si="27"/>
        <v/>
      </c>
      <c r="BB129" s="190" t="str">
        <f t="shared" ca="1" si="70"/>
        <v/>
      </c>
      <c r="BC129" s="190"/>
      <c r="BD129" s="190" t="str">
        <f ca="1">IFERROR(IF(OR(ISNUMBER(I),ISNUMBER($F$14)),IF(AND($B129&gt;=($F$16-$F$15),$B129&lt;$F$22+($F$16-$F$15)),SUM(OFFSET($T$100,($F$16-$F$15),0):$T129),""),""),"")</f>
        <v/>
      </c>
      <c r="BE129" s="190" t="str">
        <f t="shared" ca="1" si="58"/>
        <v/>
      </c>
      <c r="BF129" s="190" t="str">
        <f t="shared" ca="1" si="59"/>
        <v/>
      </c>
      <c r="BG129"/>
      <c r="BH129" s="190" t="str">
        <f ca="1">IF(ISNUMBER(OFFSET(BD129,-$F$21,0)),SUM(OFFSET($T$100,($F$16-$F$15+$F$21),0):$T129),"")</f>
        <v/>
      </c>
      <c r="BI129" s="190" t="str">
        <f t="shared" ca="1" si="28"/>
        <v/>
      </c>
      <c r="BJ129" s="190" t="str">
        <f t="shared" ca="1" si="60"/>
        <v/>
      </c>
      <c r="BK129" s="190"/>
      <c r="BL129" s="190" t="str">
        <f ca="1">IFERROR(IF(OR(ISNUMBER(I),ISNUMBER($F$14)),IF(AND($B129&gt;=($F$17-$F$15),$B129&lt;$F$22+($F$17-$F$15)),SUM(OFFSET($T$100,($F$17-$F$15),0):$T129),""),""),"")</f>
        <v/>
      </c>
      <c r="BM129" s="190" t="str">
        <f t="shared" ca="1" si="29"/>
        <v/>
      </c>
      <c r="BN129" s="190" t="str">
        <f t="shared" ca="1" si="61"/>
        <v/>
      </c>
      <c r="BO129"/>
      <c r="BP129" s="190" t="str">
        <f ca="1">IF(ISNUMBER(OFFSET(BL129,-$F$21,0)),SUM(OFFSET($T$100,($F$17-$F$15+$F$21),0):$T129),"")</f>
        <v/>
      </c>
      <c r="BQ129" s="190" t="str">
        <f t="shared" ca="1" si="62"/>
        <v/>
      </c>
      <c r="BR129" s="190" t="str">
        <f t="shared" ca="1" si="63"/>
        <v/>
      </c>
      <c r="BS129" s="190"/>
      <c r="BT129"/>
      <c r="BU129"/>
      <c r="BV129"/>
      <c r="BY129" s="99"/>
      <c r="BZ129" s="99"/>
      <c r="CA129" s="280" t="str">
        <f t="shared" si="30"/>
        <v/>
      </c>
      <c r="CB129" s="71" t="str">
        <f t="shared" si="31"/>
        <v>-</v>
      </c>
      <c r="CC129" s="33"/>
      <c r="CD129" s="261" t="str">
        <f t="shared" si="33"/>
        <v/>
      </c>
      <c r="CE129" s="280" t="str">
        <f t="shared" si="34"/>
        <v/>
      </c>
      <c r="CF129" s="71" t="str">
        <f t="shared" ca="1" si="35"/>
        <v/>
      </c>
      <c r="CG129" s="33" t="str">
        <f t="shared" si="36"/>
        <v/>
      </c>
      <c r="CH129" s="261" t="str">
        <f t="shared" ca="1" si="37"/>
        <v/>
      </c>
      <c r="CI129" s="202"/>
      <c r="CJ129" s="99"/>
      <c r="CK129" s="99"/>
      <c r="CL129" s="99"/>
      <c r="CM129" s="99"/>
      <c r="CN129" s="99"/>
      <c r="CO129" s="99"/>
    </row>
    <row r="130" spans="2:93" ht="13.5" customHeight="1" x14ac:dyDescent="0.2">
      <c r="B130" s="262">
        <v>30</v>
      </c>
      <c r="C130" s="237" t="str">
        <f t="shared" si="1"/>
        <v/>
      </c>
      <c r="D130" s="237" t="str">
        <f t="shared" si="66"/>
        <v/>
      </c>
      <c r="E130" s="290" t="str">
        <f t="shared" si="38"/>
        <v/>
      </c>
      <c r="F130" s="264" t="str">
        <f t="shared" si="39"/>
        <v/>
      </c>
      <c r="G130" s="291" t="str">
        <f t="shared" si="40"/>
        <v/>
      </c>
      <c r="H130" s="240" t="str">
        <f t="shared" si="41"/>
        <v/>
      </c>
      <c r="I130" s="265" t="str">
        <f t="shared" si="2"/>
        <v/>
      </c>
      <c r="J130" s="265" t="str">
        <f t="shared" si="3"/>
        <v/>
      </c>
      <c r="K130" s="240" t="str">
        <f t="shared" si="4"/>
        <v/>
      </c>
      <c r="L130" s="265" t="str">
        <f t="shared" si="5"/>
        <v/>
      </c>
      <c r="M130" s="265" t="str">
        <f t="shared" si="6"/>
        <v/>
      </c>
      <c r="N130" s="240" t="str">
        <f t="shared" si="7"/>
        <v>-</v>
      </c>
      <c r="O130" s="265" t="str">
        <f t="shared" si="8"/>
        <v>-</v>
      </c>
      <c r="P130" s="265" t="str">
        <f t="shared" si="9"/>
        <v>-</v>
      </c>
      <c r="Q130" s="266" t="str">
        <f t="shared" si="10"/>
        <v>-</v>
      </c>
      <c r="R130" s="267" t="str">
        <f t="shared" si="11"/>
        <v>-</v>
      </c>
      <c r="S130" s="268" t="str">
        <f t="shared" si="12"/>
        <v>-</v>
      </c>
      <c r="T130" s="269" t="str">
        <f t="shared" si="13"/>
        <v/>
      </c>
      <c r="U130" s="221">
        <f t="shared" si="14"/>
        <v>30</v>
      </c>
      <c r="V130" s="220" t="str">
        <f t="shared" si="42"/>
        <v>-</v>
      </c>
      <c r="W130" s="221" t="str">
        <f t="shared" si="43"/>
        <v>-</v>
      </c>
      <c r="X130" s="221" t="str">
        <f t="shared" si="15"/>
        <v>-</v>
      </c>
      <c r="Y130" s="221" t="str">
        <f t="shared" si="16"/>
        <v>-</v>
      </c>
      <c r="Z130" s="270">
        <f t="shared" si="44"/>
        <v>0.1</v>
      </c>
      <c r="AA130" s="271" t="str">
        <f>IFERROR(IF(V129=1,AA$100*EXP(-(LN(2)/$D$65+0.04)*X129)*EXP(-(LN(2)/$D$65+0.1)*Y129),IF(V129=2,AA$100*EXP(-(LN(2)/$D$65+0.04)*(VLOOKUP(($F$16-$F$15)-1,U$99:Y129,4,FALSE)))*EXP(-(LN(2)/$D$65+0.1)*(VLOOKUP(($F$16-$F$15)-1,U$99:Y129,5,FALSE)))*EXP(-(LN(2)/$D$65+0.04)*X129)*EXP(-(LN(2)/$D$65+0.1)*Y129),IF(V129=3,AA$100*EXP(-(LN(2)/$D$65+0.04)*(VLOOKUP(($F$16-$F$15)-1,U$99:Y129,4,FALSE)))*EXP(-(LN(2)/$D$65+0.1)*(VLOOKUP(($F$16-$F$15)-1,U$99:Y129,5,FALSE)))*EXP(-(LN(2)/$D$65+0.04)*(VLOOKUP(($F$16-$F$15)*2-1,U$99:Y129,4,FALSE)))*EXP(-(LN(2)/$D$65+0.1)*(VLOOKUP(($F$16-$F$15)*2-1,U$99:Y129,5,FALSE)))*EXP(-(LN(2)/$D$65+0.04)*X129)*EXP(-(LN(2)/$D$65+0.1)*Y129),"-"))),"-")</f>
        <v>-</v>
      </c>
      <c r="AB130" s="271" t="str">
        <f>IFERROR(IF(V130=1,AB$100*EXP(-(LN(2)/$D$65+0.04)*X130)*EXP(-(LN(2)/$D$65+0.1)*Y130),IF(V130=2,AB$100*EXP(-(LN(2)/$D$65+0.04)*(VLOOKUP(($F$16-$F$15)-1,U$100:Y130,4,FALSE)))*EXP(-(LN(2)/$D$65+0.1)*(VLOOKUP(($F$16-$F$15)-1,U$100:Y130,5,FALSE)))*EXP(-(LN(2)/$D$65+0.04)*X130)*EXP(-(LN(2)/$D$65+0.1)*Y130),IF(V130=3,AB$100*EXP(-(LN(2)/$D$65+0.04)*(VLOOKUP(($F$16-$F$15)-1,U$100:Y130,4,FALSE)))*EXP(-(LN(2)/$D$65+0.1)*(VLOOKUP(($F$16-$F$15)-1,U$100:Y130,5,FALSE)))*EXP(-(LN(2)/$D$65+0.04)*(VLOOKUP(($F$16-$F$15)*2-1,U$100:Y130,4,FALSE)))*EXP(-(LN(2)/$D$65+0.1)*(VLOOKUP(($F$16-$F$15)*2-1,U$100:Y130,5,FALSE)))*EXP(-(LN(2)/$D$65+0.04)*X130)*EXP(-(LN(2)/$D$65+0.1)*Y130),"-"))),"-")</f>
        <v>-</v>
      </c>
      <c r="AC130" s="224">
        <f t="shared" si="45"/>
        <v>30</v>
      </c>
      <c r="AD130" s="223" t="str">
        <f t="shared" si="18"/>
        <v>-</v>
      </c>
      <c r="AE130" s="224" t="str">
        <f t="shared" si="46"/>
        <v>-</v>
      </c>
      <c r="AF130" s="224" t="str">
        <f t="shared" si="19"/>
        <v>-</v>
      </c>
      <c r="AG130" s="224" t="str">
        <f t="shared" si="20"/>
        <v>-</v>
      </c>
      <c r="AH130" s="272">
        <f t="shared" si="47"/>
        <v>0.1</v>
      </c>
      <c r="AI130" s="271" t="str">
        <f>IFERROR(IF(AD129=1,AI$100*EXP(-(LN(2)/$D$65+0.04)*AF129)*EXP(-(LN(2)/$D$65+0.1)*AG129),IF(AD129=2,AI$100*EXP(-(LN(2)/$D$65+0.04)*(VLOOKUP(($F$16-$F$15)-1,AC$99:AG129,4,FALSE)))*EXP(-(LN(2)/$D$65+0.1)*(VLOOKUP(($F$16-$F$15)-1,AC$99:AG129,5,FALSE)))*EXP(-(LN(2)/$D$65+0.04)*AF129)*EXP(-(LN(2)/$D$65+0.1)*AG129),IF(AD129=3,AI$100*EXP(-(LN(2)/$D$65+0.04)*(VLOOKUP(($F$16-$F$15)-1,AC$99:AG129,4,FALSE)))*EXP(-(LN(2)/$D$65+0.1)*(VLOOKUP(($F$16-$F$15)-1,AC$99:AG129,5,FALSE)))*EXP(-(LN(2)/$D$65+0.04)*(VLOOKUP(($F$16-$F$15)*2-1,AC$99:AG129,4,FALSE)))*EXP(-(LN(2)/$D$65+0.1)*(VLOOKUP(($F$16-$F$15)*2-1,AC$99:AG129,5,FALSE)))*EXP(-(LN(2)/$D$65+0.04)*AF129)*EXP(-(LN(2)/$D$65+0.1)*AG129),"-"))),"-")</f>
        <v>-</v>
      </c>
      <c r="AJ130" s="271" t="str">
        <f>IFERROR(IF(AD130=1,AJ$100*EXP(-(LN(2)/$D$65+0.04)*AF130)*EXP(-(LN(2)/$D$65+0.1)*AG130),IF(AD130=2,AJ$100*EXP(-(LN(2)/$D$65+0.04)*(VLOOKUP(($F$16-$F$15)-1,AC$100:AG130,4,FALSE)))*EXP(-(LN(2)/$D$65+0.1)*(VLOOKUP(($F$16-$F$15)-1,AC$100:AG130,5,FALSE)))*EXP(-(LN(2)/$D$65+0.04)*AF130)*EXP(-(LN(2)/$D$65+0.1)*AG130),IF(AD130=3,AJ$100*EXP(-(LN(2)/$D$65+0.04)*(VLOOKUP(($F$16-$F$15)-1,AC$100:AG130,4,FALSE)))*EXP(-(LN(2)/$D$65+0.1)*(VLOOKUP(($F$16-$F$15)-1,AC$100:AG130,5,FALSE)))*EXP(-(LN(2)/$D$65+0.04)*(VLOOKUP(($F$16-$F$15)*2-1,AC$100:AG130,4,FALSE)))*EXP(-(LN(2)/$D$65+0.1)*(VLOOKUP(($F$16-$F$15)*2-1,AC$100:AG130,5,FALSE)))*EXP(-(LN(2)/$D$65+0.04)*AF130)*EXP(-(LN(2)/$D$65+0.1)*AG130),"-"))),"-")</f>
        <v>-</v>
      </c>
      <c r="AK130" s="227">
        <f t="shared" si="49"/>
        <v>30</v>
      </c>
      <c r="AL130" s="226" t="str">
        <f t="shared" si="22"/>
        <v>-</v>
      </c>
      <c r="AM130" s="227" t="str">
        <f t="shared" si="50"/>
        <v>-</v>
      </c>
      <c r="AN130" s="227" t="str">
        <f t="shared" si="51"/>
        <v>-</v>
      </c>
      <c r="AO130" s="227" t="str">
        <f t="shared" si="23"/>
        <v>-</v>
      </c>
      <c r="AP130" s="273">
        <f t="shared" si="52"/>
        <v>0.1</v>
      </c>
      <c r="AQ130" s="271" t="str">
        <f>IFERROR(IF(AL129=1,AQ$100*EXP(-(LN(2)/$D$65+0.04)*AN129)*EXP(-(LN(2)/$D$65+0.1)*AO129),IF(AL129=2,AQ$100*EXP(-(LN(2)/$D$65+0.04)*(VLOOKUP(($F$16-$F$15)-1,AK$99:AO129,4,FALSE)))*EXP(-(LN(2)/$D$65+0.1)*(VLOOKUP(($F$16-$F$15)-1,AK$99:AO129,5,FALSE)))*EXP(-(LN(2)/$D$65+0.04)*AN129)*EXP(-(LN(2)/$D$65+0.1)*AO129),IF(AL129=3,AQ$100*EXP(-(LN(2)/$D$65+0.04)*(VLOOKUP(($F$16-$F$15)-1,AK$99:AO129,4,FALSE)))*EXP(-(LN(2)/$D$65+0.1)*(VLOOKUP(($F$16-$F$15)-1,AK$99:AO129,5,FALSE)))*EXP(-(LN(2)/$D$65+0.04)*(VLOOKUP(($F$16-$F$15)*2-1,AK$99:AO129,4,FALSE)))*EXP(-(LN(2)/$D$65+0.1)*(VLOOKUP(($F$16-$F$15)*2-1,AK$99:AO129,5,FALSE)))*EXP(-(LN(2)/$D$65+0.04)*AN129)*EXP(-(LN(2)/$D$65+0.1)*AO129),"-"))),"-")</f>
        <v>-</v>
      </c>
      <c r="AR130" s="271" t="str">
        <f>IFERROR(IF(AL130=1,AR$100*EXP(-(LN(2)/$D$65+0.04)*AN130)*EXP(-(LN(2)/$D$65+0.1)*AO130),IF(AL130=2,AR$100*EXP(-(LN(2)/$D$65+0.04)*(VLOOKUP(($F$16-$F$15)-1,AK$100:AO130,4,FALSE)))*EXP(-(LN(2)/$D$65+0.1)*(VLOOKUP(($F$16-$F$15)-1,AK$100:AO130,5,FALSE)))*EXP(-(LN(2)/$D$65+0.04)*AN130)*EXP(-(LN(2)/$D$65+0.1)*AO130),IF(AL130=3,AR$100*EXP(-(LN(2)/$D$65+0.04)*(VLOOKUP(($F$16-$F$15)-1,AK$100:AO130,4,FALSE)))*EXP(-(LN(2)/$D$65+0.1)*(VLOOKUP(($F$16-$F$15)-1,AK$100:AO130,5,FALSE)))*EXP(-(LN(2)/$D$65+0.04)*(VLOOKUP(($F$16-$F$15)*2-1,AK$100:AO130,4,FALSE)))*EXP(-(LN(2)/$D$65+0.1)*(VLOOKUP(($F$16-$F$15)*2-1,AK$100:AO130,5,FALSE)))*EXP(-(LN(2)/$D$65+0.04)*AN130)*EXP(-(LN(2)/$D$65+0.1)*AO130),"-"))),"-")</f>
        <v>-</v>
      </c>
      <c r="AS130" s="274">
        <f t="shared" si="24"/>
        <v>0</v>
      </c>
      <c r="AT130" s="274">
        <f t="shared" si="25"/>
        <v>0</v>
      </c>
      <c r="AU130" s="274">
        <f t="shared" si="26"/>
        <v>0</v>
      </c>
      <c r="AV130" s="190" t="str">
        <f>IF($B130&lt;$F$22,SUM($T$100:$T130),"")</f>
        <v/>
      </c>
      <c r="AW130" s="190" t="str">
        <f t="shared" si="55"/>
        <v>-</v>
      </c>
      <c r="AX130" s="190" t="str">
        <f t="shared" si="56"/>
        <v/>
      </c>
      <c r="AY130"/>
      <c r="AZ130" s="190" t="str">
        <f ca="1">IF(ISNUMBER(OFFSET(AV130,-$F$21,0)),SUM(OFFSET($T$100,$F$21,0):$T130),"")</f>
        <v/>
      </c>
      <c r="BA130" s="190" t="str">
        <f t="shared" ca="1" si="27"/>
        <v/>
      </c>
      <c r="BB130" s="190" t="str">
        <f t="shared" ca="1" si="70"/>
        <v/>
      </c>
      <c r="BC130" s="190"/>
      <c r="BD130" s="190" t="str">
        <f ca="1">IFERROR(IF(OR(ISNUMBER(I),ISNUMBER($F$14)),IF(AND($B130&gt;=($F$16-$F$15),$B130&lt;$F$22+($F$16-$F$15)),SUM(OFFSET($T$100,($F$16-$F$15),0):$T130),""),""),"")</f>
        <v/>
      </c>
      <c r="BE130" s="190" t="str">
        <f t="shared" ca="1" si="58"/>
        <v/>
      </c>
      <c r="BF130" s="190" t="str">
        <f t="shared" ca="1" si="59"/>
        <v/>
      </c>
      <c r="BG130"/>
      <c r="BH130" s="190" t="str">
        <f ca="1">IF(ISNUMBER(OFFSET(BD130,-$F$21,0)),SUM(OFFSET($T$100,($F$16-$F$15+$F$21),0):$T130),"")</f>
        <v/>
      </c>
      <c r="BI130" s="190" t="str">
        <f t="shared" ca="1" si="28"/>
        <v/>
      </c>
      <c r="BJ130" s="190" t="str">
        <f t="shared" ca="1" si="60"/>
        <v/>
      </c>
      <c r="BK130" s="190"/>
      <c r="BL130" s="190" t="str">
        <f ca="1">IFERROR(IF(OR(ISNUMBER(I),ISNUMBER($F$14)),IF(AND($B130&gt;=($F$17-$F$15),$B130&lt;$F$22+($F$17-$F$15)),SUM(OFFSET($T$100,($F$17-$F$15),0):$T130),""),""),"")</f>
        <v/>
      </c>
      <c r="BM130" s="190" t="str">
        <f t="shared" ca="1" si="29"/>
        <v/>
      </c>
      <c r="BN130" s="190" t="str">
        <f t="shared" ca="1" si="61"/>
        <v/>
      </c>
      <c r="BO130"/>
      <c r="BP130" s="190" t="str">
        <f ca="1">IF(ISNUMBER(OFFSET(BL130,-$F$21,0)),SUM(OFFSET($T$100,($F$17-$F$15+$F$21),0):$T130),"")</f>
        <v/>
      </c>
      <c r="BQ130" s="190" t="str">
        <f t="shared" ca="1" si="62"/>
        <v/>
      </c>
      <c r="BR130" s="190" t="str">
        <f t="shared" ca="1" si="63"/>
        <v/>
      </c>
      <c r="BS130" s="190"/>
      <c r="BT130"/>
      <c r="BU130"/>
      <c r="BV130"/>
      <c r="BY130" s="99"/>
      <c r="BZ130" s="99"/>
      <c r="CA130" s="280" t="str">
        <f t="shared" si="30"/>
        <v/>
      </c>
      <c r="CB130" s="71" t="str">
        <f t="shared" si="31"/>
        <v>-</v>
      </c>
      <c r="CC130" s="33"/>
      <c r="CD130" s="261" t="str">
        <f t="shared" si="33"/>
        <v/>
      </c>
      <c r="CE130" s="280" t="str">
        <f t="shared" si="34"/>
        <v/>
      </c>
      <c r="CF130" s="71" t="str">
        <f t="shared" ca="1" si="35"/>
        <v/>
      </c>
      <c r="CG130" s="33" t="str">
        <f t="shared" si="36"/>
        <v/>
      </c>
      <c r="CH130" s="261" t="str">
        <f t="shared" ca="1" si="37"/>
        <v/>
      </c>
      <c r="CI130" s="202"/>
      <c r="CJ130" s="99"/>
      <c r="CK130" s="99"/>
      <c r="CL130" s="99"/>
      <c r="CM130" s="99"/>
      <c r="CN130" s="99"/>
      <c r="CO130" s="99"/>
    </row>
    <row r="131" spans="2:93" ht="13.5" customHeight="1" x14ac:dyDescent="0.2">
      <c r="B131" s="262">
        <v>31</v>
      </c>
      <c r="C131" s="237" t="str">
        <f t="shared" si="1"/>
        <v/>
      </c>
      <c r="D131" s="237" t="str">
        <f t="shared" si="66"/>
        <v/>
      </c>
      <c r="E131" s="290" t="str">
        <f t="shared" si="38"/>
        <v/>
      </c>
      <c r="F131" s="264" t="str">
        <f t="shared" si="39"/>
        <v/>
      </c>
      <c r="G131" s="291" t="str">
        <f t="shared" si="40"/>
        <v/>
      </c>
      <c r="H131" s="240" t="str">
        <f t="shared" si="41"/>
        <v/>
      </c>
      <c r="I131" s="265" t="str">
        <f t="shared" si="2"/>
        <v/>
      </c>
      <c r="J131" s="265" t="str">
        <f t="shared" si="3"/>
        <v/>
      </c>
      <c r="K131" s="240" t="str">
        <f t="shared" si="4"/>
        <v/>
      </c>
      <c r="L131" s="265" t="str">
        <f t="shared" si="5"/>
        <v/>
      </c>
      <c r="M131" s="265" t="str">
        <f t="shared" si="6"/>
        <v/>
      </c>
      <c r="N131" s="240" t="str">
        <f t="shared" si="7"/>
        <v>-</v>
      </c>
      <c r="O131" s="265" t="str">
        <f t="shared" si="8"/>
        <v>-</v>
      </c>
      <c r="P131" s="265" t="str">
        <f t="shared" si="9"/>
        <v>-</v>
      </c>
      <c r="Q131" s="266" t="str">
        <f t="shared" si="10"/>
        <v>-</v>
      </c>
      <c r="R131" s="267" t="str">
        <f t="shared" si="11"/>
        <v>-</v>
      </c>
      <c r="S131" s="268" t="str">
        <f t="shared" si="12"/>
        <v>-</v>
      </c>
      <c r="T131" s="269" t="str">
        <f t="shared" si="13"/>
        <v/>
      </c>
      <c r="U131" s="221">
        <f t="shared" si="14"/>
        <v>31</v>
      </c>
      <c r="V131" s="220" t="str">
        <f t="shared" si="42"/>
        <v>-</v>
      </c>
      <c r="W131" s="221" t="str">
        <f t="shared" si="43"/>
        <v>-</v>
      </c>
      <c r="X131" s="221" t="str">
        <f t="shared" si="15"/>
        <v>-</v>
      </c>
      <c r="Y131" s="221" t="str">
        <f t="shared" si="16"/>
        <v>-</v>
      </c>
      <c r="Z131" s="270">
        <f t="shared" si="44"/>
        <v>0.1</v>
      </c>
      <c r="AA131" s="271" t="str">
        <f>IFERROR(IF(V130=1,AA$100*EXP(-(LN(2)/$D$65+0.04)*X130)*EXP(-(LN(2)/$D$65+0.1)*Y130),IF(V130=2,AA$100*EXP(-(LN(2)/$D$65+0.04)*(VLOOKUP(($F$16-$F$15)-1,U$99:Y130,4,FALSE)))*EXP(-(LN(2)/$D$65+0.1)*(VLOOKUP(($F$16-$F$15)-1,U$99:Y130,5,FALSE)))*EXP(-(LN(2)/$D$65+0.04)*X130)*EXP(-(LN(2)/$D$65+0.1)*Y130),IF(V130=3,AA$100*EXP(-(LN(2)/$D$65+0.04)*(VLOOKUP(($F$16-$F$15)-1,U$99:Y130,4,FALSE)))*EXP(-(LN(2)/$D$65+0.1)*(VLOOKUP(($F$16-$F$15)-1,U$99:Y130,5,FALSE)))*EXP(-(LN(2)/$D$65+0.04)*(VLOOKUP(($F$16-$F$15)*2-1,U$99:Y130,4,FALSE)))*EXP(-(LN(2)/$D$65+0.1)*(VLOOKUP(($F$16-$F$15)*2-1,U$99:Y130,5,FALSE)))*EXP(-(LN(2)/$D$65+0.04)*X130)*EXP(-(LN(2)/$D$65+0.1)*Y130),"-"))),"-")</f>
        <v>-</v>
      </c>
      <c r="AB131" s="271" t="str">
        <f>IFERROR(IF(V131=1,AB$100*EXP(-(LN(2)/$D$65+0.04)*X131)*EXP(-(LN(2)/$D$65+0.1)*Y131),IF(V131=2,AB$100*EXP(-(LN(2)/$D$65+0.04)*(VLOOKUP(($F$16-$F$15)-1,U$100:Y131,4,FALSE)))*EXP(-(LN(2)/$D$65+0.1)*(VLOOKUP(($F$16-$F$15)-1,U$100:Y131,5,FALSE)))*EXP(-(LN(2)/$D$65+0.04)*X131)*EXP(-(LN(2)/$D$65+0.1)*Y131),IF(V131=3,AB$100*EXP(-(LN(2)/$D$65+0.04)*(VLOOKUP(($F$16-$F$15)-1,U$100:Y131,4,FALSE)))*EXP(-(LN(2)/$D$65+0.1)*(VLOOKUP(($F$16-$F$15)-1,U$100:Y131,5,FALSE)))*EXP(-(LN(2)/$D$65+0.04)*(VLOOKUP(($F$16-$F$15)*2-1,U$100:Y131,4,FALSE)))*EXP(-(LN(2)/$D$65+0.1)*(VLOOKUP(($F$16-$F$15)*2-1,U$100:Y131,5,FALSE)))*EXP(-(LN(2)/$D$65+0.04)*X131)*EXP(-(LN(2)/$D$65+0.1)*Y131),"-"))),"-")</f>
        <v>-</v>
      </c>
      <c r="AC131" s="224">
        <f t="shared" si="45"/>
        <v>31</v>
      </c>
      <c r="AD131" s="223" t="str">
        <f t="shared" si="18"/>
        <v>-</v>
      </c>
      <c r="AE131" s="224" t="str">
        <f t="shared" si="46"/>
        <v>-</v>
      </c>
      <c r="AF131" s="224" t="str">
        <f t="shared" si="19"/>
        <v>-</v>
      </c>
      <c r="AG131" s="224" t="str">
        <f t="shared" si="20"/>
        <v>-</v>
      </c>
      <c r="AH131" s="272">
        <f t="shared" si="47"/>
        <v>0.1</v>
      </c>
      <c r="AI131" s="271" t="str">
        <f>IFERROR(IF(AD130=1,AI$100*EXP(-(LN(2)/$D$65+0.04)*AF130)*EXP(-(LN(2)/$D$65+0.1)*AG130),IF(AD130=2,AI$100*EXP(-(LN(2)/$D$65+0.04)*(VLOOKUP(($F$16-$F$15)-1,AC$99:AG130,4,FALSE)))*EXP(-(LN(2)/$D$65+0.1)*(VLOOKUP(($F$16-$F$15)-1,AC$99:AG130,5,FALSE)))*EXP(-(LN(2)/$D$65+0.04)*AF130)*EXP(-(LN(2)/$D$65+0.1)*AG130),IF(AD130=3,AI$100*EXP(-(LN(2)/$D$65+0.04)*(VLOOKUP(($F$16-$F$15)-1,AC$99:AG130,4,FALSE)))*EXP(-(LN(2)/$D$65+0.1)*(VLOOKUP(($F$16-$F$15)-1,AC$99:AG130,5,FALSE)))*EXP(-(LN(2)/$D$65+0.04)*(VLOOKUP(($F$16-$F$15)*2-1,AC$99:AG130,4,FALSE)))*EXP(-(LN(2)/$D$65+0.1)*(VLOOKUP(($F$16-$F$15)*2-1,AC$99:AG130,5,FALSE)))*EXP(-(LN(2)/$D$65+0.04)*AF130)*EXP(-(LN(2)/$D$65+0.1)*AG130),"-"))),"-")</f>
        <v>-</v>
      </c>
      <c r="AJ131" s="271" t="str">
        <f>IFERROR(IF(AD131=1,AJ$100*EXP(-(LN(2)/$D$65+0.04)*AF131)*EXP(-(LN(2)/$D$65+0.1)*AG131),IF(AD131=2,AJ$100*EXP(-(LN(2)/$D$65+0.04)*(VLOOKUP(($F$16-$F$15)-1,AC$100:AG131,4,FALSE)))*EXP(-(LN(2)/$D$65+0.1)*(VLOOKUP(($F$16-$F$15)-1,AC$100:AG131,5,FALSE)))*EXP(-(LN(2)/$D$65+0.04)*AF131)*EXP(-(LN(2)/$D$65+0.1)*AG131),IF(AD131=3,AJ$100*EXP(-(LN(2)/$D$65+0.04)*(VLOOKUP(($F$16-$F$15)-1,AC$100:AG131,4,FALSE)))*EXP(-(LN(2)/$D$65+0.1)*(VLOOKUP(($F$16-$F$15)-1,AC$100:AG131,5,FALSE)))*EXP(-(LN(2)/$D$65+0.04)*(VLOOKUP(($F$16-$F$15)*2-1,AC$100:AG131,4,FALSE)))*EXP(-(LN(2)/$D$65+0.1)*(VLOOKUP(($F$16-$F$15)*2-1,AC$100:AG131,5,FALSE)))*EXP(-(LN(2)/$D$65+0.04)*AF131)*EXP(-(LN(2)/$D$65+0.1)*AG131),"-"))),"-")</f>
        <v>-</v>
      </c>
      <c r="AK131" s="227">
        <f t="shared" si="49"/>
        <v>31</v>
      </c>
      <c r="AL131" s="226" t="str">
        <f t="shared" si="22"/>
        <v>-</v>
      </c>
      <c r="AM131" s="227" t="str">
        <f t="shared" si="50"/>
        <v>-</v>
      </c>
      <c r="AN131" s="227" t="str">
        <f t="shared" si="51"/>
        <v>-</v>
      </c>
      <c r="AO131" s="227" t="str">
        <f t="shared" si="23"/>
        <v>-</v>
      </c>
      <c r="AP131" s="273">
        <f t="shared" si="52"/>
        <v>0.1</v>
      </c>
      <c r="AQ131" s="271" t="str">
        <f>IFERROR(IF(AL130=1,AQ$100*EXP(-(LN(2)/$D$65+0.04)*AN130)*EXP(-(LN(2)/$D$65+0.1)*AO130),IF(AL130=2,AQ$100*EXP(-(LN(2)/$D$65+0.04)*(VLOOKUP(($F$16-$F$15)-1,AK$99:AO130,4,FALSE)))*EXP(-(LN(2)/$D$65+0.1)*(VLOOKUP(($F$16-$F$15)-1,AK$99:AO130,5,FALSE)))*EXP(-(LN(2)/$D$65+0.04)*AN130)*EXP(-(LN(2)/$D$65+0.1)*AO130),IF(AL130=3,AQ$100*EXP(-(LN(2)/$D$65+0.04)*(VLOOKUP(($F$16-$F$15)-1,AK$99:AO130,4,FALSE)))*EXP(-(LN(2)/$D$65+0.1)*(VLOOKUP(($F$16-$F$15)-1,AK$99:AO130,5,FALSE)))*EXP(-(LN(2)/$D$65+0.04)*(VLOOKUP(($F$16-$F$15)*2-1,AK$99:AO130,4,FALSE)))*EXP(-(LN(2)/$D$65+0.1)*(VLOOKUP(($F$16-$F$15)*2-1,AK$99:AO130,5,FALSE)))*EXP(-(LN(2)/$D$65+0.04)*AN130)*EXP(-(LN(2)/$D$65+0.1)*AO130),"-"))),"-")</f>
        <v>-</v>
      </c>
      <c r="AR131" s="271" t="str">
        <f>IFERROR(IF(AL131=1,AR$100*EXP(-(LN(2)/$D$65+0.04)*AN131)*EXP(-(LN(2)/$D$65+0.1)*AO131),IF(AL131=2,AR$100*EXP(-(LN(2)/$D$65+0.04)*(VLOOKUP(($F$16-$F$15)-1,AK$100:AO131,4,FALSE)))*EXP(-(LN(2)/$D$65+0.1)*(VLOOKUP(($F$16-$F$15)-1,AK$100:AO131,5,FALSE)))*EXP(-(LN(2)/$D$65+0.04)*AN131)*EXP(-(LN(2)/$D$65+0.1)*AO131),IF(AL131=3,AR$100*EXP(-(LN(2)/$D$65+0.04)*(VLOOKUP(($F$16-$F$15)-1,AK$100:AO131,4,FALSE)))*EXP(-(LN(2)/$D$65+0.1)*(VLOOKUP(($F$16-$F$15)-1,AK$100:AO131,5,FALSE)))*EXP(-(LN(2)/$D$65+0.04)*(VLOOKUP(($F$16-$F$15)*2-1,AK$100:AO131,4,FALSE)))*EXP(-(LN(2)/$D$65+0.1)*(VLOOKUP(($F$16-$F$15)*2-1,AK$100:AO131,5,FALSE)))*EXP(-(LN(2)/$D$65+0.04)*AN131)*EXP(-(LN(2)/$D$65+0.1)*AO131),"-"))),"-")</f>
        <v>-</v>
      </c>
      <c r="AS131" s="274">
        <f t="shared" si="24"/>
        <v>0</v>
      </c>
      <c r="AT131" s="274">
        <f t="shared" si="25"/>
        <v>0</v>
      </c>
      <c r="AU131" s="274">
        <f t="shared" si="26"/>
        <v>0</v>
      </c>
      <c r="AV131" s="190" t="str">
        <f>IF($B131&lt;$F$22,SUM($T$100:$T131),"")</f>
        <v/>
      </c>
      <c r="AW131" s="190" t="str">
        <f t="shared" si="55"/>
        <v>-</v>
      </c>
      <c r="AX131" s="190" t="str">
        <f t="shared" si="56"/>
        <v/>
      </c>
      <c r="AY131"/>
      <c r="AZ131" s="190" t="str">
        <f ca="1">IF(ISNUMBER(OFFSET(AV131,-$F$21,0)),SUM(OFFSET($T$100,$F$21,0):$T131),"")</f>
        <v/>
      </c>
      <c r="BA131" s="190" t="str">
        <f t="shared" ca="1" si="27"/>
        <v/>
      </c>
      <c r="BB131" s="190" t="str">
        <f t="shared" ca="1" si="70"/>
        <v/>
      </c>
      <c r="BC131" s="190"/>
      <c r="BD131" s="190" t="str">
        <f ca="1">IFERROR(IF(OR(ISNUMBER(I),ISNUMBER($F$14)),IF(AND($B131&gt;=($F$16-$F$15),$B131&lt;$F$22+($F$16-$F$15)),SUM(OFFSET($T$100,($F$16-$F$15),0):$T131),""),""),"")</f>
        <v/>
      </c>
      <c r="BE131" s="190" t="str">
        <f t="shared" ca="1" si="58"/>
        <v/>
      </c>
      <c r="BF131" s="190" t="str">
        <f t="shared" ca="1" si="59"/>
        <v/>
      </c>
      <c r="BG131"/>
      <c r="BH131" s="190" t="str">
        <f ca="1">IF(ISNUMBER(OFFSET(BD131,-$F$21,0)),SUM(OFFSET($T$100,($F$16-$F$15+$F$21),0):$T131),"")</f>
        <v/>
      </c>
      <c r="BI131" s="190" t="str">
        <f t="shared" ca="1" si="28"/>
        <v/>
      </c>
      <c r="BJ131" s="190" t="str">
        <f t="shared" ca="1" si="60"/>
        <v/>
      </c>
      <c r="BK131" s="190"/>
      <c r="BL131" s="190" t="str">
        <f ca="1">IFERROR(IF(OR(ISNUMBER(I),ISNUMBER($F$14)),IF(AND($B131&gt;=($F$17-$F$15),$B131&lt;$F$22+($F$17-$F$15)),SUM(OFFSET($T$100,($F$17-$F$15),0):$T131),""),""),"")</f>
        <v/>
      </c>
      <c r="BM131" s="190" t="str">
        <f t="shared" ca="1" si="29"/>
        <v/>
      </c>
      <c r="BN131" s="190" t="str">
        <f t="shared" ca="1" si="61"/>
        <v/>
      </c>
      <c r="BO131"/>
      <c r="BP131" s="190" t="str">
        <f ca="1">IF(ISNUMBER(OFFSET(BL131,-$F$21,0)),SUM(OFFSET($T$100,($F$17-$F$15+$F$21),0):$T131),"")</f>
        <v/>
      </c>
      <c r="BQ131" s="190" t="str">
        <f t="shared" ca="1" si="62"/>
        <v/>
      </c>
      <c r="BR131" s="190" t="str">
        <f t="shared" ca="1" si="63"/>
        <v/>
      </c>
      <c r="BS131" s="190"/>
      <c r="BT131"/>
      <c r="BU131"/>
      <c r="BV131"/>
      <c r="BY131" s="99"/>
      <c r="BZ131" s="99"/>
      <c r="CA131" s="280" t="str">
        <f t="shared" si="30"/>
        <v/>
      </c>
      <c r="CB131" s="71" t="str">
        <f t="shared" si="31"/>
        <v>-</v>
      </c>
      <c r="CC131" s="33"/>
      <c r="CD131" s="261" t="str">
        <f t="shared" si="33"/>
        <v/>
      </c>
      <c r="CE131" s="280" t="str">
        <f t="shared" si="34"/>
        <v/>
      </c>
      <c r="CF131" s="71" t="str">
        <f t="shared" ca="1" si="35"/>
        <v/>
      </c>
      <c r="CG131" s="33" t="str">
        <f t="shared" si="36"/>
        <v/>
      </c>
      <c r="CH131" s="261" t="str">
        <f t="shared" ca="1" si="37"/>
        <v/>
      </c>
      <c r="CI131" s="202"/>
      <c r="CJ131" s="99"/>
      <c r="CK131" s="99"/>
      <c r="CL131" s="99"/>
      <c r="CM131" s="99"/>
      <c r="CN131" s="99"/>
      <c r="CO131" s="99"/>
    </row>
    <row r="132" spans="2:93" ht="13.5" customHeight="1" x14ac:dyDescent="0.2">
      <c r="B132" s="262">
        <v>32</v>
      </c>
      <c r="C132" s="237" t="str">
        <f t="shared" si="1"/>
        <v/>
      </c>
      <c r="D132" s="237" t="str">
        <f t="shared" si="66"/>
        <v/>
      </c>
      <c r="E132" s="290" t="str">
        <f t="shared" si="38"/>
        <v/>
      </c>
      <c r="F132" s="264" t="str">
        <f t="shared" si="39"/>
        <v/>
      </c>
      <c r="G132" s="291" t="str">
        <f t="shared" si="40"/>
        <v/>
      </c>
      <c r="H132" s="240" t="str">
        <f t="shared" ref="H132:H163" si="71">IF(E132&lt;&gt;"",IF($B132&lt;$F$21,"",IF(ISNUMBER(F132),IF(ISNUMBER(I132),(E132*30*50*ffp),""),(E132*30*50*ffp))),"")</f>
        <v/>
      </c>
      <c r="I132" s="265" t="str">
        <f t="shared" ref="I132:I163" si="72">IFERROR(IF(F132&lt;&gt;"",IF($B132&lt;$F$21+$F$16,"",IF(ISNUMBER(G132),IF(ISNUMBER(J132),(F132*30*50*ffp),""),(F132*30*50*ffp))),""),"")</f>
        <v/>
      </c>
      <c r="J132" s="265" t="str">
        <f t="shared" ref="J132:J163" si="73">IFERROR(IF(G132&lt;&gt;"",IF($B132&lt;$F$21+$F$17,"",(G132*30*50*ffp)),""),"")</f>
        <v/>
      </c>
      <c r="K132" s="240" t="str">
        <f t="shared" ref="K132:K163" si="74">IF(E132&lt;&gt;"",((E132*20*50*ffp)/Klevee),"")</f>
        <v/>
      </c>
      <c r="L132" s="265" t="str">
        <f t="shared" ref="L132:L163" si="75">IF(ISNUMBER(F132),((F132*20*50*ffp)/Klevee),"")</f>
        <v/>
      </c>
      <c r="M132" s="265" t="str">
        <f t="shared" ref="M132:M163" si="76">IF(ISNUMBER(G132),((G132*20*50*ffp)/Klevee),"")</f>
        <v/>
      </c>
      <c r="N132" s="240" t="str">
        <f t="shared" ref="N132:N163" si="77">IF(AND(ISNUMBER(I),ISNUMBER($F$14),ISNUMBER($F$20)),IF($B132=0,I*($J$40/100)*$J$42*1,""),"-")</f>
        <v>-</v>
      </c>
      <c r="O132" s="265" t="str">
        <f t="shared" ref="O132:O163" si="78">IF(ISNUMBER($F$14),IF($F$14&gt;1,IF($B132=0+$F$16,I*($J$40/100)*$J$42*1,""),""),"-")</f>
        <v>-</v>
      </c>
      <c r="P132" s="265" t="str">
        <f t="shared" ref="P132:P163" si="79">IF(ISNUMBER($F$14),IF($F$14&gt;2,IF($B132=0+$F$17,I*($J$40/100)*$J$42*1,""),""),"-")</f>
        <v>-</v>
      </c>
      <c r="Q132" s="266" t="str">
        <f t="shared" ref="Q132:Q163" si="80">IF(AND(ISNUMBER(I),ISNUMBER($F$14),ISNUMBER($F$20)),IF($B132=0,I*(dt/100)*$J$45*1,""),"-")</f>
        <v>-</v>
      </c>
      <c r="R132" s="267" t="str">
        <f t="shared" ref="R132:R163" si="81">IF(ISNUMBER($F$14),IF($F$14&gt;1,IF($B132=0+$F$16,I*(dt/100)*$J$45*1,""),""),"-")</f>
        <v>-</v>
      </c>
      <c r="S132" s="268" t="str">
        <f t="shared" ref="S132:S163" si="82">IF(ISNUMBER($F$14),IF($F$14&gt;2,IF($B132=0+$F$17,I*(dt/100)*$J$45*1,""),""),"-")</f>
        <v>-</v>
      </c>
      <c r="T132" s="269" t="str">
        <f t="shared" si="13"/>
        <v/>
      </c>
      <c r="U132" s="221">
        <f t="shared" si="14"/>
        <v>32</v>
      </c>
      <c r="V132" s="220" t="str">
        <f t="shared" si="42"/>
        <v>-</v>
      </c>
      <c r="W132" s="221" t="str">
        <f t="shared" si="43"/>
        <v>-</v>
      </c>
      <c r="X132" s="221" t="str">
        <f t="shared" si="15"/>
        <v>-</v>
      </c>
      <c r="Y132" s="221" t="str">
        <f t="shared" si="16"/>
        <v>-</v>
      </c>
      <c r="Z132" s="270">
        <f t="shared" si="44"/>
        <v>0.1</v>
      </c>
      <c r="AA132" s="271" t="str">
        <f>IFERROR(IF(V131=1,AA$100*EXP(-(LN(2)/$D$65+0.04)*X131)*EXP(-(LN(2)/$D$65+0.1)*Y131),IF(V131=2,AA$100*EXP(-(LN(2)/$D$65+0.04)*(VLOOKUP(($F$16-$F$15)-1,U$99:Y131,4,FALSE)))*EXP(-(LN(2)/$D$65+0.1)*(VLOOKUP(($F$16-$F$15)-1,U$99:Y131,5,FALSE)))*EXP(-(LN(2)/$D$65+0.04)*X131)*EXP(-(LN(2)/$D$65+0.1)*Y131),IF(V131=3,AA$100*EXP(-(LN(2)/$D$65+0.04)*(VLOOKUP(($F$16-$F$15)-1,U$99:Y131,4,FALSE)))*EXP(-(LN(2)/$D$65+0.1)*(VLOOKUP(($F$16-$F$15)-1,U$99:Y131,5,FALSE)))*EXP(-(LN(2)/$D$65+0.04)*(VLOOKUP(($F$16-$F$15)*2-1,U$99:Y131,4,FALSE)))*EXP(-(LN(2)/$D$65+0.1)*(VLOOKUP(($F$16-$F$15)*2-1,U$99:Y131,5,FALSE)))*EXP(-(LN(2)/$D$65+0.04)*X131)*EXP(-(LN(2)/$D$65+0.1)*Y131),"-"))),"-")</f>
        <v>-</v>
      </c>
      <c r="AB132" s="271" t="str">
        <f>IFERROR(IF(V132=1,AB$100*EXP(-(LN(2)/$D$65+0.04)*X132)*EXP(-(LN(2)/$D$65+0.1)*Y132),IF(V132=2,AB$100*EXP(-(LN(2)/$D$65+0.04)*(VLOOKUP(($F$16-$F$15)-1,U$100:Y132,4,FALSE)))*EXP(-(LN(2)/$D$65+0.1)*(VLOOKUP(($F$16-$F$15)-1,U$100:Y132,5,FALSE)))*EXP(-(LN(2)/$D$65+0.04)*X132)*EXP(-(LN(2)/$D$65+0.1)*Y132),IF(V132=3,AB$100*EXP(-(LN(2)/$D$65+0.04)*(VLOOKUP(($F$16-$F$15)-1,U$100:Y132,4,FALSE)))*EXP(-(LN(2)/$D$65+0.1)*(VLOOKUP(($F$16-$F$15)-1,U$100:Y132,5,FALSE)))*EXP(-(LN(2)/$D$65+0.04)*(VLOOKUP(($F$16-$F$15)*2-1,U$100:Y132,4,FALSE)))*EXP(-(LN(2)/$D$65+0.1)*(VLOOKUP(($F$16-$F$15)*2-1,U$100:Y132,5,FALSE)))*EXP(-(LN(2)/$D$65+0.04)*X132)*EXP(-(LN(2)/$D$65+0.1)*Y132),"-"))),"-")</f>
        <v>-</v>
      </c>
      <c r="AC132" s="224">
        <f t="shared" si="45"/>
        <v>32</v>
      </c>
      <c r="AD132" s="223" t="str">
        <f t="shared" si="18"/>
        <v>-</v>
      </c>
      <c r="AE132" s="224" t="str">
        <f t="shared" si="46"/>
        <v>-</v>
      </c>
      <c r="AF132" s="224" t="str">
        <f t="shared" si="19"/>
        <v>-</v>
      </c>
      <c r="AG132" s="224" t="str">
        <f t="shared" si="20"/>
        <v>-</v>
      </c>
      <c r="AH132" s="272">
        <f t="shared" si="47"/>
        <v>0.1</v>
      </c>
      <c r="AI132" s="271" t="str">
        <f>IFERROR(IF(AD131=1,AI$100*EXP(-(LN(2)/$D$65+0.04)*AF131)*EXP(-(LN(2)/$D$65+0.1)*AG131),IF(AD131=2,AI$100*EXP(-(LN(2)/$D$65+0.04)*(VLOOKUP(($F$16-$F$15)-1,AC$99:AG131,4,FALSE)))*EXP(-(LN(2)/$D$65+0.1)*(VLOOKUP(($F$16-$F$15)-1,AC$99:AG131,5,FALSE)))*EXP(-(LN(2)/$D$65+0.04)*AF131)*EXP(-(LN(2)/$D$65+0.1)*AG131),IF(AD131=3,AI$100*EXP(-(LN(2)/$D$65+0.04)*(VLOOKUP(($F$16-$F$15)-1,AC$99:AG131,4,FALSE)))*EXP(-(LN(2)/$D$65+0.1)*(VLOOKUP(($F$16-$F$15)-1,AC$99:AG131,5,FALSE)))*EXP(-(LN(2)/$D$65+0.04)*(VLOOKUP(($F$16-$F$15)*2-1,AC$99:AG131,4,FALSE)))*EXP(-(LN(2)/$D$65+0.1)*(VLOOKUP(($F$16-$F$15)*2-1,AC$99:AG131,5,FALSE)))*EXP(-(LN(2)/$D$65+0.04)*AF131)*EXP(-(LN(2)/$D$65+0.1)*AG131),"-"))),"-")</f>
        <v>-</v>
      </c>
      <c r="AJ132" s="271" t="str">
        <f>IFERROR(IF(AD132=1,AJ$100*EXP(-(LN(2)/$D$65+0.04)*AF132)*EXP(-(LN(2)/$D$65+0.1)*AG132),IF(AD132=2,AJ$100*EXP(-(LN(2)/$D$65+0.04)*(VLOOKUP(($F$16-$F$15)-1,AC$100:AG132,4,FALSE)))*EXP(-(LN(2)/$D$65+0.1)*(VLOOKUP(($F$16-$F$15)-1,AC$100:AG132,5,FALSE)))*EXP(-(LN(2)/$D$65+0.04)*AF132)*EXP(-(LN(2)/$D$65+0.1)*AG132),IF(AD132=3,AJ$100*EXP(-(LN(2)/$D$65+0.04)*(VLOOKUP(($F$16-$F$15)-1,AC$100:AG132,4,FALSE)))*EXP(-(LN(2)/$D$65+0.1)*(VLOOKUP(($F$16-$F$15)-1,AC$100:AG132,5,FALSE)))*EXP(-(LN(2)/$D$65+0.04)*(VLOOKUP(($F$16-$F$15)*2-1,AC$100:AG132,4,FALSE)))*EXP(-(LN(2)/$D$65+0.1)*(VLOOKUP(($F$16-$F$15)*2-1,AC$100:AG132,5,FALSE)))*EXP(-(LN(2)/$D$65+0.04)*AF132)*EXP(-(LN(2)/$D$65+0.1)*AG132),"-"))),"-")</f>
        <v>-</v>
      </c>
      <c r="AK132" s="227">
        <f t="shared" si="49"/>
        <v>32</v>
      </c>
      <c r="AL132" s="226" t="str">
        <f t="shared" si="22"/>
        <v>-</v>
      </c>
      <c r="AM132" s="227" t="str">
        <f t="shared" si="50"/>
        <v>-</v>
      </c>
      <c r="AN132" s="227" t="str">
        <f t="shared" si="51"/>
        <v>-</v>
      </c>
      <c r="AO132" s="227" t="str">
        <f t="shared" si="23"/>
        <v>-</v>
      </c>
      <c r="AP132" s="273">
        <f t="shared" si="52"/>
        <v>0.1</v>
      </c>
      <c r="AQ132" s="271" t="str">
        <f>IFERROR(IF(AL131=1,AQ$100*EXP(-(LN(2)/$D$65+0.04)*AN131)*EXP(-(LN(2)/$D$65+0.1)*AO131),IF(AL131=2,AQ$100*EXP(-(LN(2)/$D$65+0.04)*(VLOOKUP(($F$16-$F$15)-1,AK$99:AO131,4,FALSE)))*EXP(-(LN(2)/$D$65+0.1)*(VLOOKUP(($F$16-$F$15)-1,AK$99:AO131,5,FALSE)))*EXP(-(LN(2)/$D$65+0.04)*AN131)*EXP(-(LN(2)/$D$65+0.1)*AO131),IF(AL131=3,AQ$100*EXP(-(LN(2)/$D$65+0.04)*(VLOOKUP(($F$16-$F$15)-1,AK$99:AO131,4,FALSE)))*EXP(-(LN(2)/$D$65+0.1)*(VLOOKUP(($F$16-$F$15)-1,AK$99:AO131,5,FALSE)))*EXP(-(LN(2)/$D$65+0.04)*(VLOOKUP(($F$16-$F$15)*2-1,AK$99:AO131,4,FALSE)))*EXP(-(LN(2)/$D$65+0.1)*(VLOOKUP(($F$16-$F$15)*2-1,AK$99:AO131,5,FALSE)))*EXP(-(LN(2)/$D$65+0.04)*AN131)*EXP(-(LN(2)/$D$65+0.1)*AO131),"-"))),"-")</f>
        <v>-</v>
      </c>
      <c r="AR132" s="271" t="str">
        <f>IFERROR(IF(AL132=1,AR$100*EXP(-(LN(2)/$D$65+0.04)*AN132)*EXP(-(LN(2)/$D$65+0.1)*AO132),IF(AL132=2,AR$100*EXP(-(LN(2)/$D$65+0.04)*(VLOOKUP(($F$16-$F$15)-1,AK$100:AO132,4,FALSE)))*EXP(-(LN(2)/$D$65+0.1)*(VLOOKUP(($F$16-$F$15)-1,AK$100:AO132,5,FALSE)))*EXP(-(LN(2)/$D$65+0.04)*AN132)*EXP(-(LN(2)/$D$65+0.1)*AO132),IF(AL132=3,AR$100*EXP(-(LN(2)/$D$65+0.04)*(VLOOKUP(($F$16-$F$15)-1,AK$100:AO132,4,FALSE)))*EXP(-(LN(2)/$D$65+0.1)*(VLOOKUP(($F$16-$F$15)-1,AK$100:AO132,5,FALSE)))*EXP(-(LN(2)/$D$65+0.04)*(VLOOKUP(($F$16-$F$15)*2-1,AK$100:AO132,4,FALSE)))*EXP(-(LN(2)/$D$65+0.1)*(VLOOKUP(($F$16-$F$15)*2-1,AK$100:AO132,5,FALSE)))*EXP(-(LN(2)/$D$65+0.04)*AN132)*EXP(-(LN(2)/$D$65+0.1)*AO132),"-"))),"-")</f>
        <v>-</v>
      </c>
      <c r="AS132" s="274">
        <f t="shared" si="24"/>
        <v>0</v>
      </c>
      <c r="AT132" s="274">
        <f t="shared" si="25"/>
        <v>0</v>
      </c>
      <c r="AU132" s="274">
        <f t="shared" si="26"/>
        <v>0</v>
      </c>
      <c r="AV132" s="190" t="str">
        <f>IF($B132&lt;$F$22,SUM($T$100:$T132),"")</f>
        <v/>
      </c>
      <c r="AW132" s="190" t="str">
        <f t="shared" ref="AW132:AW163" si="83">IF(ISNUMBER(Koc),IF(ISNUMBER(AV132),AV132*(Koc*(Ocse/100)*Pse*Vse)/(Koc*(Ocse/100)*Pse*Vse+1*86400*($B132+1)),""),"-")</f>
        <v>-</v>
      </c>
      <c r="AX132" s="190" t="str">
        <f t="shared" si="56"/>
        <v/>
      </c>
      <c r="AY132"/>
      <c r="AZ132" s="190" t="str">
        <f ca="1">IF(ISNUMBER(OFFSET(AV132,-$F$21,0)),SUM(OFFSET($T$100,$F$21,0):$T132),"")</f>
        <v/>
      </c>
      <c r="BA132" s="190" t="str">
        <f t="shared" ref="BA132:BA163" ca="1" si="84">IF(ISNUMBER(OFFSET(AV132,-$F$21,0)),AZ132*(Koc*(Ocse/100)*Pse*Vse)/(Koc*(Ocse/100)*Pse*Vse+1*86400*($B132+1)),"")</f>
        <v/>
      </c>
      <c r="BB132" s="190" t="str">
        <f t="shared" ca="1" si="70"/>
        <v/>
      </c>
      <c r="BC132" s="190"/>
      <c r="BD132" s="190" t="str">
        <f ca="1">IFERROR(IF(OR(ISNUMBER(I),ISNUMBER($F$14)),IF(AND($B132&gt;=($F$16-$F$15),$B132&lt;$F$22+($F$16-$F$15)),SUM(OFFSET($T$100,($F$16-$F$15),0):$T132),""),""),"")</f>
        <v/>
      </c>
      <c r="BE132" s="190" t="str">
        <f t="shared" ca="1" si="58"/>
        <v/>
      </c>
      <c r="BF132" s="190" t="str">
        <f t="shared" ca="1" si="59"/>
        <v/>
      </c>
      <c r="BG132"/>
      <c r="BH132" s="190" t="str">
        <f ca="1">IF(ISNUMBER(OFFSET(BD132,-$F$21,0)),SUM(OFFSET($T$100,($F$16-$F$15+$F$21),0):$T132),"")</f>
        <v/>
      </c>
      <c r="BI132" s="190" t="str">
        <f t="shared" ref="BI132:BI163" ca="1" si="85">IF(ISNUMBER(OFFSET(BD132,-$F$21,0)),BH132*(Koc*(Ocse/100)*Pse*Vse)/(Koc*(Ocse/100)*Pse*Vse+1*86400*($B132+1)),"")</f>
        <v/>
      </c>
      <c r="BJ132" s="190" t="str">
        <f t="shared" ca="1" si="60"/>
        <v/>
      </c>
      <c r="BK132" s="190"/>
      <c r="BL132" s="190" t="str">
        <f ca="1">IFERROR(IF(OR(ISNUMBER(I),ISNUMBER($F$14)),IF(AND($B132&gt;=($F$17-$F$15),$B132&lt;$F$22+($F$17-$F$15)),SUM(OFFSET($T$100,($F$17-$F$15),0):$T132),""),""),"")</f>
        <v/>
      </c>
      <c r="BM132" s="190" t="str">
        <f t="shared" ref="BM132:BM163" ca="1" si="86">IF(ISNUMBER(BL132),BL132*(Koc*(Ocse/100)*Pse*Vse)/(Koc*(Ocse/100)*Pse*Vse+1*86400*($B132+1)),"")</f>
        <v/>
      </c>
      <c r="BN132" s="190" t="str">
        <f t="shared" ca="1" si="61"/>
        <v/>
      </c>
      <c r="BO132"/>
      <c r="BP132" s="190" t="str">
        <f ca="1">IF(ISNUMBER(OFFSET(BL132,-$F$21,0)),SUM(OFFSET($T$100,($F$17-$F$15+$F$21),0):$T132),"")</f>
        <v/>
      </c>
      <c r="BQ132" s="190" t="str">
        <f t="shared" ref="BQ132:BQ163" ca="1" si="87">IF(ISNUMBER(OFFSET(BL132,-$F$21,0)),BP132*(Koc*(Ocse/100)*Pse*Vse)/(Koc*(Ocse/100)*Pse*Vse+1*86400*($B132+1)),"")</f>
        <v/>
      </c>
      <c r="BR132" s="190" t="str">
        <f t="shared" ca="1" si="63"/>
        <v/>
      </c>
      <c r="BS132" s="190"/>
      <c r="BT132"/>
      <c r="BU132"/>
      <c r="BV132"/>
      <c r="BY132" s="99"/>
      <c r="BZ132" s="99"/>
      <c r="CA132" s="280" t="str">
        <f t="shared" ref="CA132:CA163" si="88">IFERROR(IF($B132&lt;$CA$94,T132*(Koc*(Ocse/100)*Pse*Vse)/(Koc*(Ocse/100)*Pse*Vse+1*86400*$CA$94),""),"-")</f>
        <v/>
      </c>
      <c r="CB132" s="71" t="str">
        <f t="shared" si="31"/>
        <v>-</v>
      </c>
      <c r="CC132" s="33"/>
      <c r="CD132" s="261" t="str">
        <f t="shared" si="33"/>
        <v/>
      </c>
      <c r="CE132" s="280" t="str">
        <f t="shared" ref="CE132:CE163" si="89">IFERROR(IF($B132&lt;$CE$94,T132*(Koc*(Ocse/100)*Pse*Vse)/(Koc*(Ocse/100)*Pse*Vse+1*86400*$CE$94),""),"-")</f>
        <v/>
      </c>
      <c r="CF132" s="71" t="str">
        <f t="shared" ref="CF132:CF163" ca="1" si="90">IFERROR(IF($B132&lt;$CE$94,IF(NOT(ISNUMBER(ffp)),"-",IF($F$70=$AX$87,AX132,IF($F$70=$BB$87,OFFSET(BB132,$F$21,0),IF($F$70=$BF$87,OFFSET(BF132,$F$16,0),IF($F$70=$BJ$87,OFFSET(BJ132,$F$16+$F$21,0),IF($F$70=$BN$87,OFFSET(BN132,$F$17,0),OFFSET(BR132,$F$17+$F$21,0))))))),""),"-")</f>
        <v/>
      </c>
      <c r="CG132" s="33" t="str">
        <f t="shared" si="36"/>
        <v/>
      </c>
      <c r="CH132" s="261" t="str">
        <f t="shared" ca="1" si="37"/>
        <v/>
      </c>
      <c r="CI132" s="202"/>
      <c r="CJ132" s="99"/>
      <c r="CK132" s="99"/>
      <c r="CL132" s="99"/>
      <c r="CM132" s="99"/>
      <c r="CN132" s="99"/>
      <c r="CO132" s="99"/>
    </row>
    <row r="133" spans="2:93" ht="13.5" customHeight="1" x14ac:dyDescent="0.2">
      <c r="B133" s="262">
        <v>33</v>
      </c>
      <c r="C133" s="237" t="str">
        <f t="shared" si="1"/>
        <v/>
      </c>
      <c r="D133" s="237" t="str">
        <f t="shared" si="66"/>
        <v/>
      </c>
      <c r="E133" s="290" t="str">
        <f t="shared" si="38"/>
        <v/>
      </c>
      <c r="F133" s="264" t="str">
        <f t="shared" si="39"/>
        <v/>
      </c>
      <c r="G133" s="291" t="str">
        <f t="shared" si="40"/>
        <v/>
      </c>
      <c r="H133" s="240" t="str">
        <f t="shared" si="71"/>
        <v/>
      </c>
      <c r="I133" s="265" t="str">
        <f t="shared" si="72"/>
        <v/>
      </c>
      <c r="J133" s="265" t="str">
        <f t="shared" si="73"/>
        <v/>
      </c>
      <c r="K133" s="240" t="str">
        <f t="shared" si="74"/>
        <v/>
      </c>
      <c r="L133" s="265" t="str">
        <f t="shared" si="75"/>
        <v/>
      </c>
      <c r="M133" s="265" t="str">
        <f t="shared" si="76"/>
        <v/>
      </c>
      <c r="N133" s="240" t="str">
        <f t="shared" si="77"/>
        <v>-</v>
      </c>
      <c r="O133" s="265" t="str">
        <f t="shared" si="78"/>
        <v>-</v>
      </c>
      <c r="P133" s="265" t="str">
        <f t="shared" si="79"/>
        <v>-</v>
      </c>
      <c r="Q133" s="266" t="str">
        <f t="shared" si="80"/>
        <v>-</v>
      </c>
      <c r="R133" s="267" t="str">
        <f t="shared" si="81"/>
        <v>-</v>
      </c>
      <c r="S133" s="268" t="str">
        <f t="shared" si="82"/>
        <v>-</v>
      </c>
      <c r="T133" s="269" t="str">
        <f t="shared" si="13"/>
        <v/>
      </c>
      <c r="U133" s="221">
        <f t="shared" si="14"/>
        <v>33</v>
      </c>
      <c r="V133" s="220" t="str">
        <f t="shared" si="42"/>
        <v>-</v>
      </c>
      <c r="W133" s="221" t="str">
        <f t="shared" si="43"/>
        <v>-</v>
      </c>
      <c r="X133" s="221" t="str">
        <f t="shared" si="15"/>
        <v>-</v>
      </c>
      <c r="Y133" s="221" t="str">
        <f t="shared" si="16"/>
        <v>-</v>
      </c>
      <c r="Z133" s="270">
        <f t="shared" si="44"/>
        <v>0.1</v>
      </c>
      <c r="AA133" s="271" t="str">
        <f>IFERROR(IF(V132=1,AA$100*EXP(-(LN(2)/$D$65+0.04)*X132)*EXP(-(LN(2)/$D$65+0.1)*Y132),IF(V132=2,AA$100*EXP(-(LN(2)/$D$65+0.04)*(VLOOKUP(($F$16-$F$15)-1,U$99:Y132,4,FALSE)))*EXP(-(LN(2)/$D$65+0.1)*(VLOOKUP(($F$16-$F$15)-1,U$99:Y132,5,FALSE)))*EXP(-(LN(2)/$D$65+0.04)*X132)*EXP(-(LN(2)/$D$65+0.1)*Y132),IF(V132=3,AA$100*EXP(-(LN(2)/$D$65+0.04)*(VLOOKUP(($F$16-$F$15)-1,U$99:Y132,4,FALSE)))*EXP(-(LN(2)/$D$65+0.1)*(VLOOKUP(($F$16-$F$15)-1,U$99:Y132,5,FALSE)))*EXP(-(LN(2)/$D$65+0.04)*(VLOOKUP(($F$16-$F$15)*2-1,U$99:Y132,4,FALSE)))*EXP(-(LN(2)/$D$65+0.1)*(VLOOKUP(($F$16-$F$15)*2-1,U$99:Y132,5,FALSE)))*EXP(-(LN(2)/$D$65+0.04)*X132)*EXP(-(LN(2)/$D$65+0.1)*Y132),"-"))),"-")</f>
        <v>-</v>
      </c>
      <c r="AB133" s="271" t="str">
        <f>IFERROR(IF(V133=1,AB$100*EXP(-(LN(2)/$D$65+0.04)*X133)*EXP(-(LN(2)/$D$65+0.1)*Y133),IF(V133=2,AB$100*EXP(-(LN(2)/$D$65+0.04)*(VLOOKUP(($F$16-$F$15)-1,U$100:Y133,4,FALSE)))*EXP(-(LN(2)/$D$65+0.1)*(VLOOKUP(($F$16-$F$15)-1,U$100:Y133,5,FALSE)))*EXP(-(LN(2)/$D$65+0.04)*X133)*EXP(-(LN(2)/$D$65+0.1)*Y133),IF(V133=3,AB$100*EXP(-(LN(2)/$D$65+0.04)*(VLOOKUP(($F$16-$F$15)-1,U$100:Y133,4,FALSE)))*EXP(-(LN(2)/$D$65+0.1)*(VLOOKUP(($F$16-$F$15)-1,U$100:Y133,5,FALSE)))*EXP(-(LN(2)/$D$65+0.04)*(VLOOKUP(($F$16-$F$15)*2-1,U$100:Y133,4,FALSE)))*EXP(-(LN(2)/$D$65+0.1)*(VLOOKUP(($F$16-$F$15)*2-1,U$100:Y133,5,FALSE)))*EXP(-(LN(2)/$D$65+0.04)*X133)*EXP(-(LN(2)/$D$65+0.1)*Y133),"-"))),"-")</f>
        <v>-</v>
      </c>
      <c r="AC133" s="224">
        <f t="shared" si="45"/>
        <v>33</v>
      </c>
      <c r="AD133" s="223" t="str">
        <f t="shared" si="18"/>
        <v>-</v>
      </c>
      <c r="AE133" s="224" t="str">
        <f t="shared" si="46"/>
        <v>-</v>
      </c>
      <c r="AF133" s="224" t="str">
        <f t="shared" si="19"/>
        <v>-</v>
      </c>
      <c r="AG133" s="224" t="str">
        <f t="shared" si="20"/>
        <v>-</v>
      </c>
      <c r="AH133" s="272">
        <f t="shared" si="47"/>
        <v>0.1</v>
      </c>
      <c r="AI133" s="271" t="str">
        <f>IFERROR(IF(AD132=1,AI$100*EXP(-(LN(2)/$D$65+0.04)*AF132)*EXP(-(LN(2)/$D$65+0.1)*AG132),IF(AD132=2,AI$100*EXP(-(LN(2)/$D$65+0.04)*(VLOOKUP(($F$16-$F$15)-1,AC$99:AG132,4,FALSE)))*EXP(-(LN(2)/$D$65+0.1)*(VLOOKUP(($F$16-$F$15)-1,AC$99:AG132,5,FALSE)))*EXP(-(LN(2)/$D$65+0.04)*AF132)*EXP(-(LN(2)/$D$65+0.1)*AG132),IF(AD132=3,AI$100*EXP(-(LN(2)/$D$65+0.04)*(VLOOKUP(($F$16-$F$15)-1,AC$99:AG132,4,FALSE)))*EXP(-(LN(2)/$D$65+0.1)*(VLOOKUP(($F$16-$F$15)-1,AC$99:AG132,5,FALSE)))*EXP(-(LN(2)/$D$65+0.04)*(VLOOKUP(($F$16-$F$15)*2-1,AC$99:AG132,4,FALSE)))*EXP(-(LN(2)/$D$65+0.1)*(VLOOKUP(($F$16-$F$15)*2-1,AC$99:AG132,5,FALSE)))*EXP(-(LN(2)/$D$65+0.04)*AF132)*EXP(-(LN(2)/$D$65+0.1)*AG132),"-"))),"-")</f>
        <v>-</v>
      </c>
      <c r="AJ133" s="271" t="str">
        <f>IFERROR(IF(AD133=1,AJ$100*EXP(-(LN(2)/$D$65+0.04)*AF133)*EXP(-(LN(2)/$D$65+0.1)*AG133),IF(AD133=2,AJ$100*EXP(-(LN(2)/$D$65+0.04)*(VLOOKUP(($F$16-$F$15)-1,AC$100:AG133,4,FALSE)))*EXP(-(LN(2)/$D$65+0.1)*(VLOOKUP(($F$16-$F$15)-1,AC$100:AG133,5,FALSE)))*EXP(-(LN(2)/$D$65+0.04)*AF133)*EXP(-(LN(2)/$D$65+0.1)*AG133),IF(AD133=3,AJ$100*EXP(-(LN(2)/$D$65+0.04)*(VLOOKUP(($F$16-$F$15)-1,AC$100:AG133,4,FALSE)))*EXP(-(LN(2)/$D$65+0.1)*(VLOOKUP(($F$16-$F$15)-1,AC$100:AG133,5,FALSE)))*EXP(-(LN(2)/$D$65+0.04)*(VLOOKUP(($F$16-$F$15)*2-1,AC$100:AG133,4,FALSE)))*EXP(-(LN(2)/$D$65+0.1)*(VLOOKUP(($F$16-$F$15)*2-1,AC$100:AG133,5,FALSE)))*EXP(-(LN(2)/$D$65+0.04)*AF133)*EXP(-(LN(2)/$D$65+0.1)*AG133),"-"))),"-")</f>
        <v>-</v>
      </c>
      <c r="AK133" s="227">
        <f t="shared" si="49"/>
        <v>33</v>
      </c>
      <c r="AL133" s="226" t="str">
        <f t="shared" si="22"/>
        <v>-</v>
      </c>
      <c r="AM133" s="227" t="str">
        <f t="shared" si="50"/>
        <v>-</v>
      </c>
      <c r="AN133" s="227" t="str">
        <f t="shared" si="51"/>
        <v>-</v>
      </c>
      <c r="AO133" s="227" t="str">
        <f t="shared" si="23"/>
        <v>-</v>
      </c>
      <c r="AP133" s="273">
        <f t="shared" si="52"/>
        <v>0.1</v>
      </c>
      <c r="AQ133" s="271" t="str">
        <f>IFERROR(IF(AL132=1,AQ$100*EXP(-(LN(2)/$D$65+0.04)*AN132)*EXP(-(LN(2)/$D$65+0.1)*AO132),IF(AL132=2,AQ$100*EXP(-(LN(2)/$D$65+0.04)*(VLOOKUP(($F$16-$F$15)-1,AK$99:AO132,4,FALSE)))*EXP(-(LN(2)/$D$65+0.1)*(VLOOKUP(($F$16-$F$15)-1,AK$99:AO132,5,FALSE)))*EXP(-(LN(2)/$D$65+0.04)*AN132)*EXP(-(LN(2)/$D$65+0.1)*AO132),IF(AL132=3,AQ$100*EXP(-(LN(2)/$D$65+0.04)*(VLOOKUP(($F$16-$F$15)-1,AK$99:AO132,4,FALSE)))*EXP(-(LN(2)/$D$65+0.1)*(VLOOKUP(($F$16-$F$15)-1,AK$99:AO132,5,FALSE)))*EXP(-(LN(2)/$D$65+0.04)*(VLOOKUP(($F$16-$F$15)*2-1,AK$99:AO132,4,FALSE)))*EXP(-(LN(2)/$D$65+0.1)*(VLOOKUP(($F$16-$F$15)*2-1,AK$99:AO132,5,FALSE)))*EXP(-(LN(2)/$D$65+0.04)*AN132)*EXP(-(LN(2)/$D$65+0.1)*AO132),"-"))),"-")</f>
        <v>-</v>
      </c>
      <c r="AR133" s="271" t="str">
        <f>IFERROR(IF(AL133=1,AR$100*EXP(-(LN(2)/$D$65+0.04)*AN133)*EXP(-(LN(2)/$D$65+0.1)*AO133),IF(AL133=2,AR$100*EXP(-(LN(2)/$D$65+0.04)*(VLOOKUP(($F$16-$F$15)-1,AK$100:AO133,4,FALSE)))*EXP(-(LN(2)/$D$65+0.1)*(VLOOKUP(($F$16-$F$15)-1,AK$100:AO133,5,FALSE)))*EXP(-(LN(2)/$D$65+0.04)*AN133)*EXP(-(LN(2)/$D$65+0.1)*AO133),IF(AL133=3,AR$100*EXP(-(LN(2)/$D$65+0.04)*(VLOOKUP(($F$16-$F$15)-1,AK$100:AO133,4,FALSE)))*EXP(-(LN(2)/$D$65+0.1)*(VLOOKUP(($F$16-$F$15)-1,AK$100:AO133,5,FALSE)))*EXP(-(LN(2)/$D$65+0.04)*(VLOOKUP(($F$16-$F$15)*2-1,AK$100:AO133,4,FALSE)))*EXP(-(LN(2)/$D$65+0.1)*(VLOOKUP(($F$16-$F$15)*2-1,AK$100:AO133,5,FALSE)))*EXP(-(LN(2)/$D$65+0.04)*AN133)*EXP(-(LN(2)/$D$65+0.1)*AO133),"-"))),"-")</f>
        <v>-</v>
      </c>
      <c r="AS133" s="274">
        <f t="shared" si="24"/>
        <v>0</v>
      </c>
      <c r="AT133" s="274">
        <f t="shared" si="25"/>
        <v>0</v>
      </c>
      <c r="AU133" s="274">
        <f t="shared" si="26"/>
        <v>0</v>
      </c>
      <c r="AV133" s="190" t="str">
        <f>IF($B133&lt;$F$22,SUM($T$100:$T133),"")</f>
        <v/>
      </c>
      <c r="AW133" s="190" t="str">
        <f t="shared" si="83"/>
        <v>-</v>
      </c>
      <c r="AX133" s="190" t="str">
        <f t="shared" si="56"/>
        <v/>
      </c>
      <c r="AY133"/>
      <c r="AZ133" s="190" t="str">
        <f ca="1">IF(ISNUMBER(OFFSET(AV133,-$F$21,0)),SUM(OFFSET($T$100,$F$21,0):$T133),"")</f>
        <v/>
      </c>
      <c r="BA133" s="190" t="str">
        <f t="shared" ca="1" si="84"/>
        <v/>
      </c>
      <c r="BB133" s="190" t="str">
        <f t="shared" ca="1" si="70"/>
        <v/>
      </c>
      <c r="BC133" s="190"/>
      <c r="BD133" s="190" t="str">
        <f ca="1">IFERROR(IF(OR(ISNUMBER(I),ISNUMBER($F$14)),IF(AND($B133&gt;=($F$16-$F$15),$B133&lt;$F$22+($F$16-$F$15)),SUM(OFFSET($T$100,($F$16-$F$15),0):$T133),""),""),"")</f>
        <v/>
      </c>
      <c r="BE133" s="190" t="str">
        <f t="shared" ca="1" si="58"/>
        <v/>
      </c>
      <c r="BF133" s="190" t="str">
        <f t="shared" ca="1" si="59"/>
        <v/>
      </c>
      <c r="BG133"/>
      <c r="BH133" s="190" t="str">
        <f ca="1">IF(ISNUMBER(OFFSET(BD133,-$F$21,0)),SUM(OFFSET($T$100,($F$16-$F$15+$F$21),0):$T133),"")</f>
        <v/>
      </c>
      <c r="BI133" s="190" t="str">
        <f t="shared" ca="1" si="85"/>
        <v/>
      </c>
      <c r="BJ133" s="190" t="str">
        <f t="shared" ca="1" si="60"/>
        <v/>
      </c>
      <c r="BK133" s="190"/>
      <c r="BL133" s="190" t="str">
        <f ca="1">IFERROR(IF(OR(ISNUMBER(I),ISNUMBER($F$14)),IF(AND($B133&gt;=($F$17-$F$15),$B133&lt;$F$22+($F$17-$F$15)),SUM(OFFSET($T$100,($F$17-$F$15),0):$T133),""),""),"")</f>
        <v/>
      </c>
      <c r="BM133" s="190" t="str">
        <f t="shared" ca="1" si="86"/>
        <v/>
      </c>
      <c r="BN133" s="190" t="str">
        <f t="shared" ca="1" si="61"/>
        <v/>
      </c>
      <c r="BO133"/>
      <c r="BP133" s="190" t="str">
        <f ca="1">IF(ISNUMBER(OFFSET(BL133,-$F$21,0)),SUM(OFFSET($T$100,($F$17-$F$15+$F$21),0):$T133),"")</f>
        <v/>
      </c>
      <c r="BQ133" s="190" t="str">
        <f t="shared" ca="1" si="87"/>
        <v/>
      </c>
      <c r="BR133" s="190" t="str">
        <f t="shared" ca="1" si="63"/>
        <v/>
      </c>
      <c r="BS133" s="190"/>
      <c r="BT133"/>
      <c r="BU133"/>
      <c r="BV133"/>
      <c r="BY133" s="99"/>
      <c r="BZ133" s="99"/>
      <c r="CA133" s="280" t="str">
        <f t="shared" si="88"/>
        <v/>
      </c>
      <c r="CB133" s="71" t="str">
        <f t="shared" si="31"/>
        <v>-</v>
      </c>
      <c r="CC133" s="33"/>
      <c r="CD133" s="261" t="str">
        <f t="shared" si="33"/>
        <v/>
      </c>
      <c r="CE133" s="280" t="str">
        <f t="shared" si="89"/>
        <v/>
      </c>
      <c r="CF133" s="71" t="str">
        <f t="shared" ca="1" si="90"/>
        <v/>
      </c>
      <c r="CG133" s="33" t="str">
        <f t="shared" si="36"/>
        <v/>
      </c>
      <c r="CH133" s="261" t="str">
        <f t="shared" ca="1" si="37"/>
        <v/>
      </c>
      <c r="CI133" s="202"/>
      <c r="CJ133" s="99"/>
      <c r="CK133" s="99"/>
      <c r="CL133" s="99"/>
      <c r="CM133" s="99"/>
      <c r="CN133" s="99"/>
      <c r="CO133" s="99"/>
    </row>
    <row r="134" spans="2:93" ht="13.5" customHeight="1" x14ac:dyDescent="0.2">
      <c r="B134" s="262">
        <v>34</v>
      </c>
      <c r="C134" s="237" t="str">
        <f t="shared" si="1"/>
        <v/>
      </c>
      <c r="D134" s="237" t="str">
        <f t="shared" si="66"/>
        <v/>
      </c>
      <c r="E134" s="290" t="str">
        <f t="shared" si="38"/>
        <v/>
      </c>
      <c r="F134" s="264" t="str">
        <f t="shared" si="39"/>
        <v/>
      </c>
      <c r="G134" s="291" t="str">
        <f t="shared" si="40"/>
        <v/>
      </c>
      <c r="H134" s="240" t="str">
        <f t="shared" si="71"/>
        <v/>
      </c>
      <c r="I134" s="265" t="str">
        <f t="shared" si="72"/>
        <v/>
      </c>
      <c r="J134" s="265" t="str">
        <f t="shared" si="73"/>
        <v/>
      </c>
      <c r="K134" s="240" t="str">
        <f t="shared" si="74"/>
        <v/>
      </c>
      <c r="L134" s="265" t="str">
        <f t="shared" si="75"/>
        <v/>
      </c>
      <c r="M134" s="265" t="str">
        <f t="shared" si="76"/>
        <v/>
      </c>
      <c r="N134" s="240" t="str">
        <f t="shared" si="77"/>
        <v>-</v>
      </c>
      <c r="O134" s="265" t="str">
        <f t="shared" si="78"/>
        <v>-</v>
      </c>
      <c r="P134" s="265" t="str">
        <f t="shared" si="79"/>
        <v>-</v>
      </c>
      <c r="Q134" s="266" t="str">
        <f t="shared" si="80"/>
        <v>-</v>
      </c>
      <c r="R134" s="267" t="str">
        <f t="shared" si="81"/>
        <v>-</v>
      </c>
      <c r="S134" s="268" t="str">
        <f t="shared" si="82"/>
        <v>-</v>
      </c>
      <c r="T134" s="269" t="str">
        <f t="shared" si="13"/>
        <v/>
      </c>
      <c r="U134" s="221">
        <f t="shared" si="14"/>
        <v>34</v>
      </c>
      <c r="V134" s="220" t="str">
        <f t="shared" si="42"/>
        <v>-</v>
      </c>
      <c r="W134" s="221" t="str">
        <f t="shared" si="43"/>
        <v>-</v>
      </c>
      <c r="X134" s="221" t="str">
        <f t="shared" si="15"/>
        <v>-</v>
      </c>
      <c r="Y134" s="221" t="str">
        <f t="shared" si="16"/>
        <v>-</v>
      </c>
      <c r="Z134" s="270">
        <f t="shared" si="44"/>
        <v>0.1</v>
      </c>
      <c r="AA134" s="271" t="str">
        <f>IFERROR(IF(V133=1,AA$100*EXP(-(LN(2)/$D$65+0.04)*X133)*EXP(-(LN(2)/$D$65+0.1)*Y133),IF(V133=2,AA$100*EXP(-(LN(2)/$D$65+0.04)*(VLOOKUP(($F$16-$F$15)-1,U$99:Y133,4,FALSE)))*EXP(-(LN(2)/$D$65+0.1)*(VLOOKUP(($F$16-$F$15)-1,U$99:Y133,5,FALSE)))*EXP(-(LN(2)/$D$65+0.04)*X133)*EXP(-(LN(2)/$D$65+0.1)*Y133),IF(V133=3,AA$100*EXP(-(LN(2)/$D$65+0.04)*(VLOOKUP(($F$16-$F$15)-1,U$99:Y133,4,FALSE)))*EXP(-(LN(2)/$D$65+0.1)*(VLOOKUP(($F$16-$F$15)-1,U$99:Y133,5,FALSE)))*EXP(-(LN(2)/$D$65+0.04)*(VLOOKUP(($F$16-$F$15)*2-1,U$99:Y133,4,FALSE)))*EXP(-(LN(2)/$D$65+0.1)*(VLOOKUP(($F$16-$F$15)*2-1,U$99:Y133,5,FALSE)))*EXP(-(LN(2)/$D$65+0.04)*X133)*EXP(-(LN(2)/$D$65+0.1)*Y133),"-"))),"-")</f>
        <v>-</v>
      </c>
      <c r="AB134" s="271" t="str">
        <f>IFERROR(IF(V134=1,AB$100*EXP(-(LN(2)/$D$65+0.04)*X134)*EXP(-(LN(2)/$D$65+0.1)*Y134),IF(V134=2,AB$100*EXP(-(LN(2)/$D$65+0.04)*(VLOOKUP(($F$16-$F$15)-1,U$100:Y134,4,FALSE)))*EXP(-(LN(2)/$D$65+0.1)*(VLOOKUP(($F$16-$F$15)-1,U$100:Y134,5,FALSE)))*EXP(-(LN(2)/$D$65+0.04)*X134)*EXP(-(LN(2)/$D$65+0.1)*Y134),IF(V134=3,AB$100*EXP(-(LN(2)/$D$65+0.04)*(VLOOKUP(($F$16-$F$15)-1,U$100:Y134,4,FALSE)))*EXP(-(LN(2)/$D$65+0.1)*(VLOOKUP(($F$16-$F$15)-1,U$100:Y134,5,FALSE)))*EXP(-(LN(2)/$D$65+0.04)*(VLOOKUP(($F$16-$F$15)*2-1,U$100:Y134,4,FALSE)))*EXP(-(LN(2)/$D$65+0.1)*(VLOOKUP(($F$16-$F$15)*2-1,U$100:Y134,5,FALSE)))*EXP(-(LN(2)/$D$65+0.04)*X134)*EXP(-(LN(2)/$D$65+0.1)*Y134),"-"))),"-")</f>
        <v>-</v>
      </c>
      <c r="AC134" s="224">
        <f t="shared" si="45"/>
        <v>34</v>
      </c>
      <c r="AD134" s="223" t="str">
        <f t="shared" si="18"/>
        <v>-</v>
      </c>
      <c r="AE134" s="224" t="str">
        <f t="shared" si="46"/>
        <v>-</v>
      </c>
      <c r="AF134" s="224" t="str">
        <f t="shared" si="19"/>
        <v>-</v>
      </c>
      <c r="AG134" s="224" t="str">
        <f t="shared" si="20"/>
        <v>-</v>
      </c>
      <c r="AH134" s="272">
        <f t="shared" si="47"/>
        <v>0.1</v>
      </c>
      <c r="AI134" s="271" t="str">
        <f>IFERROR(IF(AD133=1,AI$100*EXP(-(LN(2)/$D$65+0.04)*AF133)*EXP(-(LN(2)/$D$65+0.1)*AG133),IF(AD133=2,AI$100*EXP(-(LN(2)/$D$65+0.04)*(VLOOKUP(($F$16-$F$15)-1,AC$99:AG133,4,FALSE)))*EXP(-(LN(2)/$D$65+0.1)*(VLOOKUP(($F$16-$F$15)-1,AC$99:AG133,5,FALSE)))*EXP(-(LN(2)/$D$65+0.04)*AF133)*EXP(-(LN(2)/$D$65+0.1)*AG133),IF(AD133=3,AI$100*EXP(-(LN(2)/$D$65+0.04)*(VLOOKUP(($F$16-$F$15)-1,AC$99:AG133,4,FALSE)))*EXP(-(LN(2)/$D$65+0.1)*(VLOOKUP(($F$16-$F$15)-1,AC$99:AG133,5,FALSE)))*EXP(-(LN(2)/$D$65+0.04)*(VLOOKUP(($F$16-$F$15)*2-1,AC$99:AG133,4,FALSE)))*EXP(-(LN(2)/$D$65+0.1)*(VLOOKUP(($F$16-$F$15)*2-1,AC$99:AG133,5,FALSE)))*EXP(-(LN(2)/$D$65+0.04)*AF133)*EXP(-(LN(2)/$D$65+0.1)*AG133),"-"))),"-")</f>
        <v>-</v>
      </c>
      <c r="AJ134" s="271" t="str">
        <f>IFERROR(IF(AD134=1,AJ$100*EXP(-(LN(2)/$D$65+0.04)*AF134)*EXP(-(LN(2)/$D$65+0.1)*AG134),IF(AD134=2,AJ$100*EXP(-(LN(2)/$D$65+0.04)*(VLOOKUP(($F$16-$F$15)-1,AC$100:AG134,4,FALSE)))*EXP(-(LN(2)/$D$65+0.1)*(VLOOKUP(($F$16-$F$15)-1,AC$100:AG134,5,FALSE)))*EXP(-(LN(2)/$D$65+0.04)*AF134)*EXP(-(LN(2)/$D$65+0.1)*AG134),IF(AD134=3,AJ$100*EXP(-(LN(2)/$D$65+0.04)*(VLOOKUP(($F$16-$F$15)-1,AC$100:AG134,4,FALSE)))*EXP(-(LN(2)/$D$65+0.1)*(VLOOKUP(($F$16-$F$15)-1,AC$100:AG134,5,FALSE)))*EXP(-(LN(2)/$D$65+0.04)*(VLOOKUP(($F$16-$F$15)*2-1,AC$100:AG134,4,FALSE)))*EXP(-(LN(2)/$D$65+0.1)*(VLOOKUP(($F$16-$F$15)*2-1,AC$100:AG134,5,FALSE)))*EXP(-(LN(2)/$D$65+0.04)*AF134)*EXP(-(LN(2)/$D$65+0.1)*AG134),"-"))),"-")</f>
        <v>-</v>
      </c>
      <c r="AK134" s="227">
        <f t="shared" si="49"/>
        <v>34</v>
      </c>
      <c r="AL134" s="226" t="str">
        <f t="shared" si="22"/>
        <v>-</v>
      </c>
      <c r="AM134" s="227" t="str">
        <f t="shared" si="50"/>
        <v>-</v>
      </c>
      <c r="AN134" s="227" t="str">
        <f t="shared" si="51"/>
        <v>-</v>
      </c>
      <c r="AO134" s="227" t="str">
        <f t="shared" si="23"/>
        <v>-</v>
      </c>
      <c r="AP134" s="273">
        <f t="shared" si="52"/>
        <v>0.1</v>
      </c>
      <c r="AQ134" s="271" t="str">
        <f>IFERROR(IF(AL133=1,AQ$100*EXP(-(LN(2)/$D$65+0.04)*AN133)*EXP(-(LN(2)/$D$65+0.1)*AO133),IF(AL133=2,AQ$100*EXP(-(LN(2)/$D$65+0.04)*(VLOOKUP(($F$16-$F$15)-1,AK$99:AO133,4,FALSE)))*EXP(-(LN(2)/$D$65+0.1)*(VLOOKUP(($F$16-$F$15)-1,AK$99:AO133,5,FALSE)))*EXP(-(LN(2)/$D$65+0.04)*AN133)*EXP(-(LN(2)/$D$65+0.1)*AO133),IF(AL133=3,AQ$100*EXP(-(LN(2)/$D$65+0.04)*(VLOOKUP(($F$16-$F$15)-1,AK$99:AO133,4,FALSE)))*EXP(-(LN(2)/$D$65+0.1)*(VLOOKUP(($F$16-$F$15)-1,AK$99:AO133,5,FALSE)))*EXP(-(LN(2)/$D$65+0.04)*(VLOOKUP(($F$16-$F$15)*2-1,AK$99:AO133,4,FALSE)))*EXP(-(LN(2)/$D$65+0.1)*(VLOOKUP(($F$16-$F$15)*2-1,AK$99:AO133,5,FALSE)))*EXP(-(LN(2)/$D$65+0.04)*AN133)*EXP(-(LN(2)/$D$65+0.1)*AO133),"-"))),"-")</f>
        <v>-</v>
      </c>
      <c r="AR134" s="271" t="str">
        <f>IFERROR(IF(AL134=1,AR$100*EXP(-(LN(2)/$D$65+0.04)*AN134)*EXP(-(LN(2)/$D$65+0.1)*AO134),IF(AL134=2,AR$100*EXP(-(LN(2)/$D$65+0.04)*(VLOOKUP(($F$16-$F$15)-1,AK$100:AO134,4,FALSE)))*EXP(-(LN(2)/$D$65+0.1)*(VLOOKUP(($F$16-$F$15)-1,AK$100:AO134,5,FALSE)))*EXP(-(LN(2)/$D$65+0.04)*AN134)*EXP(-(LN(2)/$D$65+0.1)*AO134),IF(AL134=3,AR$100*EXP(-(LN(2)/$D$65+0.04)*(VLOOKUP(($F$16-$F$15)-1,AK$100:AO134,4,FALSE)))*EXP(-(LN(2)/$D$65+0.1)*(VLOOKUP(($F$16-$F$15)-1,AK$100:AO134,5,FALSE)))*EXP(-(LN(2)/$D$65+0.04)*(VLOOKUP(($F$16-$F$15)*2-1,AK$100:AO134,4,FALSE)))*EXP(-(LN(2)/$D$65+0.1)*(VLOOKUP(($F$16-$F$15)*2-1,AK$100:AO134,5,FALSE)))*EXP(-(LN(2)/$D$65+0.04)*AN134)*EXP(-(LN(2)/$D$65+0.1)*AO134),"-"))),"-")</f>
        <v>-</v>
      </c>
      <c r="AS134" s="274">
        <f t="shared" si="24"/>
        <v>0</v>
      </c>
      <c r="AT134" s="274">
        <f t="shared" si="25"/>
        <v>0</v>
      </c>
      <c r="AU134" s="274">
        <f t="shared" si="26"/>
        <v>0</v>
      </c>
      <c r="AV134" s="190" t="str">
        <f>IF($B134&lt;$F$22,SUM($T$100:$T134),"")</f>
        <v/>
      </c>
      <c r="AW134" s="190" t="str">
        <f t="shared" si="83"/>
        <v>-</v>
      </c>
      <c r="AX134" s="190" t="str">
        <f t="shared" si="56"/>
        <v/>
      </c>
      <c r="AY134"/>
      <c r="AZ134" s="190" t="str">
        <f ca="1">IF(ISNUMBER(OFFSET(AV134,-$F$21,0)),SUM(OFFSET($T$100,$F$21,0):$T134),"")</f>
        <v/>
      </c>
      <c r="BA134" s="190" t="str">
        <f t="shared" ca="1" si="84"/>
        <v/>
      </c>
      <c r="BB134" s="190" t="str">
        <f t="shared" ca="1" si="70"/>
        <v/>
      </c>
      <c r="BC134" s="190"/>
      <c r="BD134" s="190" t="str">
        <f ca="1">IFERROR(IF(OR(ISNUMBER(I),ISNUMBER($F$14)),IF(AND($B134&gt;=($F$16-$F$15),$B134&lt;$F$22+($F$16-$F$15)),SUM(OFFSET($T$100,($F$16-$F$15),0):$T134),""),""),"")</f>
        <v/>
      </c>
      <c r="BE134" s="190" t="str">
        <f t="shared" ca="1" si="58"/>
        <v/>
      </c>
      <c r="BF134" s="190" t="str">
        <f t="shared" ca="1" si="59"/>
        <v/>
      </c>
      <c r="BG134"/>
      <c r="BH134" s="190" t="str">
        <f ca="1">IF(ISNUMBER(OFFSET(BD134,-$F$21,0)),SUM(OFFSET($T$100,($F$16-$F$15+$F$21),0):$T134),"")</f>
        <v/>
      </c>
      <c r="BI134" s="190" t="str">
        <f t="shared" ca="1" si="85"/>
        <v/>
      </c>
      <c r="BJ134" s="190" t="str">
        <f t="shared" ca="1" si="60"/>
        <v/>
      </c>
      <c r="BK134" s="190"/>
      <c r="BL134" s="190" t="str">
        <f ca="1">IFERROR(IF(OR(ISNUMBER(I),ISNUMBER($F$14)),IF(AND($B134&gt;=($F$17-$F$15),$B134&lt;$F$22+($F$17-$F$15)),SUM(OFFSET($T$100,($F$17-$F$15),0):$T134),""),""),"")</f>
        <v/>
      </c>
      <c r="BM134" s="190" t="str">
        <f t="shared" ca="1" si="86"/>
        <v/>
      </c>
      <c r="BN134" s="190" t="str">
        <f t="shared" ca="1" si="61"/>
        <v/>
      </c>
      <c r="BO134"/>
      <c r="BP134" s="190" t="str">
        <f ca="1">IF(ISNUMBER(OFFSET(BL134,-$F$21,0)),SUM(OFFSET($T$100,($F$17-$F$15+$F$21),0):$T134),"")</f>
        <v/>
      </c>
      <c r="BQ134" s="190" t="str">
        <f t="shared" ca="1" si="87"/>
        <v/>
      </c>
      <c r="BR134" s="190" t="str">
        <f t="shared" ca="1" si="63"/>
        <v/>
      </c>
      <c r="BS134" s="190"/>
      <c r="BT134"/>
      <c r="BU134"/>
      <c r="BV134"/>
      <c r="BY134" s="99"/>
      <c r="BZ134" s="99"/>
      <c r="CA134" s="280" t="str">
        <f t="shared" si="88"/>
        <v/>
      </c>
      <c r="CB134" s="71" t="str">
        <f t="shared" si="31"/>
        <v>-</v>
      </c>
      <c r="CC134" s="33"/>
      <c r="CD134" s="261" t="str">
        <f t="shared" si="33"/>
        <v/>
      </c>
      <c r="CE134" s="280" t="str">
        <f t="shared" si="89"/>
        <v/>
      </c>
      <c r="CF134" s="71" t="str">
        <f t="shared" ca="1" si="90"/>
        <v/>
      </c>
      <c r="CG134" s="33" t="str">
        <f t="shared" si="36"/>
        <v/>
      </c>
      <c r="CH134" s="261" t="str">
        <f t="shared" ca="1" si="37"/>
        <v/>
      </c>
      <c r="CI134" s="202"/>
      <c r="CJ134" s="99"/>
      <c r="CK134" s="99"/>
      <c r="CL134" s="99"/>
      <c r="CM134" s="99"/>
      <c r="CN134" s="99"/>
      <c r="CO134" s="99"/>
    </row>
    <row r="135" spans="2:93" ht="13.5" customHeight="1" x14ac:dyDescent="0.2">
      <c r="B135" s="262">
        <v>35</v>
      </c>
      <c r="C135" s="237" t="str">
        <f t="shared" si="1"/>
        <v/>
      </c>
      <c r="D135" s="237" t="str">
        <f t="shared" si="66"/>
        <v/>
      </c>
      <c r="E135" s="290" t="str">
        <f t="shared" si="38"/>
        <v/>
      </c>
      <c r="F135" s="264" t="str">
        <f t="shared" si="39"/>
        <v/>
      </c>
      <c r="G135" s="291" t="str">
        <f t="shared" si="40"/>
        <v/>
      </c>
      <c r="H135" s="240" t="str">
        <f t="shared" si="71"/>
        <v/>
      </c>
      <c r="I135" s="265" t="str">
        <f t="shared" si="72"/>
        <v/>
      </c>
      <c r="J135" s="265" t="str">
        <f t="shared" si="73"/>
        <v/>
      </c>
      <c r="K135" s="240" t="str">
        <f t="shared" si="74"/>
        <v/>
      </c>
      <c r="L135" s="265" t="str">
        <f t="shared" si="75"/>
        <v/>
      </c>
      <c r="M135" s="265" t="str">
        <f t="shared" si="76"/>
        <v/>
      </c>
      <c r="N135" s="240" t="str">
        <f t="shared" si="77"/>
        <v>-</v>
      </c>
      <c r="O135" s="265" t="str">
        <f t="shared" si="78"/>
        <v>-</v>
      </c>
      <c r="P135" s="265" t="str">
        <f t="shared" si="79"/>
        <v>-</v>
      </c>
      <c r="Q135" s="266" t="str">
        <f t="shared" si="80"/>
        <v>-</v>
      </c>
      <c r="R135" s="267" t="str">
        <f t="shared" si="81"/>
        <v>-</v>
      </c>
      <c r="S135" s="268" t="str">
        <f t="shared" si="82"/>
        <v>-</v>
      </c>
      <c r="T135" s="269" t="str">
        <f t="shared" si="13"/>
        <v/>
      </c>
      <c r="U135" s="221">
        <f t="shared" si="14"/>
        <v>35</v>
      </c>
      <c r="V135" s="220" t="str">
        <f t="shared" si="42"/>
        <v>-</v>
      </c>
      <c r="W135" s="221" t="str">
        <f t="shared" si="43"/>
        <v>-</v>
      </c>
      <c r="X135" s="221" t="str">
        <f t="shared" si="15"/>
        <v>-</v>
      </c>
      <c r="Y135" s="221" t="str">
        <f t="shared" si="16"/>
        <v>-</v>
      </c>
      <c r="Z135" s="270">
        <f t="shared" si="44"/>
        <v>0.1</v>
      </c>
      <c r="AA135" s="271" t="str">
        <f>IFERROR(IF(V134=1,AA$100*EXP(-(LN(2)/$D$65+0.04)*X134)*EXP(-(LN(2)/$D$65+0.1)*Y134),IF(V134=2,AA$100*EXP(-(LN(2)/$D$65+0.04)*(VLOOKUP(($F$16-$F$15)-1,U$99:Y134,4,FALSE)))*EXP(-(LN(2)/$D$65+0.1)*(VLOOKUP(($F$16-$F$15)-1,U$99:Y134,5,FALSE)))*EXP(-(LN(2)/$D$65+0.04)*X134)*EXP(-(LN(2)/$D$65+0.1)*Y134),IF(V134=3,AA$100*EXP(-(LN(2)/$D$65+0.04)*(VLOOKUP(($F$16-$F$15)-1,U$99:Y134,4,FALSE)))*EXP(-(LN(2)/$D$65+0.1)*(VLOOKUP(($F$16-$F$15)-1,U$99:Y134,5,FALSE)))*EXP(-(LN(2)/$D$65+0.04)*(VLOOKUP(($F$16-$F$15)*2-1,U$99:Y134,4,FALSE)))*EXP(-(LN(2)/$D$65+0.1)*(VLOOKUP(($F$16-$F$15)*2-1,U$99:Y134,5,FALSE)))*EXP(-(LN(2)/$D$65+0.04)*X134)*EXP(-(LN(2)/$D$65+0.1)*Y134),"-"))),"-")</f>
        <v>-</v>
      </c>
      <c r="AB135" s="271" t="str">
        <f>IFERROR(IF(V135=1,AB$100*EXP(-(LN(2)/$D$65+0.04)*X135)*EXP(-(LN(2)/$D$65+0.1)*Y135),IF(V135=2,AB$100*EXP(-(LN(2)/$D$65+0.04)*(VLOOKUP(($F$16-$F$15)-1,U$100:Y135,4,FALSE)))*EXP(-(LN(2)/$D$65+0.1)*(VLOOKUP(($F$16-$F$15)-1,U$100:Y135,5,FALSE)))*EXP(-(LN(2)/$D$65+0.04)*X135)*EXP(-(LN(2)/$D$65+0.1)*Y135),IF(V135=3,AB$100*EXP(-(LN(2)/$D$65+0.04)*(VLOOKUP(($F$16-$F$15)-1,U$100:Y135,4,FALSE)))*EXP(-(LN(2)/$D$65+0.1)*(VLOOKUP(($F$16-$F$15)-1,U$100:Y135,5,FALSE)))*EXP(-(LN(2)/$D$65+0.04)*(VLOOKUP(($F$16-$F$15)*2-1,U$100:Y135,4,FALSE)))*EXP(-(LN(2)/$D$65+0.1)*(VLOOKUP(($F$16-$F$15)*2-1,U$100:Y135,5,FALSE)))*EXP(-(LN(2)/$D$65+0.04)*X135)*EXP(-(LN(2)/$D$65+0.1)*Y135),"-"))),"-")</f>
        <v>-</v>
      </c>
      <c r="AC135" s="224">
        <f t="shared" si="45"/>
        <v>35</v>
      </c>
      <c r="AD135" s="223" t="str">
        <f t="shared" si="18"/>
        <v>-</v>
      </c>
      <c r="AE135" s="224" t="str">
        <f t="shared" si="46"/>
        <v>-</v>
      </c>
      <c r="AF135" s="224" t="str">
        <f t="shared" si="19"/>
        <v>-</v>
      </c>
      <c r="AG135" s="224" t="str">
        <f t="shared" si="20"/>
        <v>-</v>
      </c>
      <c r="AH135" s="272">
        <f t="shared" si="47"/>
        <v>0.1</v>
      </c>
      <c r="AI135" s="271" t="str">
        <f>IFERROR(IF(AD134=1,AI$100*EXP(-(LN(2)/$D$65+0.04)*AF134)*EXP(-(LN(2)/$D$65+0.1)*AG134),IF(AD134=2,AI$100*EXP(-(LN(2)/$D$65+0.04)*(VLOOKUP(($F$16-$F$15)-1,AC$99:AG134,4,FALSE)))*EXP(-(LN(2)/$D$65+0.1)*(VLOOKUP(($F$16-$F$15)-1,AC$99:AG134,5,FALSE)))*EXP(-(LN(2)/$D$65+0.04)*AF134)*EXP(-(LN(2)/$D$65+0.1)*AG134),IF(AD134=3,AI$100*EXP(-(LN(2)/$D$65+0.04)*(VLOOKUP(($F$16-$F$15)-1,AC$99:AG134,4,FALSE)))*EXP(-(LN(2)/$D$65+0.1)*(VLOOKUP(($F$16-$F$15)-1,AC$99:AG134,5,FALSE)))*EXP(-(LN(2)/$D$65+0.04)*(VLOOKUP(($F$16-$F$15)*2-1,AC$99:AG134,4,FALSE)))*EXP(-(LN(2)/$D$65+0.1)*(VLOOKUP(($F$16-$F$15)*2-1,AC$99:AG134,5,FALSE)))*EXP(-(LN(2)/$D$65+0.04)*AF134)*EXP(-(LN(2)/$D$65+0.1)*AG134),"-"))),"-")</f>
        <v>-</v>
      </c>
      <c r="AJ135" s="271" t="str">
        <f>IFERROR(IF(AD135=1,AJ$100*EXP(-(LN(2)/$D$65+0.04)*AF135)*EXP(-(LN(2)/$D$65+0.1)*AG135),IF(AD135=2,AJ$100*EXP(-(LN(2)/$D$65+0.04)*(VLOOKUP(($F$16-$F$15)-1,AC$100:AG135,4,FALSE)))*EXP(-(LN(2)/$D$65+0.1)*(VLOOKUP(($F$16-$F$15)-1,AC$100:AG135,5,FALSE)))*EXP(-(LN(2)/$D$65+0.04)*AF135)*EXP(-(LN(2)/$D$65+0.1)*AG135),IF(AD135=3,AJ$100*EXP(-(LN(2)/$D$65+0.04)*(VLOOKUP(($F$16-$F$15)-1,AC$100:AG135,4,FALSE)))*EXP(-(LN(2)/$D$65+0.1)*(VLOOKUP(($F$16-$F$15)-1,AC$100:AG135,5,FALSE)))*EXP(-(LN(2)/$D$65+0.04)*(VLOOKUP(($F$16-$F$15)*2-1,AC$100:AG135,4,FALSE)))*EXP(-(LN(2)/$D$65+0.1)*(VLOOKUP(($F$16-$F$15)*2-1,AC$100:AG135,5,FALSE)))*EXP(-(LN(2)/$D$65+0.04)*AF135)*EXP(-(LN(2)/$D$65+0.1)*AG135),"-"))),"-")</f>
        <v>-</v>
      </c>
      <c r="AK135" s="227">
        <f t="shared" si="49"/>
        <v>35</v>
      </c>
      <c r="AL135" s="226" t="str">
        <f t="shared" si="22"/>
        <v>-</v>
      </c>
      <c r="AM135" s="227" t="str">
        <f t="shared" si="50"/>
        <v>-</v>
      </c>
      <c r="AN135" s="227" t="str">
        <f t="shared" si="51"/>
        <v>-</v>
      </c>
      <c r="AO135" s="227" t="str">
        <f t="shared" si="23"/>
        <v>-</v>
      </c>
      <c r="AP135" s="273">
        <f t="shared" si="52"/>
        <v>0.1</v>
      </c>
      <c r="AQ135" s="271" t="str">
        <f>IFERROR(IF(AL134=1,AQ$100*EXP(-(LN(2)/$D$65+0.04)*AN134)*EXP(-(LN(2)/$D$65+0.1)*AO134),IF(AL134=2,AQ$100*EXP(-(LN(2)/$D$65+0.04)*(VLOOKUP(($F$16-$F$15)-1,AK$99:AO134,4,FALSE)))*EXP(-(LN(2)/$D$65+0.1)*(VLOOKUP(($F$16-$F$15)-1,AK$99:AO134,5,FALSE)))*EXP(-(LN(2)/$D$65+0.04)*AN134)*EXP(-(LN(2)/$D$65+0.1)*AO134),IF(AL134=3,AQ$100*EXP(-(LN(2)/$D$65+0.04)*(VLOOKUP(($F$16-$F$15)-1,AK$99:AO134,4,FALSE)))*EXP(-(LN(2)/$D$65+0.1)*(VLOOKUP(($F$16-$F$15)-1,AK$99:AO134,5,FALSE)))*EXP(-(LN(2)/$D$65+0.04)*(VLOOKUP(($F$16-$F$15)*2-1,AK$99:AO134,4,FALSE)))*EXP(-(LN(2)/$D$65+0.1)*(VLOOKUP(($F$16-$F$15)*2-1,AK$99:AO134,5,FALSE)))*EXP(-(LN(2)/$D$65+0.04)*AN134)*EXP(-(LN(2)/$D$65+0.1)*AO134),"-"))),"-")</f>
        <v>-</v>
      </c>
      <c r="AR135" s="271" t="str">
        <f>IFERROR(IF(AL135=1,AR$100*EXP(-(LN(2)/$D$65+0.04)*AN135)*EXP(-(LN(2)/$D$65+0.1)*AO135),IF(AL135=2,AR$100*EXP(-(LN(2)/$D$65+0.04)*(VLOOKUP(($F$16-$F$15)-1,AK$100:AO135,4,FALSE)))*EXP(-(LN(2)/$D$65+0.1)*(VLOOKUP(($F$16-$F$15)-1,AK$100:AO135,5,FALSE)))*EXP(-(LN(2)/$D$65+0.04)*AN135)*EXP(-(LN(2)/$D$65+0.1)*AO135),IF(AL135=3,AR$100*EXP(-(LN(2)/$D$65+0.04)*(VLOOKUP(($F$16-$F$15)-1,AK$100:AO135,4,FALSE)))*EXP(-(LN(2)/$D$65+0.1)*(VLOOKUP(($F$16-$F$15)-1,AK$100:AO135,5,FALSE)))*EXP(-(LN(2)/$D$65+0.04)*(VLOOKUP(($F$16-$F$15)*2-1,AK$100:AO135,4,FALSE)))*EXP(-(LN(2)/$D$65+0.1)*(VLOOKUP(($F$16-$F$15)*2-1,AK$100:AO135,5,FALSE)))*EXP(-(LN(2)/$D$65+0.04)*AN135)*EXP(-(LN(2)/$D$65+0.1)*AO135),"-"))),"-")</f>
        <v>-</v>
      </c>
      <c r="AS135" s="274">
        <f t="shared" si="24"/>
        <v>0</v>
      </c>
      <c r="AT135" s="274">
        <f t="shared" si="25"/>
        <v>0</v>
      </c>
      <c r="AU135" s="274">
        <f t="shared" si="26"/>
        <v>0</v>
      </c>
      <c r="AV135" s="190" t="str">
        <f>IF($B135&lt;$F$22,SUM($T$100:$T135),"")</f>
        <v/>
      </c>
      <c r="AW135" s="190" t="str">
        <f t="shared" si="83"/>
        <v>-</v>
      </c>
      <c r="AX135" s="190" t="str">
        <f t="shared" si="56"/>
        <v/>
      </c>
      <c r="AY135"/>
      <c r="AZ135" s="190" t="str">
        <f ca="1">IF(ISNUMBER(OFFSET(AV135,-$F$21,0)),SUM(OFFSET($T$100,$F$21,0):$T135),"")</f>
        <v/>
      </c>
      <c r="BA135" s="190" t="str">
        <f t="shared" ca="1" si="84"/>
        <v/>
      </c>
      <c r="BB135" s="190" t="str">
        <f t="shared" ca="1" si="70"/>
        <v/>
      </c>
      <c r="BC135" s="190"/>
      <c r="BD135" s="190" t="str">
        <f ca="1">IFERROR(IF(OR(ISNUMBER(I),ISNUMBER($F$14)),IF(AND($B135&gt;=($F$16-$F$15),$B135&lt;$F$22+($F$16-$F$15)),SUM(OFFSET($T$100,($F$16-$F$15),0):$T135),""),""),"")</f>
        <v/>
      </c>
      <c r="BE135" s="190" t="str">
        <f t="shared" ca="1" si="58"/>
        <v/>
      </c>
      <c r="BF135" s="190" t="str">
        <f t="shared" ca="1" si="59"/>
        <v/>
      </c>
      <c r="BG135"/>
      <c r="BH135" s="190" t="str">
        <f ca="1">IF(ISNUMBER(OFFSET(BD135,-$F$21,0)),SUM(OFFSET($T$100,($F$16-$F$15+$F$21),0):$T135),"")</f>
        <v/>
      </c>
      <c r="BI135" s="190" t="str">
        <f t="shared" ca="1" si="85"/>
        <v/>
      </c>
      <c r="BJ135" s="190" t="str">
        <f t="shared" ca="1" si="60"/>
        <v/>
      </c>
      <c r="BK135" s="190"/>
      <c r="BL135" s="190" t="str">
        <f ca="1">IFERROR(IF(OR(ISNUMBER(I),ISNUMBER($F$14)),IF(AND($B135&gt;=($F$17-$F$15),$B135&lt;$F$22+($F$17-$F$15)),SUM(OFFSET($T$100,($F$17-$F$15),0):$T135),""),""),"")</f>
        <v/>
      </c>
      <c r="BM135" s="190" t="str">
        <f t="shared" ca="1" si="86"/>
        <v/>
      </c>
      <c r="BN135" s="190" t="str">
        <f t="shared" ca="1" si="61"/>
        <v/>
      </c>
      <c r="BO135"/>
      <c r="BP135" s="190" t="str">
        <f ca="1">IF(ISNUMBER(OFFSET(BL135,-$F$21,0)),SUM(OFFSET($T$100,($F$17-$F$15+$F$21),0):$T135),"")</f>
        <v/>
      </c>
      <c r="BQ135" s="190" t="str">
        <f t="shared" ca="1" si="87"/>
        <v/>
      </c>
      <c r="BR135" s="190" t="str">
        <f t="shared" ca="1" si="63"/>
        <v/>
      </c>
      <c r="BS135" s="190"/>
      <c r="BT135"/>
      <c r="BU135"/>
      <c r="BV135"/>
      <c r="BY135" s="99"/>
      <c r="BZ135" s="99"/>
      <c r="CA135" s="280" t="str">
        <f t="shared" si="88"/>
        <v/>
      </c>
      <c r="CB135" s="71" t="str">
        <f t="shared" si="31"/>
        <v>-</v>
      </c>
      <c r="CC135" s="33"/>
      <c r="CD135" s="261" t="str">
        <f t="shared" si="33"/>
        <v/>
      </c>
      <c r="CE135" s="280" t="str">
        <f t="shared" si="89"/>
        <v/>
      </c>
      <c r="CF135" s="71" t="str">
        <f t="shared" ca="1" si="90"/>
        <v/>
      </c>
      <c r="CG135" s="33" t="str">
        <f t="shared" si="36"/>
        <v/>
      </c>
      <c r="CH135" s="261" t="str">
        <f t="shared" ca="1" si="37"/>
        <v/>
      </c>
      <c r="CI135" s="202"/>
      <c r="CJ135" s="99"/>
      <c r="CK135" s="99"/>
      <c r="CL135" s="99"/>
      <c r="CM135" s="99"/>
      <c r="CN135" s="99"/>
      <c r="CO135" s="99"/>
    </row>
    <row r="136" spans="2:93" ht="13.5" customHeight="1" x14ac:dyDescent="0.2">
      <c r="B136" s="262">
        <v>36</v>
      </c>
      <c r="C136" s="237" t="str">
        <f t="shared" si="1"/>
        <v/>
      </c>
      <c r="D136" s="237" t="str">
        <f t="shared" si="66"/>
        <v/>
      </c>
      <c r="E136" s="290" t="str">
        <f t="shared" si="38"/>
        <v/>
      </c>
      <c r="F136" s="264" t="str">
        <f t="shared" si="39"/>
        <v/>
      </c>
      <c r="G136" s="291" t="str">
        <f t="shared" si="40"/>
        <v/>
      </c>
      <c r="H136" s="240" t="str">
        <f t="shared" si="71"/>
        <v/>
      </c>
      <c r="I136" s="265" t="str">
        <f t="shared" si="72"/>
        <v/>
      </c>
      <c r="J136" s="265" t="str">
        <f t="shared" si="73"/>
        <v/>
      </c>
      <c r="K136" s="240" t="str">
        <f t="shared" si="74"/>
        <v/>
      </c>
      <c r="L136" s="265" t="str">
        <f t="shared" si="75"/>
        <v/>
      </c>
      <c r="M136" s="265" t="str">
        <f t="shared" si="76"/>
        <v/>
      </c>
      <c r="N136" s="240" t="str">
        <f t="shared" si="77"/>
        <v>-</v>
      </c>
      <c r="O136" s="265" t="str">
        <f t="shared" si="78"/>
        <v>-</v>
      </c>
      <c r="P136" s="265" t="str">
        <f t="shared" si="79"/>
        <v>-</v>
      </c>
      <c r="Q136" s="266" t="str">
        <f t="shared" si="80"/>
        <v>-</v>
      </c>
      <c r="R136" s="267" t="str">
        <f t="shared" si="81"/>
        <v>-</v>
      </c>
      <c r="S136" s="268" t="str">
        <f t="shared" si="82"/>
        <v>-</v>
      </c>
      <c r="T136" s="269" t="str">
        <f t="shared" si="13"/>
        <v/>
      </c>
      <c r="U136" s="221">
        <f t="shared" si="14"/>
        <v>36</v>
      </c>
      <c r="V136" s="220" t="str">
        <f t="shared" si="42"/>
        <v>-</v>
      </c>
      <c r="W136" s="221" t="str">
        <f t="shared" si="43"/>
        <v>-</v>
      </c>
      <c r="X136" s="221" t="str">
        <f t="shared" si="15"/>
        <v>-</v>
      </c>
      <c r="Y136" s="221" t="str">
        <f t="shared" si="16"/>
        <v>-</v>
      </c>
      <c r="Z136" s="270">
        <f t="shared" si="44"/>
        <v>0.1</v>
      </c>
      <c r="AA136" s="271" t="str">
        <f>IFERROR(IF(V135=1,AA$100*EXP(-(LN(2)/$D$65+0.04)*X135)*EXP(-(LN(2)/$D$65+0.1)*Y135),IF(V135=2,AA$100*EXP(-(LN(2)/$D$65+0.04)*(VLOOKUP(($F$16-$F$15)-1,U$99:Y135,4,FALSE)))*EXP(-(LN(2)/$D$65+0.1)*(VLOOKUP(($F$16-$F$15)-1,U$99:Y135,5,FALSE)))*EXP(-(LN(2)/$D$65+0.04)*X135)*EXP(-(LN(2)/$D$65+0.1)*Y135),IF(V135=3,AA$100*EXP(-(LN(2)/$D$65+0.04)*(VLOOKUP(($F$16-$F$15)-1,U$99:Y135,4,FALSE)))*EXP(-(LN(2)/$D$65+0.1)*(VLOOKUP(($F$16-$F$15)-1,U$99:Y135,5,FALSE)))*EXP(-(LN(2)/$D$65+0.04)*(VLOOKUP(($F$16-$F$15)*2-1,U$99:Y135,4,FALSE)))*EXP(-(LN(2)/$D$65+0.1)*(VLOOKUP(($F$16-$F$15)*2-1,U$99:Y135,5,FALSE)))*EXP(-(LN(2)/$D$65+0.04)*X135)*EXP(-(LN(2)/$D$65+0.1)*Y135),"-"))),"-")</f>
        <v>-</v>
      </c>
      <c r="AB136" s="271" t="str">
        <f>IFERROR(IF(V136=1,AB$100*EXP(-(LN(2)/$D$65+0.04)*X136)*EXP(-(LN(2)/$D$65+0.1)*Y136),IF(V136=2,AB$100*EXP(-(LN(2)/$D$65+0.04)*(VLOOKUP(($F$16-$F$15)-1,U$100:Y136,4,FALSE)))*EXP(-(LN(2)/$D$65+0.1)*(VLOOKUP(($F$16-$F$15)-1,U$100:Y136,5,FALSE)))*EXP(-(LN(2)/$D$65+0.04)*X136)*EXP(-(LN(2)/$D$65+0.1)*Y136),IF(V136=3,AB$100*EXP(-(LN(2)/$D$65+0.04)*(VLOOKUP(($F$16-$F$15)-1,U$100:Y136,4,FALSE)))*EXP(-(LN(2)/$D$65+0.1)*(VLOOKUP(($F$16-$F$15)-1,U$100:Y136,5,FALSE)))*EXP(-(LN(2)/$D$65+0.04)*(VLOOKUP(($F$16-$F$15)*2-1,U$100:Y136,4,FALSE)))*EXP(-(LN(2)/$D$65+0.1)*(VLOOKUP(($F$16-$F$15)*2-1,U$100:Y136,5,FALSE)))*EXP(-(LN(2)/$D$65+0.04)*X136)*EXP(-(LN(2)/$D$65+0.1)*Y136),"-"))),"-")</f>
        <v>-</v>
      </c>
      <c r="AC136" s="224">
        <f t="shared" si="45"/>
        <v>36</v>
      </c>
      <c r="AD136" s="223" t="str">
        <f t="shared" si="18"/>
        <v>-</v>
      </c>
      <c r="AE136" s="224" t="str">
        <f t="shared" si="46"/>
        <v>-</v>
      </c>
      <c r="AF136" s="224" t="str">
        <f t="shared" si="19"/>
        <v>-</v>
      </c>
      <c r="AG136" s="224" t="str">
        <f t="shared" si="20"/>
        <v>-</v>
      </c>
      <c r="AH136" s="272">
        <f t="shared" si="47"/>
        <v>0.1</v>
      </c>
      <c r="AI136" s="271" t="str">
        <f>IFERROR(IF(AD135=1,AI$100*EXP(-(LN(2)/$D$65+0.04)*AF135)*EXP(-(LN(2)/$D$65+0.1)*AG135),IF(AD135=2,AI$100*EXP(-(LN(2)/$D$65+0.04)*(VLOOKUP(($F$16-$F$15)-1,AC$99:AG135,4,FALSE)))*EXP(-(LN(2)/$D$65+0.1)*(VLOOKUP(($F$16-$F$15)-1,AC$99:AG135,5,FALSE)))*EXP(-(LN(2)/$D$65+0.04)*AF135)*EXP(-(LN(2)/$D$65+0.1)*AG135),IF(AD135=3,AI$100*EXP(-(LN(2)/$D$65+0.04)*(VLOOKUP(($F$16-$F$15)-1,AC$99:AG135,4,FALSE)))*EXP(-(LN(2)/$D$65+0.1)*(VLOOKUP(($F$16-$F$15)-1,AC$99:AG135,5,FALSE)))*EXP(-(LN(2)/$D$65+0.04)*(VLOOKUP(($F$16-$F$15)*2-1,AC$99:AG135,4,FALSE)))*EXP(-(LN(2)/$D$65+0.1)*(VLOOKUP(($F$16-$F$15)*2-1,AC$99:AG135,5,FALSE)))*EXP(-(LN(2)/$D$65+0.04)*AF135)*EXP(-(LN(2)/$D$65+0.1)*AG135),"-"))),"-")</f>
        <v>-</v>
      </c>
      <c r="AJ136" s="271" t="str">
        <f>IFERROR(IF(AD136=1,AJ$100*EXP(-(LN(2)/$D$65+0.04)*AF136)*EXP(-(LN(2)/$D$65+0.1)*AG136),IF(AD136=2,AJ$100*EXP(-(LN(2)/$D$65+0.04)*(VLOOKUP(($F$16-$F$15)-1,AC$100:AG136,4,FALSE)))*EXP(-(LN(2)/$D$65+0.1)*(VLOOKUP(($F$16-$F$15)-1,AC$100:AG136,5,FALSE)))*EXP(-(LN(2)/$D$65+0.04)*AF136)*EXP(-(LN(2)/$D$65+0.1)*AG136),IF(AD136=3,AJ$100*EXP(-(LN(2)/$D$65+0.04)*(VLOOKUP(($F$16-$F$15)-1,AC$100:AG136,4,FALSE)))*EXP(-(LN(2)/$D$65+0.1)*(VLOOKUP(($F$16-$F$15)-1,AC$100:AG136,5,FALSE)))*EXP(-(LN(2)/$D$65+0.04)*(VLOOKUP(($F$16-$F$15)*2-1,AC$100:AG136,4,FALSE)))*EXP(-(LN(2)/$D$65+0.1)*(VLOOKUP(($F$16-$F$15)*2-1,AC$100:AG136,5,FALSE)))*EXP(-(LN(2)/$D$65+0.04)*AF136)*EXP(-(LN(2)/$D$65+0.1)*AG136),"-"))),"-")</f>
        <v>-</v>
      </c>
      <c r="AK136" s="227">
        <f t="shared" si="49"/>
        <v>36</v>
      </c>
      <c r="AL136" s="226" t="str">
        <f t="shared" si="22"/>
        <v>-</v>
      </c>
      <c r="AM136" s="227" t="str">
        <f t="shared" si="50"/>
        <v>-</v>
      </c>
      <c r="AN136" s="227" t="str">
        <f t="shared" si="51"/>
        <v>-</v>
      </c>
      <c r="AO136" s="227" t="str">
        <f t="shared" si="23"/>
        <v>-</v>
      </c>
      <c r="AP136" s="273">
        <f t="shared" si="52"/>
        <v>0.1</v>
      </c>
      <c r="AQ136" s="271" t="str">
        <f>IFERROR(IF(AL135=1,AQ$100*EXP(-(LN(2)/$D$65+0.04)*AN135)*EXP(-(LN(2)/$D$65+0.1)*AO135),IF(AL135=2,AQ$100*EXP(-(LN(2)/$D$65+0.04)*(VLOOKUP(($F$16-$F$15)-1,AK$99:AO135,4,FALSE)))*EXP(-(LN(2)/$D$65+0.1)*(VLOOKUP(($F$16-$F$15)-1,AK$99:AO135,5,FALSE)))*EXP(-(LN(2)/$D$65+0.04)*AN135)*EXP(-(LN(2)/$D$65+0.1)*AO135),IF(AL135=3,AQ$100*EXP(-(LN(2)/$D$65+0.04)*(VLOOKUP(($F$16-$F$15)-1,AK$99:AO135,4,FALSE)))*EXP(-(LN(2)/$D$65+0.1)*(VLOOKUP(($F$16-$F$15)-1,AK$99:AO135,5,FALSE)))*EXP(-(LN(2)/$D$65+0.04)*(VLOOKUP(($F$16-$F$15)*2-1,AK$99:AO135,4,FALSE)))*EXP(-(LN(2)/$D$65+0.1)*(VLOOKUP(($F$16-$F$15)*2-1,AK$99:AO135,5,FALSE)))*EXP(-(LN(2)/$D$65+0.04)*AN135)*EXP(-(LN(2)/$D$65+0.1)*AO135),"-"))),"-")</f>
        <v>-</v>
      </c>
      <c r="AR136" s="271" t="str">
        <f>IFERROR(IF(AL136=1,AR$100*EXP(-(LN(2)/$D$65+0.04)*AN136)*EXP(-(LN(2)/$D$65+0.1)*AO136),IF(AL136=2,AR$100*EXP(-(LN(2)/$D$65+0.04)*(VLOOKUP(($F$16-$F$15)-1,AK$100:AO136,4,FALSE)))*EXP(-(LN(2)/$D$65+0.1)*(VLOOKUP(($F$16-$F$15)-1,AK$100:AO136,5,FALSE)))*EXP(-(LN(2)/$D$65+0.04)*AN136)*EXP(-(LN(2)/$D$65+0.1)*AO136),IF(AL136=3,AR$100*EXP(-(LN(2)/$D$65+0.04)*(VLOOKUP(($F$16-$F$15)-1,AK$100:AO136,4,FALSE)))*EXP(-(LN(2)/$D$65+0.1)*(VLOOKUP(($F$16-$F$15)-1,AK$100:AO136,5,FALSE)))*EXP(-(LN(2)/$D$65+0.04)*(VLOOKUP(($F$16-$F$15)*2-1,AK$100:AO136,4,FALSE)))*EXP(-(LN(2)/$D$65+0.1)*(VLOOKUP(($F$16-$F$15)*2-1,AK$100:AO136,5,FALSE)))*EXP(-(LN(2)/$D$65+0.04)*AN136)*EXP(-(LN(2)/$D$65+0.1)*AO136),"-"))),"-")</f>
        <v>-</v>
      </c>
      <c r="AS136" s="274">
        <f t="shared" si="24"/>
        <v>0</v>
      </c>
      <c r="AT136" s="274">
        <f t="shared" si="25"/>
        <v>0</v>
      </c>
      <c r="AU136" s="274">
        <f t="shared" si="26"/>
        <v>0</v>
      </c>
      <c r="AV136" s="190" t="str">
        <f>IF($B136&lt;$F$22,SUM($T$100:$T136),"")</f>
        <v/>
      </c>
      <c r="AW136" s="190" t="str">
        <f t="shared" si="83"/>
        <v>-</v>
      </c>
      <c r="AX136" s="190" t="str">
        <f t="shared" si="56"/>
        <v/>
      </c>
      <c r="AY136"/>
      <c r="AZ136" s="190" t="str">
        <f ca="1">IF(ISNUMBER(OFFSET(AV136,-$F$21,0)),SUM(OFFSET($T$100,$F$21,0):$T136),"")</f>
        <v/>
      </c>
      <c r="BA136" s="190" t="str">
        <f t="shared" ca="1" si="84"/>
        <v/>
      </c>
      <c r="BB136" s="190" t="str">
        <f t="shared" ca="1" si="70"/>
        <v/>
      </c>
      <c r="BC136" s="190"/>
      <c r="BD136" s="190" t="str">
        <f ca="1">IFERROR(IF(OR(ISNUMBER(I),ISNUMBER($F$14)),IF(AND($B136&gt;=($F$16-$F$15),$B136&lt;$F$22+($F$16-$F$15)),SUM(OFFSET($T$100,($F$16-$F$15),0):$T136),""),""),"")</f>
        <v/>
      </c>
      <c r="BE136" s="190" t="str">
        <f t="shared" ca="1" si="58"/>
        <v/>
      </c>
      <c r="BF136" s="190" t="str">
        <f t="shared" ca="1" si="59"/>
        <v/>
      </c>
      <c r="BG136"/>
      <c r="BH136" s="190" t="str">
        <f ca="1">IF(ISNUMBER(OFFSET(BD136,-$F$21,0)),SUM(OFFSET($T$100,($F$16-$F$15+$F$21),0):$T136),"")</f>
        <v/>
      </c>
      <c r="BI136" s="190" t="str">
        <f t="shared" ca="1" si="85"/>
        <v/>
      </c>
      <c r="BJ136" s="190" t="str">
        <f t="shared" ca="1" si="60"/>
        <v/>
      </c>
      <c r="BK136" s="190"/>
      <c r="BL136" s="190" t="str">
        <f ca="1">IFERROR(IF(OR(ISNUMBER(I),ISNUMBER($F$14)),IF(AND($B136&gt;=($F$17-$F$15),$B136&lt;$F$22+($F$17-$F$15)),SUM(OFFSET($T$100,($F$17-$F$15),0):$T136),""),""),"")</f>
        <v/>
      </c>
      <c r="BM136" s="190" t="str">
        <f t="shared" ca="1" si="86"/>
        <v/>
      </c>
      <c r="BN136" s="190" t="str">
        <f t="shared" ca="1" si="61"/>
        <v/>
      </c>
      <c r="BO136"/>
      <c r="BP136" s="190" t="str">
        <f ca="1">IF(ISNUMBER(OFFSET(BL136,-$F$21,0)),SUM(OFFSET($T$100,($F$17-$F$15+$F$21),0):$T136),"")</f>
        <v/>
      </c>
      <c r="BQ136" s="190" t="str">
        <f t="shared" ca="1" si="87"/>
        <v/>
      </c>
      <c r="BR136" s="190" t="str">
        <f t="shared" ca="1" si="63"/>
        <v/>
      </c>
      <c r="BS136" s="190"/>
      <c r="BT136"/>
      <c r="BU136"/>
      <c r="BV136"/>
      <c r="BY136" s="99"/>
      <c r="BZ136" s="99"/>
      <c r="CA136" s="280" t="str">
        <f t="shared" si="88"/>
        <v/>
      </c>
      <c r="CB136" s="71" t="str">
        <f t="shared" si="31"/>
        <v>-</v>
      </c>
      <c r="CC136" s="33"/>
      <c r="CD136" s="261" t="str">
        <f t="shared" si="33"/>
        <v/>
      </c>
      <c r="CE136" s="280" t="str">
        <f t="shared" si="89"/>
        <v/>
      </c>
      <c r="CF136" s="71" t="str">
        <f t="shared" ca="1" si="90"/>
        <v/>
      </c>
      <c r="CG136" s="33" t="str">
        <f t="shared" si="36"/>
        <v/>
      </c>
      <c r="CH136" s="261" t="str">
        <f t="shared" ca="1" si="37"/>
        <v/>
      </c>
      <c r="CI136" s="202"/>
      <c r="CJ136" s="99"/>
      <c r="CK136" s="99"/>
      <c r="CL136" s="99"/>
      <c r="CM136" s="99"/>
      <c r="CN136" s="99"/>
      <c r="CO136" s="99"/>
    </row>
    <row r="137" spans="2:93" ht="13.5" customHeight="1" x14ac:dyDescent="0.2">
      <c r="B137" s="262">
        <v>37</v>
      </c>
      <c r="C137" s="237" t="str">
        <f t="shared" si="1"/>
        <v/>
      </c>
      <c r="D137" s="237" t="str">
        <f t="shared" si="66"/>
        <v/>
      </c>
      <c r="E137" s="290" t="str">
        <f t="shared" si="38"/>
        <v/>
      </c>
      <c r="F137" s="264" t="str">
        <f t="shared" si="39"/>
        <v/>
      </c>
      <c r="G137" s="291" t="str">
        <f t="shared" si="40"/>
        <v/>
      </c>
      <c r="H137" s="240" t="str">
        <f t="shared" si="71"/>
        <v/>
      </c>
      <c r="I137" s="265" t="str">
        <f t="shared" si="72"/>
        <v/>
      </c>
      <c r="J137" s="265" t="str">
        <f t="shared" si="73"/>
        <v/>
      </c>
      <c r="K137" s="240" t="str">
        <f t="shared" si="74"/>
        <v/>
      </c>
      <c r="L137" s="265" t="str">
        <f t="shared" si="75"/>
        <v/>
      </c>
      <c r="M137" s="265" t="str">
        <f t="shared" si="76"/>
        <v/>
      </c>
      <c r="N137" s="240" t="str">
        <f t="shared" si="77"/>
        <v>-</v>
      </c>
      <c r="O137" s="265" t="str">
        <f t="shared" si="78"/>
        <v>-</v>
      </c>
      <c r="P137" s="265" t="str">
        <f t="shared" si="79"/>
        <v>-</v>
      </c>
      <c r="Q137" s="266" t="str">
        <f t="shared" si="80"/>
        <v>-</v>
      </c>
      <c r="R137" s="267" t="str">
        <f t="shared" si="81"/>
        <v>-</v>
      </c>
      <c r="S137" s="268" t="str">
        <f t="shared" si="82"/>
        <v>-</v>
      </c>
      <c r="T137" s="269" t="str">
        <f t="shared" si="13"/>
        <v/>
      </c>
      <c r="U137" s="221">
        <f t="shared" si="14"/>
        <v>37</v>
      </c>
      <c r="V137" s="220" t="str">
        <f t="shared" si="42"/>
        <v>-</v>
      </c>
      <c r="W137" s="221" t="str">
        <f t="shared" si="43"/>
        <v>-</v>
      </c>
      <c r="X137" s="221" t="str">
        <f t="shared" si="15"/>
        <v>-</v>
      </c>
      <c r="Y137" s="221" t="str">
        <f t="shared" si="16"/>
        <v>-</v>
      </c>
      <c r="Z137" s="270">
        <f t="shared" si="44"/>
        <v>0.1</v>
      </c>
      <c r="AA137" s="271" t="str">
        <f>IFERROR(IF(V136=1,AA$100*EXP(-(LN(2)/$D$65+0.04)*X136)*EXP(-(LN(2)/$D$65+0.1)*Y136),IF(V136=2,AA$100*EXP(-(LN(2)/$D$65+0.04)*(VLOOKUP(($F$16-$F$15)-1,U$99:Y136,4,FALSE)))*EXP(-(LN(2)/$D$65+0.1)*(VLOOKUP(($F$16-$F$15)-1,U$99:Y136,5,FALSE)))*EXP(-(LN(2)/$D$65+0.04)*X136)*EXP(-(LN(2)/$D$65+0.1)*Y136),IF(V136=3,AA$100*EXP(-(LN(2)/$D$65+0.04)*(VLOOKUP(($F$16-$F$15)-1,U$99:Y136,4,FALSE)))*EXP(-(LN(2)/$D$65+0.1)*(VLOOKUP(($F$16-$F$15)-1,U$99:Y136,5,FALSE)))*EXP(-(LN(2)/$D$65+0.04)*(VLOOKUP(($F$16-$F$15)*2-1,U$99:Y136,4,FALSE)))*EXP(-(LN(2)/$D$65+0.1)*(VLOOKUP(($F$16-$F$15)*2-1,U$99:Y136,5,FALSE)))*EXP(-(LN(2)/$D$65+0.04)*X136)*EXP(-(LN(2)/$D$65+0.1)*Y136),"-"))),"-")</f>
        <v>-</v>
      </c>
      <c r="AB137" s="271" t="str">
        <f>IFERROR(IF(V137=1,AB$100*EXP(-(LN(2)/$D$65+0.04)*X137)*EXP(-(LN(2)/$D$65+0.1)*Y137),IF(V137=2,AB$100*EXP(-(LN(2)/$D$65+0.04)*(VLOOKUP(($F$16-$F$15)-1,U$100:Y137,4,FALSE)))*EXP(-(LN(2)/$D$65+0.1)*(VLOOKUP(($F$16-$F$15)-1,U$100:Y137,5,FALSE)))*EXP(-(LN(2)/$D$65+0.04)*X137)*EXP(-(LN(2)/$D$65+0.1)*Y137),IF(V137=3,AB$100*EXP(-(LN(2)/$D$65+0.04)*(VLOOKUP(($F$16-$F$15)-1,U$100:Y137,4,FALSE)))*EXP(-(LN(2)/$D$65+0.1)*(VLOOKUP(($F$16-$F$15)-1,U$100:Y137,5,FALSE)))*EXP(-(LN(2)/$D$65+0.04)*(VLOOKUP(($F$16-$F$15)*2-1,U$100:Y137,4,FALSE)))*EXP(-(LN(2)/$D$65+0.1)*(VLOOKUP(($F$16-$F$15)*2-1,U$100:Y137,5,FALSE)))*EXP(-(LN(2)/$D$65+0.04)*X137)*EXP(-(LN(2)/$D$65+0.1)*Y137),"-"))),"-")</f>
        <v>-</v>
      </c>
      <c r="AC137" s="224">
        <f t="shared" si="45"/>
        <v>37</v>
      </c>
      <c r="AD137" s="223" t="str">
        <f t="shared" si="18"/>
        <v>-</v>
      </c>
      <c r="AE137" s="224" t="str">
        <f t="shared" si="46"/>
        <v>-</v>
      </c>
      <c r="AF137" s="224" t="str">
        <f t="shared" si="19"/>
        <v>-</v>
      </c>
      <c r="AG137" s="224" t="str">
        <f t="shared" si="20"/>
        <v>-</v>
      </c>
      <c r="AH137" s="272">
        <f t="shared" si="47"/>
        <v>0.1</v>
      </c>
      <c r="AI137" s="271" t="str">
        <f>IFERROR(IF(AD136=1,AI$100*EXP(-(LN(2)/$D$65+0.04)*AF136)*EXP(-(LN(2)/$D$65+0.1)*AG136),IF(AD136=2,AI$100*EXP(-(LN(2)/$D$65+0.04)*(VLOOKUP(($F$16-$F$15)-1,AC$99:AG136,4,FALSE)))*EXP(-(LN(2)/$D$65+0.1)*(VLOOKUP(($F$16-$F$15)-1,AC$99:AG136,5,FALSE)))*EXP(-(LN(2)/$D$65+0.04)*AF136)*EXP(-(LN(2)/$D$65+0.1)*AG136),IF(AD136=3,AI$100*EXP(-(LN(2)/$D$65+0.04)*(VLOOKUP(($F$16-$F$15)-1,AC$99:AG136,4,FALSE)))*EXP(-(LN(2)/$D$65+0.1)*(VLOOKUP(($F$16-$F$15)-1,AC$99:AG136,5,FALSE)))*EXP(-(LN(2)/$D$65+0.04)*(VLOOKUP(($F$16-$F$15)*2-1,AC$99:AG136,4,FALSE)))*EXP(-(LN(2)/$D$65+0.1)*(VLOOKUP(($F$16-$F$15)*2-1,AC$99:AG136,5,FALSE)))*EXP(-(LN(2)/$D$65+0.04)*AF136)*EXP(-(LN(2)/$D$65+0.1)*AG136),"-"))),"-")</f>
        <v>-</v>
      </c>
      <c r="AJ137" s="271" t="str">
        <f>IFERROR(IF(AD137=1,AJ$100*EXP(-(LN(2)/$D$65+0.04)*AF137)*EXP(-(LN(2)/$D$65+0.1)*AG137),IF(AD137=2,AJ$100*EXP(-(LN(2)/$D$65+0.04)*(VLOOKUP(($F$16-$F$15)-1,AC$100:AG137,4,FALSE)))*EXP(-(LN(2)/$D$65+0.1)*(VLOOKUP(($F$16-$F$15)-1,AC$100:AG137,5,FALSE)))*EXP(-(LN(2)/$D$65+0.04)*AF137)*EXP(-(LN(2)/$D$65+0.1)*AG137),IF(AD137=3,AJ$100*EXP(-(LN(2)/$D$65+0.04)*(VLOOKUP(($F$16-$F$15)-1,AC$100:AG137,4,FALSE)))*EXP(-(LN(2)/$D$65+0.1)*(VLOOKUP(($F$16-$F$15)-1,AC$100:AG137,5,FALSE)))*EXP(-(LN(2)/$D$65+0.04)*(VLOOKUP(($F$16-$F$15)*2-1,AC$100:AG137,4,FALSE)))*EXP(-(LN(2)/$D$65+0.1)*(VLOOKUP(($F$16-$F$15)*2-1,AC$100:AG137,5,FALSE)))*EXP(-(LN(2)/$D$65+0.04)*AF137)*EXP(-(LN(2)/$D$65+0.1)*AG137),"-"))),"-")</f>
        <v>-</v>
      </c>
      <c r="AK137" s="227">
        <f t="shared" si="49"/>
        <v>37</v>
      </c>
      <c r="AL137" s="226" t="str">
        <f t="shared" si="22"/>
        <v>-</v>
      </c>
      <c r="AM137" s="227" t="str">
        <f t="shared" si="50"/>
        <v>-</v>
      </c>
      <c r="AN137" s="227" t="str">
        <f t="shared" si="51"/>
        <v>-</v>
      </c>
      <c r="AO137" s="227" t="str">
        <f t="shared" si="23"/>
        <v>-</v>
      </c>
      <c r="AP137" s="273">
        <f t="shared" si="52"/>
        <v>0.1</v>
      </c>
      <c r="AQ137" s="271" t="str">
        <f>IFERROR(IF(AL136=1,AQ$100*EXP(-(LN(2)/$D$65+0.04)*AN136)*EXP(-(LN(2)/$D$65+0.1)*AO136),IF(AL136=2,AQ$100*EXP(-(LN(2)/$D$65+0.04)*(VLOOKUP(($F$16-$F$15)-1,AK$99:AO136,4,FALSE)))*EXP(-(LN(2)/$D$65+0.1)*(VLOOKUP(($F$16-$F$15)-1,AK$99:AO136,5,FALSE)))*EXP(-(LN(2)/$D$65+0.04)*AN136)*EXP(-(LN(2)/$D$65+0.1)*AO136),IF(AL136=3,AQ$100*EXP(-(LN(2)/$D$65+0.04)*(VLOOKUP(($F$16-$F$15)-1,AK$99:AO136,4,FALSE)))*EXP(-(LN(2)/$D$65+0.1)*(VLOOKUP(($F$16-$F$15)-1,AK$99:AO136,5,FALSE)))*EXP(-(LN(2)/$D$65+0.04)*(VLOOKUP(($F$16-$F$15)*2-1,AK$99:AO136,4,FALSE)))*EXP(-(LN(2)/$D$65+0.1)*(VLOOKUP(($F$16-$F$15)*2-1,AK$99:AO136,5,FALSE)))*EXP(-(LN(2)/$D$65+0.04)*AN136)*EXP(-(LN(2)/$D$65+0.1)*AO136),"-"))),"-")</f>
        <v>-</v>
      </c>
      <c r="AR137" s="271" t="str">
        <f>IFERROR(IF(AL137=1,AR$100*EXP(-(LN(2)/$D$65+0.04)*AN137)*EXP(-(LN(2)/$D$65+0.1)*AO137),IF(AL137=2,AR$100*EXP(-(LN(2)/$D$65+0.04)*(VLOOKUP(($F$16-$F$15)-1,AK$100:AO137,4,FALSE)))*EXP(-(LN(2)/$D$65+0.1)*(VLOOKUP(($F$16-$F$15)-1,AK$100:AO137,5,FALSE)))*EXP(-(LN(2)/$D$65+0.04)*AN137)*EXP(-(LN(2)/$D$65+0.1)*AO137),IF(AL137=3,AR$100*EXP(-(LN(2)/$D$65+0.04)*(VLOOKUP(($F$16-$F$15)-1,AK$100:AO137,4,FALSE)))*EXP(-(LN(2)/$D$65+0.1)*(VLOOKUP(($F$16-$F$15)-1,AK$100:AO137,5,FALSE)))*EXP(-(LN(2)/$D$65+0.04)*(VLOOKUP(($F$16-$F$15)*2-1,AK$100:AO137,4,FALSE)))*EXP(-(LN(2)/$D$65+0.1)*(VLOOKUP(($F$16-$F$15)*2-1,AK$100:AO137,5,FALSE)))*EXP(-(LN(2)/$D$65+0.04)*AN137)*EXP(-(LN(2)/$D$65+0.1)*AO137),"-"))),"-")</f>
        <v>-</v>
      </c>
      <c r="AS137" s="274">
        <f t="shared" si="24"/>
        <v>0</v>
      </c>
      <c r="AT137" s="274">
        <f t="shared" si="25"/>
        <v>0</v>
      </c>
      <c r="AU137" s="274">
        <f t="shared" si="26"/>
        <v>0</v>
      </c>
      <c r="AV137" s="190" t="str">
        <f>IF($B137&lt;$F$22,SUM($T$100:$T137),"")</f>
        <v/>
      </c>
      <c r="AW137" s="190" t="str">
        <f t="shared" si="83"/>
        <v>-</v>
      </c>
      <c r="AX137" s="190" t="str">
        <f t="shared" si="56"/>
        <v/>
      </c>
      <c r="AY137"/>
      <c r="AZ137" s="190" t="str">
        <f ca="1">IF(ISNUMBER(OFFSET(AV137,-$F$21,0)),SUM(OFFSET($T$100,$F$21,0):$T137),"")</f>
        <v/>
      </c>
      <c r="BA137" s="190" t="str">
        <f t="shared" ca="1" si="84"/>
        <v/>
      </c>
      <c r="BB137" s="190" t="str">
        <f t="shared" ca="1" si="70"/>
        <v/>
      </c>
      <c r="BC137" s="190"/>
      <c r="BD137" s="190" t="str">
        <f ca="1">IFERROR(IF(OR(ISNUMBER(I),ISNUMBER($F$14)),IF(AND($B137&gt;=($F$16-$F$15),$B137&lt;$F$22+($F$16-$F$15)),SUM(OFFSET($T$100,($F$16-$F$15),0):$T137),""),""),"")</f>
        <v/>
      </c>
      <c r="BE137" s="190" t="str">
        <f t="shared" ca="1" si="58"/>
        <v/>
      </c>
      <c r="BF137" s="190" t="str">
        <f t="shared" ca="1" si="59"/>
        <v/>
      </c>
      <c r="BG137"/>
      <c r="BH137" s="190" t="str">
        <f ca="1">IF(ISNUMBER(OFFSET(BD137,-$F$21,0)),SUM(OFFSET($T$100,($F$16-$F$15+$F$21),0):$T137),"")</f>
        <v/>
      </c>
      <c r="BI137" s="190" t="str">
        <f t="shared" ca="1" si="85"/>
        <v/>
      </c>
      <c r="BJ137" s="190" t="str">
        <f t="shared" ca="1" si="60"/>
        <v/>
      </c>
      <c r="BK137" s="190"/>
      <c r="BL137" s="190" t="str">
        <f ca="1">IFERROR(IF(OR(ISNUMBER(I),ISNUMBER($F$14)),IF(AND($B137&gt;=($F$17-$F$15),$B137&lt;$F$22+($F$17-$F$15)),SUM(OFFSET($T$100,($F$17-$F$15),0):$T137),""),""),"")</f>
        <v/>
      </c>
      <c r="BM137" s="190" t="str">
        <f t="shared" ca="1" si="86"/>
        <v/>
      </c>
      <c r="BN137" s="190" t="str">
        <f t="shared" ca="1" si="61"/>
        <v/>
      </c>
      <c r="BO137"/>
      <c r="BP137" s="190" t="str">
        <f ca="1">IF(ISNUMBER(OFFSET(BL137,-$F$21,0)),SUM(OFFSET($T$100,($F$17-$F$15+$F$21),0):$T137),"")</f>
        <v/>
      </c>
      <c r="BQ137" s="190" t="str">
        <f t="shared" ca="1" si="87"/>
        <v/>
      </c>
      <c r="BR137" s="190" t="str">
        <f t="shared" ca="1" si="63"/>
        <v/>
      </c>
      <c r="BS137" s="190"/>
      <c r="BT137"/>
      <c r="BU137"/>
      <c r="BV137"/>
      <c r="BY137" s="99"/>
      <c r="BZ137" s="99"/>
      <c r="CA137" s="280" t="str">
        <f t="shared" si="88"/>
        <v/>
      </c>
      <c r="CB137" s="71" t="str">
        <f t="shared" si="31"/>
        <v>-</v>
      </c>
      <c r="CC137" s="33"/>
      <c r="CD137" s="261" t="str">
        <f t="shared" si="33"/>
        <v/>
      </c>
      <c r="CE137" s="280" t="str">
        <f t="shared" si="89"/>
        <v/>
      </c>
      <c r="CF137" s="71" t="str">
        <f t="shared" ca="1" si="90"/>
        <v/>
      </c>
      <c r="CG137" s="33" t="str">
        <f t="shared" si="36"/>
        <v/>
      </c>
      <c r="CH137" s="261" t="str">
        <f t="shared" ca="1" si="37"/>
        <v/>
      </c>
      <c r="CI137" s="202"/>
      <c r="CJ137" s="99"/>
      <c r="CK137" s="99"/>
      <c r="CL137" s="99"/>
      <c r="CM137" s="99"/>
      <c r="CN137" s="99"/>
      <c r="CO137" s="99"/>
    </row>
    <row r="138" spans="2:93" ht="13.5" customHeight="1" x14ac:dyDescent="0.2">
      <c r="B138" s="262">
        <v>38</v>
      </c>
      <c r="C138" s="237" t="str">
        <f t="shared" si="1"/>
        <v/>
      </c>
      <c r="D138" s="237" t="str">
        <f t="shared" si="66"/>
        <v/>
      </c>
      <c r="E138" s="290" t="str">
        <f t="shared" si="38"/>
        <v/>
      </c>
      <c r="F138" s="264" t="str">
        <f t="shared" si="39"/>
        <v/>
      </c>
      <c r="G138" s="291" t="str">
        <f t="shared" si="40"/>
        <v/>
      </c>
      <c r="H138" s="240" t="str">
        <f t="shared" si="71"/>
        <v/>
      </c>
      <c r="I138" s="265" t="str">
        <f t="shared" si="72"/>
        <v/>
      </c>
      <c r="J138" s="265" t="str">
        <f t="shared" si="73"/>
        <v/>
      </c>
      <c r="K138" s="240" t="str">
        <f t="shared" si="74"/>
        <v/>
      </c>
      <c r="L138" s="265" t="str">
        <f t="shared" si="75"/>
        <v/>
      </c>
      <c r="M138" s="265" t="str">
        <f t="shared" si="76"/>
        <v/>
      </c>
      <c r="N138" s="240" t="str">
        <f t="shared" si="77"/>
        <v>-</v>
      </c>
      <c r="O138" s="265" t="str">
        <f t="shared" si="78"/>
        <v>-</v>
      </c>
      <c r="P138" s="265" t="str">
        <f t="shared" si="79"/>
        <v>-</v>
      </c>
      <c r="Q138" s="266" t="str">
        <f t="shared" si="80"/>
        <v>-</v>
      </c>
      <c r="R138" s="267" t="str">
        <f t="shared" si="81"/>
        <v>-</v>
      </c>
      <c r="S138" s="268" t="str">
        <f t="shared" si="82"/>
        <v>-</v>
      </c>
      <c r="T138" s="269" t="str">
        <f t="shared" si="13"/>
        <v/>
      </c>
      <c r="U138" s="221">
        <f t="shared" si="14"/>
        <v>38</v>
      </c>
      <c r="V138" s="220" t="str">
        <f t="shared" si="42"/>
        <v>-</v>
      </c>
      <c r="W138" s="221" t="str">
        <f t="shared" si="43"/>
        <v>-</v>
      </c>
      <c r="X138" s="221" t="str">
        <f t="shared" si="15"/>
        <v>-</v>
      </c>
      <c r="Y138" s="221" t="str">
        <f t="shared" si="16"/>
        <v>-</v>
      </c>
      <c r="Z138" s="270">
        <f t="shared" si="44"/>
        <v>0.1</v>
      </c>
      <c r="AA138" s="271" t="str">
        <f>IFERROR(IF(V137=1,AA$100*EXP(-(LN(2)/$D$65+0.04)*X137)*EXP(-(LN(2)/$D$65+0.1)*Y137),IF(V137=2,AA$100*EXP(-(LN(2)/$D$65+0.04)*(VLOOKUP(($F$16-$F$15)-1,U$99:Y137,4,FALSE)))*EXP(-(LN(2)/$D$65+0.1)*(VLOOKUP(($F$16-$F$15)-1,U$99:Y137,5,FALSE)))*EXP(-(LN(2)/$D$65+0.04)*X137)*EXP(-(LN(2)/$D$65+0.1)*Y137),IF(V137=3,AA$100*EXP(-(LN(2)/$D$65+0.04)*(VLOOKUP(($F$16-$F$15)-1,U$99:Y137,4,FALSE)))*EXP(-(LN(2)/$D$65+0.1)*(VLOOKUP(($F$16-$F$15)-1,U$99:Y137,5,FALSE)))*EXP(-(LN(2)/$D$65+0.04)*(VLOOKUP(($F$16-$F$15)*2-1,U$99:Y137,4,FALSE)))*EXP(-(LN(2)/$D$65+0.1)*(VLOOKUP(($F$16-$F$15)*2-1,U$99:Y137,5,FALSE)))*EXP(-(LN(2)/$D$65+0.04)*X137)*EXP(-(LN(2)/$D$65+0.1)*Y137),"-"))),"-")</f>
        <v>-</v>
      </c>
      <c r="AB138" s="271" t="str">
        <f>IFERROR(IF(V138=1,AB$100*EXP(-(LN(2)/$D$65+0.04)*X138)*EXP(-(LN(2)/$D$65+0.1)*Y138),IF(V138=2,AB$100*EXP(-(LN(2)/$D$65+0.04)*(VLOOKUP(($F$16-$F$15)-1,U$100:Y138,4,FALSE)))*EXP(-(LN(2)/$D$65+0.1)*(VLOOKUP(($F$16-$F$15)-1,U$100:Y138,5,FALSE)))*EXP(-(LN(2)/$D$65+0.04)*X138)*EXP(-(LN(2)/$D$65+0.1)*Y138),IF(V138=3,AB$100*EXP(-(LN(2)/$D$65+0.04)*(VLOOKUP(($F$16-$F$15)-1,U$100:Y138,4,FALSE)))*EXP(-(LN(2)/$D$65+0.1)*(VLOOKUP(($F$16-$F$15)-1,U$100:Y138,5,FALSE)))*EXP(-(LN(2)/$D$65+0.04)*(VLOOKUP(($F$16-$F$15)*2-1,U$100:Y138,4,FALSE)))*EXP(-(LN(2)/$D$65+0.1)*(VLOOKUP(($F$16-$F$15)*2-1,U$100:Y138,5,FALSE)))*EXP(-(LN(2)/$D$65+0.04)*X138)*EXP(-(LN(2)/$D$65+0.1)*Y138),"-"))),"-")</f>
        <v>-</v>
      </c>
      <c r="AC138" s="224">
        <f t="shared" si="45"/>
        <v>38</v>
      </c>
      <c r="AD138" s="223" t="str">
        <f t="shared" si="18"/>
        <v>-</v>
      </c>
      <c r="AE138" s="224" t="str">
        <f t="shared" si="46"/>
        <v>-</v>
      </c>
      <c r="AF138" s="224" t="str">
        <f t="shared" si="19"/>
        <v>-</v>
      </c>
      <c r="AG138" s="224" t="str">
        <f t="shared" si="20"/>
        <v>-</v>
      </c>
      <c r="AH138" s="272">
        <f t="shared" si="47"/>
        <v>0.1</v>
      </c>
      <c r="AI138" s="271" t="str">
        <f>IFERROR(IF(AD137=1,AI$100*EXP(-(LN(2)/$D$65+0.04)*AF137)*EXP(-(LN(2)/$D$65+0.1)*AG137),IF(AD137=2,AI$100*EXP(-(LN(2)/$D$65+0.04)*(VLOOKUP(($F$16-$F$15)-1,AC$99:AG137,4,FALSE)))*EXP(-(LN(2)/$D$65+0.1)*(VLOOKUP(($F$16-$F$15)-1,AC$99:AG137,5,FALSE)))*EXP(-(LN(2)/$D$65+0.04)*AF137)*EXP(-(LN(2)/$D$65+0.1)*AG137),IF(AD137=3,AI$100*EXP(-(LN(2)/$D$65+0.04)*(VLOOKUP(($F$16-$F$15)-1,AC$99:AG137,4,FALSE)))*EXP(-(LN(2)/$D$65+0.1)*(VLOOKUP(($F$16-$F$15)-1,AC$99:AG137,5,FALSE)))*EXP(-(LN(2)/$D$65+0.04)*(VLOOKUP(($F$16-$F$15)*2-1,AC$99:AG137,4,FALSE)))*EXP(-(LN(2)/$D$65+0.1)*(VLOOKUP(($F$16-$F$15)*2-1,AC$99:AG137,5,FALSE)))*EXP(-(LN(2)/$D$65+0.04)*AF137)*EXP(-(LN(2)/$D$65+0.1)*AG137),"-"))),"-")</f>
        <v>-</v>
      </c>
      <c r="AJ138" s="271" t="str">
        <f>IFERROR(IF(AD138=1,AJ$100*EXP(-(LN(2)/$D$65+0.04)*AF138)*EXP(-(LN(2)/$D$65+0.1)*AG138),IF(AD138=2,AJ$100*EXP(-(LN(2)/$D$65+0.04)*(VLOOKUP(($F$16-$F$15)-1,AC$100:AG138,4,FALSE)))*EXP(-(LN(2)/$D$65+0.1)*(VLOOKUP(($F$16-$F$15)-1,AC$100:AG138,5,FALSE)))*EXP(-(LN(2)/$D$65+0.04)*AF138)*EXP(-(LN(2)/$D$65+0.1)*AG138),IF(AD138=3,AJ$100*EXP(-(LN(2)/$D$65+0.04)*(VLOOKUP(($F$16-$F$15)-1,AC$100:AG138,4,FALSE)))*EXP(-(LN(2)/$D$65+0.1)*(VLOOKUP(($F$16-$F$15)-1,AC$100:AG138,5,FALSE)))*EXP(-(LN(2)/$D$65+0.04)*(VLOOKUP(($F$16-$F$15)*2-1,AC$100:AG138,4,FALSE)))*EXP(-(LN(2)/$D$65+0.1)*(VLOOKUP(($F$16-$F$15)*2-1,AC$100:AG138,5,FALSE)))*EXP(-(LN(2)/$D$65+0.04)*AF138)*EXP(-(LN(2)/$D$65+0.1)*AG138),"-"))),"-")</f>
        <v>-</v>
      </c>
      <c r="AK138" s="227">
        <f t="shared" si="49"/>
        <v>38</v>
      </c>
      <c r="AL138" s="226" t="str">
        <f t="shared" si="22"/>
        <v>-</v>
      </c>
      <c r="AM138" s="227" t="str">
        <f t="shared" si="50"/>
        <v>-</v>
      </c>
      <c r="AN138" s="227" t="str">
        <f t="shared" si="51"/>
        <v>-</v>
      </c>
      <c r="AO138" s="227" t="str">
        <f t="shared" si="23"/>
        <v>-</v>
      </c>
      <c r="AP138" s="273">
        <f t="shared" si="52"/>
        <v>0.1</v>
      </c>
      <c r="AQ138" s="271" t="str">
        <f>IFERROR(IF(AL137=1,AQ$100*EXP(-(LN(2)/$D$65+0.04)*AN137)*EXP(-(LN(2)/$D$65+0.1)*AO137),IF(AL137=2,AQ$100*EXP(-(LN(2)/$D$65+0.04)*(VLOOKUP(($F$16-$F$15)-1,AK$99:AO137,4,FALSE)))*EXP(-(LN(2)/$D$65+0.1)*(VLOOKUP(($F$16-$F$15)-1,AK$99:AO137,5,FALSE)))*EXP(-(LN(2)/$D$65+0.04)*AN137)*EXP(-(LN(2)/$D$65+0.1)*AO137),IF(AL137=3,AQ$100*EXP(-(LN(2)/$D$65+0.04)*(VLOOKUP(($F$16-$F$15)-1,AK$99:AO137,4,FALSE)))*EXP(-(LN(2)/$D$65+0.1)*(VLOOKUP(($F$16-$F$15)-1,AK$99:AO137,5,FALSE)))*EXP(-(LN(2)/$D$65+0.04)*(VLOOKUP(($F$16-$F$15)*2-1,AK$99:AO137,4,FALSE)))*EXP(-(LN(2)/$D$65+0.1)*(VLOOKUP(($F$16-$F$15)*2-1,AK$99:AO137,5,FALSE)))*EXP(-(LN(2)/$D$65+0.04)*AN137)*EXP(-(LN(2)/$D$65+0.1)*AO137),"-"))),"-")</f>
        <v>-</v>
      </c>
      <c r="AR138" s="271" t="str">
        <f>IFERROR(IF(AL138=1,AR$100*EXP(-(LN(2)/$D$65+0.04)*AN138)*EXP(-(LN(2)/$D$65+0.1)*AO138),IF(AL138=2,AR$100*EXP(-(LN(2)/$D$65+0.04)*(VLOOKUP(($F$16-$F$15)-1,AK$100:AO138,4,FALSE)))*EXP(-(LN(2)/$D$65+0.1)*(VLOOKUP(($F$16-$F$15)-1,AK$100:AO138,5,FALSE)))*EXP(-(LN(2)/$D$65+0.04)*AN138)*EXP(-(LN(2)/$D$65+0.1)*AO138),IF(AL138=3,AR$100*EXP(-(LN(2)/$D$65+0.04)*(VLOOKUP(($F$16-$F$15)-1,AK$100:AO138,4,FALSE)))*EXP(-(LN(2)/$D$65+0.1)*(VLOOKUP(($F$16-$F$15)-1,AK$100:AO138,5,FALSE)))*EXP(-(LN(2)/$D$65+0.04)*(VLOOKUP(($F$16-$F$15)*2-1,AK$100:AO138,4,FALSE)))*EXP(-(LN(2)/$D$65+0.1)*(VLOOKUP(($F$16-$F$15)*2-1,AK$100:AO138,5,FALSE)))*EXP(-(LN(2)/$D$65+0.04)*AN138)*EXP(-(LN(2)/$D$65+0.1)*AO138),"-"))),"-")</f>
        <v>-</v>
      </c>
      <c r="AS138" s="274">
        <f t="shared" si="24"/>
        <v>0</v>
      </c>
      <c r="AT138" s="274">
        <f t="shared" si="25"/>
        <v>0</v>
      </c>
      <c r="AU138" s="274">
        <f t="shared" si="26"/>
        <v>0</v>
      </c>
      <c r="AV138" s="190" t="str">
        <f>IF($B138&lt;$F$22,SUM($T$100:$T138),"")</f>
        <v/>
      </c>
      <c r="AW138" s="190" t="str">
        <f t="shared" si="83"/>
        <v>-</v>
      </c>
      <c r="AX138" s="190" t="str">
        <f t="shared" si="56"/>
        <v/>
      </c>
      <c r="AY138"/>
      <c r="AZ138" s="190" t="str">
        <f ca="1">IF(ISNUMBER(OFFSET(AV138,-$F$21,0)),SUM(OFFSET($T$100,$F$21,0):$T138),"")</f>
        <v/>
      </c>
      <c r="BA138" s="190" t="str">
        <f t="shared" ca="1" si="84"/>
        <v/>
      </c>
      <c r="BB138" s="190" t="str">
        <f t="shared" ca="1" si="70"/>
        <v/>
      </c>
      <c r="BC138" s="190"/>
      <c r="BD138" s="190" t="str">
        <f ca="1">IFERROR(IF(OR(ISNUMBER(I),ISNUMBER($F$14)),IF(AND($B138&gt;=($F$16-$F$15),$B138&lt;$F$22+($F$16-$F$15)),SUM(OFFSET($T$100,($F$16-$F$15),0):$T138),""),""),"")</f>
        <v/>
      </c>
      <c r="BE138" s="190" t="str">
        <f t="shared" ca="1" si="58"/>
        <v/>
      </c>
      <c r="BF138" s="190" t="str">
        <f t="shared" ca="1" si="59"/>
        <v/>
      </c>
      <c r="BG138"/>
      <c r="BH138" s="190" t="str">
        <f ca="1">IF(ISNUMBER(OFFSET(BD138,-$F$21,0)),SUM(OFFSET($T$100,($F$16-$F$15+$F$21),0):$T138),"")</f>
        <v/>
      </c>
      <c r="BI138" s="190" t="str">
        <f t="shared" ca="1" si="85"/>
        <v/>
      </c>
      <c r="BJ138" s="190" t="str">
        <f t="shared" ca="1" si="60"/>
        <v/>
      </c>
      <c r="BK138" s="190"/>
      <c r="BL138" s="190" t="str">
        <f ca="1">IFERROR(IF(OR(ISNUMBER(I),ISNUMBER($F$14)),IF(AND($B138&gt;=($F$17-$F$15),$B138&lt;$F$22+($F$17-$F$15)),SUM(OFFSET($T$100,($F$17-$F$15),0):$T138),""),""),"")</f>
        <v/>
      </c>
      <c r="BM138" s="190" t="str">
        <f t="shared" ca="1" si="86"/>
        <v/>
      </c>
      <c r="BN138" s="190" t="str">
        <f t="shared" ca="1" si="61"/>
        <v/>
      </c>
      <c r="BO138"/>
      <c r="BP138" s="190" t="str">
        <f ca="1">IF(ISNUMBER(OFFSET(BL138,-$F$21,0)),SUM(OFFSET($T$100,($F$17-$F$15+$F$21),0):$T138),"")</f>
        <v/>
      </c>
      <c r="BQ138" s="190" t="str">
        <f t="shared" ca="1" si="87"/>
        <v/>
      </c>
      <c r="BR138" s="190" t="str">
        <f t="shared" ca="1" si="63"/>
        <v/>
      </c>
      <c r="BS138" s="190"/>
      <c r="BT138"/>
      <c r="BU138"/>
      <c r="BV138"/>
      <c r="BY138" s="99"/>
      <c r="BZ138" s="99"/>
      <c r="CA138" s="280" t="str">
        <f t="shared" si="88"/>
        <v/>
      </c>
      <c r="CB138" s="71" t="str">
        <f t="shared" si="31"/>
        <v>-</v>
      </c>
      <c r="CC138" s="33"/>
      <c r="CD138" s="261" t="str">
        <f t="shared" si="33"/>
        <v/>
      </c>
      <c r="CE138" s="280" t="str">
        <f t="shared" si="89"/>
        <v/>
      </c>
      <c r="CF138" s="71" t="str">
        <f t="shared" ca="1" si="90"/>
        <v/>
      </c>
      <c r="CG138" s="33" t="str">
        <f t="shared" si="36"/>
        <v/>
      </c>
      <c r="CH138" s="261" t="str">
        <f t="shared" ca="1" si="37"/>
        <v/>
      </c>
      <c r="CI138" s="202"/>
      <c r="CJ138" s="99"/>
      <c r="CK138" s="99"/>
      <c r="CL138" s="99"/>
      <c r="CM138" s="99"/>
      <c r="CN138" s="99"/>
      <c r="CO138" s="99"/>
    </row>
    <row r="139" spans="2:93" ht="13.5" customHeight="1" x14ac:dyDescent="0.2">
      <c r="B139" s="262">
        <v>39</v>
      </c>
      <c r="C139" s="237" t="str">
        <f t="shared" si="1"/>
        <v/>
      </c>
      <c r="D139" s="237" t="str">
        <f t="shared" si="66"/>
        <v/>
      </c>
      <c r="E139" s="290" t="str">
        <f t="shared" si="38"/>
        <v/>
      </c>
      <c r="F139" s="264" t="str">
        <f t="shared" si="39"/>
        <v/>
      </c>
      <c r="G139" s="291" t="str">
        <f t="shared" si="40"/>
        <v/>
      </c>
      <c r="H139" s="240" t="str">
        <f t="shared" si="71"/>
        <v/>
      </c>
      <c r="I139" s="265" t="str">
        <f t="shared" si="72"/>
        <v/>
      </c>
      <c r="J139" s="265" t="str">
        <f t="shared" si="73"/>
        <v/>
      </c>
      <c r="K139" s="240" t="str">
        <f t="shared" si="74"/>
        <v/>
      </c>
      <c r="L139" s="265" t="str">
        <f t="shared" si="75"/>
        <v/>
      </c>
      <c r="M139" s="265" t="str">
        <f t="shared" si="76"/>
        <v/>
      </c>
      <c r="N139" s="240" t="str">
        <f t="shared" si="77"/>
        <v>-</v>
      </c>
      <c r="O139" s="265" t="str">
        <f t="shared" si="78"/>
        <v>-</v>
      </c>
      <c r="P139" s="265" t="str">
        <f t="shared" si="79"/>
        <v>-</v>
      </c>
      <c r="Q139" s="266" t="str">
        <f t="shared" si="80"/>
        <v>-</v>
      </c>
      <c r="R139" s="267" t="str">
        <f t="shared" si="81"/>
        <v>-</v>
      </c>
      <c r="S139" s="268" t="str">
        <f t="shared" si="82"/>
        <v>-</v>
      </c>
      <c r="T139" s="269" t="str">
        <f t="shared" si="13"/>
        <v/>
      </c>
      <c r="U139" s="221">
        <f t="shared" si="14"/>
        <v>39</v>
      </c>
      <c r="V139" s="220" t="str">
        <f t="shared" si="42"/>
        <v>-</v>
      </c>
      <c r="W139" s="221" t="str">
        <f t="shared" si="43"/>
        <v>-</v>
      </c>
      <c r="X139" s="221" t="str">
        <f t="shared" si="15"/>
        <v>-</v>
      </c>
      <c r="Y139" s="221" t="str">
        <f t="shared" si="16"/>
        <v>-</v>
      </c>
      <c r="Z139" s="270">
        <f t="shared" si="44"/>
        <v>0.1</v>
      </c>
      <c r="AA139" s="271" t="str">
        <f>IFERROR(IF(V138=1,AA$100*EXP(-(LN(2)/$D$65+0.04)*X138)*EXP(-(LN(2)/$D$65+0.1)*Y138),IF(V138=2,AA$100*EXP(-(LN(2)/$D$65+0.04)*(VLOOKUP(($F$16-$F$15)-1,U$99:Y138,4,FALSE)))*EXP(-(LN(2)/$D$65+0.1)*(VLOOKUP(($F$16-$F$15)-1,U$99:Y138,5,FALSE)))*EXP(-(LN(2)/$D$65+0.04)*X138)*EXP(-(LN(2)/$D$65+0.1)*Y138),IF(V138=3,AA$100*EXP(-(LN(2)/$D$65+0.04)*(VLOOKUP(($F$16-$F$15)-1,U$99:Y138,4,FALSE)))*EXP(-(LN(2)/$D$65+0.1)*(VLOOKUP(($F$16-$F$15)-1,U$99:Y138,5,FALSE)))*EXP(-(LN(2)/$D$65+0.04)*(VLOOKUP(($F$16-$F$15)*2-1,U$99:Y138,4,FALSE)))*EXP(-(LN(2)/$D$65+0.1)*(VLOOKUP(($F$16-$F$15)*2-1,U$99:Y138,5,FALSE)))*EXP(-(LN(2)/$D$65+0.04)*X138)*EXP(-(LN(2)/$D$65+0.1)*Y138),"-"))),"-")</f>
        <v>-</v>
      </c>
      <c r="AB139" s="271" t="str">
        <f>IFERROR(IF(V139=1,AB$100*EXP(-(LN(2)/$D$65+0.04)*X139)*EXP(-(LN(2)/$D$65+0.1)*Y139),IF(V139=2,AB$100*EXP(-(LN(2)/$D$65+0.04)*(VLOOKUP(($F$16-$F$15)-1,U$100:Y139,4,FALSE)))*EXP(-(LN(2)/$D$65+0.1)*(VLOOKUP(($F$16-$F$15)-1,U$100:Y139,5,FALSE)))*EXP(-(LN(2)/$D$65+0.04)*X139)*EXP(-(LN(2)/$D$65+0.1)*Y139),IF(V139=3,AB$100*EXP(-(LN(2)/$D$65+0.04)*(VLOOKUP(($F$16-$F$15)-1,U$100:Y139,4,FALSE)))*EXP(-(LN(2)/$D$65+0.1)*(VLOOKUP(($F$16-$F$15)-1,U$100:Y139,5,FALSE)))*EXP(-(LN(2)/$D$65+0.04)*(VLOOKUP(($F$16-$F$15)*2-1,U$100:Y139,4,FALSE)))*EXP(-(LN(2)/$D$65+0.1)*(VLOOKUP(($F$16-$F$15)*2-1,U$100:Y139,5,FALSE)))*EXP(-(LN(2)/$D$65+0.04)*X139)*EXP(-(LN(2)/$D$65+0.1)*Y139),"-"))),"-")</f>
        <v>-</v>
      </c>
      <c r="AC139" s="224">
        <f t="shared" si="45"/>
        <v>39</v>
      </c>
      <c r="AD139" s="223" t="str">
        <f t="shared" si="18"/>
        <v>-</v>
      </c>
      <c r="AE139" s="224" t="str">
        <f t="shared" si="46"/>
        <v>-</v>
      </c>
      <c r="AF139" s="224" t="str">
        <f t="shared" si="19"/>
        <v>-</v>
      </c>
      <c r="AG139" s="224" t="str">
        <f t="shared" si="20"/>
        <v>-</v>
      </c>
      <c r="AH139" s="272">
        <f t="shared" si="47"/>
        <v>0.1</v>
      </c>
      <c r="AI139" s="271" t="str">
        <f>IFERROR(IF(AD138=1,AI$100*EXP(-(LN(2)/$D$65+0.04)*AF138)*EXP(-(LN(2)/$D$65+0.1)*AG138),IF(AD138=2,AI$100*EXP(-(LN(2)/$D$65+0.04)*(VLOOKUP(($F$16-$F$15)-1,AC$99:AG138,4,FALSE)))*EXP(-(LN(2)/$D$65+0.1)*(VLOOKUP(($F$16-$F$15)-1,AC$99:AG138,5,FALSE)))*EXP(-(LN(2)/$D$65+0.04)*AF138)*EXP(-(LN(2)/$D$65+0.1)*AG138),IF(AD138=3,AI$100*EXP(-(LN(2)/$D$65+0.04)*(VLOOKUP(($F$16-$F$15)-1,AC$99:AG138,4,FALSE)))*EXP(-(LN(2)/$D$65+0.1)*(VLOOKUP(($F$16-$F$15)-1,AC$99:AG138,5,FALSE)))*EXP(-(LN(2)/$D$65+0.04)*(VLOOKUP(($F$16-$F$15)*2-1,AC$99:AG138,4,FALSE)))*EXP(-(LN(2)/$D$65+0.1)*(VLOOKUP(($F$16-$F$15)*2-1,AC$99:AG138,5,FALSE)))*EXP(-(LN(2)/$D$65+0.04)*AF138)*EXP(-(LN(2)/$D$65+0.1)*AG138),"-"))),"-")</f>
        <v>-</v>
      </c>
      <c r="AJ139" s="271" t="str">
        <f>IFERROR(IF(AD139=1,AJ$100*EXP(-(LN(2)/$D$65+0.04)*AF139)*EXP(-(LN(2)/$D$65+0.1)*AG139),IF(AD139=2,AJ$100*EXP(-(LN(2)/$D$65+0.04)*(VLOOKUP(($F$16-$F$15)-1,AC$100:AG139,4,FALSE)))*EXP(-(LN(2)/$D$65+0.1)*(VLOOKUP(($F$16-$F$15)-1,AC$100:AG139,5,FALSE)))*EXP(-(LN(2)/$D$65+0.04)*AF139)*EXP(-(LN(2)/$D$65+0.1)*AG139),IF(AD139=3,AJ$100*EXP(-(LN(2)/$D$65+0.04)*(VLOOKUP(($F$16-$F$15)-1,AC$100:AG139,4,FALSE)))*EXP(-(LN(2)/$D$65+0.1)*(VLOOKUP(($F$16-$F$15)-1,AC$100:AG139,5,FALSE)))*EXP(-(LN(2)/$D$65+0.04)*(VLOOKUP(($F$16-$F$15)*2-1,AC$100:AG139,4,FALSE)))*EXP(-(LN(2)/$D$65+0.1)*(VLOOKUP(($F$16-$F$15)*2-1,AC$100:AG139,5,FALSE)))*EXP(-(LN(2)/$D$65+0.04)*AF139)*EXP(-(LN(2)/$D$65+0.1)*AG139),"-"))),"-")</f>
        <v>-</v>
      </c>
      <c r="AK139" s="227">
        <f t="shared" si="49"/>
        <v>39</v>
      </c>
      <c r="AL139" s="226" t="str">
        <f t="shared" si="22"/>
        <v>-</v>
      </c>
      <c r="AM139" s="227" t="str">
        <f t="shared" si="50"/>
        <v>-</v>
      </c>
      <c r="AN139" s="227" t="str">
        <f t="shared" si="51"/>
        <v>-</v>
      </c>
      <c r="AO139" s="227" t="str">
        <f t="shared" si="23"/>
        <v>-</v>
      </c>
      <c r="AP139" s="273">
        <f t="shared" si="52"/>
        <v>0.1</v>
      </c>
      <c r="AQ139" s="271" t="str">
        <f>IFERROR(IF(AL138=1,AQ$100*EXP(-(LN(2)/$D$65+0.04)*AN138)*EXP(-(LN(2)/$D$65+0.1)*AO138),IF(AL138=2,AQ$100*EXP(-(LN(2)/$D$65+0.04)*(VLOOKUP(($F$16-$F$15)-1,AK$99:AO138,4,FALSE)))*EXP(-(LN(2)/$D$65+0.1)*(VLOOKUP(($F$16-$F$15)-1,AK$99:AO138,5,FALSE)))*EXP(-(LN(2)/$D$65+0.04)*AN138)*EXP(-(LN(2)/$D$65+0.1)*AO138),IF(AL138=3,AQ$100*EXP(-(LN(2)/$D$65+0.04)*(VLOOKUP(($F$16-$F$15)-1,AK$99:AO138,4,FALSE)))*EXP(-(LN(2)/$D$65+0.1)*(VLOOKUP(($F$16-$F$15)-1,AK$99:AO138,5,FALSE)))*EXP(-(LN(2)/$D$65+0.04)*(VLOOKUP(($F$16-$F$15)*2-1,AK$99:AO138,4,FALSE)))*EXP(-(LN(2)/$D$65+0.1)*(VLOOKUP(($F$16-$F$15)*2-1,AK$99:AO138,5,FALSE)))*EXP(-(LN(2)/$D$65+0.04)*AN138)*EXP(-(LN(2)/$D$65+0.1)*AO138),"-"))),"-")</f>
        <v>-</v>
      </c>
      <c r="AR139" s="271" t="str">
        <f>IFERROR(IF(AL139=1,AR$100*EXP(-(LN(2)/$D$65+0.04)*AN139)*EXP(-(LN(2)/$D$65+0.1)*AO139),IF(AL139=2,AR$100*EXP(-(LN(2)/$D$65+0.04)*(VLOOKUP(($F$16-$F$15)-1,AK$100:AO139,4,FALSE)))*EXP(-(LN(2)/$D$65+0.1)*(VLOOKUP(($F$16-$F$15)-1,AK$100:AO139,5,FALSE)))*EXP(-(LN(2)/$D$65+0.04)*AN139)*EXP(-(LN(2)/$D$65+0.1)*AO139),IF(AL139=3,AR$100*EXP(-(LN(2)/$D$65+0.04)*(VLOOKUP(($F$16-$F$15)-1,AK$100:AO139,4,FALSE)))*EXP(-(LN(2)/$D$65+0.1)*(VLOOKUP(($F$16-$F$15)-1,AK$100:AO139,5,FALSE)))*EXP(-(LN(2)/$D$65+0.04)*(VLOOKUP(($F$16-$F$15)*2-1,AK$100:AO139,4,FALSE)))*EXP(-(LN(2)/$D$65+0.1)*(VLOOKUP(($F$16-$F$15)*2-1,AK$100:AO139,5,FALSE)))*EXP(-(LN(2)/$D$65+0.04)*AN139)*EXP(-(LN(2)/$D$65+0.1)*AO139),"-"))),"-")</f>
        <v>-</v>
      </c>
      <c r="AS139" s="274">
        <f t="shared" si="24"/>
        <v>0</v>
      </c>
      <c r="AT139" s="274">
        <f t="shared" si="25"/>
        <v>0</v>
      </c>
      <c r="AU139" s="274">
        <f t="shared" si="26"/>
        <v>0</v>
      </c>
      <c r="AV139" s="190" t="str">
        <f>IF($B139&lt;$F$22,SUM($T$100:$T139),"")</f>
        <v/>
      </c>
      <c r="AW139" s="190" t="str">
        <f t="shared" si="83"/>
        <v>-</v>
      </c>
      <c r="AX139" s="190" t="str">
        <f t="shared" si="56"/>
        <v/>
      </c>
      <c r="AY139"/>
      <c r="AZ139" s="190" t="str">
        <f ca="1">IF(ISNUMBER(OFFSET(AV139,-$F$21,0)),SUM(OFFSET($T$100,$F$21,0):$T139),"")</f>
        <v/>
      </c>
      <c r="BA139" s="190" t="str">
        <f t="shared" ca="1" si="84"/>
        <v/>
      </c>
      <c r="BB139" s="190" t="str">
        <f t="shared" ca="1" si="70"/>
        <v/>
      </c>
      <c r="BC139" s="190"/>
      <c r="BD139" s="190" t="str">
        <f ca="1">IFERROR(IF(OR(ISNUMBER(I),ISNUMBER($F$14)),IF(AND($B139&gt;=($F$16-$F$15),$B139&lt;$F$22+($F$16-$F$15)),SUM(OFFSET($T$100,($F$16-$F$15),0):$T139),""),""),"")</f>
        <v/>
      </c>
      <c r="BE139" s="190" t="str">
        <f t="shared" ca="1" si="58"/>
        <v/>
      </c>
      <c r="BF139" s="190" t="str">
        <f t="shared" ca="1" si="59"/>
        <v/>
      </c>
      <c r="BG139"/>
      <c r="BH139" s="190" t="str">
        <f ca="1">IF(ISNUMBER(OFFSET(BD139,-$F$21,0)),SUM(OFFSET($T$100,($F$16-$F$15+$F$21),0):$T139),"")</f>
        <v/>
      </c>
      <c r="BI139" s="190" t="str">
        <f t="shared" ca="1" si="85"/>
        <v/>
      </c>
      <c r="BJ139" s="190" t="str">
        <f t="shared" ca="1" si="60"/>
        <v/>
      </c>
      <c r="BK139" s="190"/>
      <c r="BL139" s="190" t="str">
        <f ca="1">IFERROR(IF(OR(ISNUMBER(I),ISNUMBER($F$14)),IF(AND($B139&gt;=($F$17-$F$15),$B139&lt;$F$22+($F$17-$F$15)),SUM(OFFSET($T$100,($F$17-$F$15),0):$T139),""),""),"")</f>
        <v/>
      </c>
      <c r="BM139" s="190" t="str">
        <f t="shared" ca="1" si="86"/>
        <v/>
      </c>
      <c r="BN139" s="190" t="str">
        <f t="shared" ca="1" si="61"/>
        <v/>
      </c>
      <c r="BO139"/>
      <c r="BP139" s="190" t="str">
        <f ca="1">IF(ISNUMBER(OFFSET(BL139,-$F$21,0)),SUM(OFFSET($T$100,($F$17-$F$15+$F$21),0):$T139),"")</f>
        <v/>
      </c>
      <c r="BQ139" s="190" t="str">
        <f t="shared" ca="1" si="87"/>
        <v/>
      </c>
      <c r="BR139" s="190" t="str">
        <f t="shared" ca="1" si="63"/>
        <v/>
      </c>
      <c r="BS139" s="190"/>
      <c r="BT139"/>
      <c r="BU139"/>
      <c r="BV139"/>
      <c r="BY139" s="99"/>
      <c r="BZ139" s="99"/>
      <c r="CA139" s="280" t="str">
        <f t="shared" si="88"/>
        <v/>
      </c>
      <c r="CB139" s="71" t="str">
        <f t="shared" si="31"/>
        <v>-</v>
      </c>
      <c r="CC139" s="33"/>
      <c r="CD139" s="261" t="str">
        <f t="shared" si="33"/>
        <v/>
      </c>
      <c r="CE139" s="280" t="str">
        <f t="shared" si="89"/>
        <v/>
      </c>
      <c r="CF139" s="71" t="str">
        <f t="shared" ca="1" si="90"/>
        <v/>
      </c>
      <c r="CG139" s="33" t="str">
        <f t="shared" si="36"/>
        <v/>
      </c>
      <c r="CH139" s="261" t="str">
        <f t="shared" ca="1" si="37"/>
        <v/>
      </c>
      <c r="CI139" s="202"/>
      <c r="CJ139" s="99"/>
      <c r="CK139" s="99"/>
      <c r="CL139" s="99"/>
      <c r="CM139" s="99"/>
      <c r="CN139" s="99"/>
      <c r="CO139" s="99"/>
    </row>
    <row r="140" spans="2:93" ht="13.5" customHeight="1" x14ac:dyDescent="0.2">
      <c r="B140" s="262">
        <v>40</v>
      </c>
      <c r="C140" s="237" t="str">
        <f t="shared" si="1"/>
        <v/>
      </c>
      <c r="D140" s="237" t="str">
        <f t="shared" si="66"/>
        <v/>
      </c>
      <c r="E140" s="290" t="str">
        <f t="shared" si="38"/>
        <v/>
      </c>
      <c r="F140" s="264" t="str">
        <f t="shared" si="39"/>
        <v/>
      </c>
      <c r="G140" s="291" t="str">
        <f t="shared" si="40"/>
        <v/>
      </c>
      <c r="H140" s="240" t="str">
        <f t="shared" si="71"/>
        <v/>
      </c>
      <c r="I140" s="265" t="str">
        <f t="shared" si="72"/>
        <v/>
      </c>
      <c r="J140" s="265" t="str">
        <f t="shared" si="73"/>
        <v/>
      </c>
      <c r="K140" s="240" t="str">
        <f t="shared" si="74"/>
        <v/>
      </c>
      <c r="L140" s="265" t="str">
        <f t="shared" si="75"/>
        <v/>
      </c>
      <c r="M140" s="265" t="str">
        <f t="shared" si="76"/>
        <v/>
      </c>
      <c r="N140" s="240" t="str">
        <f t="shared" si="77"/>
        <v>-</v>
      </c>
      <c r="O140" s="265" t="str">
        <f t="shared" si="78"/>
        <v>-</v>
      </c>
      <c r="P140" s="265" t="str">
        <f t="shared" si="79"/>
        <v>-</v>
      </c>
      <c r="Q140" s="266" t="str">
        <f t="shared" si="80"/>
        <v>-</v>
      </c>
      <c r="R140" s="267" t="str">
        <f t="shared" si="81"/>
        <v>-</v>
      </c>
      <c r="S140" s="268" t="str">
        <f t="shared" si="82"/>
        <v>-</v>
      </c>
      <c r="T140" s="269" t="str">
        <f t="shared" si="13"/>
        <v/>
      </c>
      <c r="U140" s="221">
        <f t="shared" si="14"/>
        <v>40</v>
      </c>
      <c r="V140" s="220" t="str">
        <f t="shared" si="42"/>
        <v>-</v>
      </c>
      <c r="W140" s="221" t="str">
        <f t="shared" si="43"/>
        <v>-</v>
      </c>
      <c r="X140" s="221" t="str">
        <f t="shared" si="15"/>
        <v>-</v>
      </c>
      <c r="Y140" s="221" t="str">
        <f t="shared" si="16"/>
        <v>-</v>
      </c>
      <c r="Z140" s="270">
        <f t="shared" si="44"/>
        <v>0.1</v>
      </c>
      <c r="AA140" s="271" t="str">
        <f>IFERROR(IF(V139=1,AA$100*EXP(-(LN(2)/$D$65+0.04)*X139)*EXP(-(LN(2)/$D$65+0.1)*Y139),IF(V139=2,AA$100*EXP(-(LN(2)/$D$65+0.04)*(VLOOKUP(($F$16-$F$15)-1,U$99:Y139,4,FALSE)))*EXP(-(LN(2)/$D$65+0.1)*(VLOOKUP(($F$16-$F$15)-1,U$99:Y139,5,FALSE)))*EXP(-(LN(2)/$D$65+0.04)*X139)*EXP(-(LN(2)/$D$65+0.1)*Y139),IF(V139=3,AA$100*EXP(-(LN(2)/$D$65+0.04)*(VLOOKUP(($F$16-$F$15)-1,U$99:Y139,4,FALSE)))*EXP(-(LN(2)/$D$65+0.1)*(VLOOKUP(($F$16-$F$15)-1,U$99:Y139,5,FALSE)))*EXP(-(LN(2)/$D$65+0.04)*(VLOOKUP(($F$16-$F$15)*2-1,U$99:Y139,4,FALSE)))*EXP(-(LN(2)/$D$65+0.1)*(VLOOKUP(($F$16-$F$15)*2-1,U$99:Y139,5,FALSE)))*EXP(-(LN(2)/$D$65+0.04)*X139)*EXP(-(LN(2)/$D$65+0.1)*Y139),"-"))),"-")</f>
        <v>-</v>
      </c>
      <c r="AB140" s="271" t="str">
        <f>IFERROR(IF(V140=1,AB$100*EXP(-(LN(2)/$D$65+0.04)*X140)*EXP(-(LN(2)/$D$65+0.1)*Y140),IF(V140=2,AB$100*EXP(-(LN(2)/$D$65+0.04)*(VLOOKUP(($F$16-$F$15)-1,U$100:Y140,4,FALSE)))*EXP(-(LN(2)/$D$65+0.1)*(VLOOKUP(($F$16-$F$15)-1,U$100:Y140,5,FALSE)))*EXP(-(LN(2)/$D$65+0.04)*X140)*EXP(-(LN(2)/$D$65+0.1)*Y140),IF(V140=3,AB$100*EXP(-(LN(2)/$D$65+0.04)*(VLOOKUP(($F$16-$F$15)-1,U$100:Y140,4,FALSE)))*EXP(-(LN(2)/$D$65+0.1)*(VLOOKUP(($F$16-$F$15)-1,U$100:Y140,5,FALSE)))*EXP(-(LN(2)/$D$65+0.04)*(VLOOKUP(($F$16-$F$15)*2-1,U$100:Y140,4,FALSE)))*EXP(-(LN(2)/$D$65+0.1)*(VLOOKUP(($F$16-$F$15)*2-1,U$100:Y140,5,FALSE)))*EXP(-(LN(2)/$D$65+0.04)*X140)*EXP(-(LN(2)/$D$65+0.1)*Y140),"-"))),"-")</f>
        <v>-</v>
      </c>
      <c r="AC140" s="224">
        <f t="shared" si="45"/>
        <v>40</v>
      </c>
      <c r="AD140" s="223" t="str">
        <f t="shared" si="18"/>
        <v>-</v>
      </c>
      <c r="AE140" s="224" t="str">
        <f t="shared" si="46"/>
        <v>-</v>
      </c>
      <c r="AF140" s="224" t="str">
        <f t="shared" si="19"/>
        <v>-</v>
      </c>
      <c r="AG140" s="224" t="str">
        <f t="shared" si="20"/>
        <v>-</v>
      </c>
      <c r="AH140" s="272">
        <f t="shared" si="47"/>
        <v>0.1</v>
      </c>
      <c r="AI140" s="271" t="str">
        <f>IFERROR(IF(AD139=1,AI$100*EXP(-(LN(2)/$D$65+0.04)*AF139)*EXP(-(LN(2)/$D$65+0.1)*AG139),IF(AD139=2,AI$100*EXP(-(LN(2)/$D$65+0.04)*(VLOOKUP(($F$16-$F$15)-1,AC$99:AG139,4,FALSE)))*EXP(-(LN(2)/$D$65+0.1)*(VLOOKUP(($F$16-$F$15)-1,AC$99:AG139,5,FALSE)))*EXP(-(LN(2)/$D$65+0.04)*AF139)*EXP(-(LN(2)/$D$65+0.1)*AG139),IF(AD139=3,AI$100*EXP(-(LN(2)/$D$65+0.04)*(VLOOKUP(($F$16-$F$15)-1,AC$99:AG139,4,FALSE)))*EXP(-(LN(2)/$D$65+0.1)*(VLOOKUP(($F$16-$F$15)-1,AC$99:AG139,5,FALSE)))*EXP(-(LN(2)/$D$65+0.04)*(VLOOKUP(($F$16-$F$15)*2-1,AC$99:AG139,4,FALSE)))*EXP(-(LN(2)/$D$65+0.1)*(VLOOKUP(($F$16-$F$15)*2-1,AC$99:AG139,5,FALSE)))*EXP(-(LN(2)/$D$65+0.04)*AF139)*EXP(-(LN(2)/$D$65+0.1)*AG139),"-"))),"-")</f>
        <v>-</v>
      </c>
      <c r="AJ140" s="271" t="str">
        <f>IFERROR(IF(AD140=1,AJ$100*EXP(-(LN(2)/$D$65+0.04)*AF140)*EXP(-(LN(2)/$D$65+0.1)*AG140),IF(AD140=2,AJ$100*EXP(-(LN(2)/$D$65+0.04)*(VLOOKUP(($F$16-$F$15)-1,AC$100:AG140,4,FALSE)))*EXP(-(LN(2)/$D$65+0.1)*(VLOOKUP(($F$16-$F$15)-1,AC$100:AG140,5,FALSE)))*EXP(-(LN(2)/$D$65+0.04)*AF140)*EXP(-(LN(2)/$D$65+0.1)*AG140),IF(AD140=3,AJ$100*EXP(-(LN(2)/$D$65+0.04)*(VLOOKUP(($F$16-$F$15)-1,AC$100:AG140,4,FALSE)))*EXP(-(LN(2)/$D$65+0.1)*(VLOOKUP(($F$16-$F$15)-1,AC$100:AG140,5,FALSE)))*EXP(-(LN(2)/$D$65+0.04)*(VLOOKUP(($F$16-$F$15)*2-1,AC$100:AG140,4,FALSE)))*EXP(-(LN(2)/$D$65+0.1)*(VLOOKUP(($F$16-$F$15)*2-1,AC$100:AG140,5,FALSE)))*EXP(-(LN(2)/$D$65+0.04)*AF140)*EXP(-(LN(2)/$D$65+0.1)*AG140),"-"))),"-")</f>
        <v>-</v>
      </c>
      <c r="AK140" s="227">
        <f t="shared" si="49"/>
        <v>40</v>
      </c>
      <c r="AL140" s="226" t="str">
        <f t="shared" si="22"/>
        <v>-</v>
      </c>
      <c r="AM140" s="227" t="str">
        <f t="shared" si="50"/>
        <v>-</v>
      </c>
      <c r="AN140" s="227" t="str">
        <f t="shared" si="51"/>
        <v>-</v>
      </c>
      <c r="AO140" s="227" t="str">
        <f t="shared" si="23"/>
        <v>-</v>
      </c>
      <c r="AP140" s="273">
        <f t="shared" si="52"/>
        <v>0.1</v>
      </c>
      <c r="AQ140" s="271" t="str">
        <f>IFERROR(IF(AL139=1,AQ$100*EXP(-(LN(2)/$D$65+0.04)*AN139)*EXP(-(LN(2)/$D$65+0.1)*AO139),IF(AL139=2,AQ$100*EXP(-(LN(2)/$D$65+0.04)*(VLOOKUP(($F$16-$F$15)-1,AK$99:AO139,4,FALSE)))*EXP(-(LN(2)/$D$65+0.1)*(VLOOKUP(($F$16-$F$15)-1,AK$99:AO139,5,FALSE)))*EXP(-(LN(2)/$D$65+0.04)*AN139)*EXP(-(LN(2)/$D$65+0.1)*AO139),IF(AL139=3,AQ$100*EXP(-(LN(2)/$D$65+0.04)*(VLOOKUP(($F$16-$F$15)-1,AK$99:AO139,4,FALSE)))*EXP(-(LN(2)/$D$65+0.1)*(VLOOKUP(($F$16-$F$15)-1,AK$99:AO139,5,FALSE)))*EXP(-(LN(2)/$D$65+0.04)*(VLOOKUP(($F$16-$F$15)*2-1,AK$99:AO139,4,FALSE)))*EXP(-(LN(2)/$D$65+0.1)*(VLOOKUP(($F$16-$F$15)*2-1,AK$99:AO139,5,FALSE)))*EXP(-(LN(2)/$D$65+0.04)*AN139)*EXP(-(LN(2)/$D$65+0.1)*AO139),"-"))),"-")</f>
        <v>-</v>
      </c>
      <c r="AR140" s="271" t="str">
        <f>IFERROR(IF(AL140=1,AR$100*EXP(-(LN(2)/$D$65+0.04)*AN140)*EXP(-(LN(2)/$D$65+0.1)*AO140),IF(AL140=2,AR$100*EXP(-(LN(2)/$D$65+0.04)*(VLOOKUP(($F$16-$F$15)-1,AK$100:AO140,4,FALSE)))*EXP(-(LN(2)/$D$65+0.1)*(VLOOKUP(($F$16-$F$15)-1,AK$100:AO140,5,FALSE)))*EXP(-(LN(2)/$D$65+0.04)*AN140)*EXP(-(LN(2)/$D$65+0.1)*AO140),IF(AL140=3,AR$100*EXP(-(LN(2)/$D$65+0.04)*(VLOOKUP(($F$16-$F$15)-1,AK$100:AO140,4,FALSE)))*EXP(-(LN(2)/$D$65+0.1)*(VLOOKUP(($F$16-$F$15)-1,AK$100:AO140,5,FALSE)))*EXP(-(LN(2)/$D$65+0.04)*(VLOOKUP(($F$16-$F$15)*2-1,AK$100:AO140,4,FALSE)))*EXP(-(LN(2)/$D$65+0.1)*(VLOOKUP(($F$16-$F$15)*2-1,AK$100:AO140,5,FALSE)))*EXP(-(LN(2)/$D$65+0.04)*AN140)*EXP(-(LN(2)/$D$65+0.1)*AO140),"-"))),"-")</f>
        <v>-</v>
      </c>
      <c r="AS140" s="274">
        <f t="shared" si="24"/>
        <v>0</v>
      </c>
      <c r="AT140" s="274">
        <f t="shared" si="25"/>
        <v>0</v>
      </c>
      <c r="AU140" s="274">
        <f t="shared" si="26"/>
        <v>0</v>
      </c>
      <c r="AV140" s="190" t="str">
        <f>IF($B140&lt;$F$22,SUM($T$100:$T140),"")</f>
        <v/>
      </c>
      <c r="AW140" s="190" t="str">
        <f t="shared" si="83"/>
        <v>-</v>
      </c>
      <c r="AX140" s="190" t="str">
        <f t="shared" si="56"/>
        <v/>
      </c>
      <c r="AY140"/>
      <c r="AZ140" s="190" t="str">
        <f ca="1">IF(ISNUMBER(OFFSET(AV140,-$F$21,0)),SUM(OFFSET($T$100,$F$21,0):$T140),"")</f>
        <v/>
      </c>
      <c r="BA140" s="190" t="str">
        <f t="shared" ca="1" si="84"/>
        <v/>
      </c>
      <c r="BB140" s="190" t="str">
        <f t="shared" ca="1" si="70"/>
        <v/>
      </c>
      <c r="BC140" s="190"/>
      <c r="BD140" s="190" t="str">
        <f ca="1">IFERROR(IF(OR(ISNUMBER(I),ISNUMBER($F$14)),IF(AND($B140&gt;=($F$16-$F$15),$B140&lt;$F$22+($F$16-$F$15)),SUM(OFFSET($T$100,($F$16-$F$15),0):$T140),""),""),"")</f>
        <v/>
      </c>
      <c r="BE140" s="190" t="str">
        <f t="shared" ca="1" si="58"/>
        <v/>
      </c>
      <c r="BF140" s="190" t="str">
        <f t="shared" ca="1" si="59"/>
        <v/>
      </c>
      <c r="BG140"/>
      <c r="BH140" s="190" t="str">
        <f ca="1">IF(ISNUMBER(OFFSET(BD140,-$F$21,0)),SUM(OFFSET($T$100,($F$16-$F$15+$F$21),0):$T140),"")</f>
        <v/>
      </c>
      <c r="BI140" s="190" t="str">
        <f t="shared" ca="1" si="85"/>
        <v/>
      </c>
      <c r="BJ140" s="190" t="str">
        <f t="shared" ca="1" si="60"/>
        <v/>
      </c>
      <c r="BK140" s="190"/>
      <c r="BL140" s="190" t="str">
        <f ca="1">IFERROR(IF(OR(ISNUMBER(I),ISNUMBER($F$14)),IF(AND($B140&gt;=($F$17-$F$15),$B140&lt;$F$22+($F$17-$F$15)),SUM(OFFSET($T$100,($F$17-$F$15),0):$T140),""),""),"")</f>
        <v/>
      </c>
      <c r="BM140" s="190" t="str">
        <f t="shared" ca="1" si="86"/>
        <v/>
      </c>
      <c r="BN140" s="190" t="str">
        <f t="shared" ca="1" si="61"/>
        <v/>
      </c>
      <c r="BO140"/>
      <c r="BP140" s="190" t="str">
        <f ca="1">IF(ISNUMBER(OFFSET(BL140,-$F$21,0)),SUM(OFFSET($T$100,($F$17-$F$15+$F$21),0):$T140),"")</f>
        <v/>
      </c>
      <c r="BQ140" s="190" t="str">
        <f t="shared" ca="1" si="87"/>
        <v/>
      </c>
      <c r="BR140" s="190" t="str">
        <f t="shared" ca="1" si="63"/>
        <v/>
      </c>
      <c r="BS140" s="190"/>
      <c r="BT140"/>
      <c r="BU140"/>
      <c r="BV140"/>
      <c r="BY140" s="99"/>
      <c r="BZ140" s="99"/>
      <c r="CA140" s="280" t="str">
        <f t="shared" si="88"/>
        <v/>
      </c>
      <c r="CB140" s="71" t="str">
        <f t="shared" si="31"/>
        <v>-</v>
      </c>
      <c r="CC140" s="33"/>
      <c r="CD140" s="261" t="str">
        <f t="shared" si="33"/>
        <v/>
      </c>
      <c r="CE140" s="280" t="str">
        <f t="shared" si="89"/>
        <v/>
      </c>
      <c r="CF140" s="71" t="str">
        <f t="shared" ca="1" si="90"/>
        <v/>
      </c>
      <c r="CG140" s="33" t="str">
        <f t="shared" si="36"/>
        <v/>
      </c>
      <c r="CH140" s="261" t="str">
        <f t="shared" ca="1" si="37"/>
        <v/>
      </c>
      <c r="CI140" s="202"/>
      <c r="CJ140" s="99"/>
      <c r="CK140" s="99"/>
      <c r="CL140" s="99"/>
      <c r="CM140" s="99"/>
      <c r="CN140" s="99"/>
      <c r="CO140" s="99"/>
    </row>
    <row r="141" spans="2:93" ht="13.5" customHeight="1" x14ac:dyDescent="0.2">
      <c r="B141" s="262">
        <v>41</v>
      </c>
      <c r="C141" s="237" t="str">
        <f t="shared" si="1"/>
        <v/>
      </c>
      <c r="D141" s="237" t="str">
        <f t="shared" si="66"/>
        <v/>
      </c>
      <c r="E141" s="290" t="str">
        <f t="shared" si="38"/>
        <v/>
      </c>
      <c r="F141" s="264" t="str">
        <f t="shared" si="39"/>
        <v/>
      </c>
      <c r="G141" s="291" t="str">
        <f t="shared" si="40"/>
        <v/>
      </c>
      <c r="H141" s="240" t="str">
        <f t="shared" si="71"/>
        <v/>
      </c>
      <c r="I141" s="265" t="str">
        <f t="shared" si="72"/>
        <v/>
      </c>
      <c r="J141" s="265" t="str">
        <f t="shared" si="73"/>
        <v/>
      </c>
      <c r="K141" s="240" t="str">
        <f t="shared" si="74"/>
        <v/>
      </c>
      <c r="L141" s="265" t="str">
        <f t="shared" si="75"/>
        <v/>
      </c>
      <c r="M141" s="265" t="str">
        <f t="shared" si="76"/>
        <v/>
      </c>
      <c r="N141" s="240" t="str">
        <f t="shared" si="77"/>
        <v>-</v>
      </c>
      <c r="O141" s="265" t="str">
        <f t="shared" si="78"/>
        <v>-</v>
      </c>
      <c r="P141" s="265" t="str">
        <f t="shared" si="79"/>
        <v>-</v>
      </c>
      <c r="Q141" s="266" t="str">
        <f t="shared" si="80"/>
        <v>-</v>
      </c>
      <c r="R141" s="267" t="str">
        <f t="shared" si="81"/>
        <v>-</v>
      </c>
      <c r="S141" s="268" t="str">
        <f t="shared" si="82"/>
        <v>-</v>
      </c>
      <c r="T141" s="269" t="str">
        <f t="shared" si="13"/>
        <v/>
      </c>
      <c r="U141" s="221">
        <f t="shared" si="14"/>
        <v>41</v>
      </c>
      <c r="V141" s="220" t="str">
        <f t="shared" si="42"/>
        <v>-</v>
      </c>
      <c r="W141" s="221" t="str">
        <f t="shared" si="43"/>
        <v>-</v>
      </c>
      <c r="X141" s="221" t="str">
        <f t="shared" si="15"/>
        <v>-</v>
      </c>
      <c r="Y141" s="221" t="str">
        <f t="shared" si="16"/>
        <v>-</v>
      </c>
      <c r="Z141" s="270">
        <f t="shared" si="44"/>
        <v>0.1</v>
      </c>
      <c r="AA141" s="271" t="str">
        <f>IFERROR(IF(V140=1,AA$100*EXP(-(LN(2)/$D$65+0.04)*X140)*EXP(-(LN(2)/$D$65+0.1)*Y140),IF(V140=2,AA$100*EXP(-(LN(2)/$D$65+0.04)*(VLOOKUP(($F$16-$F$15)-1,U$99:Y140,4,FALSE)))*EXP(-(LN(2)/$D$65+0.1)*(VLOOKUP(($F$16-$F$15)-1,U$99:Y140,5,FALSE)))*EXP(-(LN(2)/$D$65+0.04)*X140)*EXP(-(LN(2)/$D$65+0.1)*Y140),IF(V140=3,AA$100*EXP(-(LN(2)/$D$65+0.04)*(VLOOKUP(($F$16-$F$15)-1,U$99:Y140,4,FALSE)))*EXP(-(LN(2)/$D$65+0.1)*(VLOOKUP(($F$16-$F$15)-1,U$99:Y140,5,FALSE)))*EXP(-(LN(2)/$D$65+0.04)*(VLOOKUP(($F$16-$F$15)*2-1,U$99:Y140,4,FALSE)))*EXP(-(LN(2)/$D$65+0.1)*(VLOOKUP(($F$16-$F$15)*2-1,U$99:Y140,5,FALSE)))*EXP(-(LN(2)/$D$65+0.04)*X140)*EXP(-(LN(2)/$D$65+0.1)*Y140),"-"))),"-")</f>
        <v>-</v>
      </c>
      <c r="AB141" s="271" t="str">
        <f>IFERROR(IF(V141=1,AB$100*EXP(-(LN(2)/$D$65+0.04)*X141)*EXP(-(LN(2)/$D$65+0.1)*Y141),IF(V141=2,AB$100*EXP(-(LN(2)/$D$65+0.04)*(VLOOKUP(($F$16-$F$15)-1,U$100:Y141,4,FALSE)))*EXP(-(LN(2)/$D$65+0.1)*(VLOOKUP(($F$16-$F$15)-1,U$100:Y141,5,FALSE)))*EXP(-(LN(2)/$D$65+0.04)*X141)*EXP(-(LN(2)/$D$65+0.1)*Y141),IF(V141=3,AB$100*EXP(-(LN(2)/$D$65+0.04)*(VLOOKUP(($F$16-$F$15)-1,U$100:Y141,4,FALSE)))*EXP(-(LN(2)/$D$65+0.1)*(VLOOKUP(($F$16-$F$15)-1,U$100:Y141,5,FALSE)))*EXP(-(LN(2)/$D$65+0.04)*(VLOOKUP(($F$16-$F$15)*2-1,U$100:Y141,4,FALSE)))*EXP(-(LN(2)/$D$65+0.1)*(VLOOKUP(($F$16-$F$15)*2-1,U$100:Y141,5,FALSE)))*EXP(-(LN(2)/$D$65+0.04)*X141)*EXP(-(LN(2)/$D$65+0.1)*Y141),"-"))),"-")</f>
        <v>-</v>
      </c>
      <c r="AC141" s="224">
        <f t="shared" si="45"/>
        <v>41</v>
      </c>
      <c r="AD141" s="223" t="str">
        <f t="shared" si="18"/>
        <v>-</v>
      </c>
      <c r="AE141" s="224" t="str">
        <f t="shared" si="46"/>
        <v>-</v>
      </c>
      <c r="AF141" s="224" t="str">
        <f t="shared" si="19"/>
        <v>-</v>
      </c>
      <c r="AG141" s="224" t="str">
        <f t="shared" si="20"/>
        <v>-</v>
      </c>
      <c r="AH141" s="272">
        <f t="shared" si="47"/>
        <v>0.1</v>
      </c>
      <c r="AI141" s="271" t="str">
        <f>IFERROR(IF(AD140=1,AI$100*EXP(-(LN(2)/$D$65+0.04)*AF140)*EXP(-(LN(2)/$D$65+0.1)*AG140),IF(AD140=2,AI$100*EXP(-(LN(2)/$D$65+0.04)*(VLOOKUP(($F$16-$F$15)-1,AC$99:AG140,4,FALSE)))*EXP(-(LN(2)/$D$65+0.1)*(VLOOKUP(($F$16-$F$15)-1,AC$99:AG140,5,FALSE)))*EXP(-(LN(2)/$D$65+0.04)*AF140)*EXP(-(LN(2)/$D$65+0.1)*AG140),IF(AD140=3,AI$100*EXP(-(LN(2)/$D$65+0.04)*(VLOOKUP(($F$16-$F$15)-1,AC$99:AG140,4,FALSE)))*EXP(-(LN(2)/$D$65+0.1)*(VLOOKUP(($F$16-$F$15)-1,AC$99:AG140,5,FALSE)))*EXP(-(LN(2)/$D$65+0.04)*(VLOOKUP(($F$16-$F$15)*2-1,AC$99:AG140,4,FALSE)))*EXP(-(LN(2)/$D$65+0.1)*(VLOOKUP(($F$16-$F$15)*2-1,AC$99:AG140,5,FALSE)))*EXP(-(LN(2)/$D$65+0.04)*AF140)*EXP(-(LN(2)/$D$65+0.1)*AG140),"-"))),"-")</f>
        <v>-</v>
      </c>
      <c r="AJ141" s="271" t="str">
        <f>IFERROR(IF(AD141=1,AJ$100*EXP(-(LN(2)/$D$65+0.04)*AF141)*EXP(-(LN(2)/$D$65+0.1)*AG141),IF(AD141=2,AJ$100*EXP(-(LN(2)/$D$65+0.04)*(VLOOKUP(($F$16-$F$15)-1,AC$100:AG141,4,FALSE)))*EXP(-(LN(2)/$D$65+0.1)*(VLOOKUP(($F$16-$F$15)-1,AC$100:AG141,5,FALSE)))*EXP(-(LN(2)/$D$65+0.04)*AF141)*EXP(-(LN(2)/$D$65+0.1)*AG141),IF(AD141=3,AJ$100*EXP(-(LN(2)/$D$65+0.04)*(VLOOKUP(($F$16-$F$15)-1,AC$100:AG141,4,FALSE)))*EXP(-(LN(2)/$D$65+0.1)*(VLOOKUP(($F$16-$F$15)-1,AC$100:AG141,5,FALSE)))*EXP(-(LN(2)/$D$65+0.04)*(VLOOKUP(($F$16-$F$15)*2-1,AC$100:AG141,4,FALSE)))*EXP(-(LN(2)/$D$65+0.1)*(VLOOKUP(($F$16-$F$15)*2-1,AC$100:AG141,5,FALSE)))*EXP(-(LN(2)/$D$65+0.04)*AF141)*EXP(-(LN(2)/$D$65+0.1)*AG141),"-"))),"-")</f>
        <v>-</v>
      </c>
      <c r="AK141" s="227">
        <f t="shared" si="49"/>
        <v>41</v>
      </c>
      <c r="AL141" s="226" t="str">
        <f t="shared" si="22"/>
        <v>-</v>
      </c>
      <c r="AM141" s="227" t="str">
        <f t="shared" si="50"/>
        <v>-</v>
      </c>
      <c r="AN141" s="227" t="str">
        <f t="shared" si="51"/>
        <v>-</v>
      </c>
      <c r="AO141" s="227" t="str">
        <f t="shared" si="23"/>
        <v>-</v>
      </c>
      <c r="AP141" s="273">
        <f t="shared" si="52"/>
        <v>0.1</v>
      </c>
      <c r="AQ141" s="271" t="str">
        <f>IFERROR(IF(AL140=1,AQ$100*EXP(-(LN(2)/$D$65+0.04)*AN140)*EXP(-(LN(2)/$D$65+0.1)*AO140),IF(AL140=2,AQ$100*EXP(-(LN(2)/$D$65+0.04)*(VLOOKUP(($F$16-$F$15)-1,AK$99:AO140,4,FALSE)))*EXP(-(LN(2)/$D$65+0.1)*(VLOOKUP(($F$16-$F$15)-1,AK$99:AO140,5,FALSE)))*EXP(-(LN(2)/$D$65+0.04)*AN140)*EXP(-(LN(2)/$D$65+0.1)*AO140),IF(AL140=3,AQ$100*EXP(-(LN(2)/$D$65+0.04)*(VLOOKUP(($F$16-$F$15)-1,AK$99:AO140,4,FALSE)))*EXP(-(LN(2)/$D$65+0.1)*(VLOOKUP(($F$16-$F$15)-1,AK$99:AO140,5,FALSE)))*EXP(-(LN(2)/$D$65+0.04)*(VLOOKUP(($F$16-$F$15)*2-1,AK$99:AO140,4,FALSE)))*EXP(-(LN(2)/$D$65+0.1)*(VLOOKUP(($F$16-$F$15)*2-1,AK$99:AO140,5,FALSE)))*EXP(-(LN(2)/$D$65+0.04)*AN140)*EXP(-(LN(2)/$D$65+0.1)*AO140),"-"))),"-")</f>
        <v>-</v>
      </c>
      <c r="AR141" s="271" t="str">
        <f>IFERROR(IF(AL141=1,AR$100*EXP(-(LN(2)/$D$65+0.04)*AN141)*EXP(-(LN(2)/$D$65+0.1)*AO141),IF(AL141=2,AR$100*EXP(-(LN(2)/$D$65+0.04)*(VLOOKUP(($F$16-$F$15)-1,AK$100:AO141,4,FALSE)))*EXP(-(LN(2)/$D$65+0.1)*(VLOOKUP(($F$16-$F$15)-1,AK$100:AO141,5,FALSE)))*EXP(-(LN(2)/$D$65+0.04)*AN141)*EXP(-(LN(2)/$D$65+0.1)*AO141),IF(AL141=3,AR$100*EXP(-(LN(2)/$D$65+0.04)*(VLOOKUP(($F$16-$F$15)-1,AK$100:AO141,4,FALSE)))*EXP(-(LN(2)/$D$65+0.1)*(VLOOKUP(($F$16-$F$15)-1,AK$100:AO141,5,FALSE)))*EXP(-(LN(2)/$D$65+0.04)*(VLOOKUP(($F$16-$F$15)*2-1,AK$100:AO141,4,FALSE)))*EXP(-(LN(2)/$D$65+0.1)*(VLOOKUP(($F$16-$F$15)*2-1,AK$100:AO141,5,FALSE)))*EXP(-(LN(2)/$D$65+0.04)*AN141)*EXP(-(LN(2)/$D$65+0.1)*AO141),"-"))),"-")</f>
        <v>-</v>
      </c>
      <c r="AS141" s="274">
        <f t="shared" si="24"/>
        <v>0</v>
      </c>
      <c r="AT141" s="274">
        <f t="shared" si="25"/>
        <v>0</v>
      </c>
      <c r="AU141" s="274">
        <f t="shared" si="26"/>
        <v>0</v>
      </c>
      <c r="AV141" s="190" t="str">
        <f>IF($B141&lt;$F$22,SUM($T$100:$T141),"")</f>
        <v/>
      </c>
      <c r="AW141" s="190" t="str">
        <f t="shared" si="83"/>
        <v>-</v>
      </c>
      <c r="AX141" s="190" t="str">
        <f t="shared" si="56"/>
        <v/>
      </c>
      <c r="AY141"/>
      <c r="AZ141" s="190" t="str">
        <f ca="1">IF(ISNUMBER(OFFSET(AV141,-$F$21,0)),SUM(OFFSET($T$100,$F$21,0):$T141),"")</f>
        <v/>
      </c>
      <c r="BA141" s="190" t="str">
        <f t="shared" ca="1" si="84"/>
        <v/>
      </c>
      <c r="BB141" s="190" t="str">
        <f t="shared" ca="1" si="70"/>
        <v/>
      </c>
      <c r="BC141" s="190"/>
      <c r="BD141" s="190" t="str">
        <f ca="1">IFERROR(IF(OR(ISNUMBER(I),ISNUMBER($F$14)),IF(AND($B141&gt;=($F$16-$F$15),$B141&lt;$F$22+($F$16-$F$15)),SUM(OFFSET($T$100,($F$16-$F$15),0):$T141),""),""),"")</f>
        <v/>
      </c>
      <c r="BE141" s="190" t="str">
        <f t="shared" ca="1" si="58"/>
        <v/>
      </c>
      <c r="BF141" s="190" t="str">
        <f t="shared" ca="1" si="59"/>
        <v/>
      </c>
      <c r="BG141"/>
      <c r="BH141" s="190" t="str">
        <f ca="1">IF(ISNUMBER(OFFSET(BD141,-$F$21,0)),SUM(OFFSET($T$100,($F$16-$F$15+$F$21),0):$T141),"")</f>
        <v/>
      </c>
      <c r="BI141" s="190" t="str">
        <f t="shared" ca="1" si="85"/>
        <v/>
      </c>
      <c r="BJ141" s="190" t="str">
        <f t="shared" ca="1" si="60"/>
        <v/>
      </c>
      <c r="BK141" s="190"/>
      <c r="BL141" s="190" t="str">
        <f ca="1">IFERROR(IF(OR(ISNUMBER(I),ISNUMBER($F$14)),IF(AND($B141&gt;=($F$17-$F$15),$B141&lt;$F$22+($F$17-$F$15)),SUM(OFFSET($T$100,($F$17-$F$15),0):$T141),""),""),"")</f>
        <v/>
      </c>
      <c r="BM141" s="190" t="str">
        <f t="shared" ca="1" si="86"/>
        <v/>
      </c>
      <c r="BN141" s="190" t="str">
        <f t="shared" ca="1" si="61"/>
        <v/>
      </c>
      <c r="BO141"/>
      <c r="BP141" s="190" t="str">
        <f ca="1">IF(ISNUMBER(OFFSET(BL141,-$F$21,0)),SUM(OFFSET($T$100,($F$17-$F$15+$F$21),0):$T141),"")</f>
        <v/>
      </c>
      <c r="BQ141" s="190" t="str">
        <f t="shared" ca="1" si="87"/>
        <v/>
      </c>
      <c r="BR141" s="190" t="str">
        <f t="shared" ca="1" si="63"/>
        <v/>
      </c>
      <c r="BS141" s="190"/>
      <c r="BT141"/>
      <c r="BU141"/>
      <c r="BV141"/>
      <c r="BY141" s="99"/>
      <c r="BZ141" s="99"/>
      <c r="CA141" s="280" t="str">
        <f t="shared" si="88"/>
        <v/>
      </c>
      <c r="CB141" s="71" t="str">
        <f t="shared" si="31"/>
        <v>-</v>
      </c>
      <c r="CC141" s="33"/>
      <c r="CD141" s="261" t="str">
        <f t="shared" si="33"/>
        <v/>
      </c>
      <c r="CE141" s="280" t="str">
        <f t="shared" si="89"/>
        <v/>
      </c>
      <c r="CF141" s="71" t="str">
        <f t="shared" ca="1" si="90"/>
        <v/>
      </c>
      <c r="CG141" s="33" t="str">
        <f t="shared" si="36"/>
        <v/>
      </c>
      <c r="CH141" s="261" t="str">
        <f t="shared" ca="1" si="37"/>
        <v/>
      </c>
      <c r="CI141" s="202"/>
      <c r="CJ141" s="99"/>
      <c r="CK141" s="99"/>
      <c r="CL141" s="99"/>
      <c r="CM141" s="99"/>
      <c r="CN141" s="99"/>
      <c r="CO141" s="99"/>
    </row>
    <row r="142" spans="2:93" ht="13.5" customHeight="1" x14ac:dyDescent="0.2">
      <c r="B142" s="262">
        <v>42</v>
      </c>
      <c r="C142" s="237" t="str">
        <f t="shared" si="1"/>
        <v/>
      </c>
      <c r="D142" s="237" t="str">
        <f t="shared" si="66"/>
        <v/>
      </c>
      <c r="E142" s="290" t="str">
        <f t="shared" si="38"/>
        <v/>
      </c>
      <c r="F142" s="264" t="str">
        <f t="shared" si="39"/>
        <v/>
      </c>
      <c r="G142" s="291" t="str">
        <f t="shared" si="40"/>
        <v/>
      </c>
      <c r="H142" s="240" t="str">
        <f t="shared" si="71"/>
        <v/>
      </c>
      <c r="I142" s="265" t="str">
        <f t="shared" si="72"/>
        <v/>
      </c>
      <c r="J142" s="265" t="str">
        <f t="shared" si="73"/>
        <v/>
      </c>
      <c r="K142" s="240" t="str">
        <f t="shared" si="74"/>
        <v/>
      </c>
      <c r="L142" s="265" t="str">
        <f t="shared" si="75"/>
        <v/>
      </c>
      <c r="M142" s="265" t="str">
        <f t="shared" si="76"/>
        <v/>
      </c>
      <c r="N142" s="240" t="str">
        <f t="shared" si="77"/>
        <v>-</v>
      </c>
      <c r="O142" s="265" t="str">
        <f t="shared" si="78"/>
        <v>-</v>
      </c>
      <c r="P142" s="265" t="str">
        <f t="shared" si="79"/>
        <v>-</v>
      </c>
      <c r="Q142" s="266" t="str">
        <f t="shared" si="80"/>
        <v>-</v>
      </c>
      <c r="R142" s="267" t="str">
        <f t="shared" si="81"/>
        <v>-</v>
      </c>
      <c r="S142" s="268" t="str">
        <f t="shared" si="82"/>
        <v>-</v>
      </c>
      <c r="T142" s="269" t="str">
        <f t="shared" si="13"/>
        <v/>
      </c>
      <c r="U142" s="221">
        <f t="shared" si="14"/>
        <v>42</v>
      </c>
      <c r="V142" s="220" t="str">
        <f t="shared" si="42"/>
        <v>-</v>
      </c>
      <c r="W142" s="221" t="str">
        <f t="shared" si="43"/>
        <v>-</v>
      </c>
      <c r="X142" s="221" t="str">
        <f t="shared" si="15"/>
        <v>-</v>
      </c>
      <c r="Y142" s="221" t="str">
        <f t="shared" si="16"/>
        <v>-</v>
      </c>
      <c r="Z142" s="270">
        <f t="shared" si="44"/>
        <v>0.1</v>
      </c>
      <c r="AA142" s="271" t="str">
        <f>IFERROR(IF(V141=1,AA$100*EXP(-(LN(2)/$D$65+0.04)*X141)*EXP(-(LN(2)/$D$65+0.1)*Y141),IF(V141=2,AA$100*EXP(-(LN(2)/$D$65+0.04)*(VLOOKUP(($F$16-$F$15)-1,U$99:Y141,4,FALSE)))*EXP(-(LN(2)/$D$65+0.1)*(VLOOKUP(($F$16-$F$15)-1,U$99:Y141,5,FALSE)))*EXP(-(LN(2)/$D$65+0.04)*X141)*EXP(-(LN(2)/$D$65+0.1)*Y141),IF(V141=3,AA$100*EXP(-(LN(2)/$D$65+0.04)*(VLOOKUP(($F$16-$F$15)-1,U$99:Y141,4,FALSE)))*EXP(-(LN(2)/$D$65+0.1)*(VLOOKUP(($F$16-$F$15)-1,U$99:Y141,5,FALSE)))*EXP(-(LN(2)/$D$65+0.04)*(VLOOKUP(($F$16-$F$15)*2-1,U$99:Y141,4,FALSE)))*EXP(-(LN(2)/$D$65+0.1)*(VLOOKUP(($F$16-$F$15)*2-1,U$99:Y141,5,FALSE)))*EXP(-(LN(2)/$D$65+0.04)*X141)*EXP(-(LN(2)/$D$65+0.1)*Y141),"-"))),"-")</f>
        <v>-</v>
      </c>
      <c r="AB142" s="271" t="str">
        <f>IFERROR(IF(V142=1,AB$100*EXP(-(LN(2)/$D$65+0.04)*X142)*EXP(-(LN(2)/$D$65+0.1)*Y142),IF(V142=2,AB$100*EXP(-(LN(2)/$D$65+0.04)*(VLOOKUP(($F$16-$F$15)-1,U$100:Y142,4,FALSE)))*EXP(-(LN(2)/$D$65+0.1)*(VLOOKUP(($F$16-$F$15)-1,U$100:Y142,5,FALSE)))*EXP(-(LN(2)/$D$65+0.04)*X142)*EXP(-(LN(2)/$D$65+0.1)*Y142),IF(V142=3,AB$100*EXP(-(LN(2)/$D$65+0.04)*(VLOOKUP(($F$16-$F$15)-1,U$100:Y142,4,FALSE)))*EXP(-(LN(2)/$D$65+0.1)*(VLOOKUP(($F$16-$F$15)-1,U$100:Y142,5,FALSE)))*EXP(-(LN(2)/$D$65+0.04)*(VLOOKUP(($F$16-$F$15)*2-1,U$100:Y142,4,FALSE)))*EXP(-(LN(2)/$D$65+0.1)*(VLOOKUP(($F$16-$F$15)*2-1,U$100:Y142,5,FALSE)))*EXP(-(LN(2)/$D$65+0.04)*X142)*EXP(-(LN(2)/$D$65+0.1)*Y142),"-"))),"-")</f>
        <v>-</v>
      </c>
      <c r="AC142" s="224">
        <f t="shared" si="45"/>
        <v>42</v>
      </c>
      <c r="AD142" s="223" t="str">
        <f t="shared" si="18"/>
        <v>-</v>
      </c>
      <c r="AE142" s="224" t="str">
        <f t="shared" si="46"/>
        <v>-</v>
      </c>
      <c r="AF142" s="224" t="str">
        <f t="shared" si="19"/>
        <v>-</v>
      </c>
      <c r="AG142" s="224" t="str">
        <f t="shared" si="20"/>
        <v>-</v>
      </c>
      <c r="AH142" s="272">
        <f t="shared" si="47"/>
        <v>0.1</v>
      </c>
      <c r="AI142" s="271" t="str">
        <f>IFERROR(IF(AD141=1,AI$100*EXP(-(LN(2)/$D$65+0.04)*AF141)*EXP(-(LN(2)/$D$65+0.1)*AG141),IF(AD141=2,AI$100*EXP(-(LN(2)/$D$65+0.04)*(VLOOKUP(($F$16-$F$15)-1,AC$99:AG141,4,FALSE)))*EXP(-(LN(2)/$D$65+0.1)*(VLOOKUP(($F$16-$F$15)-1,AC$99:AG141,5,FALSE)))*EXP(-(LN(2)/$D$65+0.04)*AF141)*EXP(-(LN(2)/$D$65+0.1)*AG141),IF(AD141=3,AI$100*EXP(-(LN(2)/$D$65+0.04)*(VLOOKUP(($F$16-$F$15)-1,AC$99:AG141,4,FALSE)))*EXP(-(LN(2)/$D$65+0.1)*(VLOOKUP(($F$16-$F$15)-1,AC$99:AG141,5,FALSE)))*EXP(-(LN(2)/$D$65+0.04)*(VLOOKUP(($F$16-$F$15)*2-1,AC$99:AG141,4,FALSE)))*EXP(-(LN(2)/$D$65+0.1)*(VLOOKUP(($F$16-$F$15)*2-1,AC$99:AG141,5,FALSE)))*EXP(-(LN(2)/$D$65+0.04)*AF141)*EXP(-(LN(2)/$D$65+0.1)*AG141),"-"))),"-")</f>
        <v>-</v>
      </c>
      <c r="AJ142" s="271" t="str">
        <f>IFERROR(IF(AD142=1,AJ$100*EXP(-(LN(2)/$D$65+0.04)*AF142)*EXP(-(LN(2)/$D$65+0.1)*AG142),IF(AD142=2,AJ$100*EXP(-(LN(2)/$D$65+0.04)*(VLOOKUP(($F$16-$F$15)-1,AC$100:AG142,4,FALSE)))*EXP(-(LN(2)/$D$65+0.1)*(VLOOKUP(($F$16-$F$15)-1,AC$100:AG142,5,FALSE)))*EXP(-(LN(2)/$D$65+0.04)*AF142)*EXP(-(LN(2)/$D$65+0.1)*AG142),IF(AD142=3,AJ$100*EXP(-(LN(2)/$D$65+0.04)*(VLOOKUP(($F$16-$F$15)-1,AC$100:AG142,4,FALSE)))*EXP(-(LN(2)/$D$65+0.1)*(VLOOKUP(($F$16-$F$15)-1,AC$100:AG142,5,FALSE)))*EXP(-(LN(2)/$D$65+0.04)*(VLOOKUP(($F$16-$F$15)*2-1,AC$100:AG142,4,FALSE)))*EXP(-(LN(2)/$D$65+0.1)*(VLOOKUP(($F$16-$F$15)*2-1,AC$100:AG142,5,FALSE)))*EXP(-(LN(2)/$D$65+0.04)*AF142)*EXP(-(LN(2)/$D$65+0.1)*AG142),"-"))),"-")</f>
        <v>-</v>
      </c>
      <c r="AK142" s="227">
        <f t="shared" si="49"/>
        <v>42</v>
      </c>
      <c r="AL142" s="226" t="str">
        <f t="shared" si="22"/>
        <v>-</v>
      </c>
      <c r="AM142" s="227" t="str">
        <f t="shared" si="50"/>
        <v>-</v>
      </c>
      <c r="AN142" s="227" t="str">
        <f t="shared" si="51"/>
        <v>-</v>
      </c>
      <c r="AO142" s="227" t="str">
        <f t="shared" si="23"/>
        <v>-</v>
      </c>
      <c r="AP142" s="273">
        <f t="shared" si="52"/>
        <v>0.1</v>
      </c>
      <c r="AQ142" s="271" t="str">
        <f>IFERROR(IF(AL141=1,AQ$100*EXP(-(LN(2)/$D$65+0.04)*AN141)*EXP(-(LN(2)/$D$65+0.1)*AO141),IF(AL141=2,AQ$100*EXP(-(LN(2)/$D$65+0.04)*(VLOOKUP(($F$16-$F$15)-1,AK$99:AO141,4,FALSE)))*EXP(-(LN(2)/$D$65+0.1)*(VLOOKUP(($F$16-$F$15)-1,AK$99:AO141,5,FALSE)))*EXP(-(LN(2)/$D$65+0.04)*AN141)*EXP(-(LN(2)/$D$65+0.1)*AO141),IF(AL141=3,AQ$100*EXP(-(LN(2)/$D$65+0.04)*(VLOOKUP(($F$16-$F$15)-1,AK$99:AO141,4,FALSE)))*EXP(-(LN(2)/$D$65+0.1)*(VLOOKUP(($F$16-$F$15)-1,AK$99:AO141,5,FALSE)))*EXP(-(LN(2)/$D$65+0.04)*(VLOOKUP(($F$16-$F$15)*2-1,AK$99:AO141,4,FALSE)))*EXP(-(LN(2)/$D$65+0.1)*(VLOOKUP(($F$16-$F$15)*2-1,AK$99:AO141,5,FALSE)))*EXP(-(LN(2)/$D$65+0.04)*AN141)*EXP(-(LN(2)/$D$65+0.1)*AO141),"-"))),"-")</f>
        <v>-</v>
      </c>
      <c r="AR142" s="271" t="str">
        <f>IFERROR(IF(AL142=1,AR$100*EXP(-(LN(2)/$D$65+0.04)*AN142)*EXP(-(LN(2)/$D$65+0.1)*AO142),IF(AL142=2,AR$100*EXP(-(LN(2)/$D$65+0.04)*(VLOOKUP(($F$16-$F$15)-1,AK$100:AO142,4,FALSE)))*EXP(-(LN(2)/$D$65+0.1)*(VLOOKUP(($F$16-$F$15)-1,AK$100:AO142,5,FALSE)))*EXP(-(LN(2)/$D$65+0.04)*AN142)*EXP(-(LN(2)/$D$65+0.1)*AO142),IF(AL142=3,AR$100*EXP(-(LN(2)/$D$65+0.04)*(VLOOKUP(($F$16-$F$15)-1,AK$100:AO142,4,FALSE)))*EXP(-(LN(2)/$D$65+0.1)*(VLOOKUP(($F$16-$F$15)-1,AK$100:AO142,5,FALSE)))*EXP(-(LN(2)/$D$65+0.04)*(VLOOKUP(($F$16-$F$15)*2-1,AK$100:AO142,4,FALSE)))*EXP(-(LN(2)/$D$65+0.1)*(VLOOKUP(($F$16-$F$15)*2-1,AK$100:AO142,5,FALSE)))*EXP(-(LN(2)/$D$65+0.04)*AN142)*EXP(-(LN(2)/$D$65+0.1)*AO142),"-"))),"-")</f>
        <v>-</v>
      </c>
      <c r="AS142" s="274">
        <f t="shared" si="24"/>
        <v>0</v>
      </c>
      <c r="AT142" s="274">
        <f t="shared" si="25"/>
        <v>0</v>
      </c>
      <c r="AU142" s="274">
        <f t="shared" si="26"/>
        <v>0</v>
      </c>
      <c r="AV142" s="190" t="str">
        <f>IF($B142&lt;$F$22,SUM($T$100:$T142),"")</f>
        <v/>
      </c>
      <c r="AW142" s="190" t="str">
        <f t="shared" si="83"/>
        <v>-</v>
      </c>
      <c r="AX142" s="190" t="str">
        <f t="shared" si="56"/>
        <v/>
      </c>
      <c r="AY142"/>
      <c r="AZ142" s="190" t="str">
        <f ca="1">IF(ISNUMBER(OFFSET(AV142,-$F$21,0)),SUM(OFFSET($T$100,$F$21,0):$T142),"")</f>
        <v/>
      </c>
      <c r="BA142" s="190" t="str">
        <f t="shared" ca="1" si="84"/>
        <v/>
      </c>
      <c r="BB142" s="190" t="str">
        <f t="shared" ca="1" si="70"/>
        <v/>
      </c>
      <c r="BC142" s="190"/>
      <c r="BD142" s="190" t="str">
        <f ca="1">IFERROR(IF(OR(ISNUMBER(I),ISNUMBER($F$14)),IF(AND($B142&gt;=($F$16-$F$15),$B142&lt;$F$22+($F$16-$F$15)),SUM(OFFSET($T$100,($F$16-$F$15),0):$T142),""),""),"")</f>
        <v/>
      </c>
      <c r="BE142" s="190" t="str">
        <f t="shared" ca="1" si="58"/>
        <v/>
      </c>
      <c r="BF142" s="190" t="str">
        <f t="shared" ca="1" si="59"/>
        <v/>
      </c>
      <c r="BG142"/>
      <c r="BH142" s="190" t="str">
        <f ca="1">IF(ISNUMBER(OFFSET(BD142,-$F$21,0)),SUM(OFFSET($T$100,($F$16-$F$15+$F$21),0):$T142),"")</f>
        <v/>
      </c>
      <c r="BI142" s="190" t="str">
        <f t="shared" ca="1" si="85"/>
        <v/>
      </c>
      <c r="BJ142" s="190" t="str">
        <f t="shared" ca="1" si="60"/>
        <v/>
      </c>
      <c r="BK142" s="190"/>
      <c r="BL142" s="190" t="str">
        <f ca="1">IFERROR(IF(OR(ISNUMBER(I),ISNUMBER($F$14)),IF(AND($B142&gt;=($F$17-$F$15),$B142&lt;$F$22+($F$17-$F$15)),SUM(OFFSET($T$100,($F$17-$F$15),0):$T142),""),""),"")</f>
        <v/>
      </c>
      <c r="BM142" s="190" t="str">
        <f t="shared" ca="1" si="86"/>
        <v/>
      </c>
      <c r="BN142" s="190" t="str">
        <f t="shared" ca="1" si="61"/>
        <v/>
      </c>
      <c r="BO142"/>
      <c r="BP142" s="190" t="str">
        <f ca="1">IF(ISNUMBER(OFFSET(BL142,-$F$21,0)),SUM(OFFSET($T$100,($F$17-$F$15+$F$21),0):$T142),"")</f>
        <v/>
      </c>
      <c r="BQ142" s="190" t="str">
        <f t="shared" ca="1" si="87"/>
        <v/>
      </c>
      <c r="BR142" s="190" t="str">
        <f t="shared" ca="1" si="63"/>
        <v/>
      </c>
      <c r="BS142" s="190"/>
      <c r="BT142"/>
      <c r="BU142"/>
      <c r="BV142"/>
      <c r="BY142" s="99"/>
      <c r="BZ142" s="99"/>
      <c r="CA142" s="280" t="str">
        <f t="shared" si="88"/>
        <v/>
      </c>
      <c r="CB142" s="71" t="str">
        <f t="shared" si="31"/>
        <v>-</v>
      </c>
      <c r="CC142" s="33"/>
      <c r="CD142" s="261" t="str">
        <f t="shared" si="33"/>
        <v/>
      </c>
      <c r="CE142" s="280" t="str">
        <f t="shared" si="89"/>
        <v/>
      </c>
      <c r="CF142" s="71" t="str">
        <f t="shared" ca="1" si="90"/>
        <v/>
      </c>
      <c r="CG142" s="33" t="str">
        <f t="shared" si="36"/>
        <v/>
      </c>
      <c r="CH142" s="261" t="str">
        <f t="shared" ca="1" si="37"/>
        <v/>
      </c>
      <c r="CI142" s="202"/>
      <c r="CJ142" s="99"/>
      <c r="CK142" s="99"/>
      <c r="CL142" s="99"/>
      <c r="CM142" s="99"/>
      <c r="CN142" s="99"/>
      <c r="CO142" s="99"/>
    </row>
    <row r="143" spans="2:93" ht="13.5" customHeight="1" x14ac:dyDescent="0.2">
      <c r="B143" s="262">
        <v>43</v>
      </c>
      <c r="C143" s="237" t="str">
        <f t="shared" si="1"/>
        <v/>
      </c>
      <c r="D143" s="237" t="str">
        <f t="shared" si="66"/>
        <v/>
      </c>
      <c r="E143" s="290" t="str">
        <f t="shared" si="38"/>
        <v/>
      </c>
      <c r="F143" s="264" t="str">
        <f t="shared" si="39"/>
        <v/>
      </c>
      <c r="G143" s="291" t="str">
        <f t="shared" si="40"/>
        <v/>
      </c>
      <c r="H143" s="240" t="str">
        <f t="shared" si="71"/>
        <v/>
      </c>
      <c r="I143" s="265" t="str">
        <f t="shared" si="72"/>
        <v/>
      </c>
      <c r="J143" s="265" t="str">
        <f t="shared" si="73"/>
        <v/>
      </c>
      <c r="K143" s="240" t="str">
        <f t="shared" si="74"/>
        <v/>
      </c>
      <c r="L143" s="265" t="str">
        <f t="shared" si="75"/>
        <v/>
      </c>
      <c r="M143" s="265" t="str">
        <f t="shared" si="76"/>
        <v/>
      </c>
      <c r="N143" s="240" t="str">
        <f t="shared" si="77"/>
        <v>-</v>
      </c>
      <c r="O143" s="265" t="str">
        <f t="shared" si="78"/>
        <v>-</v>
      </c>
      <c r="P143" s="265" t="str">
        <f t="shared" si="79"/>
        <v>-</v>
      </c>
      <c r="Q143" s="266" t="str">
        <f t="shared" si="80"/>
        <v>-</v>
      </c>
      <c r="R143" s="267" t="str">
        <f t="shared" si="81"/>
        <v>-</v>
      </c>
      <c r="S143" s="268" t="str">
        <f t="shared" si="82"/>
        <v>-</v>
      </c>
      <c r="T143" s="269" t="str">
        <f t="shared" si="13"/>
        <v/>
      </c>
      <c r="U143" s="221">
        <f t="shared" si="14"/>
        <v>43</v>
      </c>
      <c r="V143" s="220" t="str">
        <f t="shared" si="42"/>
        <v>-</v>
      </c>
      <c r="W143" s="221" t="str">
        <f t="shared" si="43"/>
        <v>-</v>
      </c>
      <c r="X143" s="221" t="str">
        <f t="shared" si="15"/>
        <v>-</v>
      </c>
      <c r="Y143" s="221" t="str">
        <f t="shared" si="16"/>
        <v>-</v>
      </c>
      <c r="Z143" s="270">
        <f t="shared" si="44"/>
        <v>0.1</v>
      </c>
      <c r="AA143" s="271" t="str">
        <f>IFERROR(IF(V142=1,AA$100*EXP(-(LN(2)/$D$65+0.04)*X142)*EXP(-(LN(2)/$D$65+0.1)*Y142),IF(V142=2,AA$100*EXP(-(LN(2)/$D$65+0.04)*(VLOOKUP(($F$16-$F$15)-1,U$99:Y142,4,FALSE)))*EXP(-(LN(2)/$D$65+0.1)*(VLOOKUP(($F$16-$F$15)-1,U$99:Y142,5,FALSE)))*EXP(-(LN(2)/$D$65+0.04)*X142)*EXP(-(LN(2)/$D$65+0.1)*Y142),IF(V142=3,AA$100*EXP(-(LN(2)/$D$65+0.04)*(VLOOKUP(($F$16-$F$15)-1,U$99:Y142,4,FALSE)))*EXP(-(LN(2)/$D$65+0.1)*(VLOOKUP(($F$16-$F$15)-1,U$99:Y142,5,FALSE)))*EXP(-(LN(2)/$D$65+0.04)*(VLOOKUP(($F$16-$F$15)*2-1,U$99:Y142,4,FALSE)))*EXP(-(LN(2)/$D$65+0.1)*(VLOOKUP(($F$16-$F$15)*2-1,U$99:Y142,5,FALSE)))*EXP(-(LN(2)/$D$65+0.04)*X142)*EXP(-(LN(2)/$D$65+0.1)*Y142),"-"))),"-")</f>
        <v>-</v>
      </c>
      <c r="AB143" s="271" t="str">
        <f>IFERROR(IF(V143=1,AB$100*EXP(-(LN(2)/$D$65+0.04)*X143)*EXP(-(LN(2)/$D$65+0.1)*Y143),IF(V143=2,AB$100*EXP(-(LN(2)/$D$65+0.04)*(VLOOKUP(($F$16-$F$15)-1,U$100:Y143,4,FALSE)))*EXP(-(LN(2)/$D$65+0.1)*(VLOOKUP(($F$16-$F$15)-1,U$100:Y143,5,FALSE)))*EXP(-(LN(2)/$D$65+0.04)*X143)*EXP(-(LN(2)/$D$65+0.1)*Y143),IF(V143=3,AB$100*EXP(-(LN(2)/$D$65+0.04)*(VLOOKUP(($F$16-$F$15)-1,U$100:Y143,4,FALSE)))*EXP(-(LN(2)/$D$65+0.1)*(VLOOKUP(($F$16-$F$15)-1,U$100:Y143,5,FALSE)))*EXP(-(LN(2)/$D$65+0.04)*(VLOOKUP(($F$16-$F$15)*2-1,U$100:Y143,4,FALSE)))*EXP(-(LN(2)/$D$65+0.1)*(VLOOKUP(($F$16-$F$15)*2-1,U$100:Y143,5,FALSE)))*EXP(-(LN(2)/$D$65+0.04)*X143)*EXP(-(LN(2)/$D$65+0.1)*Y143),"-"))),"-")</f>
        <v>-</v>
      </c>
      <c r="AC143" s="224">
        <f t="shared" si="45"/>
        <v>43</v>
      </c>
      <c r="AD143" s="223" t="str">
        <f t="shared" si="18"/>
        <v>-</v>
      </c>
      <c r="AE143" s="224" t="str">
        <f t="shared" si="46"/>
        <v>-</v>
      </c>
      <c r="AF143" s="224" t="str">
        <f t="shared" si="19"/>
        <v>-</v>
      </c>
      <c r="AG143" s="224" t="str">
        <f t="shared" si="20"/>
        <v>-</v>
      </c>
      <c r="AH143" s="272">
        <f t="shared" si="47"/>
        <v>0.1</v>
      </c>
      <c r="AI143" s="271" t="str">
        <f>IFERROR(IF(AD142=1,AI$100*EXP(-(LN(2)/$D$65+0.04)*AF142)*EXP(-(LN(2)/$D$65+0.1)*AG142),IF(AD142=2,AI$100*EXP(-(LN(2)/$D$65+0.04)*(VLOOKUP(($F$16-$F$15)-1,AC$99:AG142,4,FALSE)))*EXP(-(LN(2)/$D$65+0.1)*(VLOOKUP(($F$16-$F$15)-1,AC$99:AG142,5,FALSE)))*EXP(-(LN(2)/$D$65+0.04)*AF142)*EXP(-(LN(2)/$D$65+0.1)*AG142),IF(AD142=3,AI$100*EXP(-(LN(2)/$D$65+0.04)*(VLOOKUP(($F$16-$F$15)-1,AC$99:AG142,4,FALSE)))*EXP(-(LN(2)/$D$65+0.1)*(VLOOKUP(($F$16-$F$15)-1,AC$99:AG142,5,FALSE)))*EXP(-(LN(2)/$D$65+0.04)*(VLOOKUP(($F$16-$F$15)*2-1,AC$99:AG142,4,FALSE)))*EXP(-(LN(2)/$D$65+0.1)*(VLOOKUP(($F$16-$F$15)*2-1,AC$99:AG142,5,FALSE)))*EXP(-(LN(2)/$D$65+0.04)*AF142)*EXP(-(LN(2)/$D$65+0.1)*AG142),"-"))),"-")</f>
        <v>-</v>
      </c>
      <c r="AJ143" s="271" t="str">
        <f>IFERROR(IF(AD143=1,AJ$100*EXP(-(LN(2)/$D$65+0.04)*AF143)*EXP(-(LN(2)/$D$65+0.1)*AG143),IF(AD143=2,AJ$100*EXP(-(LN(2)/$D$65+0.04)*(VLOOKUP(($F$16-$F$15)-1,AC$100:AG143,4,FALSE)))*EXP(-(LN(2)/$D$65+0.1)*(VLOOKUP(($F$16-$F$15)-1,AC$100:AG143,5,FALSE)))*EXP(-(LN(2)/$D$65+0.04)*AF143)*EXP(-(LN(2)/$D$65+0.1)*AG143),IF(AD143=3,AJ$100*EXP(-(LN(2)/$D$65+0.04)*(VLOOKUP(($F$16-$F$15)-1,AC$100:AG143,4,FALSE)))*EXP(-(LN(2)/$D$65+0.1)*(VLOOKUP(($F$16-$F$15)-1,AC$100:AG143,5,FALSE)))*EXP(-(LN(2)/$D$65+0.04)*(VLOOKUP(($F$16-$F$15)*2-1,AC$100:AG143,4,FALSE)))*EXP(-(LN(2)/$D$65+0.1)*(VLOOKUP(($F$16-$F$15)*2-1,AC$100:AG143,5,FALSE)))*EXP(-(LN(2)/$D$65+0.04)*AF143)*EXP(-(LN(2)/$D$65+0.1)*AG143),"-"))),"-")</f>
        <v>-</v>
      </c>
      <c r="AK143" s="227">
        <f t="shared" si="49"/>
        <v>43</v>
      </c>
      <c r="AL143" s="226" t="str">
        <f t="shared" si="22"/>
        <v>-</v>
      </c>
      <c r="AM143" s="227" t="str">
        <f t="shared" si="50"/>
        <v>-</v>
      </c>
      <c r="AN143" s="227" t="str">
        <f t="shared" si="51"/>
        <v>-</v>
      </c>
      <c r="AO143" s="227" t="str">
        <f t="shared" si="23"/>
        <v>-</v>
      </c>
      <c r="AP143" s="273">
        <f t="shared" si="52"/>
        <v>0.1</v>
      </c>
      <c r="AQ143" s="271" t="str">
        <f>IFERROR(IF(AL142=1,AQ$100*EXP(-(LN(2)/$D$65+0.04)*AN142)*EXP(-(LN(2)/$D$65+0.1)*AO142),IF(AL142=2,AQ$100*EXP(-(LN(2)/$D$65+0.04)*(VLOOKUP(($F$16-$F$15)-1,AK$99:AO142,4,FALSE)))*EXP(-(LN(2)/$D$65+0.1)*(VLOOKUP(($F$16-$F$15)-1,AK$99:AO142,5,FALSE)))*EXP(-(LN(2)/$D$65+0.04)*AN142)*EXP(-(LN(2)/$D$65+0.1)*AO142),IF(AL142=3,AQ$100*EXP(-(LN(2)/$D$65+0.04)*(VLOOKUP(($F$16-$F$15)-1,AK$99:AO142,4,FALSE)))*EXP(-(LN(2)/$D$65+0.1)*(VLOOKUP(($F$16-$F$15)-1,AK$99:AO142,5,FALSE)))*EXP(-(LN(2)/$D$65+0.04)*(VLOOKUP(($F$16-$F$15)*2-1,AK$99:AO142,4,FALSE)))*EXP(-(LN(2)/$D$65+0.1)*(VLOOKUP(($F$16-$F$15)*2-1,AK$99:AO142,5,FALSE)))*EXP(-(LN(2)/$D$65+0.04)*AN142)*EXP(-(LN(2)/$D$65+0.1)*AO142),"-"))),"-")</f>
        <v>-</v>
      </c>
      <c r="AR143" s="271" t="str">
        <f>IFERROR(IF(AL143=1,AR$100*EXP(-(LN(2)/$D$65+0.04)*AN143)*EXP(-(LN(2)/$D$65+0.1)*AO143),IF(AL143=2,AR$100*EXP(-(LN(2)/$D$65+0.04)*(VLOOKUP(($F$16-$F$15)-1,AK$100:AO143,4,FALSE)))*EXP(-(LN(2)/$D$65+0.1)*(VLOOKUP(($F$16-$F$15)-1,AK$100:AO143,5,FALSE)))*EXP(-(LN(2)/$D$65+0.04)*AN143)*EXP(-(LN(2)/$D$65+0.1)*AO143),IF(AL143=3,AR$100*EXP(-(LN(2)/$D$65+0.04)*(VLOOKUP(($F$16-$F$15)-1,AK$100:AO143,4,FALSE)))*EXP(-(LN(2)/$D$65+0.1)*(VLOOKUP(($F$16-$F$15)-1,AK$100:AO143,5,FALSE)))*EXP(-(LN(2)/$D$65+0.04)*(VLOOKUP(($F$16-$F$15)*2-1,AK$100:AO143,4,FALSE)))*EXP(-(LN(2)/$D$65+0.1)*(VLOOKUP(($F$16-$F$15)*2-1,AK$100:AO143,5,FALSE)))*EXP(-(LN(2)/$D$65+0.04)*AN143)*EXP(-(LN(2)/$D$65+0.1)*AO143),"-"))),"-")</f>
        <v>-</v>
      </c>
      <c r="AS143" s="274">
        <f t="shared" si="24"/>
        <v>0</v>
      </c>
      <c r="AT143" s="274">
        <f t="shared" si="25"/>
        <v>0</v>
      </c>
      <c r="AU143" s="274">
        <f t="shared" si="26"/>
        <v>0</v>
      </c>
      <c r="AV143" s="190" t="str">
        <f>IF($B143&lt;$F$22,SUM($T$100:$T143),"")</f>
        <v/>
      </c>
      <c r="AW143" s="190" t="str">
        <f t="shared" si="83"/>
        <v>-</v>
      </c>
      <c r="AX143" s="190" t="str">
        <f t="shared" si="56"/>
        <v/>
      </c>
      <c r="AY143"/>
      <c r="AZ143" s="190" t="str">
        <f ca="1">IF(ISNUMBER(OFFSET(AV143,-$F$21,0)),SUM(OFFSET($T$100,$F$21,0):$T143),"")</f>
        <v/>
      </c>
      <c r="BA143" s="190" t="str">
        <f t="shared" ca="1" si="84"/>
        <v/>
      </c>
      <c r="BB143" s="190" t="str">
        <f t="shared" ca="1" si="70"/>
        <v/>
      </c>
      <c r="BC143" s="190"/>
      <c r="BD143" s="190" t="str">
        <f ca="1">IFERROR(IF(OR(ISNUMBER(I),ISNUMBER($F$14)),IF(AND($B143&gt;=($F$16-$F$15),$B143&lt;$F$22+($F$16-$F$15)),SUM(OFFSET($T$100,($F$16-$F$15),0):$T143),""),""),"")</f>
        <v/>
      </c>
      <c r="BE143" s="190" t="str">
        <f t="shared" ca="1" si="58"/>
        <v/>
      </c>
      <c r="BF143" s="190" t="str">
        <f t="shared" ca="1" si="59"/>
        <v/>
      </c>
      <c r="BG143"/>
      <c r="BH143" s="190" t="str">
        <f ca="1">IF(ISNUMBER(OFFSET(BD143,-$F$21,0)),SUM(OFFSET($T$100,($F$16-$F$15+$F$21),0):$T143),"")</f>
        <v/>
      </c>
      <c r="BI143" s="190" t="str">
        <f t="shared" ca="1" si="85"/>
        <v/>
      </c>
      <c r="BJ143" s="190" t="str">
        <f t="shared" ca="1" si="60"/>
        <v/>
      </c>
      <c r="BK143" s="190"/>
      <c r="BL143" s="190" t="str">
        <f ca="1">IFERROR(IF(OR(ISNUMBER(I),ISNUMBER($F$14)),IF(AND($B143&gt;=($F$17-$F$15),$B143&lt;$F$22+($F$17-$F$15)),SUM(OFFSET($T$100,($F$17-$F$15),0):$T143),""),""),"")</f>
        <v/>
      </c>
      <c r="BM143" s="190" t="str">
        <f t="shared" ca="1" si="86"/>
        <v/>
      </c>
      <c r="BN143" s="190" t="str">
        <f t="shared" ca="1" si="61"/>
        <v/>
      </c>
      <c r="BO143"/>
      <c r="BP143" s="190" t="str">
        <f ca="1">IF(ISNUMBER(OFFSET(BL143,-$F$21,0)),SUM(OFFSET($T$100,($F$17-$F$15+$F$21),0):$T143),"")</f>
        <v/>
      </c>
      <c r="BQ143" s="190" t="str">
        <f t="shared" ca="1" si="87"/>
        <v/>
      </c>
      <c r="BR143" s="190" t="str">
        <f t="shared" ca="1" si="63"/>
        <v/>
      </c>
      <c r="BS143" s="190"/>
      <c r="BT143"/>
      <c r="BU143"/>
      <c r="BV143"/>
      <c r="BY143" s="99"/>
      <c r="BZ143" s="99"/>
      <c r="CA143" s="280" t="str">
        <f t="shared" si="88"/>
        <v/>
      </c>
      <c r="CB143" s="71" t="str">
        <f t="shared" si="31"/>
        <v>-</v>
      </c>
      <c r="CC143" s="33"/>
      <c r="CD143" s="261" t="str">
        <f t="shared" si="33"/>
        <v/>
      </c>
      <c r="CE143" s="280" t="str">
        <f t="shared" si="89"/>
        <v/>
      </c>
      <c r="CF143" s="71" t="str">
        <f t="shared" ca="1" si="90"/>
        <v/>
      </c>
      <c r="CG143" s="33" t="str">
        <f t="shared" si="36"/>
        <v/>
      </c>
      <c r="CH143" s="261" t="str">
        <f t="shared" ca="1" si="37"/>
        <v/>
      </c>
      <c r="CI143" s="202"/>
      <c r="CJ143" s="99"/>
      <c r="CK143" s="99"/>
      <c r="CL143" s="99"/>
      <c r="CM143" s="99"/>
      <c r="CN143" s="99"/>
      <c r="CO143" s="99"/>
    </row>
    <row r="144" spans="2:93" ht="13.5" customHeight="1" x14ac:dyDescent="0.2">
      <c r="B144" s="262">
        <v>44</v>
      </c>
      <c r="C144" s="237" t="str">
        <f t="shared" si="1"/>
        <v/>
      </c>
      <c r="D144" s="237" t="str">
        <f t="shared" si="66"/>
        <v/>
      </c>
      <c r="E144" s="290" t="str">
        <f t="shared" si="38"/>
        <v/>
      </c>
      <c r="F144" s="264" t="str">
        <f t="shared" si="39"/>
        <v/>
      </c>
      <c r="G144" s="291" t="str">
        <f t="shared" si="40"/>
        <v/>
      </c>
      <c r="H144" s="240" t="str">
        <f t="shared" si="71"/>
        <v/>
      </c>
      <c r="I144" s="265" t="str">
        <f t="shared" si="72"/>
        <v/>
      </c>
      <c r="J144" s="265" t="str">
        <f t="shared" si="73"/>
        <v/>
      </c>
      <c r="K144" s="240" t="str">
        <f t="shared" si="74"/>
        <v/>
      </c>
      <c r="L144" s="265" t="str">
        <f t="shared" si="75"/>
        <v/>
      </c>
      <c r="M144" s="265" t="str">
        <f t="shared" si="76"/>
        <v/>
      </c>
      <c r="N144" s="240" t="str">
        <f t="shared" si="77"/>
        <v>-</v>
      </c>
      <c r="O144" s="265" t="str">
        <f t="shared" si="78"/>
        <v>-</v>
      </c>
      <c r="P144" s="265" t="str">
        <f t="shared" si="79"/>
        <v>-</v>
      </c>
      <c r="Q144" s="266" t="str">
        <f t="shared" si="80"/>
        <v>-</v>
      </c>
      <c r="R144" s="267" t="str">
        <f t="shared" si="81"/>
        <v>-</v>
      </c>
      <c r="S144" s="268" t="str">
        <f t="shared" si="82"/>
        <v>-</v>
      </c>
      <c r="T144" s="269" t="str">
        <f t="shared" si="13"/>
        <v/>
      </c>
      <c r="U144" s="221">
        <f t="shared" si="14"/>
        <v>44</v>
      </c>
      <c r="V144" s="220" t="str">
        <f t="shared" si="42"/>
        <v>-</v>
      </c>
      <c r="W144" s="221" t="str">
        <f t="shared" si="43"/>
        <v>-</v>
      </c>
      <c r="X144" s="221" t="str">
        <f t="shared" si="15"/>
        <v>-</v>
      </c>
      <c r="Y144" s="221" t="str">
        <f t="shared" si="16"/>
        <v>-</v>
      </c>
      <c r="Z144" s="270">
        <f t="shared" si="44"/>
        <v>0.1</v>
      </c>
      <c r="AA144" s="271" t="str">
        <f>IFERROR(IF(V143=1,AA$100*EXP(-(LN(2)/$D$65+0.04)*X143)*EXP(-(LN(2)/$D$65+0.1)*Y143),IF(V143=2,AA$100*EXP(-(LN(2)/$D$65+0.04)*(VLOOKUP(($F$16-$F$15)-1,U$99:Y143,4,FALSE)))*EXP(-(LN(2)/$D$65+0.1)*(VLOOKUP(($F$16-$F$15)-1,U$99:Y143,5,FALSE)))*EXP(-(LN(2)/$D$65+0.04)*X143)*EXP(-(LN(2)/$D$65+0.1)*Y143),IF(V143=3,AA$100*EXP(-(LN(2)/$D$65+0.04)*(VLOOKUP(($F$16-$F$15)-1,U$99:Y143,4,FALSE)))*EXP(-(LN(2)/$D$65+0.1)*(VLOOKUP(($F$16-$F$15)-1,U$99:Y143,5,FALSE)))*EXP(-(LN(2)/$D$65+0.04)*(VLOOKUP(($F$16-$F$15)*2-1,U$99:Y143,4,FALSE)))*EXP(-(LN(2)/$D$65+0.1)*(VLOOKUP(($F$16-$F$15)*2-1,U$99:Y143,5,FALSE)))*EXP(-(LN(2)/$D$65+0.04)*X143)*EXP(-(LN(2)/$D$65+0.1)*Y143),"-"))),"-")</f>
        <v>-</v>
      </c>
      <c r="AB144" s="271" t="str">
        <f>IFERROR(IF(V144=1,AB$100*EXP(-(LN(2)/$D$65+0.04)*X144)*EXP(-(LN(2)/$D$65+0.1)*Y144),IF(V144=2,AB$100*EXP(-(LN(2)/$D$65+0.04)*(VLOOKUP(($F$16-$F$15)-1,U$100:Y144,4,FALSE)))*EXP(-(LN(2)/$D$65+0.1)*(VLOOKUP(($F$16-$F$15)-1,U$100:Y144,5,FALSE)))*EXP(-(LN(2)/$D$65+0.04)*X144)*EXP(-(LN(2)/$D$65+0.1)*Y144),IF(V144=3,AB$100*EXP(-(LN(2)/$D$65+0.04)*(VLOOKUP(($F$16-$F$15)-1,U$100:Y144,4,FALSE)))*EXP(-(LN(2)/$D$65+0.1)*(VLOOKUP(($F$16-$F$15)-1,U$100:Y144,5,FALSE)))*EXP(-(LN(2)/$D$65+0.04)*(VLOOKUP(($F$16-$F$15)*2-1,U$100:Y144,4,FALSE)))*EXP(-(LN(2)/$D$65+0.1)*(VLOOKUP(($F$16-$F$15)*2-1,U$100:Y144,5,FALSE)))*EXP(-(LN(2)/$D$65+0.04)*X144)*EXP(-(LN(2)/$D$65+0.1)*Y144),"-"))),"-")</f>
        <v>-</v>
      </c>
      <c r="AC144" s="224">
        <f t="shared" si="45"/>
        <v>44</v>
      </c>
      <c r="AD144" s="223" t="str">
        <f t="shared" si="18"/>
        <v>-</v>
      </c>
      <c r="AE144" s="224" t="str">
        <f t="shared" si="46"/>
        <v>-</v>
      </c>
      <c r="AF144" s="224" t="str">
        <f t="shared" si="19"/>
        <v>-</v>
      </c>
      <c r="AG144" s="224" t="str">
        <f t="shared" si="20"/>
        <v>-</v>
      </c>
      <c r="AH144" s="272">
        <f t="shared" si="47"/>
        <v>0.1</v>
      </c>
      <c r="AI144" s="271" t="str">
        <f>IFERROR(IF(AD143=1,AI$100*EXP(-(LN(2)/$D$65+0.04)*AF143)*EXP(-(LN(2)/$D$65+0.1)*AG143),IF(AD143=2,AI$100*EXP(-(LN(2)/$D$65+0.04)*(VLOOKUP(($F$16-$F$15)-1,AC$99:AG143,4,FALSE)))*EXP(-(LN(2)/$D$65+0.1)*(VLOOKUP(($F$16-$F$15)-1,AC$99:AG143,5,FALSE)))*EXP(-(LN(2)/$D$65+0.04)*AF143)*EXP(-(LN(2)/$D$65+0.1)*AG143),IF(AD143=3,AI$100*EXP(-(LN(2)/$D$65+0.04)*(VLOOKUP(($F$16-$F$15)-1,AC$99:AG143,4,FALSE)))*EXP(-(LN(2)/$D$65+0.1)*(VLOOKUP(($F$16-$F$15)-1,AC$99:AG143,5,FALSE)))*EXP(-(LN(2)/$D$65+0.04)*(VLOOKUP(($F$16-$F$15)*2-1,AC$99:AG143,4,FALSE)))*EXP(-(LN(2)/$D$65+0.1)*(VLOOKUP(($F$16-$F$15)*2-1,AC$99:AG143,5,FALSE)))*EXP(-(LN(2)/$D$65+0.04)*AF143)*EXP(-(LN(2)/$D$65+0.1)*AG143),"-"))),"-")</f>
        <v>-</v>
      </c>
      <c r="AJ144" s="271" t="str">
        <f>IFERROR(IF(AD144=1,AJ$100*EXP(-(LN(2)/$D$65+0.04)*AF144)*EXP(-(LN(2)/$D$65+0.1)*AG144),IF(AD144=2,AJ$100*EXP(-(LN(2)/$D$65+0.04)*(VLOOKUP(($F$16-$F$15)-1,AC$100:AG144,4,FALSE)))*EXP(-(LN(2)/$D$65+0.1)*(VLOOKUP(($F$16-$F$15)-1,AC$100:AG144,5,FALSE)))*EXP(-(LN(2)/$D$65+0.04)*AF144)*EXP(-(LN(2)/$D$65+0.1)*AG144),IF(AD144=3,AJ$100*EXP(-(LN(2)/$D$65+0.04)*(VLOOKUP(($F$16-$F$15)-1,AC$100:AG144,4,FALSE)))*EXP(-(LN(2)/$D$65+0.1)*(VLOOKUP(($F$16-$F$15)-1,AC$100:AG144,5,FALSE)))*EXP(-(LN(2)/$D$65+0.04)*(VLOOKUP(($F$16-$F$15)*2-1,AC$100:AG144,4,FALSE)))*EXP(-(LN(2)/$D$65+0.1)*(VLOOKUP(($F$16-$F$15)*2-1,AC$100:AG144,5,FALSE)))*EXP(-(LN(2)/$D$65+0.04)*AF144)*EXP(-(LN(2)/$D$65+0.1)*AG144),"-"))),"-")</f>
        <v>-</v>
      </c>
      <c r="AK144" s="227">
        <f t="shared" si="49"/>
        <v>44</v>
      </c>
      <c r="AL144" s="226" t="str">
        <f t="shared" si="22"/>
        <v>-</v>
      </c>
      <c r="AM144" s="227" t="str">
        <f t="shared" si="50"/>
        <v>-</v>
      </c>
      <c r="AN144" s="227" t="str">
        <f t="shared" si="51"/>
        <v>-</v>
      </c>
      <c r="AO144" s="227" t="str">
        <f t="shared" si="23"/>
        <v>-</v>
      </c>
      <c r="AP144" s="273">
        <f t="shared" si="52"/>
        <v>0.1</v>
      </c>
      <c r="AQ144" s="271" t="str">
        <f>IFERROR(IF(AL143=1,AQ$100*EXP(-(LN(2)/$D$65+0.04)*AN143)*EXP(-(LN(2)/$D$65+0.1)*AO143),IF(AL143=2,AQ$100*EXP(-(LN(2)/$D$65+0.04)*(VLOOKUP(($F$16-$F$15)-1,AK$99:AO143,4,FALSE)))*EXP(-(LN(2)/$D$65+0.1)*(VLOOKUP(($F$16-$F$15)-1,AK$99:AO143,5,FALSE)))*EXP(-(LN(2)/$D$65+0.04)*AN143)*EXP(-(LN(2)/$D$65+0.1)*AO143),IF(AL143=3,AQ$100*EXP(-(LN(2)/$D$65+0.04)*(VLOOKUP(($F$16-$F$15)-1,AK$99:AO143,4,FALSE)))*EXP(-(LN(2)/$D$65+0.1)*(VLOOKUP(($F$16-$F$15)-1,AK$99:AO143,5,FALSE)))*EXP(-(LN(2)/$D$65+0.04)*(VLOOKUP(($F$16-$F$15)*2-1,AK$99:AO143,4,FALSE)))*EXP(-(LN(2)/$D$65+0.1)*(VLOOKUP(($F$16-$F$15)*2-1,AK$99:AO143,5,FALSE)))*EXP(-(LN(2)/$D$65+0.04)*AN143)*EXP(-(LN(2)/$D$65+0.1)*AO143),"-"))),"-")</f>
        <v>-</v>
      </c>
      <c r="AR144" s="271" t="str">
        <f>IFERROR(IF(AL144=1,AR$100*EXP(-(LN(2)/$D$65+0.04)*AN144)*EXP(-(LN(2)/$D$65+0.1)*AO144),IF(AL144=2,AR$100*EXP(-(LN(2)/$D$65+0.04)*(VLOOKUP(($F$16-$F$15)-1,AK$100:AO144,4,FALSE)))*EXP(-(LN(2)/$D$65+0.1)*(VLOOKUP(($F$16-$F$15)-1,AK$100:AO144,5,FALSE)))*EXP(-(LN(2)/$D$65+0.04)*AN144)*EXP(-(LN(2)/$D$65+0.1)*AO144),IF(AL144=3,AR$100*EXP(-(LN(2)/$D$65+0.04)*(VLOOKUP(($F$16-$F$15)-1,AK$100:AO144,4,FALSE)))*EXP(-(LN(2)/$D$65+0.1)*(VLOOKUP(($F$16-$F$15)-1,AK$100:AO144,5,FALSE)))*EXP(-(LN(2)/$D$65+0.04)*(VLOOKUP(($F$16-$F$15)*2-1,AK$100:AO144,4,FALSE)))*EXP(-(LN(2)/$D$65+0.1)*(VLOOKUP(($F$16-$F$15)*2-1,AK$100:AO144,5,FALSE)))*EXP(-(LN(2)/$D$65+0.04)*AN144)*EXP(-(LN(2)/$D$65+0.1)*AO144),"-"))),"-")</f>
        <v>-</v>
      </c>
      <c r="AS144" s="274">
        <f t="shared" si="24"/>
        <v>0</v>
      </c>
      <c r="AT144" s="274">
        <f t="shared" si="25"/>
        <v>0</v>
      </c>
      <c r="AU144" s="274">
        <f t="shared" si="26"/>
        <v>0</v>
      </c>
      <c r="AV144" s="190" t="str">
        <f>IF($B144&lt;$F$22,SUM($T$100:$T144),"")</f>
        <v/>
      </c>
      <c r="AW144" s="190" t="str">
        <f t="shared" si="83"/>
        <v>-</v>
      </c>
      <c r="AX144" s="190" t="str">
        <f t="shared" si="56"/>
        <v/>
      </c>
      <c r="AY144"/>
      <c r="AZ144" s="190" t="str">
        <f ca="1">IF(ISNUMBER(OFFSET(AV144,-$F$21,0)),SUM(OFFSET($T$100,$F$21,0):$T144),"")</f>
        <v/>
      </c>
      <c r="BA144" s="190" t="str">
        <f t="shared" ca="1" si="84"/>
        <v/>
      </c>
      <c r="BB144" s="190" t="str">
        <f t="shared" ca="1" si="70"/>
        <v/>
      </c>
      <c r="BC144" s="190"/>
      <c r="BD144" s="190" t="str">
        <f ca="1">IFERROR(IF(OR(ISNUMBER(I),ISNUMBER($F$14)),IF(AND($B144&gt;=($F$16-$F$15),$B144&lt;$F$22+($F$16-$F$15)),SUM(OFFSET($T$100,($F$16-$F$15),0):$T144),""),""),"")</f>
        <v/>
      </c>
      <c r="BE144" s="190" t="str">
        <f t="shared" ca="1" si="58"/>
        <v/>
      </c>
      <c r="BF144" s="190" t="str">
        <f t="shared" ca="1" si="59"/>
        <v/>
      </c>
      <c r="BG144"/>
      <c r="BH144" s="190" t="str">
        <f ca="1">IF(ISNUMBER(OFFSET(BD144,-$F$21,0)),SUM(OFFSET($T$100,($F$16-$F$15+$F$21),0):$T144),"")</f>
        <v/>
      </c>
      <c r="BI144" s="190" t="str">
        <f t="shared" ca="1" si="85"/>
        <v/>
      </c>
      <c r="BJ144" s="190" t="str">
        <f t="shared" ca="1" si="60"/>
        <v/>
      </c>
      <c r="BK144" s="190"/>
      <c r="BL144" s="190" t="str">
        <f ca="1">IFERROR(IF(OR(ISNUMBER(I),ISNUMBER($F$14)),IF(AND($B144&gt;=($F$17-$F$15),$B144&lt;$F$22+($F$17-$F$15)),SUM(OFFSET($T$100,($F$17-$F$15),0):$T144),""),""),"")</f>
        <v/>
      </c>
      <c r="BM144" s="190" t="str">
        <f t="shared" ca="1" si="86"/>
        <v/>
      </c>
      <c r="BN144" s="190" t="str">
        <f t="shared" ca="1" si="61"/>
        <v/>
      </c>
      <c r="BO144"/>
      <c r="BP144" s="190" t="str">
        <f ca="1">IF(ISNUMBER(OFFSET(BL144,-$F$21,0)),SUM(OFFSET($T$100,($F$17-$F$15+$F$21),0):$T144),"")</f>
        <v/>
      </c>
      <c r="BQ144" s="190" t="str">
        <f t="shared" ca="1" si="87"/>
        <v/>
      </c>
      <c r="BR144" s="190" t="str">
        <f t="shared" ca="1" si="63"/>
        <v/>
      </c>
      <c r="BS144" s="190"/>
      <c r="BT144"/>
      <c r="BU144"/>
      <c r="BV144"/>
      <c r="BY144" s="99"/>
      <c r="BZ144" s="99"/>
      <c r="CA144" s="280" t="str">
        <f t="shared" si="88"/>
        <v/>
      </c>
      <c r="CB144" s="71" t="str">
        <f t="shared" si="31"/>
        <v>-</v>
      </c>
      <c r="CC144" s="33"/>
      <c r="CD144" s="261" t="str">
        <f t="shared" si="33"/>
        <v/>
      </c>
      <c r="CE144" s="280" t="str">
        <f t="shared" si="89"/>
        <v/>
      </c>
      <c r="CF144" s="71" t="str">
        <f t="shared" ca="1" si="90"/>
        <v/>
      </c>
      <c r="CG144" s="33" t="str">
        <f t="shared" si="36"/>
        <v/>
      </c>
      <c r="CH144" s="261" t="str">
        <f t="shared" ca="1" si="37"/>
        <v/>
      </c>
      <c r="CI144" s="202"/>
      <c r="CJ144" s="99"/>
      <c r="CK144" s="99"/>
      <c r="CL144" s="99"/>
      <c r="CM144" s="99"/>
      <c r="CN144" s="99"/>
      <c r="CO144" s="99"/>
    </row>
    <row r="145" spans="2:93" ht="13.5" customHeight="1" x14ac:dyDescent="0.2">
      <c r="B145" s="262">
        <v>45</v>
      </c>
      <c r="C145" s="237" t="str">
        <f t="shared" si="1"/>
        <v/>
      </c>
      <c r="D145" s="237" t="str">
        <f t="shared" si="66"/>
        <v/>
      </c>
      <c r="E145" s="290" t="str">
        <f t="shared" si="38"/>
        <v/>
      </c>
      <c r="F145" s="264" t="str">
        <f t="shared" si="39"/>
        <v/>
      </c>
      <c r="G145" s="291" t="str">
        <f t="shared" si="40"/>
        <v/>
      </c>
      <c r="H145" s="240" t="str">
        <f t="shared" si="71"/>
        <v/>
      </c>
      <c r="I145" s="265" t="str">
        <f t="shared" si="72"/>
        <v/>
      </c>
      <c r="J145" s="265" t="str">
        <f t="shared" si="73"/>
        <v/>
      </c>
      <c r="K145" s="240" t="str">
        <f t="shared" si="74"/>
        <v/>
      </c>
      <c r="L145" s="265" t="str">
        <f t="shared" si="75"/>
        <v/>
      </c>
      <c r="M145" s="265" t="str">
        <f t="shared" si="76"/>
        <v/>
      </c>
      <c r="N145" s="240" t="str">
        <f t="shared" si="77"/>
        <v>-</v>
      </c>
      <c r="O145" s="265" t="str">
        <f t="shared" si="78"/>
        <v>-</v>
      </c>
      <c r="P145" s="265" t="str">
        <f t="shared" si="79"/>
        <v>-</v>
      </c>
      <c r="Q145" s="266" t="str">
        <f t="shared" si="80"/>
        <v>-</v>
      </c>
      <c r="R145" s="267" t="str">
        <f t="shared" si="81"/>
        <v>-</v>
      </c>
      <c r="S145" s="268" t="str">
        <f t="shared" si="82"/>
        <v>-</v>
      </c>
      <c r="T145" s="269" t="str">
        <f t="shared" si="13"/>
        <v/>
      </c>
      <c r="U145" s="221">
        <f t="shared" si="14"/>
        <v>45</v>
      </c>
      <c r="V145" s="220" t="str">
        <f t="shared" si="42"/>
        <v>-</v>
      </c>
      <c r="W145" s="221" t="str">
        <f t="shared" si="43"/>
        <v>-</v>
      </c>
      <c r="X145" s="221" t="str">
        <f t="shared" si="15"/>
        <v>-</v>
      </c>
      <c r="Y145" s="221" t="str">
        <f t="shared" si="16"/>
        <v>-</v>
      </c>
      <c r="Z145" s="270">
        <f t="shared" si="44"/>
        <v>0.1</v>
      </c>
      <c r="AA145" s="271" t="str">
        <f>IFERROR(IF(V144=1,AA$100*EXP(-(LN(2)/$D$65+0.04)*X144)*EXP(-(LN(2)/$D$65+0.1)*Y144),IF(V144=2,AA$100*EXP(-(LN(2)/$D$65+0.04)*(VLOOKUP(($F$16-$F$15)-1,U$99:Y144,4,FALSE)))*EXP(-(LN(2)/$D$65+0.1)*(VLOOKUP(($F$16-$F$15)-1,U$99:Y144,5,FALSE)))*EXP(-(LN(2)/$D$65+0.04)*X144)*EXP(-(LN(2)/$D$65+0.1)*Y144),IF(V144=3,AA$100*EXP(-(LN(2)/$D$65+0.04)*(VLOOKUP(($F$16-$F$15)-1,U$99:Y144,4,FALSE)))*EXP(-(LN(2)/$D$65+0.1)*(VLOOKUP(($F$16-$F$15)-1,U$99:Y144,5,FALSE)))*EXP(-(LN(2)/$D$65+0.04)*(VLOOKUP(($F$16-$F$15)*2-1,U$99:Y144,4,FALSE)))*EXP(-(LN(2)/$D$65+0.1)*(VLOOKUP(($F$16-$F$15)*2-1,U$99:Y144,5,FALSE)))*EXP(-(LN(2)/$D$65+0.04)*X144)*EXP(-(LN(2)/$D$65+0.1)*Y144),"-"))),"-")</f>
        <v>-</v>
      </c>
      <c r="AB145" s="271" t="str">
        <f>IFERROR(IF(V145=1,AB$100*EXP(-(LN(2)/$D$65+0.04)*X145)*EXP(-(LN(2)/$D$65+0.1)*Y145),IF(V145=2,AB$100*EXP(-(LN(2)/$D$65+0.04)*(VLOOKUP(($F$16-$F$15)-1,U$100:Y145,4,FALSE)))*EXP(-(LN(2)/$D$65+0.1)*(VLOOKUP(($F$16-$F$15)-1,U$100:Y145,5,FALSE)))*EXP(-(LN(2)/$D$65+0.04)*X145)*EXP(-(LN(2)/$D$65+0.1)*Y145),IF(V145=3,AB$100*EXP(-(LN(2)/$D$65+0.04)*(VLOOKUP(($F$16-$F$15)-1,U$100:Y145,4,FALSE)))*EXP(-(LN(2)/$D$65+0.1)*(VLOOKUP(($F$16-$F$15)-1,U$100:Y145,5,FALSE)))*EXP(-(LN(2)/$D$65+0.04)*(VLOOKUP(($F$16-$F$15)*2-1,U$100:Y145,4,FALSE)))*EXP(-(LN(2)/$D$65+0.1)*(VLOOKUP(($F$16-$F$15)*2-1,U$100:Y145,5,FALSE)))*EXP(-(LN(2)/$D$65+0.04)*X145)*EXP(-(LN(2)/$D$65+0.1)*Y145),"-"))),"-")</f>
        <v>-</v>
      </c>
      <c r="AC145" s="224">
        <f t="shared" si="45"/>
        <v>45</v>
      </c>
      <c r="AD145" s="223" t="str">
        <f t="shared" si="18"/>
        <v>-</v>
      </c>
      <c r="AE145" s="224" t="str">
        <f t="shared" si="46"/>
        <v>-</v>
      </c>
      <c r="AF145" s="224" t="str">
        <f t="shared" si="19"/>
        <v>-</v>
      </c>
      <c r="AG145" s="224" t="str">
        <f t="shared" si="20"/>
        <v>-</v>
      </c>
      <c r="AH145" s="272">
        <f t="shared" si="47"/>
        <v>0.1</v>
      </c>
      <c r="AI145" s="271" t="str">
        <f>IFERROR(IF(AD144=1,AI$100*EXP(-(LN(2)/$D$65+0.04)*AF144)*EXP(-(LN(2)/$D$65+0.1)*AG144),IF(AD144=2,AI$100*EXP(-(LN(2)/$D$65+0.04)*(VLOOKUP(($F$16-$F$15)-1,AC$99:AG144,4,FALSE)))*EXP(-(LN(2)/$D$65+0.1)*(VLOOKUP(($F$16-$F$15)-1,AC$99:AG144,5,FALSE)))*EXP(-(LN(2)/$D$65+0.04)*AF144)*EXP(-(LN(2)/$D$65+0.1)*AG144),IF(AD144=3,AI$100*EXP(-(LN(2)/$D$65+0.04)*(VLOOKUP(($F$16-$F$15)-1,AC$99:AG144,4,FALSE)))*EXP(-(LN(2)/$D$65+0.1)*(VLOOKUP(($F$16-$F$15)-1,AC$99:AG144,5,FALSE)))*EXP(-(LN(2)/$D$65+0.04)*(VLOOKUP(($F$16-$F$15)*2-1,AC$99:AG144,4,FALSE)))*EXP(-(LN(2)/$D$65+0.1)*(VLOOKUP(($F$16-$F$15)*2-1,AC$99:AG144,5,FALSE)))*EXP(-(LN(2)/$D$65+0.04)*AF144)*EXP(-(LN(2)/$D$65+0.1)*AG144),"-"))),"-")</f>
        <v>-</v>
      </c>
      <c r="AJ145" s="271" t="str">
        <f>IFERROR(IF(AD145=1,AJ$100*EXP(-(LN(2)/$D$65+0.04)*AF145)*EXP(-(LN(2)/$D$65+0.1)*AG145),IF(AD145=2,AJ$100*EXP(-(LN(2)/$D$65+0.04)*(VLOOKUP(($F$16-$F$15)-1,AC$100:AG145,4,FALSE)))*EXP(-(LN(2)/$D$65+0.1)*(VLOOKUP(($F$16-$F$15)-1,AC$100:AG145,5,FALSE)))*EXP(-(LN(2)/$D$65+0.04)*AF145)*EXP(-(LN(2)/$D$65+0.1)*AG145),IF(AD145=3,AJ$100*EXP(-(LN(2)/$D$65+0.04)*(VLOOKUP(($F$16-$F$15)-1,AC$100:AG145,4,FALSE)))*EXP(-(LN(2)/$D$65+0.1)*(VLOOKUP(($F$16-$F$15)-1,AC$100:AG145,5,FALSE)))*EXP(-(LN(2)/$D$65+0.04)*(VLOOKUP(($F$16-$F$15)*2-1,AC$100:AG145,4,FALSE)))*EXP(-(LN(2)/$D$65+0.1)*(VLOOKUP(($F$16-$F$15)*2-1,AC$100:AG145,5,FALSE)))*EXP(-(LN(2)/$D$65+0.04)*AF145)*EXP(-(LN(2)/$D$65+0.1)*AG145),"-"))),"-")</f>
        <v>-</v>
      </c>
      <c r="AK145" s="227">
        <f t="shared" si="49"/>
        <v>45</v>
      </c>
      <c r="AL145" s="226" t="str">
        <f t="shared" si="22"/>
        <v>-</v>
      </c>
      <c r="AM145" s="227" t="str">
        <f t="shared" si="50"/>
        <v>-</v>
      </c>
      <c r="AN145" s="227" t="str">
        <f t="shared" si="51"/>
        <v>-</v>
      </c>
      <c r="AO145" s="227" t="str">
        <f t="shared" si="23"/>
        <v>-</v>
      </c>
      <c r="AP145" s="273">
        <f t="shared" si="52"/>
        <v>0.1</v>
      </c>
      <c r="AQ145" s="271" t="str">
        <f>IFERROR(IF(AL144=1,AQ$100*EXP(-(LN(2)/$D$65+0.04)*AN144)*EXP(-(LN(2)/$D$65+0.1)*AO144),IF(AL144=2,AQ$100*EXP(-(LN(2)/$D$65+0.04)*(VLOOKUP(($F$16-$F$15)-1,AK$99:AO144,4,FALSE)))*EXP(-(LN(2)/$D$65+0.1)*(VLOOKUP(($F$16-$F$15)-1,AK$99:AO144,5,FALSE)))*EXP(-(LN(2)/$D$65+0.04)*AN144)*EXP(-(LN(2)/$D$65+0.1)*AO144),IF(AL144=3,AQ$100*EXP(-(LN(2)/$D$65+0.04)*(VLOOKUP(($F$16-$F$15)-1,AK$99:AO144,4,FALSE)))*EXP(-(LN(2)/$D$65+0.1)*(VLOOKUP(($F$16-$F$15)-1,AK$99:AO144,5,FALSE)))*EXP(-(LN(2)/$D$65+0.04)*(VLOOKUP(($F$16-$F$15)*2-1,AK$99:AO144,4,FALSE)))*EXP(-(LN(2)/$D$65+0.1)*(VLOOKUP(($F$16-$F$15)*2-1,AK$99:AO144,5,FALSE)))*EXP(-(LN(2)/$D$65+0.04)*AN144)*EXP(-(LN(2)/$D$65+0.1)*AO144),"-"))),"-")</f>
        <v>-</v>
      </c>
      <c r="AR145" s="271" t="str">
        <f>IFERROR(IF(AL145=1,AR$100*EXP(-(LN(2)/$D$65+0.04)*AN145)*EXP(-(LN(2)/$D$65+0.1)*AO145),IF(AL145=2,AR$100*EXP(-(LN(2)/$D$65+0.04)*(VLOOKUP(($F$16-$F$15)-1,AK$100:AO145,4,FALSE)))*EXP(-(LN(2)/$D$65+0.1)*(VLOOKUP(($F$16-$F$15)-1,AK$100:AO145,5,FALSE)))*EXP(-(LN(2)/$D$65+0.04)*AN145)*EXP(-(LN(2)/$D$65+0.1)*AO145),IF(AL145=3,AR$100*EXP(-(LN(2)/$D$65+0.04)*(VLOOKUP(($F$16-$F$15)-1,AK$100:AO145,4,FALSE)))*EXP(-(LN(2)/$D$65+0.1)*(VLOOKUP(($F$16-$F$15)-1,AK$100:AO145,5,FALSE)))*EXP(-(LN(2)/$D$65+0.04)*(VLOOKUP(($F$16-$F$15)*2-1,AK$100:AO145,4,FALSE)))*EXP(-(LN(2)/$D$65+0.1)*(VLOOKUP(($F$16-$F$15)*2-1,AK$100:AO145,5,FALSE)))*EXP(-(LN(2)/$D$65+0.04)*AN145)*EXP(-(LN(2)/$D$65+0.1)*AO145),"-"))),"-")</f>
        <v>-</v>
      </c>
      <c r="AS145" s="274">
        <f t="shared" si="24"/>
        <v>0</v>
      </c>
      <c r="AT145" s="274">
        <f t="shared" si="25"/>
        <v>0</v>
      </c>
      <c r="AU145" s="274">
        <f t="shared" si="26"/>
        <v>0</v>
      </c>
      <c r="AV145" s="190" t="str">
        <f>IF($B145&lt;$F$22,SUM($T$100:$T145),"")</f>
        <v/>
      </c>
      <c r="AW145" s="190" t="str">
        <f t="shared" si="83"/>
        <v>-</v>
      </c>
      <c r="AX145" s="190" t="str">
        <f t="shared" si="56"/>
        <v/>
      </c>
      <c r="AY145"/>
      <c r="AZ145" s="190" t="str">
        <f ca="1">IF(ISNUMBER(OFFSET(AV145,-$F$21,0)),SUM(OFFSET($T$100,$F$21,0):$T145),"")</f>
        <v/>
      </c>
      <c r="BA145" s="190" t="str">
        <f t="shared" ca="1" si="84"/>
        <v/>
      </c>
      <c r="BB145" s="190" t="str">
        <f t="shared" ca="1" si="70"/>
        <v/>
      </c>
      <c r="BC145" s="190"/>
      <c r="BD145" s="190" t="str">
        <f ca="1">IFERROR(IF(OR(ISNUMBER(I),ISNUMBER($F$14)),IF(AND($B145&gt;=($F$16-$F$15),$B145&lt;$F$22+($F$16-$F$15)),SUM(OFFSET($T$100,($F$16-$F$15),0):$T145),""),""),"")</f>
        <v/>
      </c>
      <c r="BE145" s="190" t="str">
        <f t="shared" ca="1" si="58"/>
        <v/>
      </c>
      <c r="BF145" s="190" t="str">
        <f t="shared" ca="1" si="59"/>
        <v/>
      </c>
      <c r="BG145"/>
      <c r="BH145" s="190" t="str">
        <f ca="1">IF(ISNUMBER(OFFSET(BD145,-$F$21,0)),SUM(OFFSET($T$100,($F$16-$F$15+$F$21),0):$T145),"")</f>
        <v/>
      </c>
      <c r="BI145" s="190" t="str">
        <f t="shared" ca="1" si="85"/>
        <v/>
      </c>
      <c r="BJ145" s="190" t="str">
        <f t="shared" ca="1" si="60"/>
        <v/>
      </c>
      <c r="BK145" s="190"/>
      <c r="BL145" s="190" t="str">
        <f ca="1">IFERROR(IF(OR(ISNUMBER(I),ISNUMBER($F$14)),IF(AND($B145&gt;=($F$17-$F$15),$B145&lt;$F$22+($F$17-$F$15)),SUM(OFFSET($T$100,($F$17-$F$15),0):$T145),""),""),"")</f>
        <v/>
      </c>
      <c r="BM145" s="190" t="str">
        <f t="shared" ca="1" si="86"/>
        <v/>
      </c>
      <c r="BN145" s="190" t="str">
        <f t="shared" ca="1" si="61"/>
        <v/>
      </c>
      <c r="BO145"/>
      <c r="BP145" s="190" t="str">
        <f ca="1">IF(ISNUMBER(OFFSET(BL145,-$F$21,0)),SUM(OFFSET($T$100,($F$17-$F$15+$F$21),0):$T145),"")</f>
        <v/>
      </c>
      <c r="BQ145" s="190" t="str">
        <f t="shared" ca="1" si="87"/>
        <v/>
      </c>
      <c r="BR145" s="190" t="str">
        <f t="shared" ca="1" si="63"/>
        <v/>
      </c>
      <c r="BS145" s="190"/>
      <c r="BT145"/>
      <c r="BU145"/>
      <c r="BV145"/>
      <c r="BY145" s="99"/>
      <c r="BZ145" s="99"/>
      <c r="CA145" s="280" t="str">
        <f t="shared" si="88"/>
        <v/>
      </c>
      <c r="CB145" s="71" t="str">
        <f t="shared" si="31"/>
        <v>-</v>
      </c>
      <c r="CC145" s="33"/>
      <c r="CD145" s="261" t="str">
        <f t="shared" si="33"/>
        <v/>
      </c>
      <c r="CE145" s="280" t="str">
        <f t="shared" si="89"/>
        <v/>
      </c>
      <c r="CF145" s="71" t="str">
        <f t="shared" ca="1" si="90"/>
        <v/>
      </c>
      <c r="CG145" s="33" t="str">
        <f t="shared" si="36"/>
        <v/>
      </c>
      <c r="CH145" s="261" t="str">
        <f t="shared" ca="1" si="37"/>
        <v/>
      </c>
      <c r="CI145" s="202"/>
      <c r="CJ145" s="99"/>
      <c r="CK145" s="99"/>
      <c r="CL145" s="99"/>
      <c r="CM145" s="99"/>
      <c r="CN145" s="99"/>
      <c r="CO145" s="99"/>
    </row>
    <row r="146" spans="2:93" ht="13.5" customHeight="1" x14ac:dyDescent="0.2">
      <c r="B146" s="262">
        <v>46</v>
      </c>
      <c r="C146" s="237" t="str">
        <f t="shared" si="1"/>
        <v/>
      </c>
      <c r="D146" s="237" t="str">
        <f t="shared" si="66"/>
        <v/>
      </c>
      <c r="E146" s="290" t="str">
        <f t="shared" si="38"/>
        <v/>
      </c>
      <c r="F146" s="264" t="str">
        <f t="shared" si="39"/>
        <v/>
      </c>
      <c r="G146" s="291" t="str">
        <f t="shared" si="40"/>
        <v/>
      </c>
      <c r="H146" s="240" t="str">
        <f t="shared" si="71"/>
        <v/>
      </c>
      <c r="I146" s="265" t="str">
        <f t="shared" si="72"/>
        <v/>
      </c>
      <c r="J146" s="265" t="str">
        <f t="shared" si="73"/>
        <v/>
      </c>
      <c r="K146" s="240" t="str">
        <f t="shared" si="74"/>
        <v/>
      </c>
      <c r="L146" s="265" t="str">
        <f t="shared" si="75"/>
        <v/>
      </c>
      <c r="M146" s="265" t="str">
        <f t="shared" si="76"/>
        <v/>
      </c>
      <c r="N146" s="240" t="str">
        <f t="shared" si="77"/>
        <v>-</v>
      </c>
      <c r="O146" s="265" t="str">
        <f t="shared" si="78"/>
        <v>-</v>
      </c>
      <c r="P146" s="265" t="str">
        <f t="shared" si="79"/>
        <v>-</v>
      </c>
      <c r="Q146" s="266" t="str">
        <f t="shared" si="80"/>
        <v>-</v>
      </c>
      <c r="R146" s="267" t="str">
        <f t="shared" si="81"/>
        <v>-</v>
      </c>
      <c r="S146" s="268" t="str">
        <f t="shared" si="82"/>
        <v>-</v>
      </c>
      <c r="T146" s="269" t="str">
        <f t="shared" si="13"/>
        <v/>
      </c>
      <c r="U146" s="221">
        <f t="shared" si="14"/>
        <v>46</v>
      </c>
      <c r="V146" s="220" t="str">
        <f t="shared" si="42"/>
        <v>-</v>
      </c>
      <c r="W146" s="221" t="str">
        <f t="shared" si="43"/>
        <v>-</v>
      </c>
      <c r="X146" s="221" t="str">
        <f t="shared" si="15"/>
        <v>-</v>
      </c>
      <c r="Y146" s="221" t="str">
        <f t="shared" si="16"/>
        <v>-</v>
      </c>
      <c r="Z146" s="270">
        <f t="shared" si="44"/>
        <v>0.1</v>
      </c>
      <c r="AA146" s="271" t="str">
        <f>IFERROR(IF(V145=1,AA$100*EXP(-(LN(2)/$D$65+0.04)*X145)*EXP(-(LN(2)/$D$65+0.1)*Y145),IF(V145=2,AA$100*EXP(-(LN(2)/$D$65+0.04)*(VLOOKUP(($F$16-$F$15)-1,U$99:Y145,4,FALSE)))*EXP(-(LN(2)/$D$65+0.1)*(VLOOKUP(($F$16-$F$15)-1,U$99:Y145,5,FALSE)))*EXP(-(LN(2)/$D$65+0.04)*X145)*EXP(-(LN(2)/$D$65+0.1)*Y145),IF(V145=3,AA$100*EXP(-(LN(2)/$D$65+0.04)*(VLOOKUP(($F$16-$F$15)-1,U$99:Y145,4,FALSE)))*EXP(-(LN(2)/$D$65+0.1)*(VLOOKUP(($F$16-$F$15)-1,U$99:Y145,5,FALSE)))*EXP(-(LN(2)/$D$65+0.04)*(VLOOKUP(($F$16-$F$15)*2-1,U$99:Y145,4,FALSE)))*EXP(-(LN(2)/$D$65+0.1)*(VLOOKUP(($F$16-$F$15)*2-1,U$99:Y145,5,FALSE)))*EXP(-(LN(2)/$D$65+0.04)*X145)*EXP(-(LN(2)/$D$65+0.1)*Y145),"-"))),"-")</f>
        <v>-</v>
      </c>
      <c r="AB146" s="271" t="str">
        <f>IFERROR(IF(V146=1,AB$100*EXP(-(LN(2)/$D$65+0.04)*X146)*EXP(-(LN(2)/$D$65+0.1)*Y146),IF(V146=2,AB$100*EXP(-(LN(2)/$D$65+0.04)*(VLOOKUP(($F$16-$F$15)-1,U$100:Y146,4,FALSE)))*EXP(-(LN(2)/$D$65+0.1)*(VLOOKUP(($F$16-$F$15)-1,U$100:Y146,5,FALSE)))*EXP(-(LN(2)/$D$65+0.04)*X146)*EXP(-(LN(2)/$D$65+0.1)*Y146),IF(V146=3,AB$100*EXP(-(LN(2)/$D$65+0.04)*(VLOOKUP(($F$16-$F$15)-1,U$100:Y146,4,FALSE)))*EXP(-(LN(2)/$D$65+0.1)*(VLOOKUP(($F$16-$F$15)-1,U$100:Y146,5,FALSE)))*EXP(-(LN(2)/$D$65+0.04)*(VLOOKUP(($F$16-$F$15)*2-1,U$100:Y146,4,FALSE)))*EXP(-(LN(2)/$D$65+0.1)*(VLOOKUP(($F$16-$F$15)*2-1,U$100:Y146,5,FALSE)))*EXP(-(LN(2)/$D$65+0.04)*X146)*EXP(-(LN(2)/$D$65+0.1)*Y146),"-"))),"-")</f>
        <v>-</v>
      </c>
      <c r="AC146" s="224">
        <f t="shared" si="45"/>
        <v>46</v>
      </c>
      <c r="AD146" s="223" t="str">
        <f t="shared" si="18"/>
        <v>-</v>
      </c>
      <c r="AE146" s="224" t="str">
        <f t="shared" si="46"/>
        <v>-</v>
      </c>
      <c r="AF146" s="224" t="str">
        <f t="shared" si="19"/>
        <v>-</v>
      </c>
      <c r="AG146" s="224" t="str">
        <f t="shared" si="20"/>
        <v>-</v>
      </c>
      <c r="AH146" s="272">
        <f t="shared" si="47"/>
        <v>0.1</v>
      </c>
      <c r="AI146" s="271" t="str">
        <f>IFERROR(IF(AD145=1,AI$100*EXP(-(LN(2)/$D$65+0.04)*AF145)*EXP(-(LN(2)/$D$65+0.1)*AG145),IF(AD145=2,AI$100*EXP(-(LN(2)/$D$65+0.04)*(VLOOKUP(($F$16-$F$15)-1,AC$99:AG145,4,FALSE)))*EXP(-(LN(2)/$D$65+0.1)*(VLOOKUP(($F$16-$F$15)-1,AC$99:AG145,5,FALSE)))*EXP(-(LN(2)/$D$65+0.04)*AF145)*EXP(-(LN(2)/$D$65+0.1)*AG145),IF(AD145=3,AI$100*EXP(-(LN(2)/$D$65+0.04)*(VLOOKUP(($F$16-$F$15)-1,AC$99:AG145,4,FALSE)))*EXP(-(LN(2)/$D$65+0.1)*(VLOOKUP(($F$16-$F$15)-1,AC$99:AG145,5,FALSE)))*EXP(-(LN(2)/$D$65+0.04)*(VLOOKUP(($F$16-$F$15)*2-1,AC$99:AG145,4,FALSE)))*EXP(-(LN(2)/$D$65+0.1)*(VLOOKUP(($F$16-$F$15)*2-1,AC$99:AG145,5,FALSE)))*EXP(-(LN(2)/$D$65+0.04)*AF145)*EXP(-(LN(2)/$D$65+0.1)*AG145),"-"))),"-")</f>
        <v>-</v>
      </c>
      <c r="AJ146" s="271" t="str">
        <f>IFERROR(IF(AD146=1,AJ$100*EXP(-(LN(2)/$D$65+0.04)*AF146)*EXP(-(LN(2)/$D$65+0.1)*AG146),IF(AD146=2,AJ$100*EXP(-(LN(2)/$D$65+0.04)*(VLOOKUP(($F$16-$F$15)-1,AC$100:AG146,4,FALSE)))*EXP(-(LN(2)/$D$65+0.1)*(VLOOKUP(($F$16-$F$15)-1,AC$100:AG146,5,FALSE)))*EXP(-(LN(2)/$D$65+0.04)*AF146)*EXP(-(LN(2)/$D$65+0.1)*AG146),IF(AD146=3,AJ$100*EXP(-(LN(2)/$D$65+0.04)*(VLOOKUP(($F$16-$F$15)-1,AC$100:AG146,4,FALSE)))*EXP(-(LN(2)/$D$65+0.1)*(VLOOKUP(($F$16-$F$15)-1,AC$100:AG146,5,FALSE)))*EXP(-(LN(2)/$D$65+0.04)*(VLOOKUP(($F$16-$F$15)*2-1,AC$100:AG146,4,FALSE)))*EXP(-(LN(2)/$D$65+0.1)*(VLOOKUP(($F$16-$F$15)*2-1,AC$100:AG146,5,FALSE)))*EXP(-(LN(2)/$D$65+0.04)*AF146)*EXP(-(LN(2)/$D$65+0.1)*AG146),"-"))),"-")</f>
        <v>-</v>
      </c>
      <c r="AK146" s="227">
        <f t="shared" si="49"/>
        <v>46</v>
      </c>
      <c r="AL146" s="226" t="str">
        <f t="shared" si="22"/>
        <v>-</v>
      </c>
      <c r="AM146" s="227" t="str">
        <f t="shared" si="50"/>
        <v>-</v>
      </c>
      <c r="AN146" s="227" t="str">
        <f t="shared" si="51"/>
        <v>-</v>
      </c>
      <c r="AO146" s="227" t="str">
        <f t="shared" si="23"/>
        <v>-</v>
      </c>
      <c r="AP146" s="273">
        <f t="shared" si="52"/>
        <v>0.1</v>
      </c>
      <c r="AQ146" s="271" t="str">
        <f>IFERROR(IF(AL145=1,AQ$100*EXP(-(LN(2)/$D$65+0.04)*AN145)*EXP(-(LN(2)/$D$65+0.1)*AO145),IF(AL145=2,AQ$100*EXP(-(LN(2)/$D$65+0.04)*(VLOOKUP(($F$16-$F$15)-1,AK$99:AO145,4,FALSE)))*EXP(-(LN(2)/$D$65+0.1)*(VLOOKUP(($F$16-$F$15)-1,AK$99:AO145,5,FALSE)))*EXP(-(LN(2)/$D$65+0.04)*AN145)*EXP(-(LN(2)/$D$65+0.1)*AO145),IF(AL145=3,AQ$100*EXP(-(LN(2)/$D$65+0.04)*(VLOOKUP(($F$16-$F$15)-1,AK$99:AO145,4,FALSE)))*EXP(-(LN(2)/$D$65+0.1)*(VLOOKUP(($F$16-$F$15)-1,AK$99:AO145,5,FALSE)))*EXP(-(LN(2)/$D$65+0.04)*(VLOOKUP(($F$16-$F$15)*2-1,AK$99:AO145,4,FALSE)))*EXP(-(LN(2)/$D$65+0.1)*(VLOOKUP(($F$16-$F$15)*2-1,AK$99:AO145,5,FALSE)))*EXP(-(LN(2)/$D$65+0.04)*AN145)*EXP(-(LN(2)/$D$65+0.1)*AO145),"-"))),"-")</f>
        <v>-</v>
      </c>
      <c r="AR146" s="271" t="str">
        <f>IFERROR(IF(AL146=1,AR$100*EXP(-(LN(2)/$D$65+0.04)*AN146)*EXP(-(LN(2)/$D$65+0.1)*AO146),IF(AL146=2,AR$100*EXP(-(LN(2)/$D$65+0.04)*(VLOOKUP(($F$16-$F$15)-1,AK$100:AO146,4,FALSE)))*EXP(-(LN(2)/$D$65+0.1)*(VLOOKUP(($F$16-$F$15)-1,AK$100:AO146,5,FALSE)))*EXP(-(LN(2)/$D$65+0.04)*AN146)*EXP(-(LN(2)/$D$65+0.1)*AO146),IF(AL146=3,AR$100*EXP(-(LN(2)/$D$65+0.04)*(VLOOKUP(($F$16-$F$15)-1,AK$100:AO146,4,FALSE)))*EXP(-(LN(2)/$D$65+0.1)*(VLOOKUP(($F$16-$F$15)-1,AK$100:AO146,5,FALSE)))*EXP(-(LN(2)/$D$65+0.04)*(VLOOKUP(($F$16-$F$15)*2-1,AK$100:AO146,4,FALSE)))*EXP(-(LN(2)/$D$65+0.1)*(VLOOKUP(($F$16-$F$15)*2-1,AK$100:AO146,5,FALSE)))*EXP(-(LN(2)/$D$65+0.04)*AN146)*EXP(-(LN(2)/$D$65+0.1)*AO146),"-"))),"-")</f>
        <v>-</v>
      </c>
      <c r="AS146" s="274">
        <f t="shared" si="24"/>
        <v>0</v>
      </c>
      <c r="AT146" s="274">
        <f t="shared" si="25"/>
        <v>0</v>
      </c>
      <c r="AU146" s="274">
        <f t="shared" si="26"/>
        <v>0</v>
      </c>
      <c r="AV146" s="190" t="str">
        <f>IF($B146&lt;$F$22,SUM($T$100:$T146),"")</f>
        <v/>
      </c>
      <c r="AW146" s="190" t="str">
        <f t="shared" si="83"/>
        <v>-</v>
      </c>
      <c r="AX146" s="190" t="str">
        <f t="shared" si="56"/>
        <v/>
      </c>
      <c r="AY146"/>
      <c r="AZ146" s="190" t="str">
        <f ca="1">IF(ISNUMBER(OFFSET(AV146,-$F$21,0)),SUM(OFFSET($T$100,$F$21,0):$T146),"")</f>
        <v/>
      </c>
      <c r="BA146" s="190" t="str">
        <f t="shared" ca="1" si="84"/>
        <v/>
      </c>
      <c r="BB146" s="190" t="str">
        <f t="shared" ca="1" si="70"/>
        <v/>
      </c>
      <c r="BC146" s="190"/>
      <c r="BD146" s="190" t="str">
        <f ca="1">IFERROR(IF(OR(ISNUMBER(I),ISNUMBER($F$14)),IF(AND($B146&gt;=($F$16-$F$15),$B146&lt;$F$22+($F$16-$F$15)),SUM(OFFSET($T$100,($F$16-$F$15),0):$T146),""),""),"")</f>
        <v/>
      </c>
      <c r="BE146" s="190" t="str">
        <f t="shared" ca="1" si="58"/>
        <v/>
      </c>
      <c r="BF146" s="190" t="str">
        <f t="shared" ca="1" si="59"/>
        <v/>
      </c>
      <c r="BG146"/>
      <c r="BH146" s="190" t="str">
        <f ca="1">IF(ISNUMBER(OFFSET(BD146,-$F$21,0)),SUM(OFFSET($T$100,($F$16-$F$15+$F$21),0):$T146),"")</f>
        <v/>
      </c>
      <c r="BI146" s="190" t="str">
        <f t="shared" ca="1" si="85"/>
        <v/>
      </c>
      <c r="BJ146" s="190" t="str">
        <f t="shared" ca="1" si="60"/>
        <v/>
      </c>
      <c r="BK146" s="190"/>
      <c r="BL146" s="190" t="str">
        <f ca="1">IFERROR(IF(OR(ISNUMBER(I),ISNUMBER($F$14)),IF(AND($B146&gt;=($F$17-$F$15),$B146&lt;$F$22+($F$17-$F$15)),SUM(OFFSET($T$100,($F$17-$F$15),0):$T146),""),""),"")</f>
        <v/>
      </c>
      <c r="BM146" s="190" t="str">
        <f t="shared" ca="1" si="86"/>
        <v/>
      </c>
      <c r="BN146" s="190" t="str">
        <f t="shared" ca="1" si="61"/>
        <v/>
      </c>
      <c r="BO146"/>
      <c r="BP146" s="190" t="str">
        <f ca="1">IF(ISNUMBER(OFFSET(BL146,-$F$21,0)),SUM(OFFSET($T$100,($F$17-$F$15+$F$21),0):$T146),"")</f>
        <v/>
      </c>
      <c r="BQ146" s="190" t="str">
        <f t="shared" ca="1" si="87"/>
        <v/>
      </c>
      <c r="BR146" s="190" t="str">
        <f t="shared" ca="1" si="63"/>
        <v/>
      </c>
      <c r="BS146" s="190"/>
      <c r="BT146"/>
      <c r="BU146"/>
      <c r="BV146"/>
      <c r="BY146" s="99"/>
      <c r="BZ146" s="99"/>
      <c r="CA146" s="280" t="str">
        <f t="shared" si="88"/>
        <v/>
      </c>
      <c r="CB146" s="71" t="str">
        <f t="shared" si="31"/>
        <v>-</v>
      </c>
      <c r="CC146" s="33"/>
      <c r="CD146" s="261" t="str">
        <f t="shared" si="33"/>
        <v/>
      </c>
      <c r="CE146" s="280" t="str">
        <f t="shared" si="89"/>
        <v/>
      </c>
      <c r="CF146" s="71" t="str">
        <f t="shared" ca="1" si="90"/>
        <v/>
      </c>
      <c r="CG146" s="33" t="str">
        <f t="shared" si="36"/>
        <v/>
      </c>
      <c r="CH146" s="261" t="str">
        <f t="shared" ca="1" si="37"/>
        <v/>
      </c>
      <c r="CI146" s="202"/>
      <c r="CJ146" s="99"/>
      <c r="CK146" s="99"/>
      <c r="CL146" s="99"/>
      <c r="CM146" s="99"/>
      <c r="CN146" s="99"/>
      <c r="CO146" s="99"/>
    </row>
    <row r="147" spans="2:93" ht="13.5" customHeight="1" x14ac:dyDescent="0.2">
      <c r="B147" s="262">
        <v>47</v>
      </c>
      <c r="C147" s="237" t="str">
        <f t="shared" si="1"/>
        <v/>
      </c>
      <c r="D147" s="237" t="str">
        <f t="shared" si="66"/>
        <v/>
      </c>
      <c r="E147" s="290" t="str">
        <f t="shared" si="38"/>
        <v/>
      </c>
      <c r="F147" s="264" t="str">
        <f t="shared" si="39"/>
        <v/>
      </c>
      <c r="G147" s="291" t="str">
        <f t="shared" si="40"/>
        <v/>
      </c>
      <c r="H147" s="240" t="str">
        <f t="shared" si="71"/>
        <v/>
      </c>
      <c r="I147" s="265" t="str">
        <f t="shared" si="72"/>
        <v/>
      </c>
      <c r="J147" s="265" t="str">
        <f t="shared" si="73"/>
        <v/>
      </c>
      <c r="K147" s="240" t="str">
        <f t="shared" si="74"/>
        <v/>
      </c>
      <c r="L147" s="265" t="str">
        <f t="shared" si="75"/>
        <v/>
      </c>
      <c r="M147" s="265" t="str">
        <f t="shared" si="76"/>
        <v/>
      </c>
      <c r="N147" s="240" t="str">
        <f t="shared" si="77"/>
        <v>-</v>
      </c>
      <c r="O147" s="265" t="str">
        <f t="shared" si="78"/>
        <v>-</v>
      </c>
      <c r="P147" s="265" t="str">
        <f t="shared" si="79"/>
        <v>-</v>
      </c>
      <c r="Q147" s="266" t="str">
        <f t="shared" si="80"/>
        <v>-</v>
      </c>
      <c r="R147" s="267" t="str">
        <f t="shared" si="81"/>
        <v>-</v>
      </c>
      <c r="S147" s="268" t="str">
        <f t="shared" si="82"/>
        <v>-</v>
      </c>
      <c r="T147" s="269" t="str">
        <f t="shared" si="13"/>
        <v/>
      </c>
      <c r="U147" s="221">
        <f t="shared" si="14"/>
        <v>47</v>
      </c>
      <c r="V147" s="220" t="str">
        <f t="shared" si="42"/>
        <v>-</v>
      </c>
      <c r="W147" s="221" t="str">
        <f t="shared" si="43"/>
        <v>-</v>
      </c>
      <c r="X147" s="221" t="str">
        <f t="shared" si="15"/>
        <v>-</v>
      </c>
      <c r="Y147" s="221" t="str">
        <f t="shared" si="16"/>
        <v>-</v>
      </c>
      <c r="Z147" s="270">
        <f t="shared" si="44"/>
        <v>0.1</v>
      </c>
      <c r="AA147" s="271" t="str">
        <f>IFERROR(IF(V146=1,AA$100*EXP(-(LN(2)/$D$65+0.04)*X146)*EXP(-(LN(2)/$D$65+0.1)*Y146),IF(V146=2,AA$100*EXP(-(LN(2)/$D$65+0.04)*(VLOOKUP(($F$16-$F$15)-1,U$99:Y146,4,FALSE)))*EXP(-(LN(2)/$D$65+0.1)*(VLOOKUP(($F$16-$F$15)-1,U$99:Y146,5,FALSE)))*EXP(-(LN(2)/$D$65+0.04)*X146)*EXP(-(LN(2)/$D$65+0.1)*Y146),IF(V146=3,AA$100*EXP(-(LN(2)/$D$65+0.04)*(VLOOKUP(($F$16-$F$15)-1,U$99:Y146,4,FALSE)))*EXP(-(LN(2)/$D$65+0.1)*(VLOOKUP(($F$16-$F$15)-1,U$99:Y146,5,FALSE)))*EXP(-(LN(2)/$D$65+0.04)*(VLOOKUP(($F$16-$F$15)*2-1,U$99:Y146,4,FALSE)))*EXP(-(LN(2)/$D$65+0.1)*(VLOOKUP(($F$16-$F$15)*2-1,U$99:Y146,5,FALSE)))*EXP(-(LN(2)/$D$65+0.04)*X146)*EXP(-(LN(2)/$D$65+0.1)*Y146),"-"))),"-")</f>
        <v>-</v>
      </c>
      <c r="AB147" s="271" t="str">
        <f>IFERROR(IF(V147=1,AB$100*EXP(-(LN(2)/$D$65+0.04)*X147)*EXP(-(LN(2)/$D$65+0.1)*Y147),IF(V147=2,AB$100*EXP(-(LN(2)/$D$65+0.04)*(VLOOKUP(($F$16-$F$15)-1,U$100:Y147,4,FALSE)))*EXP(-(LN(2)/$D$65+0.1)*(VLOOKUP(($F$16-$F$15)-1,U$100:Y147,5,FALSE)))*EXP(-(LN(2)/$D$65+0.04)*X147)*EXP(-(LN(2)/$D$65+0.1)*Y147),IF(V147=3,AB$100*EXP(-(LN(2)/$D$65+0.04)*(VLOOKUP(($F$16-$F$15)-1,U$100:Y147,4,FALSE)))*EXP(-(LN(2)/$D$65+0.1)*(VLOOKUP(($F$16-$F$15)-1,U$100:Y147,5,FALSE)))*EXP(-(LN(2)/$D$65+0.04)*(VLOOKUP(($F$16-$F$15)*2-1,U$100:Y147,4,FALSE)))*EXP(-(LN(2)/$D$65+0.1)*(VLOOKUP(($F$16-$F$15)*2-1,U$100:Y147,5,FALSE)))*EXP(-(LN(2)/$D$65+0.04)*X147)*EXP(-(LN(2)/$D$65+0.1)*Y147),"-"))),"-")</f>
        <v>-</v>
      </c>
      <c r="AC147" s="224">
        <f t="shared" si="45"/>
        <v>47</v>
      </c>
      <c r="AD147" s="223" t="str">
        <f t="shared" si="18"/>
        <v>-</v>
      </c>
      <c r="AE147" s="224" t="str">
        <f t="shared" si="46"/>
        <v>-</v>
      </c>
      <c r="AF147" s="224" t="str">
        <f t="shared" si="19"/>
        <v>-</v>
      </c>
      <c r="AG147" s="224" t="str">
        <f t="shared" si="20"/>
        <v>-</v>
      </c>
      <c r="AH147" s="272">
        <f t="shared" si="47"/>
        <v>0.1</v>
      </c>
      <c r="AI147" s="271" t="str">
        <f>IFERROR(IF(AD146=1,AI$100*EXP(-(LN(2)/$D$65+0.04)*AF146)*EXP(-(LN(2)/$D$65+0.1)*AG146),IF(AD146=2,AI$100*EXP(-(LN(2)/$D$65+0.04)*(VLOOKUP(($F$16-$F$15)-1,AC$99:AG146,4,FALSE)))*EXP(-(LN(2)/$D$65+0.1)*(VLOOKUP(($F$16-$F$15)-1,AC$99:AG146,5,FALSE)))*EXP(-(LN(2)/$D$65+0.04)*AF146)*EXP(-(LN(2)/$D$65+0.1)*AG146),IF(AD146=3,AI$100*EXP(-(LN(2)/$D$65+0.04)*(VLOOKUP(($F$16-$F$15)-1,AC$99:AG146,4,FALSE)))*EXP(-(LN(2)/$D$65+0.1)*(VLOOKUP(($F$16-$F$15)-1,AC$99:AG146,5,FALSE)))*EXP(-(LN(2)/$D$65+0.04)*(VLOOKUP(($F$16-$F$15)*2-1,AC$99:AG146,4,FALSE)))*EXP(-(LN(2)/$D$65+0.1)*(VLOOKUP(($F$16-$F$15)*2-1,AC$99:AG146,5,FALSE)))*EXP(-(LN(2)/$D$65+0.04)*AF146)*EXP(-(LN(2)/$D$65+0.1)*AG146),"-"))),"-")</f>
        <v>-</v>
      </c>
      <c r="AJ147" s="271" t="str">
        <f>IFERROR(IF(AD147=1,AJ$100*EXP(-(LN(2)/$D$65+0.04)*AF147)*EXP(-(LN(2)/$D$65+0.1)*AG147),IF(AD147=2,AJ$100*EXP(-(LN(2)/$D$65+0.04)*(VLOOKUP(($F$16-$F$15)-1,AC$100:AG147,4,FALSE)))*EXP(-(LN(2)/$D$65+0.1)*(VLOOKUP(($F$16-$F$15)-1,AC$100:AG147,5,FALSE)))*EXP(-(LN(2)/$D$65+0.04)*AF147)*EXP(-(LN(2)/$D$65+0.1)*AG147),IF(AD147=3,AJ$100*EXP(-(LN(2)/$D$65+0.04)*(VLOOKUP(($F$16-$F$15)-1,AC$100:AG147,4,FALSE)))*EXP(-(LN(2)/$D$65+0.1)*(VLOOKUP(($F$16-$F$15)-1,AC$100:AG147,5,FALSE)))*EXP(-(LN(2)/$D$65+0.04)*(VLOOKUP(($F$16-$F$15)*2-1,AC$100:AG147,4,FALSE)))*EXP(-(LN(2)/$D$65+0.1)*(VLOOKUP(($F$16-$F$15)*2-1,AC$100:AG147,5,FALSE)))*EXP(-(LN(2)/$D$65+0.04)*AF147)*EXP(-(LN(2)/$D$65+0.1)*AG147),"-"))),"-")</f>
        <v>-</v>
      </c>
      <c r="AK147" s="227">
        <f t="shared" si="49"/>
        <v>47</v>
      </c>
      <c r="AL147" s="226" t="str">
        <f t="shared" si="22"/>
        <v>-</v>
      </c>
      <c r="AM147" s="227" t="str">
        <f t="shared" si="50"/>
        <v>-</v>
      </c>
      <c r="AN147" s="227" t="str">
        <f t="shared" si="51"/>
        <v>-</v>
      </c>
      <c r="AO147" s="227" t="str">
        <f t="shared" si="23"/>
        <v>-</v>
      </c>
      <c r="AP147" s="273">
        <f t="shared" si="52"/>
        <v>0.1</v>
      </c>
      <c r="AQ147" s="271" t="str">
        <f>IFERROR(IF(AL146=1,AQ$100*EXP(-(LN(2)/$D$65+0.04)*AN146)*EXP(-(LN(2)/$D$65+0.1)*AO146),IF(AL146=2,AQ$100*EXP(-(LN(2)/$D$65+0.04)*(VLOOKUP(($F$16-$F$15)-1,AK$99:AO146,4,FALSE)))*EXP(-(LN(2)/$D$65+0.1)*(VLOOKUP(($F$16-$F$15)-1,AK$99:AO146,5,FALSE)))*EXP(-(LN(2)/$D$65+0.04)*AN146)*EXP(-(LN(2)/$D$65+0.1)*AO146),IF(AL146=3,AQ$100*EXP(-(LN(2)/$D$65+0.04)*(VLOOKUP(($F$16-$F$15)-1,AK$99:AO146,4,FALSE)))*EXP(-(LN(2)/$D$65+0.1)*(VLOOKUP(($F$16-$F$15)-1,AK$99:AO146,5,FALSE)))*EXP(-(LN(2)/$D$65+0.04)*(VLOOKUP(($F$16-$F$15)*2-1,AK$99:AO146,4,FALSE)))*EXP(-(LN(2)/$D$65+0.1)*(VLOOKUP(($F$16-$F$15)*2-1,AK$99:AO146,5,FALSE)))*EXP(-(LN(2)/$D$65+0.04)*AN146)*EXP(-(LN(2)/$D$65+0.1)*AO146),"-"))),"-")</f>
        <v>-</v>
      </c>
      <c r="AR147" s="271" t="str">
        <f>IFERROR(IF(AL147=1,AR$100*EXP(-(LN(2)/$D$65+0.04)*AN147)*EXP(-(LN(2)/$D$65+0.1)*AO147),IF(AL147=2,AR$100*EXP(-(LN(2)/$D$65+0.04)*(VLOOKUP(($F$16-$F$15)-1,AK$100:AO147,4,FALSE)))*EXP(-(LN(2)/$D$65+0.1)*(VLOOKUP(($F$16-$F$15)-1,AK$100:AO147,5,FALSE)))*EXP(-(LN(2)/$D$65+0.04)*AN147)*EXP(-(LN(2)/$D$65+0.1)*AO147),IF(AL147=3,AR$100*EXP(-(LN(2)/$D$65+0.04)*(VLOOKUP(($F$16-$F$15)-1,AK$100:AO147,4,FALSE)))*EXP(-(LN(2)/$D$65+0.1)*(VLOOKUP(($F$16-$F$15)-1,AK$100:AO147,5,FALSE)))*EXP(-(LN(2)/$D$65+0.04)*(VLOOKUP(($F$16-$F$15)*2-1,AK$100:AO147,4,FALSE)))*EXP(-(LN(2)/$D$65+0.1)*(VLOOKUP(($F$16-$F$15)*2-1,AK$100:AO147,5,FALSE)))*EXP(-(LN(2)/$D$65+0.04)*AN147)*EXP(-(LN(2)/$D$65+0.1)*AO147),"-"))),"-")</f>
        <v>-</v>
      </c>
      <c r="AS147" s="274">
        <f t="shared" si="24"/>
        <v>0</v>
      </c>
      <c r="AT147" s="274">
        <f t="shared" si="25"/>
        <v>0</v>
      </c>
      <c r="AU147" s="274">
        <f t="shared" si="26"/>
        <v>0</v>
      </c>
      <c r="AV147" s="190" t="str">
        <f>IF($B147&lt;$F$22,SUM($T$100:$T147),"")</f>
        <v/>
      </c>
      <c r="AW147" s="190" t="str">
        <f t="shared" si="83"/>
        <v>-</v>
      </c>
      <c r="AX147" s="190" t="str">
        <f t="shared" si="56"/>
        <v/>
      </c>
      <c r="AY147"/>
      <c r="AZ147" s="190" t="str">
        <f ca="1">IF(ISNUMBER(OFFSET(AV147,-$F$21,0)),SUM(OFFSET($T$100,$F$21,0):$T147),"")</f>
        <v/>
      </c>
      <c r="BA147" s="190" t="str">
        <f t="shared" ca="1" si="84"/>
        <v/>
      </c>
      <c r="BB147" s="190" t="str">
        <f t="shared" ca="1" si="70"/>
        <v/>
      </c>
      <c r="BC147" s="190"/>
      <c r="BD147" s="190" t="str">
        <f ca="1">IFERROR(IF(OR(ISNUMBER(I),ISNUMBER($F$14)),IF(AND($B147&gt;=($F$16-$F$15),$B147&lt;$F$22+($F$16-$F$15)),SUM(OFFSET($T$100,($F$16-$F$15),0):$T147),""),""),"")</f>
        <v/>
      </c>
      <c r="BE147" s="190" t="str">
        <f t="shared" ca="1" si="58"/>
        <v/>
      </c>
      <c r="BF147" s="190" t="str">
        <f t="shared" ca="1" si="59"/>
        <v/>
      </c>
      <c r="BG147"/>
      <c r="BH147" s="190" t="str">
        <f ca="1">IF(ISNUMBER(OFFSET(BD147,-$F$21,0)),SUM(OFFSET($T$100,($F$16-$F$15+$F$21),0):$T147),"")</f>
        <v/>
      </c>
      <c r="BI147" s="190" t="str">
        <f t="shared" ca="1" si="85"/>
        <v/>
      </c>
      <c r="BJ147" s="190" t="str">
        <f t="shared" ca="1" si="60"/>
        <v/>
      </c>
      <c r="BK147" s="190"/>
      <c r="BL147" s="190" t="str">
        <f ca="1">IFERROR(IF(OR(ISNUMBER(I),ISNUMBER($F$14)),IF(AND($B147&gt;=($F$17-$F$15),$B147&lt;$F$22+($F$17-$F$15)),SUM(OFFSET($T$100,($F$17-$F$15),0):$T147),""),""),"")</f>
        <v/>
      </c>
      <c r="BM147" s="190" t="str">
        <f t="shared" ca="1" si="86"/>
        <v/>
      </c>
      <c r="BN147" s="190" t="str">
        <f t="shared" ca="1" si="61"/>
        <v/>
      </c>
      <c r="BO147"/>
      <c r="BP147" s="190" t="str">
        <f ca="1">IF(ISNUMBER(OFFSET(BL147,-$F$21,0)),SUM(OFFSET($T$100,($F$17-$F$15+$F$21),0):$T147),"")</f>
        <v/>
      </c>
      <c r="BQ147" s="190" t="str">
        <f t="shared" ca="1" si="87"/>
        <v/>
      </c>
      <c r="BR147" s="190" t="str">
        <f t="shared" ca="1" si="63"/>
        <v/>
      </c>
      <c r="BS147" s="190"/>
      <c r="BT147"/>
      <c r="BU147"/>
      <c r="BV147"/>
      <c r="BY147" s="99"/>
      <c r="BZ147" s="99"/>
      <c r="CA147" s="280" t="str">
        <f t="shared" si="88"/>
        <v/>
      </c>
      <c r="CB147" s="71" t="str">
        <f t="shared" si="31"/>
        <v>-</v>
      </c>
      <c r="CC147" s="33"/>
      <c r="CD147" s="261" t="str">
        <f t="shared" si="33"/>
        <v/>
      </c>
      <c r="CE147" s="280" t="str">
        <f t="shared" si="89"/>
        <v/>
      </c>
      <c r="CF147" s="71" t="str">
        <f t="shared" ca="1" si="90"/>
        <v/>
      </c>
      <c r="CG147" s="33" t="str">
        <f t="shared" si="36"/>
        <v/>
      </c>
      <c r="CH147" s="261" t="str">
        <f t="shared" ca="1" si="37"/>
        <v/>
      </c>
      <c r="CI147" s="202"/>
      <c r="CJ147" s="99"/>
      <c r="CK147" s="99"/>
      <c r="CL147" s="99"/>
      <c r="CM147" s="99"/>
      <c r="CN147" s="99"/>
      <c r="CO147" s="99"/>
    </row>
    <row r="148" spans="2:93" ht="13.5" customHeight="1" x14ac:dyDescent="0.2">
      <c r="B148" s="262">
        <v>48</v>
      </c>
      <c r="C148" s="237" t="str">
        <f t="shared" si="1"/>
        <v/>
      </c>
      <c r="D148" s="237" t="str">
        <f t="shared" si="66"/>
        <v/>
      </c>
      <c r="E148" s="290" t="str">
        <f t="shared" si="38"/>
        <v/>
      </c>
      <c r="F148" s="264" t="str">
        <f t="shared" si="39"/>
        <v/>
      </c>
      <c r="G148" s="291" t="str">
        <f t="shared" si="40"/>
        <v/>
      </c>
      <c r="H148" s="240" t="str">
        <f t="shared" si="71"/>
        <v/>
      </c>
      <c r="I148" s="265" t="str">
        <f t="shared" si="72"/>
        <v/>
      </c>
      <c r="J148" s="265" t="str">
        <f t="shared" si="73"/>
        <v/>
      </c>
      <c r="K148" s="240" t="str">
        <f t="shared" si="74"/>
        <v/>
      </c>
      <c r="L148" s="265" t="str">
        <f t="shared" si="75"/>
        <v/>
      </c>
      <c r="M148" s="265" t="str">
        <f t="shared" si="76"/>
        <v/>
      </c>
      <c r="N148" s="240" t="str">
        <f t="shared" si="77"/>
        <v>-</v>
      </c>
      <c r="O148" s="265" t="str">
        <f t="shared" si="78"/>
        <v>-</v>
      </c>
      <c r="P148" s="265" t="str">
        <f t="shared" si="79"/>
        <v>-</v>
      </c>
      <c r="Q148" s="266" t="str">
        <f t="shared" si="80"/>
        <v>-</v>
      </c>
      <c r="R148" s="267" t="str">
        <f t="shared" si="81"/>
        <v>-</v>
      </c>
      <c r="S148" s="268" t="str">
        <f t="shared" si="82"/>
        <v>-</v>
      </c>
      <c r="T148" s="269" t="str">
        <f t="shared" si="13"/>
        <v/>
      </c>
      <c r="U148" s="221">
        <f t="shared" si="14"/>
        <v>48</v>
      </c>
      <c r="V148" s="220" t="str">
        <f t="shared" si="42"/>
        <v>-</v>
      </c>
      <c r="W148" s="221" t="str">
        <f t="shared" si="43"/>
        <v>-</v>
      </c>
      <c r="X148" s="221" t="str">
        <f t="shared" si="15"/>
        <v>-</v>
      </c>
      <c r="Y148" s="221" t="str">
        <f t="shared" si="16"/>
        <v>-</v>
      </c>
      <c r="Z148" s="270">
        <f t="shared" si="44"/>
        <v>0.1</v>
      </c>
      <c r="AA148" s="271" t="str">
        <f>IFERROR(IF(V147=1,AA$100*EXP(-(LN(2)/$D$65+0.04)*X147)*EXP(-(LN(2)/$D$65+0.1)*Y147),IF(V147=2,AA$100*EXP(-(LN(2)/$D$65+0.04)*(VLOOKUP(($F$16-$F$15)-1,U$99:Y147,4,FALSE)))*EXP(-(LN(2)/$D$65+0.1)*(VLOOKUP(($F$16-$F$15)-1,U$99:Y147,5,FALSE)))*EXP(-(LN(2)/$D$65+0.04)*X147)*EXP(-(LN(2)/$D$65+0.1)*Y147),IF(V147=3,AA$100*EXP(-(LN(2)/$D$65+0.04)*(VLOOKUP(($F$16-$F$15)-1,U$99:Y147,4,FALSE)))*EXP(-(LN(2)/$D$65+0.1)*(VLOOKUP(($F$16-$F$15)-1,U$99:Y147,5,FALSE)))*EXP(-(LN(2)/$D$65+0.04)*(VLOOKUP(($F$16-$F$15)*2-1,U$99:Y147,4,FALSE)))*EXP(-(LN(2)/$D$65+0.1)*(VLOOKUP(($F$16-$F$15)*2-1,U$99:Y147,5,FALSE)))*EXP(-(LN(2)/$D$65+0.04)*X147)*EXP(-(LN(2)/$D$65+0.1)*Y147),"-"))),"-")</f>
        <v>-</v>
      </c>
      <c r="AB148" s="271" t="str">
        <f>IFERROR(IF(V148=1,AB$100*EXP(-(LN(2)/$D$65+0.04)*X148)*EXP(-(LN(2)/$D$65+0.1)*Y148),IF(V148=2,AB$100*EXP(-(LN(2)/$D$65+0.04)*(VLOOKUP(($F$16-$F$15)-1,U$100:Y148,4,FALSE)))*EXP(-(LN(2)/$D$65+0.1)*(VLOOKUP(($F$16-$F$15)-1,U$100:Y148,5,FALSE)))*EXP(-(LN(2)/$D$65+0.04)*X148)*EXP(-(LN(2)/$D$65+0.1)*Y148),IF(V148=3,AB$100*EXP(-(LN(2)/$D$65+0.04)*(VLOOKUP(($F$16-$F$15)-1,U$100:Y148,4,FALSE)))*EXP(-(LN(2)/$D$65+0.1)*(VLOOKUP(($F$16-$F$15)-1,U$100:Y148,5,FALSE)))*EXP(-(LN(2)/$D$65+0.04)*(VLOOKUP(($F$16-$F$15)*2-1,U$100:Y148,4,FALSE)))*EXP(-(LN(2)/$D$65+0.1)*(VLOOKUP(($F$16-$F$15)*2-1,U$100:Y148,5,FALSE)))*EXP(-(LN(2)/$D$65+0.04)*X148)*EXP(-(LN(2)/$D$65+0.1)*Y148),"-"))),"-")</f>
        <v>-</v>
      </c>
      <c r="AC148" s="224">
        <f t="shared" si="45"/>
        <v>48</v>
      </c>
      <c r="AD148" s="223" t="str">
        <f t="shared" si="18"/>
        <v>-</v>
      </c>
      <c r="AE148" s="224" t="str">
        <f t="shared" si="46"/>
        <v>-</v>
      </c>
      <c r="AF148" s="224" t="str">
        <f t="shared" si="19"/>
        <v>-</v>
      </c>
      <c r="AG148" s="224" t="str">
        <f t="shared" si="20"/>
        <v>-</v>
      </c>
      <c r="AH148" s="272">
        <f t="shared" si="47"/>
        <v>0.1</v>
      </c>
      <c r="AI148" s="271" t="str">
        <f>IFERROR(IF(AD147=1,AI$100*EXP(-(LN(2)/$D$65+0.04)*AF147)*EXP(-(LN(2)/$D$65+0.1)*AG147),IF(AD147=2,AI$100*EXP(-(LN(2)/$D$65+0.04)*(VLOOKUP(($F$16-$F$15)-1,AC$99:AG147,4,FALSE)))*EXP(-(LN(2)/$D$65+0.1)*(VLOOKUP(($F$16-$F$15)-1,AC$99:AG147,5,FALSE)))*EXP(-(LN(2)/$D$65+0.04)*AF147)*EXP(-(LN(2)/$D$65+0.1)*AG147),IF(AD147=3,AI$100*EXP(-(LN(2)/$D$65+0.04)*(VLOOKUP(($F$16-$F$15)-1,AC$99:AG147,4,FALSE)))*EXP(-(LN(2)/$D$65+0.1)*(VLOOKUP(($F$16-$F$15)-1,AC$99:AG147,5,FALSE)))*EXP(-(LN(2)/$D$65+0.04)*(VLOOKUP(($F$16-$F$15)*2-1,AC$99:AG147,4,FALSE)))*EXP(-(LN(2)/$D$65+0.1)*(VLOOKUP(($F$16-$F$15)*2-1,AC$99:AG147,5,FALSE)))*EXP(-(LN(2)/$D$65+0.04)*AF147)*EXP(-(LN(2)/$D$65+0.1)*AG147),"-"))),"-")</f>
        <v>-</v>
      </c>
      <c r="AJ148" s="271" t="str">
        <f>IFERROR(IF(AD148=1,AJ$100*EXP(-(LN(2)/$D$65+0.04)*AF148)*EXP(-(LN(2)/$D$65+0.1)*AG148),IF(AD148=2,AJ$100*EXP(-(LN(2)/$D$65+0.04)*(VLOOKUP(($F$16-$F$15)-1,AC$100:AG148,4,FALSE)))*EXP(-(LN(2)/$D$65+0.1)*(VLOOKUP(($F$16-$F$15)-1,AC$100:AG148,5,FALSE)))*EXP(-(LN(2)/$D$65+0.04)*AF148)*EXP(-(LN(2)/$D$65+0.1)*AG148),IF(AD148=3,AJ$100*EXP(-(LN(2)/$D$65+0.04)*(VLOOKUP(($F$16-$F$15)-1,AC$100:AG148,4,FALSE)))*EXP(-(LN(2)/$D$65+0.1)*(VLOOKUP(($F$16-$F$15)-1,AC$100:AG148,5,FALSE)))*EXP(-(LN(2)/$D$65+0.04)*(VLOOKUP(($F$16-$F$15)*2-1,AC$100:AG148,4,FALSE)))*EXP(-(LN(2)/$D$65+0.1)*(VLOOKUP(($F$16-$F$15)*2-1,AC$100:AG148,5,FALSE)))*EXP(-(LN(2)/$D$65+0.04)*AF148)*EXP(-(LN(2)/$D$65+0.1)*AG148),"-"))),"-")</f>
        <v>-</v>
      </c>
      <c r="AK148" s="227">
        <f t="shared" si="49"/>
        <v>48</v>
      </c>
      <c r="AL148" s="226" t="str">
        <f t="shared" si="22"/>
        <v>-</v>
      </c>
      <c r="AM148" s="227" t="str">
        <f t="shared" si="50"/>
        <v>-</v>
      </c>
      <c r="AN148" s="227" t="str">
        <f t="shared" si="51"/>
        <v>-</v>
      </c>
      <c r="AO148" s="227" t="str">
        <f t="shared" si="23"/>
        <v>-</v>
      </c>
      <c r="AP148" s="273">
        <f t="shared" si="52"/>
        <v>0.1</v>
      </c>
      <c r="AQ148" s="271" t="str">
        <f>IFERROR(IF(AL147=1,AQ$100*EXP(-(LN(2)/$D$65+0.04)*AN147)*EXP(-(LN(2)/$D$65+0.1)*AO147),IF(AL147=2,AQ$100*EXP(-(LN(2)/$D$65+0.04)*(VLOOKUP(($F$16-$F$15)-1,AK$99:AO147,4,FALSE)))*EXP(-(LN(2)/$D$65+0.1)*(VLOOKUP(($F$16-$F$15)-1,AK$99:AO147,5,FALSE)))*EXP(-(LN(2)/$D$65+0.04)*AN147)*EXP(-(LN(2)/$D$65+0.1)*AO147),IF(AL147=3,AQ$100*EXP(-(LN(2)/$D$65+0.04)*(VLOOKUP(($F$16-$F$15)-1,AK$99:AO147,4,FALSE)))*EXP(-(LN(2)/$D$65+0.1)*(VLOOKUP(($F$16-$F$15)-1,AK$99:AO147,5,FALSE)))*EXP(-(LN(2)/$D$65+0.04)*(VLOOKUP(($F$16-$F$15)*2-1,AK$99:AO147,4,FALSE)))*EXP(-(LN(2)/$D$65+0.1)*(VLOOKUP(($F$16-$F$15)*2-1,AK$99:AO147,5,FALSE)))*EXP(-(LN(2)/$D$65+0.04)*AN147)*EXP(-(LN(2)/$D$65+0.1)*AO147),"-"))),"-")</f>
        <v>-</v>
      </c>
      <c r="AR148" s="271" t="str">
        <f>IFERROR(IF(AL148=1,AR$100*EXP(-(LN(2)/$D$65+0.04)*AN148)*EXP(-(LN(2)/$D$65+0.1)*AO148),IF(AL148=2,AR$100*EXP(-(LN(2)/$D$65+0.04)*(VLOOKUP(($F$16-$F$15)-1,AK$100:AO148,4,FALSE)))*EXP(-(LN(2)/$D$65+0.1)*(VLOOKUP(($F$16-$F$15)-1,AK$100:AO148,5,FALSE)))*EXP(-(LN(2)/$D$65+0.04)*AN148)*EXP(-(LN(2)/$D$65+0.1)*AO148),IF(AL148=3,AR$100*EXP(-(LN(2)/$D$65+0.04)*(VLOOKUP(($F$16-$F$15)-1,AK$100:AO148,4,FALSE)))*EXP(-(LN(2)/$D$65+0.1)*(VLOOKUP(($F$16-$F$15)-1,AK$100:AO148,5,FALSE)))*EXP(-(LN(2)/$D$65+0.04)*(VLOOKUP(($F$16-$F$15)*2-1,AK$100:AO148,4,FALSE)))*EXP(-(LN(2)/$D$65+0.1)*(VLOOKUP(($F$16-$F$15)*2-1,AK$100:AO148,5,FALSE)))*EXP(-(LN(2)/$D$65+0.04)*AN148)*EXP(-(LN(2)/$D$65+0.1)*AO148),"-"))),"-")</f>
        <v>-</v>
      </c>
      <c r="AS148" s="274">
        <f t="shared" si="24"/>
        <v>0</v>
      </c>
      <c r="AT148" s="274">
        <f t="shared" si="25"/>
        <v>0</v>
      </c>
      <c r="AU148" s="274">
        <f t="shared" si="26"/>
        <v>0</v>
      </c>
      <c r="AV148" s="190" t="str">
        <f>IF($B148&lt;$F$22,SUM($T$100:$T148),"")</f>
        <v/>
      </c>
      <c r="AW148" s="190" t="str">
        <f t="shared" si="83"/>
        <v>-</v>
      </c>
      <c r="AX148" s="190" t="str">
        <f t="shared" si="56"/>
        <v/>
      </c>
      <c r="AY148"/>
      <c r="AZ148" s="190" t="str">
        <f ca="1">IF(ISNUMBER(OFFSET(AV148,-$F$21,0)),SUM(OFFSET($T$100,$F$21,0):$T148),"")</f>
        <v/>
      </c>
      <c r="BA148" s="190" t="str">
        <f t="shared" ca="1" si="84"/>
        <v/>
      </c>
      <c r="BB148" s="190" t="str">
        <f t="shared" ca="1" si="70"/>
        <v/>
      </c>
      <c r="BC148" s="190"/>
      <c r="BD148" s="190" t="str">
        <f ca="1">IFERROR(IF(OR(ISNUMBER(I),ISNUMBER($F$14)),IF(AND($B148&gt;=($F$16-$F$15),$B148&lt;$F$22+($F$16-$F$15)),SUM(OFFSET($T$100,($F$16-$F$15),0):$T148),""),""),"")</f>
        <v/>
      </c>
      <c r="BE148" s="190" t="str">
        <f t="shared" ca="1" si="58"/>
        <v/>
      </c>
      <c r="BF148" s="190" t="str">
        <f t="shared" ca="1" si="59"/>
        <v/>
      </c>
      <c r="BG148"/>
      <c r="BH148" s="190" t="str">
        <f ca="1">IF(ISNUMBER(OFFSET(BD148,-$F$21,0)),SUM(OFFSET($T$100,($F$16-$F$15+$F$21),0):$T148),"")</f>
        <v/>
      </c>
      <c r="BI148" s="190" t="str">
        <f t="shared" ca="1" si="85"/>
        <v/>
      </c>
      <c r="BJ148" s="190" t="str">
        <f t="shared" ca="1" si="60"/>
        <v/>
      </c>
      <c r="BK148" s="190"/>
      <c r="BL148" s="190" t="str">
        <f ca="1">IFERROR(IF(OR(ISNUMBER(I),ISNUMBER($F$14)),IF(AND($B148&gt;=($F$17-$F$15),$B148&lt;$F$22+($F$17-$F$15)),SUM(OFFSET($T$100,($F$17-$F$15),0):$T148),""),""),"")</f>
        <v/>
      </c>
      <c r="BM148" s="190" t="str">
        <f t="shared" ca="1" si="86"/>
        <v/>
      </c>
      <c r="BN148" s="190" t="str">
        <f t="shared" ca="1" si="61"/>
        <v/>
      </c>
      <c r="BO148"/>
      <c r="BP148" s="190" t="str">
        <f ca="1">IF(ISNUMBER(OFFSET(BL148,-$F$21,0)),SUM(OFFSET($T$100,($F$17-$F$15+$F$21),0):$T148),"")</f>
        <v/>
      </c>
      <c r="BQ148" s="190" t="str">
        <f t="shared" ca="1" si="87"/>
        <v/>
      </c>
      <c r="BR148" s="190" t="str">
        <f t="shared" ca="1" si="63"/>
        <v/>
      </c>
      <c r="BS148" s="190"/>
      <c r="BT148"/>
      <c r="BU148"/>
      <c r="BV148"/>
      <c r="BY148" s="99"/>
      <c r="BZ148" s="99"/>
      <c r="CA148" s="280" t="str">
        <f t="shared" si="88"/>
        <v/>
      </c>
      <c r="CB148" s="71" t="str">
        <f t="shared" si="31"/>
        <v>-</v>
      </c>
      <c r="CC148" s="33"/>
      <c r="CD148" s="261" t="str">
        <f t="shared" si="33"/>
        <v/>
      </c>
      <c r="CE148" s="280" t="str">
        <f t="shared" si="89"/>
        <v/>
      </c>
      <c r="CF148" s="71" t="str">
        <f t="shared" ca="1" si="90"/>
        <v/>
      </c>
      <c r="CG148" s="33" t="str">
        <f t="shared" si="36"/>
        <v/>
      </c>
      <c r="CH148" s="261" t="str">
        <f t="shared" ca="1" si="37"/>
        <v/>
      </c>
      <c r="CI148" s="202"/>
      <c r="CJ148" s="99"/>
      <c r="CK148" s="99"/>
      <c r="CL148" s="99"/>
      <c r="CM148" s="99"/>
      <c r="CN148" s="99"/>
      <c r="CO148" s="99"/>
    </row>
    <row r="149" spans="2:93" ht="13.5" customHeight="1" x14ac:dyDescent="0.2">
      <c r="B149" s="262">
        <v>49</v>
      </c>
      <c r="C149" s="237" t="str">
        <f t="shared" si="1"/>
        <v/>
      </c>
      <c r="D149" s="237" t="str">
        <f t="shared" si="66"/>
        <v/>
      </c>
      <c r="E149" s="290" t="str">
        <f t="shared" si="38"/>
        <v/>
      </c>
      <c r="F149" s="264" t="str">
        <f t="shared" si="39"/>
        <v/>
      </c>
      <c r="G149" s="291" t="str">
        <f t="shared" si="40"/>
        <v/>
      </c>
      <c r="H149" s="240" t="str">
        <f t="shared" si="71"/>
        <v/>
      </c>
      <c r="I149" s="265" t="str">
        <f t="shared" si="72"/>
        <v/>
      </c>
      <c r="J149" s="265" t="str">
        <f t="shared" si="73"/>
        <v/>
      </c>
      <c r="K149" s="240" t="str">
        <f t="shared" si="74"/>
        <v/>
      </c>
      <c r="L149" s="265" t="str">
        <f t="shared" si="75"/>
        <v/>
      </c>
      <c r="M149" s="265" t="str">
        <f t="shared" si="76"/>
        <v/>
      </c>
      <c r="N149" s="240" t="str">
        <f t="shared" si="77"/>
        <v>-</v>
      </c>
      <c r="O149" s="265" t="str">
        <f t="shared" si="78"/>
        <v>-</v>
      </c>
      <c r="P149" s="265" t="str">
        <f t="shared" si="79"/>
        <v>-</v>
      </c>
      <c r="Q149" s="266" t="str">
        <f t="shared" si="80"/>
        <v>-</v>
      </c>
      <c r="R149" s="267" t="str">
        <f t="shared" si="81"/>
        <v>-</v>
      </c>
      <c r="S149" s="268" t="str">
        <f t="shared" si="82"/>
        <v>-</v>
      </c>
      <c r="T149" s="269" t="str">
        <f t="shared" si="13"/>
        <v/>
      </c>
      <c r="U149" s="221">
        <f t="shared" si="14"/>
        <v>49</v>
      </c>
      <c r="V149" s="220" t="str">
        <f t="shared" si="42"/>
        <v>-</v>
      </c>
      <c r="W149" s="221" t="str">
        <f t="shared" si="43"/>
        <v>-</v>
      </c>
      <c r="X149" s="221" t="str">
        <f t="shared" si="15"/>
        <v>-</v>
      </c>
      <c r="Y149" s="221" t="str">
        <f t="shared" si="16"/>
        <v>-</v>
      </c>
      <c r="Z149" s="270">
        <f t="shared" si="44"/>
        <v>0.1</v>
      </c>
      <c r="AA149" s="271" t="str">
        <f>IFERROR(IF(V148=1,AA$100*EXP(-(LN(2)/$D$65+0.04)*X148)*EXP(-(LN(2)/$D$65+0.1)*Y148),IF(V148=2,AA$100*EXP(-(LN(2)/$D$65+0.04)*(VLOOKUP(($F$16-$F$15)-1,U$99:Y148,4,FALSE)))*EXP(-(LN(2)/$D$65+0.1)*(VLOOKUP(($F$16-$F$15)-1,U$99:Y148,5,FALSE)))*EXP(-(LN(2)/$D$65+0.04)*X148)*EXP(-(LN(2)/$D$65+0.1)*Y148),IF(V148=3,AA$100*EXP(-(LN(2)/$D$65+0.04)*(VLOOKUP(($F$16-$F$15)-1,U$99:Y148,4,FALSE)))*EXP(-(LN(2)/$D$65+0.1)*(VLOOKUP(($F$16-$F$15)-1,U$99:Y148,5,FALSE)))*EXP(-(LN(2)/$D$65+0.04)*(VLOOKUP(($F$16-$F$15)*2-1,U$99:Y148,4,FALSE)))*EXP(-(LN(2)/$D$65+0.1)*(VLOOKUP(($F$16-$F$15)*2-1,U$99:Y148,5,FALSE)))*EXP(-(LN(2)/$D$65+0.04)*X148)*EXP(-(LN(2)/$D$65+0.1)*Y148),"-"))),"-")</f>
        <v>-</v>
      </c>
      <c r="AB149" s="271" t="str">
        <f>IFERROR(IF(V149=1,AB$100*EXP(-(LN(2)/$D$65+0.04)*X149)*EXP(-(LN(2)/$D$65+0.1)*Y149),IF(V149=2,AB$100*EXP(-(LN(2)/$D$65+0.04)*(VLOOKUP(($F$16-$F$15)-1,U$100:Y149,4,FALSE)))*EXP(-(LN(2)/$D$65+0.1)*(VLOOKUP(($F$16-$F$15)-1,U$100:Y149,5,FALSE)))*EXP(-(LN(2)/$D$65+0.04)*X149)*EXP(-(LN(2)/$D$65+0.1)*Y149),IF(V149=3,AB$100*EXP(-(LN(2)/$D$65+0.04)*(VLOOKUP(($F$16-$F$15)-1,U$100:Y149,4,FALSE)))*EXP(-(LN(2)/$D$65+0.1)*(VLOOKUP(($F$16-$F$15)-1,U$100:Y149,5,FALSE)))*EXP(-(LN(2)/$D$65+0.04)*(VLOOKUP(($F$16-$F$15)*2-1,U$100:Y149,4,FALSE)))*EXP(-(LN(2)/$D$65+0.1)*(VLOOKUP(($F$16-$F$15)*2-1,U$100:Y149,5,FALSE)))*EXP(-(LN(2)/$D$65+0.04)*X149)*EXP(-(LN(2)/$D$65+0.1)*Y149),"-"))),"-")</f>
        <v>-</v>
      </c>
      <c r="AC149" s="224">
        <f t="shared" si="45"/>
        <v>49</v>
      </c>
      <c r="AD149" s="223" t="str">
        <f t="shared" si="18"/>
        <v>-</v>
      </c>
      <c r="AE149" s="224" t="str">
        <f t="shared" si="46"/>
        <v>-</v>
      </c>
      <c r="AF149" s="224" t="str">
        <f t="shared" si="19"/>
        <v>-</v>
      </c>
      <c r="AG149" s="224" t="str">
        <f t="shared" si="20"/>
        <v>-</v>
      </c>
      <c r="AH149" s="272">
        <f t="shared" si="47"/>
        <v>0.1</v>
      </c>
      <c r="AI149" s="271" t="str">
        <f>IFERROR(IF(AD148=1,AI$100*EXP(-(LN(2)/$D$65+0.04)*AF148)*EXP(-(LN(2)/$D$65+0.1)*AG148),IF(AD148=2,AI$100*EXP(-(LN(2)/$D$65+0.04)*(VLOOKUP(($F$16-$F$15)-1,AC$99:AG148,4,FALSE)))*EXP(-(LN(2)/$D$65+0.1)*(VLOOKUP(($F$16-$F$15)-1,AC$99:AG148,5,FALSE)))*EXP(-(LN(2)/$D$65+0.04)*AF148)*EXP(-(LN(2)/$D$65+0.1)*AG148),IF(AD148=3,AI$100*EXP(-(LN(2)/$D$65+0.04)*(VLOOKUP(($F$16-$F$15)-1,AC$99:AG148,4,FALSE)))*EXP(-(LN(2)/$D$65+0.1)*(VLOOKUP(($F$16-$F$15)-1,AC$99:AG148,5,FALSE)))*EXP(-(LN(2)/$D$65+0.04)*(VLOOKUP(($F$16-$F$15)*2-1,AC$99:AG148,4,FALSE)))*EXP(-(LN(2)/$D$65+0.1)*(VLOOKUP(($F$16-$F$15)*2-1,AC$99:AG148,5,FALSE)))*EXP(-(LN(2)/$D$65+0.04)*AF148)*EXP(-(LN(2)/$D$65+0.1)*AG148),"-"))),"-")</f>
        <v>-</v>
      </c>
      <c r="AJ149" s="271" t="str">
        <f>IFERROR(IF(AD149=1,AJ$100*EXP(-(LN(2)/$D$65+0.04)*AF149)*EXP(-(LN(2)/$D$65+0.1)*AG149),IF(AD149=2,AJ$100*EXP(-(LN(2)/$D$65+0.04)*(VLOOKUP(($F$16-$F$15)-1,AC$100:AG149,4,FALSE)))*EXP(-(LN(2)/$D$65+0.1)*(VLOOKUP(($F$16-$F$15)-1,AC$100:AG149,5,FALSE)))*EXP(-(LN(2)/$D$65+0.04)*AF149)*EXP(-(LN(2)/$D$65+0.1)*AG149),IF(AD149=3,AJ$100*EXP(-(LN(2)/$D$65+0.04)*(VLOOKUP(($F$16-$F$15)-1,AC$100:AG149,4,FALSE)))*EXP(-(LN(2)/$D$65+0.1)*(VLOOKUP(($F$16-$F$15)-1,AC$100:AG149,5,FALSE)))*EXP(-(LN(2)/$D$65+0.04)*(VLOOKUP(($F$16-$F$15)*2-1,AC$100:AG149,4,FALSE)))*EXP(-(LN(2)/$D$65+0.1)*(VLOOKUP(($F$16-$F$15)*2-1,AC$100:AG149,5,FALSE)))*EXP(-(LN(2)/$D$65+0.04)*AF149)*EXP(-(LN(2)/$D$65+0.1)*AG149),"-"))),"-")</f>
        <v>-</v>
      </c>
      <c r="AK149" s="227">
        <f t="shared" si="49"/>
        <v>49</v>
      </c>
      <c r="AL149" s="226" t="str">
        <f t="shared" si="22"/>
        <v>-</v>
      </c>
      <c r="AM149" s="227" t="str">
        <f t="shared" si="50"/>
        <v>-</v>
      </c>
      <c r="AN149" s="227" t="str">
        <f t="shared" si="51"/>
        <v>-</v>
      </c>
      <c r="AO149" s="227" t="str">
        <f t="shared" si="23"/>
        <v>-</v>
      </c>
      <c r="AP149" s="273">
        <f t="shared" si="52"/>
        <v>0.1</v>
      </c>
      <c r="AQ149" s="271" t="str">
        <f>IFERROR(IF(AL148=1,AQ$100*EXP(-(LN(2)/$D$65+0.04)*AN148)*EXP(-(LN(2)/$D$65+0.1)*AO148),IF(AL148=2,AQ$100*EXP(-(LN(2)/$D$65+0.04)*(VLOOKUP(($F$16-$F$15)-1,AK$99:AO148,4,FALSE)))*EXP(-(LN(2)/$D$65+0.1)*(VLOOKUP(($F$16-$F$15)-1,AK$99:AO148,5,FALSE)))*EXP(-(LN(2)/$D$65+0.04)*AN148)*EXP(-(LN(2)/$D$65+0.1)*AO148),IF(AL148=3,AQ$100*EXP(-(LN(2)/$D$65+0.04)*(VLOOKUP(($F$16-$F$15)-1,AK$99:AO148,4,FALSE)))*EXP(-(LN(2)/$D$65+0.1)*(VLOOKUP(($F$16-$F$15)-1,AK$99:AO148,5,FALSE)))*EXP(-(LN(2)/$D$65+0.04)*(VLOOKUP(($F$16-$F$15)*2-1,AK$99:AO148,4,FALSE)))*EXP(-(LN(2)/$D$65+0.1)*(VLOOKUP(($F$16-$F$15)*2-1,AK$99:AO148,5,FALSE)))*EXP(-(LN(2)/$D$65+0.04)*AN148)*EXP(-(LN(2)/$D$65+0.1)*AO148),"-"))),"-")</f>
        <v>-</v>
      </c>
      <c r="AR149" s="271" t="str">
        <f>IFERROR(IF(AL149=1,AR$100*EXP(-(LN(2)/$D$65+0.04)*AN149)*EXP(-(LN(2)/$D$65+0.1)*AO149),IF(AL149=2,AR$100*EXP(-(LN(2)/$D$65+0.04)*(VLOOKUP(($F$16-$F$15)-1,AK$100:AO149,4,FALSE)))*EXP(-(LN(2)/$D$65+0.1)*(VLOOKUP(($F$16-$F$15)-1,AK$100:AO149,5,FALSE)))*EXP(-(LN(2)/$D$65+0.04)*AN149)*EXP(-(LN(2)/$D$65+0.1)*AO149),IF(AL149=3,AR$100*EXP(-(LN(2)/$D$65+0.04)*(VLOOKUP(($F$16-$F$15)-1,AK$100:AO149,4,FALSE)))*EXP(-(LN(2)/$D$65+0.1)*(VLOOKUP(($F$16-$F$15)-1,AK$100:AO149,5,FALSE)))*EXP(-(LN(2)/$D$65+0.04)*(VLOOKUP(($F$16-$F$15)*2-1,AK$100:AO149,4,FALSE)))*EXP(-(LN(2)/$D$65+0.1)*(VLOOKUP(($F$16-$F$15)*2-1,AK$100:AO149,5,FALSE)))*EXP(-(LN(2)/$D$65+0.04)*AN149)*EXP(-(LN(2)/$D$65+0.1)*AO149),"-"))),"-")</f>
        <v>-</v>
      </c>
      <c r="AS149" s="274">
        <f t="shared" si="24"/>
        <v>0</v>
      </c>
      <c r="AT149" s="274">
        <f t="shared" si="25"/>
        <v>0</v>
      </c>
      <c r="AU149" s="274">
        <f t="shared" si="26"/>
        <v>0</v>
      </c>
      <c r="AV149" s="190" t="str">
        <f>IF($B149&lt;$F$22,SUM($T$100:$T149),"")</f>
        <v/>
      </c>
      <c r="AW149" s="190" t="str">
        <f t="shared" si="83"/>
        <v>-</v>
      </c>
      <c r="AX149" s="190" t="str">
        <f t="shared" si="56"/>
        <v/>
      </c>
      <c r="AY149"/>
      <c r="AZ149" s="190" t="str">
        <f ca="1">IF(ISNUMBER(OFFSET(AV149,-$F$21,0)),SUM(OFFSET($T$100,$F$21,0):$T149),"")</f>
        <v/>
      </c>
      <c r="BA149" s="190" t="str">
        <f t="shared" ca="1" si="84"/>
        <v/>
      </c>
      <c r="BB149" s="190" t="str">
        <f t="shared" ca="1" si="70"/>
        <v/>
      </c>
      <c r="BC149" s="190"/>
      <c r="BD149" s="190" t="str">
        <f ca="1">IFERROR(IF(OR(ISNUMBER(I),ISNUMBER($F$14)),IF(AND($B149&gt;=($F$16-$F$15),$B149&lt;$F$22+($F$16-$F$15)),SUM(OFFSET($T$100,($F$16-$F$15),0):$T149),""),""),"")</f>
        <v/>
      </c>
      <c r="BE149" s="190" t="str">
        <f t="shared" ca="1" si="58"/>
        <v/>
      </c>
      <c r="BF149" s="190" t="str">
        <f t="shared" ca="1" si="59"/>
        <v/>
      </c>
      <c r="BG149"/>
      <c r="BH149" s="190" t="str">
        <f ca="1">IF(ISNUMBER(OFFSET(BD149,-$F$21,0)),SUM(OFFSET($T$100,($F$16-$F$15+$F$21),0):$T149),"")</f>
        <v/>
      </c>
      <c r="BI149" s="190" t="str">
        <f t="shared" ca="1" si="85"/>
        <v/>
      </c>
      <c r="BJ149" s="190" t="str">
        <f t="shared" ca="1" si="60"/>
        <v/>
      </c>
      <c r="BK149" s="190"/>
      <c r="BL149" s="190" t="str">
        <f ca="1">IFERROR(IF(OR(ISNUMBER(I),ISNUMBER($F$14)),IF(AND($B149&gt;=($F$17-$F$15),$B149&lt;$F$22+($F$17-$F$15)),SUM(OFFSET($T$100,($F$17-$F$15),0):$T149),""),""),"")</f>
        <v/>
      </c>
      <c r="BM149" s="190" t="str">
        <f t="shared" ca="1" si="86"/>
        <v/>
      </c>
      <c r="BN149" s="190" t="str">
        <f t="shared" ca="1" si="61"/>
        <v/>
      </c>
      <c r="BO149"/>
      <c r="BP149" s="190" t="str">
        <f ca="1">IF(ISNUMBER(OFFSET(BL149,-$F$21,0)),SUM(OFFSET($T$100,($F$17-$F$15+$F$21),0):$T149),"")</f>
        <v/>
      </c>
      <c r="BQ149" s="190" t="str">
        <f t="shared" ca="1" si="87"/>
        <v/>
      </c>
      <c r="BR149" s="190" t="str">
        <f t="shared" ca="1" si="63"/>
        <v/>
      </c>
      <c r="BS149" s="190"/>
      <c r="BT149"/>
      <c r="BU149"/>
      <c r="BV149"/>
      <c r="BY149" s="99"/>
      <c r="BZ149" s="99"/>
      <c r="CA149" s="280" t="str">
        <f t="shared" si="88"/>
        <v/>
      </c>
      <c r="CB149" s="71" t="str">
        <f t="shared" si="31"/>
        <v>-</v>
      </c>
      <c r="CC149" s="33"/>
      <c r="CD149" s="261" t="str">
        <f t="shared" si="33"/>
        <v/>
      </c>
      <c r="CE149" s="280" t="str">
        <f t="shared" si="89"/>
        <v/>
      </c>
      <c r="CF149" s="71" t="str">
        <f t="shared" ca="1" si="90"/>
        <v/>
      </c>
      <c r="CG149" s="33" t="str">
        <f t="shared" si="36"/>
        <v/>
      </c>
      <c r="CH149" s="261" t="str">
        <f t="shared" ca="1" si="37"/>
        <v/>
      </c>
      <c r="CI149" s="202"/>
      <c r="CJ149" s="99"/>
      <c r="CK149" s="99"/>
      <c r="CL149" s="99"/>
      <c r="CM149" s="99"/>
      <c r="CN149" s="99"/>
      <c r="CO149" s="99"/>
    </row>
    <row r="150" spans="2:93" ht="13.5" customHeight="1" x14ac:dyDescent="0.2">
      <c r="B150" s="262">
        <v>50</v>
      </c>
      <c r="C150" s="237" t="str">
        <f t="shared" si="1"/>
        <v/>
      </c>
      <c r="D150" s="237" t="str">
        <f t="shared" si="66"/>
        <v/>
      </c>
      <c r="E150" s="290" t="str">
        <f t="shared" si="38"/>
        <v/>
      </c>
      <c r="F150" s="264" t="str">
        <f t="shared" si="39"/>
        <v/>
      </c>
      <c r="G150" s="291" t="str">
        <f t="shared" si="40"/>
        <v/>
      </c>
      <c r="H150" s="240" t="str">
        <f t="shared" si="71"/>
        <v/>
      </c>
      <c r="I150" s="265" t="str">
        <f t="shared" si="72"/>
        <v/>
      </c>
      <c r="J150" s="265" t="str">
        <f t="shared" si="73"/>
        <v/>
      </c>
      <c r="K150" s="240" t="str">
        <f t="shared" si="74"/>
        <v/>
      </c>
      <c r="L150" s="265" t="str">
        <f t="shared" si="75"/>
        <v/>
      </c>
      <c r="M150" s="265" t="str">
        <f t="shared" si="76"/>
        <v/>
      </c>
      <c r="N150" s="240" t="str">
        <f t="shared" si="77"/>
        <v>-</v>
      </c>
      <c r="O150" s="265" t="str">
        <f t="shared" si="78"/>
        <v>-</v>
      </c>
      <c r="P150" s="265" t="str">
        <f t="shared" si="79"/>
        <v>-</v>
      </c>
      <c r="Q150" s="266" t="str">
        <f t="shared" si="80"/>
        <v>-</v>
      </c>
      <c r="R150" s="267" t="str">
        <f t="shared" si="81"/>
        <v>-</v>
      </c>
      <c r="S150" s="268" t="str">
        <f t="shared" si="82"/>
        <v>-</v>
      </c>
      <c r="T150" s="269" t="str">
        <f t="shared" si="13"/>
        <v/>
      </c>
      <c r="U150" s="221">
        <f t="shared" si="14"/>
        <v>50</v>
      </c>
      <c r="V150" s="220" t="str">
        <f t="shared" si="42"/>
        <v>-</v>
      </c>
      <c r="W150" s="221" t="str">
        <f t="shared" si="43"/>
        <v>-</v>
      </c>
      <c r="X150" s="221" t="str">
        <f t="shared" si="15"/>
        <v>-</v>
      </c>
      <c r="Y150" s="221" t="str">
        <f t="shared" si="16"/>
        <v>-</v>
      </c>
      <c r="Z150" s="270">
        <f t="shared" si="44"/>
        <v>0.1</v>
      </c>
      <c r="AA150" s="271" t="str">
        <f>IFERROR(IF(V149=1,AA$100*EXP(-(LN(2)/$D$65+0.04)*X149)*EXP(-(LN(2)/$D$65+0.1)*Y149),IF(V149=2,AA$100*EXP(-(LN(2)/$D$65+0.04)*(VLOOKUP(($F$16-$F$15)-1,U$99:Y149,4,FALSE)))*EXP(-(LN(2)/$D$65+0.1)*(VLOOKUP(($F$16-$F$15)-1,U$99:Y149,5,FALSE)))*EXP(-(LN(2)/$D$65+0.04)*X149)*EXP(-(LN(2)/$D$65+0.1)*Y149),IF(V149=3,AA$100*EXP(-(LN(2)/$D$65+0.04)*(VLOOKUP(($F$16-$F$15)-1,U$99:Y149,4,FALSE)))*EXP(-(LN(2)/$D$65+0.1)*(VLOOKUP(($F$16-$F$15)-1,U$99:Y149,5,FALSE)))*EXP(-(LN(2)/$D$65+0.04)*(VLOOKUP(($F$16-$F$15)*2-1,U$99:Y149,4,FALSE)))*EXP(-(LN(2)/$D$65+0.1)*(VLOOKUP(($F$16-$F$15)*2-1,U$99:Y149,5,FALSE)))*EXP(-(LN(2)/$D$65+0.04)*X149)*EXP(-(LN(2)/$D$65+0.1)*Y149),"-"))),"-")</f>
        <v>-</v>
      </c>
      <c r="AB150" s="271" t="str">
        <f>IFERROR(IF(V150=1,AB$100*EXP(-(LN(2)/$D$65+0.04)*X150)*EXP(-(LN(2)/$D$65+0.1)*Y150),IF(V150=2,AB$100*EXP(-(LN(2)/$D$65+0.04)*(VLOOKUP(($F$16-$F$15)-1,U$100:Y150,4,FALSE)))*EXP(-(LN(2)/$D$65+0.1)*(VLOOKUP(($F$16-$F$15)-1,U$100:Y150,5,FALSE)))*EXP(-(LN(2)/$D$65+0.04)*X150)*EXP(-(LN(2)/$D$65+0.1)*Y150),IF(V150=3,AB$100*EXP(-(LN(2)/$D$65+0.04)*(VLOOKUP(($F$16-$F$15)-1,U$100:Y150,4,FALSE)))*EXP(-(LN(2)/$D$65+0.1)*(VLOOKUP(($F$16-$F$15)-1,U$100:Y150,5,FALSE)))*EXP(-(LN(2)/$D$65+0.04)*(VLOOKUP(($F$16-$F$15)*2-1,U$100:Y150,4,FALSE)))*EXP(-(LN(2)/$D$65+0.1)*(VLOOKUP(($F$16-$F$15)*2-1,U$100:Y150,5,FALSE)))*EXP(-(LN(2)/$D$65+0.04)*X150)*EXP(-(LN(2)/$D$65+0.1)*Y150),"-"))),"-")</f>
        <v>-</v>
      </c>
      <c r="AC150" s="224">
        <f t="shared" si="45"/>
        <v>50</v>
      </c>
      <c r="AD150" s="223" t="str">
        <f t="shared" si="18"/>
        <v>-</v>
      </c>
      <c r="AE150" s="224" t="str">
        <f t="shared" si="46"/>
        <v>-</v>
      </c>
      <c r="AF150" s="224" t="str">
        <f t="shared" si="19"/>
        <v>-</v>
      </c>
      <c r="AG150" s="224" t="str">
        <f t="shared" si="20"/>
        <v>-</v>
      </c>
      <c r="AH150" s="272">
        <f t="shared" si="47"/>
        <v>0.1</v>
      </c>
      <c r="AI150" s="271" t="str">
        <f>IFERROR(IF(AD149=1,AI$100*EXP(-(LN(2)/$D$65+0.04)*AF149)*EXP(-(LN(2)/$D$65+0.1)*AG149),IF(AD149=2,AI$100*EXP(-(LN(2)/$D$65+0.04)*(VLOOKUP(($F$16-$F$15)-1,AC$99:AG149,4,FALSE)))*EXP(-(LN(2)/$D$65+0.1)*(VLOOKUP(($F$16-$F$15)-1,AC$99:AG149,5,FALSE)))*EXP(-(LN(2)/$D$65+0.04)*AF149)*EXP(-(LN(2)/$D$65+0.1)*AG149),IF(AD149=3,AI$100*EXP(-(LN(2)/$D$65+0.04)*(VLOOKUP(($F$16-$F$15)-1,AC$99:AG149,4,FALSE)))*EXP(-(LN(2)/$D$65+0.1)*(VLOOKUP(($F$16-$F$15)-1,AC$99:AG149,5,FALSE)))*EXP(-(LN(2)/$D$65+0.04)*(VLOOKUP(($F$16-$F$15)*2-1,AC$99:AG149,4,FALSE)))*EXP(-(LN(2)/$D$65+0.1)*(VLOOKUP(($F$16-$F$15)*2-1,AC$99:AG149,5,FALSE)))*EXP(-(LN(2)/$D$65+0.04)*AF149)*EXP(-(LN(2)/$D$65+0.1)*AG149),"-"))),"-")</f>
        <v>-</v>
      </c>
      <c r="AJ150" s="271" t="str">
        <f>IFERROR(IF(AD150=1,AJ$100*EXP(-(LN(2)/$D$65+0.04)*AF150)*EXP(-(LN(2)/$D$65+0.1)*AG150),IF(AD150=2,AJ$100*EXP(-(LN(2)/$D$65+0.04)*(VLOOKUP(($F$16-$F$15)-1,AC$100:AG150,4,FALSE)))*EXP(-(LN(2)/$D$65+0.1)*(VLOOKUP(($F$16-$F$15)-1,AC$100:AG150,5,FALSE)))*EXP(-(LN(2)/$D$65+0.04)*AF150)*EXP(-(LN(2)/$D$65+0.1)*AG150),IF(AD150=3,AJ$100*EXP(-(LN(2)/$D$65+0.04)*(VLOOKUP(($F$16-$F$15)-1,AC$100:AG150,4,FALSE)))*EXP(-(LN(2)/$D$65+0.1)*(VLOOKUP(($F$16-$F$15)-1,AC$100:AG150,5,FALSE)))*EXP(-(LN(2)/$D$65+0.04)*(VLOOKUP(($F$16-$F$15)*2-1,AC$100:AG150,4,FALSE)))*EXP(-(LN(2)/$D$65+0.1)*(VLOOKUP(($F$16-$F$15)*2-1,AC$100:AG150,5,FALSE)))*EXP(-(LN(2)/$D$65+0.04)*AF150)*EXP(-(LN(2)/$D$65+0.1)*AG150),"-"))),"-")</f>
        <v>-</v>
      </c>
      <c r="AK150" s="227">
        <f t="shared" si="49"/>
        <v>50</v>
      </c>
      <c r="AL150" s="226" t="str">
        <f t="shared" si="22"/>
        <v>-</v>
      </c>
      <c r="AM150" s="227" t="str">
        <f t="shared" si="50"/>
        <v>-</v>
      </c>
      <c r="AN150" s="227" t="str">
        <f t="shared" si="51"/>
        <v>-</v>
      </c>
      <c r="AO150" s="227" t="str">
        <f t="shared" si="23"/>
        <v>-</v>
      </c>
      <c r="AP150" s="273">
        <f t="shared" si="52"/>
        <v>0.1</v>
      </c>
      <c r="AQ150" s="271" t="str">
        <f>IFERROR(IF(AL149=1,AQ$100*EXP(-(LN(2)/$D$65+0.04)*AN149)*EXP(-(LN(2)/$D$65+0.1)*AO149),IF(AL149=2,AQ$100*EXP(-(LN(2)/$D$65+0.04)*(VLOOKUP(($F$16-$F$15)-1,AK$99:AO149,4,FALSE)))*EXP(-(LN(2)/$D$65+0.1)*(VLOOKUP(($F$16-$F$15)-1,AK$99:AO149,5,FALSE)))*EXP(-(LN(2)/$D$65+0.04)*AN149)*EXP(-(LN(2)/$D$65+0.1)*AO149),IF(AL149=3,AQ$100*EXP(-(LN(2)/$D$65+0.04)*(VLOOKUP(($F$16-$F$15)-1,AK$99:AO149,4,FALSE)))*EXP(-(LN(2)/$D$65+0.1)*(VLOOKUP(($F$16-$F$15)-1,AK$99:AO149,5,FALSE)))*EXP(-(LN(2)/$D$65+0.04)*(VLOOKUP(($F$16-$F$15)*2-1,AK$99:AO149,4,FALSE)))*EXP(-(LN(2)/$D$65+0.1)*(VLOOKUP(($F$16-$F$15)*2-1,AK$99:AO149,5,FALSE)))*EXP(-(LN(2)/$D$65+0.04)*AN149)*EXP(-(LN(2)/$D$65+0.1)*AO149),"-"))),"-")</f>
        <v>-</v>
      </c>
      <c r="AR150" s="271" t="str">
        <f>IFERROR(IF(AL150=1,AR$100*EXP(-(LN(2)/$D$65+0.04)*AN150)*EXP(-(LN(2)/$D$65+0.1)*AO150),IF(AL150=2,AR$100*EXP(-(LN(2)/$D$65+0.04)*(VLOOKUP(($F$16-$F$15)-1,AK$100:AO150,4,FALSE)))*EXP(-(LN(2)/$D$65+0.1)*(VLOOKUP(($F$16-$F$15)-1,AK$100:AO150,5,FALSE)))*EXP(-(LN(2)/$D$65+0.04)*AN150)*EXP(-(LN(2)/$D$65+0.1)*AO150),IF(AL150=3,AR$100*EXP(-(LN(2)/$D$65+0.04)*(VLOOKUP(($F$16-$F$15)-1,AK$100:AO150,4,FALSE)))*EXP(-(LN(2)/$D$65+0.1)*(VLOOKUP(($F$16-$F$15)-1,AK$100:AO150,5,FALSE)))*EXP(-(LN(2)/$D$65+0.04)*(VLOOKUP(($F$16-$F$15)*2-1,AK$100:AO150,4,FALSE)))*EXP(-(LN(2)/$D$65+0.1)*(VLOOKUP(($F$16-$F$15)*2-1,AK$100:AO150,5,FALSE)))*EXP(-(LN(2)/$D$65+0.04)*AN150)*EXP(-(LN(2)/$D$65+0.1)*AO150),"-"))),"-")</f>
        <v>-</v>
      </c>
      <c r="AS150" s="274">
        <f t="shared" si="24"/>
        <v>0</v>
      </c>
      <c r="AT150" s="274">
        <f t="shared" si="25"/>
        <v>0</v>
      </c>
      <c r="AU150" s="274">
        <f t="shared" si="26"/>
        <v>0</v>
      </c>
      <c r="AV150" s="190" t="str">
        <f>IF($B150&lt;$F$22,SUM($T$100:$T150),"")</f>
        <v/>
      </c>
      <c r="AW150" s="190" t="str">
        <f t="shared" si="83"/>
        <v>-</v>
      </c>
      <c r="AX150" s="190" t="str">
        <f t="shared" si="56"/>
        <v/>
      </c>
      <c r="AY150"/>
      <c r="AZ150" s="190" t="str">
        <f ca="1">IF(ISNUMBER(OFFSET(AV150,-$F$21,0)),SUM(OFFSET($T$100,$F$21,0):$T150),"")</f>
        <v/>
      </c>
      <c r="BA150" s="190" t="str">
        <f t="shared" ca="1" si="84"/>
        <v/>
      </c>
      <c r="BB150" s="190" t="str">
        <f t="shared" ca="1" si="70"/>
        <v/>
      </c>
      <c r="BC150" s="190"/>
      <c r="BD150" s="190" t="str">
        <f ca="1">IFERROR(IF(OR(ISNUMBER(I),ISNUMBER($F$14)),IF(AND($B150&gt;=($F$16-$F$15),$B150&lt;$F$22+($F$16-$F$15)),SUM(OFFSET($T$100,($F$16-$F$15),0):$T150),""),""),"")</f>
        <v/>
      </c>
      <c r="BE150" s="190" t="str">
        <f t="shared" ca="1" si="58"/>
        <v/>
      </c>
      <c r="BF150" s="190" t="str">
        <f t="shared" ca="1" si="59"/>
        <v/>
      </c>
      <c r="BG150"/>
      <c r="BH150" s="190" t="str">
        <f ca="1">IF(ISNUMBER(OFFSET(BD150,-$F$21,0)),SUM(OFFSET($T$100,($F$16-$F$15+$F$21),0):$T150),"")</f>
        <v/>
      </c>
      <c r="BI150" s="190" t="str">
        <f t="shared" ca="1" si="85"/>
        <v/>
      </c>
      <c r="BJ150" s="190" t="str">
        <f t="shared" ca="1" si="60"/>
        <v/>
      </c>
      <c r="BK150" s="190"/>
      <c r="BL150" s="190" t="str">
        <f ca="1">IFERROR(IF(OR(ISNUMBER(I),ISNUMBER($F$14)),IF(AND($B150&gt;=($F$17-$F$15),$B150&lt;$F$22+($F$17-$F$15)),SUM(OFFSET($T$100,($F$17-$F$15),0):$T150),""),""),"")</f>
        <v/>
      </c>
      <c r="BM150" s="190" t="str">
        <f t="shared" ca="1" si="86"/>
        <v/>
      </c>
      <c r="BN150" s="190" t="str">
        <f t="shared" ca="1" si="61"/>
        <v/>
      </c>
      <c r="BO150"/>
      <c r="BP150" s="190" t="str">
        <f ca="1">IF(ISNUMBER(OFFSET(BL150,-$F$21,0)),SUM(OFFSET($T$100,($F$17-$F$15+$F$21),0):$T150),"")</f>
        <v/>
      </c>
      <c r="BQ150" s="190" t="str">
        <f t="shared" ca="1" si="87"/>
        <v/>
      </c>
      <c r="BR150" s="190" t="str">
        <f t="shared" ca="1" si="63"/>
        <v/>
      </c>
      <c r="BS150" s="190"/>
      <c r="BT150"/>
      <c r="BU150"/>
      <c r="BV150"/>
      <c r="BY150" s="99"/>
      <c r="BZ150" s="99"/>
      <c r="CA150" s="280" t="str">
        <f t="shared" si="88"/>
        <v/>
      </c>
      <c r="CB150" s="71" t="str">
        <f t="shared" si="31"/>
        <v>-</v>
      </c>
      <c r="CC150" s="33"/>
      <c r="CD150" s="261" t="str">
        <f t="shared" si="33"/>
        <v/>
      </c>
      <c r="CE150" s="280" t="str">
        <f t="shared" si="89"/>
        <v/>
      </c>
      <c r="CF150" s="71" t="str">
        <f t="shared" ca="1" si="90"/>
        <v/>
      </c>
      <c r="CG150" s="33" t="str">
        <f t="shared" si="36"/>
        <v/>
      </c>
      <c r="CH150" s="261" t="str">
        <f t="shared" ca="1" si="37"/>
        <v/>
      </c>
      <c r="CI150" s="202"/>
      <c r="CJ150" s="99"/>
      <c r="CK150" s="99"/>
      <c r="CL150" s="99"/>
      <c r="CM150" s="99"/>
      <c r="CN150" s="99"/>
      <c r="CO150" s="99"/>
    </row>
    <row r="151" spans="2:93" ht="13.5" customHeight="1" x14ac:dyDescent="0.2">
      <c r="B151" s="262">
        <v>51</v>
      </c>
      <c r="C151" s="237" t="str">
        <f t="shared" si="1"/>
        <v/>
      </c>
      <c r="D151" s="237" t="str">
        <f t="shared" si="66"/>
        <v/>
      </c>
      <c r="E151" s="290" t="str">
        <f t="shared" si="38"/>
        <v/>
      </c>
      <c r="F151" s="264" t="str">
        <f t="shared" si="39"/>
        <v/>
      </c>
      <c r="G151" s="291" t="str">
        <f t="shared" si="40"/>
        <v/>
      </c>
      <c r="H151" s="240" t="str">
        <f t="shared" si="71"/>
        <v/>
      </c>
      <c r="I151" s="265" t="str">
        <f t="shared" si="72"/>
        <v/>
      </c>
      <c r="J151" s="265" t="str">
        <f t="shared" si="73"/>
        <v/>
      </c>
      <c r="K151" s="240" t="str">
        <f t="shared" si="74"/>
        <v/>
      </c>
      <c r="L151" s="265" t="str">
        <f t="shared" si="75"/>
        <v/>
      </c>
      <c r="M151" s="265" t="str">
        <f t="shared" si="76"/>
        <v/>
      </c>
      <c r="N151" s="240" t="str">
        <f t="shared" si="77"/>
        <v>-</v>
      </c>
      <c r="O151" s="265" t="str">
        <f t="shared" si="78"/>
        <v>-</v>
      </c>
      <c r="P151" s="265" t="str">
        <f t="shared" si="79"/>
        <v>-</v>
      </c>
      <c r="Q151" s="266" t="str">
        <f t="shared" si="80"/>
        <v>-</v>
      </c>
      <c r="R151" s="267" t="str">
        <f t="shared" si="81"/>
        <v>-</v>
      </c>
      <c r="S151" s="268" t="str">
        <f t="shared" si="82"/>
        <v>-</v>
      </c>
      <c r="T151" s="269" t="str">
        <f t="shared" si="13"/>
        <v/>
      </c>
      <c r="U151" s="221">
        <f t="shared" si="14"/>
        <v>51</v>
      </c>
      <c r="V151" s="220" t="str">
        <f t="shared" si="42"/>
        <v>-</v>
      </c>
      <c r="W151" s="221" t="str">
        <f t="shared" si="43"/>
        <v>-</v>
      </c>
      <c r="X151" s="221" t="str">
        <f t="shared" si="15"/>
        <v>-</v>
      </c>
      <c r="Y151" s="221" t="str">
        <f t="shared" si="16"/>
        <v>-</v>
      </c>
      <c r="Z151" s="270">
        <f t="shared" si="44"/>
        <v>0.1</v>
      </c>
      <c r="AA151" s="271" t="str">
        <f>IFERROR(IF(V150=1,AA$100*EXP(-(LN(2)/$D$65+0.04)*X150)*EXP(-(LN(2)/$D$65+0.1)*Y150),IF(V150=2,AA$100*EXP(-(LN(2)/$D$65+0.04)*(VLOOKUP(($F$16-$F$15)-1,U$99:Y150,4,FALSE)))*EXP(-(LN(2)/$D$65+0.1)*(VLOOKUP(($F$16-$F$15)-1,U$99:Y150,5,FALSE)))*EXP(-(LN(2)/$D$65+0.04)*X150)*EXP(-(LN(2)/$D$65+0.1)*Y150),IF(V150=3,AA$100*EXP(-(LN(2)/$D$65+0.04)*(VLOOKUP(($F$16-$F$15)-1,U$99:Y150,4,FALSE)))*EXP(-(LN(2)/$D$65+0.1)*(VLOOKUP(($F$16-$F$15)-1,U$99:Y150,5,FALSE)))*EXP(-(LN(2)/$D$65+0.04)*(VLOOKUP(($F$16-$F$15)*2-1,U$99:Y150,4,FALSE)))*EXP(-(LN(2)/$D$65+0.1)*(VLOOKUP(($F$16-$F$15)*2-1,U$99:Y150,5,FALSE)))*EXP(-(LN(2)/$D$65+0.04)*X150)*EXP(-(LN(2)/$D$65+0.1)*Y150),"-"))),"-")</f>
        <v>-</v>
      </c>
      <c r="AB151" s="271" t="str">
        <f>IFERROR(IF(V151=1,AB$100*EXP(-(LN(2)/$D$65+0.04)*X151)*EXP(-(LN(2)/$D$65+0.1)*Y151),IF(V151=2,AB$100*EXP(-(LN(2)/$D$65+0.04)*(VLOOKUP(($F$16-$F$15)-1,U$100:Y151,4,FALSE)))*EXP(-(LN(2)/$D$65+0.1)*(VLOOKUP(($F$16-$F$15)-1,U$100:Y151,5,FALSE)))*EXP(-(LN(2)/$D$65+0.04)*X151)*EXP(-(LN(2)/$D$65+0.1)*Y151),IF(V151=3,AB$100*EXP(-(LN(2)/$D$65+0.04)*(VLOOKUP(($F$16-$F$15)-1,U$100:Y151,4,FALSE)))*EXP(-(LN(2)/$D$65+0.1)*(VLOOKUP(($F$16-$F$15)-1,U$100:Y151,5,FALSE)))*EXP(-(LN(2)/$D$65+0.04)*(VLOOKUP(($F$16-$F$15)*2-1,U$100:Y151,4,FALSE)))*EXP(-(LN(2)/$D$65+0.1)*(VLOOKUP(($F$16-$F$15)*2-1,U$100:Y151,5,FALSE)))*EXP(-(LN(2)/$D$65+0.04)*X151)*EXP(-(LN(2)/$D$65+0.1)*Y151),"-"))),"-")</f>
        <v>-</v>
      </c>
      <c r="AC151" s="224">
        <f t="shared" si="45"/>
        <v>51</v>
      </c>
      <c r="AD151" s="223" t="str">
        <f t="shared" si="18"/>
        <v>-</v>
      </c>
      <c r="AE151" s="224" t="str">
        <f t="shared" si="46"/>
        <v>-</v>
      </c>
      <c r="AF151" s="224" t="str">
        <f t="shared" si="19"/>
        <v>-</v>
      </c>
      <c r="AG151" s="224" t="str">
        <f t="shared" si="20"/>
        <v>-</v>
      </c>
      <c r="AH151" s="272">
        <f t="shared" si="47"/>
        <v>0.1</v>
      </c>
      <c r="AI151" s="271" t="str">
        <f>IFERROR(IF(AD150=1,AI$100*EXP(-(LN(2)/$D$65+0.04)*AF150)*EXP(-(LN(2)/$D$65+0.1)*AG150),IF(AD150=2,AI$100*EXP(-(LN(2)/$D$65+0.04)*(VLOOKUP(($F$16-$F$15)-1,AC$99:AG150,4,FALSE)))*EXP(-(LN(2)/$D$65+0.1)*(VLOOKUP(($F$16-$F$15)-1,AC$99:AG150,5,FALSE)))*EXP(-(LN(2)/$D$65+0.04)*AF150)*EXP(-(LN(2)/$D$65+0.1)*AG150),IF(AD150=3,AI$100*EXP(-(LN(2)/$D$65+0.04)*(VLOOKUP(($F$16-$F$15)-1,AC$99:AG150,4,FALSE)))*EXP(-(LN(2)/$D$65+0.1)*(VLOOKUP(($F$16-$F$15)-1,AC$99:AG150,5,FALSE)))*EXP(-(LN(2)/$D$65+0.04)*(VLOOKUP(($F$16-$F$15)*2-1,AC$99:AG150,4,FALSE)))*EXP(-(LN(2)/$D$65+0.1)*(VLOOKUP(($F$16-$F$15)*2-1,AC$99:AG150,5,FALSE)))*EXP(-(LN(2)/$D$65+0.04)*AF150)*EXP(-(LN(2)/$D$65+0.1)*AG150),"-"))),"-")</f>
        <v>-</v>
      </c>
      <c r="AJ151" s="271" t="str">
        <f>IFERROR(IF(AD151=1,AJ$100*EXP(-(LN(2)/$D$65+0.04)*AF151)*EXP(-(LN(2)/$D$65+0.1)*AG151),IF(AD151=2,AJ$100*EXP(-(LN(2)/$D$65+0.04)*(VLOOKUP(($F$16-$F$15)-1,AC$100:AG151,4,FALSE)))*EXP(-(LN(2)/$D$65+0.1)*(VLOOKUP(($F$16-$F$15)-1,AC$100:AG151,5,FALSE)))*EXP(-(LN(2)/$D$65+0.04)*AF151)*EXP(-(LN(2)/$D$65+0.1)*AG151),IF(AD151=3,AJ$100*EXP(-(LN(2)/$D$65+0.04)*(VLOOKUP(($F$16-$F$15)-1,AC$100:AG151,4,FALSE)))*EXP(-(LN(2)/$D$65+0.1)*(VLOOKUP(($F$16-$F$15)-1,AC$100:AG151,5,FALSE)))*EXP(-(LN(2)/$D$65+0.04)*(VLOOKUP(($F$16-$F$15)*2-1,AC$100:AG151,4,FALSE)))*EXP(-(LN(2)/$D$65+0.1)*(VLOOKUP(($F$16-$F$15)*2-1,AC$100:AG151,5,FALSE)))*EXP(-(LN(2)/$D$65+0.04)*AF151)*EXP(-(LN(2)/$D$65+0.1)*AG151),"-"))),"-")</f>
        <v>-</v>
      </c>
      <c r="AK151" s="227">
        <f t="shared" si="49"/>
        <v>51</v>
      </c>
      <c r="AL151" s="226" t="str">
        <f t="shared" si="22"/>
        <v>-</v>
      </c>
      <c r="AM151" s="227" t="str">
        <f t="shared" si="50"/>
        <v>-</v>
      </c>
      <c r="AN151" s="227" t="str">
        <f t="shared" si="51"/>
        <v>-</v>
      </c>
      <c r="AO151" s="227" t="str">
        <f t="shared" si="23"/>
        <v>-</v>
      </c>
      <c r="AP151" s="273">
        <f t="shared" si="52"/>
        <v>0.1</v>
      </c>
      <c r="AQ151" s="271" t="str">
        <f>IFERROR(IF(AL150=1,AQ$100*EXP(-(LN(2)/$D$65+0.04)*AN150)*EXP(-(LN(2)/$D$65+0.1)*AO150),IF(AL150=2,AQ$100*EXP(-(LN(2)/$D$65+0.04)*(VLOOKUP(($F$16-$F$15)-1,AK$99:AO150,4,FALSE)))*EXP(-(LN(2)/$D$65+0.1)*(VLOOKUP(($F$16-$F$15)-1,AK$99:AO150,5,FALSE)))*EXP(-(LN(2)/$D$65+0.04)*AN150)*EXP(-(LN(2)/$D$65+0.1)*AO150),IF(AL150=3,AQ$100*EXP(-(LN(2)/$D$65+0.04)*(VLOOKUP(($F$16-$F$15)-1,AK$99:AO150,4,FALSE)))*EXP(-(LN(2)/$D$65+0.1)*(VLOOKUP(($F$16-$F$15)-1,AK$99:AO150,5,FALSE)))*EXP(-(LN(2)/$D$65+0.04)*(VLOOKUP(($F$16-$F$15)*2-1,AK$99:AO150,4,FALSE)))*EXP(-(LN(2)/$D$65+0.1)*(VLOOKUP(($F$16-$F$15)*2-1,AK$99:AO150,5,FALSE)))*EXP(-(LN(2)/$D$65+0.04)*AN150)*EXP(-(LN(2)/$D$65+0.1)*AO150),"-"))),"-")</f>
        <v>-</v>
      </c>
      <c r="AR151" s="271" t="str">
        <f>IFERROR(IF(AL151=1,AR$100*EXP(-(LN(2)/$D$65+0.04)*AN151)*EXP(-(LN(2)/$D$65+0.1)*AO151),IF(AL151=2,AR$100*EXP(-(LN(2)/$D$65+0.04)*(VLOOKUP(($F$16-$F$15)-1,AK$100:AO151,4,FALSE)))*EXP(-(LN(2)/$D$65+0.1)*(VLOOKUP(($F$16-$F$15)-1,AK$100:AO151,5,FALSE)))*EXP(-(LN(2)/$D$65+0.04)*AN151)*EXP(-(LN(2)/$D$65+0.1)*AO151),IF(AL151=3,AR$100*EXP(-(LN(2)/$D$65+0.04)*(VLOOKUP(($F$16-$F$15)-1,AK$100:AO151,4,FALSE)))*EXP(-(LN(2)/$D$65+0.1)*(VLOOKUP(($F$16-$F$15)-1,AK$100:AO151,5,FALSE)))*EXP(-(LN(2)/$D$65+0.04)*(VLOOKUP(($F$16-$F$15)*2-1,AK$100:AO151,4,FALSE)))*EXP(-(LN(2)/$D$65+0.1)*(VLOOKUP(($F$16-$F$15)*2-1,AK$100:AO151,5,FALSE)))*EXP(-(LN(2)/$D$65+0.04)*AN151)*EXP(-(LN(2)/$D$65+0.1)*AO151),"-"))),"-")</f>
        <v>-</v>
      </c>
      <c r="AS151" s="274">
        <f t="shared" si="24"/>
        <v>0</v>
      </c>
      <c r="AT151" s="274">
        <f t="shared" si="25"/>
        <v>0</v>
      </c>
      <c r="AU151" s="274">
        <f t="shared" si="26"/>
        <v>0</v>
      </c>
      <c r="AV151" s="190" t="str">
        <f>IF($B151&lt;$F$22,SUM($T$100:$T151),"")</f>
        <v/>
      </c>
      <c r="AW151" s="190" t="str">
        <f t="shared" si="83"/>
        <v>-</v>
      </c>
      <c r="AX151" s="190" t="str">
        <f t="shared" si="56"/>
        <v/>
      </c>
      <c r="AY151"/>
      <c r="AZ151" s="190" t="str">
        <f ca="1">IF(ISNUMBER(OFFSET(AV151,-$F$21,0)),SUM(OFFSET($T$100,$F$21,0):$T151),"")</f>
        <v/>
      </c>
      <c r="BA151" s="190" t="str">
        <f t="shared" ca="1" si="84"/>
        <v/>
      </c>
      <c r="BB151" s="190" t="str">
        <f t="shared" ca="1" si="70"/>
        <v/>
      </c>
      <c r="BC151" s="190"/>
      <c r="BD151" s="190" t="str">
        <f ca="1">IFERROR(IF(OR(ISNUMBER(I),ISNUMBER($F$14)),IF(AND($B151&gt;=($F$16-$F$15),$B151&lt;$F$22+($F$16-$F$15)),SUM(OFFSET($T$100,($F$16-$F$15),0):$T151),""),""),"")</f>
        <v/>
      </c>
      <c r="BE151" s="190" t="str">
        <f t="shared" ca="1" si="58"/>
        <v/>
      </c>
      <c r="BF151" s="190" t="str">
        <f t="shared" ca="1" si="59"/>
        <v/>
      </c>
      <c r="BG151"/>
      <c r="BH151" s="190" t="str">
        <f ca="1">IF(ISNUMBER(OFFSET(BD151,-$F$21,0)),SUM(OFFSET($T$100,($F$16-$F$15+$F$21),0):$T151),"")</f>
        <v/>
      </c>
      <c r="BI151" s="190" t="str">
        <f t="shared" ca="1" si="85"/>
        <v/>
      </c>
      <c r="BJ151" s="190" t="str">
        <f t="shared" ca="1" si="60"/>
        <v/>
      </c>
      <c r="BK151" s="190"/>
      <c r="BL151" s="190" t="str">
        <f ca="1">IFERROR(IF(OR(ISNUMBER(I),ISNUMBER($F$14)),IF(AND($B151&gt;=($F$17-$F$15),$B151&lt;$F$22+($F$17-$F$15)),SUM(OFFSET($T$100,($F$17-$F$15),0):$T151),""),""),"")</f>
        <v/>
      </c>
      <c r="BM151" s="190" t="str">
        <f t="shared" ca="1" si="86"/>
        <v/>
      </c>
      <c r="BN151" s="190" t="str">
        <f t="shared" ca="1" si="61"/>
        <v/>
      </c>
      <c r="BO151"/>
      <c r="BP151" s="190" t="str">
        <f ca="1">IF(ISNUMBER(OFFSET(BL151,-$F$21,0)),SUM(OFFSET($T$100,($F$17-$F$15+$F$21),0):$T151),"")</f>
        <v/>
      </c>
      <c r="BQ151" s="190" t="str">
        <f t="shared" ca="1" si="87"/>
        <v/>
      </c>
      <c r="BR151" s="190" t="str">
        <f t="shared" ca="1" si="63"/>
        <v/>
      </c>
      <c r="BS151" s="190"/>
      <c r="BT151"/>
      <c r="BU151"/>
      <c r="BV151"/>
      <c r="BY151" s="99"/>
      <c r="BZ151" s="99"/>
      <c r="CA151" s="280" t="str">
        <f t="shared" si="88"/>
        <v/>
      </c>
      <c r="CB151" s="71" t="str">
        <f t="shared" si="31"/>
        <v>-</v>
      </c>
      <c r="CC151" s="33"/>
      <c r="CD151" s="261" t="str">
        <f t="shared" si="33"/>
        <v/>
      </c>
      <c r="CE151" s="280" t="str">
        <f t="shared" si="89"/>
        <v/>
      </c>
      <c r="CF151" s="71" t="str">
        <f t="shared" ca="1" si="90"/>
        <v/>
      </c>
      <c r="CG151" s="33" t="str">
        <f t="shared" si="36"/>
        <v/>
      </c>
      <c r="CH151" s="261" t="str">
        <f t="shared" ca="1" si="37"/>
        <v/>
      </c>
      <c r="CI151" s="202"/>
      <c r="CJ151" s="99"/>
      <c r="CK151" s="99"/>
      <c r="CL151" s="99"/>
      <c r="CM151" s="99"/>
      <c r="CN151" s="99"/>
      <c r="CO151" s="99"/>
    </row>
    <row r="152" spans="2:93" ht="13.5" customHeight="1" x14ac:dyDescent="0.2">
      <c r="B152" s="262">
        <v>52</v>
      </c>
      <c r="C152" s="237" t="str">
        <f t="shared" si="1"/>
        <v/>
      </c>
      <c r="D152" s="237" t="str">
        <f t="shared" si="66"/>
        <v/>
      </c>
      <c r="E152" s="290" t="str">
        <f t="shared" si="38"/>
        <v/>
      </c>
      <c r="F152" s="264" t="str">
        <f t="shared" si="39"/>
        <v/>
      </c>
      <c r="G152" s="291" t="str">
        <f t="shared" si="40"/>
        <v/>
      </c>
      <c r="H152" s="240" t="str">
        <f t="shared" si="71"/>
        <v/>
      </c>
      <c r="I152" s="265" t="str">
        <f t="shared" si="72"/>
        <v/>
      </c>
      <c r="J152" s="265" t="str">
        <f t="shared" si="73"/>
        <v/>
      </c>
      <c r="K152" s="240" t="str">
        <f t="shared" si="74"/>
        <v/>
      </c>
      <c r="L152" s="265" t="str">
        <f t="shared" si="75"/>
        <v/>
      </c>
      <c r="M152" s="265" t="str">
        <f t="shared" si="76"/>
        <v/>
      </c>
      <c r="N152" s="240" t="str">
        <f t="shared" si="77"/>
        <v>-</v>
      </c>
      <c r="O152" s="265" t="str">
        <f t="shared" si="78"/>
        <v>-</v>
      </c>
      <c r="P152" s="265" t="str">
        <f t="shared" si="79"/>
        <v>-</v>
      </c>
      <c r="Q152" s="266" t="str">
        <f t="shared" si="80"/>
        <v>-</v>
      </c>
      <c r="R152" s="267" t="str">
        <f t="shared" si="81"/>
        <v>-</v>
      </c>
      <c r="S152" s="268" t="str">
        <f t="shared" si="82"/>
        <v>-</v>
      </c>
      <c r="T152" s="269" t="str">
        <f t="shared" si="13"/>
        <v/>
      </c>
      <c r="U152" s="221">
        <f t="shared" si="14"/>
        <v>52</v>
      </c>
      <c r="V152" s="220" t="str">
        <f t="shared" si="42"/>
        <v>-</v>
      </c>
      <c r="W152" s="221" t="str">
        <f t="shared" si="43"/>
        <v>-</v>
      </c>
      <c r="X152" s="221" t="str">
        <f t="shared" si="15"/>
        <v>-</v>
      </c>
      <c r="Y152" s="221" t="str">
        <f t="shared" si="16"/>
        <v>-</v>
      </c>
      <c r="Z152" s="270">
        <f t="shared" si="44"/>
        <v>0.1</v>
      </c>
      <c r="AA152" s="271" t="str">
        <f>IFERROR(IF(V151=1,AA$100*EXP(-(LN(2)/$D$65+0.04)*X151)*EXP(-(LN(2)/$D$65+0.1)*Y151),IF(V151=2,AA$100*EXP(-(LN(2)/$D$65+0.04)*(VLOOKUP(($F$16-$F$15)-1,U$99:Y151,4,FALSE)))*EXP(-(LN(2)/$D$65+0.1)*(VLOOKUP(($F$16-$F$15)-1,U$99:Y151,5,FALSE)))*EXP(-(LN(2)/$D$65+0.04)*X151)*EXP(-(LN(2)/$D$65+0.1)*Y151),IF(V151=3,AA$100*EXP(-(LN(2)/$D$65+0.04)*(VLOOKUP(($F$16-$F$15)-1,U$99:Y151,4,FALSE)))*EXP(-(LN(2)/$D$65+0.1)*(VLOOKUP(($F$16-$F$15)-1,U$99:Y151,5,FALSE)))*EXP(-(LN(2)/$D$65+0.04)*(VLOOKUP(($F$16-$F$15)*2-1,U$99:Y151,4,FALSE)))*EXP(-(LN(2)/$D$65+0.1)*(VLOOKUP(($F$16-$F$15)*2-1,U$99:Y151,5,FALSE)))*EXP(-(LN(2)/$D$65+0.04)*X151)*EXP(-(LN(2)/$D$65+0.1)*Y151),"-"))),"-")</f>
        <v>-</v>
      </c>
      <c r="AB152" s="271" t="str">
        <f>IFERROR(IF(V152=1,AB$100*EXP(-(LN(2)/$D$65+0.04)*X152)*EXP(-(LN(2)/$D$65+0.1)*Y152),IF(V152=2,AB$100*EXP(-(LN(2)/$D$65+0.04)*(VLOOKUP(($F$16-$F$15)-1,U$100:Y152,4,FALSE)))*EXP(-(LN(2)/$D$65+0.1)*(VLOOKUP(($F$16-$F$15)-1,U$100:Y152,5,FALSE)))*EXP(-(LN(2)/$D$65+0.04)*X152)*EXP(-(LN(2)/$D$65+0.1)*Y152),IF(V152=3,AB$100*EXP(-(LN(2)/$D$65+0.04)*(VLOOKUP(($F$16-$F$15)-1,U$100:Y152,4,FALSE)))*EXP(-(LN(2)/$D$65+0.1)*(VLOOKUP(($F$16-$F$15)-1,U$100:Y152,5,FALSE)))*EXP(-(LN(2)/$D$65+0.04)*(VLOOKUP(($F$16-$F$15)*2-1,U$100:Y152,4,FALSE)))*EXP(-(LN(2)/$D$65+0.1)*(VLOOKUP(($F$16-$F$15)*2-1,U$100:Y152,5,FALSE)))*EXP(-(LN(2)/$D$65+0.04)*X152)*EXP(-(LN(2)/$D$65+0.1)*Y152),"-"))),"-")</f>
        <v>-</v>
      </c>
      <c r="AC152" s="224">
        <f t="shared" si="45"/>
        <v>52</v>
      </c>
      <c r="AD152" s="223" t="str">
        <f t="shared" si="18"/>
        <v>-</v>
      </c>
      <c r="AE152" s="224" t="str">
        <f t="shared" si="46"/>
        <v>-</v>
      </c>
      <c r="AF152" s="224" t="str">
        <f t="shared" si="19"/>
        <v>-</v>
      </c>
      <c r="AG152" s="224" t="str">
        <f t="shared" si="20"/>
        <v>-</v>
      </c>
      <c r="AH152" s="272">
        <f t="shared" si="47"/>
        <v>0.1</v>
      </c>
      <c r="AI152" s="271" t="str">
        <f>IFERROR(IF(AD151=1,AI$100*EXP(-(LN(2)/$D$65+0.04)*AF151)*EXP(-(LN(2)/$D$65+0.1)*AG151),IF(AD151=2,AI$100*EXP(-(LN(2)/$D$65+0.04)*(VLOOKUP(($F$16-$F$15)-1,AC$99:AG151,4,FALSE)))*EXP(-(LN(2)/$D$65+0.1)*(VLOOKUP(($F$16-$F$15)-1,AC$99:AG151,5,FALSE)))*EXP(-(LN(2)/$D$65+0.04)*AF151)*EXP(-(LN(2)/$D$65+0.1)*AG151),IF(AD151=3,AI$100*EXP(-(LN(2)/$D$65+0.04)*(VLOOKUP(($F$16-$F$15)-1,AC$99:AG151,4,FALSE)))*EXP(-(LN(2)/$D$65+0.1)*(VLOOKUP(($F$16-$F$15)-1,AC$99:AG151,5,FALSE)))*EXP(-(LN(2)/$D$65+0.04)*(VLOOKUP(($F$16-$F$15)*2-1,AC$99:AG151,4,FALSE)))*EXP(-(LN(2)/$D$65+0.1)*(VLOOKUP(($F$16-$F$15)*2-1,AC$99:AG151,5,FALSE)))*EXP(-(LN(2)/$D$65+0.04)*AF151)*EXP(-(LN(2)/$D$65+0.1)*AG151),"-"))),"-")</f>
        <v>-</v>
      </c>
      <c r="AJ152" s="271" t="str">
        <f>IFERROR(IF(AD152=1,AJ$100*EXP(-(LN(2)/$D$65+0.04)*AF152)*EXP(-(LN(2)/$D$65+0.1)*AG152),IF(AD152=2,AJ$100*EXP(-(LN(2)/$D$65+0.04)*(VLOOKUP(($F$16-$F$15)-1,AC$100:AG152,4,FALSE)))*EXP(-(LN(2)/$D$65+0.1)*(VLOOKUP(($F$16-$F$15)-1,AC$100:AG152,5,FALSE)))*EXP(-(LN(2)/$D$65+0.04)*AF152)*EXP(-(LN(2)/$D$65+0.1)*AG152),IF(AD152=3,AJ$100*EXP(-(LN(2)/$D$65+0.04)*(VLOOKUP(($F$16-$F$15)-1,AC$100:AG152,4,FALSE)))*EXP(-(LN(2)/$D$65+0.1)*(VLOOKUP(($F$16-$F$15)-1,AC$100:AG152,5,FALSE)))*EXP(-(LN(2)/$D$65+0.04)*(VLOOKUP(($F$16-$F$15)*2-1,AC$100:AG152,4,FALSE)))*EXP(-(LN(2)/$D$65+0.1)*(VLOOKUP(($F$16-$F$15)*2-1,AC$100:AG152,5,FALSE)))*EXP(-(LN(2)/$D$65+0.04)*AF152)*EXP(-(LN(2)/$D$65+0.1)*AG152),"-"))),"-")</f>
        <v>-</v>
      </c>
      <c r="AK152" s="227">
        <f t="shared" si="49"/>
        <v>52</v>
      </c>
      <c r="AL152" s="226" t="str">
        <f t="shared" si="22"/>
        <v>-</v>
      </c>
      <c r="AM152" s="227" t="str">
        <f t="shared" si="50"/>
        <v>-</v>
      </c>
      <c r="AN152" s="227" t="str">
        <f t="shared" si="51"/>
        <v>-</v>
      </c>
      <c r="AO152" s="227" t="str">
        <f t="shared" si="23"/>
        <v>-</v>
      </c>
      <c r="AP152" s="273">
        <f t="shared" si="52"/>
        <v>0.1</v>
      </c>
      <c r="AQ152" s="271" t="str">
        <f>IFERROR(IF(AL151=1,AQ$100*EXP(-(LN(2)/$D$65+0.04)*AN151)*EXP(-(LN(2)/$D$65+0.1)*AO151),IF(AL151=2,AQ$100*EXP(-(LN(2)/$D$65+0.04)*(VLOOKUP(($F$16-$F$15)-1,AK$99:AO151,4,FALSE)))*EXP(-(LN(2)/$D$65+0.1)*(VLOOKUP(($F$16-$F$15)-1,AK$99:AO151,5,FALSE)))*EXP(-(LN(2)/$D$65+0.04)*AN151)*EXP(-(LN(2)/$D$65+0.1)*AO151),IF(AL151=3,AQ$100*EXP(-(LN(2)/$D$65+0.04)*(VLOOKUP(($F$16-$F$15)-1,AK$99:AO151,4,FALSE)))*EXP(-(LN(2)/$D$65+0.1)*(VLOOKUP(($F$16-$F$15)-1,AK$99:AO151,5,FALSE)))*EXP(-(LN(2)/$D$65+0.04)*(VLOOKUP(($F$16-$F$15)*2-1,AK$99:AO151,4,FALSE)))*EXP(-(LN(2)/$D$65+0.1)*(VLOOKUP(($F$16-$F$15)*2-1,AK$99:AO151,5,FALSE)))*EXP(-(LN(2)/$D$65+0.04)*AN151)*EXP(-(LN(2)/$D$65+0.1)*AO151),"-"))),"-")</f>
        <v>-</v>
      </c>
      <c r="AR152" s="271" t="str">
        <f>IFERROR(IF(AL152=1,AR$100*EXP(-(LN(2)/$D$65+0.04)*AN152)*EXP(-(LN(2)/$D$65+0.1)*AO152),IF(AL152=2,AR$100*EXP(-(LN(2)/$D$65+0.04)*(VLOOKUP(($F$16-$F$15)-1,AK$100:AO152,4,FALSE)))*EXP(-(LN(2)/$D$65+0.1)*(VLOOKUP(($F$16-$F$15)-1,AK$100:AO152,5,FALSE)))*EXP(-(LN(2)/$D$65+0.04)*AN152)*EXP(-(LN(2)/$D$65+0.1)*AO152),IF(AL152=3,AR$100*EXP(-(LN(2)/$D$65+0.04)*(VLOOKUP(($F$16-$F$15)-1,AK$100:AO152,4,FALSE)))*EXP(-(LN(2)/$D$65+0.1)*(VLOOKUP(($F$16-$F$15)-1,AK$100:AO152,5,FALSE)))*EXP(-(LN(2)/$D$65+0.04)*(VLOOKUP(($F$16-$F$15)*2-1,AK$100:AO152,4,FALSE)))*EXP(-(LN(2)/$D$65+0.1)*(VLOOKUP(($F$16-$F$15)*2-1,AK$100:AO152,5,FALSE)))*EXP(-(LN(2)/$D$65+0.04)*AN152)*EXP(-(LN(2)/$D$65+0.1)*AO152),"-"))),"-")</f>
        <v>-</v>
      </c>
      <c r="AS152" s="274">
        <f t="shared" si="24"/>
        <v>0</v>
      </c>
      <c r="AT152" s="274">
        <f t="shared" si="25"/>
        <v>0</v>
      </c>
      <c r="AU152" s="274">
        <f t="shared" si="26"/>
        <v>0</v>
      </c>
      <c r="AV152" s="190" t="str">
        <f>IF($B152&lt;$F$22,SUM($T$100:$T152),"")</f>
        <v/>
      </c>
      <c r="AW152" s="190" t="str">
        <f t="shared" si="83"/>
        <v>-</v>
      </c>
      <c r="AX152" s="190" t="str">
        <f t="shared" si="56"/>
        <v/>
      </c>
      <c r="AY152"/>
      <c r="AZ152" s="190" t="str">
        <f ca="1">IF(ISNUMBER(OFFSET(AV152,-$F$21,0)),SUM(OFFSET($T$100,$F$21,0):$T152),"")</f>
        <v/>
      </c>
      <c r="BA152" s="190" t="str">
        <f t="shared" ca="1" si="84"/>
        <v/>
      </c>
      <c r="BB152" s="190" t="str">
        <f t="shared" ca="1" si="70"/>
        <v/>
      </c>
      <c r="BC152" s="190"/>
      <c r="BD152" s="190" t="str">
        <f ca="1">IFERROR(IF(OR(ISNUMBER(I),ISNUMBER($F$14)),IF(AND($B152&gt;=($F$16-$F$15),$B152&lt;$F$22+($F$16-$F$15)),SUM(OFFSET($T$100,($F$16-$F$15),0):$T152),""),""),"")</f>
        <v/>
      </c>
      <c r="BE152" s="190" t="str">
        <f t="shared" ca="1" si="58"/>
        <v/>
      </c>
      <c r="BF152" s="190" t="str">
        <f t="shared" ca="1" si="59"/>
        <v/>
      </c>
      <c r="BG152"/>
      <c r="BH152" s="190" t="str">
        <f ca="1">IF(ISNUMBER(OFFSET(BD152,-$F$21,0)),SUM(OFFSET($T$100,($F$16-$F$15+$F$21),0):$T152),"")</f>
        <v/>
      </c>
      <c r="BI152" s="190" t="str">
        <f t="shared" ca="1" si="85"/>
        <v/>
      </c>
      <c r="BJ152" s="190" t="str">
        <f t="shared" ca="1" si="60"/>
        <v/>
      </c>
      <c r="BK152" s="190"/>
      <c r="BL152" s="190" t="str">
        <f ca="1">IFERROR(IF(OR(ISNUMBER(I),ISNUMBER($F$14)),IF(AND($B152&gt;=($F$17-$F$15),$B152&lt;$F$22+($F$17-$F$15)),SUM(OFFSET($T$100,($F$17-$F$15),0):$T152),""),""),"")</f>
        <v/>
      </c>
      <c r="BM152" s="190" t="str">
        <f t="shared" ca="1" si="86"/>
        <v/>
      </c>
      <c r="BN152" s="190" t="str">
        <f t="shared" ca="1" si="61"/>
        <v/>
      </c>
      <c r="BO152"/>
      <c r="BP152" s="190" t="str">
        <f ca="1">IF(ISNUMBER(OFFSET(BL152,-$F$21,0)),SUM(OFFSET($T$100,($F$17-$F$15+$F$21),0):$T152),"")</f>
        <v/>
      </c>
      <c r="BQ152" s="190" t="str">
        <f t="shared" ca="1" si="87"/>
        <v/>
      </c>
      <c r="BR152" s="190" t="str">
        <f t="shared" ca="1" si="63"/>
        <v/>
      </c>
      <c r="BS152" s="190"/>
      <c r="BT152"/>
      <c r="BU152"/>
      <c r="BV152"/>
      <c r="BY152" s="99"/>
      <c r="BZ152" s="99"/>
      <c r="CA152" s="280" t="str">
        <f t="shared" si="88"/>
        <v/>
      </c>
      <c r="CB152" s="71" t="str">
        <f t="shared" si="31"/>
        <v>-</v>
      </c>
      <c r="CC152" s="33"/>
      <c r="CD152" s="261" t="str">
        <f t="shared" si="33"/>
        <v/>
      </c>
      <c r="CE152" s="280" t="str">
        <f t="shared" si="89"/>
        <v/>
      </c>
      <c r="CF152" s="71" t="str">
        <f t="shared" ca="1" si="90"/>
        <v/>
      </c>
      <c r="CG152" s="33" t="str">
        <f t="shared" si="36"/>
        <v/>
      </c>
      <c r="CH152" s="261" t="str">
        <f t="shared" ca="1" si="37"/>
        <v/>
      </c>
      <c r="CI152" s="202"/>
      <c r="CJ152" s="99"/>
      <c r="CK152" s="99"/>
      <c r="CL152" s="99"/>
      <c r="CM152" s="99"/>
      <c r="CN152" s="99"/>
      <c r="CO152" s="99"/>
    </row>
    <row r="153" spans="2:93" ht="13.5" customHeight="1" x14ac:dyDescent="0.2">
      <c r="B153" s="262">
        <v>53</v>
      </c>
      <c r="C153" s="237" t="str">
        <f t="shared" si="1"/>
        <v/>
      </c>
      <c r="D153" s="237" t="str">
        <f t="shared" si="66"/>
        <v/>
      </c>
      <c r="E153" s="290" t="str">
        <f t="shared" si="38"/>
        <v/>
      </c>
      <c r="F153" s="264" t="str">
        <f t="shared" si="39"/>
        <v/>
      </c>
      <c r="G153" s="291" t="str">
        <f t="shared" si="40"/>
        <v/>
      </c>
      <c r="H153" s="240" t="str">
        <f t="shared" si="71"/>
        <v/>
      </c>
      <c r="I153" s="265" t="str">
        <f t="shared" si="72"/>
        <v/>
      </c>
      <c r="J153" s="265" t="str">
        <f t="shared" si="73"/>
        <v/>
      </c>
      <c r="K153" s="240" t="str">
        <f t="shared" si="74"/>
        <v/>
      </c>
      <c r="L153" s="265" t="str">
        <f t="shared" si="75"/>
        <v/>
      </c>
      <c r="M153" s="265" t="str">
        <f t="shared" si="76"/>
        <v/>
      </c>
      <c r="N153" s="240" t="str">
        <f t="shared" si="77"/>
        <v>-</v>
      </c>
      <c r="O153" s="265" t="str">
        <f t="shared" si="78"/>
        <v>-</v>
      </c>
      <c r="P153" s="265" t="str">
        <f t="shared" si="79"/>
        <v>-</v>
      </c>
      <c r="Q153" s="266" t="str">
        <f t="shared" si="80"/>
        <v>-</v>
      </c>
      <c r="R153" s="267" t="str">
        <f t="shared" si="81"/>
        <v>-</v>
      </c>
      <c r="S153" s="268" t="str">
        <f t="shared" si="82"/>
        <v>-</v>
      </c>
      <c r="T153" s="269" t="str">
        <f t="shared" si="13"/>
        <v/>
      </c>
      <c r="U153" s="221">
        <f t="shared" si="14"/>
        <v>53</v>
      </c>
      <c r="V153" s="220" t="str">
        <f t="shared" si="42"/>
        <v>-</v>
      </c>
      <c r="W153" s="221" t="str">
        <f t="shared" si="43"/>
        <v>-</v>
      </c>
      <c r="X153" s="221" t="str">
        <f t="shared" si="15"/>
        <v>-</v>
      </c>
      <c r="Y153" s="221" t="str">
        <f t="shared" si="16"/>
        <v>-</v>
      </c>
      <c r="Z153" s="270">
        <f t="shared" si="44"/>
        <v>0.1</v>
      </c>
      <c r="AA153" s="271" t="str">
        <f>IFERROR(IF(V152=1,AA$100*EXP(-(LN(2)/$D$65+0.04)*X152)*EXP(-(LN(2)/$D$65+0.1)*Y152),IF(V152=2,AA$100*EXP(-(LN(2)/$D$65+0.04)*(VLOOKUP(($F$16-$F$15)-1,U$99:Y152,4,FALSE)))*EXP(-(LN(2)/$D$65+0.1)*(VLOOKUP(($F$16-$F$15)-1,U$99:Y152,5,FALSE)))*EXP(-(LN(2)/$D$65+0.04)*X152)*EXP(-(LN(2)/$D$65+0.1)*Y152),IF(V152=3,AA$100*EXP(-(LN(2)/$D$65+0.04)*(VLOOKUP(($F$16-$F$15)-1,U$99:Y152,4,FALSE)))*EXP(-(LN(2)/$D$65+0.1)*(VLOOKUP(($F$16-$F$15)-1,U$99:Y152,5,FALSE)))*EXP(-(LN(2)/$D$65+0.04)*(VLOOKUP(($F$16-$F$15)*2-1,U$99:Y152,4,FALSE)))*EXP(-(LN(2)/$D$65+0.1)*(VLOOKUP(($F$16-$F$15)*2-1,U$99:Y152,5,FALSE)))*EXP(-(LN(2)/$D$65+0.04)*X152)*EXP(-(LN(2)/$D$65+0.1)*Y152),"-"))),"-")</f>
        <v>-</v>
      </c>
      <c r="AB153" s="271" t="str">
        <f>IFERROR(IF(V153=1,AB$100*EXP(-(LN(2)/$D$65+0.04)*X153)*EXP(-(LN(2)/$D$65+0.1)*Y153),IF(V153=2,AB$100*EXP(-(LN(2)/$D$65+0.04)*(VLOOKUP(($F$16-$F$15)-1,U$100:Y153,4,FALSE)))*EXP(-(LN(2)/$D$65+0.1)*(VLOOKUP(($F$16-$F$15)-1,U$100:Y153,5,FALSE)))*EXP(-(LN(2)/$D$65+0.04)*X153)*EXP(-(LN(2)/$D$65+0.1)*Y153),IF(V153=3,AB$100*EXP(-(LN(2)/$D$65+0.04)*(VLOOKUP(($F$16-$F$15)-1,U$100:Y153,4,FALSE)))*EXP(-(LN(2)/$D$65+0.1)*(VLOOKUP(($F$16-$F$15)-1,U$100:Y153,5,FALSE)))*EXP(-(LN(2)/$D$65+0.04)*(VLOOKUP(($F$16-$F$15)*2-1,U$100:Y153,4,FALSE)))*EXP(-(LN(2)/$D$65+0.1)*(VLOOKUP(($F$16-$F$15)*2-1,U$100:Y153,5,FALSE)))*EXP(-(LN(2)/$D$65+0.04)*X153)*EXP(-(LN(2)/$D$65+0.1)*Y153),"-"))),"-")</f>
        <v>-</v>
      </c>
      <c r="AC153" s="224">
        <f t="shared" si="45"/>
        <v>53</v>
      </c>
      <c r="AD153" s="223" t="str">
        <f t="shared" si="18"/>
        <v>-</v>
      </c>
      <c r="AE153" s="224" t="str">
        <f t="shared" si="46"/>
        <v>-</v>
      </c>
      <c r="AF153" s="224" t="str">
        <f t="shared" si="19"/>
        <v>-</v>
      </c>
      <c r="AG153" s="224" t="str">
        <f t="shared" si="20"/>
        <v>-</v>
      </c>
      <c r="AH153" s="272">
        <f t="shared" si="47"/>
        <v>0.1</v>
      </c>
      <c r="AI153" s="271" t="str">
        <f>IFERROR(IF(AD152=1,AI$100*EXP(-(LN(2)/$D$65+0.04)*AF152)*EXP(-(LN(2)/$D$65+0.1)*AG152),IF(AD152=2,AI$100*EXP(-(LN(2)/$D$65+0.04)*(VLOOKUP(($F$16-$F$15)-1,AC$99:AG152,4,FALSE)))*EXP(-(LN(2)/$D$65+0.1)*(VLOOKUP(($F$16-$F$15)-1,AC$99:AG152,5,FALSE)))*EXP(-(LN(2)/$D$65+0.04)*AF152)*EXP(-(LN(2)/$D$65+0.1)*AG152),IF(AD152=3,AI$100*EXP(-(LN(2)/$D$65+0.04)*(VLOOKUP(($F$16-$F$15)-1,AC$99:AG152,4,FALSE)))*EXP(-(LN(2)/$D$65+0.1)*(VLOOKUP(($F$16-$F$15)-1,AC$99:AG152,5,FALSE)))*EXP(-(LN(2)/$D$65+0.04)*(VLOOKUP(($F$16-$F$15)*2-1,AC$99:AG152,4,FALSE)))*EXP(-(LN(2)/$D$65+0.1)*(VLOOKUP(($F$16-$F$15)*2-1,AC$99:AG152,5,FALSE)))*EXP(-(LN(2)/$D$65+0.04)*AF152)*EXP(-(LN(2)/$D$65+0.1)*AG152),"-"))),"-")</f>
        <v>-</v>
      </c>
      <c r="AJ153" s="271" t="str">
        <f>IFERROR(IF(AD153=1,AJ$100*EXP(-(LN(2)/$D$65+0.04)*AF153)*EXP(-(LN(2)/$D$65+0.1)*AG153),IF(AD153=2,AJ$100*EXP(-(LN(2)/$D$65+0.04)*(VLOOKUP(($F$16-$F$15)-1,AC$100:AG153,4,FALSE)))*EXP(-(LN(2)/$D$65+0.1)*(VLOOKUP(($F$16-$F$15)-1,AC$100:AG153,5,FALSE)))*EXP(-(LN(2)/$D$65+0.04)*AF153)*EXP(-(LN(2)/$D$65+0.1)*AG153),IF(AD153=3,AJ$100*EXP(-(LN(2)/$D$65+0.04)*(VLOOKUP(($F$16-$F$15)-1,AC$100:AG153,4,FALSE)))*EXP(-(LN(2)/$D$65+0.1)*(VLOOKUP(($F$16-$F$15)-1,AC$100:AG153,5,FALSE)))*EXP(-(LN(2)/$D$65+0.04)*(VLOOKUP(($F$16-$F$15)*2-1,AC$100:AG153,4,FALSE)))*EXP(-(LN(2)/$D$65+0.1)*(VLOOKUP(($F$16-$F$15)*2-1,AC$100:AG153,5,FALSE)))*EXP(-(LN(2)/$D$65+0.04)*AF153)*EXP(-(LN(2)/$D$65+0.1)*AG153),"-"))),"-")</f>
        <v>-</v>
      </c>
      <c r="AK153" s="227">
        <f t="shared" si="49"/>
        <v>53</v>
      </c>
      <c r="AL153" s="226" t="str">
        <f t="shared" si="22"/>
        <v>-</v>
      </c>
      <c r="AM153" s="227" t="str">
        <f t="shared" si="50"/>
        <v>-</v>
      </c>
      <c r="AN153" s="227" t="str">
        <f t="shared" si="51"/>
        <v>-</v>
      </c>
      <c r="AO153" s="227" t="str">
        <f t="shared" si="23"/>
        <v>-</v>
      </c>
      <c r="AP153" s="273">
        <f t="shared" si="52"/>
        <v>0.1</v>
      </c>
      <c r="AQ153" s="271" t="str">
        <f>IFERROR(IF(AL152=1,AQ$100*EXP(-(LN(2)/$D$65+0.04)*AN152)*EXP(-(LN(2)/$D$65+0.1)*AO152),IF(AL152=2,AQ$100*EXP(-(LN(2)/$D$65+0.04)*(VLOOKUP(($F$16-$F$15)-1,AK$99:AO152,4,FALSE)))*EXP(-(LN(2)/$D$65+0.1)*(VLOOKUP(($F$16-$F$15)-1,AK$99:AO152,5,FALSE)))*EXP(-(LN(2)/$D$65+0.04)*AN152)*EXP(-(LN(2)/$D$65+0.1)*AO152),IF(AL152=3,AQ$100*EXP(-(LN(2)/$D$65+0.04)*(VLOOKUP(($F$16-$F$15)-1,AK$99:AO152,4,FALSE)))*EXP(-(LN(2)/$D$65+0.1)*(VLOOKUP(($F$16-$F$15)-1,AK$99:AO152,5,FALSE)))*EXP(-(LN(2)/$D$65+0.04)*(VLOOKUP(($F$16-$F$15)*2-1,AK$99:AO152,4,FALSE)))*EXP(-(LN(2)/$D$65+0.1)*(VLOOKUP(($F$16-$F$15)*2-1,AK$99:AO152,5,FALSE)))*EXP(-(LN(2)/$D$65+0.04)*AN152)*EXP(-(LN(2)/$D$65+0.1)*AO152),"-"))),"-")</f>
        <v>-</v>
      </c>
      <c r="AR153" s="271" t="str">
        <f>IFERROR(IF(AL153=1,AR$100*EXP(-(LN(2)/$D$65+0.04)*AN153)*EXP(-(LN(2)/$D$65+0.1)*AO153),IF(AL153=2,AR$100*EXP(-(LN(2)/$D$65+0.04)*(VLOOKUP(($F$16-$F$15)-1,AK$100:AO153,4,FALSE)))*EXP(-(LN(2)/$D$65+0.1)*(VLOOKUP(($F$16-$F$15)-1,AK$100:AO153,5,FALSE)))*EXP(-(LN(2)/$D$65+0.04)*AN153)*EXP(-(LN(2)/$D$65+0.1)*AO153),IF(AL153=3,AR$100*EXP(-(LN(2)/$D$65+0.04)*(VLOOKUP(($F$16-$F$15)-1,AK$100:AO153,4,FALSE)))*EXP(-(LN(2)/$D$65+0.1)*(VLOOKUP(($F$16-$F$15)-1,AK$100:AO153,5,FALSE)))*EXP(-(LN(2)/$D$65+0.04)*(VLOOKUP(($F$16-$F$15)*2-1,AK$100:AO153,4,FALSE)))*EXP(-(LN(2)/$D$65+0.1)*(VLOOKUP(($F$16-$F$15)*2-1,AK$100:AO153,5,FALSE)))*EXP(-(LN(2)/$D$65+0.04)*AN153)*EXP(-(LN(2)/$D$65+0.1)*AO153),"-"))),"-")</f>
        <v>-</v>
      </c>
      <c r="AS153" s="274">
        <f t="shared" si="24"/>
        <v>0</v>
      </c>
      <c r="AT153" s="274">
        <f t="shared" si="25"/>
        <v>0</v>
      </c>
      <c r="AU153" s="274">
        <f t="shared" si="26"/>
        <v>0</v>
      </c>
      <c r="AV153" s="190" t="str">
        <f>IF($B153&lt;$F$22,SUM($T$100:$T153),"")</f>
        <v/>
      </c>
      <c r="AW153" s="190" t="str">
        <f t="shared" si="83"/>
        <v>-</v>
      </c>
      <c r="AX153" s="190" t="str">
        <f t="shared" si="56"/>
        <v/>
      </c>
      <c r="AY153"/>
      <c r="AZ153" s="190" t="str">
        <f ca="1">IF(ISNUMBER(OFFSET(AV153,-$F$21,0)),SUM(OFFSET($T$100,$F$21,0):$T153),"")</f>
        <v/>
      </c>
      <c r="BA153" s="190" t="str">
        <f t="shared" ca="1" si="84"/>
        <v/>
      </c>
      <c r="BB153" s="190" t="str">
        <f t="shared" ca="1" si="70"/>
        <v/>
      </c>
      <c r="BC153" s="190"/>
      <c r="BD153" s="190" t="str">
        <f ca="1">IFERROR(IF(OR(ISNUMBER(I),ISNUMBER($F$14)),IF(AND($B153&gt;=($F$16-$F$15),$B153&lt;$F$22+($F$16-$F$15)),SUM(OFFSET($T$100,($F$16-$F$15),0):$T153),""),""),"")</f>
        <v/>
      </c>
      <c r="BE153" s="190" t="str">
        <f t="shared" ca="1" si="58"/>
        <v/>
      </c>
      <c r="BF153" s="190" t="str">
        <f t="shared" ca="1" si="59"/>
        <v/>
      </c>
      <c r="BG153"/>
      <c r="BH153" s="190" t="str">
        <f ca="1">IF(ISNUMBER(OFFSET(BD153,-$F$21,0)),SUM(OFFSET($T$100,($F$16-$F$15+$F$21),0):$T153),"")</f>
        <v/>
      </c>
      <c r="BI153" s="190" t="str">
        <f t="shared" ca="1" si="85"/>
        <v/>
      </c>
      <c r="BJ153" s="190" t="str">
        <f t="shared" ca="1" si="60"/>
        <v/>
      </c>
      <c r="BK153" s="190"/>
      <c r="BL153" s="190" t="str">
        <f ca="1">IFERROR(IF(OR(ISNUMBER(I),ISNUMBER($F$14)),IF(AND($B153&gt;=($F$17-$F$15),$B153&lt;$F$22+($F$17-$F$15)),SUM(OFFSET($T$100,($F$17-$F$15),0):$T153),""),""),"")</f>
        <v/>
      </c>
      <c r="BM153" s="190" t="str">
        <f t="shared" ca="1" si="86"/>
        <v/>
      </c>
      <c r="BN153" s="190" t="str">
        <f t="shared" ca="1" si="61"/>
        <v/>
      </c>
      <c r="BO153"/>
      <c r="BP153" s="190" t="str">
        <f ca="1">IF(ISNUMBER(OFFSET(BL153,-$F$21,0)),SUM(OFFSET($T$100,($F$17-$F$15+$F$21),0):$T153),"")</f>
        <v/>
      </c>
      <c r="BQ153" s="190" t="str">
        <f t="shared" ca="1" si="87"/>
        <v/>
      </c>
      <c r="BR153" s="190" t="str">
        <f t="shared" ca="1" si="63"/>
        <v/>
      </c>
      <c r="BS153" s="190"/>
      <c r="BT153"/>
      <c r="BU153"/>
      <c r="BV153"/>
      <c r="BY153" s="99"/>
      <c r="BZ153" s="99"/>
      <c r="CA153" s="280" t="str">
        <f t="shared" si="88"/>
        <v/>
      </c>
      <c r="CB153" s="71" t="str">
        <f t="shared" si="31"/>
        <v>-</v>
      </c>
      <c r="CC153" s="33"/>
      <c r="CD153" s="261" t="str">
        <f t="shared" si="33"/>
        <v/>
      </c>
      <c r="CE153" s="280" t="str">
        <f t="shared" si="89"/>
        <v/>
      </c>
      <c r="CF153" s="71" t="str">
        <f t="shared" ca="1" si="90"/>
        <v/>
      </c>
      <c r="CG153" s="33" t="str">
        <f t="shared" si="36"/>
        <v/>
      </c>
      <c r="CH153" s="261" t="str">
        <f t="shared" ca="1" si="37"/>
        <v/>
      </c>
      <c r="CI153" s="202"/>
      <c r="CJ153" s="99"/>
      <c r="CK153" s="99"/>
      <c r="CL153" s="99"/>
      <c r="CM153" s="99"/>
      <c r="CN153" s="99"/>
      <c r="CO153" s="99"/>
    </row>
    <row r="154" spans="2:93" ht="13.5" customHeight="1" x14ac:dyDescent="0.2">
      <c r="B154" s="262">
        <v>54</v>
      </c>
      <c r="C154" s="237" t="str">
        <f t="shared" si="1"/>
        <v/>
      </c>
      <c r="D154" s="237" t="str">
        <f t="shared" si="66"/>
        <v/>
      </c>
      <c r="E154" s="290" t="str">
        <f t="shared" si="38"/>
        <v/>
      </c>
      <c r="F154" s="264" t="str">
        <f t="shared" si="39"/>
        <v/>
      </c>
      <c r="G154" s="291" t="str">
        <f t="shared" si="40"/>
        <v/>
      </c>
      <c r="H154" s="240" t="str">
        <f t="shared" si="71"/>
        <v/>
      </c>
      <c r="I154" s="265" t="str">
        <f t="shared" si="72"/>
        <v/>
      </c>
      <c r="J154" s="265" t="str">
        <f t="shared" si="73"/>
        <v/>
      </c>
      <c r="K154" s="240" t="str">
        <f t="shared" si="74"/>
        <v/>
      </c>
      <c r="L154" s="265" t="str">
        <f t="shared" si="75"/>
        <v/>
      </c>
      <c r="M154" s="265" t="str">
        <f t="shared" si="76"/>
        <v/>
      </c>
      <c r="N154" s="240" t="str">
        <f t="shared" si="77"/>
        <v>-</v>
      </c>
      <c r="O154" s="265" t="str">
        <f t="shared" si="78"/>
        <v>-</v>
      </c>
      <c r="P154" s="265" t="str">
        <f t="shared" si="79"/>
        <v>-</v>
      </c>
      <c r="Q154" s="266" t="str">
        <f t="shared" si="80"/>
        <v>-</v>
      </c>
      <c r="R154" s="267" t="str">
        <f t="shared" si="81"/>
        <v>-</v>
      </c>
      <c r="S154" s="268" t="str">
        <f t="shared" si="82"/>
        <v>-</v>
      </c>
      <c r="T154" s="269" t="str">
        <f t="shared" si="13"/>
        <v/>
      </c>
      <c r="U154" s="221">
        <f t="shared" si="14"/>
        <v>54</v>
      </c>
      <c r="V154" s="220" t="str">
        <f t="shared" si="42"/>
        <v>-</v>
      </c>
      <c r="W154" s="221" t="str">
        <f t="shared" si="43"/>
        <v>-</v>
      </c>
      <c r="X154" s="221" t="str">
        <f t="shared" si="15"/>
        <v>-</v>
      </c>
      <c r="Y154" s="221" t="str">
        <f t="shared" si="16"/>
        <v>-</v>
      </c>
      <c r="Z154" s="270">
        <f t="shared" si="44"/>
        <v>0.1</v>
      </c>
      <c r="AA154" s="271" t="str">
        <f>IFERROR(IF(V153=1,AA$100*EXP(-(LN(2)/$D$65+0.04)*X153)*EXP(-(LN(2)/$D$65+0.1)*Y153),IF(V153=2,AA$100*EXP(-(LN(2)/$D$65+0.04)*(VLOOKUP(($F$16-$F$15)-1,U$99:Y153,4,FALSE)))*EXP(-(LN(2)/$D$65+0.1)*(VLOOKUP(($F$16-$F$15)-1,U$99:Y153,5,FALSE)))*EXP(-(LN(2)/$D$65+0.04)*X153)*EXP(-(LN(2)/$D$65+0.1)*Y153),IF(V153=3,AA$100*EXP(-(LN(2)/$D$65+0.04)*(VLOOKUP(($F$16-$F$15)-1,U$99:Y153,4,FALSE)))*EXP(-(LN(2)/$D$65+0.1)*(VLOOKUP(($F$16-$F$15)-1,U$99:Y153,5,FALSE)))*EXP(-(LN(2)/$D$65+0.04)*(VLOOKUP(($F$16-$F$15)*2-1,U$99:Y153,4,FALSE)))*EXP(-(LN(2)/$D$65+0.1)*(VLOOKUP(($F$16-$F$15)*2-1,U$99:Y153,5,FALSE)))*EXP(-(LN(2)/$D$65+0.04)*X153)*EXP(-(LN(2)/$D$65+0.1)*Y153),"-"))),"-")</f>
        <v>-</v>
      </c>
      <c r="AB154" s="271" t="str">
        <f>IFERROR(IF(V154=1,AB$100*EXP(-(LN(2)/$D$65+0.04)*X154)*EXP(-(LN(2)/$D$65+0.1)*Y154),IF(V154=2,AB$100*EXP(-(LN(2)/$D$65+0.04)*(VLOOKUP(($F$16-$F$15)-1,U$100:Y154,4,FALSE)))*EXP(-(LN(2)/$D$65+0.1)*(VLOOKUP(($F$16-$F$15)-1,U$100:Y154,5,FALSE)))*EXP(-(LN(2)/$D$65+0.04)*X154)*EXP(-(LN(2)/$D$65+0.1)*Y154),IF(V154=3,AB$100*EXP(-(LN(2)/$D$65+0.04)*(VLOOKUP(($F$16-$F$15)-1,U$100:Y154,4,FALSE)))*EXP(-(LN(2)/$D$65+0.1)*(VLOOKUP(($F$16-$F$15)-1,U$100:Y154,5,FALSE)))*EXP(-(LN(2)/$D$65+0.04)*(VLOOKUP(($F$16-$F$15)*2-1,U$100:Y154,4,FALSE)))*EXP(-(LN(2)/$D$65+0.1)*(VLOOKUP(($F$16-$F$15)*2-1,U$100:Y154,5,FALSE)))*EXP(-(LN(2)/$D$65+0.04)*X154)*EXP(-(LN(2)/$D$65+0.1)*Y154),"-"))),"-")</f>
        <v>-</v>
      </c>
      <c r="AC154" s="224">
        <f t="shared" si="45"/>
        <v>54</v>
      </c>
      <c r="AD154" s="223" t="str">
        <f t="shared" si="18"/>
        <v>-</v>
      </c>
      <c r="AE154" s="224" t="str">
        <f t="shared" si="46"/>
        <v>-</v>
      </c>
      <c r="AF154" s="224" t="str">
        <f t="shared" si="19"/>
        <v>-</v>
      </c>
      <c r="AG154" s="224" t="str">
        <f t="shared" si="20"/>
        <v>-</v>
      </c>
      <c r="AH154" s="272">
        <f t="shared" si="47"/>
        <v>0.1</v>
      </c>
      <c r="AI154" s="271" t="str">
        <f>IFERROR(IF(AD153=1,AI$100*EXP(-(LN(2)/$D$65+0.04)*AF153)*EXP(-(LN(2)/$D$65+0.1)*AG153),IF(AD153=2,AI$100*EXP(-(LN(2)/$D$65+0.04)*(VLOOKUP(($F$16-$F$15)-1,AC$99:AG153,4,FALSE)))*EXP(-(LN(2)/$D$65+0.1)*(VLOOKUP(($F$16-$F$15)-1,AC$99:AG153,5,FALSE)))*EXP(-(LN(2)/$D$65+0.04)*AF153)*EXP(-(LN(2)/$D$65+0.1)*AG153),IF(AD153=3,AI$100*EXP(-(LN(2)/$D$65+0.04)*(VLOOKUP(($F$16-$F$15)-1,AC$99:AG153,4,FALSE)))*EXP(-(LN(2)/$D$65+0.1)*(VLOOKUP(($F$16-$F$15)-1,AC$99:AG153,5,FALSE)))*EXP(-(LN(2)/$D$65+0.04)*(VLOOKUP(($F$16-$F$15)*2-1,AC$99:AG153,4,FALSE)))*EXP(-(LN(2)/$D$65+0.1)*(VLOOKUP(($F$16-$F$15)*2-1,AC$99:AG153,5,FALSE)))*EXP(-(LN(2)/$D$65+0.04)*AF153)*EXP(-(LN(2)/$D$65+0.1)*AG153),"-"))),"-")</f>
        <v>-</v>
      </c>
      <c r="AJ154" s="271" t="str">
        <f>IFERROR(IF(AD154=1,AJ$100*EXP(-(LN(2)/$D$65+0.04)*AF154)*EXP(-(LN(2)/$D$65+0.1)*AG154),IF(AD154=2,AJ$100*EXP(-(LN(2)/$D$65+0.04)*(VLOOKUP(($F$16-$F$15)-1,AC$100:AG154,4,FALSE)))*EXP(-(LN(2)/$D$65+0.1)*(VLOOKUP(($F$16-$F$15)-1,AC$100:AG154,5,FALSE)))*EXP(-(LN(2)/$D$65+0.04)*AF154)*EXP(-(LN(2)/$D$65+0.1)*AG154),IF(AD154=3,AJ$100*EXP(-(LN(2)/$D$65+0.04)*(VLOOKUP(($F$16-$F$15)-1,AC$100:AG154,4,FALSE)))*EXP(-(LN(2)/$D$65+0.1)*(VLOOKUP(($F$16-$F$15)-1,AC$100:AG154,5,FALSE)))*EXP(-(LN(2)/$D$65+0.04)*(VLOOKUP(($F$16-$F$15)*2-1,AC$100:AG154,4,FALSE)))*EXP(-(LN(2)/$D$65+0.1)*(VLOOKUP(($F$16-$F$15)*2-1,AC$100:AG154,5,FALSE)))*EXP(-(LN(2)/$D$65+0.04)*AF154)*EXP(-(LN(2)/$D$65+0.1)*AG154),"-"))),"-")</f>
        <v>-</v>
      </c>
      <c r="AK154" s="227">
        <f t="shared" si="49"/>
        <v>54</v>
      </c>
      <c r="AL154" s="226" t="str">
        <f t="shared" si="22"/>
        <v>-</v>
      </c>
      <c r="AM154" s="227" t="str">
        <f t="shared" si="50"/>
        <v>-</v>
      </c>
      <c r="AN154" s="227" t="str">
        <f t="shared" si="51"/>
        <v>-</v>
      </c>
      <c r="AO154" s="227" t="str">
        <f t="shared" si="23"/>
        <v>-</v>
      </c>
      <c r="AP154" s="273">
        <f t="shared" si="52"/>
        <v>0.1</v>
      </c>
      <c r="AQ154" s="271" t="str">
        <f>IFERROR(IF(AL153=1,AQ$100*EXP(-(LN(2)/$D$65+0.04)*AN153)*EXP(-(LN(2)/$D$65+0.1)*AO153),IF(AL153=2,AQ$100*EXP(-(LN(2)/$D$65+0.04)*(VLOOKUP(($F$16-$F$15)-1,AK$99:AO153,4,FALSE)))*EXP(-(LN(2)/$D$65+0.1)*(VLOOKUP(($F$16-$F$15)-1,AK$99:AO153,5,FALSE)))*EXP(-(LN(2)/$D$65+0.04)*AN153)*EXP(-(LN(2)/$D$65+0.1)*AO153),IF(AL153=3,AQ$100*EXP(-(LN(2)/$D$65+0.04)*(VLOOKUP(($F$16-$F$15)-1,AK$99:AO153,4,FALSE)))*EXP(-(LN(2)/$D$65+0.1)*(VLOOKUP(($F$16-$F$15)-1,AK$99:AO153,5,FALSE)))*EXP(-(LN(2)/$D$65+0.04)*(VLOOKUP(($F$16-$F$15)*2-1,AK$99:AO153,4,FALSE)))*EXP(-(LN(2)/$D$65+0.1)*(VLOOKUP(($F$16-$F$15)*2-1,AK$99:AO153,5,FALSE)))*EXP(-(LN(2)/$D$65+0.04)*AN153)*EXP(-(LN(2)/$D$65+0.1)*AO153),"-"))),"-")</f>
        <v>-</v>
      </c>
      <c r="AR154" s="271" t="str">
        <f>IFERROR(IF(AL154=1,AR$100*EXP(-(LN(2)/$D$65+0.04)*AN154)*EXP(-(LN(2)/$D$65+0.1)*AO154),IF(AL154=2,AR$100*EXP(-(LN(2)/$D$65+0.04)*(VLOOKUP(($F$16-$F$15)-1,AK$100:AO154,4,FALSE)))*EXP(-(LN(2)/$D$65+0.1)*(VLOOKUP(($F$16-$F$15)-1,AK$100:AO154,5,FALSE)))*EXP(-(LN(2)/$D$65+0.04)*AN154)*EXP(-(LN(2)/$D$65+0.1)*AO154),IF(AL154=3,AR$100*EXP(-(LN(2)/$D$65+0.04)*(VLOOKUP(($F$16-$F$15)-1,AK$100:AO154,4,FALSE)))*EXP(-(LN(2)/$D$65+0.1)*(VLOOKUP(($F$16-$F$15)-1,AK$100:AO154,5,FALSE)))*EXP(-(LN(2)/$D$65+0.04)*(VLOOKUP(($F$16-$F$15)*2-1,AK$100:AO154,4,FALSE)))*EXP(-(LN(2)/$D$65+0.1)*(VLOOKUP(($F$16-$F$15)*2-1,AK$100:AO154,5,FALSE)))*EXP(-(LN(2)/$D$65+0.04)*AN154)*EXP(-(LN(2)/$D$65+0.1)*AO154),"-"))),"-")</f>
        <v>-</v>
      </c>
      <c r="AS154" s="274">
        <f t="shared" si="24"/>
        <v>0</v>
      </c>
      <c r="AT154" s="274">
        <f t="shared" si="25"/>
        <v>0</v>
      </c>
      <c r="AU154" s="274">
        <f t="shared" si="26"/>
        <v>0</v>
      </c>
      <c r="AV154" s="190" t="str">
        <f>IF($B154&lt;$F$22,SUM($T$100:$T154),"")</f>
        <v/>
      </c>
      <c r="AW154" s="190" t="str">
        <f t="shared" si="83"/>
        <v>-</v>
      </c>
      <c r="AX154" s="190" t="str">
        <f t="shared" si="56"/>
        <v/>
      </c>
      <c r="AY154"/>
      <c r="AZ154" s="190" t="str">
        <f ca="1">IF(ISNUMBER(OFFSET(AV154,-$F$21,0)),SUM(OFFSET($T$100,$F$21,0):$T154),"")</f>
        <v/>
      </c>
      <c r="BA154" s="190" t="str">
        <f t="shared" ca="1" si="84"/>
        <v/>
      </c>
      <c r="BB154" s="190" t="str">
        <f t="shared" ca="1" si="70"/>
        <v/>
      </c>
      <c r="BC154" s="190"/>
      <c r="BD154" s="190" t="str">
        <f ca="1">IFERROR(IF(OR(ISNUMBER(I),ISNUMBER($F$14)),IF(AND($B154&gt;=($F$16-$F$15),$B154&lt;$F$22+($F$16-$F$15)),SUM(OFFSET($T$100,($F$16-$F$15),0):$T154),""),""),"")</f>
        <v/>
      </c>
      <c r="BE154" s="190" t="str">
        <f t="shared" ca="1" si="58"/>
        <v/>
      </c>
      <c r="BF154" s="190" t="str">
        <f t="shared" ca="1" si="59"/>
        <v/>
      </c>
      <c r="BG154"/>
      <c r="BH154" s="190" t="str">
        <f ca="1">IF(ISNUMBER(OFFSET(BD154,-$F$21,0)),SUM(OFFSET($T$100,($F$16-$F$15+$F$21),0):$T154),"")</f>
        <v/>
      </c>
      <c r="BI154" s="190" t="str">
        <f t="shared" ca="1" si="85"/>
        <v/>
      </c>
      <c r="BJ154" s="190" t="str">
        <f t="shared" ca="1" si="60"/>
        <v/>
      </c>
      <c r="BK154" s="190"/>
      <c r="BL154" s="190" t="str">
        <f ca="1">IFERROR(IF(OR(ISNUMBER(I),ISNUMBER($F$14)),IF(AND($B154&gt;=($F$17-$F$15),$B154&lt;$F$22+($F$17-$F$15)),SUM(OFFSET($T$100,($F$17-$F$15),0):$T154),""),""),"")</f>
        <v/>
      </c>
      <c r="BM154" s="190" t="str">
        <f t="shared" ca="1" si="86"/>
        <v/>
      </c>
      <c r="BN154" s="190" t="str">
        <f t="shared" ca="1" si="61"/>
        <v/>
      </c>
      <c r="BO154"/>
      <c r="BP154" s="190" t="str">
        <f ca="1">IF(ISNUMBER(OFFSET(BL154,-$F$21,0)),SUM(OFFSET($T$100,($F$17-$F$15+$F$21),0):$T154),"")</f>
        <v/>
      </c>
      <c r="BQ154" s="190" t="str">
        <f t="shared" ca="1" si="87"/>
        <v/>
      </c>
      <c r="BR154" s="190" t="str">
        <f t="shared" ca="1" si="63"/>
        <v/>
      </c>
      <c r="BS154" s="190"/>
      <c r="BT154"/>
      <c r="BU154"/>
      <c r="BV154"/>
      <c r="BY154" s="99"/>
      <c r="BZ154" s="99"/>
      <c r="CA154" s="280" t="str">
        <f t="shared" si="88"/>
        <v/>
      </c>
      <c r="CB154" s="71" t="str">
        <f t="shared" si="31"/>
        <v>-</v>
      </c>
      <c r="CC154" s="33"/>
      <c r="CD154" s="261" t="str">
        <f t="shared" si="33"/>
        <v/>
      </c>
      <c r="CE154" s="280" t="str">
        <f t="shared" si="89"/>
        <v/>
      </c>
      <c r="CF154" s="71" t="str">
        <f t="shared" ca="1" si="90"/>
        <v/>
      </c>
      <c r="CG154" s="33" t="str">
        <f t="shared" si="36"/>
        <v/>
      </c>
      <c r="CH154" s="261" t="str">
        <f t="shared" ca="1" si="37"/>
        <v/>
      </c>
      <c r="CI154" s="202"/>
      <c r="CJ154" s="99"/>
      <c r="CK154" s="99"/>
      <c r="CL154" s="99"/>
      <c r="CM154" s="99"/>
      <c r="CN154" s="99"/>
      <c r="CO154" s="99"/>
    </row>
    <row r="155" spans="2:93" ht="13.5" customHeight="1" x14ac:dyDescent="0.2">
      <c r="B155" s="262">
        <v>55</v>
      </c>
      <c r="C155" s="237" t="str">
        <f t="shared" si="1"/>
        <v/>
      </c>
      <c r="D155" s="237" t="str">
        <f t="shared" si="66"/>
        <v/>
      </c>
      <c r="E155" s="290" t="str">
        <f t="shared" si="38"/>
        <v/>
      </c>
      <c r="F155" s="264" t="str">
        <f t="shared" si="39"/>
        <v/>
      </c>
      <c r="G155" s="291" t="str">
        <f t="shared" si="40"/>
        <v/>
      </c>
      <c r="H155" s="240" t="str">
        <f t="shared" si="71"/>
        <v/>
      </c>
      <c r="I155" s="265" t="str">
        <f t="shared" si="72"/>
        <v/>
      </c>
      <c r="J155" s="265" t="str">
        <f t="shared" si="73"/>
        <v/>
      </c>
      <c r="K155" s="240" t="str">
        <f t="shared" si="74"/>
        <v/>
      </c>
      <c r="L155" s="265" t="str">
        <f t="shared" si="75"/>
        <v/>
      </c>
      <c r="M155" s="265" t="str">
        <f t="shared" si="76"/>
        <v/>
      </c>
      <c r="N155" s="240" t="str">
        <f t="shared" si="77"/>
        <v>-</v>
      </c>
      <c r="O155" s="265" t="str">
        <f t="shared" si="78"/>
        <v>-</v>
      </c>
      <c r="P155" s="265" t="str">
        <f t="shared" si="79"/>
        <v>-</v>
      </c>
      <c r="Q155" s="266" t="str">
        <f t="shared" si="80"/>
        <v>-</v>
      </c>
      <c r="R155" s="267" t="str">
        <f t="shared" si="81"/>
        <v>-</v>
      </c>
      <c r="S155" s="268" t="str">
        <f t="shared" si="82"/>
        <v>-</v>
      </c>
      <c r="T155" s="269" t="str">
        <f t="shared" si="13"/>
        <v/>
      </c>
      <c r="U155" s="221">
        <f t="shared" si="14"/>
        <v>55</v>
      </c>
      <c r="V155" s="220" t="str">
        <f t="shared" si="42"/>
        <v>-</v>
      </c>
      <c r="W155" s="221" t="str">
        <f t="shared" si="43"/>
        <v>-</v>
      </c>
      <c r="X155" s="221" t="str">
        <f t="shared" si="15"/>
        <v>-</v>
      </c>
      <c r="Y155" s="221" t="str">
        <f t="shared" si="16"/>
        <v>-</v>
      </c>
      <c r="Z155" s="270">
        <f t="shared" si="44"/>
        <v>0.1</v>
      </c>
      <c r="AA155" s="271" t="str">
        <f>IFERROR(IF(V154=1,AA$100*EXP(-(LN(2)/$D$65+0.04)*X154)*EXP(-(LN(2)/$D$65+0.1)*Y154),IF(V154=2,AA$100*EXP(-(LN(2)/$D$65+0.04)*(VLOOKUP(($F$16-$F$15)-1,U$99:Y154,4,FALSE)))*EXP(-(LN(2)/$D$65+0.1)*(VLOOKUP(($F$16-$F$15)-1,U$99:Y154,5,FALSE)))*EXP(-(LN(2)/$D$65+0.04)*X154)*EXP(-(LN(2)/$D$65+0.1)*Y154),IF(V154=3,AA$100*EXP(-(LN(2)/$D$65+0.04)*(VLOOKUP(($F$16-$F$15)-1,U$99:Y154,4,FALSE)))*EXP(-(LN(2)/$D$65+0.1)*(VLOOKUP(($F$16-$F$15)-1,U$99:Y154,5,FALSE)))*EXP(-(LN(2)/$D$65+0.04)*(VLOOKUP(($F$16-$F$15)*2-1,U$99:Y154,4,FALSE)))*EXP(-(LN(2)/$D$65+0.1)*(VLOOKUP(($F$16-$F$15)*2-1,U$99:Y154,5,FALSE)))*EXP(-(LN(2)/$D$65+0.04)*X154)*EXP(-(LN(2)/$D$65+0.1)*Y154),"-"))),"-")</f>
        <v>-</v>
      </c>
      <c r="AB155" s="271" t="str">
        <f>IFERROR(IF(V155=1,AB$100*EXP(-(LN(2)/$D$65+0.04)*X155)*EXP(-(LN(2)/$D$65+0.1)*Y155),IF(V155=2,AB$100*EXP(-(LN(2)/$D$65+0.04)*(VLOOKUP(($F$16-$F$15)-1,U$100:Y155,4,FALSE)))*EXP(-(LN(2)/$D$65+0.1)*(VLOOKUP(($F$16-$F$15)-1,U$100:Y155,5,FALSE)))*EXP(-(LN(2)/$D$65+0.04)*X155)*EXP(-(LN(2)/$D$65+0.1)*Y155),IF(V155=3,AB$100*EXP(-(LN(2)/$D$65+0.04)*(VLOOKUP(($F$16-$F$15)-1,U$100:Y155,4,FALSE)))*EXP(-(LN(2)/$D$65+0.1)*(VLOOKUP(($F$16-$F$15)-1,U$100:Y155,5,FALSE)))*EXP(-(LN(2)/$D$65+0.04)*(VLOOKUP(($F$16-$F$15)*2-1,U$100:Y155,4,FALSE)))*EXP(-(LN(2)/$D$65+0.1)*(VLOOKUP(($F$16-$F$15)*2-1,U$100:Y155,5,FALSE)))*EXP(-(LN(2)/$D$65+0.04)*X155)*EXP(-(LN(2)/$D$65+0.1)*Y155),"-"))),"-")</f>
        <v>-</v>
      </c>
      <c r="AC155" s="224">
        <f t="shared" si="45"/>
        <v>55</v>
      </c>
      <c r="AD155" s="223" t="str">
        <f t="shared" si="18"/>
        <v>-</v>
      </c>
      <c r="AE155" s="224" t="str">
        <f t="shared" si="46"/>
        <v>-</v>
      </c>
      <c r="AF155" s="224" t="str">
        <f t="shared" si="19"/>
        <v>-</v>
      </c>
      <c r="AG155" s="224" t="str">
        <f t="shared" si="20"/>
        <v>-</v>
      </c>
      <c r="AH155" s="272">
        <f t="shared" si="47"/>
        <v>0.1</v>
      </c>
      <c r="AI155" s="271" t="str">
        <f>IFERROR(IF(AD154=1,AI$100*EXP(-(LN(2)/$D$65+0.04)*AF154)*EXP(-(LN(2)/$D$65+0.1)*AG154),IF(AD154=2,AI$100*EXP(-(LN(2)/$D$65+0.04)*(VLOOKUP(($F$16-$F$15)-1,AC$99:AG154,4,FALSE)))*EXP(-(LN(2)/$D$65+0.1)*(VLOOKUP(($F$16-$F$15)-1,AC$99:AG154,5,FALSE)))*EXP(-(LN(2)/$D$65+0.04)*AF154)*EXP(-(LN(2)/$D$65+0.1)*AG154),IF(AD154=3,AI$100*EXP(-(LN(2)/$D$65+0.04)*(VLOOKUP(($F$16-$F$15)-1,AC$99:AG154,4,FALSE)))*EXP(-(LN(2)/$D$65+0.1)*(VLOOKUP(($F$16-$F$15)-1,AC$99:AG154,5,FALSE)))*EXP(-(LN(2)/$D$65+0.04)*(VLOOKUP(($F$16-$F$15)*2-1,AC$99:AG154,4,FALSE)))*EXP(-(LN(2)/$D$65+0.1)*(VLOOKUP(($F$16-$F$15)*2-1,AC$99:AG154,5,FALSE)))*EXP(-(LN(2)/$D$65+0.04)*AF154)*EXP(-(LN(2)/$D$65+0.1)*AG154),"-"))),"-")</f>
        <v>-</v>
      </c>
      <c r="AJ155" s="271" t="str">
        <f>IFERROR(IF(AD155=1,AJ$100*EXP(-(LN(2)/$D$65+0.04)*AF155)*EXP(-(LN(2)/$D$65+0.1)*AG155),IF(AD155=2,AJ$100*EXP(-(LN(2)/$D$65+0.04)*(VLOOKUP(($F$16-$F$15)-1,AC$100:AG155,4,FALSE)))*EXP(-(LN(2)/$D$65+0.1)*(VLOOKUP(($F$16-$F$15)-1,AC$100:AG155,5,FALSE)))*EXP(-(LN(2)/$D$65+0.04)*AF155)*EXP(-(LN(2)/$D$65+0.1)*AG155),IF(AD155=3,AJ$100*EXP(-(LN(2)/$D$65+0.04)*(VLOOKUP(($F$16-$F$15)-1,AC$100:AG155,4,FALSE)))*EXP(-(LN(2)/$D$65+0.1)*(VLOOKUP(($F$16-$F$15)-1,AC$100:AG155,5,FALSE)))*EXP(-(LN(2)/$D$65+0.04)*(VLOOKUP(($F$16-$F$15)*2-1,AC$100:AG155,4,FALSE)))*EXP(-(LN(2)/$D$65+0.1)*(VLOOKUP(($F$16-$F$15)*2-1,AC$100:AG155,5,FALSE)))*EXP(-(LN(2)/$D$65+0.04)*AF155)*EXP(-(LN(2)/$D$65+0.1)*AG155),"-"))),"-")</f>
        <v>-</v>
      </c>
      <c r="AK155" s="227">
        <f t="shared" si="49"/>
        <v>55</v>
      </c>
      <c r="AL155" s="226" t="str">
        <f t="shared" si="22"/>
        <v>-</v>
      </c>
      <c r="AM155" s="227" t="str">
        <f t="shared" si="50"/>
        <v>-</v>
      </c>
      <c r="AN155" s="227" t="str">
        <f t="shared" si="51"/>
        <v>-</v>
      </c>
      <c r="AO155" s="227" t="str">
        <f t="shared" si="23"/>
        <v>-</v>
      </c>
      <c r="AP155" s="273">
        <f t="shared" si="52"/>
        <v>0.1</v>
      </c>
      <c r="AQ155" s="271" t="str">
        <f>IFERROR(IF(AL154=1,AQ$100*EXP(-(LN(2)/$D$65+0.04)*AN154)*EXP(-(LN(2)/$D$65+0.1)*AO154),IF(AL154=2,AQ$100*EXP(-(LN(2)/$D$65+0.04)*(VLOOKUP(($F$16-$F$15)-1,AK$99:AO154,4,FALSE)))*EXP(-(LN(2)/$D$65+0.1)*(VLOOKUP(($F$16-$F$15)-1,AK$99:AO154,5,FALSE)))*EXP(-(LN(2)/$D$65+0.04)*AN154)*EXP(-(LN(2)/$D$65+0.1)*AO154),IF(AL154=3,AQ$100*EXP(-(LN(2)/$D$65+0.04)*(VLOOKUP(($F$16-$F$15)-1,AK$99:AO154,4,FALSE)))*EXP(-(LN(2)/$D$65+0.1)*(VLOOKUP(($F$16-$F$15)-1,AK$99:AO154,5,FALSE)))*EXP(-(LN(2)/$D$65+0.04)*(VLOOKUP(($F$16-$F$15)*2-1,AK$99:AO154,4,FALSE)))*EXP(-(LN(2)/$D$65+0.1)*(VLOOKUP(($F$16-$F$15)*2-1,AK$99:AO154,5,FALSE)))*EXP(-(LN(2)/$D$65+0.04)*AN154)*EXP(-(LN(2)/$D$65+0.1)*AO154),"-"))),"-")</f>
        <v>-</v>
      </c>
      <c r="AR155" s="271" t="str">
        <f>IFERROR(IF(AL155=1,AR$100*EXP(-(LN(2)/$D$65+0.04)*AN155)*EXP(-(LN(2)/$D$65+0.1)*AO155),IF(AL155=2,AR$100*EXP(-(LN(2)/$D$65+0.04)*(VLOOKUP(($F$16-$F$15)-1,AK$100:AO155,4,FALSE)))*EXP(-(LN(2)/$D$65+0.1)*(VLOOKUP(($F$16-$F$15)-1,AK$100:AO155,5,FALSE)))*EXP(-(LN(2)/$D$65+0.04)*AN155)*EXP(-(LN(2)/$D$65+0.1)*AO155),IF(AL155=3,AR$100*EXP(-(LN(2)/$D$65+0.04)*(VLOOKUP(($F$16-$F$15)-1,AK$100:AO155,4,FALSE)))*EXP(-(LN(2)/$D$65+0.1)*(VLOOKUP(($F$16-$F$15)-1,AK$100:AO155,5,FALSE)))*EXP(-(LN(2)/$D$65+0.04)*(VLOOKUP(($F$16-$F$15)*2-1,AK$100:AO155,4,FALSE)))*EXP(-(LN(2)/$D$65+0.1)*(VLOOKUP(($F$16-$F$15)*2-1,AK$100:AO155,5,FALSE)))*EXP(-(LN(2)/$D$65+0.04)*AN155)*EXP(-(LN(2)/$D$65+0.1)*AO155),"-"))),"-")</f>
        <v>-</v>
      </c>
      <c r="AS155" s="274">
        <f t="shared" si="24"/>
        <v>0</v>
      </c>
      <c r="AT155" s="274">
        <f t="shared" si="25"/>
        <v>0</v>
      </c>
      <c r="AU155" s="274">
        <f t="shared" si="26"/>
        <v>0</v>
      </c>
      <c r="AV155" s="190" t="str">
        <f>IF($B155&lt;$F$22,SUM($T$100:$T155),"")</f>
        <v/>
      </c>
      <c r="AW155" s="190" t="str">
        <f t="shared" si="83"/>
        <v>-</v>
      </c>
      <c r="AX155" s="190" t="str">
        <f t="shared" si="56"/>
        <v/>
      </c>
      <c r="AY155"/>
      <c r="AZ155" s="190" t="str">
        <f ca="1">IF(ISNUMBER(OFFSET(AV155,-$F$21,0)),SUM(OFFSET($T$100,$F$21,0):$T155),"")</f>
        <v/>
      </c>
      <c r="BA155" s="190" t="str">
        <f t="shared" ca="1" si="84"/>
        <v/>
      </c>
      <c r="BB155" s="190" t="str">
        <f t="shared" ca="1" si="70"/>
        <v/>
      </c>
      <c r="BC155" s="190"/>
      <c r="BD155" s="190" t="str">
        <f ca="1">IFERROR(IF(OR(ISNUMBER(I),ISNUMBER($F$14)),IF(AND($B155&gt;=($F$16-$F$15),$B155&lt;$F$22+($F$16-$F$15)),SUM(OFFSET($T$100,($F$16-$F$15),0):$T155),""),""),"")</f>
        <v/>
      </c>
      <c r="BE155" s="190" t="str">
        <f t="shared" ca="1" si="58"/>
        <v/>
      </c>
      <c r="BF155" s="190" t="str">
        <f t="shared" ca="1" si="59"/>
        <v/>
      </c>
      <c r="BG155"/>
      <c r="BH155" s="190" t="str">
        <f ca="1">IF(ISNUMBER(OFFSET(BD155,-$F$21,0)),SUM(OFFSET($T$100,($F$16-$F$15+$F$21),0):$T155),"")</f>
        <v/>
      </c>
      <c r="BI155" s="190" t="str">
        <f t="shared" ca="1" si="85"/>
        <v/>
      </c>
      <c r="BJ155" s="190" t="str">
        <f t="shared" ca="1" si="60"/>
        <v/>
      </c>
      <c r="BK155" s="190"/>
      <c r="BL155" s="190" t="str">
        <f ca="1">IFERROR(IF(OR(ISNUMBER(I),ISNUMBER($F$14)),IF(AND($B155&gt;=($F$17-$F$15),$B155&lt;$F$22+($F$17-$F$15)),SUM(OFFSET($T$100,($F$17-$F$15),0):$T155),""),""),"")</f>
        <v/>
      </c>
      <c r="BM155" s="190" t="str">
        <f t="shared" ca="1" si="86"/>
        <v/>
      </c>
      <c r="BN155" s="190" t="str">
        <f t="shared" ca="1" si="61"/>
        <v/>
      </c>
      <c r="BO155"/>
      <c r="BP155" s="190" t="str">
        <f ca="1">IF(ISNUMBER(OFFSET(BL155,-$F$21,0)),SUM(OFFSET($T$100,($F$17-$F$15+$F$21),0):$T155),"")</f>
        <v/>
      </c>
      <c r="BQ155" s="190" t="str">
        <f t="shared" ca="1" si="87"/>
        <v/>
      </c>
      <c r="BR155" s="190" t="str">
        <f t="shared" ca="1" si="63"/>
        <v/>
      </c>
      <c r="BS155" s="190"/>
      <c r="BT155"/>
      <c r="BU155"/>
      <c r="BV155"/>
      <c r="BY155" s="99"/>
      <c r="BZ155" s="99"/>
      <c r="CA155" s="280" t="str">
        <f t="shared" si="88"/>
        <v/>
      </c>
      <c r="CB155" s="71" t="str">
        <f t="shared" si="31"/>
        <v>-</v>
      </c>
      <c r="CC155" s="33"/>
      <c r="CD155" s="261" t="str">
        <f t="shared" si="33"/>
        <v/>
      </c>
      <c r="CE155" s="280" t="str">
        <f t="shared" si="89"/>
        <v/>
      </c>
      <c r="CF155" s="71" t="str">
        <f t="shared" ca="1" si="90"/>
        <v/>
      </c>
      <c r="CG155" s="33" t="str">
        <f t="shared" si="36"/>
        <v/>
      </c>
      <c r="CH155" s="261" t="str">
        <f t="shared" ca="1" si="37"/>
        <v/>
      </c>
      <c r="CI155" s="202"/>
      <c r="CJ155" s="99"/>
      <c r="CK155" s="99"/>
      <c r="CL155" s="99"/>
      <c r="CM155" s="99"/>
      <c r="CN155" s="99"/>
      <c r="CO155" s="99"/>
    </row>
    <row r="156" spans="2:93" ht="13.5" customHeight="1" x14ac:dyDescent="0.2">
      <c r="B156" s="262">
        <v>56</v>
      </c>
      <c r="C156" s="237" t="str">
        <f t="shared" si="1"/>
        <v/>
      </c>
      <c r="D156" s="237" t="str">
        <f t="shared" si="66"/>
        <v/>
      </c>
      <c r="E156" s="290" t="str">
        <f t="shared" si="38"/>
        <v/>
      </c>
      <c r="F156" s="264" t="str">
        <f t="shared" si="39"/>
        <v/>
      </c>
      <c r="G156" s="291" t="str">
        <f t="shared" si="40"/>
        <v/>
      </c>
      <c r="H156" s="240" t="str">
        <f t="shared" si="71"/>
        <v/>
      </c>
      <c r="I156" s="265" t="str">
        <f t="shared" si="72"/>
        <v/>
      </c>
      <c r="J156" s="265" t="str">
        <f t="shared" si="73"/>
        <v/>
      </c>
      <c r="K156" s="240" t="str">
        <f t="shared" si="74"/>
        <v/>
      </c>
      <c r="L156" s="265" t="str">
        <f t="shared" si="75"/>
        <v/>
      </c>
      <c r="M156" s="265" t="str">
        <f t="shared" si="76"/>
        <v/>
      </c>
      <c r="N156" s="240" t="str">
        <f t="shared" si="77"/>
        <v>-</v>
      </c>
      <c r="O156" s="265" t="str">
        <f t="shared" si="78"/>
        <v>-</v>
      </c>
      <c r="P156" s="265" t="str">
        <f t="shared" si="79"/>
        <v>-</v>
      </c>
      <c r="Q156" s="266" t="str">
        <f t="shared" si="80"/>
        <v>-</v>
      </c>
      <c r="R156" s="267" t="str">
        <f t="shared" si="81"/>
        <v>-</v>
      </c>
      <c r="S156" s="268" t="str">
        <f t="shared" si="82"/>
        <v>-</v>
      </c>
      <c r="T156" s="269" t="str">
        <f t="shared" si="13"/>
        <v/>
      </c>
      <c r="U156" s="221">
        <f t="shared" si="14"/>
        <v>56</v>
      </c>
      <c r="V156" s="220" t="str">
        <f t="shared" si="42"/>
        <v>-</v>
      </c>
      <c r="W156" s="221" t="str">
        <f t="shared" si="43"/>
        <v>-</v>
      </c>
      <c r="X156" s="221" t="str">
        <f t="shared" si="15"/>
        <v>-</v>
      </c>
      <c r="Y156" s="221" t="str">
        <f t="shared" si="16"/>
        <v>-</v>
      </c>
      <c r="Z156" s="270">
        <f t="shared" si="44"/>
        <v>0.1</v>
      </c>
      <c r="AA156" s="271" t="str">
        <f>IFERROR(IF(V155=1,AA$100*EXP(-(LN(2)/$D$65+0.04)*X155)*EXP(-(LN(2)/$D$65+0.1)*Y155),IF(V155=2,AA$100*EXP(-(LN(2)/$D$65+0.04)*(VLOOKUP(($F$16-$F$15)-1,U$99:Y155,4,FALSE)))*EXP(-(LN(2)/$D$65+0.1)*(VLOOKUP(($F$16-$F$15)-1,U$99:Y155,5,FALSE)))*EXP(-(LN(2)/$D$65+0.04)*X155)*EXP(-(LN(2)/$D$65+0.1)*Y155),IF(V155=3,AA$100*EXP(-(LN(2)/$D$65+0.04)*(VLOOKUP(($F$16-$F$15)-1,U$99:Y155,4,FALSE)))*EXP(-(LN(2)/$D$65+0.1)*(VLOOKUP(($F$16-$F$15)-1,U$99:Y155,5,FALSE)))*EXP(-(LN(2)/$D$65+0.04)*(VLOOKUP(($F$16-$F$15)*2-1,U$99:Y155,4,FALSE)))*EXP(-(LN(2)/$D$65+0.1)*(VLOOKUP(($F$16-$F$15)*2-1,U$99:Y155,5,FALSE)))*EXP(-(LN(2)/$D$65+0.04)*X155)*EXP(-(LN(2)/$D$65+0.1)*Y155),"-"))),"-")</f>
        <v>-</v>
      </c>
      <c r="AB156" s="271" t="str">
        <f>IFERROR(IF(V156=1,AB$100*EXP(-(LN(2)/$D$65+0.04)*X156)*EXP(-(LN(2)/$D$65+0.1)*Y156),IF(V156=2,AB$100*EXP(-(LN(2)/$D$65+0.04)*(VLOOKUP(($F$16-$F$15)-1,U$100:Y156,4,FALSE)))*EXP(-(LN(2)/$D$65+0.1)*(VLOOKUP(($F$16-$F$15)-1,U$100:Y156,5,FALSE)))*EXP(-(LN(2)/$D$65+0.04)*X156)*EXP(-(LN(2)/$D$65+0.1)*Y156),IF(V156=3,AB$100*EXP(-(LN(2)/$D$65+0.04)*(VLOOKUP(($F$16-$F$15)-1,U$100:Y156,4,FALSE)))*EXP(-(LN(2)/$D$65+0.1)*(VLOOKUP(($F$16-$F$15)-1,U$100:Y156,5,FALSE)))*EXP(-(LN(2)/$D$65+0.04)*(VLOOKUP(($F$16-$F$15)*2-1,U$100:Y156,4,FALSE)))*EXP(-(LN(2)/$D$65+0.1)*(VLOOKUP(($F$16-$F$15)*2-1,U$100:Y156,5,FALSE)))*EXP(-(LN(2)/$D$65+0.04)*X156)*EXP(-(LN(2)/$D$65+0.1)*Y156),"-"))),"-")</f>
        <v>-</v>
      </c>
      <c r="AC156" s="224">
        <f t="shared" si="45"/>
        <v>56</v>
      </c>
      <c r="AD156" s="223" t="str">
        <f t="shared" si="18"/>
        <v>-</v>
      </c>
      <c r="AE156" s="224" t="str">
        <f t="shared" si="46"/>
        <v>-</v>
      </c>
      <c r="AF156" s="224" t="str">
        <f t="shared" si="19"/>
        <v>-</v>
      </c>
      <c r="AG156" s="224" t="str">
        <f t="shared" si="20"/>
        <v>-</v>
      </c>
      <c r="AH156" s="272">
        <f t="shared" si="47"/>
        <v>0.1</v>
      </c>
      <c r="AI156" s="271" t="str">
        <f>IFERROR(IF(AD155=1,AI$100*EXP(-(LN(2)/$D$65+0.04)*AF155)*EXP(-(LN(2)/$D$65+0.1)*AG155),IF(AD155=2,AI$100*EXP(-(LN(2)/$D$65+0.04)*(VLOOKUP(($F$16-$F$15)-1,AC$99:AG155,4,FALSE)))*EXP(-(LN(2)/$D$65+0.1)*(VLOOKUP(($F$16-$F$15)-1,AC$99:AG155,5,FALSE)))*EXP(-(LN(2)/$D$65+0.04)*AF155)*EXP(-(LN(2)/$D$65+0.1)*AG155),IF(AD155=3,AI$100*EXP(-(LN(2)/$D$65+0.04)*(VLOOKUP(($F$16-$F$15)-1,AC$99:AG155,4,FALSE)))*EXP(-(LN(2)/$D$65+0.1)*(VLOOKUP(($F$16-$F$15)-1,AC$99:AG155,5,FALSE)))*EXP(-(LN(2)/$D$65+0.04)*(VLOOKUP(($F$16-$F$15)*2-1,AC$99:AG155,4,FALSE)))*EXP(-(LN(2)/$D$65+0.1)*(VLOOKUP(($F$16-$F$15)*2-1,AC$99:AG155,5,FALSE)))*EXP(-(LN(2)/$D$65+0.04)*AF155)*EXP(-(LN(2)/$D$65+0.1)*AG155),"-"))),"-")</f>
        <v>-</v>
      </c>
      <c r="AJ156" s="271" t="str">
        <f>IFERROR(IF(AD156=1,AJ$100*EXP(-(LN(2)/$D$65+0.04)*AF156)*EXP(-(LN(2)/$D$65+0.1)*AG156),IF(AD156=2,AJ$100*EXP(-(LN(2)/$D$65+0.04)*(VLOOKUP(($F$16-$F$15)-1,AC$100:AG156,4,FALSE)))*EXP(-(LN(2)/$D$65+0.1)*(VLOOKUP(($F$16-$F$15)-1,AC$100:AG156,5,FALSE)))*EXP(-(LN(2)/$D$65+0.04)*AF156)*EXP(-(LN(2)/$D$65+0.1)*AG156),IF(AD156=3,AJ$100*EXP(-(LN(2)/$D$65+0.04)*(VLOOKUP(($F$16-$F$15)-1,AC$100:AG156,4,FALSE)))*EXP(-(LN(2)/$D$65+0.1)*(VLOOKUP(($F$16-$F$15)-1,AC$100:AG156,5,FALSE)))*EXP(-(LN(2)/$D$65+0.04)*(VLOOKUP(($F$16-$F$15)*2-1,AC$100:AG156,4,FALSE)))*EXP(-(LN(2)/$D$65+0.1)*(VLOOKUP(($F$16-$F$15)*2-1,AC$100:AG156,5,FALSE)))*EXP(-(LN(2)/$D$65+0.04)*AF156)*EXP(-(LN(2)/$D$65+0.1)*AG156),"-"))),"-")</f>
        <v>-</v>
      </c>
      <c r="AK156" s="227">
        <f t="shared" si="49"/>
        <v>56</v>
      </c>
      <c r="AL156" s="226" t="str">
        <f t="shared" si="22"/>
        <v>-</v>
      </c>
      <c r="AM156" s="227" t="str">
        <f t="shared" si="50"/>
        <v>-</v>
      </c>
      <c r="AN156" s="227" t="str">
        <f t="shared" si="51"/>
        <v>-</v>
      </c>
      <c r="AO156" s="227" t="str">
        <f t="shared" si="23"/>
        <v>-</v>
      </c>
      <c r="AP156" s="273">
        <f t="shared" si="52"/>
        <v>0.1</v>
      </c>
      <c r="AQ156" s="271" t="str">
        <f>IFERROR(IF(AL155=1,AQ$100*EXP(-(LN(2)/$D$65+0.04)*AN155)*EXP(-(LN(2)/$D$65+0.1)*AO155),IF(AL155=2,AQ$100*EXP(-(LN(2)/$D$65+0.04)*(VLOOKUP(($F$16-$F$15)-1,AK$99:AO155,4,FALSE)))*EXP(-(LN(2)/$D$65+0.1)*(VLOOKUP(($F$16-$F$15)-1,AK$99:AO155,5,FALSE)))*EXP(-(LN(2)/$D$65+0.04)*AN155)*EXP(-(LN(2)/$D$65+0.1)*AO155),IF(AL155=3,AQ$100*EXP(-(LN(2)/$D$65+0.04)*(VLOOKUP(($F$16-$F$15)-1,AK$99:AO155,4,FALSE)))*EXP(-(LN(2)/$D$65+0.1)*(VLOOKUP(($F$16-$F$15)-1,AK$99:AO155,5,FALSE)))*EXP(-(LN(2)/$D$65+0.04)*(VLOOKUP(($F$16-$F$15)*2-1,AK$99:AO155,4,FALSE)))*EXP(-(LN(2)/$D$65+0.1)*(VLOOKUP(($F$16-$F$15)*2-1,AK$99:AO155,5,FALSE)))*EXP(-(LN(2)/$D$65+0.04)*AN155)*EXP(-(LN(2)/$D$65+0.1)*AO155),"-"))),"-")</f>
        <v>-</v>
      </c>
      <c r="AR156" s="271" t="str">
        <f>IFERROR(IF(AL156=1,AR$100*EXP(-(LN(2)/$D$65+0.04)*AN156)*EXP(-(LN(2)/$D$65+0.1)*AO156),IF(AL156=2,AR$100*EXP(-(LN(2)/$D$65+0.04)*(VLOOKUP(($F$16-$F$15)-1,AK$100:AO156,4,FALSE)))*EXP(-(LN(2)/$D$65+0.1)*(VLOOKUP(($F$16-$F$15)-1,AK$100:AO156,5,FALSE)))*EXP(-(LN(2)/$D$65+0.04)*AN156)*EXP(-(LN(2)/$D$65+0.1)*AO156),IF(AL156=3,AR$100*EXP(-(LN(2)/$D$65+0.04)*(VLOOKUP(($F$16-$F$15)-1,AK$100:AO156,4,FALSE)))*EXP(-(LN(2)/$D$65+0.1)*(VLOOKUP(($F$16-$F$15)-1,AK$100:AO156,5,FALSE)))*EXP(-(LN(2)/$D$65+0.04)*(VLOOKUP(($F$16-$F$15)*2-1,AK$100:AO156,4,FALSE)))*EXP(-(LN(2)/$D$65+0.1)*(VLOOKUP(($F$16-$F$15)*2-1,AK$100:AO156,5,FALSE)))*EXP(-(LN(2)/$D$65+0.04)*AN156)*EXP(-(LN(2)/$D$65+0.1)*AO156),"-"))),"-")</f>
        <v>-</v>
      </c>
      <c r="AS156" s="274">
        <f t="shared" si="24"/>
        <v>0</v>
      </c>
      <c r="AT156" s="274">
        <f t="shared" si="25"/>
        <v>0</v>
      </c>
      <c r="AU156" s="274">
        <f t="shared" si="26"/>
        <v>0</v>
      </c>
      <c r="AV156" s="190" t="str">
        <f>IF($B156&lt;$F$22,SUM($T$100:$T156),"")</f>
        <v/>
      </c>
      <c r="AW156" s="190" t="str">
        <f t="shared" si="83"/>
        <v>-</v>
      </c>
      <c r="AX156" s="190" t="str">
        <f t="shared" si="56"/>
        <v/>
      </c>
      <c r="AY156"/>
      <c r="AZ156" s="190" t="str">
        <f ca="1">IF(ISNUMBER(OFFSET(AV156,-$F$21,0)),SUM(OFFSET($T$100,$F$21,0):$T156),"")</f>
        <v/>
      </c>
      <c r="BA156" s="190" t="str">
        <f t="shared" ca="1" si="84"/>
        <v/>
      </c>
      <c r="BB156" s="190" t="str">
        <f t="shared" ca="1" si="70"/>
        <v/>
      </c>
      <c r="BC156" s="190"/>
      <c r="BD156" s="190" t="str">
        <f ca="1">IFERROR(IF(OR(ISNUMBER(I),ISNUMBER($F$14)),IF(AND($B156&gt;=($F$16-$F$15),$B156&lt;$F$22+($F$16-$F$15)),SUM(OFFSET($T$100,($F$16-$F$15),0):$T156),""),""),"")</f>
        <v/>
      </c>
      <c r="BE156" s="190" t="str">
        <f t="shared" ca="1" si="58"/>
        <v/>
      </c>
      <c r="BF156" s="190" t="str">
        <f t="shared" ca="1" si="59"/>
        <v/>
      </c>
      <c r="BG156"/>
      <c r="BH156" s="190" t="str">
        <f ca="1">IF(ISNUMBER(OFFSET(BD156,-$F$21,0)),SUM(OFFSET($T$100,($F$16-$F$15+$F$21),0):$T156),"")</f>
        <v/>
      </c>
      <c r="BI156" s="190" t="str">
        <f t="shared" ca="1" si="85"/>
        <v/>
      </c>
      <c r="BJ156" s="190" t="str">
        <f t="shared" ca="1" si="60"/>
        <v/>
      </c>
      <c r="BK156" s="190"/>
      <c r="BL156" s="190" t="str">
        <f ca="1">IFERROR(IF(OR(ISNUMBER(I),ISNUMBER($F$14)),IF(AND($B156&gt;=($F$17-$F$15),$B156&lt;$F$22+($F$17-$F$15)),SUM(OFFSET($T$100,($F$17-$F$15),0):$T156),""),""),"")</f>
        <v/>
      </c>
      <c r="BM156" s="190" t="str">
        <f t="shared" ca="1" si="86"/>
        <v/>
      </c>
      <c r="BN156" s="190" t="str">
        <f t="shared" ca="1" si="61"/>
        <v/>
      </c>
      <c r="BO156"/>
      <c r="BP156" s="190" t="str">
        <f ca="1">IF(ISNUMBER(OFFSET(BL156,-$F$21,0)),SUM(OFFSET($T$100,($F$17-$F$15+$F$21),0):$T156),"")</f>
        <v/>
      </c>
      <c r="BQ156" s="190" t="str">
        <f t="shared" ca="1" si="87"/>
        <v/>
      </c>
      <c r="BR156" s="190" t="str">
        <f t="shared" ca="1" si="63"/>
        <v/>
      </c>
      <c r="BS156" s="190"/>
      <c r="BT156"/>
      <c r="BU156"/>
      <c r="BV156"/>
      <c r="BY156" s="99"/>
      <c r="BZ156" s="99"/>
      <c r="CA156" s="280" t="str">
        <f t="shared" si="88"/>
        <v/>
      </c>
      <c r="CB156" s="71" t="str">
        <f t="shared" si="31"/>
        <v>-</v>
      </c>
      <c r="CC156" s="33"/>
      <c r="CD156" s="261" t="str">
        <f t="shared" si="33"/>
        <v/>
      </c>
      <c r="CE156" s="280" t="str">
        <f t="shared" si="89"/>
        <v/>
      </c>
      <c r="CF156" s="71" t="str">
        <f t="shared" ca="1" si="90"/>
        <v/>
      </c>
      <c r="CG156" s="33" t="str">
        <f t="shared" si="36"/>
        <v/>
      </c>
      <c r="CH156" s="261" t="str">
        <f t="shared" ca="1" si="37"/>
        <v/>
      </c>
      <c r="CI156" s="202"/>
      <c r="CJ156" s="99"/>
      <c r="CK156" s="99"/>
      <c r="CL156" s="99"/>
      <c r="CM156" s="99"/>
      <c r="CN156" s="99"/>
      <c r="CO156" s="99"/>
    </row>
    <row r="157" spans="2:93" ht="13.5" customHeight="1" x14ac:dyDescent="0.2">
      <c r="B157" s="262">
        <v>57</v>
      </c>
      <c r="C157" s="237" t="str">
        <f t="shared" si="1"/>
        <v/>
      </c>
      <c r="D157" s="237" t="str">
        <f t="shared" si="66"/>
        <v/>
      </c>
      <c r="E157" s="290" t="str">
        <f t="shared" si="38"/>
        <v/>
      </c>
      <c r="F157" s="264" t="str">
        <f t="shared" si="39"/>
        <v/>
      </c>
      <c r="G157" s="291" t="str">
        <f t="shared" si="40"/>
        <v/>
      </c>
      <c r="H157" s="240" t="str">
        <f t="shared" si="71"/>
        <v/>
      </c>
      <c r="I157" s="265" t="str">
        <f t="shared" si="72"/>
        <v/>
      </c>
      <c r="J157" s="265" t="str">
        <f t="shared" si="73"/>
        <v/>
      </c>
      <c r="K157" s="240" t="str">
        <f t="shared" si="74"/>
        <v/>
      </c>
      <c r="L157" s="265" t="str">
        <f t="shared" si="75"/>
        <v/>
      </c>
      <c r="M157" s="265" t="str">
        <f t="shared" si="76"/>
        <v/>
      </c>
      <c r="N157" s="240" t="str">
        <f t="shared" si="77"/>
        <v>-</v>
      </c>
      <c r="O157" s="265" t="str">
        <f t="shared" si="78"/>
        <v>-</v>
      </c>
      <c r="P157" s="265" t="str">
        <f t="shared" si="79"/>
        <v>-</v>
      </c>
      <c r="Q157" s="266" t="str">
        <f t="shared" si="80"/>
        <v>-</v>
      </c>
      <c r="R157" s="267" t="str">
        <f t="shared" si="81"/>
        <v>-</v>
      </c>
      <c r="S157" s="268" t="str">
        <f t="shared" si="82"/>
        <v>-</v>
      </c>
      <c r="T157" s="269" t="str">
        <f t="shared" si="13"/>
        <v/>
      </c>
      <c r="U157" s="221">
        <f t="shared" si="14"/>
        <v>57</v>
      </c>
      <c r="V157" s="220" t="str">
        <f t="shared" si="42"/>
        <v>-</v>
      </c>
      <c r="W157" s="221" t="str">
        <f t="shared" si="43"/>
        <v>-</v>
      </c>
      <c r="X157" s="221" t="str">
        <f t="shared" si="15"/>
        <v>-</v>
      </c>
      <c r="Y157" s="221" t="str">
        <f t="shared" si="16"/>
        <v>-</v>
      </c>
      <c r="Z157" s="270">
        <f t="shared" si="44"/>
        <v>0.1</v>
      </c>
      <c r="AA157" s="271" t="str">
        <f>IFERROR(IF(V156=1,AA$100*EXP(-(LN(2)/$D$65+0.04)*X156)*EXP(-(LN(2)/$D$65+0.1)*Y156),IF(V156=2,AA$100*EXP(-(LN(2)/$D$65+0.04)*(VLOOKUP(($F$16-$F$15)-1,U$99:Y156,4,FALSE)))*EXP(-(LN(2)/$D$65+0.1)*(VLOOKUP(($F$16-$F$15)-1,U$99:Y156,5,FALSE)))*EXP(-(LN(2)/$D$65+0.04)*X156)*EXP(-(LN(2)/$D$65+0.1)*Y156),IF(V156=3,AA$100*EXP(-(LN(2)/$D$65+0.04)*(VLOOKUP(($F$16-$F$15)-1,U$99:Y156,4,FALSE)))*EXP(-(LN(2)/$D$65+0.1)*(VLOOKUP(($F$16-$F$15)-1,U$99:Y156,5,FALSE)))*EXP(-(LN(2)/$D$65+0.04)*(VLOOKUP(($F$16-$F$15)*2-1,U$99:Y156,4,FALSE)))*EXP(-(LN(2)/$D$65+0.1)*(VLOOKUP(($F$16-$F$15)*2-1,U$99:Y156,5,FALSE)))*EXP(-(LN(2)/$D$65+0.04)*X156)*EXP(-(LN(2)/$D$65+0.1)*Y156),"-"))),"-")</f>
        <v>-</v>
      </c>
      <c r="AB157" s="271" t="str">
        <f>IFERROR(IF(V157=1,AB$100*EXP(-(LN(2)/$D$65+0.04)*X157)*EXP(-(LN(2)/$D$65+0.1)*Y157),IF(V157=2,AB$100*EXP(-(LN(2)/$D$65+0.04)*(VLOOKUP(($F$16-$F$15)-1,U$100:Y157,4,FALSE)))*EXP(-(LN(2)/$D$65+0.1)*(VLOOKUP(($F$16-$F$15)-1,U$100:Y157,5,FALSE)))*EXP(-(LN(2)/$D$65+0.04)*X157)*EXP(-(LN(2)/$D$65+0.1)*Y157),IF(V157=3,AB$100*EXP(-(LN(2)/$D$65+0.04)*(VLOOKUP(($F$16-$F$15)-1,U$100:Y157,4,FALSE)))*EXP(-(LN(2)/$D$65+0.1)*(VLOOKUP(($F$16-$F$15)-1,U$100:Y157,5,FALSE)))*EXP(-(LN(2)/$D$65+0.04)*(VLOOKUP(($F$16-$F$15)*2-1,U$100:Y157,4,FALSE)))*EXP(-(LN(2)/$D$65+0.1)*(VLOOKUP(($F$16-$F$15)*2-1,U$100:Y157,5,FALSE)))*EXP(-(LN(2)/$D$65+0.04)*X157)*EXP(-(LN(2)/$D$65+0.1)*Y157),"-"))),"-")</f>
        <v>-</v>
      </c>
      <c r="AC157" s="224">
        <f t="shared" si="45"/>
        <v>57</v>
      </c>
      <c r="AD157" s="223" t="str">
        <f t="shared" si="18"/>
        <v>-</v>
      </c>
      <c r="AE157" s="224" t="str">
        <f t="shared" si="46"/>
        <v>-</v>
      </c>
      <c r="AF157" s="224" t="str">
        <f t="shared" si="19"/>
        <v>-</v>
      </c>
      <c r="AG157" s="224" t="str">
        <f t="shared" si="20"/>
        <v>-</v>
      </c>
      <c r="AH157" s="272">
        <f t="shared" si="47"/>
        <v>0.1</v>
      </c>
      <c r="AI157" s="271" t="str">
        <f>IFERROR(IF(AD156=1,AI$100*EXP(-(LN(2)/$D$65+0.04)*AF156)*EXP(-(LN(2)/$D$65+0.1)*AG156),IF(AD156=2,AI$100*EXP(-(LN(2)/$D$65+0.04)*(VLOOKUP(($F$16-$F$15)-1,AC$99:AG156,4,FALSE)))*EXP(-(LN(2)/$D$65+0.1)*(VLOOKUP(($F$16-$F$15)-1,AC$99:AG156,5,FALSE)))*EXP(-(LN(2)/$D$65+0.04)*AF156)*EXP(-(LN(2)/$D$65+0.1)*AG156),IF(AD156=3,AI$100*EXP(-(LN(2)/$D$65+0.04)*(VLOOKUP(($F$16-$F$15)-1,AC$99:AG156,4,FALSE)))*EXP(-(LN(2)/$D$65+0.1)*(VLOOKUP(($F$16-$F$15)-1,AC$99:AG156,5,FALSE)))*EXP(-(LN(2)/$D$65+0.04)*(VLOOKUP(($F$16-$F$15)*2-1,AC$99:AG156,4,FALSE)))*EXP(-(LN(2)/$D$65+0.1)*(VLOOKUP(($F$16-$F$15)*2-1,AC$99:AG156,5,FALSE)))*EXP(-(LN(2)/$D$65+0.04)*AF156)*EXP(-(LN(2)/$D$65+0.1)*AG156),"-"))),"-")</f>
        <v>-</v>
      </c>
      <c r="AJ157" s="271" t="str">
        <f>IFERROR(IF(AD157=1,AJ$100*EXP(-(LN(2)/$D$65+0.04)*AF157)*EXP(-(LN(2)/$D$65+0.1)*AG157),IF(AD157=2,AJ$100*EXP(-(LN(2)/$D$65+0.04)*(VLOOKUP(($F$16-$F$15)-1,AC$100:AG157,4,FALSE)))*EXP(-(LN(2)/$D$65+0.1)*(VLOOKUP(($F$16-$F$15)-1,AC$100:AG157,5,FALSE)))*EXP(-(LN(2)/$D$65+0.04)*AF157)*EXP(-(LN(2)/$D$65+0.1)*AG157),IF(AD157=3,AJ$100*EXP(-(LN(2)/$D$65+0.04)*(VLOOKUP(($F$16-$F$15)-1,AC$100:AG157,4,FALSE)))*EXP(-(LN(2)/$D$65+0.1)*(VLOOKUP(($F$16-$F$15)-1,AC$100:AG157,5,FALSE)))*EXP(-(LN(2)/$D$65+0.04)*(VLOOKUP(($F$16-$F$15)*2-1,AC$100:AG157,4,FALSE)))*EXP(-(LN(2)/$D$65+0.1)*(VLOOKUP(($F$16-$F$15)*2-1,AC$100:AG157,5,FALSE)))*EXP(-(LN(2)/$D$65+0.04)*AF157)*EXP(-(LN(2)/$D$65+0.1)*AG157),"-"))),"-")</f>
        <v>-</v>
      </c>
      <c r="AK157" s="227">
        <f t="shared" si="49"/>
        <v>57</v>
      </c>
      <c r="AL157" s="226" t="str">
        <f t="shared" si="22"/>
        <v>-</v>
      </c>
      <c r="AM157" s="227" t="str">
        <f t="shared" si="50"/>
        <v>-</v>
      </c>
      <c r="AN157" s="227" t="str">
        <f t="shared" si="51"/>
        <v>-</v>
      </c>
      <c r="AO157" s="227" t="str">
        <f t="shared" si="23"/>
        <v>-</v>
      </c>
      <c r="AP157" s="273">
        <f t="shared" si="52"/>
        <v>0.1</v>
      </c>
      <c r="AQ157" s="271" t="str">
        <f>IFERROR(IF(AL156=1,AQ$100*EXP(-(LN(2)/$D$65+0.04)*AN156)*EXP(-(LN(2)/$D$65+0.1)*AO156),IF(AL156=2,AQ$100*EXP(-(LN(2)/$D$65+0.04)*(VLOOKUP(($F$16-$F$15)-1,AK$99:AO156,4,FALSE)))*EXP(-(LN(2)/$D$65+0.1)*(VLOOKUP(($F$16-$F$15)-1,AK$99:AO156,5,FALSE)))*EXP(-(LN(2)/$D$65+0.04)*AN156)*EXP(-(LN(2)/$D$65+0.1)*AO156),IF(AL156=3,AQ$100*EXP(-(LN(2)/$D$65+0.04)*(VLOOKUP(($F$16-$F$15)-1,AK$99:AO156,4,FALSE)))*EXP(-(LN(2)/$D$65+0.1)*(VLOOKUP(($F$16-$F$15)-1,AK$99:AO156,5,FALSE)))*EXP(-(LN(2)/$D$65+0.04)*(VLOOKUP(($F$16-$F$15)*2-1,AK$99:AO156,4,FALSE)))*EXP(-(LN(2)/$D$65+0.1)*(VLOOKUP(($F$16-$F$15)*2-1,AK$99:AO156,5,FALSE)))*EXP(-(LN(2)/$D$65+0.04)*AN156)*EXP(-(LN(2)/$D$65+0.1)*AO156),"-"))),"-")</f>
        <v>-</v>
      </c>
      <c r="AR157" s="271" t="str">
        <f>IFERROR(IF(AL157=1,AR$100*EXP(-(LN(2)/$D$65+0.04)*AN157)*EXP(-(LN(2)/$D$65+0.1)*AO157),IF(AL157=2,AR$100*EXP(-(LN(2)/$D$65+0.04)*(VLOOKUP(($F$16-$F$15)-1,AK$100:AO157,4,FALSE)))*EXP(-(LN(2)/$D$65+0.1)*(VLOOKUP(($F$16-$F$15)-1,AK$100:AO157,5,FALSE)))*EXP(-(LN(2)/$D$65+0.04)*AN157)*EXP(-(LN(2)/$D$65+0.1)*AO157),IF(AL157=3,AR$100*EXP(-(LN(2)/$D$65+0.04)*(VLOOKUP(($F$16-$F$15)-1,AK$100:AO157,4,FALSE)))*EXP(-(LN(2)/$D$65+0.1)*(VLOOKUP(($F$16-$F$15)-1,AK$100:AO157,5,FALSE)))*EXP(-(LN(2)/$D$65+0.04)*(VLOOKUP(($F$16-$F$15)*2-1,AK$100:AO157,4,FALSE)))*EXP(-(LN(2)/$D$65+0.1)*(VLOOKUP(($F$16-$F$15)*2-1,AK$100:AO157,5,FALSE)))*EXP(-(LN(2)/$D$65+0.04)*AN157)*EXP(-(LN(2)/$D$65+0.1)*AO157),"-"))),"-")</f>
        <v>-</v>
      </c>
      <c r="AS157" s="274">
        <f t="shared" si="24"/>
        <v>0</v>
      </c>
      <c r="AT157" s="274">
        <f t="shared" si="25"/>
        <v>0</v>
      </c>
      <c r="AU157" s="274">
        <f t="shared" si="26"/>
        <v>0</v>
      </c>
      <c r="AV157" s="190" t="str">
        <f>IF($B157&lt;$F$22,SUM($T$100:$T157),"")</f>
        <v/>
      </c>
      <c r="AW157" s="190" t="str">
        <f t="shared" si="83"/>
        <v>-</v>
      </c>
      <c r="AX157" s="190" t="str">
        <f t="shared" si="56"/>
        <v/>
      </c>
      <c r="AY157"/>
      <c r="AZ157" s="190" t="str">
        <f ca="1">IF(ISNUMBER(OFFSET(AV157,-$F$21,0)),SUM(OFFSET($T$100,$F$21,0):$T157),"")</f>
        <v/>
      </c>
      <c r="BA157" s="190" t="str">
        <f t="shared" ca="1" si="84"/>
        <v/>
      </c>
      <c r="BB157" s="190" t="str">
        <f t="shared" ca="1" si="70"/>
        <v/>
      </c>
      <c r="BC157" s="190"/>
      <c r="BD157" s="190" t="str">
        <f ca="1">IFERROR(IF(OR(ISNUMBER(I),ISNUMBER($F$14)),IF(AND($B157&gt;=($F$16-$F$15),$B157&lt;$F$22+($F$16-$F$15)),SUM(OFFSET($T$100,($F$16-$F$15),0):$T157),""),""),"")</f>
        <v/>
      </c>
      <c r="BE157" s="190" t="str">
        <f t="shared" ca="1" si="58"/>
        <v/>
      </c>
      <c r="BF157" s="190" t="str">
        <f t="shared" ca="1" si="59"/>
        <v/>
      </c>
      <c r="BG157"/>
      <c r="BH157" s="190" t="str">
        <f ca="1">IF(ISNUMBER(OFFSET(BD157,-$F$21,0)),SUM(OFFSET($T$100,($F$16-$F$15+$F$21),0):$T157),"")</f>
        <v/>
      </c>
      <c r="BI157" s="190" t="str">
        <f t="shared" ca="1" si="85"/>
        <v/>
      </c>
      <c r="BJ157" s="190" t="str">
        <f t="shared" ca="1" si="60"/>
        <v/>
      </c>
      <c r="BK157" s="190"/>
      <c r="BL157" s="190" t="str">
        <f ca="1">IFERROR(IF(OR(ISNUMBER(I),ISNUMBER($F$14)),IF(AND($B157&gt;=($F$17-$F$15),$B157&lt;$F$22+($F$17-$F$15)),SUM(OFFSET($T$100,($F$17-$F$15),0):$T157),""),""),"")</f>
        <v/>
      </c>
      <c r="BM157" s="190" t="str">
        <f t="shared" ca="1" si="86"/>
        <v/>
      </c>
      <c r="BN157" s="190" t="str">
        <f t="shared" ca="1" si="61"/>
        <v/>
      </c>
      <c r="BO157"/>
      <c r="BP157" s="190" t="str">
        <f ca="1">IF(ISNUMBER(OFFSET(BL157,-$F$21,0)),SUM(OFFSET($T$100,($F$17-$F$15+$F$21),0):$T157),"")</f>
        <v/>
      </c>
      <c r="BQ157" s="190" t="str">
        <f t="shared" ca="1" si="87"/>
        <v/>
      </c>
      <c r="BR157" s="190" t="str">
        <f t="shared" ca="1" si="63"/>
        <v/>
      </c>
      <c r="BS157" s="190"/>
      <c r="BT157"/>
      <c r="BU157"/>
      <c r="BV157"/>
      <c r="BY157" s="99"/>
      <c r="BZ157" s="99"/>
      <c r="CA157" s="280" t="str">
        <f t="shared" si="88"/>
        <v/>
      </c>
      <c r="CB157" s="71" t="str">
        <f t="shared" si="31"/>
        <v>-</v>
      </c>
      <c r="CC157" s="33"/>
      <c r="CD157" s="261" t="str">
        <f t="shared" si="33"/>
        <v/>
      </c>
      <c r="CE157" s="280" t="str">
        <f t="shared" si="89"/>
        <v/>
      </c>
      <c r="CF157" s="71" t="str">
        <f t="shared" ca="1" si="90"/>
        <v/>
      </c>
      <c r="CG157" s="33" t="str">
        <f t="shared" si="36"/>
        <v/>
      </c>
      <c r="CH157" s="261" t="str">
        <f t="shared" ca="1" si="37"/>
        <v/>
      </c>
      <c r="CI157" s="202"/>
      <c r="CJ157" s="99"/>
      <c r="CK157" s="99"/>
      <c r="CL157" s="99"/>
      <c r="CM157" s="99"/>
      <c r="CN157" s="99"/>
      <c r="CO157" s="99"/>
    </row>
    <row r="158" spans="2:93" ht="13.5" customHeight="1" x14ac:dyDescent="0.2">
      <c r="B158" s="262">
        <v>58</v>
      </c>
      <c r="C158" s="237" t="str">
        <f t="shared" si="1"/>
        <v/>
      </c>
      <c r="D158" s="237" t="str">
        <f t="shared" si="66"/>
        <v/>
      </c>
      <c r="E158" s="290" t="str">
        <f t="shared" si="38"/>
        <v/>
      </c>
      <c r="F158" s="264" t="str">
        <f t="shared" si="39"/>
        <v/>
      </c>
      <c r="G158" s="291" t="str">
        <f t="shared" si="40"/>
        <v/>
      </c>
      <c r="H158" s="240" t="str">
        <f t="shared" si="71"/>
        <v/>
      </c>
      <c r="I158" s="265" t="str">
        <f t="shared" si="72"/>
        <v/>
      </c>
      <c r="J158" s="265" t="str">
        <f t="shared" si="73"/>
        <v/>
      </c>
      <c r="K158" s="240" t="str">
        <f t="shared" si="74"/>
        <v/>
      </c>
      <c r="L158" s="265" t="str">
        <f t="shared" si="75"/>
        <v/>
      </c>
      <c r="M158" s="265" t="str">
        <f t="shared" si="76"/>
        <v/>
      </c>
      <c r="N158" s="240" t="str">
        <f t="shared" si="77"/>
        <v>-</v>
      </c>
      <c r="O158" s="265" t="str">
        <f t="shared" si="78"/>
        <v>-</v>
      </c>
      <c r="P158" s="265" t="str">
        <f t="shared" si="79"/>
        <v>-</v>
      </c>
      <c r="Q158" s="266" t="str">
        <f t="shared" si="80"/>
        <v>-</v>
      </c>
      <c r="R158" s="267" t="str">
        <f t="shared" si="81"/>
        <v>-</v>
      </c>
      <c r="S158" s="268" t="str">
        <f t="shared" si="82"/>
        <v>-</v>
      </c>
      <c r="T158" s="269" t="str">
        <f t="shared" si="13"/>
        <v/>
      </c>
      <c r="U158" s="221">
        <f t="shared" si="14"/>
        <v>58</v>
      </c>
      <c r="V158" s="220" t="str">
        <f t="shared" si="42"/>
        <v>-</v>
      </c>
      <c r="W158" s="221" t="str">
        <f t="shared" si="43"/>
        <v>-</v>
      </c>
      <c r="X158" s="221" t="str">
        <f t="shared" si="15"/>
        <v>-</v>
      </c>
      <c r="Y158" s="221" t="str">
        <f t="shared" si="16"/>
        <v>-</v>
      </c>
      <c r="Z158" s="270">
        <f t="shared" si="44"/>
        <v>0.1</v>
      </c>
      <c r="AA158" s="271" t="str">
        <f>IFERROR(IF(V157=1,AA$100*EXP(-(LN(2)/$D$65+0.04)*X157)*EXP(-(LN(2)/$D$65+0.1)*Y157),IF(V157=2,AA$100*EXP(-(LN(2)/$D$65+0.04)*(VLOOKUP(($F$16-$F$15)-1,U$99:Y157,4,FALSE)))*EXP(-(LN(2)/$D$65+0.1)*(VLOOKUP(($F$16-$F$15)-1,U$99:Y157,5,FALSE)))*EXP(-(LN(2)/$D$65+0.04)*X157)*EXP(-(LN(2)/$D$65+0.1)*Y157),IF(V157=3,AA$100*EXP(-(LN(2)/$D$65+0.04)*(VLOOKUP(($F$16-$F$15)-1,U$99:Y157,4,FALSE)))*EXP(-(LN(2)/$D$65+0.1)*(VLOOKUP(($F$16-$F$15)-1,U$99:Y157,5,FALSE)))*EXP(-(LN(2)/$D$65+0.04)*(VLOOKUP(($F$16-$F$15)*2-1,U$99:Y157,4,FALSE)))*EXP(-(LN(2)/$D$65+0.1)*(VLOOKUP(($F$16-$F$15)*2-1,U$99:Y157,5,FALSE)))*EXP(-(LN(2)/$D$65+0.04)*X157)*EXP(-(LN(2)/$D$65+0.1)*Y157),"-"))),"-")</f>
        <v>-</v>
      </c>
      <c r="AB158" s="271" t="str">
        <f>IFERROR(IF(V158=1,AB$100*EXP(-(LN(2)/$D$65+0.04)*X158)*EXP(-(LN(2)/$D$65+0.1)*Y158),IF(V158=2,AB$100*EXP(-(LN(2)/$D$65+0.04)*(VLOOKUP(($F$16-$F$15)-1,U$100:Y158,4,FALSE)))*EXP(-(LN(2)/$D$65+0.1)*(VLOOKUP(($F$16-$F$15)-1,U$100:Y158,5,FALSE)))*EXP(-(LN(2)/$D$65+0.04)*X158)*EXP(-(LN(2)/$D$65+0.1)*Y158),IF(V158=3,AB$100*EXP(-(LN(2)/$D$65+0.04)*(VLOOKUP(($F$16-$F$15)-1,U$100:Y158,4,FALSE)))*EXP(-(LN(2)/$D$65+0.1)*(VLOOKUP(($F$16-$F$15)-1,U$100:Y158,5,FALSE)))*EXP(-(LN(2)/$D$65+0.04)*(VLOOKUP(($F$16-$F$15)*2-1,U$100:Y158,4,FALSE)))*EXP(-(LN(2)/$D$65+0.1)*(VLOOKUP(($F$16-$F$15)*2-1,U$100:Y158,5,FALSE)))*EXP(-(LN(2)/$D$65+0.04)*X158)*EXP(-(LN(2)/$D$65+0.1)*Y158),"-"))),"-")</f>
        <v>-</v>
      </c>
      <c r="AC158" s="224">
        <f t="shared" si="45"/>
        <v>58</v>
      </c>
      <c r="AD158" s="223" t="str">
        <f t="shared" si="18"/>
        <v>-</v>
      </c>
      <c r="AE158" s="224" t="str">
        <f t="shared" si="46"/>
        <v>-</v>
      </c>
      <c r="AF158" s="224" t="str">
        <f t="shared" si="19"/>
        <v>-</v>
      </c>
      <c r="AG158" s="224" t="str">
        <f t="shared" si="20"/>
        <v>-</v>
      </c>
      <c r="AH158" s="272">
        <f t="shared" si="47"/>
        <v>0.1</v>
      </c>
      <c r="AI158" s="271" t="str">
        <f>IFERROR(IF(AD157=1,AI$100*EXP(-(LN(2)/$D$65+0.04)*AF157)*EXP(-(LN(2)/$D$65+0.1)*AG157),IF(AD157=2,AI$100*EXP(-(LN(2)/$D$65+0.04)*(VLOOKUP(($F$16-$F$15)-1,AC$99:AG157,4,FALSE)))*EXP(-(LN(2)/$D$65+0.1)*(VLOOKUP(($F$16-$F$15)-1,AC$99:AG157,5,FALSE)))*EXP(-(LN(2)/$D$65+0.04)*AF157)*EXP(-(LN(2)/$D$65+0.1)*AG157),IF(AD157=3,AI$100*EXP(-(LN(2)/$D$65+0.04)*(VLOOKUP(($F$16-$F$15)-1,AC$99:AG157,4,FALSE)))*EXP(-(LN(2)/$D$65+0.1)*(VLOOKUP(($F$16-$F$15)-1,AC$99:AG157,5,FALSE)))*EXP(-(LN(2)/$D$65+0.04)*(VLOOKUP(($F$16-$F$15)*2-1,AC$99:AG157,4,FALSE)))*EXP(-(LN(2)/$D$65+0.1)*(VLOOKUP(($F$16-$F$15)*2-1,AC$99:AG157,5,FALSE)))*EXP(-(LN(2)/$D$65+0.04)*AF157)*EXP(-(LN(2)/$D$65+0.1)*AG157),"-"))),"-")</f>
        <v>-</v>
      </c>
      <c r="AJ158" s="271" t="str">
        <f>IFERROR(IF(AD158=1,AJ$100*EXP(-(LN(2)/$D$65+0.04)*AF158)*EXP(-(LN(2)/$D$65+0.1)*AG158),IF(AD158=2,AJ$100*EXP(-(LN(2)/$D$65+0.04)*(VLOOKUP(($F$16-$F$15)-1,AC$100:AG158,4,FALSE)))*EXP(-(LN(2)/$D$65+0.1)*(VLOOKUP(($F$16-$F$15)-1,AC$100:AG158,5,FALSE)))*EXP(-(LN(2)/$D$65+0.04)*AF158)*EXP(-(LN(2)/$D$65+0.1)*AG158),IF(AD158=3,AJ$100*EXP(-(LN(2)/$D$65+0.04)*(VLOOKUP(($F$16-$F$15)-1,AC$100:AG158,4,FALSE)))*EXP(-(LN(2)/$D$65+0.1)*(VLOOKUP(($F$16-$F$15)-1,AC$100:AG158,5,FALSE)))*EXP(-(LN(2)/$D$65+0.04)*(VLOOKUP(($F$16-$F$15)*2-1,AC$100:AG158,4,FALSE)))*EXP(-(LN(2)/$D$65+0.1)*(VLOOKUP(($F$16-$F$15)*2-1,AC$100:AG158,5,FALSE)))*EXP(-(LN(2)/$D$65+0.04)*AF158)*EXP(-(LN(2)/$D$65+0.1)*AG158),"-"))),"-")</f>
        <v>-</v>
      </c>
      <c r="AK158" s="227">
        <f t="shared" si="49"/>
        <v>58</v>
      </c>
      <c r="AL158" s="226" t="str">
        <f t="shared" si="22"/>
        <v>-</v>
      </c>
      <c r="AM158" s="227" t="str">
        <f t="shared" si="50"/>
        <v>-</v>
      </c>
      <c r="AN158" s="227" t="str">
        <f t="shared" si="51"/>
        <v>-</v>
      </c>
      <c r="AO158" s="227" t="str">
        <f t="shared" si="23"/>
        <v>-</v>
      </c>
      <c r="AP158" s="273">
        <f t="shared" si="52"/>
        <v>0.1</v>
      </c>
      <c r="AQ158" s="271" t="str">
        <f>IFERROR(IF(AL157=1,AQ$100*EXP(-(LN(2)/$D$65+0.04)*AN157)*EXP(-(LN(2)/$D$65+0.1)*AO157),IF(AL157=2,AQ$100*EXP(-(LN(2)/$D$65+0.04)*(VLOOKUP(($F$16-$F$15)-1,AK$99:AO157,4,FALSE)))*EXP(-(LN(2)/$D$65+0.1)*(VLOOKUP(($F$16-$F$15)-1,AK$99:AO157,5,FALSE)))*EXP(-(LN(2)/$D$65+0.04)*AN157)*EXP(-(LN(2)/$D$65+0.1)*AO157),IF(AL157=3,AQ$100*EXP(-(LN(2)/$D$65+0.04)*(VLOOKUP(($F$16-$F$15)-1,AK$99:AO157,4,FALSE)))*EXP(-(LN(2)/$D$65+0.1)*(VLOOKUP(($F$16-$F$15)-1,AK$99:AO157,5,FALSE)))*EXP(-(LN(2)/$D$65+0.04)*(VLOOKUP(($F$16-$F$15)*2-1,AK$99:AO157,4,FALSE)))*EXP(-(LN(2)/$D$65+0.1)*(VLOOKUP(($F$16-$F$15)*2-1,AK$99:AO157,5,FALSE)))*EXP(-(LN(2)/$D$65+0.04)*AN157)*EXP(-(LN(2)/$D$65+0.1)*AO157),"-"))),"-")</f>
        <v>-</v>
      </c>
      <c r="AR158" s="271" t="str">
        <f>IFERROR(IF(AL158=1,AR$100*EXP(-(LN(2)/$D$65+0.04)*AN158)*EXP(-(LN(2)/$D$65+0.1)*AO158),IF(AL158=2,AR$100*EXP(-(LN(2)/$D$65+0.04)*(VLOOKUP(($F$16-$F$15)-1,AK$100:AO158,4,FALSE)))*EXP(-(LN(2)/$D$65+0.1)*(VLOOKUP(($F$16-$F$15)-1,AK$100:AO158,5,FALSE)))*EXP(-(LN(2)/$D$65+0.04)*AN158)*EXP(-(LN(2)/$D$65+0.1)*AO158),IF(AL158=3,AR$100*EXP(-(LN(2)/$D$65+0.04)*(VLOOKUP(($F$16-$F$15)-1,AK$100:AO158,4,FALSE)))*EXP(-(LN(2)/$D$65+0.1)*(VLOOKUP(($F$16-$F$15)-1,AK$100:AO158,5,FALSE)))*EXP(-(LN(2)/$D$65+0.04)*(VLOOKUP(($F$16-$F$15)*2-1,AK$100:AO158,4,FALSE)))*EXP(-(LN(2)/$D$65+0.1)*(VLOOKUP(($F$16-$F$15)*2-1,AK$100:AO158,5,FALSE)))*EXP(-(LN(2)/$D$65+0.04)*AN158)*EXP(-(LN(2)/$D$65+0.1)*AO158),"-"))),"-")</f>
        <v>-</v>
      </c>
      <c r="AS158" s="274">
        <f t="shared" si="24"/>
        <v>0</v>
      </c>
      <c r="AT158" s="274">
        <f t="shared" si="25"/>
        <v>0</v>
      </c>
      <c r="AU158" s="274">
        <f t="shared" si="26"/>
        <v>0</v>
      </c>
      <c r="AV158" s="190" t="str">
        <f>IF($B158&lt;$F$22,SUM($T$100:$T158),"")</f>
        <v/>
      </c>
      <c r="AW158" s="190" t="str">
        <f t="shared" si="83"/>
        <v>-</v>
      </c>
      <c r="AX158" s="190" t="str">
        <f t="shared" si="56"/>
        <v/>
      </c>
      <c r="AY158"/>
      <c r="AZ158" s="190" t="str">
        <f ca="1">IF(ISNUMBER(OFFSET(AV158,-$F$21,0)),SUM(OFFSET($T$100,$F$21,0):$T158),"")</f>
        <v/>
      </c>
      <c r="BA158" s="190" t="str">
        <f t="shared" ca="1" si="84"/>
        <v/>
      </c>
      <c r="BB158" s="190" t="str">
        <f t="shared" ca="1" si="70"/>
        <v/>
      </c>
      <c r="BC158" s="190"/>
      <c r="BD158" s="190" t="str">
        <f ca="1">IFERROR(IF(OR(ISNUMBER(I),ISNUMBER($F$14)),IF(AND($B158&gt;=($F$16-$F$15),$B158&lt;$F$22+($F$16-$F$15)),SUM(OFFSET($T$100,($F$16-$F$15),0):$T158),""),""),"")</f>
        <v/>
      </c>
      <c r="BE158" s="190" t="str">
        <f t="shared" ca="1" si="58"/>
        <v/>
      </c>
      <c r="BF158" s="190" t="str">
        <f t="shared" ca="1" si="59"/>
        <v/>
      </c>
      <c r="BG158"/>
      <c r="BH158" s="190" t="str">
        <f ca="1">IF(ISNUMBER(OFFSET(BD158,-$F$21,0)),SUM(OFFSET($T$100,($F$16-$F$15+$F$21),0):$T158),"")</f>
        <v/>
      </c>
      <c r="BI158" s="190" t="str">
        <f t="shared" ca="1" si="85"/>
        <v/>
      </c>
      <c r="BJ158" s="190" t="str">
        <f t="shared" ca="1" si="60"/>
        <v/>
      </c>
      <c r="BK158" s="190"/>
      <c r="BL158" s="190" t="str">
        <f ca="1">IFERROR(IF(OR(ISNUMBER(I),ISNUMBER($F$14)),IF(AND($B158&gt;=($F$17-$F$15),$B158&lt;$F$22+($F$17-$F$15)),SUM(OFFSET($T$100,($F$17-$F$15),0):$T158),""),""),"")</f>
        <v/>
      </c>
      <c r="BM158" s="190" t="str">
        <f t="shared" ca="1" si="86"/>
        <v/>
      </c>
      <c r="BN158" s="190" t="str">
        <f t="shared" ca="1" si="61"/>
        <v/>
      </c>
      <c r="BO158"/>
      <c r="BP158" s="190" t="str">
        <f ca="1">IF(ISNUMBER(OFFSET(BL158,-$F$21,0)),SUM(OFFSET($T$100,($F$17-$F$15+$F$21),0):$T158),"")</f>
        <v/>
      </c>
      <c r="BQ158" s="190" t="str">
        <f t="shared" ca="1" si="87"/>
        <v/>
      </c>
      <c r="BR158" s="190" t="str">
        <f t="shared" ca="1" si="63"/>
        <v/>
      </c>
      <c r="BS158" s="190"/>
      <c r="BT158"/>
      <c r="BU158"/>
      <c r="BV158"/>
      <c r="BY158" s="99"/>
      <c r="BZ158" s="99"/>
      <c r="CA158" s="280" t="str">
        <f t="shared" si="88"/>
        <v/>
      </c>
      <c r="CB158" s="71" t="str">
        <f t="shared" si="31"/>
        <v>-</v>
      </c>
      <c r="CC158" s="33"/>
      <c r="CD158" s="261" t="str">
        <f t="shared" si="33"/>
        <v/>
      </c>
      <c r="CE158" s="280" t="str">
        <f t="shared" si="89"/>
        <v/>
      </c>
      <c r="CF158" s="71" t="str">
        <f t="shared" ca="1" si="90"/>
        <v/>
      </c>
      <c r="CG158" s="33" t="str">
        <f t="shared" si="36"/>
        <v/>
      </c>
      <c r="CH158" s="261" t="str">
        <f t="shared" ca="1" si="37"/>
        <v/>
      </c>
      <c r="CI158" s="202"/>
      <c r="CJ158" s="99"/>
      <c r="CK158" s="99"/>
      <c r="CL158" s="99"/>
      <c r="CM158" s="99"/>
      <c r="CN158" s="99"/>
      <c r="CO158" s="99"/>
    </row>
    <row r="159" spans="2:93" ht="13.5" customHeight="1" x14ac:dyDescent="0.2">
      <c r="B159" s="262">
        <v>59</v>
      </c>
      <c r="C159" s="237" t="str">
        <f t="shared" si="1"/>
        <v/>
      </c>
      <c r="D159" s="237" t="str">
        <f t="shared" si="66"/>
        <v/>
      </c>
      <c r="E159" s="290" t="str">
        <f t="shared" si="38"/>
        <v/>
      </c>
      <c r="F159" s="264" t="str">
        <f t="shared" si="39"/>
        <v/>
      </c>
      <c r="G159" s="291" t="str">
        <f t="shared" si="40"/>
        <v/>
      </c>
      <c r="H159" s="240" t="str">
        <f t="shared" si="71"/>
        <v/>
      </c>
      <c r="I159" s="265" t="str">
        <f t="shared" si="72"/>
        <v/>
      </c>
      <c r="J159" s="265" t="str">
        <f t="shared" si="73"/>
        <v/>
      </c>
      <c r="K159" s="240" t="str">
        <f t="shared" si="74"/>
        <v/>
      </c>
      <c r="L159" s="265" t="str">
        <f t="shared" si="75"/>
        <v/>
      </c>
      <c r="M159" s="265" t="str">
        <f t="shared" si="76"/>
        <v/>
      </c>
      <c r="N159" s="240" t="str">
        <f t="shared" si="77"/>
        <v>-</v>
      </c>
      <c r="O159" s="265" t="str">
        <f t="shared" si="78"/>
        <v>-</v>
      </c>
      <c r="P159" s="265" t="str">
        <f t="shared" si="79"/>
        <v>-</v>
      </c>
      <c r="Q159" s="266" t="str">
        <f t="shared" si="80"/>
        <v>-</v>
      </c>
      <c r="R159" s="267" t="str">
        <f t="shared" si="81"/>
        <v>-</v>
      </c>
      <c r="S159" s="268" t="str">
        <f t="shared" si="82"/>
        <v>-</v>
      </c>
      <c r="T159" s="269" t="str">
        <f t="shared" si="13"/>
        <v/>
      </c>
      <c r="U159" s="221">
        <f t="shared" si="14"/>
        <v>59</v>
      </c>
      <c r="V159" s="220" t="str">
        <f t="shared" si="42"/>
        <v>-</v>
      </c>
      <c r="W159" s="221" t="str">
        <f t="shared" si="43"/>
        <v>-</v>
      </c>
      <c r="X159" s="221" t="str">
        <f t="shared" si="15"/>
        <v>-</v>
      </c>
      <c r="Y159" s="221" t="str">
        <f t="shared" si="16"/>
        <v>-</v>
      </c>
      <c r="Z159" s="270">
        <f t="shared" si="44"/>
        <v>0.1</v>
      </c>
      <c r="AA159" s="271" t="str">
        <f>IFERROR(IF(V158=1,AA$100*EXP(-(LN(2)/$D$65+0.04)*X158)*EXP(-(LN(2)/$D$65+0.1)*Y158),IF(V158=2,AA$100*EXP(-(LN(2)/$D$65+0.04)*(VLOOKUP(($F$16-$F$15)-1,U$99:Y158,4,FALSE)))*EXP(-(LN(2)/$D$65+0.1)*(VLOOKUP(($F$16-$F$15)-1,U$99:Y158,5,FALSE)))*EXP(-(LN(2)/$D$65+0.04)*X158)*EXP(-(LN(2)/$D$65+0.1)*Y158),IF(V158=3,AA$100*EXP(-(LN(2)/$D$65+0.04)*(VLOOKUP(($F$16-$F$15)-1,U$99:Y158,4,FALSE)))*EXP(-(LN(2)/$D$65+0.1)*(VLOOKUP(($F$16-$F$15)-1,U$99:Y158,5,FALSE)))*EXP(-(LN(2)/$D$65+0.04)*(VLOOKUP(($F$16-$F$15)*2-1,U$99:Y158,4,FALSE)))*EXP(-(LN(2)/$D$65+0.1)*(VLOOKUP(($F$16-$F$15)*2-1,U$99:Y158,5,FALSE)))*EXP(-(LN(2)/$D$65+0.04)*X158)*EXP(-(LN(2)/$D$65+0.1)*Y158),"-"))),"-")</f>
        <v>-</v>
      </c>
      <c r="AB159" s="271" t="str">
        <f>IFERROR(IF(V159=1,AB$100*EXP(-(LN(2)/$D$65+0.04)*X159)*EXP(-(LN(2)/$D$65+0.1)*Y159),IF(V159=2,AB$100*EXP(-(LN(2)/$D$65+0.04)*(VLOOKUP(($F$16-$F$15)-1,U$100:Y159,4,FALSE)))*EXP(-(LN(2)/$D$65+0.1)*(VLOOKUP(($F$16-$F$15)-1,U$100:Y159,5,FALSE)))*EXP(-(LN(2)/$D$65+0.04)*X159)*EXP(-(LN(2)/$D$65+0.1)*Y159),IF(V159=3,AB$100*EXP(-(LN(2)/$D$65+0.04)*(VLOOKUP(($F$16-$F$15)-1,U$100:Y159,4,FALSE)))*EXP(-(LN(2)/$D$65+0.1)*(VLOOKUP(($F$16-$F$15)-1,U$100:Y159,5,FALSE)))*EXP(-(LN(2)/$D$65+0.04)*(VLOOKUP(($F$16-$F$15)*2-1,U$100:Y159,4,FALSE)))*EXP(-(LN(2)/$D$65+0.1)*(VLOOKUP(($F$16-$F$15)*2-1,U$100:Y159,5,FALSE)))*EXP(-(LN(2)/$D$65+0.04)*X159)*EXP(-(LN(2)/$D$65+0.1)*Y159),"-"))),"-")</f>
        <v>-</v>
      </c>
      <c r="AC159" s="224">
        <f t="shared" si="45"/>
        <v>59</v>
      </c>
      <c r="AD159" s="223" t="str">
        <f t="shared" si="18"/>
        <v>-</v>
      </c>
      <c r="AE159" s="224" t="str">
        <f t="shared" si="46"/>
        <v>-</v>
      </c>
      <c r="AF159" s="224" t="str">
        <f t="shared" si="19"/>
        <v>-</v>
      </c>
      <c r="AG159" s="224" t="str">
        <f t="shared" si="20"/>
        <v>-</v>
      </c>
      <c r="AH159" s="272">
        <f t="shared" si="47"/>
        <v>0.1</v>
      </c>
      <c r="AI159" s="271" t="str">
        <f>IFERROR(IF(AD158=1,AI$100*EXP(-(LN(2)/$D$65+0.04)*AF158)*EXP(-(LN(2)/$D$65+0.1)*AG158),IF(AD158=2,AI$100*EXP(-(LN(2)/$D$65+0.04)*(VLOOKUP(($F$16-$F$15)-1,AC$99:AG158,4,FALSE)))*EXP(-(LN(2)/$D$65+0.1)*(VLOOKUP(($F$16-$F$15)-1,AC$99:AG158,5,FALSE)))*EXP(-(LN(2)/$D$65+0.04)*AF158)*EXP(-(LN(2)/$D$65+0.1)*AG158),IF(AD158=3,AI$100*EXP(-(LN(2)/$D$65+0.04)*(VLOOKUP(($F$16-$F$15)-1,AC$99:AG158,4,FALSE)))*EXP(-(LN(2)/$D$65+0.1)*(VLOOKUP(($F$16-$F$15)-1,AC$99:AG158,5,FALSE)))*EXP(-(LN(2)/$D$65+0.04)*(VLOOKUP(($F$16-$F$15)*2-1,AC$99:AG158,4,FALSE)))*EXP(-(LN(2)/$D$65+0.1)*(VLOOKUP(($F$16-$F$15)*2-1,AC$99:AG158,5,FALSE)))*EXP(-(LN(2)/$D$65+0.04)*AF158)*EXP(-(LN(2)/$D$65+0.1)*AG158),"-"))),"-")</f>
        <v>-</v>
      </c>
      <c r="AJ159" s="271" t="str">
        <f>IFERROR(IF(AD159=1,AJ$100*EXP(-(LN(2)/$D$65+0.04)*AF159)*EXP(-(LN(2)/$D$65+0.1)*AG159),IF(AD159=2,AJ$100*EXP(-(LN(2)/$D$65+0.04)*(VLOOKUP(($F$16-$F$15)-1,AC$100:AG159,4,FALSE)))*EXP(-(LN(2)/$D$65+0.1)*(VLOOKUP(($F$16-$F$15)-1,AC$100:AG159,5,FALSE)))*EXP(-(LN(2)/$D$65+0.04)*AF159)*EXP(-(LN(2)/$D$65+0.1)*AG159),IF(AD159=3,AJ$100*EXP(-(LN(2)/$D$65+0.04)*(VLOOKUP(($F$16-$F$15)-1,AC$100:AG159,4,FALSE)))*EXP(-(LN(2)/$D$65+0.1)*(VLOOKUP(($F$16-$F$15)-1,AC$100:AG159,5,FALSE)))*EXP(-(LN(2)/$D$65+0.04)*(VLOOKUP(($F$16-$F$15)*2-1,AC$100:AG159,4,FALSE)))*EXP(-(LN(2)/$D$65+0.1)*(VLOOKUP(($F$16-$F$15)*2-1,AC$100:AG159,5,FALSE)))*EXP(-(LN(2)/$D$65+0.04)*AF159)*EXP(-(LN(2)/$D$65+0.1)*AG159),"-"))),"-")</f>
        <v>-</v>
      </c>
      <c r="AK159" s="227">
        <f t="shared" si="49"/>
        <v>59</v>
      </c>
      <c r="AL159" s="226" t="str">
        <f t="shared" si="22"/>
        <v>-</v>
      </c>
      <c r="AM159" s="227" t="str">
        <f t="shared" si="50"/>
        <v>-</v>
      </c>
      <c r="AN159" s="227" t="str">
        <f t="shared" si="51"/>
        <v>-</v>
      </c>
      <c r="AO159" s="227" t="str">
        <f t="shared" si="23"/>
        <v>-</v>
      </c>
      <c r="AP159" s="273">
        <f t="shared" si="52"/>
        <v>0.1</v>
      </c>
      <c r="AQ159" s="271" t="str">
        <f>IFERROR(IF(AL158=1,AQ$100*EXP(-(LN(2)/$D$65+0.04)*AN158)*EXP(-(LN(2)/$D$65+0.1)*AO158),IF(AL158=2,AQ$100*EXP(-(LN(2)/$D$65+0.04)*(VLOOKUP(($F$16-$F$15)-1,AK$99:AO158,4,FALSE)))*EXP(-(LN(2)/$D$65+0.1)*(VLOOKUP(($F$16-$F$15)-1,AK$99:AO158,5,FALSE)))*EXP(-(LN(2)/$D$65+0.04)*AN158)*EXP(-(LN(2)/$D$65+0.1)*AO158),IF(AL158=3,AQ$100*EXP(-(LN(2)/$D$65+0.04)*(VLOOKUP(($F$16-$F$15)-1,AK$99:AO158,4,FALSE)))*EXP(-(LN(2)/$D$65+0.1)*(VLOOKUP(($F$16-$F$15)-1,AK$99:AO158,5,FALSE)))*EXP(-(LN(2)/$D$65+0.04)*(VLOOKUP(($F$16-$F$15)*2-1,AK$99:AO158,4,FALSE)))*EXP(-(LN(2)/$D$65+0.1)*(VLOOKUP(($F$16-$F$15)*2-1,AK$99:AO158,5,FALSE)))*EXP(-(LN(2)/$D$65+0.04)*AN158)*EXP(-(LN(2)/$D$65+0.1)*AO158),"-"))),"-")</f>
        <v>-</v>
      </c>
      <c r="AR159" s="271" t="str">
        <f>IFERROR(IF(AL159=1,AR$100*EXP(-(LN(2)/$D$65+0.04)*AN159)*EXP(-(LN(2)/$D$65+0.1)*AO159),IF(AL159=2,AR$100*EXP(-(LN(2)/$D$65+0.04)*(VLOOKUP(($F$16-$F$15)-1,AK$100:AO159,4,FALSE)))*EXP(-(LN(2)/$D$65+0.1)*(VLOOKUP(($F$16-$F$15)-1,AK$100:AO159,5,FALSE)))*EXP(-(LN(2)/$D$65+0.04)*AN159)*EXP(-(LN(2)/$D$65+0.1)*AO159),IF(AL159=3,AR$100*EXP(-(LN(2)/$D$65+0.04)*(VLOOKUP(($F$16-$F$15)-1,AK$100:AO159,4,FALSE)))*EXP(-(LN(2)/$D$65+0.1)*(VLOOKUP(($F$16-$F$15)-1,AK$100:AO159,5,FALSE)))*EXP(-(LN(2)/$D$65+0.04)*(VLOOKUP(($F$16-$F$15)*2-1,AK$100:AO159,4,FALSE)))*EXP(-(LN(2)/$D$65+0.1)*(VLOOKUP(($F$16-$F$15)*2-1,AK$100:AO159,5,FALSE)))*EXP(-(LN(2)/$D$65+0.04)*AN159)*EXP(-(LN(2)/$D$65+0.1)*AO159),"-"))),"-")</f>
        <v>-</v>
      </c>
      <c r="AS159" s="274">
        <f t="shared" si="24"/>
        <v>0</v>
      </c>
      <c r="AT159" s="274">
        <f t="shared" si="25"/>
        <v>0</v>
      </c>
      <c r="AU159" s="274">
        <f t="shared" si="26"/>
        <v>0</v>
      </c>
      <c r="AV159" s="190" t="str">
        <f>IF($B159&lt;$F$22,SUM($T$100:$T159),"")</f>
        <v/>
      </c>
      <c r="AW159" s="190" t="str">
        <f t="shared" si="83"/>
        <v>-</v>
      </c>
      <c r="AX159" s="190" t="str">
        <f t="shared" si="56"/>
        <v/>
      </c>
      <c r="AY159"/>
      <c r="AZ159" s="190" t="str">
        <f ca="1">IF(ISNUMBER(OFFSET(AV159,-$F$21,0)),SUM(OFFSET($T$100,$F$21,0):$T159),"")</f>
        <v/>
      </c>
      <c r="BA159" s="190" t="str">
        <f t="shared" ca="1" si="84"/>
        <v/>
      </c>
      <c r="BB159" s="190" t="str">
        <f t="shared" ca="1" si="70"/>
        <v/>
      </c>
      <c r="BC159" s="190"/>
      <c r="BD159" s="190" t="str">
        <f ca="1">IFERROR(IF(OR(ISNUMBER(I),ISNUMBER($F$14)),IF(AND($B159&gt;=($F$16-$F$15),$B159&lt;$F$22+($F$16-$F$15)),SUM(OFFSET($T$100,($F$16-$F$15),0):$T159),""),""),"")</f>
        <v/>
      </c>
      <c r="BE159" s="190" t="str">
        <f t="shared" ca="1" si="58"/>
        <v/>
      </c>
      <c r="BF159" s="190" t="str">
        <f t="shared" ca="1" si="59"/>
        <v/>
      </c>
      <c r="BG159"/>
      <c r="BH159" s="190" t="str">
        <f ca="1">IF(ISNUMBER(OFFSET(BD159,-$F$21,0)),SUM(OFFSET($T$100,($F$16-$F$15+$F$21),0):$T159),"")</f>
        <v/>
      </c>
      <c r="BI159" s="190" t="str">
        <f t="shared" ca="1" si="85"/>
        <v/>
      </c>
      <c r="BJ159" s="190" t="str">
        <f t="shared" ca="1" si="60"/>
        <v/>
      </c>
      <c r="BK159" s="190"/>
      <c r="BL159" s="190" t="str">
        <f ca="1">IFERROR(IF(OR(ISNUMBER(I),ISNUMBER($F$14)),IF(AND($B159&gt;=($F$17-$F$15),$B159&lt;$F$22+($F$17-$F$15)),SUM(OFFSET($T$100,($F$17-$F$15),0):$T159),""),""),"")</f>
        <v/>
      </c>
      <c r="BM159" s="190" t="str">
        <f t="shared" ca="1" si="86"/>
        <v/>
      </c>
      <c r="BN159" s="190" t="str">
        <f t="shared" ca="1" si="61"/>
        <v/>
      </c>
      <c r="BO159"/>
      <c r="BP159" s="190" t="str">
        <f ca="1">IF(ISNUMBER(OFFSET(BL159,-$F$21,0)),SUM(OFFSET($T$100,($F$17-$F$15+$F$21),0):$T159),"")</f>
        <v/>
      </c>
      <c r="BQ159" s="190" t="str">
        <f t="shared" ca="1" si="87"/>
        <v/>
      </c>
      <c r="BR159" s="190" t="str">
        <f t="shared" ca="1" si="63"/>
        <v/>
      </c>
      <c r="BS159" s="190"/>
      <c r="BT159"/>
      <c r="BU159"/>
      <c r="BV159"/>
      <c r="BY159" s="99"/>
      <c r="BZ159" s="99"/>
      <c r="CA159" s="280" t="str">
        <f t="shared" si="88"/>
        <v/>
      </c>
      <c r="CB159" s="71" t="str">
        <f t="shared" si="31"/>
        <v>-</v>
      </c>
      <c r="CC159" s="33"/>
      <c r="CD159" s="261" t="str">
        <f t="shared" si="33"/>
        <v/>
      </c>
      <c r="CE159" s="280" t="str">
        <f t="shared" si="89"/>
        <v/>
      </c>
      <c r="CF159" s="71" t="str">
        <f t="shared" ca="1" si="90"/>
        <v/>
      </c>
      <c r="CG159" s="33" t="str">
        <f t="shared" si="36"/>
        <v/>
      </c>
      <c r="CH159" s="261" t="str">
        <f t="shared" ca="1" si="37"/>
        <v/>
      </c>
      <c r="CI159" s="202"/>
      <c r="CJ159" s="99"/>
      <c r="CK159" s="99"/>
      <c r="CL159" s="99"/>
      <c r="CM159" s="99"/>
      <c r="CN159" s="99"/>
      <c r="CO159" s="99"/>
    </row>
    <row r="160" spans="2:93" ht="13.5" customHeight="1" x14ac:dyDescent="0.2">
      <c r="B160" s="262">
        <v>60</v>
      </c>
      <c r="C160" s="237" t="str">
        <f t="shared" si="1"/>
        <v/>
      </c>
      <c r="D160" s="237" t="str">
        <f t="shared" si="66"/>
        <v/>
      </c>
      <c r="E160" s="290" t="str">
        <f t="shared" si="38"/>
        <v/>
      </c>
      <c r="F160" s="264" t="str">
        <f t="shared" si="39"/>
        <v/>
      </c>
      <c r="G160" s="291" t="str">
        <f t="shared" si="40"/>
        <v/>
      </c>
      <c r="H160" s="240" t="str">
        <f t="shared" si="71"/>
        <v/>
      </c>
      <c r="I160" s="265" t="str">
        <f t="shared" si="72"/>
        <v/>
      </c>
      <c r="J160" s="265" t="str">
        <f t="shared" si="73"/>
        <v/>
      </c>
      <c r="K160" s="240" t="str">
        <f t="shared" si="74"/>
        <v/>
      </c>
      <c r="L160" s="265" t="str">
        <f t="shared" si="75"/>
        <v/>
      </c>
      <c r="M160" s="265" t="str">
        <f t="shared" si="76"/>
        <v/>
      </c>
      <c r="N160" s="240" t="str">
        <f t="shared" si="77"/>
        <v>-</v>
      </c>
      <c r="O160" s="265" t="str">
        <f t="shared" si="78"/>
        <v>-</v>
      </c>
      <c r="P160" s="265" t="str">
        <f t="shared" si="79"/>
        <v>-</v>
      </c>
      <c r="Q160" s="266" t="str">
        <f t="shared" si="80"/>
        <v>-</v>
      </c>
      <c r="R160" s="267" t="str">
        <f t="shared" si="81"/>
        <v>-</v>
      </c>
      <c r="S160" s="268" t="str">
        <f t="shared" si="82"/>
        <v>-</v>
      </c>
      <c r="T160" s="269" t="str">
        <f t="shared" si="13"/>
        <v/>
      </c>
      <c r="U160" s="221">
        <f t="shared" si="14"/>
        <v>60</v>
      </c>
      <c r="V160" s="220" t="str">
        <f t="shared" si="42"/>
        <v>-</v>
      </c>
      <c r="W160" s="221" t="str">
        <f t="shared" si="43"/>
        <v>-</v>
      </c>
      <c r="X160" s="221" t="str">
        <f t="shared" si="15"/>
        <v>-</v>
      </c>
      <c r="Y160" s="221" t="str">
        <f t="shared" si="16"/>
        <v>-</v>
      </c>
      <c r="Z160" s="270">
        <f t="shared" si="44"/>
        <v>0.1</v>
      </c>
      <c r="AA160" s="271" t="str">
        <f>IFERROR(IF(V159=1,AA$100*EXP(-(LN(2)/$D$65+0.04)*X159)*EXP(-(LN(2)/$D$65+0.1)*Y159),IF(V159=2,AA$100*EXP(-(LN(2)/$D$65+0.04)*(VLOOKUP(($F$16-$F$15)-1,U$99:Y159,4,FALSE)))*EXP(-(LN(2)/$D$65+0.1)*(VLOOKUP(($F$16-$F$15)-1,U$99:Y159,5,FALSE)))*EXP(-(LN(2)/$D$65+0.04)*X159)*EXP(-(LN(2)/$D$65+0.1)*Y159),IF(V159=3,AA$100*EXP(-(LN(2)/$D$65+0.04)*(VLOOKUP(($F$16-$F$15)-1,U$99:Y159,4,FALSE)))*EXP(-(LN(2)/$D$65+0.1)*(VLOOKUP(($F$16-$F$15)-1,U$99:Y159,5,FALSE)))*EXP(-(LN(2)/$D$65+0.04)*(VLOOKUP(($F$16-$F$15)*2-1,U$99:Y159,4,FALSE)))*EXP(-(LN(2)/$D$65+0.1)*(VLOOKUP(($F$16-$F$15)*2-1,U$99:Y159,5,FALSE)))*EXP(-(LN(2)/$D$65+0.04)*X159)*EXP(-(LN(2)/$D$65+0.1)*Y159),"-"))),"-")</f>
        <v>-</v>
      </c>
      <c r="AB160" s="271" t="str">
        <f>IFERROR(IF(V160=1,AB$100*EXP(-(LN(2)/$D$65+0.04)*X160)*EXP(-(LN(2)/$D$65+0.1)*Y160),IF(V160=2,AB$100*EXP(-(LN(2)/$D$65+0.04)*(VLOOKUP(($F$16-$F$15)-1,U$100:Y160,4,FALSE)))*EXP(-(LN(2)/$D$65+0.1)*(VLOOKUP(($F$16-$F$15)-1,U$100:Y160,5,FALSE)))*EXP(-(LN(2)/$D$65+0.04)*X160)*EXP(-(LN(2)/$D$65+0.1)*Y160),IF(V160=3,AB$100*EXP(-(LN(2)/$D$65+0.04)*(VLOOKUP(($F$16-$F$15)-1,U$100:Y160,4,FALSE)))*EXP(-(LN(2)/$D$65+0.1)*(VLOOKUP(($F$16-$F$15)-1,U$100:Y160,5,FALSE)))*EXP(-(LN(2)/$D$65+0.04)*(VLOOKUP(($F$16-$F$15)*2-1,U$100:Y160,4,FALSE)))*EXP(-(LN(2)/$D$65+0.1)*(VLOOKUP(($F$16-$F$15)*2-1,U$100:Y160,5,FALSE)))*EXP(-(LN(2)/$D$65+0.04)*X160)*EXP(-(LN(2)/$D$65+0.1)*Y160),"-"))),"-")</f>
        <v>-</v>
      </c>
      <c r="AC160" s="224">
        <f t="shared" si="45"/>
        <v>60</v>
      </c>
      <c r="AD160" s="223" t="str">
        <f t="shared" si="18"/>
        <v>-</v>
      </c>
      <c r="AE160" s="224" t="str">
        <f t="shared" si="46"/>
        <v>-</v>
      </c>
      <c r="AF160" s="224" t="str">
        <f t="shared" si="19"/>
        <v>-</v>
      </c>
      <c r="AG160" s="224" t="str">
        <f t="shared" si="20"/>
        <v>-</v>
      </c>
      <c r="AH160" s="272">
        <f t="shared" si="47"/>
        <v>0.1</v>
      </c>
      <c r="AI160" s="271" t="str">
        <f>IFERROR(IF(AD159=1,AI$100*EXP(-(LN(2)/$D$65+0.04)*AF159)*EXP(-(LN(2)/$D$65+0.1)*AG159),IF(AD159=2,AI$100*EXP(-(LN(2)/$D$65+0.04)*(VLOOKUP(($F$16-$F$15)-1,AC$99:AG159,4,FALSE)))*EXP(-(LN(2)/$D$65+0.1)*(VLOOKUP(($F$16-$F$15)-1,AC$99:AG159,5,FALSE)))*EXP(-(LN(2)/$D$65+0.04)*AF159)*EXP(-(LN(2)/$D$65+0.1)*AG159),IF(AD159=3,AI$100*EXP(-(LN(2)/$D$65+0.04)*(VLOOKUP(($F$16-$F$15)-1,AC$99:AG159,4,FALSE)))*EXP(-(LN(2)/$D$65+0.1)*(VLOOKUP(($F$16-$F$15)-1,AC$99:AG159,5,FALSE)))*EXP(-(LN(2)/$D$65+0.04)*(VLOOKUP(($F$16-$F$15)*2-1,AC$99:AG159,4,FALSE)))*EXP(-(LN(2)/$D$65+0.1)*(VLOOKUP(($F$16-$F$15)*2-1,AC$99:AG159,5,FALSE)))*EXP(-(LN(2)/$D$65+0.04)*AF159)*EXP(-(LN(2)/$D$65+0.1)*AG159),"-"))),"-")</f>
        <v>-</v>
      </c>
      <c r="AJ160" s="271" t="str">
        <f>IFERROR(IF(AD160=1,AJ$100*EXP(-(LN(2)/$D$65+0.04)*AF160)*EXP(-(LN(2)/$D$65+0.1)*AG160),IF(AD160=2,AJ$100*EXP(-(LN(2)/$D$65+0.04)*(VLOOKUP(($F$16-$F$15)-1,AC$100:AG160,4,FALSE)))*EXP(-(LN(2)/$D$65+0.1)*(VLOOKUP(($F$16-$F$15)-1,AC$100:AG160,5,FALSE)))*EXP(-(LN(2)/$D$65+0.04)*AF160)*EXP(-(LN(2)/$D$65+0.1)*AG160),IF(AD160=3,AJ$100*EXP(-(LN(2)/$D$65+0.04)*(VLOOKUP(($F$16-$F$15)-1,AC$100:AG160,4,FALSE)))*EXP(-(LN(2)/$D$65+0.1)*(VLOOKUP(($F$16-$F$15)-1,AC$100:AG160,5,FALSE)))*EXP(-(LN(2)/$D$65+0.04)*(VLOOKUP(($F$16-$F$15)*2-1,AC$100:AG160,4,FALSE)))*EXP(-(LN(2)/$D$65+0.1)*(VLOOKUP(($F$16-$F$15)*2-1,AC$100:AG160,5,FALSE)))*EXP(-(LN(2)/$D$65+0.04)*AF160)*EXP(-(LN(2)/$D$65+0.1)*AG160),"-"))),"-")</f>
        <v>-</v>
      </c>
      <c r="AK160" s="227">
        <f t="shared" si="49"/>
        <v>60</v>
      </c>
      <c r="AL160" s="226" t="str">
        <f t="shared" si="22"/>
        <v>-</v>
      </c>
      <c r="AM160" s="227" t="str">
        <f t="shared" si="50"/>
        <v>-</v>
      </c>
      <c r="AN160" s="227" t="str">
        <f t="shared" si="51"/>
        <v>-</v>
      </c>
      <c r="AO160" s="227" t="str">
        <f t="shared" si="23"/>
        <v>-</v>
      </c>
      <c r="AP160" s="273">
        <f t="shared" si="52"/>
        <v>0.1</v>
      </c>
      <c r="AQ160" s="271" t="str">
        <f>IFERROR(IF(AL159=1,AQ$100*EXP(-(LN(2)/$D$65+0.04)*AN159)*EXP(-(LN(2)/$D$65+0.1)*AO159),IF(AL159=2,AQ$100*EXP(-(LN(2)/$D$65+0.04)*(VLOOKUP(($F$16-$F$15)-1,AK$99:AO159,4,FALSE)))*EXP(-(LN(2)/$D$65+0.1)*(VLOOKUP(($F$16-$F$15)-1,AK$99:AO159,5,FALSE)))*EXP(-(LN(2)/$D$65+0.04)*AN159)*EXP(-(LN(2)/$D$65+0.1)*AO159),IF(AL159=3,AQ$100*EXP(-(LN(2)/$D$65+0.04)*(VLOOKUP(($F$16-$F$15)-1,AK$99:AO159,4,FALSE)))*EXP(-(LN(2)/$D$65+0.1)*(VLOOKUP(($F$16-$F$15)-1,AK$99:AO159,5,FALSE)))*EXP(-(LN(2)/$D$65+0.04)*(VLOOKUP(($F$16-$F$15)*2-1,AK$99:AO159,4,FALSE)))*EXP(-(LN(2)/$D$65+0.1)*(VLOOKUP(($F$16-$F$15)*2-1,AK$99:AO159,5,FALSE)))*EXP(-(LN(2)/$D$65+0.04)*AN159)*EXP(-(LN(2)/$D$65+0.1)*AO159),"-"))),"-")</f>
        <v>-</v>
      </c>
      <c r="AR160" s="271" t="str">
        <f>IFERROR(IF(AL160=1,AR$100*EXP(-(LN(2)/$D$65+0.04)*AN160)*EXP(-(LN(2)/$D$65+0.1)*AO160),IF(AL160=2,AR$100*EXP(-(LN(2)/$D$65+0.04)*(VLOOKUP(($F$16-$F$15)-1,AK$100:AO160,4,FALSE)))*EXP(-(LN(2)/$D$65+0.1)*(VLOOKUP(($F$16-$F$15)-1,AK$100:AO160,5,FALSE)))*EXP(-(LN(2)/$D$65+0.04)*AN160)*EXP(-(LN(2)/$D$65+0.1)*AO160),IF(AL160=3,AR$100*EXP(-(LN(2)/$D$65+0.04)*(VLOOKUP(($F$16-$F$15)-1,AK$100:AO160,4,FALSE)))*EXP(-(LN(2)/$D$65+0.1)*(VLOOKUP(($F$16-$F$15)-1,AK$100:AO160,5,FALSE)))*EXP(-(LN(2)/$D$65+0.04)*(VLOOKUP(($F$16-$F$15)*2-1,AK$100:AO160,4,FALSE)))*EXP(-(LN(2)/$D$65+0.1)*(VLOOKUP(($F$16-$F$15)*2-1,AK$100:AO160,5,FALSE)))*EXP(-(LN(2)/$D$65+0.04)*AN160)*EXP(-(LN(2)/$D$65+0.1)*AO160),"-"))),"-")</f>
        <v>-</v>
      </c>
      <c r="AS160" s="274">
        <f t="shared" si="24"/>
        <v>0</v>
      </c>
      <c r="AT160" s="274">
        <f t="shared" si="25"/>
        <v>0</v>
      </c>
      <c r="AU160" s="274">
        <f t="shared" si="26"/>
        <v>0</v>
      </c>
      <c r="AV160" s="190" t="str">
        <f>IF($B160&lt;$F$22,SUM($T$100:$T160),"")</f>
        <v/>
      </c>
      <c r="AW160" s="190" t="str">
        <f t="shared" si="83"/>
        <v>-</v>
      </c>
      <c r="AX160" s="190" t="str">
        <f t="shared" si="56"/>
        <v/>
      </c>
      <c r="AY160"/>
      <c r="AZ160" s="190" t="str">
        <f ca="1">IF(ISNUMBER(OFFSET(AV160,-$F$21,0)),SUM(OFFSET($T$100,$F$21,0):$T160),"")</f>
        <v/>
      </c>
      <c r="BA160" s="190" t="str">
        <f t="shared" ca="1" si="84"/>
        <v/>
      </c>
      <c r="BB160" s="190" t="str">
        <f t="shared" ca="1" si="70"/>
        <v/>
      </c>
      <c r="BC160" s="190"/>
      <c r="BD160" s="190" t="str">
        <f ca="1">IFERROR(IF(OR(ISNUMBER(I),ISNUMBER($F$14)),IF(AND($B160&gt;=($F$16-$F$15),$B160&lt;$F$22+($F$16-$F$15)),SUM(OFFSET($T$100,($F$16-$F$15),0):$T160),""),""),"")</f>
        <v/>
      </c>
      <c r="BE160" s="190" t="str">
        <f t="shared" ca="1" si="58"/>
        <v/>
      </c>
      <c r="BF160" s="190" t="str">
        <f t="shared" ca="1" si="59"/>
        <v/>
      </c>
      <c r="BG160"/>
      <c r="BH160" s="190" t="str">
        <f ca="1">IF(ISNUMBER(OFFSET(BD160,-$F$21,0)),SUM(OFFSET($T$100,($F$16-$F$15+$F$21),0):$T160),"")</f>
        <v/>
      </c>
      <c r="BI160" s="190" t="str">
        <f t="shared" ca="1" si="85"/>
        <v/>
      </c>
      <c r="BJ160" s="190" t="str">
        <f t="shared" ca="1" si="60"/>
        <v/>
      </c>
      <c r="BK160" s="190"/>
      <c r="BL160" s="190" t="str">
        <f ca="1">IFERROR(IF(OR(ISNUMBER(I),ISNUMBER($F$14)),IF(AND($B160&gt;=($F$17-$F$15),$B160&lt;$F$22+($F$17-$F$15)),SUM(OFFSET($T$100,($F$17-$F$15),0):$T160),""),""),"")</f>
        <v/>
      </c>
      <c r="BM160" s="190" t="str">
        <f t="shared" ca="1" si="86"/>
        <v/>
      </c>
      <c r="BN160" s="190" t="str">
        <f t="shared" ca="1" si="61"/>
        <v/>
      </c>
      <c r="BO160"/>
      <c r="BP160" s="190" t="str">
        <f ca="1">IF(ISNUMBER(OFFSET(BL160,-$F$21,0)),SUM(OFFSET($T$100,($F$17-$F$15+$F$21),0):$T160),"")</f>
        <v/>
      </c>
      <c r="BQ160" s="190" t="str">
        <f t="shared" ca="1" si="87"/>
        <v/>
      </c>
      <c r="BR160" s="190" t="str">
        <f t="shared" ca="1" si="63"/>
        <v/>
      </c>
      <c r="BS160" s="190"/>
      <c r="BT160"/>
      <c r="BU160"/>
      <c r="BV160"/>
      <c r="BY160" s="99"/>
      <c r="BZ160" s="99"/>
      <c r="CA160" s="280" t="str">
        <f t="shared" si="88"/>
        <v/>
      </c>
      <c r="CB160" s="71" t="str">
        <f t="shared" si="31"/>
        <v>-</v>
      </c>
      <c r="CC160" s="33"/>
      <c r="CD160" s="261" t="str">
        <f t="shared" si="33"/>
        <v/>
      </c>
      <c r="CE160" s="280" t="str">
        <f t="shared" si="89"/>
        <v/>
      </c>
      <c r="CF160" s="71" t="str">
        <f t="shared" ca="1" si="90"/>
        <v/>
      </c>
      <c r="CG160" s="33" t="str">
        <f t="shared" si="36"/>
        <v/>
      </c>
      <c r="CH160" s="261" t="str">
        <f t="shared" ca="1" si="37"/>
        <v/>
      </c>
      <c r="CI160" s="202"/>
      <c r="CJ160" s="99"/>
      <c r="CK160" s="99"/>
      <c r="CL160" s="99"/>
      <c r="CM160" s="99"/>
      <c r="CN160" s="99"/>
      <c r="CO160" s="99"/>
    </row>
    <row r="161" spans="2:93" ht="13.5" customHeight="1" x14ac:dyDescent="0.2">
      <c r="B161" s="262">
        <v>61</v>
      </c>
      <c r="C161" s="237" t="str">
        <f t="shared" si="1"/>
        <v/>
      </c>
      <c r="D161" s="237" t="str">
        <f t="shared" si="66"/>
        <v/>
      </c>
      <c r="E161" s="290" t="str">
        <f t="shared" si="38"/>
        <v/>
      </c>
      <c r="F161" s="264" t="str">
        <f t="shared" si="39"/>
        <v/>
      </c>
      <c r="G161" s="291" t="str">
        <f t="shared" si="40"/>
        <v/>
      </c>
      <c r="H161" s="240" t="str">
        <f t="shared" si="71"/>
        <v/>
      </c>
      <c r="I161" s="265" t="str">
        <f t="shared" si="72"/>
        <v/>
      </c>
      <c r="J161" s="265" t="str">
        <f t="shared" si="73"/>
        <v/>
      </c>
      <c r="K161" s="240" t="str">
        <f t="shared" si="74"/>
        <v/>
      </c>
      <c r="L161" s="265" t="str">
        <f t="shared" si="75"/>
        <v/>
      </c>
      <c r="M161" s="265" t="str">
        <f t="shared" si="76"/>
        <v/>
      </c>
      <c r="N161" s="240" t="str">
        <f t="shared" si="77"/>
        <v>-</v>
      </c>
      <c r="O161" s="265" t="str">
        <f t="shared" si="78"/>
        <v>-</v>
      </c>
      <c r="P161" s="265" t="str">
        <f t="shared" si="79"/>
        <v>-</v>
      </c>
      <c r="Q161" s="266" t="str">
        <f t="shared" si="80"/>
        <v>-</v>
      </c>
      <c r="R161" s="267" t="str">
        <f t="shared" si="81"/>
        <v>-</v>
      </c>
      <c r="S161" s="268" t="str">
        <f t="shared" si="82"/>
        <v>-</v>
      </c>
      <c r="T161" s="269" t="str">
        <f t="shared" si="13"/>
        <v/>
      </c>
      <c r="U161" s="221">
        <f t="shared" si="14"/>
        <v>61</v>
      </c>
      <c r="V161" s="220" t="str">
        <f t="shared" si="42"/>
        <v>-</v>
      </c>
      <c r="W161" s="221" t="str">
        <f t="shared" si="43"/>
        <v>-</v>
      </c>
      <c r="X161" s="221" t="str">
        <f t="shared" si="15"/>
        <v>-</v>
      </c>
      <c r="Y161" s="221" t="str">
        <f t="shared" si="16"/>
        <v>-</v>
      </c>
      <c r="Z161" s="270">
        <f t="shared" si="44"/>
        <v>0.1</v>
      </c>
      <c r="AA161" s="271" t="str">
        <f>IFERROR(IF(V160=1,AA$100*EXP(-(LN(2)/$D$65+0.04)*X160)*EXP(-(LN(2)/$D$65+0.1)*Y160),IF(V160=2,AA$100*EXP(-(LN(2)/$D$65+0.04)*(VLOOKUP(($F$16-$F$15)-1,U$99:Y160,4,FALSE)))*EXP(-(LN(2)/$D$65+0.1)*(VLOOKUP(($F$16-$F$15)-1,U$99:Y160,5,FALSE)))*EXP(-(LN(2)/$D$65+0.04)*X160)*EXP(-(LN(2)/$D$65+0.1)*Y160),IF(V160=3,AA$100*EXP(-(LN(2)/$D$65+0.04)*(VLOOKUP(($F$16-$F$15)-1,U$99:Y160,4,FALSE)))*EXP(-(LN(2)/$D$65+0.1)*(VLOOKUP(($F$16-$F$15)-1,U$99:Y160,5,FALSE)))*EXP(-(LN(2)/$D$65+0.04)*(VLOOKUP(($F$16-$F$15)*2-1,U$99:Y160,4,FALSE)))*EXP(-(LN(2)/$D$65+0.1)*(VLOOKUP(($F$16-$F$15)*2-1,U$99:Y160,5,FALSE)))*EXP(-(LN(2)/$D$65+0.04)*X160)*EXP(-(LN(2)/$D$65+0.1)*Y160),"-"))),"-")</f>
        <v>-</v>
      </c>
      <c r="AB161" s="271" t="str">
        <f>IFERROR(IF(V161=1,AB$100*EXP(-(LN(2)/$D$65+0.04)*X161)*EXP(-(LN(2)/$D$65+0.1)*Y161),IF(V161=2,AB$100*EXP(-(LN(2)/$D$65+0.04)*(VLOOKUP(($F$16-$F$15)-1,U$100:Y161,4,FALSE)))*EXP(-(LN(2)/$D$65+0.1)*(VLOOKUP(($F$16-$F$15)-1,U$100:Y161,5,FALSE)))*EXP(-(LN(2)/$D$65+0.04)*X161)*EXP(-(LN(2)/$D$65+0.1)*Y161),IF(V161=3,AB$100*EXP(-(LN(2)/$D$65+0.04)*(VLOOKUP(($F$16-$F$15)-1,U$100:Y161,4,FALSE)))*EXP(-(LN(2)/$D$65+0.1)*(VLOOKUP(($F$16-$F$15)-1,U$100:Y161,5,FALSE)))*EXP(-(LN(2)/$D$65+0.04)*(VLOOKUP(($F$16-$F$15)*2-1,U$100:Y161,4,FALSE)))*EXP(-(LN(2)/$D$65+0.1)*(VLOOKUP(($F$16-$F$15)*2-1,U$100:Y161,5,FALSE)))*EXP(-(LN(2)/$D$65+0.04)*X161)*EXP(-(LN(2)/$D$65+0.1)*Y161),"-"))),"-")</f>
        <v>-</v>
      </c>
      <c r="AC161" s="224">
        <f t="shared" si="45"/>
        <v>61</v>
      </c>
      <c r="AD161" s="223" t="str">
        <f t="shared" si="18"/>
        <v>-</v>
      </c>
      <c r="AE161" s="224" t="str">
        <f t="shared" si="46"/>
        <v>-</v>
      </c>
      <c r="AF161" s="224" t="str">
        <f t="shared" si="19"/>
        <v>-</v>
      </c>
      <c r="AG161" s="224" t="str">
        <f t="shared" si="20"/>
        <v>-</v>
      </c>
      <c r="AH161" s="272">
        <f t="shared" si="47"/>
        <v>0.1</v>
      </c>
      <c r="AI161" s="271" t="str">
        <f>IFERROR(IF(AD160=1,AI$100*EXP(-(LN(2)/$D$65+0.04)*AF160)*EXP(-(LN(2)/$D$65+0.1)*AG160),IF(AD160=2,AI$100*EXP(-(LN(2)/$D$65+0.04)*(VLOOKUP(($F$16-$F$15)-1,AC$99:AG160,4,FALSE)))*EXP(-(LN(2)/$D$65+0.1)*(VLOOKUP(($F$16-$F$15)-1,AC$99:AG160,5,FALSE)))*EXP(-(LN(2)/$D$65+0.04)*AF160)*EXP(-(LN(2)/$D$65+0.1)*AG160),IF(AD160=3,AI$100*EXP(-(LN(2)/$D$65+0.04)*(VLOOKUP(($F$16-$F$15)-1,AC$99:AG160,4,FALSE)))*EXP(-(LN(2)/$D$65+0.1)*(VLOOKUP(($F$16-$F$15)-1,AC$99:AG160,5,FALSE)))*EXP(-(LN(2)/$D$65+0.04)*(VLOOKUP(($F$16-$F$15)*2-1,AC$99:AG160,4,FALSE)))*EXP(-(LN(2)/$D$65+0.1)*(VLOOKUP(($F$16-$F$15)*2-1,AC$99:AG160,5,FALSE)))*EXP(-(LN(2)/$D$65+0.04)*AF160)*EXP(-(LN(2)/$D$65+0.1)*AG160),"-"))),"-")</f>
        <v>-</v>
      </c>
      <c r="AJ161" s="271" t="str">
        <f>IFERROR(IF(AD161=1,AJ$100*EXP(-(LN(2)/$D$65+0.04)*AF161)*EXP(-(LN(2)/$D$65+0.1)*AG161),IF(AD161=2,AJ$100*EXP(-(LN(2)/$D$65+0.04)*(VLOOKUP(($F$16-$F$15)-1,AC$100:AG161,4,FALSE)))*EXP(-(LN(2)/$D$65+0.1)*(VLOOKUP(($F$16-$F$15)-1,AC$100:AG161,5,FALSE)))*EXP(-(LN(2)/$D$65+0.04)*AF161)*EXP(-(LN(2)/$D$65+0.1)*AG161),IF(AD161=3,AJ$100*EXP(-(LN(2)/$D$65+0.04)*(VLOOKUP(($F$16-$F$15)-1,AC$100:AG161,4,FALSE)))*EXP(-(LN(2)/$D$65+0.1)*(VLOOKUP(($F$16-$F$15)-1,AC$100:AG161,5,FALSE)))*EXP(-(LN(2)/$D$65+0.04)*(VLOOKUP(($F$16-$F$15)*2-1,AC$100:AG161,4,FALSE)))*EXP(-(LN(2)/$D$65+0.1)*(VLOOKUP(($F$16-$F$15)*2-1,AC$100:AG161,5,FALSE)))*EXP(-(LN(2)/$D$65+0.04)*AF161)*EXP(-(LN(2)/$D$65+0.1)*AG161),"-"))),"-")</f>
        <v>-</v>
      </c>
      <c r="AK161" s="227">
        <f t="shared" si="49"/>
        <v>61</v>
      </c>
      <c r="AL161" s="226" t="str">
        <f t="shared" si="22"/>
        <v>-</v>
      </c>
      <c r="AM161" s="227" t="str">
        <f t="shared" si="50"/>
        <v>-</v>
      </c>
      <c r="AN161" s="227" t="str">
        <f t="shared" si="51"/>
        <v>-</v>
      </c>
      <c r="AO161" s="227" t="str">
        <f t="shared" si="23"/>
        <v>-</v>
      </c>
      <c r="AP161" s="273">
        <f t="shared" si="52"/>
        <v>0.1</v>
      </c>
      <c r="AQ161" s="271" t="str">
        <f>IFERROR(IF(AL160=1,AQ$100*EXP(-(LN(2)/$D$65+0.04)*AN160)*EXP(-(LN(2)/$D$65+0.1)*AO160),IF(AL160=2,AQ$100*EXP(-(LN(2)/$D$65+0.04)*(VLOOKUP(($F$16-$F$15)-1,AK$99:AO160,4,FALSE)))*EXP(-(LN(2)/$D$65+0.1)*(VLOOKUP(($F$16-$F$15)-1,AK$99:AO160,5,FALSE)))*EXP(-(LN(2)/$D$65+0.04)*AN160)*EXP(-(LN(2)/$D$65+0.1)*AO160),IF(AL160=3,AQ$100*EXP(-(LN(2)/$D$65+0.04)*(VLOOKUP(($F$16-$F$15)-1,AK$99:AO160,4,FALSE)))*EXP(-(LN(2)/$D$65+0.1)*(VLOOKUP(($F$16-$F$15)-1,AK$99:AO160,5,FALSE)))*EXP(-(LN(2)/$D$65+0.04)*(VLOOKUP(($F$16-$F$15)*2-1,AK$99:AO160,4,FALSE)))*EXP(-(LN(2)/$D$65+0.1)*(VLOOKUP(($F$16-$F$15)*2-1,AK$99:AO160,5,FALSE)))*EXP(-(LN(2)/$D$65+0.04)*AN160)*EXP(-(LN(2)/$D$65+0.1)*AO160),"-"))),"-")</f>
        <v>-</v>
      </c>
      <c r="AR161" s="271" t="str">
        <f>IFERROR(IF(AL161=1,AR$100*EXP(-(LN(2)/$D$65+0.04)*AN161)*EXP(-(LN(2)/$D$65+0.1)*AO161),IF(AL161=2,AR$100*EXP(-(LN(2)/$D$65+0.04)*(VLOOKUP(($F$16-$F$15)-1,AK$100:AO161,4,FALSE)))*EXP(-(LN(2)/$D$65+0.1)*(VLOOKUP(($F$16-$F$15)-1,AK$100:AO161,5,FALSE)))*EXP(-(LN(2)/$D$65+0.04)*AN161)*EXP(-(LN(2)/$D$65+0.1)*AO161),IF(AL161=3,AR$100*EXP(-(LN(2)/$D$65+0.04)*(VLOOKUP(($F$16-$F$15)-1,AK$100:AO161,4,FALSE)))*EXP(-(LN(2)/$D$65+0.1)*(VLOOKUP(($F$16-$F$15)-1,AK$100:AO161,5,FALSE)))*EXP(-(LN(2)/$D$65+0.04)*(VLOOKUP(($F$16-$F$15)*2-1,AK$100:AO161,4,FALSE)))*EXP(-(LN(2)/$D$65+0.1)*(VLOOKUP(($F$16-$F$15)*2-1,AK$100:AO161,5,FALSE)))*EXP(-(LN(2)/$D$65+0.04)*AN161)*EXP(-(LN(2)/$D$65+0.1)*AO161),"-"))),"-")</f>
        <v>-</v>
      </c>
      <c r="AS161" s="274">
        <f t="shared" si="24"/>
        <v>0</v>
      </c>
      <c r="AT161" s="274">
        <f t="shared" si="25"/>
        <v>0</v>
      </c>
      <c r="AU161" s="274">
        <f t="shared" si="26"/>
        <v>0</v>
      </c>
      <c r="AV161" s="190" t="str">
        <f>IF($B161&lt;$F$22,SUM($T$100:$T161),"")</f>
        <v/>
      </c>
      <c r="AW161" s="190" t="str">
        <f t="shared" si="83"/>
        <v>-</v>
      </c>
      <c r="AX161" s="190" t="str">
        <f t="shared" si="56"/>
        <v/>
      </c>
      <c r="AY161"/>
      <c r="AZ161" s="190" t="str">
        <f ca="1">IF(ISNUMBER(OFFSET(AV161,-$F$21,0)),SUM(OFFSET($T$100,$F$21,0):$T161),"")</f>
        <v/>
      </c>
      <c r="BA161" s="190" t="str">
        <f t="shared" ca="1" si="84"/>
        <v/>
      </c>
      <c r="BB161" s="190" t="str">
        <f t="shared" ca="1" si="70"/>
        <v/>
      </c>
      <c r="BC161" s="190"/>
      <c r="BD161" s="190" t="str">
        <f ca="1">IFERROR(IF(OR(ISNUMBER(I),ISNUMBER($F$14)),IF(AND($B161&gt;=($F$16-$F$15),$B161&lt;$F$22+($F$16-$F$15)),SUM(OFFSET($T$100,($F$16-$F$15),0):$T161),""),""),"")</f>
        <v/>
      </c>
      <c r="BE161" s="190" t="str">
        <f t="shared" ca="1" si="58"/>
        <v/>
      </c>
      <c r="BF161" s="190" t="str">
        <f t="shared" ca="1" si="59"/>
        <v/>
      </c>
      <c r="BG161"/>
      <c r="BH161" s="190" t="str">
        <f ca="1">IF(ISNUMBER(OFFSET(BD161,-$F$21,0)),SUM(OFFSET($T$100,($F$16-$F$15+$F$21),0):$T161),"")</f>
        <v/>
      </c>
      <c r="BI161" s="190" t="str">
        <f t="shared" ca="1" si="85"/>
        <v/>
      </c>
      <c r="BJ161" s="190" t="str">
        <f t="shared" ca="1" si="60"/>
        <v/>
      </c>
      <c r="BK161" s="190"/>
      <c r="BL161" s="190" t="str">
        <f ca="1">IFERROR(IF(OR(ISNUMBER(I),ISNUMBER($F$14)),IF(AND($B161&gt;=($F$17-$F$15),$B161&lt;$F$22+($F$17-$F$15)),SUM(OFFSET($T$100,($F$17-$F$15),0):$T161),""),""),"")</f>
        <v/>
      </c>
      <c r="BM161" s="190" t="str">
        <f t="shared" ca="1" si="86"/>
        <v/>
      </c>
      <c r="BN161" s="190" t="str">
        <f t="shared" ca="1" si="61"/>
        <v/>
      </c>
      <c r="BO161"/>
      <c r="BP161" s="190" t="str">
        <f ca="1">IF(ISNUMBER(OFFSET(BL161,-$F$21,0)),SUM(OFFSET($T$100,($F$17-$F$15+$F$21),0):$T161),"")</f>
        <v/>
      </c>
      <c r="BQ161" s="190" t="str">
        <f t="shared" ca="1" si="87"/>
        <v/>
      </c>
      <c r="BR161" s="190" t="str">
        <f t="shared" ca="1" si="63"/>
        <v/>
      </c>
      <c r="BS161" s="190"/>
      <c r="BT161"/>
      <c r="BU161"/>
      <c r="BV161"/>
      <c r="BY161" s="99"/>
      <c r="BZ161" s="99"/>
      <c r="CA161" s="280" t="str">
        <f t="shared" si="88"/>
        <v/>
      </c>
      <c r="CB161" s="71" t="str">
        <f t="shared" si="31"/>
        <v>-</v>
      </c>
      <c r="CC161" s="33"/>
      <c r="CD161" s="261" t="str">
        <f t="shared" si="33"/>
        <v/>
      </c>
      <c r="CE161" s="280" t="str">
        <f t="shared" si="89"/>
        <v/>
      </c>
      <c r="CF161" s="71" t="str">
        <f t="shared" ca="1" si="90"/>
        <v/>
      </c>
      <c r="CG161" s="33" t="str">
        <f t="shared" si="36"/>
        <v/>
      </c>
      <c r="CH161" s="261" t="str">
        <f t="shared" ca="1" si="37"/>
        <v/>
      </c>
      <c r="CI161" s="202"/>
      <c r="CJ161" s="99"/>
      <c r="CK161" s="99"/>
      <c r="CL161" s="99"/>
      <c r="CM161" s="99"/>
      <c r="CN161" s="99"/>
      <c r="CO161" s="99"/>
    </row>
    <row r="162" spans="2:93" ht="13.5" customHeight="1" x14ac:dyDescent="0.2">
      <c r="B162" s="262">
        <v>62</v>
      </c>
      <c r="C162" s="237" t="str">
        <f t="shared" si="1"/>
        <v/>
      </c>
      <c r="D162" s="237" t="str">
        <f t="shared" si="66"/>
        <v/>
      </c>
      <c r="E162" s="290" t="str">
        <f t="shared" si="38"/>
        <v/>
      </c>
      <c r="F162" s="264" t="str">
        <f t="shared" si="39"/>
        <v/>
      </c>
      <c r="G162" s="291" t="str">
        <f t="shared" si="40"/>
        <v/>
      </c>
      <c r="H162" s="240" t="str">
        <f t="shared" si="71"/>
        <v/>
      </c>
      <c r="I162" s="265" t="str">
        <f t="shared" si="72"/>
        <v/>
      </c>
      <c r="J162" s="265" t="str">
        <f t="shared" si="73"/>
        <v/>
      </c>
      <c r="K162" s="240" t="str">
        <f t="shared" si="74"/>
        <v/>
      </c>
      <c r="L162" s="265" t="str">
        <f t="shared" si="75"/>
        <v/>
      </c>
      <c r="M162" s="265" t="str">
        <f t="shared" si="76"/>
        <v/>
      </c>
      <c r="N162" s="240" t="str">
        <f t="shared" si="77"/>
        <v>-</v>
      </c>
      <c r="O162" s="265" t="str">
        <f t="shared" si="78"/>
        <v>-</v>
      </c>
      <c r="P162" s="265" t="str">
        <f t="shared" si="79"/>
        <v>-</v>
      </c>
      <c r="Q162" s="266" t="str">
        <f t="shared" si="80"/>
        <v>-</v>
      </c>
      <c r="R162" s="267" t="str">
        <f t="shared" si="81"/>
        <v>-</v>
      </c>
      <c r="S162" s="268" t="str">
        <f t="shared" si="82"/>
        <v>-</v>
      </c>
      <c r="T162" s="269" t="str">
        <f t="shared" si="13"/>
        <v/>
      </c>
      <c r="U162" s="221">
        <f t="shared" si="14"/>
        <v>62</v>
      </c>
      <c r="V162" s="220" t="str">
        <f t="shared" si="42"/>
        <v>-</v>
      </c>
      <c r="W162" s="221" t="str">
        <f t="shared" si="43"/>
        <v>-</v>
      </c>
      <c r="X162" s="221" t="str">
        <f t="shared" si="15"/>
        <v>-</v>
      </c>
      <c r="Y162" s="221" t="str">
        <f t="shared" si="16"/>
        <v>-</v>
      </c>
      <c r="Z162" s="270">
        <f t="shared" si="44"/>
        <v>0.1</v>
      </c>
      <c r="AA162" s="271" t="str">
        <f>IFERROR(IF(V161=1,AA$100*EXP(-(LN(2)/$D$65+0.04)*X161)*EXP(-(LN(2)/$D$65+0.1)*Y161),IF(V161=2,AA$100*EXP(-(LN(2)/$D$65+0.04)*(VLOOKUP(($F$16-$F$15)-1,U$99:Y161,4,FALSE)))*EXP(-(LN(2)/$D$65+0.1)*(VLOOKUP(($F$16-$F$15)-1,U$99:Y161,5,FALSE)))*EXP(-(LN(2)/$D$65+0.04)*X161)*EXP(-(LN(2)/$D$65+0.1)*Y161),IF(V161=3,AA$100*EXP(-(LN(2)/$D$65+0.04)*(VLOOKUP(($F$16-$F$15)-1,U$99:Y161,4,FALSE)))*EXP(-(LN(2)/$D$65+0.1)*(VLOOKUP(($F$16-$F$15)-1,U$99:Y161,5,FALSE)))*EXP(-(LN(2)/$D$65+0.04)*(VLOOKUP(($F$16-$F$15)*2-1,U$99:Y161,4,FALSE)))*EXP(-(LN(2)/$D$65+0.1)*(VLOOKUP(($F$16-$F$15)*2-1,U$99:Y161,5,FALSE)))*EXP(-(LN(2)/$D$65+0.04)*X161)*EXP(-(LN(2)/$D$65+0.1)*Y161),"-"))),"-")</f>
        <v>-</v>
      </c>
      <c r="AB162" s="271" t="str">
        <f>IFERROR(IF(V162=1,AB$100*EXP(-(LN(2)/$D$65+0.04)*X162)*EXP(-(LN(2)/$D$65+0.1)*Y162),IF(V162=2,AB$100*EXP(-(LN(2)/$D$65+0.04)*(VLOOKUP(($F$16-$F$15)-1,U$100:Y162,4,FALSE)))*EXP(-(LN(2)/$D$65+0.1)*(VLOOKUP(($F$16-$F$15)-1,U$100:Y162,5,FALSE)))*EXP(-(LN(2)/$D$65+0.04)*X162)*EXP(-(LN(2)/$D$65+0.1)*Y162),IF(V162=3,AB$100*EXP(-(LN(2)/$D$65+0.04)*(VLOOKUP(($F$16-$F$15)-1,U$100:Y162,4,FALSE)))*EXP(-(LN(2)/$D$65+0.1)*(VLOOKUP(($F$16-$F$15)-1,U$100:Y162,5,FALSE)))*EXP(-(LN(2)/$D$65+0.04)*(VLOOKUP(($F$16-$F$15)*2-1,U$100:Y162,4,FALSE)))*EXP(-(LN(2)/$D$65+0.1)*(VLOOKUP(($F$16-$F$15)*2-1,U$100:Y162,5,FALSE)))*EXP(-(LN(2)/$D$65+0.04)*X162)*EXP(-(LN(2)/$D$65+0.1)*Y162),"-"))),"-")</f>
        <v>-</v>
      </c>
      <c r="AC162" s="224">
        <f t="shared" si="45"/>
        <v>62</v>
      </c>
      <c r="AD162" s="223" t="str">
        <f t="shared" si="18"/>
        <v>-</v>
      </c>
      <c r="AE162" s="224" t="str">
        <f t="shared" si="46"/>
        <v>-</v>
      </c>
      <c r="AF162" s="224" t="str">
        <f t="shared" si="19"/>
        <v>-</v>
      </c>
      <c r="AG162" s="224" t="str">
        <f t="shared" si="20"/>
        <v>-</v>
      </c>
      <c r="AH162" s="272">
        <f t="shared" si="47"/>
        <v>0.1</v>
      </c>
      <c r="AI162" s="271" t="str">
        <f>IFERROR(IF(AD161=1,AI$100*EXP(-(LN(2)/$D$65+0.04)*AF161)*EXP(-(LN(2)/$D$65+0.1)*AG161),IF(AD161=2,AI$100*EXP(-(LN(2)/$D$65+0.04)*(VLOOKUP(($F$16-$F$15)-1,AC$99:AG161,4,FALSE)))*EXP(-(LN(2)/$D$65+0.1)*(VLOOKUP(($F$16-$F$15)-1,AC$99:AG161,5,FALSE)))*EXP(-(LN(2)/$D$65+0.04)*AF161)*EXP(-(LN(2)/$D$65+0.1)*AG161),IF(AD161=3,AI$100*EXP(-(LN(2)/$D$65+0.04)*(VLOOKUP(($F$16-$F$15)-1,AC$99:AG161,4,FALSE)))*EXP(-(LN(2)/$D$65+0.1)*(VLOOKUP(($F$16-$F$15)-1,AC$99:AG161,5,FALSE)))*EXP(-(LN(2)/$D$65+0.04)*(VLOOKUP(($F$16-$F$15)*2-1,AC$99:AG161,4,FALSE)))*EXP(-(LN(2)/$D$65+0.1)*(VLOOKUP(($F$16-$F$15)*2-1,AC$99:AG161,5,FALSE)))*EXP(-(LN(2)/$D$65+0.04)*AF161)*EXP(-(LN(2)/$D$65+0.1)*AG161),"-"))),"-")</f>
        <v>-</v>
      </c>
      <c r="AJ162" s="271" t="str">
        <f>IFERROR(IF(AD162=1,AJ$100*EXP(-(LN(2)/$D$65+0.04)*AF162)*EXP(-(LN(2)/$D$65+0.1)*AG162),IF(AD162=2,AJ$100*EXP(-(LN(2)/$D$65+0.04)*(VLOOKUP(($F$16-$F$15)-1,AC$100:AG162,4,FALSE)))*EXP(-(LN(2)/$D$65+0.1)*(VLOOKUP(($F$16-$F$15)-1,AC$100:AG162,5,FALSE)))*EXP(-(LN(2)/$D$65+0.04)*AF162)*EXP(-(LN(2)/$D$65+0.1)*AG162),IF(AD162=3,AJ$100*EXP(-(LN(2)/$D$65+0.04)*(VLOOKUP(($F$16-$F$15)-1,AC$100:AG162,4,FALSE)))*EXP(-(LN(2)/$D$65+0.1)*(VLOOKUP(($F$16-$F$15)-1,AC$100:AG162,5,FALSE)))*EXP(-(LN(2)/$D$65+0.04)*(VLOOKUP(($F$16-$F$15)*2-1,AC$100:AG162,4,FALSE)))*EXP(-(LN(2)/$D$65+0.1)*(VLOOKUP(($F$16-$F$15)*2-1,AC$100:AG162,5,FALSE)))*EXP(-(LN(2)/$D$65+0.04)*AF162)*EXP(-(LN(2)/$D$65+0.1)*AG162),"-"))),"-")</f>
        <v>-</v>
      </c>
      <c r="AK162" s="227">
        <f t="shared" si="49"/>
        <v>62</v>
      </c>
      <c r="AL162" s="226" t="str">
        <f t="shared" si="22"/>
        <v>-</v>
      </c>
      <c r="AM162" s="227" t="str">
        <f t="shared" si="50"/>
        <v>-</v>
      </c>
      <c r="AN162" s="227" t="str">
        <f t="shared" si="51"/>
        <v>-</v>
      </c>
      <c r="AO162" s="227" t="str">
        <f t="shared" si="23"/>
        <v>-</v>
      </c>
      <c r="AP162" s="273">
        <f t="shared" si="52"/>
        <v>0.1</v>
      </c>
      <c r="AQ162" s="271" t="str">
        <f>IFERROR(IF(AL161=1,AQ$100*EXP(-(LN(2)/$D$65+0.04)*AN161)*EXP(-(LN(2)/$D$65+0.1)*AO161),IF(AL161=2,AQ$100*EXP(-(LN(2)/$D$65+0.04)*(VLOOKUP(($F$16-$F$15)-1,AK$99:AO161,4,FALSE)))*EXP(-(LN(2)/$D$65+0.1)*(VLOOKUP(($F$16-$F$15)-1,AK$99:AO161,5,FALSE)))*EXP(-(LN(2)/$D$65+0.04)*AN161)*EXP(-(LN(2)/$D$65+0.1)*AO161),IF(AL161=3,AQ$100*EXP(-(LN(2)/$D$65+0.04)*(VLOOKUP(($F$16-$F$15)-1,AK$99:AO161,4,FALSE)))*EXP(-(LN(2)/$D$65+0.1)*(VLOOKUP(($F$16-$F$15)-1,AK$99:AO161,5,FALSE)))*EXP(-(LN(2)/$D$65+0.04)*(VLOOKUP(($F$16-$F$15)*2-1,AK$99:AO161,4,FALSE)))*EXP(-(LN(2)/$D$65+0.1)*(VLOOKUP(($F$16-$F$15)*2-1,AK$99:AO161,5,FALSE)))*EXP(-(LN(2)/$D$65+0.04)*AN161)*EXP(-(LN(2)/$D$65+0.1)*AO161),"-"))),"-")</f>
        <v>-</v>
      </c>
      <c r="AR162" s="271" t="str">
        <f>IFERROR(IF(AL162=1,AR$100*EXP(-(LN(2)/$D$65+0.04)*AN162)*EXP(-(LN(2)/$D$65+0.1)*AO162),IF(AL162=2,AR$100*EXP(-(LN(2)/$D$65+0.04)*(VLOOKUP(($F$16-$F$15)-1,AK$100:AO162,4,FALSE)))*EXP(-(LN(2)/$D$65+0.1)*(VLOOKUP(($F$16-$F$15)-1,AK$100:AO162,5,FALSE)))*EXP(-(LN(2)/$D$65+0.04)*AN162)*EXP(-(LN(2)/$D$65+0.1)*AO162),IF(AL162=3,AR$100*EXP(-(LN(2)/$D$65+0.04)*(VLOOKUP(($F$16-$F$15)-1,AK$100:AO162,4,FALSE)))*EXP(-(LN(2)/$D$65+0.1)*(VLOOKUP(($F$16-$F$15)-1,AK$100:AO162,5,FALSE)))*EXP(-(LN(2)/$D$65+0.04)*(VLOOKUP(($F$16-$F$15)*2-1,AK$100:AO162,4,FALSE)))*EXP(-(LN(2)/$D$65+0.1)*(VLOOKUP(($F$16-$F$15)*2-1,AK$100:AO162,5,FALSE)))*EXP(-(LN(2)/$D$65+0.04)*AN162)*EXP(-(LN(2)/$D$65+0.1)*AO162),"-"))),"-")</f>
        <v>-</v>
      </c>
      <c r="AS162" s="274">
        <f t="shared" si="24"/>
        <v>0</v>
      </c>
      <c r="AT162" s="274">
        <f t="shared" si="25"/>
        <v>0</v>
      </c>
      <c r="AU162" s="274">
        <f t="shared" si="26"/>
        <v>0</v>
      </c>
      <c r="AV162" s="190" t="str">
        <f>IF($B162&lt;$F$22,SUM($T$100:$T162),"")</f>
        <v/>
      </c>
      <c r="AW162" s="190" t="str">
        <f t="shared" si="83"/>
        <v>-</v>
      </c>
      <c r="AX162" s="190" t="str">
        <f t="shared" si="56"/>
        <v/>
      </c>
      <c r="AY162"/>
      <c r="AZ162" s="190" t="str">
        <f ca="1">IF(ISNUMBER(OFFSET(AV162,-$F$21,0)),SUM(OFFSET($T$100,$F$21,0):$T162),"")</f>
        <v/>
      </c>
      <c r="BA162" s="190" t="str">
        <f t="shared" ca="1" si="84"/>
        <v/>
      </c>
      <c r="BB162" s="190" t="str">
        <f t="shared" ca="1" si="70"/>
        <v/>
      </c>
      <c r="BC162" s="190"/>
      <c r="BD162" s="190" t="str">
        <f ca="1">IFERROR(IF(OR(ISNUMBER(I),ISNUMBER($F$14)),IF(AND($B162&gt;=($F$16-$F$15),$B162&lt;$F$22+($F$16-$F$15)),SUM(OFFSET($T$100,($F$16-$F$15),0):$T162),""),""),"")</f>
        <v/>
      </c>
      <c r="BE162" s="190" t="str">
        <f t="shared" ca="1" si="58"/>
        <v/>
      </c>
      <c r="BF162" s="190" t="str">
        <f t="shared" ca="1" si="59"/>
        <v/>
      </c>
      <c r="BG162"/>
      <c r="BH162" s="190" t="str">
        <f ca="1">IF(ISNUMBER(OFFSET(BD162,-$F$21,0)),SUM(OFFSET($T$100,($F$16-$F$15+$F$21),0):$T162),"")</f>
        <v/>
      </c>
      <c r="BI162" s="190" t="str">
        <f t="shared" ca="1" si="85"/>
        <v/>
      </c>
      <c r="BJ162" s="190" t="str">
        <f t="shared" ca="1" si="60"/>
        <v/>
      </c>
      <c r="BK162" s="190"/>
      <c r="BL162" s="190" t="str">
        <f ca="1">IFERROR(IF(OR(ISNUMBER(I),ISNUMBER($F$14)),IF(AND($B162&gt;=($F$17-$F$15),$B162&lt;$F$22+($F$17-$F$15)),SUM(OFFSET($T$100,($F$17-$F$15),0):$T162),""),""),"")</f>
        <v/>
      </c>
      <c r="BM162" s="190" t="str">
        <f t="shared" ca="1" si="86"/>
        <v/>
      </c>
      <c r="BN162" s="190" t="str">
        <f t="shared" ca="1" si="61"/>
        <v/>
      </c>
      <c r="BO162"/>
      <c r="BP162" s="190" t="str">
        <f ca="1">IF(ISNUMBER(OFFSET(BL162,-$F$21,0)),SUM(OFFSET($T$100,($F$17-$F$15+$F$21),0):$T162),"")</f>
        <v/>
      </c>
      <c r="BQ162" s="190" t="str">
        <f t="shared" ca="1" si="87"/>
        <v/>
      </c>
      <c r="BR162" s="190" t="str">
        <f t="shared" ca="1" si="63"/>
        <v/>
      </c>
      <c r="BS162" s="190"/>
      <c r="BT162"/>
      <c r="BU162"/>
      <c r="BV162"/>
      <c r="BY162" s="99"/>
      <c r="BZ162" s="99"/>
      <c r="CA162" s="280" t="str">
        <f t="shared" si="88"/>
        <v/>
      </c>
      <c r="CB162" s="71" t="str">
        <f t="shared" si="31"/>
        <v>-</v>
      </c>
      <c r="CC162" s="33"/>
      <c r="CD162" s="261" t="str">
        <f t="shared" si="33"/>
        <v/>
      </c>
      <c r="CE162" s="280" t="str">
        <f t="shared" si="89"/>
        <v/>
      </c>
      <c r="CF162" s="71" t="str">
        <f t="shared" ca="1" si="90"/>
        <v/>
      </c>
      <c r="CG162" s="33" t="str">
        <f t="shared" si="36"/>
        <v/>
      </c>
      <c r="CH162" s="261" t="str">
        <f t="shared" ca="1" si="37"/>
        <v/>
      </c>
      <c r="CI162" s="202"/>
      <c r="CJ162" s="99"/>
      <c r="CK162" s="99"/>
      <c r="CL162" s="99"/>
      <c r="CM162" s="99"/>
      <c r="CN162" s="99"/>
      <c r="CO162" s="99"/>
    </row>
    <row r="163" spans="2:93" ht="13.5" customHeight="1" x14ac:dyDescent="0.2">
      <c r="B163" s="262">
        <v>63</v>
      </c>
      <c r="C163" s="237" t="str">
        <f t="shared" si="1"/>
        <v/>
      </c>
      <c r="D163" s="237" t="str">
        <f t="shared" si="66"/>
        <v/>
      </c>
      <c r="E163" s="290" t="str">
        <f t="shared" si="38"/>
        <v/>
      </c>
      <c r="F163" s="264" t="str">
        <f t="shared" si="39"/>
        <v/>
      </c>
      <c r="G163" s="291" t="str">
        <f t="shared" si="40"/>
        <v/>
      </c>
      <c r="H163" s="240" t="str">
        <f t="shared" si="71"/>
        <v/>
      </c>
      <c r="I163" s="265" t="str">
        <f t="shared" si="72"/>
        <v/>
      </c>
      <c r="J163" s="265" t="str">
        <f t="shared" si="73"/>
        <v/>
      </c>
      <c r="K163" s="240" t="str">
        <f t="shared" si="74"/>
        <v/>
      </c>
      <c r="L163" s="265" t="str">
        <f t="shared" si="75"/>
        <v/>
      </c>
      <c r="M163" s="265" t="str">
        <f t="shared" si="76"/>
        <v/>
      </c>
      <c r="N163" s="240" t="str">
        <f t="shared" si="77"/>
        <v>-</v>
      </c>
      <c r="O163" s="265" t="str">
        <f t="shared" si="78"/>
        <v>-</v>
      </c>
      <c r="P163" s="265" t="str">
        <f t="shared" si="79"/>
        <v>-</v>
      </c>
      <c r="Q163" s="266" t="str">
        <f t="shared" si="80"/>
        <v>-</v>
      </c>
      <c r="R163" s="267" t="str">
        <f t="shared" si="81"/>
        <v>-</v>
      </c>
      <c r="S163" s="268" t="str">
        <f t="shared" si="82"/>
        <v>-</v>
      </c>
      <c r="T163" s="269" t="str">
        <f t="shared" si="13"/>
        <v/>
      </c>
      <c r="U163" s="221">
        <f t="shared" si="14"/>
        <v>63</v>
      </c>
      <c r="V163" s="220" t="str">
        <f t="shared" si="42"/>
        <v>-</v>
      </c>
      <c r="W163" s="221" t="str">
        <f t="shared" si="43"/>
        <v>-</v>
      </c>
      <c r="X163" s="221" t="str">
        <f t="shared" si="15"/>
        <v>-</v>
      </c>
      <c r="Y163" s="221" t="str">
        <f t="shared" si="16"/>
        <v>-</v>
      </c>
      <c r="Z163" s="270">
        <f t="shared" si="44"/>
        <v>0.1</v>
      </c>
      <c r="AA163" s="271" t="str">
        <f>IFERROR(IF(V162=1,AA$100*EXP(-(LN(2)/$D$65+0.04)*X162)*EXP(-(LN(2)/$D$65+0.1)*Y162),IF(V162=2,AA$100*EXP(-(LN(2)/$D$65+0.04)*(VLOOKUP(($F$16-$F$15)-1,U$99:Y162,4,FALSE)))*EXP(-(LN(2)/$D$65+0.1)*(VLOOKUP(($F$16-$F$15)-1,U$99:Y162,5,FALSE)))*EXP(-(LN(2)/$D$65+0.04)*X162)*EXP(-(LN(2)/$D$65+0.1)*Y162),IF(V162=3,AA$100*EXP(-(LN(2)/$D$65+0.04)*(VLOOKUP(($F$16-$F$15)-1,U$99:Y162,4,FALSE)))*EXP(-(LN(2)/$D$65+0.1)*(VLOOKUP(($F$16-$F$15)-1,U$99:Y162,5,FALSE)))*EXP(-(LN(2)/$D$65+0.04)*(VLOOKUP(($F$16-$F$15)*2-1,U$99:Y162,4,FALSE)))*EXP(-(LN(2)/$D$65+0.1)*(VLOOKUP(($F$16-$F$15)*2-1,U$99:Y162,5,FALSE)))*EXP(-(LN(2)/$D$65+0.04)*X162)*EXP(-(LN(2)/$D$65+0.1)*Y162),"-"))),"-")</f>
        <v>-</v>
      </c>
      <c r="AB163" s="271" t="str">
        <f>IFERROR(IF(V163=1,AB$100*EXP(-(LN(2)/$D$65+0.04)*X163)*EXP(-(LN(2)/$D$65+0.1)*Y163),IF(V163=2,AB$100*EXP(-(LN(2)/$D$65+0.04)*(VLOOKUP(($F$16-$F$15)-1,U$100:Y163,4,FALSE)))*EXP(-(LN(2)/$D$65+0.1)*(VLOOKUP(($F$16-$F$15)-1,U$100:Y163,5,FALSE)))*EXP(-(LN(2)/$D$65+0.04)*X163)*EXP(-(LN(2)/$D$65+0.1)*Y163),IF(V163=3,AB$100*EXP(-(LN(2)/$D$65+0.04)*(VLOOKUP(($F$16-$F$15)-1,U$100:Y163,4,FALSE)))*EXP(-(LN(2)/$D$65+0.1)*(VLOOKUP(($F$16-$F$15)-1,U$100:Y163,5,FALSE)))*EXP(-(LN(2)/$D$65+0.04)*(VLOOKUP(($F$16-$F$15)*2-1,U$100:Y163,4,FALSE)))*EXP(-(LN(2)/$D$65+0.1)*(VLOOKUP(($F$16-$F$15)*2-1,U$100:Y163,5,FALSE)))*EXP(-(LN(2)/$D$65+0.04)*X163)*EXP(-(LN(2)/$D$65+0.1)*Y163),"-"))),"-")</f>
        <v>-</v>
      </c>
      <c r="AC163" s="224">
        <f t="shared" si="45"/>
        <v>63</v>
      </c>
      <c r="AD163" s="223" t="str">
        <f t="shared" si="18"/>
        <v>-</v>
      </c>
      <c r="AE163" s="224" t="str">
        <f t="shared" si="46"/>
        <v>-</v>
      </c>
      <c r="AF163" s="224" t="str">
        <f t="shared" si="19"/>
        <v>-</v>
      </c>
      <c r="AG163" s="224" t="str">
        <f t="shared" si="20"/>
        <v>-</v>
      </c>
      <c r="AH163" s="272">
        <f t="shared" si="47"/>
        <v>0.1</v>
      </c>
      <c r="AI163" s="271" t="str">
        <f>IFERROR(IF(AD162=1,AI$100*EXP(-(LN(2)/$D$65+0.04)*AF162)*EXP(-(LN(2)/$D$65+0.1)*AG162),IF(AD162=2,AI$100*EXP(-(LN(2)/$D$65+0.04)*(VLOOKUP(($F$16-$F$15)-1,AC$99:AG162,4,FALSE)))*EXP(-(LN(2)/$D$65+0.1)*(VLOOKUP(($F$16-$F$15)-1,AC$99:AG162,5,FALSE)))*EXP(-(LN(2)/$D$65+0.04)*AF162)*EXP(-(LN(2)/$D$65+0.1)*AG162),IF(AD162=3,AI$100*EXP(-(LN(2)/$D$65+0.04)*(VLOOKUP(($F$16-$F$15)-1,AC$99:AG162,4,FALSE)))*EXP(-(LN(2)/$D$65+0.1)*(VLOOKUP(($F$16-$F$15)-1,AC$99:AG162,5,FALSE)))*EXP(-(LN(2)/$D$65+0.04)*(VLOOKUP(($F$16-$F$15)*2-1,AC$99:AG162,4,FALSE)))*EXP(-(LN(2)/$D$65+0.1)*(VLOOKUP(($F$16-$F$15)*2-1,AC$99:AG162,5,FALSE)))*EXP(-(LN(2)/$D$65+0.04)*AF162)*EXP(-(LN(2)/$D$65+0.1)*AG162),"-"))),"-")</f>
        <v>-</v>
      </c>
      <c r="AJ163" s="271" t="str">
        <f>IFERROR(IF(AD163=1,AJ$100*EXP(-(LN(2)/$D$65+0.04)*AF163)*EXP(-(LN(2)/$D$65+0.1)*AG163),IF(AD163=2,AJ$100*EXP(-(LN(2)/$D$65+0.04)*(VLOOKUP(($F$16-$F$15)-1,AC$100:AG163,4,FALSE)))*EXP(-(LN(2)/$D$65+0.1)*(VLOOKUP(($F$16-$F$15)-1,AC$100:AG163,5,FALSE)))*EXP(-(LN(2)/$D$65+0.04)*AF163)*EXP(-(LN(2)/$D$65+0.1)*AG163),IF(AD163=3,AJ$100*EXP(-(LN(2)/$D$65+0.04)*(VLOOKUP(($F$16-$F$15)-1,AC$100:AG163,4,FALSE)))*EXP(-(LN(2)/$D$65+0.1)*(VLOOKUP(($F$16-$F$15)-1,AC$100:AG163,5,FALSE)))*EXP(-(LN(2)/$D$65+0.04)*(VLOOKUP(($F$16-$F$15)*2-1,AC$100:AG163,4,FALSE)))*EXP(-(LN(2)/$D$65+0.1)*(VLOOKUP(($F$16-$F$15)*2-1,AC$100:AG163,5,FALSE)))*EXP(-(LN(2)/$D$65+0.04)*AF163)*EXP(-(LN(2)/$D$65+0.1)*AG163),"-"))),"-")</f>
        <v>-</v>
      </c>
      <c r="AK163" s="227">
        <f t="shared" si="49"/>
        <v>63</v>
      </c>
      <c r="AL163" s="226" t="str">
        <f t="shared" si="22"/>
        <v>-</v>
      </c>
      <c r="AM163" s="227" t="str">
        <f t="shared" si="50"/>
        <v>-</v>
      </c>
      <c r="AN163" s="227" t="str">
        <f t="shared" si="51"/>
        <v>-</v>
      </c>
      <c r="AO163" s="227" t="str">
        <f t="shared" si="23"/>
        <v>-</v>
      </c>
      <c r="AP163" s="273">
        <f t="shared" si="52"/>
        <v>0.1</v>
      </c>
      <c r="AQ163" s="271" t="str">
        <f>IFERROR(IF(AL162=1,AQ$100*EXP(-(LN(2)/$D$65+0.04)*AN162)*EXP(-(LN(2)/$D$65+0.1)*AO162),IF(AL162=2,AQ$100*EXP(-(LN(2)/$D$65+0.04)*(VLOOKUP(($F$16-$F$15)-1,AK$99:AO162,4,FALSE)))*EXP(-(LN(2)/$D$65+0.1)*(VLOOKUP(($F$16-$F$15)-1,AK$99:AO162,5,FALSE)))*EXP(-(LN(2)/$D$65+0.04)*AN162)*EXP(-(LN(2)/$D$65+0.1)*AO162),IF(AL162=3,AQ$100*EXP(-(LN(2)/$D$65+0.04)*(VLOOKUP(($F$16-$F$15)-1,AK$99:AO162,4,FALSE)))*EXP(-(LN(2)/$D$65+0.1)*(VLOOKUP(($F$16-$F$15)-1,AK$99:AO162,5,FALSE)))*EXP(-(LN(2)/$D$65+0.04)*(VLOOKUP(($F$16-$F$15)*2-1,AK$99:AO162,4,FALSE)))*EXP(-(LN(2)/$D$65+0.1)*(VLOOKUP(($F$16-$F$15)*2-1,AK$99:AO162,5,FALSE)))*EXP(-(LN(2)/$D$65+0.04)*AN162)*EXP(-(LN(2)/$D$65+0.1)*AO162),"-"))),"-")</f>
        <v>-</v>
      </c>
      <c r="AR163" s="271" t="str">
        <f>IFERROR(IF(AL163=1,AR$100*EXP(-(LN(2)/$D$65+0.04)*AN163)*EXP(-(LN(2)/$D$65+0.1)*AO163),IF(AL163=2,AR$100*EXP(-(LN(2)/$D$65+0.04)*(VLOOKUP(($F$16-$F$15)-1,AK$100:AO163,4,FALSE)))*EXP(-(LN(2)/$D$65+0.1)*(VLOOKUP(($F$16-$F$15)-1,AK$100:AO163,5,FALSE)))*EXP(-(LN(2)/$D$65+0.04)*AN163)*EXP(-(LN(2)/$D$65+0.1)*AO163),IF(AL163=3,AR$100*EXP(-(LN(2)/$D$65+0.04)*(VLOOKUP(($F$16-$F$15)-1,AK$100:AO163,4,FALSE)))*EXP(-(LN(2)/$D$65+0.1)*(VLOOKUP(($F$16-$F$15)-1,AK$100:AO163,5,FALSE)))*EXP(-(LN(2)/$D$65+0.04)*(VLOOKUP(($F$16-$F$15)*2-1,AK$100:AO163,4,FALSE)))*EXP(-(LN(2)/$D$65+0.1)*(VLOOKUP(($F$16-$F$15)*2-1,AK$100:AO163,5,FALSE)))*EXP(-(LN(2)/$D$65+0.04)*AN163)*EXP(-(LN(2)/$D$65+0.1)*AO163),"-"))),"-")</f>
        <v>-</v>
      </c>
      <c r="AS163" s="274">
        <f t="shared" si="24"/>
        <v>0</v>
      </c>
      <c r="AT163" s="274">
        <f t="shared" si="25"/>
        <v>0</v>
      </c>
      <c r="AU163" s="274">
        <f t="shared" si="26"/>
        <v>0</v>
      </c>
      <c r="AV163" s="190" t="str">
        <f>IF($B163&lt;$F$22,SUM($T$100:$T163),"")</f>
        <v/>
      </c>
      <c r="AW163" s="190" t="str">
        <f t="shared" si="83"/>
        <v>-</v>
      </c>
      <c r="AX163" s="190" t="str">
        <f t="shared" si="56"/>
        <v/>
      </c>
      <c r="AY163"/>
      <c r="AZ163" s="190" t="str">
        <f ca="1">IF(ISNUMBER(OFFSET(AV163,-$F$21,0)),SUM(OFFSET($T$100,$F$21,0):$T163),"")</f>
        <v/>
      </c>
      <c r="BA163" s="190" t="str">
        <f t="shared" ca="1" si="84"/>
        <v/>
      </c>
      <c r="BB163" s="190" t="str">
        <f t="shared" ca="1" si="70"/>
        <v/>
      </c>
      <c r="BC163" s="190"/>
      <c r="BD163" s="190" t="str">
        <f ca="1">IFERROR(IF(OR(ISNUMBER(I),ISNUMBER($F$14)),IF(AND($B163&gt;=($F$16-$F$15),$B163&lt;$F$22+($F$16-$F$15)),SUM(OFFSET($T$100,($F$16-$F$15),0):$T163),""),""),"")</f>
        <v/>
      </c>
      <c r="BE163" s="190" t="str">
        <f t="shared" ca="1" si="58"/>
        <v/>
      </c>
      <c r="BF163" s="190" t="str">
        <f t="shared" ca="1" si="59"/>
        <v/>
      </c>
      <c r="BG163"/>
      <c r="BH163" s="190" t="str">
        <f ca="1">IF(ISNUMBER(OFFSET(BD163,-$F$21,0)),SUM(OFFSET($T$100,($F$16-$F$15+$F$21),0):$T163),"")</f>
        <v/>
      </c>
      <c r="BI163" s="190" t="str">
        <f t="shared" ca="1" si="85"/>
        <v/>
      </c>
      <c r="BJ163" s="190" t="str">
        <f t="shared" ca="1" si="60"/>
        <v/>
      </c>
      <c r="BK163" s="190"/>
      <c r="BL163" s="190" t="str">
        <f ca="1">IFERROR(IF(OR(ISNUMBER(I),ISNUMBER($F$14)),IF(AND($B163&gt;=($F$17-$F$15),$B163&lt;$F$22+($F$17-$F$15)),SUM(OFFSET($T$100,($F$17-$F$15),0):$T163),""),""),"")</f>
        <v/>
      </c>
      <c r="BM163" s="190" t="str">
        <f t="shared" ca="1" si="86"/>
        <v/>
      </c>
      <c r="BN163" s="190" t="str">
        <f t="shared" ca="1" si="61"/>
        <v/>
      </c>
      <c r="BO163"/>
      <c r="BP163" s="190" t="str">
        <f ca="1">IF(ISNUMBER(OFFSET(BL163,-$F$21,0)),SUM(OFFSET($T$100,($F$17-$F$15+$F$21),0):$T163),"")</f>
        <v/>
      </c>
      <c r="BQ163" s="190" t="str">
        <f t="shared" ca="1" si="87"/>
        <v/>
      </c>
      <c r="BR163" s="190" t="str">
        <f t="shared" ca="1" si="63"/>
        <v/>
      </c>
      <c r="BS163" s="190"/>
      <c r="BT163"/>
      <c r="BU163"/>
      <c r="BV163"/>
      <c r="BY163" s="99"/>
      <c r="BZ163" s="99"/>
      <c r="CA163" s="280" t="str">
        <f t="shared" si="88"/>
        <v/>
      </c>
      <c r="CB163" s="71" t="str">
        <f t="shared" si="31"/>
        <v>-</v>
      </c>
      <c r="CC163" s="33"/>
      <c r="CD163" s="261" t="str">
        <f t="shared" si="33"/>
        <v/>
      </c>
      <c r="CE163" s="280" t="str">
        <f t="shared" si="89"/>
        <v/>
      </c>
      <c r="CF163" s="71" t="str">
        <f t="shared" ca="1" si="90"/>
        <v/>
      </c>
      <c r="CG163" s="33" t="str">
        <f t="shared" si="36"/>
        <v/>
      </c>
      <c r="CH163" s="261" t="str">
        <f t="shared" ca="1" si="37"/>
        <v/>
      </c>
      <c r="CI163" s="202"/>
      <c r="CJ163" s="99"/>
      <c r="CK163" s="99"/>
      <c r="CL163" s="99"/>
      <c r="CM163" s="99"/>
      <c r="CN163" s="99"/>
      <c r="CO163" s="99"/>
    </row>
    <row r="164" spans="2:93" ht="13.5" customHeight="1" x14ac:dyDescent="0.2">
      <c r="B164" s="262">
        <v>64</v>
      </c>
      <c r="C164" s="237" t="str">
        <f t="shared" ref="C164:C227" si="91">IF(ISERROR(VLOOKUP(B164,$B$39:$C$73,2,0)),"",VLOOKUP(B164,$B$39:$C$73,2,0))</f>
        <v/>
      </c>
      <c r="D164" s="237" t="str">
        <f t="shared" si="66"/>
        <v/>
      </c>
      <c r="E164" s="290" t="str">
        <f t="shared" si="38"/>
        <v/>
      </c>
      <c r="F164" s="264" t="str">
        <f t="shared" si="39"/>
        <v/>
      </c>
      <c r="G164" s="291" t="str">
        <f t="shared" si="40"/>
        <v/>
      </c>
      <c r="H164" s="240" t="str">
        <f t="shared" ref="H164:H195" si="92">IF(E164&lt;&gt;"",IF($B164&lt;$F$21,"",IF(ISNUMBER(F164),IF(ISNUMBER(I164),(E164*30*50*ffp),""),(E164*30*50*ffp))),"")</f>
        <v/>
      </c>
      <c r="I164" s="265" t="str">
        <f t="shared" ref="I164:I195" si="93">IFERROR(IF(F164&lt;&gt;"",IF($B164&lt;$F$21+$F$16,"",IF(ISNUMBER(G164),IF(ISNUMBER(J164),(F164*30*50*ffp),""),(F164*30*50*ffp))),""),"")</f>
        <v/>
      </c>
      <c r="J164" s="265" t="str">
        <f t="shared" ref="J164:J195" si="94">IFERROR(IF(G164&lt;&gt;"",IF($B164&lt;$F$21+$F$17,"",(G164*30*50*ffp)),""),"")</f>
        <v/>
      </c>
      <c r="K164" s="240" t="str">
        <f t="shared" ref="K164:K195" si="95">IF(E164&lt;&gt;"",((E164*20*50*ffp)/Klevee),"")</f>
        <v/>
      </c>
      <c r="L164" s="265" t="str">
        <f t="shared" ref="L164:L195" si="96">IF(ISNUMBER(F164),((F164*20*50*ffp)/Klevee),"")</f>
        <v/>
      </c>
      <c r="M164" s="265" t="str">
        <f t="shared" ref="M164:M195" si="97">IF(ISNUMBER(G164),((G164*20*50*ffp)/Klevee),"")</f>
        <v/>
      </c>
      <c r="N164" s="240" t="str">
        <f t="shared" ref="N164:N195" si="98">IF(AND(ISNUMBER(I),ISNUMBER($F$14),ISNUMBER($F$20)),IF($B164=0,I*($J$40/100)*$J$42*1,""),"-")</f>
        <v>-</v>
      </c>
      <c r="O164" s="265" t="str">
        <f t="shared" ref="O164:O195" si="99">IF(ISNUMBER($F$14),IF($F$14&gt;1,IF($B164=0+$F$16,I*($J$40/100)*$J$42*1,""),""),"-")</f>
        <v>-</v>
      </c>
      <c r="P164" s="265" t="str">
        <f t="shared" ref="P164:P195" si="100">IF(ISNUMBER($F$14),IF($F$14&gt;2,IF($B164=0+$F$17,I*($J$40/100)*$J$42*1,""),""),"-")</f>
        <v>-</v>
      </c>
      <c r="Q164" s="266" t="str">
        <f t="shared" ref="Q164:Q195" si="101">IF(AND(ISNUMBER(I),ISNUMBER($F$14),ISNUMBER($F$20)),IF($B164=0,I*(dt/100)*$J$45*1,""),"-")</f>
        <v>-</v>
      </c>
      <c r="R164" s="267" t="str">
        <f t="shared" ref="R164:R195" si="102">IF(ISNUMBER($F$14),IF($F$14&gt;1,IF($B164=0+$F$16,I*(dt/100)*$J$45*1,""),""),"-")</f>
        <v>-</v>
      </c>
      <c r="S164" s="268" t="str">
        <f t="shared" ref="S164:S195" si="103">IF(ISNUMBER($F$14),IF($F$14&gt;2,IF($B164=0+$F$17,I*(dt/100)*$J$45*1,""),""),"-")</f>
        <v>-</v>
      </c>
      <c r="T164" s="269" t="str">
        <f t="shared" ref="T164:T227" si="104">IF(SUM(H164:S164)=0,"",SUM(H164:S164))</f>
        <v/>
      </c>
      <c r="U164" s="221">
        <f t="shared" ref="U164:U227" si="105">B164</f>
        <v>64</v>
      </c>
      <c r="V164" s="220" t="str">
        <f t="shared" si="42"/>
        <v>-</v>
      </c>
      <c r="W164" s="221" t="str">
        <f t="shared" si="43"/>
        <v>-</v>
      </c>
      <c r="X164" s="221" t="str">
        <f t="shared" ref="X164:X227" si="106">IFERROR(IF($F$21=0,0,IF(V164=V163,IF(B164-(V164-1)*($F$16-$F$15)&lt;$F$21,X163+1,X163),1)),"-")</f>
        <v>-</v>
      </c>
      <c r="Y164" s="221" t="str">
        <f t="shared" ref="Y164:Y227" si="107">IFERROR(W164-X164,"-")</f>
        <v>-</v>
      </c>
      <c r="Z164" s="270">
        <f t="shared" si="44"/>
        <v>0.1</v>
      </c>
      <c r="AA164" s="271" t="str">
        <f>IFERROR(IF(V163=1,AA$100*EXP(-(LN(2)/$D$65+0.04)*X163)*EXP(-(LN(2)/$D$65+0.1)*Y163),IF(V163=2,AA$100*EXP(-(LN(2)/$D$65+0.04)*(VLOOKUP(($F$16-$F$15)-1,U$99:Y163,4,FALSE)))*EXP(-(LN(2)/$D$65+0.1)*(VLOOKUP(($F$16-$F$15)-1,U$99:Y163,5,FALSE)))*EXP(-(LN(2)/$D$65+0.04)*X163)*EXP(-(LN(2)/$D$65+0.1)*Y163),IF(V163=3,AA$100*EXP(-(LN(2)/$D$65+0.04)*(VLOOKUP(($F$16-$F$15)-1,U$99:Y163,4,FALSE)))*EXP(-(LN(2)/$D$65+0.1)*(VLOOKUP(($F$16-$F$15)-1,U$99:Y163,5,FALSE)))*EXP(-(LN(2)/$D$65+0.04)*(VLOOKUP(($F$16-$F$15)*2-1,U$99:Y163,4,FALSE)))*EXP(-(LN(2)/$D$65+0.1)*(VLOOKUP(($F$16-$F$15)*2-1,U$99:Y163,5,FALSE)))*EXP(-(LN(2)/$D$65+0.04)*X163)*EXP(-(LN(2)/$D$65+0.1)*Y163),"-"))),"-")</f>
        <v>-</v>
      </c>
      <c r="AB164" s="271" t="str">
        <f>IFERROR(IF(V164=1,AB$100*EXP(-(LN(2)/$D$65+0.04)*X164)*EXP(-(LN(2)/$D$65+0.1)*Y164),IF(V164=2,AB$100*EXP(-(LN(2)/$D$65+0.04)*(VLOOKUP(($F$16-$F$15)-1,U$100:Y164,4,FALSE)))*EXP(-(LN(2)/$D$65+0.1)*(VLOOKUP(($F$16-$F$15)-1,U$100:Y164,5,FALSE)))*EXP(-(LN(2)/$D$65+0.04)*X164)*EXP(-(LN(2)/$D$65+0.1)*Y164),IF(V164=3,AB$100*EXP(-(LN(2)/$D$65+0.04)*(VLOOKUP(($F$16-$F$15)-1,U$100:Y164,4,FALSE)))*EXP(-(LN(2)/$D$65+0.1)*(VLOOKUP(($F$16-$F$15)-1,U$100:Y164,5,FALSE)))*EXP(-(LN(2)/$D$65+0.04)*(VLOOKUP(($F$16-$F$15)*2-1,U$100:Y164,4,FALSE)))*EXP(-(LN(2)/$D$65+0.1)*(VLOOKUP(($F$16-$F$15)*2-1,U$100:Y164,5,FALSE)))*EXP(-(LN(2)/$D$65+0.04)*X164)*EXP(-(LN(2)/$D$65+0.1)*Y164),"-"))),"-")</f>
        <v>-</v>
      </c>
      <c r="AC164" s="224">
        <f t="shared" si="45"/>
        <v>64</v>
      </c>
      <c r="AD164" s="223" t="str">
        <f t="shared" ref="AD164:AD227" si="108">IFERROR(IF($F$14-1&gt;0,IF(B164&lt;($F$16-$F$15)*($F$14-1),INT(B164/($F$16-$F$15))+1,AD162),"-"),"-")</f>
        <v>-</v>
      </c>
      <c r="AE164" s="224" t="str">
        <f t="shared" si="46"/>
        <v>-</v>
      </c>
      <c r="AF164" s="224" t="str">
        <f t="shared" ref="AF164:AF227" si="109">IFERROR(IF($F$21=0,0,IF(AD164=AD163,IF(B164-(AD164-1)*($F$16-$F$15)&lt;$F$21,AF163+1,AF163),1)),"-")</f>
        <v>-</v>
      </c>
      <c r="AG164" s="224" t="str">
        <f t="shared" ref="AG164:AG227" si="110">IFERROR(AE164-AF164,"-")</f>
        <v>-</v>
      </c>
      <c r="AH164" s="272">
        <f t="shared" si="47"/>
        <v>0.1</v>
      </c>
      <c r="AI164" s="271" t="str">
        <f>IFERROR(IF(AD163=1,AI$100*EXP(-(LN(2)/$D$65+0.04)*AF163)*EXP(-(LN(2)/$D$65+0.1)*AG163),IF(AD163=2,AI$100*EXP(-(LN(2)/$D$65+0.04)*(VLOOKUP(($F$16-$F$15)-1,AC$99:AG163,4,FALSE)))*EXP(-(LN(2)/$D$65+0.1)*(VLOOKUP(($F$16-$F$15)-1,AC$99:AG163,5,FALSE)))*EXP(-(LN(2)/$D$65+0.04)*AF163)*EXP(-(LN(2)/$D$65+0.1)*AG163),IF(AD163=3,AI$100*EXP(-(LN(2)/$D$65+0.04)*(VLOOKUP(($F$16-$F$15)-1,AC$99:AG163,4,FALSE)))*EXP(-(LN(2)/$D$65+0.1)*(VLOOKUP(($F$16-$F$15)-1,AC$99:AG163,5,FALSE)))*EXP(-(LN(2)/$D$65+0.04)*(VLOOKUP(($F$16-$F$15)*2-1,AC$99:AG163,4,FALSE)))*EXP(-(LN(2)/$D$65+0.1)*(VLOOKUP(($F$16-$F$15)*2-1,AC$99:AG163,5,FALSE)))*EXP(-(LN(2)/$D$65+0.04)*AF163)*EXP(-(LN(2)/$D$65+0.1)*AG163),"-"))),"-")</f>
        <v>-</v>
      </c>
      <c r="AJ164" s="271" t="str">
        <f>IFERROR(IF(AD164=1,AJ$100*EXP(-(LN(2)/$D$65+0.04)*AF164)*EXP(-(LN(2)/$D$65+0.1)*AG164),IF(AD164=2,AJ$100*EXP(-(LN(2)/$D$65+0.04)*(VLOOKUP(($F$16-$F$15)-1,AC$100:AG164,4,FALSE)))*EXP(-(LN(2)/$D$65+0.1)*(VLOOKUP(($F$16-$F$15)-1,AC$100:AG164,5,FALSE)))*EXP(-(LN(2)/$D$65+0.04)*AF164)*EXP(-(LN(2)/$D$65+0.1)*AG164),IF(AD164=3,AJ$100*EXP(-(LN(2)/$D$65+0.04)*(VLOOKUP(($F$16-$F$15)-1,AC$100:AG164,4,FALSE)))*EXP(-(LN(2)/$D$65+0.1)*(VLOOKUP(($F$16-$F$15)-1,AC$100:AG164,5,FALSE)))*EXP(-(LN(2)/$D$65+0.04)*(VLOOKUP(($F$16-$F$15)*2-1,AC$100:AG164,4,FALSE)))*EXP(-(LN(2)/$D$65+0.1)*(VLOOKUP(($F$16-$F$15)*2-1,AC$100:AG164,5,FALSE)))*EXP(-(LN(2)/$D$65+0.04)*AF164)*EXP(-(LN(2)/$D$65+0.1)*AG164),"-"))),"-")</f>
        <v>-</v>
      </c>
      <c r="AK164" s="227">
        <f t="shared" si="49"/>
        <v>64</v>
      </c>
      <c r="AL164" s="226" t="str">
        <f t="shared" ref="AL164:AL227" si="111">IFERROR(IF($F$14-2&gt;0,IF(B164&lt;($F$16-$F$15)*($F$14-2),INT(B164/($F$16-$F$15))+1,AL162),"-"),"-")</f>
        <v>-</v>
      </c>
      <c r="AM164" s="227" t="str">
        <f t="shared" si="50"/>
        <v>-</v>
      </c>
      <c r="AN164" s="227" t="str">
        <f t="shared" si="51"/>
        <v>-</v>
      </c>
      <c r="AO164" s="227" t="str">
        <f t="shared" ref="AO164:AO227" si="112">IFERROR(AM164-AN164,"-")</f>
        <v>-</v>
      </c>
      <c r="AP164" s="273">
        <f t="shared" si="52"/>
        <v>0.1</v>
      </c>
      <c r="AQ164" s="271" t="str">
        <f>IFERROR(IF(AL163=1,AQ$100*EXP(-(LN(2)/$D$65+0.04)*AN163)*EXP(-(LN(2)/$D$65+0.1)*AO163),IF(AL163=2,AQ$100*EXP(-(LN(2)/$D$65+0.04)*(VLOOKUP(($F$16-$F$15)-1,AK$99:AO163,4,FALSE)))*EXP(-(LN(2)/$D$65+0.1)*(VLOOKUP(($F$16-$F$15)-1,AK$99:AO163,5,FALSE)))*EXP(-(LN(2)/$D$65+0.04)*AN163)*EXP(-(LN(2)/$D$65+0.1)*AO163),IF(AL163=3,AQ$100*EXP(-(LN(2)/$D$65+0.04)*(VLOOKUP(($F$16-$F$15)-1,AK$99:AO163,4,FALSE)))*EXP(-(LN(2)/$D$65+0.1)*(VLOOKUP(($F$16-$F$15)-1,AK$99:AO163,5,FALSE)))*EXP(-(LN(2)/$D$65+0.04)*(VLOOKUP(($F$16-$F$15)*2-1,AK$99:AO163,4,FALSE)))*EXP(-(LN(2)/$D$65+0.1)*(VLOOKUP(($F$16-$F$15)*2-1,AK$99:AO163,5,FALSE)))*EXP(-(LN(2)/$D$65+0.04)*AN163)*EXP(-(LN(2)/$D$65+0.1)*AO163),"-"))),"-")</f>
        <v>-</v>
      </c>
      <c r="AR164" s="271" t="str">
        <f>IFERROR(IF(AL164=1,AR$100*EXP(-(LN(2)/$D$65+0.04)*AN164)*EXP(-(LN(2)/$D$65+0.1)*AO164),IF(AL164=2,AR$100*EXP(-(LN(2)/$D$65+0.04)*(VLOOKUP(($F$16-$F$15)-1,AK$100:AO164,4,FALSE)))*EXP(-(LN(2)/$D$65+0.1)*(VLOOKUP(($F$16-$F$15)-1,AK$100:AO164,5,FALSE)))*EXP(-(LN(2)/$D$65+0.04)*AN164)*EXP(-(LN(2)/$D$65+0.1)*AO164),IF(AL164=3,AR$100*EXP(-(LN(2)/$D$65+0.04)*(VLOOKUP(($F$16-$F$15)-1,AK$100:AO164,4,FALSE)))*EXP(-(LN(2)/$D$65+0.1)*(VLOOKUP(($F$16-$F$15)-1,AK$100:AO164,5,FALSE)))*EXP(-(LN(2)/$D$65+0.04)*(VLOOKUP(($F$16-$F$15)*2-1,AK$100:AO164,4,FALSE)))*EXP(-(LN(2)/$D$65+0.1)*(VLOOKUP(($F$16-$F$15)*2-1,AK$100:AO164,5,FALSE)))*EXP(-(LN(2)/$D$65+0.04)*AN164)*EXP(-(LN(2)/$D$65+0.1)*AO164),"-"))),"-")</f>
        <v>-</v>
      </c>
      <c r="AS164" s="274">
        <f t="shared" ref="AS164:AS227" si="113">SUM(H164:J164)</f>
        <v>0</v>
      </c>
      <c r="AT164" s="274">
        <f t="shared" ref="AT164:AT227" si="114">SUM(K164:M164)</f>
        <v>0</v>
      </c>
      <c r="AU164" s="274">
        <f t="shared" ref="AU164:AU227" si="115">SUM(N164:S164)</f>
        <v>0</v>
      </c>
      <c r="AV164" s="190" t="str">
        <f>IF($B164&lt;$F$22,SUM($T$100:$T164),"")</f>
        <v/>
      </c>
      <c r="AW164" s="190" t="str">
        <f t="shared" ref="AW164:AW195" si="116">IF(ISNUMBER(Koc),IF(ISNUMBER(AV164),AV164*(Koc*(Ocse/100)*Pse*Vse)/(Koc*(Ocse/100)*Pse*Vse+1*86400*($B164+1)),""),"-")</f>
        <v>-</v>
      </c>
      <c r="AX164" s="190" t="str">
        <f t="shared" si="56"/>
        <v/>
      </c>
      <c r="AY164"/>
      <c r="AZ164" s="190" t="str">
        <f ca="1">IF(ISNUMBER(OFFSET(AV164,-$F$21,0)),SUM(OFFSET($T$100,$F$21,0):$T164),"")</f>
        <v/>
      </c>
      <c r="BA164" s="190" t="str">
        <f t="shared" ref="BA164:BA195" ca="1" si="117">IF(ISNUMBER(OFFSET(AV164,-$F$21,0)),AZ164*(Koc*(Ocse/100)*Pse*Vse)/(Koc*(Ocse/100)*Pse*Vse+1*86400*($B164+1)),"")</f>
        <v/>
      </c>
      <c r="BB164" s="190" t="str">
        <f t="shared" ca="1" si="70"/>
        <v/>
      </c>
      <c r="BC164" s="190"/>
      <c r="BD164" s="190" t="str">
        <f ca="1">IFERROR(IF(OR(ISNUMBER(I),ISNUMBER($F$14)),IF(AND($B164&gt;=($F$16-$F$15),$B164&lt;$F$22+($F$16-$F$15)),SUM(OFFSET($T$100,($F$16-$F$15),0):$T164),""),""),"")</f>
        <v/>
      </c>
      <c r="BE164" s="190" t="str">
        <f t="shared" ca="1" si="58"/>
        <v/>
      </c>
      <c r="BF164" s="190" t="str">
        <f t="shared" ca="1" si="59"/>
        <v/>
      </c>
      <c r="BG164"/>
      <c r="BH164" s="190" t="str">
        <f ca="1">IF(ISNUMBER(OFFSET(BD164,-$F$21,0)),SUM(OFFSET($T$100,($F$16-$F$15+$F$21),0):$T164),"")</f>
        <v/>
      </c>
      <c r="BI164" s="190" t="str">
        <f t="shared" ref="BI164:BI195" ca="1" si="118">IF(ISNUMBER(OFFSET(BD164,-$F$21,0)),BH164*(Koc*(Ocse/100)*Pse*Vse)/(Koc*(Ocse/100)*Pse*Vse+1*86400*($B164+1)),"")</f>
        <v/>
      </c>
      <c r="BJ164" s="190" t="str">
        <f t="shared" ca="1" si="60"/>
        <v/>
      </c>
      <c r="BK164" s="190"/>
      <c r="BL164" s="190" t="str">
        <f ca="1">IFERROR(IF(OR(ISNUMBER(I),ISNUMBER($F$14)),IF(AND($B164&gt;=($F$17-$F$15),$B164&lt;$F$22+($F$17-$F$15)),SUM(OFFSET($T$100,($F$17-$F$15),0):$T164),""),""),"")</f>
        <v/>
      </c>
      <c r="BM164" s="190" t="str">
        <f t="shared" ref="BM164:BM195" ca="1" si="119">IF(ISNUMBER(BL164),BL164*(Koc*(Ocse/100)*Pse*Vse)/(Koc*(Ocse/100)*Pse*Vse+1*86400*($B164+1)),"")</f>
        <v/>
      </c>
      <c r="BN164" s="190" t="str">
        <f t="shared" ca="1" si="61"/>
        <v/>
      </c>
      <c r="BO164"/>
      <c r="BP164" s="190" t="str">
        <f ca="1">IF(ISNUMBER(OFFSET(BL164,-$F$21,0)),SUM(OFFSET($T$100,($F$17-$F$15+$F$21),0):$T164),"")</f>
        <v/>
      </c>
      <c r="BQ164" s="190" t="str">
        <f t="shared" ref="BQ164:BQ195" ca="1" si="120">IF(ISNUMBER(OFFSET(BL164,-$F$21,0)),BP164*(Koc*(Ocse/100)*Pse*Vse)/(Koc*(Ocse/100)*Pse*Vse+1*86400*($B164+1)),"")</f>
        <v/>
      </c>
      <c r="BR164" s="190" t="str">
        <f t="shared" ca="1" si="63"/>
        <v/>
      </c>
      <c r="BS164" s="190"/>
      <c r="BT164"/>
      <c r="BU164"/>
      <c r="BV164"/>
      <c r="BY164" s="99"/>
      <c r="BZ164" s="99"/>
      <c r="CA164" s="280" t="str">
        <f t="shared" ref="CA164:CA195" si="121">IFERROR(IF($B164&lt;$CA$94,T164*(Koc*(Ocse/100)*Pse*Vse)/(Koc*(Ocse/100)*Pse*Vse+1*86400*$CA$94),""),"-")</f>
        <v/>
      </c>
      <c r="CB164" s="71" t="str">
        <f t="shared" ref="CB164:CB227" si="122">IF(ISNUMBER(T164),IF($B164&lt;$CA$94,(T164-CA164)/(3*86400)*1000,""),"-")</f>
        <v>-</v>
      </c>
      <c r="CC164" s="33"/>
      <c r="CD164" s="261" t="str">
        <f t="shared" ref="CD164:CD227" si="123">IF(CC164=CA$96,CB$96,"")</f>
        <v/>
      </c>
      <c r="CE164" s="280" t="str">
        <f t="shared" ref="CE164:CE195" si="124">IFERROR(IF($B164&lt;$CE$94,T164*(Koc*(Ocse/100)*Pse*Vse)/(Koc*(Ocse/100)*Pse*Vse+1*86400*$CE$94),""),"-")</f>
        <v/>
      </c>
      <c r="CF164" s="71" t="str">
        <f t="shared" ref="CF164:CF195" ca="1" si="125">IFERROR(IF($B164&lt;$CE$94,IF(NOT(ISNUMBER(ffp)),"-",IF($F$70=$AX$87,AX164,IF($F$70=$BB$87,OFFSET(BB164,$F$21,0),IF($F$70=$BF$87,OFFSET(BF164,$F$16,0),IF($F$70=$BJ$87,OFFSET(BJ164,$F$16+$F$21,0),IF($F$70=$BN$87,OFFSET(BN164,$F$17,0),OFFSET(BR164,$F$17+$F$21,0))))))),""),"-")</f>
        <v/>
      </c>
      <c r="CG164" s="33" t="str">
        <f t="shared" ref="CG164:CG227" si="126">IF($B164&lt;$CE$94,$B164&amp;"-"&amp;$B164+1,"")</f>
        <v/>
      </c>
      <c r="CH164" s="261" t="str">
        <f t="shared" ref="CH164:CH227" ca="1" si="127">IF(CG164=CE$96,CF$96,"")</f>
        <v/>
      </c>
      <c r="CI164" s="202"/>
      <c r="CJ164" s="99"/>
      <c r="CK164" s="99"/>
      <c r="CL164" s="99"/>
      <c r="CM164" s="99"/>
      <c r="CN164" s="99"/>
      <c r="CO164" s="99"/>
    </row>
    <row r="165" spans="2:93" ht="13.5" customHeight="1" x14ac:dyDescent="0.2">
      <c r="B165" s="262">
        <v>65</v>
      </c>
      <c r="C165" s="237" t="str">
        <f t="shared" si="91"/>
        <v/>
      </c>
      <c r="D165" s="237" t="str">
        <f t="shared" si="66"/>
        <v/>
      </c>
      <c r="E165" s="290" t="str">
        <f t="shared" ref="E165:E228" si="128">IF(ISNUMBER($F$14),IF(ISNUMBER(AA165),AA165,""),"")</f>
        <v/>
      </c>
      <c r="F165" s="264" t="str">
        <f t="shared" ref="F165:F228" si="129">IF(OR($F$14=2,$F$14=3),IF(($F$16-$F$15)&gt;B165," ",VLOOKUP((B165-($F$16-$F$15)),$AC$100:$AI$250,7,FALSE)),"")</f>
        <v/>
      </c>
      <c r="G165" s="291" t="str">
        <f t="shared" ref="G165:G228" si="130">IF($F$14=3,IF(($F$16-$F$15)*2&gt;B165," ",VLOOKUP((B165-($F$16-$F$15)*2),$AK$100:$AQ$250,7,FALSE)),"")</f>
        <v/>
      </c>
      <c r="H165" s="240" t="str">
        <f t="shared" si="92"/>
        <v/>
      </c>
      <c r="I165" s="265" t="str">
        <f t="shared" si="93"/>
        <v/>
      </c>
      <c r="J165" s="265" t="str">
        <f t="shared" si="94"/>
        <v/>
      </c>
      <c r="K165" s="240" t="str">
        <f t="shared" si="95"/>
        <v/>
      </c>
      <c r="L165" s="265" t="str">
        <f t="shared" si="96"/>
        <v/>
      </c>
      <c r="M165" s="265" t="str">
        <f t="shared" si="97"/>
        <v/>
      </c>
      <c r="N165" s="240" t="str">
        <f t="shared" si="98"/>
        <v>-</v>
      </c>
      <c r="O165" s="265" t="str">
        <f t="shared" si="99"/>
        <v>-</v>
      </c>
      <c r="P165" s="265" t="str">
        <f t="shared" si="100"/>
        <v>-</v>
      </c>
      <c r="Q165" s="266" t="str">
        <f t="shared" si="101"/>
        <v>-</v>
      </c>
      <c r="R165" s="267" t="str">
        <f t="shared" si="102"/>
        <v>-</v>
      </c>
      <c r="S165" s="268" t="str">
        <f t="shared" si="103"/>
        <v>-</v>
      </c>
      <c r="T165" s="269" t="str">
        <f t="shared" si="104"/>
        <v/>
      </c>
      <c r="U165" s="221">
        <f t="shared" si="105"/>
        <v>65</v>
      </c>
      <c r="V165" s="220" t="str">
        <f t="shared" ref="V165:V228" si="131">IF(ISNUMBER($F$14),IF(B165&lt;($F$16-$F$15)*$F$14,INT(B165/($F$16-$F$15))+1,V163),"-")</f>
        <v>-</v>
      </c>
      <c r="W165" s="221" t="str">
        <f t="shared" ref="W165:W228" si="132">IF(ISNUMBER($F$14),IF(B165&lt;$F$14*($F$16-$F$15),B165-INT(B165/($F$16-$F$15))*($F$16-$F$15)+1,W164+1),"-")</f>
        <v>-</v>
      </c>
      <c r="X165" s="221" t="str">
        <f t="shared" si="106"/>
        <v>-</v>
      </c>
      <c r="Y165" s="221" t="str">
        <f t="shared" si="107"/>
        <v>-</v>
      </c>
      <c r="Z165" s="270">
        <f t="shared" ref="Z165:Z228" si="133">IF(Y165&gt;0,0.1,0.04)</f>
        <v>0.1</v>
      </c>
      <c r="AA165" s="271" t="str">
        <f>IFERROR(IF(V164=1,AA$100*EXP(-(LN(2)/$D$65+0.04)*X164)*EXP(-(LN(2)/$D$65+0.1)*Y164),IF(V164=2,AA$100*EXP(-(LN(2)/$D$65+0.04)*(VLOOKUP(($F$16-$F$15)-1,U$99:Y164,4,FALSE)))*EXP(-(LN(2)/$D$65+0.1)*(VLOOKUP(($F$16-$F$15)-1,U$99:Y164,5,FALSE)))*EXP(-(LN(2)/$D$65+0.04)*X164)*EXP(-(LN(2)/$D$65+0.1)*Y164),IF(V164=3,AA$100*EXP(-(LN(2)/$D$65+0.04)*(VLOOKUP(($F$16-$F$15)-1,U$99:Y164,4,FALSE)))*EXP(-(LN(2)/$D$65+0.1)*(VLOOKUP(($F$16-$F$15)-1,U$99:Y164,5,FALSE)))*EXP(-(LN(2)/$D$65+0.04)*(VLOOKUP(($F$16-$F$15)*2-1,U$99:Y164,4,FALSE)))*EXP(-(LN(2)/$D$65+0.1)*(VLOOKUP(($F$16-$F$15)*2-1,U$99:Y164,5,FALSE)))*EXP(-(LN(2)/$D$65+0.04)*X164)*EXP(-(LN(2)/$D$65+0.1)*Y164),"-"))),"-")</f>
        <v>-</v>
      </c>
      <c r="AB165" s="271" t="str">
        <f>IFERROR(IF(V165=1,AB$100*EXP(-(LN(2)/$D$65+0.04)*X165)*EXP(-(LN(2)/$D$65+0.1)*Y165),IF(V165=2,AB$100*EXP(-(LN(2)/$D$65+0.04)*(VLOOKUP(($F$16-$F$15)-1,U$100:Y165,4,FALSE)))*EXP(-(LN(2)/$D$65+0.1)*(VLOOKUP(($F$16-$F$15)-1,U$100:Y165,5,FALSE)))*EXP(-(LN(2)/$D$65+0.04)*X165)*EXP(-(LN(2)/$D$65+0.1)*Y165),IF(V165=3,AB$100*EXP(-(LN(2)/$D$65+0.04)*(VLOOKUP(($F$16-$F$15)-1,U$100:Y165,4,FALSE)))*EXP(-(LN(2)/$D$65+0.1)*(VLOOKUP(($F$16-$F$15)-1,U$100:Y165,5,FALSE)))*EXP(-(LN(2)/$D$65+0.04)*(VLOOKUP(($F$16-$F$15)*2-1,U$100:Y165,4,FALSE)))*EXP(-(LN(2)/$D$65+0.1)*(VLOOKUP(($F$16-$F$15)*2-1,U$100:Y165,5,FALSE)))*EXP(-(LN(2)/$D$65+0.04)*X165)*EXP(-(LN(2)/$D$65+0.1)*Y165),"-"))),"-")</f>
        <v>-</v>
      </c>
      <c r="AC165" s="224">
        <f t="shared" ref="AC165:AC228" si="134">B165</f>
        <v>65</v>
      </c>
      <c r="AD165" s="223" t="str">
        <f t="shared" si="108"/>
        <v>-</v>
      </c>
      <c r="AE165" s="224" t="str">
        <f t="shared" ref="AE165:AE228" si="135">IFERROR(IF($F$14-1&gt;0,IF(B165&lt;($F$14-1)*($F$16-$F$15),B165-INT(B165/($F$16-$F$15))*($F$16-$F$15)+1,AE164+1),"-"),"-")</f>
        <v>-</v>
      </c>
      <c r="AF165" s="224" t="str">
        <f t="shared" si="109"/>
        <v>-</v>
      </c>
      <c r="AG165" s="224" t="str">
        <f t="shared" si="110"/>
        <v>-</v>
      </c>
      <c r="AH165" s="272">
        <f t="shared" ref="AH165:AH228" si="136">IF(AG165&gt;0,0.1,0.04)</f>
        <v>0.1</v>
      </c>
      <c r="AI165" s="271" t="str">
        <f>IFERROR(IF(AD164=1,AI$100*EXP(-(LN(2)/$D$65+0.04)*AF164)*EXP(-(LN(2)/$D$65+0.1)*AG164),IF(AD164=2,AI$100*EXP(-(LN(2)/$D$65+0.04)*(VLOOKUP(($F$16-$F$15)-1,AC$99:AG164,4,FALSE)))*EXP(-(LN(2)/$D$65+0.1)*(VLOOKUP(($F$16-$F$15)-1,AC$99:AG164,5,FALSE)))*EXP(-(LN(2)/$D$65+0.04)*AF164)*EXP(-(LN(2)/$D$65+0.1)*AG164),IF(AD164=3,AI$100*EXP(-(LN(2)/$D$65+0.04)*(VLOOKUP(($F$16-$F$15)-1,AC$99:AG164,4,FALSE)))*EXP(-(LN(2)/$D$65+0.1)*(VLOOKUP(($F$16-$F$15)-1,AC$99:AG164,5,FALSE)))*EXP(-(LN(2)/$D$65+0.04)*(VLOOKUP(($F$16-$F$15)*2-1,AC$99:AG164,4,FALSE)))*EXP(-(LN(2)/$D$65+0.1)*(VLOOKUP(($F$16-$F$15)*2-1,AC$99:AG164,5,FALSE)))*EXP(-(LN(2)/$D$65+0.04)*AF164)*EXP(-(LN(2)/$D$65+0.1)*AG164),"-"))),"-")</f>
        <v>-</v>
      </c>
      <c r="AJ165" s="271" t="str">
        <f>IFERROR(IF(AD165=1,AJ$100*EXP(-(LN(2)/$D$65+0.04)*AF165)*EXP(-(LN(2)/$D$65+0.1)*AG165),IF(AD165=2,AJ$100*EXP(-(LN(2)/$D$65+0.04)*(VLOOKUP(($F$16-$F$15)-1,AC$100:AG165,4,FALSE)))*EXP(-(LN(2)/$D$65+0.1)*(VLOOKUP(($F$16-$F$15)-1,AC$100:AG165,5,FALSE)))*EXP(-(LN(2)/$D$65+0.04)*AF165)*EXP(-(LN(2)/$D$65+0.1)*AG165),IF(AD165=3,AJ$100*EXP(-(LN(2)/$D$65+0.04)*(VLOOKUP(($F$16-$F$15)-1,AC$100:AG165,4,FALSE)))*EXP(-(LN(2)/$D$65+0.1)*(VLOOKUP(($F$16-$F$15)-1,AC$100:AG165,5,FALSE)))*EXP(-(LN(2)/$D$65+0.04)*(VLOOKUP(($F$16-$F$15)*2-1,AC$100:AG165,4,FALSE)))*EXP(-(LN(2)/$D$65+0.1)*(VLOOKUP(($F$16-$F$15)*2-1,AC$100:AG165,5,FALSE)))*EXP(-(LN(2)/$D$65+0.04)*AF165)*EXP(-(LN(2)/$D$65+0.1)*AG165),"-"))),"-")</f>
        <v>-</v>
      </c>
      <c r="AK165" s="227">
        <f t="shared" ref="AK165:AK228" si="137">B165</f>
        <v>65</v>
      </c>
      <c r="AL165" s="226" t="str">
        <f t="shared" si="111"/>
        <v>-</v>
      </c>
      <c r="AM165" s="227" t="str">
        <f t="shared" ref="AM165:AM228" si="138">IFERROR(IF($F$14-2&gt;0,IF(B165&lt;($F$14-2)*($F$16-$F$15),B165-INT(B165/($F$16-$F$15))*($F$16-$F$15)+1,AM164+1),"-"),"-")</f>
        <v>-</v>
      </c>
      <c r="AN165" s="227" t="str">
        <f t="shared" ref="AN165:AN228" si="139">IFERROR(IF($F$21=0,0,IF(AL165=AL164,IF(B165-(AL165-1)*($F$16-$F$15)&lt;$F$21,AN164+1,AN164),1)),"-")</f>
        <v>-</v>
      </c>
      <c r="AO165" s="227" t="str">
        <f t="shared" si="112"/>
        <v>-</v>
      </c>
      <c r="AP165" s="273">
        <f t="shared" ref="AP165:AP228" si="140">IF(AO165&gt;0,0.1,0.04)</f>
        <v>0.1</v>
      </c>
      <c r="AQ165" s="271" t="str">
        <f>IFERROR(IF(AL164=1,AQ$100*EXP(-(LN(2)/$D$65+0.04)*AN164)*EXP(-(LN(2)/$D$65+0.1)*AO164),IF(AL164=2,AQ$100*EXP(-(LN(2)/$D$65+0.04)*(VLOOKUP(($F$16-$F$15)-1,AK$99:AO164,4,FALSE)))*EXP(-(LN(2)/$D$65+0.1)*(VLOOKUP(($F$16-$F$15)-1,AK$99:AO164,5,FALSE)))*EXP(-(LN(2)/$D$65+0.04)*AN164)*EXP(-(LN(2)/$D$65+0.1)*AO164),IF(AL164=3,AQ$100*EXP(-(LN(2)/$D$65+0.04)*(VLOOKUP(($F$16-$F$15)-1,AK$99:AO164,4,FALSE)))*EXP(-(LN(2)/$D$65+0.1)*(VLOOKUP(($F$16-$F$15)-1,AK$99:AO164,5,FALSE)))*EXP(-(LN(2)/$D$65+0.04)*(VLOOKUP(($F$16-$F$15)*2-1,AK$99:AO164,4,FALSE)))*EXP(-(LN(2)/$D$65+0.1)*(VLOOKUP(($F$16-$F$15)*2-1,AK$99:AO164,5,FALSE)))*EXP(-(LN(2)/$D$65+0.04)*AN164)*EXP(-(LN(2)/$D$65+0.1)*AO164),"-"))),"-")</f>
        <v>-</v>
      </c>
      <c r="AR165" s="271" t="str">
        <f>IFERROR(IF(AL165=1,AR$100*EXP(-(LN(2)/$D$65+0.04)*AN165)*EXP(-(LN(2)/$D$65+0.1)*AO165),IF(AL165=2,AR$100*EXP(-(LN(2)/$D$65+0.04)*(VLOOKUP(($F$16-$F$15)-1,AK$100:AO165,4,FALSE)))*EXP(-(LN(2)/$D$65+0.1)*(VLOOKUP(($F$16-$F$15)-1,AK$100:AO165,5,FALSE)))*EXP(-(LN(2)/$D$65+0.04)*AN165)*EXP(-(LN(2)/$D$65+0.1)*AO165),IF(AL165=3,AR$100*EXP(-(LN(2)/$D$65+0.04)*(VLOOKUP(($F$16-$F$15)-1,AK$100:AO165,4,FALSE)))*EXP(-(LN(2)/$D$65+0.1)*(VLOOKUP(($F$16-$F$15)-1,AK$100:AO165,5,FALSE)))*EXP(-(LN(2)/$D$65+0.04)*(VLOOKUP(($F$16-$F$15)*2-1,AK$100:AO165,4,FALSE)))*EXP(-(LN(2)/$D$65+0.1)*(VLOOKUP(($F$16-$F$15)*2-1,AK$100:AO165,5,FALSE)))*EXP(-(LN(2)/$D$65+0.04)*AN165)*EXP(-(LN(2)/$D$65+0.1)*AO165),"-"))),"-")</f>
        <v>-</v>
      </c>
      <c r="AS165" s="274">
        <f t="shared" si="113"/>
        <v>0</v>
      </c>
      <c r="AT165" s="274">
        <f t="shared" si="114"/>
        <v>0</v>
      </c>
      <c r="AU165" s="274">
        <f t="shared" si="115"/>
        <v>0</v>
      </c>
      <c r="AV165" s="190" t="str">
        <f>IF($B165&lt;$F$22,SUM($T$100:$T165),"")</f>
        <v/>
      </c>
      <c r="AW165" s="190" t="str">
        <f t="shared" si="116"/>
        <v>-</v>
      </c>
      <c r="AX165" s="190" t="str">
        <f t="shared" ref="AX165:AX228" si="141">IF(ISNUMBER(AW165),IF(ISNUMBER(AV165),(AV165-AW165)/(3*86400*($B165+1))*1000,""),"")</f>
        <v/>
      </c>
      <c r="AY165"/>
      <c r="AZ165" s="190" t="str">
        <f ca="1">IF(ISNUMBER(OFFSET(AV165,-$F$21,0)),SUM(OFFSET($T$100,$F$21,0):$T165),"")</f>
        <v/>
      </c>
      <c r="BA165" s="190" t="str">
        <f t="shared" ca="1" si="117"/>
        <v/>
      </c>
      <c r="BB165" s="190" t="str">
        <f t="shared" ca="1" si="70"/>
        <v/>
      </c>
      <c r="BC165" s="190"/>
      <c r="BD165" s="190" t="str">
        <f ca="1">IFERROR(IF(OR(ISNUMBER(I),ISNUMBER($F$14)),IF(AND($B165&gt;=($F$16-$F$15),$B165&lt;$F$22+($F$16-$F$15)),SUM(OFFSET($T$100,($F$16-$F$15),0):$T165),""),""),"")</f>
        <v/>
      </c>
      <c r="BE165" s="190" t="str">
        <f t="shared" ref="BE165:BE228" ca="1" si="142">IF(ISNUMBER(BD165),BD165*(Koc*(Ocse/100)*Pse*Vse)/(Koc*(Ocse/100)*Pse*Vse+1*86400*($B165+1)),"")</f>
        <v/>
      </c>
      <c r="BF165" s="190" t="str">
        <f t="shared" ref="BF165:BF228" ca="1" si="143">IF(ISNUMBER(BD165),(BD165-BE165)/(3*86400*($B165-($F$16-$F$15)+1))*1000,"")</f>
        <v/>
      </c>
      <c r="BG165"/>
      <c r="BH165" s="190" t="str">
        <f ca="1">IF(ISNUMBER(OFFSET(BD165,-$F$21,0)),SUM(OFFSET($T$100,($F$16-$F$15+$F$21),0):$T165),"")</f>
        <v/>
      </c>
      <c r="BI165" s="190" t="str">
        <f t="shared" ca="1" si="118"/>
        <v/>
      </c>
      <c r="BJ165" s="190" t="str">
        <f t="shared" ref="BJ165:BJ228" ca="1" si="144">IF(ISNUMBER(BH165),(BH165-BI165)/(3*86400*((OFFSET($B165,-$F$21,0)-($F$16-$F$15)+1)))*1000,"")</f>
        <v/>
      </c>
      <c r="BK165" s="190"/>
      <c r="BL165" s="190" t="str">
        <f ca="1">IFERROR(IF(OR(ISNUMBER(I),ISNUMBER($F$14)),IF(AND($B165&gt;=($F$17-$F$15),$B165&lt;$F$22+($F$17-$F$15)),SUM(OFFSET($T$100,($F$17-$F$15),0):$T165),""),""),"")</f>
        <v/>
      </c>
      <c r="BM165" s="190" t="str">
        <f t="shared" ca="1" si="119"/>
        <v/>
      </c>
      <c r="BN165" s="190" t="str">
        <f t="shared" ref="BN165:BN228" ca="1" si="145">IF(ISNUMBER(BL165),(BL165-BM165)/(3*86400*($B165-($F$17-$F$15)+1))*1000,"")</f>
        <v/>
      </c>
      <c r="BO165"/>
      <c r="BP165" s="190" t="str">
        <f ca="1">IF(ISNUMBER(OFFSET(BL165,-$F$21,0)),SUM(OFFSET($T$100,($F$17-$F$15+$F$21),0):$T165),"")</f>
        <v/>
      </c>
      <c r="BQ165" s="190" t="str">
        <f t="shared" ca="1" si="120"/>
        <v/>
      </c>
      <c r="BR165" s="190" t="str">
        <f t="shared" ref="BR165:BR228" ca="1" si="146">IF(ISNUMBER(BP165),(BP165-BQ165)/(3*86400*(OFFSET($B165,-$F$21,0)-($F$17-$F$15)+1))*1000,"")</f>
        <v/>
      </c>
      <c r="BS165" s="190"/>
      <c r="BT165"/>
      <c r="BU165"/>
      <c r="BV165"/>
      <c r="BY165" s="99"/>
      <c r="BZ165" s="99"/>
      <c r="CA165" s="280" t="str">
        <f t="shared" si="121"/>
        <v/>
      </c>
      <c r="CB165" s="71" t="str">
        <f t="shared" si="122"/>
        <v>-</v>
      </c>
      <c r="CC165" s="33"/>
      <c r="CD165" s="261" t="str">
        <f t="shared" si="123"/>
        <v/>
      </c>
      <c r="CE165" s="280" t="str">
        <f t="shared" si="124"/>
        <v/>
      </c>
      <c r="CF165" s="71" t="str">
        <f t="shared" ca="1" si="125"/>
        <v/>
      </c>
      <c r="CG165" s="33" t="str">
        <f t="shared" si="126"/>
        <v/>
      </c>
      <c r="CH165" s="261" t="str">
        <f t="shared" ca="1" si="127"/>
        <v/>
      </c>
      <c r="CI165" s="202"/>
      <c r="CJ165" s="99"/>
      <c r="CK165" s="99"/>
      <c r="CL165" s="99"/>
      <c r="CM165" s="99"/>
      <c r="CN165" s="99"/>
      <c r="CO165" s="99"/>
    </row>
    <row r="166" spans="2:93" ht="13.5" customHeight="1" x14ac:dyDescent="0.2">
      <c r="B166" s="262">
        <v>66</v>
      </c>
      <c r="C166" s="237" t="str">
        <f t="shared" si="91"/>
        <v/>
      </c>
      <c r="D166" s="237" t="str">
        <f t="shared" ref="D166:D229" si="147">IFERROR(IF(B166&lt;$F$22,IF(ISNUMBER($D$65),IF(MAX($BU$101:$BU$120)&lt;B166, "", IF(B166=VLOOKUP(B166, $BU$101:$BU$120,1,1), C166,D165-INDEX($BY$101:$BY$120, MATCH(VLOOKUP(B166, $BU$101:$BU$120,1,1), $BU$101:$BU$120)+1, 1))),D165-VLOOKUP(MAX($BU$101:$BU$120),$BU$101:$BY$120,5)),""),"-")</f>
        <v/>
      </c>
      <c r="E166" s="290" t="str">
        <f t="shared" si="128"/>
        <v/>
      </c>
      <c r="F166" s="264" t="str">
        <f t="shared" si="129"/>
        <v/>
      </c>
      <c r="G166" s="291" t="str">
        <f t="shared" si="130"/>
        <v/>
      </c>
      <c r="H166" s="240" t="str">
        <f t="shared" si="92"/>
        <v/>
      </c>
      <c r="I166" s="265" t="str">
        <f t="shared" si="93"/>
        <v/>
      </c>
      <c r="J166" s="265" t="str">
        <f t="shared" si="94"/>
        <v/>
      </c>
      <c r="K166" s="240" t="str">
        <f t="shared" si="95"/>
        <v/>
      </c>
      <c r="L166" s="265" t="str">
        <f t="shared" si="96"/>
        <v/>
      </c>
      <c r="M166" s="265" t="str">
        <f t="shared" si="97"/>
        <v/>
      </c>
      <c r="N166" s="240" t="str">
        <f t="shared" si="98"/>
        <v>-</v>
      </c>
      <c r="O166" s="265" t="str">
        <f t="shared" si="99"/>
        <v>-</v>
      </c>
      <c r="P166" s="265" t="str">
        <f t="shared" si="100"/>
        <v>-</v>
      </c>
      <c r="Q166" s="266" t="str">
        <f t="shared" si="101"/>
        <v>-</v>
      </c>
      <c r="R166" s="267" t="str">
        <f t="shared" si="102"/>
        <v>-</v>
      </c>
      <c r="S166" s="268" t="str">
        <f t="shared" si="103"/>
        <v>-</v>
      </c>
      <c r="T166" s="269" t="str">
        <f t="shared" si="104"/>
        <v/>
      </c>
      <c r="U166" s="221">
        <f t="shared" si="105"/>
        <v>66</v>
      </c>
      <c r="V166" s="220" t="str">
        <f t="shared" si="131"/>
        <v>-</v>
      </c>
      <c r="W166" s="221" t="str">
        <f t="shared" si="132"/>
        <v>-</v>
      </c>
      <c r="X166" s="221" t="str">
        <f t="shared" si="106"/>
        <v>-</v>
      </c>
      <c r="Y166" s="221" t="str">
        <f t="shared" si="107"/>
        <v>-</v>
      </c>
      <c r="Z166" s="270">
        <f t="shared" si="133"/>
        <v>0.1</v>
      </c>
      <c r="AA166" s="271" t="str">
        <f>IFERROR(IF(V165=1,AA$100*EXP(-(LN(2)/$D$65+0.04)*X165)*EXP(-(LN(2)/$D$65+0.1)*Y165),IF(V165=2,AA$100*EXP(-(LN(2)/$D$65+0.04)*(VLOOKUP(($F$16-$F$15)-1,U$99:Y165,4,FALSE)))*EXP(-(LN(2)/$D$65+0.1)*(VLOOKUP(($F$16-$F$15)-1,U$99:Y165,5,FALSE)))*EXP(-(LN(2)/$D$65+0.04)*X165)*EXP(-(LN(2)/$D$65+0.1)*Y165),IF(V165=3,AA$100*EXP(-(LN(2)/$D$65+0.04)*(VLOOKUP(($F$16-$F$15)-1,U$99:Y165,4,FALSE)))*EXP(-(LN(2)/$D$65+0.1)*(VLOOKUP(($F$16-$F$15)-1,U$99:Y165,5,FALSE)))*EXP(-(LN(2)/$D$65+0.04)*(VLOOKUP(($F$16-$F$15)*2-1,U$99:Y165,4,FALSE)))*EXP(-(LN(2)/$D$65+0.1)*(VLOOKUP(($F$16-$F$15)*2-1,U$99:Y165,5,FALSE)))*EXP(-(LN(2)/$D$65+0.04)*X165)*EXP(-(LN(2)/$D$65+0.1)*Y165),"-"))),"-")</f>
        <v>-</v>
      </c>
      <c r="AB166" s="271" t="str">
        <f>IFERROR(IF(V166=1,AB$100*EXP(-(LN(2)/$D$65+0.04)*X166)*EXP(-(LN(2)/$D$65+0.1)*Y166),IF(V166=2,AB$100*EXP(-(LN(2)/$D$65+0.04)*(VLOOKUP(($F$16-$F$15)-1,U$100:Y166,4,FALSE)))*EXP(-(LN(2)/$D$65+0.1)*(VLOOKUP(($F$16-$F$15)-1,U$100:Y166,5,FALSE)))*EXP(-(LN(2)/$D$65+0.04)*X166)*EXP(-(LN(2)/$D$65+0.1)*Y166),IF(V166=3,AB$100*EXP(-(LN(2)/$D$65+0.04)*(VLOOKUP(($F$16-$F$15)-1,U$100:Y166,4,FALSE)))*EXP(-(LN(2)/$D$65+0.1)*(VLOOKUP(($F$16-$F$15)-1,U$100:Y166,5,FALSE)))*EXP(-(LN(2)/$D$65+0.04)*(VLOOKUP(($F$16-$F$15)*2-1,U$100:Y166,4,FALSE)))*EXP(-(LN(2)/$D$65+0.1)*(VLOOKUP(($F$16-$F$15)*2-1,U$100:Y166,5,FALSE)))*EXP(-(LN(2)/$D$65+0.04)*X166)*EXP(-(LN(2)/$D$65+0.1)*Y166),"-"))),"-")</f>
        <v>-</v>
      </c>
      <c r="AC166" s="224">
        <f t="shared" si="134"/>
        <v>66</v>
      </c>
      <c r="AD166" s="223" t="str">
        <f t="shared" si="108"/>
        <v>-</v>
      </c>
      <c r="AE166" s="224" t="str">
        <f t="shared" si="135"/>
        <v>-</v>
      </c>
      <c r="AF166" s="224" t="str">
        <f t="shared" si="109"/>
        <v>-</v>
      </c>
      <c r="AG166" s="224" t="str">
        <f t="shared" si="110"/>
        <v>-</v>
      </c>
      <c r="AH166" s="272">
        <f t="shared" si="136"/>
        <v>0.1</v>
      </c>
      <c r="AI166" s="271" t="str">
        <f>IFERROR(IF(AD165=1,AI$100*EXP(-(LN(2)/$D$65+0.04)*AF165)*EXP(-(LN(2)/$D$65+0.1)*AG165),IF(AD165=2,AI$100*EXP(-(LN(2)/$D$65+0.04)*(VLOOKUP(($F$16-$F$15)-1,AC$99:AG165,4,FALSE)))*EXP(-(LN(2)/$D$65+0.1)*(VLOOKUP(($F$16-$F$15)-1,AC$99:AG165,5,FALSE)))*EXP(-(LN(2)/$D$65+0.04)*AF165)*EXP(-(LN(2)/$D$65+0.1)*AG165),IF(AD165=3,AI$100*EXP(-(LN(2)/$D$65+0.04)*(VLOOKUP(($F$16-$F$15)-1,AC$99:AG165,4,FALSE)))*EXP(-(LN(2)/$D$65+0.1)*(VLOOKUP(($F$16-$F$15)-1,AC$99:AG165,5,FALSE)))*EXP(-(LN(2)/$D$65+0.04)*(VLOOKUP(($F$16-$F$15)*2-1,AC$99:AG165,4,FALSE)))*EXP(-(LN(2)/$D$65+0.1)*(VLOOKUP(($F$16-$F$15)*2-1,AC$99:AG165,5,FALSE)))*EXP(-(LN(2)/$D$65+0.04)*AF165)*EXP(-(LN(2)/$D$65+0.1)*AG165),"-"))),"-")</f>
        <v>-</v>
      </c>
      <c r="AJ166" s="271" t="str">
        <f>IFERROR(IF(AD166=1,AJ$100*EXP(-(LN(2)/$D$65+0.04)*AF166)*EXP(-(LN(2)/$D$65+0.1)*AG166),IF(AD166=2,AJ$100*EXP(-(LN(2)/$D$65+0.04)*(VLOOKUP(($F$16-$F$15)-1,AC$100:AG166,4,FALSE)))*EXP(-(LN(2)/$D$65+0.1)*(VLOOKUP(($F$16-$F$15)-1,AC$100:AG166,5,FALSE)))*EXP(-(LN(2)/$D$65+0.04)*AF166)*EXP(-(LN(2)/$D$65+0.1)*AG166),IF(AD166=3,AJ$100*EXP(-(LN(2)/$D$65+0.04)*(VLOOKUP(($F$16-$F$15)-1,AC$100:AG166,4,FALSE)))*EXP(-(LN(2)/$D$65+0.1)*(VLOOKUP(($F$16-$F$15)-1,AC$100:AG166,5,FALSE)))*EXP(-(LN(2)/$D$65+0.04)*(VLOOKUP(($F$16-$F$15)*2-1,AC$100:AG166,4,FALSE)))*EXP(-(LN(2)/$D$65+0.1)*(VLOOKUP(($F$16-$F$15)*2-1,AC$100:AG166,5,FALSE)))*EXP(-(LN(2)/$D$65+0.04)*AF166)*EXP(-(LN(2)/$D$65+0.1)*AG166),"-"))),"-")</f>
        <v>-</v>
      </c>
      <c r="AK166" s="227">
        <f t="shared" si="137"/>
        <v>66</v>
      </c>
      <c r="AL166" s="226" t="str">
        <f t="shared" si="111"/>
        <v>-</v>
      </c>
      <c r="AM166" s="227" t="str">
        <f t="shared" si="138"/>
        <v>-</v>
      </c>
      <c r="AN166" s="227" t="str">
        <f t="shared" si="139"/>
        <v>-</v>
      </c>
      <c r="AO166" s="227" t="str">
        <f t="shared" si="112"/>
        <v>-</v>
      </c>
      <c r="AP166" s="273">
        <f t="shared" si="140"/>
        <v>0.1</v>
      </c>
      <c r="AQ166" s="271" t="str">
        <f>IFERROR(IF(AL165=1,AQ$100*EXP(-(LN(2)/$D$65+0.04)*AN165)*EXP(-(LN(2)/$D$65+0.1)*AO165),IF(AL165=2,AQ$100*EXP(-(LN(2)/$D$65+0.04)*(VLOOKUP(($F$16-$F$15)-1,AK$99:AO165,4,FALSE)))*EXP(-(LN(2)/$D$65+0.1)*(VLOOKUP(($F$16-$F$15)-1,AK$99:AO165,5,FALSE)))*EXP(-(LN(2)/$D$65+0.04)*AN165)*EXP(-(LN(2)/$D$65+0.1)*AO165),IF(AL165=3,AQ$100*EXP(-(LN(2)/$D$65+0.04)*(VLOOKUP(($F$16-$F$15)-1,AK$99:AO165,4,FALSE)))*EXP(-(LN(2)/$D$65+0.1)*(VLOOKUP(($F$16-$F$15)-1,AK$99:AO165,5,FALSE)))*EXP(-(LN(2)/$D$65+0.04)*(VLOOKUP(($F$16-$F$15)*2-1,AK$99:AO165,4,FALSE)))*EXP(-(LN(2)/$D$65+0.1)*(VLOOKUP(($F$16-$F$15)*2-1,AK$99:AO165,5,FALSE)))*EXP(-(LN(2)/$D$65+0.04)*AN165)*EXP(-(LN(2)/$D$65+0.1)*AO165),"-"))),"-")</f>
        <v>-</v>
      </c>
      <c r="AR166" s="271" t="str">
        <f>IFERROR(IF(AL166=1,AR$100*EXP(-(LN(2)/$D$65+0.04)*AN166)*EXP(-(LN(2)/$D$65+0.1)*AO166),IF(AL166=2,AR$100*EXP(-(LN(2)/$D$65+0.04)*(VLOOKUP(($F$16-$F$15)-1,AK$100:AO166,4,FALSE)))*EXP(-(LN(2)/$D$65+0.1)*(VLOOKUP(($F$16-$F$15)-1,AK$100:AO166,5,FALSE)))*EXP(-(LN(2)/$D$65+0.04)*AN166)*EXP(-(LN(2)/$D$65+0.1)*AO166),IF(AL166=3,AR$100*EXP(-(LN(2)/$D$65+0.04)*(VLOOKUP(($F$16-$F$15)-1,AK$100:AO166,4,FALSE)))*EXP(-(LN(2)/$D$65+0.1)*(VLOOKUP(($F$16-$F$15)-1,AK$100:AO166,5,FALSE)))*EXP(-(LN(2)/$D$65+0.04)*(VLOOKUP(($F$16-$F$15)*2-1,AK$100:AO166,4,FALSE)))*EXP(-(LN(2)/$D$65+0.1)*(VLOOKUP(($F$16-$F$15)*2-1,AK$100:AO166,5,FALSE)))*EXP(-(LN(2)/$D$65+0.04)*AN166)*EXP(-(LN(2)/$D$65+0.1)*AO166),"-"))),"-")</f>
        <v>-</v>
      </c>
      <c r="AS166" s="274">
        <f t="shared" si="113"/>
        <v>0</v>
      </c>
      <c r="AT166" s="274">
        <f t="shared" si="114"/>
        <v>0</v>
      </c>
      <c r="AU166" s="274">
        <f t="shared" si="115"/>
        <v>0</v>
      </c>
      <c r="AV166" s="190" t="str">
        <f>IF($B166&lt;$F$22,SUM($T$100:$T166),"")</f>
        <v/>
      </c>
      <c r="AW166" s="190" t="str">
        <f t="shared" si="116"/>
        <v>-</v>
      </c>
      <c r="AX166" s="190" t="str">
        <f t="shared" si="141"/>
        <v/>
      </c>
      <c r="AY166"/>
      <c r="AZ166" s="190" t="str">
        <f ca="1">IF(ISNUMBER(OFFSET(AV166,-$F$21,0)),SUM(OFFSET($T$100,$F$21,0):$T166),"")</f>
        <v/>
      </c>
      <c r="BA166" s="190" t="str">
        <f t="shared" ca="1" si="117"/>
        <v/>
      </c>
      <c r="BB166" s="190" t="str">
        <f t="shared" ca="1" si="70"/>
        <v/>
      </c>
      <c r="BC166" s="190"/>
      <c r="BD166" s="190" t="str">
        <f ca="1">IFERROR(IF(OR(ISNUMBER(I),ISNUMBER($F$14)),IF(AND($B166&gt;=($F$16-$F$15),$B166&lt;$F$22+($F$16-$F$15)),SUM(OFFSET($T$100,($F$16-$F$15),0):$T166),""),""),"")</f>
        <v/>
      </c>
      <c r="BE166" s="190" t="str">
        <f t="shared" ca="1" si="142"/>
        <v/>
      </c>
      <c r="BF166" s="190" t="str">
        <f t="shared" ca="1" si="143"/>
        <v/>
      </c>
      <c r="BG166"/>
      <c r="BH166" s="190" t="str">
        <f ca="1">IF(ISNUMBER(OFFSET(BD166,-$F$21,0)),SUM(OFFSET($T$100,($F$16-$F$15+$F$21),0):$T166),"")</f>
        <v/>
      </c>
      <c r="BI166" s="190" t="str">
        <f t="shared" ca="1" si="118"/>
        <v/>
      </c>
      <c r="BJ166" s="190" t="str">
        <f t="shared" ca="1" si="144"/>
        <v/>
      </c>
      <c r="BK166" s="190"/>
      <c r="BL166" s="190" t="str">
        <f ca="1">IFERROR(IF(OR(ISNUMBER(I),ISNUMBER($F$14)),IF(AND($B166&gt;=($F$17-$F$15),$B166&lt;$F$22+($F$17-$F$15)),SUM(OFFSET($T$100,($F$17-$F$15),0):$T166),""),""),"")</f>
        <v/>
      </c>
      <c r="BM166" s="190" t="str">
        <f t="shared" ca="1" si="119"/>
        <v/>
      </c>
      <c r="BN166" s="190" t="str">
        <f t="shared" ca="1" si="145"/>
        <v/>
      </c>
      <c r="BO166"/>
      <c r="BP166" s="190" t="str">
        <f ca="1">IF(ISNUMBER(OFFSET(BL166,-$F$21,0)),SUM(OFFSET($T$100,($F$17-$F$15+$F$21),0):$T166),"")</f>
        <v/>
      </c>
      <c r="BQ166" s="190" t="str">
        <f t="shared" ca="1" si="120"/>
        <v/>
      </c>
      <c r="BR166" s="190" t="str">
        <f t="shared" ca="1" si="146"/>
        <v/>
      </c>
      <c r="BS166" s="190"/>
      <c r="BT166"/>
      <c r="BU166"/>
      <c r="BV166"/>
      <c r="BY166" s="99"/>
      <c r="BZ166" s="99"/>
      <c r="CA166" s="280" t="str">
        <f t="shared" si="121"/>
        <v/>
      </c>
      <c r="CB166" s="71" t="str">
        <f t="shared" si="122"/>
        <v>-</v>
      </c>
      <c r="CC166" s="33"/>
      <c r="CD166" s="261" t="str">
        <f t="shared" si="123"/>
        <v/>
      </c>
      <c r="CE166" s="280" t="str">
        <f t="shared" si="124"/>
        <v/>
      </c>
      <c r="CF166" s="71" t="str">
        <f t="shared" ca="1" si="125"/>
        <v/>
      </c>
      <c r="CG166" s="33" t="str">
        <f t="shared" si="126"/>
        <v/>
      </c>
      <c r="CH166" s="261" t="str">
        <f t="shared" ca="1" si="127"/>
        <v/>
      </c>
      <c r="CI166" s="202"/>
      <c r="CJ166" s="99"/>
      <c r="CK166" s="99"/>
      <c r="CL166" s="99"/>
      <c r="CM166" s="99"/>
      <c r="CN166" s="99"/>
      <c r="CO166" s="99"/>
    </row>
    <row r="167" spans="2:93" ht="13.5" customHeight="1" x14ac:dyDescent="0.2">
      <c r="B167" s="262">
        <v>67</v>
      </c>
      <c r="C167" s="237" t="str">
        <f t="shared" si="91"/>
        <v/>
      </c>
      <c r="D167" s="237" t="str">
        <f t="shared" si="147"/>
        <v/>
      </c>
      <c r="E167" s="290" t="str">
        <f t="shared" si="128"/>
        <v/>
      </c>
      <c r="F167" s="264" t="str">
        <f t="shared" si="129"/>
        <v/>
      </c>
      <c r="G167" s="291" t="str">
        <f t="shared" si="130"/>
        <v/>
      </c>
      <c r="H167" s="240" t="str">
        <f t="shared" si="92"/>
        <v/>
      </c>
      <c r="I167" s="265" t="str">
        <f t="shared" si="93"/>
        <v/>
      </c>
      <c r="J167" s="265" t="str">
        <f t="shared" si="94"/>
        <v/>
      </c>
      <c r="K167" s="240" t="str">
        <f t="shared" si="95"/>
        <v/>
      </c>
      <c r="L167" s="265" t="str">
        <f t="shared" si="96"/>
        <v/>
      </c>
      <c r="M167" s="265" t="str">
        <f t="shared" si="97"/>
        <v/>
      </c>
      <c r="N167" s="240" t="str">
        <f t="shared" si="98"/>
        <v>-</v>
      </c>
      <c r="O167" s="265" t="str">
        <f t="shared" si="99"/>
        <v>-</v>
      </c>
      <c r="P167" s="265" t="str">
        <f t="shared" si="100"/>
        <v>-</v>
      </c>
      <c r="Q167" s="266" t="str">
        <f t="shared" si="101"/>
        <v>-</v>
      </c>
      <c r="R167" s="267" t="str">
        <f t="shared" si="102"/>
        <v>-</v>
      </c>
      <c r="S167" s="268" t="str">
        <f t="shared" si="103"/>
        <v>-</v>
      </c>
      <c r="T167" s="269" t="str">
        <f t="shared" si="104"/>
        <v/>
      </c>
      <c r="U167" s="221">
        <f t="shared" si="105"/>
        <v>67</v>
      </c>
      <c r="V167" s="220" t="str">
        <f t="shared" si="131"/>
        <v>-</v>
      </c>
      <c r="W167" s="221" t="str">
        <f t="shared" si="132"/>
        <v>-</v>
      </c>
      <c r="X167" s="221" t="str">
        <f t="shared" si="106"/>
        <v>-</v>
      </c>
      <c r="Y167" s="221" t="str">
        <f t="shared" si="107"/>
        <v>-</v>
      </c>
      <c r="Z167" s="270">
        <f t="shared" si="133"/>
        <v>0.1</v>
      </c>
      <c r="AA167" s="271" t="str">
        <f>IFERROR(IF(V166=1,AA$100*EXP(-(LN(2)/$D$65+0.04)*X166)*EXP(-(LN(2)/$D$65+0.1)*Y166),IF(V166=2,AA$100*EXP(-(LN(2)/$D$65+0.04)*(VLOOKUP(($F$16-$F$15)-1,U$99:Y166,4,FALSE)))*EXP(-(LN(2)/$D$65+0.1)*(VLOOKUP(($F$16-$F$15)-1,U$99:Y166,5,FALSE)))*EXP(-(LN(2)/$D$65+0.04)*X166)*EXP(-(LN(2)/$D$65+0.1)*Y166),IF(V166=3,AA$100*EXP(-(LN(2)/$D$65+0.04)*(VLOOKUP(($F$16-$F$15)-1,U$99:Y166,4,FALSE)))*EXP(-(LN(2)/$D$65+0.1)*(VLOOKUP(($F$16-$F$15)-1,U$99:Y166,5,FALSE)))*EXP(-(LN(2)/$D$65+0.04)*(VLOOKUP(($F$16-$F$15)*2-1,U$99:Y166,4,FALSE)))*EXP(-(LN(2)/$D$65+0.1)*(VLOOKUP(($F$16-$F$15)*2-1,U$99:Y166,5,FALSE)))*EXP(-(LN(2)/$D$65+0.04)*X166)*EXP(-(LN(2)/$D$65+0.1)*Y166),"-"))),"-")</f>
        <v>-</v>
      </c>
      <c r="AB167" s="271" t="str">
        <f>IFERROR(IF(V167=1,AB$100*EXP(-(LN(2)/$D$65+0.04)*X167)*EXP(-(LN(2)/$D$65+0.1)*Y167),IF(V167=2,AB$100*EXP(-(LN(2)/$D$65+0.04)*(VLOOKUP(($F$16-$F$15)-1,U$100:Y167,4,FALSE)))*EXP(-(LN(2)/$D$65+0.1)*(VLOOKUP(($F$16-$F$15)-1,U$100:Y167,5,FALSE)))*EXP(-(LN(2)/$D$65+0.04)*X167)*EXP(-(LN(2)/$D$65+0.1)*Y167),IF(V167=3,AB$100*EXP(-(LN(2)/$D$65+0.04)*(VLOOKUP(($F$16-$F$15)-1,U$100:Y167,4,FALSE)))*EXP(-(LN(2)/$D$65+0.1)*(VLOOKUP(($F$16-$F$15)-1,U$100:Y167,5,FALSE)))*EXP(-(LN(2)/$D$65+0.04)*(VLOOKUP(($F$16-$F$15)*2-1,U$100:Y167,4,FALSE)))*EXP(-(LN(2)/$D$65+0.1)*(VLOOKUP(($F$16-$F$15)*2-1,U$100:Y167,5,FALSE)))*EXP(-(LN(2)/$D$65+0.04)*X167)*EXP(-(LN(2)/$D$65+0.1)*Y167),"-"))),"-")</f>
        <v>-</v>
      </c>
      <c r="AC167" s="224">
        <f t="shared" si="134"/>
        <v>67</v>
      </c>
      <c r="AD167" s="223" t="str">
        <f t="shared" si="108"/>
        <v>-</v>
      </c>
      <c r="AE167" s="224" t="str">
        <f t="shared" si="135"/>
        <v>-</v>
      </c>
      <c r="AF167" s="224" t="str">
        <f t="shared" si="109"/>
        <v>-</v>
      </c>
      <c r="AG167" s="224" t="str">
        <f t="shared" si="110"/>
        <v>-</v>
      </c>
      <c r="AH167" s="272">
        <f t="shared" si="136"/>
        <v>0.1</v>
      </c>
      <c r="AI167" s="271" t="str">
        <f>IFERROR(IF(AD166=1,AI$100*EXP(-(LN(2)/$D$65+0.04)*AF166)*EXP(-(LN(2)/$D$65+0.1)*AG166),IF(AD166=2,AI$100*EXP(-(LN(2)/$D$65+0.04)*(VLOOKUP(($F$16-$F$15)-1,AC$99:AG166,4,FALSE)))*EXP(-(LN(2)/$D$65+0.1)*(VLOOKUP(($F$16-$F$15)-1,AC$99:AG166,5,FALSE)))*EXP(-(LN(2)/$D$65+0.04)*AF166)*EXP(-(LN(2)/$D$65+0.1)*AG166),IF(AD166=3,AI$100*EXP(-(LN(2)/$D$65+0.04)*(VLOOKUP(($F$16-$F$15)-1,AC$99:AG166,4,FALSE)))*EXP(-(LN(2)/$D$65+0.1)*(VLOOKUP(($F$16-$F$15)-1,AC$99:AG166,5,FALSE)))*EXP(-(LN(2)/$D$65+0.04)*(VLOOKUP(($F$16-$F$15)*2-1,AC$99:AG166,4,FALSE)))*EXP(-(LN(2)/$D$65+0.1)*(VLOOKUP(($F$16-$F$15)*2-1,AC$99:AG166,5,FALSE)))*EXP(-(LN(2)/$D$65+0.04)*AF166)*EXP(-(LN(2)/$D$65+0.1)*AG166),"-"))),"-")</f>
        <v>-</v>
      </c>
      <c r="AJ167" s="271" t="str">
        <f>IFERROR(IF(AD167=1,AJ$100*EXP(-(LN(2)/$D$65+0.04)*AF167)*EXP(-(LN(2)/$D$65+0.1)*AG167),IF(AD167=2,AJ$100*EXP(-(LN(2)/$D$65+0.04)*(VLOOKUP(($F$16-$F$15)-1,AC$100:AG167,4,FALSE)))*EXP(-(LN(2)/$D$65+0.1)*(VLOOKUP(($F$16-$F$15)-1,AC$100:AG167,5,FALSE)))*EXP(-(LN(2)/$D$65+0.04)*AF167)*EXP(-(LN(2)/$D$65+0.1)*AG167),IF(AD167=3,AJ$100*EXP(-(LN(2)/$D$65+0.04)*(VLOOKUP(($F$16-$F$15)-1,AC$100:AG167,4,FALSE)))*EXP(-(LN(2)/$D$65+0.1)*(VLOOKUP(($F$16-$F$15)-1,AC$100:AG167,5,FALSE)))*EXP(-(LN(2)/$D$65+0.04)*(VLOOKUP(($F$16-$F$15)*2-1,AC$100:AG167,4,FALSE)))*EXP(-(LN(2)/$D$65+0.1)*(VLOOKUP(($F$16-$F$15)*2-1,AC$100:AG167,5,FALSE)))*EXP(-(LN(2)/$D$65+0.04)*AF167)*EXP(-(LN(2)/$D$65+0.1)*AG167),"-"))),"-")</f>
        <v>-</v>
      </c>
      <c r="AK167" s="227">
        <f t="shared" si="137"/>
        <v>67</v>
      </c>
      <c r="AL167" s="226" t="str">
        <f t="shared" si="111"/>
        <v>-</v>
      </c>
      <c r="AM167" s="227" t="str">
        <f t="shared" si="138"/>
        <v>-</v>
      </c>
      <c r="AN167" s="227" t="str">
        <f t="shared" si="139"/>
        <v>-</v>
      </c>
      <c r="AO167" s="227" t="str">
        <f t="shared" si="112"/>
        <v>-</v>
      </c>
      <c r="AP167" s="273">
        <f t="shared" si="140"/>
        <v>0.1</v>
      </c>
      <c r="AQ167" s="271" t="str">
        <f>IFERROR(IF(AL166=1,AQ$100*EXP(-(LN(2)/$D$65+0.04)*AN166)*EXP(-(LN(2)/$D$65+0.1)*AO166),IF(AL166=2,AQ$100*EXP(-(LN(2)/$D$65+0.04)*(VLOOKUP(($F$16-$F$15)-1,AK$99:AO166,4,FALSE)))*EXP(-(LN(2)/$D$65+0.1)*(VLOOKUP(($F$16-$F$15)-1,AK$99:AO166,5,FALSE)))*EXP(-(LN(2)/$D$65+0.04)*AN166)*EXP(-(LN(2)/$D$65+0.1)*AO166),IF(AL166=3,AQ$100*EXP(-(LN(2)/$D$65+0.04)*(VLOOKUP(($F$16-$F$15)-1,AK$99:AO166,4,FALSE)))*EXP(-(LN(2)/$D$65+0.1)*(VLOOKUP(($F$16-$F$15)-1,AK$99:AO166,5,FALSE)))*EXP(-(LN(2)/$D$65+0.04)*(VLOOKUP(($F$16-$F$15)*2-1,AK$99:AO166,4,FALSE)))*EXP(-(LN(2)/$D$65+0.1)*(VLOOKUP(($F$16-$F$15)*2-1,AK$99:AO166,5,FALSE)))*EXP(-(LN(2)/$D$65+0.04)*AN166)*EXP(-(LN(2)/$D$65+0.1)*AO166),"-"))),"-")</f>
        <v>-</v>
      </c>
      <c r="AR167" s="271" t="str">
        <f>IFERROR(IF(AL167=1,AR$100*EXP(-(LN(2)/$D$65+0.04)*AN167)*EXP(-(LN(2)/$D$65+0.1)*AO167),IF(AL167=2,AR$100*EXP(-(LN(2)/$D$65+0.04)*(VLOOKUP(($F$16-$F$15)-1,AK$100:AO167,4,FALSE)))*EXP(-(LN(2)/$D$65+0.1)*(VLOOKUP(($F$16-$F$15)-1,AK$100:AO167,5,FALSE)))*EXP(-(LN(2)/$D$65+0.04)*AN167)*EXP(-(LN(2)/$D$65+0.1)*AO167),IF(AL167=3,AR$100*EXP(-(LN(2)/$D$65+0.04)*(VLOOKUP(($F$16-$F$15)-1,AK$100:AO167,4,FALSE)))*EXP(-(LN(2)/$D$65+0.1)*(VLOOKUP(($F$16-$F$15)-1,AK$100:AO167,5,FALSE)))*EXP(-(LN(2)/$D$65+0.04)*(VLOOKUP(($F$16-$F$15)*2-1,AK$100:AO167,4,FALSE)))*EXP(-(LN(2)/$D$65+0.1)*(VLOOKUP(($F$16-$F$15)*2-1,AK$100:AO167,5,FALSE)))*EXP(-(LN(2)/$D$65+0.04)*AN167)*EXP(-(LN(2)/$D$65+0.1)*AO167),"-"))),"-")</f>
        <v>-</v>
      </c>
      <c r="AS167" s="274">
        <f t="shared" si="113"/>
        <v>0</v>
      </c>
      <c r="AT167" s="274">
        <f t="shared" si="114"/>
        <v>0</v>
      </c>
      <c r="AU167" s="274">
        <f t="shared" si="115"/>
        <v>0</v>
      </c>
      <c r="AV167" s="190" t="str">
        <f>IF($B167&lt;$F$22,SUM($T$100:$T167),"")</f>
        <v/>
      </c>
      <c r="AW167" s="190" t="str">
        <f t="shared" si="116"/>
        <v>-</v>
      </c>
      <c r="AX167" s="190" t="str">
        <f t="shared" si="141"/>
        <v/>
      </c>
      <c r="AY167"/>
      <c r="AZ167" s="190" t="str">
        <f ca="1">IF(ISNUMBER(OFFSET(AV167,-$F$21,0)),SUM(OFFSET($T$100,$F$21,0):$T167),"")</f>
        <v/>
      </c>
      <c r="BA167" s="190" t="str">
        <f t="shared" ca="1" si="117"/>
        <v/>
      </c>
      <c r="BB167" s="190" t="str">
        <f t="shared" ca="1" si="70"/>
        <v/>
      </c>
      <c r="BC167" s="190"/>
      <c r="BD167" s="190" t="str">
        <f ca="1">IFERROR(IF(OR(ISNUMBER(I),ISNUMBER($F$14)),IF(AND($B167&gt;=($F$16-$F$15),$B167&lt;$F$22+($F$16-$F$15)),SUM(OFFSET($T$100,($F$16-$F$15),0):$T167),""),""),"")</f>
        <v/>
      </c>
      <c r="BE167" s="190" t="str">
        <f t="shared" ca="1" si="142"/>
        <v/>
      </c>
      <c r="BF167" s="190" t="str">
        <f t="shared" ca="1" si="143"/>
        <v/>
      </c>
      <c r="BG167"/>
      <c r="BH167" s="190" t="str">
        <f ca="1">IF(ISNUMBER(OFFSET(BD167,-$F$21,0)),SUM(OFFSET($T$100,($F$16-$F$15+$F$21),0):$T167),"")</f>
        <v/>
      </c>
      <c r="BI167" s="190" t="str">
        <f t="shared" ca="1" si="118"/>
        <v/>
      </c>
      <c r="BJ167" s="190" t="str">
        <f t="shared" ca="1" si="144"/>
        <v/>
      </c>
      <c r="BK167" s="190"/>
      <c r="BL167" s="190" t="str">
        <f ca="1">IFERROR(IF(OR(ISNUMBER(I),ISNUMBER($F$14)),IF(AND($B167&gt;=($F$17-$F$15),$B167&lt;$F$22+($F$17-$F$15)),SUM(OFFSET($T$100,($F$17-$F$15),0):$T167),""),""),"")</f>
        <v/>
      </c>
      <c r="BM167" s="190" t="str">
        <f t="shared" ca="1" si="119"/>
        <v/>
      </c>
      <c r="BN167" s="190" t="str">
        <f t="shared" ca="1" si="145"/>
        <v/>
      </c>
      <c r="BO167"/>
      <c r="BP167" s="190" t="str">
        <f ca="1">IF(ISNUMBER(OFFSET(BL167,-$F$21,0)),SUM(OFFSET($T$100,($F$17-$F$15+$F$21),0):$T167),"")</f>
        <v/>
      </c>
      <c r="BQ167" s="190" t="str">
        <f t="shared" ca="1" si="120"/>
        <v/>
      </c>
      <c r="BR167" s="190" t="str">
        <f t="shared" ca="1" si="146"/>
        <v/>
      </c>
      <c r="BS167" s="190"/>
      <c r="BT167"/>
      <c r="BU167"/>
      <c r="BV167"/>
      <c r="BY167" s="99"/>
      <c r="BZ167" s="99"/>
      <c r="CA167" s="280" t="str">
        <f t="shared" si="121"/>
        <v/>
      </c>
      <c r="CB167" s="71" t="str">
        <f t="shared" si="122"/>
        <v>-</v>
      </c>
      <c r="CC167" s="33"/>
      <c r="CD167" s="261" t="str">
        <f t="shared" si="123"/>
        <v/>
      </c>
      <c r="CE167" s="280" t="str">
        <f t="shared" si="124"/>
        <v/>
      </c>
      <c r="CF167" s="71" t="str">
        <f t="shared" ca="1" si="125"/>
        <v/>
      </c>
      <c r="CG167" s="33" t="str">
        <f t="shared" si="126"/>
        <v/>
      </c>
      <c r="CH167" s="261" t="str">
        <f t="shared" ca="1" si="127"/>
        <v/>
      </c>
      <c r="CI167" s="202"/>
      <c r="CJ167" s="99"/>
      <c r="CK167" s="99"/>
      <c r="CL167" s="99"/>
      <c r="CM167" s="99"/>
      <c r="CN167" s="99"/>
      <c r="CO167" s="99"/>
    </row>
    <row r="168" spans="2:93" ht="13.5" customHeight="1" x14ac:dyDescent="0.2">
      <c r="B168" s="262">
        <v>68</v>
      </c>
      <c r="C168" s="237" t="str">
        <f t="shared" si="91"/>
        <v/>
      </c>
      <c r="D168" s="237" t="str">
        <f t="shared" si="147"/>
        <v/>
      </c>
      <c r="E168" s="290" t="str">
        <f t="shared" si="128"/>
        <v/>
      </c>
      <c r="F168" s="264" t="str">
        <f t="shared" si="129"/>
        <v/>
      </c>
      <c r="G168" s="291" t="str">
        <f t="shared" si="130"/>
        <v/>
      </c>
      <c r="H168" s="240" t="str">
        <f t="shared" si="92"/>
        <v/>
      </c>
      <c r="I168" s="265" t="str">
        <f t="shared" si="93"/>
        <v/>
      </c>
      <c r="J168" s="265" t="str">
        <f t="shared" si="94"/>
        <v/>
      </c>
      <c r="K168" s="240" t="str">
        <f t="shared" si="95"/>
        <v/>
      </c>
      <c r="L168" s="265" t="str">
        <f t="shared" si="96"/>
        <v/>
      </c>
      <c r="M168" s="265" t="str">
        <f t="shared" si="97"/>
        <v/>
      </c>
      <c r="N168" s="240" t="str">
        <f t="shared" si="98"/>
        <v>-</v>
      </c>
      <c r="O168" s="265" t="str">
        <f t="shared" si="99"/>
        <v>-</v>
      </c>
      <c r="P168" s="265" t="str">
        <f t="shared" si="100"/>
        <v>-</v>
      </c>
      <c r="Q168" s="266" t="str">
        <f t="shared" si="101"/>
        <v>-</v>
      </c>
      <c r="R168" s="267" t="str">
        <f t="shared" si="102"/>
        <v>-</v>
      </c>
      <c r="S168" s="268" t="str">
        <f t="shared" si="103"/>
        <v>-</v>
      </c>
      <c r="T168" s="269" t="str">
        <f t="shared" si="104"/>
        <v/>
      </c>
      <c r="U168" s="221">
        <f t="shared" si="105"/>
        <v>68</v>
      </c>
      <c r="V168" s="220" t="str">
        <f t="shared" si="131"/>
        <v>-</v>
      </c>
      <c r="W168" s="221" t="str">
        <f t="shared" si="132"/>
        <v>-</v>
      </c>
      <c r="X168" s="221" t="str">
        <f t="shared" si="106"/>
        <v>-</v>
      </c>
      <c r="Y168" s="221" t="str">
        <f t="shared" si="107"/>
        <v>-</v>
      </c>
      <c r="Z168" s="270">
        <f t="shared" si="133"/>
        <v>0.1</v>
      </c>
      <c r="AA168" s="271" t="str">
        <f>IFERROR(IF(V167=1,AA$100*EXP(-(LN(2)/$D$65+0.04)*X167)*EXP(-(LN(2)/$D$65+0.1)*Y167),IF(V167=2,AA$100*EXP(-(LN(2)/$D$65+0.04)*(VLOOKUP(($F$16-$F$15)-1,U$99:Y167,4,FALSE)))*EXP(-(LN(2)/$D$65+0.1)*(VLOOKUP(($F$16-$F$15)-1,U$99:Y167,5,FALSE)))*EXP(-(LN(2)/$D$65+0.04)*X167)*EXP(-(LN(2)/$D$65+0.1)*Y167),IF(V167=3,AA$100*EXP(-(LN(2)/$D$65+0.04)*(VLOOKUP(($F$16-$F$15)-1,U$99:Y167,4,FALSE)))*EXP(-(LN(2)/$D$65+0.1)*(VLOOKUP(($F$16-$F$15)-1,U$99:Y167,5,FALSE)))*EXP(-(LN(2)/$D$65+0.04)*(VLOOKUP(($F$16-$F$15)*2-1,U$99:Y167,4,FALSE)))*EXP(-(LN(2)/$D$65+0.1)*(VLOOKUP(($F$16-$F$15)*2-1,U$99:Y167,5,FALSE)))*EXP(-(LN(2)/$D$65+0.04)*X167)*EXP(-(LN(2)/$D$65+0.1)*Y167),"-"))),"-")</f>
        <v>-</v>
      </c>
      <c r="AB168" s="271" t="str">
        <f>IFERROR(IF(V168=1,AB$100*EXP(-(LN(2)/$D$65+0.04)*X168)*EXP(-(LN(2)/$D$65+0.1)*Y168),IF(V168=2,AB$100*EXP(-(LN(2)/$D$65+0.04)*(VLOOKUP(($F$16-$F$15)-1,U$100:Y168,4,FALSE)))*EXP(-(LN(2)/$D$65+0.1)*(VLOOKUP(($F$16-$F$15)-1,U$100:Y168,5,FALSE)))*EXP(-(LN(2)/$D$65+0.04)*X168)*EXP(-(LN(2)/$D$65+0.1)*Y168),IF(V168=3,AB$100*EXP(-(LN(2)/$D$65+0.04)*(VLOOKUP(($F$16-$F$15)-1,U$100:Y168,4,FALSE)))*EXP(-(LN(2)/$D$65+0.1)*(VLOOKUP(($F$16-$F$15)-1,U$100:Y168,5,FALSE)))*EXP(-(LN(2)/$D$65+0.04)*(VLOOKUP(($F$16-$F$15)*2-1,U$100:Y168,4,FALSE)))*EXP(-(LN(2)/$D$65+0.1)*(VLOOKUP(($F$16-$F$15)*2-1,U$100:Y168,5,FALSE)))*EXP(-(LN(2)/$D$65+0.04)*X168)*EXP(-(LN(2)/$D$65+0.1)*Y168),"-"))),"-")</f>
        <v>-</v>
      </c>
      <c r="AC168" s="224">
        <f t="shared" si="134"/>
        <v>68</v>
      </c>
      <c r="AD168" s="223" t="str">
        <f t="shared" si="108"/>
        <v>-</v>
      </c>
      <c r="AE168" s="224" t="str">
        <f t="shared" si="135"/>
        <v>-</v>
      </c>
      <c r="AF168" s="224" t="str">
        <f t="shared" si="109"/>
        <v>-</v>
      </c>
      <c r="AG168" s="224" t="str">
        <f t="shared" si="110"/>
        <v>-</v>
      </c>
      <c r="AH168" s="272">
        <f t="shared" si="136"/>
        <v>0.1</v>
      </c>
      <c r="AI168" s="271" t="str">
        <f>IFERROR(IF(AD167=1,AI$100*EXP(-(LN(2)/$D$65+0.04)*AF167)*EXP(-(LN(2)/$D$65+0.1)*AG167),IF(AD167=2,AI$100*EXP(-(LN(2)/$D$65+0.04)*(VLOOKUP(($F$16-$F$15)-1,AC$99:AG167,4,FALSE)))*EXP(-(LN(2)/$D$65+0.1)*(VLOOKUP(($F$16-$F$15)-1,AC$99:AG167,5,FALSE)))*EXP(-(LN(2)/$D$65+0.04)*AF167)*EXP(-(LN(2)/$D$65+0.1)*AG167),IF(AD167=3,AI$100*EXP(-(LN(2)/$D$65+0.04)*(VLOOKUP(($F$16-$F$15)-1,AC$99:AG167,4,FALSE)))*EXP(-(LN(2)/$D$65+0.1)*(VLOOKUP(($F$16-$F$15)-1,AC$99:AG167,5,FALSE)))*EXP(-(LN(2)/$D$65+0.04)*(VLOOKUP(($F$16-$F$15)*2-1,AC$99:AG167,4,FALSE)))*EXP(-(LN(2)/$D$65+0.1)*(VLOOKUP(($F$16-$F$15)*2-1,AC$99:AG167,5,FALSE)))*EXP(-(LN(2)/$D$65+0.04)*AF167)*EXP(-(LN(2)/$D$65+0.1)*AG167),"-"))),"-")</f>
        <v>-</v>
      </c>
      <c r="AJ168" s="271" t="str">
        <f>IFERROR(IF(AD168=1,AJ$100*EXP(-(LN(2)/$D$65+0.04)*AF168)*EXP(-(LN(2)/$D$65+0.1)*AG168),IF(AD168=2,AJ$100*EXP(-(LN(2)/$D$65+0.04)*(VLOOKUP(($F$16-$F$15)-1,AC$100:AG168,4,FALSE)))*EXP(-(LN(2)/$D$65+0.1)*(VLOOKUP(($F$16-$F$15)-1,AC$100:AG168,5,FALSE)))*EXP(-(LN(2)/$D$65+0.04)*AF168)*EXP(-(LN(2)/$D$65+0.1)*AG168),IF(AD168=3,AJ$100*EXP(-(LN(2)/$D$65+0.04)*(VLOOKUP(($F$16-$F$15)-1,AC$100:AG168,4,FALSE)))*EXP(-(LN(2)/$D$65+0.1)*(VLOOKUP(($F$16-$F$15)-1,AC$100:AG168,5,FALSE)))*EXP(-(LN(2)/$D$65+0.04)*(VLOOKUP(($F$16-$F$15)*2-1,AC$100:AG168,4,FALSE)))*EXP(-(LN(2)/$D$65+0.1)*(VLOOKUP(($F$16-$F$15)*2-1,AC$100:AG168,5,FALSE)))*EXP(-(LN(2)/$D$65+0.04)*AF168)*EXP(-(LN(2)/$D$65+0.1)*AG168),"-"))),"-")</f>
        <v>-</v>
      </c>
      <c r="AK168" s="227">
        <f t="shared" si="137"/>
        <v>68</v>
      </c>
      <c r="AL168" s="226" t="str">
        <f t="shared" si="111"/>
        <v>-</v>
      </c>
      <c r="AM168" s="227" t="str">
        <f t="shared" si="138"/>
        <v>-</v>
      </c>
      <c r="AN168" s="227" t="str">
        <f t="shared" si="139"/>
        <v>-</v>
      </c>
      <c r="AO168" s="227" t="str">
        <f t="shared" si="112"/>
        <v>-</v>
      </c>
      <c r="AP168" s="273">
        <f t="shared" si="140"/>
        <v>0.1</v>
      </c>
      <c r="AQ168" s="271" t="str">
        <f>IFERROR(IF(AL167=1,AQ$100*EXP(-(LN(2)/$D$65+0.04)*AN167)*EXP(-(LN(2)/$D$65+0.1)*AO167),IF(AL167=2,AQ$100*EXP(-(LN(2)/$D$65+0.04)*(VLOOKUP(($F$16-$F$15)-1,AK$99:AO167,4,FALSE)))*EXP(-(LN(2)/$D$65+0.1)*(VLOOKUP(($F$16-$F$15)-1,AK$99:AO167,5,FALSE)))*EXP(-(LN(2)/$D$65+0.04)*AN167)*EXP(-(LN(2)/$D$65+0.1)*AO167),IF(AL167=3,AQ$100*EXP(-(LN(2)/$D$65+0.04)*(VLOOKUP(($F$16-$F$15)-1,AK$99:AO167,4,FALSE)))*EXP(-(LN(2)/$D$65+0.1)*(VLOOKUP(($F$16-$F$15)-1,AK$99:AO167,5,FALSE)))*EXP(-(LN(2)/$D$65+0.04)*(VLOOKUP(($F$16-$F$15)*2-1,AK$99:AO167,4,FALSE)))*EXP(-(LN(2)/$D$65+0.1)*(VLOOKUP(($F$16-$F$15)*2-1,AK$99:AO167,5,FALSE)))*EXP(-(LN(2)/$D$65+0.04)*AN167)*EXP(-(LN(2)/$D$65+0.1)*AO167),"-"))),"-")</f>
        <v>-</v>
      </c>
      <c r="AR168" s="271" t="str">
        <f>IFERROR(IF(AL168=1,AR$100*EXP(-(LN(2)/$D$65+0.04)*AN168)*EXP(-(LN(2)/$D$65+0.1)*AO168),IF(AL168=2,AR$100*EXP(-(LN(2)/$D$65+0.04)*(VLOOKUP(($F$16-$F$15)-1,AK$100:AO168,4,FALSE)))*EXP(-(LN(2)/$D$65+0.1)*(VLOOKUP(($F$16-$F$15)-1,AK$100:AO168,5,FALSE)))*EXP(-(LN(2)/$D$65+0.04)*AN168)*EXP(-(LN(2)/$D$65+0.1)*AO168),IF(AL168=3,AR$100*EXP(-(LN(2)/$D$65+0.04)*(VLOOKUP(($F$16-$F$15)-1,AK$100:AO168,4,FALSE)))*EXP(-(LN(2)/$D$65+0.1)*(VLOOKUP(($F$16-$F$15)-1,AK$100:AO168,5,FALSE)))*EXP(-(LN(2)/$D$65+0.04)*(VLOOKUP(($F$16-$F$15)*2-1,AK$100:AO168,4,FALSE)))*EXP(-(LN(2)/$D$65+0.1)*(VLOOKUP(($F$16-$F$15)*2-1,AK$100:AO168,5,FALSE)))*EXP(-(LN(2)/$D$65+0.04)*AN168)*EXP(-(LN(2)/$D$65+0.1)*AO168),"-"))),"-")</f>
        <v>-</v>
      </c>
      <c r="AS168" s="274">
        <f t="shared" si="113"/>
        <v>0</v>
      </c>
      <c r="AT168" s="274">
        <f t="shared" si="114"/>
        <v>0</v>
      </c>
      <c r="AU168" s="274">
        <f t="shared" si="115"/>
        <v>0</v>
      </c>
      <c r="AV168" s="190" t="str">
        <f>IF($B168&lt;$F$22,SUM($T$100:$T168),"")</f>
        <v/>
      </c>
      <c r="AW168" s="190" t="str">
        <f t="shared" si="116"/>
        <v>-</v>
      </c>
      <c r="AX168" s="190" t="str">
        <f t="shared" si="141"/>
        <v/>
      </c>
      <c r="AY168"/>
      <c r="AZ168" s="190" t="str">
        <f ca="1">IF(ISNUMBER(OFFSET(AV168,-$F$21,0)),SUM(OFFSET($T$100,$F$21,0):$T168),"")</f>
        <v/>
      </c>
      <c r="BA168" s="190" t="str">
        <f t="shared" ca="1" si="117"/>
        <v/>
      </c>
      <c r="BB168" s="190" t="str">
        <f t="shared" ca="1" si="70"/>
        <v/>
      </c>
      <c r="BC168" s="190"/>
      <c r="BD168" s="190" t="str">
        <f ca="1">IFERROR(IF(OR(ISNUMBER(I),ISNUMBER($F$14)),IF(AND($B168&gt;=($F$16-$F$15),$B168&lt;$F$22+($F$16-$F$15)),SUM(OFFSET($T$100,($F$16-$F$15),0):$T168),""),""),"")</f>
        <v/>
      </c>
      <c r="BE168" s="190" t="str">
        <f t="shared" ca="1" si="142"/>
        <v/>
      </c>
      <c r="BF168" s="190" t="str">
        <f t="shared" ca="1" si="143"/>
        <v/>
      </c>
      <c r="BG168"/>
      <c r="BH168" s="190" t="str">
        <f ca="1">IF(ISNUMBER(OFFSET(BD168,-$F$21,0)),SUM(OFFSET($T$100,($F$16-$F$15+$F$21),0):$T168),"")</f>
        <v/>
      </c>
      <c r="BI168" s="190" t="str">
        <f t="shared" ca="1" si="118"/>
        <v/>
      </c>
      <c r="BJ168" s="190" t="str">
        <f t="shared" ca="1" si="144"/>
        <v/>
      </c>
      <c r="BK168" s="190"/>
      <c r="BL168" s="190" t="str">
        <f ca="1">IFERROR(IF(OR(ISNUMBER(I),ISNUMBER($F$14)),IF(AND($B168&gt;=($F$17-$F$15),$B168&lt;$F$22+($F$17-$F$15)),SUM(OFFSET($T$100,($F$17-$F$15),0):$T168),""),""),"")</f>
        <v/>
      </c>
      <c r="BM168" s="190" t="str">
        <f t="shared" ca="1" si="119"/>
        <v/>
      </c>
      <c r="BN168" s="190" t="str">
        <f t="shared" ca="1" si="145"/>
        <v/>
      </c>
      <c r="BO168"/>
      <c r="BP168" s="190" t="str">
        <f ca="1">IF(ISNUMBER(OFFSET(BL168,-$F$21,0)),SUM(OFFSET($T$100,($F$17-$F$15+$F$21),0):$T168),"")</f>
        <v/>
      </c>
      <c r="BQ168" s="190" t="str">
        <f t="shared" ca="1" si="120"/>
        <v/>
      </c>
      <c r="BR168" s="190" t="str">
        <f t="shared" ca="1" si="146"/>
        <v/>
      </c>
      <c r="BS168" s="190"/>
      <c r="BT168"/>
      <c r="BU168"/>
      <c r="BV168"/>
      <c r="BY168" s="99"/>
      <c r="BZ168" s="99"/>
      <c r="CA168" s="280" t="str">
        <f t="shared" si="121"/>
        <v/>
      </c>
      <c r="CB168" s="71" t="str">
        <f t="shared" si="122"/>
        <v>-</v>
      </c>
      <c r="CC168" s="33"/>
      <c r="CD168" s="261" t="str">
        <f t="shared" si="123"/>
        <v/>
      </c>
      <c r="CE168" s="280" t="str">
        <f t="shared" si="124"/>
        <v/>
      </c>
      <c r="CF168" s="71" t="str">
        <f t="shared" ca="1" si="125"/>
        <v/>
      </c>
      <c r="CG168" s="33" t="str">
        <f t="shared" si="126"/>
        <v/>
      </c>
      <c r="CH168" s="261" t="str">
        <f t="shared" ca="1" si="127"/>
        <v/>
      </c>
      <c r="CI168" s="202"/>
      <c r="CJ168" s="99"/>
      <c r="CK168" s="99"/>
      <c r="CL168" s="99"/>
      <c r="CM168" s="99"/>
      <c r="CN168" s="99"/>
      <c r="CO168" s="99"/>
    </row>
    <row r="169" spans="2:93" ht="13.5" customHeight="1" x14ac:dyDescent="0.2">
      <c r="B169" s="262">
        <v>69</v>
      </c>
      <c r="C169" s="237" t="str">
        <f t="shared" si="91"/>
        <v/>
      </c>
      <c r="D169" s="237" t="str">
        <f t="shared" si="147"/>
        <v/>
      </c>
      <c r="E169" s="290" t="str">
        <f t="shared" si="128"/>
        <v/>
      </c>
      <c r="F169" s="264" t="str">
        <f t="shared" si="129"/>
        <v/>
      </c>
      <c r="G169" s="291" t="str">
        <f t="shared" si="130"/>
        <v/>
      </c>
      <c r="H169" s="240" t="str">
        <f t="shared" si="92"/>
        <v/>
      </c>
      <c r="I169" s="265" t="str">
        <f t="shared" si="93"/>
        <v/>
      </c>
      <c r="J169" s="265" t="str">
        <f t="shared" si="94"/>
        <v/>
      </c>
      <c r="K169" s="240" t="str">
        <f t="shared" si="95"/>
        <v/>
      </c>
      <c r="L169" s="265" t="str">
        <f t="shared" si="96"/>
        <v/>
      </c>
      <c r="M169" s="265" t="str">
        <f t="shared" si="97"/>
        <v/>
      </c>
      <c r="N169" s="240" t="str">
        <f t="shared" si="98"/>
        <v>-</v>
      </c>
      <c r="O169" s="265" t="str">
        <f t="shared" si="99"/>
        <v>-</v>
      </c>
      <c r="P169" s="265" t="str">
        <f t="shared" si="100"/>
        <v>-</v>
      </c>
      <c r="Q169" s="266" t="str">
        <f t="shared" si="101"/>
        <v>-</v>
      </c>
      <c r="R169" s="267" t="str">
        <f t="shared" si="102"/>
        <v>-</v>
      </c>
      <c r="S169" s="268" t="str">
        <f t="shared" si="103"/>
        <v>-</v>
      </c>
      <c r="T169" s="269" t="str">
        <f t="shared" si="104"/>
        <v/>
      </c>
      <c r="U169" s="221">
        <f t="shared" si="105"/>
        <v>69</v>
      </c>
      <c r="V169" s="220" t="str">
        <f t="shared" si="131"/>
        <v>-</v>
      </c>
      <c r="W169" s="221" t="str">
        <f t="shared" si="132"/>
        <v>-</v>
      </c>
      <c r="X169" s="221" t="str">
        <f t="shared" si="106"/>
        <v>-</v>
      </c>
      <c r="Y169" s="221" t="str">
        <f t="shared" si="107"/>
        <v>-</v>
      </c>
      <c r="Z169" s="270">
        <f t="shared" si="133"/>
        <v>0.1</v>
      </c>
      <c r="AA169" s="271" t="str">
        <f>IFERROR(IF(V168=1,AA$100*EXP(-(LN(2)/$D$65+0.04)*X168)*EXP(-(LN(2)/$D$65+0.1)*Y168),IF(V168=2,AA$100*EXP(-(LN(2)/$D$65+0.04)*(VLOOKUP(($F$16-$F$15)-1,U$99:Y168,4,FALSE)))*EXP(-(LN(2)/$D$65+0.1)*(VLOOKUP(($F$16-$F$15)-1,U$99:Y168,5,FALSE)))*EXP(-(LN(2)/$D$65+0.04)*X168)*EXP(-(LN(2)/$D$65+0.1)*Y168),IF(V168=3,AA$100*EXP(-(LN(2)/$D$65+0.04)*(VLOOKUP(($F$16-$F$15)-1,U$99:Y168,4,FALSE)))*EXP(-(LN(2)/$D$65+0.1)*(VLOOKUP(($F$16-$F$15)-1,U$99:Y168,5,FALSE)))*EXP(-(LN(2)/$D$65+0.04)*(VLOOKUP(($F$16-$F$15)*2-1,U$99:Y168,4,FALSE)))*EXP(-(LN(2)/$D$65+0.1)*(VLOOKUP(($F$16-$F$15)*2-1,U$99:Y168,5,FALSE)))*EXP(-(LN(2)/$D$65+0.04)*X168)*EXP(-(LN(2)/$D$65+0.1)*Y168),"-"))),"-")</f>
        <v>-</v>
      </c>
      <c r="AB169" s="271" t="str">
        <f>IFERROR(IF(V169=1,AB$100*EXP(-(LN(2)/$D$65+0.04)*X169)*EXP(-(LN(2)/$D$65+0.1)*Y169),IF(V169=2,AB$100*EXP(-(LN(2)/$D$65+0.04)*(VLOOKUP(($F$16-$F$15)-1,U$100:Y169,4,FALSE)))*EXP(-(LN(2)/$D$65+0.1)*(VLOOKUP(($F$16-$F$15)-1,U$100:Y169,5,FALSE)))*EXP(-(LN(2)/$D$65+0.04)*X169)*EXP(-(LN(2)/$D$65+0.1)*Y169),IF(V169=3,AB$100*EXP(-(LN(2)/$D$65+0.04)*(VLOOKUP(($F$16-$F$15)-1,U$100:Y169,4,FALSE)))*EXP(-(LN(2)/$D$65+0.1)*(VLOOKUP(($F$16-$F$15)-1,U$100:Y169,5,FALSE)))*EXP(-(LN(2)/$D$65+0.04)*(VLOOKUP(($F$16-$F$15)*2-1,U$100:Y169,4,FALSE)))*EXP(-(LN(2)/$D$65+0.1)*(VLOOKUP(($F$16-$F$15)*2-1,U$100:Y169,5,FALSE)))*EXP(-(LN(2)/$D$65+0.04)*X169)*EXP(-(LN(2)/$D$65+0.1)*Y169),"-"))),"-")</f>
        <v>-</v>
      </c>
      <c r="AC169" s="224">
        <f t="shared" si="134"/>
        <v>69</v>
      </c>
      <c r="AD169" s="223" t="str">
        <f t="shared" si="108"/>
        <v>-</v>
      </c>
      <c r="AE169" s="224" t="str">
        <f t="shared" si="135"/>
        <v>-</v>
      </c>
      <c r="AF169" s="224" t="str">
        <f t="shared" si="109"/>
        <v>-</v>
      </c>
      <c r="AG169" s="224" t="str">
        <f t="shared" si="110"/>
        <v>-</v>
      </c>
      <c r="AH169" s="272">
        <f t="shared" si="136"/>
        <v>0.1</v>
      </c>
      <c r="AI169" s="271" t="str">
        <f>IFERROR(IF(AD168=1,AI$100*EXP(-(LN(2)/$D$65+0.04)*AF168)*EXP(-(LN(2)/$D$65+0.1)*AG168),IF(AD168=2,AI$100*EXP(-(LN(2)/$D$65+0.04)*(VLOOKUP(($F$16-$F$15)-1,AC$99:AG168,4,FALSE)))*EXP(-(LN(2)/$D$65+0.1)*(VLOOKUP(($F$16-$F$15)-1,AC$99:AG168,5,FALSE)))*EXP(-(LN(2)/$D$65+0.04)*AF168)*EXP(-(LN(2)/$D$65+0.1)*AG168),IF(AD168=3,AI$100*EXP(-(LN(2)/$D$65+0.04)*(VLOOKUP(($F$16-$F$15)-1,AC$99:AG168,4,FALSE)))*EXP(-(LN(2)/$D$65+0.1)*(VLOOKUP(($F$16-$F$15)-1,AC$99:AG168,5,FALSE)))*EXP(-(LN(2)/$D$65+0.04)*(VLOOKUP(($F$16-$F$15)*2-1,AC$99:AG168,4,FALSE)))*EXP(-(LN(2)/$D$65+0.1)*(VLOOKUP(($F$16-$F$15)*2-1,AC$99:AG168,5,FALSE)))*EXP(-(LN(2)/$D$65+0.04)*AF168)*EXP(-(LN(2)/$D$65+0.1)*AG168),"-"))),"-")</f>
        <v>-</v>
      </c>
      <c r="AJ169" s="271" t="str">
        <f>IFERROR(IF(AD169=1,AJ$100*EXP(-(LN(2)/$D$65+0.04)*AF169)*EXP(-(LN(2)/$D$65+0.1)*AG169),IF(AD169=2,AJ$100*EXP(-(LN(2)/$D$65+0.04)*(VLOOKUP(($F$16-$F$15)-1,AC$100:AG169,4,FALSE)))*EXP(-(LN(2)/$D$65+0.1)*(VLOOKUP(($F$16-$F$15)-1,AC$100:AG169,5,FALSE)))*EXP(-(LN(2)/$D$65+0.04)*AF169)*EXP(-(LN(2)/$D$65+0.1)*AG169),IF(AD169=3,AJ$100*EXP(-(LN(2)/$D$65+0.04)*(VLOOKUP(($F$16-$F$15)-1,AC$100:AG169,4,FALSE)))*EXP(-(LN(2)/$D$65+0.1)*(VLOOKUP(($F$16-$F$15)-1,AC$100:AG169,5,FALSE)))*EXP(-(LN(2)/$D$65+0.04)*(VLOOKUP(($F$16-$F$15)*2-1,AC$100:AG169,4,FALSE)))*EXP(-(LN(2)/$D$65+0.1)*(VLOOKUP(($F$16-$F$15)*2-1,AC$100:AG169,5,FALSE)))*EXP(-(LN(2)/$D$65+0.04)*AF169)*EXP(-(LN(2)/$D$65+0.1)*AG169),"-"))),"-")</f>
        <v>-</v>
      </c>
      <c r="AK169" s="227">
        <f t="shared" si="137"/>
        <v>69</v>
      </c>
      <c r="AL169" s="226" t="str">
        <f t="shared" si="111"/>
        <v>-</v>
      </c>
      <c r="AM169" s="227" t="str">
        <f t="shared" si="138"/>
        <v>-</v>
      </c>
      <c r="AN169" s="227" t="str">
        <f t="shared" si="139"/>
        <v>-</v>
      </c>
      <c r="AO169" s="227" t="str">
        <f t="shared" si="112"/>
        <v>-</v>
      </c>
      <c r="AP169" s="273">
        <f t="shared" si="140"/>
        <v>0.1</v>
      </c>
      <c r="AQ169" s="271" t="str">
        <f>IFERROR(IF(AL168=1,AQ$100*EXP(-(LN(2)/$D$65+0.04)*AN168)*EXP(-(LN(2)/$D$65+0.1)*AO168),IF(AL168=2,AQ$100*EXP(-(LN(2)/$D$65+0.04)*(VLOOKUP(($F$16-$F$15)-1,AK$99:AO168,4,FALSE)))*EXP(-(LN(2)/$D$65+0.1)*(VLOOKUP(($F$16-$F$15)-1,AK$99:AO168,5,FALSE)))*EXP(-(LN(2)/$D$65+0.04)*AN168)*EXP(-(LN(2)/$D$65+0.1)*AO168),IF(AL168=3,AQ$100*EXP(-(LN(2)/$D$65+0.04)*(VLOOKUP(($F$16-$F$15)-1,AK$99:AO168,4,FALSE)))*EXP(-(LN(2)/$D$65+0.1)*(VLOOKUP(($F$16-$F$15)-1,AK$99:AO168,5,FALSE)))*EXP(-(LN(2)/$D$65+0.04)*(VLOOKUP(($F$16-$F$15)*2-1,AK$99:AO168,4,FALSE)))*EXP(-(LN(2)/$D$65+0.1)*(VLOOKUP(($F$16-$F$15)*2-1,AK$99:AO168,5,FALSE)))*EXP(-(LN(2)/$D$65+0.04)*AN168)*EXP(-(LN(2)/$D$65+0.1)*AO168),"-"))),"-")</f>
        <v>-</v>
      </c>
      <c r="AR169" s="271" t="str">
        <f>IFERROR(IF(AL169=1,AR$100*EXP(-(LN(2)/$D$65+0.04)*AN169)*EXP(-(LN(2)/$D$65+0.1)*AO169),IF(AL169=2,AR$100*EXP(-(LN(2)/$D$65+0.04)*(VLOOKUP(($F$16-$F$15)-1,AK$100:AO169,4,FALSE)))*EXP(-(LN(2)/$D$65+0.1)*(VLOOKUP(($F$16-$F$15)-1,AK$100:AO169,5,FALSE)))*EXP(-(LN(2)/$D$65+0.04)*AN169)*EXP(-(LN(2)/$D$65+0.1)*AO169),IF(AL169=3,AR$100*EXP(-(LN(2)/$D$65+0.04)*(VLOOKUP(($F$16-$F$15)-1,AK$100:AO169,4,FALSE)))*EXP(-(LN(2)/$D$65+0.1)*(VLOOKUP(($F$16-$F$15)-1,AK$100:AO169,5,FALSE)))*EXP(-(LN(2)/$D$65+0.04)*(VLOOKUP(($F$16-$F$15)*2-1,AK$100:AO169,4,FALSE)))*EXP(-(LN(2)/$D$65+0.1)*(VLOOKUP(($F$16-$F$15)*2-1,AK$100:AO169,5,FALSE)))*EXP(-(LN(2)/$D$65+0.04)*AN169)*EXP(-(LN(2)/$D$65+0.1)*AO169),"-"))),"-")</f>
        <v>-</v>
      </c>
      <c r="AS169" s="274">
        <f t="shared" si="113"/>
        <v>0</v>
      </c>
      <c r="AT169" s="274">
        <f t="shared" si="114"/>
        <v>0</v>
      </c>
      <c r="AU169" s="274">
        <f t="shared" si="115"/>
        <v>0</v>
      </c>
      <c r="AV169" s="190" t="str">
        <f>IF($B169&lt;$F$22,SUM($T$100:$T169),"")</f>
        <v/>
      </c>
      <c r="AW169" s="190" t="str">
        <f t="shared" si="116"/>
        <v>-</v>
      </c>
      <c r="AX169" s="190" t="str">
        <f t="shared" si="141"/>
        <v/>
      </c>
      <c r="AY169"/>
      <c r="AZ169" s="190" t="str">
        <f ca="1">IF(ISNUMBER(OFFSET(AV169,-$F$21,0)),SUM(OFFSET($T$100,$F$21,0):$T169),"")</f>
        <v/>
      </c>
      <c r="BA169" s="190" t="str">
        <f t="shared" ca="1" si="117"/>
        <v/>
      </c>
      <c r="BB169" s="190" t="str">
        <f t="shared" ca="1" si="70"/>
        <v/>
      </c>
      <c r="BC169" s="190"/>
      <c r="BD169" s="190" t="str">
        <f ca="1">IFERROR(IF(OR(ISNUMBER(I),ISNUMBER($F$14)),IF(AND($B169&gt;=($F$16-$F$15),$B169&lt;$F$22+($F$16-$F$15)),SUM(OFFSET($T$100,($F$16-$F$15),0):$T169),""),""),"")</f>
        <v/>
      </c>
      <c r="BE169" s="190" t="str">
        <f t="shared" ca="1" si="142"/>
        <v/>
      </c>
      <c r="BF169" s="190" t="str">
        <f t="shared" ca="1" si="143"/>
        <v/>
      </c>
      <c r="BG169"/>
      <c r="BH169" s="190" t="str">
        <f ca="1">IF(ISNUMBER(OFFSET(BD169,-$F$21,0)),SUM(OFFSET($T$100,($F$16-$F$15+$F$21),0):$T169),"")</f>
        <v/>
      </c>
      <c r="BI169" s="190" t="str">
        <f t="shared" ca="1" si="118"/>
        <v/>
      </c>
      <c r="BJ169" s="190" t="str">
        <f t="shared" ca="1" si="144"/>
        <v/>
      </c>
      <c r="BK169" s="190"/>
      <c r="BL169" s="190" t="str">
        <f ca="1">IFERROR(IF(OR(ISNUMBER(I),ISNUMBER($F$14)),IF(AND($B169&gt;=($F$17-$F$15),$B169&lt;$F$22+($F$17-$F$15)),SUM(OFFSET($T$100,($F$17-$F$15),0):$T169),""),""),"")</f>
        <v/>
      </c>
      <c r="BM169" s="190" t="str">
        <f t="shared" ca="1" si="119"/>
        <v/>
      </c>
      <c r="BN169" s="190" t="str">
        <f t="shared" ca="1" si="145"/>
        <v/>
      </c>
      <c r="BO169"/>
      <c r="BP169" s="190" t="str">
        <f ca="1">IF(ISNUMBER(OFFSET(BL169,-$F$21,0)),SUM(OFFSET($T$100,($F$17-$F$15+$F$21),0):$T169),"")</f>
        <v/>
      </c>
      <c r="BQ169" s="190" t="str">
        <f t="shared" ca="1" si="120"/>
        <v/>
      </c>
      <c r="BR169" s="190" t="str">
        <f t="shared" ca="1" si="146"/>
        <v/>
      </c>
      <c r="BS169" s="190"/>
      <c r="BT169"/>
      <c r="BU169"/>
      <c r="BV169"/>
      <c r="BY169" s="99"/>
      <c r="BZ169" s="99"/>
      <c r="CA169" s="280" t="str">
        <f t="shared" si="121"/>
        <v/>
      </c>
      <c r="CB169" s="71" t="str">
        <f t="shared" si="122"/>
        <v>-</v>
      </c>
      <c r="CC169" s="33"/>
      <c r="CD169" s="261" t="str">
        <f t="shared" si="123"/>
        <v/>
      </c>
      <c r="CE169" s="280" t="str">
        <f t="shared" si="124"/>
        <v/>
      </c>
      <c r="CF169" s="71" t="str">
        <f t="shared" ca="1" si="125"/>
        <v/>
      </c>
      <c r="CG169" s="33" t="str">
        <f t="shared" si="126"/>
        <v/>
      </c>
      <c r="CH169" s="261" t="str">
        <f t="shared" ca="1" si="127"/>
        <v/>
      </c>
      <c r="CI169" s="202"/>
      <c r="CJ169" s="99"/>
      <c r="CK169" s="99"/>
      <c r="CL169" s="99"/>
      <c r="CM169" s="99"/>
      <c r="CN169" s="99"/>
      <c r="CO169" s="99"/>
    </row>
    <row r="170" spans="2:93" ht="13.5" customHeight="1" x14ac:dyDescent="0.2">
      <c r="B170" s="262">
        <v>70</v>
      </c>
      <c r="C170" s="237" t="str">
        <f t="shared" si="91"/>
        <v/>
      </c>
      <c r="D170" s="237" t="str">
        <f t="shared" si="147"/>
        <v/>
      </c>
      <c r="E170" s="290" t="str">
        <f t="shared" si="128"/>
        <v/>
      </c>
      <c r="F170" s="264" t="str">
        <f t="shared" si="129"/>
        <v/>
      </c>
      <c r="G170" s="291" t="str">
        <f t="shared" si="130"/>
        <v/>
      </c>
      <c r="H170" s="240" t="str">
        <f t="shared" si="92"/>
        <v/>
      </c>
      <c r="I170" s="265" t="str">
        <f t="shared" si="93"/>
        <v/>
      </c>
      <c r="J170" s="265" t="str">
        <f t="shared" si="94"/>
        <v/>
      </c>
      <c r="K170" s="240" t="str">
        <f t="shared" si="95"/>
        <v/>
      </c>
      <c r="L170" s="265" t="str">
        <f t="shared" si="96"/>
        <v/>
      </c>
      <c r="M170" s="265" t="str">
        <f t="shared" si="97"/>
        <v/>
      </c>
      <c r="N170" s="240" t="str">
        <f t="shared" si="98"/>
        <v>-</v>
      </c>
      <c r="O170" s="265" t="str">
        <f t="shared" si="99"/>
        <v>-</v>
      </c>
      <c r="P170" s="265" t="str">
        <f t="shared" si="100"/>
        <v>-</v>
      </c>
      <c r="Q170" s="266" t="str">
        <f t="shared" si="101"/>
        <v>-</v>
      </c>
      <c r="R170" s="267" t="str">
        <f t="shared" si="102"/>
        <v>-</v>
      </c>
      <c r="S170" s="268" t="str">
        <f t="shared" si="103"/>
        <v>-</v>
      </c>
      <c r="T170" s="269" t="str">
        <f t="shared" si="104"/>
        <v/>
      </c>
      <c r="U170" s="221">
        <f t="shared" si="105"/>
        <v>70</v>
      </c>
      <c r="V170" s="220" t="str">
        <f t="shared" si="131"/>
        <v>-</v>
      </c>
      <c r="W170" s="221" t="str">
        <f t="shared" si="132"/>
        <v>-</v>
      </c>
      <c r="X170" s="221" t="str">
        <f t="shared" si="106"/>
        <v>-</v>
      </c>
      <c r="Y170" s="221" t="str">
        <f t="shared" si="107"/>
        <v>-</v>
      </c>
      <c r="Z170" s="270">
        <f t="shared" si="133"/>
        <v>0.1</v>
      </c>
      <c r="AA170" s="271" t="str">
        <f>IFERROR(IF(V169=1,AA$100*EXP(-(LN(2)/$D$65+0.04)*X169)*EXP(-(LN(2)/$D$65+0.1)*Y169),IF(V169=2,AA$100*EXP(-(LN(2)/$D$65+0.04)*(VLOOKUP(($F$16-$F$15)-1,U$99:Y169,4,FALSE)))*EXP(-(LN(2)/$D$65+0.1)*(VLOOKUP(($F$16-$F$15)-1,U$99:Y169,5,FALSE)))*EXP(-(LN(2)/$D$65+0.04)*X169)*EXP(-(LN(2)/$D$65+0.1)*Y169),IF(V169=3,AA$100*EXP(-(LN(2)/$D$65+0.04)*(VLOOKUP(($F$16-$F$15)-1,U$99:Y169,4,FALSE)))*EXP(-(LN(2)/$D$65+0.1)*(VLOOKUP(($F$16-$F$15)-1,U$99:Y169,5,FALSE)))*EXP(-(LN(2)/$D$65+0.04)*(VLOOKUP(($F$16-$F$15)*2-1,U$99:Y169,4,FALSE)))*EXP(-(LN(2)/$D$65+0.1)*(VLOOKUP(($F$16-$F$15)*2-1,U$99:Y169,5,FALSE)))*EXP(-(LN(2)/$D$65+0.04)*X169)*EXP(-(LN(2)/$D$65+0.1)*Y169),"-"))),"-")</f>
        <v>-</v>
      </c>
      <c r="AB170" s="271" t="str">
        <f>IFERROR(IF(V170=1,AB$100*EXP(-(LN(2)/$D$65+0.04)*X170)*EXP(-(LN(2)/$D$65+0.1)*Y170),IF(V170=2,AB$100*EXP(-(LN(2)/$D$65+0.04)*(VLOOKUP(($F$16-$F$15)-1,U$100:Y170,4,FALSE)))*EXP(-(LN(2)/$D$65+0.1)*(VLOOKUP(($F$16-$F$15)-1,U$100:Y170,5,FALSE)))*EXP(-(LN(2)/$D$65+0.04)*X170)*EXP(-(LN(2)/$D$65+0.1)*Y170),IF(V170=3,AB$100*EXP(-(LN(2)/$D$65+0.04)*(VLOOKUP(($F$16-$F$15)-1,U$100:Y170,4,FALSE)))*EXP(-(LN(2)/$D$65+0.1)*(VLOOKUP(($F$16-$F$15)-1,U$100:Y170,5,FALSE)))*EXP(-(LN(2)/$D$65+0.04)*(VLOOKUP(($F$16-$F$15)*2-1,U$100:Y170,4,FALSE)))*EXP(-(LN(2)/$D$65+0.1)*(VLOOKUP(($F$16-$F$15)*2-1,U$100:Y170,5,FALSE)))*EXP(-(LN(2)/$D$65+0.04)*X170)*EXP(-(LN(2)/$D$65+0.1)*Y170),"-"))),"-")</f>
        <v>-</v>
      </c>
      <c r="AC170" s="224">
        <f t="shared" si="134"/>
        <v>70</v>
      </c>
      <c r="AD170" s="223" t="str">
        <f t="shared" si="108"/>
        <v>-</v>
      </c>
      <c r="AE170" s="224" t="str">
        <f t="shared" si="135"/>
        <v>-</v>
      </c>
      <c r="AF170" s="224" t="str">
        <f t="shared" si="109"/>
        <v>-</v>
      </c>
      <c r="AG170" s="224" t="str">
        <f t="shared" si="110"/>
        <v>-</v>
      </c>
      <c r="AH170" s="272">
        <f t="shared" si="136"/>
        <v>0.1</v>
      </c>
      <c r="AI170" s="271" t="str">
        <f>IFERROR(IF(AD169=1,AI$100*EXP(-(LN(2)/$D$65+0.04)*AF169)*EXP(-(LN(2)/$D$65+0.1)*AG169),IF(AD169=2,AI$100*EXP(-(LN(2)/$D$65+0.04)*(VLOOKUP(($F$16-$F$15)-1,AC$99:AG169,4,FALSE)))*EXP(-(LN(2)/$D$65+0.1)*(VLOOKUP(($F$16-$F$15)-1,AC$99:AG169,5,FALSE)))*EXP(-(LN(2)/$D$65+0.04)*AF169)*EXP(-(LN(2)/$D$65+0.1)*AG169),IF(AD169=3,AI$100*EXP(-(LN(2)/$D$65+0.04)*(VLOOKUP(($F$16-$F$15)-1,AC$99:AG169,4,FALSE)))*EXP(-(LN(2)/$D$65+0.1)*(VLOOKUP(($F$16-$F$15)-1,AC$99:AG169,5,FALSE)))*EXP(-(LN(2)/$D$65+0.04)*(VLOOKUP(($F$16-$F$15)*2-1,AC$99:AG169,4,FALSE)))*EXP(-(LN(2)/$D$65+0.1)*(VLOOKUP(($F$16-$F$15)*2-1,AC$99:AG169,5,FALSE)))*EXP(-(LN(2)/$D$65+0.04)*AF169)*EXP(-(LN(2)/$D$65+0.1)*AG169),"-"))),"-")</f>
        <v>-</v>
      </c>
      <c r="AJ170" s="271" t="str">
        <f>IFERROR(IF(AD170=1,AJ$100*EXP(-(LN(2)/$D$65+0.04)*AF170)*EXP(-(LN(2)/$D$65+0.1)*AG170),IF(AD170=2,AJ$100*EXP(-(LN(2)/$D$65+0.04)*(VLOOKUP(($F$16-$F$15)-1,AC$100:AG170,4,FALSE)))*EXP(-(LN(2)/$D$65+0.1)*(VLOOKUP(($F$16-$F$15)-1,AC$100:AG170,5,FALSE)))*EXP(-(LN(2)/$D$65+0.04)*AF170)*EXP(-(LN(2)/$D$65+0.1)*AG170),IF(AD170=3,AJ$100*EXP(-(LN(2)/$D$65+0.04)*(VLOOKUP(($F$16-$F$15)-1,AC$100:AG170,4,FALSE)))*EXP(-(LN(2)/$D$65+0.1)*(VLOOKUP(($F$16-$F$15)-1,AC$100:AG170,5,FALSE)))*EXP(-(LN(2)/$D$65+0.04)*(VLOOKUP(($F$16-$F$15)*2-1,AC$100:AG170,4,FALSE)))*EXP(-(LN(2)/$D$65+0.1)*(VLOOKUP(($F$16-$F$15)*2-1,AC$100:AG170,5,FALSE)))*EXP(-(LN(2)/$D$65+0.04)*AF170)*EXP(-(LN(2)/$D$65+0.1)*AG170),"-"))),"-")</f>
        <v>-</v>
      </c>
      <c r="AK170" s="227">
        <f t="shared" si="137"/>
        <v>70</v>
      </c>
      <c r="AL170" s="226" t="str">
        <f t="shared" si="111"/>
        <v>-</v>
      </c>
      <c r="AM170" s="227" t="str">
        <f t="shared" si="138"/>
        <v>-</v>
      </c>
      <c r="AN170" s="227" t="str">
        <f t="shared" si="139"/>
        <v>-</v>
      </c>
      <c r="AO170" s="227" t="str">
        <f t="shared" si="112"/>
        <v>-</v>
      </c>
      <c r="AP170" s="273">
        <f t="shared" si="140"/>
        <v>0.1</v>
      </c>
      <c r="AQ170" s="271" t="str">
        <f>IFERROR(IF(AL169=1,AQ$100*EXP(-(LN(2)/$D$65+0.04)*AN169)*EXP(-(LN(2)/$D$65+0.1)*AO169),IF(AL169=2,AQ$100*EXP(-(LN(2)/$D$65+0.04)*(VLOOKUP(($F$16-$F$15)-1,AK$99:AO169,4,FALSE)))*EXP(-(LN(2)/$D$65+0.1)*(VLOOKUP(($F$16-$F$15)-1,AK$99:AO169,5,FALSE)))*EXP(-(LN(2)/$D$65+0.04)*AN169)*EXP(-(LN(2)/$D$65+0.1)*AO169),IF(AL169=3,AQ$100*EXP(-(LN(2)/$D$65+0.04)*(VLOOKUP(($F$16-$F$15)-1,AK$99:AO169,4,FALSE)))*EXP(-(LN(2)/$D$65+0.1)*(VLOOKUP(($F$16-$F$15)-1,AK$99:AO169,5,FALSE)))*EXP(-(LN(2)/$D$65+0.04)*(VLOOKUP(($F$16-$F$15)*2-1,AK$99:AO169,4,FALSE)))*EXP(-(LN(2)/$D$65+0.1)*(VLOOKUP(($F$16-$F$15)*2-1,AK$99:AO169,5,FALSE)))*EXP(-(LN(2)/$D$65+0.04)*AN169)*EXP(-(LN(2)/$D$65+0.1)*AO169),"-"))),"-")</f>
        <v>-</v>
      </c>
      <c r="AR170" s="271" t="str">
        <f>IFERROR(IF(AL170=1,AR$100*EXP(-(LN(2)/$D$65+0.04)*AN170)*EXP(-(LN(2)/$D$65+0.1)*AO170),IF(AL170=2,AR$100*EXP(-(LN(2)/$D$65+0.04)*(VLOOKUP(($F$16-$F$15)-1,AK$100:AO170,4,FALSE)))*EXP(-(LN(2)/$D$65+0.1)*(VLOOKUP(($F$16-$F$15)-1,AK$100:AO170,5,FALSE)))*EXP(-(LN(2)/$D$65+0.04)*AN170)*EXP(-(LN(2)/$D$65+0.1)*AO170),IF(AL170=3,AR$100*EXP(-(LN(2)/$D$65+0.04)*(VLOOKUP(($F$16-$F$15)-1,AK$100:AO170,4,FALSE)))*EXP(-(LN(2)/$D$65+0.1)*(VLOOKUP(($F$16-$F$15)-1,AK$100:AO170,5,FALSE)))*EXP(-(LN(2)/$D$65+0.04)*(VLOOKUP(($F$16-$F$15)*2-1,AK$100:AO170,4,FALSE)))*EXP(-(LN(2)/$D$65+0.1)*(VLOOKUP(($F$16-$F$15)*2-1,AK$100:AO170,5,FALSE)))*EXP(-(LN(2)/$D$65+0.04)*AN170)*EXP(-(LN(2)/$D$65+0.1)*AO170),"-"))),"-")</f>
        <v>-</v>
      </c>
      <c r="AS170" s="274">
        <f t="shared" si="113"/>
        <v>0</v>
      </c>
      <c r="AT170" s="274">
        <f t="shared" si="114"/>
        <v>0</v>
      </c>
      <c r="AU170" s="274">
        <f t="shared" si="115"/>
        <v>0</v>
      </c>
      <c r="AV170" s="190" t="str">
        <f>IF($B170&lt;$F$22,SUM($T$100:$T170),"")</f>
        <v/>
      </c>
      <c r="AW170" s="190" t="str">
        <f t="shared" si="116"/>
        <v>-</v>
      </c>
      <c r="AX170" s="190" t="str">
        <f t="shared" si="141"/>
        <v/>
      </c>
      <c r="AY170"/>
      <c r="AZ170" s="190" t="str">
        <f ca="1">IF(ISNUMBER(OFFSET(AV170,-$F$21,0)),SUM(OFFSET($T$100,$F$21,0):$T170),"")</f>
        <v/>
      </c>
      <c r="BA170" s="190" t="str">
        <f t="shared" ca="1" si="117"/>
        <v/>
      </c>
      <c r="BB170" s="190" t="str">
        <f t="shared" ca="1" si="70"/>
        <v/>
      </c>
      <c r="BC170" s="190"/>
      <c r="BD170" s="190" t="str">
        <f ca="1">IFERROR(IF(OR(ISNUMBER(I),ISNUMBER($F$14)),IF(AND($B170&gt;=($F$16-$F$15),$B170&lt;$F$22+($F$16-$F$15)),SUM(OFFSET($T$100,($F$16-$F$15),0):$T170),""),""),"")</f>
        <v/>
      </c>
      <c r="BE170" s="190" t="str">
        <f t="shared" ca="1" si="142"/>
        <v/>
      </c>
      <c r="BF170" s="190" t="str">
        <f t="shared" ca="1" si="143"/>
        <v/>
      </c>
      <c r="BG170"/>
      <c r="BH170" s="190" t="str">
        <f ca="1">IF(ISNUMBER(OFFSET(BD170,-$F$21,0)),SUM(OFFSET($T$100,($F$16-$F$15+$F$21),0):$T170),"")</f>
        <v/>
      </c>
      <c r="BI170" s="190" t="str">
        <f t="shared" ca="1" si="118"/>
        <v/>
      </c>
      <c r="BJ170" s="190" t="str">
        <f t="shared" ca="1" si="144"/>
        <v/>
      </c>
      <c r="BK170" s="190"/>
      <c r="BL170" s="190" t="str">
        <f ca="1">IFERROR(IF(OR(ISNUMBER(I),ISNUMBER($F$14)),IF(AND($B170&gt;=($F$17-$F$15),$B170&lt;$F$22+($F$17-$F$15)),SUM(OFFSET($T$100,($F$17-$F$15),0):$T170),""),""),"")</f>
        <v/>
      </c>
      <c r="BM170" s="190" t="str">
        <f t="shared" ca="1" si="119"/>
        <v/>
      </c>
      <c r="BN170" s="190" t="str">
        <f t="shared" ca="1" si="145"/>
        <v/>
      </c>
      <c r="BO170"/>
      <c r="BP170" s="190" t="str">
        <f ca="1">IF(ISNUMBER(OFFSET(BL170,-$F$21,0)),SUM(OFFSET($T$100,($F$17-$F$15+$F$21),0):$T170),"")</f>
        <v/>
      </c>
      <c r="BQ170" s="190" t="str">
        <f t="shared" ca="1" si="120"/>
        <v/>
      </c>
      <c r="BR170" s="190" t="str">
        <f t="shared" ca="1" si="146"/>
        <v/>
      </c>
      <c r="BS170" s="190"/>
      <c r="BT170"/>
      <c r="BU170"/>
      <c r="BV170"/>
      <c r="BY170" s="99"/>
      <c r="BZ170" s="99"/>
      <c r="CA170" s="280" t="str">
        <f t="shared" si="121"/>
        <v/>
      </c>
      <c r="CB170" s="71" t="str">
        <f t="shared" si="122"/>
        <v>-</v>
      </c>
      <c r="CC170" s="33"/>
      <c r="CD170" s="261" t="str">
        <f t="shared" si="123"/>
        <v/>
      </c>
      <c r="CE170" s="280" t="str">
        <f t="shared" si="124"/>
        <v/>
      </c>
      <c r="CF170" s="71" t="str">
        <f t="shared" ca="1" si="125"/>
        <v/>
      </c>
      <c r="CG170" s="33" t="str">
        <f t="shared" si="126"/>
        <v/>
      </c>
      <c r="CH170" s="261" t="str">
        <f t="shared" ca="1" si="127"/>
        <v/>
      </c>
      <c r="CI170" s="202"/>
      <c r="CJ170" s="99"/>
      <c r="CK170" s="99"/>
      <c r="CL170" s="99"/>
      <c r="CM170" s="99"/>
      <c r="CN170" s="99"/>
      <c r="CO170" s="99"/>
    </row>
    <row r="171" spans="2:93" ht="13.5" customHeight="1" x14ac:dyDescent="0.2">
      <c r="B171" s="262">
        <v>71</v>
      </c>
      <c r="C171" s="237" t="str">
        <f t="shared" si="91"/>
        <v/>
      </c>
      <c r="D171" s="237" t="str">
        <f t="shared" si="147"/>
        <v/>
      </c>
      <c r="E171" s="290" t="str">
        <f t="shared" si="128"/>
        <v/>
      </c>
      <c r="F171" s="264" t="str">
        <f t="shared" si="129"/>
        <v/>
      </c>
      <c r="G171" s="291" t="str">
        <f t="shared" si="130"/>
        <v/>
      </c>
      <c r="H171" s="240" t="str">
        <f t="shared" si="92"/>
        <v/>
      </c>
      <c r="I171" s="265" t="str">
        <f t="shared" si="93"/>
        <v/>
      </c>
      <c r="J171" s="265" t="str">
        <f t="shared" si="94"/>
        <v/>
      </c>
      <c r="K171" s="240" t="str">
        <f t="shared" si="95"/>
        <v/>
      </c>
      <c r="L171" s="265" t="str">
        <f t="shared" si="96"/>
        <v/>
      </c>
      <c r="M171" s="265" t="str">
        <f t="shared" si="97"/>
        <v/>
      </c>
      <c r="N171" s="240" t="str">
        <f t="shared" si="98"/>
        <v>-</v>
      </c>
      <c r="O171" s="265" t="str">
        <f t="shared" si="99"/>
        <v>-</v>
      </c>
      <c r="P171" s="265" t="str">
        <f t="shared" si="100"/>
        <v>-</v>
      </c>
      <c r="Q171" s="266" t="str">
        <f t="shared" si="101"/>
        <v>-</v>
      </c>
      <c r="R171" s="267" t="str">
        <f t="shared" si="102"/>
        <v>-</v>
      </c>
      <c r="S171" s="268" t="str">
        <f t="shared" si="103"/>
        <v>-</v>
      </c>
      <c r="T171" s="269" t="str">
        <f t="shared" si="104"/>
        <v/>
      </c>
      <c r="U171" s="221">
        <f t="shared" si="105"/>
        <v>71</v>
      </c>
      <c r="V171" s="220" t="str">
        <f t="shared" si="131"/>
        <v>-</v>
      </c>
      <c r="W171" s="221" t="str">
        <f t="shared" si="132"/>
        <v>-</v>
      </c>
      <c r="X171" s="221" t="str">
        <f t="shared" si="106"/>
        <v>-</v>
      </c>
      <c r="Y171" s="221" t="str">
        <f t="shared" si="107"/>
        <v>-</v>
      </c>
      <c r="Z171" s="270">
        <f t="shared" si="133"/>
        <v>0.1</v>
      </c>
      <c r="AA171" s="271" t="str">
        <f>IFERROR(IF(V170=1,AA$100*EXP(-(LN(2)/$D$65+0.04)*X170)*EXP(-(LN(2)/$D$65+0.1)*Y170),IF(V170=2,AA$100*EXP(-(LN(2)/$D$65+0.04)*(VLOOKUP(($F$16-$F$15)-1,U$99:Y170,4,FALSE)))*EXP(-(LN(2)/$D$65+0.1)*(VLOOKUP(($F$16-$F$15)-1,U$99:Y170,5,FALSE)))*EXP(-(LN(2)/$D$65+0.04)*X170)*EXP(-(LN(2)/$D$65+0.1)*Y170),IF(V170=3,AA$100*EXP(-(LN(2)/$D$65+0.04)*(VLOOKUP(($F$16-$F$15)-1,U$99:Y170,4,FALSE)))*EXP(-(LN(2)/$D$65+0.1)*(VLOOKUP(($F$16-$F$15)-1,U$99:Y170,5,FALSE)))*EXP(-(LN(2)/$D$65+0.04)*(VLOOKUP(($F$16-$F$15)*2-1,U$99:Y170,4,FALSE)))*EXP(-(LN(2)/$D$65+0.1)*(VLOOKUP(($F$16-$F$15)*2-1,U$99:Y170,5,FALSE)))*EXP(-(LN(2)/$D$65+0.04)*X170)*EXP(-(LN(2)/$D$65+0.1)*Y170),"-"))),"-")</f>
        <v>-</v>
      </c>
      <c r="AB171" s="271" t="str">
        <f>IFERROR(IF(V171=1,AB$100*EXP(-(LN(2)/$D$65+0.04)*X171)*EXP(-(LN(2)/$D$65+0.1)*Y171),IF(V171=2,AB$100*EXP(-(LN(2)/$D$65+0.04)*(VLOOKUP(($F$16-$F$15)-1,U$100:Y171,4,FALSE)))*EXP(-(LN(2)/$D$65+0.1)*(VLOOKUP(($F$16-$F$15)-1,U$100:Y171,5,FALSE)))*EXP(-(LN(2)/$D$65+0.04)*X171)*EXP(-(LN(2)/$D$65+0.1)*Y171),IF(V171=3,AB$100*EXP(-(LN(2)/$D$65+0.04)*(VLOOKUP(($F$16-$F$15)-1,U$100:Y171,4,FALSE)))*EXP(-(LN(2)/$D$65+0.1)*(VLOOKUP(($F$16-$F$15)-1,U$100:Y171,5,FALSE)))*EXP(-(LN(2)/$D$65+0.04)*(VLOOKUP(($F$16-$F$15)*2-1,U$100:Y171,4,FALSE)))*EXP(-(LN(2)/$D$65+0.1)*(VLOOKUP(($F$16-$F$15)*2-1,U$100:Y171,5,FALSE)))*EXP(-(LN(2)/$D$65+0.04)*X171)*EXP(-(LN(2)/$D$65+0.1)*Y171),"-"))),"-")</f>
        <v>-</v>
      </c>
      <c r="AC171" s="224">
        <f t="shared" si="134"/>
        <v>71</v>
      </c>
      <c r="AD171" s="223" t="str">
        <f t="shared" si="108"/>
        <v>-</v>
      </c>
      <c r="AE171" s="224" t="str">
        <f t="shared" si="135"/>
        <v>-</v>
      </c>
      <c r="AF171" s="224" t="str">
        <f t="shared" si="109"/>
        <v>-</v>
      </c>
      <c r="AG171" s="224" t="str">
        <f t="shared" si="110"/>
        <v>-</v>
      </c>
      <c r="AH171" s="272">
        <f t="shared" si="136"/>
        <v>0.1</v>
      </c>
      <c r="AI171" s="271" t="str">
        <f>IFERROR(IF(AD170=1,AI$100*EXP(-(LN(2)/$D$65+0.04)*AF170)*EXP(-(LN(2)/$D$65+0.1)*AG170),IF(AD170=2,AI$100*EXP(-(LN(2)/$D$65+0.04)*(VLOOKUP(($F$16-$F$15)-1,AC$99:AG170,4,FALSE)))*EXP(-(LN(2)/$D$65+0.1)*(VLOOKUP(($F$16-$F$15)-1,AC$99:AG170,5,FALSE)))*EXP(-(LN(2)/$D$65+0.04)*AF170)*EXP(-(LN(2)/$D$65+0.1)*AG170),IF(AD170=3,AI$100*EXP(-(LN(2)/$D$65+0.04)*(VLOOKUP(($F$16-$F$15)-1,AC$99:AG170,4,FALSE)))*EXP(-(LN(2)/$D$65+0.1)*(VLOOKUP(($F$16-$F$15)-1,AC$99:AG170,5,FALSE)))*EXP(-(LN(2)/$D$65+0.04)*(VLOOKUP(($F$16-$F$15)*2-1,AC$99:AG170,4,FALSE)))*EXP(-(LN(2)/$D$65+0.1)*(VLOOKUP(($F$16-$F$15)*2-1,AC$99:AG170,5,FALSE)))*EXP(-(LN(2)/$D$65+0.04)*AF170)*EXP(-(LN(2)/$D$65+0.1)*AG170),"-"))),"-")</f>
        <v>-</v>
      </c>
      <c r="AJ171" s="271" t="str">
        <f>IFERROR(IF(AD171=1,AJ$100*EXP(-(LN(2)/$D$65+0.04)*AF171)*EXP(-(LN(2)/$D$65+0.1)*AG171),IF(AD171=2,AJ$100*EXP(-(LN(2)/$D$65+0.04)*(VLOOKUP(($F$16-$F$15)-1,AC$100:AG171,4,FALSE)))*EXP(-(LN(2)/$D$65+0.1)*(VLOOKUP(($F$16-$F$15)-1,AC$100:AG171,5,FALSE)))*EXP(-(LN(2)/$D$65+0.04)*AF171)*EXP(-(LN(2)/$D$65+0.1)*AG171),IF(AD171=3,AJ$100*EXP(-(LN(2)/$D$65+0.04)*(VLOOKUP(($F$16-$F$15)-1,AC$100:AG171,4,FALSE)))*EXP(-(LN(2)/$D$65+0.1)*(VLOOKUP(($F$16-$F$15)-1,AC$100:AG171,5,FALSE)))*EXP(-(LN(2)/$D$65+0.04)*(VLOOKUP(($F$16-$F$15)*2-1,AC$100:AG171,4,FALSE)))*EXP(-(LN(2)/$D$65+0.1)*(VLOOKUP(($F$16-$F$15)*2-1,AC$100:AG171,5,FALSE)))*EXP(-(LN(2)/$D$65+0.04)*AF171)*EXP(-(LN(2)/$D$65+0.1)*AG171),"-"))),"-")</f>
        <v>-</v>
      </c>
      <c r="AK171" s="227">
        <f t="shared" si="137"/>
        <v>71</v>
      </c>
      <c r="AL171" s="226" t="str">
        <f t="shared" si="111"/>
        <v>-</v>
      </c>
      <c r="AM171" s="227" t="str">
        <f t="shared" si="138"/>
        <v>-</v>
      </c>
      <c r="AN171" s="227" t="str">
        <f t="shared" si="139"/>
        <v>-</v>
      </c>
      <c r="AO171" s="227" t="str">
        <f t="shared" si="112"/>
        <v>-</v>
      </c>
      <c r="AP171" s="273">
        <f t="shared" si="140"/>
        <v>0.1</v>
      </c>
      <c r="AQ171" s="271" t="str">
        <f>IFERROR(IF(AL170=1,AQ$100*EXP(-(LN(2)/$D$65+0.04)*AN170)*EXP(-(LN(2)/$D$65+0.1)*AO170),IF(AL170=2,AQ$100*EXP(-(LN(2)/$D$65+0.04)*(VLOOKUP(($F$16-$F$15)-1,AK$99:AO170,4,FALSE)))*EXP(-(LN(2)/$D$65+0.1)*(VLOOKUP(($F$16-$F$15)-1,AK$99:AO170,5,FALSE)))*EXP(-(LN(2)/$D$65+0.04)*AN170)*EXP(-(LN(2)/$D$65+0.1)*AO170),IF(AL170=3,AQ$100*EXP(-(LN(2)/$D$65+0.04)*(VLOOKUP(($F$16-$F$15)-1,AK$99:AO170,4,FALSE)))*EXP(-(LN(2)/$D$65+0.1)*(VLOOKUP(($F$16-$F$15)-1,AK$99:AO170,5,FALSE)))*EXP(-(LN(2)/$D$65+0.04)*(VLOOKUP(($F$16-$F$15)*2-1,AK$99:AO170,4,FALSE)))*EXP(-(LN(2)/$D$65+0.1)*(VLOOKUP(($F$16-$F$15)*2-1,AK$99:AO170,5,FALSE)))*EXP(-(LN(2)/$D$65+0.04)*AN170)*EXP(-(LN(2)/$D$65+0.1)*AO170),"-"))),"-")</f>
        <v>-</v>
      </c>
      <c r="AR171" s="271" t="str">
        <f>IFERROR(IF(AL171=1,AR$100*EXP(-(LN(2)/$D$65+0.04)*AN171)*EXP(-(LN(2)/$D$65+0.1)*AO171),IF(AL171=2,AR$100*EXP(-(LN(2)/$D$65+0.04)*(VLOOKUP(($F$16-$F$15)-1,AK$100:AO171,4,FALSE)))*EXP(-(LN(2)/$D$65+0.1)*(VLOOKUP(($F$16-$F$15)-1,AK$100:AO171,5,FALSE)))*EXP(-(LN(2)/$D$65+0.04)*AN171)*EXP(-(LN(2)/$D$65+0.1)*AO171),IF(AL171=3,AR$100*EXP(-(LN(2)/$D$65+0.04)*(VLOOKUP(($F$16-$F$15)-1,AK$100:AO171,4,FALSE)))*EXP(-(LN(2)/$D$65+0.1)*(VLOOKUP(($F$16-$F$15)-1,AK$100:AO171,5,FALSE)))*EXP(-(LN(2)/$D$65+0.04)*(VLOOKUP(($F$16-$F$15)*2-1,AK$100:AO171,4,FALSE)))*EXP(-(LN(2)/$D$65+0.1)*(VLOOKUP(($F$16-$F$15)*2-1,AK$100:AO171,5,FALSE)))*EXP(-(LN(2)/$D$65+0.04)*AN171)*EXP(-(LN(2)/$D$65+0.1)*AO171),"-"))),"-")</f>
        <v>-</v>
      </c>
      <c r="AS171" s="274">
        <f t="shared" si="113"/>
        <v>0</v>
      </c>
      <c r="AT171" s="274">
        <f t="shared" si="114"/>
        <v>0</v>
      </c>
      <c r="AU171" s="274">
        <f t="shared" si="115"/>
        <v>0</v>
      </c>
      <c r="AV171" s="190" t="str">
        <f>IF($B171&lt;$F$22,SUM($T$100:$T171),"")</f>
        <v/>
      </c>
      <c r="AW171" s="190" t="str">
        <f t="shared" si="116"/>
        <v>-</v>
      </c>
      <c r="AX171" s="190" t="str">
        <f t="shared" si="141"/>
        <v/>
      </c>
      <c r="AY171"/>
      <c r="AZ171" s="190" t="str">
        <f ca="1">IF(ISNUMBER(OFFSET(AV171,-$F$21,0)),SUM(OFFSET($T$100,$F$21,0):$T171),"")</f>
        <v/>
      </c>
      <c r="BA171" s="190" t="str">
        <f t="shared" ca="1" si="117"/>
        <v/>
      </c>
      <c r="BB171" s="190" t="str">
        <f t="shared" ca="1" si="70"/>
        <v/>
      </c>
      <c r="BC171" s="190"/>
      <c r="BD171" s="190" t="str">
        <f ca="1">IFERROR(IF(OR(ISNUMBER(I),ISNUMBER($F$14)),IF(AND($B171&gt;=($F$16-$F$15),$B171&lt;$F$22+($F$16-$F$15)),SUM(OFFSET($T$100,($F$16-$F$15),0):$T171),""),""),"")</f>
        <v/>
      </c>
      <c r="BE171" s="190" t="str">
        <f t="shared" ca="1" si="142"/>
        <v/>
      </c>
      <c r="BF171" s="190" t="str">
        <f t="shared" ca="1" si="143"/>
        <v/>
      </c>
      <c r="BG171"/>
      <c r="BH171" s="190" t="str">
        <f ca="1">IF(ISNUMBER(OFFSET(BD171,-$F$21,0)),SUM(OFFSET($T$100,($F$16-$F$15+$F$21),0):$T171),"")</f>
        <v/>
      </c>
      <c r="BI171" s="190" t="str">
        <f t="shared" ca="1" si="118"/>
        <v/>
      </c>
      <c r="BJ171" s="190" t="str">
        <f t="shared" ca="1" si="144"/>
        <v/>
      </c>
      <c r="BK171" s="190"/>
      <c r="BL171" s="190" t="str">
        <f ca="1">IFERROR(IF(OR(ISNUMBER(I),ISNUMBER($F$14)),IF(AND($B171&gt;=($F$17-$F$15),$B171&lt;$F$22+($F$17-$F$15)),SUM(OFFSET($T$100,($F$17-$F$15),0):$T171),""),""),"")</f>
        <v/>
      </c>
      <c r="BM171" s="190" t="str">
        <f t="shared" ca="1" si="119"/>
        <v/>
      </c>
      <c r="BN171" s="190" t="str">
        <f t="shared" ca="1" si="145"/>
        <v/>
      </c>
      <c r="BO171"/>
      <c r="BP171" s="190" t="str">
        <f ca="1">IF(ISNUMBER(OFFSET(BL171,-$F$21,0)),SUM(OFFSET($T$100,($F$17-$F$15+$F$21),0):$T171),"")</f>
        <v/>
      </c>
      <c r="BQ171" s="190" t="str">
        <f t="shared" ca="1" si="120"/>
        <v/>
      </c>
      <c r="BR171" s="190" t="str">
        <f t="shared" ca="1" si="146"/>
        <v/>
      </c>
      <c r="BS171" s="190"/>
      <c r="BT171"/>
      <c r="BU171"/>
      <c r="BV171"/>
      <c r="BY171" s="99"/>
      <c r="BZ171" s="99"/>
      <c r="CA171" s="280" t="str">
        <f t="shared" si="121"/>
        <v/>
      </c>
      <c r="CB171" s="71" t="str">
        <f t="shared" si="122"/>
        <v>-</v>
      </c>
      <c r="CC171" s="33"/>
      <c r="CD171" s="261" t="str">
        <f t="shared" si="123"/>
        <v/>
      </c>
      <c r="CE171" s="280" t="str">
        <f t="shared" si="124"/>
        <v/>
      </c>
      <c r="CF171" s="71" t="str">
        <f t="shared" ca="1" si="125"/>
        <v/>
      </c>
      <c r="CG171" s="33" t="str">
        <f t="shared" si="126"/>
        <v/>
      </c>
      <c r="CH171" s="261" t="str">
        <f t="shared" ca="1" si="127"/>
        <v/>
      </c>
      <c r="CI171" s="202"/>
      <c r="CJ171" s="99"/>
      <c r="CK171" s="99"/>
      <c r="CL171" s="99"/>
      <c r="CM171" s="99"/>
      <c r="CN171" s="99"/>
      <c r="CO171" s="99"/>
    </row>
    <row r="172" spans="2:93" ht="13.5" customHeight="1" x14ac:dyDescent="0.2">
      <c r="B172" s="262">
        <v>72</v>
      </c>
      <c r="C172" s="237" t="str">
        <f t="shared" si="91"/>
        <v/>
      </c>
      <c r="D172" s="237" t="str">
        <f t="shared" si="147"/>
        <v/>
      </c>
      <c r="E172" s="290" t="str">
        <f t="shared" si="128"/>
        <v/>
      </c>
      <c r="F172" s="264" t="str">
        <f t="shared" si="129"/>
        <v/>
      </c>
      <c r="G172" s="291" t="str">
        <f t="shared" si="130"/>
        <v/>
      </c>
      <c r="H172" s="240" t="str">
        <f t="shared" si="92"/>
        <v/>
      </c>
      <c r="I172" s="265" t="str">
        <f t="shared" si="93"/>
        <v/>
      </c>
      <c r="J172" s="265" t="str">
        <f t="shared" si="94"/>
        <v/>
      </c>
      <c r="K172" s="240" t="str">
        <f t="shared" si="95"/>
        <v/>
      </c>
      <c r="L172" s="265" t="str">
        <f t="shared" si="96"/>
        <v/>
      </c>
      <c r="M172" s="265" t="str">
        <f t="shared" si="97"/>
        <v/>
      </c>
      <c r="N172" s="240" t="str">
        <f t="shared" si="98"/>
        <v>-</v>
      </c>
      <c r="O172" s="265" t="str">
        <f t="shared" si="99"/>
        <v>-</v>
      </c>
      <c r="P172" s="265" t="str">
        <f t="shared" si="100"/>
        <v>-</v>
      </c>
      <c r="Q172" s="266" t="str">
        <f t="shared" si="101"/>
        <v>-</v>
      </c>
      <c r="R172" s="267" t="str">
        <f t="shared" si="102"/>
        <v>-</v>
      </c>
      <c r="S172" s="268" t="str">
        <f t="shared" si="103"/>
        <v>-</v>
      </c>
      <c r="T172" s="269" t="str">
        <f t="shared" si="104"/>
        <v/>
      </c>
      <c r="U172" s="221">
        <f t="shared" si="105"/>
        <v>72</v>
      </c>
      <c r="V172" s="220" t="str">
        <f t="shared" si="131"/>
        <v>-</v>
      </c>
      <c r="W172" s="221" t="str">
        <f t="shared" si="132"/>
        <v>-</v>
      </c>
      <c r="X172" s="221" t="str">
        <f t="shared" si="106"/>
        <v>-</v>
      </c>
      <c r="Y172" s="221" t="str">
        <f t="shared" si="107"/>
        <v>-</v>
      </c>
      <c r="Z172" s="270">
        <f t="shared" si="133"/>
        <v>0.1</v>
      </c>
      <c r="AA172" s="271" t="str">
        <f>IFERROR(IF(V171=1,AA$100*EXP(-(LN(2)/$D$65+0.04)*X171)*EXP(-(LN(2)/$D$65+0.1)*Y171),IF(V171=2,AA$100*EXP(-(LN(2)/$D$65+0.04)*(VLOOKUP(($F$16-$F$15)-1,U$99:Y171,4,FALSE)))*EXP(-(LN(2)/$D$65+0.1)*(VLOOKUP(($F$16-$F$15)-1,U$99:Y171,5,FALSE)))*EXP(-(LN(2)/$D$65+0.04)*X171)*EXP(-(LN(2)/$D$65+0.1)*Y171),IF(V171=3,AA$100*EXP(-(LN(2)/$D$65+0.04)*(VLOOKUP(($F$16-$F$15)-1,U$99:Y171,4,FALSE)))*EXP(-(LN(2)/$D$65+0.1)*(VLOOKUP(($F$16-$F$15)-1,U$99:Y171,5,FALSE)))*EXP(-(LN(2)/$D$65+0.04)*(VLOOKUP(($F$16-$F$15)*2-1,U$99:Y171,4,FALSE)))*EXP(-(LN(2)/$D$65+0.1)*(VLOOKUP(($F$16-$F$15)*2-1,U$99:Y171,5,FALSE)))*EXP(-(LN(2)/$D$65+0.04)*X171)*EXP(-(LN(2)/$D$65+0.1)*Y171),"-"))),"-")</f>
        <v>-</v>
      </c>
      <c r="AB172" s="271" t="str">
        <f>IFERROR(IF(V172=1,AB$100*EXP(-(LN(2)/$D$65+0.04)*X172)*EXP(-(LN(2)/$D$65+0.1)*Y172),IF(V172=2,AB$100*EXP(-(LN(2)/$D$65+0.04)*(VLOOKUP(($F$16-$F$15)-1,U$100:Y172,4,FALSE)))*EXP(-(LN(2)/$D$65+0.1)*(VLOOKUP(($F$16-$F$15)-1,U$100:Y172,5,FALSE)))*EXP(-(LN(2)/$D$65+0.04)*X172)*EXP(-(LN(2)/$D$65+0.1)*Y172),IF(V172=3,AB$100*EXP(-(LN(2)/$D$65+0.04)*(VLOOKUP(($F$16-$F$15)-1,U$100:Y172,4,FALSE)))*EXP(-(LN(2)/$D$65+0.1)*(VLOOKUP(($F$16-$F$15)-1,U$100:Y172,5,FALSE)))*EXP(-(LN(2)/$D$65+0.04)*(VLOOKUP(($F$16-$F$15)*2-1,U$100:Y172,4,FALSE)))*EXP(-(LN(2)/$D$65+0.1)*(VLOOKUP(($F$16-$F$15)*2-1,U$100:Y172,5,FALSE)))*EXP(-(LN(2)/$D$65+0.04)*X172)*EXP(-(LN(2)/$D$65+0.1)*Y172),"-"))),"-")</f>
        <v>-</v>
      </c>
      <c r="AC172" s="224">
        <f t="shared" si="134"/>
        <v>72</v>
      </c>
      <c r="AD172" s="223" t="str">
        <f t="shared" si="108"/>
        <v>-</v>
      </c>
      <c r="AE172" s="224" t="str">
        <f t="shared" si="135"/>
        <v>-</v>
      </c>
      <c r="AF172" s="224" t="str">
        <f t="shared" si="109"/>
        <v>-</v>
      </c>
      <c r="AG172" s="224" t="str">
        <f t="shared" si="110"/>
        <v>-</v>
      </c>
      <c r="AH172" s="272">
        <f t="shared" si="136"/>
        <v>0.1</v>
      </c>
      <c r="AI172" s="271" t="str">
        <f>IFERROR(IF(AD171=1,AI$100*EXP(-(LN(2)/$D$65+0.04)*AF171)*EXP(-(LN(2)/$D$65+0.1)*AG171),IF(AD171=2,AI$100*EXP(-(LN(2)/$D$65+0.04)*(VLOOKUP(($F$16-$F$15)-1,AC$99:AG171,4,FALSE)))*EXP(-(LN(2)/$D$65+0.1)*(VLOOKUP(($F$16-$F$15)-1,AC$99:AG171,5,FALSE)))*EXP(-(LN(2)/$D$65+0.04)*AF171)*EXP(-(LN(2)/$D$65+0.1)*AG171),IF(AD171=3,AI$100*EXP(-(LN(2)/$D$65+0.04)*(VLOOKUP(($F$16-$F$15)-1,AC$99:AG171,4,FALSE)))*EXP(-(LN(2)/$D$65+0.1)*(VLOOKUP(($F$16-$F$15)-1,AC$99:AG171,5,FALSE)))*EXP(-(LN(2)/$D$65+0.04)*(VLOOKUP(($F$16-$F$15)*2-1,AC$99:AG171,4,FALSE)))*EXP(-(LN(2)/$D$65+0.1)*(VLOOKUP(($F$16-$F$15)*2-1,AC$99:AG171,5,FALSE)))*EXP(-(LN(2)/$D$65+0.04)*AF171)*EXP(-(LN(2)/$D$65+0.1)*AG171),"-"))),"-")</f>
        <v>-</v>
      </c>
      <c r="AJ172" s="271" t="str">
        <f>IFERROR(IF(AD172=1,AJ$100*EXP(-(LN(2)/$D$65+0.04)*AF172)*EXP(-(LN(2)/$D$65+0.1)*AG172),IF(AD172=2,AJ$100*EXP(-(LN(2)/$D$65+0.04)*(VLOOKUP(($F$16-$F$15)-1,AC$100:AG172,4,FALSE)))*EXP(-(LN(2)/$D$65+0.1)*(VLOOKUP(($F$16-$F$15)-1,AC$100:AG172,5,FALSE)))*EXP(-(LN(2)/$D$65+0.04)*AF172)*EXP(-(LN(2)/$D$65+0.1)*AG172),IF(AD172=3,AJ$100*EXP(-(LN(2)/$D$65+0.04)*(VLOOKUP(($F$16-$F$15)-1,AC$100:AG172,4,FALSE)))*EXP(-(LN(2)/$D$65+0.1)*(VLOOKUP(($F$16-$F$15)-1,AC$100:AG172,5,FALSE)))*EXP(-(LN(2)/$D$65+0.04)*(VLOOKUP(($F$16-$F$15)*2-1,AC$100:AG172,4,FALSE)))*EXP(-(LN(2)/$D$65+0.1)*(VLOOKUP(($F$16-$F$15)*2-1,AC$100:AG172,5,FALSE)))*EXP(-(LN(2)/$D$65+0.04)*AF172)*EXP(-(LN(2)/$D$65+0.1)*AG172),"-"))),"-")</f>
        <v>-</v>
      </c>
      <c r="AK172" s="227">
        <f t="shared" si="137"/>
        <v>72</v>
      </c>
      <c r="AL172" s="226" t="str">
        <f t="shared" si="111"/>
        <v>-</v>
      </c>
      <c r="AM172" s="227" t="str">
        <f t="shared" si="138"/>
        <v>-</v>
      </c>
      <c r="AN172" s="227" t="str">
        <f t="shared" si="139"/>
        <v>-</v>
      </c>
      <c r="AO172" s="227" t="str">
        <f t="shared" si="112"/>
        <v>-</v>
      </c>
      <c r="AP172" s="273">
        <f t="shared" si="140"/>
        <v>0.1</v>
      </c>
      <c r="AQ172" s="271" t="str">
        <f>IFERROR(IF(AL171=1,AQ$100*EXP(-(LN(2)/$D$65+0.04)*AN171)*EXP(-(LN(2)/$D$65+0.1)*AO171),IF(AL171=2,AQ$100*EXP(-(LN(2)/$D$65+0.04)*(VLOOKUP(($F$16-$F$15)-1,AK$99:AO171,4,FALSE)))*EXP(-(LN(2)/$D$65+0.1)*(VLOOKUP(($F$16-$F$15)-1,AK$99:AO171,5,FALSE)))*EXP(-(LN(2)/$D$65+0.04)*AN171)*EXP(-(LN(2)/$D$65+0.1)*AO171),IF(AL171=3,AQ$100*EXP(-(LN(2)/$D$65+0.04)*(VLOOKUP(($F$16-$F$15)-1,AK$99:AO171,4,FALSE)))*EXP(-(LN(2)/$D$65+0.1)*(VLOOKUP(($F$16-$F$15)-1,AK$99:AO171,5,FALSE)))*EXP(-(LN(2)/$D$65+0.04)*(VLOOKUP(($F$16-$F$15)*2-1,AK$99:AO171,4,FALSE)))*EXP(-(LN(2)/$D$65+0.1)*(VLOOKUP(($F$16-$F$15)*2-1,AK$99:AO171,5,FALSE)))*EXP(-(LN(2)/$D$65+0.04)*AN171)*EXP(-(LN(2)/$D$65+0.1)*AO171),"-"))),"-")</f>
        <v>-</v>
      </c>
      <c r="AR172" s="271" t="str">
        <f>IFERROR(IF(AL172=1,AR$100*EXP(-(LN(2)/$D$65+0.04)*AN172)*EXP(-(LN(2)/$D$65+0.1)*AO172),IF(AL172=2,AR$100*EXP(-(LN(2)/$D$65+0.04)*(VLOOKUP(($F$16-$F$15)-1,AK$100:AO172,4,FALSE)))*EXP(-(LN(2)/$D$65+0.1)*(VLOOKUP(($F$16-$F$15)-1,AK$100:AO172,5,FALSE)))*EXP(-(LN(2)/$D$65+0.04)*AN172)*EXP(-(LN(2)/$D$65+0.1)*AO172),IF(AL172=3,AR$100*EXP(-(LN(2)/$D$65+0.04)*(VLOOKUP(($F$16-$F$15)-1,AK$100:AO172,4,FALSE)))*EXP(-(LN(2)/$D$65+0.1)*(VLOOKUP(($F$16-$F$15)-1,AK$100:AO172,5,FALSE)))*EXP(-(LN(2)/$D$65+0.04)*(VLOOKUP(($F$16-$F$15)*2-1,AK$100:AO172,4,FALSE)))*EXP(-(LN(2)/$D$65+0.1)*(VLOOKUP(($F$16-$F$15)*2-1,AK$100:AO172,5,FALSE)))*EXP(-(LN(2)/$D$65+0.04)*AN172)*EXP(-(LN(2)/$D$65+0.1)*AO172),"-"))),"-")</f>
        <v>-</v>
      </c>
      <c r="AS172" s="274">
        <f t="shared" si="113"/>
        <v>0</v>
      </c>
      <c r="AT172" s="274">
        <f t="shared" si="114"/>
        <v>0</v>
      </c>
      <c r="AU172" s="274">
        <f t="shared" si="115"/>
        <v>0</v>
      </c>
      <c r="AV172" s="190" t="str">
        <f>IF($B172&lt;$F$22,SUM($T$100:$T172),"")</f>
        <v/>
      </c>
      <c r="AW172" s="190" t="str">
        <f t="shared" si="116"/>
        <v>-</v>
      </c>
      <c r="AX172" s="190" t="str">
        <f t="shared" si="141"/>
        <v/>
      </c>
      <c r="AY172"/>
      <c r="AZ172" s="190" t="str">
        <f ca="1">IF(ISNUMBER(OFFSET(AV172,-$F$21,0)),SUM(OFFSET($T$100,$F$21,0):$T172),"")</f>
        <v/>
      </c>
      <c r="BA172" s="190" t="str">
        <f t="shared" ca="1" si="117"/>
        <v/>
      </c>
      <c r="BB172" s="190" t="str">
        <f t="shared" ca="1" si="70"/>
        <v/>
      </c>
      <c r="BC172" s="190"/>
      <c r="BD172" s="190" t="str">
        <f ca="1">IFERROR(IF(OR(ISNUMBER(I),ISNUMBER($F$14)),IF(AND($B172&gt;=($F$16-$F$15),$B172&lt;$F$22+($F$16-$F$15)),SUM(OFFSET($T$100,($F$16-$F$15),0):$T172),""),""),"")</f>
        <v/>
      </c>
      <c r="BE172" s="190" t="str">
        <f t="shared" ca="1" si="142"/>
        <v/>
      </c>
      <c r="BF172" s="190" t="str">
        <f t="shared" ca="1" si="143"/>
        <v/>
      </c>
      <c r="BG172"/>
      <c r="BH172" s="190" t="str">
        <f ca="1">IF(ISNUMBER(OFFSET(BD172,-$F$21,0)),SUM(OFFSET($T$100,($F$16-$F$15+$F$21),0):$T172),"")</f>
        <v/>
      </c>
      <c r="BI172" s="190" t="str">
        <f t="shared" ca="1" si="118"/>
        <v/>
      </c>
      <c r="BJ172" s="190" t="str">
        <f t="shared" ca="1" si="144"/>
        <v/>
      </c>
      <c r="BK172" s="190"/>
      <c r="BL172" s="190" t="str">
        <f ca="1">IFERROR(IF(OR(ISNUMBER(I),ISNUMBER($F$14)),IF(AND($B172&gt;=($F$17-$F$15),$B172&lt;$F$22+($F$17-$F$15)),SUM(OFFSET($T$100,($F$17-$F$15),0):$T172),""),""),"")</f>
        <v/>
      </c>
      <c r="BM172" s="190" t="str">
        <f t="shared" ca="1" si="119"/>
        <v/>
      </c>
      <c r="BN172" s="190" t="str">
        <f t="shared" ca="1" si="145"/>
        <v/>
      </c>
      <c r="BO172"/>
      <c r="BP172" s="190" t="str">
        <f ca="1">IF(ISNUMBER(OFFSET(BL172,-$F$21,0)),SUM(OFFSET($T$100,($F$17-$F$15+$F$21),0):$T172),"")</f>
        <v/>
      </c>
      <c r="BQ172" s="190" t="str">
        <f t="shared" ca="1" si="120"/>
        <v/>
      </c>
      <c r="BR172" s="190" t="str">
        <f t="shared" ca="1" si="146"/>
        <v/>
      </c>
      <c r="BS172" s="190"/>
      <c r="BT172"/>
      <c r="BU172"/>
      <c r="BV172"/>
      <c r="BY172" s="99"/>
      <c r="BZ172" s="99"/>
      <c r="CA172" s="280" t="str">
        <f t="shared" si="121"/>
        <v/>
      </c>
      <c r="CB172" s="71" t="str">
        <f t="shared" si="122"/>
        <v>-</v>
      </c>
      <c r="CC172" s="33"/>
      <c r="CD172" s="261" t="str">
        <f t="shared" si="123"/>
        <v/>
      </c>
      <c r="CE172" s="280" t="str">
        <f t="shared" si="124"/>
        <v/>
      </c>
      <c r="CF172" s="71" t="str">
        <f t="shared" ca="1" si="125"/>
        <v/>
      </c>
      <c r="CG172" s="33" t="str">
        <f t="shared" si="126"/>
        <v/>
      </c>
      <c r="CH172" s="261" t="str">
        <f t="shared" ca="1" si="127"/>
        <v/>
      </c>
      <c r="CI172" s="202"/>
      <c r="CJ172" s="99"/>
      <c r="CK172" s="99"/>
      <c r="CL172" s="99"/>
      <c r="CM172" s="99"/>
      <c r="CN172" s="99"/>
      <c r="CO172" s="99"/>
    </row>
    <row r="173" spans="2:93" ht="13.5" customHeight="1" x14ac:dyDescent="0.2">
      <c r="B173" s="262">
        <v>73</v>
      </c>
      <c r="C173" s="237" t="str">
        <f t="shared" si="91"/>
        <v/>
      </c>
      <c r="D173" s="237" t="str">
        <f t="shared" si="147"/>
        <v/>
      </c>
      <c r="E173" s="290" t="str">
        <f t="shared" si="128"/>
        <v/>
      </c>
      <c r="F173" s="264" t="str">
        <f t="shared" si="129"/>
        <v/>
      </c>
      <c r="G173" s="291" t="str">
        <f t="shared" si="130"/>
        <v/>
      </c>
      <c r="H173" s="240" t="str">
        <f t="shared" si="92"/>
        <v/>
      </c>
      <c r="I173" s="265" t="str">
        <f t="shared" si="93"/>
        <v/>
      </c>
      <c r="J173" s="265" t="str">
        <f t="shared" si="94"/>
        <v/>
      </c>
      <c r="K173" s="240" t="str">
        <f t="shared" si="95"/>
        <v/>
      </c>
      <c r="L173" s="265" t="str">
        <f t="shared" si="96"/>
        <v/>
      </c>
      <c r="M173" s="265" t="str">
        <f t="shared" si="97"/>
        <v/>
      </c>
      <c r="N173" s="240" t="str">
        <f t="shared" si="98"/>
        <v>-</v>
      </c>
      <c r="O173" s="265" t="str">
        <f t="shared" si="99"/>
        <v>-</v>
      </c>
      <c r="P173" s="265" t="str">
        <f t="shared" si="100"/>
        <v>-</v>
      </c>
      <c r="Q173" s="266" t="str">
        <f t="shared" si="101"/>
        <v>-</v>
      </c>
      <c r="R173" s="267" t="str">
        <f t="shared" si="102"/>
        <v>-</v>
      </c>
      <c r="S173" s="268" t="str">
        <f t="shared" si="103"/>
        <v>-</v>
      </c>
      <c r="T173" s="269" t="str">
        <f t="shared" si="104"/>
        <v/>
      </c>
      <c r="U173" s="221">
        <f t="shared" si="105"/>
        <v>73</v>
      </c>
      <c r="V173" s="220" t="str">
        <f t="shared" si="131"/>
        <v>-</v>
      </c>
      <c r="W173" s="221" t="str">
        <f t="shared" si="132"/>
        <v>-</v>
      </c>
      <c r="X173" s="221" t="str">
        <f t="shared" si="106"/>
        <v>-</v>
      </c>
      <c r="Y173" s="221" t="str">
        <f t="shared" si="107"/>
        <v>-</v>
      </c>
      <c r="Z173" s="270">
        <f t="shared" si="133"/>
        <v>0.1</v>
      </c>
      <c r="AA173" s="271" t="str">
        <f>IFERROR(IF(V172=1,AA$100*EXP(-(LN(2)/$D$65+0.04)*X172)*EXP(-(LN(2)/$D$65+0.1)*Y172),IF(V172=2,AA$100*EXP(-(LN(2)/$D$65+0.04)*(VLOOKUP(($F$16-$F$15)-1,U$99:Y172,4,FALSE)))*EXP(-(LN(2)/$D$65+0.1)*(VLOOKUP(($F$16-$F$15)-1,U$99:Y172,5,FALSE)))*EXP(-(LN(2)/$D$65+0.04)*X172)*EXP(-(LN(2)/$D$65+0.1)*Y172),IF(V172=3,AA$100*EXP(-(LN(2)/$D$65+0.04)*(VLOOKUP(($F$16-$F$15)-1,U$99:Y172,4,FALSE)))*EXP(-(LN(2)/$D$65+0.1)*(VLOOKUP(($F$16-$F$15)-1,U$99:Y172,5,FALSE)))*EXP(-(LN(2)/$D$65+0.04)*(VLOOKUP(($F$16-$F$15)*2-1,U$99:Y172,4,FALSE)))*EXP(-(LN(2)/$D$65+0.1)*(VLOOKUP(($F$16-$F$15)*2-1,U$99:Y172,5,FALSE)))*EXP(-(LN(2)/$D$65+0.04)*X172)*EXP(-(LN(2)/$D$65+0.1)*Y172),"-"))),"-")</f>
        <v>-</v>
      </c>
      <c r="AB173" s="271" t="str">
        <f>IFERROR(IF(V173=1,AB$100*EXP(-(LN(2)/$D$65+0.04)*X173)*EXP(-(LN(2)/$D$65+0.1)*Y173),IF(V173=2,AB$100*EXP(-(LN(2)/$D$65+0.04)*(VLOOKUP(($F$16-$F$15)-1,U$100:Y173,4,FALSE)))*EXP(-(LN(2)/$D$65+0.1)*(VLOOKUP(($F$16-$F$15)-1,U$100:Y173,5,FALSE)))*EXP(-(LN(2)/$D$65+0.04)*X173)*EXP(-(LN(2)/$D$65+0.1)*Y173),IF(V173=3,AB$100*EXP(-(LN(2)/$D$65+0.04)*(VLOOKUP(($F$16-$F$15)-1,U$100:Y173,4,FALSE)))*EXP(-(LN(2)/$D$65+0.1)*(VLOOKUP(($F$16-$F$15)-1,U$100:Y173,5,FALSE)))*EXP(-(LN(2)/$D$65+0.04)*(VLOOKUP(($F$16-$F$15)*2-1,U$100:Y173,4,FALSE)))*EXP(-(LN(2)/$D$65+0.1)*(VLOOKUP(($F$16-$F$15)*2-1,U$100:Y173,5,FALSE)))*EXP(-(LN(2)/$D$65+0.04)*X173)*EXP(-(LN(2)/$D$65+0.1)*Y173),"-"))),"-")</f>
        <v>-</v>
      </c>
      <c r="AC173" s="224">
        <f t="shared" si="134"/>
        <v>73</v>
      </c>
      <c r="AD173" s="223" t="str">
        <f t="shared" si="108"/>
        <v>-</v>
      </c>
      <c r="AE173" s="224" t="str">
        <f t="shared" si="135"/>
        <v>-</v>
      </c>
      <c r="AF173" s="224" t="str">
        <f t="shared" si="109"/>
        <v>-</v>
      </c>
      <c r="AG173" s="224" t="str">
        <f t="shared" si="110"/>
        <v>-</v>
      </c>
      <c r="AH173" s="272">
        <f t="shared" si="136"/>
        <v>0.1</v>
      </c>
      <c r="AI173" s="271" t="str">
        <f>IFERROR(IF(AD172=1,AI$100*EXP(-(LN(2)/$D$65+0.04)*AF172)*EXP(-(LN(2)/$D$65+0.1)*AG172),IF(AD172=2,AI$100*EXP(-(LN(2)/$D$65+0.04)*(VLOOKUP(($F$16-$F$15)-1,AC$99:AG172,4,FALSE)))*EXP(-(LN(2)/$D$65+0.1)*(VLOOKUP(($F$16-$F$15)-1,AC$99:AG172,5,FALSE)))*EXP(-(LN(2)/$D$65+0.04)*AF172)*EXP(-(LN(2)/$D$65+0.1)*AG172),IF(AD172=3,AI$100*EXP(-(LN(2)/$D$65+0.04)*(VLOOKUP(($F$16-$F$15)-1,AC$99:AG172,4,FALSE)))*EXP(-(LN(2)/$D$65+0.1)*(VLOOKUP(($F$16-$F$15)-1,AC$99:AG172,5,FALSE)))*EXP(-(LN(2)/$D$65+0.04)*(VLOOKUP(($F$16-$F$15)*2-1,AC$99:AG172,4,FALSE)))*EXP(-(LN(2)/$D$65+0.1)*(VLOOKUP(($F$16-$F$15)*2-1,AC$99:AG172,5,FALSE)))*EXP(-(LN(2)/$D$65+0.04)*AF172)*EXP(-(LN(2)/$D$65+0.1)*AG172),"-"))),"-")</f>
        <v>-</v>
      </c>
      <c r="AJ173" s="271" t="str">
        <f>IFERROR(IF(AD173=1,AJ$100*EXP(-(LN(2)/$D$65+0.04)*AF173)*EXP(-(LN(2)/$D$65+0.1)*AG173),IF(AD173=2,AJ$100*EXP(-(LN(2)/$D$65+0.04)*(VLOOKUP(($F$16-$F$15)-1,AC$100:AG173,4,FALSE)))*EXP(-(LN(2)/$D$65+0.1)*(VLOOKUP(($F$16-$F$15)-1,AC$100:AG173,5,FALSE)))*EXP(-(LN(2)/$D$65+0.04)*AF173)*EXP(-(LN(2)/$D$65+0.1)*AG173),IF(AD173=3,AJ$100*EXP(-(LN(2)/$D$65+0.04)*(VLOOKUP(($F$16-$F$15)-1,AC$100:AG173,4,FALSE)))*EXP(-(LN(2)/$D$65+0.1)*(VLOOKUP(($F$16-$F$15)-1,AC$100:AG173,5,FALSE)))*EXP(-(LN(2)/$D$65+0.04)*(VLOOKUP(($F$16-$F$15)*2-1,AC$100:AG173,4,FALSE)))*EXP(-(LN(2)/$D$65+0.1)*(VLOOKUP(($F$16-$F$15)*2-1,AC$100:AG173,5,FALSE)))*EXP(-(LN(2)/$D$65+0.04)*AF173)*EXP(-(LN(2)/$D$65+0.1)*AG173),"-"))),"-")</f>
        <v>-</v>
      </c>
      <c r="AK173" s="227">
        <f t="shared" si="137"/>
        <v>73</v>
      </c>
      <c r="AL173" s="226" t="str">
        <f t="shared" si="111"/>
        <v>-</v>
      </c>
      <c r="AM173" s="227" t="str">
        <f t="shared" si="138"/>
        <v>-</v>
      </c>
      <c r="AN173" s="227" t="str">
        <f t="shared" si="139"/>
        <v>-</v>
      </c>
      <c r="AO173" s="227" t="str">
        <f t="shared" si="112"/>
        <v>-</v>
      </c>
      <c r="AP173" s="273">
        <f t="shared" si="140"/>
        <v>0.1</v>
      </c>
      <c r="AQ173" s="271" t="str">
        <f>IFERROR(IF(AL172=1,AQ$100*EXP(-(LN(2)/$D$65+0.04)*AN172)*EXP(-(LN(2)/$D$65+0.1)*AO172),IF(AL172=2,AQ$100*EXP(-(LN(2)/$D$65+0.04)*(VLOOKUP(($F$16-$F$15)-1,AK$99:AO172,4,FALSE)))*EXP(-(LN(2)/$D$65+0.1)*(VLOOKUP(($F$16-$F$15)-1,AK$99:AO172,5,FALSE)))*EXP(-(LN(2)/$D$65+0.04)*AN172)*EXP(-(LN(2)/$D$65+0.1)*AO172),IF(AL172=3,AQ$100*EXP(-(LN(2)/$D$65+0.04)*(VLOOKUP(($F$16-$F$15)-1,AK$99:AO172,4,FALSE)))*EXP(-(LN(2)/$D$65+0.1)*(VLOOKUP(($F$16-$F$15)-1,AK$99:AO172,5,FALSE)))*EXP(-(LN(2)/$D$65+0.04)*(VLOOKUP(($F$16-$F$15)*2-1,AK$99:AO172,4,FALSE)))*EXP(-(LN(2)/$D$65+0.1)*(VLOOKUP(($F$16-$F$15)*2-1,AK$99:AO172,5,FALSE)))*EXP(-(LN(2)/$D$65+0.04)*AN172)*EXP(-(LN(2)/$D$65+0.1)*AO172),"-"))),"-")</f>
        <v>-</v>
      </c>
      <c r="AR173" s="271" t="str">
        <f>IFERROR(IF(AL173=1,AR$100*EXP(-(LN(2)/$D$65+0.04)*AN173)*EXP(-(LN(2)/$D$65+0.1)*AO173),IF(AL173=2,AR$100*EXP(-(LN(2)/$D$65+0.04)*(VLOOKUP(($F$16-$F$15)-1,AK$100:AO173,4,FALSE)))*EXP(-(LN(2)/$D$65+0.1)*(VLOOKUP(($F$16-$F$15)-1,AK$100:AO173,5,FALSE)))*EXP(-(LN(2)/$D$65+0.04)*AN173)*EXP(-(LN(2)/$D$65+0.1)*AO173),IF(AL173=3,AR$100*EXP(-(LN(2)/$D$65+0.04)*(VLOOKUP(($F$16-$F$15)-1,AK$100:AO173,4,FALSE)))*EXP(-(LN(2)/$D$65+0.1)*(VLOOKUP(($F$16-$F$15)-1,AK$100:AO173,5,FALSE)))*EXP(-(LN(2)/$D$65+0.04)*(VLOOKUP(($F$16-$F$15)*2-1,AK$100:AO173,4,FALSE)))*EXP(-(LN(2)/$D$65+0.1)*(VLOOKUP(($F$16-$F$15)*2-1,AK$100:AO173,5,FALSE)))*EXP(-(LN(2)/$D$65+0.04)*AN173)*EXP(-(LN(2)/$D$65+0.1)*AO173),"-"))),"-")</f>
        <v>-</v>
      </c>
      <c r="AS173" s="274">
        <f t="shared" si="113"/>
        <v>0</v>
      </c>
      <c r="AT173" s="274">
        <f t="shared" si="114"/>
        <v>0</v>
      </c>
      <c r="AU173" s="274">
        <f t="shared" si="115"/>
        <v>0</v>
      </c>
      <c r="AV173" s="190" t="str">
        <f>IF($B173&lt;$F$22,SUM($T$100:$T173),"")</f>
        <v/>
      </c>
      <c r="AW173" s="190" t="str">
        <f t="shared" si="116"/>
        <v>-</v>
      </c>
      <c r="AX173" s="190" t="str">
        <f t="shared" si="141"/>
        <v/>
      </c>
      <c r="AY173"/>
      <c r="AZ173" s="190" t="str">
        <f ca="1">IF(ISNUMBER(OFFSET(AV173,-$F$21,0)),SUM(OFFSET($T$100,$F$21,0):$T173),"")</f>
        <v/>
      </c>
      <c r="BA173" s="190" t="str">
        <f t="shared" ca="1" si="117"/>
        <v/>
      </c>
      <c r="BB173" s="190" t="str">
        <f t="shared" ca="1" si="70"/>
        <v/>
      </c>
      <c r="BC173" s="190"/>
      <c r="BD173" s="190" t="str">
        <f ca="1">IFERROR(IF(OR(ISNUMBER(I),ISNUMBER($F$14)),IF(AND($B173&gt;=($F$16-$F$15),$B173&lt;$F$22+($F$16-$F$15)),SUM(OFFSET($T$100,($F$16-$F$15),0):$T173),""),""),"")</f>
        <v/>
      </c>
      <c r="BE173" s="190" t="str">
        <f t="shared" ca="1" si="142"/>
        <v/>
      </c>
      <c r="BF173" s="190" t="str">
        <f t="shared" ca="1" si="143"/>
        <v/>
      </c>
      <c r="BG173"/>
      <c r="BH173" s="190" t="str">
        <f ca="1">IF(ISNUMBER(OFFSET(BD173,-$F$21,0)),SUM(OFFSET($T$100,($F$16-$F$15+$F$21),0):$T173),"")</f>
        <v/>
      </c>
      <c r="BI173" s="190" t="str">
        <f t="shared" ca="1" si="118"/>
        <v/>
      </c>
      <c r="BJ173" s="190" t="str">
        <f t="shared" ca="1" si="144"/>
        <v/>
      </c>
      <c r="BK173" s="190"/>
      <c r="BL173" s="190" t="str">
        <f ca="1">IFERROR(IF(OR(ISNUMBER(I),ISNUMBER($F$14)),IF(AND($B173&gt;=($F$17-$F$15),$B173&lt;$F$22+($F$17-$F$15)),SUM(OFFSET($T$100,($F$17-$F$15),0):$T173),""),""),"")</f>
        <v/>
      </c>
      <c r="BM173" s="190" t="str">
        <f t="shared" ca="1" si="119"/>
        <v/>
      </c>
      <c r="BN173" s="190" t="str">
        <f t="shared" ca="1" si="145"/>
        <v/>
      </c>
      <c r="BO173"/>
      <c r="BP173" s="190" t="str">
        <f ca="1">IF(ISNUMBER(OFFSET(BL173,-$F$21,0)),SUM(OFFSET($T$100,($F$17-$F$15+$F$21),0):$T173),"")</f>
        <v/>
      </c>
      <c r="BQ173" s="190" t="str">
        <f t="shared" ca="1" si="120"/>
        <v/>
      </c>
      <c r="BR173" s="190" t="str">
        <f t="shared" ca="1" si="146"/>
        <v/>
      </c>
      <c r="BS173" s="190"/>
      <c r="BT173"/>
      <c r="BU173"/>
      <c r="BV173"/>
      <c r="BY173" s="99"/>
      <c r="BZ173" s="99"/>
      <c r="CA173" s="280" t="str">
        <f t="shared" si="121"/>
        <v/>
      </c>
      <c r="CB173" s="71" t="str">
        <f t="shared" si="122"/>
        <v>-</v>
      </c>
      <c r="CC173" s="33"/>
      <c r="CD173" s="261" t="str">
        <f t="shared" si="123"/>
        <v/>
      </c>
      <c r="CE173" s="280" t="str">
        <f t="shared" si="124"/>
        <v/>
      </c>
      <c r="CF173" s="71" t="str">
        <f t="shared" ca="1" si="125"/>
        <v/>
      </c>
      <c r="CG173" s="33" t="str">
        <f t="shared" si="126"/>
        <v/>
      </c>
      <c r="CH173" s="261" t="str">
        <f t="shared" ca="1" si="127"/>
        <v/>
      </c>
      <c r="CI173" s="202"/>
      <c r="CJ173" s="99"/>
      <c r="CK173" s="99"/>
      <c r="CL173" s="99"/>
      <c r="CM173" s="99"/>
      <c r="CN173" s="99"/>
      <c r="CO173" s="99"/>
    </row>
    <row r="174" spans="2:93" ht="13.5" customHeight="1" x14ac:dyDescent="0.2">
      <c r="B174" s="262">
        <v>74</v>
      </c>
      <c r="C174" s="237" t="str">
        <f t="shared" si="91"/>
        <v/>
      </c>
      <c r="D174" s="237" t="str">
        <f t="shared" si="147"/>
        <v/>
      </c>
      <c r="E174" s="290" t="str">
        <f t="shared" si="128"/>
        <v/>
      </c>
      <c r="F174" s="264" t="str">
        <f t="shared" si="129"/>
        <v/>
      </c>
      <c r="G174" s="291" t="str">
        <f t="shared" si="130"/>
        <v/>
      </c>
      <c r="H174" s="240" t="str">
        <f t="shared" si="92"/>
        <v/>
      </c>
      <c r="I174" s="265" t="str">
        <f t="shared" si="93"/>
        <v/>
      </c>
      <c r="J174" s="265" t="str">
        <f t="shared" si="94"/>
        <v/>
      </c>
      <c r="K174" s="240" t="str">
        <f t="shared" si="95"/>
        <v/>
      </c>
      <c r="L174" s="265" t="str">
        <f t="shared" si="96"/>
        <v/>
      </c>
      <c r="M174" s="265" t="str">
        <f t="shared" si="97"/>
        <v/>
      </c>
      <c r="N174" s="240" t="str">
        <f t="shared" si="98"/>
        <v>-</v>
      </c>
      <c r="O174" s="265" t="str">
        <f t="shared" si="99"/>
        <v>-</v>
      </c>
      <c r="P174" s="265" t="str">
        <f t="shared" si="100"/>
        <v>-</v>
      </c>
      <c r="Q174" s="266" t="str">
        <f t="shared" si="101"/>
        <v>-</v>
      </c>
      <c r="R174" s="267" t="str">
        <f t="shared" si="102"/>
        <v>-</v>
      </c>
      <c r="S174" s="268" t="str">
        <f t="shared" si="103"/>
        <v>-</v>
      </c>
      <c r="T174" s="269" t="str">
        <f t="shared" si="104"/>
        <v/>
      </c>
      <c r="U174" s="221">
        <f t="shared" si="105"/>
        <v>74</v>
      </c>
      <c r="V174" s="220" t="str">
        <f t="shared" si="131"/>
        <v>-</v>
      </c>
      <c r="W174" s="221" t="str">
        <f t="shared" si="132"/>
        <v>-</v>
      </c>
      <c r="X174" s="221" t="str">
        <f t="shared" si="106"/>
        <v>-</v>
      </c>
      <c r="Y174" s="221" t="str">
        <f t="shared" si="107"/>
        <v>-</v>
      </c>
      <c r="Z174" s="270">
        <f t="shared" si="133"/>
        <v>0.1</v>
      </c>
      <c r="AA174" s="271" t="str">
        <f>IFERROR(IF(V173=1,AA$100*EXP(-(LN(2)/$D$65+0.04)*X173)*EXP(-(LN(2)/$D$65+0.1)*Y173),IF(V173=2,AA$100*EXP(-(LN(2)/$D$65+0.04)*(VLOOKUP(($F$16-$F$15)-1,U$99:Y173,4,FALSE)))*EXP(-(LN(2)/$D$65+0.1)*(VLOOKUP(($F$16-$F$15)-1,U$99:Y173,5,FALSE)))*EXP(-(LN(2)/$D$65+0.04)*X173)*EXP(-(LN(2)/$D$65+0.1)*Y173),IF(V173=3,AA$100*EXP(-(LN(2)/$D$65+0.04)*(VLOOKUP(($F$16-$F$15)-1,U$99:Y173,4,FALSE)))*EXP(-(LN(2)/$D$65+0.1)*(VLOOKUP(($F$16-$F$15)-1,U$99:Y173,5,FALSE)))*EXP(-(LN(2)/$D$65+0.04)*(VLOOKUP(($F$16-$F$15)*2-1,U$99:Y173,4,FALSE)))*EXP(-(LN(2)/$D$65+0.1)*(VLOOKUP(($F$16-$F$15)*2-1,U$99:Y173,5,FALSE)))*EXP(-(LN(2)/$D$65+0.04)*X173)*EXP(-(LN(2)/$D$65+0.1)*Y173),"-"))),"-")</f>
        <v>-</v>
      </c>
      <c r="AB174" s="271" t="str">
        <f>IFERROR(IF(V174=1,AB$100*EXP(-(LN(2)/$D$65+0.04)*X174)*EXP(-(LN(2)/$D$65+0.1)*Y174),IF(V174=2,AB$100*EXP(-(LN(2)/$D$65+0.04)*(VLOOKUP(($F$16-$F$15)-1,U$100:Y174,4,FALSE)))*EXP(-(LN(2)/$D$65+0.1)*(VLOOKUP(($F$16-$F$15)-1,U$100:Y174,5,FALSE)))*EXP(-(LN(2)/$D$65+0.04)*X174)*EXP(-(LN(2)/$D$65+0.1)*Y174),IF(V174=3,AB$100*EXP(-(LN(2)/$D$65+0.04)*(VLOOKUP(($F$16-$F$15)-1,U$100:Y174,4,FALSE)))*EXP(-(LN(2)/$D$65+0.1)*(VLOOKUP(($F$16-$F$15)-1,U$100:Y174,5,FALSE)))*EXP(-(LN(2)/$D$65+0.04)*(VLOOKUP(($F$16-$F$15)*2-1,U$100:Y174,4,FALSE)))*EXP(-(LN(2)/$D$65+0.1)*(VLOOKUP(($F$16-$F$15)*2-1,U$100:Y174,5,FALSE)))*EXP(-(LN(2)/$D$65+0.04)*X174)*EXP(-(LN(2)/$D$65+0.1)*Y174),"-"))),"-")</f>
        <v>-</v>
      </c>
      <c r="AC174" s="224">
        <f t="shared" si="134"/>
        <v>74</v>
      </c>
      <c r="AD174" s="223" t="str">
        <f t="shared" si="108"/>
        <v>-</v>
      </c>
      <c r="AE174" s="224" t="str">
        <f t="shared" si="135"/>
        <v>-</v>
      </c>
      <c r="AF174" s="224" t="str">
        <f t="shared" si="109"/>
        <v>-</v>
      </c>
      <c r="AG174" s="224" t="str">
        <f t="shared" si="110"/>
        <v>-</v>
      </c>
      <c r="AH174" s="272">
        <f t="shared" si="136"/>
        <v>0.1</v>
      </c>
      <c r="AI174" s="271" t="str">
        <f>IFERROR(IF(AD173=1,AI$100*EXP(-(LN(2)/$D$65+0.04)*AF173)*EXP(-(LN(2)/$D$65+0.1)*AG173),IF(AD173=2,AI$100*EXP(-(LN(2)/$D$65+0.04)*(VLOOKUP(($F$16-$F$15)-1,AC$99:AG173,4,FALSE)))*EXP(-(LN(2)/$D$65+0.1)*(VLOOKUP(($F$16-$F$15)-1,AC$99:AG173,5,FALSE)))*EXP(-(LN(2)/$D$65+0.04)*AF173)*EXP(-(LN(2)/$D$65+0.1)*AG173),IF(AD173=3,AI$100*EXP(-(LN(2)/$D$65+0.04)*(VLOOKUP(($F$16-$F$15)-1,AC$99:AG173,4,FALSE)))*EXP(-(LN(2)/$D$65+0.1)*(VLOOKUP(($F$16-$F$15)-1,AC$99:AG173,5,FALSE)))*EXP(-(LN(2)/$D$65+0.04)*(VLOOKUP(($F$16-$F$15)*2-1,AC$99:AG173,4,FALSE)))*EXP(-(LN(2)/$D$65+0.1)*(VLOOKUP(($F$16-$F$15)*2-1,AC$99:AG173,5,FALSE)))*EXP(-(LN(2)/$D$65+0.04)*AF173)*EXP(-(LN(2)/$D$65+0.1)*AG173),"-"))),"-")</f>
        <v>-</v>
      </c>
      <c r="AJ174" s="271" t="str">
        <f>IFERROR(IF(AD174=1,AJ$100*EXP(-(LN(2)/$D$65+0.04)*AF174)*EXP(-(LN(2)/$D$65+0.1)*AG174),IF(AD174=2,AJ$100*EXP(-(LN(2)/$D$65+0.04)*(VLOOKUP(($F$16-$F$15)-1,AC$100:AG174,4,FALSE)))*EXP(-(LN(2)/$D$65+0.1)*(VLOOKUP(($F$16-$F$15)-1,AC$100:AG174,5,FALSE)))*EXP(-(LN(2)/$D$65+0.04)*AF174)*EXP(-(LN(2)/$D$65+0.1)*AG174),IF(AD174=3,AJ$100*EXP(-(LN(2)/$D$65+0.04)*(VLOOKUP(($F$16-$F$15)-1,AC$100:AG174,4,FALSE)))*EXP(-(LN(2)/$D$65+0.1)*(VLOOKUP(($F$16-$F$15)-1,AC$100:AG174,5,FALSE)))*EXP(-(LN(2)/$D$65+0.04)*(VLOOKUP(($F$16-$F$15)*2-1,AC$100:AG174,4,FALSE)))*EXP(-(LN(2)/$D$65+0.1)*(VLOOKUP(($F$16-$F$15)*2-1,AC$100:AG174,5,FALSE)))*EXP(-(LN(2)/$D$65+0.04)*AF174)*EXP(-(LN(2)/$D$65+0.1)*AG174),"-"))),"-")</f>
        <v>-</v>
      </c>
      <c r="AK174" s="227">
        <f t="shared" si="137"/>
        <v>74</v>
      </c>
      <c r="AL174" s="226" t="str">
        <f t="shared" si="111"/>
        <v>-</v>
      </c>
      <c r="AM174" s="227" t="str">
        <f t="shared" si="138"/>
        <v>-</v>
      </c>
      <c r="AN174" s="227" t="str">
        <f t="shared" si="139"/>
        <v>-</v>
      </c>
      <c r="AO174" s="227" t="str">
        <f t="shared" si="112"/>
        <v>-</v>
      </c>
      <c r="AP174" s="273">
        <f t="shared" si="140"/>
        <v>0.1</v>
      </c>
      <c r="AQ174" s="271" t="str">
        <f>IFERROR(IF(AL173=1,AQ$100*EXP(-(LN(2)/$D$65+0.04)*AN173)*EXP(-(LN(2)/$D$65+0.1)*AO173),IF(AL173=2,AQ$100*EXP(-(LN(2)/$D$65+0.04)*(VLOOKUP(($F$16-$F$15)-1,AK$99:AO173,4,FALSE)))*EXP(-(LN(2)/$D$65+0.1)*(VLOOKUP(($F$16-$F$15)-1,AK$99:AO173,5,FALSE)))*EXP(-(LN(2)/$D$65+0.04)*AN173)*EXP(-(LN(2)/$D$65+0.1)*AO173),IF(AL173=3,AQ$100*EXP(-(LN(2)/$D$65+0.04)*(VLOOKUP(($F$16-$F$15)-1,AK$99:AO173,4,FALSE)))*EXP(-(LN(2)/$D$65+0.1)*(VLOOKUP(($F$16-$F$15)-1,AK$99:AO173,5,FALSE)))*EXP(-(LN(2)/$D$65+0.04)*(VLOOKUP(($F$16-$F$15)*2-1,AK$99:AO173,4,FALSE)))*EXP(-(LN(2)/$D$65+0.1)*(VLOOKUP(($F$16-$F$15)*2-1,AK$99:AO173,5,FALSE)))*EXP(-(LN(2)/$D$65+0.04)*AN173)*EXP(-(LN(2)/$D$65+0.1)*AO173),"-"))),"-")</f>
        <v>-</v>
      </c>
      <c r="AR174" s="271" t="str">
        <f>IFERROR(IF(AL174=1,AR$100*EXP(-(LN(2)/$D$65+0.04)*AN174)*EXP(-(LN(2)/$D$65+0.1)*AO174),IF(AL174=2,AR$100*EXP(-(LN(2)/$D$65+0.04)*(VLOOKUP(($F$16-$F$15)-1,AK$100:AO174,4,FALSE)))*EXP(-(LN(2)/$D$65+0.1)*(VLOOKUP(($F$16-$F$15)-1,AK$100:AO174,5,FALSE)))*EXP(-(LN(2)/$D$65+0.04)*AN174)*EXP(-(LN(2)/$D$65+0.1)*AO174),IF(AL174=3,AR$100*EXP(-(LN(2)/$D$65+0.04)*(VLOOKUP(($F$16-$F$15)-1,AK$100:AO174,4,FALSE)))*EXP(-(LN(2)/$D$65+0.1)*(VLOOKUP(($F$16-$F$15)-1,AK$100:AO174,5,FALSE)))*EXP(-(LN(2)/$D$65+0.04)*(VLOOKUP(($F$16-$F$15)*2-1,AK$100:AO174,4,FALSE)))*EXP(-(LN(2)/$D$65+0.1)*(VLOOKUP(($F$16-$F$15)*2-1,AK$100:AO174,5,FALSE)))*EXP(-(LN(2)/$D$65+0.04)*AN174)*EXP(-(LN(2)/$D$65+0.1)*AO174),"-"))),"-")</f>
        <v>-</v>
      </c>
      <c r="AS174" s="274">
        <f t="shared" si="113"/>
        <v>0</v>
      </c>
      <c r="AT174" s="274">
        <f t="shared" si="114"/>
        <v>0</v>
      </c>
      <c r="AU174" s="274">
        <f t="shared" si="115"/>
        <v>0</v>
      </c>
      <c r="AV174" s="190" t="str">
        <f>IF($B174&lt;$F$22,SUM($T$100:$T174),"")</f>
        <v/>
      </c>
      <c r="AW174" s="190" t="str">
        <f t="shared" si="116"/>
        <v>-</v>
      </c>
      <c r="AX174" s="190" t="str">
        <f t="shared" si="141"/>
        <v/>
      </c>
      <c r="AY174"/>
      <c r="AZ174" s="190" t="str">
        <f ca="1">IF(ISNUMBER(OFFSET(AV174,-$F$21,0)),SUM(OFFSET($T$100,$F$21,0):$T174),"")</f>
        <v/>
      </c>
      <c r="BA174" s="190" t="str">
        <f t="shared" ca="1" si="117"/>
        <v/>
      </c>
      <c r="BB174" s="190" t="str">
        <f t="shared" ca="1" si="70"/>
        <v/>
      </c>
      <c r="BC174" s="190"/>
      <c r="BD174" s="190" t="str">
        <f ca="1">IFERROR(IF(OR(ISNUMBER(I),ISNUMBER($F$14)),IF(AND($B174&gt;=($F$16-$F$15),$B174&lt;$F$22+($F$16-$F$15)),SUM(OFFSET($T$100,($F$16-$F$15),0):$T174),""),""),"")</f>
        <v/>
      </c>
      <c r="BE174" s="190" t="str">
        <f t="shared" ca="1" si="142"/>
        <v/>
      </c>
      <c r="BF174" s="190" t="str">
        <f t="shared" ca="1" si="143"/>
        <v/>
      </c>
      <c r="BG174"/>
      <c r="BH174" s="190" t="str">
        <f ca="1">IF(ISNUMBER(OFFSET(BD174,-$F$21,0)),SUM(OFFSET($T$100,($F$16-$F$15+$F$21),0):$T174),"")</f>
        <v/>
      </c>
      <c r="BI174" s="190" t="str">
        <f t="shared" ca="1" si="118"/>
        <v/>
      </c>
      <c r="BJ174" s="190" t="str">
        <f t="shared" ca="1" si="144"/>
        <v/>
      </c>
      <c r="BK174" s="190"/>
      <c r="BL174" s="190" t="str">
        <f ca="1">IFERROR(IF(OR(ISNUMBER(I),ISNUMBER($F$14)),IF(AND($B174&gt;=($F$17-$F$15),$B174&lt;$F$22+($F$17-$F$15)),SUM(OFFSET($T$100,($F$17-$F$15),0):$T174),""),""),"")</f>
        <v/>
      </c>
      <c r="BM174" s="190" t="str">
        <f t="shared" ca="1" si="119"/>
        <v/>
      </c>
      <c r="BN174" s="190" t="str">
        <f t="shared" ca="1" si="145"/>
        <v/>
      </c>
      <c r="BO174"/>
      <c r="BP174" s="190" t="str">
        <f ca="1">IF(ISNUMBER(OFFSET(BL174,-$F$21,0)),SUM(OFFSET($T$100,($F$17-$F$15+$F$21),0):$T174),"")</f>
        <v/>
      </c>
      <c r="BQ174" s="190" t="str">
        <f t="shared" ca="1" si="120"/>
        <v/>
      </c>
      <c r="BR174" s="190" t="str">
        <f t="shared" ca="1" si="146"/>
        <v/>
      </c>
      <c r="BS174" s="190"/>
      <c r="BT174"/>
      <c r="BU174"/>
      <c r="BV174"/>
      <c r="BY174" s="99"/>
      <c r="BZ174" s="99"/>
      <c r="CA174" s="280" t="str">
        <f t="shared" si="121"/>
        <v/>
      </c>
      <c r="CB174" s="71" t="str">
        <f t="shared" si="122"/>
        <v>-</v>
      </c>
      <c r="CC174" s="33"/>
      <c r="CD174" s="261" t="str">
        <f t="shared" si="123"/>
        <v/>
      </c>
      <c r="CE174" s="280" t="str">
        <f t="shared" si="124"/>
        <v/>
      </c>
      <c r="CF174" s="71" t="str">
        <f t="shared" ca="1" si="125"/>
        <v/>
      </c>
      <c r="CG174" s="33" t="str">
        <f t="shared" si="126"/>
        <v/>
      </c>
      <c r="CH174" s="261" t="str">
        <f t="shared" ca="1" si="127"/>
        <v/>
      </c>
      <c r="CI174" s="202"/>
      <c r="CJ174" s="99"/>
      <c r="CK174" s="99"/>
      <c r="CL174" s="99"/>
      <c r="CM174" s="99"/>
      <c r="CN174" s="99"/>
      <c r="CO174" s="99"/>
    </row>
    <row r="175" spans="2:93" ht="13.5" customHeight="1" x14ac:dyDescent="0.2">
      <c r="B175" s="262">
        <v>75</v>
      </c>
      <c r="C175" s="237" t="str">
        <f t="shared" si="91"/>
        <v/>
      </c>
      <c r="D175" s="237" t="str">
        <f t="shared" si="147"/>
        <v/>
      </c>
      <c r="E175" s="290" t="str">
        <f t="shared" si="128"/>
        <v/>
      </c>
      <c r="F175" s="264" t="str">
        <f t="shared" si="129"/>
        <v/>
      </c>
      <c r="G175" s="291" t="str">
        <f t="shared" si="130"/>
        <v/>
      </c>
      <c r="H175" s="240" t="str">
        <f t="shared" si="92"/>
        <v/>
      </c>
      <c r="I175" s="265" t="str">
        <f t="shared" si="93"/>
        <v/>
      </c>
      <c r="J175" s="265" t="str">
        <f t="shared" si="94"/>
        <v/>
      </c>
      <c r="K175" s="240" t="str">
        <f t="shared" si="95"/>
        <v/>
      </c>
      <c r="L175" s="265" t="str">
        <f t="shared" si="96"/>
        <v/>
      </c>
      <c r="M175" s="265" t="str">
        <f t="shared" si="97"/>
        <v/>
      </c>
      <c r="N175" s="240" t="str">
        <f t="shared" si="98"/>
        <v>-</v>
      </c>
      <c r="O175" s="265" t="str">
        <f t="shared" si="99"/>
        <v>-</v>
      </c>
      <c r="P175" s="265" t="str">
        <f t="shared" si="100"/>
        <v>-</v>
      </c>
      <c r="Q175" s="266" t="str">
        <f t="shared" si="101"/>
        <v>-</v>
      </c>
      <c r="R175" s="267" t="str">
        <f t="shared" si="102"/>
        <v>-</v>
      </c>
      <c r="S175" s="268" t="str">
        <f t="shared" si="103"/>
        <v>-</v>
      </c>
      <c r="T175" s="269" t="str">
        <f t="shared" si="104"/>
        <v/>
      </c>
      <c r="U175" s="221">
        <f t="shared" si="105"/>
        <v>75</v>
      </c>
      <c r="V175" s="220" t="str">
        <f t="shared" si="131"/>
        <v>-</v>
      </c>
      <c r="W175" s="221" t="str">
        <f t="shared" si="132"/>
        <v>-</v>
      </c>
      <c r="X175" s="221" t="str">
        <f t="shared" si="106"/>
        <v>-</v>
      </c>
      <c r="Y175" s="221" t="str">
        <f t="shared" si="107"/>
        <v>-</v>
      </c>
      <c r="Z175" s="270">
        <f t="shared" si="133"/>
        <v>0.1</v>
      </c>
      <c r="AA175" s="271" t="str">
        <f>IFERROR(IF(V174=1,AA$100*EXP(-(LN(2)/$D$65+0.04)*X174)*EXP(-(LN(2)/$D$65+0.1)*Y174),IF(V174=2,AA$100*EXP(-(LN(2)/$D$65+0.04)*(VLOOKUP(($F$16-$F$15)-1,U$99:Y174,4,FALSE)))*EXP(-(LN(2)/$D$65+0.1)*(VLOOKUP(($F$16-$F$15)-1,U$99:Y174,5,FALSE)))*EXP(-(LN(2)/$D$65+0.04)*X174)*EXP(-(LN(2)/$D$65+0.1)*Y174),IF(V174=3,AA$100*EXP(-(LN(2)/$D$65+0.04)*(VLOOKUP(($F$16-$F$15)-1,U$99:Y174,4,FALSE)))*EXP(-(LN(2)/$D$65+0.1)*(VLOOKUP(($F$16-$F$15)-1,U$99:Y174,5,FALSE)))*EXP(-(LN(2)/$D$65+0.04)*(VLOOKUP(($F$16-$F$15)*2-1,U$99:Y174,4,FALSE)))*EXP(-(LN(2)/$D$65+0.1)*(VLOOKUP(($F$16-$F$15)*2-1,U$99:Y174,5,FALSE)))*EXP(-(LN(2)/$D$65+0.04)*X174)*EXP(-(LN(2)/$D$65+0.1)*Y174),"-"))),"-")</f>
        <v>-</v>
      </c>
      <c r="AB175" s="271" t="str">
        <f>IFERROR(IF(V175=1,AB$100*EXP(-(LN(2)/$D$65+0.04)*X175)*EXP(-(LN(2)/$D$65+0.1)*Y175),IF(V175=2,AB$100*EXP(-(LN(2)/$D$65+0.04)*(VLOOKUP(($F$16-$F$15)-1,U$100:Y175,4,FALSE)))*EXP(-(LN(2)/$D$65+0.1)*(VLOOKUP(($F$16-$F$15)-1,U$100:Y175,5,FALSE)))*EXP(-(LN(2)/$D$65+0.04)*X175)*EXP(-(LN(2)/$D$65+0.1)*Y175),IF(V175=3,AB$100*EXP(-(LN(2)/$D$65+0.04)*(VLOOKUP(($F$16-$F$15)-1,U$100:Y175,4,FALSE)))*EXP(-(LN(2)/$D$65+0.1)*(VLOOKUP(($F$16-$F$15)-1,U$100:Y175,5,FALSE)))*EXP(-(LN(2)/$D$65+0.04)*(VLOOKUP(($F$16-$F$15)*2-1,U$100:Y175,4,FALSE)))*EXP(-(LN(2)/$D$65+0.1)*(VLOOKUP(($F$16-$F$15)*2-1,U$100:Y175,5,FALSE)))*EXP(-(LN(2)/$D$65+0.04)*X175)*EXP(-(LN(2)/$D$65+0.1)*Y175),"-"))),"-")</f>
        <v>-</v>
      </c>
      <c r="AC175" s="224">
        <f t="shared" si="134"/>
        <v>75</v>
      </c>
      <c r="AD175" s="223" t="str">
        <f t="shared" si="108"/>
        <v>-</v>
      </c>
      <c r="AE175" s="224" t="str">
        <f t="shared" si="135"/>
        <v>-</v>
      </c>
      <c r="AF175" s="224" t="str">
        <f t="shared" si="109"/>
        <v>-</v>
      </c>
      <c r="AG175" s="224" t="str">
        <f t="shared" si="110"/>
        <v>-</v>
      </c>
      <c r="AH175" s="272">
        <f t="shared" si="136"/>
        <v>0.1</v>
      </c>
      <c r="AI175" s="271" t="str">
        <f>IFERROR(IF(AD174=1,AI$100*EXP(-(LN(2)/$D$65+0.04)*AF174)*EXP(-(LN(2)/$D$65+0.1)*AG174),IF(AD174=2,AI$100*EXP(-(LN(2)/$D$65+0.04)*(VLOOKUP(($F$16-$F$15)-1,AC$99:AG174,4,FALSE)))*EXP(-(LN(2)/$D$65+0.1)*(VLOOKUP(($F$16-$F$15)-1,AC$99:AG174,5,FALSE)))*EXP(-(LN(2)/$D$65+0.04)*AF174)*EXP(-(LN(2)/$D$65+0.1)*AG174),IF(AD174=3,AI$100*EXP(-(LN(2)/$D$65+0.04)*(VLOOKUP(($F$16-$F$15)-1,AC$99:AG174,4,FALSE)))*EXP(-(LN(2)/$D$65+0.1)*(VLOOKUP(($F$16-$F$15)-1,AC$99:AG174,5,FALSE)))*EXP(-(LN(2)/$D$65+0.04)*(VLOOKUP(($F$16-$F$15)*2-1,AC$99:AG174,4,FALSE)))*EXP(-(LN(2)/$D$65+0.1)*(VLOOKUP(($F$16-$F$15)*2-1,AC$99:AG174,5,FALSE)))*EXP(-(LN(2)/$D$65+0.04)*AF174)*EXP(-(LN(2)/$D$65+0.1)*AG174),"-"))),"-")</f>
        <v>-</v>
      </c>
      <c r="AJ175" s="271" t="str">
        <f>IFERROR(IF(AD175=1,AJ$100*EXP(-(LN(2)/$D$65+0.04)*AF175)*EXP(-(LN(2)/$D$65+0.1)*AG175),IF(AD175=2,AJ$100*EXP(-(LN(2)/$D$65+0.04)*(VLOOKUP(($F$16-$F$15)-1,AC$100:AG175,4,FALSE)))*EXP(-(LN(2)/$D$65+0.1)*(VLOOKUP(($F$16-$F$15)-1,AC$100:AG175,5,FALSE)))*EXP(-(LN(2)/$D$65+0.04)*AF175)*EXP(-(LN(2)/$D$65+0.1)*AG175),IF(AD175=3,AJ$100*EXP(-(LN(2)/$D$65+0.04)*(VLOOKUP(($F$16-$F$15)-1,AC$100:AG175,4,FALSE)))*EXP(-(LN(2)/$D$65+0.1)*(VLOOKUP(($F$16-$F$15)-1,AC$100:AG175,5,FALSE)))*EXP(-(LN(2)/$D$65+0.04)*(VLOOKUP(($F$16-$F$15)*2-1,AC$100:AG175,4,FALSE)))*EXP(-(LN(2)/$D$65+0.1)*(VLOOKUP(($F$16-$F$15)*2-1,AC$100:AG175,5,FALSE)))*EXP(-(LN(2)/$D$65+0.04)*AF175)*EXP(-(LN(2)/$D$65+0.1)*AG175),"-"))),"-")</f>
        <v>-</v>
      </c>
      <c r="AK175" s="227">
        <f t="shared" si="137"/>
        <v>75</v>
      </c>
      <c r="AL175" s="226" t="str">
        <f t="shared" si="111"/>
        <v>-</v>
      </c>
      <c r="AM175" s="227" t="str">
        <f t="shared" si="138"/>
        <v>-</v>
      </c>
      <c r="AN175" s="227" t="str">
        <f t="shared" si="139"/>
        <v>-</v>
      </c>
      <c r="AO175" s="227" t="str">
        <f t="shared" si="112"/>
        <v>-</v>
      </c>
      <c r="AP175" s="273">
        <f t="shared" si="140"/>
        <v>0.1</v>
      </c>
      <c r="AQ175" s="271" t="str">
        <f>IFERROR(IF(AL174=1,AQ$100*EXP(-(LN(2)/$D$65+0.04)*AN174)*EXP(-(LN(2)/$D$65+0.1)*AO174),IF(AL174=2,AQ$100*EXP(-(LN(2)/$D$65+0.04)*(VLOOKUP(($F$16-$F$15)-1,AK$99:AO174,4,FALSE)))*EXP(-(LN(2)/$D$65+0.1)*(VLOOKUP(($F$16-$F$15)-1,AK$99:AO174,5,FALSE)))*EXP(-(LN(2)/$D$65+0.04)*AN174)*EXP(-(LN(2)/$D$65+0.1)*AO174),IF(AL174=3,AQ$100*EXP(-(LN(2)/$D$65+0.04)*(VLOOKUP(($F$16-$F$15)-1,AK$99:AO174,4,FALSE)))*EXP(-(LN(2)/$D$65+0.1)*(VLOOKUP(($F$16-$F$15)-1,AK$99:AO174,5,FALSE)))*EXP(-(LN(2)/$D$65+0.04)*(VLOOKUP(($F$16-$F$15)*2-1,AK$99:AO174,4,FALSE)))*EXP(-(LN(2)/$D$65+0.1)*(VLOOKUP(($F$16-$F$15)*2-1,AK$99:AO174,5,FALSE)))*EXP(-(LN(2)/$D$65+0.04)*AN174)*EXP(-(LN(2)/$D$65+0.1)*AO174),"-"))),"-")</f>
        <v>-</v>
      </c>
      <c r="AR175" s="271" t="str">
        <f>IFERROR(IF(AL175=1,AR$100*EXP(-(LN(2)/$D$65+0.04)*AN175)*EXP(-(LN(2)/$D$65+0.1)*AO175),IF(AL175=2,AR$100*EXP(-(LN(2)/$D$65+0.04)*(VLOOKUP(($F$16-$F$15)-1,AK$100:AO175,4,FALSE)))*EXP(-(LN(2)/$D$65+0.1)*(VLOOKUP(($F$16-$F$15)-1,AK$100:AO175,5,FALSE)))*EXP(-(LN(2)/$D$65+0.04)*AN175)*EXP(-(LN(2)/$D$65+0.1)*AO175),IF(AL175=3,AR$100*EXP(-(LN(2)/$D$65+0.04)*(VLOOKUP(($F$16-$F$15)-1,AK$100:AO175,4,FALSE)))*EXP(-(LN(2)/$D$65+0.1)*(VLOOKUP(($F$16-$F$15)-1,AK$100:AO175,5,FALSE)))*EXP(-(LN(2)/$D$65+0.04)*(VLOOKUP(($F$16-$F$15)*2-1,AK$100:AO175,4,FALSE)))*EXP(-(LN(2)/$D$65+0.1)*(VLOOKUP(($F$16-$F$15)*2-1,AK$100:AO175,5,FALSE)))*EXP(-(LN(2)/$D$65+0.04)*AN175)*EXP(-(LN(2)/$D$65+0.1)*AO175),"-"))),"-")</f>
        <v>-</v>
      </c>
      <c r="AS175" s="274">
        <f t="shared" si="113"/>
        <v>0</v>
      </c>
      <c r="AT175" s="274">
        <f t="shared" si="114"/>
        <v>0</v>
      </c>
      <c r="AU175" s="274">
        <f t="shared" si="115"/>
        <v>0</v>
      </c>
      <c r="AV175" s="190" t="str">
        <f>IF($B175&lt;$F$22,SUM($T$100:$T175),"")</f>
        <v/>
      </c>
      <c r="AW175" s="190" t="str">
        <f t="shared" si="116"/>
        <v>-</v>
      </c>
      <c r="AX175" s="190" t="str">
        <f t="shared" si="141"/>
        <v/>
      </c>
      <c r="AY175"/>
      <c r="AZ175" s="190" t="str">
        <f ca="1">IF(ISNUMBER(OFFSET(AV175,-$F$21,0)),SUM(OFFSET($T$100,$F$21,0):$T175),"")</f>
        <v/>
      </c>
      <c r="BA175" s="190" t="str">
        <f t="shared" ca="1" si="117"/>
        <v/>
      </c>
      <c r="BB175" s="190" t="str">
        <f t="shared" ca="1" si="70"/>
        <v/>
      </c>
      <c r="BC175" s="190"/>
      <c r="BD175" s="190" t="str">
        <f ca="1">IFERROR(IF(OR(ISNUMBER(I),ISNUMBER($F$14)),IF(AND($B175&gt;=($F$16-$F$15),$B175&lt;$F$22+($F$16-$F$15)),SUM(OFFSET($T$100,($F$16-$F$15),0):$T175),""),""),"")</f>
        <v/>
      </c>
      <c r="BE175" s="190" t="str">
        <f t="shared" ca="1" si="142"/>
        <v/>
      </c>
      <c r="BF175" s="190" t="str">
        <f t="shared" ca="1" si="143"/>
        <v/>
      </c>
      <c r="BG175"/>
      <c r="BH175" s="190" t="str">
        <f ca="1">IF(ISNUMBER(OFFSET(BD175,-$F$21,0)),SUM(OFFSET($T$100,($F$16-$F$15+$F$21),0):$T175),"")</f>
        <v/>
      </c>
      <c r="BI175" s="190" t="str">
        <f t="shared" ca="1" si="118"/>
        <v/>
      </c>
      <c r="BJ175" s="190" t="str">
        <f t="shared" ca="1" si="144"/>
        <v/>
      </c>
      <c r="BK175" s="190"/>
      <c r="BL175" s="190" t="str">
        <f ca="1">IFERROR(IF(OR(ISNUMBER(I),ISNUMBER($F$14)),IF(AND($B175&gt;=($F$17-$F$15),$B175&lt;$F$22+($F$17-$F$15)),SUM(OFFSET($T$100,($F$17-$F$15),0):$T175),""),""),"")</f>
        <v/>
      </c>
      <c r="BM175" s="190" t="str">
        <f t="shared" ca="1" si="119"/>
        <v/>
      </c>
      <c r="BN175" s="190" t="str">
        <f t="shared" ca="1" si="145"/>
        <v/>
      </c>
      <c r="BO175"/>
      <c r="BP175" s="190" t="str">
        <f ca="1">IF(ISNUMBER(OFFSET(BL175,-$F$21,0)),SUM(OFFSET($T$100,($F$17-$F$15+$F$21),0):$T175),"")</f>
        <v/>
      </c>
      <c r="BQ175" s="190" t="str">
        <f t="shared" ca="1" si="120"/>
        <v/>
      </c>
      <c r="BR175" s="190" t="str">
        <f t="shared" ca="1" si="146"/>
        <v/>
      </c>
      <c r="BS175" s="190"/>
      <c r="BT175"/>
      <c r="BU175"/>
      <c r="BV175"/>
      <c r="BY175" s="99"/>
      <c r="BZ175" s="99"/>
      <c r="CA175" s="280" t="str">
        <f t="shared" si="121"/>
        <v/>
      </c>
      <c r="CB175" s="71" t="str">
        <f t="shared" si="122"/>
        <v>-</v>
      </c>
      <c r="CC175" s="33"/>
      <c r="CD175" s="261" t="str">
        <f t="shared" si="123"/>
        <v/>
      </c>
      <c r="CE175" s="280" t="str">
        <f t="shared" si="124"/>
        <v/>
      </c>
      <c r="CF175" s="71" t="str">
        <f t="shared" ca="1" si="125"/>
        <v/>
      </c>
      <c r="CG175" s="33" t="str">
        <f t="shared" si="126"/>
        <v/>
      </c>
      <c r="CH175" s="261" t="str">
        <f t="shared" ca="1" si="127"/>
        <v/>
      </c>
      <c r="CI175" s="202"/>
      <c r="CJ175" s="99"/>
      <c r="CK175" s="99"/>
      <c r="CL175" s="99"/>
      <c r="CM175" s="99"/>
      <c r="CN175" s="99"/>
      <c r="CO175" s="99"/>
    </row>
    <row r="176" spans="2:93" ht="13.5" customHeight="1" x14ac:dyDescent="0.2">
      <c r="B176" s="262">
        <v>76</v>
      </c>
      <c r="C176" s="237" t="str">
        <f t="shared" si="91"/>
        <v/>
      </c>
      <c r="D176" s="237" t="str">
        <f t="shared" si="147"/>
        <v/>
      </c>
      <c r="E176" s="290" t="str">
        <f t="shared" si="128"/>
        <v/>
      </c>
      <c r="F176" s="264" t="str">
        <f t="shared" si="129"/>
        <v/>
      </c>
      <c r="G176" s="291" t="str">
        <f t="shared" si="130"/>
        <v/>
      </c>
      <c r="H176" s="240" t="str">
        <f t="shared" si="92"/>
        <v/>
      </c>
      <c r="I176" s="265" t="str">
        <f t="shared" si="93"/>
        <v/>
      </c>
      <c r="J176" s="265" t="str">
        <f t="shared" si="94"/>
        <v/>
      </c>
      <c r="K176" s="240" t="str">
        <f t="shared" si="95"/>
        <v/>
      </c>
      <c r="L176" s="265" t="str">
        <f t="shared" si="96"/>
        <v/>
      </c>
      <c r="M176" s="265" t="str">
        <f t="shared" si="97"/>
        <v/>
      </c>
      <c r="N176" s="240" t="str">
        <f t="shared" si="98"/>
        <v>-</v>
      </c>
      <c r="O176" s="265" t="str">
        <f t="shared" si="99"/>
        <v>-</v>
      </c>
      <c r="P176" s="265" t="str">
        <f t="shared" si="100"/>
        <v>-</v>
      </c>
      <c r="Q176" s="266" t="str">
        <f t="shared" si="101"/>
        <v>-</v>
      </c>
      <c r="R176" s="267" t="str">
        <f t="shared" si="102"/>
        <v>-</v>
      </c>
      <c r="S176" s="268" t="str">
        <f t="shared" si="103"/>
        <v>-</v>
      </c>
      <c r="T176" s="269" t="str">
        <f t="shared" si="104"/>
        <v/>
      </c>
      <c r="U176" s="221">
        <f t="shared" si="105"/>
        <v>76</v>
      </c>
      <c r="V176" s="220" t="str">
        <f t="shared" si="131"/>
        <v>-</v>
      </c>
      <c r="W176" s="221" t="str">
        <f t="shared" si="132"/>
        <v>-</v>
      </c>
      <c r="X176" s="221" t="str">
        <f t="shared" si="106"/>
        <v>-</v>
      </c>
      <c r="Y176" s="221" t="str">
        <f t="shared" si="107"/>
        <v>-</v>
      </c>
      <c r="Z176" s="270">
        <f t="shared" si="133"/>
        <v>0.1</v>
      </c>
      <c r="AA176" s="271" t="str">
        <f>IFERROR(IF(V175=1,AA$100*EXP(-(LN(2)/$D$65+0.04)*X175)*EXP(-(LN(2)/$D$65+0.1)*Y175),IF(V175=2,AA$100*EXP(-(LN(2)/$D$65+0.04)*(VLOOKUP(($F$16-$F$15)-1,U$99:Y175,4,FALSE)))*EXP(-(LN(2)/$D$65+0.1)*(VLOOKUP(($F$16-$F$15)-1,U$99:Y175,5,FALSE)))*EXP(-(LN(2)/$D$65+0.04)*X175)*EXP(-(LN(2)/$D$65+0.1)*Y175),IF(V175=3,AA$100*EXP(-(LN(2)/$D$65+0.04)*(VLOOKUP(($F$16-$F$15)-1,U$99:Y175,4,FALSE)))*EXP(-(LN(2)/$D$65+0.1)*(VLOOKUP(($F$16-$F$15)-1,U$99:Y175,5,FALSE)))*EXP(-(LN(2)/$D$65+0.04)*(VLOOKUP(($F$16-$F$15)*2-1,U$99:Y175,4,FALSE)))*EXP(-(LN(2)/$D$65+0.1)*(VLOOKUP(($F$16-$F$15)*2-1,U$99:Y175,5,FALSE)))*EXP(-(LN(2)/$D$65+0.04)*X175)*EXP(-(LN(2)/$D$65+0.1)*Y175),"-"))),"-")</f>
        <v>-</v>
      </c>
      <c r="AB176" s="271" t="str">
        <f>IFERROR(IF(V176=1,AB$100*EXP(-(LN(2)/$D$65+0.04)*X176)*EXP(-(LN(2)/$D$65+0.1)*Y176),IF(V176=2,AB$100*EXP(-(LN(2)/$D$65+0.04)*(VLOOKUP(($F$16-$F$15)-1,U$100:Y176,4,FALSE)))*EXP(-(LN(2)/$D$65+0.1)*(VLOOKUP(($F$16-$F$15)-1,U$100:Y176,5,FALSE)))*EXP(-(LN(2)/$D$65+0.04)*X176)*EXP(-(LN(2)/$D$65+0.1)*Y176),IF(V176=3,AB$100*EXP(-(LN(2)/$D$65+0.04)*(VLOOKUP(($F$16-$F$15)-1,U$100:Y176,4,FALSE)))*EXP(-(LN(2)/$D$65+0.1)*(VLOOKUP(($F$16-$F$15)-1,U$100:Y176,5,FALSE)))*EXP(-(LN(2)/$D$65+0.04)*(VLOOKUP(($F$16-$F$15)*2-1,U$100:Y176,4,FALSE)))*EXP(-(LN(2)/$D$65+0.1)*(VLOOKUP(($F$16-$F$15)*2-1,U$100:Y176,5,FALSE)))*EXP(-(LN(2)/$D$65+0.04)*X176)*EXP(-(LN(2)/$D$65+0.1)*Y176),"-"))),"-")</f>
        <v>-</v>
      </c>
      <c r="AC176" s="224">
        <f t="shared" si="134"/>
        <v>76</v>
      </c>
      <c r="AD176" s="223" t="str">
        <f t="shared" si="108"/>
        <v>-</v>
      </c>
      <c r="AE176" s="224" t="str">
        <f t="shared" si="135"/>
        <v>-</v>
      </c>
      <c r="AF176" s="224" t="str">
        <f t="shared" si="109"/>
        <v>-</v>
      </c>
      <c r="AG176" s="224" t="str">
        <f t="shared" si="110"/>
        <v>-</v>
      </c>
      <c r="AH176" s="272">
        <f t="shared" si="136"/>
        <v>0.1</v>
      </c>
      <c r="AI176" s="271" t="str">
        <f>IFERROR(IF(AD175=1,AI$100*EXP(-(LN(2)/$D$65+0.04)*AF175)*EXP(-(LN(2)/$D$65+0.1)*AG175),IF(AD175=2,AI$100*EXP(-(LN(2)/$D$65+0.04)*(VLOOKUP(($F$16-$F$15)-1,AC$99:AG175,4,FALSE)))*EXP(-(LN(2)/$D$65+0.1)*(VLOOKUP(($F$16-$F$15)-1,AC$99:AG175,5,FALSE)))*EXP(-(LN(2)/$D$65+0.04)*AF175)*EXP(-(LN(2)/$D$65+0.1)*AG175),IF(AD175=3,AI$100*EXP(-(LN(2)/$D$65+0.04)*(VLOOKUP(($F$16-$F$15)-1,AC$99:AG175,4,FALSE)))*EXP(-(LN(2)/$D$65+0.1)*(VLOOKUP(($F$16-$F$15)-1,AC$99:AG175,5,FALSE)))*EXP(-(LN(2)/$D$65+0.04)*(VLOOKUP(($F$16-$F$15)*2-1,AC$99:AG175,4,FALSE)))*EXP(-(LN(2)/$D$65+0.1)*(VLOOKUP(($F$16-$F$15)*2-1,AC$99:AG175,5,FALSE)))*EXP(-(LN(2)/$D$65+0.04)*AF175)*EXP(-(LN(2)/$D$65+0.1)*AG175),"-"))),"-")</f>
        <v>-</v>
      </c>
      <c r="AJ176" s="271" t="str">
        <f>IFERROR(IF(AD176=1,AJ$100*EXP(-(LN(2)/$D$65+0.04)*AF176)*EXP(-(LN(2)/$D$65+0.1)*AG176),IF(AD176=2,AJ$100*EXP(-(LN(2)/$D$65+0.04)*(VLOOKUP(($F$16-$F$15)-1,AC$100:AG176,4,FALSE)))*EXP(-(LN(2)/$D$65+0.1)*(VLOOKUP(($F$16-$F$15)-1,AC$100:AG176,5,FALSE)))*EXP(-(LN(2)/$D$65+0.04)*AF176)*EXP(-(LN(2)/$D$65+0.1)*AG176),IF(AD176=3,AJ$100*EXP(-(LN(2)/$D$65+0.04)*(VLOOKUP(($F$16-$F$15)-1,AC$100:AG176,4,FALSE)))*EXP(-(LN(2)/$D$65+0.1)*(VLOOKUP(($F$16-$F$15)-1,AC$100:AG176,5,FALSE)))*EXP(-(LN(2)/$D$65+0.04)*(VLOOKUP(($F$16-$F$15)*2-1,AC$100:AG176,4,FALSE)))*EXP(-(LN(2)/$D$65+0.1)*(VLOOKUP(($F$16-$F$15)*2-1,AC$100:AG176,5,FALSE)))*EXP(-(LN(2)/$D$65+0.04)*AF176)*EXP(-(LN(2)/$D$65+0.1)*AG176),"-"))),"-")</f>
        <v>-</v>
      </c>
      <c r="AK176" s="227">
        <f t="shared" si="137"/>
        <v>76</v>
      </c>
      <c r="AL176" s="226" t="str">
        <f t="shared" si="111"/>
        <v>-</v>
      </c>
      <c r="AM176" s="227" t="str">
        <f t="shared" si="138"/>
        <v>-</v>
      </c>
      <c r="AN176" s="227" t="str">
        <f t="shared" si="139"/>
        <v>-</v>
      </c>
      <c r="AO176" s="227" t="str">
        <f t="shared" si="112"/>
        <v>-</v>
      </c>
      <c r="AP176" s="273">
        <f t="shared" si="140"/>
        <v>0.1</v>
      </c>
      <c r="AQ176" s="271" t="str">
        <f>IFERROR(IF(AL175=1,AQ$100*EXP(-(LN(2)/$D$65+0.04)*AN175)*EXP(-(LN(2)/$D$65+0.1)*AO175),IF(AL175=2,AQ$100*EXP(-(LN(2)/$D$65+0.04)*(VLOOKUP(($F$16-$F$15)-1,AK$99:AO175,4,FALSE)))*EXP(-(LN(2)/$D$65+0.1)*(VLOOKUP(($F$16-$F$15)-1,AK$99:AO175,5,FALSE)))*EXP(-(LN(2)/$D$65+0.04)*AN175)*EXP(-(LN(2)/$D$65+0.1)*AO175),IF(AL175=3,AQ$100*EXP(-(LN(2)/$D$65+0.04)*(VLOOKUP(($F$16-$F$15)-1,AK$99:AO175,4,FALSE)))*EXP(-(LN(2)/$D$65+0.1)*(VLOOKUP(($F$16-$F$15)-1,AK$99:AO175,5,FALSE)))*EXP(-(LN(2)/$D$65+0.04)*(VLOOKUP(($F$16-$F$15)*2-1,AK$99:AO175,4,FALSE)))*EXP(-(LN(2)/$D$65+0.1)*(VLOOKUP(($F$16-$F$15)*2-1,AK$99:AO175,5,FALSE)))*EXP(-(LN(2)/$D$65+0.04)*AN175)*EXP(-(LN(2)/$D$65+0.1)*AO175),"-"))),"-")</f>
        <v>-</v>
      </c>
      <c r="AR176" s="271" t="str">
        <f>IFERROR(IF(AL176=1,AR$100*EXP(-(LN(2)/$D$65+0.04)*AN176)*EXP(-(LN(2)/$D$65+0.1)*AO176),IF(AL176=2,AR$100*EXP(-(LN(2)/$D$65+0.04)*(VLOOKUP(($F$16-$F$15)-1,AK$100:AO176,4,FALSE)))*EXP(-(LN(2)/$D$65+0.1)*(VLOOKUP(($F$16-$F$15)-1,AK$100:AO176,5,FALSE)))*EXP(-(LN(2)/$D$65+0.04)*AN176)*EXP(-(LN(2)/$D$65+0.1)*AO176),IF(AL176=3,AR$100*EXP(-(LN(2)/$D$65+0.04)*(VLOOKUP(($F$16-$F$15)-1,AK$100:AO176,4,FALSE)))*EXP(-(LN(2)/$D$65+0.1)*(VLOOKUP(($F$16-$F$15)-1,AK$100:AO176,5,FALSE)))*EXP(-(LN(2)/$D$65+0.04)*(VLOOKUP(($F$16-$F$15)*2-1,AK$100:AO176,4,FALSE)))*EXP(-(LN(2)/$D$65+0.1)*(VLOOKUP(($F$16-$F$15)*2-1,AK$100:AO176,5,FALSE)))*EXP(-(LN(2)/$D$65+0.04)*AN176)*EXP(-(LN(2)/$D$65+0.1)*AO176),"-"))),"-")</f>
        <v>-</v>
      </c>
      <c r="AS176" s="274">
        <f t="shared" si="113"/>
        <v>0</v>
      </c>
      <c r="AT176" s="274">
        <f t="shared" si="114"/>
        <v>0</v>
      </c>
      <c r="AU176" s="274">
        <f t="shared" si="115"/>
        <v>0</v>
      </c>
      <c r="AV176" s="190" t="str">
        <f>IF($B176&lt;$F$22,SUM($T$100:$T176),"")</f>
        <v/>
      </c>
      <c r="AW176" s="190" t="str">
        <f t="shared" si="116"/>
        <v>-</v>
      </c>
      <c r="AX176" s="190" t="str">
        <f t="shared" si="141"/>
        <v/>
      </c>
      <c r="AY176"/>
      <c r="AZ176" s="190" t="str">
        <f ca="1">IF(ISNUMBER(OFFSET(AV176,-$F$21,0)),SUM(OFFSET($T$100,$F$21,0):$T176),"")</f>
        <v/>
      </c>
      <c r="BA176" s="190" t="str">
        <f t="shared" ca="1" si="117"/>
        <v/>
      </c>
      <c r="BB176" s="190" t="str">
        <f t="shared" ca="1" si="70"/>
        <v/>
      </c>
      <c r="BC176" s="190"/>
      <c r="BD176" s="190" t="str">
        <f ca="1">IFERROR(IF(OR(ISNUMBER(I),ISNUMBER($F$14)),IF(AND($B176&gt;=($F$16-$F$15),$B176&lt;$F$22+($F$16-$F$15)),SUM(OFFSET($T$100,($F$16-$F$15),0):$T176),""),""),"")</f>
        <v/>
      </c>
      <c r="BE176" s="190" t="str">
        <f t="shared" ca="1" si="142"/>
        <v/>
      </c>
      <c r="BF176" s="190" t="str">
        <f t="shared" ca="1" si="143"/>
        <v/>
      </c>
      <c r="BG176"/>
      <c r="BH176" s="190" t="str">
        <f ca="1">IF(ISNUMBER(OFFSET(BD176,-$F$21,0)),SUM(OFFSET($T$100,($F$16-$F$15+$F$21),0):$T176),"")</f>
        <v/>
      </c>
      <c r="BI176" s="190" t="str">
        <f t="shared" ca="1" si="118"/>
        <v/>
      </c>
      <c r="BJ176" s="190" t="str">
        <f t="shared" ca="1" si="144"/>
        <v/>
      </c>
      <c r="BK176" s="190"/>
      <c r="BL176" s="190" t="str">
        <f ca="1">IFERROR(IF(OR(ISNUMBER(I),ISNUMBER($F$14)),IF(AND($B176&gt;=($F$17-$F$15),$B176&lt;$F$22+($F$17-$F$15)),SUM(OFFSET($T$100,($F$17-$F$15),0):$T176),""),""),"")</f>
        <v/>
      </c>
      <c r="BM176" s="190" t="str">
        <f t="shared" ca="1" si="119"/>
        <v/>
      </c>
      <c r="BN176" s="190" t="str">
        <f t="shared" ca="1" si="145"/>
        <v/>
      </c>
      <c r="BO176"/>
      <c r="BP176" s="190" t="str">
        <f ca="1">IF(ISNUMBER(OFFSET(BL176,-$F$21,0)),SUM(OFFSET($T$100,($F$17-$F$15+$F$21),0):$T176),"")</f>
        <v/>
      </c>
      <c r="BQ176" s="190" t="str">
        <f t="shared" ca="1" si="120"/>
        <v/>
      </c>
      <c r="BR176" s="190" t="str">
        <f t="shared" ca="1" si="146"/>
        <v/>
      </c>
      <c r="BS176" s="190"/>
      <c r="BT176"/>
      <c r="BU176"/>
      <c r="BV176"/>
      <c r="BY176" s="99"/>
      <c r="BZ176" s="99"/>
      <c r="CA176" s="280" t="str">
        <f t="shared" si="121"/>
        <v/>
      </c>
      <c r="CB176" s="71" t="str">
        <f t="shared" si="122"/>
        <v>-</v>
      </c>
      <c r="CC176" s="33"/>
      <c r="CD176" s="261" t="str">
        <f t="shared" si="123"/>
        <v/>
      </c>
      <c r="CE176" s="280" t="str">
        <f t="shared" si="124"/>
        <v/>
      </c>
      <c r="CF176" s="71" t="str">
        <f t="shared" ca="1" si="125"/>
        <v/>
      </c>
      <c r="CG176" s="33" t="str">
        <f t="shared" si="126"/>
        <v/>
      </c>
      <c r="CH176" s="261" t="str">
        <f t="shared" ca="1" si="127"/>
        <v/>
      </c>
      <c r="CI176" s="202"/>
      <c r="CJ176" s="99"/>
      <c r="CK176" s="99"/>
      <c r="CL176" s="99"/>
      <c r="CM176" s="99"/>
      <c r="CN176" s="99"/>
      <c r="CO176" s="99"/>
    </row>
    <row r="177" spans="2:93" ht="13.5" customHeight="1" x14ac:dyDescent="0.2">
      <c r="B177" s="262">
        <v>77</v>
      </c>
      <c r="C177" s="237" t="str">
        <f t="shared" si="91"/>
        <v/>
      </c>
      <c r="D177" s="237" t="str">
        <f t="shared" si="147"/>
        <v/>
      </c>
      <c r="E177" s="290" t="str">
        <f t="shared" si="128"/>
        <v/>
      </c>
      <c r="F177" s="264" t="str">
        <f t="shared" si="129"/>
        <v/>
      </c>
      <c r="G177" s="291" t="str">
        <f t="shared" si="130"/>
        <v/>
      </c>
      <c r="H177" s="240" t="str">
        <f t="shared" si="92"/>
        <v/>
      </c>
      <c r="I177" s="265" t="str">
        <f t="shared" si="93"/>
        <v/>
      </c>
      <c r="J177" s="265" t="str">
        <f t="shared" si="94"/>
        <v/>
      </c>
      <c r="K177" s="240" t="str">
        <f t="shared" si="95"/>
        <v/>
      </c>
      <c r="L177" s="265" t="str">
        <f t="shared" si="96"/>
        <v/>
      </c>
      <c r="M177" s="265" t="str">
        <f t="shared" si="97"/>
        <v/>
      </c>
      <c r="N177" s="240" t="str">
        <f t="shared" si="98"/>
        <v>-</v>
      </c>
      <c r="O177" s="265" t="str">
        <f t="shared" si="99"/>
        <v>-</v>
      </c>
      <c r="P177" s="265" t="str">
        <f t="shared" si="100"/>
        <v>-</v>
      </c>
      <c r="Q177" s="266" t="str">
        <f t="shared" si="101"/>
        <v>-</v>
      </c>
      <c r="R177" s="267" t="str">
        <f t="shared" si="102"/>
        <v>-</v>
      </c>
      <c r="S177" s="268" t="str">
        <f t="shared" si="103"/>
        <v>-</v>
      </c>
      <c r="T177" s="269" t="str">
        <f t="shared" si="104"/>
        <v/>
      </c>
      <c r="U177" s="221">
        <f t="shared" si="105"/>
        <v>77</v>
      </c>
      <c r="V177" s="220" t="str">
        <f t="shared" si="131"/>
        <v>-</v>
      </c>
      <c r="W177" s="221" t="str">
        <f t="shared" si="132"/>
        <v>-</v>
      </c>
      <c r="X177" s="221" t="str">
        <f t="shared" si="106"/>
        <v>-</v>
      </c>
      <c r="Y177" s="221" t="str">
        <f t="shared" si="107"/>
        <v>-</v>
      </c>
      <c r="Z177" s="270">
        <f t="shared" si="133"/>
        <v>0.1</v>
      </c>
      <c r="AA177" s="271" t="str">
        <f>IFERROR(IF(V176=1,AA$100*EXP(-(LN(2)/$D$65+0.04)*X176)*EXP(-(LN(2)/$D$65+0.1)*Y176),IF(V176=2,AA$100*EXP(-(LN(2)/$D$65+0.04)*(VLOOKUP(($F$16-$F$15)-1,U$99:Y176,4,FALSE)))*EXP(-(LN(2)/$D$65+0.1)*(VLOOKUP(($F$16-$F$15)-1,U$99:Y176,5,FALSE)))*EXP(-(LN(2)/$D$65+0.04)*X176)*EXP(-(LN(2)/$D$65+0.1)*Y176),IF(V176=3,AA$100*EXP(-(LN(2)/$D$65+0.04)*(VLOOKUP(($F$16-$F$15)-1,U$99:Y176,4,FALSE)))*EXP(-(LN(2)/$D$65+0.1)*(VLOOKUP(($F$16-$F$15)-1,U$99:Y176,5,FALSE)))*EXP(-(LN(2)/$D$65+0.04)*(VLOOKUP(($F$16-$F$15)*2-1,U$99:Y176,4,FALSE)))*EXP(-(LN(2)/$D$65+0.1)*(VLOOKUP(($F$16-$F$15)*2-1,U$99:Y176,5,FALSE)))*EXP(-(LN(2)/$D$65+0.04)*X176)*EXP(-(LN(2)/$D$65+0.1)*Y176),"-"))),"-")</f>
        <v>-</v>
      </c>
      <c r="AB177" s="271" t="str">
        <f>IFERROR(IF(V177=1,AB$100*EXP(-(LN(2)/$D$65+0.04)*X177)*EXP(-(LN(2)/$D$65+0.1)*Y177),IF(V177=2,AB$100*EXP(-(LN(2)/$D$65+0.04)*(VLOOKUP(($F$16-$F$15)-1,U$100:Y177,4,FALSE)))*EXP(-(LN(2)/$D$65+0.1)*(VLOOKUP(($F$16-$F$15)-1,U$100:Y177,5,FALSE)))*EXP(-(LN(2)/$D$65+0.04)*X177)*EXP(-(LN(2)/$D$65+0.1)*Y177),IF(V177=3,AB$100*EXP(-(LN(2)/$D$65+0.04)*(VLOOKUP(($F$16-$F$15)-1,U$100:Y177,4,FALSE)))*EXP(-(LN(2)/$D$65+0.1)*(VLOOKUP(($F$16-$F$15)-1,U$100:Y177,5,FALSE)))*EXP(-(LN(2)/$D$65+0.04)*(VLOOKUP(($F$16-$F$15)*2-1,U$100:Y177,4,FALSE)))*EXP(-(LN(2)/$D$65+0.1)*(VLOOKUP(($F$16-$F$15)*2-1,U$100:Y177,5,FALSE)))*EXP(-(LN(2)/$D$65+0.04)*X177)*EXP(-(LN(2)/$D$65+0.1)*Y177),"-"))),"-")</f>
        <v>-</v>
      </c>
      <c r="AC177" s="224">
        <f t="shared" si="134"/>
        <v>77</v>
      </c>
      <c r="AD177" s="223" t="str">
        <f t="shared" si="108"/>
        <v>-</v>
      </c>
      <c r="AE177" s="224" t="str">
        <f t="shared" si="135"/>
        <v>-</v>
      </c>
      <c r="AF177" s="224" t="str">
        <f t="shared" si="109"/>
        <v>-</v>
      </c>
      <c r="AG177" s="224" t="str">
        <f t="shared" si="110"/>
        <v>-</v>
      </c>
      <c r="AH177" s="272">
        <f t="shared" si="136"/>
        <v>0.1</v>
      </c>
      <c r="AI177" s="271" t="str">
        <f>IFERROR(IF(AD176=1,AI$100*EXP(-(LN(2)/$D$65+0.04)*AF176)*EXP(-(LN(2)/$D$65+0.1)*AG176),IF(AD176=2,AI$100*EXP(-(LN(2)/$D$65+0.04)*(VLOOKUP(($F$16-$F$15)-1,AC$99:AG176,4,FALSE)))*EXP(-(LN(2)/$D$65+0.1)*(VLOOKUP(($F$16-$F$15)-1,AC$99:AG176,5,FALSE)))*EXP(-(LN(2)/$D$65+0.04)*AF176)*EXP(-(LN(2)/$D$65+0.1)*AG176),IF(AD176=3,AI$100*EXP(-(LN(2)/$D$65+0.04)*(VLOOKUP(($F$16-$F$15)-1,AC$99:AG176,4,FALSE)))*EXP(-(LN(2)/$D$65+0.1)*(VLOOKUP(($F$16-$F$15)-1,AC$99:AG176,5,FALSE)))*EXP(-(LN(2)/$D$65+0.04)*(VLOOKUP(($F$16-$F$15)*2-1,AC$99:AG176,4,FALSE)))*EXP(-(LN(2)/$D$65+0.1)*(VLOOKUP(($F$16-$F$15)*2-1,AC$99:AG176,5,FALSE)))*EXP(-(LN(2)/$D$65+0.04)*AF176)*EXP(-(LN(2)/$D$65+0.1)*AG176),"-"))),"-")</f>
        <v>-</v>
      </c>
      <c r="AJ177" s="271" t="str">
        <f>IFERROR(IF(AD177=1,AJ$100*EXP(-(LN(2)/$D$65+0.04)*AF177)*EXP(-(LN(2)/$D$65+0.1)*AG177),IF(AD177=2,AJ$100*EXP(-(LN(2)/$D$65+0.04)*(VLOOKUP(($F$16-$F$15)-1,AC$100:AG177,4,FALSE)))*EXP(-(LN(2)/$D$65+0.1)*(VLOOKUP(($F$16-$F$15)-1,AC$100:AG177,5,FALSE)))*EXP(-(LN(2)/$D$65+0.04)*AF177)*EXP(-(LN(2)/$D$65+0.1)*AG177),IF(AD177=3,AJ$100*EXP(-(LN(2)/$D$65+0.04)*(VLOOKUP(($F$16-$F$15)-1,AC$100:AG177,4,FALSE)))*EXP(-(LN(2)/$D$65+0.1)*(VLOOKUP(($F$16-$F$15)-1,AC$100:AG177,5,FALSE)))*EXP(-(LN(2)/$D$65+0.04)*(VLOOKUP(($F$16-$F$15)*2-1,AC$100:AG177,4,FALSE)))*EXP(-(LN(2)/$D$65+0.1)*(VLOOKUP(($F$16-$F$15)*2-1,AC$100:AG177,5,FALSE)))*EXP(-(LN(2)/$D$65+0.04)*AF177)*EXP(-(LN(2)/$D$65+0.1)*AG177),"-"))),"-")</f>
        <v>-</v>
      </c>
      <c r="AK177" s="227">
        <f t="shared" si="137"/>
        <v>77</v>
      </c>
      <c r="AL177" s="226" t="str">
        <f t="shared" si="111"/>
        <v>-</v>
      </c>
      <c r="AM177" s="227" t="str">
        <f t="shared" si="138"/>
        <v>-</v>
      </c>
      <c r="AN177" s="227" t="str">
        <f t="shared" si="139"/>
        <v>-</v>
      </c>
      <c r="AO177" s="227" t="str">
        <f t="shared" si="112"/>
        <v>-</v>
      </c>
      <c r="AP177" s="273">
        <f t="shared" si="140"/>
        <v>0.1</v>
      </c>
      <c r="AQ177" s="271" t="str">
        <f>IFERROR(IF(AL176=1,AQ$100*EXP(-(LN(2)/$D$65+0.04)*AN176)*EXP(-(LN(2)/$D$65+0.1)*AO176),IF(AL176=2,AQ$100*EXP(-(LN(2)/$D$65+0.04)*(VLOOKUP(($F$16-$F$15)-1,AK$99:AO176,4,FALSE)))*EXP(-(LN(2)/$D$65+0.1)*(VLOOKUP(($F$16-$F$15)-1,AK$99:AO176,5,FALSE)))*EXP(-(LN(2)/$D$65+0.04)*AN176)*EXP(-(LN(2)/$D$65+0.1)*AO176),IF(AL176=3,AQ$100*EXP(-(LN(2)/$D$65+0.04)*(VLOOKUP(($F$16-$F$15)-1,AK$99:AO176,4,FALSE)))*EXP(-(LN(2)/$D$65+0.1)*(VLOOKUP(($F$16-$F$15)-1,AK$99:AO176,5,FALSE)))*EXP(-(LN(2)/$D$65+0.04)*(VLOOKUP(($F$16-$F$15)*2-1,AK$99:AO176,4,FALSE)))*EXP(-(LN(2)/$D$65+0.1)*(VLOOKUP(($F$16-$F$15)*2-1,AK$99:AO176,5,FALSE)))*EXP(-(LN(2)/$D$65+0.04)*AN176)*EXP(-(LN(2)/$D$65+0.1)*AO176),"-"))),"-")</f>
        <v>-</v>
      </c>
      <c r="AR177" s="271" t="str">
        <f>IFERROR(IF(AL177=1,AR$100*EXP(-(LN(2)/$D$65+0.04)*AN177)*EXP(-(LN(2)/$D$65+0.1)*AO177),IF(AL177=2,AR$100*EXP(-(LN(2)/$D$65+0.04)*(VLOOKUP(($F$16-$F$15)-1,AK$100:AO177,4,FALSE)))*EXP(-(LN(2)/$D$65+0.1)*(VLOOKUP(($F$16-$F$15)-1,AK$100:AO177,5,FALSE)))*EXP(-(LN(2)/$D$65+0.04)*AN177)*EXP(-(LN(2)/$D$65+0.1)*AO177),IF(AL177=3,AR$100*EXP(-(LN(2)/$D$65+0.04)*(VLOOKUP(($F$16-$F$15)-1,AK$100:AO177,4,FALSE)))*EXP(-(LN(2)/$D$65+0.1)*(VLOOKUP(($F$16-$F$15)-1,AK$100:AO177,5,FALSE)))*EXP(-(LN(2)/$D$65+0.04)*(VLOOKUP(($F$16-$F$15)*2-1,AK$100:AO177,4,FALSE)))*EXP(-(LN(2)/$D$65+0.1)*(VLOOKUP(($F$16-$F$15)*2-1,AK$100:AO177,5,FALSE)))*EXP(-(LN(2)/$D$65+0.04)*AN177)*EXP(-(LN(2)/$D$65+0.1)*AO177),"-"))),"-")</f>
        <v>-</v>
      </c>
      <c r="AS177" s="274">
        <f t="shared" si="113"/>
        <v>0</v>
      </c>
      <c r="AT177" s="274">
        <f t="shared" si="114"/>
        <v>0</v>
      </c>
      <c r="AU177" s="274">
        <f t="shared" si="115"/>
        <v>0</v>
      </c>
      <c r="AV177" s="190" t="str">
        <f>IF($B177&lt;$F$22,SUM($T$100:$T177),"")</f>
        <v/>
      </c>
      <c r="AW177" s="190" t="str">
        <f t="shared" si="116"/>
        <v>-</v>
      </c>
      <c r="AX177" s="190" t="str">
        <f t="shared" si="141"/>
        <v/>
      </c>
      <c r="AY177"/>
      <c r="AZ177" s="190" t="str">
        <f ca="1">IF(ISNUMBER(OFFSET(AV177,-$F$21,0)),SUM(OFFSET($T$100,$F$21,0):$T177),"")</f>
        <v/>
      </c>
      <c r="BA177" s="190" t="str">
        <f t="shared" ca="1" si="117"/>
        <v/>
      </c>
      <c r="BB177" s="190" t="str">
        <f t="shared" ca="1" si="70"/>
        <v/>
      </c>
      <c r="BC177" s="190"/>
      <c r="BD177" s="190" t="str">
        <f ca="1">IFERROR(IF(OR(ISNUMBER(I),ISNUMBER($F$14)),IF(AND($B177&gt;=($F$16-$F$15),$B177&lt;$F$22+($F$16-$F$15)),SUM(OFFSET($T$100,($F$16-$F$15),0):$T177),""),""),"")</f>
        <v/>
      </c>
      <c r="BE177" s="190" t="str">
        <f t="shared" ca="1" si="142"/>
        <v/>
      </c>
      <c r="BF177" s="190" t="str">
        <f t="shared" ca="1" si="143"/>
        <v/>
      </c>
      <c r="BG177"/>
      <c r="BH177" s="190" t="str">
        <f ca="1">IF(ISNUMBER(OFFSET(BD177,-$F$21,0)),SUM(OFFSET($T$100,($F$16-$F$15+$F$21),0):$T177),"")</f>
        <v/>
      </c>
      <c r="BI177" s="190" t="str">
        <f t="shared" ca="1" si="118"/>
        <v/>
      </c>
      <c r="BJ177" s="190" t="str">
        <f t="shared" ca="1" si="144"/>
        <v/>
      </c>
      <c r="BK177" s="190"/>
      <c r="BL177" s="190" t="str">
        <f ca="1">IFERROR(IF(OR(ISNUMBER(I),ISNUMBER($F$14)),IF(AND($B177&gt;=($F$17-$F$15),$B177&lt;$F$22+($F$17-$F$15)),SUM(OFFSET($T$100,($F$17-$F$15),0):$T177),""),""),"")</f>
        <v/>
      </c>
      <c r="BM177" s="190" t="str">
        <f t="shared" ca="1" si="119"/>
        <v/>
      </c>
      <c r="BN177" s="190" t="str">
        <f t="shared" ca="1" si="145"/>
        <v/>
      </c>
      <c r="BO177"/>
      <c r="BP177" s="190" t="str">
        <f ca="1">IF(ISNUMBER(OFFSET(BL177,-$F$21,0)),SUM(OFFSET($T$100,($F$17-$F$15+$F$21),0):$T177),"")</f>
        <v/>
      </c>
      <c r="BQ177" s="190" t="str">
        <f t="shared" ca="1" si="120"/>
        <v/>
      </c>
      <c r="BR177" s="190" t="str">
        <f t="shared" ca="1" si="146"/>
        <v/>
      </c>
      <c r="BS177" s="190"/>
      <c r="BT177"/>
      <c r="BU177"/>
      <c r="BV177"/>
      <c r="BY177" s="99"/>
      <c r="BZ177" s="99"/>
      <c r="CA177" s="280" t="str">
        <f t="shared" si="121"/>
        <v/>
      </c>
      <c r="CB177" s="71" t="str">
        <f t="shared" si="122"/>
        <v>-</v>
      </c>
      <c r="CC177" s="33"/>
      <c r="CD177" s="261" t="str">
        <f t="shared" si="123"/>
        <v/>
      </c>
      <c r="CE177" s="280" t="str">
        <f t="shared" si="124"/>
        <v/>
      </c>
      <c r="CF177" s="71" t="str">
        <f t="shared" ca="1" si="125"/>
        <v/>
      </c>
      <c r="CG177" s="33" t="str">
        <f t="shared" si="126"/>
        <v/>
      </c>
      <c r="CH177" s="261" t="str">
        <f t="shared" ca="1" si="127"/>
        <v/>
      </c>
      <c r="CI177" s="202"/>
      <c r="CJ177" s="99"/>
      <c r="CK177" s="99"/>
      <c r="CL177" s="99"/>
      <c r="CM177" s="99"/>
      <c r="CN177" s="99"/>
      <c r="CO177" s="99"/>
    </row>
    <row r="178" spans="2:93" ht="13.5" customHeight="1" x14ac:dyDescent="0.2">
      <c r="B178" s="262">
        <v>78</v>
      </c>
      <c r="C178" s="237" t="str">
        <f t="shared" si="91"/>
        <v/>
      </c>
      <c r="D178" s="237" t="str">
        <f t="shared" si="147"/>
        <v/>
      </c>
      <c r="E178" s="290" t="str">
        <f t="shared" si="128"/>
        <v/>
      </c>
      <c r="F178" s="264" t="str">
        <f t="shared" si="129"/>
        <v/>
      </c>
      <c r="G178" s="291" t="str">
        <f t="shared" si="130"/>
        <v/>
      </c>
      <c r="H178" s="240" t="str">
        <f t="shared" si="92"/>
        <v/>
      </c>
      <c r="I178" s="265" t="str">
        <f t="shared" si="93"/>
        <v/>
      </c>
      <c r="J178" s="265" t="str">
        <f t="shared" si="94"/>
        <v/>
      </c>
      <c r="K178" s="240" t="str">
        <f t="shared" si="95"/>
        <v/>
      </c>
      <c r="L178" s="265" t="str">
        <f t="shared" si="96"/>
        <v/>
      </c>
      <c r="M178" s="265" t="str">
        <f t="shared" si="97"/>
        <v/>
      </c>
      <c r="N178" s="240" t="str">
        <f t="shared" si="98"/>
        <v>-</v>
      </c>
      <c r="O178" s="265" t="str">
        <f t="shared" si="99"/>
        <v>-</v>
      </c>
      <c r="P178" s="265" t="str">
        <f t="shared" si="100"/>
        <v>-</v>
      </c>
      <c r="Q178" s="266" t="str">
        <f t="shared" si="101"/>
        <v>-</v>
      </c>
      <c r="R178" s="267" t="str">
        <f t="shared" si="102"/>
        <v>-</v>
      </c>
      <c r="S178" s="268" t="str">
        <f t="shared" si="103"/>
        <v>-</v>
      </c>
      <c r="T178" s="269" t="str">
        <f t="shared" si="104"/>
        <v/>
      </c>
      <c r="U178" s="221">
        <f t="shared" si="105"/>
        <v>78</v>
      </c>
      <c r="V178" s="220" t="str">
        <f t="shared" si="131"/>
        <v>-</v>
      </c>
      <c r="W178" s="221" t="str">
        <f t="shared" si="132"/>
        <v>-</v>
      </c>
      <c r="X178" s="221" t="str">
        <f t="shared" si="106"/>
        <v>-</v>
      </c>
      <c r="Y178" s="221" t="str">
        <f t="shared" si="107"/>
        <v>-</v>
      </c>
      <c r="Z178" s="270">
        <f t="shared" si="133"/>
        <v>0.1</v>
      </c>
      <c r="AA178" s="271" t="str">
        <f>IFERROR(IF(V177=1,AA$100*EXP(-(LN(2)/$D$65+0.04)*X177)*EXP(-(LN(2)/$D$65+0.1)*Y177),IF(V177=2,AA$100*EXP(-(LN(2)/$D$65+0.04)*(VLOOKUP(($F$16-$F$15)-1,U$99:Y177,4,FALSE)))*EXP(-(LN(2)/$D$65+0.1)*(VLOOKUP(($F$16-$F$15)-1,U$99:Y177,5,FALSE)))*EXP(-(LN(2)/$D$65+0.04)*X177)*EXP(-(LN(2)/$D$65+0.1)*Y177),IF(V177=3,AA$100*EXP(-(LN(2)/$D$65+0.04)*(VLOOKUP(($F$16-$F$15)-1,U$99:Y177,4,FALSE)))*EXP(-(LN(2)/$D$65+0.1)*(VLOOKUP(($F$16-$F$15)-1,U$99:Y177,5,FALSE)))*EXP(-(LN(2)/$D$65+0.04)*(VLOOKUP(($F$16-$F$15)*2-1,U$99:Y177,4,FALSE)))*EXP(-(LN(2)/$D$65+0.1)*(VLOOKUP(($F$16-$F$15)*2-1,U$99:Y177,5,FALSE)))*EXP(-(LN(2)/$D$65+0.04)*X177)*EXP(-(LN(2)/$D$65+0.1)*Y177),"-"))),"-")</f>
        <v>-</v>
      </c>
      <c r="AB178" s="271" t="str">
        <f>IFERROR(IF(V178=1,AB$100*EXP(-(LN(2)/$D$65+0.04)*X178)*EXP(-(LN(2)/$D$65+0.1)*Y178),IF(V178=2,AB$100*EXP(-(LN(2)/$D$65+0.04)*(VLOOKUP(($F$16-$F$15)-1,U$100:Y178,4,FALSE)))*EXP(-(LN(2)/$D$65+0.1)*(VLOOKUP(($F$16-$F$15)-1,U$100:Y178,5,FALSE)))*EXP(-(LN(2)/$D$65+0.04)*X178)*EXP(-(LN(2)/$D$65+0.1)*Y178),IF(V178=3,AB$100*EXP(-(LN(2)/$D$65+0.04)*(VLOOKUP(($F$16-$F$15)-1,U$100:Y178,4,FALSE)))*EXP(-(LN(2)/$D$65+0.1)*(VLOOKUP(($F$16-$F$15)-1,U$100:Y178,5,FALSE)))*EXP(-(LN(2)/$D$65+0.04)*(VLOOKUP(($F$16-$F$15)*2-1,U$100:Y178,4,FALSE)))*EXP(-(LN(2)/$D$65+0.1)*(VLOOKUP(($F$16-$F$15)*2-1,U$100:Y178,5,FALSE)))*EXP(-(LN(2)/$D$65+0.04)*X178)*EXP(-(LN(2)/$D$65+0.1)*Y178),"-"))),"-")</f>
        <v>-</v>
      </c>
      <c r="AC178" s="224">
        <f t="shared" si="134"/>
        <v>78</v>
      </c>
      <c r="AD178" s="223" t="str">
        <f t="shared" si="108"/>
        <v>-</v>
      </c>
      <c r="AE178" s="224" t="str">
        <f t="shared" si="135"/>
        <v>-</v>
      </c>
      <c r="AF178" s="224" t="str">
        <f t="shared" si="109"/>
        <v>-</v>
      </c>
      <c r="AG178" s="224" t="str">
        <f t="shared" si="110"/>
        <v>-</v>
      </c>
      <c r="AH178" s="272">
        <f t="shared" si="136"/>
        <v>0.1</v>
      </c>
      <c r="AI178" s="271" t="str">
        <f>IFERROR(IF(AD177=1,AI$100*EXP(-(LN(2)/$D$65+0.04)*AF177)*EXP(-(LN(2)/$D$65+0.1)*AG177),IF(AD177=2,AI$100*EXP(-(LN(2)/$D$65+0.04)*(VLOOKUP(($F$16-$F$15)-1,AC$99:AG177,4,FALSE)))*EXP(-(LN(2)/$D$65+0.1)*(VLOOKUP(($F$16-$F$15)-1,AC$99:AG177,5,FALSE)))*EXP(-(LN(2)/$D$65+0.04)*AF177)*EXP(-(LN(2)/$D$65+0.1)*AG177),IF(AD177=3,AI$100*EXP(-(LN(2)/$D$65+0.04)*(VLOOKUP(($F$16-$F$15)-1,AC$99:AG177,4,FALSE)))*EXP(-(LN(2)/$D$65+0.1)*(VLOOKUP(($F$16-$F$15)-1,AC$99:AG177,5,FALSE)))*EXP(-(LN(2)/$D$65+0.04)*(VLOOKUP(($F$16-$F$15)*2-1,AC$99:AG177,4,FALSE)))*EXP(-(LN(2)/$D$65+0.1)*(VLOOKUP(($F$16-$F$15)*2-1,AC$99:AG177,5,FALSE)))*EXP(-(LN(2)/$D$65+0.04)*AF177)*EXP(-(LN(2)/$D$65+0.1)*AG177),"-"))),"-")</f>
        <v>-</v>
      </c>
      <c r="AJ178" s="271" t="str">
        <f>IFERROR(IF(AD178=1,AJ$100*EXP(-(LN(2)/$D$65+0.04)*AF178)*EXP(-(LN(2)/$D$65+0.1)*AG178),IF(AD178=2,AJ$100*EXP(-(LN(2)/$D$65+0.04)*(VLOOKUP(($F$16-$F$15)-1,AC$100:AG178,4,FALSE)))*EXP(-(LN(2)/$D$65+0.1)*(VLOOKUP(($F$16-$F$15)-1,AC$100:AG178,5,FALSE)))*EXP(-(LN(2)/$D$65+0.04)*AF178)*EXP(-(LN(2)/$D$65+0.1)*AG178),IF(AD178=3,AJ$100*EXP(-(LN(2)/$D$65+0.04)*(VLOOKUP(($F$16-$F$15)-1,AC$100:AG178,4,FALSE)))*EXP(-(LN(2)/$D$65+0.1)*(VLOOKUP(($F$16-$F$15)-1,AC$100:AG178,5,FALSE)))*EXP(-(LN(2)/$D$65+0.04)*(VLOOKUP(($F$16-$F$15)*2-1,AC$100:AG178,4,FALSE)))*EXP(-(LN(2)/$D$65+0.1)*(VLOOKUP(($F$16-$F$15)*2-1,AC$100:AG178,5,FALSE)))*EXP(-(LN(2)/$D$65+0.04)*AF178)*EXP(-(LN(2)/$D$65+0.1)*AG178),"-"))),"-")</f>
        <v>-</v>
      </c>
      <c r="AK178" s="227">
        <f t="shared" si="137"/>
        <v>78</v>
      </c>
      <c r="AL178" s="226" t="str">
        <f t="shared" si="111"/>
        <v>-</v>
      </c>
      <c r="AM178" s="227" t="str">
        <f t="shared" si="138"/>
        <v>-</v>
      </c>
      <c r="AN178" s="227" t="str">
        <f t="shared" si="139"/>
        <v>-</v>
      </c>
      <c r="AO178" s="227" t="str">
        <f t="shared" si="112"/>
        <v>-</v>
      </c>
      <c r="AP178" s="273">
        <f t="shared" si="140"/>
        <v>0.1</v>
      </c>
      <c r="AQ178" s="271" t="str">
        <f>IFERROR(IF(AL177=1,AQ$100*EXP(-(LN(2)/$D$65+0.04)*AN177)*EXP(-(LN(2)/$D$65+0.1)*AO177),IF(AL177=2,AQ$100*EXP(-(LN(2)/$D$65+0.04)*(VLOOKUP(($F$16-$F$15)-1,AK$99:AO177,4,FALSE)))*EXP(-(LN(2)/$D$65+0.1)*(VLOOKUP(($F$16-$F$15)-1,AK$99:AO177,5,FALSE)))*EXP(-(LN(2)/$D$65+0.04)*AN177)*EXP(-(LN(2)/$D$65+0.1)*AO177),IF(AL177=3,AQ$100*EXP(-(LN(2)/$D$65+0.04)*(VLOOKUP(($F$16-$F$15)-1,AK$99:AO177,4,FALSE)))*EXP(-(LN(2)/$D$65+0.1)*(VLOOKUP(($F$16-$F$15)-1,AK$99:AO177,5,FALSE)))*EXP(-(LN(2)/$D$65+0.04)*(VLOOKUP(($F$16-$F$15)*2-1,AK$99:AO177,4,FALSE)))*EXP(-(LN(2)/$D$65+0.1)*(VLOOKUP(($F$16-$F$15)*2-1,AK$99:AO177,5,FALSE)))*EXP(-(LN(2)/$D$65+0.04)*AN177)*EXP(-(LN(2)/$D$65+0.1)*AO177),"-"))),"-")</f>
        <v>-</v>
      </c>
      <c r="AR178" s="271" t="str">
        <f>IFERROR(IF(AL178=1,AR$100*EXP(-(LN(2)/$D$65+0.04)*AN178)*EXP(-(LN(2)/$D$65+0.1)*AO178),IF(AL178=2,AR$100*EXP(-(LN(2)/$D$65+0.04)*(VLOOKUP(($F$16-$F$15)-1,AK$100:AO178,4,FALSE)))*EXP(-(LN(2)/$D$65+0.1)*(VLOOKUP(($F$16-$F$15)-1,AK$100:AO178,5,FALSE)))*EXP(-(LN(2)/$D$65+0.04)*AN178)*EXP(-(LN(2)/$D$65+0.1)*AO178),IF(AL178=3,AR$100*EXP(-(LN(2)/$D$65+0.04)*(VLOOKUP(($F$16-$F$15)-1,AK$100:AO178,4,FALSE)))*EXP(-(LN(2)/$D$65+0.1)*(VLOOKUP(($F$16-$F$15)-1,AK$100:AO178,5,FALSE)))*EXP(-(LN(2)/$D$65+0.04)*(VLOOKUP(($F$16-$F$15)*2-1,AK$100:AO178,4,FALSE)))*EXP(-(LN(2)/$D$65+0.1)*(VLOOKUP(($F$16-$F$15)*2-1,AK$100:AO178,5,FALSE)))*EXP(-(LN(2)/$D$65+0.04)*AN178)*EXP(-(LN(2)/$D$65+0.1)*AO178),"-"))),"-")</f>
        <v>-</v>
      </c>
      <c r="AS178" s="274">
        <f t="shared" si="113"/>
        <v>0</v>
      </c>
      <c r="AT178" s="274">
        <f t="shared" si="114"/>
        <v>0</v>
      </c>
      <c r="AU178" s="274">
        <f t="shared" si="115"/>
        <v>0</v>
      </c>
      <c r="AV178" s="190" t="str">
        <f>IF($B178&lt;$F$22,SUM($T$100:$T178),"")</f>
        <v/>
      </c>
      <c r="AW178" s="190" t="str">
        <f t="shared" si="116"/>
        <v>-</v>
      </c>
      <c r="AX178" s="190" t="str">
        <f t="shared" si="141"/>
        <v/>
      </c>
      <c r="AY178"/>
      <c r="AZ178" s="190" t="str">
        <f ca="1">IF(ISNUMBER(OFFSET(AV178,-$F$21,0)),SUM(OFFSET($T$100,$F$21,0):$T178),"")</f>
        <v/>
      </c>
      <c r="BA178" s="190" t="str">
        <f t="shared" ca="1" si="117"/>
        <v/>
      </c>
      <c r="BB178" s="190" t="str">
        <f t="shared" ca="1" si="70"/>
        <v/>
      </c>
      <c r="BC178" s="190"/>
      <c r="BD178" s="190" t="str">
        <f ca="1">IFERROR(IF(OR(ISNUMBER(I),ISNUMBER($F$14)),IF(AND($B178&gt;=($F$16-$F$15),$B178&lt;$F$22+($F$16-$F$15)),SUM(OFFSET($T$100,($F$16-$F$15),0):$T178),""),""),"")</f>
        <v/>
      </c>
      <c r="BE178" s="190" t="str">
        <f t="shared" ca="1" si="142"/>
        <v/>
      </c>
      <c r="BF178" s="190" t="str">
        <f t="shared" ca="1" si="143"/>
        <v/>
      </c>
      <c r="BG178"/>
      <c r="BH178" s="190" t="str">
        <f ca="1">IF(ISNUMBER(OFFSET(BD178,-$F$21,0)),SUM(OFFSET($T$100,($F$16-$F$15+$F$21),0):$T178),"")</f>
        <v/>
      </c>
      <c r="BI178" s="190" t="str">
        <f t="shared" ca="1" si="118"/>
        <v/>
      </c>
      <c r="BJ178" s="190" t="str">
        <f t="shared" ca="1" si="144"/>
        <v/>
      </c>
      <c r="BK178" s="190"/>
      <c r="BL178" s="190" t="str">
        <f ca="1">IFERROR(IF(OR(ISNUMBER(I),ISNUMBER($F$14)),IF(AND($B178&gt;=($F$17-$F$15),$B178&lt;$F$22+($F$17-$F$15)),SUM(OFFSET($T$100,($F$17-$F$15),0):$T178),""),""),"")</f>
        <v/>
      </c>
      <c r="BM178" s="190" t="str">
        <f t="shared" ca="1" si="119"/>
        <v/>
      </c>
      <c r="BN178" s="190" t="str">
        <f t="shared" ca="1" si="145"/>
        <v/>
      </c>
      <c r="BO178"/>
      <c r="BP178" s="190" t="str">
        <f ca="1">IF(ISNUMBER(OFFSET(BL178,-$F$21,0)),SUM(OFFSET($T$100,($F$17-$F$15+$F$21),0):$T178),"")</f>
        <v/>
      </c>
      <c r="BQ178" s="190" t="str">
        <f t="shared" ca="1" si="120"/>
        <v/>
      </c>
      <c r="BR178" s="190" t="str">
        <f t="shared" ca="1" si="146"/>
        <v/>
      </c>
      <c r="BS178" s="190"/>
      <c r="BT178"/>
      <c r="BU178"/>
      <c r="BV178"/>
      <c r="BY178" s="99"/>
      <c r="BZ178" s="99"/>
      <c r="CA178" s="280" t="str">
        <f t="shared" si="121"/>
        <v/>
      </c>
      <c r="CB178" s="71" t="str">
        <f t="shared" si="122"/>
        <v>-</v>
      </c>
      <c r="CC178" s="33"/>
      <c r="CD178" s="261" t="str">
        <f t="shared" si="123"/>
        <v/>
      </c>
      <c r="CE178" s="280" t="str">
        <f t="shared" si="124"/>
        <v/>
      </c>
      <c r="CF178" s="71" t="str">
        <f t="shared" ca="1" si="125"/>
        <v/>
      </c>
      <c r="CG178" s="33" t="str">
        <f t="shared" si="126"/>
        <v/>
      </c>
      <c r="CH178" s="261" t="str">
        <f t="shared" ca="1" si="127"/>
        <v/>
      </c>
      <c r="CI178" s="202"/>
      <c r="CJ178" s="99"/>
      <c r="CK178" s="99"/>
      <c r="CL178" s="99"/>
      <c r="CM178" s="99"/>
      <c r="CN178" s="99"/>
      <c r="CO178" s="99"/>
    </row>
    <row r="179" spans="2:93" ht="13.5" customHeight="1" x14ac:dyDescent="0.2">
      <c r="B179" s="262">
        <v>79</v>
      </c>
      <c r="C179" s="237" t="str">
        <f t="shared" si="91"/>
        <v/>
      </c>
      <c r="D179" s="237" t="str">
        <f t="shared" si="147"/>
        <v/>
      </c>
      <c r="E179" s="290" t="str">
        <f t="shared" si="128"/>
        <v/>
      </c>
      <c r="F179" s="264" t="str">
        <f t="shared" si="129"/>
        <v/>
      </c>
      <c r="G179" s="291" t="str">
        <f t="shared" si="130"/>
        <v/>
      </c>
      <c r="H179" s="240" t="str">
        <f t="shared" si="92"/>
        <v/>
      </c>
      <c r="I179" s="265" t="str">
        <f t="shared" si="93"/>
        <v/>
      </c>
      <c r="J179" s="265" t="str">
        <f t="shared" si="94"/>
        <v/>
      </c>
      <c r="K179" s="240" t="str">
        <f t="shared" si="95"/>
        <v/>
      </c>
      <c r="L179" s="265" t="str">
        <f t="shared" si="96"/>
        <v/>
      </c>
      <c r="M179" s="265" t="str">
        <f t="shared" si="97"/>
        <v/>
      </c>
      <c r="N179" s="240" t="str">
        <f t="shared" si="98"/>
        <v>-</v>
      </c>
      <c r="O179" s="265" t="str">
        <f t="shared" si="99"/>
        <v>-</v>
      </c>
      <c r="P179" s="265" t="str">
        <f t="shared" si="100"/>
        <v>-</v>
      </c>
      <c r="Q179" s="266" t="str">
        <f t="shared" si="101"/>
        <v>-</v>
      </c>
      <c r="R179" s="267" t="str">
        <f t="shared" si="102"/>
        <v>-</v>
      </c>
      <c r="S179" s="268" t="str">
        <f t="shared" si="103"/>
        <v>-</v>
      </c>
      <c r="T179" s="269" t="str">
        <f t="shared" si="104"/>
        <v/>
      </c>
      <c r="U179" s="221">
        <f t="shared" si="105"/>
        <v>79</v>
      </c>
      <c r="V179" s="220" t="str">
        <f t="shared" si="131"/>
        <v>-</v>
      </c>
      <c r="W179" s="221" t="str">
        <f t="shared" si="132"/>
        <v>-</v>
      </c>
      <c r="X179" s="221" t="str">
        <f t="shared" si="106"/>
        <v>-</v>
      </c>
      <c r="Y179" s="221" t="str">
        <f t="shared" si="107"/>
        <v>-</v>
      </c>
      <c r="Z179" s="270">
        <f t="shared" si="133"/>
        <v>0.1</v>
      </c>
      <c r="AA179" s="271" t="str">
        <f>IFERROR(IF(V178=1,AA$100*EXP(-(LN(2)/$D$65+0.04)*X178)*EXP(-(LN(2)/$D$65+0.1)*Y178),IF(V178=2,AA$100*EXP(-(LN(2)/$D$65+0.04)*(VLOOKUP(($F$16-$F$15)-1,U$99:Y178,4,FALSE)))*EXP(-(LN(2)/$D$65+0.1)*(VLOOKUP(($F$16-$F$15)-1,U$99:Y178,5,FALSE)))*EXP(-(LN(2)/$D$65+0.04)*X178)*EXP(-(LN(2)/$D$65+0.1)*Y178),IF(V178=3,AA$100*EXP(-(LN(2)/$D$65+0.04)*(VLOOKUP(($F$16-$F$15)-1,U$99:Y178,4,FALSE)))*EXP(-(LN(2)/$D$65+0.1)*(VLOOKUP(($F$16-$F$15)-1,U$99:Y178,5,FALSE)))*EXP(-(LN(2)/$D$65+0.04)*(VLOOKUP(($F$16-$F$15)*2-1,U$99:Y178,4,FALSE)))*EXP(-(LN(2)/$D$65+0.1)*(VLOOKUP(($F$16-$F$15)*2-1,U$99:Y178,5,FALSE)))*EXP(-(LN(2)/$D$65+0.04)*X178)*EXP(-(LN(2)/$D$65+0.1)*Y178),"-"))),"-")</f>
        <v>-</v>
      </c>
      <c r="AB179" s="271" t="str">
        <f>IFERROR(IF(V179=1,AB$100*EXP(-(LN(2)/$D$65+0.04)*X179)*EXP(-(LN(2)/$D$65+0.1)*Y179),IF(V179=2,AB$100*EXP(-(LN(2)/$D$65+0.04)*(VLOOKUP(($F$16-$F$15)-1,U$100:Y179,4,FALSE)))*EXP(-(LN(2)/$D$65+0.1)*(VLOOKUP(($F$16-$F$15)-1,U$100:Y179,5,FALSE)))*EXP(-(LN(2)/$D$65+0.04)*X179)*EXP(-(LN(2)/$D$65+0.1)*Y179),IF(V179=3,AB$100*EXP(-(LN(2)/$D$65+0.04)*(VLOOKUP(($F$16-$F$15)-1,U$100:Y179,4,FALSE)))*EXP(-(LN(2)/$D$65+0.1)*(VLOOKUP(($F$16-$F$15)-1,U$100:Y179,5,FALSE)))*EXP(-(LN(2)/$D$65+0.04)*(VLOOKUP(($F$16-$F$15)*2-1,U$100:Y179,4,FALSE)))*EXP(-(LN(2)/$D$65+0.1)*(VLOOKUP(($F$16-$F$15)*2-1,U$100:Y179,5,FALSE)))*EXP(-(LN(2)/$D$65+0.04)*X179)*EXP(-(LN(2)/$D$65+0.1)*Y179),"-"))),"-")</f>
        <v>-</v>
      </c>
      <c r="AC179" s="224">
        <f t="shared" si="134"/>
        <v>79</v>
      </c>
      <c r="AD179" s="223" t="str">
        <f t="shared" si="108"/>
        <v>-</v>
      </c>
      <c r="AE179" s="224" t="str">
        <f t="shared" si="135"/>
        <v>-</v>
      </c>
      <c r="AF179" s="224" t="str">
        <f t="shared" si="109"/>
        <v>-</v>
      </c>
      <c r="AG179" s="224" t="str">
        <f t="shared" si="110"/>
        <v>-</v>
      </c>
      <c r="AH179" s="272">
        <f t="shared" si="136"/>
        <v>0.1</v>
      </c>
      <c r="AI179" s="271" t="str">
        <f>IFERROR(IF(AD178=1,AI$100*EXP(-(LN(2)/$D$65+0.04)*AF178)*EXP(-(LN(2)/$D$65+0.1)*AG178),IF(AD178=2,AI$100*EXP(-(LN(2)/$D$65+0.04)*(VLOOKUP(($F$16-$F$15)-1,AC$99:AG178,4,FALSE)))*EXP(-(LN(2)/$D$65+0.1)*(VLOOKUP(($F$16-$F$15)-1,AC$99:AG178,5,FALSE)))*EXP(-(LN(2)/$D$65+0.04)*AF178)*EXP(-(LN(2)/$D$65+0.1)*AG178),IF(AD178=3,AI$100*EXP(-(LN(2)/$D$65+0.04)*(VLOOKUP(($F$16-$F$15)-1,AC$99:AG178,4,FALSE)))*EXP(-(LN(2)/$D$65+0.1)*(VLOOKUP(($F$16-$F$15)-1,AC$99:AG178,5,FALSE)))*EXP(-(LN(2)/$D$65+0.04)*(VLOOKUP(($F$16-$F$15)*2-1,AC$99:AG178,4,FALSE)))*EXP(-(LN(2)/$D$65+0.1)*(VLOOKUP(($F$16-$F$15)*2-1,AC$99:AG178,5,FALSE)))*EXP(-(LN(2)/$D$65+0.04)*AF178)*EXP(-(LN(2)/$D$65+0.1)*AG178),"-"))),"-")</f>
        <v>-</v>
      </c>
      <c r="AJ179" s="271" t="str">
        <f>IFERROR(IF(AD179=1,AJ$100*EXP(-(LN(2)/$D$65+0.04)*AF179)*EXP(-(LN(2)/$D$65+0.1)*AG179),IF(AD179=2,AJ$100*EXP(-(LN(2)/$D$65+0.04)*(VLOOKUP(($F$16-$F$15)-1,AC$100:AG179,4,FALSE)))*EXP(-(LN(2)/$D$65+0.1)*(VLOOKUP(($F$16-$F$15)-1,AC$100:AG179,5,FALSE)))*EXP(-(LN(2)/$D$65+0.04)*AF179)*EXP(-(LN(2)/$D$65+0.1)*AG179),IF(AD179=3,AJ$100*EXP(-(LN(2)/$D$65+0.04)*(VLOOKUP(($F$16-$F$15)-1,AC$100:AG179,4,FALSE)))*EXP(-(LN(2)/$D$65+0.1)*(VLOOKUP(($F$16-$F$15)-1,AC$100:AG179,5,FALSE)))*EXP(-(LN(2)/$D$65+0.04)*(VLOOKUP(($F$16-$F$15)*2-1,AC$100:AG179,4,FALSE)))*EXP(-(LN(2)/$D$65+0.1)*(VLOOKUP(($F$16-$F$15)*2-1,AC$100:AG179,5,FALSE)))*EXP(-(LN(2)/$D$65+0.04)*AF179)*EXP(-(LN(2)/$D$65+0.1)*AG179),"-"))),"-")</f>
        <v>-</v>
      </c>
      <c r="AK179" s="227">
        <f t="shared" si="137"/>
        <v>79</v>
      </c>
      <c r="AL179" s="226" t="str">
        <f t="shared" si="111"/>
        <v>-</v>
      </c>
      <c r="AM179" s="227" t="str">
        <f t="shared" si="138"/>
        <v>-</v>
      </c>
      <c r="AN179" s="227" t="str">
        <f t="shared" si="139"/>
        <v>-</v>
      </c>
      <c r="AO179" s="227" t="str">
        <f t="shared" si="112"/>
        <v>-</v>
      </c>
      <c r="AP179" s="273">
        <f t="shared" si="140"/>
        <v>0.1</v>
      </c>
      <c r="AQ179" s="271" t="str">
        <f>IFERROR(IF(AL178=1,AQ$100*EXP(-(LN(2)/$D$65+0.04)*AN178)*EXP(-(LN(2)/$D$65+0.1)*AO178),IF(AL178=2,AQ$100*EXP(-(LN(2)/$D$65+0.04)*(VLOOKUP(($F$16-$F$15)-1,AK$99:AO178,4,FALSE)))*EXP(-(LN(2)/$D$65+0.1)*(VLOOKUP(($F$16-$F$15)-1,AK$99:AO178,5,FALSE)))*EXP(-(LN(2)/$D$65+0.04)*AN178)*EXP(-(LN(2)/$D$65+0.1)*AO178),IF(AL178=3,AQ$100*EXP(-(LN(2)/$D$65+0.04)*(VLOOKUP(($F$16-$F$15)-1,AK$99:AO178,4,FALSE)))*EXP(-(LN(2)/$D$65+0.1)*(VLOOKUP(($F$16-$F$15)-1,AK$99:AO178,5,FALSE)))*EXP(-(LN(2)/$D$65+0.04)*(VLOOKUP(($F$16-$F$15)*2-1,AK$99:AO178,4,FALSE)))*EXP(-(LN(2)/$D$65+0.1)*(VLOOKUP(($F$16-$F$15)*2-1,AK$99:AO178,5,FALSE)))*EXP(-(LN(2)/$D$65+0.04)*AN178)*EXP(-(LN(2)/$D$65+0.1)*AO178),"-"))),"-")</f>
        <v>-</v>
      </c>
      <c r="AR179" s="271" t="str">
        <f>IFERROR(IF(AL179=1,AR$100*EXP(-(LN(2)/$D$65+0.04)*AN179)*EXP(-(LN(2)/$D$65+0.1)*AO179),IF(AL179=2,AR$100*EXP(-(LN(2)/$D$65+0.04)*(VLOOKUP(($F$16-$F$15)-1,AK$100:AO179,4,FALSE)))*EXP(-(LN(2)/$D$65+0.1)*(VLOOKUP(($F$16-$F$15)-1,AK$100:AO179,5,FALSE)))*EXP(-(LN(2)/$D$65+0.04)*AN179)*EXP(-(LN(2)/$D$65+0.1)*AO179),IF(AL179=3,AR$100*EXP(-(LN(2)/$D$65+0.04)*(VLOOKUP(($F$16-$F$15)-1,AK$100:AO179,4,FALSE)))*EXP(-(LN(2)/$D$65+0.1)*(VLOOKUP(($F$16-$F$15)-1,AK$100:AO179,5,FALSE)))*EXP(-(LN(2)/$D$65+0.04)*(VLOOKUP(($F$16-$F$15)*2-1,AK$100:AO179,4,FALSE)))*EXP(-(LN(2)/$D$65+0.1)*(VLOOKUP(($F$16-$F$15)*2-1,AK$100:AO179,5,FALSE)))*EXP(-(LN(2)/$D$65+0.04)*AN179)*EXP(-(LN(2)/$D$65+0.1)*AO179),"-"))),"-")</f>
        <v>-</v>
      </c>
      <c r="AS179" s="274">
        <f t="shared" si="113"/>
        <v>0</v>
      </c>
      <c r="AT179" s="274">
        <f t="shared" si="114"/>
        <v>0</v>
      </c>
      <c r="AU179" s="274">
        <f t="shared" si="115"/>
        <v>0</v>
      </c>
      <c r="AV179" s="190" t="str">
        <f>IF($B179&lt;$F$22,SUM($T$100:$T179),"")</f>
        <v/>
      </c>
      <c r="AW179" s="190" t="str">
        <f t="shared" si="116"/>
        <v>-</v>
      </c>
      <c r="AX179" s="190" t="str">
        <f t="shared" si="141"/>
        <v/>
      </c>
      <c r="AY179"/>
      <c r="AZ179" s="190" t="str">
        <f ca="1">IF(ISNUMBER(OFFSET(AV179,-$F$21,0)),SUM(OFFSET($T$100,$F$21,0):$T179),"")</f>
        <v/>
      </c>
      <c r="BA179" s="190" t="str">
        <f t="shared" ca="1" si="117"/>
        <v/>
      </c>
      <c r="BB179" s="190" t="str">
        <f t="shared" ca="1" si="70"/>
        <v/>
      </c>
      <c r="BC179" s="190"/>
      <c r="BD179" s="190" t="str">
        <f ca="1">IFERROR(IF(OR(ISNUMBER(I),ISNUMBER($F$14)),IF(AND($B179&gt;=($F$16-$F$15),$B179&lt;$F$22+($F$16-$F$15)),SUM(OFFSET($T$100,($F$16-$F$15),0):$T179),""),""),"")</f>
        <v/>
      </c>
      <c r="BE179" s="190" t="str">
        <f t="shared" ca="1" si="142"/>
        <v/>
      </c>
      <c r="BF179" s="190" t="str">
        <f t="shared" ca="1" si="143"/>
        <v/>
      </c>
      <c r="BG179"/>
      <c r="BH179" s="190" t="str">
        <f ca="1">IF(ISNUMBER(OFFSET(BD179,-$F$21,0)),SUM(OFFSET($T$100,($F$16-$F$15+$F$21),0):$T179),"")</f>
        <v/>
      </c>
      <c r="BI179" s="190" t="str">
        <f t="shared" ca="1" si="118"/>
        <v/>
      </c>
      <c r="BJ179" s="190" t="str">
        <f t="shared" ca="1" si="144"/>
        <v/>
      </c>
      <c r="BK179" s="190"/>
      <c r="BL179" s="190" t="str">
        <f ca="1">IFERROR(IF(OR(ISNUMBER(I),ISNUMBER($F$14)),IF(AND($B179&gt;=($F$17-$F$15),$B179&lt;$F$22+($F$17-$F$15)),SUM(OFFSET($T$100,($F$17-$F$15),0):$T179),""),""),"")</f>
        <v/>
      </c>
      <c r="BM179" s="190" t="str">
        <f t="shared" ca="1" si="119"/>
        <v/>
      </c>
      <c r="BN179" s="190" t="str">
        <f t="shared" ca="1" si="145"/>
        <v/>
      </c>
      <c r="BO179"/>
      <c r="BP179" s="190" t="str">
        <f ca="1">IF(ISNUMBER(OFFSET(BL179,-$F$21,0)),SUM(OFFSET($T$100,($F$17-$F$15+$F$21),0):$T179),"")</f>
        <v/>
      </c>
      <c r="BQ179" s="190" t="str">
        <f t="shared" ca="1" si="120"/>
        <v/>
      </c>
      <c r="BR179" s="190" t="str">
        <f t="shared" ca="1" si="146"/>
        <v/>
      </c>
      <c r="BS179" s="190"/>
      <c r="BT179"/>
      <c r="BU179"/>
      <c r="BV179"/>
      <c r="BY179" s="99"/>
      <c r="BZ179" s="99"/>
      <c r="CA179" s="280" t="str">
        <f t="shared" si="121"/>
        <v/>
      </c>
      <c r="CB179" s="71" t="str">
        <f t="shared" si="122"/>
        <v>-</v>
      </c>
      <c r="CC179" s="33"/>
      <c r="CD179" s="261" t="str">
        <f t="shared" si="123"/>
        <v/>
      </c>
      <c r="CE179" s="280" t="str">
        <f t="shared" si="124"/>
        <v/>
      </c>
      <c r="CF179" s="71" t="str">
        <f t="shared" ca="1" si="125"/>
        <v/>
      </c>
      <c r="CG179" s="33" t="str">
        <f t="shared" si="126"/>
        <v/>
      </c>
      <c r="CH179" s="261" t="str">
        <f t="shared" ca="1" si="127"/>
        <v/>
      </c>
      <c r="CI179" s="202"/>
      <c r="CJ179" s="99"/>
      <c r="CK179" s="99"/>
      <c r="CL179" s="99"/>
      <c r="CM179" s="99"/>
      <c r="CN179" s="99"/>
      <c r="CO179" s="99"/>
    </row>
    <row r="180" spans="2:93" ht="13.5" customHeight="1" x14ac:dyDescent="0.2">
      <c r="B180" s="262">
        <v>80</v>
      </c>
      <c r="C180" s="237" t="str">
        <f t="shared" si="91"/>
        <v/>
      </c>
      <c r="D180" s="237" t="str">
        <f t="shared" si="147"/>
        <v/>
      </c>
      <c r="E180" s="263" t="str">
        <f t="shared" si="128"/>
        <v/>
      </c>
      <c r="F180" s="264" t="str">
        <f t="shared" si="129"/>
        <v/>
      </c>
      <c r="G180" s="306" t="str">
        <f t="shared" si="130"/>
        <v/>
      </c>
      <c r="H180" s="240" t="str">
        <f t="shared" si="92"/>
        <v/>
      </c>
      <c r="I180" s="265" t="str">
        <f t="shared" si="93"/>
        <v/>
      </c>
      <c r="J180" s="265" t="str">
        <f t="shared" si="94"/>
        <v/>
      </c>
      <c r="K180" s="240" t="str">
        <f t="shared" si="95"/>
        <v/>
      </c>
      <c r="L180" s="265" t="str">
        <f t="shared" si="96"/>
        <v/>
      </c>
      <c r="M180" s="265" t="str">
        <f t="shared" si="97"/>
        <v/>
      </c>
      <c r="N180" s="240" t="str">
        <f t="shared" si="98"/>
        <v>-</v>
      </c>
      <c r="O180" s="265" t="str">
        <f t="shared" si="99"/>
        <v>-</v>
      </c>
      <c r="P180" s="265" t="str">
        <f t="shared" si="100"/>
        <v>-</v>
      </c>
      <c r="Q180" s="266" t="str">
        <f t="shared" si="101"/>
        <v>-</v>
      </c>
      <c r="R180" s="267" t="str">
        <f t="shared" si="102"/>
        <v>-</v>
      </c>
      <c r="S180" s="268" t="str">
        <f t="shared" si="103"/>
        <v>-</v>
      </c>
      <c r="T180" s="269" t="str">
        <f t="shared" si="104"/>
        <v/>
      </c>
      <c r="U180" s="221">
        <f t="shared" si="105"/>
        <v>80</v>
      </c>
      <c r="V180" s="220" t="str">
        <f t="shared" si="131"/>
        <v>-</v>
      </c>
      <c r="W180" s="221" t="str">
        <f t="shared" si="132"/>
        <v>-</v>
      </c>
      <c r="X180" s="221" t="str">
        <f t="shared" si="106"/>
        <v>-</v>
      </c>
      <c r="Y180" s="221" t="str">
        <f t="shared" si="107"/>
        <v>-</v>
      </c>
      <c r="Z180" s="270">
        <f t="shared" si="133"/>
        <v>0.1</v>
      </c>
      <c r="AA180" s="271" t="str">
        <f>IFERROR(IF(V179=1,AA$100*EXP(-(LN(2)/$D$65+0.04)*X179)*EXP(-(LN(2)/$D$65+0.1)*Y179),IF(V179=2,AA$100*EXP(-(LN(2)/$D$65+0.04)*(VLOOKUP(($F$16-$F$15)-1,U$99:Y179,4,FALSE)))*EXP(-(LN(2)/$D$65+0.1)*(VLOOKUP(($F$16-$F$15)-1,U$99:Y179,5,FALSE)))*EXP(-(LN(2)/$D$65+0.04)*X179)*EXP(-(LN(2)/$D$65+0.1)*Y179),IF(V179=3,AA$100*EXP(-(LN(2)/$D$65+0.04)*(VLOOKUP(($F$16-$F$15)-1,U$99:Y179,4,FALSE)))*EXP(-(LN(2)/$D$65+0.1)*(VLOOKUP(($F$16-$F$15)-1,U$99:Y179,5,FALSE)))*EXP(-(LN(2)/$D$65+0.04)*(VLOOKUP(($F$16-$F$15)*2-1,U$99:Y179,4,FALSE)))*EXP(-(LN(2)/$D$65+0.1)*(VLOOKUP(($F$16-$F$15)*2-1,U$99:Y179,5,FALSE)))*EXP(-(LN(2)/$D$65+0.04)*X179)*EXP(-(LN(2)/$D$65+0.1)*Y179),"-"))),"-")</f>
        <v>-</v>
      </c>
      <c r="AB180" s="271" t="str">
        <f>IFERROR(IF(V180=1,AB$100*EXP(-(LN(2)/$D$65+0.04)*X180)*EXP(-(LN(2)/$D$65+0.1)*Y180),IF(V180=2,AB$100*EXP(-(LN(2)/$D$65+0.04)*(VLOOKUP(($F$16-$F$15)-1,U$100:Y180,4,FALSE)))*EXP(-(LN(2)/$D$65+0.1)*(VLOOKUP(($F$16-$F$15)-1,U$100:Y180,5,FALSE)))*EXP(-(LN(2)/$D$65+0.04)*X180)*EXP(-(LN(2)/$D$65+0.1)*Y180),IF(V180=3,AB$100*EXP(-(LN(2)/$D$65+0.04)*(VLOOKUP(($F$16-$F$15)-1,U$100:Y180,4,FALSE)))*EXP(-(LN(2)/$D$65+0.1)*(VLOOKUP(($F$16-$F$15)-1,U$100:Y180,5,FALSE)))*EXP(-(LN(2)/$D$65+0.04)*(VLOOKUP(($F$16-$F$15)*2-1,U$100:Y180,4,FALSE)))*EXP(-(LN(2)/$D$65+0.1)*(VLOOKUP(($F$16-$F$15)*2-1,U$100:Y180,5,FALSE)))*EXP(-(LN(2)/$D$65+0.04)*X180)*EXP(-(LN(2)/$D$65+0.1)*Y180),"-"))),"-")</f>
        <v>-</v>
      </c>
      <c r="AC180" s="224">
        <f t="shared" si="134"/>
        <v>80</v>
      </c>
      <c r="AD180" s="223" t="str">
        <f t="shared" si="108"/>
        <v>-</v>
      </c>
      <c r="AE180" s="224" t="str">
        <f t="shared" si="135"/>
        <v>-</v>
      </c>
      <c r="AF180" s="224" t="str">
        <f t="shared" si="109"/>
        <v>-</v>
      </c>
      <c r="AG180" s="224" t="str">
        <f t="shared" si="110"/>
        <v>-</v>
      </c>
      <c r="AH180" s="272">
        <f t="shared" si="136"/>
        <v>0.1</v>
      </c>
      <c r="AI180" s="271" t="str">
        <f>IFERROR(IF(AD179=1,AI$100*EXP(-(LN(2)/$D$65+0.04)*AF179)*EXP(-(LN(2)/$D$65+0.1)*AG179),IF(AD179=2,AI$100*EXP(-(LN(2)/$D$65+0.04)*(VLOOKUP(($F$16-$F$15)-1,AC$99:AG179,4,FALSE)))*EXP(-(LN(2)/$D$65+0.1)*(VLOOKUP(($F$16-$F$15)-1,AC$99:AG179,5,FALSE)))*EXP(-(LN(2)/$D$65+0.04)*AF179)*EXP(-(LN(2)/$D$65+0.1)*AG179),IF(AD179=3,AI$100*EXP(-(LN(2)/$D$65+0.04)*(VLOOKUP(($F$16-$F$15)-1,AC$99:AG179,4,FALSE)))*EXP(-(LN(2)/$D$65+0.1)*(VLOOKUP(($F$16-$F$15)-1,AC$99:AG179,5,FALSE)))*EXP(-(LN(2)/$D$65+0.04)*(VLOOKUP(($F$16-$F$15)*2-1,AC$99:AG179,4,FALSE)))*EXP(-(LN(2)/$D$65+0.1)*(VLOOKUP(($F$16-$F$15)*2-1,AC$99:AG179,5,FALSE)))*EXP(-(LN(2)/$D$65+0.04)*AF179)*EXP(-(LN(2)/$D$65+0.1)*AG179),"-"))),"-")</f>
        <v>-</v>
      </c>
      <c r="AJ180" s="271" t="str">
        <f>IFERROR(IF(AD180=1,AJ$100*EXP(-(LN(2)/$D$65+0.04)*AF180)*EXP(-(LN(2)/$D$65+0.1)*AG180),IF(AD180=2,AJ$100*EXP(-(LN(2)/$D$65+0.04)*(VLOOKUP(($F$16-$F$15)-1,AC$100:AG180,4,FALSE)))*EXP(-(LN(2)/$D$65+0.1)*(VLOOKUP(($F$16-$F$15)-1,AC$100:AG180,5,FALSE)))*EXP(-(LN(2)/$D$65+0.04)*AF180)*EXP(-(LN(2)/$D$65+0.1)*AG180),IF(AD180=3,AJ$100*EXP(-(LN(2)/$D$65+0.04)*(VLOOKUP(($F$16-$F$15)-1,AC$100:AG180,4,FALSE)))*EXP(-(LN(2)/$D$65+0.1)*(VLOOKUP(($F$16-$F$15)-1,AC$100:AG180,5,FALSE)))*EXP(-(LN(2)/$D$65+0.04)*(VLOOKUP(($F$16-$F$15)*2-1,AC$100:AG180,4,FALSE)))*EXP(-(LN(2)/$D$65+0.1)*(VLOOKUP(($F$16-$F$15)*2-1,AC$100:AG180,5,FALSE)))*EXP(-(LN(2)/$D$65+0.04)*AF180)*EXP(-(LN(2)/$D$65+0.1)*AG180),"-"))),"-")</f>
        <v>-</v>
      </c>
      <c r="AK180" s="227">
        <f t="shared" si="137"/>
        <v>80</v>
      </c>
      <c r="AL180" s="226" t="str">
        <f t="shared" si="111"/>
        <v>-</v>
      </c>
      <c r="AM180" s="227" t="str">
        <f t="shared" si="138"/>
        <v>-</v>
      </c>
      <c r="AN180" s="227" t="str">
        <f t="shared" si="139"/>
        <v>-</v>
      </c>
      <c r="AO180" s="227" t="str">
        <f t="shared" si="112"/>
        <v>-</v>
      </c>
      <c r="AP180" s="273">
        <f t="shared" si="140"/>
        <v>0.1</v>
      </c>
      <c r="AQ180" s="271" t="str">
        <f>IFERROR(IF(AL179=1,AQ$100*EXP(-(LN(2)/$D$65+0.04)*AN179)*EXP(-(LN(2)/$D$65+0.1)*AO179),IF(AL179=2,AQ$100*EXP(-(LN(2)/$D$65+0.04)*(VLOOKUP(($F$16-$F$15)-1,AK$99:AO179,4,FALSE)))*EXP(-(LN(2)/$D$65+0.1)*(VLOOKUP(($F$16-$F$15)-1,AK$99:AO179,5,FALSE)))*EXP(-(LN(2)/$D$65+0.04)*AN179)*EXP(-(LN(2)/$D$65+0.1)*AO179),IF(AL179=3,AQ$100*EXP(-(LN(2)/$D$65+0.04)*(VLOOKUP(($F$16-$F$15)-1,AK$99:AO179,4,FALSE)))*EXP(-(LN(2)/$D$65+0.1)*(VLOOKUP(($F$16-$F$15)-1,AK$99:AO179,5,FALSE)))*EXP(-(LN(2)/$D$65+0.04)*(VLOOKUP(($F$16-$F$15)*2-1,AK$99:AO179,4,FALSE)))*EXP(-(LN(2)/$D$65+0.1)*(VLOOKUP(($F$16-$F$15)*2-1,AK$99:AO179,5,FALSE)))*EXP(-(LN(2)/$D$65+0.04)*AN179)*EXP(-(LN(2)/$D$65+0.1)*AO179),"-"))),"-")</f>
        <v>-</v>
      </c>
      <c r="AR180" s="271" t="str">
        <f>IFERROR(IF(AL180=1,AR$100*EXP(-(LN(2)/$D$65+0.04)*AN180)*EXP(-(LN(2)/$D$65+0.1)*AO180),IF(AL180=2,AR$100*EXP(-(LN(2)/$D$65+0.04)*(VLOOKUP(($F$16-$F$15)-1,AK$100:AO180,4,FALSE)))*EXP(-(LN(2)/$D$65+0.1)*(VLOOKUP(($F$16-$F$15)-1,AK$100:AO180,5,FALSE)))*EXP(-(LN(2)/$D$65+0.04)*AN180)*EXP(-(LN(2)/$D$65+0.1)*AO180),IF(AL180=3,AR$100*EXP(-(LN(2)/$D$65+0.04)*(VLOOKUP(($F$16-$F$15)-1,AK$100:AO180,4,FALSE)))*EXP(-(LN(2)/$D$65+0.1)*(VLOOKUP(($F$16-$F$15)-1,AK$100:AO180,5,FALSE)))*EXP(-(LN(2)/$D$65+0.04)*(VLOOKUP(($F$16-$F$15)*2-1,AK$100:AO180,4,FALSE)))*EXP(-(LN(2)/$D$65+0.1)*(VLOOKUP(($F$16-$F$15)*2-1,AK$100:AO180,5,FALSE)))*EXP(-(LN(2)/$D$65+0.04)*AN180)*EXP(-(LN(2)/$D$65+0.1)*AO180),"-"))),"-")</f>
        <v>-</v>
      </c>
      <c r="AS180" s="274">
        <f t="shared" si="113"/>
        <v>0</v>
      </c>
      <c r="AT180" s="274">
        <f t="shared" si="114"/>
        <v>0</v>
      </c>
      <c r="AU180" s="274">
        <f t="shared" si="115"/>
        <v>0</v>
      </c>
      <c r="AV180" s="190" t="str">
        <f>IF($B180&lt;$F$22,SUM($T$100:$T180),"")</f>
        <v/>
      </c>
      <c r="AW180" s="190" t="str">
        <f t="shared" si="116"/>
        <v>-</v>
      </c>
      <c r="AX180" s="190" t="str">
        <f t="shared" si="141"/>
        <v/>
      </c>
      <c r="AY180"/>
      <c r="AZ180" s="190" t="str">
        <f ca="1">IF(ISNUMBER(OFFSET(AV180,-$F$21,0)),SUM(OFFSET($T$100,$F$21,0):$T180),"")</f>
        <v/>
      </c>
      <c r="BA180" s="190" t="str">
        <f t="shared" ca="1" si="117"/>
        <v/>
      </c>
      <c r="BB180" s="190" t="str">
        <f t="shared" ca="1" si="70"/>
        <v/>
      </c>
      <c r="BC180" s="190"/>
      <c r="BD180" s="190" t="str">
        <f ca="1">IFERROR(IF(OR(ISNUMBER(I),ISNUMBER($F$14)),IF(AND($B180&gt;=($F$16-$F$15),$B180&lt;$F$22+($F$16-$F$15)),SUM(OFFSET($T$100,($F$16-$F$15),0):$T180),""),""),"")</f>
        <v/>
      </c>
      <c r="BE180" s="190" t="str">
        <f t="shared" ca="1" si="142"/>
        <v/>
      </c>
      <c r="BF180" s="190" t="str">
        <f t="shared" ca="1" si="143"/>
        <v/>
      </c>
      <c r="BG180"/>
      <c r="BH180" s="190" t="str">
        <f ca="1">IF(ISNUMBER(OFFSET(BD180,-$F$21,0)),SUM(OFFSET($T$100,($F$16-$F$15+$F$21),0):$T180),"")</f>
        <v/>
      </c>
      <c r="BI180" s="190" t="str">
        <f t="shared" ca="1" si="118"/>
        <v/>
      </c>
      <c r="BJ180" s="190" t="str">
        <f t="shared" ca="1" si="144"/>
        <v/>
      </c>
      <c r="BK180" s="190"/>
      <c r="BL180" s="190" t="str">
        <f ca="1">IFERROR(IF(OR(ISNUMBER(I),ISNUMBER($F$14)),IF(AND($B180&gt;=($F$17-$F$15),$B180&lt;$F$22+($F$17-$F$15)),SUM(OFFSET($T$100,($F$17-$F$15),0):$T180),""),""),"")</f>
        <v/>
      </c>
      <c r="BM180" s="190" t="str">
        <f t="shared" ca="1" si="119"/>
        <v/>
      </c>
      <c r="BN180" s="190" t="str">
        <f t="shared" ca="1" si="145"/>
        <v/>
      </c>
      <c r="BO180"/>
      <c r="BP180" s="190" t="str">
        <f ca="1">IF(ISNUMBER(OFFSET(BL180,-$F$21,0)),SUM(OFFSET($T$100,($F$17-$F$15+$F$21),0):$T180),"")</f>
        <v/>
      </c>
      <c r="BQ180" s="190" t="str">
        <f t="shared" ca="1" si="120"/>
        <v/>
      </c>
      <c r="BR180" s="190" t="str">
        <f t="shared" ca="1" si="146"/>
        <v/>
      </c>
      <c r="BS180" s="190"/>
      <c r="BT180"/>
      <c r="BU180"/>
      <c r="BV180"/>
      <c r="BY180" s="99"/>
      <c r="BZ180" s="99"/>
      <c r="CA180" s="280" t="str">
        <f t="shared" si="121"/>
        <v/>
      </c>
      <c r="CB180" s="71" t="str">
        <f t="shared" si="122"/>
        <v>-</v>
      </c>
      <c r="CC180" s="33"/>
      <c r="CD180" s="261" t="str">
        <f t="shared" si="123"/>
        <v/>
      </c>
      <c r="CE180" s="280" t="str">
        <f t="shared" si="124"/>
        <v/>
      </c>
      <c r="CF180" s="71" t="str">
        <f t="shared" ca="1" si="125"/>
        <v/>
      </c>
      <c r="CG180" s="33" t="str">
        <f t="shared" si="126"/>
        <v/>
      </c>
      <c r="CH180" s="261" t="str">
        <f t="shared" ca="1" si="127"/>
        <v/>
      </c>
      <c r="CI180" s="202"/>
      <c r="CJ180" s="99"/>
      <c r="CK180" s="99"/>
      <c r="CL180" s="99"/>
      <c r="CM180" s="99"/>
      <c r="CN180" s="99"/>
      <c r="CO180" s="99"/>
    </row>
    <row r="181" spans="2:93" ht="13.5" customHeight="1" x14ac:dyDescent="0.2">
      <c r="B181" s="262">
        <v>81</v>
      </c>
      <c r="C181" s="237" t="str">
        <f t="shared" si="91"/>
        <v/>
      </c>
      <c r="D181" s="237" t="str">
        <f t="shared" si="147"/>
        <v/>
      </c>
      <c r="E181" s="263" t="str">
        <f t="shared" si="128"/>
        <v/>
      </c>
      <c r="F181" s="264" t="str">
        <f t="shared" si="129"/>
        <v/>
      </c>
      <c r="G181" s="306" t="str">
        <f t="shared" si="130"/>
        <v/>
      </c>
      <c r="H181" s="240" t="str">
        <f t="shared" si="92"/>
        <v/>
      </c>
      <c r="I181" s="265" t="str">
        <f t="shared" si="93"/>
        <v/>
      </c>
      <c r="J181" s="265" t="str">
        <f t="shared" si="94"/>
        <v/>
      </c>
      <c r="K181" s="240" t="str">
        <f t="shared" si="95"/>
        <v/>
      </c>
      <c r="L181" s="265" t="str">
        <f t="shared" si="96"/>
        <v/>
      </c>
      <c r="M181" s="265" t="str">
        <f t="shared" si="97"/>
        <v/>
      </c>
      <c r="N181" s="240" t="str">
        <f t="shared" si="98"/>
        <v>-</v>
      </c>
      <c r="O181" s="265" t="str">
        <f t="shared" si="99"/>
        <v>-</v>
      </c>
      <c r="P181" s="265" t="str">
        <f t="shared" si="100"/>
        <v>-</v>
      </c>
      <c r="Q181" s="266" t="str">
        <f t="shared" si="101"/>
        <v>-</v>
      </c>
      <c r="R181" s="267" t="str">
        <f t="shared" si="102"/>
        <v>-</v>
      </c>
      <c r="S181" s="268" t="str">
        <f t="shared" si="103"/>
        <v>-</v>
      </c>
      <c r="T181" s="269" t="str">
        <f t="shared" si="104"/>
        <v/>
      </c>
      <c r="U181" s="221">
        <f t="shared" si="105"/>
        <v>81</v>
      </c>
      <c r="V181" s="220" t="str">
        <f t="shared" si="131"/>
        <v>-</v>
      </c>
      <c r="W181" s="221" t="str">
        <f t="shared" si="132"/>
        <v>-</v>
      </c>
      <c r="X181" s="221" t="str">
        <f t="shared" si="106"/>
        <v>-</v>
      </c>
      <c r="Y181" s="221" t="str">
        <f t="shared" si="107"/>
        <v>-</v>
      </c>
      <c r="Z181" s="270">
        <f t="shared" si="133"/>
        <v>0.1</v>
      </c>
      <c r="AA181" s="271" t="str">
        <f>IFERROR(IF(V180=1,AA$100*EXP(-(LN(2)/$D$65+0.04)*X180)*EXP(-(LN(2)/$D$65+0.1)*Y180),IF(V180=2,AA$100*EXP(-(LN(2)/$D$65+0.04)*(VLOOKUP(($F$16-$F$15)-1,U$99:Y180,4,FALSE)))*EXP(-(LN(2)/$D$65+0.1)*(VLOOKUP(($F$16-$F$15)-1,U$99:Y180,5,FALSE)))*EXP(-(LN(2)/$D$65+0.04)*X180)*EXP(-(LN(2)/$D$65+0.1)*Y180),IF(V180=3,AA$100*EXP(-(LN(2)/$D$65+0.04)*(VLOOKUP(($F$16-$F$15)-1,U$99:Y180,4,FALSE)))*EXP(-(LN(2)/$D$65+0.1)*(VLOOKUP(($F$16-$F$15)-1,U$99:Y180,5,FALSE)))*EXP(-(LN(2)/$D$65+0.04)*(VLOOKUP(($F$16-$F$15)*2-1,U$99:Y180,4,FALSE)))*EXP(-(LN(2)/$D$65+0.1)*(VLOOKUP(($F$16-$F$15)*2-1,U$99:Y180,5,FALSE)))*EXP(-(LN(2)/$D$65+0.04)*X180)*EXP(-(LN(2)/$D$65+0.1)*Y180),"-"))),"-")</f>
        <v>-</v>
      </c>
      <c r="AB181" s="271" t="str">
        <f>IFERROR(IF(V181=1,AB$100*EXP(-(LN(2)/$D$65+0.04)*X181)*EXP(-(LN(2)/$D$65+0.1)*Y181),IF(V181=2,AB$100*EXP(-(LN(2)/$D$65+0.04)*(VLOOKUP(($F$16-$F$15)-1,U$100:Y181,4,FALSE)))*EXP(-(LN(2)/$D$65+0.1)*(VLOOKUP(($F$16-$F$15)-1,U$100:Y181,5,FALSE)))*EXP(-(LN(2)/$D$65+0.04)*X181)*EXP(-(LN(2)/$D$65+0.1)*Y181),IF(V181=3,AB$100*EXP(-(LN(2)/$D$65+0.04)*(VLOOKUP(($F$16-$F$15)-1,U$100:Y181,4,FALSE)))*EXP(-(LN(2)/$D$65+0.1)*(VLOOKUP(($F$16-$F$15)-1,U$100:Y181,5,FALSE)))*EXP(-(LN(2)/$D$65+0.04)*(VLOOKUP(($F$16-$F$15)*2-1,U$100:Y181,4,FALSE)))*EXP(-(LN(2)/$D$65+0.1)*(VLOOKUP(($F$16-$F$15)*2-1,U$100:Y181,5,FALSE)))*EXP(-(LN(2)/$D$65+0.04)*X181)*EXP(-(LN(2)/$D$65+0.1)*Y181),"-"))),"-")</f>
        <v>-</v>
      </c>
      <c r="AC181" s="224">
        <f t="shared" si="134"/>
        <v>81</v>
      </c>
      <c r="AD181" s="223" t="str">
        <f t="shared" si="108"/>
        <v>-</v>
      </c>
      <c r="AE181" s="224" t="str">
        <f t="shared" si="135"/>
        <v>-</v>
      </c>
      <c r="AF181" s="224" t="str">
        <f t="shared" si="109"/>
        <v>-</v>
      </c>
      <c r="AG181" s="224" t="str">
        <f t="shared" si="110"/>
        <v>-</v>
      </c>
      <c r="AH181" s="272">
        <f t="shared" si="136"/>
        <v>0.1</v>
      </c>
      <c r="AI181" s="271" t="str">
        <f>IFERROR(IF(AD180=1,AI$100*EXP(-(LN(2)/$D$65+0.04)*AF180)*EXP(-(LN(2)/$D$65+0.1)*AG180),IF(AD180=2,AI$100*EXP(-(LN(2)/$D$65+0.04)*(VLOOKUP(($F$16-$F$15)-1,AC$99:AG180,4,FALSE)))*EXP(-(LN(2)/$D$65+0.1)*(VLOOKUP(($F$16-$F$15)-1,AC$99:AG180,5,FALSE)))*EXP(-(LN(2)/$D$65+0.04)*AF180)*EXP(-(LN(2)/$D$65+0.1)*AG180),IF(AD180=3,AI$100*EXP(-(LN(2)/$D$65+0.04)*(VLOOKUP(($F$16-$F$15)-1,AC$99:AG180,4,FALSE)))*EXP(-(LN(2)/$D$65+0.1)*(VLOOKUP(($F$16-$F$15)-1,AC$99:AG180,5,FALSE)))*EXP(-(LN(2)/$D$65+0.04)*(VLOOKUP(($F$16-$F$15)*2-1,AC$99:AG180,4,FALSE)))*EXP(-(LN(2)/$D$65+0.1)*(VLOOKUP(($F$16-$F$15)*2-1,AC$99:AG180,5,FALSE)))*EXP(-(LN(2)/$D$65+0.04)*AF180)*EXP(-(LN(2)/$D$65+0.1)*AG180),"-"))),"-")</f>
        <v>-</v>
      </c>
      <c r="AJ181" s="271" t="str">
        <f>IFERROR(IF(AD181=1,AJ$100*EXP(-(LN(2)/$D$65+0.04)*AF181)*EXP(-(LN(2)/$D$65+0.1)*AG181),IF(AD181=2,AJ$100*EXP(-(LN(2)/$D$65+0.04)*(VLOOKUP(($F$16-$F$15)-1,AC$100:AG181,4,FALSE)))*EXP(-(LN(2)/$D$65+0.1)*(VLOOKUP(($F$16-$F$15)-1,AC$100:AG181,5,FALSE)))*EXP(-(LN(2)/$D$65+0.04)*AF181)*EXP(-(LN(2)/$D$65+0.1)*AG181),IF(AD181=3,AJ$100*EXP(-(LN(2)/$D$65+0.04)*(VLOOKUP(($F$16-$F$15)-1,AC$100:AG181,4,FALSE)))*EXP(-(LN(2)/$D$65+0.1)*(VLOOKUP(($F$16-$F$15)-1,AC$100:AG181,5,FALSE)))*EXP(-(LN(2)/$D$65+0.04)*(VLOOKUP(($F$16-$F$15)*2-1,AC$100:AG181,4,FALSE)))*EXP(-(LN(2)/$D$65+0.1)*(VLOOKUP(($F$16-$F$15)*2-1,AC$100:AG181,5,FALSE)))*EXP(-(LN(2)/$D$65+0.04)*AF181)*EXP(-(LN(2)/$D$65+0.1)*AG181),"-"))),"-")</f>
        <v>-</v>
      </c>
      <c r="AK181" s="227">
        <f t="shared" si="137"/>
        <v>81</v>
      </c>
      <c r="AL181" s="226" t="str">
        <f t="shared" si="111"/>
        <v>-</v>
      </c>
      <c r="AM181" s="227" t="str">
        <f t="shared" si="138"/>
        <v>-</v>
      </c>
      <c r="AN181" s="227" t="str">
        <f t="shared" si="139"/>
        <v>-</v>
      </c>
      <c r="AO181" s="227" t="str">
        <f t="shared" si="112"/>
        <v>-</v>
      </c>
      <c r="AP181" s="273">
        <f t="shared" si="140"/>
        <v>0.1</v>
      </c>
      <c r="AQ181" s="271" t="str">
        <f>IFERROR(IF(AL180=1,AQ$100*EXP(-(LN(2)/$D$65+0.04)*AN180)*EXP(-(LN(2)/$D$65+0.1)*AO180),IF(AL180=2,AQ$100*EXP(-(LN(2)/$D$65+0.04)*(VLOOKUP(($F$16-$F$15)-1,AK$99:AO180,4,FALSE)))*EXP(-(LN(2)/$D$65+0.1)*(VLOOKUP(($F$16-$F$15)-1,AK$99:AO180,5,FALSE)))*EXP(-(LN(2)/$D$65+0.04)*AN180)*EXP(-(LN(2)/$D$65+0.1)*AO180),IF(AL180=3,AQ$100*EXP(-(LN(2)/$D$65+0.04)*(VLOOKUP(($F$16-$F$15)-1,AK$99:AO180,4,FALSE)))*EXP(-(LN(2)/$D$65+0.1)*(VLOOKUP(($F$16-$F$15)-1,AK$99:AO180,5,FALSE)))*EXP(-(LN(2)/$D$65+0.04)*(VLOOKUP(($F$16-$F$15)*2-1,AK$99:AO180,4,FALSE)))*EXP(-(LN(2)/$D$65+0.1)*(VLOOKUP(($F$16-$F$15)*2-1,AK$99:AO180,5,FALSE)))*EXP(-(LN(2)/$D$65+0.04)*AN180)*EXP(-(LN(2)/$D$65+0.1)*AO180),"-"))),"-")</f>
        <v>-</v>
      </c>
      <c r="AR181" s="271" t="str">
        <f>IFERROR(IF(AL181=1,AR$100*EXP(-(LN(2)/$D$65+0.04)*AN181)*EXP(-(LN(2)/$D$65+0.1)*AO181),IF(AL181=2,AR$100*EXP(-(LN(2)/$D$65+0.04)*(VLOOKUP(($F$16-$F$15)-1,AK$100:AO181,4,FALSE)))*EXP(-(LN(2)/$D$65+0.1)*(VLOOKUP(($F$16-$F$15)-1,AK$100:AO181,5,FALSE)))*EXP(-(LN(2)/$D$65+0.04)*AN181)*EXP(-(LN(2)/$D$65+0.1)*AO181),IF(AL181=3,AR$100*EXP(-(LN(2)/$D$65+0.04)*(VLOOKUP(($F$16-$F$15)-1,AK$100:AO181,4,FALSE)))*EXP(-(LN(2)/$D$65+0.1)*(VLOOKUP(($F$16-$F$15)-1,AK$100:AO181,5,FALSE)))*EXP(-(LN(2)/$D$65+0.04)*(VLOOKUP(($F$16-$F$15)*2-1,AK$100:AO181,4,FALSE)))*EXP(-(LN(2)/$D$65+0.1)*(VLOOKUP(($F$16-$F$15)*2-1,AK$100:AO181,5,FALSE)))*EXP(-(LN(2)/$D$65+0.04)*AN181)*EXP(-(LN(2)/$D$65+0.1)*AO181),"-"))),"-")</f>
        <v>-</v>
      </c>
      <c r="AS181" s="274">
        <f t="shared" si="113"/>
        <v>0</v>
      </c>
      <c r="AT181" s="274">
        <f t="shared" si="114"/>
        <v>0</v>
      </c>
      <c r="AU181" s="274">
        <f t="shared" si="115"/>
        <v>0</v>
      </c>
      <c r="AV181" s="190" t="str">
        <f>IF($B181&lt;$F$22,SUM($T$100:$T181),"")</f>
        <v/>
      </c>
      <c r="AW181" s="190" t="str">
        <f t="shared" si="116"/>
        <v>-</v>
      </c>
      <c r="AX181" s="190" t="str">
        <f t="shared" si="141"/>
        <v/>
      </c>
      <c r="AY181"/>
      <c r="AZ181" s="190" t="str">
        <f ca="1">IF(ISNUMBER(OFFSET(AV181,-$F$21,0)),SUM(OFFSET($T$100,$F$21,0):$T181),"")</f>
        <v/>
      </c>
      <c r="BA181" s="190" t="str">
        <f t="shared" ca="1" si="117"/>
        <v/>
      </c>
      <c r="BB181" s="190" t="str">
        <f t="shared" ca="1" si="70"/>
        <v/>
      </c>
      <c r="BC181" s="190"/>
      <c r="BD181" s="190" t="str">
        <f ca="1">IFERROR(IF(OR(ISNUMBER(I),ISNUMBER($F$14)),IF(AND($B181&gt;=($F$16-$F$15),$B181&lt;$F$22+($F$16-$F$15)),SUM(OFFSET($T$100,($F$16-$F$15),0):$T181),""),""),"")</f>
        <v/>
      </c>
      <c r="BE181" s="190" t="str">
        <f t="shared" ca="1" si="142"/>
        <v/>
      </c>
      <c r="BF181" s="190" t="str">
        <f t="shared" ca="1" si="143"/>
        <v/>
      </c>
      <c r="BG181"/>
      <c r="BH181" s="190" t="str">
        <f ca="1">IF(ISNUMBER(OFFSET(BD181,-$F$21,0)),SUM(OFFSET($T$100,($F$16-$F$15+$F$21),0):$T181),"")</f>
        <v/>
      </c>
      <c r="BI181" s="190" t="str">
        <f t="shared" ca="1" si="118"/>
        <v/>
      </c>
      <c r="BJ181" s="190" t="str">
        <f t="shared" ca="1" si="144"/>
        <v/>
      </c>
      <c r="BK181" s="190"/>
      <c r="BL181" s="190" t="str">
        <f ca="1">IFERROR(IF(OR(ISNUMBER(I),ISNUMBER($F$14)),IF(AND($B181&gt;=($F$17-$F$15),$B181&lt;$F$22+($F$17-$F$15)),SUM(OFFSET($T$100,($F$17-$F$15),0):$T181),""),""),"")</f>
        <v/>
      </c>
      <c r="BM181" s="190" t="str">
        <f t="shared" ca="1" si="119"/>
        <v/>
      </c>
      <c r="BN181" s="190" t="str">
        <f t="shared" ca="1" si="145"/>
        <v/>
      </c>
      <c r="BO181"/>
      <c r="BP181" s="190" t="str">
        <f ca="1">IF(ISNUMBER(OFFSET(BL181,-$F$21,0)),SUM(OFFSET($T$100,($F$17-$F$15+$F$21),0):$T181),"")</f>
        <v/>
      </c>
      <c r="BQ181" s="190" t="str">
        <f t="shared" ca="1" si="120"/>
        <v/>
      </c>
      <c r="BR181" s="190" t="str">
        <f t="shared" ca="1" si="146"/>
        <v/>
      </c>
      <c r="BS181" s="190"/>
      <c r="BT181"/>
      <c r="BU181"/>
      <c r="BV181"/>
      <c r="BY181" s="99"/>
      <c r="BZ181" s="99"/>
      <c r="CA181" s="280" t="str">
        <f t="shared" si="121"/>
        <v/>
      </c>
      <c r="CB181" s="71" t="str">
        <f t="shared" si="122"/>
        <v>-</v>
      </c>
      <c r="CC181" s="33"/>
      <c r="CD181" s="261" t="str">
        <f t="shared" si="123"/>
        <v/>
      </c>
      <c r="CE181" s="280" t="str">
        <f t="shared" si="124"/>
        <v/>
      </c>
      <c r="CF181" s="71" t="str">
        <f t="shared" ca="1" si="125"/>
        <v/>
      </c>
      <c r="CG181" s="33" t="str">
        <f t="shared" si="126"/>
        <v/>
      </c>
      <c r="CH181" s="261" t="str">
        <f t="shared" ca="1" si="127"/>
        <v/>
      </c>
      <c r="CI181" s="202"/>
      <c r="CJ181" s="99"/>
      <c r="CK181" s="99"/>
      <c r="CL181" s="99"/>
      <c r="CM181" s="99"/>
      <c r="CN181" s="99"/>
      <c r="CO181" s="99"/>
    </row>
    <row r="182" spans="2:93" ht="13.5" customHeight="1" x14ac:dyDescent="0.2">
      <c r="B182" s="262">
        <v>82</v>
      </c>
      <c r="C182" s="237" t="str">
        <f t="shared" si="91"/>
        <v/>
      </c>
      <c r="D182" s="237" t="str">
        <f t="shared" si="147"/>
        <v/>
      </c>
      <c r="E182" s="263" t="str">
        <f t="shared" si="128"/>
        <v/>
      </c>
      <c r="F182" s="264" t="str">
        <f t="shared" si="129"/>
        <v/>
      </c>
      <c r="G182" s="306" t="str">
        <f t="shared" si="130"/>
        <v/>
      </c>
      <c r="H182" s="240" t="str">
        <f t="shared" si="92"/>
        <v/>
      </c>
      <c r="I182" s="265" t="str">
        <f t="shared" si="93"/>
        <v/>
      </c>
      <c r="J182" s="265" t="str">
        <f t="shared" si="94"/>
        <v/>
      </c>
      <c r="K182" s="240" t="str">
        <f t="shared" si="95"/>
        <v/>
      </c>
      <c r="L182" s="265" t="str">
        <f t="shared" si="96"/>
        <v/>
      </c>
      <c r="M182" s="265" t="str">
        <f t="shared" si="97"/>
        <v/>
      </c>
      <c r="N182" s="240" t="str">
        <f t="shared" si="98"/>
        <v>-</v>
      </c>
      <c r="O182" s="265" t="str">
        <f t="shared" si="99"/>
        <v>-</v>
      </c>
      <c r="P182" s="265" t="str">
        <f t="shared" si="100"/>
        <v>-</v>
      </c>
      <c r="Q182" s="266" t="str">
        <f t="shared" si="101"/>
        <v>-</v>
      </c>
      <c r="R182" s="267" t="str">
        <f t="shared" si="102"/>
        <v>-</v>
      </c>
      <c r="S182" s="268" t="str">
        <f t="shared" si="103"/>
        <v>-</v>
      </c>
      <c r="T182" s="269" t="str">
        <f t="shared" si="104"/>
        <v/>
      </c>
      <c r="U182" s="221">
        <f t="shared" si="105"/>
        <v>82</v>
      </c>
      <c r="V182" s="220" t="str">
        <f t="shared" si="131"/>
        <v>-</v>
      </c>
      <c r="W182" s="221" t="str">
        <f t="shared" si="132"/>
        <v>-</v>
      </c>
      <c r="X182" s="221" t="str">
        <f t="shared" si="106"/>
        <v>-</v>
      </c>
      <c r="Y182" s="221" t="str">
        <f t="shared" si="107"/>
        <v>-</v>
      </c>
      <c r="Z182" s="270">
        <f t="shared" si="133"/>
        <v>0.1</v>
      </c>
      <c r="AA182" s="271" t="str">
        <f>IFERROR(IF(V181=1,AA$100*EXP(-(LN(2)/$D$65+0.04)*X181)*EXP(-(LN(2)/$D$65+0.1)*Y181),IF(V181=2,AA$100*EXP(-(LN(2)/$D$65+0.04)*(VLOOKUP(($F$16-$F$15)-1,U$99:Y181,4,FALSE)))*EXP(-(LN(2)/$D$65+0.1)*(VLOOKUP(($F$16-$F$15)-1,U$99:Y181,5,FALSE)))*EXP(-(LN(2)/$D$65+0.04)*X181)*EXP(-(LN(2)/$D$65+0.1)*Y181),IF(V181=3,AA$100*EXP(-(LN(2)/$D$65+0.04)*(VLOOKUP(($F$16-$F$15)-1,U$99:Y181,4,FALSE)))*EXP(-(LN(2)/$D$65+0.1)*(VLOOKUP(($F$16-$F$15)-1,U$99:Y181,5,FALSE)))*EXP(-(LN(2)/$D$65+0.04)*(VLOOKUP(($F$16-$F$15)*2-1,U$99:Y181,4,FALSE)))*EXP(-(LN(2)/$D$65+0.1)*(VLOOKUP(($F$16-$F$15)*2-1,U$99:Y181,5,FALSE)))*EXP(-(LN(2)/$D$65+0.04)*X181)*EXP(-(LN(2)/$D$65+0.1)*Y181),"-"))),"-")</f>
        <v>-</v>
      </c>
      <c r="AB182" s="271" t="str">
        <f>IFERROR(IF(V182=1,AB$100*EXP(-(LN(2)/$D$65+0.04)*X182)*EXP(-(LN(2)/$D$65+0.1)*Y182),IF(V182=2,AB$100*EXP(-(LN(2)/$D$65+0.04)*(VLOOKUP(($F$16-$F$15)-1,U$100:Y182,4,FALSE)))*EXP(-(LN(2)/$D$65+0.1)*(VLOOKUP(($F$16-$F$15)-1,U$100:Y182,5,FALSE)))*EXP(-(LN(2)/$D$65+0.04)*X182)*EXP(-(LN(2)/$D$65+0.1)*Y182),IF(V182=3,AB$100*EXP(-(LN(2)/$D$65+0.04)*(VLOOKUP(($F$16-$F$15)-1,U$100:Y182,4,FALSE)))*EXP(-(LN(2)/$D$65+0.1)*(VLOOKUP(($F$16-$F$15)-1,U$100:Y182,5,FALSE)))*EXP(-(LN(2)/$D$65+0.04)*(VLOOKUP(($F$16-$F$15)*2-1,U$100:Y182,4,FALSE)))*EXP(-(LN(2)/$D$65+0.1)*(VLOOKUP(($F$16-$F$15)*2-1,U$100:Y182,5,FALSE)))*EXP(-(LN(2)/$D$65+0.04)*X182)*EXP(-(LN(2)/$D$65+0.1)*Y182),"-"))),"-")</f>
        <v>-</v>
      </c>
      <c r="AC182" s="224">
        <f t="shared" si="134"/>
        <v>82</v>
      </c>
      <c r="AD182" s="223" t="str">
        <f t="shared" si="108"/>
        <v>-</v>
      </c>
      <c r="AE182" s="224" t="str">
        <f t="shared" si="135"/>
        <v>-</v>
      </c>
      <c r="AF182" s="224" t="str">
        <f t="shared" si="109"/>
        <v>-</v>
      </c>
      <c r="AG182" s="224" t="str">
        <f t="shared" si="110"/>
        <v>-</v>
      </c>
      <c r="AH182" s="272">
        <f t="shared" si="136"/>
        <v>0.1</v>
      </c>
      <c r="AI182" s="271" t="str">
        <f>IFERROR(IF(AD181=1,AI$100*EXP(-(LN(2)/$D$65+0.04)*AF181)*EXP(-(LN(2)/$D$65+0.1)*AG181),IF(AD181=2,AI$100*EXP(-(LN(2)/$D$65+0.04)*(VLOOKUP(($F$16-$F$15)-1,AC$99:AG181,4,FALSE)))*EXP(-(LN(2)/$D$65+0.1)*(VLOOKUP(($F$16-$F$15)-1,AC$99:AG181,5,FALSE)))*EXP(-(LN(2)/$D$65+0.04)*AF181)*EXP(-(LN(2)/$D$65+0.1)*AG181),IF(AD181=3,AI$100*EXP(-(LN(2)/$D$65+0.04)*(VLOOKUP(($F$16-$F$15)-1,AC$99:AG181,4,FALSE)))*EXP(-(LN(2)/$D$65+0.1)*(VLOOKUP(($F$16-$F$15)-1,AC$99:AG181,5,FALSE)))*EXP(-(LN(2)/$D$65+0.04)*(VLOOKUP(($F$16-$F$15)*2-1,AC$99:AG181,4,FALSE)))*EXP(-(LN(2)/$D$65+0.1)*(VLOOKUP(($F$16-$F$15)*2-1,AC$99:AG181,5,FALSE)))*EXP(-(LN(2)/$D$65+0.04)*AF181)*EXP(-(LN(2)/$D$65+0.1)*AG181),"-"))),"-")</f>
        <v>-</v>
      </c>
      <c r="AJ182" s="271" t="str">
        <f>IFERROR(IF(AD182=1,AJ$100*EXP(-(LN(2)/$D$65+0.04)*AF182)*EXP(-(LN(2)/$D$65+0.1)*AG182),IF(AD182=2,AJ$100*EXP(-(LN(2)/$D$65+0.04)*(VLOOKUP(($F$16-$F$15)-1,AC$100:AG182,4,FALSE)))*EXP(-(LN(2)/$D$65+0.1)*(VLOOKUP(($F$16-$F$15)-1,AC$100:AG182,5,FALSE)))*EXP(-(LN(2)/$D$65+0.04)*AF182)*EXP(-(LN(2)/$D$65+0.1)*AG182),IF(AD182=3,AJ$100*EXP(-(LN(2)/$D$65+0.04)*(VLOOKUP(($F$16-$F$15)-1,AC$100:AG182,4,FALSE)))*EXP(-(LN(2)/$D$65+0.1)*(VLOOKUP(($F$16-$F$15)-1,AC$100:AG182,5,FALSE)))*EXP(-(LN(2)/$D$65+0.04)*(VLOOKUP(($F$16-$F$15)*2-1,AC$100:AG182,4,FALSE)))*EXP(-(LN(2)/$D$65+0.1)*(VLOOKUP(($F$16-$F$15)*2-1,AC$100:AG182,5,FALSE)))*EXP(-(LN(2)/$D$65+0.04)*AF182)*EXP(-(LN(2)/$D$65+0.1)*AG182),"-"))),"-")</f>
        <v>-</v>
      </c>
      <c r="AK182" s="227">
        <f t="shared" si="137"/>
        <v>82</v>
      </c>
      <c r="AL182" s="226" t="str">
        <f t="shared" si="111"/>
        <v>-</v>
      </c>
      <c r="AM182" s="227" t="str">
        <f t="shared" si="138"/>
        <v>-</v>
      </c>
      <c r="AN182" s="227" t="str">
        <f t="shared" si="139"/>
        <v>-</v>
      </c>
      <c r="AO182" s="227" t="str">
        <f t="shared" si="112"/>
        <v>-</v>
      </c>
      <c r="AP182" s="273">
        <f t="shared" si="140"/>
        <v>0.1</v>
      </c>
      <c r="AQ182" s="271" t="str">
        <f>IFERROR(IF(AL181=1,AQ$100*EXP(-(LN(2)/$D$65+0.04)*AN181)*EXP(-(LN(2)/$D$65+0.1)*AO181),IF(AL181=2,AQ$100*EXP(-(LN(2)/$D$65+0.04)*(VLOOKUP(($F$16-$F$15)-1,AK$99:AO181,4,FALSE)))*EXP(-(LN(2)/$D$65+0.1)*(VLOOKUP(($F$16-$F$15)-1,AK$99:AO181,5,FALSE)))*EXP(-(LN(2)/$D$65+0.04)*AN181)*EXP(-(LN(2)/$D$65+0.1)*AO181),IF(AL181=3,AQ$100*EXP(-(LN(2)/$D$65+0.04)*(VLOOKUP(($F$16-$F$15)-1,AK$99:AO181,4,FALSE)))*EXP(-(LN(2)/$D$65+0.1)*(VLOOKUP(($F$16-$F$15)-1,AK$99:AO181,5,FALSE)))*EXP(-(LN(2)/$D$65+0.04)*(VLOOKUP(($F$16-$F$15)*2-1,AK$99:AO181,4,FALSE)))*EXP(-(LN(2)/$D$65+0.1)*(VLOOKUP(($F$16-$F$15)*2-1,AK$99:AO181,5,FALSE)))*EXP(-(LN(2)/$D$65+0.04)*AN181)*EXP(-(LN(2)/$D$65+0.1)*AO181),"-"))),"-")</f>
        <v>-</v>
      </c>
      <c r="AR182" s="271" t="str">
        <f>IFERROR(IF(AL182=1,AR$100*EXP(-(LN(2)/$D$65+0.04)*AN182)*EXP(-(LN(2)/$D$65+0.1)*AO182),IF(AL182=2,AR$100*EXP(-(LN(2)/$D$65+0.04)*(VLOOKUP(($F$16-$F$15)-1,AK$100:AO182,4,FALSE)))*EXP(-(LN(2)/$D$65+0.1)*(VLOOKUP(($F$16-$F$15)-1,AK$100:AO182,5,FALSE)))*EXP(-(LN(2)/$D$65+0.04)*AN182)*EXP(-(LN(2)/$D$65+0.1)*AO182),IF(AL182=3,AR$100*EXP(-(LN(2)/$D$65+0.04)*(VLOOKUP(($F$16-$F$15)-1,AK$100:AO182,4,FALSE)))*EXP(-(LN(2)/$D$65+0.1)*(VLOOKUP(($F$16-$F$15)-1,AK$100:AO182,5,FALSE)))*EXP(-(LN(2)/$D$65+0.04)*(VLOOKUP(($F$16-$F$15)*2-1,AK$100:AO182,4,FALSE)))*EXP(-(LN(2)/$D$65+0.1)*(VLOOKUP(($F$16-$F$15)*2-1,AK$100:AO182,5,FALSE)))*EXP(-(LN(2)/$D$65+0.04)*AN182)*EXP(-(LN(2)/$D$65+0.1)*AO182),"-"))),"-")</f>
        <v>-</v>
      </c>
      <c r="AS182" s="274">
        <f t="shared" si="113"/>
        <v>0</v>
      </c>
      <c r="AT182" s="274">
        <f t="shared" si="114"/>
        <v>0</v>
      </c>
      <c r="AU182" s="274">
        <f t="shared" si="115"/>
        <v>0</v>
      </c>
      <c r="AV182" s="190" t="str">
        <f>IF($B182&lt;$F$22,SUM($T$100:$T182),"")</f>
        <v/>
      </c>
      <c r="AW182" s="190" t="str">
        <f t="shared" si="116"/>
        <v>-</v>
      </c>
      <c r="AX182" s="190" t="str">
        <f t="shared" si="141"/>
        <v/>
      </c>
      <c r="AY182"/>
      <c r="AZ182" s="190" t="str">
        <f ca="1">IF(ISNUMBER(OFFSET(AV182,-$F$21,0)),SUM(OFFSET($T$100,$F$21,0):$T182),"")</f>
        <v/>
      </c>
      <c r="BA182" s="190" t="str">
        <f t="shared" ca="1" si="117"/>
        <v/>
      </c>
      <c r="BB182" s="190" t="str">
        <f t="shared" ca="1" si="70"/>
        <v/>
      </c>
      <c r="BC182" s="190"/>
      <c r="BD182" s="190" t="str">
        <f ca="1">IFERROR(IF(OR(ISNUMBER(I),ISNUMBER($F$14)),IF(AND($B182&gt;=($F$16-$F$15),$B182&lt;$F$22+($F$16-$F$15)),SUM(OFFSET($T$100,($F$16-$F$15),0):$T182),""),""),"")</f>
        <v/>
      </c>
      <c r="BE182" s="190" t="str">
        <f t="shared" ca="1" si="142"/>
        <v/>
      </c>
      <c r="BF182" s="190" t="str">
        <f t="shared" ca="1" si="143"/>
        <v/>
      </c>
      <c r="BG182"/>
      <c r="BH182" s="190" t="str">
        <f ca="1">IF(ISNUMBER(OFFSET(BD182,-$F$21,0)),SUM(OFFSET($T$100,($F$16-$F$15+$F$21),0):$T182),"")</f>
        <v/>
      </c>
      <c r="BI182" s="190" t="str">
        <f t="shared" ca="1" si="118"/>
        <v/>
      </c>
      <c r="BJ182" s="190" t="str">
        <f t="shared" ca="1" si="144"/>
        <v/>
      </c>
      <c r="BK182" s="190"/>
      <c r="BL182" s="190" t="str">
        <f ca="1">IFERROR(IF(OR(ISNUMBER(I),ISNUMBER($F$14)),IF(AND($B182&gt;=($F$17-$F$15),$B182&lt;$F$22+($F$17-$F$15)),SUM(OFFSET($T$100,($F$17-$F$15),0):$T182),""),""),"")</f>
        <v/>
      </c>
      <c r="BM182" s="190" t="str">
        <f t="shared" ca="1" si="119"/>
        <v/>
      </c>
      <c r="BN182" s="190" t="str">
        <f t="shared" ca="1" si="145"/>
        <v/>
      </c>
      <c r="BO182"/>
      <c r="BP182" s="190" t="str">
        <f ca="1">IF(ISNUMBER(OFFSET(BL182,-$F$21,0)),SUM(OFFSET($T$100,($F$17-$F$15+$F$21),0):$T182),"")</f>
        <v/>
      </c>
      <c r="BQ182" s="190" t="str">
        <f t="shared" ca="1" si="120"/>
        <v/>
      </c>
      <c r="BR182" s="190" t="str">
        <f t="shared" ca="1" si="146"/>
        <v/>
      </c>
      <c r="BS182" s="190"/>
      <c r="BT182"/>
      <c r="BU182"/>
      <c r="BV182"/>
      <c r="BY182" s="99"/>
      <c r="BZ182" s="99"/>
      <c r="CA182" s="280" t="str">
        <f t="shared" si="121"/>
        <v/>
      </c>
      <c r="CB182" s="71" t="str">
        <f t="shared" si="122"/>
        <v>-</v>
      </c>
      <c r="CC182" s="33"/>
      <c r="CD182" s="261" t="str">
        <f t="shared" si="123"/>
        <v/>
      </c>
      <c r="CE182" s="280" t="str">
        <f t="shared" si="124"/>
        <v/>
      </c>
      <c r="CF182" s="71" t="str">
        <f t="shared" ca="1" si="125"/>
        <v/>
      </c>
      <c r="CG182" s="33" t="str">
        <f t="shared" si="126"/>
        <v/>
      </c>
      <c r="CH182" s="261" t="str">
        <f t="shared" ca="1" si="127"/>
        <v/>
      </c>
      <c r="CI182" s="202"/>
      <c r="CJ182" s="99"/>
      <c r="CK182" s="99"/>
      <c r="CL182" s="99"/>
      <c r="CM182" s="99"/>
      <c r="CN182" s="99"/>
      <c r="CO182" s="99"/>
    </row>
    <row r="183" spans="2:93" ht="13.5" customHeight="1" x14ac:dyDescent="0.2">
      <c r="B183" s="262">
        <v>83</v>
      </c>
      <c r="C183" s="237" t="str">
        <f t="shared" si="91"/>
        <v/>
      </c>
      <c r="D183" s="237" t="str">
        <f t="shared" si="147"/>
        <v/>
      </c>
      <c r="E183" s="263" t="str">
        <f t="shared" si="128"/>
        <v/>
      </c>
      <c r="F183" s="264" t="str">
        <f t="shared" si="129"/>
        <v/>
      </c>
      <c r="G183" s="306" t="str">
        <f t="shared" si="130"/>
        <v/>
      </c>
      <c r="H183" s="240" t="str">
        <f t="shared" si="92"/>
        <v/>
      </c>
      <c r="I183" s="265" t="str">
        <f t="shared" si="93"/>
        <v/>
      </c>
      <c r="J183" s="265" t="str">
        <f t="shared" si="94"/>
        <v/>
      </c>
      <c r="K183" s="240" t="str">
        <f t="shared" si="95"/>
        <v/>
      </c>
      <c r="L183" s="265" t="str">
        <f t="shared" si="96"/>
        <v/>
      </c>
      <c r="M183" s="265" t="str">
        <f t="shared" si="97"/>
        <v/>
      </c>
      <c r="N183" s="240" t="str">
        <f t="shared" si="98"/>
        <v>-</v>
      </c>
      <c r="O183" s="265" t="str">
        <f t="shared" si="99"/>
        <v>-</v>
      </c>
      <c r="P183" s="265" t="str">
        <f t="shared" si="100"/>
        <v>-</v>
      </c>
      <c r="Q183" s="266" t="str">
        <f t="shared" si="101"/>
        <v>-</v>
      </c>
      <c r="R183" s="267" t="str">
        <f t="shared" si="102"/>
        <v>-</v>
      </c>
      <c r="S183" s="268" t="str">
        <f t="shared" si="103"/>
        <v>-</v>
      </c>
      <c r="T183" s="269" t="str">
        <f t="shared" si="104"/>
        <v/>
      </c>
      <c r="U183" s="221">
        <f t="shared" si="105"/>
        <v>83</v>
      </c>
      <c r="V183" s="220" t="str">
        <f t="shared" si="131"/>
        <v>-</v>
      </c>
      <c r="W183" s="221" t="str">
        <f t="shared" si="132"/>
        <v>-</v>
      </c>
      <c r="X183" s="221" t="str">
        <f t="shared" si="106"/>
        <v>-</v>
      </c>
      <c r="Y183" s="221" t="str">
        <f t="shared" si="107"/>
        <v>-</v>
      </c>
      <c r="Z183" s="270">
        <f t="shared" si="133"/>
        <v>0.1</v>
      </c>
      <c r="AA183" s="271" t="str">
        <f>IFERROR(IF(V182=1,AA$100*EXP(-(LN(2)/$D$65+0.04)*X182)*EXP(-(LN(2)/$D$65+0.1)*Y182),IF(V182=2,AA$100*EXP(-(LN(2)/$D$65+0.04)*(VLOOKUP(($F$16-$F$15)-1,U$99:Y182,4,FALSE)))*EXP(-(LN(2)/$D$65+0.1)*(VLOOKUP(($F$16-$F$15)-1,U$99:Y182,5,FALSE)))*EXP(-(LN(2)/$D$65+0.04)*X182)*EXP(-(LN(2)/$D$65+0.1)*Y182),IF(V182=3,AA$100*EXP(-(LN(2)/$D$65+0.04)*(VLOOKUP(($F$16-$F$15)-1,U$99:Y182,4,FALSE)))*EXP(-(LN(2)/$D$65+0.1)*(VLOOKUP(($F$16-$F$15)-1,U$99:Y182,5,FALSE)))*EXP(-(LN(2)/$D$65+0.04)*(VLOOKUP(($F$16-$F$15)*2-1,U$99:Y182,4,FALSE)))*EXP(-(LN(2)/$D$65+0.1)*(VLOOKUP(($F$16-$F$15)*2-1,U$99:Y182,5,FALSE)))*EXP(-(LN(2)/$D$65+0.04)*X182)*EXP(-(LN(2)/$D$65+0.1)*Y182),"-"))),"-")</f>
        <v>-</v>
      </c>
      <c r="AB183" s="271" t="str">
        <f>IFERROR(IF(V183=1,AB$100*EXP(-(LN(2)/$D$65+0.04)*X183)*EXP(-(LN(2)/$D$65+0.1)*Y183),IF(V183=2,AB$100*EXP(-(LN(2)/$D$65+0.04)*(VLOOKUP(($F$16-$F$15)-1,U$100:Y183,4,FALSE)))*EXP(-(LN(2)/$D$65+0.1)*(VLOOKUP(($F$16-$F$15)-1,U$100:Y183,5,FALSE)))*EXP(-(LN(2)/$D$65+0.04)*X183)*EXP(-(LN(2)/$D$65+0.1)*Y183),IF(V183=3,AB$100*EXP(-(LN(2)/$D$65+0.04)*(VLOOKUP(($F$16-$F$15)-1,U$100:Y183,4,FALSE)))*EXP(-(LN(2)/$D$65+0.1)*(VLOOKUP(($F$16-$F$15)-1,U$100:Y183,5,FALSE)))*EXP(-(LN(2)/$D$65+0.04)*(VLOOKUP(($F$16-$F$15)*2-1,U$100:Y183,4,FALSE)))*EXP(-(LN(2)/$D$65+0.1)*(VLOOKUP(($F$16-$F$15)*2-1,U$100:Y183,5,FALSE)))*EXP(-(LN(2)/$D$65+0.04)*X183)*EXP(-(LN(2)/$D$65+0.1)*Y183),"-"))),"-")</f>
        <v>-</v>
      </c>
      <c r="AC183" s="224">
        <f t="shared" si="134"/>
        <v>83</v>
      </c>
      <c r="AD183" s="223" t="str">
        <f t="shared" si="108"/>
        <v>-</v>
      </c>
      <c r="AE183" s="224" t="str">
        <f t="shared" si="135"/>
        <v>-</v>
      </c>
      <c r="AF183" s="224" t="str">
        <f t="shared" si="109"/>
        <v>-</v>
      </c>
      <c r="AG183" s="224" t="str">
        <f t="shared" si="110"/>
        <v>-</v>
      </c>
      <c r="AH183" s="272">
        <f t="shared" si="136"/>
        <v>0.1</v>
      </c>
      <c r="AI183" s="271" t="str">
        <f>IFERROR(IF(AD182=1,AI$100*EXP(-(LN(2)/$D$65+0.04)*AF182)*EXP(-(LN(2)/$D$65+0.1)*AG182),IF(AD182=2,AI$100*EXP(-(LN(2)/$D$65+0.04)*(VLOOKUP(($F$16-$F$15)-1,AC$99:AG182,4,FALSE)))*EXP(-(LN(2)/$D$65+0.1)*(VLOOKUP(($F$16-$F$15)-1,AC$99:AG182,5,FALSE)))*EXP(-(LN(2)/$D$65+0.04)*AF182)*EXP(-(LN(2)/$D$65+0.1)*AG182),IF(AD182=3,AI$100*EXP(-(LN(2)/$D$65+0.04)*(VLOOKUP(($F$16-$F$15)-1,AC$99:AG182,4,FALSE)))*EXP(-(LN(2)/$D$65+0.1)*(VLOOKUP(($F$16-$F$15)-1,AC$99:AG182,5,FALSE)))*EXP(-(LN(2)/$D$65+0.04)*(VLOOKUP(($F$16-$F$15)*2-1,AC$99:AG182,4,FALSE)))*EXP(-(LN(2)/$D$65+0.1)*(VLOOKUP(($F$16-$F$15)*2-1,AC$99:AG182,5,FALSE)))*EXP(-(LN(2)/$D$65+0.04)*AF182)*EXP(-(LN(2)/$D$65+0.1)*AG182),"-"))),"-")</f>
        <v>-</v>
      </c>
      <c r="AJ183" s="271" t="str">
        <f>IFERROR(IF(AD183=1,AJ$100*EXP(-(LN(2)/$D$65+0.04)*AF183)*EXP(-(LN(2)/$D$65+0.1)*AG183),IF(AD183=2,AJ$100*EXP(-(LN(2)/$D$65+0.04)*(VLOOKUP(($F$16-$F$15)-1,AC$100:AG183,4,FALSE)))*EXP(-(LN(2)/$D$65+0.1)*(VLOOKUP(($F$16-$F$15)-1,AC$100:AG183,5,FALSE)))*EXP(-(LN(2)/$D$65+0.04)*AF183)*EXP(-(LN(2)/$D$65+0.1)*AG183),IF(AD183=3,AJ$100*EXP(-(LN(2)/$D$65+0.04)*(VLOOKUP(($F$16-$F$15)-1,AC$100:AG183,4,FALSE)))*EXP(-(LN(2)/$D$65+0.1)*(VLOOKUP(($F$16-$F$15)-1,AC$100:AG183,5,FALSE)))*EXP(-(LN(2)/$D$65+0.04)*(VLOOKUP(($F$16-$F$15)*2-1,AC$100:AG183,4,FALSE)))*EXP(-(LN(2)/$D$65+0.1)*(VLOOKUP(($F$16-$F$15)*2-1,AC$100:AG183,5,FALSE)))*EXP(-(LN(2)/$D$65+0.04)*AF183)*EXP(-(LN(2)/$D$65+0.1)*AG183),"-"))),"-")</f>
        <v>-</v>
      </c>
      <c r="AK183" s="227">
        <f t="shared" si="137"/>
        <v>83</v>
      </c>
      <c r="AL183" s="226" t="str">
        <f t="shared" si="111"/>
        <v>-</v>
      </c>
      <c r="AM183" s="227" t="str">
        <f t="shared" si="138"/>
        <v>-</v>
      </c>
      <c r="AN183" s="227" t="str">
        <f t="shared" si="139"/>
        <v>-</v>
      </c>
      <c r="AO183" s="227" t="str">
        <f t="shared" si="112"/>
        <v>-</v>
      </c>
      <c r="AP183" s="273">
        <f t="shared" si="140"/>
        <v>0.1</v>
      </c>
      <c r="AQ183" s="271" t="str">
        <f>IFERROR(IF(AL182=1,AQ$100*EXP(-(LN(2)/$D$65+0.04)*AN182)*EXP(-(LN(2)/$D$65+0.1)*AO182),IF(AL182=2,AQ$100*EXP(-(LN(2)/$D$65+0.04)*(VLOOKUP(($F$16-$F$15)-1,AK$99:AO182,4,FALSE)))*EXP(-(LN(2)/$D$65+0.1)*(VLOOKUP(($F$16-$F$15)-1,AK$99:AO182,5,FALSE)))*EXP(-(LN(2)/$D$65+0.04)*AN182)*EXP(-(LN(2)/$D$65+0.1)*AO182),IF(AL182=3,AQ$100*EXP(-(LN(2)/$D$65+0.04)*(VLOOKUP(($F$16-$F$15)-1,AK$99:AO182,4,FALSE)))*EXP(-(LN(2)/$D$65+0.1)*(VLOOKUP(($F$16-$F$15)-1,AK$99:AO182,5,FALSE)))*EXP(-(LN(2)/$D$65+0.04)*(VLOOKUP(($F$16-$F$15)*2-1,AK$99:AO182,4,FALSE)))*EXP(-(LN(2)/$D$65+0.1)*(VLOOKUP(($F$16-$F$15)*2-1,AK$99:AO182,5,FALSE)))*EXP(-(LN(2)/$D$65+0.04)*AN182)*EXP(-(LN(2)/$D$65+0.1)*AO182),"-"))),"-")</f>
        <v>-</v>
      </c>
      <c r="AR183" s="271" t="str">
        <f>IFERROR(IF(AL183=1,AR$100*EXP(-(LN(2)/$D$65+0.04)*AN183)*EXP(-(LN(2)/$D$65+0.1)*AO183),IF(AL183=2,AR$100*EXP(-(LN(2)/$D$65+0.04)*(VLOOKUP(($F$16-$F$15)-1,AK$100:AO183,4,FALSE)))*EXP(-(LN(2)/$D$65+0.1)*(VLOOKUP(($F$16-$F$15)-1,AK$100:AO183,5,FALSE)))*EXP(-(LN(2)/$D$65+0.04)*AN183)*EXP(-(LN(2)/$D$65+0.1)*AO183),IF(AL183=3,AR$100*EXP(-(LN(2)/$D$65+0.04)*(VLOOKUP(($F$16-$F$15)-1,AK$100:AO183,4,FALSE)))*EXP(-(LN(2)/$D$65+0.1)*(VLOOKUP(($F$16-$F$15)-1,AK$100:AO183,5,FALSE)))*EXP(-(LN(2)/$D$65+0.04)*(VLOOKUP(($F$16-$F$15)*2-1,AK$100:AO183,4,FALSE)))*EXP(-(LN(2)/$D$65+0.1)*(VLOOKUP(($F$16-$F$15)*2-1,AK$100:AO183,5,FALSE)))*EXP(-(LN(2)/$D$65+0.04)*AN183)*EXP(-(LN(2)/$D$65+0.1)*AO183),"-"))),"-")</f>
        <v>-</v>
      </c>
      <c r="AS183" s="274">
        <f t="shared" si="113"/>
        <v>0</v>
      </c>
      <c r="AT183" s="274">
        <f t="shared" si="114"/>
        <v>0</v>
      </c>
      <c r="AU183" s="274">
        <f t="shared" si="115"/>
        <v>0</v>
      </c>
      <c r="AV183" s="190" t="str">
        <f>IF($B183&lt;$F$22,SUM($T$100:$T183),"")</f>
        <v/>
      </c>
      <c r="AW183" s="190" t="str">
        <f t="shared" si="116"/>
        <v>-</v>
      </c>
      <c r="AX183" s="190" t="str">
        <f t="shared" si="141"/>
        <v/>
      </c>
      <c r="AY183"/>
      <c r="AZ183" s="190" t="str">
        <f ca="1">IF(ISNUMBER(OFFSET(AV183,-$F$21,0)),SUM(OFFSET($T$100,$F$21,0):$T183),"")</f>
        <v/>
      </c>
      <c r="BA183" s="190" t="str">
        <f t="shared" ca="1" si="117"/>
        <v/>
      </c>
      <c r="BB183" s="190" t="str">
        <f t="shared" ca="1" si="70"/>
        <v/>
      </c>
      <c r="BC183" s="190"/>
      <c r="BD183" s="190" t="str">
        <f ca="1">IFERROR(IF(OR(ISNUMBER(I),ISNUMBER($F$14)),IF(AND($B183&gt;=($F$16-$F$15),$B183&lt;$F$22+($F$16-$F$15)),SUM(OFFSET($T$100,($F$16-$F$15),0):$T183),""),""),"")</f>
        <v/>
      </c>
      <c r="BE183" s="190" t="str">
        <f t="shared" ca="1" si="142"/>
        <v/>
      </c>
      <c r="BF183" s="190" t="str">
        <f t="shared" ca="1" si="143"/>
        <v/>
      </c>
      <c r="BG183"/>
      <c r="BH183" s="190" t="str">
        <f ca="1">IF(ISNUMBER(OFFSET(BD183,-$F$21,0)),SUM(OFFSET($T$100,($F$16-$F$15+$F$21),0):$T183),"")</f>
        <v/>
      </c>
      <c r="BI183" s="190" t="str">
        <f t="shared" ca="1" si="118"/>
        <v/>
      </c>
      <c r="BJ183" s="190" t="str">
        <f t="shared" ca="1" si="144"/>
        <v/>
      </c>
      <c r="BK183" s="190"/>
      <c r="BL183" s="190" t="str">
        <f ca="1">IFERROR(IF(OR(ISNUMBER(I),ISNUMBER($F$14)),IF(AND($B183&gt;=($F$17-$F$15),$B183&lt;$F$22+($F$17-$F$15)),SUM(OFFSET($T$100,($F$17-$F$15),0):$T183),""),""),"")</f>
        <v/>
      </c>
      <c r="BM183" s="190" t="str">
        <f t="shared" ca="1" si="119"/>
        <v/>
      </c>
      <c r="BN183" s="190" t="str">
        <f t="shared" ca="1" si="145"/>
        <v/>
      </c>
      <c r="BO183"/>
      <c r="BP183" s="190" t="str">
        <f ca="1">IF(ISNUMBER(OFFSET(BL183,-$F$21,0)),SUM(OFFSET($T$100,($F$17-$F$15+$F$21),0):$T183),"")</f>
        <v/>
      </c>
      <c r="BQ183" s="190" t="str">
        <f t="shared" ca="1" si="120"/>
        <v/>
      </c>
      <c r="BR183" s="190" t="str">
        <f t="shared" ca="1" si="146"/>
        <v/>
      </c>
      <c r="BS183" s="190"/>
      <c r="BT183"/>
      <c r="BU183"/>
      <c r="BV183"/>
      <c r="BY183" s="99"/>
      <c r="BZ183" s="99"/>
      <c r="CA183" s="280" t="str">
        <f t="shared" si="121"/>
        <v/>
      </c>
      <c r="CB183" s="71" t="str">
        <f t="shared" si="122"/>
        <v>-</v>
      </c>
      <c r="CC183" s="33"/>
      <c r="CD183" s="261" t="str">
        <f t="shared" si="123"/>
        <v/>
      </c>
      <c r="CE183" s="280" t="str">
        <f t="shared" si="124"/>
        <v/>
      </c>
      <c r="CF183" s="71" t="str">
        <f t="shared" ca="1" si="125"/>
        <v/>
      </c>
      <c r="CG183" s="33" t="str">
        <f t="shared" si="126"/>
        <v/>
      </c>
      <c r="CH183" s="261" t="str">
        <f t="shared" ca="1" si="127"/>
        <v/>
      </c>
      <c r="CI183" s="202"/>
      <c r="CJ183" s="99"/>
      <c r="CK183" s="99"/>
      <c r="CL183" s="99"/>
      <c r="CM183" s="99"/>
      <c r="CN183" s="99"/>
      <c r="CO183" s="99"/>
    </row>
    <row r="184" spans="2:93" ht="13.5" customHeight="1" x14ac:dyDescent="0.2">
      <c r="B184" s="262">
        <v>84</v>
      </c>
      <c r="C184" s="237" t="str">
        <f t="shared" si="91"/>
        <v/>
      </c>
      <c r="D184" s="237" t="str">
        <f t="shared" si="147"/>
        <v/>
      </c>
      <c r="E184" s="263" t="str">
        <f t="shared" si="128"/>
        <v/>
      </c>
      <c r="F184" s="264" t="str">
        <f t="shared" si="129"/>
        <v/>
      </c>
      <c r="G184" s="306" t="str">
        <f t="shared" si="130"/>
        <v/>
      </c>
      <c r="H184" s="240" t="str">
        <f t="shared" si="92"/>
        <v/>
      </c>
      <c r="I184" s="265" t="str">
        <f t="shared" si="93"/>
        <v/>
      </c>
      <c r="J184" s="265" t="str">
        <f t="shared" si="94"/>
        <v/>
      </c>
      <c r="K184" s="240" t="str">
        <f t="shared" si="95"/>
        <v/>
      </c>
      <c r="L184" s="265" t="str">
        <f t="shared" si="96"/>
        <v/>
      </c>
      <c r="M184" s="265" t="str">
        <f t="shared" si="97"/>
        <v/>
      </c>
      <c r="N184" s="240" t="str">
        <f t="shared" si="98"/>
        <v>-</v>
      </c>
      <c r="O184" s="265" t="str">
        <f t="shared" si="99"/>
        <v>-</v>
      </c>
      <c r="P184" s="265" t="str">
        <f t="shared" si="100"/>
        <v>-</v>
      </c>
      <c r="Q184" s="266" t="str">
        <f t="shared" si="101"/>
        <v>-</v>
      </c>
      <c r="R184" s="267" t="str">
        <f t="shared" si="102"/>
        <v>-</v>
      </c>
      <c r="S184" s="268" t="str">
        <f t="shared" si="103"/>
        <v>-</v>
      </c>
      <c r="T184" s="269" t="str">
        <f t="shared" si="104"/>
        <v/>
      </c>
      <c r="U184" s="221">
        <f t="shared" si="105"/>
        <v>84</v>
      </c>
      <c r="V184" s="220" t="str">
        <f t="shared" si="131"/>
        <v>-</v>
      </c>
      <c r="W184" s="221" t="str">
        <f t="shared" si="132"/>
        <v>-</v>
      </c>
      <c r="X184" s="221" t="str">
        <f t="shared" si="106"/>
        <v>-</v>
      </c>
      <c r="Y184" s="221" t="str">
        <f t="shared" si="107"/>
        <v>-</v>
      </c>
      <c r="Z184" s="270">
        <f t="shared" si="133"/>
        <v>0.1</v>
      </c>
      <c r="AA184" s="271" t="str">
        <f>IFERROR(IF(V183=1,AA$100*EXP(-(LN(2)/$D$65+0.04)*X183)*EXP(-(LN(2)/$D$65+0.1)*Y183),IF(V183=2,AA$100*EXP(-(LN(2)/$D$65+0.04)*(VLOOKUP(($F$16-$F$15)-1,U$99:Y183,4,FALSE)))*EXP(-(LN(2)/$D$65+0.1)*(VLOOKUP(($F$16-$F$15)-1,U$99:Y183,5,FALSE)))*EXP(-(LN(2)/$D$65+0.04)*X183)*EXP(-(LN(2)/$D$65+0.1)*Y183),IF(V183=3,AA$100*EXP(-(LN(2)/$D$65+0.04)*(VLOOKUP(($F$16-$F$15)-1,U$99:Y183,4,FALSE)))*EXP(-(LN(2)/$D$65+0.1)*(VLOOKUP(($F$16-$F$15)-1,U$99:Y183,5,FALSE)))*EXP(-(LN(2)/$D$65+0.04)*(VLOOKUP(($F$16-$F$15)*2-1,U$99:Y183,4,FALSE)))*EXP(-(LN(2)/$D$65+0.1)*(VLOOKUP(($F$16-$F$15)*2-1,U$99:Y183,5,FALSE)))*EXP(-(LN(2)/$D$65+0.04)*X183)*EXP(-(LN(2)/$D$65+0.1)*Y183),"-"))),"-")</f>
        <v>-</v>
      </c>
      <c r="AB184" s="271" t="str">
        <f>IFERROR(IF(V184=1,AB$100*EXP(-(LN(2)/$D$65+0.04)*X184)*EXP(-(LN(2)/$D$65+0.1)*Y184),IF(V184=2,AB$100*EXP(-(LN(2)/$D$65+0.04)*(VLOOKUP(($F$16-$F$15)-1,U$100:Y184,4,FALSE)))*EXP(-(LN(2)/$D$65+0.1)*(VLOOKUP(($F$16-$F$15)-1,U$100:Y184,5,FALSE)))*EXP(-(LN(2)/$D$65+0.04)*X184)*EXP(-(LN(2)/$D$65+0.1)*Y184),IF(V184=3,AB$100*EXP(-(LN(2)/$D$65+0.04)*(VLOOKUP(($F$16-$F$15)-1,U$100:Y184,4,FALSE)))*EXP(-(LN(2)/$D$65+0.1)*(VLOOKUP(($F$16-$F$15)-1,U$100:Y184,5,FALSE)))*EXP(-(LN(2)/$D$65+0.04)*(VLOOKUP(($F$16-$F$15)*2-1,U$100:Y184,4,FALSE)))*EXP(-(LN(2)/$D$65+0.1)*(VLOOKUP(($F$16-$F$15)*2-1,U$100:Y184,5,FALSE)))*EXP(-(LN(2)/$D$65+0.04)*X184)*EXP(-(LN(2)/$D$65+0.1)*Y184),"-"))),"-")</f>
        <v>-</v>
      </c>
      <c r="AC184" s="224">
        <f t="shared" si="134"/>
        <v>84</v>
      </c>
      <c r="AD184" s="223" t="str">
        <f t="shared" si="108"/>
        <v>-</v>
      </c>
      <c r="AE184" s="224" t="str">
        <f t="shared" si="135"/>
        <v>-</v>
      </c>
      <c r="AF184" s="224" t="str">
        <f t="shared" si="109"/>
        <v>-</v>
      </c>
      <c r="AG184" s="224" t="str">
        <f t="shared" si="110"/>
        <v>-</v>
      </c>
      <c r="AH184" s="272">
        <f t="shared" si="136"/>
        <v>0.1</v>
      </c>
      <c r="AI184" s="271" t="str">
        <f>IFERROR(IF(AD183=1,AI$100*EXP(-(LN(2)/$D$65+0.04)*AF183)*EXP(-(LN(2)/$D$65+0.1)*AG183),IF(AD183=2,AI$100*EXP(-(LN(2)/$D$65+0.04)*(VLOOKUP(($F$16-$F$15)-1,AC$99:AG183,4,FALSE)))*EXP(-(LN(2)/$D$65+0.1)*(VLOOKUP(($F$16-$F$15)-1,AC$99:AG183,5,FALSE)))*EXP(-(LN(2)/$D$65+0.04)*AF183)*EXP(-(LN(2)/$D$65+0.1)*AG183),IF(AD183=3,AI$100*EXP(-(LN(2)/$D$65+0.04)*(VLOOKUP(($F$16-$F$15)-1,AC$99:AG183,4,FALSE)))*EXP(-(LN(2)/$D$65+0.1)*(VLOOKUP(($F$16-$F$15)-1,AC$99:AG183,5,FALSE)))*EXP(-(LN(2)/$D$65+0.04)*(VLOOKUP(($F$16-$F$15)*2-1,AC$99:AG183,4,FALSE)))*EXP(-(LN(2)/$D$65+0.1)*(VLOOKUP(($F$16-$F$15)*2-1,AC$99:AG183,5,FALSE)))*EXP(-(LN(2)/$D$65+0.04)*AF183)*EXP(-(LN(2)/$D$65+0.1)*AG183),"-"))),"-")</f>
        <v>-</v>
      </c>
      <c r="AJ184" s="271" t="str">
        <f>IFERROR(IF(AD184=1,AJ$100*EXP(-(LN(2)/$D$65+0.04)*AF184)*EXP(-(LN(2)/$D$65+0.1)*AG184),IF(AD184=2,AJ$100*EXP(-(LN(2)/$D$65+0.04)*(VLOOKUP(($F$16-$F$15)-1,AC$100:AG184,4,FALSE)))*EXP(-(LN(2)/$D$65+0.1)*(VLOOKUP(($F$16-$F$15)-1,AC$100:AG184,5,FALSE)))*EXP(-(LN(2)/$D$65+0.04)*AF184)*EXP(-(LN(2)/$D$65+0.1)*AG184),IF(AD184=3,AJ$100*EXP(-(LN(2)/$D$65+0.04)*(VLOOKUP(($F$16-$F$15)-1,AC$100:AG184,4,FALSE)))*EXP(-(LN(2)/$D$65+0.1)*(VLOOKUP(($F$16-$F$15)-1,AC$100:AG184,5,FALSE)))*EXP(-(LN(2)/$D$65+0.04)*(VLOOKUP(($F$16-$F$15)*2-1,AC$100:AG184,4,FALSE)))*EXP(-(LN(2)/$D$65+0.1)*(VLOOKUP(($F$16-$F$15)*2-1,AC$100:AG184,5,FALSE)))*EXP(-(LN(2)/$D$65+0.04)*AF184)*EXP(-(LN(2)/$D$65+0.1)*AG184),"-"))),"-")</f>
        <v>-</v>
      </c>
      <c r="AK184" s="227">
        <f t="shared" si="137"/>
        <v>84</v>
      </c>
      <c r="AL184" s="226" t="str">
        <f t="shared" si="111"/>
        <v>-</v>
      </c>
      <c r="AM184" s="227" t="str">
        <f t="shared" si="138"/>
        <v>-</v>
      </c>
      <c r="AN184" s="227" t="str">
        <f t="shared" si="139"/>
        <v>-</v>
      </c>
      <c r="AO184" s="227" t="str">
        <f t="shared" si="112"/>
        <v>-</v>
      </c>
      <c r="AP184" s="273">
        <f t="shared" si="140"/>
        <v>0.1</v>
      </c>
      <c r="AQ184" s="271" t="str">
        <f>IFERROR(IF(AL183=1,AQ$100*EXP(-(LN(2)/$D$65+0.04)*AN183)*EXP(-(LN(2)/$D$65+0.1)*AO183),IF(AL183=2,AQ$100*EXP(-(LN(2)/$D$65+0.04)*(VLOOKUP(($F$16-$F$15)-1,AK$99:AO183,4,FALSE)))*EXP(-(LN(2)/$D$65+0.1)*(VLOOKUP(($F$16-$F$15)-1,AK$99:AO183,5,FALSE)))*EXP(-(LN(2)/$D$65+0.04)*AN183)*EXP(-(LN(2)/$D$65+0.1)*AO183),IF(AL183=3,AQ$100*EXP(-(LN(2)/$D$65+0.04)*(VLOOKUP(($F$16-$F$15)-1,AK$99:AO183,4,FALSE)))*EXP(-(LN(2)/$D$65+0.1)*(VLOOKUP(($F$16-$F$15)-1,AK$99:AO183,5,FALSE)))*EXP(-(LN(2)/$D$65+0.04)*(VLOOKUP(($F$16-$F$15)*2-1,AK$99:AO183,4,FALSE)))*EXP(-(LN(2)/$D$65+0.1)*(VLOOKUP(($F$16-$F$15)*2-1,AK$99:AO183,5,FALSE)))*EXP(-(LN(2)/$D$65+0.04)*AN183)*EXP(-(LN(2)/$D$65+0.1)*AO183),"-"))),"-")</f>
        <v>-</v>
      </c>
      <c r="AR184" s="271" t="str">
        <f>IFERROR(IF(AL184=1,AR$100*EXP(-(LN(2)/$D$65+0.04)*AN184)*EXP(-(LN(2)/$D$65+0.1)*AO184),IF(AL184=2,AR$100*EXP(-(LN(2)/$D$65+0.04)*(VLOOKUP(($F$16-$F$15)-1,AK$100:AO184,4,FALSE)))*EXP(-(LN(2)/$D$65+0.1)*(VLOOKUP(($F$16-$F$15)-1,AK$100:AO184,5,FALSE)))*EXP(-(LN(2)/$D$65+0.04)*AN184)*EXP(-(LN(2)/$D$65+0.1)*AO184),IF(AL184=3,AR$100*EXP(-(LN(2)/$D$65+0.04)*(VLOOKUP(($F$16-$F$15)-1,AK$100:AO184,4,FALSE)))*EXP(-(LN(2)/$D$65+0.1)*(VLOOKUP(($F$16-$F$15)-1,AK$100:AO184,5,FALSE)))*EXP(-(LN(2)/$D$65+0.04)*(VLOOKUP(($F$16-$F$15)*2-1,AK$100:AO184,4,FALSE)))*EXP(-(LN(2)/$D$65+0.1)*(VLOOKUP(($F$16-$F$15)*2-1,AK$100:AO184,5,FALSE)))*EXP(-(LN(2)/$D$65+0.04)*AN184)*EXP(-(LN(2)/$D$65+0.1)*AO184),"-"))),"-")</f>
        <v>-</v>
      </c>
      <c r="AS184" s="274">
        <f t="shared" si="113"/>
        <v>0</v>
      </c>
      <c r="AT184" s="274">
        <f t="shared" si="114"/>
        <v>0</v>
      </c>
      <c r="AU184" s="274">
        <f t="shared" si="115"/>
        <v>0</v>
      </c>
      <c r="AV184" s="190" t="str">
        <f>IF($B184&lt;$F$22,SUM($T$100:$T184),"")</f>
        <v/>
      </c>
      <c r="AW184" s="190" t="str">
        <f t="shared" si="116"/>
        <v>-</v>
      </c>
      <c r="AX184" s="190" t="str">
        <f t="shared" si="141"/>
        <v/>
      </c>
      <c r="AY184"/>
      <c r="AZ184" s="190" t="str">
        <f ca="1">IF(ISNUMBER(OFFSET(AV184,-$F$21,0)),SUM(OFFSET($T$100,$F$21,0):$T184),"")</f>
        <v/>
      </c>
      <c r="BA184" s="190" t="str">
        <f t="shared" ca="1" si="117"/>
        <v/>
      </c>
      <c r="BB184" s="190" t="str">
        <f t="shared" ca="1" si="70"/>
        <v/>
      </c>
      <c r="BC184" s="190"/>
      <c r="BD184" s="190" t="str">
        <f ca="1">IFERROR(IF(OR(ISNUMBER(I),ISNUMBER($F$14)),IF(AND($B184&gt;=($F$16-$F$15),$B184&lt;$F$22+($F$16-$F$15)),SUM(OFFSET($T$100,($F$16-$F$15),0):$T184),""),""),"")</f>
        <v/>
      </c>
      <c r="BE184" s="190" t="str">
        <f t="shared" ca="1" si="142"/>
        <v/>
      </c>
      <c r="BF184" s="190" t="str">
        <f t="shared" ca="1" si="143"/>
        <v/>
      </c>
      <c r="BG184"/>
      <c r="BH184" s="190" t="str">
        <f ca="1">IF(ISNUMBER(OFFSET(BD184,-$F$21,0)),SUM(OFFSET($T$100,($F$16-$F$15+$F$21),0):$T184),"")</f>
        <v/>
      </c>
      <c r="BI184" s="190" t="str">
        <f t="shared" ca="1" si="118"/>
        <v/>
      </c>
      <c r="BJ184" s="190" t="str">
        <f t="shared" ca="1" si="144"/>
        <v/>
      </c>
      <c r="BK184" s="190"/>
      <c r="BL184" s="190" t="str">
        <f ca="1">IFERROR(IF(OR(ISNUMBER(I),ISNUMBER($F$14)),IF(AND($B184&gt;=($F$17-$F$15),$B184&lt;$F$22+($F$17-$F$15)),SUM(OFFSET($T$100,($F$17-$F$15),0):$T184),""),""),"")</f>
        <v/>
      </c>
      <c r="BM184" s="190" t="str">
        <f t="shared" ca="1" si="119"/>
        <v/>
      </c>
      <c r="BN184" s="190" t="str">
        <f t="shared" ca="1" si="145"/>
        <v/>
      </c>
      <c r="BO184"/>
      <c r="BP184" s="190" t="str">
        <f ca="1">IF(ISNUMBER(OFFSET(BL184,-$F$21,0)),SUM(OFFSET($T$100,($F$17-$F$15+$F$21),0):$T184),"")</f>
        <v/>
      </c>
      <c r="BQ184" s="190" t="str">
        <f t="shared" ca="1" si="120"/>
        <v/>
      </c>
      <c r="BR184" s="190" t="str">
        <f t="shared" ca="1" si="146"/>
        <v/>
      </c>
      <c r="BS184" s="190"/>
      <c r="BT184"/>
      <c r="BU184"/>
      <c r="BV184"/>
      <c r="BY184" s="99"/>
      <c r="BZ184" s="99"/>
      <c r="CA184" s="280" t="str">
        <f t="shared" si="121"/>
        <v/>
      </c>
      <c r="CB184" s="71" t="str">
        <f t="shared" si="122"/>
        <v>-</v>
      </c>
      <c r="CC184" s="33"/>
      <c r="CD184" s="261" t="str">
        <f t="shared" si="123"/>
        <v/>
      </c>
      <c r="CE184" s="280" t="str">
        <f t="shared" si="124"/>
        <v/>
      </c>
      <c r="CF184" s="71" t="str">
        <f t="shared" ca="1" si="125"/>
        <v/>
      </c>
      <c r="CG184" s="33" t="str">
        <f t="shared" si="126"/>
        <v/>
      </c>
      <c r="CH184" s="261" t="str">
        <f t="shared" ca="1" si="127"/>
        <v/>
      </c>
      <c r="CI184" s="202"/>
      <c r="CJ184" s="99"/>
      <c r="CK184" s="99"/>
      <c r="CL184" s="99"/>
      <c r="CM184" s="99"/>
      <c r="CN184" s="99"/>
      <c r="CO184" s="99"/>
    </row>
    <row r="185" spans="2:93" ht="13.5" customHeight="1" x14ac:dyDescent="0.2">
      <c r="B185" s="262">
        <v>85</v>
      </c>
      <c r="C185" s="237" t="str">
        <f t="shared" si="91"/>
        <v/>
      </c>
      <c r="D185" s="237" t="str">
        <f t="shared" si="147"/>
        <v/>
      </c>
      <c r="E185" s="263" t="str">
        <f t="shared" si="128"/>
        <v/>
      </c>
      <c r="F185" s="264" t="str">
        <f t="shared" si="129"/>
        <v/>
      </c>
      <c r="G185" s="306" t="str">
        <f t="shared" si="130"/>
        <v/>
      </c>
      <c r="H185" s="240" t="str">
        <f t="shared" si="92"/>
        <v/>
      </c>
      <c r="I185" s="265" t="str">
        <f t="shared" si="93"/>
        <v/>
      </c>
      <c r="J185" s="265" t="str">
        <f t="shared" si="94"/>
        <v/>
      </c>
      <c r="K185" s="240" t="str">
        <f t="shared" si="95"/>
        <v/>
      </c>
      <c r="L185" s="265" t="str">
        <f t="shared" si="96"/>
        <v/>
      </c>
      <c r="M185" s="265" t="str">
        <f t="shared" si="97"/>
        <v/>
      </c>
      <c r="N185" s="240" t="str">
        <f t="shared" si="98"/>
        <v>-</v>
      </c>
      <c r="O185" s="265" t="str">
        <f t="shared" si="99"/>
        <v>-</v>
      </c>
      <c r="P185" s="265" t="str">
        <f t="shared" si="100"/>
        <v>-</v>
      </c>
      <c r="Q185" s="266" t="str">
        <f t="shared" si="101"/>
        <v>-</v>
      </c>
      <c r="R185" s="267" t="str">
        <f t="shared" si="102"/>
        <v>-</v>
      </c>
      <c r="S185" s="268" t="str">
        <f t="shared" si="103"/>
        <v>-</v>
      </c>
      <c r="T185" s="269" t="str">
        <f t="shared" si="104"/>
        <v/>
      </c>
      <c r="U185" s="221">
        <f t="shared" si="105"/>
        <v>85</v>
      </c>
      <c r="V185" s="220" t="str">
        <f t="shared" si="131"/>
        <v>-</v>
      </c>
      <c r="W185" s="221" t="str">
        <f t="shared" si="132"/>
        <v>-</v>
      </c>
      <c r="X185" s="221" t="str">
        <f t="shared" si="106"/>
        <v>-</v>
      </c>
      <c r="Y185" s="221" t="str">
        <f t="shared" si="107"/>
        <v>-</v>
      </c>
      <c r="Z185" s="270">
        <f t="shared" si="133"/>
        <v>0.1</v>
      </c>
      <c r="AA185" s="271" t="str">
        <f>IFERROR(IF(V184=1,AA$100*EXP(-(LN(2)/$D$65+0.04)*X184)*EXP(-(LN(2)/$D$65+0.1)*Y184),IF(V184=2,AA$100*EXP(-(LN(2)/$D$65+0.04)*(VLOOKUP(($F$16-$F$15)-1,U$99:Y184,4,FALSE)))*EXP(-(LN(2)/$D$65+0.1)*(VLOOKUP(($F$16-$F$15)-1,U$99:Y184,5,FALSE)))*EXP(-(LN(2)/$D$65+0.04)*X184)*EXP(-(LN(2)/$D$65+0.1)*Y184),IF(V184=3,AA$100*EXP(-(LN(2)/$D$65+0.04)*(VLOOKUP(($F$16-$F$15)-1,U$99:Y184,4,FALSE)))*EXP(-(LN(2)/$D$65+0.1)*(VLOOKUP(($F$16-$F$15)-1,U$99:Y184,5,FALSE)))*EXP(-(LN(2)/$D$65+0.04)*(VLOOKUP(($F$16-$F$15)*2-1,U$99:Y184,4,FALSE)))*EXP(-(LN(2)/$D$65+0.1)*(VLOOKUP(($F$16-$F$15)*2-1,U$99:Y184,5,FALSE)))*EXP(-(LN(2)/$D$65+0.04)*X184)*EXP(-(LN(2)/$D$65+0.1)*Y184),"-"))),"-")</f>
        <v>-</v>
      </c>
      <c r="AB185" s="271" t="str">
        <f>IFERROR(IF(V185=1,AB$100*EXP(-(LN(2)/$D$65+0.04)*X185)*EXP(-(LN(2)/$D$65+0.1)*Y185),IF(V185=2,AB$100*EXP(-(LN(2)/$D$65+0.04)*(VLOOKUP(($F$16-$F$15)-1,U$100:Y185,4,FALSE)))*EXP(-(LN(2)/$D$65+0.1)*(VLOOKUP(($F$16-$F$15)-1,U$100:Y185,5,FALSE)))*EXP(-(LN(2)/$D$65+0.04)*X185)*EXP(-(LN(2)/$D$65+0.1)*Y185),IF(V185=3,AB$100*EXP(-(LN(2)/$D$65+0.04)*(VLOOKUP(($F$16-$F$15)-1,U$100:Y185,4,FALSE)))*EXP(-(LN(2)/$D$65+0.1)*(VLOOKUP(($F$16-$F$15)-1,U$100:Y185,5,FALSE)))*EXP(-(LN(2)/$D$65+0.04)*(VLOOKUP(($F$16-$F$15)*2-1,U$100:Y185,4,FALSE)))*EXP(-(LN(2)/$D$65+0.1)*(VLOOKUP(($F$16-$F$15)*2-1,U$100:Y185,5,FALSE)))*EXP(-(LN(2)/$D$65+0.04)*X185)*EXP(-(LN(2)/$D$65+0.1)*Y185),"-"))),"-")</f>
        <v>-</v>
      </c>
      <c r="AC185" s="224">
        <f t="shared" si="134"/>
        <v>85</v>
      </c>
      <c r="AD185" s="223" t="str">
        <f t="shared" si="108"/>
        <v>-</v>
      </c>
      <c r="AE185" s="224" t="str">
        <f t="shared" si="135"/>
        <v>-</v>
      </c>
      <c r="AF185" s="224" t="str">
        <f t="shared" si="109"/>
        <v>-</v>
      </c>
      <c r="AG185" s="224" t="str">
        <f t="shared" si="110"/>
        <v>-</v>
      </c>
      <c r="AH185" s="272">
        <f t="shared" si="136"/>
        <v>0.1</v>
      </c>
      <c r="AI185" s="271" t="str">
        <f>IFERROR(IF(AD184=1,AI$100*EXP(-(LN(2)/$D$65+0.04)*AF184)*EXP(-(LN(2)/$D$65+0.1)*AG184),IF(AD184=2,AI$100*EXP(-(LN(2)/$D$65+0.04)*(VLOOKUP(($F$16-$F$15)-1,AC$99:AG184,4,FALSE)))*EXP(-(LN(2)/$D$65+0.1)*(VLOOKUP(($F$16-$F$15)-1,AC$99:AG184,5,FALSE)))*EXP(-(LN(2)/$D$65+0.04)*AF184)*EXP(-(LN(2)/$D$65+0.1)*AG184),IF(AD184=3,AI$100*EXP(-(LN(2)/$D$65+0.04)*(VLOOKUP(($F$16-$F$15)-1,AC$99:AG184,4,FALSE)))*EXP(-(LN(2)/$D$65+0.1)*(VLOOKUP(($F$16-$F$15)-1,AC$99:AG184,5,FALSE)))*EXP(-(LN(2)/$D$65+0.04)*(VLOOKUP(($F$16-$F$15)*2-1,AC$99:AG184,4,FALSE)))*EXP(-(LN(2)/$D$65+0.1)*(VLOOKUP(($F$16-$F$15)*2-1,AC$99:AG184,5,FALSE)))*EXP(-(LN(2)/$D$65+0.04)*AF184)*EXP(-(LN(2)/$D$65+0.1)*AG184),"-"))),"-")</f>
        <v>-</v>
      </c>
      <c r="AJ185" s="271" t="str">
        <f>IFERROR(IF(AD185=1,AJ$100*EXP(-(LN(2)/$D$65+0.04)*AF185)*EXP(-(LN(2)/$D$65+0.1)*AG185),IF(AD185=2,AJ$100*EXP(-(LN(2)/$D$65+0.04)*(VLOOKUP(($F$16-$F$15)-1,AC$100:AG185,4,FALSE)))*EXP(-(LN(2)/$D$65+0.1)*(VLOOKUP(($F$16-$F$15)-1,AC$100:AG185,5,FALSE)))*EXP(-(LN(2)/$D$65+0.04)*AF185)*EXP(-(LN(2)/$D$65+0.1)*AG185),IF(AD185=3,AJ$100*EXP(-(LN(2)/$D$65+0.04)*(VLOOKUP(($F$16-$F$15)-1,AC$100:AG185,4,FALSE)))*EXP(-(LN(2)/$D$65+0.1)*(VLOOKUP(($F$16-$F$15)-1,AC$100:AG185,5,FALSE)))*EXP(-(LN(2)/$D$65+0.04)*(VLOOKUP(($F$16-$F$15)*2-1,AC$100:AG185,4,FALSE)))*EXP(-(LN(2)/$D$65+0.1)*(VLOOKUP(($F$16-$F$15)*2-1,AC$100:AG185,5,FALSE)))*EXP(-(LN(2)/$D$65+0.04)*AF185)*EXP(-(LN(2)/$D$65+0.1)*AG185),"-"))),"-")</f>
        <v>-</v>
      </c>
      <c r="AK185" s="227">
        <f t="shared" si="137"/>
        <v>85</v>
      </c>
      <c r="AL185" s="226" t="str">
        <f t="shared" si="111"/>
        <v>-</v>
      </c>
      <c r="AM185" s="227" t="str">
        <f t="shared" si="138"/>
        <v>-</v>
      </c>
      <c r="AN185" s="227" t="str">
        <f t="shared" si="139"/>
        <v>-</v>
      </c>
      <c r="AO185" s="227" t="str">
        <f t="shared" si="112"/>
        <v>-</v>
      </c>
      <c r="AP185" s="273">
        <f t="shared" si="140"/>
        <v>0.1</v>
      </c>
      <c r="AQ185" s="271" t="str">
        <f>IFERROR(IF(AL184=1,AQ$100*EXP(-(LN(2)/$D$65+0.04)*AN184)*EXP(-(LN(2)/$D$65+0.1)*AO184),IF(AL184=2,AQ$100*EXP(-(LN(2)/$D$65+0.04)*(VLOOKUP(($F$16-$F$15)-1,AK$99:AO184,4,FALSE)))*EXP(-(LN(2)/$D$65+0.1)*(VLOOKUP(($F$16-$F$15)-1,AK$99:AO184,5,FALSE)))*EXP(-(LN(2)/$D$65+0.04)*AN184)*EXP(-(LN(2)/$D$65+0.1)*AO184),IF(AL184=3,AQ$100*EXP(-(LN(2)/$D$65+0.04)*(VLOOKUP(($F$16-$F$15)-1,AK$99:AO184,4,FALSE)))*EXP(-(LN(2)/$D$65+0.1)*(VLOOKUP(($F$16-$F$15)-1,AK$99:AO184,5,FALSE)))*EXP(-(LN(2)/$D$65+0.04)*(VLOOKUP(($F$16-$F$15)*2-1,AK$99:AO184,4,FALSE)))*EXP(-(LN(2)/$D$65+0.1)*(VLOOKUP(($F$16-$F$15)*2-1,AK$99:AO184,5,FALSE)))*EXP(-(LN(2)/$D$65+0.04)*AN184)*EXP(-(LN(2)/$D$65+0.1)*AO184),"-"))),"-")</f>
        <v>-</v>
      </c>
      <c r="AR185" s="271" t="str">
        <f>IFERROR(IF(AL185=1,AR$100*EXP(-(LN(2)/$D$65+0.04)*AN185)*EXP(-(LN(2)/$D$65+0.1)*AO185),IF(AL185=2,AR$100*EXP(-(LN(2)/$D$65+0.04)*(VLOOKUP(($F$16-$F$15)-1,AK$100:AO185,4,FALSE)))*EXP(-(LN(2)/$D$65+0.1)*(VLOOKUP(($F$16-$F$15)-1,AK$100:AO185,5,FALSE)))*EXP(-(LN(2)/$D$65+0.04)*AN185)*EXP(-(LN(2)/$D$65+0.1)*AO185),IF(AL185=3,AR$100*EXP(-(LN(2)/$D$65+0.04)*(VLOOKUP(($F$16-$F$15)-1,AK$100:AO185,4,FALSE)))*EXP(-(LN(2)/$D$65+0.1)*(VLOOKUP(($F$16-$F$15)-1,AK$100:AO185,5,FALSE)))*EXP(-(LN(2)/$D$65+0.04)*(VLOOKUP(($F$16-$F$15)*2-1,AK$100:AO185,4,FALSE)))*EXP(-(LN(2)/$D$65+0.1)*(VLOOKUP(($F$16-$F$15)*2-1,AK$100:AO185,5,FALSE)))*EXP(-(LN(2)/$D$65+0.04)*AN185)*EXP(-(LN(2)/$D$65+0.1)*AO185),"-"))),"-")</f>
        <v>-</v>
      </c>
      <c r="AS185" s="274">
        <f t="shared" si="113"/>
        <v>0</v>
      </c>
      <c r="AT185" s="274">
        <f t="shared" si="114"/>
        <v>0</v>
      </c>
      <c r="AU185" s="274">
        <f t="shared" si="115"/>
        <v>0</v>
      </c>
      <c r="AV185" s="190" t="str">
        <f>IF($B185&lt;$F$22,SUM($T$100:$T185),"")</f>
        <v/>
      </c>
      <c r="AW185" s="190" t="str">
        <f t="shared" si="116"/>
        <v>-</v>
      </c>
      <c r="AX185" s="190" t="str">
        <f t="shared" si="141"/>
        <v/>
      </c>
      <c r="AY185"/>
      <c r="AZ185" s="190" t="str">
        <f ca="1">IF(ISNUMBER(OFFSET(AV185,-$F$21,0)),SUM(OFFSET($T$100,$F$21,0):$T185),"")</f>
        <v/>
      </c>
      <c r="BA185" s="190" t="str">
        <f t="shared" ca="1" si="117"/>
        <v/>
      </c>
      <c r="BB185" s="190" t="str">
        <f t="shared" ref="BB185:BB248" ca="1" si="148">IF(ISNUMBER(AZ185),(AZ185-BA185)/(3*86400*(OFFSET($B185,-$F$21,0)+1))*1000,"")</f>
        <v/>
      </c>
      <c r="BC185" s="190"/>
      <c r="BD185" s="190" t="str">
        <f ca="1">IFERROR(IF(OR(ISNUMBER(I),ISNUMBER($F$14)),IF(AND($B185&gt;=($F$16-$F$15),$B185&lt;$F$22+($F$16-$F$15)),SUM(OFFSET($T$100,($F$16-$F$15),0):$T185),""),""),"")</f>
        <v/>
      </c>
      <c r="BE185" s="190" t="str">
        <f t="shared" ca="1" si="142"/>
        <v/>
      </c>
      <c r="BF185" s="190" t="str">
        <f t="shared" ca="1" si="143"/>
        <v/>
      </c>
      <c r="BG185"/>
      <c r="BH185" s="190" t="str">
        <f ca="1">IF(ISNUMBER(OFFSET(BD185,-$F$21,0)),SUM(OFFSET($T$100,($F$16-$F$15+$F$21),0):$T185),"")</f>
        <v/>
      </c>
      <c r="BI185" s="190" t="str">
        <f t="shared" ca="1" si="118"/>
        <v/>
      </c>
      <c r="BJ185" s="190" t="str">
        <f t="shared" ca="1" si="144"/>
        <v/>
      </c>
      <c r="BK185" s="190"/>
      <c r="BL185" s="190" t="str">
        <f ca="1">IFERROR(IF(OR(ISNUMBER(I),ISNUMBER($F$14)),IF(AND($B185&gt;=($F$17-$F$15),$B185&lt;$F$22+($F$17-$F$15)),SUM(OFFSET($T$100,($F$17-$F$15),0):$T185),""),""),"")</f>
        <v/>
      </c>
      <c r="BM185" s="190" t="str">
        <f t="shared" ca="1" si="119"/>
        <v/>
      </c>
      <c r="BN185" s="190" t="str">
        <f t="shared" ca="1" si="145"/>
        <v/>
      </c>
      <c r="BO185"/>
      <c r="BP185" s="190" t="str">
        <f ca="1">IF(ISNUMBER(OFFSET(BL185,-$F$21,0)),SUM(OFFSET($T$100,($F$17-$F$15+$F$21),0):$T185),"")</f>
        <v/>
      </c>
      <c r="BQ185" s="190" t="str">
        <f t="shared" ca="1" si="120"/>
        <v/>
      </c>
      <c r="BR185" s="190" t="str">
        <f t="shared" ca="1" si="146"/>
        <v/>
      </c>
      <c r="BS185" s="190"/>
      <c r="BT185"/>
      <c r="BU185"/>
      <c r="BV185"/>
      <c r="BY185" s="99"/>
      <c r="BZ185" s="99"/>
      <c r="CA185" s="280" t="str">
        <f t="shared" si="121"/>
        <v/>
      </c>
      <c r="CB185" s="71" t="str">
        <f t="shared" si="122"/>
        <v>-</v>
      </c>
      <c r="CC185" s="33"/>
      <c r="CD185" s="261" t="str">
        <f t="shared" si="123"/>
        <v/>
      </c>
      <c r="CE185" s="280" t="str">
        <f t="shared" si="124"/>
        <v/>
      </c>
      <c r="CF185" s="71" t="str">
        <f t="shared" ca="1" si="125"/>
        <v/>
      </c>
      <c r="CG185" s="33" t="str">
        <f t="shared" si="126"/>
        <v/>
      </c>
      <c r="CH185" s="261" t="str">
        <f t="shared" ca="1" si="127"/>
        <v/>
      </c>
      <c r="CI185" s="202"/>
      <c r="CJ185" s="99"/>
      <c r="CK185" s="99"/>
      <c r="CL185" s="99"/>
      <c r="CM185" s="99"/>
      <c r="CN185" s="99"/>
      <c r="CO185" s="99"/>
    </row>
    <row r="186" spans="2:93" ht="13.5" customHeight="1" x14ac:dyDescent="0.2">
      <c r="B186" s="262">
        <v>86</v>
      </c>
      <c r="C186" s="237" t="str">
        <f t="shared" si="91"/>
        <v/>
      </c>
      <c r="D186" s="237" t="str">
        <f t="shared" si="147"/>
        <v/>
      </c>
      <c r="E186" s="263" t="str">
        <f t="shared" si="128"/>
        <v/>
      </c>
      <c r="F186" s="264" t="str">
        <f t="shared" si="129"/>
        <v/>
      </c>
      <c r="G186" s="264" t="str">
        <f t="shared" si="130"/>
        <v/>
      </c>
      <c r="H186" s="240" t="str">
        <f t="shared" si="92"/>
        <v/>
      </c>
      <c r="I186" s="265" t="str">
        <f t="shared" si="93"/>
        <v/>
      </c>
      <c r="J186" s="265" t="str">
        <f t="shared" si="94"/>
        <v/>
      </c>
      <c r="K186" s="240" t="str">
        <f t="shared" si="95"/>
        <v/>
      </c>
      <c r="L186" s="265" t="str">
        <f t="shared" si="96"/>
        <v/>
      </c>
      <c r="M186" s="265" t="str">
        <f t="shared" si="97"/>
        <v/>
      </c>
      <c r="N186" s="240" t="str">
        <f t="shared" si="98"/>
        <v>-</v>
      </c>
      <c r="O186" s="265" t="str">
        <f t="shared" si="99"/>
        <v>-</v>
      </c>
      <c r="P186" s="265" t="str">
        <f t="shared" si="100"/>
        <v>-</v>
      </c>
      <c r="Q186" s="266" t="str">
        <f t="shared" si="101"/>
        <v>-</v>
      </c>
      <c r="R186" s="267" t="str">
        <f t="shared" si="102"/>
        <v>-</v>
      </c>
      <c r="S186" s="268" t="str">
        <f t="shared" si="103"/>
        <v>-</v>
      </c>
      <c r="T186" s="269" t="str">
        <f t="shared" si="104"/>
        <v/>
      </c>
      <c r="U186" s="221">
        <f t="shared" si="105"/>
        <v>86</v>
      </c>
      <c r="V186" s="220" t="str">
        <f t="shared" si="131"/>
        <v>-</v>
      </c>
      <c r="W186" s="221" t="str">
        <f t="shared" si="132"/>
        <v>-</v>
      </c>
      <c r="X186" s="221" t="str">
        <f t="shared" si="106"/>
        <v>-</v>
      </c>
      <c r="Y186" s="221" t="str">
        <f t="shared" si="107"/>
        <v>-</v>
      </c>
      <c r="Z186" s="270">
        <f t="shared" si="133"/>
        <v>0.1</v>
      </c>
      <c r="AA186" s="271" t="str">
        <f>IFERROR(IF(V185=1,AA$100*EXP(-(LN(2)/$D$65+0.04)*X185)*EXP(-(LN(2)/$D$65+0.1)*Y185),IF(V185=2,AA$100*EXP(-(LN(2)/$D$65+0.04)*(VLOOKUP(($F$16-$F$15)-1,U$99:Y185,4,FALSE)))*EXP(-(LN(2)/$D$65+0.1)*(VLOOKUP(($F$16-$F$15)-1,U$99:Y185,5,FALSE)))*EXP(-(LN(2)/$D$65+0.04)*X185)*EXP(-(LN(2)/$D$65+0.1)*Y185),IF(V185=3,AA$100*EXP(-(LN(2)/$D$65+0.04)*(VLOOKUP(($F$16-$F$15)-1,U$99:Y185,4,FALSE)))*EXP(-(LN(2)/$D$65+0.1)*(VLOOKUP(($F$16-$F$15)-1,U$99:Y185,5,FALSE)))*EXP(-(LN(2)/$D$65+0.04)*(VLOOKUP(($F$16-$F$15)*2-1,U$99:Y185,4,FALSE)))*EXP(-(LN(2)/$D$65+0.1)*(VLOOKUP(($F$16-$F$15)*2-1,U$99:Y185,5,FALSE)))*EXP(-(LN(2)/$D$65+0.04)*X185)*EXP(-(LN(2)/$D$65+0.1)*Y185),"-"))),"-")</f>
        <v>-</v>
      </c>
      <c r="AB186" s="271" t="str">
        <f>IFERROR(IF(V186=1,AB$100*EXP(-(LN(2)/$D$65+0.04)*X186)*EXP(-(LN(2)/$D$65+0.1)*Y186),IF(V186=2,AB$100*EXP(-(LN(2)/$D$65+0.04)*(VLOOKUP(($F$16-$F$15)-1,U$100:Y186,4,FALSE)))*EXP(-(LN(2)/$D$65+0.1)*(VLOOKUP(($F$16-$F$15)-1,U$100:Y186,5,FALSE)))*EXP(-(LN(2)/$D$65+0.04)*X186)*EXP(-(LN(2)/$D$65+0.1)*Y186),IF(V186=3,AB$100*EXP(-(LN(2)/$D$65+0.04)*(VLOOKUP(($F$16-$F$15)-1,U$100:Y186,4,FALSE)))*EXP(-(LN(2)/$D$65+0.1)*(VLOOKUP(($F$16-$F$15)-1,U$100:Y186,5,FALSE)))*EXP(-(LN(2)/$D$65+0.04)*(VLOOKUP(($F$16-$F$15)*2-1,U$100:Y186,4,FALSE)))*EXP(-(LN(2)/$D$65+0.1)*(VLOOKUP(($F$16-$F$15)*2-1,U$100:Y186,5,FALSE)))*EXP(-(LN(2)/$D$65+0.04)*X186)*EXP(-(LN(2)/$D$65+0.1)*Y186),"-"))),"-")</f>
        <v>-</v>
      </c>
      <c r="AC186" s="224">
        <f t="shared" si="134"/>
        <v>86</v>
      </c>
      <c r="AD186" s="223" t="str">
        <f t="shared" si="108"/>
        <v>-</v>
      </c>
      <c r="AE186" s="224" t="str">
        <f t="shared" si="135"/>
        <v>-</v>
      </c>
      <c r="AF186" s="224" t="str">
        <f t="shared" si="109"/>
        <v>-</v>
      </c>
      <c r="AG186" s="224" t="str">
        <f t="shared" si="110"/>
        <v>-</v>
      </c>
      <c r="AH186" s="272">
        <f t="shared" si="136"/>
        <v>0.1</v>
      </c>
      <c r="AI186" s="271" t="str">
        <f>IFERROR(IF(AD185=1,AI$100*EXP(-(LN(2)/$D$65+0.04)*AF185)*EXP(-(LN(2)/$D$65+0.1)*AG185),IF(AD185=2,AI$100*EXP(-(LN(2)/$D$65+0.04)*(VLOOKUP(($F$16-$F$15)-1,AC$99:AG185,4,FALSE)))*EXP(-(LN(2)/$D$65+0.1)*(VLOOKUP(($F$16-$F$15)-1,AC$99:AG185,5,FALSE)))*EXP(-(LN(2)/$D$65+0.04)*AF185)*EXP(-(LN(2)/$D$65+0.1)*AG185),IF(AD185=3,AI$100*EXP(-(LN(2)/$D$65+0.04)*(VLOOKUP(($F$16-$F$15)-1,AC$99:AG185,4,FALSE)))*EXP(-(LN(2)/$D$65+0.1)*(VLOOKUP(($F$16-$F$15)-1,AC$99:AG185,5,FALSE)))*EXP(-(LN(2)/$D$65+0.04)*(VLOOKUP(($F$16-$F$15)*2-1,AC$99:AG185,4,FALSE)))*EXP(-(LN(2)/$D$65+0.1)*(VLOOKUP(($F$16-$F$15)*2-1,AC$99:AG185,5,FALSE)))*EXP(-(LN(2)/$D$65+0.04)*AF185)*EXP(-(LN(2)/$D$65+0.1)*AG185),"-"))),"-")</f>
        <v>-</v>
      </c>
      <c r="AJ186" s="271" t="str">
        <f>IFERROR(IF(AD186=1,AJ$100*EXP(-(LN(2)/$D$65+0.04)*AF186)*EXP(-(LN(2)/$D$65+0.1)*AG186),IF(AD186=2,AJ$100*EXP(-(LN(2)/$D$65+0.04)*(VLOOKUP(($F$16-$F$15)-1,AC$100:AG186,4,FALSE)))*EXP(-(LN(2)/$D$65+0.1)*(VLOOKUP(($F$16-$F$15)-1,AC$100:AG186,5,FALSE)))*EXP(-(LN(2)/$D$65+0.04)*AF186)*EXP(-(LN(2)/$D$65+0.1)*AG186),IF(AD186=3,AJ$100*EXP(-(LN(2)/$D$65+0.04)*(VLOOKUP(($F$16-$F$15)-1,AC$100:AG186,4,FALSE)))*EXP(-(LN(2)/$D$65+0.1)*(VLOOKUP(($F$16-$F$15)-1,AC$100:AG186,5,FALSE)))*EXP(-(LN(2)/$D$65+0.04)*(VLOOKUP(($F$16-$F$15)*2-1,AC$100:AG186,4,FALSE)))*EXP(-(LN(2)/$D$65+0.1)*(VLOOKUP(($F$16-$F$15)*2-1,AC$100:AG186,5,FALSE)))*EXP(-(LN(2)/$D$65+0.04)*AF186)*EXP(-(LN(2)/$D$65+0.1)*AG186),"-"))),"-")</f>
        <v>-</v>
      </c>
      <c r="AK186" s="227">
        <f t="shared" si="137"/>
        <v>86</v>
      </c>
      <c r="AL186" s="226" t="str">
        <f t="shared" si="111"/>
        <v>-</v>
      </c>
      <c r="AM186" s="227" t="str">
        <f t="shared" si="138"/>
        <v>-</v>
      </c>
      <c r="AN186" s="227" t="str">
        <f t="shared" si="139"/>
        <v>-</v>
      </c>
      <c r="AO186" s="227" t="str">
        <f t="shared" si="112"/>
        <v>-</v>
      </c>
      <c r="AP186" s="273">
        <f t="shared" si="140"/>
        <v>0.1</v>
      </c>
      <c r="AQ186" s="271" t="str">
        <f>IFERROR(IF(AL185=1,AQ$100*EXP(-(LN(2)/$D$65+0.04)*AN185)*EXP(-(LN(2)/$D$65+0.1)*AO185),IF(AL185=2,AQ$100*EXP(-(LN(2)/$D$65+0.04)*(VLOOKUP(($F$16-$F$15)-1,AK$99:AO185,4,FALSE)))*EXP(-(LN(2)/$D$65+0.1)*(VLOOKUP(($F$16-$F$15)-1,AK$99:AO185,5,FALSE)))*EXP(-(LN(2)/$D$65+0.04)*AN185)*EXP(-(LN(2)/$D$65+0.1)*AO185),IF(AL185=3,AQ$100*EXP(-(LN(2)/$D$65+0.04)*(VLOOKUP(($F$16-$F$15)-1,AK$99:AO185,4,FALSE)))*EXP(-(LN(2)/$D$65+0.1)*(VLOOKUP(($F$16-$F$15)-1,AK$99:AO185,5,FALSE)))*EXP(-(LN(2)/$D$65+0.04)*(VLOOKUP(($F$16-$F$15)*2-1,AK$99:AO185,4,FALSE)))*EXP(-(LN(2)/$D$65+0.1)*(VLOOKUP(($F$16-$F$15)*2-1,AK$99:AO185,5,FALSE)))*EXP(-(LN(2)/$D$65+0.04)*AN185)*EXP(-(LN(2)/$D$65+0.1)*AO185),"-"))),"-")</f>
        <v>-</v>
      </c>
      <c r="AR186" s="271" t="str">
        <f>IFERROR(IF(AL186=1,AR$100*EXP(-(LN(2)/$D$65+0.04)*AN186)*EXP(-(LN(2)/$D$65+0.1)*AO186),IF(AL186=2,AR$100*EXP(-(LN(2)/$D$65+0.04)*(VLOOKUP(($F$16-$F$15)-1,AK$100:AO186,4,FALSE)))*EXP(-(LN(2)/$D$65+0.1)*(VLOOKUP(($F$16-$F$15)-1,AK$100:AO186,5,FALSE)))*EXP(-(LN(2)/$D$65+0.04)*AN186)*EXP(-(LN(2)/$D$65+0.1)*AO186),IF(AL186=3,AR$100*EXP(-(LN(2)/$D$65+0.04)*(VLOOKUP(($F$16-$F$15)-1,AK$100:AO186,4,FALSE)))*EXP(-(LN(2)/$D$65+0.1)*(VLOOKUP(($F$16-$F$15)-1,AK$100:AO186,5,FALSE)))*EXP(-(LN(2)/$D$65+0.04)*(VLOOKUP(($F$16-$F$15)*2-1,AK$100:AO186,4,FALSE)))*EXP(-(LN(2)/$D$65+0.1)*(VLOOKUP(($F$16-$F$15)*2-1,AK$100:AO186,5,FALSE)))*EXP(-(LN(2)/$D$65+0.04)*AN186)*EXP(-(LN(2)/$D$65+0.1)*AO186),"-"))),"-")</f>
        <v>-</v>
      </c>
      <c r="AS186" s="274">
        <f t="shared" si="113"/>
        <v>0</v>
      </c>
      <c r="AT186" s="274">
        <f t="shared" si="114"/>
        <v>0</v>
      </c>
      <c r="AU186" s="274">
        <f t="shared" si="115"/>
        <v>0</v>
      </c>
      <c r="AV186" s="190" t="str">
        <f>IF($B186&lt;$F$22,SUM($T$100:$T186),"")</f>
        <v/>
      </c>
      <c r="AW186" s="190" t="str">
        <f t="shared" si="116"/>
        <v>-</v>
      </c>
      <c r="AX186" s="190" t="str">
        <f t="shared" si="141"/>
        <v/>
      </c>
      <c r="AY186"/>
      <c r="AZ186" s="190" t="str">
        <f ca="1">IF(ISNUMBER(OFFSET(AV186,-$F$21,0)),SUM(OFFSET($T$100,$F$21,0):$T186),"")</f>
        <v/>
      </c>
      <c r="BA186" s="190" t="str">
        <f t="shared" ca="1" si="117"/>
        <v/>
      </c>
      <c r="BB186" s="190" t="str">
        <f t="shared" ca="1" si="148"/>
        <v/>
      </c>
      <c r="BC186" s="190"/>
      <c r="BD186" s="190" t="str">
        <f ca="1">IFERROR(IF(OR(ISNUMBER(I),ISNUMBER($F$14)),IF(AND($B186&gt;=($F$16-$F$15),$B186&lt;$F$22+($F$16-$F$15)),SUM(OFFSET($T$100,($F$16-$F$15),0):$T186),""),""),"")</f>
        <v/>
      </c>
      <c r="BE186" s="190" t="str">
        <f t="shared" ca="1" si="142"/>
        <v/>
      </c>
      <c r="BF186" s="190" t="str">
        <f t="shared" ca="1" si="143"/>
        <v/>
      </c>
      <c r="BG186"/>
      <c r="BH186" s="190" t="str">
        <f ca="1">IF(ISNUMBER(OFFSET(BD186,-$F$21,0)),SUM(OFFSET($T$100,($F$16-$F$15+$F$21),0):$T186),"")</f>
        <v/>
      </c>
      <c r="BI186" s="190" t="str">
        <f t="shared" ca="1" si="118"/>
        <v/>
      </c>
      <c r="BJ186" s="190" t="str">
        <f t="shared" ca="1" si="144"/>
        <v/>
      </c>
      <c r="BK186" s="190"/>
      <c r="BL186" s="190" t="str">
        <f ca="1">IFERROR(IF(OR(ISNUMBER(I),ISNUMBER($F$14)),IF(AND($B186&gt;=($F$17-$F$15),$B186&lt;$F$22+($F$17-$F$15)),SUM(OFFSET($T$100,($F$17-$F$15),0):$T186),""),""),"")</f>
        <v/>
      </c>
      <c r="BM186" s="190" t="str">
        <f t="shared" ca="1" si="119"/>
        <v/>
      </c>
      <c r="BN186" s="190" t="str">
        <f t="shared" ca="1" si="145"/>
        <v/>
      </c>
      <c r="BO186"/>
      <c r="BP186" s="190" t="str">
        <f ca="1">IF(ISNUMBER(OFFSET(BL186,-$F$21,0)),SUM(OFFSET($T$100,($F$17-$F$15+$F$21),0):$T186),"")</f>
        <v/>
      </c>
      <c r="BQ186" s="190" t="str">
        <f t="shared" ca="1" si="120"/>
        <v/>
      </c>
      <c r="BR186" s="190" t="str">
        <f t="shared" ca="1" si="146"/>
        <v/>
      </c>
      <c r="BS186" s="190"/>
      <c r="BT186"/>
      <c r="BU186"/>
      <c r="BV186"/>
      <c r="BY186" s="99"/>
      <c r="BZ186" s="99"/>
      <c r="CA186" s="280" t="str">
        <f t="shared" si="121"/>
        <v/>
      </c>
      <c r="CB186" s="71" t="str">
        <f t="shared" si="122"/>
        <v>-</v>
      </c>
      <c r="CC186" s="33"/>
      <c r="CD186" s="261" t="str">
        <f t="shared" si="123"/>
        <v/>
      </c>
      <c r="CE186" s="280" t="str">
        <f t="shared" si="124"/>
        <v/>
      </c>
      <c r="CF186" s="71" t="str">
        <f t="shared" ca="1" si="125"/>
        <v/>
      </c>
      <c r="CG186" s="33" t="str">
        <f t="shared" si="126"/>
        <v/>
      </c>
      <c r="CH186" s="261" t="str">
        <f t="shared" ca="1" si="127"/>
        <v/>
      </c>
      <c r="CI186" s="202"/>
      <c r="CJ186" s="99"/>
      <c r="CK186" s="99"/>
      <c r="CL186" s="99"/>
      <c r="CM186" s="99"/>
      <c r="CN186" s="99"/>
      <c r="CO186" s="99"/>
    </row>
    <row r="187" spans="2:93" ht="13.5" customHeight="1" x14ac:dyDescent="0.2">
      <c r="B187" s="262">
        <v>87</v>
      </c>
      <c r="C187" s="237" t="str">
        <f t="shared" si="91"/>
        <v/>
      </c>
      <c r="D187" s="237" t="str">
        <f t="shared" si="147"/>
        <v/>
      </c>
      <c r="E187" s="263" t="str">
        <f t="shared" si="128"/>
        <v/>
      </c>
      <c r="F187" s="264" t="str">
        <f t="shared" si="129"/>
        <v/>
      </c>
      <c r="G187" s="264" t="str">
        <f t="shared" si="130"/>
        <v/>
      </c>
      <c r="H187" s="240" t="str">
        <f t="shared" si="92"/>
        <v/>
      </c>
      <c r="I187" s="265" t="str">
        <f t="shared" si="93"/>
        <v/>
      </c>
      <c r="J187" s="265" t="str">
        <f t="shared" si="94"/>
        <v/>
      </c>
      <c r="K187" s="240" t="str">
        <f t="shared" si="95"/>
        <v/>
      </c>
      <c r="L187" s="265" t="str">
        <f t="shared" si="96"/>
        <v/>
      </c>
      <c r="M187" s="265" t="str">
        <f t="shared" si="97"/>
        <v/>
      </c>
      <c r="N187" s="240" t="str">
        <f t="shared" si="98"/>
        <v>-</v>
      </c>
      <c r="O187" s="265" t="str">
        <f t="shared" si="99"/>
        <v>-</v>
      </c>
      <c r="P187" s="265" t="str">
        <f t="shared" si="100"/>
        <v>-</v>
      </c>
      <c r="Q187" s="266" t="str">
        <f t="shared" si="101"/>
        <v>-</v>
      </c>
      <c r="R187" s="267" t="str">
        <f t="shared" si="102"/>
        <v>-</v>
      </c>
      <c r="S187" s="268" t="str">
        <f t="shared" si="103"/>
        <v>-</v>
      </c>
      <c r="T187" s="269" t="str">
        <f t="shared" si="104"/>
        <v/>
      </c>
      <c r="U187" s="221">
        <f t="shared" si="105"/>
        <v>87</v>
      </c>
      <c r="V187" s="220" t="str">
        <f t="shared" si="131"/>
        <v>-</v>
      </c>
      <c r="W187" s="221" t="str">
        <f t="shared" si="132"/>
        <v>-</v>
      </c>
      <c r="X187" s="221" t="str">
        <f t="shared" si="106"/>
        <v>-</v>
      </c>
      <c r="Y187" s="221" t="str">
        <f t="shared" si="107"/>
        <v>-</v>
      </c>
      <c r="Z187" s="270">
        <f t="shared" si="133"/>
        <v>0.1</v>
      </c>
      <c r="AA187" s="271" t="str">
        <f>IFERROR(IF(V186=1,AA$100*EXP(-(LN(2)/$D$65+0.04)*X186)*EXP(-(LN(2)/$D$65+0.1)*Y186),IF(V186=2,AA$100*EXP(-(LN(2)/$D$65+0.04)*(VLOOKUP(($F$16-$F$15)-1,U$99:Y186,4,FALSE)))*EXP(-(LN(2)/$D$65+0.1)*(VLOOKUP(($F$16-$F$15)-1,U$99:Y186,5,FALSE)))*EXP(-(LN(2)/$D$65+0.04)*X186)*EXP(-(LN(2)/$D$65+0.1)*Y186),IF(V186=3,AA$100*EXP(-(LN(2)/$D$65+0.04)*(VLOOKUP(($F$16-$F$15)-1,U$99:Y186,4,FALSE)))*EXP(-(LN(2)/$D$65+0.1)*(VLOOKUP(($F$16-$F$15)-1,U$99:Y186,5,FALSE)))*EXP(-(LN(2)/$D$65+0.04)*(VLOOKUP(($F$16-$F$15)*2-1,U$99:Y186,4,FALSE)))*EXP(-(LN(2)/$D$65+0.1)*(VLOOKUP(($F$16-$F$15)*2-1,U$99:Y186,5,FALSE)))*EXP(-(LN(2)/$D$65+0.04)*X186)*EXP(-(LN(2)/$D$65+0.1)*Y186),"-"))),"-")</f>
        <v>-</v>
      </c>
      <c r="AB187" s="271" t="str">
        <f>IFERROR(IF(V187=1,AB$100*EXP(-(LN(2)/$D$65+0.04)*X187)*EXP(-(LN(2)/$D$65+0.1)*Y187),IF(V187=2,AB$100*EXP(-(LN(2)/$D$65+0.04)*(VLOOKUP(($F$16-$F$15)-1,U$100:Y187,4,FALSE)))*EXP(-(LN(2)/$D$65+0.1)*(VLOOKUP(($F$16-$F$15)-1,U$100:Y187,5,FALSE)))*EXP(-(LN(2)/$D$65+0.04)*X187)*EXP(-(LN(2)/$D$65+0.1)*Y187),IF(V187=3,AB$100*EXP(-(LN(2)/$D$65+0.04)*(VLOOKUP(($F$16-$F$15)-1,U$100:Y187,4,FALSE)))*EXP(-(LN(2)/$D$65+0.1)*(VLOOKUP(($F$16-$F$15)-1,U$100:Y187,5,FALSE)))*EXP(-(LN(2)/$D$65+0.04)*(VLOOKUP(($F$16-$F$15)*2-1,U$100:Y187,4,FALSE)))*EXP(-(LN(2)/$D$65+0.1)*(VLOOKUP(($F$16-$F$15)*2-1,U$100:Y187,5,FALSE)))*EXP(-(LN(2)/$D$65+0.04)*X187)*EXP(-(LN(2)/$D$65+0.1)*Y187),"-"))),"-")</f>
        <v>-</v>
      </c>
      <c r="AC187" s="224">
        <f t="shared" si="134"/>
        <v>87</v>
      </c>
      <c r="AD187" s="223" t="str">
        <f t="shared" si="108"/>
        <v>-</v>
      </c>
      <c r="AE187" s="224" t="str">
        <f t="shared" si="135"/>
        <v>-</v>
      </c>
      <c r="AF187" s="224" t="str">
        <f t="shared" si="109"/>
        <v>-</v>
      </c>
      <c r="AG187" s="224" t="str">
        <f t="shared" si="110"/>
        <v>-</v>
      </c>
      <c r="AH187" s="272">
        <f t="shared" si="136"/>
        <v>0.1</v>
      </c>
      <c r="AI187" s="271" t="str">
        <f>IFERROR(IF(AD186=1,AI$100*EXP(-(LN(2)/$D$65+0.04)*AF186)*EXP(-(LN(2)/$D$65+0.1)*AG186),IF(AD186=2,AI$100*EXP(-(LN(2)/$D$65+0.04)*(VLOOKUP(($F$16-$F$15)-1,AC$99:AG186,4,FALSE)))*EXP(-(LN(2)/$D$65+0.1)*(VLOOKUP(($F$16-$F$15)-1,AC$99:AG186,5,FALSE)))*EXP(-(LN(2)/$D$65+0.04)*AF186)*EXP(-(LN(2)/$D$65+0.1)*AG186),IF(AD186=3,AI$100*EXP(-(LN(2)/$D$65+0.04)*(VLOOKUP(($F$16-$F$15)-1,AC$99:AG186,4,FALSE)))*EXP(-(LN(2)/$D$65+0.1)*(VLOOKUP(($F$16-$F$15)-1,AC$99:AG186,5,FALSE)))*EXP(-(LN(2)/$D$65+0.04)*(VLOOKUP(($F$16-$F$15)*2-1,AC$99:AG186,4,FALSE)))*EXP(-(LN(2)/$D$65+0.1)*(VLOOKUP(($F$16-$F$15)*2-1,AC$99:AG186,5,FALSE)))*EXP(-(LN(2)/$D$65+0.04)*AF186)*EXP(-(LN(2)/$D$65+0.1)*AG186),"-"))),"-")</f>
        <v>-</v>
      </c>
      <c r="AJ187" s="271" t="str">
        <f>IFERROR(IF(AD187=1,AJ$100*EXP(-(LN(2)/$D$65+0.04)*AF187)*EXP(-(LN(2)/$D$65+0.1)*AG187),IF(AD187=2,AJ$100*EXP(-(LN(2)/$D$65+0.04)*(VLOOKUP(($F$16-$F$15)-1,AC$100:AG187,4,FALSE)))*EXP(-(LN(2)/$D$65+0.1)*(VLOOKUP(($F$16-$F$15)-1,AC$100:AG187,5,FALSE)))*EXP(-(LN(2)/$D$65+0.04)*AF187)*EXP(-(LN(2)/$D$65+0.1)*AG187),IF(AD187=3,AJ$100*EXP(-(LN(2)/$D$65+0.04)*(VLOOKUP(($F$16-$F$15)-1,AC$100:AG187,4,FALSE)))*EXP(-(LN(2)/$D$65+0.1)*(VLOOKUP(($F$16-$F$15)-1,AC$100:AG187,5,FALSE)))*EXP(-(LN(2)/$D$65+0.04)*(VLOOKUP(($F$16-$F$15)*2-1,AC$100:AG187,4,FALSE)))*EXP(-(LN(2)/$D$65+0.1)*(VLOOKUP(($F$16-$F$15)*2-1,AC$100:AG187,5,FALSE)))*EXP(-(LN(2)/$D$65+0.04)*AF187)*EXP(-(LN(2)/$D$65+0.1)*AG187),"-"))),"-")</f>
        <v>-</v>
      </c>
      <c r="AK187" s="227">
        <f t="shared" si="137"/>
        <v>87</v>
      </c>
      <c r="AL187" s="226" t="str">
        <f t="shared" si="111"/>
        <v>-</v>
      </c>
      <c r="AM187" s="227" t="str">
        <f t="shared" si="138"/>
        <v>-</v>
      </c>
      <c r="AN187" s="227" t="str">
        <f t="shared" si="139"/>
        <v>-</v>
      </c>
      <c r="AO187" s="227" t="str">
        <f t="shared" si="112"/>
        <v>-</v>
      </c>
      <c r="AP187" s="273">
        <f t="shared" si="140"/>
        <v>0.1</v>
      </c>
      <c r="AQ187" s="271" t="str">
        <f>IFERROR(IF(AL186=1,AQ$100*EXP(-(LN(2)/$D$65+0.04)*AN186)*EXP(-(LN(2)/$D$65+0.1)*AO186),IF(AL186=2,AQ$100*EXP(-(LN(2)/$D$65+0.04)*(VLOOKUP(($F$16-$F$15)-1,AK$99:AO186,4,FALSE)))*EXP(-(LN(2)/$D$65+0.1)*(VLOOKUP(($F$16-$F$15)-1,AK$99:AO186,5,FALSE)))*EXP(-(LN(2)/$D$65+0.04)*AN186)*EXP(-(LN(2)/$D$65+0.1)*AO186),IF(AL186=3,AQ$100*EXP(-(LN(2)/$D$65+0.04)*(VLOOKUP(($F$16-$F$15)-1,AK$99:AO186,4,FALSE)))*EXP(-(LN(2)/$D$65+0.1)*(VLOOKUP(($F$16-$F$15)-1,AK$99:AO186,5,FALSE)))*EXP(-(LN(2)/$D$65+0.04)*(VLOOKUP(($F$16-$F$15)*2-1,AK$99:AO186,4,FALSE)))*EXP(-(LN(2)/$D$65+0.1)*(VLOOKUP(($F$16-$F$15)*2-1,AK$99:AO186,5,FALSE)))*EXP(-(LN(2)/$D$65+0.04)*AN186)*EXP(-(LN(2)/$D$65+0.1)*AO186),"-"))),"-")</f>
        <v>-</v>
      </c>
      <c r="AR187" s="271" t="str">
        <f>IFERROR(IF(AL187=1,AR$100*EXP(-(LN(2)/$D$65+0.04)*AN187)*EXP(-(LN(2)/$D$65+0.1)*AO187),IF(AL187=2,AR$100*EXP(-(LN(2)/$D$65+0.04)*(VLOOKUP(($F$16-$F$15)-1,AK$100:AO187,4,FALSE)))*EXP(-(LN(2)/$D$65+0.1)*(VLOOKUP(($F$16-$F$15)-1,AK$100:AO187,5,FALSE)))*EXP(-(LN(2)/$D$65+0.04)*AN187)*EXP(-(LN(2)/$D$65+0.1)*AO187),IF(AL187=3,AR$100*EXP(-(LN(2)/$D$65+0.04)*(VLOOKUP(($F$16-$F$15)-1,AK$100:AO187,4,FALSE)))*EXP(-(LN(2)/$D$65+0.1)*(VLOOKUP(($F$16-$F$15)-1,AK$100:AO187,5,FALSE)))*EXP(-(LN(2)/$D$65+0.04)*(VLOOKUP(($F$16-$F$15)*2-1,AK$100:AO187,4,FALSE)))*EXP(-(LN(2)/$D$65+0.1)*(VLOOKUP(($F$16-$F$15)*2-1,AK$100:AO187,5,FALSE)))*EXP(-(LN(2)/$D$65+0.04)*AN187)*EXP(-(LN(2)/$D$65+0.1)*AO187),"-"))),"-")</f>
        <v>-</v>
      </c>
      <c r="AS187" s="274">
        <f t="shared" si="113"/>
        <v>0</v>
      </c>
      <c r="AT187" s="274">
        <f t="shared" si="114"/>
        <v>0</v>
      </c>
      <c r="AU187" s="274">
        <f t="shared" si="115"/>
        <v>0</v>
      </c>
      <c r="AV187" s="190" t="str">
        <f>IF($B187&lt;$F$22,SUM($T$100:$T187),"")</f>
        <v/>
      </c>
      <c r="AW187" s="190" t="str">
        <f t="shared" si="116"/>
        <v>-</v>
      </c>
      <c r="AX187" s="190" t="str">
        <f t="shared" si="141"/>
        <v/>
      </c>
      <c r="AY187"/>
      <c r="AZ187" s="190" t="str">
        <f ca="1">IF(ISNUMBER(OFFSET(AV187,-$F$21,0)),SUM(OFFSET($T$100,$F$21,0):$T187),"")</f>
        <v/>
      </c>
      <c r="BA187" s="190" t="str">
        <f t="shared" ca="1" si="117"/>
        <v/>
      </c>
      <c r="BB187" s="190" t="str">
        <f t="shared" ca="1" si="148"/>
        <v/>
      </c>
      <c r="BC187" s="190"/>
      <c r="BD187" s="190" t="str">
        <f ca="1">IFERROR(IF(OR(ISNUMBER(I),ISNUMBER($F$14)),IF(AND($B187&gt;=($F$16-$F$15),$B187&lt;$F$22+($F$16-$F$15)),SUM(OFFSET($T$100,($F$16-$F$15),0):$T187),""),""),"")</f>
        <v/>
      </c>
      <c r="BE187" s="190" t="str">
        <f t="shared" ca="1" si="142"/>
        <v/>
      </c>
      <c r="BF187" s="190" t="str">
        <f t="shared" ca="1" si="143"/>
        <v/>
      </c>
      <c r="BG187"/>
      <c r="BH187" s="190" t="str">
        <f ca="1">IF(ISNUMBER(OFFSET(BD187,-$F$21,0)),SUM(OFFSET($T$100,($F$16-$F$15+$F$21),0):$T187),"")</f>
        <v/>
      </c>
      <c r="BI187" s="190" t="str">
        <f t="shared" ca="1" si="118"/>
        <v/>
      </c>
      <c r="BJ187" s="190" t="str">
        <f t="shared" ca="1" si="144"/>
        <v/>
      </c>
      <c r="BK187" s="190"/>
      <c r="BL187" s="190" t="str">
        <f ca="1">IFERROR(IF(OR(ISNUMBER(I),ISNUMBER($F$14)),IF(AND($B187&gt;=($F$17-$F$15),$B187&lt;$F$22+($F$17-$F$15)),SUM(OFFSET($T$100,($F$17-$F$15),0):$T187),""),""),"")</f>
        <v/>
      </c>
      <c r="BM187" s="190" t="str">
        <f t="shared" ca="1" si="119"/>
        <v/>
      </c>
      <c r="BN187" s="190" t="str">
        <f t="shared" ca="1" si="145"/>
        <v/>
      </c>
      <c r="BO187"/>
      <c r="BP187" s="190" t="str">
        <f ca="1">IF(ISNUMBER(OFFSET(BL187,-$F$21,0)),SUM(OFFSET($T$100,($F$17-$F$15+$F$21),0):$T187),"")</f>
        <v/>
      </c>
      <c r="BQ187" s="190" t="str">
        <f t="shared" ca="1" si="120"/>
        <v/>
      </c>
      <c r="BR187" s="190" t="str">
        <f t="shared" ca="1" si="146"/>
        <v/>
      </c>
      <c r="BS187" s="190"/>
      <c r="BT187"/>
      <c r="BU187"/>
      <c r="BV187"/>
      <c r="BY187" s="99"/>
      <c r="BZ187" s="99"/>
      <c r="CA187" s="280" t="str">
        <f t="shared" si="121"/>
        <v/>
      </c>
      <c r="CB187" s="71" t="str">
        <f t="shared" si="122"/>
        <v>-</v>
      </c>
      <c r="CC187" s="33"/>
      <c r="CD187" s="261" t="str">
        <f t="shared" si="123"/>
        <v/>
      </c>
      <c r="CE187" s="280" t="str">
        <f t="shared" si="124"/>
        <v/>
      </c>
      <c r="CF187" s="71" t="str">
        <f t="shared" ca="1" si="125"/>
        <v/>
      </c>
      <c r="CG187" s="33" t="str">
        <f t="shared" si="126"/>
        <v/>
      </c>
      <c r="CH187" s="261" t="str">
        <f t="shared" ca="1" si="127"/>
        <v/>
      </c>
      <c r="CI187" s="202"/>
      <c r="CJ187" s="99"/>
      <c r="CK187" s="99"/>
      <c r="CL187" s="99"/>
      <c r="CM187" s="99"/>
      <c r="CN187" s="99"/>
      <c r="CO187" s="99"/>
    </row>
    <row r="188" spans="2:93" ht="13.5" customHeight="1" x14ac:dyDescent="0.2">
      <c r="B188" s="262">
        <v>88</v>
      </c>
      <c r="C188" s="237" t="str">
        <f t="shared" si="91"/>
        <v/>
      </c>
      <c r="D188" s="237" t="str">
        <f t="shared" si="147"/>
        <v/>
      </c>
      <c r="E188" s="263" t="str">
        <f t="shared" si="128"/>
        <v/>
      </c>
      <c r="F188" s="264" t="str">
        <f t="shared" si="129"/>
        <v/>
      </c>
      <c r="G188" s="264" t="str">
        <f t="shared" si="130"/>
        <v/>
      </c>
      <c r="H188" s="240" t="str">
        <f t="shared" si="92"/>
        <v/>
      </c>
      <c r="I188" s="265" t="str">
        <f t="shared" si="93"/>
        <v/>
      </c>
      <c r="J188" s="265" t="str">
        <f t="shared" si="94"/>
        <v/>
      </c>
      <c r="K188" s="240" t="str">
        <f t="shared" si="95"/>
        <v/>
      </c>
      <c r="L188" s="265" t="str">
        <f t="shared" si="96"/>
        <v/>
      </c>
      <c r="M188" s="265" t="str">
        <f t="shared" si="97"/>
        <v/>
      </c>
      <c r="N188" s="240" t="str">
        <f t="shared" si="98"/>
        <v>-</v>
      </c>
      <c r="O188" s="265" t="str">
        <f t="shared" si="99"/>
        <v>-</v>
      </c>
      <c r="P188" s="265" t="str">
        <f t="shared" si="100"/>
        <v>-</v>
      </c>
      <c r="Q188" s="266" t="str">
        <f t="shared" si="101"/>
        <v>-</v>
      </c>
      <c r="R188" s="267" t="str">
        <f t="shared" si="102"/>
        <v>-</v>
      </c>
      <c r="S188" s="268" t="str">
        <f t="shared" si="103"/>
        <v>-</v>
      </c>
      <c r="T188" s="269" t="str">
        <f t="shared" si="104"/>
        <v/>
      </c>
      <c r="U188" s="221">
        <f t="shared" si="105"/>
        <v>88</v>
      </c>
      <c r="V188" s="220" t="str">
        <f t="shared" si="131"/>
        <v>-</v>
      </c>
      <c r="W188" s="221" t="str">
        <f t="shared" si="132"/>
        <v>-</v>
      </c>
      <c r="X188" s="221" t="str">
        <f t="shared" si="106"/>
        <v>-</v>
      </c>
      <c r="Y188" s="221" t="str">
        <f t="shared" si="107"/>
        <v>-</v>
      </c>
      <c r="Z188" s="270">
        <f t="shared" si="133"/>
        <v>0.1</v>
      </c>
      <c r="AA188" s="271" t="str">
        <f>IFERROR(IF(V187=1,AA$100*EXP(-(LN(2)/$D$65+0.04)*X187)*EXP(-(LN(2)/$D$65+0.1)*Y187),IF(V187=2,AA$100*EXP(-(LN(2)/$D$65+0.04)*(VLOOKUP(($F$16-$F$15)-1,U$99:Y187,4,FALSE)))*EXP(-(LN(2)/$D$65+0.1)*(VLOOKUP(($F$16-$F$15)-1,U$99:Y187,5,FALSE)))*EXP(-(LN(2)/$D$65+0.04)*X187)*EXP(-(LN(2)/$D$65+0.1)*Y187),IF(V187=3,AA$100*EXP(-(LN(2)/$D$65+0.04)*(VLOOKUP(($F$16-$F$15)-1,U$99:Y187,4,FALSE)))*EXP(-(LN(2)/$D$65+0.1)*(VLOOKUP(($F$16-$F$15)-1,U$99:Y187,5,FALSE)))*EXP(-(LN(2)/$D$65+0.04)*(VLOOKUP(($F$16-$F$15)*2-1,U$99:Y187,4,FALSE)))*EXP(-(LN(2)/$D$65+0.1)*(VLOOKUP(($F$16-$F$15)*2-1,U$99:Y187,5,FALSE)))*EXP(-(LN(2)/$D$65+0.04)*X187)*EXP(-(LN(2)/$D$65+0.1)*Y187),"-"))),"-")</f>
        <v>-</v>
      </c>
      <c r="AB188" s="271" t="str">
        <f>IFERROR(IF(V188=1,AB$100*EXP(-(LN(2)/$D$65+0.04)*X188)*EXP(-(LN(2)/$D$65+0.1)*Y188),IF(V188=2,AB$100*EXP(-(LN(2)/$D$65+0.04)*(VLOOKUP(($F$16-$F$15)-1,U$100:Y188,4,FALSE)))*EXP(-(LN(2)/$D$65+0.1)*(VLOOKUP(($F$16-$F$15)-1,U$100:Y188,5,FALSE)))*EXP(-(LN(2)/$D$65+0.04)*X188)*EXP(-(LN(2)/$D$65+0.1)*Y188),IF(V188=3,AB$100*EXP(-(LN(2)/$D$65+0.04)*(VLOOKUP(($F$16-$F$15)-1,U$100:Y188,4,FALSE)))*EXP(-(LN(2)/$D$65+0.1)*(VLOOKUP(($F$16-$F$15)-1,U$100:Y188,5,FALSE)))*EXP(-(LN(2)/$D$65+0.04)*(VLOOKUP(($F$16-$F$15)*2-1,U$100:Y188,4,FALSE)))*EXP(-(LN(2)/$D$65+0.1)*(VLOOKUP(($F$16-$F$15)*2-1,U$100:Y188,5,FALSE)))*EXP(-(LN(2)/$D$65+0.04)*X188)*EXP(-(LN(2)/$D$65+0.1)*Y188),"-"))),"-")</f>
        <v>-</v>
      </c>
      <c r="AC188" s="224">
        <f t="shared" si="134"/>
        <v>88</v>
      </c>
      <c r="AD188" s="223" t="str">
        <f t="shared" si="108"/>
        <v>-</v>
      </c>
      <c r="AE188" s="224" t="str">
        <f t="shared" si="135"/>
        <v>-</v>
      </c>
      <c r="AF188" s="224" t="str">
        <f t="shared" si="109"/>
        <v>-</v>
      </c>
      <c r="AG188" s="224" t="str">
        <f t="shared" si="110"/>
        <v>-</v>
      </c>
      <c r="AH188" s="272">
        <f t="shared" si="136"/>
        <v>0.1</v>
      </c>
      <c r="AI188" s="271" t="str">
        <f>IFERROR(IF(AD187=1,AI$100*EXP(-(LN(2)/$D$65+0.04)*AF187)*EXP(-(LN(2)/$D$65+0.1)*AG187),IF(AD187=2,AI$100*EXP(-(LN(2)/$D$65+0.04)*(VLOOKUP(($F$16-$F$15)-1,AC$99:AG187,4,FALSE)))*EXP(-(LN(2)/$D$65+0.1)*(VLOOKUP(($F$16-$F$15)-1,AC$99:AG187,5,FALSE)))*EXP(-(LN(2)/$D$65+0.04)*AF187)*EXP(-(LN(2)/$D$65+0.1)*AG187),IF(AD187=3,AI$100*EXP(-(LN(2)/$D$65+0.04)*(VLOOKUP(($F$16-$F$15)-1,AC$99:AG187,4,FALSE)))*EXP(-(LN(2)/$D$65+0.1)*(VLOOKUP(($F$16-$F$15)-1,AC$99:AG187,5,FALSE)))*EXP(-(LN(2)/$D$65+0.04)*(VLOOKUP(($F$16-$F$15)*2-1,AC$99:AG187,4,FALSE)))*EXP(-(LN(2)/$D$65+0.1)*(VLOOKUP(($F$16-$F$15)*2-1,AC$99:AG187,5,FALSE)))*EXP(-(LN(2)/$D$65+0.04)*AF187)*EXP(-(LN(2)/$D$65+0.1)*AG187),"-"))),"-")</f>
        <v>-</v>
      </c>
      <c r="AJ188" s="271" t="str">
        <f>IFERROR(IF(AD188=1,AJ$100*EXP(-(LN(2)/$D$65+0.04)*AF188)*EXP(-(LN(2)/$D$65+0.1)*AG188),IF(AD188=2,AJ$100*EXP(-(LN(2)/$D$65+0.04)*(VLOOKUP(($F$16-$F$15)-1,AC$100:AG188,4,FALSE)))*EXP(-(LN(2)/$D$65+0.1)*(VLOOKUP(($F$16-$F$15)-1,AC$100:AG188,5,FALSE)))*EXP(-(LN(2)/$D$65+0.04)*AF188)*EXP(-(LN(2)/$D$65+0.1)*AG188),IF(AD188=3,AJ$100*EXP(-(LN(2)/$D$65+0.04)*(VLOOKUP(($F$16-$F$15)-1,AC$100:AG188,4,FALSE)))*EXP(-(LN(2)/$D$65+0.1)*(VLOOKUP(($F$16-$F$15)-1,AC$100:AG188,5,FALSE)))*EXP(-(LN(2)/$D$65+0.04)*(VLOOKUP(($F$16-$F$15)*2-1,AC$100:AG188,4,FALSE)))*EXP(-(LN(2)/$D$65+0.1)*(VLOOKUP(($F$16-$F$15)*2-1,AC$100:AG188,5,FALSE)))*EXP(-(LN(2)/$D$65+0.04)*AF188)*EXP(-(LN(2)/$D$65+0.1)*AG188),"-"))),"-")</f>
        <v>-</v>
      </c>
      <c r="AK188" s="227">
        <f t="shared" si="137"/>
        <v>88</v>
      </c>
      <c r="AL188" s="226" t="str">
        <f t="shared" si="111"/>
        <v>-</v>
      </c>
      <c r="AM188" s="227" t="str">
        <f t="shared" si="138"/>
        <v>-</v>
      </c>
      <c r="AN188" s="227" t="str">
        <f t="shared" si="139"/>
        <v>-</v>
      </c>
      <c r="AO188" s="227" t="str">
        <f t="shared" si="112"/>
        <v>-</v>
      </c>
      <c r="AP188" s="273">
        <f t="shared" si="140"/>
        <v>0.1</v>
      </c>
      <c r="AQ188" s="271" t="str">
        <f>IFERROR(IF(AL187=1,AQ$100*EXP(-(LN(2)/$D$65+0.04)*AN187)*EXP(-(LN(2)/$D$65+0.1)*AO187),IF(AL187=2,AQ$100*EXP(-(LN(2)/$D$65+0.04)*(VLOOKUP(($F$16-$F$15)-1,AK$99:AO187,4,FALSE)))*EXP(-(LN(2)/$D$65+0.1)*(VLOOKUP(($F$16-$F$15)-1,AK$99:AO187,5,FALSE)))*EXP(-(LN(2)/$D$65+0.04)*AN187)*EXP(-(LN(2)/$D$65+0.1)*AO187),IF(AL187=3,AQ$100*EXP(-(LN(2)/$D$65+0.04)*(VLOOKUP(($F$16-$F$15)-1,AK$99:AO187,4,FALSE)))*EXP(-(LN(2)/$D$65+0.1)*(VLOOKUP(($F$16-$F$15)-1,AK$99:AO187,5,FALSE)))*EXP(-(LN(2)/$D$65+0.04)*(VLOOKUP(($F$16-$F$15)*2-1,AK$99:AO187,4,FALSE)))*EXP(-(LN(2)/$D$65+0.1)*(VLOOKUP(($F$16-$F$15)*2-1,AK$99:AO187,5,FALSE)))*EXP(-(LN(2)/$D$65+0.04)*AN187)*EXP(-(LN(2)/$D$65+0.1)*AO187),"-"))),"-")</f>
        <v>-</v>
      </c>
      <c r="AR188" s="271" t="str">
        <f>IFERROR(IF(AL188=1,AR$100*EXP(-(LN(2)/$D$65+0.04)*AN188)*EXP(-(LN(2)/$D$65+0.1)*AO188),IF(AL188=2,AR$100*EXP(-(LN(2)/$D$65+0.04)*(VLOOKUP(($F$16-$F$15)-1,AK$100:AO188,4,FALSE)))*EXP(-(LN(2)/$D$65+0.1)*(VLOOKUP(($F$16-$F$15)-1,AK$100:AO188,5,FALSE)))*EXP(-(LN(2)/$D$65+0.04)*AN188)*EXP(-(LN(2)/$D$65+0.1)*AO188),IF(AL188=3,AR$100*EXP(-(LN(2)/$D$65+0.04)*(VLOOKUP(($F$16-$F$15)-1,AK$100:AO188,4,FALSE)))*EXP(-(LN(2)/$D$65+0.1)*(VLOOKUP(($F$16-$F$15)-1,AK$100:AO188,5,FALSE)))*EXP(-(LN(2)/$D$65+0.04)*(VLOOKUP(($F$16-$F$15)*2-1,AK$100:AO188,4,FALSE)))*EXP(-(LN(2)/$D$65+0.1)*(VLOOKUP(($F$16-$F$15)*2-1,AK$100:AO188,5,FALSE)))*EXP(-(LN(2)/$D$65+0.04)*AN188)*EXP(-(LN(2)/$D$65+0.1)*AO188),"-"))),"-")</f>
        <v>-</v>
      </c>
      <c r="AS188" s="274">
        <f t="shared" si="113"/>
        <v>0</v>
      </c>
      <c r="AT188" s="274">
        <f t="shared" si="114"/>
        <v>0</v>
      </c>
      <c r="AU188" s="274">
        <f t="shared" si="115"/>
        <v>0</v>
      </c>
      <c r="AV188" s="190" t="str">
        <f>IF($B188&lt;$F$22,SUM($T$100:$T188),"")</f>
        <v/>
      </c>
      <c r="AW188" s="190" t="str">
        <f t="shared" si="116"/>
        <v>-</v>
      </c>
      <c r="AX188" s="190" t="str">
        <f t="shared" si="141"/>
        <v/>
      </c>
      <c r="AY188"/>
      <c r="AZ188" s="190" t="str">
        <f ca="1">IF(ISNUMBER(OFFSET(AV188,-$F$21,0)),SUM(OFFSET($T$100,$F$21,0):$T188),"")</f>
        <v/>
      </c>
      <c r="BA188" s="190" t="str">
        <f t="shared" ca="1" si="117"/>
        <v/>
      </c>
      <c r="BB188" s="190" t="str">
        <f t="shared" ca="1" si="148"/>
        <v/>
      </c>
      <c r="BC188" s="190"/>
      <c r="BD188" s="190" t="str">
        <f ca="1">IFERROR(IF(OR(ISNUMBER(I),ISNUMBER($F$14)),IF(AND($B188&gt;=($F$16-$F$15),$B188&lt;$F$22+($F$16-$F$15)),SUM(OFFSET($T$100,($F$16-$F$15),0):$T188),""),""),"")</f>
        <v/>
      </c>
      <c r="BE188" s="190" t="str">
        <f t="shared" ca="1" si="142"/>
        <v/>
      </c>
      <c r="BF188" s="190" t="str">
        <f t="shared" ca="1" si="143"/>
        <v/>
      </c>
      <c r="BG188"/>
      <c r="BH188" s="190" t="str">
        <f ca="1">IF(ISNUMBER(OFFSET(BD188,-$F$21,0)),SUM(OFFSET($T$100,($F$16-$F$15+$F$21),0):$T188),"")</f>
        <v/>
      </c>
      <c r="BI188" s="190" t="str">
        <f t="shared" ca="1" si="118"/>
        <v/>
      </c>
      <c r="BJ188" s="190" t="str">
        <f t="shared" ca="1" si="144"/>
        <v/>
      </c>
      <c r="BK188" s="190"/>
      <c r="BL188" s="190" t="str">
        <f ca="1">IFERROR(IF(OR(ISNUMBER(I),ISNUMBER($F$14)),IF(AND($B188&gt;=($F$17-$F$15),$B188&lt;$F$22+($F$17-$F$15)),SUM(OFFSET($T$100,($F$17-$F$15),0):$T188),""),""),"")</f>
        <v/>
      </c>
      <c r="BM188" s="190" t="str">
        <f t="shared" ca="1" si="119"/>
        <v/>
      </c>
      <c r="BN188" s="190" t="str">
        <f t="shared" ca="1" si="145"/>
        <v/>
      </c>
      <c r="BO188"/>
      <c r="BP188" s="190" t="str">
        <f ca="1">IF(ISNUMBER(OFFSET(BL188,-$F$21,0)),SUM(OFFSET($T$100,($F$17-$F$15+$F$21),0):$T188),"")</f>
        <v/>
      </c>
      <c r="BQ188" s="190" t="str">
        <f t="shared" ca="1" si="120"/>
        <v/>
      </c>
      <c r="BR188" s="190" t="str">
        <f t="shared" ca="1" si="146"/>
        <v/>
      </c>
      <c r="BS188" s="190"/>
      <c r="BT188"/>
      <c r="BU188"/>
      <c r="BV188"/>
      <c r="BY188" s="99"/>
      <c r="BZ188" s="99"/>
      <c r="CA188" s="280" t="str">
        <f t="shared" si="121"/>
        <v/>
      </c>
      <c r="CB188" s="71" t="str">
        <f t="shared" si="122"/>
        <v>-</v>
      </c>
      <c r="CC188" s="33"/>
      <c r="CD188" s="261" t="str">
        <f t="shared" si="123"/>
        <v/>
      </c>
      <c r="CE188" s="280" t="str">
        <f t="shared" si="124"/>
        <v/>
      </c>
      <c r="CF188" s="71" t="str">
        <f t="shared" ca="1" si="125"/>
        <v/>
      </c>
      <c r="CG188" s="33" t="str">
        <f t="shared" si="126"/>
        <v/>
      </c>
      <c r="CH188" s="261" t="str">
        <f t="shared" ca="1" si="127"/>
        <v/>
      </c>
      <c r="CJ188" s="99"/>
      <c r="CK188" s="99"/>
      <c r="CL188" s="99"/>
      <c r="CM188" s="99"/>
      <c r="CN188" s="99"/>
      <c r="CO188" s="99"/>
    </row>
    <row r="189" spans="2:93" ht="13.5" customHeight="1" x14ac:dyDescent="0.2">
      <c r="B189" s="262">
        <v>89</v>
      </c>
      <c r="C189" s="237" t="str">
        <f t="shared" si="91"/>
        <v/>
      </c>
      <c r="D189" s="237" t="str">
        <f t="shared" si="147"/>
        <v/>
      </c>
      <c r="E189" s="263" t="str">
        <f t="shared" si="128"/>
        <v/>
      </c>
      <c r="F189" s="264" t="str">
        <f t="shared" si="129"/>
        <v/>
      </c>
      <c r="G189" s="264" t="str">
        <f t="shared" si="130"/>
        <v/>
      </c>
      <c r="H189" s="240" t="str">
        <f t="shared" si="92"/>
        <v/>
      </c>
      <c r="I189" s="265" t="str">
        <f t="shared" si="93"/>
        <v/>
      </c>
      <c r="J189" s="265" t="str">
        <f t="shared" si="94"/>
        <v/>
      </c>
      <c r="K189" s="240" t="str">
        <f t="shared" si="95"/>
        <v/>
      </c>
      <c r="L189" s="265" t="str">
        <f t="shared" si="96"/>
        <v/>
      </c>
      <c r="M189" s="265" t="str">
        <f t="shared" si="97"/>
        <v/>
      </c>
      <c r="N189" s="240" t="str">
        <f t="shared" si="98"/>
        <v>-</v>
      </c>
      <c r="O189" s="265" t="str">
        <f t="shared" si="99"/>
        <v>-</v>
      </c>
      <c r="P189" s="265" t="str">
        <f t="shared" si="100"/>
        <v>-</v>
      </c>
      <c r="Q189" s="266" t="str">
        <f t="shared" si="101"/>
        <v>-</v>
      </c>
      <c r="R189" s="267" t="str">
        <f t="shared" si="102"/>
        <v>-</v>
      </c>
      <c r="S189" s="268" t="str">
        <f t="shared" si="103"/>
        <v>-</v>
      </c>
      <c r="T189" s="269" t="str">
        <f t="shared" si="104"/>
        <v/>
      </c>
      <c r="U189" s="221">
        <f t="shared" si="105"/>
        <v>89</v>
      </c>
      <c r="V189" s="220" t="str">
        <f t="shared" si="131"/>
        <v>-</v>
      </c>
      <c r="W189" s="221" t="str">
        <f t="shared" si="132"/>
        <v>-</v>
      </c>
      <c r="X189" s="221" t="str">
        <f t="shared" si="106"/>
        <v>-</v>
      </c>
      <c r="Y189" s="221" t="str">
        <f t="shared" si="107"/>
        <v>-</v>
      </c>
      <c r="Z189" s="270">
        <f t="shared" si="133"/>
        <v>0.1</v>
      </c>
      <c r="AA189" s="271" t="str">
        <f>IFERROR(IF(V188=1,AA$100*EXP(-(LN(2)/$D$65+0.04)*X188)*EXP(-(LN(2)/$D$65+0.1)*Y188),IF(V188=2,AA$100*EXP(-(LN(2)/$D$65+0.04)*(VLOOKUP(($F$16-$F$15)-1,U$99:Y188,4,FALSE)))*EXP(-(LN(2)/$D$65+0.1)*(VLOOKUP(($F$16-$F$15)-1,U$99:Y188,5,FALSE)))*EXP(-(LN(2)/$D$65+0.04)*X188)*EXP(-(LN(2)/$D$65+0.1)*Y188),IF(V188=3,AA$100*EXP(-(LN(2)/$D$65+0.04)*(VLOOKUP(($F$16-$F$15)-1,U$99:Y188,4,FALSE)))*EXP(-(LN(2)/$D$65+0.1)*(VLOOKUP(($F$16-$F$15)-1,U$99:Y188,5,FALSE)))*EXP(-(LN(2)/$D$65+0.04)*(VLOOKUP(($F$16-$F$15)*2-1,U$99:Y188,4,FALSE)))*EXP(-(LN(2)/$D$65+0.1)*(VLOOKUP(($F$16-$F$15)*2-1,U$99:Y188,5,FALSE)))*EXP(-(LN(2)/$D$65+0.04)*X188)*EXP(-(LN(2)/$D$65+0.1)*Y188),"-"))),"-")</f>
        <v>-</v>
      </c>
      <c r="AB189" s="271" t="str">
        <f>IFERROR(IF(V189=1,AB$100*EXP(-(LN(2)/$D$65+0.04)*X189)*EXP(-(LN(2)/$D$65+0.1)*Y189),IF(V189=2,AB$100*EXP(-(LN(2)/$D$65+0.04)*(VLOOKUP(($F$16-$F$15)-1,U$100:Y189,4,FALSE)))*EXP(-(LN(2)/$D$65+0.1)*(VLOOKUP(($F$16-$F$15)-1,U$100:Y189,5,FALSE)))*EXP(-(LN(2)/$D$65+0.04)*X189)*EXP(-(LN(2)/$D$65+0.1)*Y189),IF(V189=3,AB$100*EXP(-(LN(2)/$D$65+0.04)*(VLOOKUP(($F$16-$F$15)-1,U$100:Y189,4,FALSE)))*EXP(-(LN(2)/$D$65+0.1)*(VLOOKUP(($F$16-$F$15)-1,U$100:Y189,5,FALSE)))*EXP(-(LN(2)/$D$65+0.04)*(VLOOKUP(($F$16-$F$15)*2-1,U$100:Y189,4,FALSE)))*EXP(-(LN(2)/$D$65+0.1)*(VLOOKUP(($F$16-$F$15)*2-1,U$100:Y189,5,FALSE)))*EXP(-(LN(2)/$D$65+0.04)*X189)*EXP(-(LN(2)/$D$65+0.1)*Y189),"-"))),"-")</f>
        <v>-</v>
      </c>
      <c r="AC189" s="224">
        <f t="shared" si="134"/>
        <v>89</v>
      </c>
      <c r="AD189" s="223" t="str">
        <f t="shared" si="108"/>
        <v>-</v>
      </c>
      <c r="AE189" s="224" t="str">
        <f t="shared" si="135"/>
        <v>-</v>
      </c>
      <c r="AF189" s="224" t="str">
        <f t="shared" si="109"/>
        <v>-</v>
      </c>
      <c r="AG189" s="224" t="str">
        <f t="shared" si="110"/>
        <v>-</v>
      </c>
      <c r="AH189" s="272">
        <f t="shared" si="136"/>
        <v>0.1</v>
      </c>
      <c r="AI189" s="271" t="str">
        <f>IFERROR(IF(AD188=1,AI$100*EXP(-(LN(2)/$D$65+0.04)*AF188)*EXP(-(LN(2)/$D$65+0.1)*AG188),IF(AD188=2,AI$100*EXP(-(LN(2)/$D$65+0.04)*(VLOOKUP(($F$16-$F$15)-1,AC$99:AG188,4,FALSE)))*EXP(-(LN(2)/$D$65+0.1)*(VLOOKUP(($F$16-$F$15)-1,AC$99:AG188,5,FALSE)))*EXP(-(LN(2)/$D$65+0.04)*AF188)*EXP(-(LN(2)/$D$65+0.1)*AG188),IF(AD188=3,AI$100*EXP(-(LN(2)/$D$65+0.04)*(VLOOKUP(($F$16-$F$15)-1,AC$99:AG188,4,FALSE)))*EXP(-(LN(2)/$D$65+0.1)*(VLOOKUP(($F$16-$F$15)-1,AC$99:AG188,5,FALSE)))*EXP(-(LN(2)/$D$65+0.04)*(VLOOKUP(($F$16-$F$15)*2-1,AC$99:AG188,4,FALSE)))*EXP(-(LN(2)/$D$65+0.1)*(VLOOKUP(($F$16-$F$15)*2-1,AC$99:AG188,5,FALSE)))*EXP(-(LN(2)/$D$65+0.04)*AF188)*EXP(-(LN(2)/$D$65+0.1)*AG188),"-"))),"-")</f>
        <v>-</v>
      </c>
      <c r="AJ189" s="271" t="str">
        <f>IFERROR(IF(AD189=1,AJ$100*EXP(-(LN(2)/$D$65+0.04)*AF189)*EXP(-(LN(2)/$D$65+0.1)*AG189),IF(AD189=2,AJ$100*EXP(-(LN(2)/$D$65+0.04)*(VLOOKUP(($F$16-$F$15)-1,AC$100:AG189,4,FALSE)))*EXP(-(LN(2)/$D$65+0.1)*(VLOOKUP(($F$16-$F$15)-1,AC$100:AG189,5,FALSE)))*EXP(-(LN(2)/$D$65+0.04)*AF189)*EXP(-(LN(2)/$D$65+0.1)*AG189),IF(AD189=3,AJ$100*EXP(-(LN(2)/$D$65+0.04)*(VLOOKUP(($F$16-$F$15)-1,AC$100:AG189,4,FALSE)))*EXP(-(LN(2)/$D$65+0.1)*(VLOOKUP(($F$16-$F$15)-1,AC$100:AG189,5,FALSE)))*EXP(-(LN(2)/$D$65+0.04)*(VLOOKUP(($F$16-$F$15)*2-1,AC$100:AG189,4,FALSE)))*EXP(-(LN(2)/$D$65+0.1)*(VLOOKUP(($F$16-$F$15)*2-1,AC$100:AG189,5,FALSE)))*EXP(-(LN(2)/$D$65+0.04)*AF189)*EXP(-(LN(2)/$D$65+0.1)*AG189),"-"))),"-")</f>
        <v>-</v>
      </c>
      <c r="AK189" s="227">
        <f t="shared" si="137"/>
        <v>89</v>
      </c>
      <c r="AL189" s="226" t="str">
        <f t="shared" si="111"/>
        <v>-</v>
      </c>
      <c r="AM189" s="227" t="str">
        <f t="shared" si="138"/>
        <v>-</v>
      </c>
      <c r="AN189" s="227" t="str">
        <f t="shared" si="139"/>
        <v>-</v>
      </c>
      <c r="AO189" s="227" t="str">
        <f t="shared" si="112"/>
        <v>-</v>
      </c>
      <c r="AP189" s="273">
        <f t="shared" si="140"/>
        <v>0.1</v>
      </c>
      <c r="AQ189" s="271" t="str">
        <f>IFERROR(IF(AL188=1,AQ$100*EXP(-(LN(2)/$D$65+0.04)*AN188)*EXP(-(LN(2)/$D$65+0.1)*AO188),IF(AL188=2,AQ$100*EXP(-(LN(2)/$D$65+0.04)*(VLOOKUP(($F$16-$F$15)-1,AK$99:AO188,4,FALSE)))*EXP(-(LN(2)/$D$65+0.1)*(VLOOKUP(($F$16-$F$15)-1,AK$99:AO188,5,FALSE)))*EXP(-(LN(2)/$D$65+0.04)*AN188)*EXP(-(LN(2)/$D$65+0.1)*AO188),IF(AL188=3,AQ$100*EXP(-(LN(2)/$D$65+0.04)*(VLOOKUP(($F$16-$F$15)-1,AK$99:AO188,4,FALSE)))*EXP(-(LN(2)/$D$65+0.1)*(VLOOKUP(($F$16-$F$15)-1,AK$99:AO188,5,FALSE)))*EXP(-(LN(2)/$D$65+0.04)*(VLOOKUP(($F$16-$F$15)*2-1,AK$99:AO188,4,FALSE)))*EXP(-(LN(2)/$D$65+0.1)*(VLOOKUP(($F$16-$F$15)*2-1,AK$99:AO188,5,FALSE)))*EXP(-(LN(2)/$D$65+0.04)*AN188)*EXP(-(LN(2)/$D$65+0.1)*AO188),"-"))),"-")</f>
        <v>-</v>
      </c>
      <c r="AR189" s="271" t="str">
        <f>IFERROR(IF(AL189=1,AR$100*EXP(-(LN(2)/$D$65+0.04)*AN189)*EXP(-(LN(2)/$D$65+0.1)*AO189),IF(AL189=2,AR$100*EXP(-(LN(2)/$D$65+0.04)*(VLOOKUP(($F$16-$F$15)-1,AK$100:AO189,4,FALSE)))*EXP(-(LN(2)/$D$65+0.1)*(VLOOKUP(($F$16-$F$15)-1,AK$100:AO189,5,FALSE)))*EXP(-(LN(2)/$D$65+0.04)*AN189)*EXP(-(LN(2)/$D$65+0.1)*AO189),IF(AL189=3,AR$100*EXP(-(LN(2)/$D$65+0.04)*(VLOOKUP(($F$16-$F$15)-1,AK$100:AO189,4,FALSE)))*EXP(-(LN(2)/$D$65+0.1)*(VLOOKUP(($F$16-$F$15)-1,AK$100:AO189,5,FALSE)))*EXP(-(LN(2)/$D$65+0.04)*(VLOOKUP(($F$16-$F$15)*2-1,AK$100:AO189,4,FALSE)))*EXP(-(LN(2)/$D$65+0.1)*(VLOOKUP(($F$16-$F$15)*2-1,AK$100:AO189,5,FALSE)))*EXP(-(LN(2)/$D$65+0.04)*AN189)*EXP(-(LN(2)/$D$65+0.1)*AO189),"-"))),"-")</f>
        <v>-</v>
      </c>
      <c r="AS189" s="274">
        <f t="shared" si="113"/>
        <v>0</v>
      </c>
      <c r="AT189" s="274">
        <f t="shared" si="114"/>
        <v>0</v>
      </c>
      <c r="AU189" s="274">
        <f t="shared" si="115"/>
        <v>0</v>
      </c>
      <c r="AV189" s="190" t="str">
        <f>IF($B189&lt;$F$22,SUM($T$100:$T189),"")</f>
        <v/>
      </c>
      <c r="AW189" s="190" t="str">
        <f t="shared" si="116"/>
        <v>-</v>
      </c>
      <c r="AX189" s="190" t="str">
        <f t="shared" si="141"/>
        <v/>
      </c>
      <c r="AY189"/>
      <c r="AZ189" s="190" t="str">
        <f ca="1">IF(ISNUMBER(OFFSET(AV189,-$F$21,0)),SUM(OFFSET($T$100,$F$21,0):$T189),"")</f>
        <v/>
      </c>
      <c r="BA189" s="190" t="str">
        <f t="shared" ca="1" si="117"/>
        <v/>
      </c>
      <c r="BB189" s="190" t="str">
        <f t="shared" ca="1" si="148"/>
        <v/>
      </c>
      <c r="BC189" s="190"/>
      <c r="BD189" s="190" t="str">
        <f ca="1">IFERROR(IF(OR(ISNUMBER(I),ISNUMBER($F$14)),IF(AND($B189&gt;=($F$16-$F$15),$B189&lt;$F$22+($F$16-$F$15)),SUM(OFFSET($T$100,($F$16-$F$15),0):$T189),""),""),"")</f>
        <v/>
      </c>
      <c r="BE189" s="190" t="str">
        <f t="shared" ca="1" si="142"/>
        <v/>
      </c>
      <c r="BF189" s="190" t="str">
        <f t="shared" ca="1" si="143"/>
        <v/>
      </c>
      <c r="BG189"/>
      <c r="BH189" s="190" t="str">
        <f ca="1">IF(ISNUMBER(OFFSET(BD189,-$F$21,0)),SUM(OFFSET($T$100,($F$16-$F$15+$F$21),0):$T189),"")</f>
        <v/>
      </c>
      <c r="BI189" s="190" t="str">
        <f t="shared" ca="1" si="118"/>
        <v/>
      </c>
      <c r="BJ189" s="190" t="str">
        <f t="shared" ca="1" si="144"/>
        <v/>
      </c>
      <c r="BK189" s="190"/>
      <c r="BL189" s="190" t="str">
        <f ca="1">IFERROR(IF(OR(ISNUMBER(I),ISNUMBER($F$14)),IF(AND($B189&gt;=($F$17-$F$15),$B189&lt;$F$22+($F$17-$F$15)),SUM(OFFSET($T$100,($F$17-$F$15),0):$T189),""),""),"")</f>
        <v/>
      </c>
      <c r="BM189" s="190" t="str">
        <f t="shared" ca="1" si="119"/>
        <v/>
      </c>
      <c r="BN189" s="190" t="str">
        <f t="shared" ca="1" si="145"/>
        <v/>
      </c>
      <c r="BO189"/>
      <c r="BP189" s="190" t="str">
        <f ca="1">IF(ISNUMBER(OFFSET(BL189,-$F$21,0)),SUM(OFFSET($T$100,($F$17-$F$15+$F$21),0):$T189),"")</f>
        <v/>
      </c>
      <c r="BQ189" s="190" t="str">
        <f t="shared" ca="1" si="120"/>
        <v/>
      </c>
      <c r="BR189" s="190" t="str">
        <f t="shared" ca="1" si="146"/>
        <v/>
      </c>
      <c r="BS189" s="190"/>
      <c r="BT189"/>
      <c r="BU189"/>
      <c r="BV189"/>
      <c r="BY189" s="99"/>
      <c r="BZ189" s="99"/>
      <c r="CA189" s="280" t="str">
        <f t="shared" si="121"/>
        <v/>
      </c>
      <c r="CB189" s="71" t="str">
        <f t="shared" si="122"/>
        <v>-</v>
      </c>
      <c r="CC189" s="33"/>
      <c r="CD189" s="261" t="str">
        <f t="shared" si="123"/>
        <v/>
      </c>
      <c r="CE189" s="280" t="str">
        <f t="shared" si="124"/>
        <v/>
      </c>
      <c r="CF189" s="71" t="str">
        <f t="shared" ca="1" si="125"/>
        <v/>
      </c>
      <c r="CG189" s="33" t="str">
        <f t="shared" si="126"/>
        <v/>
      </c>
      <c r="CH189" s="261" t="str">
        <f t="shared" ca="1" si="127"/>
        <v/>
      </c>
    </row>
    <row r="190" spans="2:93" ht="13.5" customHeight="1" x14ac:dyDescent="0.2">
      <c r="B190" s="262">
        <v>90</v>
      </c>
      <c r="C190" s="237" t="str">
        <f t="shared" si="91"/>
        <v/>
      </c>
      <c r="D190" s="237" t="str">
        <f t="shared" si="147"/>
        <v/>
      </c>
      <c r="E190" s="263" t="str">
        <f t="shared" si="128"/>
        <v/>
      </c>
      <c r="F190" s="264" t="str">
        <f t="shared" si="129"/>
        <v/>
      </c>
      <c r="G190" s="264" t="str">
        <f t="shared" si="130"/>
        <v/>
      </c>
      <c r="H190" s="240" t="str">
        <f t="shared" si="92"/>
        <v/>
      </c>
      <c r="I190" s="265" t="str">
        <f t="shared" si="93"/>
        <v/>
      </c>
      <c r="J190" s="265" t="str">
        <f t="shared" si="94"/>
        <v/>
      </c>
      <c r="K190" s="240" t="str">
        <f t="shared" si="95"/>
        <v/>
      </c>
      <c r="L190" s="265" t="str">
        <f t="shared" si="96"/>
        <v/>
      </c>
      <c r="M190" s="265" t="str">
        <f t="shared" si="97"/>
        <v/>
      </c>
      <c r="N190" s="240" t="str">
        <f t="shared" si="98"/>
        <v>-</v>
      </c>
      <c r="O190" s="265" t="str">
        <f t="shared" si="99"/>
        <v>-</v>
      </c>
      <c r="P190" s="265" t="str">
        <f t="shared" si="100"/>
        <v>-</v>
      </c>
      <c r="Q190" s="266" t="str">
        <f t="shared" si="101"/>
        <v>-</v>
      </c>
      <c r="R190" s="267" t="str">
        <f t="shared" si="102"/>
        <v>-</v>
      </c>
      <c r="S190" s="268" t="str">
        <f t="shared" si="103"/>
        <v>-</v>
      </c>
      <c r="T190" s="269" t="str">
        <f t="shared" si="104"/>
        <v/>
      </c>
      <c r="U190" s="221">
        <f t="shared" si="105"/>
        <v>90</v>
      </c>
      <c r="V190" s="220" t="str">
        <f t="shared" si="131"/>
        <v>-</v>
      </c>
      <c r="W190" s="221" t="str">
        <f t="shared" si="132"/>
        <v>-</v>
      </c>
      <c r="X190" s="221" t="str">
        <f t="shared" si="106"/>
        <v>-</v>
      </c>
      <c r="Y190" s="221" t="str">
        <f t="shared" si="107"/>
        <v>-</v>
      </c>
      <c r="Z190" s="270">
        <f t="shared" si="133"/>
        <v>0.1</v>
      </c>
      <c r="AA190" s="271" t="str">
        <f>IFERROR(IF(V189=1,AA$100*EXP(-(LN(2)/$D$65+0.04)*X189)*EXP(-(LN(2)/$D$65+0.1)*Y189),IF(V189=2,AA$100*EXP(-(LN(2)/$D$65+0.04)*(VLOOKUP(($F$16-$F$15)-1,U$99:Y189,4,FALSE)))*EXP(-(LN(2)/$D$65+0.1)*(VLOOKUP(($F$16-$F$15)-1,U$99:Y189,5,FALSE)))*EXP(-(LN(2)/$D$65+0.04)*X189)*EXP(-(LN(2)/$D$65+0.1)*Y189),IF(V189=3,AA$100*EXP(-(LN(2)/$D$65+0.04)*(VLOOKUP(($F$16-$F$15)-1,U$99:Y189,4,FALSE)))*EXP(-(LN(2)/$D$65+0.1)*(VLOOKUP(($F$16-$F$15)-1,U$99:Y189,5,FALSE)))*EXP(-(LN(2)/$D$65+0.04)*(VLOOKUP(($F$16-$F$15)*2-1,U$99:Y189,4,FALSE)))*EXP(-(LN(2)/$D$65+0.1)*(VLOOKUP(($F$16-$F$15)*2-1,U$99:Y189,5,FALSE)))*EXP(-(LN(2)/$D$65+0.04)*X189)*EXP(-(LN(2)/$D$65+0.1)*Y189),"-"))),"-")</f>
        <v>-</v>
      </c>
      <c r="AB190" s="271" t="str">
        <f>IFERROR(IF(V190=1,AB$100*EXP(-(LN(2)/$D$65+0.04)*X190)*EXP(-(LN(2)/$D$65+0.1)*Y190),IF(V190=2,AB$100*EXP(-(LN(2)/$D$65+0.04)*(VLOOKUP(($F$16-$F$15)-1,U$100:Y190,4,FALSE)))*EXP(-(LN(2)/$D$65+0.1)*(VLOOKUP(($F$16-$F$15)-1,U$100:Y190,5,FALSE)))*EXP(-(LN(2)/$D$65+0.04)*X190)*EXP(-(LN(2)/$D$65+0.1)*Y190),IF(V190=3,AB$100*EXP(-(LN(2)/$D$65+0.04)*(VLOOKUP(($F$16-$F$15)-1,U$100:Y190,4,FALSE)))*EXP(-(LN(2)/$D$65+0.1)*(VLOOKUP(($F$16-$F$15)-1,U$100:Y190,5,FALSE)))*EXP(-(LN(2)/$D$65+0.04)*(VLOOKUP(($F$16-$F$15)*2-1,U$100:Y190,4,FALSE)))*EXP(-(LN(2)/$D$65+0.1)*(VLOOKUP(($F$16-$F$15)*2-1,U$100:Y190,5,FALSE)))*EXP(-(LN(2)/$D$65+0.04)*X190)*EXP(-(LN(2)/$D$65+0.1)*Y190),"-"))),"-")</f>
        <v>-</v>
      </c>
      <c r="AC190" s="224">
        <f t="shared" si="134"/>
        <v>90</v>
      </c>
      <c r="AD190" s="223" t="str">
        <f t="shared" si="108"/>
        <v>-</v>
      </c>
      <c r="AE190" s="224" t="str">
        <f t="shared" si="135"/>
        <v>-</v>
      </c>
      <c r="AF190" s="224" t="str">
        <f t="shared" si="109"/>
        <v>-</v>
      </c>
      <c r="AG190" s="224" t="str">
        <f t="shared" si="110"/>
        <v>-</v>
      </c>
      <c r="AH190" s="272">
        <f t="shared" si="136"/>
        <v>0.1</v>
      </c>
      <c r="AI190" s="271" t="str">
        <f>IFERROR(IF(AD189=1,AI$100*EXP(-(LN(2)/$D$65+0.04)*AF189)*EXP(-(LN(2)/$D$65+0.1)*AG189),IF(AD189=2,AI$100*EXP(-(LN(2)/$D$65+0.04)*(VLOOKUP(($F$16-$F$15)-1,AC$99:AG189,4,FALSE)))*EXP(-(LN(2)/$D$65+0.1)*(VLOOKUP(($F$16-$F$15)-1,AC$99:AG189,5,FALSE)))*EXP(-(LN(2)/$D$65+0.04)*AF189)*EXP(-(LN(2)/$D$65+0.1)*AG189),IF(AD189=3,AI$100*EXP(-(LN(2)/$D$65+0.04)*(VLOOKUP(($F$16-$F$15)-1,AC$99:AG189,4,FALSE)))*EXP(-(LN(2)/$D$65+0.1)*(VLOOKUP(($F$16-$F$15)-1,AC$99:AG189,5,FALSE)))*EXP(-(LN(2)/$D$65+0.04)*(VLOOKUP(($F$16-$F$15)*2-1,AC$99:AG189,4,FALSE)))*EXP(-(LN(2)/$D$65+0.1)*(VLOOKUP(($F$16-$F$15)*2-1,AC$99:AG189,5,FALSE)))*EXP(-(LN(2)/$D$65+0.04)*AF189)*EXP(-(LN(2)/$D$65+0.1)*AG189),"-"))),"-")</f>
        <v>-</v>
      </c>
      <c r="AJ190" s="271" t="str">
        <f>IFERROR(IF(AD190=1,AJ$100*EXP(-(LN(2)/$D$65+0.04)*AF190)*EXP(-(LN(2)/$D$65+0.1)*AG190),IF(AD190=2,AJ$100*EXP(-(LN(2)/$D$65+0.04)*(VLOOKUP(($F$16-$F$15)-1,AC$100:AG190,4,FALSE)))*EXP(-(LN(2)/$D$65+0.1)*(VLOOKUP(($F$16-$F$15)-1,AC$100:AG190,5,FALSE)))*EXP(-(LN(2)/$D$65+0.04)*AF190)*EXP(-(LN(2)/$D$65+0.1)*AG190),IF(AD190=3,AJ$100*EXP(-(LN(2)/$D$65+0.04)*(VLOOKUP(($F$16-$F$15)-1,AC$100:AG190,4,FALSE)))*EXP(-(LN(2)/$D$65+0.1)*(VLOOKUP(($F$16-$F$15)-1,AC$100:AG190,5,FALSE)))*EXP(-(LN(2)/$D$65+0.04)*(VLOOKUP(($F$16-$F$15)*2-1,AC$100:AG190,4,FALSE)))*EXP(-(LN(2)/$D$65+0.1)*(VLOOKUP(($F$16-$F$15)*2-1,AC$100:AG190,5,FALSE)))*EXP(-(LN(2)/$D$65+0.04)*AF190)*EXP(-(LN(2)/$D$65+0.1)*AG190),"-"))),"-")</f>
        <v>-</v>
      </c>
      <c r="AK190" s="227">
        <f t="shared" si="137"/>
        <v>90</v>
      </c>
      <c r="AL190" s="226" t="str">
        <f t="shared" si="111"/>
        <v>-</v>
      </c>
      <c r="AM190" s="227" t="str">
        <f t="shared" si="138"/>
        <v>-</v>
      </c>
      <c r="AN190" s="227" t="str">
        <f t="shared" si="139"/>
        <v>-</v>
      </c>
      <c r="AO190" s="227" t="str">
        <f t="shared" si="112"/>
        <v>-</v>
      </c>
      <c r="AP190" s="273">
        <f t="shared" si="140"/>
        <v>0.1</v>
      </c>
      <c r="AQ190" s="271" t="str">
        <f>IFERROR(IF(AL189=1,AQ$100*EXP(-(LN(2)/$D$65+0.04)*AN189)*EXP(-(LN(2)/$D$65+0.1)*AO189),IF(AL189=2,AQ$100*EXP(-(LN(2)/$D$65+0.04)*(VLOOKUP(($F$16-$F$15)-1,AK$99:AO189,4,FALSE)))*EXP(-(LN(2)/$D$65+0.1)*(VLOOKUP(($F$16-$F$15)-1,AK$99:AO189,5,FALSE)))*EXP(-(LN(2)/$D$65+0.04)*AN189)*EXP(-(LN(2)/$D$65+0.1)*AO189),IF(AL189=3,AQ$100*EXP(-(LN(2)/$D$65+0.04)*(VLOOKUP(($F$16-$F$15)-1,AK$99:AO189,4,FALSE)))*EXP(-(LN(2)/$D$65+0.1)*(VLOOKUP(($F$16-$F$15)-1,AK$99:AO189,5,FALSE)))*EXP(-(LN(2)/$D$65+0.04)*(VLOOKUP(($F$16-$F$15)*2-1,AK$99:AO189,4,FALSE)))*EXP(-(LN(2)/$D$65+0.1)*(VLOOKUP(($F$16-$F$15)*2-1,AK$99:AO189,5,FALSE)))*EXP(-(LN(2)/$D$65+0.04)*AN189)*EXP(-(LN(2)/$D$65+0.1)*AO189),"-"))),"-")</f>
        <v>-</v>
      </c>
      <c r="AR190" s="271" t="str">
        <f>IFERROR(IF(AL190=1,AR$100*EXP(-(LN(2)/$D$65+0.04)*AN190)*EXP(-(LN(2)/$D$65+0.1)*AO190),IF(AL190=2,AR$100*EXP(-(LN(2)/$D$65+0.04)*(VLOOKUP(($F$16-$F$15)-1,AK$100:AO190,4,FALSE)))*EXP(-(LN(2)/$D$65+0.1)*(VLOOKUP(($F$16-$F$15)-1,AK$100:AO190,5,FALSE)))*EXP(-(LN(2)/$D$65+0.04)*AN190)*EXP(-(LN(2)/$D$65+0.1)*AO190),IF(AL190=3,AR$100*EXP(-(LN(2)/$D$65+0.04)*(VLOOKUP(($F$16-$F$15)-1,AK$100:AO190,4,FALSE)))*EXP(-(LN(2)/$D$65+0.1)*(VLOOKUP(($F$16-$F$15)-1,AK$100:AO190,5,FALSE)))*EXP(-(LN(2)/$D$65+0.04)*(VLOOKUP(($F$16-$F$15)*2-1,AK$100:AO190,4,FALSE)))*EXP(-(LN(2)/$D$65+0.1)*(VLOOKUP(($F$16-$F$15)*2-1,AK$100:AO190,5,FALSE)))*EXP(-(LN(2)/$D$65+0.04)*AN190)*EXP(-(LN(2)/$D$65+0.1)*AO190),"-"))),"-")</f>
        <v>-</v>
      </c>
      <c r="AS190" s="274">
        <f t="shared" si="113"/>
        <v>0</v>
      </c>
      <c r="AT190" s="274">
        <f t="shared" si="114"/>
        <v>0</v>
      </c>
      <c r="AU190" s="274">
        <f t="shared" si="115"/>
        <v>0</v>
      </c>
      <c r="AV190" s="190" t="str">
        <f>IF($B190&lt;$F$22,SUM($T$100:$T190),"")</f>
        <v/>
      </c>
      <c r="AW190" s="190" t="str">
        <f t="shared" si="116"/>
        <v>-</v>
      </c>
      <c r="AX190" s="190" t="str">
        <f t="shared" si="141"/>
        <v/>
      </c>
      <c r="AY190"/>
      <c r="AZ190" s="190" t="str">
        <f ca="1">IF(ISNUMBER(OFFSET(AV190,-$F$21,0)),SUM(OFFSET($T$100,$F$21,0):$T190),"")</f>
        <v/>
      </c>
      <c r="BA190" s="190" t="str">
        <f t="shared" ca="1" si="117"/>
        <v/>
      </c>
      <c r="BB190" s="190" t="str">
        <f t="shared" ca="1" si="148"/>
        <v/>
      </c>
      <c r="BC190" s="190"/>
      <c r="BD190" s="190" t="str">
        <f ca="1">IFERROR(IF(OR(ISNUMBER(I),ISNUMBER($F$14)),IF(AND($B190&gt;=($F$16-$F$15),$B190&lt;$F$22+($F$16-$F$15)),SUM(OFFSET($T$100,($F$16-$F$15),0):$T190),""),""),"")</f>
        <v/>
      </c>
      <c r="BE190" s="190" t="str">
        <f t="shared" ca="1" si="142"/>
        <v/>
      </c>
      <c r="BF190" s="190" t="str">
        <f t="shared" ca="1" si="143"/>
        <v/>
      </c>
      <c r="BG190"/>
      <c r="BH190" s="190" t="str">
        <f ca="1">IF(ISNUMBER(OFFSET(BD190,-$F$21,0)),SUM(OFFSET($T$100,($F$16-$F$15+$F$21),0):$T190),"")</f>
        <v/>
      </c>
      <c r="BI190" s="190" t="str">
        <f t="shared" ca="1" si="118"/>
        <v/>
      </c>
      <c r="BJ190" s="190" t="str">
        <f t="shared" ca="1" si="144"/>
        <v/>
      </c>
      <c r="BK190" s="190"/>
      <c r="BL190" s="190" t="str">
        <f ca="1">IFERROR(IF(OR(ISNUMBER(I),ISNUMBER($F$14)),IF(AND($B190&gt;=($F$17-$F$15),$B190&lt;$F$22+($F$17-$F$15)),SUM(OFFSET($T$100,($F$17-$F$15),0):$T190),""),""),"")</f>
        <v/>
      </c>
      <c r="BM190" s="190" t="str">
        <f t="shared" ca="1" si="119"/>
        <v/>
      </c>
      <c r="BN190" s="190" t="str">
        <f t="shared" ca="1" si="145"/>
        <v/>
      </c>
      <c r="BO190"/>
      <c r="BP190" s="190" t="str">
        <f ca="1">IF(ISNUMBER(OFFSET(BL190,-$F$21,0)),SUM(OFFSET($T$100,($F$17-$F$15+$F$21),0):$T190),"")</f>
        <v/>
      </c>
      <c r="BQ190" s="190" t="str">
        <f t="shared" ca="1" si="120"/>
        <v/>
      </c>
      <c r="BR190" s="190" t="str">
        <f t="shared" ca="1" si="146"/>
        <v/>
      </c>
      <c r="BS190" s="190"/>
      <c r="BT190"/>
      <c r="BU190"/>
      <c r="BV190"/>
      <c r="BY190" s="99"/>
      <c r="BZ190" s="99"/>
      <c r="CA190" s="280" t="str">
        <f t="shared" si="121"/>
        <v/>
      </c>
      <c r="CB190" s="71" t="str">
        <f t="shared" si="122"/>
        <v>-</v>
      </c>
      <c r="CC190" s="33"/>
      <c r="CD190" s="261" t="str">
        <f t="shared" si="123"/>
        <v/>
      </c>
      <c r="CE190" s="280" t="str">
        <f t="shared" si="124"/>
        <v/>
      </c>
      <c r="CF190" s="71" t="str">
        <f t="shared" ca="1" si="125"/>
        <v/>
      </c>
      <c r="CG190" s="33" t="str">
        <f t="shared" si="126"/>
        <v/>
      </c>
      <c r="CH190" s="261" t="str">
        <f t="shared" ca="1" si="127"/>
        <v/>
      </c>
    </row>
    <row r="191" spans="2:93" ht="13.5" customHeight="1" x14ac:dyDescent="0.2">
      <c r="B191" s="262">
        <v>91</v>
      </c>
      <c r="C191" s="237" t="str">
        <f t="shared" si="91"/>
        <v/>
      </c>
      <c r="D191" s="237" t="str">
        <f t="shared" si="147"/>
        <v/>
      </c>
      <c r="E191" s="263" t="str">
        <f t="shared" si="128"/>
        <v/>
      </c>
      <c r="F191" s="264" t="str">
        <f t="shared" si="129"/>
        <v/>
      </c>
      <c r="G191" s="264" t="str">
        <f t="shared" si="130"/>
        <v/>
      </c>
      <c r="H191" s="240" t="str">
        <f t="shared" si="92"/>
        <v/>
      </c>
      <c r="I191" s="265" t="str">
        <f t="shared" si="93"/>
        <v/>
      </c>
      <c r="J191" s="265" t="str">
        <f t="shared" si="94"/>
        <v/>
      </c>
      <c r="K191" s="240" t="str">
        <f t="shared" si="95"/>
        <v/>
      </c>
      <c r="L191" s="265" t="str">
        <f t="shared" si="96"/>
        <v/>
      </c>
      <c r="M191" s="265" t="str">
        <f t="shared" si="97"/>
        <v/>
      </c>
      <c r="N191" s="240" t="str">
        <f t="shared" si="98"/>
        <v>-</v>
      </c>
      <c r="O191" s="265" t="str">
        <f t="shared" si="99"/>
        <v>-</v>
      </c>
      <c r="P191" s="265" t="str">
        <f t="shared" si="100"/>
        <v>-</v>
      </c>
      <c r="Q191" s="266" t="str">
        <f t="shared" si="101"/>
        <v>-</v>
      </c>
      <c r="R191" s="267" t="str">
        <f t="shared" si="102"/>
        <v>-</v>
      </c>
      <c r="S191" s="268" t="str">
        <f t="shared" si="103"/>
        <v>-</v>
      </c>
      <c r="T191" s="269" t="str">
        <f t="shared" si="104"/>
        <v/>
      </c>
      <c r="U191" s="221">
        <f t="shared" si="105"/>
        <v>91</v>
      </c>
      <c r="V191" s="220" t="str">
        <f t="shared" si="131"/>
        <v>-</v>
      </c>
      <c r="W191" s="221" t="str">
        <f t="shared" si="132"/>
        <v>-</v>
      </c>
      <c r="X191" s="221" t="str">
        <f t="shared" si="106"/>
        <v>-</v>
      </c>
      <c r="Y191" s="221" t="str">
        <f t="shared" si="107"/>
        <v>-</v>
      </c>
      <c r="Z191" s="270">
        <f t="shared" si="133"/>
        <v>0.1</v>
      </c>
      <c r="AA191" s="271" t="str">
        <f>IFERROR(IF(V190=1,AA$100*EXP(-(LN(2)/$D$65+0.04)*X190)*EXP(-(LN(2)/$D$65+0.1)*Y190),IF(V190=2,AA$100*EXP(-(LN(2)/$D$65+0.04)*(VLOOKUP(($F$16-$F$15)-1,U$99:Y190,4,FALSE)))*EXP(-(LN(2)/$D$65+0.1)*(VLOOKUP(($F$16-$F$15)-1,U$99:Y190,5,FALSE)))*EXP(-(LN(2)/$D$65+0.04)*X190)*EXP(-(LN(2)/$D$65+0.1)*Y190),IF(V190=3,AA$100*EXP(-(LN(2)/$D$65+0.04)*(VLOOKUP(($F$16-$F$15)-1,U$99:Y190,4,FALSE)))*EXP(-(LN(2)/$D$65+0.1)*(VLOOKUP(($F$16-$F$15)-1,U$99:Y190,5,FALSE)))*EXP(-(LN(2)/$D$65+0.04)*(VLOOKUP(($F$16-$F$15)*2-1,U$99:Y190,4,FALSE)))*EXP(-(LN(2)/$D$65+0.1)*(VLOOKUP(($F$16-$F$15)*2-1,U$99:Y190,5,FALSE)))*EXP(-(LN(2)/$D$65+0.04)*X190)*EXP(-(LN(2)/$D$65+0.1)*Y190),"-"))),"-")</f>
        <v>-</v>
      </c>
      <c r="AB191" s="271" t="str">
        <f>IFERROR(IF(V191=1,AB$100*EXP(-(LN(2)/$D$65+0.04)*X191)*EXP(-(LN(2)/$D$65+0.1)*Y191),IF(V191=2,AB$100*EXP(-(LN(2)/$D$65+0.04)*(VLOOKUP(($F$16-$F$15)-1,U$100:Y191,4,FALSE)))*EXP(-(LN(2)/$D$65+0.1)*(VLOOKUP(($F$16-$F$15)-1,U$100:Y191,5,FALSE)))*EXP(-(LN(2)/$D$65+0.04)*X191)*EXP(-(LN(2)/$D$65+0.1)*Y191),IF(V191=3,AB$100*EXP(-(LN(2)/$D$65+0.04)*(VLOOKUP(($F$16-$F$15)-1,U$100:Y191,4,FALSE)))*EXP(-(LN(2)/$D$65+0.1)*(VLOOKUP(($F$16-$F$15)-1,U$100:Y191,5,FALSE)))*EXP(-(LN(2)/$D$65+0.04)*(VLOOKUP(($F$16-$F$15)*2-1,U$100:Y191,4,FALSE)))*EXP(-(LN(2)/$D$65+0.1)*(VLOOKUP(($F$16-$F$15)*2-1,U$100:Y191,5,FALSE)))*EXP(-(LN(2)/$D$65+0.04)*X191)*EXP(-(LN(2)/$D$65+0.1)*Y191),"-"))),"-")</f>
        <v>-</v>
      </c>
      <c r="AC191" s="224">
        <f t="shared" si="134"/>
        <v>91</v>
      </c>
      <c r="AD191" s="223" t="str">
        <f t="shared" si="108"/>
        <v>-</v>
      </c>
      <c r="AE191" s="224" t="str">
        <f t="shared" si="135"/>
        <v>-</v>
      </c>
      <c r="AF191" s="224" t="str">
        <f t="shared" si="109"/>
        <v>-</v>
      </c>
      <c r="AG191" s="224" t="str">
        <f t="shared" si="110"/>
        <v>-</v>
      </c>
      <c r="AH191" s="272">
        <f t="shared" si="136"/>
        <v>0.1</v>
      </c>
      <c r="AI191" s="271" t="str">
        <f>IFERROR(IF(AD190=1,AI$100*EXP(-(LN(2)/$D$65+0.04)*AF190)*EXP(-(LN(2)/$D$65+0.1)*AG190),IF(AD190=2,AI$100*EXP(-(LN(2)/$D$65+0.04)*(VLOOKUP(($F$16-$F$15)-1,AC$99:AG190,4,FALSE)))*EXP(-(LN(2)/$D$65+0.1)*(VLOOKUP(($F$16-$F$15)-1,AC$99:AG190,5,FALSE)))*EXP(-(LN(2)/$D$65+0.04)*AF190)*EXP(-(LN(2)/$D$65+0.1)*AG190),IF(AD190=3,AI$100*EXP(-(LN(2)/$D$65+0.04)*(VLOOKUP(($F$16-$F$15)-1,AC$99:AG190,4,FALSE)))*EXP(-(LN(2)/$D$65+0.1)*(VLOOKUP(($F$16-$F$15)-1,AC$99:AG190,5,FALSE)))*EXP(-(LN(2)/$D$65+0.04)*(VLOOKUP(($F$16-$F$15)*2-1,AC$99:AG190,4,FALSE)))*EXP(-(LN(2)/$D$65+0.1)*(VLOOKUP(($F$16-$F$15)*2-1,AC$99:AG190,5,FALSE)))*EXP(-(LN(2)/$D$65+0.04)*AF190)*EXP(-(LN(2)/$D$65+0.1)*AG190),"-"))),"-")</f>
        <v>-</v>
      </c>
      <c r="AJ191" s="271" t="str">
        <f>IFERROR(IF(AD191=1,AJ$100*EXP(-(LN(2)/$D$65+0.04)*AF191)*EXP(-(LN(2)/$D$65+0.1)*AG191),IF(AD191=2,AJ$100*EXP(-(LN(2)/$D$65+0.04)*(VLOOKUP(($F$16-$F$15)-1,AC$100:AG191,4,FALSE)))*EXP(-(LN(2)/$D$65+0.1)*(VLOOKUP(($F$16-$F$15)-1,AC$100:AG191,5,FALSE)))*EXP(-(LN(2)/$D$65+0.04)*AF191)*EXP(-(LN(2)/$D$65+0.1)*AG191),IF(AD191=3,AJ$100*EXP(-(LN(2)/$D$65+0.04)*(VLOOKUP(($F$16-$F$15)-1,AC$100:AG191,4,FALSE)))*EXP(-(LN(2)/$D$65+0.1)*(VLOOKUP(($F$16-$F$15)-1,AC$100:AG191,5,FALSE)))*EXP(-(LN(2)/$D$65+0.04)*(VLOOKUP(($F$16-$F$15)*2-1,AC$100:AG191,4,FALSE)))*EXP(-(LN(2)/$D$65+0.1)*(VLOOKUP(($F$16-$F$15)*2-1,AC$100:AG191,5,FALSE)))*EXP(-(LN(2)/$D$65+0.04)*AF191)*EXP(-(LN(2)/$D$65+0.1)*AG191),"-"))),"-")</f>
        <v>-</v>
      </c>
      <c r="AK191" s="227">
        <f t="shared" si="137"/>
        <v>91</v>
      </c>
      <c r="AL191" s="226" t="str">
        <f t="shared" si="111"/>
        <v>-</v>
      </c>
      <c r="AM191" s="227" t="str">
        <f t="shared" si="138"/>
        <v>-</v>
      </c>
      <c r="AN191" s="227" t="str">
        <f t="shared" si="139"/>
        <v>-</v>
      </c>
      <c r="AO191" s="227" t="str">
        <f t="shared" si="112"/>
        <v>-</v>
      </c>
      <c r="AP191" s="273">
        <f t="shared" si="140"/>
        <v>0.1</v>
      </c>
      <c r="AQ191" s="271" t="str">
        <f>IFERROR(IF(AL190=1,AQ$100*EXP(-(LN(2)/$D$65+0.04)*AN190)*EXP(-(LN(2)/$D$65+0.1)*AO190),IF(AL190=2,AQ$100*EXP(-(LN(2)/$D$65+0.04)*(VLOOKUP(($F$16-$F$15)-1,AK$99:AO190,4,FALSE)))*EXP(-(LN(2)/$D$65+0.1)*(VLOOKUP(($F$16-$F$15)-1,AK$99:AO190,5,FALSE)))*EXP(-(LN(2)/$D$65+0.04)*AN190)*EXP(-(LN(2)/$D$65+0.1)*AO190),IF(AL190=3,AQ$100*EXP(-(LN(2)/$D$65+0.04)*(VLOOKUP(($F$16-$F$15)-1,AK$99:AO190,4,FALSE)))*EXP(-(LN(2)/$D$65+0.1)*(VLOOKUP(($F$16-$F$15)-1,AK$99:AO190,5,FALSE)))*EXP(-(LN(2)/$D$65+0.04)*(VLOOKUP(($F$16-$F$15)*2-1,AK$99:AO190,4,FALSE)))*EXP(-(LN(2)/$D$65+0.1)*(VLOOKUP(($F$16-$F$15)*2-1,AK$99:AO190,5,FALSE)))*EXP(-(LN(2)/$D$65+0.04)*AN190)*EXP(-(LN(2)/$D$65+0.1)*AO190),"-"))),"-")</f>
        <v>-</v>
      </c>
      <c r="AR191" s="271" t="str">
        <f>IFERROR(IF(AL191=1,AR$100*EXP(-(LN(2)/$D$65+0.04)*AN191)*EXP(-(LN(2)/$D$65+0.1)*AO191),IF(AL191=2,AR$100*EXP(-(LN(2)/$D$65+0.04)*(VLOOKUP(($F$16-$F$15)-1,AK$100:AO191,4,FALSE)))*EXP(-(LN(2)/$D$65+0.1)*(VLOOKUP(($F$16-$F$15)-1,AK$100:AO191,5,FALSE)))*EXP(-(LN(2)/$D$65+0.04)*AN191)*EXP(-(LN(2)/$D$65+0.1)*AO191),IF(AL191=3,AR$100*EXP(-(LN(2)/$D$65+0.04)*(VLOOKUP(($F$16-$F$15)-1,AK$100:AO191,4,FALSE)))*EXP(-(LN(2)/$D$65+0.1)*(VLOOKUP(($F$16-$F$15)-1,AK$100:AO191,5,FALSE)))*EXP(-(LN(2)/$D$65+0.04)*(VLOOKUP(($F$16-$F$15)*2-1,AK$100:AO191,4,FALSE)))*EXP(-(LN(2)/$D$65+0.1)*(VLOOKUP(($F$16-$F$15)*2-1,AK$100:AO191,5,FALSE)))*EXP(-(LN(2)/$D$65+0.04)*AN191)*EXP(-(LN(2)/$D$65+0.1)*AO191),"-"))),"-")</f>
        <v>-</v>
      </c>
      <c r="AS191" s="274">
        <f t="shared" si="113"/>
        <v>0</v>
      </c>
      <c r="AT191" s="274">
        <f t="shared" si="114"/>
        <v>0</v>
      </c>
      <c r="AU191" s="274">
        <f t="shared" si="115"/>
        <v>0</v>
      </c>
      <c r="AV191" s="190" t="str">
        <f>IF($B191&lt;$F$22,SUM($T$100:$T191),"")</f>
        <v/>
      </c>
      <c r="AW191" s="190" t="str">
        <f t="shared" si="116"/>
        <v>-</v>
      </c>
      <c r="AX191" s="190" t="str">
        <f t="shared" si="141"/>
        <v/>
      </c>
      <c r="AY191"/>
      <c r="AZ191" s="190" t="str">
        <f ca="1">IF(ISNUMBER(OFFSET(AV191,-$F$21,0)),SUM(OFFSET($T$100,$F$21,0):$T191),"")</f>
        <v/>
      </c>
      <c r="BA191" s="190" t="str">
        <f t="shared" ca="1" si="117"/>
        <v/>
      </c>
      <c r="BB191" s="190" t="str">
        <f t="shared" ca="1" si="148"/>
        <v/>
      </c>
      <c r="BC191" s="190"/>
      <c r="BD191" s="190" t="str">
        <f ca="1">IFERROR(IF(OR(ISNUMBER(I),ISNUMBER($F$14)),IF(AND($B191&gt;=($F$16-$F$15),$B191&lt;$F$22+($F$16-$F$15)),SUM(OFFSET($T$100,($F$16-$F$15),0):$T191),""),""),"")</f>
        <v/>
      </c>
      <c r="BE191" s="190" t="str">
        <f t="shared" ca="1" si="142"/>
        <v/>
      </c>
      <c r="BF191" s="190" t="str">
        <f t="shared" ca="1" si="143"/>
        <v/>
      </c>
      <c r="BG191"/>
      <c r="BH191" s="190" t="str">
        <f ca="1">IF(ISNUMBER(OFFSET(BD191,-$F$21,0)),SUM(OFFSET($T$100,($F$16-$F$15+$F$21),0):$T191),"")</f>
        <v/>
      </c>
      <c r="BI191" s="190" t="str">
        <f t="shared" ca="1" si="118"/>
        <v/>
      </c>
      <c r="BJ191" s="190" t="str">
        <f t="shared" ca="1" si="144"/>
        <v/>
      </c>
      <c r="BK191" s="190"/>
      <c r="BL191" s="190" t="str">
        <f ca="1">IFERROR(IF(OR(ISNUMBER(I),ISNUMBER($F$14)),IF(AND($B191&gt;=($F$17-$F$15),$B191&lt;$F$22+($F$17-$F$15)),SUM(OFFSET($T$100,($F$17-$F$15),0):$T191),""),""),"")</f>
        <v/>
      </c>
      <c r="BM191" s="190" t="str">
        <f t="shared" ca="1" si="119"/>
        <v/>
      </c>
      <c r="BN191" s="190" t="str">
        <f t="shared" ca="1" si="145"/>
        <v/>
      </c>
      <c r="BO191"/>
      <c r="BP191" s="190" t="str">
        <f ca="1">IF(ISNUMBER(OFFSET(BL191,-$F$21,0)),SUM(OFFSET($T$100,($F$17-$F$15+$F$21),0):$T191),"")</f>
        <v/>
      </c>
      <c r="BQ191" s="190" t="str">
        <f t="shared" ca="1" si="120"/>
        <v/>
      </c>
      <c r="BR191" s="190" t="str">
        <f t="shared" ca="1" si="146"/>
        <v/>
      </c>
      <c r="BS191" s="190"/>
      <c r="BT191"/>
      <c r="BU191"/>
      <c r="BV191"/>
      <c r="BY191" s="99"/>
      <c r="BZ191" s="99"/>
      <c r="CA191" s="280" t="str">
        <f t="shared" si="121"/>
        <v/>
      </c>
      <c r="CB191" s="71" t="str">
        <f t="shared" si="122"/>
        <v>-</v>
      </c>
      <c r="CC191" s="33"/>
      <c r="CD191" s="261" t="str">
        <f t="shared" si="123"/>
        <v/>
      </c>
      <c r="CE191" s="280" t="str">
        <f t="shared" si="124"/>
        <v/>
      </c>
      <c r="CF191" s="71" t="str">
        <f t="shared" ca="1" si="125"/>
        <v/>
      </c>
      <c r="CG191" s="33" t="str">
        <f t="shared" si="126"/>
        <v/>
      </c>
      <c r="CH191" s="261" t="str">
        <f t="shared" ca="1" si="127"/>
        <v/>
      </c>
    </row>
    <row r="192" spans="2:93" ht="13.5" customHeight="1" x14ac:dyDescent="0.2">
      <c r="B192" s="262">
        <v>92</v>
      </c>
      <c r="C192" s="237" t="str">
        <f t="shared" si="91"/>
        <v/>
      </c>
      <c r="D192" s="237" t="str">
        <f t="shared" si="147"/>
        <v/>
      </c>
      <c r="E192" s="263" t="str">
        <f t="shared" si="128"/>
        <v/>
      </c>
      <c r="F192" s="264" t="str">
        <f t="shared" si="129"/>
        <v/>
      </c>
      <c r="G192" s="264" t="str">
        <f t="shared" si="130"/>
        <v/>
      </c>
      <c r="H192" s="240" t="str">
        <f t="shared" si="92"/>
        <v/>
      </c>
      <c r="I192" s="265" t="str">
        <f t="shared" si="93"/>
        <v/>
      </c>
      <c r="J192" s="265" t="str">
        <f t="shared" si="94"/>
        <v/>
      </c>
      <c r="K192" s="240" t="str">
        <f t="shared" si="95"/>
        <v/>
      </c>
      <c r="L192" s="265" t="str">
        <f t="shared" si="96"/>
        <v/>
      </c>
      <c r="M192" s="265" t="str">
        <f t="shared" si="97"/>
        <v/>
      </c>
      <c r="N192" s="240" t="str">
        <f t="shared" si="98"/>
        <v>-</v>
      </c>
      <c r="O192" s="265" t="str">
        <f t="shared" si="99"/>
        <v>-</v>
      </c>
      <c r="P192" s="265" t="str">
        <f t="shared" si="100"/>
        <v>-</v>
      </c>
      <c r="Q192" s="266" t="str">
        <f t="shared" si="101"/>
        <v>-</v>
      </c>
      <c r="R192" s="267" t="str">
        <f t="shared" si="102"/>
        <v>-</v>
      </c>
      <c r="S192" s="268" t="str">
        <f t="shared" si="103"/>
        <v>-</v>
      </c>
      <c r="T192" s="269" t="str">
        <f t="shared" si="104"/>
        <v/>
      </c>
      <c r="U192" s="221">
        <f t="shared" si="105"/>
        <v>92</v>
      </c>
      <c r="V192" s="220" t="str">
        <f t="shared" si="131"/>
        <v>-</v>
      </c>
      <c r="W192" s="221" t="str">
        <f t="shared" si="132"/>
        <v>-</v>
      </c>
      <c r="X192" s="221" t="str">
        <f t="shared" si="106"/>
        <v>-</v>
      </c>
      <c r="Y192" s="221" t="str">
        <f t="shared" si="107"/>
        <v>-</v>
      </c>
      <c r="Z192" s="270">
        <f t="shared" si="133"/>
        <v>0.1</v>
      </c>
      <c r="AA192" s="271" t="str">
        <f>IFERROR(IF(V191=1,AA$100*EXP(-(LN(2)/$D$65+0.04)*X191)*EXP(-(LN(2)/$D$65+0.1)*Y191),IF(V191=2,AA$100*EXP(-(LN(2)/$D$65+0.04)*(VLOOKUP(($F$16-$F$15)-1,U$99:Y191,4,FALSE)))*EXP(-(LN(2)/$D$65+0.1)*(VLOOKUP(($F$16-$F$15)-1,U$99:Y191,5,FALSE)))*EXP(-(LN(2)/$D$65+0.04)*X191)*EXP(-(LN(2)/$D$65+0.1)*Y191),IF(V191=3,AA$100*EXP(-(LN(2)/$D$65+0.04)*(VLOOKUP(($F$16-$F$15)-1,U$99:Y191,4,FALSE)))*EXP(-(LN(2)/$D$65+0.1)*(VLOOKUP(($F$16-$F$15)-1,U$99:Y191,5,FALSE)))*EXP(-(LN(2)/$D$65+0.04)*(VLOOKUP(($F$16-$F$15)*2-1,U$99:Y191,4,FALSE)))*EXP(-(LN(2)/$D$65+0.1)*(VLOOKUP(($F$16-$F$15)*2-1,U$99:Y191,5,FALSE)))*EXP(-(LN(2)/$D$65+0.04)*X191)*EXP(-(LN(2)/$D$65+0.1)*Y191),"-"))),"-")</f>
        <v>-</v>
      </c>
      <c r="AB192" s="271" t="str">
        <f>IFERROR(IF(V192=1,AB$100*EXP(-(LN(2)/$D$65+0.04)*X192)*EXP(-(LN(2)/$D$65+0.1)*Y192),IF(V192=2,AB$100*EXP(-(LN(2)/$D$65+0.04)*(VLOOKUP(($F$16-$F$15)-1,U$100:Y192,4,FALSE)))*EXP(-(LN(2)/$D$65+0.1)*(VLOOKUP(($F$16-$F$15)-1,U$100:Y192,5,FALSE)))*EXP(-(LN(2)/$D$65+0.04)*X192)*EXP(-(LN(2)/$D$65+0.1)*Y192),IF(V192=3,AB$100*EXP(-(LN(2)/$D$65+0.04)*(VLOOKUP(($F$16-$F$15)-1,U$100:Y192,4,FALSE)))*EXP(-(LN(2)/$D$65+0.1)*(VLOOKUP(($F$16-$F$15)-1,U$100:Y192,5,FALSE)))*EXP(-(LN(2)/$D$65+0.04)*(VLOOKUP(($F$16-$F$15)*2-1,U$100:Y192,4,FALSE)))*EXP(-(LN(2)/$D$65+0.1)*(VLOOKUP(($F$16-$F$15)*2-1,U$100:Y192,5,FALSE)))*EXP(-(LN(2)/$D$65+0.04)*X192)*EXP(-(LN(2)/$D$65+0.1)*Y192),"-"))),"-")</f>
        <v>-</v>
      </c>
      <c r="AC192" s="224">
        <f t="shared" si="134"/>
        <v>92</v>
      </c>
      <c r="AD192" s="223" t="str">
        <f t="shared" si="108"/>
        <v>-</v>
      </c>
      <c r="AE192" s="224" t="str">
        <f t="shared" si="135"/>
        <v>-</v>
      </c>
      <c r="AF192" s="224" t="str">
        <f t="shared" si="109"/>
        <v>-</v>
      </c>
      <c r="AG192" s="224" t="str">
        <f t="shared" si="110"/>
        <v>-</v>
      </c>
      <c r="AH192" s="272">
        <f t="shared" si="136"/>
        <v>0.1</v>
      </c>
      <c r="AI192" s="271" t="str">
        <f>IFERROR(IF(AD191=1,AI$100*EXP(-(LN(2)/$D$65+0.04)*AF191)*EXP(-(LN(2)/$D$65+0.1)*AG191),IF(AD191=2,AI$100*EXP(-(LN(2)/$D$65+0.04)*(VLOOKUP(($F$16-$F$15)-1,AC$99:AG191,4,FALSE)))*EXP(-(LN(2)/$D$65+0.1)*(VLOOKUP(($F$16-$F$15)-1,AC$99:AG191,5,FALSE)))*EXP(-(LN(2)/$D$65+0.04)*AF191)*EXP(-(LN(2)/$D$65+0.1)*AG191),IF(AD191=3,AI$100*EXP(-(LN(2)/$D$65+0.04)*(VLOOKUP(($F$16-$F$15)-1,AC$99:AG191,4,FALSE)))*EXP(-(LN(2)/$D$65+0.1)*(VLOOKUP(($F$16-$F$15)-1,AC$99:AG191,5,FALSE)))*EXP(-(LN(2)/$D$65+0.04)*(VLOOKUP(($F$16-$F$15)*2-1,AC$99:AG191,4,FALSE)))*EXP(-(LN(2)/$D$65+0.1)*(VLOOKUP(($F$16-$F$15)*2-1,AC$99:AG191,5,FALSE)))*EXP(-(LN(2)/$D$65+0.04)*AF191)*EXP(-(LN(2)/$D$65+0.1)*AG191),"-"))),"-")</f>
        <v>-</v>
      </c>
      <c r="AJ192" s="271" t="str">
        <f>IFERROR(IF(AD192=1,AJ$100*EXP(-(LN(2)/$D$65+0.04)*AF192)*EXP(-(LN(2)/$D$65+0.1)*AG192),IF(AD192=2,AJ$100*EXP(-(LN(2)/$D$65+0.04)*(VLOOKUP(($F$16-$F$15)-1,AC$100:AG192,4,FALSE)))*EXP(-(LN(2)/$D$65+0.1)*(VLOOKUP(($F$16-$F$15)-1,AC$100:AG192,5,FALSE)))*EXP(-(LN(2)/$D$65+0.04)*AF192)*EXP(-(LN(2)/$D$65+0.1)*AG192),IF(AD192=3,AJ$100*EXP(-(LN(2)/$D$65+0.04)*(VLOOKUP(($F$16-$F$15)-1,AC$100:AG192,4,FALSE)))*EXP(-(LN(2)/$D$65+0.1)*(VLOOKUP(($F$16-$F$15)-1,AC$100:AG192,5,FALSE)))*EXP(-(LN(2)/$D$65+0.04)*(VLOOKUP(($F$16-$F$15)*2-1,AC$100:AG192,4,FALSE)))*EXP(-(LN(2)/$D$65+0.1)*(VLOOKUP(($F$16-$F$15)*2-1,AC$100:AG192,5,FALSE)))*EXP(-(LN(2)/$D$65+0.04)*AF192)*EXP(-(LN(2)/$D$65+0.1)*AG192),"-"))),"-")</f>
        <v>-</v>
      </c>
      <c r="AK192" s="227">
        <f t="shared" si="137"/>
        <v>92</v>
      </c>
      <c r="AL192" s="226" t="str">
        <f t="shared" si="111"/>
        <v>-</v>
      </c>
      <c r="AM192" s="227" t="str">
        <f t="shared" si="138"/>
        <v>-</v>
      </c>
      <c r="AN192" s="227" t="str">
        <f t="shared" si="139"/>
        <v>-</v>
      </c>
      <c r="AO192" s="227" t="str">
        <f t="shared" si="112"/>
        <v>-</v>
      </c>
      <c r="AP192" s="273">
        <f t="shared" si="140"/>
        <v>0.1</v>
      </c>
      <c r="AQ192" s="271" t="str">
        <f>IFERROR(IF(AL191=1,AQ$100*EXP(-(LN(2)/$D$65+0.04)*AN191)*EXP(-(LN(2)/$D$65+0.1)*AO191),IF(AL191=2,AQ$100*EXP(-(LN(2)/$D$65+0.04)*(VLOOKUP(($F$16-$F$15)-1,AK$99:AO191,4,FALSE)))*EXP(-(LN(2)/$D$65+0.1)*(VLOOKUP(($F$16-$F$15)-1,AK$99:AO191,5,FALSE)))*EXP(-(LN(2)/$D$65+0.04)*AN191)*EXP(-(LN(2)/$D$65+0.1)*AO191),IF(AL191=3,AQ$100*EXP(-(LN(2)/$D$65+0.04)*(VLOOKUP(($F$16-$F$15)-1,AK$99:AO191,4,FALSE)))*EXP(-(LN(2)/$D$65+0.1)*(VLOOKUP(($F$16-$F$15)-1,AK$99:AO191,5,FALSE)))*EXP(-(LN(2)/$D$65+0.04)*(VLOOKUP(($F$16-$F$15)*2-1,AK$99:AO191,4,FALSE)))*EXP(-(LN(2)/$D$65+0.1)*(VLOOKUP(($F$16-$F$15)*2-1,AK$99:AO191,5,FALSE)))*EXP(-(LN(2)/$D$65+0.04)*AN191)*EXP(-(LN(2)/$D$65+0.1)*AO191),"-"))),"-")</f>
        <v>-</v>
      </c>
      <c r="AR192" s="271" t="str">
        <f>IFERROR(IF(AL192=1,AR$100*EXP(-(LN(2)/$D$65+0.04)*AN192)*EXP(-(LN(2)/$D$65+0.1)*AO192),IF(AL192=2,AR$100*EXP(-(LN(2)/$D$65+0.04)*(VLOOKUP(($F$16-$F$15)-1,AK$100:AO192,4,FALSE)))*EXP(-(LN(2)/$D$65+0.1)*(VLOOKUP(($F$16-$F$15)-1,AK$100:AO192,5,FALSE)))*EXP(-(LN(2)/$D$65+0.04)*AN192)*EXP(-(LN(2)/$D$65+0.1)*AO192),IF(AL192=3,AR$100*EXP(-(LN(2)/$D$65+0.04)*(VLOOKUP(($F$16-$F$15)-1,AK$100:AO192,4,FALSE)))*EXP(-(LN(2)/$D$65+0.1)*(VLOOKUP(($F$16-$F$15)-1,AK$100:AO192,5,FALSE)))*EXP(-(LN(2)/$D$65+0.04)*(VLOOKUP(($F$16-$F$15)*2-1,AK$100:AO192,4,FALSE)))*EXP(-(LN(2)/$D$65+0.1)*(VLOOKUP(($F$16-$F$15)*2-1,AK$100:AO192,5,FALSE)))*EXP(-(LN(2)/$D$65+0.04)*AN192)*EXP(-(LN(2)/$D$65+0.1)*AO192),"-"))),"-")</f>
        <v>-</v>
      </c>
      <c r="AS192" s="274">
        <f t="shared" si="113"/>
        <v>0</v>
      </c>
      <c r="AT192" s="274">
        <f t="shared" si="114"/>
        <v>0</v>
      </c>
      <c r="AU192" s="274">
        <f t="shared" si="115"/>
        <v>0</v>
      </c>
      <c r="AV192" s="190" t="str">
        <f>IF($B192&lt;$F$22,SUM($T$100:$T192),"")</f>
        <v/>
      </c>
      <c r="AW192" s="190" t="str">
        <f t="shared" si="116"/>
        <v>-</v>
      </c>
      <c r="AX192" s="190" t="str">
        <f t="shared" si="141"/>
        <v/>
      </c>
      <c r="AY192"/>
      <c r="AZ192" s="190" t="str">
        <f ca="1">IF(ISNUMBER(OFFSET(AV192,-$F$21,0)),SUM(OFFSET($T$100,$F$21,0):$T192),"")</f>
        <v/>
      </c>
      <c r="BA192" s="190" t="str">
        <f t="shared" ca="1" si="117"/>
        <v/>
      </c>
      <c r="BB192" s="190" t="str">
        <f t="shared" ca="1" si="148"/>
        <v/>
      </c>
      <c r="BC192" s="190"/>
      <c r="BD192" s="190" t="str">
        <f ca="1">IFERROR(IF(OR(ISNUMBER(I),ISNUMBER($F$14)),IF(AND($B192&gt;=($F$16-$F$15),$B192&lt;$F$22+($F$16-$F$15)),SUM(OFFSET($T$100,($F$16-$F$15),0):$T192),""),""),"")</f>
        <v/>
      </c>
      <c r="BE192" s="190" t="str">
        <f t="shared" ca="1" si="142"/>
        <v/>
      </c>
      <c r="BF192" s="190" t="str">
        <f t="shared" ca="1" si="143"/>
        <v/>
      </c>
      <c r="BG192"/>
      <c r="BH192" s="190" t="str">
        <f ca="1">IF(ISNUMBER(OFFSET(BD192,-$F$21,0)),SUM(OFFSET($T$100,($F$16-$F$15+$F$21),0):$T192),"")</f>
        <v/>
      </c>
      <c r="BI192" s="190" t="str">
        <f t="shared" ca="1" si="118"/>
        <v/>
      </c>
      <c r="BJ192" s="190" t="str">
        <f t="shared" ca="1" si="144"/>
        <v/>
      </c>
      <c r="BK192" s="190"/>
      <c r="BL192" s="190" t="str">
        <f ca="1">IFERROR(IF(OR(ISNUMBER(I),ISNUMBER($F$14)),IF(AND($B192&gt;=($F$17-$F$15),$B192&lt;$F$22+($F$17-$F$15)),SUM(OFFSET($T$100,($F$17-$F$15),0):$T192),""),""),"")</f>
        <v/>
      </c>
      <c r="BM192" s="190" t="str">
        <f t="shared" ca="1" si="119"/>
        <v/>
      </c>
      <c r="BN192" s="190" t="str">
        <f t="shared" ca="1" si="145"/>
        <v/>
      </c>
      <c r="BO192"/>
      <c r="BP192" s="190" t="str">
        <f ca="1">IF(ISNUMBER(OFFSET(BL192,-$F$21,0)),SUM(OFFSET($T$100,($F$17-$F$15+$F$21),0):$T192),"")</f>
        <v/>
      </c>
      <c r="BQ192" s="190" t="str">
        <f t="shared" ca="1" si="120"/>
        <v/>
      </c>
      <c r="BR192" s="190" t="str">
        <f t="shared" ca="1" si="146"/>
        <v/>
      </c>
      <c r="BS192" s="190"/>
      <c r="BT192"/>
      <c r="BU192"/>
      <c r="BV192"/>
      <c r="BY192" s="99"/>
      <c r="BZ192" s="99"/>
      <c r="CA192" s="280" t="str">
        <f t="shared" si="121"/>
        <v/>
      </c>
      <c r="CB192" s="71" t="str">
        <f t="shared" si="122"/>
        <v>-</v>
      </c>
      <c r="CC192" s="33"/>
      <c r="CD192" s="261" t="str">
        <f t="shared" si="123"/>
        <v/>
      </c>
      <c r="CE192" s="280" t="str">
        <f t="shared" si="124"/>
        <v/>
      </c>
      <c r="CF192" s="71" t="str">
        <f t="shared" ca="1" si="125"/>
        <v/>
      </c>
      <c r="CG192" s="33" t="str">
        <f t="shared" si="126"/>
        <v/>
      </c>
      <c r="CH192" s="261" t="str">
        <f t="shared" ca="1" si="127"/>
        <v/>
      </c>
    </row>
    <row r="193" spans="2:86" ht="13.5" customHeight="1" x14ac:dyDescent="0.2">
      <c r="B193" s="262">
        <v>93</v>
      </c>
      <c r="C193" s="237" t="str">
        <f t="shared" si="91"/>
        <v/>
      </c>
      <c r="D193" s="237" t="str">
        <f t="shared" si="147"/>
        <v/>
      </c>
      <c r="E193" s="263" t="str">
        <f t="shared" si="128"/>
        <v/>
      </c>
      <c r="F193" s="264" t="str">
        <f t="shared" si="129"/>
        <v/>
      </c>
      <c r="G193" s="264" t="str">
        <f t="shared" si="130"/>
        <v/>
      </c>
      <c r="H193" s="240" t="str">
        <f t="shared" si="92"/>
        <v/>
      </c>
      <c r="I193" s="265" t="str">
        <f t="shared" si="93"/>
        <v/>
      </c>
      <c r="J193" s="265" t="str">
        <f t="shared" si="94"/>
        <v/>
      </c>
      <c r="K193" s="240" t="str">
        <f t="shared" si="95"/>
        <v/>
      </c>
      <c r="L193" s="265" t="str">
        <f t="shared" si="96"/>
        <v/>
      </c>
      <c r="M193" s="265" t="str">
        <f t="shared" si="97"/>
        <v/>
      </c>
      <c r="N193" s="240" t="str">
        <f t="shared" si="98"/>
        <v>-</v>
      </c>
      <c r="O193" s="265" t="str">
        <f t="shared" si="99"/>
        <v>-</v>
      </c>
      <c r="P193" s="265" t="str">
        <f t="shared" si="100"/>
        <v>-</v>
      </c>
      <c r="Q193" s="266" t="str">
        <f t="shared" si="101"/>
        <v>-</v>
      </c>
      <c r="R193" s="267" t="str">
        <f t="shared" si="102"/>
        <v>-</v>
      </c>
      <c r="S193" s="268" t="str">
        <f t="shared" si="103"/>
        <v>-</v>
      </c>
      <c r="T193" s="269" t="str">
        <f t="shared" si="104"/>
        <v/>
      </c>
      <c r="U193" s="221">
        <f t="shared" si="105"/>
        <v>93</v>
      </c>
      <c r="V193" s="220" t="str">
        <f t="shared" si="131"/>
        <v>-</v>
      </c>
      <c r="W193" s="221" t="str">
        <f t="shared" si="132"/>
        <v>-</v>
      </c>
      <c r="X193" s="221" t="str">
        <f t="shared" si="106"/>
        <v>-</v>
      </c>
      <c r="Y193" s="221" t="str">
        <f t="shared" si="107"/>
        <v>-</v>
      </c>
      <c r="Z193" s="270">
        <f t="shared" si="133"/>
        <v>0.1</v>
      </c>
      <c r="AA193" s="271" t="str">
        <f>IFERROR(IF(V192=1,AA$100*EXP(-(LN(2)/$D$65+0.04)*X192)*EXP(-(LN(2)/$D$65+0.1)*Y192),IF(V192=2,AA$100*EXP(-(LN(2)/$D$65+0.04)*(VLOOKUP(($F$16-$F$15)-1,U$99:Y192,4,FALSE)))*EXP(-(LN(2)/$D$65+0.1)*(VLOOKUP(($F$16-$F$15)-1,U$99:Y192,5,FALSE)))*EXP(-(LN(2)/$D$65+0.04)*X192)*EXP(-(LN(2)/$D$65+0.1)*Y192),IF(V192=3,AA$100*EXP(-(LN(2)/$D$65+0.04)*(VLOOKUP(($F$16-$F$15)-1,U$99:Y192,4,FALSE)))*EXP(-(LN(2)/$D$65+0.1)*(VLOOKUP(($F$16-$F$15)-1,U$99:Y192,5,FALSE)))*EXP(-(LN(2)/$D$65+0.04)*(VLOOKUP(($F$16-$F$15)*2-1,U$99:Y192,4,FALSE)))*EXP(-(LN(2)/$D$65+0.1)*(VLOOKUP(($F$16-$F$15)*2-1,U$99:Y192,5,FALSE)))*EXP(-(LN(2)/$D$65+0.04)*X192)*EXP(-(LN(2)/$D$65+0.1)*Y192),"-"))),"-")</f>
        <v>-</v>
      </c>
      <c r="AB193" s="271" t="str">
        <f>IFERROR(IF(V193=1,AB$100*EXP(-(LN(2)/$D$65+0.04)*X193)*EXP(-(LN(2)/$D$65+0.1)*Y193),IF(V193=2,AB$100*EXP(-(LN(2)/$D$65+0.04)*(VLOOKUP(($F$16-$F$15)-1,U$100:Y193,4,FALSE)))*EXP(-(LN(2)/$D$65+0.1)*(VLOOKUP(($F$16-$F$15)-1,U$100:Y193,5,FALSE)))*EXP(-(LN(2)/$D$65+0.04)*X193)*EXP(-(LN(2)/$D$65+0.1)*Y193),IF(V193=3,AB$100*EXP(-(LN(2)/$D$65+0.04)*(VLOOKUP(($F$16-$F$15)-1,U$100:Y193,4,FALSE)))*EXP(-(LN(2)/$D$65+0.1)*(VLOOKUP(($F$16-$F$15)-1,U$100:Y193,5,FALSE)))*EXP(-(LN(2)/$D$65+0.04)*(VLOOKUP(($F$16-$F$15)*2-1,U$100:Y193,4,FALSE)))*EXP(-(LN(2)/$D$65+0.1)*(VLOOKUP(($F$16-$F$15)*2-1,U$100:Y193,5,FALSE)))*EXP(-(LN(2)/$D$65+0.04)*X193)*EXP(-(LN(2)/$D$65+0.1)*Y193),"-"))),"-")</f>
        <v>-</v>
      </c>
      <c r="AC193" s="224">
        <f t="shared" si="134"/>
        <v>93</v>
      </c>
      <c r="AD193" s="223" t="str">
        <f t="shared" si="108"/>
        <v>-</v>
      </c>
      <c r="AE193" s="224" t="str">
        <f t="shared" si="135"/>
        <v>-</v>
      </c>
      <c r="AF193" s="224" t="str">
        <f t="shared" si="109"/>
        <v>-</v>
      </c>
      <c r="AG193" s="224" t="str">
        <f t="shared" si="110"/>
        <v>-</v>
      </c>
      <c r="AH193" s="272">
        <f t="shared" si="136"/>
        <v>0.1</v>
      </c>
      <c r="AI193" s="271" t="str">
        <f>IFERROR(IF(AD192=1,AI$100*EXP(-(LN(2)/$D$65+0.04)*AF192)*EXP(-(LN(2)/$D$65+0.1)*AG192),IF(AD192=2,AI$100*EXP(-(LN(2)/$D$65+0.04)*(VLOOKUP(($F$16-$F$15)-1,AC$99:AG192,4,FALSE)))*EXP(-(LN(2)/$D$65+0.1)*(VLOOKUP(($F$16-$F$15)-1,AC$99:AG192,5,FALSE)))*EXP(-(LN(2)/$D$65+0.04)*AF192)*EXP(-(LN(2)/$D$65+0.1)*AG192),IF(AD192=3,AI$100*EXP(-(LN(2)/$D$65+0.04)*(VLOOKUP(($F$16-$F$15)-1,AC$99:AG192,4,FALSE)))*EXP(-(LN(2)/$D$65+0.1)*(VLOOKUP(($F$16-$F$15)-1,AC$99:AG192,5,FALSE)))*EXP(-(LN(2)/$D$65+0.04)*(VLOOKUP(($F$16-$F$15)*2-1,AC$99:AG192,4,FALSE)))*EXP(-(LN(2)/$D$65+0.1)*(VLOOKUP(($F$16-$F$15)*2-1,AC$99:AG192,5,FALSE)))*EXP(-(LN(2)/$D$65+0.04)*AF192)*EXP(-(LN(2)/$D$65+0.1)*AG192),"-"))),"-")</f>
        <v>-</v>
      </c>
      <c r="AJ193" s="271" t="str">
        <f>IFERROR(IF(AD193=1,AJ$100*EXP(-(LN(2)/$D$65+0.04)*AF193)*EXP(-(LN(2)/$D$65+0.1)*AG193),IF(AD193=2,AJ$100*EXP(-(LN(2)/$D$65+0.04)*(VLOOKUP(($F$16-$F$15)-1,AC$100:AG193,4,FALSE)))*EXP(-(LN(2)/$D$65+0.1)*(VLOOKUP(($F$16-$F$15)-1,AC$100:AG193,5,FALSE)))*EXP(-(LN(2)/$D$65+0.04)*AF193)*EXP(-(LN(2)/$D$65+0.1)*AG193),IF(AD193=3,AJ$100*EXP(-(LN(2)/$D$65+0.04)*(VLOOKUP(($F$16-$F$15)-1,AC$100:AG193,4,FALSE)))*EXP(-(LN(2)/$D$65+0.1)*(VLOOKUP(($F$16-$F$15)-1,AC$100:AG193,5,FALSE)))*EXP(-(LN(2)/$D$65+0.04)*(VLOOKUP(($F$16-$F$15)*2-1,AC$100:AG193,4,FALSE)))*EXP(-(LN(2)/$D$65+0.1)*(VLOOKUP(($F$16-$F$15)*2-1,AC$100:AG193,5,FALSE)))*EXP(-(LN(2)/$D$65+0.04)*AF193)*EXP(-(LN(2)/$D$65+0.1)*AG193),"-"))),"-")</f>
        <v>-</v>
      </c>
      <c r="AK193" s="227">
        <f t="shared" si="137"/>
        <v>93</v>
      </c>
      <c r="AL193" s="226" t="str">
        <f t="shared" si="111"/>
        <v>-</v>
      </c>
      <c r="AM193" s="227" t="str">
        <f t="shared" si="138"/>
        <v>-</v>
      </c>
      <c r="AN193" s="227" t="str">
        <f t="shared" si="139"/>
        <v>-</v>
      </c>
      <c r="AO193" s="227" t="str">
        <f t="shared" si="112"/>
        <v>-</v>
      </c>
      <c r="AP193" s="273">
        <f t="shared" si="140"/>
        <v>0.1</v>
      </c>
      <c r="AQ193" s="271" t="str">
        <f>IFERROR(IF(AL192=1,AQ$100*EXP(-(LN(2)/$D$65+0.04)*AN192)*EXP(-(LN(2)/$D$65+0.1)*AO192),IF(AL192=2,AQ$100*EXP(-(LN(2)/$D$65+0.04)*(VLOOKUP(($F$16-$F$15)-1,AK$99:AO192,4,FALSE)))*EXP(-(LN(2)/$D$65+0.1)*(VLOOKUP(($F$16-$F$15)-1,AK$99:AO192,5,FALSE)))*EXP(-(LN(2)/$D$65+0.04)*AN192)*EXP(-(LN(2)/$D$65+0.1)*AO192),IF(AL192=3,AQ$100*EXP(-(LN(2)/$D$65+0.04)*(VLOOKUP(($F$16-$F$15)-1,AK$99:AO192,4,FALSE)))*EXP(-(LN(2)/$D$65+0.1)*(VLOOKUP(($F$16-$F$15)-1,AK$99:AO192,5,FALSE)))*EXP(-(LN(2)/$D$65+0.04)*(VLOOKUP(($F$16-$F$15)*2-1,AK$99:AO192,4,FALSE)))*EXP(-(LN(2)/$D$65+0.1)*(VLOOKUP(($F$16-$F$15)*2-1,AK$99:AO192,5,FALSE)))*EXP(-(LN(2)/$D$65+0.04)*AN192)*EXP(-(LN(2)/$D$65+0.1)*AO192),"-"))),"-")</f>
        <v>-</v>
      </c>
      <c r="AR193" s="271" t="str">
        <f>IFERROR(IF(AL193=1,AR$100*EXP(-(LN(2)/$D$65+0.04)*AN193)*EXP(-(LN(2)/$D$65+0.1)*AO193),IF(AL193=2,AR$100*EXP(-(LN(2)/$D$65+0.04)*(VLOOKUP(($F$16-$F$15)-1,AK$100:AO193,4,FALSE)))*EXP(-(LN(2)/$D$65+0.1)*(VLOOKUP(($F$16-$F$15)-1,AK$100:AO193,5,FALSE)))*EXP(-(LN(2)/$D$65+0.04)*AN193)*EXP(-(LN(2)/$D$65+0.1)*AO193),IF(AL193=3,AR$100*EXP(-(LN(2)/$D$65+0.04)*(VLOOKUP(($F$16-$F$15)-1,AK$100:AO193,4,FALSE)))*EXP(-(LN(2)/$D$65+0.1)*(VLOOKUP(($F$16-$F$15)-1,AK$100:AO193,5,FALSE)))*EXP(-(LN(2)/$D$65+0.04)*(VLOOKUP(($F$16-$F$15)*2-1,AK$100:AO193,4,FALSE)))*EXP(-(LN(2)/$D$65+0.1)*(VLOOKUP(($F$16-$F$15)*2-1,AK$100:AO193,5,FALSE)))*EXP(-(LN(2)/$D$65+0.04)*AN193)*EXP(-(LN(2)/$D$65+0.1)*AO193),"-"))),"-")</f>
        <v>-</v>
      </c>
      <c r="AS193" s="274">
        <f t="shared" si="113"/>
        <v>0</v>
      </c>
      <c r="AT193" s="274">
        <f t="shared" si="114"/>
        <v>0</v>
      </c>
      <c r="AU193" s="274">
        <f t="shared" si="115"/>
        <v>0</v>
      </c>
      <c r="AV193" s="190" t="str">
        <f>IF($B193&lt;$F$22,SUM($T$100:$T193),"")</f>
        <v/>
      </c>
      <c r="AW193" s="190" t="str">
        <f t="shared" si="116"/>
        <v>-</v>
      </c>
      <c r="AX193" s="190" t="str">
        <f t="shared" si="141"/>
        <v/>
      </c>
      <c r="AY193"/>
      <c r="AZ193" s="190" t="str">
        <f ca="1">IF(ISNUMBER(OFFSET(AV193,-$F$21,0)),SUM(OFFSET($T$100,$F$21,0):$T193),"")</f>
        <v/>
      </c>
      <c r="BA193" s="190" t="str">
        <f t="shared" ca="1" si="117"/>
        <v/>
      </c>
      <c r="BB193" s="190" t="str">
        <f t="shared" ca="1" si="148"/>
        <v/>
      </c>
      <c r="BC193" s="190"/>
      <c r="BD193" s="190" t="str">
        <f ca="1">IFERROR(IF(OR(ISNUMBER(I),ISNUMBER($F$14)),IF(AND($B193&gt;=($F$16-$F$15),$B193&lt;$F$22+($F$16-$F$15)),SUM(OFFSET($T$100,($F$16-$F$15),0):$T193),""),""),"")</f>
        <v/>
      </c>
      <c r="BE193" s="190" t="str">
        <f t="shared" ca="1" si="142"/>
        <v/>
      </c>
      <c r="BF193" s="190" t="str">
        <f t="shared" ca="1" si="143"/>
        <v/>
      </c>
      <c r="BG193"/>
      <c r="BH193" s="190" t="str">
        <f ca="1">IF(ISNUMBER(OFFSET(BD193,-$F$21,0)),SUM(OFFSET($T$100,($F$16-$F$15+$F$21),0):$T193),"")</f>
        <v/>
      </c>
      <c r="BI193" s="190" t="str">
        <f t="shared" ca="1" si="118"/>
        <v/>
      </c>
      <c r="BJ193" s="190" t="str">
        <f t="shared" ca="1" si="144"/>
        <v/>
      </c>
      <c r="BK193" s="190"/>
      <c r="BL193" s="190" t="str">
        <f ca="1">IFERROR(IF(OR(ISNUMBER(I),ISNUMBER($F$14)),IF(AND($B193&gt;=($F$17-$F$15),$B193&lt;$F$22+($F$17-$F$15)),SUM(OFFSET($T$100,($F$17-$F$15),0):$T193),""),""),"")</f>
        <v/>
      </c>
      <c r="BM193" s="190" t="str">
        <f t="shared" ca="1" si="119"/>
        <v/>
      </c>
      <c r="BN193" s="190" t="str">
        <f t="shared" ca="1" si="145"/>
        <v/>
      </c>
      <c r="BO193"/>
      <c r="BP193" s="190" t="str">
        <f ca="1">IF(ISNUMBER(OFFSET(BL193,-$F$21,0)),SUM(OFFSET($T$100,($F$17-$F$15+$F$21),0):$T193),"")</f>
        <v/>
      </c>
      <c r="BQ193" s="190" t="str">
        <f t="shared" ca="1" si="120"/>
        <v/>
      </c>
      <c r="BR193" s="190" t="str">
        <f t="shared" ca="1" si="146"/>
        <v/>
      </c>
      <c r="BS193" s="190"/>
      <c r="BT193"/>
      <c r="BU193"/>
      <c r="BV193"/>
      <c r="BY193" s="99"/>
      <c r="BZ193" s="99"/>
      <c r="CA193" s="280" t="str">
        <f t="shared" si="121"/>
        <v/>
      </c>
      <c r="CB193" s="71" t="str">
        <f t="shared" si="122"/>
        <v>-</v>
      </c>
      <c r="CC193" s="33"/>
      <c r="CD193" s="261" t="str">
        <f t="shared" si="123"/>
        <v/>
      </c>
      <c r="CE193" s="280" t="str">
        <f t="shared" si="124"/>
        <v/>
      </c>
      <c r="CF193" s="71" t="str">
        <f t="shared" ca="1" si="125"/>
        <v/>
      </c>
      <c r="CG193" s="33" t="str">
        <f t="shared" si="126"/>
        <v/>
      </c>
      <c r="CH193" s="261" t="str">
        <f t="shared" ca="1" si="127"/>
        <v/>
      </c>
    </row>
    <row r="194" spans="2:86" ht="13.5" customHeight="1" x14ac:dyDescent="0.2">
      <c r="B194" s="262">
        <v>94</v>
      </c>
      <c r="C194" s="237" t="str">
        <f t="shared" si="91"/>
        <v/>
      </c>
      <c r="D194" s="237" t="str">
        <f t="shared" si="147"/>
        <v/>
      </c>
      <c r="E194" s="263" t="str">
        <f t="shared" si="128"/>
        <v/>
      </c>
      <c r="F194" s="264" t="str">
        <f t="shared" si="129"/>
        <v/>
      </c>
      <c r="G194" s="264" t="str">
        <f t="shared" si="130"/>
        <v/>
      </c>
      <c r="H194" s="240" t="str">
        <f t="shared" si="92"/>
        <v/>
      </c>
      <c r="I194" s="265" t="str">
        <f t="shared" si="93"/>
        <v/>
      </c>
      <c r="J194" s="265" t="str">
        <f t="shared" si="94"/>
        <v/>
      </c>
      <c r="K194" s="240" t="str">
        <f t="shared" si="95"/>
        <v/>
      </c>
      <c r="L194" s="265" t="str">
        <f t="shared" si="96"/>
        <v/>
      </c>
      <c r="M194" s="265" t="str">
        <f t="shared" si="97"/>
        <v/>
      </c>
      <c r="N194" s="240" t="str">
        <f t="shared" si="98"/>
        <v>-</v>
      </c>
      <c r="O194" s="265" t="str">
        <f t="shared" si="99"/>
        <v>-</v>
      </c>
      <c r="P194" s="265" t="str">
        <f t="shared" si="100"/>
        <v>-</v>
      </c>
      <c r="Q194" s="266" t="str">
        <f t="shared" si="101"/>
        <v>-</v>
      </c>
      <c r="R194" s="267" t="str">
        <f t="shared" si="102"/>
        <v>-</v>
      </c>
      <c r="S194" s="268" t="str">
        <f t="shared" si="103"/>
        <v>-</v>
      </c>
      <c r="T194" s="269" t="str">
        <f t="shared" si="104"/>
        <v/>
      </c>
      <c r="U194" s="221">
        <f t="shared" si="105"/>
        <v>94</v>
      </c>
      <c r="V194" s="220" t="str">
        <f t="shared" si="131"/>
        <v>-</v>
      </c>
      <c r="W194" s="221" t="str">
        <f t="shared" si="132"/>
        <v>-</v>
      </c>
      <c r="X194" s="221" t="str">
        <f t="shared" si="106"/>
        <v>-</v>
      </c>
      <c r="Y194" s="221" t="str">
        <f t="shared" si="107"/>
        <v>-</v>
      </c>
      <c r="Z194" s="270">
        <f t="shared" si="133"/>
        <v>0.1</v>
      </c>
      <c r="AA194" s="271" t="str">
        <f>IFERROR(IF(V193=1,AA$100*EXP(-(LN(2)/$D$65+0.04)*X193)*EXP(-(LN(2)/$D$65+0.1)*Y193),IF(V193=2,AA$100*EXP(-(LN(2)/$D$65+0.04)*(VLOOKUP(($F$16-$F$15)-1,U$99:Y193,4,FALSE)))*EXP(-(LN(2)/$D$65+0.1)*(VLOOKUP(($F$16-$F$15)-1,U$99:Y193,5,FALSE)))*EXP(-(LN(2)/$D$65+0.04)*X193)*EXP(-(LN(2)/$D$65+0.1)*Y193),IF(V193=3,AA$100*EXP(-(LN(2)/$D$65+0.04)*(VLOOKUP(($F$16-$F$15)-1,U$99:Y193,4,FALSE)))*EXP(-(LN(2)/$D$65+0.1)*(VLOOKUP(($F$16-$F$15)-1,U$99:Y193,5,FALSE)))*EXP(-(LN(2)/$D$65+0.04)*(VLOOKUP(($F$16-$F$15)*2-1,U$99:Y193,4,FALSE)))*EXP(-(LN(2)/$D$65+0.1)*(VLOOKUP(($F$16-$F$15)*2-1,U$99:Y193,5,FALSE)))*EXP(-(LN(2)/$D$65+0.04)*X193)*EXP(-(LN(2)/$D$65+0.1)*Y193),"-"))),"-")</f>
        <v>-</v>
      </c>
      <c r="AB194" s="271" t="str">
        <f>IFERROR(IF(V194=1,AB$100*EXP(-(LN(2)/$D$65+0.04)*X194)*EXP(-(LN(2)/$D$65+0.1)*Y194),IF(V194=2,AB$100*EXP(-(LN(2)/$D$65+0.04)*(VLOOKUP(($F$16-$F$15)-1,U$100:Y194,4,FALSE)))*EXP(-(LN(2)/$D$65+0.1)*(VLOOKUP(($F$16-$F$15)-1,U$100:Y194,5,FALSE)))*EXP(-(LN(2)/$D$65+0.04)*X194)*EXP(-(LN(2)/$D$65+0.1)*Y194),IF(V194=3,AB$100*EXP(-(LN(2)/$D$65+0.04)*(VLOOKUP(($F$16-$F$15)-1,U$100:Y194,4,FALSE)))*EXP(-(LN(2)/$D$65+0.1)*(VLOOKUP(($F$16-$F$15)-1,U$100:Y194,5,FALSE)))*EXP(-(LN(2)/$D$65+0.04)*(VLOOKUP(($F$16-$F$15)*2-1,U$100:Y194,4,FALSE)))*EXP(-(LN(2)/$D$65+0.1)*(VLOOKUP(($F$16-$F$15)*2-1,U$100:Y194,5,FALSE)))*EXP(-(LN(2)/$D$65+0.04)*X194)*EXP(-(LN(2)/$D$65+0.1)*Y194),"-"))),"-")</f>
        <v>-</v>
      </c>
      <c r="AC194" s="224">
        <f t="shared" si="134"/>
        <v>94</v>
      </c>
      <c r="AD194" s="223" t="str">
        <f t="shared" si="108"/>
        <v>-</v>
      </c>
      <c r="AE194" s="224" t="str">
        <f t="shared" si="135"/>
        <v>-</v>
      </c>
      <c r="AF194" s="224" t="str">
        <f t="shared" si="109"/>
        <v>-</v>
      </c>
      <c r="AG194" s="224" t="str">
        <f t="shared" si="110"/>
        <v>-</v>
      </c>
      <c r="AH194" s="272">
        <f t="shared" si="136"/>
        <v>0.1</v>
      </c>
      <c r="AI194" s="271" t="str">
        <f>IFERROR(IF(AD193=1,AI$100*EXP(-(LN(2)/$D$65+0.04)*AF193)*EXP(-(LN(2)/$D$65+0.1)*AG193),IF(AD193=2,AI$100*EXP(-(LN(2)/$D$65+0.04)*(VLOOKUP(($F$16-$F$15)-1,AC$99:AG193,4,FALSE)))*EXP(-(LN(2)/$D$65+0.1)*(VLOOKUP(($F$16-$F$15)-1,AC$99:AG193,5,FALSE)))*EXP(-(LN(2)/$D$65+0.04)*AF193)*EXP(-(LN(2)/$D$65+0.1)*AG193),IF(AD193=3,AI$100*EXP(-(LN(2)/$D$65+0.04)*(VLOOKUP(($F$16-$F$15)-1,AC$99:AG193,4,FALSE)))*EXP(-(LN(2)/$D$65+0.1)*(VLOOKUP(($F$16-$F$15)-1,AC$99:AG193,5,FALSE)))*EXP(-(LN(2)/$D$65+0.04)*(VLOOKUP(($F$16-$F$15)*2-1,AC$99:AG193,4,FALSE)))*EXP(-(LN(2)/$D$65+0.1)*(VLOOKUP(($F$16-$F$15)*2-1,AC$99:AG193,5,FALSE)))*EXP(-(LN(2)/$D$65+0.04)*AF193)*EXP(-(LN(2)/$D$65+0.1)*AG193),"-"))),"-")</f>
        <v>-</v>
      </c>
      <c r="AJ194" s="271" t="str">
        <f>IFERROR(IF(AD194=1,AJ$100*EXP(-(LN(2)/$D$65+0.04)*AF194)*EXP(-(LN(2)/$D$65+0.1)*AG194),IF(AD194=2,AJ$100*EXP(-(LN(2)/$D$65+0.04)*(VLOOKUP(($F$16-$F$15)-1,AC$100:AG194,4,FALSE)))*EXP(-(LN(2)/$D$65+0.1)*(VLOOKUP(($F$16-$F$15)-1,AC$100:AG194,5,FALSE)))*EXP(-(LN(2)/$D$65+0.04)*AF194)*EXP(-(LN(2)/$D$65+0.1)*AG194),IF(AD194=3,AJ$100*EXP(-(LN(2)/$D$65+0.04)*(VLOOKUP(($F$16-$F$15)-1,AC$100:AG194,4,FALSE)))*EXP(-(LN(2)/$D$65+0.1)*(VLOOKUP(($F$16-$F$15)-1,AC$100:AG194,5,FALSE)))*EXP(-(LN(2)/$D$65+0.04)*(VLOOKUP(($F$16-$F$15)*2-1,AC$100:AG194,4,FALSE)))*EXP(-(LN(2)/$D$65+0.1)*(VLOOKUP(($F$16-$F$15)*2-1,AC$100:AG194,5,FALSE)))*EXP(-(LN(2)/$D$65+0.04)*AF194)*EXP(-(LN(2)/$D$65+0.1)*AG194),"-"))),"-")</f>
        <v>-</v>
      </c>
      <c r="AK194" s="227">
        <f t="shared" si="137"/>
        <v>94</v>
      </c>
      <c r="AL194" s="226" t="str">
        <f t="shared" si="111"/>
        <v>-</v>
      </c>
      <c r="AM194" s="227" t="str">
        <f t="shared" si="138"/>
        <v>-</v>
      </c>
      <c r="AN194" s="227" t="str">
        <f t="shared" si="139"/>
        <v>-</v>
      </c>
      <c r="AO194" s="227" t="str">
        <f t="shared" si="112"/>
        <v>-</v>
      </c>
      <c r="AP194" s="273">
        <f t="shared" si="140"/>
        <v>0.1</v>
      </c>
      <c r="AQ194" s="271" t="str">
        <f>IFERROR(IF(AL193=1,AQ$100*EXP(-(LN(2)/$D$65+0.04)*AN193)*EXP(-(LN(2)/$D$65+0.1)*AO193),IF(AL193=2,AQ$100*EXP(-(LN(2)/$D$65+0.04)*(VLOOKUP(($F$16-$F$15)-1,AK$99:AO193,4,FALSE)))*EXP(-(LN(2)/$D$65+0.1)*(VLOOKUP(($F$16-$F$15)-1,AK$99:AO193,5,FALSE)))*EXP(-(LN(2)/$D$65+0.04)*AN193)*EXP(-(LN(2)/$D$65+0.1)*AO193),IF(AL193=3,AQ$100*EXP(-(LN(2)/$D$65+0.04)*(VLOOKUP(($F$16-$F$15)-1,AK$99:AO193,4,FALSE)))*EXP(-(LN(2)/$D$65+0.1)*(VLOOKUP(($F$16-$F$15)-1,AK$99:AO193,5,FALSE)))*EXP(-(LN(2)/$D$65+0.04)*(VLOOKUP(($F$16-$F$15)*2-1,AK$99:AO193,4,FALSE)))*EXP(-(LN(2)/$D$65+0.1)*(VLOOKUP(($F$16-$F$15)*2-1,AK$99:AO193,5,FALSE)))*EXP(-(LN(2)/$D$65+0.04)*AN193)*EXP(-(LN(2)/$D$65+0.1)*AO193),"-"))),"-")</f>
        <v>-</v>
      </c>
      <c r="AR194" s="271" t="str">
        <f>IFERROR(IF(AL194=1,AR$100*EXP(-(LN(2)/$D$65+0.04)*AN194)*EXP(-(LN(2)/$D$65+0.1)*AO194),IF(AL194=2,AR$100*EXP(-(LN(2)/$D$65+0.04)*(VLOOKUP(($F$16-$F$15)-1,AK$100:AO194,4,FALSE)))*EXP(-(LN(2)/$D$65+0.1)*(VLOOKUP(($F$16-$F$15)-1,AK$100:AO194,5,FALSE)))*EXP(-(LN(2)/$D$65+0.04)*AN194)*EXP(-(LN(2)/$D$65+0.1)*AO194),IF(AL194=3,AR$100*EXP(-(LN(2)/$D$65+0.04)*(VLOOKUP(($F$16-$F$15)-1,AK$100:AO194,4,FALSE)))*EXP(-(LN(2)/$D$65+0.1)*(VLOOKUP(($F$16-$F$15)-1,AK$100:AO194,5,FALSE)))*EXP(-(LN(2)/$D$65+0.04)*(VLOOKUP(($F$16-$F$15)*2-1,AK$100:AO194,4,FALSE)))*EXP(-(LN(2)/$D$65+0.1)*(VLOOKUP(($F$16-$F$15)*2-1,AK$100:AO194,5,FALSE)))*EXP(-(LN(2)/$D$65+0.04)*AN194)*EXP(-(LN(2)/$D$65+0.1)*AO194),"-"))),"-")</f>
        <v>-</v>
      </c>
      <c r="AS194" s="274">
        <f t="shared" si="113"/>
        <v>0</v>
      </c>
      <c r="AT194" s="274">
        <f t="shared" si="114"/>
        <v>0</v>
      </c>
      <c r="AU194" s="274">
        <f t="shared" si="115"/>
        <v>0</v>
      </c>
      <c r="AV194" s="190" t="str">
        <f>IF($B194&lt;$F$22,SUM($T$100:$T194),"")</f>
        <v/>
      </c>
      <c r="AW194" s="190" t="str">
        <f t="shared" si="116"/>
        <v>-</v>
      </c>
      <c r="AX194" s="190" t="str">
        <f t="shared" si="141"/>
        <v/>
      </c>
      <c r="AY194"/>
      <c r="AZ194" s="190" t="str">
        <f ca="1">IF(ISNUMBER(OFFSET(AV194,-$F$21,0)),SUM(OFFSET($T$100,$F$21,0):$T194),"")</f>
        <v/>
      </c>
      <c r="BA194" s="190" t="str">
        <f t="shared" ca="1" si="117"/>
        <v/>
      </c>
      <c r="BB194" s="190" t="str">
        <f t="shared" ca="1" si="148"/>
        <v/>
      </c>
      <c r="BC194" s="190"/>
      <c r="BD194" s="190" t="str">
        <f ca="1">IFERROR(IF(OR(ISNUMBER(I),ISNUMBER($F$14)),IF(AND($B194&gt;=($F$16-$F$15),$B194&lt;$F$22+($F$16-$F$15)),SUM(OFFSET($T$100,($F$16-$F$15),0):$T194),""),""),"")</f>
        <v/>
      </c>
      <c r="BE194" s="190" t="str">
        <f t="shared" ca="1" si="142"/>
        <v/>
      </c>
      <c r="BF194" s="190" t="str">
        <f t="shared" ca="1" si="143"/>
        <v/>
      </c>
      <c r="BG194"/>
      <c r="BH194" s="190" t="str">
        <f ca="1">IF(ISNUMBER(OFFSET(BD194,-$F$21,0)),SUM(OFFSET($T$100,($F$16-$F$15+$F$21),0):$T194),"")</f>
        <v/>
      </c>
      <c r="BI194" s="190" t="str">
        <f t="shared" ca="1" si="118"/>
        <v/>
      </c>
      <c r="BJ194" s="190" t="str">
        <f t="shared" ca="1" si="144"/>
        <v/>
      </c>
      <c r="BK194" s="190"/>
      <c r="BL194" s="190" t="str">
        <f ca="1">IFERROR(IF(OR(ISNUMBER(I),ISNUMBER($F$14)),IF(AND($B194&gt;=($F$17-$F$15),$B194&lt;$F$22+($F$17-$F$15)),SUM(OFFSET($T$100,($F$17-$F$15),0):$T194),""),""),"")</f>
        <v/>
      </c>
      <c r="BM194" s="190" t="str">
        <f t="shared" ca="1" si="119"/>
        <v/>
      </c>
      <c r="BN194" s="190" t="str">
        <f t="shared" ca="1" si="145"/>
        <v/>
      </c>
      <c r="BO194"/>
      <c r="BP194" s="190" t="str">
        <f ca="1">IF(ISNUMBER(OFFSET(BL194,-$F$21,0)),SUM(OFFSET($T$100,($F$17-$F$15+$F$21),0):$T194),"")</f>
        <v/>
      </c>
      <c r="BQ194" s="190" t="str">
        <f t="shared" ca="1" si="120"/>
        <v/>
      </c>
      <c r="BR194" s="190" t="str">
        <f t="shared" ca="1" si="146"/>
        <v/>
      </c>
      <c r="BS194" s="190"/>
      <c r="BT194"/>
      <c r="BU194"/>
      <c r="BV194"/>
      <c r="BY194" s="99"/>
      <c r="BZ194" s="99"/>
      <c r="CA194" s="280" t="str">
        <f t="shared" si="121"/>
        <v/>
      </c>
      <c r="CB194" s="71" t="str">
        <f t="shared" si="122"/>
        <v>-</v>
      </c>
      <c r="CC194" s="33"/>
      <c r="CD194" s="261" t="str">
        <f t="shared" si="123"/>
        <v/>
      </c>
      <c r="CE194" s="280" t="str">
        <f t="shared" si="124"/>
        <v/>
      </c>
      <c r="CF194" s="71" t="str">
        <f t="shared" ca="1" si="125"/>
        <v/>
      </c>
      <c r="CG194" s="33" t="str">
        <f t="shared" si="126"/>
        <v/>
      </c>
      <c r="CH194" s="261" t="str">
        <f t="shared" ca="1" si="127"/>
        <v/>
      </c>
    </row>
    <row r="195" spans="2:86" ht="13.5" customHeight="1" x14ac:dyDescent="0.2">
      <c r="B195" s="262">
        <v>95</v>
      </c>
      <c r="C195" s="237" t="str">
        <f t="shared" si="91"/>
        <v/>
      </c>
      <c r="D195" s="237" t="str">
        <f t="shared" si="147"/>
        <v/>
      </c>
      <c r="E195" s="263" t="str">
        <f t="shared" si="128"/>
        <v/>
      </c>
      <c r="F195" s="264" t="str">
        <f t="shared" si="129"/>
        <v/>
      </c>
      <c r="G195" s="264" t="str">
        <f t="shared" si="130"/>
        <v/>
      </c>
      <c r="H195" s="240" t="str">
        <f t="shared" si="92"/>
        <v/>
      </c>
      <c r="I195" s="265" t="str">
        <f t="shared" si="93"/>
        <v/>
      </c>
      <c r="J195" s="265" t="str">
        <f t="shared" si="94"/>
        <v/>
      </c>
      <c r="K195" s="240" t="str">
        <f t="shared" si="95"/>
        <v/>
      </c>
      <c r="L195" s="265" t="str">
        <f t="shared" si="96"/>
        <v/>
      </c>
      <c r="M195" s="265" t="str">
        <f t="shared" si="97"/>
        <v/>
      </c>
      <c r="N195" s="240" t="str">
        <f t="shared" si="98"/>
        <v>-</v>
      </c>
      <c r="O195" s="265" t="str">
        <f t="shared" si="99"/>
        <v>-</v>
      </c>
      <c r="P195" s="265" t="str">
        <f t="shared" si="100"/>
        <v>-</v>
      </c>
      <c r="Q195" s="266" t="str">
        <f t="shared" si="101"/>
        <v>-</v>
      </c>
      <c r="R195" s="267" t="str">
        <f t="shared" si="102"/>
        <v>-</v>
      </c>
      <c r="S195" s="268" t="str">
        <f t="shared" si="103"/>
        <v>-</v>
      </c>
      <c r="T195" s="269" t="str">
        <f t="shared" si="104"/>
        <v/>
      </c>
      <c r="U195" s="221">
        <f t="shared" si="105"/>
        <v>95</v>
      </c>
      <c r="V195" s="220" t="str">
        <f t="shared" si="131"/>
        <v>-</v>
      </c>
      <c r="W195" s="221" t="str">
        <f t="shared" si="132"/>
        <v>-</v>
      </c>
      <c r="X195" s="221" t="str">
        <f t="shared" si="106"/>
        <v>-</v>
      </c>
      <c r="Y195" s="221" t="str">
        <f t="shared" si="107"/>
        <v>-</v>
      </c>
      <c r="Z195" s="270">
        <f t="shared" si="133"/>
        <v>0.1</v>
      </c>
      <c r="AA195" s="271" t="str">
        <f>IFERROR(IF(V194=1,AA$100*EXP(-(LN(2)/$D$65+0.04)*X194)*EXP(-(LN(2)/$D$65+0.1)*Y194),IF(V194=2,AA$100*EXP(-(LN(2)/$D$65+0.04)*(VLOOKUP(($F$16-$F$15)-1,U$99:Y194,4,FALSE)))*EXP(-(LN(2)/$D$65+0.1)*(VLOOKUP(($F$16-$F$15)-1,U$99:Y194,5,FALSE)))*EXP(-(LN(2)/$D$65+0.04)*X194)*EXP(-(LN(2)/$D$65+0.1)*Y194),IF(V194=3,AA$100*EXP(-(LN(2)/$D$65+0.04)*(VLOOKUP(($F$16-$F$15)-1,U$99:Y194,4,FALSE)))*EXP(-(LN(2)/$D$65+0.1)*(VLOOKUP(($F$16-$F$15)-1,U$99:Y194,5,FALSE)))*EXP(-(LN(2)/$D$65+0.04)*(VLOOKUP(($F$16-$F$15)*2-1,U$99:Y194,4,FALSE)))*EXP(-(LN(2)/$D$65+0.1)*(VLOOKUP(($F$16-$F$15)*2-1,U$99:Y194,5,FALSE)))*EXP(-(LN(2)/$D$65+0.04)*X194)*EXP(-(LN(2)/$D$65+0.1)*Y194),"-"))),"-")</f>
        <v>-</v>
      </c>
      <c r="AB195" s="271" t="str">
        <f>IFERROR(IF(V195=1,AB$100*EXP(-(LN(2)/$D$65+0.04)*X195)*EXP(-(LN(2)/$D$65+0.1)*Y195),IF(V195=2,AB$100*EXP(-(LN(2)/$D$65+0.04)*(VLOOKUP(($F$16-$F$15)-1,U$100:Y195,4,FALSE)))*EXP(-(LN(2)/$D$65+0.1)*(VLOOKUP(($F$16-$F$15)-1,U$100:Y195,5,FALSE)))*EXP(-(LN(2)/$D$65+0.04)*X195)*EXP(-(LN(2)/$D$65+0.1)*Y195),IF(V195=3,AB$100*EXP(-(LN(2)/$D$65+0.04)*(VLOOKUP(($F$16-$F$15)-1,U$100:Y195,4,FALSE)))*EXP(-(LN(2)/$D$65+0.1)*(VLOOKUP(($F$16-$F$15)-1,U$100:Y195,5,FALSE)))*EXP(-(LN(2)/$D$65+0.04)*(VLOOKUP(($F$16-$F$15)*2-1,U$100:Y195,4,FALSE)))*EXP(-(LN(2)/$D$65+0.1)*(VLOOKUP(($F$16-$F$15)*2-1,U$100:Y195,5,FALSE)))*EXP(-(LN(2)/$D$65+0.04)*X195)*EXP(-(LN(2)/$D$65+0.1)*Y195),"-"))),"-")</f>
        <v>-</v>
      </c>
      <c r="AC195" s="224">
        <f t="shared" si="134"/>
        <v>95</v>
      </c>
      <c r="AD195" s="223" t="str">
        <f t="shared" si="108"/>
        <v>-</v>
      </c>
      <c r="AE195" s="224" t="str">
        <f t="shared" si="135"/>
        <v>-</v>
      </c>
      <c r="AF195" s="224" t="str">
        <f t="shared" si="109"/>
        <v>-</v>
      </c>
      <c r="AG195" s="224" t="str">
        <f t="shared" si="110"/>
        <v>-</v>
      </c>
      <c r="AH195" s="272">
        <f t="shared" si="136"/>
        <v>0.1</v>
      </c>
      <c r="AI195" s="271" t="str">
        <f>IFERROR(IF(AD194=1,AI$100*EXP(-(LN(2)/$D$65+0.04)*AF194)*EXP(-(LN(2)/$D$65+0.1)*AG194),IF(AD194=2,AI$100*EXP(-(LN(2)/$D$65+0.04)*(VLOOKUP(($F$16-$F$15)-1,AC$99:AG194,4,FALSE)))*EXP(-(LN(2)/$D$65+0.1)*(VLOOKUP(($F$16-$F$15)-1,AC$99:AG194,5,FALSE)))*EXP(-(LN(2)/$D$65+0.04)*AF194)*EXP(-(LN(2)/$D$65+0.1)*AG194),IF(AD194=3,AI$100*EXP(-(LN(2)/$D$65+0.04)*(VLOOKUP(($F$16-$F$15)-1,AC$99:AG194,4,FALSE)))*EXP(-(LN(2)/$D$65+0.1)*(VLOOKUP(($F$16-$F$15)-1,AC$99:AG194,5,FALSE)))*EXP(-(LN(2)/$D$65+0.04)*(VLOOKUP(($F$16-$F$15)*2-1,AC$99:AG194,4,FALSE)))*EXP(-(LN(2)/$D$65+0.1)*(VLOOKUP(($F$16-$F$15)*2-1,AC$99:AG194,5,FALSE)))*EXP(-(LN(2)/$D$65+0.04)*AF194)*EXP(-(LN(2)/$D$65+0.1)*AG194),"-"))),"-")</f>
        <v>-</v>
      </c>
      <c r="AJ195" s="271" t="str">
        <f>IFERROR(IF(AD195=1,AJ$100*EXP(-(LN(2)/$D$65+0.04)*AF195)*EXP(-(LN(2)/$D$65+0.1)*AG195),IF(AD195=2,AJ$100*EXP(-(LN(2)/$D$65+0.04)*(VLOOKUP(($F$16-$F$15)-1,AC$100:AG195,4,FALSE)))*EXP(-(LN(2)/$D$65+0.1)*(VLOOKUP(($F$16-$F$15)-1,AC$100:AG195,5,FALSE)))*EXP(-(LN(2)/$D$65+0.04)*AF195)*EXP(-(LN(2)/$D$65+0.1)*AG195),IF(AD195=3,AJ$100*EXP(-(LN(2)/$D$65+0.04)*(VLOOKUP(($F$16-$F$15)-1,AC$100:AG195,4,FALSE)))*EXP(-(LN(2)/$D$65+0.1)*(VLOOKUP(($F$16-$F$15)-1,AC$100:AG195,5,FALSE)))*EXP(-(LN(2)/$D$65+0.04)*(VLOOKUP(($F$16-$F$15)*2-1,AC$100:AG195,4,FALSE)))*EXP(-(LN(2)/$D$65+0.1)*(VLOOKUP(($F$16-$F$15)*2-1,AC$100:AG195,5,FALSE)))*EXP(-(LN(2)/$D$65+0.04)*AF195)*EXP(-(LN(2)/$D$65+0.1)*AG195),"-"))),"-")</f>
        <v>-</v>
      </c>
      <c r="AK195" s="227">
        <f t="shared" si="137"/>
        <v>95</v>
      </c>
      <c r="AL195" s="226" t="str">
        <f t="shared" si="111"/>
        <v>-</v>
      </c>
      <c r="AM195" s="227" t="str">
        <f t="shared" si="138"/>
        <v>-</v>
      </c>
      <c r="AN195" s="227" t="str">
        <f t="shared" si="139"/>
        <v>-</v>
      </c>
      <c r="AO195" s="227" t="str">
        <f t="shared" si="112"/>
        <v>-</v>
      </c>
      <c r="AP195" s="273">
        <f t="shared" si="140"/>
        <v>0.1</v>
      </c>
      <c r="AQ195" s="271" t="str">
        <f>IFERROR(IF(AL194=1,AQ$100*EXP(-(LN(2)/$D$65+0.04)*AN194)*EXP(-(LN(2)/$D$65+0.1)*AO194),IF(AL194=2,AQ$100*EXP(-(LN(2)/$D$65+0.04)*(VLOOKUP(($F$16-$F$15)-1,AK$99:AO194,4,FALSE)))*EXP(-(LN(2)/$D$65+0.1)*(VLOOKUP(($F$16-$F$15)-1,AK$99:AO194,5,FALSE)))*EXP(-(LN(2)/$D$65+0.04)*AN194)*EXP(-(LN(2)/$D$65+0.1)*AO194),IF(AL194=3,AQ$100*EXP(-(LN(2)/$D$65+0.04)*(VLOOKUP(($F$16-$F$15)-1,AK$99:AO194,4,FALSE)))*EXP(-(LN(2)/$D$65+0.1)*(VLOOKUP(($F$16-$F$15)-1,AK$99:AO194,5,FALSE)))*EXP(-(LN(2)/$D$65+0.04)*(VLOOKUP(($F$16-$F$15)*2-1,AK$99:AO194,4,FALSE)))*EXP(-(LN(2)/$D$65+0.1)*(VLOOKUP(($F$16-$F$15)*2-1,AK$99:AO194,5,FALSE)))*EXP(-(LN(2)/$D$65+0.04)*AN194)*EXP(-(LN(2)/$D$65+0.1)*AO194),"-"))),"-")</f>
        <v>-</v>
      </c>
      <c r="AR195" s="271" t="str">
        <f>IFERROR(IF(AL195=1,AR$100*EXP(-(LN(2)/$D$65+0.04)*AN195)*EXP(-(LN(2)/$D$65+0.1)*AO195),IF(AL195=2,AR$100*EXP(-(LN(2)/$D$65+0.04)*(VLOOKUP(($F$16-$F$15)-1,AK$100:AO195,4,FALSE)))*EXP(-(LN(2)/$D$65+0.1)*(VLOOKUP(($F$16-$F$15)-1,AK$100:AO195,5,FALSE)))*EXP(-(LN(2)/$D$65+0.04)*AN195)*EXP(-(LN(2)/$D$65+0.1)*AO195),IF(AL195=3,AR$100*EXP(-(LN(2)/$D$65+0.04)*(VLOOKUP(($F$16-$F$15)-1,AK$100:AO195,4,FALSE)))*EXP(-(LN(2)/$D$65+0.1)*(VLOOKUP(($F$16-$F$15)-1,AK$100:AO195,5,FALSE)))*EXP(-(LN(2)/$D$65+0.04)*(VLOOKUP(($F$16-$F$15)*2-1,AK$100:AO195,4,FALSE)))*EXP(-(LN(2)/$D$65+0.1)*(VLOOKUP(($F$16-$F$15)*2-1,AK$100:AO195,5,FALSE)))*EXP(-(LN(2)/$D$65+0.04)*AN195)*EXP(-(LN(2)/$D$65+0.1)*AO195),"-"))),"-")</f>
        <v>-</v>
      </c>
      <c r="AS195" s="274">
        <f t="shared" si="113"/>
        <v>0</v>
      </c>
      <c r="AT195" s="274">
        <f t="shared" si="114"/>
        <v>0</v>
      </c>
      <c r="AU195" s="274">
        <f t="shared" si="115"/>
        <v>0</v>
      </c>
      <c r="AV195" s="190" t="str">
        <f>IF($B195&lt;$F$22,SUM($T$100:$T195),"")</f>
        <v/>
      </c>
      <c r="AW195" s="190" t="str">
        <f t="shared" si="116"/>
        <v>-</v>
      </c>
      <c r="AX195" s="190" t="str">
        <f t="shared" si="141"/>
        <v/>
      </c>
      <c r="AY195"/>
      <c r="AZ195" s="190" t="str">
        <f ca="1">IF(ISNUMBER(OFFSET(AV195,-$F$21,0)),SUM(OFFSET($T$100,$F$21,0):$T195),"")</f>
        <v/>
      </c>
      <c r="BA195" s="190" t="str">
        <f t="shared" ca="1" si="117"/>
        <v/>
      </c>
      <c r="BB195" s="190" t="str">
        <f t="shared" ca="1" si="148"/>
        <v/>
      </c>
      <c r="BC195" s="190"/>
      <c r="BD195" s="190" t="str">
        <f ca="1">IFERROR(IF(OR(ISNUMBER(I),ISNUMBER($F$14)),IF(AND($B195&gt;=($F$16-$F$15),$B195&lt;$F$22+($F$16-$F$15)),SUM(OFFSET($T$100,($F$16-$F$15),0):$T195),""),""),"")</f>
        <v/>
      </c>
      <c r="BE195" s="190" t="str">
        <f t="shared" ca="1" si="142"/>
        <v/>
      </c>
      <c r="BF195" s="190" t="str">
        <f t="shared" ca="1" si="143"/>
        <v/>
      </c>
      <c r="BG195"/>
      <c r="BH195" s="190" t="str">
        <f ca="1">IF(ISNUMBER(OFFSET(BD195,-$F$21,0)),SUM(OFFSET($T$100,($F$16-$F$15+$F$21),0):$T195),"")</f>
        <v/>
      </c>
      <c r="BI195" s="190" t="str">
        <f t="shared" ca="1" si="118"/>
        <v/>
      </c>
      <c r="BJ195" s="190" t="str">
        <f t="shared" ca="1" si="144"/>
        <v/>
      </c>
      <c r="BK195" s="190"/>
      <c r="BL195" s="190" t="str">
        <f ca="1">IFERROR(IF(OR(ISNUMBER(I),ISNUMBER($F$14)),IF(AND($B195&gt;=($F$17-$F$15),$B195&lt;$F$22+($F$17-$F$15)),SUM(OFFSET($T$100,($F$17-$F$15),0):$T195),""),""),"")</f>
        <v/>
      </c>
      <c r="BM195" s="190" t="str">
        <f t="shared" ca="1" si="119"/>
        <v/>
      </c>
      <c r="BN195" s="190" t="str">
        <f t="shared" ca="1" si="145"/>
        <v/>
      </c>
      <c r="BO195"/>
      <c r="BP195" s="190" t="str">
        <f ca="1">IF(ISNUMBER(OFFSET(BL195,-$F$21,0)),SUM(OFFSET($T$100,($F$17-$F$15+$F$21),0):$T195),"")</f>
        <v/>
      </c>
      <c r="BQ195" s="190" t="str">
        <f t="shared" ca="1" si="120"/>
        <v/>
      </c>
      <c r="BR195" s="190" t="str">
        <f t="shared" ca="1" si="146"/>
        <v/>
      </c>
      <c r="BS195" s="190"/>
      <c r="BT195"/>
      <c r="BU195"/>
      <c r="BV195"/>
      <c r="BY195" s="99"/>
      <c r="BZ195" s="99"/>
      <c r="CA195" s="280" t="str">
        <f t="shared" si="121"/>
        <v/>
      </c>
      <c r="CB195" s="71" t="str">
        <f t="shared" si="122"/>
        <v>-</v>
      </c>
      <c r="CC195" s="33"/>
      <c r="CD195" s="261" t="str">
        <f t="shared" si="123"/>
        <v/>
      </c>
      <c r="CE195" s="280" t="str">
        <f t="shared" si="124"/>
        <v/>
      </c>
      <c r="CF195" s="71" t="str">
        <f t="shared" ca="1" si="125"/>
        <v/>
      </c>
      <c r="CG195" s="33" t="str">
        <f t="shared" si="126"/>
        <v/>
      </c>
      <c r="CH195" s="261" t="str">
        <f t="shared" ca="1" si="127"/>
        <v/>
      </c>
    </row>
    <row r="196" spans="2:86" ht="13.5" customHeight="1" x14ac:dyDescent="0.2">
      <c r="B196" s="262">
        <v>96</v>
      </c>
      <c r="C196" s="237" t="str">
        <f t="shared" si="91"/>
        <v/>
      </c>
      <c r="D196" s="237" t="str">
        <f t="shared" si="147"/>
        <v/>
      </c>
      <c r="E196" s="263" t="str">
        <f t="shared" si="128"/>
        <v/>
      </c>
      <c r="F196" s="264" t="str">
        <f t="shared" si="129"/>
        <v/>
      </c>
      <c r="G196" s="264" t="str">
        <f t="shared" si="130"/>
        <v/>
      </c>
      <c r="H196" s="240" t="str">
        <f t="shared" ref="H196:H227" si="149">IF(E196&lt;&gt;"",IF($B196&lt;$F$21,"",IF(ISNUMBER(F196),IF(ISNUMBER(I196),(E196*30*50*ffp),""),(E196*30*50*ffp))),"")</f>
        <v/>
      </c>
      <c r="I196" s="265" t="str">
        <f t="shared" ref="I196:I227" si="150">IFERROR(IF(F196&lt;&gt;"",IF($B196&lt;$F$21+$F$16,"",IF(ISNUMBER(G196),IF(ISNUMBER(J196),(F196*30*50*ffp),""),(F196*30*50*ffp))),""),"")</f>
        <v/>
      </c>
      <c r="J196" s="265" t="str">
        <f t="shared" ref="J196:J227" si="151">IFERROR(IF(G196&lt;&gt;"",IF($B196&lt;$F$21+$F$17,"",(G196*30*50*ffp)),""),"")</f>
        <v/>
      </c>
      <c r="K196" s="240" t="str">
        <f t="shared" ref="K196:K227" si="152">IF(E196&lt;&gt;"",((E196*20*50*ffp)/Klevee),"")</f>
        <v/>
      </c>
      <c r="L196" s="265" t="str">
        <f t="shared" ref="L196:L227" si="153">IF(ISNUMBER(F196),((F196*20*50*ffp)/Klevee),"")</f>
        <v/>
      </c>
      <c r="M196" s="265" t="str">
        <f t="shared" ref="M196:M227" si="154">IF(ISNUMBER(G196),((G196*20*50*ffp)/Klevee),"")</f>
        <v/>
      </c>
      <c r="N196" s="240" t="str">
        <f t="shared" ref="N196:N227" si="155">IF(AND(ISNUMBER(I),ISNUMBER($F$14),ISNUMBER($F$20)),IF($B196=0,I*($J$40/100)*$J$42*1,""),"-")</f>
        <v>-</v>
      </c>
      <c r="O196" s="265" t="str">
        <f t="shared" ref="O196:O227" si="156">IF(ISNUMBER($F$14),IF($F$14&gt;1,IF($B196=0+$F$16,I*($J$40/100)*$J$42*1,""),""),"-")</f>
        <v>-</v>
      </c>
      <c r="P196" s="265" t="str">
        <f t="shared" ref="P196:P227" si="157">IF(ISNUMBER($F$14),IF($F$14&gt;2,IF($B196=0+$F$17,I*($J$40/100)*$J$42*1,""),""),"-")</f>
        <v>-</v>
      </c>
      <c r="Q196" s="266" t="str">
        <f t="shared" ref="Q196:Q227" si="158">IF(AND(ISNUMBER(I),ISNUMBER($F$14),ISNUMBER($F$20)),IF($B196=0,I*(dt/100)*$J$45*1,""),"-")</f>
        <v>-</v>
      </c>
      <c r="R196" s="267" t="str">
        <f t="shared" ref="R196:R227" si="159">IF(ISNUMBER($F$14),IF($F$14&gt;1,IF($B196=0+$F$16,I*(dt/100)*$J$45*1,""),""),"-")</f>
        <v>-</v>
      </c>
      <c r="S196" s="268" t="str">
        <f t="shared" ref="S196:S227" si="160">IF(ISNUMBER($F$14),IF($F$14&gt;2,IF($B196=0+$F$17,I*(dt/100)*$J$45*1,""),""),"-")</f>
        <v>-</v>
      </c>
      <c r="T196" s="269" t="str">
        <f t="shared" si="104"/>
        <v/>
      </c>
      <c r="U196" s="221">
        <f t="shared" si="105"/>
        <v>96</v>
      </c>
      <c r="V196" s="220" t="str">
        <f t="shared" si="131"/>
        <v>-</v>
      </c>
      <c r="W196" s="221" t="str">
        <f t="shared" si="132"/>
        <v>-</v>
      </c>
      <c r="X196" s="221" t="str">
        <f t="shared" si="106"/>
        <v>-</v>
      </c>
      <c r="Y196" s="221" t="str">
        <f t="shared" si="107"/>
        <v>-</v>
      </c>
      <c r="Z196" s="270">
        <f t="shared" si="133"/>
        <v>0.1</v>
      </c>
      <c r="AA196" s="271" t="str">
        <f>IFERROR(IF(V195=1,AA$100*EXP(-(LN(2)/$D$65+0.04)*X195)*EXP(-(LN(2)/$D$65+0.1)*Y195),IF(V195=2,AA$100*EXP(-(LN(2)/$D$65+0.04)*(VLOOKUP(($F$16-$F$15)-1,U$99:Y195,4,FALSE)))*EXP(-(LN(2)/$D$65+0.1)*(VLOOKUP(($F$16-$F$15)-1,U$99:Y195,5,FALSE)))*EXP(-(LN(2)/$D$65+0.04)*X195)*EXP(-(LN(2)/$D$65+0.1)*Y195),IF(V195=3,AA$100*EXP(-(LN(2)/$D$65+0.04)*(VLOOKUP(($F$16-$F$15)-1,U$99:Y195,4,FALSE)))*EXP(-(LN(2)/$D$65+0.1)*(VLOOKUP(($F$16-$F$15)-1,U$99:Y195,5,FALSE)))*EXP(-(LN(2)/$D$65+0.04)*(VLOOKUP(($F$16-$F$15)*2-1,U$99:Y195,4,FALSE)))*EXP(-(LN(2)/$D$65+0.1)*(VLOOKUP(($F$16-$F$15)*2-1,U$99:Y195,5,FALSE)))*EXP(-(LN(2)/$D$65+0.04)*X195)*EXP(-(LN(2)/$D$65+0.1)*Y195),"-"))),"-")</f>
        <v>-</v>
      </c>
      <c r="AB196" s="271" t="str">
        <f>IFERROR(IF(V196=1,AB$100*EXP(-(LN(2)/$D$65+0.04)*X196)*EXP(-(LN(2)/$D$65+0.1)*Y196),IF(V196=2,AB$100*EXP(-(LN(2)/$D$65+0.04)*(VLOOKUP(($F$16-$F$15)-1,U$100:Y196,4,FALSE)))*EXP(-(LN(2)/$D$65+0.1)*(VLOOKUP(($F$16-$F$15)-1,U$100:Y196,5,FALSE)))*EXP(-(LN(2)/$D$65+0.04)*X196)*EXP(-(LN(2)/$D$65+0.1)*Y196),IF(V196=3,AB$100*EXP(-(LN(2)/$D$65+0.04)*(VLOOKUP(($F$16-$F$15)-1,U$100:Y196,4,FALSE)))*EXP(-(LN(2)/$D$65+0.1)*(VLOOKUP(($F$16-$F$15)-1,U$100:Y196,5,FALSE)))*EXP(-(LN(2)/$D$65+0.04)*(VLOOKUP(($F$16-$F$15)*2-1,U$100:Y196,4,FALSE)))*EXP(-(LN(2)/$D$65+0.1)*(VLOOKUP(($F$16-$F$15)*2-1,U$100:Y196,5,FALSE)))*EXP(-(LN(2)/$D$65+0.04)*X196)*EXP(-(LN(2)/$D$65+0.1)*Y196),"-"))),"-")</f>
        <v>-</v>
      </c>
      <c r="AC196" s="224">
        <f t="shared" si="134"/>
        <v>96</v>
      </c>
      <c r="AD196" s="223" t="str">
        <f t="shared" si="108"/>
        <v>-</v>
      </c>
      <c r="AE196" s="224" t="str">
        <f t="shared" si="135"/>
        <v>-</v>
      </c>
      <c r="AF196" s="224" t="str">
        <f t="shared" si="109"/>
        <v>-</v>
      </c>
      <c r="AG196" s="224" t="str">
        <f t="shared" si="110"/>
        <v>-</v>
      </c>
      <c r="AH196" s="272">
        <f t="shared" si="136"/>
        <v>0.1</v>
      </c>
      <c r="AI196" s="271" t="str">
        <f>IFERROR(IF(AD195=1,AI$100*EXP(-(LN(2)/$D$65+0.04)*AF195)*EXP(-(LN(2)/$D$65+0.1)*AG195),IF(AD195=2,AI$100*EXP(-(LN(2)/$D$65+0.04)*(VLOOKUP(($F$16-$F$15)-1,AC$99:AG195,4,FALSE)))*EXP(-(LN(2)/$D$65+0.1)*(VLOOKUP(($F$16-$F$15)-1,AC$99:AG195,5,FALSE)))*EXP(-(LN(2)/$D$65+0.04)*AF195)*EXP(-(LN(2)/$D$65+0.1)*AG195),IF(AD195=3,AI$100*EXP(-(LN(2)/$D$65+0.04)*(VLOOKUP(($F$16-$F$15)-1,AC$99:AG195,4,FALSE)))*EXP(-(LN(2)/$D$65+0.1)*(VLOOKUP(($F$16-$F$15)-1,AC$99:AG195,5,FALSE)))*EXP(-(LN(2)/$D$65+0.04)*(VLOOKUP(($F$16-$F$15)*2-1,AC$99:AG195,4,FALSE)))*EXP(-(LN(2)/$D$65+0.1)*(VLOOKUP(($F$16-$F$15)*2-1,AC$99:AG195,5,FALSE)))*EXP(-(LN(2)/$D$65+0.04)*AF195)*EXP(-(LN(2)/$D$65+0.1)*AG195),"-"))),"-")</f>
        <v>-</v>
      </c>
      <c r="AJ196" s="271" t="str">
        <f>IFERROR(IF(AD196=1,AJ$100*EXP(-(LN(2)/$D$65+0.04)*AF196)*EXP(-(LN(2)/$D$65+0.1)*AG196),IF(AD196=2,AJ$100*EXP(-(LN(2)/$D$65+0.04)*(VLOOKUP(($F$16-$F$15)-1,AC$100:AG196,4,FALSE)))*EXP(-(LN(2)/$D$65+0.1)*(VLOOKUP(($F$16-$F$15)-1,AC$100:AG196,5,FALSE)))*EXP(-(LN(2)/$D$65+0.04)*AF196)*EXP(-(LN(2)/$D$65+0.1)*AG196),IF(AD196=3,AJ$100*EXP(-(LN(2)/$D$65+0.04)*(VLOOKUP(($F$16-$F$15)-1,AC$100:AG196,4,FALSE)))*EXP(-(LN(2)/$D$65+0.1)*(VLOOKUP(($F$16-$F$15)-1,AC$100:AG196,5,FALSE)))*EXP(-(LN(2)/$D$65+0.04)*(VLOOKUP(($F$16-$F$15)*2-1,AC$100:AG196,4,FALSE)))*EXP(-(LN(2)/$D$65+0.1)*(VLOOKUP(($F$16-$F$15)*2-1,AC$100:AG196,5,FALSE)))*EXP(-(LN(2)/$D$65+0.04)*AF196)*EXP(-(LN(2)/$D$65+0.1)*AG196),"-"))),"-")</f>
        <v>-</v>
      </c>
      <c r="AK196" s="227">
        <f t="shared" si="137"/>
        <v>96</v>
      </c>
      <c r="AL196" s="226" t="str">
        <f t="shared" si="111"/>
        <v>-</v>
      </c>
      <c r="AM196" s="227" t="str">
        <f t="shared" si="138"/>
        <v>-</v>
      </c>
      <c r="AN196" s="227" t="str">
        <f t="shared" si="139"/>
        <v>-</v>
      </c>
      <c r="AO196" s="227" t="str">
        <f t="shared" si="112"/>
        <v>-</v>
      </c>
      <c r="AP196" s="273">
        <f t="shared" si="140"/>
        <v>0.1</v>
      </c>
      <c r="AQ196" s="271" t="str">
        <f>IFERROR(IF(AL195=1,AQ$100*EXP(-(LN(2)/$D$65+0.04)*AN195)*EXP(-(LN(2)/$D$65+0.1)*AO195),IF(AL195=2,AQ$100*EXP(-(LN(2)/$D$65+0.04)*(VLOOKUP(($F$16-$F$15)-1,AK$99:AO195,4,FALSE)))*EXP(-(LN(2)/$D$65+0.1)*(VLOOKUP(($F$16-$F$15)-1,AK$99:AO195,5,FALSE)))*EXP(-(LN(2)/$D$65+0.04)*AN195)*EXP(-(LN(2)/$D$65+0.1)*AO195),IF(AL195=3,AQ$100*EXP(-(LN(2)/$D$65+0.04)*(VLOOKUP(($F$16-$F$15)-1,AK$99:AO195,4,FALSE)))*EXP(-(LN(2)/$D$65+0.1)*(VLOOKUP(($F$16-$F$15)-1,AK$99:AO195,5,FALSE)))*EXP(-(LN(2)/$D$65+0.04)*(VLOOKUP(($F$16-$F$15)*2-1,AK$99:AO195,4,FALSE)))*EXP(-(LN(2)/$D$65+0.1)*(VLOOKUP(($F$16-$F$15)*2-1,AK$99:AO195,5,FALSE)))*EXP(-(LN(2)/$D$65+0.04)*AN195)*EXP(-(LN(2)/$D$65+0.1)*AO195),"-"))),"-")</f>
        <v>-</v>
      </c>
      <c r="AR196" s="271" t="str">
        <f>IFERROR(IF(AL196=1,AR$100*EXP(-(LN(2)/$D$65+0.04)*AN196)*EXP(-(LN(2)/$D$65+0.1)*AO196),IF(AL196=2,AR$100*EXP(-(LN(2)/$D$65+0.04)*(VLOOKUP(($F$16-$F$15)-1,AK$100:AO196,4,FALSE)))*EXP(-(LN(2)/$D$65+0.1)*(VLOOKUP(($F$16-$F$15)-1,AK$100:AO196,5,FALSE)))*EXP(-(LN(2)/$D$65+0.04)*AN196)*EXP(-(LN(2)/$D$65+0.1)*AO196),IF(AL196=3,AR$100*EXP(-(LN(2)/$D$65+0.04)*(VLOOKUP(($F$16-$F$15)-1,AK$100:AO196,4,FALSE)))*EXP(-(LN(2)/$D$65+0.1)*(VLOOKUP(($F$16-$F$15)-1,AK$100:AO196,5,FALSE)))*EXP(-(LN(2)/$D$65+0.04)*(VLOOKUP(($F$16-$F$15)*2-1,AK$100:AO196,4,FALSE)))*EXP(-(LN(2)/$D$65+0.1)*(VLOOKUP(($F$16-$F$15)*2-1,AK$100:AO196,5,FALSE)))*EXP(-(LN(2)/$D$65+0.04)*AN196)*EXP(-(LN(2)/$D$65+0.1)*AO196),"-"))),"-")</f>
        <v>-</v>
      </c>
      <c r="AS196" s="274">
        <f t="shared" si="113"/>
        <v>0</v>
      </c>
      <c r="AT196" s="274">
        <f t="shared" si="114"/>
        <v>0</v>
      </c>
      <c r="AU196" s="274">
        <f t="shared" si="115"/>
        <v>0</v>
      </c>
      <c r="AV196" s="190" t="str">
        <f>IF($B196&lt;$F$22,SUM($T$100:$T196),"")</f>
        <v/>
      </c>
      <c r="AW196" s="190" t="str">
        <f t="shared" ref="AW196:AW227" si="161">IF(ISNUMBER(Koc),IF(ISNUMBER(AV196),AV196*(Koc*(Ocse/100)*Pse*Vse)/(Koc*(Ocse/100)*Pse*Vse+1*86400*($B196+1)),""),"-")</f>
        <v>-</v>
      </c>
      <c r="AX196" s="190" t="str">
        <f t="shared" si="141"/>
        <v/>
      </c>
      <c r="AY196"/>
      <c r="AZ196" s="190" t="str">
        <f ca="1">IF(ISNUMBER(OFFSET(AV196,-$F$21,0)),SUM(OFFSET($T$100,$F$21,0):$T196),"")</f>
        <v/>
      </c>
      <c r="BA196" s="190" t="str">
        <f t="shared" ref="BA196:BA227" ca="1" si="162">IF(ISNUMBER(OFFSET(AV196,-$F$21,0)),AZ196*(Koc*(Ocse/100)*Pse*Vse)/(Koc*(Ocse/100)*Pse*Vse+1*86400*($B196+1)),"")</f>
        <v/>
      </c>
      <c r="BB196" s="190" t="str">
        <f t="shared" ca="1" si="148"/>
        <v/>
      </c>
      <c r="BC196" s="190"/>
      <c r="BD196" s="190" t="str">
        <f ca="1">IFERROR(IF(OR(ISNUMBER(I),ISNUMBER($F$14)),IF(AND($B196&gt;=($F$16-$F$15),$B196&lt;$F$22+($F$16-$F$15)),SUM(OFFSET($T$100,($F$16-$F$15),0):$T196),""),""),"")</f>
        <v/>
      </c>
      <c r="BE196" s="190" t="str">
        <f t="shared" ca="1" si="142"/>
        <v/>
      </c>
      <c r="BF196" s="190" t="str">
        <f t="shared" ca="1" si="143"/>
        <v/>
      </c>
      <c r="BG196"/>
      <c r="BH196" s="190" t="str">
        <f ca="1">IF(ISNUMBER(OFFSET(BD196,-$F$21,0)),SUM(OFFSET($T$100,($F$16-$F$15+$F$21),0):$T196),"")</f>
        <v/>
      </c>
      <c r="BI196" s="190" t="str">
        <f t="shared" ref="BI196:BI227" ca="1" si="163">IF(ISNUMBER(OFFSET(BD196,-$F$21,0)),BH196*(Koc*(Ocse/100)*Pse*Vse)/(Koc*(Ocse/100)*Pse*Vse+1*86400*($B196+1)),"")</f>
        <v/>
      </c>
      <c r="BJ196" s="190" t="str">
        <f t="shared" ca="1" si="144"/>
        <v/>
      </c>
      <c r="BK196" s="190"/>
      <c r="BL196" s="190" t="str">
        <f ca="1">IFERROR(IF(OR(ISNUMBER(I),ISNUMBER($F$14)),IF(AND($B196&gt;=($F$17-$F$15),$B196&lt;$F$22+($F$17-$F$15)),SUM(OFFSET($T$100,($F$17-$F$15),0):$T196),""),""),"")</f>
        <v/>
      </c>
      <c r="BM196" s="190" t="str">
        <f t="shared" ref="BM196:BM227" ca="1" si="164">IF(ISNUMBER(BL196),BL196*(Koc*(Ocse/100)*Pse*Vse)/(Koc*(Ocse/100)*Pse*Vse+1*86400*($B196+1)),"")</f>
        <v/>
      </c>
      <c r="BN196" s="190" t="str">
        <f t="shared" ca="1" si="145"/>
        <v/>
      </c>
      <c r="BO196"/>
      <c r="BP196" s="190" t="str">
        <f ca="1">IF(ISNUMBER(OFFSET(BL196,-$F$21,0)),SUM(OFFSET($T$100,($F$17-$F$15+$F$21),0):$T196),"")</f>
        <v/>
      </c>
      <c r="BQ196" s="190" t="str">
        <f t="shared" ref="BQ196:BQ227" ca="1" si="165">IF(ISNUMBER(OFFSET(BL196,-$F$21,0)),BP196*(Koc*(Ocse/100)*Pse*Vse)/(Koc*(Ocse/100)*Pse*Vse+1*86400*($B196+1)),"")</f>
        <v/>
      </c>
      <c r="BR196" s="190" t="str">
        <f t="shared" ca="1" si="146"/>
        <v/>
      </c>
      <c r="BS196" s="190"/>
      <c r="BT196"/>
      <c r="BU196"/>
      <c r="BV196"/>
      <c r="BY196" s="99"/>
      <c r="BZ196" s="99"/>
      <c r="CA196" s="280" t="str">
        <f t="shared" ref="CA196:CA227" si="166">IFERROR(IF($B196&lt;$CA$94,T196*(Koc*(Ocse/100)*Pse*Vse)/(Koc*(Ocse/100)*Pse*Vse+1*86400*$CA$94),""),"-")</f>
        <v/>
      </c>
      <c r="CB196" s="71" t="str">
        <f t="shared" si="122"/>
        <v>-</v>
      </c>
      <c r="CC196" s="33"/>
      <c r="CD196" s="261" t="str">
        <f t="shared" si="123"/>
        <v/>
      </c>
      <c r="CE196" s="280" t="str">
        <f t="shared" ref="CE196:CE227" si="167">IFERROR(IF($B196&lt;$CE$94,T196*(Koc*(Ocse/100)*Pse*Vse)/(Koc*(Ocse/100)*Pse*Vse+1*86400*$CE$94),""),"-")</f>
        <v/>
      </c>
      <c r="CF196" s="71" t="str">
        <f t="shared" ref="CF196:CF227" ca="1" si="168">IFERROR(IF($B196&lt;$CE$94,IF(NOT(ISNUMBER(ffp)),"-",IF($F$70=$AX$87,AX196,IF($F$70=$BB$87,OFFSET(BB196,$F$21,0),IF($F$70=$BF$87,OFFSET(BF196,$F$16,0),IF($F$70=$BJ$87,OFFSET(BJ196,$F$16+$F$21,0),IF($F$70=$BN$87,OFFSET(BN196,$F$17,0),OFFSET(BR196,$F$17+$F$21,0))))))),""),"-")</f>
        <v/>
      </c>
      <c r="CG196" s="33" t="str">
        <f t="shared" si="126"/>
        <v/>
      </c>
      <c r="CH196" s="261" t="str">
        <f t="shared" ca="1" si="127"/>
        <v/>
      </c>
    </row>
    <row r="197" spans="2:86" ht="13.5" customHeight="1" x14ac:dyDescent="0.2">
      <c r="B197" s="262">
        <v>97</v>
      </c>
      <c r="C197" s="237" t="str">
        <f t="shared" si="91"/>
        <v/>
      </c>
      <c r="D197" s="237" t="str">
        <f t="shared" si="147"/>
        <v/>
      </c>
      <c r="E197" s="263" t="str">
        <f t="shared" si="128"/>
        <v/>
      </c>
      <c r="F197" s="264" t="str">
        <f t="shared" si="129"/>
        <v/>
      </c>
      <c r="G197" s="264" t="str">
        <f t="shared" si="130"/>
        <v/>
      </c>
      <c r="H197" s="240" t="str">
        <f t="shared" si="149"/>
        <v/>
      </c>
      <c r="I197" s="265" t="str">
        <f t="shared" si="150"/>
        <v/>
      </c>
      <c r="J197" s="265" t="str">
        <f t="shared" si="151"/>
        <v/>
      </c>
      <c r="K197" s="240" t="str">
        <f t="shared" si="152"/>
        <v/>
      </c>
      <c r="L197" s="265" t="str">
        <f t="shared" si="153"/>
        <v/>
      </c>
      <c r="M197" s="265" t="str">
        <f t="shared" si="154"/>
        <v/>
      </c>
      <c r="N197" s="240" t="str">
        <f t="shared" si="155"/>
        <v>-</v>
      </c>
      <c r="O197" s="265" t="str">
        <f t="shared" si="156"/>
        <v>-</v>
      </c>
      <c r="P197" s="265" t="str">
        <f t="shared" si="157"/>
        <v>-</v>
      </c>
      <c r="Q197" s="266" t="str">
        <f t="shared" si="158"/>
        <v>-</v>
      </c>
      <c r="R197" s="267" t="str">
        <f t="shared" si="159"/>
        <v>-</v>
      </c>
      <c r="S197" s="268" t="str">
        <f t="shared" si="160"/>
        <v>-</v>
      </c>
      <c r="T197" s="269" t="str">
        <f t="shared" si="104"/>
        <v/>
      </c>
      <c r="U197" s="221">
        <f t="shared" si="105"/>
        <v>97</v>
      </c>
      <c r="V197" s="220" t="str">
        <f t="shared" si="131"/>
        <v>-</v>
      </c>
      <c r="W197" s="221" t="str">
        <f t="shared" si="132"/>
        <v>-</v>
      </c>
      <c r="X197" s="221" t="str">
        <f t="shared" si="106"/>
        <v>-</v>
      </c>
      <c r="Y197" s="221" t="str">
        <f t="shared" si="107"/>
        <v>-</v>
      </c>
      <c r="Z197" s="270">
        <f t="shared" si="133"/>
        <v>0.1</v>
      </c>
      <c r="AA197" s="271" t="str">
        <f>IFERROR(IF(V196=1,AA$100*EXP(-(LN(2)/$D$65+0.04)*X196)*EXP(-(LN(2)/$D$65+0.1)*Y196),IF(V196=2,AA$100*EXP(-(LN(2)/$D$65+0.04)*(VLOOKUP(($F$16-$F$15)-1,U$99:Y196,4,FALSE)))*EXP(-(LN(2)/$D$65+0.1)*(VLOOKUP(($F$16-$F$15)-1,U$99:Y196,5,FALSE)))*EXP(-(LN(2)/$D$65+0.04)*X196)*EXP(-(LN(2)/$D$65+0.1)*Y196),IF(V196=3,AA$100*EXP(-(LN(2)/$D$65+0.04)*(VLOOKUP(($F$16-$F$15)-1,U$99:Y196,4,FALSE)))*EXP(-(LN(2)/$D$65+0.1)*(VLOOKUP(($F$16-$F$15)-1,U$99:Y196,5,FALSE)))*EXP(-(LN(2)/$D$65+0.04)*(VLOOKUP(($F$16-$F$15)*2-1,U$99:Y196,4,FALSE)))*EXP(-(LN(2)/$D$65+0.1)*(VLOOKUP(($F$16-$F$15)*2-1,U$99:Y196,5,FALSE)))*EXP(-(LN(2)/$D$65+0.04)*X196)*EXP(-(LN(2)/$D$65+0.1)*Y196),"-"))),"-")</f>
        <v>-</v>
      </c>
      <c r="AB197" s="271" t="str">
        <f>IFERROR(IF(V197=1,AB$100*EXP(-(LN(2)/$D$65+0.04)*X197)*EXP(-(LN(2)/$D$65+0.1)*Y197),IF(V197=2,AB$100*EXP(-(LN(2)/$D$65+0.04)*(VLOOKUP(($F$16-$F$15)-1,U$100:Y197,4,FALSE)))*EXP(-(LN(2)/$D$65+0.1)*(VLOOKUP(($F$16-$F$15)-1,U$100:Y197,5,FALSE)))*EXP(-(LN(2)/$D$65+0.04)*X197)*EXP(-(LN(2)/$D$65+0.1)*Y197),IF(V197=3,AB$100*EXP(-(LN(2)/$D$65+0.04)*(VLOOKUP(($F$16-$F$15)-1,U$100:Y197,4,FALSE)))*EXP(-(LN(2)/$D$65+0.1)*(VLOOKUP(($F$16-$F$15)-1,U$100:Y197,5,FALSE)))*EXP(-(LN(2)/$D$65+0.04)*(VLOOKUP(($F$16-$F$15)*2-1,U$100:Y197,4,FALSE)))*EXP(-(LN(2)/$D$65+0.1)*(VLOOKUP(($F$16-$F$15)*2-1,U$100:Y197,5,FALSE)))*EXP(-(LN(2)/$D$65+0.04)*X197)*EXP(-(LN(2)/$D$65+0.1)*Y197),"-"))),"-")</f>
        <v>-</v>
      </c>
      <c r="AC197" s="224">
        <f t="shared" si="134"/>
        <v>97</v>
      </c>
      <c r="AD197" s="223" t="str">
        <f t="shared" si="108"/>
        <v>-</v>
      </c>
      <c r="AE197" s="224" t="str">
        <f t="shared" si="135"/>
        <v>-</v>
      </c>
      <c r="AF197" s="224" t="str">
        <f t="shared" si="109"/>
        <v>-</v>
      </c>
      <c r="AG197" s="224" t="str">
        <f t="shared" si="110"/>
        <v>-</v>
      </c>
      <c r="AH197" s="272">
        <f t="shared" si="136"/>
        <v>0.1</v>
      </c>
      <c r="AI197" s="271" t="str">
        <f>IFERROR(IF(AD196=1,AI$100*EXP(-(LN(2)/$D$65+0.04)*AF196)*EXP(-(LN(2)/$D$65+0.1)*AG196),IF(AD196=2,AI$100*EXP(-(LN(2)/$D$65+0.04)*(VLOOKUP(($F$16-$F$15)-1,AC$99:AG196,4,FALSE)))*EXP(-(LN(2)/$D$65+0.1)*(VLOOKUP(($F$16-$F$15)-1,AC$99:AG196,5,FALSE)))*EXP(-(LN(2)/$D$65+0.04)*AF196)*EXP(-(LN(2)/$D$65+0.1)*AG196),IF(AD196=3,AI$100*EXP(-(LN(2)/$D$65+0.04)*(VLOOKUP(($F$16-$F$15)-1,AC$99:AG196,4,FALSE)))*EXP(-(LN(2)/$D$65+0.1)*(VLOOKUP(($F$16-$F$15)-1,AC$99:AG196,5,FALSE)))*EXP(-(LN(2)/$D$65+0.04)*(VLOOKUP(($F$16-$F$15)*2-1,AC$99:AG196,4,FALSE)))*EXP(-(LN(2)/$D$65+0.1)*(VLOOKUP(($F$16-$F$15)*2-1,AC$99:AG196,5,FALSE)))*EXP(-(LN(2)/$D$65+0.04)*AF196)*EXP(-(LN(2)/$D$65+0.1)*AG196),"-"))),"-")</f>
        <v>-</v>
      </c>
      <c r="AJ197" s="271" t="str">
        <f>IFERROR(IF(AD197=1,AJ$100*EXP(-(LN(2)/$D$65+0.04)*AF197)*EXP(-(LN(2)/$D$65+0.1)*AG197),IF(AD197=2,AJ$100*EXP(-(LN(2)/$D$65+0.04)*(VLOOKUP(($F$16-$F$15)-1,AC$100:AG197,4,FALSE)))*EXP(-(LN(2)/$D$65+0.1)*(VLOOKUP(($F$16-$F$15)-1,AC$100:AG197,5,FALSE)))*EXP(-(LN(2)/$D$65+0.04)*AF197)*EXP(-(LN(2)/$D$65+0.1)*AG197),IF(AD197=3,AJ$100*EXP(-(LN(2)/$D$65+0.04)*(VLOOKUP(($F$16-$F$15)-1,AC$100:AG197,4,FALSE)))*EXP(-(LN(2)/$D$65+0.1)*(VLOOKUP(($F$16-$F$15)-1,AC$100:AG197,5,FALSE)))*EXP(-(LN(2)/$D$65+0.04)*(VLOOKUP(($F$16-$F$15)*2-1,AC$100:AG197,4,FALSE)))*EXP(-(LN(2)/$D$65+0.1)*(VLOOKUP(($F$16-$F$15)*2-1,AC$100:AG197,5,FALSE)))*EXP(-(LN(2)/$D$65+0.04)*AF197)*EXP(-(LN(2)/$D$65+0.1)*AG197),"-"))),"-")</f>
        <v>-</v>
      </c>
      <c r="AK197" s="227">
        <f t="shared" si="137"/>
        <v>97</v>
      </c>
      <c r="AL197" s="226" t="str">
        <f t="shared" si="111"/>
        <v>-</v>
      </c>
      <c r="AM197" s="227" t="str">
        <f t="shared" si="138"/>
        <v>-</v>
      </c>
      <c r="AN197" s="227" t="str">
        <f t="shared" si="139"/>
        <v>-</v>
      </c>
      <c r="AO197" s="227" t="str">
        <f t="shared" si="112"/>
        <v>-</v>
      </c>
      <c r="AP197" s="273">
        <f t="shared" si="140"/>
        <v>0.1</v>
      </c>
      <c r="AQ197" s="271" t="str">
        <f>IFERROR(IF(AL196=1,AQ$100*EXP(-(LN(2)/$D$65+0.04)*AN196)*EXP(-(LN(2)/$D$65+0.1)*AO196),IF(AL196=2,AQ$100*EXP(-(LN(2)/$D$65+0.04)*(VLOOKUP(($F$16-$F$15)-1,AK$99:AO196,4,FALSE)))*EXP(-(LN(2)/$D$65+0.1)*(VLOOKUP(($F$16-$F$15)-1,AK$99:AO196,5,FALSE)))*EXP(-(LN(2)/$D$65+0.04)*AN196)*EXP(-(LN(2)/$D$65+0.1)*AO196),IF(AL196=3,AQ$100*EXP(-(LN(2)/$D$65+0.04)*(VLOOKUP(($F$16-$F$15)-1,AK$99:AO196,4,FALSE)))*EXP(-(LN(2)/$D$65+0.1)*(VLOOKUP(($F$16-$F$15)-1,AK$99:AO196,5,FALSE)))*EXP(-(LN(2)/$D$65+0.04)*(VLOOKUP(($F$16-$F$15)*2-1,AK$99:AO196,4,FALSE)))*EXP(-(LN(2)/$D$65+0.1)*(VLOOKUP(($F$16-$F$15)*2-1,AK$99:AO196,5,FALSE)))*EXP(-(LN(2)/$D$65+0.04)*AN196)*EXP(-(LN(2)/$D$65+0.1)*AO196),"-"))),"-")</f>
        <v>-</v>
      </c>
      <c r="AR197" s="271" t="str">
        <f>IFERROR(IF(AL197=1,AR$100*EXP(-(LN(2)/$D$65+0.04)*AN197)*EXP(-(LN(2)/$D$65+0.1)*AO197),IF(AL197=2,AR$100*EXP(-(LN(2)/$D$65+0.04)*(VLOOKUP(($F$16-$F$15)-1,AK$100:AO197,4,FALSE)))*EXP(-(LN(2)/$D$65+0.1)*(VLOOKUP(($F$16-$F$15)-1,AK$100:AO197,5,FALSE)))*EXP(-(LN(2)/$D$65+0.04)*AN197)*EXP(-(LN(2)/$D$65+0.1)*AO197),IF(AL197=3,AR$100*EXP(-(LN(2)/$D$65+0.04)*(VLOOKUP(($F$16-$F$15)-1,AK$100:AO197,4,FALSE)))*EXP(-(LN(2)/$D$65+0.1)*(VLOOKUP(($F$16-$F$15)-1,AK$100:AO197,5,FALSE)))*EXP(-(LN(2)/$D$65+0.04)*(VLOOKUP(($F$16-$F$15)*2-1,AK$100:AO197,4,FALSE)))*EXP(-(LN(2)/$D$65+0.1)*(VLOOKUP(($F$16-$F$15)*2-1,AK$100:AO197,5,FALSE)))*EXP(-(LN(2)/$D$65+0.04)*AN197)*EXP(-(LN(2)/$D$65+0.1)*AO197),"-"))),"-")</f>
        <v>-</v>
      </c>
      <c r="AS197" s="274">
        <f t="shared" si="113"/>
        <v>0</v>
      </c>
      <c r="AT197" s="274">
        <f t="shared" si="114"/>
        <v>0</v>
      </c>
      <c r="AU197" s="274">
        <f t="shared" si="115"/>
        <v>0</v>
      </c>
      <c r="AV197" s="190" t="str">
        <f>IF($B197&lt;$F$22,SUM($T$100:$T197),"")</f>
        <v/>
      </c>
      <c r="AW197" s="190" t="str">
        <f t="shared" si="161"/>
        <v>-</v>
      </c>
      <c r="AX197" s="190" t="str">
        <f t="shared" si="141"/>
        <v/>
      </c>
      <c r="AY197"/>
      <c r="AZ197" s="190" t="str">
        <f ca="1">IF(ISNUMBER(OFFSET(AV197,-$F$21,0)),SUM(OFFSET($T$100,$F$21,0):$T197),"")</f>
        <v/>
      </c>
      <c r="BA197" s="190" t="str">
        <f t="shared" ca="1" si="162"/>
        <v/>
      </c>
      <c r="BB197" s="190" t="str">
        <f t="shared" ca="1" si="148"/>
        <v/>
      </c>
      <c r="BC197" s="190"/>
      <c r="BD197" s="190" t="str">
        <f ca="1">IFERROR(IF(OR(ISNUMBER(I),ISNUMBER($F$14)),IF(AND($B197&gt;=($F$16-$F$15),$B197&lt;$F$22+($F$16-$F$15)),SUM(OFFSET($T$100,($F$16-$F$15),0):$T197),""),""),"")</f>
        <v/>
      </c>
      <c r="BE197" s="190" t="str">
        <f t="shared" ca="1" si="142"/>
        <v/>
      </c>
      <c r="BF197" s="190" t="str">
        <f t="shared" ca="1" si="143"/>
        <v/>
      </c>
      <c r="BG197"/>
      <c r="BH197" s="190" t="str">
        <f ca="1">IF(ISNUMBER(OFFSET(BD197,-$F$21,0)),SUM(OFFSET($T$100,($F$16-$F$15+$F$21),0):$T197),"")</f>
        <v/>
      </c>
      <c r="BI197" s="190" t="str">
        <f t="shared" ca="1" si="163"/>
        <v/>
      </c>
      <c r="BJ197" s="190" t="str">
        <f t="shared" ca="1" si="144"/>
        <v/>
      </c>
      <c r="BK197" s="190"/>
      <c r="BL197" s="190" t="str">
        <f ca="1">IFERROR(IF(OR(ISNUMBER(I),ISNUMBER($F$14)),IF(AND($B197&gt;=($F$17-$F$15),$B197&lt;$F$22+($F$17-$F$15)),SUM(OFFSET($T$100,($F$17-$F$15),0):$T197),""),""),"")</f>
        <v/>
      </c>
      <c r="BM197" s="190" t="str">
        <f t="shared" ca="1" si="164"/>
        <v/>
      </c>
      <c r="BN197" s="190" t="str">
        <f t="shared" ca="1" si="145"/>
        <v/>
      </c>
      <c r="BO197"/>
      <c r="BP197" s="190" t="str">
        <f ca="1">IF(ISNUMBER(OFFSET(BL197,-$F$21,0)),SUM(OFFSET($T$100,($F$17-$F$15+$F$21),0):$T197),"")</f>
        <v/>
      </c>
      <c r="BQ197" s="190" t="str">
        <f t="shared" ca="1" si="165"/>
        <v/>
      </c>
      <c r="BR197" s="190" t="str">
        <f t="shared" ca="1" si="146"/>
        <v/>
      </c>
      <c r="BS197" s="190"/>
      <c r="BT197"/>
      <c r="BU197"/>
      <c r="BV197"/>
      <c r="BY197" s="99"/>
      <c r="BZ197" s="99"/>
      <c r="CA197" s="280" t="str">
        <f t="shared" si="166"/>
        <v/>
      </c>
      <c r="CB197" s="71" t="str">
        <f t="shared" si="122"/>
        <v>-</v>
      </c>
      <c r="CC197" s="33"/>
      <c r="CD197" s="261" t="str">
        <f t="shared" si="123"/>
        <v/>
      </c>
      <c r="CE197" s="280" t="str">
        <f t="shared" si="167"/>
        <v/>
      </c>
      <c r="CF197" s="71" t="str">
        <f t="shared" ca="1" si="168"/>
        <v/>
      </c>
      <c r="CG197" s="33" t="str">
        <f t="shared" si="126"/>
        <v/>
      </c>
      <c r="CH197" s="261" t="str">
        <f t="shared" ca="1" si="127"/>
        <v/>
      </c>
    </row>
    <row r="198" spans="2:86" ht="13.5" customHeight="1" x14ac:dyDescent="0.2">
      <c r="B198" s="262">
        <v>98</v>
      </c>
      <c r="C198" s="237" t="str">
        <f t="shared" si="91"/>
        <v/>
      </c>
      <c r="D198" s="237" t="str">
        <f t="shared" si="147"/>
        <v/>
      </c>
      <c r="E198" s="263" t="str">
        <f t="shared" si="128"/>
        <v/>
      </c>
      <c r="F198" s="264" t="str">
        <f t="shared" si="129"/>
        <v/>
      </c>
      <c r="G198" s="264" t="str">
        <f t="shared" si="130"/>
        <v/>
      </c>
      <c r="H198" s="240" t="str">
        <f t="shared" si="149"/>
        <v/>
      </c>
      <c r="I198" s="265" t="str">
        <f t="shared" si="150"/>
        <v/>
      </c>
      <c r="J198" s="265" t="str">
        <f t="shared" si="151"/>
        <v/>
      </c>
      <c r="K198" s="240" t="str">
        <f t="shared" si="152"/>
        <v/>
      </c>
      <c r="L198" s="265" t="str">
        <f t="shared" si="153"/>
        <v/>
      </c>
      <c r="M198" s="265" t="str">
        <f t="shared" si="154"/>
        <v/>
      </c>
      <c r="N198" s="240" t="str">
        <f t="shared" si="155"/>
        <v>-</v>
      </c>
      <c r="O198" s="265" t="str">
        <f t="shared" si="156"/>
        <v>-</v>
      </c>
      <c r="P198" s="265" t="str">
        <f t="shared" si="157"/>
        <v>-</v>
      </c>
      <c r="Q198" s="266" t="str">
        <f t="shared" si="158"/>
        <v>-</v>
      </c>
      <c r="R198" s="267" t="str">
        <f t="shared" si="159"/>
        <v>-</v>
      </c>
      <c r="S198" s="268" t="str">
        <f t="shared" si="160"/>
        <v>-</v>
      </c>
      <c r="T198" s="269" t="str">
        <f t="shared" si="104"/>
        <v/>
      </c>
      <c r="U198" s="221">
        <f t="shared" si="105"/>
        <v>98</v>
      </c>
      <c r="V198" s="220" t="str">
        <f t="shared" si="131"/>
        <v>-</v>
      </c>
      <c r="W198" s="221" t="str">
        <f t="shared" si="132"/>
        <v>-</v>
      </c>
      <c r="X198" s="221" t="str">
        <f t="shared" si="106"/>
        <v>-</v>
      </c>
      <c r="Y198" s="221" t="str">
        <f t="shared" si="107"/>
        <v>-</v>
      </c>
      <c r="Z198" s="270">
        <f t="shared" si="133"/>
        <v>0.1</v>
      </c>
      <c r="AA198" s="271" t="str">
        <f>IFERROR(IF(V197=1,AA$100*EXP(-(LN(2)/$D$65+0.04)*X197)*EXP(-(LN(2)/$D$65+0.1)*Y197),IF(V197=2,AA$100*EXP(-(LN(2)/$D$65+0.04)*(VLOOKUP(($F$16-$F$15)-1,U$99:Y197,4,FALSE)))*EXP(-(LN(2)/$D$65+0.1)*(VLOOKUP(($F$16-$F$15)-1,U$99:Y197,5,FALSE)))*EXP(-(LN(2)/$D$65+0.04)*X197)*EXP(-(LN(2)/$D$65+0.1)*Y197),IF(V197=3,AA$100*EXP(-(LN(2)/$D$65+0.04)*(VLOOKUP(($F$16-$F$15)-1,U$99:Y197,4,FALSE)))*EXP(-(LN(2)/$D$65+0.1)*(VLOOKUP(($F$16-$F$15)-1,U$99:Y197,5,FALSE)))*EXP(-(LN(2)/$D$65+0.04)*(VLOOKUP(($F$16-$F$15)*2-1,U$99:Y197,4,FALSE)))*EXP(-(LN(2)/$D$65+0.1)*(VLOOKUP(($F$16-$F$15)*2-1,U$99:Y197,5,FALSE)))*EXP(-(LN(2)/$D$65+0.04)*X197)*EXP(-(LN(2)/$D$65+0.1)*Y197),"-"))),"-")</f>
        <v>-</v>
      </c>
      <c r="AB198" s="271" t="str">
        <f>IFERROR(IF(V198=1,AB$100*EXP(-(LN(2)/$D$65+0.04)*X198)*EXP(-(LN(2)/$D$65+0.1)*Y198),IF(V198=2,AB$100*EXP(-(LN(2)/$D$65+0.04)*(VLOOKUP(($F$16-$F$15)-1,U$100:Y198,4,FALSE)))*EXP(-(LN(2)/$D$65+0.1)*(VLOOKUP(($F$16-$F$15)-1,U$100:Y198,5,FALSE)))*EXP(-(LN(2)/$D$65+0.04)*X198)*EXP(-(LN(2)/$D$65+0.1)*Y198),IF(V198=3,AB$100*EXP(-(LN(2)/$D$65+0.04)*(VLOOKUP(($F$16-$F$15)-1,U$100:Y198,4,FALSE)))*EXP(-(LN(2)/$D$65+0.1)*(VLOOKUP(($F$16-$F$15)-1,U$100:Y198,5,FALSE)))*EXP(-(LN(2)/$D$65+0.04)*(VLOOKUP(($F$16-$F$15)*2-1,U$100:Y198,4,FALSE)))*EXP(-(LN(2)/$D$65+0.1)*(VLOOKUP(($F$16-$F$15)*2-1,U$100:Y198,5,FALSE)))*EXP(-(LN(2)/$D$65+0.04)*X198)*EXP(-(LN(2)/$D$65+0.1)*Y198),"-"))),"-")</f>
        <v>-</v>
      </c>
      <c r="AC198" s="224">
        <f t="shared" si="134"/>
        <v>98</v>
      </c>
      <c r="AD198" s="223" t="str">
        <f t="shared" si="108"/>
        <v>-</v>
      </c>
      <c r="AE198" s="224" t="str">
        <f t="shared" si="135"/>
        <v>-</v>
      </c>
      <c r="AF198" s="224" t="str">
        <f t="shared" si="109"/>
        <v>-</v>
      </c>
      <c r="AG198" s="224" t="str">
        <f t="shared" si="110"/>
        <v>-</v>
      </c>
      <c r="AH198" s="272">
        <f t="shared" si="136"/>
        <v>0.1</v>
      </c>
      <c r="AI198" s="271" t="str">
        <f>IFERROR(IF(AD197=1,AI$100*EXP(-(LN(2)/$D$65+0.04)*AF197)*EXP(-(LN(2)/$D$65+0.1)*AG197),IF(AD197=2,AI$100*EXP(-(LN(2)/$D$65+0.04)*(VLOOKUP(($F$16-$F$15)-1,AC$99:AG197,4,FALSE)))*EXP(-(LN(2)/$D$65+0.1)*(VLOOKUP(($F$16-$F$15)-1,AC$99:AG197,5,FALSE)))*EXP(-(LN(2)/$D$65+0.04)*AF197)*EXP(-(LN(2)/$D$65+0.1)*AG197),IF(AD197=3,AI$100*EXP(-(LN(2)/$D$65+0.04)*(VLOOKUP(($F$16-$F$15)-1,AC$99:AG197,4,FALSE)))*EXP(-(LN(2)/$D$65+0.1)*(VLOOKUP(($F$16-$F$15)-1,AC$99:AG197,5,FALSE)))*EXP(-(LN(2)/$D$65+0.04)*(VLOOKUP(($F$16-$F$15)*2-1,AC$99:AG197,4,FALSE)))*EXP(-(LN(2)/$D$65+0.1)*(VLOOKUP(($F$16-$F$15)*2-1,AC$99:AG197,5,FALSE)))*EXP(-(LN(2)/$D$65+0.04)*AF197)*EXP(-(LN(2)/$D$65+0.1)*AG197),"-"))),"-")</f>
        <v>-</v>
      </c>
      <c r="AJ198" s="271" t="str">
        <f>IFERROR(IF(AD198=1,AJ$100*EXP(-(LN(2)/$D$65+0.04)*AF198)*EXP(-(LN(2)/$D$65+0.1)*AG198),IF(AD198=2,AJ$100*EXP(-(LN(2)/$D$65+0.04)*(VLOOKUP(($F$16-$F$15)-1,AC$100:AG198,4,FALSE)))*EXP(-(LN(2)/$D$65+0.1)*(VLOOKUP(($F$16-$F$15)-1,AC$100:AG198,5,FALSE)))*EXP(-(LN(2)/$D$65+0.04)*AF198)*EXP(-(LN(2)/$D$65+0.1)*AG198),IF(AD198=3,AJ$100*EXP(-(LN(2)/$D$65+0.04)*(VLOOKUP(($F$16-$F$15)-1,AC$100:AG198,4,FALSE)))*EXP(-(LN(2)/$D$65+0.1)*(VLOOKUP(($F$16-$F$15)-1,AC$100:AG198,5,FALSE)))*EXP(-(LN(2)/$D$65+0.04)*(VLOOKUP(($F$16-$F$15)*2-1,AC$100:AG198,4,FALSE)))*EXP(-(LN(2)/$D$65+0.1)*(VLOOKUP(($F$16-$F$15)*2-1,AC$100:AG198,5,FALSE)))*EXP(-(LN(2)/$D$65+0.04)*AF198)*EXP(-(LN(2)/$D$65+0.1)*AG198),"-"))),"-")</f>
        <v>-</v>
      </c>
      <c r="AK198" s="227">
        <f t="shared" si="137"/>
        <v>98</v>
      </c>
      <c r="AL198" s="226" t="str">
        <f t="shared" si="111"/>
        <v>-</v>
      </c>
      <c r="AM198" s="227" t="str">
        <f t="shared" si="138"/>
        <v>-</v>
      </c>
      <c r="AN198" s="227" t="str">
        <f t="shared" si="139"/>
        <v>-</v>
      </c>
      <c r="AO198" s="227" t="str">
        <f t="shared" si="112"/>
        <v>-</v>
      </c>
      <c r="AP198" s="273">
        <f t="shared" si="140"/>
        <v>0.1</v>
      </c>
      <c r="AQ198" s="271" t="str">
        <f>IFERROR(IF(AL197=1,AQ$100*EXP(-(LN(2)/$D$65+0.04)*AN197)*EXP(-(LN(2)/$D$65+0.1)*AO197),IF(AL197=2,AQ$100*EXP(-(LN(2)/$D$65+0.04)*(VLOOKUP(($F$16-$F$15)-1,AK$99:AO197,4,FALSE)))*EXP(-(LN(2)/$D$65+0.1)*(VLOOKUP(($F$16-$F$15)-1,AK$99:AO197,5,FALSE)))*EXP(-(LN(2)/$D$65+0.04)*AN197)*EXP(-(LN(2)/$D$65+0.1)*AO197),IF(AL197=3,AQ$100*EXP(-(LN(2)/$D$65+0.04)*(VLOOKUP(($F$16-$F$15)-1,AK$99:AO197,4,FALSE)))*EXP(-(LN(2)/$D$65+0.1)*(VLOOKUP(($F$16-$F$15)-1,AK$99:AO197,5,FALSE)))*EXP(-(LN(2)/$D$65+0.04)*(VLOOKUP(($F$16-$F$15)*2-1,AK$99:AO197,4,FALSE)))*EXP(-(LN(2)/$D$65+0.1)*(VLOOKUP(($F$16-$F$15)*2-1,AK$99:AO197,5,FALSE)))*EXP(-(LN(2)/$D$65+0.04)*AN197)*EXP(-(LN(2)/$D$65+0.1)*AO197),"-"))),"-")</f>
        <v>-</v>
      </c>
      <c r="AR198" s="271" t="str">
        <f>IFERROR(IF(AL198=1,AR$100*EXP(-(LN(2)/$D$65+0.04)*AN198)*EXP(-(LN(2)/$D$65+0.1)*AO198),IF(AL198=2,AR$100*EXP(-(LN(2)/$D$65+0.04)*(VLOOKUP(($F$16-$F$15)-1,AK$100:AO198,4,FALSE)))*EXP(-(LN(2)/$D$65+0.1)*(VLOOKUP(($F$16-$F$15)-1,AK$100:AO198,5,FALSE)))*EXP(-(LN(2)/$D$65+0.04)*AN198)*EXP(-(LN(2)/$D$65+0.1)*AO198),IF(AL198=3,AR$100*EXP(-(LN(2)/$D$65+0.04)*(VLOOKUP(($F$16-$F$15)-1,AK$100:AO198,4,FALSE)))*EXP(-(LN(2)/$D$65+0.1)*(VLOOKUP(($F$16-$F$15)-1,AK$100:AO198,5,FALSE)))*EXP(-(LN(2)/$D$65+0.04)*(VLOOKUP(($F$16-$F$15)*2-1,AK$100:AO198,4,FALSE)))*EXP(-(LN(2)/$D$65+0.1)*(VLOOKUP(($F$16-$F$15)*2-1,AK$100:AO198,5,FALSE)))*EXP(-(LN(2)/$D$65+0.04)*AN198)*EXP(-(LN(2)/$D$65+0.1)*AO198),"-"))),"-")</f>
        <v>-</v>
      </c>
      <c r="AS198" s="274">
        <f t="shared" si="113"/>
        <v>0</v>
      </c>
      <c r="AT198" s="274">
        <f t="shared" si="114"/>
        <v>0</v>
      </c>
      <c r="AU198" s="274">
        <f t="shared" si="115"/>
        <v>0</v>
      </c>
      <c r="AV198" s="190" t="str">
        <f>IF($B198&lt;$F$22,SUM($T$100:$T198),"")</f>
        <v/>
      </c>
      <c r="AW198" s="190" t="str">
        <f t="shared" si="161"/>
        <v>-</v>
      </c>
      <c r="AX198" s="190" t="str">
        <f t="shared" si="141"/>
        <v/>
      </c>
      <c r="AY198"/>
      <c r="AZ198" s="190" t="str">
        <f ca="1">IF(ISNUMBER(OFFSET(AV198,-$F$21,0)),SUM(OFFSET($T$100,$F$21,0):$T198),"")</f>
        <v/>
      </c>
      <c r="BA198" s="190" t="str">
        <f t="shared" ca="1" si="162"/>
        <v/>
      </c>
      <c r="BB198" s="190" t="str">
        <f t="shared" ca="1" si="148"/>
        <v/>
      </c>
      <c r="BC198" s="190"/>
      <c r="BD198" s="190" t="str">
        <f ca="1">IFERROR(IF(OR(ISNUMBER(I),ISNUMBER($F$14)),IF(AND($B198&gt;=($F$16-$F$15),$B198&lt;$F$22+($F$16-$F$15)),SUM(OFFSET($T$100,($F$16-$F$15),0):$T198),""),""),"")</f>
        <v/>
      </c>
      <c r="BE198" s="190" t="str">
        <f t="shared" ca="1" si="142"/>
        <v/>
      </c>
      <c r="BF198" s="190" t="str">
        <f t="shared" ca="1" si="143"/>
        <v/>
      </c>
      <c r="BG198"/>
      <c r="BH198" s="190" t="str">
        <f ca="1">IF(ISNUMBER(OFFSET(BD198,-$F$21,0)),SUM(OFFSET($T$100,($F$16-$F$15+$F$21),0):$T198),"")</f>
        <v/>
      </c>
      <c r="BI198" s="190" t="str">
        <f t="shared" ca="1" si="163"/>
        <v/>
      </c>
      <c r="BJ198" s="190" t="str">
        <f t="shared" ca="1" si="144"/>
        <v/>
      </c>
      <c r="BK198" s="190"/>
      <c r="BL198" s="190" t="str">
        <f ca="1">IFERROR(IF(OR(ISNUMBER(I),ISNUMBER($F$14)),IF(AND($B198&gt;=($F$17-$F$15),$B198&lt;$F$22+($F$17-$F$15)),SUM(OFFSET($T$100,($F$17-$F$15),0):$T198),""),""),"")</f>
        <v/>
      </c>
      <c r="BM198" s="190" t="str">
        <f t="shared" ca="1" si="164"/>
        <v/>
      </c>
      <c r="BN198" s="190" t="str">
        <f t="shared" ca="1" si="145"/>
        <v/>
      </c>
      <c r="BO198"/>
      <c r="BP198" s="190" t="str">
        <f ca="1">IF(ISNUMBER(OFFSET(BL198,-$F$21,0)),SUM(OFFSET($T$100,($F$17-$F$15+$F$21),0):$T198),"")</f>
        <v/>
      </c>
      <c r="BQ198" s="190" t="str">
        <f t="shared" ca="1" si="165"/>
        <v/>
      </c>
      <c r="BR198" s="190" t="str">
        <f t="shared" ca="1" si="146"/>
        <v/>
      </c>
      <c r="BS198" s="190"/>
      <c r="BT198"/>
      <c r="BU198"/>
      <c r="BV198"/>
      <c r="BY198" s="99"/>
      <c r="BZ198" s="99"/>
      <c r="CA198" s="280" t="str">
        <f t="shared" si="166"/>
        <v/>
      </c>
      <c r="CB198" s="71" t="str">
        <f t="shared" si="122"/>
        <v>-</v>
      </c>
      <c r="CC198" s="33"/>
      <c r="CD198" s="261" t="str">
        <f t="shared" si="123"/>
        <v/>
      </c>
      <c r="CE198" s="280" t="str">
        <f t="shared" si="167"/>
        <v/>
      </c>
      <c r="CF198" s="71" t="str">
        <f t="shared" ca="1" si="168"/>
        <v/>
      </c>
      <c r="CG198" s="33" t="str">
        <f t="shared" si="126"/>
        <v/>
      </c>
      <c r="CH198" s="261" t="str">
        <f t="shared" ca="1" si="127"/>
        <v/>
      </c>
    </row>
    <row r="199" spans="2:86" ht="13.5" customHeight="1" x14ac:dyDescent="0.2">
      <c r="B199" s="262">
        <v>99</v>
      </c>
      <c r="C199" s="237" t="str">
        <f t="shared" si="91"/>
        <v/>
      </c>
      <c r="D199" s="237" t="str">
        <f t="shared" si="147"/>
        <v/>
      </c>
      <c r="E199" s="263" t="str">
        <f t="shared" si="128"/>
        <v/>
      </c>
      <c r="F199" s="264" t="str">
        <f t="shared" si="129"/>
        <v/>
      </c>
      <c r="G199" s="264" t="str">
        <f t="shared" si="130"/>
        <v/>
      </c>
      <c r="H199" s="240" t="str">
        <f t="shared" si="149"/>
        <v/>
      </c>
      <c r="I199" s="265" t="str">
        <f t="shared" si="150"/>
        <v/>
      </c>
      <c r="J199" s="265" t="str">
        <f t="shared" si="151"/>
        <v/>
      </c>
      <c r="K199" s="240" t="str">
        <f t="shared" si="152"/>
        <v/>
      </c>
      <c r="L199" s="265" t="str">
        <f t="shared" si="153"/>
        <v/>
      </c>
      <c r="M199" s="265" t="str">
        <f t="shared" si="154"/>
        <v/>
      </c>
      <c r="N199" s="240" t="str">
        <f t="shared" si="155"/>
        <v>-</v>
      </c>
      <c r="O199" s="265" t="str">
        <f t="shared" si="156"/>
        <v>-</v>
      </c>
      <c r="P199" s="265" t="str">
        <f t="shared" si="157"/>
        <v>-</v>
      </c>
      <c r="Q199" s="266" t="str">
        <f t="shared" si="158"/>
        <v>-</v>
      </c>
      <c r="R199" s="267" t="str">
        <f t="shared" si="159"/>
        <v>-</v>
      </c>
      <c r="S199" s="268" t="str">
        <f t="shared" si="160"/>
        <v>-</v>
      </c>
      <c r="T199" s="269" t="str">
        <f t="shared" si="104"/>
        <v/>
      </c>
      <c r="U199" s="221">
        <f t="shared" si="105"/>
        <v>99</v>
      </c>
      <c r="V199" s="220" t="str">
        <f t="shared" si="131"/>
        <v>-</v>
      </c>
      <c r="W199" s="221" t="str">
        <f t="shared" si="132"/>
        <v>-</v>
      </c>
      <c r="X199" s="221" t="str">
        <f t="shared" si="106"/>
        <v>-</v>
      </c>
      <c r="Y199" s="221" t="str">
        <f t="shared" si="107"/>
        <v>-</v>
      </c>
      <c r="Z199" s="270">
        <f t="shared" si="133"/>
        <v>0.1</v>
      </c>
      <c r="AA199" s="271" t="str">
        <f>IFERROR(IF(V198=1,AA$100*EXP(-(LN(2)/$D$65+0.04)*X198)*EXP(-(LN(2)/$D$65+0.1)*Y198),IF(V198=2,AA$100*EXP(-(LN(2)/$D$65+0.04)*(VLOOKUP(($F$16-$F$15)-1,U$99:Y198,4,FALSE)))*EXP(-(LN(2)/$D$65+0.1)*(VLOOKUP(($F$16-$F$15)-1,U$99:Y198,5,FALSE)))*EXP(-(LN(2)/$D$65+0.04)*X198)*EXP(-(LN(2)/$D$65+0.1)*Y198),IF(V198=3,AA$100*EXP(-(LN(2)/$D$65+0.04)*(VLOOKUP(($F$16-$F$15)-1,U$99:Y198,4,FALSE)))*EXP(-(LN(2)/$D$65+0.1)*(VLOOKUP(($F$16-$F$15)-1,U$99:Y198,5,FALSE)))*EXP(-(LN(2)/$D$65+0.04)*(VLOOKUP(($F$16-$F$15)*2-1,U$99:Y198,4,FALSE)))*EXP(-(LN(2)/$D$65+0.1)*(VLOOKUP(($F$16-$F$15)*2-1,U$99:Y198,5,FALSE)))*EXP(-(LN(2)/$D$65+0.04)*X198)*EXP(-(LN(2)/$D$65+0.1)*Y198),"-"))),"-")</f>
        <v>-</v>
      </c>
      <c r="AB199" s="271" t="str">
        <f>IFERROR(IF(V199=1,AB$100*EXP(-(LN(2)/$D$65+0.04)*X199)*EXP(-(LN(2)/$D$65+0.1)*Y199),IF(V199=2,AB$100*EXP(-(LN(2)/$D$65+0.04)*(VLOOKUP(($F$16-$F$15)-1,U$100:Y199,4,FALSE)))*EXP(-(LN(2)/$D$65+0.1)*(VLOOKUP(($F$16-$F$15)-1,U$100:Y199,5,FALSE)))*EXP(-(LN(2)/$D$65+0.04)*X199)*EXP(-(LN(2)/$D$65+0.1)*Y199),IF(V199=3,AB$100*EXP(-(LN(2)/$D$65+0.04)*(VLOOKUP(($F$16-$F$15)-1,U$100:Y199,4,FALSE)))*EXP(-(LN(2)/$D$65+0.1)*(VLOOKUP(($F$16-$F$15)-1,U$100:Y199,5,FALSE)))*EXP(-(LN(2)/$D$65+0.04)*(VLOOKUP(($F$16-$F$15)*2-1,U$100:Y199,4,FALSE)))*EXP(-(LN(2)/$D$65+0.1)*(VLOOKUP(($F$16-$F$15)*2-1,U$100:Y199,5,FALSE)))*EXP(-(LN(2)/$D$65+0.04)*X199)*EXP(-(LN(2)/$D$65+0.1)*Y199),"-"))),"-")</f>
        <v>-</v>
      </c>
      <c r="AC199" s="224">
        <f t="shared" si="134"/>
        <v>99</v>
      </c>
      <c r="AD199" s="223" t="str">
        <f t="shared" si="108"/>
        <v>-</v>
      </c>
      <c r="AE199" s="224" t="str">
        <f t="shared" si="135"/>
        <v>-</v>
      </c>
      <c r="AF199" s="224" t="str">
        <f t="shared" si="109"/>
        <v>-</v>
      </c>
      <c r="AG199" s="224" t="str">
        <f t="shared" si="110"/>
        <v>-</v>
      </c>
      <c r="AH199" s="272">
        <f t="shared" si="136"/>
        <v>0.1</v>
      </c>
      <c r="AI199" s="271" t="str">
        <f>IFERROR(IF(AD198=1,AI$100*EXP(-(LN(2)/$D$65+0.04)*AF198)*EXP(-(LN(2)/$D$65+0.1)*AG198),IF(AD198=2,AI$100*EXP(-(LN(2)/$D$65+0.04)*(VLOOKUP(($F$16-$F$15)-1,AC$99:AG198,4,FALSE)))*EXP(-(LN(2)/$D$65+0.1)*(VLOOKUP(($F$16-$F$15)-1,AC$99:AG198,5,FALSE)))*EXP(-(LN(2)/$D$65+0.04)*AF198)*EXP(-(LN(2)/$D$65+0.1)*AG198),IF(AD198=3,AI$100*EXP(-(LN(2)/$D$65+0.04)*(VLOOKUP(($F$16-$F$15)-1,AC$99:AG198,4,FALSE)))*EXP(-(LN(2)/$D$65+0.1)*(VLOOKUP(($F$16-$F$15)-1,AC$99:AG198,5,FALSE)))*EXP(-(LN(2)/$D$65+0.04)*(VLOOKUP(($F$16-$F$15)*2-1,AC$99:AG198,4,FALSE)))*EXP(-(LN(2)/$D$65+0.1)*(VLOOKUP(($F$16-$F$15)*2-1,AC$99:AG198,5,FALSE)))*EXP(-(LN(2)/$D$65+0.04)*AF198)*EXP(-(LN(2)/$D$65+0.1)*AG198),"-"))),"-")</f>
        <v>-</v>
      </c>
      <c r="AJ199" s="271" t="str">
        <f>IFERROR(IF(AD199=1,AJ$100*EXP(-(LN(2)/$D$65+0.04)*AF199)*EXP(-(LN(2)/$D$65+0.1)*AG199),IF(AD199=2,AJ$100*EXP(-(LN(2)/$D$65+0.04)*(VLOOKUP(($F$16-$F$15)-1,AC$100:AG199,4,FALSE)))*EXP(-(LN(2)/$D$65+0.1)*(VLOOKUP(($F$16-$F$15)-1,AC$100:AG199,5,FALSE)))*EXP(-(LN(2)/$D$65+0.04)*AF199)*EXP(-(LN(2)/$D$65+0.1)*AG199),IF(AD199=3,AJ$100*EXP(-(LN(2)/$D$65+0.04)*(VLOOKUP(($F$16-$F$15)-1,AC$100:AG199,4,FALSE)))*EXP(-(LN(2)/$D$65+0.1)*(VLOOKUP(($F$16-$F$15)-1,AC$100:AG199,5,FALSE)))*EXP(-(LN(2)/$D$65+0.04)*(VLOOKUP(($F$16-$F$15)*2-1,AC$100:AG199,4,FALSE)))*EXP(-(LN(2)/$D$65+0.1)*(VLOOKUP(($F$16-$F$15)*2-1,AC$100:AG199,5,FALSE)))*EXP(-(LN(2)/$D$65+0.04)*AF199)*EXP(-(LN(2)/$D$65+0.1)*AG199),"-"))),"-")</f>
        <v>-</v>
      </c>
      <c r="AK199" s="227">
        <f t="shared" si="137"/>
        <v>99</v>
      </c>
      <c r="AL199" s="226" t="str">
        <f t="shared" si="111"/>
        <v>-</v>
      </c>
      <c r="AM199" s="227" t="str">
        <f t="shared" si="138"/>
        <v>-</v>
      </c>
      <c r="AN199" s="227" t="str">
        <f t="shared" si="139"/>
        <v>-</v>
      </c>
      <c r="AO199" s="227" t="str">
        <f t="shared" si="112"/>
        <v>-</v>
      </c>
      <c r="AP199" s="273">
        <f t="shared" si="140"/>
        <v>0.1</v>
      </c>
      <c r="AQ199" s="271" t="str">
        <f>IFERROR(IF(AL198=1,AQ$100*EXP(-(LN(2)/$D$65+0.04)*AN198)*EXP(-(LN(2)/$D$65+0.1)*AO198),IF(AL198=2,AQ$100*EXP(-(LN(2)/$D$65+0.04)*(VLOOKUP(($F$16-$F$15)-1,AK$99:AO198,4,FALSE)))*EXP(-(LN(2)/$D$65+0.1)*(VLOOKUP(($F$16-$F$15)-1,AK$99:AO198,5,FALSE)))*EXP(-(LN(2)/$D$65+0.04)*AN198)*EXP(-(LN(2)/$D$65+0.1)*AO198),IF(AL198=3,AQ$100*EXP(-(LN(2)/$D$65+0.04)*(VLOOKUP(($F$16-$F$15)-1,AK$99:AO198,4,FALSE)))*EXP(-(LN(2)/$D$65+0.1)*(VLOOKUP(($F$16-$F$15)-1,AK$99:AO198,5,FALSE)))*EXP(-(LN(2)/$D$65+0.04)*(VLOOKUP(($F$16-$F$15)*2-1,AK$99:AO198,4,FALSE)))*EXP(-(LN(2)/$D$65+0.1)*(VLOOKUP(($F$16-$F$15)*2-1,AK$99:AO198,5,FALSE)))*EXP(-(LN(2)/$D$65+0.04)*AN198)*EXP(-(LN(2)/$D$65+0.1)*AO198),"-"))),"-")</f>
        <v>-</v>
      </c>
      <c r="AR199" s="271" t="str">
        <f>IFERROR(IF(AL199=1,AR$100*EXP(-(LN(2)/$D$65+0.04)*AN199)*EXP(-(LN(2)/$D$65+0.1)*AO199),IF(AL199=2,AR$100*EXP(-(LN(2)/$D$65+0.04)*(VLOOKUP(($F$16-$F$15)-1,AK$100:AO199,4,FALSE)))*EXP(-(LN(2)/$D$65+0.1)*(VLOOKUP(($F$16-$F$15)-1,AK$100:AO199,5,FALSE)))*EXP(-(LN(2)/$D$65+0.04)*AN199)*EXP(-(LN(2)/$D$65+0.1)*AO199),IF(AL199=3,AR$100*EXP(-(LN(2)/$D$65+0.04)*(VLOOKUP(($F$16-$F$15)-1,AK$100:AO199,4,FALSE)))*EXP(-(LN(2)/$D$65+0.1)*(VLOOKUP(($F$16-$F$15)-1,AK$100:AO199,5,FALSE)))*EXP(-(LN(2)/$D$65+0.04)*(VLOOKUP(($F$16-$F$15)*2-1,AK$100:AO199,4,FALSE)))*EXP(-(LN(2)/$D$65+0.1)*(VLOOKUP(($F$16-$F$15)*2-1,AK$100:AO199,5,FALSE)))*EXP(-(LN(2)/$D$65+0.04)*AN199)*EXP(-(LN(2)/$D$65+0.1)*AO199),"-"))),"-")</f>
        <v>-</v>
      </c>
      <c r="AS199" s="274">
        <f t="shared" si="113"/>
        <v>0</v>
      </c>
      <c r="AT199" s="274">
        <f t="shared" si="114"/>
        <v>0</v>
      </c>
      <c r="AU199" s="274">
        <f t="shared" si="115"/>
        <v>0</v>
      </c>
      <c r="AV199" s="190" t="str">
        <f>IF($B199&lt;$F$22,SUM($T$100:$T199),"")</f>
        <v/>
      </c>
      <c r="AW199" s="190" t="str">
        <f t="shared" si="161"/>
        <v>-</v>
      </c>
      <c r="AX199" s="190" t="str">
        <f t="shared" si="141"/>
        <v/>
      </c>
      <c r="AY199"/>
      <c r="AZ199" s="190" t="str">
        <f ca="1">IF(ISNUMBER(OFFSET(AV199,-$F$21,0)),SUM(OFFSET($T$100,$F$21,0):$T199),"")</f>
        <v/>
      </c>
      <c r="BA199" s="190" t="str">
        <f t="shared" ca="1" si="162"/>
        <v/>
      </c>
      <c r="BB199" s="190" t="str">
        <f t="shared" ca="1" si="148"/>
        <v/>
      </c>
      <c r="BC199" s="190"/>
      <c r="BD199" s="190" t="str">
        <f ca="1">IFERROR(IF(OR(ISNUMBER(I),ISNUMBER($F$14)),IF(AND($B199&gt;=($F$16-$F$15),$B199&lt;$F$22+($F$16-$F$15)),SUM(OFFSET($T$100,($F$16-$F$15),0):$T199),""),""),"")</f>
        <v/>
      </c>
      <c r="BE199" s="190" t="str">
        <f t="shared" ca="1" si="142"/>
        <v/>
      </c>
      <c r="BF199" s="190" t="str">
        <f t="shared" ca="1" si="143"/>
        <v/>
      </c>
      <c r="BG199"/>
      <c r="BH199" s="190" t="str">
        <f ca="1">IF(ISNUMBER(OFFSET(BD199,-$F$21,0)),SUM(OFFSET($T$100,($F$16-$F$15+$F$21),0):$T199),"")</f>
        <v/>
      </c>
      <c r="BI199" s="190" t="str">
        <f t="shared" ca="1" si="163"/>
        <v/>
      </c>
      <c r="BJ199" s="190" t="str">
        <f t="shared" ca="1" si="144"/>
        <v/>
      </c>
      <c r="BK199" s="190"/>
      <c r="BL199" s="190" t="str">
        <f ca="1">IFERROR(IF(OR(ISNUMBER(I),ISNUMBER($F$14)),IF(AND($B199&gt;=($F$17-$F$15),$B199&lt;$F$22+($F$17-$F$15)),SUM(OFFSET($T$100,($F$17-$F$15),0):$T199),""),""),"")</f>
        <v/>
      </c>
      <c r="BM199" s="190" t="str">
        <f t="shared" ca="1" si="164"/>
        <v/>
      </c>
      <c r="BN199" s="190" t="str">
        <f t="shared" ca="1" si="145"/>
        <v/>
      </c>
      <c r="BO199"/>
      <c r="BP199" s="190" t="str">
        <f ca="1">IF(ISNUMBER(OFFSET(BL199,-$F$21,0)),SUM(OFFSET($T$100,($F$17-$F$15+$F$21),0):$T199),"")</f>
        <v/>
      </c>
      <c r="BQ199" s="190" t="str">
        <f t="shared" ca="1" si="165"/>
        <v/>
      </c>
      <c r="BR199" s="190" t="str">
        <f t="shared" ca="1" si="146"/>
        <v/>
      </c>
      <c r="BS199" s="190"/>
      <c r="BT199"/>
      <c r="BU199"/>
      <c r="BV199"/>
      <c r="BY199" s="99"/>
      <c r="BZ199" s="99"/>
      <c r="CA199" s="280" t="str">
        <f t="shared" si="166"/>
        <v/>
      </c>
      <c r="CB199" s="71" t="str">
        <f t="shared" si="122"/>
        <v>-</v>
      </c>
      <c r="CC199" s="33"/>
      <c r="CD199" s="261" t="str">
        <f t="shared" si="123"/>
        <v/>
      </c>
      <c r="CE199" s="280" t="str">
        <f t="shared" si="167"/>
        <v/>
      </c>
      <c r="CF199" s="71" t="str">
        <f t="shared" ca="1" si="168"/>
        <v/>
      </c>
      <c r="CG199" s="33" t="str">
        <f t="shared" si="126"/>
        <v/>
      </c>
      <c r="CH199" s="261" t="str">
        <f t="shared" ca="1" si="127"/>
        <v/>
      </c>
    </row>
    <row r="200" spans="2:86" ht="13.5" customHeight="1" x14ac:dyDescent="0.2">
      <c r="B200" s="262">
        <v>100</v>
      </c>
      <c r="C200" s="237" t="str">
        <f t="shared" si="91"/>
        <v/>
      </c>
      <c r="D200" s="237" t="str">
        <f t="shared" si="147"/>
        <v/>
      </c>
      <c r="E200" s="263" t="str">
        <f t="shared" si="128"/>
        <v/>
      </c>
      <c r="F200" s="264" t="str">
        <f t="shared" si="129"/>
        <v/>
      </c>
      <c r="G200" s="264" t="str">
        <f t="shared" si="130"/>
        <v/>
      </c>
      <c r="H200" s="240" t="str">
        <f t="shared" si="149"/>
        <v/>
      </c>
      <c r="I200" s="265" t="str">
        <f t="shared" si="150"/>
        <v/>
      </c>
      <c r="J200" s="265" t="str">
        <f t="shared" si="151"/>
        <v/>
      </c>
      <c r="K200" s="240" t="str">
        <f t="shared" si="152"/>
        <v/>
      </c>
      <c r="L200" s="265" t="str">
        <f t="shared" si="153"/>
        <v/>
      </c>
      <c r="M200" s="265" t="str">
        <f t="shared" si="154"/>
        <v/>
      </c>
      <c r="N200" s="240" t="str">
        <f t="shared" si="155"/>
        <v>-</v>
      </c>
      <c r="O200" s="265" t="str">
        <f t="shared" si="156"/>
        <v>-</v>
      </c>
      <c r="P200" s="265" t="str">
        <f t="shared" si="157"/>
        <v>-</v>
      </c>
      <c r="Q200" s="266" t="str">
        <f t="shared" si="158"/>
        <v>-</v>
      </c>
      <c r="R200" s="267" t="str">
        <f t="shared" si="159"/>
        <v>-</v>
      </c>
      <c r="S200" s="268" t="str">
        <f t="shared" si="160"/>
        <v>-</v>
      </c>
      <c r="T200" s="269" t="str">
        <f t="shared" si="104"/>
        <v/>
      </c>
      <c r="U200" s="221">
        <f t="shared" si="105"/>
        <v>100</v>
      </c>
      <c r="V200" s="220" t="str">
        <f t="shared" si="131"/>
        <v>-</v>
      </c>
      <c r="W200" s="221" t="str">
        <f t="shared" si="132"/>
        <v>-</v>
      </c>
      <c r="X200" s="221" t="str">
        <f t="shared" si="106"/>
        <v>-</v>
      </c>
      <c r="Y200" s="221" t="str">
        <f t="shared" si="107"/>
        <v>-</v>
      </c>
      <c r="Z200" s="270">
        <f t="shared" si="133"/>
        <v>0.1</v>
      </c>
      <c r="AA200" s="271" t="str">
        <f>IFERROR(IF(V199=1,AA$100*EXP(-(LN(2)/$D$65+0.04)*X199)*EXP(-(LN(2)/$D$65+0.1)*Y199),IF(V199=2,AA$100*EXP(-(LN(2)/$D$65+0.04)*(VLOOKUP(($F$16-$F$15)-1,U$99:Y199,4,FALSE)))*EXP(-(LN(2)/$D$65+0.1)*(VLOOKUP(($F$16-$F$15)-1,U$99:Y199,5,FALSE)))*EXP(-(LN(2)/$D$65+0.04)*X199)*EXP(-(LN(2)/$D$65+0.1)*Y199),IF(V199=3,AA$100*EXP(-(LN(2)/$D$65+0.04)*(VLOOKUP(($F$16-$F$15)-1,U$99:Y199,4,FALSE)))*EXP(-(LN(2)/$D$65+0.1)*(VLOOKUP(($F$16-$F$15)-1,U$99:Y199,5,FALSE)))*EXP(-(LN(2)/$D$65+0.04)*(VLOOKUP(($F$16-$F$15)*2-1,U$99:Y199,4,FALSE)))*EXP(-(LN(2)/$D$65+0.1)*(VLOOKUP(($F$16-$F$15)*2-1,U$99:Y199,5,FALSE)))*EXP(-(LN(2)/$D$65+0.04)*X199)*EXP(-(LN(2)/$D$65+0.1)*Y199),"-"))),"-")</f>
        <v>-</v>
      </c>
      <c r="AB200" s="271" t="str">
        <f>IFERROR(IF(V200=1,AB$100*EXP(-(LN(2)/$D$65+0.04)*X200)*EXP(-(LN(2)/$D$65+0.1)*Y200),IF(V200=2,AB$100*EXP(-(LN(2)/$D$65+0.04)*(VLOOKUP(($F$16-$F$15)-1,U$100:Y200,4,FALSE)))*EXP(-(LN(2)/$D$65+0.1)*(VLOOKUP(($F$16-$F$15)-1,U$100:Y200,5,FALSE)))*EXP(-(LN(2)/$D$65+0.04)*X200)*EXP(-(LN(2)/$D$65+0.1)*Y200),IF(V200=3,AB$100*EXP(-(LN(2)/$D$65+0.04)*(VLOOKUP(($F$16-$F$15)-1,U$100:Y200,4,FALSE)))*EXP(-(LN(2)/$D$65+0.1)*(VLOOKUP(($F$16-$F$15)-1,U$100:Y200,5,FALSE)))*EXP(-(LN(2)/$D$65+0.04)*(VLOOKUP(($F$16-$F$15)*2-1,U$100:Y200,4,FALSE)))*EXP(-(LN(2)/$D$65+0.1)*(VLOOKUP(($F$16-$F$15)*2-1,U$100:Y200,5,FALSE)))*EXP(-(LN(2)/$D$65+0.04)*X200)*EXP(-(LN(2)/$D$65+0.1)*Y200),"-"))),"-")</f>
        <v>-</v>
      </c>
      <c r="AC200" s="224">
        <f t="shared" si="134"/>
        <v>100</v>
      </c>
      <c r="AD200" s="223" t="str">
        <f t="shared" si="108"/>
        <v>-</v>
      </c>
      <c r="AE200" s="224" t="str">
        <f t="shared" si="135"/>
        <v>-</v>
      </c>
      <c r="AF200" s="224" t="str">
        <f t="shared" si="109"/>
        <v>-</v>
      </c>
      <c r="AG200" s="224" t="str">
        <f t="shared" si="110"/>
        <v>-</v>
      </c>
      <c r="AH200" s="272">
        <f t="shared" si="136"/>
        <v>0.1</v>
      </c>
      <c r="AI200" s="271" t="str">
        <f>IFERROR(IF(AD199=1,AI$100*EXP(-(LN(2)/$D$65+0.04)*AF199)*EXP(-(LN(2)/$D$65+0.1)*AG199),IF(AD199=2,AI$100*EXP(-(LN(2)/$D$65+0.04)*(VLOOKUP(($F$16-$F$15)-1,AC$99:AG199,4,FALSE)))*EXP(-(LN(2)/$D$65+0.1)*(VLOOKUP(($F$16-$F$15)-1,AC$99:AG199,5,FALSE)))*EXP(-(LN(2)/$D$65+0.04)*AF199)*EXP(-(LN(2)/$D$65+0.1)*AG199),IF(AD199=3,AI$100*EXP(-(LN(2)/$D$65+0.04)*(VLOOKUP(($F$16-$F$15)-1,AC$99:AG199,4,FALSE)))*EXP(-(LN(2)/$D$65+0.1)*(VLOOKUP(($F$16-$F$15)-1,AC$99:AG199,5,FALSE)))*EXP(-(LN(2)/$D$65+0.04)*(VLOOKUP(($F$16-$F$15)*2-1,AC$99:AG199,4,FALSE)))*EXP(-(LN(2)/$D$65+0.1)*(VLOOKUP(($F$16-$F$15)*2-1,AC$99:AG199,5,FALSE)))*EXP(-(LN(2)/$D$65+0.04)*AF199)*EXP(-(LN(2)/$D$65+0.1)*AG199),"-"))),"-")</f>
        <v>-</v>
      </c>
      <c r="AJ200" s="271" t="str">
        <f>IFERROR(IF(AD200=1,AJ$100*EXP(-(LN(2)/$D$65+0.04)*AF200)*EXP(-(LN(2)/$D$65+0.1)*AG200),IF(AD200=2,AJ$100*EXP(-(LN(2)/$D$65+0.04)*(VLOOKUP(($F$16-$F$15)-1,AC$100:AG200,4,FALSE)))*EXP(-(LN(2)/$D$65+0.1)*(VLOOKUP(($F$16-$F$15)-1,AC$100:AG200,5,FALSE)))*EXP(-(LN(2)/$D$65+0.04)*AF200)*EXP(-(LN(2)/$D$65+0.1)*AG200),IF(AD200=3,AJ$100*EXP(-(LN(2)/$D$65+0.04)*(VLOOKUP(($F$16-$F$15)-1,AC$100:AG200,4,FALSE)))*EXP(-(LN(2)/$D$65+0.1)*(VLOOKUP(($F$16-$F$15)-1,AC$100:AG200,5,FALSE)))*EXP(-(LN(2)/$D$65+0.04)*(VLOOKUP(($F$16-$F$15)*2-1,AC$100:AG200,4,FALSE)))*EXP(-(LN(2)/$D$65+0.1)*(VLOOKUP(($F$16-$F$15)*2-1,AC$100:AG200,5,FALSE)))*EXP(-(LN(2)/$D$65+0.04)*AF200)*EXP(-(LN(2)/$D$65+0.1)*AG200),"-"))),"-")</f>
        <v>-</v>
      </c>
      <c r="AK200" s="227">
        <f t="shared" si="137"/>
        <v>100</v>
      </c>
      <c r="AL200" s="226" t="str">
        <f t="shared" si="111"/>
        <v>-</v>
      </c>
      <c r="AM200" s="227" t="str">
        <f t="shared" si="138"/>
        <v>-</v>
      </c>
      <c r="AN200" s="227" t="str">
        <f t="shared" si="139"/>
        <v>-</v>
      </c>
      <c r="AO200" s="227" t="str">
        <f t="shared" si="112"/>
        <v>-</v>
      </c>
      <c r="AP200" s="273">
        <f t="shared" si="140"/>
        <v>0.1</v>
      </c>
      <c r="AQ200" s="271" t="str">
        <f>IFERROR(IF(AL199=1,AQ$100*EXP(-(LN(2)/$D$65+0.04)*AN199)*EXP(-(LN(2)/$D$65+0.1)*AO199),IF(AL199=2,AQ$100*EXP(-(LN(2)/$D$65+0.04)*(VLOOKUP(($F$16-$F$15)-1,AK$99:AO199,4,FALSE)))*EXP(-(LN(2)/$D$65+0.1)*(VLOOKUP(($F$16-$F$15)-1,AK$99:AO199,5,FALSE)))*EXP(-(LN(2)/$D$65+0.04)*AN199)*EXP(-(LN(2)/$D$65+0.1)*AO199),IF(AL199=3,AQ$100*EXP(-(LN(2)/$D$65+0.04)*(VLOOKUP(($F$16-$F$15)-1,AK$99:AO199,4,FALSE)))*EXP(-(LN(2)/$D$65+0.1)*(VLOOKUP(($F$16-$F$15)-1,AK$99:AO199,5,FALSE)))*EXP(-(LN(2)/$D$65+0.04)*(VLOOKUP(($F$16-$F$15)*2-1,AK$99:AO199,4,FALSE)))*EXP(-(LN(2)/$D$65+0.1)*(VLOOKUP(($F$16-$F$15)*2-1,AK$99:AO199,5,FALSE)))*EXP(-(LN(2)/$D$65+0.04)*AN199)*EXP(-(LN(2)/$D$65+0.1)*AO199),"-"))),"-")</f>
        <v>-</v>
      </c>
      <c r="AR200" s="271" t="str">
        <f>IFERROR(IF(AL200=1,AR$100*EXP(-(LN(2)/$D$65+0.04)*AN200)*EXP(-(LN(2)/$D$65+0.1)*AO200),IF(AL200=2,AR$100*EXP(-(LN(2)/$D$65+0.04)*(VLOOKUP(($F$16-$F$15)-1,AK$100:AO200,4,FALSE)))*EXP(-(LN(2)/$D$65+0.1)*(VLOOKUP(($F$16-$F$15)-1,AK$100:AO200,5,FALSE)))*EXP(-(LN(2)/$D$65+0.04)*AN200)*EXP(-(LN(2)/$D$65+0.1)*AO200),IF(AL200=3,AR$100*EXP(-(LN(2)/$D$65+0.04)*(VLOOKUP(($F$16-$F$15)-1,AK$100:AO200,4,FALSE)))*EXP(-(LN(2)/$D$65+0.1)*(VLOOKUP(($F$16-$F$15)-1,AK$100:AO200,5,FALSE)))*EXP(-(LN(2)/$D$65+0.04)*(VLOOKUP(($F$16-$F$15)*2-1,AK$100:AO200,4,FALSE)))*EXP(-(LN(2)/$D$65+0.1)*(VLOOKUP(($F$16-$F$15)*2-1,AK$100:AO200,5,FALSE)))*EXP(-(LN(2)/$D$65+0.04)*AN200)*EXP(-(LN(2)/$D$65+0.1)*AO200),"-"))),"-")</f>
        <v>-</v>
      </c>
      <c r="AS200" s="274">
        <f t="shared" si="113"/>
        <v>0</v>
      </c>
      <c r="AT200" s="274">
        <f t="shared" si="114"/>
        <v>0</v>
      </c>
      <c r="AU200" s="274">
        <f t="shared" si="115"/>
        <v>0</v>
      </c>
      <c r="AV200" s="190" t="str">
        <f>IF($B200&lt;$F$22,SUM($T$100:$T200),"")</f>
        <v/>
      </c>
      <c r="AW200" s="190" t="str">
        <f t="shared" si="161"/>
        <v>-</v>
      </c>
      <c r="AX200" s="190" t="str">
        <f t="shared" si="141"/>
        <v/>
      </c>
      <c r="AY200"/>
      <c r="AZ200" s="190" t="str">
        <f ca="1">IF(ISNUMBER(OFFSET(AV200,-$F$21,0)),SUM(OFFSET($T$100,$F$21,0):$T200),"")</f>
        <v/>
      </c>
      <c r="BA200" s="190" t="str">
        <f t="shared" ca="1" si="162"/>
        <v/>
      </c>
      <c r="BB200" s="190" t="str">
        <f t="shared" ca="1" si="148"/>
        <v/>
      </c>
      <c r="BC200" s="190"/>
      <c r="BD200" s="190" t="str">
        <f ca="1">IFERROR(IF(OR(ISNUMBER(I),ISNUMBER($F$14)),IF(AND($B200&gt;=($F$16-$F$15),$B200&lt;$F$22+($F$16-$F$15)),SUM(OFFSET($T$100,($F$16-$F$15),0):$T200),""),""),"")</f>
        <v/>
      </c>
      <c r="BE200" s="190" t="str">
        <f t="shared" ca="1" si="142"/>
        <v/>
      </c>
      <c r="BF200" s="190" t="str">
        <f t="shared" ca="1" si="143"/>
        <v/>
      </c>
      <c r="BG200"/>
      <c r="BH200" s="190" t="str">
        <f ca="1">IF(ISNUMBER(OFFSET(BD200,-$F$21,0)),SUM(OFFSET($T$100,($F$16-$F$15+$F$21),0):$T200),"")</f>
        <v/>
      </c>
      <c r="BI200" s="190" t="str">
        <f t="shared" ca="1" si="163"/>
        <v/>
      </c>
      <c r="BJ200" s="190" t="str">
        <f t="shared" ca="1" si="144"/>
        <v/>
      </c>
      <c r="BK200" s="190"/>
      <c r="BL200" s="190" t="str">
        <f ca="1">IFERROR(IF(OR(ISNUMBER(I),ISNUMBER($F$14)),IF(AND($B200&gt;=($F$17-$F$15),$B200&lt;$F$22+($F$17-$F$15)),SUM(OFFSET($T$100,($F$17-$F$15),0):$T200),""),""),"")</f>
        <v/>
      </c>
      <c r="BM200" s="190" t="str">
        <f t="shared" ca="1" si="164"/>
        <v/>
      </c>
      <c r="BN200" s="190" t="str">
        <f t="shared" ca="1" si="145"/>
        <v/>
      </c>
      <c r="BO200"/>
      <c r="BP200" s="190" t="str">
        <f ca="1">IF(ISNUMBER(OFFSET(BL200,-$F$21,0)),SUM(OFFSET($T$100,($F$17-$F$15+$F$21),0):$T200),"")</f>
        <v/>
      </c>
      <c r="BQ200" s="190" t="str">
        <f t="shared" ca="1" si="165"/>
        <v/>
      </c>
      <c r="BR200" s="190" t="str">
        <f t="shared" ca="1" si="146"/>
        <v/>
      </c>
      <c r="BS200" s="190"/>
      <c r="BT200"/>
      <c r="BU200"/>
      <c r="BV200"/>
      <c r="BY200" s="99"/>
      <c r="BZ200" s="99"/>
      <c r="CA200" s="280" t="str">
        <f t="shared" si="166"/>
        <v/>
      </c>
      <c r="CB200" s="71" t="str">
        <f t="shared" si="122"/>
        <v>-</v>
      </c>
      <c r="CC200" s="33"/>
      <c r="CD200" s="261" t="str">
        <f t="shared" si="123"/>
        <v/>
      </c>
      <c r="CE200" s="280" t="str">
        <f t="shared" si="167"/>
        <v/>
      </c>
      <c r="CF200" s="71" t="str">
        <f t="shared" ca="1" si="168"/>
        <v/>
      </c>
      <c r="CG200" s="33" t="str">
        <f t="shared" si="126"/>
        <v/>
      </c>
      <c r="CH200" s="261" t="str">
        <f t="shared" ca="1" si="127"/>
        <v/>
      </c>
    </row>
    <row r="201" spans="2:86" ht="13.5" customHeight="1" x14ac:dyDescent="0.2">
      <c r="B201" s="262">
        <v>101</v>
      </c>
      <c r="C201" s="237" t="str">
        <f t="shared" si="91"/>
        <v/>
      </c>
      <c r="D201" s="237" t="str">
        <f t="shared" si="147"/>
        <v/>
      </c>
      <c r="E201" s="263" t="str">
        <f t="shared" si="128"/>
        <v/>
      </c>
      <c r="F201" s="264" t="str">
        <f t="shared" si="129"/>
        <v/>
      </c>
      <c r="G201" s="264" t="str">
        <f t="shared" si="130"/>
        <v/>
      </c>
      <c r="H201" s="240" t="str">
        <f t="shared" si="149"/>
        <v/>
      </c>
      <c r="I201" s="265" t="str">
        <f t="shared" si="150"/>
        <v/>
      </c>
      <c r="J201" s="265" t="str">
        <f t="shared" si="151"/>
        <v/>
      </c>
      <c r="K201" s="240" t="str">
        <f t="shared" si="152"/>
        <v/>
      </c>
      <c r="L201" s="265" t="str">
        <f t="shared" si="153"/>
        <v/>
      </c>
      <c r="M201" s="265" t="str">
        <f t="shared" si="154"/>
        <v/>
      </c>
      <c r="N201" s="240" t="str">
        <f t="shared" si="155"/>
        <v>-</v>
      </c>
      <c r="O201" s="265" t="str">
        <f t="shared" si="156"/>
        <v>-</v>
      </c>
      <c r="P201" s="265" t="str">
        <f t="shared" si="157"/>
        <v>-</v>
      </c>
      <c r="Q201" s="266" t="str">
        <f t="shared" si="158"/>
        <v>-</v>
      </c>
      <c r="R201" s="267" t="str">
        <f t="shared" si="159"/>
        <v>-</v>
      </c>
      <c r="S201" s="268" t="str">
        <f t="shared" si="160"/>
        <v>-</v>
      </c>
      <c r="T201" s="269" t="str">
        <f t="shared" si="104"/>
        <v/>
      </c>
      <c r="U201" s="221">
        <f t="shared" si="105"/>
        <v>101</v>
      </c>
      <c r="V201" s="220" t="str">
        <f t="shared" si="131"/>
        <v>-</v>
      </c>
      <c r="W201" s="221" t="str">
        <f t="shared" si="132"/>
        <v>-</v>
      </c>
      <c r="X201" s="221" t="str">
        <f t="shared" si="106"/>
        <v>-</v>
      </c>
      <c r="Y201" s="221" t="str">
        <f t="shared" si="107"/>
        <v>-</v>
      </c>
      <c r="Z201" s="270">
        <f t="shared" si="133"/>
        <v>0.1</v>
      </c>
      <c r="AA201" s="271" t="str">
        <f>IFERROR(IF(V200=1,AA$100*EXP(-(LN(2)/$D$65+0.04)*X200)*EXP(-(LN(2)/$D$65+0.1)*Y200),IF(V200=2,AA$100*EXP(-(LN(2)/$D$65+0.04)*(VLOOKUP(($F$16-$F$15)-1,U$99:Y200,4,FALSE)))*EXP(-(LN(2)/$D$65+0.1)*(VLOOKUP(($F$16-$F$15)-1,U$99:Y200,5,FALSE)))*EXP(-(LN(2)/$D$65+0.04)*X200)*EXP(-(LN(2)/$D$65+0.1)*Y200),IF(V200=3,AA$100*EXP(-(LN(2)/$D$65+0.04)*(VLOOKUP(($F$16-$F$15)-1,U$99:Y200,4,FALSE)))*EXP(-(LN(2)/$D$65+0.1)*(VLOOKUP(($F$16-$F$15)-1,U$99:Y200,5,FALSE)))*EXP(-(LN(2)/$D$65+0.04)*(VLOOKUP(($F$16-$F$15)*2-1,U$99:Y200,4,FALSE)))*EXP(-(LN(2)/$D$65+0.1)*(VLOOKUP(($F$16-$F$15)*2-1,U$99:Y200,5,FALSE)))*EXP(-(LN(2)/$D$65+0.04)*X200)*EXP(-(LN(2)/$D$65+0.1)*Y200),"-"))),"-")</f>
        <v>-</v>
      </c>
      <c r="AB201" s="271" t="str">
        <f>IFERROR(IF(V201=1,AB$100*EXP(-(LN(2)/$D$65+0.04)*X201)*EXP(-(LN(2)/$D$65+0.1)*Y201),IF(V201=2,AB$100*EXP(-(LN(2)/$D$65+0.04)*(VLOOKUP(($F$16-$F$15)-1,U$100:Y201,4,FALSE)))*EXP(-(LN(2)/$D$65+0.1)*(VLOOKUP(($F$16-$F$15)-1,U$100:Y201,5,FALSE)))*EXP(-(LN(2)/$D$65+0.04)*X201)*EXP(-(LN(2)/$D$65+0.1)*Y201),IF(V201=3,AB$100*EXP(-(LN(2)/$D$65+0.04)*(VLOOKUP(($F$16-$F$15)-1,U$100:Y201,4,FALSE)))*EXP(-(LN(2)/$D$65+0.1)*(VLOOKUP(($F$16-$F$15)-1,U$100:Y201,5,FALSE)))*EXP(-(LN(2)/$D$65+0.04)*(VLOOKUP(($F$16-$F$15)*2-1,U$100:Y201,4,FALSE)))*EXP(-(LN(2)/$D$65+0.1)*(VLOOKUP(($F$16-$F$15)*2-1,U$100:Y201,5,FALSE)))*EXP(-(LN(2)/$D$65+0.04)*X201)*EXP(-(LN(2)/$D$65+0.1)*Y201),"-"))),"-")</f>
        <v>-</v>
      </c>
      <c r="AC201" s="224">
        <f t="shared" si="134"/>
        <v>101</v>
      </c>
      <c r="AD201" s="223" t="str">
        <f t="shared" si="108"/>
        <v>-</v>
      </c>
      <c r="AE201" s="224" t="str">
        <f t="shared" si="135"/>
        <v>-</v>
      </c>
      <c r="AF201" s="224" t="str">
        <f t="shared" si="109"/>
        <v>-</v>
      </c>
      <c r="AG201" s="224" t="str">
        <f t="shared" si="110"/>
        <v>-</v>
      </c>
      <c r="AH201" s="272">
        <f t="shared" si="136"/>
        <v>0.1</v>
      </c>
      <c r="AI201" s="271" t="str">
        <f>IFERROR(IF(AD200=1,AI$100*EXP(-(LN(2)/$D$65+0.04)*AF200)*EXP(-(LN(2)/$D$65+0.1)*AG200),IF(AD200=2,AI$100*EXP(-(LN(2)/$D$65+0.04)*(VLOOKUP(($F$16-$F$15)-1,AC$99:AG200,4,FALSE)))*EXP(-(LN(2)/$D$65+0.1)*(VLOOKUP(($F$16-$F$15)-1,AC$99:AG200,5,FALSE)))*EXP(-(LN(2)/$D$65+0.04)*AF200)*EXP(-(LN(2)/$D$65+0.1)*AG200),IF(AD200=3,AI$100*EXP(-(LN(2)/$D$65+0.04)*(VLOOKUP(($F$16-$F$15)-1,AC$99:AG200,4,FALSE)))*EXP(-(LN(2)/$D$65+0.1)*(VLOOKUP(($F$16-$F$15)-1,AC$99:AG200,5,FALSE)))*EXP(-(LN(2)/$D$65+0.04)*(VLOOKUP(($F$16-$F$15)*2-1,AC$99:AG200,4,FALSE)))*EXP(-(LN(2)/$D$65+0.1)*(VLOOKUP(($F$16-$F$15)*2-1,AC$99:AG200,5,FALSE)))*EXP(-(LN(2)/$D$65+0.04)*AF200)*EXP(-(LN(2)/$D$65+0.1)*AG200),"-"))),"-")</f>
        <v>-</v>
      </c>
      <c r="AJ201" s="271" t="str">
        <f>IFERROR(IF(AD201=1,AJ$100*EXP(-(LN(2)/$D$65+0.04)*AF201)*EXP(-(LN(2)/$D$65+0.1)*AG201),IF(AD201=2,AJ$100*EXP(-(LN(2)/$D$65+0.04)*(VLOOKUP(($F$16-$F$15)-1,AC$100:AG201,4,FALSE)))*EXP(-(LN(2)/$D$65+0.1)*(VLOOKUP(($F$16-$F$15)-1,AC$100:AG201,5,FALSE)))*EXP(-(LN(2)/$D$65+0.04)*AF201)*EXP(-(LN(2)/$D$65+0.1)*AG201),IF(AD201=3,AJ$100*EXP(-(LN(2)/$D$65+0.04)*(VLOOKUP(($F$16-$F$15)-1,AC$100:AG201,4,FALSE)))*EXP(-(LN(2)/$D$65+0.1)*(VLOOKUP(($F$16-$F$15)-1,AC$100:AG201,5,FALSE)))*EXP(-(LN(2)/$D$65+0.04)*(VLOOKUP(($F$16-$F$15)*2-1,AC$100:AG201,4,FALSE)))*EXP(-(LN(2)/$D$65+0.1)*(VLOOKUP(($F$16-$F$15)*2-1,AC$100:AG201,5,FALSE)))*EXP(-(LN(2)/$D$65+0.04)*AF201)*EXP(-(LN(2)/$D$65+0.1)*AG201),"-"))),"-")</f>
        <v>-</v>
      </c>
      <c r="AK201" s="227">
        <f t="shared" si="137"/>
        <v>101</v>
      </c>
      <c r="AL201" s="226" t="str">
        <f t="shared" si="111"/>
        <v>-</v>
      </c>
      <c r="AM201" s="227" t="str">
        <f t="shared" si="138"/>
        <v>-</v>
      </c>
      <c r="AN201" s="227" t="str">
        <f t="shared" si="139"/>
        <v>-</v>
      </c>
      <c r="AO201" s="227" t="str">
        <f t="shared" si="112"/>
        <v>-</v>
      </c>
      <c r="AP201" s="273">
        <f t="shared" si="140"/>
        <v>0.1</v>
      </c>
      <c r="AQ201" s="271" t="str">
        <f>IFERROR(IF(AL200=1,AQ$100*EXP(-(LN(2)/$D$65+0.04)*AN200)*EXP(-(LN(2)/$D$65+0.1)*AO200),IF(AL200=2,AQ$100*EXP(-(LN(2)/$D$65+0.04)*(VLOOKUP(($F$16-$F$15)-1,AK$99:AO200,4,FALSE)))*EXP(-(LN(2)/$D$65+0.1)*(VLOOKUP(($F$16-$F$15)-1,AK$99:AO200,5,FALSE)))*EXP(-(LN(2)/$D$65+0.04)*AN200)*EXP(-(LN(2)/$D$65+0.1)*AO200),IF(AL200=3,AQ$100*EXP(-(LN(2)/$D$65+0.04)*(VLOOKUP(($F$16-$F$15)-1,AK$99:AO200,4,FALSE)))*EXP(-(LN(2)/$D$65+0.1)*(VLOOKUP(($F$16-$F$15)-1,AK$99:AO200,5,FALSE)))*EXP(-(LN(2)/$D$65+0.04)*(VLOOKUP(($F$16-$F$15)*2-1,AK$99:AO200,4,FALSE)))*EXP(-(LN(2)/$D$65+0.1)*(VLOOKUP(($F$16-$F$15)*2-1,AK$99:AO200,5,FALSE)))*EXP(-(LN(2)/$D$65+0.04)*AN200)*EXP(-(LN(2)/$D$65+0.1)*AO200),"-"))),"-")</f>
        <v>-</v>
      </c>
      <c r="AR201" s="271" t="str">
        <f>IFERROR(IF(AL201=1,AR$100*EXP(-(LN(2)/$D$65+0.04)*AN201)*EXP(-(LN(2)/$D$65+0.1)*AO201),IF(AL201=2,AR$100*EXP(-(LN(2)/$D$65+0.04)*(VLOOKUP(($F$16-$F$15)-1,AK$100:AO201,4,FALSE)))*EXP(-(LN(2)/$D$65+0.1)*(VLOOKUP(($F$16-$F$15)-1,AK$100:AO201,5,FALSE)))*EXP(-(LN(2)/$D$65+0.04)*AN201)*EXP(-(LN(2)/$D$65+0.1)*AO201),IF(AL201=3,AR$100*EXP(-(LN(2)/$D$65+0.04)*(VLOOKUP(($F$16-$F$15)-1,AK$100:AO201,4,FALSE)))*EXP(-(LN(2)/$D$65+0.1)*(VLOOKUP(($F$16-$F$15)-1,AK$100:AO201,5,FALSE)))*EXP(-(LN(2)/$D$65+0.04)*(VLOOKUP(($F$16-$F$15)*2-1,AK$100:AO201,4,FALSE)))*EXP(-(LN(2)/$D$65+0.1)*(VLOOKUP(($F$16-$F$15)*2-1,AK$100:AO201,5,FALSE)))*EXP(-(LN(2)/$D$65+0.04)*AN201)*EXP(-(LN(2)/$D$65+0.1)*AO201),"-"))),"-")</f>
        <v>-</v>
      </c>
      <c r="AS201" s="274">
        <f t="shared" si="113"/>
        <v>0</v>
      </c>
      <c r="AT201" s="274">
        <f t="shared" si="114"/>
        <v>0</v>
      </c>
      <c r="AU201" s="274">
        <f t="shared" si="115"/>
        <v>0</v>
      </c>
      <c r="AV201" s="190" t="str">
        <f>IF($B201&lt;$F$22,SUM($T$100:$T201),"")</f>
        <v/>
      </c>
      <c r="AW201" s="190" t="str">
        <f t="shared" si="161"/>
        <v>-</v>
      </c>
      <c r="AX201" s="190" t="str">
        <f t="shared" si="141"/>
        <v/>
      </c>
      <c r="AY201"/>
      <c r="AZ201" s="190" t="str">
        <f ca="1">IF(ISNUMBER(OFFSET(AV201,-$F$21,0)),SUM(OFFSET($T$100,$F$21,0):$T201),"")</f>
        <v/>
      </c>
      <c r="BA201" s="190" t="str">
        <f t="shared" ca="1" si="162"/>
        <v/>
      </c>
      <c r="BB201" s="190" t="str">
        <f t="shared" ca="1" si="148"/>
        <v/>
      </c>
      <c r="BC201" s="190"/>
      <c r="BD201" s="190" t="str">
        <f ca="1">IFERROR(IF(OR(ISNUMBER(I),ISNUMBER($F$14)),IF(AND($B201&gt;=($F$16-$F$15),$B201&lt;$F$22+($F$16-$F$15)),SUM(OFFSET($T$100,($F$16-$F$15),0):$T201),""),""),"")</f>
        <v/>
      </c>
      <c r="BE201" s="190" t="str">
        <f t="shared" ca="1" si="142"/>
        <v/>
      </c>
      <c r="BF201" s="190" t="str">
        <f t="shared" ca="1" si="143"/>
        <v/>
      </c>
      <c r="BG201"/>
      <c r="BH201" s="190" t="str">
        <f ca="1">IF(ISNUMBER(OFFSET(BD201,-$F$21,0)),SUM(OFFSET($T$100,($F$16-$F$15+$F$21),0):$T201),"")</f>
        <v/>
      </c>
      <c r="BI201" s="190" t="str">
        <f t="shared" ca="1" si="163"/>
        <v/>
      </c>
      <c r="BJ201" s="190" t="str">
        <f t="shared" ca="1" si="144"/>
        <v/>
      </c>
      <c r="BK201" s="190"/>
      <c r="BL201" s="190" t="str">
        <f ca="1">IFERROR(IF(OR(ISNUMBER(I),ISNUMBER($F$14)),IF(AND($B201&gt;=($F$17-$F$15),$B201&lt;$F$22+($F$17-$F$15)),SUM(OFFSET($T$100,($F$17-$F$15),0):$T201),""),""),"")</f>
        <v/>
      </c>
      <c r="BM201" s="190" t="str">
        <f t="shared" ca="1" si="164"/>
        <v/>
      </c>
      <c r="BN201" s="190" t="str">
        <f t="shared" ca="1" si="145"/>
        <v/>
      </c>
      <c r="BO201"/>
      <c r="BP201" s="190" t="str">
        <f ca="1">IF(ISNUMBER(OFFSET(BL201,-$F$21,0)),SUM(OFFSET($T$100,($F$17-$F$15+$F$21),0):$T201),"")</f>
        <v/>
      </c>
      <c r="BQ201" s="190" t="str">
        <f t="shared" ca="1" si="165"/>
        <v/>
      </c>
      <c r="BR201" s="190" t="str">
        <f t="shared" ca="1" si="146"/>
        <v/>
      </c>
      <c r="BS201" s="190"/>
      <c r="BT201"/>
      <c r="BU201"/>
      <c r="BV201"/>
      <c r="BY201" s="99"/>
      <c r="BZ201" s="99"/>
      <c r="CA201" s="280" t="str">
        <f t="shared" si="166"/>
        <v/>
      </c>
      <c r="CB201" s="71" t="str">
        <f t="shared" si="122"/>
        <v>-</v>
      </c>
      <c r="CC201" s="33"/>
      <c r="CD201" s="261" t="str">
        <f t="shared" si="123"/>
        <v/>
      </c>
      <c r="CE201" s="280" t="str">
        <f t="shared" si="167"/>
        <v/>
      </c>
      <c r="CF201" s="71" t="str">
        <f t="shared" ca="1" si="168"/>
        <v/>
      </c>
      <c r="CG201" s="33" t="str">
        <f t="shared" si="126"/>
        <v/>
      </c>
      <c r="CH201" s="261" t="str">
        <f t="shared" ca="1" si="127"/>
        <v/>
      </c>
    </row>
    <row r="202" spans="2:86" ht="13.5" customHeight="1" x14ac:dyDescent="0.2">
      <c r="B202" s="262">
        <v>102</v>
      </c>
      <c r="C202" s="237" t="str">
        <f t="shared" si="91"/>
        <v/>
      </c>
      <c r="D202" s="237" t="str">
        <f t="shared" si="147"/>
        <v/>
      </c>
      <c r="E202" s="263" t="str">
        <f t="shared" si="128"/>
        <v/>
      </c>
      <c r="F202" s="264" t="str">
        <f t="shared" si="129"/>
        <v/>
      </c>
      <c r="G202" s="264" t="str">
        <f t="shared" si="130"/>
        <v/>
      </c>
      <c r="H202" s="240" t="str">
        <f t="shared" si="149"/>
        <v/>
      </c>
      <c r="I202" s="265" t="str">
        <f t="shared" si="150"/>
        <v/>
      </c>
      <c r="J202" s="265" t="str">
        <f t="shared" si="151"/>
        <v/>
      </c>
      <c r="K202" s="240" t="str">
        <f t="shared" si="152"/>
        <v/>
      </c>
      <c r="L202" s="265" t="str">
        <f t="shared" si="153"/>
        <v/>
      </c>
      <c r="M202" s="265" t="str">
        <f t="shared" si="154"/>
        <v/>
      </c>
      <c r="N202" s="240" t="str">
        <f t="shared" si="155"/>
        <v>-</v>
      </c>
      <c r="O202" s="265" t="str">
        <f t="shared" si="156"/>
        <v>-</v>
      </c>
      <c r="P202" s="265" t="str">
        <f t="shared" si="157"/>
        <v>-</v>
      </c>
      <c r="Q202" s="266" t="str">
        <f t="shared" si="158"/>
        <v>-</v>
      </c>
      <c r="R202" s="267" t="str">
        <f t="shared" si="159"/>
        <v>-</v>
      </c>
      <c r="S202" s="268" t="str">
        <f t="shared" si="160"/>
        <v>-</v>
      </c>
      <c r="T202" s="269" t="str">
        <f t="shared" si="104"/>
        <v/>
      </c>
      <c r="U202" s="221">
        <f t="shared" si="105"/>
        <v>102</v>
      </c>
      <c r="V202" s="220" t="str">
        <f t="shared" si="131"/>
        <v>-</v>
      </c>
      <c r="W202" s="221" t="str">
        <f t="shared" si="132"/>
        <v>-</v>
      </c>
      <c r="X202" s="221" t="str">
        <f t="shared" si="106"/>
        <v>-</v>
      </c>
      <c r="Y202" s="221" t="str">
        <f t="shared" si="107"/>
        <v>-</v>
      </c>
      <c r="Z202" s="270">
        <f t="shared" si="133"/>
        <v>0.1</v>
      </c>
      <c r="AA202" s="271" t="str">
        <f>IFERROR(IF(V201=1,AA$100*EXP(-(LN(2)/$D$65+0.04)*X201)*EXP(-(LN(2)/$D$65+0.1)*Y201),IF(V201=2,AA$100*EXP(-(LN(2)/$D$65+0.04)*(VLOOKUP(($F$16-$F$15)-1,U$99:Y201,4,FALSE)))*EXP(-(LN(2)/$D$65+0.1)*(VLOOKUP(($F$16-$F$15)-1,U$99:Y201,5,FALSE)))*EXP(-(LN(2)/$D$65+0.04)*X201)*EXP(-(LN(2)/$D$65+0.1)*Y201),IF(V201=3,AA$100*EXP(-(LN(2)/$D$65+0.04)*(VLOOKUP(($F$16-$F$15)-1,U$99:Y201,4,FALSE)))*EXP(-(LN(2)/$D$65+0.1)*(VLOOKUP(($F$16-$F$15)-1,U$99:Y201,5,FALSE)))*EXP(-(LN(2)/$D$65+0.04)*(VLOOKUP(($F$16-$F$15)*2-1,U$99:Y201,4,FALSE)))*EXP(-(LN(2)/$D$65+0.1)*(VLOOKUP(($F$16-$F$15)*2-1,U$99:Y201,5,FALSE)))*EXP(-(LN(2)/$D$65+0.04)*X201)*EXP(-(LN(2)/$D$65+0.1)*Y201),"-"))),"-")</f>
        <v>-</v>
      </c>
      <c r="AB202" s="271" t="str">
        <f>IFERROR(IF(V202=1,AB$100*EXP(-(LN(2)/$D$65+0.04)*X202)*EXP(-(LN(2)/$D$65+0.1)*Y202),IF(V202=2,AB$100*EXP(-(LN(2)/$D$65+0.04)*(VLOOKUP(($F$16-$F$15)-1,U$100:Y202,4,FALSE)))*EXP(-(LN(2)/$D$65+0.1)*(VLOOKUP(($F$16-$F$15)-1,U$100:Y202,5,FALSE)))*EXP(-(LN(2)/$D$65+0.04)*X202)*EXP(-(LN(2)/$D$65+0.1)*Y202),IF(V202=3,AB$100*EXP(-(LN(2)/$D$65+0.04)*(VLOOKUP(($F$16-$F$15)-1,U$100:Y202,4,FALSE)))*EXP(-(LN(2)/$D$65+0.1)*(VLOOKUP(($F$16-$F$15)-1,U$100:Y202,5,FALSE)))*EXP(-(LN(2)/$D$65+0.04)*(VLOOKUP(($F$16-$F$15)*2-1,U$100:Y202,4,FALSE)))*EXP(-(LN(2)/$D$65+0.1)*(VLOOKUP(($F$16-$F$15)*2-1,U$100:Y202,5,FALSE)))*EXP(-(LN(2)/$D$65+0.04)*X202)*EXP(-(LN(2)/$D$65+0.1)*Y202),"-"))),"-")</f>
        <v>-</v>
      </c>
      <c r="AC202" s="224">
        <f t="shared" si="134"/>
        <v>102</v>
      </c>
      <c r="AD202" s="223" t="str">
        <f t="shared" si="108"/>
        <v>-</v>
      </c>
      <c r="AE202" s="224" t="str">
        <f t="shared" si="135"/>
        <v>-</v>
      </c>
      <c r="AF202" s="224" t="str">
        <f t="shared" si="109"/>
        <v>-</v>
      </c>
      <c r="AG202" s="224" t="str">
        <f t="shared" si="110"/>
        <v>-</v>
      </c>
      <c r="AH202" s="272">
        <f t="shared" si="136"/>
        <v>0.1</v>
      </c>
      <c r="AI202" s="271" t="str">
        <f>IFERROR(IF(AD201=1,AI$100*EXP(-(LN(2)/$D$65+0.04)*AF201)*EXP(-(LN(2)/$D$65+0.1)*AG201),IF(AD201=2,AI$100*EXP(-(LN(2)/$D$65+0.04)*(VLOOKUP(($F$16-$F$15)-1,AC$99:AG201,4,FALSE)))*EXP(-(LN(2)/$D$65+0.1)*(VLOOKUP(($F$16-$F$15)-1,AC$99:AG201,5,FALSE)))*EXP(-(LN(2)/$D$65+0.04)*AF201)*EXP(-(LN(2)/$D$65+0.1)*AG201),IF(AD201=3,AI$100*EXP(-(LN(2)/$D$65+0.04)*(VLOOKUP(($F$16-$F$15)-1,AC$99:AG201,4,FALSE)))*EXP(-(LN(2)/$D$65+0.1)*(VLOOKUP(($F$16-$F$15)-1,AC$99:AG201,5,FALSE)))*EXP(-(LN(2)/$D$65+0.04)*(VLOOKUP(($F$16-$F$15)*2-1,AC$99:AG201,4,FALSE)))*EXP(-(LN(2)/$D$65+0.1)*(VLOOKUP(($F$16-$F$15)*2-1,AC$99:AG201,5,FALSE)))*EXP(-(LN(2)/$D$65+0.04)*AF201)*EXP(-(LN(2)/$D$65+0.1)*AG201),"-"))),"-")</f>
        <v>-</v>
      </c>
      <c r="AJ202" s="271" t="str">
        <f>IFERROR(IF(AD202=1,AJ$100*EXP(-(LN(2)/$D$65+0.04)*AF202)*EXP(-(LN(2)/$D$65+0.1)*AG202),IF(AD202=2,AJ$100*EXP(-(LN(2)/$D$65+0.04)*(VLOOKUP(($F$16-$F$15)-1,AC$100:AG202,4,FALSE)))*EXP(-(LN(2)/$D$65+0.1)*(VLOOKUP(($F$16-$F$15)-1,AC$100:AG202,5,FALSE)))*EXP(-(LN(2)/$D$65+0.04)*AF202)*EXP(-(LN(2)/$D$65+0.1)*AG202),IF(AD202=3,AJ$100*EXP(-(LN(2)/$D$65+0.04)*(VLOOKUP(($F$16-$F$15)-1,AC$100:AG202,4,FALSE)))*EXP(-(LN(2)/$D$65+0.1)*(VLOOKUP(($F$16-$F$15)-1,AC$100:AG202,5,FALSE)))*EXP(-(LN(2)/$D$65+0.04)*(VLOOKUP(($F$16-$F$15)*2-1,AC$100:AG202,4,FALSE)))*EXP(-(LN(2)/$D$65+0.1)*(VLOOKUP(($F$16-$F$15)*2-1,AC$100:AG202,5,FALSE)))*EXP(-(LN(2)/$D$65+0.04)*AF202)*EXP(-(LN(2)/$D$65+0.1)*AG202),"-"))),"-")</f>
        <v>-</v>
      </c>
      <c r="AK202" s="227">
        <f t="shared" si="137"/>
        <v>102</v>
      </c>
      <c r="AL202" s="226" t="str">
        <f t="shared" si="111"/>
        <v>-</v>
      </c>
      <c r="AM202" s="227" t="str">
        <f t="shared" si="138"/>
        <v>-</v>
      </c>
      <c r="AN202" s="227" t="str">
        <f t="shared" si="139"/>
        <v>-</v>
      </c>
      <c r="AO202" s="227" t="str">
        <f t="shared" si="112"/>
        <v>-</v>
      </c>
      <c r="AP202" s="273">
        <f t="shared" si="140"/>
        <v>0.1</v>
      </c>
      <c r="AQ202" s="271" t="str">
        <f>IFERROR(IF(AL201=1,AQ$100*EXP(-(LN(2)/$D$65+0.04)*AN201)*EXP(-(LN(2)/$D$65+0.1)*AO201),IF(AL201=2,AQ$100*EXP(-(LN(2)/$D$65+0.04)*(VLOOKUP(($F$16-$F$15)-1,AK$99:AO201,4,FALSE)))*EXP(-(LN(2)/$D$65+0.1)*(VLOOKUP(($F$16-$F$15)-1,AK$99:AO201,5,FALSE)))*EXP(-(LN(2)/$D$65+0.04)*AN201)*EXP(-(LN(2)/$D$65+0.1)*AO201),IF(AL201=3,AQ$100*EXP(-(LN(2)/$D$65+0.04)*(VLOOKUP(($F$16-$F$15)-1,AK$99:AO201,4,FALSE)))*EXP(-(LN(2)/$D$65+0.1)*(VLOOKUP(($F$16-$F$15)-1,AK$99:AO201,5,FALSE)))*EXP(-(LN(2)/$D$65+0.04)*(VLOOKUP(($F$16-$F$15)*2-1,AK$99:AO201,4,FALSE)))*EXP(-(LN(2)/$D$65+0.1)*(VLOOKUP(($F$16-$F$15)*2-1,AK$99:AO201,5,FALSE)))*EXP(-(LN(2)/$D$65+0.04)*AN201)*EXP(-(LN(2)/$D$65+0.1)*AO201),"-"))),"-")</f>
        <v>-</v>
      </c>
      <c r="AR202" s="271" t="str">
        <f>IFERROR(IF(AL202=1,AR$100*EXP(-(LN(2)/$D$65+0.04)*AN202)*EXP(-(LN(2)/$D$65+0.1)*AO202),IF(AL202=2,AR$100*EXP(-(LN(2)/$D$65+0.04)*(VLOOKUP(($F$16-$F$15)-1,AK$100:AO202,4,FALSE)))*EXP(-(LN(2)/$D$65+0.1)*(VLOOKUP(($F$16-$F$15)-1,AK$100:AO202,5,FALSE)))*EXP(-(LN(2)/$D$65+0.04)*AN202)*EXP(-(LN(2)/$D$65+0.1)*AO202),IF(AL202=3,AR$100*EXP(-(LN(2)/$D$65+0.04)*(VLOOKUP(($F$16-$F$15)-1,AK$100:AO202,4,FALSE)))*EXP(-(LN(2)/$D$65+0.1)*(VLOOKUP(($F$16-$F$15)-1,AK$100:AO202,5,FALSE)))*EXP(-(LN(2)/$D$65+0.04)*(VLOOKUP(($F$16-$F$15)*2-1,AK$100:AO202,4,FALSE)))*EXP(-(LN(2)/$D$65+0.1)*(VLOOKUP(($F$16-$F$15)*2-1,AK$100:AO202,5,FALSE)))*EXP(-(LN(2)/$D$65+0.04)*AN202)*EXP(-(LN(2)/$D$65+0.1)*AO202),"-"))),"-")</f>
        <v>-</v>
      </c>
      <c r="AS202" s="274">
        <f t="shared" si="113"/>
        <v>0</v>
      </c>
      <c r="AT202" s="274">
        <f t="shared" si="114"/>
        <v>0</v>
      </c>
      <c r="AU202" s="274">
        <f t="shared" si="115"/>
        <v>0</v>
      </c>
      <c r="AV202" s="190" t="str">
        <f>IF($B202&lt;$F$22,SUM($T$100:$T202),"")</f>
        <v/>
      </c>
      <c r="AW202" s="190" t="str">
        <f t="shared" si="161"/>
        <v>-</v>
      </c>
      <c r="AX202" s="190" t="str">
        <f t="shared" si="141"/>
        <v/>
      </c>
      <c r="AY202"/>
      <c r="AZ202" s="190" t="str">
        <f ca="1">IF(ISNUMBER(OFFSET(AV202,-$F$21,0)),SUM(OFFSET($T$100,$F$21,0):$T202),"")</f>
        <v/>
      </c>
      <c r="BA202" s="190" t="str">
        <f t="shared" ca="1" si="162"/>
        <v/>
      </c>
      <c r="BB202" s="190" t="str">
        <f t="shared" ca="1" si="148"/>
        <v/>
      </c>
      <c r="BC202" s="190"/>
      <c r="BD202" s="190" t="str">
        <f ca="1">IFERROR(IF(OR(ISNUMBER(I),ISNUMBER($F$14)),IF(AND($B202&gt;=($F$16-$F$15),$B202&lt;$F$22+($F$16-$F$15)),SUM(OFFSET($T$100,($F$16-$F$15),0):$T202),""),""),"")</f>
        <v/>
      </c>
      <c r="BE202" s="190" t="str">
        <f t="shared" ca="1" si="142"/>
        <v/>
      </c>
      <c r="BF202" s="190" t="str">
        <f t="shared" ca="1" si="143"/>
        <v/>
      </c>
      <c r="BG202"/>
      <c r="BH202" s="190" t="str">
        <f ca="1">IF(ISNUMBER(OFFSET(BD202,-$F$21,0)),SUM(OFFSET($T$100,($F$16-$F$15+$F$21),0):$T202),"")</f>
        <v/>
      </c>
      <c r="BI202" s="190" t="str">
        <f t="shared" ca="1" si="163"/>
        <v/>
      </c>
      <c r="BJ202" s="190" t="str">
        <f t="shared" ca="1" si="144"/>
        <v/>
      </c>
      <c r="BK202" s="190"/>
      <c r="BL202" s="190" t="str">
        <f ca="1">IFERROR(IF(OR(ISNUMBER(I),ISNUMBER($F$14)),IF(AND($B202&gt;=($F$17-$F$15),$B202&lt;$F$22+($F$17-$F$15)),SUM(OFFSET($T$100,($F$17-$F$15),0):$T202),""),""),"")</f>
        <v/>
      </c>
      <c r="BM202" s="190" t="str">
        <f t="shared" ca="1" si="164"/>
        <v/>
      </c>
      <c r="BN202" s="190" t="str">
        <f t="shared" ca="1" si="145"/>
        <v/>
      </c>
      <c r="BO202"/>
      <c r="BP202" s="190" t="str">
        <f ca="1">IF(ISNUMBER(OFFSET(BL202,-$F$21,0)),SUM(OFFSET($T$100,($F$17-$F$15+$F$21),0):$T202),"")</f>
        <v/>
      </c>
      <c r="BQ202" s="190" t="str">
        <f t="shared" ca="1" si="165"/>
        <v/>
      </c>
      <c r="BR202" s="190" t="str">
        <f t="shared" ca="1" si="146"/>
        <v/>
      </c>
      <c r="BS202" s="190"/>
      <c r="BT202"/>
      <c r="BU202"/>
      <c r="BV202"/>
      <c r="BY202" s="99"/>
      <c r="BZ202" s="99"/>
      <c r="CA202" s="280" t="str">
        <f t="shared" si="166"/>
        <v/>
      </c>
      <c r="CB202" s="71" t="str">
        <f t="shared" si="122"/>
        <v>-</v>
      </c>
      <c r="CC202" s="33"/>
      <c r="CD202" s="261" t="str">
        <f t="shared" si="123"/>
        <v/>
      </c>
      <c r="CE202" s="280" t="str">
        <f t="shared" si="167"/>
        <v/>
      </c>
      <c r="CF202" s="71" t="str">
        <f t="shared" ca="1" si="168"/>
        <v/>
      </c>
      <c r="CG202" s="33" t="str">
        <f t="shared" si="126"/>
        <v/>
      </c>
      <c r="CH202" s="261" t="str">
        <f t="shared" ca="1" si="127"/>
        <v/>
      </c>
    </row>
    <row r="203" spans="2:86" ht="13.5" customHeight="1" x14ac:dyDescent="0.2">
      <c r="B203" s="262">
        <v>103</v>
      </c>
      <c r="C203" s="237" t="str">
        <f t="shared" si="91"/>
        <v/>
      </c>
      <c r="D203" s="237" t="str">
        <f t="shared" si="147"/>
        <v/>
      </c>
      <c r="E203" s="263" t="str">
        <f t="shared" si="128"/>
        <v/>
      </c>
      <c r="F203" s="264" t="str">
        <f t="shared" si="129"/>
        <v/>
      </c>
      <c r="G203" s="264" t="str">
        <f t="shared" si="130"/>
        <v/>
      </c>
      <c r="H203" s="240" t="str">
        <f t="shared" si="149"/>
        <v/>
      </c>
      <c r="I203" s="265" t="str">
        <f t="shared" si="150"/>
        <v/>
      </c>
      <c r="J203" s="265" t="str">
        <f t="shared" si="151"/>
        <v/>
      </c>
      <c r="K203" s="240" t="str">
        <f t="shared" si="152"/>
        <v/>
      </c>
      <c r="L203" s="265" t="str">
        <f t="shared" si="153"/>
        <v/>
      </c>
      <c r="M203" s="265" t="str">
        <f t="shared" si="154"/>
        <v/>
      </c>
      <c r="N203" s="240" t="str">
        <f t="shared" si="155"/>
        <v>-</v>
      </c>
      <c r="O203" s="265" t="str">
        <f t="shared" si="156"/>
        <v>-</v>
      </c>
      <c r="P203" s="265" t="str">
        <f t="shared" si="157"/>
        <v>-</v>
      </c>
      <c r="Q203" s="266" t="str">
        <f t="shared" si="158"/>
        <v>-</v>
      </c>
      <c r="R203" s="267" t="str">
        <f t="shared" si="159"/>
        <v>-</v>
      </c>
      <c r="S203" s="268" t="str">
        <f t="shared" si="160"/>
        <v>-</v>
      </c>
      <c r="T203" s="269" t="str">
        <f t="shared" si="104"/>
        <v/>
      </c>
      <c r="U203" s="221">
        <f t="shared" si="105"/>
        <v>103</v>
      </c>
      <c r="V203" s="220" t="str">
        <f t="shared" si="131"/>
        <v>-</v>
      </c>
      <c r="W203" s="221" t="str">
        <f t="shared" si="132"/>
        <v>-</v>
      </c>
      <c r="X203" s="221" t="str">
        <f t="shared" si="106"/>
        <v>-</v>
      </c>
      <c r="Y203" s="221" t="str">
        <f t="shared" si="107"/>
        <v>-</v>
      </c>
      <c r="Z203" s="270">
        <f t="shared" si="133"/>
        <v>0.1</v>
      </c>
      <c r="AA203" s="271" t="str">
        <f>IFERROR(IF(V202=1,AA$100*EXP(-(LN(2)/$D$65+0.04)*X202)*EXP(-(LN(2)/$D$65+0.1)*Y202),IF(V202=2,AA$100*EXP(-(LN(2)/$D$65+0.04)*(VLOOKUP(($F$16-$F$15)-1,U$99:Y202,4,FALSE)))*EXP(-(LN(2)/$D$65+0.1)*(VLOOKUP(($F$16-$F$15)-1,U$99:Y202,5,FALSE)))*EXP(-(LN(2)/$D$65+0.04)*X202)*EXP(-(LN(2)/$D$65+0.1)*Y202),IF(V202=3,AA$100*EXP(-(LN(2)/$D$65+0.04)*(VLOOKUP(($F$16-$F$15)-1,U$99:Y202,4,FALSE)))*EXP(-(LN(2)/$D$65+0.1)*(VLOOKUP(($F$16-$F$15)-1,U$99:Y202,5,FALSE)))*EXP(-(LN(2)/$D$65+0.04)*(VLOOKUP(($F$16-$F$15)*2-1,U$99:Y202,4,FALSE)))*EXP(-(LN(2)/$D$65+0.1)*(VLOOKUP(($F$16-$F$15)*2-1,U$99:Y202,5,FALSE)))*EXP(-(LN(2)/$D$65+0.04)*X202)*EXP(-(LN(2)/$D$65+0.1)*Y202),"-"))),"-")</f>
        <v>-</v>
      </c>
      <c r="AB203" s="271" t="str">
        <f>IFERROR(IF(V203=1,AB$100*EXP(-(LN(2)/$D$65+0.04)*X203)*EXP(-(LN(2)/$D$65+0.1)*Y203),IF(V203=2,AB$100*EXP(-(LN(2)/$D$65+0.04)*(VLOOKUP(($F$16-$F$15)-1,U$100:Y203,4,FALSE)))*EXP(-(LN(2)/$D$65+0.1)*(VLOOKUP(($F$16-$F$15)-1,U$100:Y203,5,FALSE)))*EXP(-(LN(2)/$D$65+0.04)*X203)*EXP(-(LN(2)/$D$65+0.1)*Y203),IF(V203=3,AB$100*EXP(-(LN(2)/$D$65+0.04)*(VLOOKUP(($F$16-$F$15)-1,U$100:Y203,4,FALSE)))*EXP(-(LN(2)/$D$65+0.1)*(VLOOKUP(($F$16-$F$15)-1,U$100:Y203,5,FALSE)))*EXP(-(LN(2)/$D$65+0.04)*(VLOOKUP(($F$16-$F$15)*2-1,U$100:Y203,4,FALSE)))*EXP(-(LN(2)/$D$65+0.1)*(VLOOKUP(($F$16-$F$15)*2-1,U$100:Y203,5,FALSE)))*EXP(-(LN(2)/$D$65+0.04)*X203)*EXP(-(LN(2)/$D$65+0.1)*Y203),"-"))),"-")</f>
        <v>-</v>
      </c>
      <c r="AC203" s="224">
        <f t="shared" si="134"/>
        <v>103</v>
      </c>
      <c r="AD203" s="223" t="str">
        <f t="shared" si="108"/>
        <v>-</v>
      </c>
      <c r="AE203" s="224" t="str">
        <f t="shared" si="135"/>
        <v>-</v>
      </c>
      <c r="AF203" s="224" t="str">
        <f t="shared" si="109"/>
        <v>-</v>
      </c>
      <c r="AG203" s="224" t="str">
        <f t="shared" si="110"/>
        <v>-</v>
      </c>
      <c r="AH203" s="272">
        <f t="shared" si="136"/>
        <v>0.1</v>
      </c>
      <c r="AI203" s="271" t="str">
        <f>IFERROR(IF(AD202=1,AI$100*EXP(-(LN(2)/$D$65+0.04)*AF202)*EXP(-(LN(2)/$D$65+0.1)*AG202),IF(AD202=2,AI$100*EXP(-(LN(2)/$D$65+0.04)*(VLOOKUP(($F$16-$F$15)-1,AC$99:AG202,4,FALSE)))*EXP(-(LN(2)/$D$65+0.1)*(VLOOKUP(($F$16-$F$15)-1,AC$99:AG202,5,FALSE)))*EXP(-(LN(2)/$D$65+0.04)*AF202)*EXP(-(LN(2)/$D$65+0.1)*AG202),IF(AD202=3,AI$100*EXP(-(LN(2)/$D$65+0.04)*(VLOOKUP(($F$16-$F$15)-1,AC$99:AG202,4,FALSE)))*EXP(-(LN(2)/$D$65+0.1)*(VLOOKUP(($F$16-$F$15)-1,AC$99:AG202,5,FALSE)))*EXP(-(LN(2)/$D$65+0.04)*(VLOOKUP(($F$16-$F$15)*2-1,AC$99:AG202,4,FALSE)))*EXP(-(LN(2)/$D$65+0.1)*(VLOOKUP(($F$16-$F$15)*2-1,AC$99:AG202,5,FALSE)))*EXP(-(LN(2)/$D$65+0.04)*AF202)*EXP(-(LN(2)/$D$65+0.1)*AG202),"-"))),"-")</f>
        <v>-</v>
      </c>
      <c r="AJ203" s="271" t="str">
        <f>IFERROR(IF(AD203=1,AJ$100*EXP(-(LN(2)/$D$65+0.04)*AF203)*EXP(-(LN(2)/$D$65+0.1)*AG203),IF(AD203=2,AJ$100*EXP(-(LN(2)/$D$65+0.04)*(VLOOKUP(($F$16-$F$15)-1,AC$100:AG203,4,FALSE)))*EXP(-(LN(2)/$D$65+0.1)*(VLOOKUP(($F$16-$F$15)-1,AC$100:AG203,5,FALSE)))*EXP(-(LN(2)/$D$65+0.04)*AF203)*EXP(-(LN(2)/$D$65+0.1)*AG203),IF(AD203=3,AJ$100*EXP(-(LN(2)/$D$65+0.04)*(VLOOKUP(($F$16-$F$15)-1,AC$100:AG203,4,FALSE)))*EXP(-(LN(2)/$D$65+0.1)*(VLOOKUP(($F$16-$F$15)-1,AC$100:AG203,5,FALSE)))*EXP(-(LN(2)/$D$65+0.04)*(VLOOKUP(($F$16-$F$15)*2-1,AC$100:AG203,4,FALSE)))*EXP(-(LN(2)/$D$65+0.1)*(VLOOKUP(($F$16-$F$15)*2-1,AC$100:AG203,5,FALSE)))*EXP(-(LN(2)/$D$65+0.04)*AF203)*EXP(-(LN(2)/$D$65+0.1)*AG203),"-"))),"-")</f>
        <v>-</v>
      </c>
      <c r="AK203" s="227">
        <f t="shared" si="137"/>
        <v>103</v>
      </c>
      <c r="AL203" s="226" t="str">
        <f t="shared" si="111"/>
        <v>-</v>
      </c>
      <c r="AM203" s="227" t="str">
        <f t="shared" si="138"/>
        <v>-</v>
      </c>
      <c r="AN203" s="227" t="str">
        <f t="shared" si="139"/>
        <v>-</v>
      </c>
      <c r="AO203" s="227" t="str">
        <f t="shared" si="112"/>
        <v>-</v>
      </c>
      <c r="AP203" s="273">
        <f t="shared" si="140"/>
        <v>0.1</v>
      </c>
      <c r="AQ203" s="271" t="str">
        <f>IFERROR(IF(AL202=1,AQ$100*EXP(-(LN(2)/$D$65+0.04)*AN202)*EXP(-(LN(2)/$D$65+0.1)*AO202),IF(AL202=2,AQ$100*EXP(-(LN(2)/$D$65+0.04)*(VLOOKUP(($F$16-$F$15)-1,AK$99:AO202,4,FALSE)))*EXP(-(LN(2)/$D$65+0.1)*(VLOOKUP(($F$16-$F$15)-1,AK$99:AO202,5,FALSE)))*EXP(-(LN(2)/$D$65+0.04)*AN202)*EXP(-(LN(2)/$D$65+0.1)*AO202),IF(AL202=3,AQ$100*EXP(-(LN(2)/$D$65+0.04)*(VLOOKUP(($F$16-$F$15)-1,AK$99:AO202,4,FALSE)))*EXP(-(LN(2)/$D$65+0.1)*(VLOOKUP(($F$16-$F$15)-1,AK$99:AO202,5,FALSE)))*EXP(-(LN(2)/$D$65+0.04)*(VLOOKUP(($F$16-$F$15)*2-1,AK$99:AO202,4,FALSE)))*EXP(-(LN(2)/$D$65+0.1)*(VLOOKUP(($F$16-$F$15)*2-1,AK$99:AO202,5,FALSE)))*EXP(-(LN(2)/$D$65+0.04)*AN202)*EXP(-(LN(2)/$D$65+0.1)*AO202),"-"))),"-")</f>
        <v>-</v>
      </c>
      <c r="AR203" s="271" t="str">
        <f>IFERROR(IF(AL203=1,AR$100*EXP(-(LN(2)/$D$65+0.04)*AN203)*EXP(-(LN(2)/$D$65+0.1)*AO203),IF(AL203=2,AR$100*EXP(-(LN(2)/$D$65+0.04)*(VLOOKUP(($F$16-$F$15)-1,AK$100:AO203,4,FALSE)))*EXP(-(LN(2)/$D$65+0.1)*(VLOOKUP(($F$16-$F$15)-1,AK$100:AO203,5,FALSE)))*EXP(-(LN(2)/$D$65+0.04)*AN203)*EXP(-(LN(2)/$D$65+0.1)*AO203),IF(AL203=3,AR$100*EXP(-(LN(2)/$D$65+0.04)*(VLOOKUP(($F$16-$F$15)-1,AK$100:AO203,4,FALSE)))*EXP(-(LN(2)/$D$65+0.1)*(VLOOKUP(($F$16-$F$15)-1,AK$100:AO203,5,FALSE)))*EXP(-(LN(2)/$D$65+0.04)*(VLOOKUP(($F$16-$F$15)*2-1,AK$100:AO203,4,FALSE)))*EXP(-(LN(2)/$D$65+0.1)*(VLOOKUP(($F$16-$F$15)*2-1,AK$100:AO203,5,FALSE)))*EXP(-(LN(2)/$D$65+0.04)*AN203)*EXP(-(LN(2)/$D$65+0.1)*AO203),"-"))),"-")</f>
        <v>-</v>
      </c>
      <c r="AS203" s="274">
        <f t="shared" si="113"/>
        <v>0</v>
      </c>
      <c r="AT203" s="274">
        <f t="shared" si="114"/>
        <v>0</v>
      </c>
      <c r="AU203" s="274">
        <f t="shared" si="115"/>
        <v>0</v>
      </c>
      <c r="AV203" s="190" t="str">
        <f>IF($B203&lt;$F$22,SUM($T$100:$T203),"")</f>
        <v/>
      </c>
      <c r="AW203" s="190" t="str">
        <f t="shared" si="161"/>
        <v>-</v>
      </c>
      <c r="AX203" s="190" t="str">
        <f t="shared" si="141"/>
        <v/>
      </c>
      <c r="AY203"/>
      <c r="AZ203" s="190" t="str">
        <f ca="1">IF(ISNUMBER(OFFSET(AV203,-$F$21,0)),SUM(OFFSET($T$100,$F$21,0):$T203),"")</f>
        <v/>
      </c>
      <c r="BA203" s="190" t="str">
        <f t="shared" ca="1" si="162"/>
        <v/>
      </c>
      <c r="BB203" s="190" t="str">
        <f t="shared" ca="1" si="148"/>
        <v/>
      </c>
      <c r="BC203" s="190"/>
      <c r="BD203" s="190" t="str">
        <f ca="1">IFERROR(IF(OR(ISNUMBER(I),ISNUMBER($F$14)),IF(AND($B203&gt;=($F$16-$F$15),$B203&lt;$F$22+($F$16-$F$15)),SUM(OFFSET($T$100,($F$16-$F$15),0):$T203),""),""),"")</f>
        <v/>
      </c>
      <c r="BE203" s="190" t="str">
        <f t="shared" ca="1" si="142"/>
        <v/>
      </c>
      <c r="BF203" s="190" t="str">
        <f t="shared" ca="1" si="143"/>
        <v/>
      </c>
      <c r="BG203"/>
      <c r="BH203" s="190" t="str">
        <f ca="1">IF(ISNUMBER(OFFSET(BD203,-$F$21,0)),SUM(OFFSET($T$100,($F$16-$F$15+$F$21),0):$T203),"")</f>
        <v/>
      </c>
      <c r="BI203" s="190" t="str">
        <f t="shared" ca="1" si="163"/>
        <v/>
      </c>
      <c r="BJ203" s="190" t="str">
        <f t="shared" ca="1" si="144"/>
        <v/>
      </c>
      <c r="BK203" s="190"/>
      <c r="BL203" s="190" t="str">
        <f ca="1">IFERROR(IF(OR(ISNUMBER(I),ISNUMBER($F$14)),IF(AND($B203&gt;=($F$17-$F$15),$B203&lt;$F$22+($F$17-$F$15)),SUM(OFFSET($T$100,($F$17-$F$15),0):$T203),""),""),"")</f>
        <v/>
      </c>
      <c r="BM203" s="190" t="str">
        <f t="shared" ca="1" si="164"/>
        <v/>
      </c>
      <c r="BN203" s="190" t="str">
        <f t="shared" ca="1" si="145"/>
        <v/>
      </c>
      <c r="BO203"/>
      <c r="BP203" s="190" t="str">
        <f ca="1">IF(ISNUMBER(OFFSET(BL203,-$F$21,0)),SUM(OFFSET($T$100,($F$17-$F$15+$F$21),0):$T203),"")</f>
        <v/>
      </c>
      <c r="BQ203" s="190" t="str">
        <f t="shared" ca="1" si="165"/>
        <v/>
      </c>
      <c r="BR203" s="190" t="str">
        <f t="shared" ca="1" si="146"/>
        <v/>
      </c>
      <c r="BS203" s="190"/>
      <c r="BT203"/>
      <c r="BU203"/>
      <c r="BV203"/>
      <c r="BY203" s="99"/>
      <c r="BZ203" s="99"/>
      <c r="CA203" s="280" t="str">
        <f t="shared" si="166"/>
        <v/>
      </c>
      <c r="CB203" s="71" t="str">
        <f t="shared" si="122"/>
        <v>-</v>
      </c>
      <c r="CC203" s="33"/>
      <c r="CD203" s="261" t="str">
        <f t="shared" si="123"/>
        <v/>
      </c>
      <c r="CE203" s="280" t="str">
        <f t="shared" si="167"/>
        <v/>
      </c>
      <c r="CF203" s="71" t="str">
        <f t="shared" ca="1" si="168"/>
        <v/>
      </c>
      <c r="CG203" s="33" t="str">
        <f t="shared" si="126"/>
        <v/>
      </c>
      <c r="CH203" s="261" t="str">
        <f t="shared" ca="1" si="127"/>
        <v/>
      </c>
    </row>
    <row r="204" spans="2:86" ht="13.5" customHeight="1" x14ac:dyDescent="0.2">
      <c r="B204" s="262">
        <v>104</v>
      </c>
      <c r="C204" s="237" t="str">
        <f t="shared" si="91"/>
        <v/>
      </c>
      <c r="D204" s="237" t="str">
        <f t="shared" si="147"/>
        <v/>
      </c>
      <c r="E204" s="263" t="str">
        <f t="shared" si="128"/>
        <v/>
      </c>
      <c r="F204" s="264" t="str">
        <f t="shared" si="129"/>
        <v/>
      </c>
      <c r="G204" s="264" t="str">
        <f t="shared" si="130"/>
        <v/>
      </c>
      <c r="H204" s="240" t="str">
        <f t="shared" si="149"/>
        <v/>
      </c>
      <c r="I204" s="265" t="str">
        <f t="shared" si="150"/>
        <v/>
      </c>
      <c r="J204" s="265" t="str">
        <f t="shared" si="151"/>
        <v/>
      </c>
      <c r="K204" s="240" t="str">
        <f t="shared" si="152"/>
        <v/>
      </c>
      <c r="L204" s="265" t="str">
        <f t="shared" si="153"/>
        <v/>
      </c>
      <c r="M204" s="265" t="str">
        <f t="shared" si="154"/>
        <v/>
      </c>
      <c r="N204" s="240" t="str">
        <f t="shared" si="155"/>
        <v>-</v>
      </c>
      <c r="O204" s="265" t="str">
        <f t="shared" si="156"/>
        <v>-</v>
      </c>
      <c r="P204" s="265" t="str">
        <f t="shared" si="157"/>
        <v>-</v>
      </c>
      <c r="Q204" s="266" t="str">
        <f t="shared" si="158"/>
        <v>-</v>
      </c>
      <c r="R204" s="267" t="str">
        <f t="shared" si="159"/>
        <v>-</v>
      </c>
      <c r="S204" s="268" t="str">
        <f t="shared" si="160"/>
        <v>-</v>
      </c>
      <c r="T204" s="269" t="str">
        <f t="shared" si="104"/>
        <v/>
      </c>
      <c r="U204" s="221">
        <f t="shared" si="105"/>
        <v>104</v>
      </c>
      <c r="V204" s="220" t="str">
        <f t="shared" si="131"/>
        <v>-</v>
      </c>
      <c r="W204" s="221" t="str">
        <f t="shared" si="132"/>
        <v>-</v>
      </c>
      <c r="X204" s="221" t="str">
        <f t="shared" si="106"/>
        <v>-</v>
      </c>
      <c r="Y204" s="221" t="str">
        <f t="shared" si="107"/>
        <v>-</v>
      </c>
      <c r="Z204" s="270">
        <f t="shared" si="133"/>
        <v>0.1</v>
      </c>
      <c r="AA204" s="271" t="str">
        <f>IFERROR(IF(V203=1,AA$100*EXP(-(LN(2)/$D$65+0.04)*X203)*EXP(-(LN(2)/$D$65+0.1)*Y203),IF(V203=2,AA$100*EXP(-(LN(2)/$D$65+0.04)*(VLOOKUP(($F$16-$F$15)-1,U$99:Y203,4,FALSE)))*EXP(-(LN(2)/$D$65+0.1)*(VLOOKUP(($F$16-$F$15)-1,U$99:Y203,5,FALSE)))*EXP(-(LN(2)/$D$65+0.04)*X203)*EXP(-(LN(2)/$D$65+0.1)*Y203),IF(V203=3,AA$100*EXP(-(LN(2)/$D$65+0.04)*(VLOOKUP(($F$16-$F$15)-1,U$99:Y203,4,FALSE)))*EXP(-(LN(2)/$D$65+0.1)*(VLOOKUP(($F$16-$F$15)-1,U$99:Y203,5,FALSE)))*EXP(-(LN(2)/$D$65+0.04)*(VLOOKUP(($F$16-$F$15)*2-1,U$99:Y203,4,FALSE)))*EXP(-(LN(2)/$D$65+0.1)*(VLOOKUP(($F$16-$F$15)*2-1,U$99:Y203,5,FALSE)))*EXP(-(LN(2)/$D$65+0.04)*X203)*EXP(-(LN(2)/$D$65+0.1)*Y203),"-"))),"-")</f>
        <v>-</v>
      </c>
      <c r="AB204" s="271" t="str">
        <f>IFERROR(IF(V204=1,AB$100*EXP(-(LN(2)/$D$65+0.04)*X204)*EXP(-(LN(2)/$D$65+0.1)*Y204),IF(V204=2,AB$100*EXP(-(LN(2)/$D$65+0.04)*(VLOOKUP(($F$16-$F$15)-1,U$100:Y204,4,FALSE)))*EXP(-(LN(2)/$D$65+0.1)*(VLOOKUP(($F$16-$F$15)-1,U$100:Y204,5,FALSE)))*EXP(-(LN(2)/$D$65+0.04)*X204)*EXP(-(LN(2)/$D$65+0.1)*Y204),IF(V204=3,AB$100*EXP(-(LN(2)/$D$65+0.04)*(VLOOKUP(($F$16-$F$15)-1,U$100:Y204,4,FALSE)))*EXP(-(LN(2)/$D$65+0.1)*(VLOOKUP(($F$16-$F$15)-1,U$100:Y204,5,FALSE)))*EXP(-(LN(2)/$D$65+0.04)*(VLOOKUP(($F$16-$F$15)*2-1,U$100:Y204,4,FALSE)))*EXP(-(LN(2)/$D$65+0.1)*(VLOOKUP(($F$16-$F$15)*2-1,U$100:Y204,5,FALSE)))*EXP(-(LN(2)/$D$65+0.04)*X204)*EXP(-(LN(2)/$D$65+0.1)*Y204),"-"))),"-")</f>
        <v>-</v>
      </c>
      <c r="AC204" s="224">
        <f t="shared" si="134"/>
        <v>104</v>
      </c>
      <c r="AD204" s="223" t="str">
        <f t="shared" si="108"/>
        <v>-</v>
      </c>
      <c r="AE204" s="224" t="str">
        <f t="shared" si="135"/>
        <v>-</v>
      </c>
      <c r="AF204" s="224" t="str">
        <f t="shared" si="109"/>
        <v>-</v>
      </c>
      <c r="AG204" s="224" t="str">
        <f t="shared" si="110"/>
        <v>-</v>
      </c>
      <c r="AH204" s="272">
        <f t="shared" si="136"/>
        <v>0.1</v>
      </c>
      <c r="AI204" s="271" t="str">
        <f>IFERROR(IF(AD203=1,AI$100*EXP(-(LN(2)/$D$65+0.04)*AF203)*EXP(-(LN(2)/$D$65+0.1)*AG203),IF(AD203=2,AI$100*EXP(-(LN(2)/$D$65+0.04)*(VLOOKUP(($F$16-$F$15)-1,AC$99:AG203,4,FALSE)))*EXP(-(LN(2)/$D$65+0.1)*(VLOOKUP(($F$16-$F$15)-1,AC$99:AG203,5,FALSE)))*EXP(-(LN(2)/$D$65+0.04)*AF203)*EXP(-(LN(2)/$D$65+0.1)*AG203),IF(AD203=3,AI$100*EXP(-(LN(2)/$D$65+0.04)*(VLOOKUP(($F$16-$F$15)-1,AC$99:AG203,4,FALSE)))*EXP(-(LN(2)/$D$65+0.1)*(VLOOKUP(($F$16-$F$15)-1,AC$99:AG203,5,FALSE)))*EXP(-(LN(2)/$D$65+0.04)*(VLOOKUP(($F$16-$F$15)*2-1,AC$99:AG203,4,FALSE)))*EXP(-(LN(2)/$D$65+0.1)*(VLOOKUP(($F$16-$F$15)*2-1,AC$99:AG203,5,FALSE)))*EXP(-(LN(2)/$D$65+0.04)*AF203)*EXP(-(LN(2)/$D$65+0.1)*AG203),"-"))),"-")</f>
        <v>-</v>
      </c>
      <c r="AJ204" s="271" t="str">
        <f>IFERROR(IF(AD204=1,AJ$100*EXP(-(LN(2)/$D$65+0.04)*AF204)*EXP(-(LN(2)/$D$65+0.1)*AG204),IF(AD204=2,AJ$100*EXP(-(LN(2)/$D$65+0.04)*(VLOOKUP(($F$16-$F$15)-1,AC$100:AG204,4,FALSE)))*EXP(-(LN(2)/$D$65+0.1)*(VLOOKUP(($F$16-$F$15)-1,AC$100:AG204,5,FALSE)))*EXP(-(LN(2)/$D$65+0.04)*AF204)*EXP(-(LN(2)/$D$65+0.1)*AG204),IF(AD204=3,AJ$100*EXP(-(LN(2)/$D$65+0.04)*(VLOOKUP(($F$16-$F$15)-1,AC$100:AG204,4,FALSE)))*EXP(-(LN(2)/$D$65+0.1)*(VLOOKUP(($F$16-$F$15)-1,AC$100:AG204,5,FALSE)))*EXP(-(LN(2)/$D$65+0.04)*(VLOOKUP(($F$16-$F$15)*2-1,AC$100:AG204,4,FALSE)))*EXP(-(LN(2)/$D$65+0.1)*(VLOOKUP(($F$16-$F$15)*2-1,AC$100:AG204,5,FALSE)))*EXP(-(LN(2)/$D$65+0.04)*AF204)*EXP(-(LN(2)/$D$65+0.1)*AG204),"-"))),"-")</f>
        <v>-</v>
      </c>
      <c r="AK204" s="227">
        <f t="shared" si="137"/>
        <v>104</v>
      </c>
      <c r="AL204" s="226" t="str">
        <f t="shared" si="111"/>
        <v>-</v>
      </c>
      <c r="AM204" s="227" t="str">
        <f t="shared" si="138"/>
        <v>-</v>
      </c>
      <c r="AN204" s="227" t="str">
        <f t="shared" si="139"/>
        <v>-</v>
      </c>
      <c r="AO204" s="227" t="str">
        <f t="shared" si="112"/>
        <v>-</v>
      </c>
      <c r="AP204" s="273">
        <f t="shared" si="140"/>
        <v>0.1</v>
      </c>
      <c r="AQ204" s="271" t="str">
        <f>IFERROR(IF(AL203=1,AQ$100*EXP(-(LN(2)/$D$65+0.04)*AN203)*EXP(-(LN(2)/$D$65+0.1)*AO203),IF(AL203=2,AQ$100*EXP(-(LN(2)/$D$65+0.04)*(VLOOKUP(($F$16-$F$15)-1,AK$99:AO203,4,FALSE)))*EXP(-(LN(2)/$D$65+0.1)*(VLOOKUP(($F$16-$F$15)-1,AK$99:AO203,5,FALSE)))*EXP(-(LN(2)/$D$65+0.04)*AN203)*EXP(-(LN(2)/$D$65+0.1)*AO203),IF(AL203=3,AQ$100*EXP(-(LN(2)/$D$65+0.04)*(VLOOKUP(($F$16-$F$15)-1,AK$99:AO203,4,FALSE)))*EXP(-(LN(2)/$D$65+0.1)*(VLOOKUP(($F$16-$F$15)-1,AK$99:AO203,5,FALSE)))*EXP(-(LN(2)/$D$65+0.04)*(VLOOKUP(($F$16-$F$15)*2-1,AK$99:AO203,4,FALSE)))*EXP(-(LN(2)/$D$65+0.1)*(VLOOKUP(($F$16-$F$15)*2-1,AK$99:AO203,5,FALSE)))*EXP(-(LN(2)/$D$65+0.04)*AN203)*EXP(-(LN(2)/$D$65+0.1)*AO203),"-"))),"-")</f>
        <v>-</v>
      </c>
      <c r="AR204" s="271" t="str">
        <f>IFERROR(IF(AL204=1,AR$100*EXP(-(LN(2)/$D$65+0.04)*AN204)*EXP(-(LN(2)/$D$65+0.1)*AO204),IF(AL204=2,AR$100*EXP(-(LN(2)/$D$65+0.04)*(VLOOKUP(($F$16-$F$15)-1,AK$100:AO204,4,FALSE)))*EXP(-(LN(2)/$D$65+0.1)*(VLOOKUP(($F$16-$F$15)-1,AK$100:AO204,5,FALSE)))*EXP(-(LN(2)/$D$65+0.04)*AN204)*EXP(-(LN(2)/$D$65+0.1)*AO204),IF(AL204=3,AR$100*EXP(-(LN(2)/$D$65+0.04)*(VLOOKUP(($F$16-$F$15)-1,AK$100:AO204,4,FALSE)))*EXP(-(LN(2)/$D$65+0.1)*(VLOOKUP(($F$16-$F$15)-1,AK$100:AO204,5,FALSE)))*EXP(-(LN(2)/$D$65+0.04)*(VLOOKUP(($F$16-$F$15)*2-1,AK$100:AO204,4,FALSE)))*EXP(-(LN(2)/$D$65+0.1)*(VLOOKUP(($F$16-$F$15)*2-1,AK$100:AO204,5,FALSE)))*EXP(-(LN(2)/$D$65+0.04)*AN204)*EXP(-(LN(2)/$D$65+0.1)*AO204),"-"))),"-")</f>
        <v>-</v>
      </c>
      <c r="AS204" s="274">
        <f t="shared" si="113"/>
        <v>0</v>
      </c>
      <c r="AT204" s="274">
        <f t="shared" si="114"/>
        <v>0</v>
      </c>
      <c r="AU204" s="274">
        <f t="shared" si="115"/>
        <v>0</v>
      </c>
      <c r="AV204" s="190" t="str">
        <f>IF($B204&lt;$F$22,SUM($T$100:$T204),"")</f>
        <v/>
      </c>
      <c r="AW204" s="190" t="str">
        <f t="shared" si="161"/>
        <v>-</v>
      </c>
      <c r="AX204" s="190" t="str">
        <f t="shared" si="141"/>
        <v/>
      </c>
      <c r="AY204"/>
      <c r="AZ204" s="190" t="str">
        <f ca="1">IF(ISNUMBER(OFFSET(AV204,-$F$21,0)),SUM(OFFSET($T$100,$F$21,0):$T204),"")</f>
        <v/>
      </c>
      <c r="BA204" s="190" t="str">
        <f t="shared" ca="1" si="162"/>
        <v/>
      </c>
      <c r="BB204" s="190" t="str">
        <f t="shared" ca="1" si="148"/>
        <v/>
      </c>
      <c r="BC204" s="190"/>
      <c r="BD204" s="190" t="str">
        <f ca="1">IFERROR(IF(OR(ISNUMBER(I),ISNUMBER($F$14)),IF(AND($B204&gt;=($F$16-$F$15),$B204&lt;$F$22+($F$16-$F$15)),SUM(OFFSET($T$100,($F$16-$F$15),0):$T204),""),""),"")</f>
        <v/>
      </c>
      <c r="BE204" s="190" t="str">
        <f t="shared" ca="1" si="142"/>
        <v/>
      </c>
      <c r="BF204" s="190" t="str">
        <f t="shared" ca="1" si="143"/>
        <v/>
      </c>
      <c r="BG204"/>
      <c r="BH204" s="190" t="str">
        <f ca="1">IF(ISNUMBER(OFFSET(BD204,-$F$21,0)),SUM(OFFSET($T$100,($F$16-$F$15+$F$21),0):$T204),"")</f>
        <v/>
      </c>
      <c r="BI204" s="190" t="str">
        <f t="shared" ca="1" si="163"/>
        <v/>
      </c>
      <c r="BJ204" s="190" t="str">
        <f t="shared" ca="1" si="144"/>
        <v/>
      </c>
      <c r="BK204" s="190"/>
      <c r="BL204" s="190" t="str">
        <f ca="1">IFERROR(IF(OR(ISNUMBER(I),ISNUMBER($F$14)),IF(AND($B204&gt;=($F$17-$F$15),$B204&lt;$F$22+($F$17-$F$15)),SUM(OFFSET($T$100,($F$17-$F$15),0):$T204),""),""),"")</f>
        <v/>
      </c>
      <c r="BM204" s="190" t="str">
        <f t="shared" ca="1" si="164"/>
        <v/>
      </c>
      <c r="BN204" s="190" t="str">
        <f t="shared" ca="1" si="145"/>
        <v/>
      </c>
      <c r="BO204"/>
      <c r="BP204" s="190" t="str">
        <f ca="1">IF(ISNUMBER(OFFSET(BL204,-$F$21,0)),SUM(OFFSET($T$100,($F$17-$F$15+$F$21),0):$T204),"")</f>
        <v/>
      </c>
      <c r="BQ204" s="190" t="str">
        <f t="shared" ca="1" si="165"/>
        <v/>
      </c>
      <c r="BR204" s="190" t="str">
        <f t="shared" ca="1" si="146"/>
        <v/>
      </c>
      <c r="BS204" s="190"/>
      <c r="BT204"/>
      <c r="BU204"/>
      <c r="BV204"/>
      <c r="BY204" s="99"/>
      <c r="BZ204" s="99"/>
      <c r="CA204" s="280" t="str">
        <f t="shared" si="166"/>
        <v/>
      </c>
      <c r="CB204" s="71" t="str">
        <f t="shared" si="122"/>
        <v>-</v>
      </c>
      <c r="CC204" s="33"/>
      <c r="CD204" s="261" t="str">
        <f t="shared" si="123"/>
        <v/>
      </c>
      <c r="CE204" s="280" t="str">
        <f t="shared" si="167"/>
        <v/>
      </c>
      <c r="CF204" s="71" t="str">
        <f t="shared" ca="1" si="168"/>
        <v/>
      </c>
      <c r="CG204" s="33" t="str">
        <f t="shared" si="126"/>
        <v/>
      </c>
      <c r="CH204" s="261" t="str">
        <f t="shared" ca="1" si="127"/>
        <v/>
      </c>
    </row>
    <row r="205" spans="2:86" ht="13.5" customHeight="1" x14ac:dyDescent="0.2">
      <c r="B205" s="262">
        <v>105</v>
      </c>
      <c r="C205" s="237" t="str">
        <f t="shared" si="91"/>
        <v/>
      </c>
      <c r="D205" s="237" t="str">
        <f t="shared" si="147"/>
        <v/>
      </c>
      <c r="E205" s="263" t="str">
        <f t="shared" si="128"/>
        <v/>
      </c>
      <c r="F205" s="264" t="str">
        <f t="shared" si="129"/>
        <v/>
      </c>
      <c r="G205" s="264" t="str">
        <f t="shared" si="130"/>
        <v/>
      </c>
      <c r="H205" s="240" t="str">
        <f t="shared" si="149"/>
        <v/>
      </c>
      <c r="I205" s="265" t="str">
        <f t="shared" si="150"/>
        <v/>
      </c>
      <c r="J205" s="265" t="str">
        <f t="shared" si="151"/>
        <v/>
      </c>
      <c r="K205" s="240" t="str">
        <f t="shared" si="152"/>
        <v/>
      </c>
      <c r="L205" s="265" t="str">
        <f t="shared" si="153"/>
        <v/>
      </c>
      <c r="M205" s="265" t="str">
        <f t="shared" si="154"/>
        <v/>
      </c>
      <c r="N205" s="240" t="str">
        <f t="shared" si="155"/>
        <v>-</v>
      </c>
      <c r="O205" s="265" t="str">
        <f t="shared" si="156"/>
        <v>-</v>
      </c>
      <c r="P205" s="265" t="str">
        <f t="shared" si="157"/>
        <v>-</v>
      </c>
      <c r="Q205" s="266" t="str">
        <f t="shared" si="158"/>
        <v>-</v>
      </c>
      <c r="R205" s="267" t="str">
        <f t="shared" si="159"/>
        <v>-</v>
      </c>
      <c r="S205" s="268" t="str">
        <f t="shared" si="160"/>
        <v>-</v>
      </c>
      <c r="T205" s="269" t="str">
        <f t="shared" si="104"/>
        <v/>
      </c>
      <c r="U205" s="221">
        <f t="shared" si="105"/>
        <v>105</v>
      </c>
      <c r="V205" s="220" t="str">
        <f t="shared" si="131"/>
        <v>-</v>
      </c>
      <c r="W205" s="221" t="str">
        <f t="shared" si="132"/>
        <v>-</v>
      </c>
      <c r="X205" s="221" t="str">
        <f t="shared" si="106"/>
        <v>-</v>
      </c>
      <c r="Y205" s="221" t="str">
        <f t="shared" si="107"/>
        <v>-</v>
      </c>
      <c r="Z205" s="270">
        <f t="shared" si="133"/>
        <v>0.1</v>
      </c>
      <c r="AA205" s="271" t="str">
        <f>IFERROR(IF(V204=1,AA$100*EXP(-(LN(2)/$D$65+0.04)*X204)*EXP(-(LN(2)/$D$65+0.1)*Y204),IF(V204=2,AA$100*EXP(-(LN(2)/$D$65+0.04)*(VLOOKUP(($F$16-$F$15)-1,U$99:Y204,4,FALSE)))*EXP(-(LN(2)/$D$65+0.1)*(VLOOKUP(($F$16-$F$15)-1,U$99:Y204,5,FALSE)))*EXP(-(LN(2)/$D$65+0.04)*X204)*EXP(-(LN(2)/$D$65+0.1)*Y204),IF(V204=3,AA$100*EXP(-(LN(2)/$D$65+0.04)*(VLOOKUP(($F$16-$F$15)-1,U$99:Y204,4,FALSE)))*EXP(-(LN(2)/$D$65+0.1)*(VLOOKUP(($F$16-$F$15)-1,U$99:Y204,5,FALSE)))*EXP(-(LN(2)/$D$65+0.04)*(VLOOKUP(($F$16-$F$15)*2-1,U$99:Y204,4,FALSE)))*EXP(-(LN(2)/$D$65+0.1)*(VLOOKUP(($F$16-$F$15)*2-1,U$99:Y204,5,FALSE)))*EXP(-(LN(2)/$D$65+0.04)*X204)*EXP(-(LN(2)/$D$65+0.1)*Y204),"-"))),"-")</f>
        <v>-</v>
      </c>
      <c r="AB205" s="271" t="str">
        <f>IFERROR(IF(V205=1,AB$100*EXP(-(LN(2)/$D$65+0.04)*X205)*EXP(-(LN(2)/$D$65+0.1)*Y205),IF(V205=2,AB$100*EXP(-(LN(2)/$D$65+0.04)*(VLOOKUP(($F$16-$F$15)-1,U$100:Y205,4,FALSE)))*EXP(-(LN(2)/$D$65+0.1)*(VLOOKUP(($F$16-$F$15)-1,U$100:Y205,5,FALSE)))*EXP(-(LN(2)/$D$65+0.04)*X205)*EXP(-(LN(2)/$D$65+0.1)*Y205),IF(V205=3,AB$100*EXP(-(LN(2)/$D$65+0.04)*(VLOOKUP(($F$16-$F$15)-1,U$100:Y205,4,FALSE)))*EXP(-(LN(2)/$D$65+0.1)*(VLOOKUP(($F$16-$F$15)-1,U$100:Y205,5,FALSE)))*EXP(-(LN(2)/$D$65+0.04)*(VLOOKUP(($F$16-$F$15)*2-1,U$100:Y205,4,FALSE)))*EXP(-(LN(2)/$D$65+0.1)*(VLOOKUP(($F$16-$F$15)*2-1,U$100:Y205,5,FALSE)))*EXP(-(LN(2)/$D$65+0.04)*X205)*EXP(-(LN(2)/$D$65+0.1)*Y205),"-"))),"-")</f>
        <v>-</v>
      </c>
      <c r="AC205" s="224">
        <f t="shared" si="134"/>
        <v>105</v>
      </c>
      <c r="AD205" s="223" t="str">
        <f t="shared" si="108"/>
        <v>-</v>
      </c>
      <c r="AE205" s="224" t="str">
        <f t="shared" si="135"/>
        <v>-</v>
      </c>
      <c r="AF205" s="224" t="str">
        <f t="shared" si="109"/>
        <v>-</v>
      </c>
      <c r="AG205" s="224" t="str">
        <f t="shared" si="110"/>
        <v>-</v>
      </c>
      <c r="AH205" s="272">
        <f t="shared" si="136"/>
        <v>0.1</v>
      </c>
      <c r="AI205" s="271" t="str">
        <f>IFERROR(IF(AD204=1,AI$100*EXP(-(LN(2)/$D$65+0.04)*AF204)*EXP(-(LN(2)/$D$65+0.1)*AG204),IF(AD204=2,AI$100*EXP(-(LN(2)/$D$65+0.04)*(VLOOKUP(($F$16-$F$15)-1,AC$99:AG204,4,FALSE)))*EXP(-(LN(2)/$D$65+0.1)*(VLOOKUP(($F$16-$F$15)-1,AC$99:AG204,5,FALSE)))*EXP(-(LN(2)/$D$65+0.04)*AF204)*EXP(-(LN(2)/$D$65+0.1)*AG204),IF(AD204=3,AI$100*EXP(-(LN(2)/$D$65+0.04)*(VLOOKUP(($F$16-$F$15)-1,AC$99:AG204,4,FALSE)))*EXP(-(LN(2)/$D$65+0.1)*(VLOOKUP(($F$16-$F$15)-1,AC$99:AG204,5,FALSE)))*EXP(-(LN(2)/$D$65+0.04)*(VLOOKUP(($F$16-$F$15)*2-1,AC$99:AG204,4,FALSE)))*EXP(-(LN(2)/$D$65+0.1)*(VLOOKUP(($F$16-$F$15)*2-1,AC$99:AG204,5,FALSE)))*EXP(-(LN(2)/$D$65+0.04)*AF204)*EXP(-(LN(2)/$D$65+0.1)*AG204),"-"))),"-")</f>
        <v>-</v>
      </c>
      <c r="AJ205" s="271" t="str">
        <f>IFERROR(IF(AD205=1,AJ$100*EXP(-(LN(2)/$D$65+0.04)*AF205)*EXP(-(LN(2)/$D$65+0.1)*AG205),IF(AD205=2,AJ$100*EXP(-(LN(2)/$D$65+0.04)*(VLOOKUP(($F$16-$F$15)-1,AC$100:AG205,4,FALSE)))*EXP(-(LN(2)/$D$65+0.1)*(VLOOKUP(($F$16-$F$15)-1,AC$100:AG205,5,FALSE)))*EXP(-(LN(2)/$D$65+0.04)*AF205)*EXP(-(LN(2)/$D$65+0.1)*AG205),IF(AD205=3,AJ$100*EXP(-(LN(2)/$D$65+0.04)*(VLOOKUP(($F$16-$F$15)-1,AC$100:AG205,4,FALSE)))*EXP(-(LN(2)/$D$65+0.1)*(VLOOKUP(($F$16-$F$15)-1,AC$100:AG205,5,FALSE)))*EXP(-(LN(2)/$D$65+0.04)*(VLOOKUP(($F$16-$F$15)*2-1,AC$100:AG205,4,FALSE)))*EXP(-(LN(2)/$D$65+0.1)*(VLOOKUP(($F$16-$F$15)*2-1,AC$100:AG205,5,FALSE)))*EXP(-(LN(2)/$D$65+0.04)*AF205)*EXP(-(LN(2)/$D$65+0.1)*AG205),"-"))),"-")</f>
        <v>-</v>
      </c>
      <c r="AK205" s="227">
        <f t="shared" si="137"/>
        <v>105</v>
      </c>
      <c r="AL205" s="226" t="str">
        <f t="shared" si="111"/>
        <v>-</v>
      </c>
      <c r="AM205" s="227" t="str">
        <f t="shared" si="138"/>
        <v>-</v>
      </c>
      <c r="AN205" s="227" t="str">
        <f t="shared" si="139"/>
        <v>-</v>
      </c>
      <c r="AO205" s="227" t="str">
        <f t="shared" si="112"/>
        <v>-</v>
      </c>
      <c r="AP205" s="273">
        <f t="shared" si="140"/>
        <v>0.1</v>
      </c>
      <c r="AQ205" s="271" t="str">
        <f>IFERROR(IF(AL204=1,AQ$100*EXP(-(LN(2)/$D$65+0.04)*AN204)*EXP(-(LN(2)/$D$65+0.1)*AO204),IF(AL204=2,AQ$100*EXP(-(LN(2)/$D$65+0.04)*(VLOOKUP(($F$16-$F$15)-1,AK$99:AO204,4,FALSE)))*EXP(-(LN(2)/$D$65+0.1)*(VLOOKUP(($F$16-$F$15)-1,AK$99:AO204,5,FALSE)))*EXP(-(LN(2)/$D$65+0.04)*AN204)*EXP(-(LN(2)/$D$65+0.1)*AO204),IF(AL204=3,AQ$100*EXP(-(LN(2)/$D$65+0.04)*(VLOOKUP(($F$16-$F$15)-1,AK$99:AO204,4,FALSE)))*EXP(-(LN(2)/$D$65+0.1)*(VLOOKUP(($F$16-$F$15)-1,AK$99:AO204,5,FALSE)))*EXP(-(LN(2)/$D$65+0.04)*(VLOOKUP(($F$16-$F$15)*2-1,AK$99:AO204,4,FALSE)))*EXP(-(LN(2)/$D$65+0.1)*(VLOOKUP(($F$16-$F$15)*2-1,AK$99:AO204,5,FALSE)))*EXP(-(LN(2)/$D$65+0.04)*AN204)*EXP(-(LN(2)/$D$65+0.1)*AO204),"-"))),"-")</f>
        <v>-</v>
      </c>
      <c r="AR205" s="271" t="str">
        <f>IFERROR(IF(AL205=1,AR$100*EXP(-(LN(2)/$D$65+0.04)*AN205)*EXP(-(LN(2)/$D$65+0.1)*AO205),IF(AL205=2,AR$100*EXP(-(LN(2)/$D$65+0.04)*(VLOOKUP(($F$16-$F$15)-1,AK$100:AO205,4,FALSE)))*EXP(-(LN(2)/$D$65+0.1)*(VLOOKUP(($F$16-$F$15)-1,AK$100:AO205,5,FALSE)))*EXP(-(LN(2)/$D$65+0.04)*AN205)*EXP(-(LN(2)/$D$65+0.1)*AO205),IF(AL205=3,AR$100*EXP(-(LN(2)/$D$65+0.04)*(VLOOKUP(($F$16-$F$15)-1,AK$100:AO205,4,FALSE)))*EXP(-(LN(2)/$D$65+0.1)*(VLOOKUP(($F$16-$F$15)-1,AK$100:AO205,5,FALSE)))*EXP(-(LN(2)/$D$65+0.04)*(VLOOKUP(($F$16-$F$15)*2-1,AK$100:AO205,4,FALSE)))*EXP(-(LN(2)/$D$65+0.1)*(VLOOKUP(($F$16-$F$15)*2-1,AK$100:AO205,5,FALSE)))*EXP(-(LN(2)/$D$65+0.04)*AN205)*EXP(-(LN(2)/$D$65+0.1)*AO205),"-"))),"-")</f>
        <v>-</v>
      </c>
      <c r="AS205" s="274">
        <f t="shared" si="113"/>
        <v>0</v>
      </c>
      <c r="AT205" s="274">
        <f t="shared" si="114"/>
        <v>0</v>
      </c>
      <c r="AU205" s="274">
        <f t="shared" si="115"/>
        <v>0</v>
      </c>
      <c r="AV205" s="190" t="str">
        <f>IF($B205&lt;$F$22,SUM($T$100:$T205),"")</f>
        <v/>
      </c>
      <c r="AW205" s="190" t="str">
        <f t="shared" si="161"/>
        <v>-</v>
      </c>
      <c r="AX205" s="190" t="str">
        <f t="shared" si="141"/>
        <v/>
      </c>
      <c r="AY205"/>
      <c r="AZ205" s="190" t="str">
        <f ca="1">IF(ISNUMBER(OFFSET(AV205,-$F$21,0)),SUM(OFFSET($T$100,$F$21,0):$T205),"")</f>
        <v/>
      </c>
      <c r="BA205" s="190" t="str">
        <f t="shared" ca="1" si="162"/>
        <v/>
      </c>
      <c r="BB205" s="190" t="str">
        <f t="shared" ca="1" si="148"/>
        <v/>
      </c>
      <c r="BC205" s="190"/>
      <c r="BD205" s="190" t="str">
        <f ca="1">IFERROR(IF(OR(ISNUMBER(I),ISNUMBER($F$14)),IF(AND($B205&gt;=($F$16-$F$15),$B205&lt;$F$22+($F$16-$F$15)),SUM(OFFSET($T$100,($F$16-$F$15),0):$T205),""),""),"")</f>
        <v/>
      </c>
      <c r="BE205" s="190" t="str">
        <f t="shared" ca="1" si="142"/>
        <v/>
      </c>
      <c r="BF205" s="190" t="str">
        <f t="shared" ca="1" si="143"/>
        <v/>
      </c>
      <c r="BG205"/>
      <c r="BH205" s="190" t="str">
        <f ca="1">IF(ISNUMBER(OFFSET(BD205,-$F$21,0)),SUM(OFFSET($T$100,($F$16-$F$15+$F$21),0):$T205),"")</f>
        <v/>
      </c>
      <c r="BI205" s="190" t="str">
        <f t="shared" ca="1" si="163"/>
        <v/>
      </c>
      <c r="BJ205" s="190" t="str">
        <f t="shared" ca="1" si="144"/>
        <v/>
      </c>
      <c r="BK205" s="190"/>
      <c r="BL205" s="190" t="str">
        <f ca="1">IFERROR(IF(OR(ISNUMBER(I),ISNUMBER($F$14)),IF(AND($B205&gt;=($F$17-$F$15),$B205&lt;$F$22+($F$17-$F$15)),SUM(OFFSET($T$100,($F$17-$F$15),0):$T205),""),""),"")</f>
        <v/>
      </c>
      <c r="BM205" s="190" t="str">
        <f t="shared" ca="1" si="164"/>
        <v/>
      </c>
      <c r="BN205" s="190" t="str">
        <f t="shared" ca="1" si="145"/>
        <v/>
      </c>
      <c r="BO205"/>
      <c r="BP205" s="190" t="str">
        <f ca="1">IF(ISNUMBER(OFFSET(BL205,-$F$21,0)),SUM(OFFSET($T$100,($F$17-$F$15+$F$21),0):$T205),"")</f>
        <v/>
      </c>
      <c r="BQ205" s="190" t="str">
        <f t="shared" ca="1" si="165"/>
        <v/>
      </c>
      <c r="BR205" s="190" t="str">
        <f t="shared" ca="1" si="146"/>
        <v/>
      </c>
      <c r="BS205" s="190"/>
      <c r="BT205"/>
      <c r="BU205"/>
      <c r="BV205"/>
      <c r="BY205" s="99"/>
      <c r="BZ205" s="99"/>
      <c r="CA205" s="280" t="str">
        <f t="shared" si="166"/>
        <v/>
      </c>
      <c r="CB205" s="71" t="str">
        <f t="shared" si="122"/>
        <v>-</v>
      </c>
      <c r="CC205" s="33"/>
      <c r="CD205" s="261" t="str">
        <f t="shared" si="123"/>
        <v/>
      </c>
      <c r="CE205" s="280" t="str">
        <f t="shared" si="167"/>
        <v/>
      </c>
      <c r="CF205" s="71" t="str">
        <f t="shared" ca="1" si="168"/>
        <v/>
      </c>
      <c r="CG205" s="33" t="str">
        <f t="shared" si="126"/>
        <v/>
      </c>
      <c r="CH205" s="261" t="str">
        <f t="shared" ca="1" si="127"/>
        <v/>
      </c>
    </row>
    <row r="206" spans="2:86" ht="13.5" customHeight="1" x14ac:dyDescent="0.2">
      <c r="B206" s="262">
        <v>106</v>
      </c>
      <c r="C206" s="237" t="str">
        <f t="shared" si="91"/>
        <v/>
      </c>
      <c r="D206" s="237" t="str">
        <f t="shared" si="147"/>
        <v/>
      </c>
      <c r="E206" s="263" t="str">
        <f t="shared" si="128"/>
        <v/>
      </c>
      <c r="F206" s="264" t="str">
        <f t="shared" si="129"/>
        <v/>
      </c>
      <c r="G206" s="264" t="str">
        <f t="shared" si="130"/>
        <v/>
      </c>
      <c r="H206" s="240" t="str">
        <f t="shared" si="149"/>
        <v/>
      </c>
      <c r="I206" s="265" t="str">
        <f t="shared" si="150"/>
        <v/>
      </c>
      <c r="J206" s="265" t="str">
        <f t="shared" si="151"/>
        <v/>
      </c>
      <c r="K206" s="240" t="str">
        <f t="shared" si="152"/>
        <v/>
      </c>
      <c r="L206" s="265" t="str">
        <f t="shared" si="153"/>
        <v/>
      </c>
      <c r="M206" s="265" t="str">
        <f t="shared" si="154"/>
        <v/>
      </c>
      <c r="N206" s="240" t="str">
        <f t="shared" si="155"/>
        <v>-</v>
      </c>
      <c r="O206" s="265" t="str">
        <f t="shared" si="156"/>
        <v>-</v>
      </c>
      <c r="P206" s="265" t="str">
        <f t="shared" si="157"/>
        <v>-</v>
      </c>
      <c r="Q206" s="266" t="str">
        <f t="shared" si="158"/>
        <v>-</v>
      </c>
      <c r="R206" s="267" t="str">
        <f t="shared" si="159"/>
        <v>-</v>
      </c>
      <c r="S206" s="268" t="str">
        <f t="shared" si="160"/>
        <v>-</v>
      </c>
      <c r="T206" s="269" t="str">
        <f t="shared" si="104"/>
        <v/>
      </c>
      <c r="U206" s="221">
        <f t="shared" si="105"/>
        <v>106</v>
      </c>
      <c r="V206" s="220" t="str">
        <f t="shared" si="131"/>
        <v>-</v>
      </c>
      <c r="W206" s="221" t="str">
        <f t="shared" si="132"/>
        <v>-</v>
      </c>
      <c r="X206" s="221" t="str">
        <f t="shared" si="106"/>
        <v>-</v>
      </c>
      <c r="Y206" s="221" t="str">
        <f t="shared" si="107"/>
        <v>-</v>
      </c>
      <c r="Z206" s="270">
        <f t="shared" si="133"/>
        <v>0.1</v>
      </c>
      <c r="AA206" s="271" t="str">
        <f>IFERROR(IF(V205=1,AA$100*EXP(-(LN(2)/$D$65+0.04)*X205)*EXP(-(LN(2)/$D$65+0.1)*Y205),IF(V205=2,AA$100*EXP(-(LN(2)/$D$65+0.04)*(VLOOKUP(($F$16-$F$15)-1,U$99:Y205,4,FALSE)))*EXP(-(LN(2)/$D$65+0.1)*(VLOOKUP(($F$16-$F$15)-1,U$99:Y205,5,FALSE)))*EXP(-(LN(2)/$D$65+0.04)*X205)*EXP(-(LN(2)/$D$65+0.1)*Y205),IF(V205=3,AA$100*EXP(-(LN(2)/$D$65+0.04)*(VLOOKUP(($F$16-$F$15)-1,U$99:Y205,4,FALSE)))*EXP(-(LN(2)/$D$65+0.1)*(VLOOKUP(($F$16-$F$15)-1,U$99:Y205,5,FALSE)))*EXP(-(LN(2)/$D$65+0.04)*(VLOOKUP(($F$16-$F$15)*2-1,U$99:Y205,4,FALSE)))*EXP(-(LN(2)/$D$65+0.1)*(VLOOKUP(($F$16-$F$15)*2-1,U$99:Y205,5,FALSE)))*EXP(-(LN(2)/$D$65+0.04)*X205)*EXP(-(LN(2)/$D$65+0.1)*Y205),"-"))),"-")</f>
        <v>-</v>
      </c>
      <c r="AB206" s="271" t="str">
        <f>IFERROR(IF(V206=1,AB$100*EXP(-(LN(2)/$D$65+0.04)*X206)*EXP(-(LN(2)/$D$65+0.1)*Y206),IF(V206=2,AB$100*EXP(-(LN(2)/$D$65+0.04)*(VLOOKUP(($F$16-$F$15)-1,U$100:Y206,4,FALSE)))*EXP(-(LN(2)/$D$65+0.1)*(VLOOKUP(($F$16-$F$15)-1,U$100:Y206,5,FALSE)))*EXP(-(LN(2)/$D$65+0.04)*X206)*EXP(-(LN(2)/$D$65+0.1)*Y206),IF(V206=3,AB$100*EXP(-(LN(2)/$D$65+0.04)*(VLOOKUP(($F$16-$F$15)-1,U$100:Y206,4,FALSE)))*EXP(-(LN(2)/$D$65+0.1)*(VLOOKUP(($F$16-$F$15)-1,U$100:Y206,5,FALSE)))*EXP(-(LN(2)/$D$65+0.04)*(VLOOKUP(($F$16-$F$15)*2-1,U$100:Y206,4,FALSE)))*EXP(-(LN(2)/$D$65+0.1)*(VLOOKUP(($F$16-$F$15)*2-1,U$100:Y206,5,FALSE)))*EXP(-(LN(2)/$D$65+0.04)*X206)*EXP(-(LN(2)/$D$65+0.1)*Y206),"-"))),"-")</f>
        <v>-</v>
      </c>
      <c r="AC206" s="224">
        <f t="shared" si="134"/>
        <v>106</v>
      </c>
      <c r="AD206" s="223" t="str">
        <f t="shared" si="108"/>
        <v>-</v>
      </c>
      <c r="AE206" s="224" t="str">
        <f t="shared" si="135"/>
        <v>-</v>
      </c>
      <c r="AF206" s="224" t="str">
        <f t="shared" si="109"/>
        <v>-</v>
      </c>
      <c r="AG206" s="224" t="str">
        <f t="shared" si="110"/>
        <v>-</v>
      </c>
      <c r="AH206" s="272">
        <f t="shared" si="136"/>
        <v>0.1</v>
      </c>
      <c r="AI206" s="271" t="str">
        <f>IFERROR(IF(AD205=1,AI$100*EXP(-(LN(2)/$D$65+0.04)*AF205)*EXP(-(LN(2)/$D$65+0.1)*AG205),IF(AD205=2,AI$100*EXP(-(LN(2)/$D$65+0.04)*(VLOOKUP(($F$16-$F$15)-1,AC$99:AG205,4,FALSE)))*EXP(-(LN(2)/$D$65+0.1)*(VLOOKUP(($F$16-$F$15)-1,AC$99:AG205,5,FALSE)))*EXP(-(LN(2)/$D$65+0.04)*AF205)*EXP(-(LN(2)/$D$65+0.1)*AG205),IF(AD205=3,AI$100*EXP(-(LN(2)/$D$65+0.04)*(VLOOKUP(($F$16-$F$15)-1,AC$99:AG205,4,FALSE)))*EXP(-(LN(2)/$D$65+0.1)*(VLOOKUP(($F$16-$F$15)-1,AC$99:AG205,5,FALSE)))*EXP(-(LN(2)/$D$65+0.04)*(VLOOKUP(($F$16-$F$15)*2-1,AC$99:AG205,4,FALSE)))*EXP(-(LN(2)/$D$65+0.1)*(VLOOKUP(($F$16-$F$15)*2-1,AC$99:AG205,5,FALSE)))*EXP(-(LN(2)/$D$65+0.04)*AF205)*EXP(-(LN(2)/$D$65+0.1)*AG205),"-"))),"-")</f>
        <v>-</v>
      </c>
      <c r="AJ206" s="271" t="str">
        <f>IFERROR(IF(AD206=1,AJ$100*EXP(-(LN(2)/$D$65+0.04)*AF206)*EXP(-(LN(2)/$D$65+0.1)*AG206),IF(AD206=2,AJ$100*EXP(-(LN(2)/$D$65+0.04)*(VLOOKUP(($F$16-$F$15)-1,AC$100:AG206,4,FALSE)))*EXP(-(LN(2)/$D$65+0.1)*(VLOOKUP(($F$16-$F$15)-1,AC$100:AG206,5,FALSE)))*EXP(-(LN(2)/$D$65+0.04)*AF206)*EXP(-(LN(2)/$D$65+0.1)*AG206),IF(AD206=3,AJ$100*EXP(-(LN(2)/$D$65+0.04)*(VLOOKUP(($F$16-$F$15)-1,AC$100:AG206,4,FALSE)))*EXP(-(LN(2)/$D$65+0.1)*(VLOOKUP(($F$16-$F$15)-1,AC$100:AG206,5,FALSE)))*EXP(-(LN(2)/$D$65+0.04)*(VLOOKUP(($F$16-$F$15)*2-1,AC$100:AG206,4,FALSE)))*EXP(-(LN(2)/$D$65+0.1)*(VLOOKUP(($F$16-$F$15)*2-1,AC$100:AG206,5,FALSE)))*EXP(-(LN(2)/$D$65+0.04)*AF206)*EXP(-(LN(2)/$D$65+0.1)*AG206),"-"))),"-")</f>
        <v>-</v>
      </c>
      <c r="AK206" s="227">
        <f t="shared" si="137"/>
        <v>106</v>
      </c>
      <c r="AL206" s="226" t="str">
        <f t="shared" si="111"/>
        <v>-</v>
      </c>
      <c r="AM206" s="227" t="str">
        <f t="shared" si="138"/>
        <v>-</v>
      </c>
      <c r="AN206" s="227" t="str">
        <f t="shared" si="139"/>
        <v>-</v>
      </c>
      <c r="AO206" s="227" t="str">
        <f t="shared" si="112"/>
        <v>-</v>
      </c>
      <c r="AP206" s="273">
        <f t="shared" si="140"/>
        <v>0.1</v>
      </c>
      <c r="AQ206" s="271" t="str">
        <f>IFERROR(IF(AL205=1,AQ$100*EXP(-(LN(2)/$D$65+0.04)*AN205)*EXP(-(LN(2)/$D$65+0.1)*AO205),IF(AL205=2,AQ$100*EXP(-(LN(2)/$D$65+0.04)*(VLOOKUP(($F$16-$F$15)-1,AK$99:AO205,4,FALSE)))*EXP(-(LN(2)/$D$65+0.1)*(VLOOKUP(($F$16-$F$15)-1,AK$99:AO205,5,FALSE)))*EXP(-(LN(2)/$D$65+0.04)*AN205)*EXP(-(LN(2)/$D$65+0.1)*AO205),IF(AL205=3,AQ$100*EXP(-(LN(2)/$D$65+0.04)*(VLOOKUP(($F$16-$F$15)-1,AK$99:AO205,4,FALSE)))*EXP(-(LN(2)/$D$65+0.1)*(VLOOKUP(($F$16-$F$15)-1,AK$99:AO205,5,FALSE)))*EXP(-(LN(2)/$D$65+0.04)*(VLOOKUP(($F$16-$F$15)*2-1,AK$99:AO205,4,FALSE)))*EXP(-(LN(2)/$D$65+0.1)*(VLOOKUP(($F$16-$F$15)*2-1,AK$99:AO205,5,FALSE)))*EXP(-(LN(2)/$D$65+0.04)*AN205)*EXP(-(LN(2)/$D$65+0.1)*AO205),"-"))),"-")</f>
        <v>-</v>
      </c>
      <c r="AR206" s="271" t="str">
        <f>IFERROR(IF(AL206=1,AR$100*EXP(-(LN(2)/$D$65+0.04)*AN206)*EXP(-(LN(2)/$D$65+0.1)*AO206),IF(AL206=2,AR$100*EXP(-(LN(2)/$D$65+0.04)*(VLOOKUP(($F$16-$F$15)-1,AK$100:AO206,4,FALSE)))*EXP(-(LN(2)/$D$65+0.1)*(VLOOKUP(($F$16-$F$15)-1,AK$100:AO206,5,FALSE)))*EXP(-(LN(2)/$D$65+0.04)*AN206)*EXP(-(LN(2)/$D$65+0.1)*AO206),IF(AL206=3,AR$100*EXP(-(LN(2)/$D$65+0.04)*(VLOOKUP(($F$16-$F$15)-1,AK$100:AO206,4,FALSE)))*EXP(-(LN(2)/$D$65+0.1)*(VLOOKUP(($F$16-$F$15)-1,AK$100:AO206,5,FALSE)))*EXP(-(LN(2)/$D$65+0.04)*(VLOOKUP(($F$16-$F$15)*2-1,AK$100:AO206,4,FALSE)))*EXP(-(LN(2)/$D$65+0.1)*(VLOOKUP(($F$16-$F$15)*2-1,AK$100:AO206,5,FALSE)))*EXP(-(LN(2)/$D$65+0.04)*AN206)*EXP(-(LN(2)/$D$65+0.1)*AO206),"-"))),"-")</f>
        <v>-</v>
      </c>
      <c r="AS206" s="274">
        <f t="shared" si="113"/>
        <v>0</v>
      </c>
      <c r="AT206" s="274">
        <f t="shared" si="114"/>
        <v>0</v>
      </c>
      <c r="AU206" s="274">
        <f t="shared" si="115"/>
        <v>0</v>
      </c>
      <c r="AV206" s="190" t="str">
        <f>IF($B206&lt;$F$22,SUM($T$100:$T206),"")</f>
        <v/>
      </c>
      <c r="AW206" s="190" t="str">
        <f t="shared" si="161"/>
        <v>-</v>
      </c>
      <c r="AX206" s="190" t="str">
        <f t="shared" si="141"/>
        <v/>
      </c>
      <c r="AY206"/>
      <c r="AZ206" s="190" t="str">
        <f ca="1">IF(ISNUMBER(OFFSET(AV206,-$F$21,0)),SUM(OFFSET($T$100,$F$21,0):$T206),"")</f>
        <v/>
      </c>
      <c r="BA206" s="190" t="str">
        <f t="shared" ca="1" si="162"/>
        <v/>
      </c>
      <c r="BB206" s="190" t="str">
        <f t="shared" ca="1" si="148"/>
        <v/>
      </c>
      <c r="BC206" s="190"/>
      <c r="BD206" s="190" t="str">
        <f ca="1">IFERROR(IF(OR(ISNUMBER(I),ISNUMBER($F$14)),IF(AND($B206&gt;=($F$16-$F$15),$B206&lt;$F$22+($F$16-$F$15)),SUM(OFFSET($T$100,($F$16-$F$15),0):$T206),""),""),"")</f>
        <v/>
      </c>
      <c r="BE206" s="190" t="str">
        <f t="shared" ca="1" si="142"/>
        <v/>
      </c>
      <c r="BF206" s="190" t="str">
        <f t="shared" ca="1" si="143"/>
        <v/>
      </c>
      <c r="BG206"/>
      <c r="BH206" s="190" t="str">
        <f ca="1">IF(ISNUMBER(OFFSET(BD206,-$F$21,0)),SUM(OFFSET($T$100,($F$16-$F$15+$F$21),0):$T206),"")</f>
        <v/>
      </c>
      <c r="BI206" s="190" t="str">
        <f t="shared" ca="1" si="163"/>
        <v/>
      </c>
      <c r="BJ206" s="190" t="str">
        <f t="shared" ca="1" si="144"/>
        <v/>
      </c>
      <c r="BK206" s="190"/>
      <c r="BL206" s="190" t="str">
        <f ca="1">IFERROR(IF(OR(ISNUMBER(I),ISNUMBER($F$14)),IF(AND($B206&gt;=($F$17-$F$15),$B206&lt;$F$22+($F$17-$F$15)),SUM(OFFSET($T$100,($F$17-$F$15),0):$T206),""),""),"")</f>
        <v/>
      </c>
      <c r="BM206" s="190" t="str">
        <f t="shared" ca="1" si="164"/>
        <v/>
      </c>
      <c r="BN206" s="190" t="str">
        <f t="shared" ca="1" si="145"/>
        <v/>
      </c>
      <c r="BO206"/>
      <c r="BP206" s="190" t="str">
        <f ca="1">IF(ISNUMBER(OFFSET(BL206,-$F$21,0)),SUM(OFFSET($T$100,($F$17-$F$15+$F$21),0):$T206),"")</f>
        <v/>
      </c>
      <c r="BQ206" s="190" t="str">
        <f t="shared" ca="1" si="165"/>
        <v/>
      </c>
      <c r="BR206" s="190" t="str">
        <f t="shared" ca="1" si="146"/>
        <v/>
      </c>
      <c r="BS206" s="190"/>
      <c r="BT206"/>
      <c r="BU206"/>
      <c r="BV206"/>
      <c r="BY206" s="99"/>
      <c r="BZ206" s="99"/>
      <c r="CA206" s="280" t="str">
        <f t="shared" si="166"/>
        <v/>
      </c>
      <c r="CB206" s="71" t="str">
        <f t="shared" si="122"/>
        <v>-</v>
      </c>
      <c r="CC206" s="33"/>
      <c r="CD206" s="261" t="str">
        <f t="shared" si="123"/>
        <v/>
      </c>
      <c r="CE206" s="280" t="str">
        <f t="shared" si="167"/>
        <v/>
      </c>
      <c r="CF206" s="71" t="str">
        <f t="shared" ca="1" si="168"/>
        <v/>
      </c>
      <c r="CG206" s="33" t="str">
        <f t="shared" si="126"/>
        <v/>
      </c>
      <c r="CH206" s="261" t="str">
        <f t="shared" ca="1" si="127"/>
        <v/>
      </c>
    </row>
    <row r="207" spans="2:86" ht="13.5" customHeight="1" x14ac:dyDescent="0.2">
      <c r="B207" s="262">
        <v>107</v>
      </c>
      <c r="C207" s="237" t="str">
        <f t="shared" si="91"/>
        <v/>
      </c>
      <c r="D207" s="237" t="str">
        <f t="shared" si="147"/>
        <v/>
      </c>
      <c r="E207" s="263" t="str">
        <f t="shared" si="128"/>
        <v/>
      </c>
      <c r="F207" s="264" t="str">
        <f t="shared" si="129"/>
        <v/>
      </c>
      <c r="G207" s="264" t="str">
        <f t="shared" si="130"/>
        <v/>
      </c>
      <c r="H207" s="240" t="str">
        <f t="shared" si="149"/>
        <v/>
      </c>
      <c r="I207" s="265" t="str">
        <f t="shared" si="150"/>
        <v/>
      </c>
      <c r="J207" s="265" t="str">
        <f t="shared" si="151"/>
        <v/>
      </c>
      <c r="K207" s="240" t="str">
        <f t="shared" si="152"/>
        <v/>
      </c>
      <c r="L207" s="265" t="str">
        <f t="shared" si="153"/>
        <v/>
      </c>
      <c r="M207" s="265" t="str">
        <f t="shared" si="154"/>
        <v/>
      </c>
      <c r="N207" s="240" t="str">
        <f t="shared" si="155"/>
        <v>-</v>
      </c>
      <c r="O207" s="265" t="str">
        <f t="shared" si="156"/>
        <v>-</v>
      </c>
      <c r="P207" s="265" t="str">
        <f t="shared" si="157"/>
        <v>-</v>
      </c>
      <c r="Q207" s="266" t="str">
        <f t="shared" si="158"/>
        <v>-</v>
      </c>
      <c r="R207" s="267" t="str">
        <f t="shared" si="159"/>
        <v>-</v>
      </c>
      <c r="S207" s="268" t="str">
        <f t="shared" si="160"/>
        <v>-</v>
      </c>
      <c r="T207" s="269" t="str">
        <f t="shared" si="104"/>
        <v/>
      </c>
      <c r="U207" s="221">
        <f t="shared" si="105"/>
        <v>107</v>
      </c>
      <c r="V207" s="220" t="str">
        <f t="shared" si="131"/>
        <v>-</v>
      </c>
      <c r="W207" s="221" t="str">
        <f t="shared" si="132"/>
        <v>-</v>
      </c>
      <c r="X207" s="221" t="str">
        <f t="shared" si="106"/>
        <v>-</v>
      </c>
      <c r="Y207" s="221" t="str">
        <f t="shared" si="107"/>
        <v>-</v>
      </c>
      <c r="Z207" s="270">
        <f t="shared" si="133"/>
        <v>0.1</v>
      </c>
      <c r="AA207" s="271" t="str">
        <f>IFERROR(IF(V206=1,AA$100*EXP(-(LN(2)/$D$65+0.04)*X206)*EXP(-(LN(2)/$D$65+0.1)*Y206),IF(V206=2,AA$100*EXP(-(LN(2)/$D$65+0.04)*(VLOOKUP(($F$16-$F$15)-1,U$99:Y206,4,FALSE)))*EXP(-(LN(2)/$D$65+0.1)*(VLOOKUP(($F$16-$F$15)-1,U$99:Y206,5,FALSE)))*EXP(-(LN(2)/$D$65+0.04)*X206)*EXP(-(LN(2)/$D$65+0.1)*Y206),IF(V206=3,AA$100*EXP(-(LN(2)/$D$65+0.04)*(VLOOKUP(($F$16-$F$15)-1,U$99:Y206,4,FALSE)))*EXP(-(LN(2)/$D$65+0.1)*(VLOOKUP(($F$16-$F$15)-1,U$99:Y206,5,FALSE)))*EXP(-(LN(2)/$D$65+0.04)*(VLOOKUP(($F$16-$F$15)*2-1,U$99:Y206,4,FALSE)))*EXP(-(LN(2)/$D$65+0.1)*(VLOOKUP(($F$16-$F$15)*2-1,U$99:Y206,5,FALSE)))*EXP(-(LN(2)/$D$65+0.04)*X206)*EXP(-(LN(2)/$D$65+0.1)*Y206),"-"))),"-")</f>
        <v>-</v>
      </c>
      <c r="AB207" s="271" t="str">
        <f>IFERROR(IF(V207=1,AB$100*EXP(-(LN(2)/$D$65+0.04)*X207)*EXP(-(LN(2)/$D$65+0.1)*Y207),IF(V207=2,AB$100*EXP(-(LN(2)/$D$65+0.04)*(VLOOKUP(($F$16-$F$15)-1,U$100:Y207,4,FALSE)))*EXP(-(LN(2)/$D$65+0.1)*(VLOOKUP(($F$16-$F$15)-1,U$100:Y207,5,FALSE)))*EXP(-(LN(2)/$D$65+0.04)*X207)*EXP(-(LN(2)/$D$65+0.1)*Y207),IF(V207=3,AB$100*EXP(-(LN(2)/$D$65+0.04)*(VLOOKUP(($F$16-$F$15)-1,U$100:Y207,4,FALSE)))*EXP(-(LN(2)/$D$65+0.1)*(VLOOKUP(($F$16-$F$15)-1,U$100:Y207,5,FALSE)))*EXP(-(LN(2)/$D$65+0.04)*(VLOOKUP(($F$16-$F$15)*2-1,U$100:Y207,4,FALSE)))*EXP(-(LN(2)/$D$65+0.1)*(VLOOKUP(($F$16-$F$15)*2-1,U$100:Y207,5,FALSE)))*EXP(-(LN(2)/$D$65+0.04)*X207)*EXP(-(LN(2)/$D$65+0.1)*Y207),"-"))),"-")</f>
        <v>-</v>
      </c>
      <c r="AC207" s="224">
        <f t="shared" si="134"/>
        <v>107</v>
      </c>
      <c r="AD207" s="223" t="str">
        <f t="shared" si="108"/>
        <v>-</v>
      </c>
      <c r="AE207" s="224" t="str">
        <f t="shared" si="135"/>
        <v>-</v>
      </c>
      <c r="AF207" s="224" t="str">
        <f t="shared" si="109"/>
        <v>-</v>
      </c>
      <c r="AG207" s="224" t="str">
        <f t="shared" si="110"/>
        <v>-</v>
      </c>
      <c r="AH207" s="272">
        <f t="shared" si="136"/>
        <v>0.1</v>
      </c>
      <c r="AI207" s="271" t="str">
        <f>IFERROR(IF(AD206=1,AI$100*EXP(-(LN(2)/$D$65+0.04)*AF206)*EXP(-(LN(2)/$D$65+0.1)*AG206),IF(AD206=2,AI$100*EXP(-(LN(2)/$D$65+0.04)*(VLOOKUP(($F$16-$F$15)-1,AC$99:AG206,4,FALSE)))*EXP(-(LN(2)/$D$65+0.1)*(VLOOKUP(($F$16-$F$15)-1,AC$99:AG206,5,FALSE)))*EXP(-(LN(2)/$D$65+0.04)*AF206)*EXP(-(LN(2)/$D$65+0.1)*AG206),IF(AD206=3,AI$100*EXP(-(LN(2)/$D$65+0.04)*(VLOOKUP(($F$16-$F$15)-1,AC$99:AG206,4,FALSE)))*EXP(-(LN(2)/$D$65+0.1)*(VLOOKUP(($F$16-$F$15)-1,AC$99:AG206,5,FALSE)))*EXP(-(LN(2)/$D$65+0.04)*(VLOOKUP(($F$16-$F$15)*2-1,AC$99:AG206,4,FALSE)))*EXP(-(LN(2)/$D$65+0.1)*(VLOOKUP(($F$16-$F$15)*2-1,AC$99:AG206,5,FALSE)))*EXP(-(LN(2)/$D$65+0.04)*AF206)*EXP(-(LN(2)/$D$65+0.1)*AG206),"-"))),"-")</f>
        <v>-</v>
      </c>
      <c r="AJ207" s="271" t="str">
        <f>IFERROR(IF(AD207=1,AJ$100*EXP(-(LN(2)/$D$65+0.04)*AF207)*EXP(-(LN(2)/$D$65+0.1)*AG207),IF(AD207=2,AJ$100*EXP(-(LN(2)/$D$65+0.04)*(VLOOKUP(($F$16-$F$15)-1,AC$100:AG207,4,FALSE)))*EXP(-(LN(2)/$D$65+0.1)*(VLOOKUP(($F$16-$F$15)-1,AC$100:AG207,5,FALSE)))*EXP(-(LN(2)/$D$65+0.04)*AF207)*EXP(-(LN(2)/$D$65+0.1)*AG207),IF(AD207=3,AJ$100*EXP(-(LN(2)/$D$65+0.04)*(VLOOKUP(($F$16-$F$15)-1,AC$100:AG207,4,FALSE)))*EXP(-(LN(2)/$D$65+0.1)*(VLOOKUP(($F$16-$F$15)-1,AC$100:AG207,5,FALSE)))*EXP(-(LN(2)/$D$65+0.04)*(VLOOKUP(($F$16-$F$15)*2-1,AC$100:AG207,4,FALSE)))*EXP(-(LN(2)/$D$65+0.1)*(VLOOKUP(($F$16-$F$15)*2-1,AC$100:AG207,5,FALSE)))*EXP(-(LN(2)/$D$65+0.04)*AF207)*EXP(-(LN(2)/$D$65+0.1)*AG207),"-"))),"-")</f>
        <v>-</v>
      </c>
      <c r="AK207" s="227">
        <f t="shared" si="137"/>
        <v>107</v>
      </c>
      <c r="AL207" s="226" t="str">
        <f t="shared" si="111"/>
        <v>-</v>
      </c>
      <c r="AM207" s="227" t="str">
        <f t="shared" si="138"/>
        <v>-</v>
      </c>
      <c r="AN207" s="227" t="str">
        <f t="shared" si="139"/>
        <v>-</v>
      </c>
      <c r="AO207" s="227" t="str">
        <f t="shared" si="112"/>
        <v>-</v>
      </c>
      <c r="AP207" s="273">
        <f t="shared" si="140"/>
        <v>0.1</v>
      </c>
      <c r="AQ207" s="271" t="str">
        <f>IFERROR(IF(AL206=1,AQ$100*EXP(-(LN(2)/$D$65+0.04)*AN206)*EXP(-(LN(2)/$D$65+0.1)*AO206),IF(AL206=2,AQ$100*EXP(-(LN(2)/$D$65+0.04)*(VLOOKUP(($F$16-$F$15)-1,AK$99:AO206,4,FALSE)))*EXP(-(LN(2)/$D$65+0.1)*(VLOOKUP(($F$16-$F$15)-1,AK$99:AO206,5,FALSE)))*EXP(-(LN(2)/$D$65+0.04)*AN206)*EXP(-(LN(2)/$D$65+0.1)*AO206),IF(AL206=3,AQ$100*EXP(-(LN(2)/$D$65+0.04)*(VLOOKUP(($F$16-$F$15)-1,AK$99:AO206,4,FALSE)))*EXP(-(LN(2)/$D$65+0.1)*(VLOOKUP(($F$16-$F$15)-1,AK$99:AO206,5,FALSE)))*EXP(-(LN(2)/$D$65+0.04)*(VLOOKUP(($F$16-$F$15)*2-1,AK$99:AO206,4,FALSE)))*EXP(-(LN(2)/$D$65+0.1)*(VLOOKUP(($F$16-$F$15)*2-1,AK$99:AO206,5,FALSE)))*EXP(-(LN(2)/$D$65+0.04)*AN206)*EXP(-(LN(2)/$D$65+0.1)*AO206),"-"))),"-")</f>
        <v>-</v>
      </c>
      <c r="AR207" s="271" t="str">
        <f>IFERROR(IF(AL207=1,AR$100*EXP(-(LN(2)/$D$65+0.04)*AN207)*EXP(-(LN(2)/$D$65+0.1)*AO207),IF(AL207=2,AR$100*EXP(-(LN(2)/$D$65+0.04)*(VLOOKUP(($F$16-$F$15)-1,AK$100:AO207,4,FALSE)))*EXP(-(LN(2)/$D$65+0.1)*(VLOOKUP(($F$16-$F$15)-1,AK$100:AO207,5,FALSE)))*EXP(-(LN(2)/$D$65+0.04)*AN207)*EXP(-(LN(2)/$D$65+0.1)*AO207),IF(AL207=3,AR$100*EXP(-(LN(2)/$D$65+0.04)*(VLOOKUP(($F$16-$F$15)-1,AK$100:AO207,4,FALSE)))*EXP(-(LN(2)/$D$65+0.1)*(VLOOKUP(($F$16-$F$15)-1,AK$100:AO207,5,FALSE)))*EXP(-(LN(2)/$D$65+0.04)*(VLOOKUP(($F$16-$F$15)*2-1,AK$100:AO207,4,FALSE)))*EXP(-(LN(2)/$D$65+0.1)*(VLOOKUP(($F$16-$F$15)*2-1,AK$100:AO207,5,FALSE)))*EXP(-(LN(2)/$D$65+0.04)*AN207)*EXP(-(LN(2)/$D$65+0.1)*AO207),"-"))),"-")</f>
        <v>-</v>
      </c>
      <c r="AS207" s="274">
        <f t="shared" si="113"/>
        <v>0</v>
      </c>
      <c r="AT207" s="274">
        <f t="shared" si="114"/>
        <v>0</v>
      </c>
      <c r="AU207" s="274">
        <f t="shared" si="115"/>
        <v>0</v>
      </c>
      <c r="AV207" s="190" t="str">
        <f>IF($B207&lt;$F$22,SUM($T$100:$T207),"")</f>
        <v/>
      </c>
      <c r="AW207" s="190" t="str">
        <f t="shared" si="161"/>
        <v>-</v>
      </c>
      <c r="AX207" s="190" t="str">
        <f t="shared" si="141"/>
        <v/>
      </c>
      <c r="AY207"/>
      <c r="AZ207" s="190" t="str">
        <f ca="1">IF(ISNUMBER(OFFSET(AV207,-$F$21,0)),SUM(OFFSET($T$100,$F$21,0):$T207),"")</f>
        <v/>
      </c>
      <c r="BA207" s="190" t="str">
        <f t="shared" ca="1" si="162"/>
        <v/>
      </c>
      <c r="BB207" s="190" t="str">
        <f t="shared" ca="1" si="148"/>
        <v/>
      </c>
      <c r="BC207" s="190"/>
      <c r="BD207" s="190" t="str">
        <f ca="1">IFERROR(IF(OR(ISNUMBER(I),ISNUMBER($F$14)),IF(AND($B207&gt;=($F$16-$F$15),$B207&lt;$F$22+($F$16-$F$15)),SUM(OFFSET($T$100,($F$16-$F$15),0):$T207),""),""),"")</f>
        <v/>
      </c>
      <c r="BE207" s="190" t="str">
        <f t="shared" ca="1" si="142"/>
        <v/>
      </c>
      <c r="BF207" s="190" t="str">
        <f t="shared" ca="1" si="143"/>
        <v/>
      </c>
      <c r="BG207"/>
      <c r="BH207" s="190" t="str">
        <f ca="1">IF(ISNUMBER(OFFSET(BD207,-$F$21,0)),SUM(OFFSET($T$100,($F$16-$F$15+$F$21),0):$T207),"")</f>
        <v/>
      </c>
      <c r="BI207" s="190" t="str">
        <f t="shared" ca="1" si="163"/>
        <v/>
      </c>
      <c r="BJ207" s="190" t="str">
        <f t="shared" ca="1" si="144"/>
        <v/>
      </c>
      <c r="BK207" s="190"/>
      <c r="BL207" s="190" t="str">
        <f ca="1">IFERROR(IF(OR(ISNUMBER(I),ISNUMBER($F$14)),IF(AND($B207&gt;=($F$17-$F$15),$B207&lt;$F$22+($F$17-$F$15)),SUM(OFFSET($T$100,($F$17-$F$15),0):$T207),""),""),"")</f>
        <v/>
      </c>
      <c r="BM207" s="190" t="str">
        <f t="shared" ca="1" si="164"/>
        <v/>
      </c>
      <c r="BN207" s="190" t="str">
        <f t="shared" ca="1" si="145"/>
        <v/>
      </c>
      <c r="BO207"/>
      <c r="BP207" s="190" t="str">
        <f ca="1">IF(ISNUMBER(OFFSET(BL207,-$F$21,0)),SUM(OFFSET($T$100,($F$17-$F$15+$F$21),0):$T207),"")</f>
        <v/>
      </c>
      <c r="BQ207" s="190" t="str">
        <f t="shared" ca="1" si="165"/>
        <v/>
      </c>
      <c r="BR207" s="190" t="str">
        <f t="shared" ca="1" si="146"/>
        <v/>
      </c>
      <c r="BS207" s="190"/>
      <c r="BT207"/>
      <c r="BU207"/>
      <c r="BV207"/>
      <c r="BY207" s="99"/>
      <c r="BZ207" s="99"/>
      <c r="CA207" s="280" t="str">
        <f t="shared" si="166"/>
        <v/>
      </c>
      <c r="CB207" s="71" t="str">
        <f t="shared" si="122"/>
        <v>-</v>
      </c>
      <c r="CC207" s="33"/>
      <c r="CD207" s="261" t="str">
        <f t="shared" si="123"/>
        <v/>
      </c>
      <c r="CE207" s="280" t="str">
        <f t="shared" si="167"/>
        <v/>
      </c>
      <c r="CF207" s="71" t="str">
        <f t="shared" ca="1" si="168"/>
        <v/>
      </c>
      <c r="CG207" s="33" t="str">
        <f t="shared" si="126"/>
        <v/>
      </c>
      <c r="CH207" s="261" t="str">
        <f t="shared" ca="1" si="127"/>
        <v/>
      </c>
    </row>
    <row r="208" spans="2:86" ht="13.5" customHeight="1" x14ac:dyDescent="0.2">
      <c r="B208" s="262">
        <v>108</v>
      </c>
      <c r="C208" s="237" t="str">
        <f t="shared" si="91"/>
        <v/>
      </c>
      <c r="D208" s="237" t="str">
        <f t="shared" si="147"/>
        <v/>
      </c>
      <c r="E208" s="263" t="str">
        <f t="shared" si="128"/>
        <v/>
      </c>
      <c r="F208" s="264" t="str">
        <f t="shared" si="129"/>
        <v/>
      </c>
      <c r="G208" s="264" t="str">
        <f t="shared" si="130"/>
        <v/>
      </c>
      <c r="H208" s="240" t="str">
        <f t="shared" si="149"/>
        <v/>
      </c>
      <c r="I208" s="265" t="str">
        <f t="shared" si="150"/>
        <v/>
      </c>
      <c r="J208" s="265" t="str">
        <f t="shared" si="151"/>
        <v/>
      </c>
      <c r="K208" s="240" t="str">
        <f t="shared" si="152"/>
        <v/>
      </c>
      <c r="L208" s="265" t="str">
        <f t="shared" si="153"/>
        <v/>
      </c>
      <c r="M208" s="265" t="str">
        <f t="shared" si="154"/>
        <v/>
      </c>
      <c r="N208" s="240" t="str">
        <f t="shared" si="155"/>
        <v>-</v>
      </c>
      <c r="O208" s="265" t="str">
        <f t="shared" si="156"/>
        <v>-</v>
      </c>
      <c r="P208" s="265" t="str">
        <f t="shared" si="157"/>
        <v>-</v>
      </c>
      <c r="Q208" s="266" t="str">
        <f t="shared" si="158"/>
        <v>-</v>
      </c>
      <c r="R208" s="267" t="str">
        <f t="shared" si="159"/>
        <v>-</v>
      </c>
      <c r="S208" s="268" t="str">
        <f t="shared" si="160"/>
        <v>-</v>
      </c>
      <c r="T208" s="269" t="str">
        <f t="shared" si="104"/>
        <v/>
      </c>
      <c r="U208" s="221">
        <f t="shared" si="105"/>
        <v>108</v>
      </c>
      <c r="V208" s="220" t="str">
        <f t="shared" si="131"/>
        <v>-</v>
      </c>
      <c r="W208" s="221" t="str">
        <f t="shared" si="132"/>
        <v>-</v>
      </c>
      <c r="X208" s="221" t="str">
        <f t="shared" si="106"/>
        <v>-</v>
      </c>
      <c r="Y208" s="221" t="str">
        <f t="shared" si="107"/>
        <v>-</v>
      </c>
      <c r="Z208" s="270">
        <f t="shared" si="133"/>
        <v>0.1</v>
      </c>
      <c r="AA208" s="271" t="str">
        <f>IFERROR(IF(V207=1,AA$100*EXP(-(LN(2)/$D$65+0.04)*X207)*EXP(-(LN(2)/$D$65+0.1)*Y207),IF(V207=2,AA$100*EXP(-(LN(2)/$D$65+0.04)*(VLOOKUP(($F$16-$F$15)-1,U$99:Y207,4,FALSE)))*EXP(-(LN(2)/$D$65+0.1)*(VLOOKUP(($F$16-$F$15)-1,U$99:Y207,5,FALSE)))*EXP(-(LN(2)/$D$65+0.04)*X207)*EXP(-(LN(2)/$D$65+0.1)*Y207),IF(V207=3,AA$100*EXP(-(LN(2)/$D$65+0.04)*(VLOOKUP(($F$16-$F$15)-1,U$99:Y207,4,FALSE)))*EXP(-(LN(2)/$D$65+0.1)*(VLOOKUP(($F$16-$F$15)-1,U$99:Y207,5,FALSE)))*EXP(-(LN(2)/$D$65+0.04)*(VLOOKUP(($F$16-$F$15)*2-1,U$99:Y207,4,FALSE)))*EXP(-(LN(2)/$D$65+0.1)*(VLOOKUP(($F$16-$F$15)*2-1,U$99:Y207,5,FALSE)))*EXP(-(LN(2)/$D$65+0.04)*X207)*EXP(-(LN(2)/$D$65+0.1)*Y207),"-"))),"-")</f>
        <v>-</v>
      </c>
      <c r="AB208" s="271" t="str">
        <f>IFERROR(IF(V208=1,AB$100*EXP(-(LN(2)/$D$65+0.04)*X208)*EXP(-(LN(2)/$D$65+0.1)*Y208),IF(V208=2,AB$100*EXP(-(LN(2)/$D$65+0.04)*(VLOOKUP(($F$16-$F$15)-1,U$100:Y208,4,FALSE)))*EXP(-(LN(2)/$D$65+0.1)*(VLOOKUP(($F$16-$F$15)-1,U$100:Y208,5,FALSE)))*EXP(-(LN(2)/$D$65+0.04)*X208)*EXP(-(LN(2)/$D$65+0.1)*Y208),IF(V208=3,AB$100*EXP(-(LN(2)/$D$65+0.04)*(VLOOKUP(($F$16-$F$15)-1,U$100:Y208,4,FALSE)))*EXP(-(LN(2)/$D$65+0.1)*(VLOOKUP(($F$16-$F$15)-1,U$100:Y208,5,FALSE)))*EXP(-(LN(2)/$D$65+0.04)*(VLOOKUP(($F$16-$F$15)*2-1,U$100:Y208,4,FALSE)))*EXP(-(LN(2)/$D$65+0.1)*(VLOOKUP(($F$16-$F$15)*2-1,U$100:Y208,5,FALSE)))*EXP(-(LN(2)/$D$65+0.04)*X208)*EXP(-(LN(2)/$D$65+0.1)*Y208),"-"))),"-")</f>
        <v>-</v>
      </c>
      <c r="AC208" s="224">
        <f t="shared" si="134"/>
        <v>108</v>
      </c>
      <c r="AD208" s="223" t="str">
        <f t="shared" si="108"/>
        <v>-</v>
      </c>
      <c r="AE208" s="224" t="str">
        <f t="shared" si="135"/>
        <v>-</v>
      </c>
      <c r="AF208" s="224" t="str">
        <f t="shared" si="109"/>
        <v>-</v>
      </c>
      <c r="AG208" s="224" t="str">
        <f t="shared" si="110"/>
        <v>-</v>
      </c>
      <c r="AH208" s="272">
        <f t="shared" si="136"/>
        <v>0.1</v>
      </c>
      <c r="AI208" s="271" t="str">
        <f>IFERROR(IF(AD207=1,AI$100*EXP(-(LN(2)/$D$65+0.04)*AF207)*EXP(-(LN(2)/$D$65+0.1)*AG207),IF(AD207=2,AI$100*EXP(-(LN(2)/$D$65+0.04)*(VLOOKUP(($F$16-$F$15)-1,AC$99:AG207,4,FALSE)))*EXP(-(LN(2)/$D$65+0.1)*(VLOOKUP(($F$16-$F$15)-1,AC$99:AG207,5,FALSE)))*EXP(-(LN(2)/$D$65+0.04)*AF207)*EXP(-(LN(2)/$D$65+0.1)*AG207),IF(AD207=3,AI$100*EXP(-(LN(2)/$D$65+0.04)*(VLOOKUP(($F$16-$F$15)-1,AC$99:AG207,4,FALSE)))*EXP(-(LN(2)/$D$65+0.1)*(VLOOKUP(($F$16-$F$15)-1,AC$99:AG207,5,FALSE)))*EXP(-(LN(2)/$D$65+0.04)*(VLOOKUP(($F$16-$F$15)*2-1,AC$99:AG207,4,FALSE)))*EXP(-(LN(2)/$D$65+0.1)*(VLOOKUP(($F$16-$F$15)*2-1,AC$99:AG207,5,FALSE)))*EXP(-(LN(2)/$D$65+0.04)*AF207)*EXP(-(LN(2)/$D$65+0.1)*AG207),"-"))),"-")</f>
        <v>-</v>
      </c>
      <c r="AJ208" s="271" t="str">
        <f>IFERROR(IF(AD208=1,AJ$100*EXP(-(LN(2)/$D$65+0.04)*AF208)*EXP(-(LN(2)/$D$65+0.1)*AG208),IF(AD208=2,AJ$100*EXP(-(LN(2)/$D$65+0.04)*(VLOOKUP(($F$16-$F$15)-1,AC$100:AG208,4,FALSE)))*EXP(-(LN(2)/$D$65+0.1)*(VLOOKUP(($F$16-$F$15)-1,AC$100:AG208,5,FALSE)))*EXP(-(LN(2)/$D$65+0.04)*AF208)*EXP(-(LN(2)/$D$65+0.1)*AG208),IF(AD208=3,AJ$100*EXP(-(LN(2)/$D$65+0.04)*(VLOOKUP(($F$16-$F$15)-1,AC$100:AG208,4,FALSE)))*EXP(-(LN(2)/$D$65+0.1)*(VLOOKUP(($F$16-$F$15)-1,AC$100:AG208,5,FALSE)))*EXP(-(LN(2)/$D$65+0.04)*(VLOOKUP(($F$16-$F$15)*2-1,AC$100:AG208,4,FALSE)))*EXP(-(LN(2)/$D$65+0.1)*(VLOOKUP(($F$16-$F$15)*2-1,AC$100:AG208,5,FALSE)))*EXP(-(LN(2)/$D$65+0.04)*AF208)*EXP(-(LN(2)/$D$65+0.1)*AG208),"-"))),"-")</f>
        <v>-</v>
      </c>
      <c r="AK208" s="227">
        <f t="shared" si="137"/>
        <v>108</v>
      </c>
      <c r="AL208" s="226" t="str">
        <f t="shared" si="111"/>
        <v>-</v>
      </c>
      <c r="AM208" s="227" t="str">
        <f t="shared" si="138"/>
        <v>-</v>
      </c>
      <c r="AN208" s="227" t="str">
        <f t="shared" si="139"/>
        <v>-</v>
      </c>
      <c r="AO208" s="227" t="str">
        <f t="shared" si="112"/>
        <v>-</v>
      </c>
      <c r="AP208" s="273">
        <f t="shared" si="140"/>
        <v>0.1</v>
      </c>
      <c r="AQ208" s="271" t="str">
        <f>IFERROR(IF(AL207=1,AQ$100*EXP(-(LN(2)/$D$65+0.04)*AN207)*EXP(-(LN(2)/$D$65+0.1)*AO207),IF(AL207=2,AQ$100*EXP(-(LN(2)/$D$65+0.04)*(VLOOKUP(($F$16-$F$15)-1,AK$99:AO207,4,FALSE)))*EXP(-(LN(2)/$D$65+0.1)*(VLOOKUP(($F$16-$F$15)-1,AK$99:AO207,5,FALSE)))*EXP(-(LN(2)/$D$65+0.04)*AN207)*EXP(-(LN(2)/$D$65+0.1)*AO207),IF(AL207=3,AQ$100*EXP(-(LN(2)/$D$65+0.04)*(VLOOKUP(($F$16-$F$15)-1,AK$99:AO207,4,FALSE)))*EXP(-(LN(2)/$D$65+0.1)*(VLOOKUP(($F$16-$F$15)-1,AK$99:AO207,5,FALSE)))*EXP(-(LN(2)/$D$65+0.04)*(VLOOKUP(($F$16-$F$15)*2-1,AK$99:AO207,4,FALSE)))*EXP(-(LN(2)/$D$65+0.1)*(VLOOKUP(($F$16-$F$15)*2-1,AK$99:AO207,5,FALSE)))*EXP(-(LN(2)/$D$65+0.04)*AN207)*EXP(-(LN(2)/$D$65+0.1)*AO207),"-"))),"-")</f>
        <v>-</v>
      </c>
      <c r="AR208" s="271" t="str">
        <f>IFERROR(IF(AL208=1,AR$100*EXP(-(LN(2)/$D$65+0.04)*AN208)*EXP(-(LN(2)/$D$65+0.1)*AO208),IF(AL208=2,AR$100*EXP(-(LN(2)/$D$65+0.04)*(VLOOKUP(($F$16-$F$15)-1,AK$100:AO208,4,FALSE)))*EXP(-(LN(2)/$D$65+0.1)*(VLOOKUP(($F$16-$F$15)-1,AK$100:AO208,5,FALSE)))*EXP(-(LN(2)/$D$65+0.04)*AN208)*EXP(-(LN(2)/$D$65+0.1)*AO208),IF(AL208=3,AR$100*EXP(-(LN(2)/$D$65+0.04)*(VLOOKUP(($F$16-$F$15)-1,AK$100:AO208,4,FALSE)))*EXP(-(LN(2)/$D$65+0.1)*(VLOOKUP(($F$16-$F$15)-1,AK$100:AO208,5,FALSE)))*EXP(-(LN(2)/$D$65+0.04)*(VLOOKUP(($F$16-$F$15)*2-1,AK$100:AO208,4,FALSE)))*EXP(-(LN(2)/$D$65+0.1)*(VLOOKUP(($F$16-$F$15)*2-1,AK$100:AO208,5,FALSE)))*EXP(-(LN(2)/$D$65+0.04)*AN208)*EXP(-(LN(2)/$D$65+0.1)*AO208),"-"))),"-")</f>
        <v>-</v>
      </c>
      <c r="AS208" s="274">
        <f t="shared" si="113"/>
        <v>0</v>
      </c>
      <c r="AT208" s="274">
        <f t="shared" si="114"/>
        <v>0</v>
      </c>
      <c r="AU208" s="274">
        <f t="shared" si="115"/>
        <v>0</v>
      </c>
      <c r="AV208" s="190" t="str">
        <f>IF($B208&lt;$F$22,SUM($T$100:$T208),"")</f>
        <v/>
      </c>
      <c r="AW208" s="190" t="str">
        <f t="shared" si="161"/>
        <v>-</v>
      </c>
      <c r="AX208" s="190" t="str">
        <f t="shared" si="141"/>
        <v/>
      </c>
      <c r="AY208"/>
      <c r="AZ208" s="190" t="str">
        <f ca="1">IF(ISNUMBER(OFFSET(AV208,-$F$21,0)),SUM(OFFSET($T$100,$F$21,0):$T208),"")</f>
        <v/>
      </c>
      <c r="BA208" s="190" t="str">
        <f t="shared" ca="1" si="162"/>
        <v/>
      </c>
      <c r="BB208" s="190" t="str">
        <f t="shared" ca="1" si="148"/>
        <v/>
      </c>
      <c r="BC208" s="190"/>
      <c r="BD208" s="190" t="str">
        <f ca="1">IFERROR(IF(OR(ISNUMBER(I),ISNUMBER($F$14)),IF(AND($B208&gt;=($F$16-$F$15),$B208&lt;$F$22+($F$16-$F$15)),SUM(OFFSET($T$100,($F$16-$F$15),0):$T208),""),""),"")</f>
        <v/>
      </c>
      <c r="BE208" s="190" t="str">
        <f t="shared" ca="1" si="142"/>
        <v/>
      </c>
      <c r="BF208" s="190" t="str">
        <f t="shared" ca="1" si="143"/>
        <v/>
      </c>
      <c r="BG208"/>
      <c r="BH208" s="190" t="str">
        <f ca="1">IF(ISNUMBER(OFFSET(BD208,-$F$21,0)),SUM(OFFSET($T$100,($F$16-$F$15+$F$21),0):$T208),"")</f>
        <v/>
      </c>
      <c r="BI208" s="190" t="str">
        <f t="shared" ca="1" si="163"/>
        <v/>
      </c>
      <c r="BJ208" s="190" t="str">
        <f t="shared" ca="1" si="144"/>
        <v/>
      </c>
      <c r="BK208" s="190"/>
      <c r="BL208" s="190" t="str">
        <f ca="1">IFERROR(IF(OR(ISNUMBER(I),ISNUMBER($F$14)),IF(AND($B208&gt;=($F$17-$F$15),$B208&lt;$F$22+($F$17-$F$15)),SUM(OFFSET($T$100,($F$17-$F$15),0):$T208),""),""),"")</f>
        <v/>
      </c>
      <c r="BM208" s="190" t="str">
        <f t="shared" ca="1" si="164"/>
        <v/>
      </c>
      <c r="BN208" s="190" t="str">
        <f t="shared" ca="1" si="145"/>
        <v/>
      </c>
      <c r="BO208"/>
      <c r="BP208" s="190" t="str">
        <f ca="1">IF(ISNUMBER(OFFSET(BL208,-$F$21,0)),SUM(OFFSET($T$100,($F$17-$F$15+$F$21),0):$T208),"")</f>
        <v/>
      </c>
      <c r="BQ208" s="190" t="str">
        <f t="shared" ca="1" si="165"/>
        <v/>
      </c>
      <c r="BR208" s="190" t="str">
        <f t="shared" ca="1" si="146"/>
        <v/>
      </c>
      <c r="BS208" s="190"/>
      <c r="BT208"/>
      <c r="BU208"/>
      <c r="BV208"/>
      <c r="BY208" s="99"/>
      <c r="BZ208" s="99"/>
      <c r="CA208" s="280" t="str">
        <f t="shared" si="166"/>
        <v/>
      </c>
      <c r="CB208" s="71" t="str">
        <f t="shared" si="122"/>
        <v>-</v>
      </c>
      <c r="CC208" s="33"/>
      <c r="CD208" s="261" t="str">
        <f t="shared" si="123"/>
        <v/>
      </c>
      <c r="CE208" s="280" t="str">
        <f t="shared" si="167"/>
        <v/>
      </c>
      <c r="CF208" s="71" t="str">
        <f t="shared" ca="1" si="168"/>
        <v/>
      </c>
      <c r="CG208" s="33" t="str">
        <f t="shared" si="126"/>
        <v/>
      </c>
      <c r="CH208" s="261" t="str">
        <f t="shared" ca="1" si="127"/>
        <v/>
      </c>
    </row>
    <row r="209" spans="2:86" ht="13.5" customHeight="1" x14ac:dyDescent="0.2">
      <c r="B209" s="262">
        <v>109</v>
      </c>
      <c r="C209" s="237" t="str">
        <f t="shared" si="91"/>
        <v/>
      </c>
      <c r="D209" s="237" t="str">
        <f t="shared" si="147"/>
        <v/>
      </c>
      <c r="E209" s="263" t="str">
        <f t="shared" si="128"/>
        <v/>
      </c>
      <c r="F209" s="264" t="str">
        <f t="shared" si="129"/>
        <v/>
      </c>
      <c r="G209" s="264" t="str">
        <f t="shared" si="130"/>
        <v/>
      </c>
      <c r="H209" s="240" t="str">
        <f t="shared" si="149"/>
        <v/>
      </c>
      <c r="I209" s="265" t="str">
        <f t="shared" si="150"/>
        <v/>
      </c>
      <c r="J209" s="265" t="str">
        <f t="shared" si="151"/>
        <v/>
      </c>
      <c r="K209" s="240" t="str">
        <f t="shared" si="152"/>
        <v/>
      </c>
      <c r="L209" s="265" t="str">
        <f t="shared" si="153"/>
        <v/>
      </c>
      <c r="M209" s="265" t="str">
        <f t="shared" si="154"/>
        <v/>
      </c>
      <c r="N209" s="240" t="str">
        <f t="shared" si="155"/>
        <v>-</v>
      </c>
      <c r="O209" s="265" t="str">
        <f t="shared" si="156"/>
        <v>-</v>
      </c>
      <c r="P209" s="265" t="str">
        <f t="shared" si="157"/>
        <v>-</v>
      </c>
      <c r="Q209" s="266" t="str">
        <f t="shared" si="158"/>
        <v>-</v>
      </c>
      <c r="R209" s="267" t="str">
        <f t="shared" si="159"/>
        <v>-</v>
      </c>
      <c r="S209" s="268" t="str">
        <f t="shared" si="160"/>
        <v>-</v>
      </c>
      <c r="T209" s="269" t="str">
        <f t="shared" si="104"/>
        <v/>
      </c>
      <c r="U209" s="221">
        <f t="shared" si="105"/>
        <v>109</v>
      </c>
      <c r="V209" s="220" t="str">
        <f t="shared" si="131"/>
        <v>-</v>
      </c>
      <c r="W209" s="221" t="str">
        <f t="shared" si="132"/>
        <v>-</v>
      </c>
      <c r="X209" s="221" t="str">
        <f t="shared" si="106"/>
        <v>-</v>
      </c>
      <c r="Y209" s="221" t="str">
        <f t="shared" si="107"/>
        <v>-</v>
      </c>
      <c r="Z209" s="270">
        <f t="shared" si="133"/>
        <v>0.1</v>
      </c>
      <c r="AA209" s="271" t="str">
        <f>IFERROR(IF(V208=1,AA$100*EXP(-(LN(2)/$D$65+0.04)*X208)*EXP(-(LN(2)/$D$65+0.1)*Y208),IF(V208=2,AA$100*EXP(-(LN(2)/$D$65+0.04)*(VLOOKUP(($F$16-$F$15)-1,U$99:Y208,4,FALSE)))*EXP(-(LN(2)/$D$65+0.1)*(VLOOKUP(($F$16-$F$15)-1,U$99:Y208,5,FALSE)))*EXP(-(LN(2)/$D$65+0.04)*X208)*EXP(-(LN(2)/$D$65+0.1)*Y208),IF(V208=3,AA$100*EXP(-(LN(2)/$D$65+0.04)*(VLOOKUP(($F$16-$F$15)-1,U$99:Y208,4,FALSE)))*EXP(-(LN(2)/$D$65+0.1)*(VLOOKUP(($F$16-$F$15)-1,U$99:Y208,5,FALSE)))*EXP(-(LN(2)/$D$65+0.04)*(VLOOKUP(($F$16-$F$15)*2-1,U$99:Y208,4,FALSE)))*EXP(-(LN(2)/$D$65+0.1)*(VLOOKUP(($F$16-$F$15)*2-1,U$99:Y208,5,FALSE)))*EXP(-(LN(2)/$D$65+0.04)*X208)*EXP(-(LN(2)/$D$65+0.1)*Y208),"-"))),"-")</f>
        <v>-</v>
      </c>
      <c r="AB209" s="271" t="str">
        <f>IFERROR(IF(V209=1,AB$100*EXP(-(LN(2)/$D$65+0.04)*X209)*EXP(-(LN(2)/$D$65+0.1)*Y209),IF(V209=2,AB$100*EXP(-(LN(2)/$D$65+0.04)*(VLOOKUP(($F$16-$F$15)-1,U$100:Y209,4,FALSE)))*EXP(-(LN(2)/$D$65+0.1)*(VLOOKUP(($F$16-$F$15)-1,U$100:Y209,5,FALSE)))*EXP(-(LN(2)/$D$65+0.04)*X209)*EXP(-(LN(2)/$D$65+0.1)*Y209),IF(V209=3,AB$100*EXP(-(LN(2)/$D$65+0.04)*(VLOOKUP(($F$16-$F$15)-1,U$100:Y209,4,FALSE)))*EXP(-(LN(2)/$D$65+0.1)*(VLOOKUP(($F$16-$F$15)-1,U$100:Y209,5,FALSE)))*EXP(-(LN(2)/$D$65+0.04)*(VLOOKUP(($F$16-$F$15)*2-1,U$100:Y209,4,FALSE)))*EXP(-(LN(2)/$D$65+0.1)*(VLOOKUP(($F$16-$F$15)*2-1,U$100:Y209,5,FALSE)))*EXP(-(LN(2)/$D$65+0.04)*X209)*EXP(-(LN(2)/$D$65+0.1)*Y209),"-"))),"-")</f>
        <v>-</v>
      </c>
      <c r="AC209" s="224">
        <f t="shared" si="134"/>
        <v>109</v>
      </c>
      <c r="AD209" s="223" t="str">
        <f t="shared" si="108"/>
        <v>-</v>
      </c>
      <c r="AE209" s="224" t="str">
        <f t="shared" si="135"/>
        <v>-</v>
      </c>
      <c r="AF209" s="224" t="str">
        <f t="shared" si="109"/>
        <v>-</v>
      </c>
      <c r="AG209" s="224" t="str">
        <f t="shared" si="110"/>
        <v>-</v>
      </c>
      <c r="AH209" s="272">
        <f t="shared" si="136"/>
        <v>0.1</v>
      </c>
      <c r="AI209" s="271" t="str">
        <f>IFERROR(IF(AD208=1,AI$100*EXP(-(LN(2)/$D$65+0.04)*AF208)*EXP(-(LN(2)/$D$65+0.1)*AG208),IF(AD208=2,AI$100*EXP(-(LN(2)/$D$65+0.04)*(VLOOKUP(($F$16-$F$15)-1,AC$99:AG208,4,FALSE)))*EXP(-(LN(2)/$D$65+0.1)*(VLOOKUP(($F$16-$F$15)-1,AC$99:AG208,5,FALSE)))*EXP(-(LN(2)/$D$65+0.04)*AF208)*EXP(-(LN(2)/$D$65+0.1)*AG208),IF(AD208=3,AI$100*EXP(-(LN(2)/$D$65+0.04)*(VLOOKUP(($F$16-$F$15)-1,AC$99:AG208,4,FALSE)))*EXP(-(LN(2)/$D$65+0.1)*(VLOOKUP(($F$16-$F$15)-1,AC$99:AG208,5,FALSE)))*EXP(-(LN(2)/$D$65+0.04)*(VLOOKUP(($F$16-$F$15)*2-1,AC$99:AG208,4,FALSE)))*EXP(-(LN(2)/$D$65+0.1)*(VLOOKUP(($F$16-$F$15)*2-1,AC$99:AG208,5,FALSE)))*EXP(-(LN(2)/$D$65+0.04)*AF208)*EXP(-(LN(2)/$D$65+0.1)*AG208),"-"))),"-")</f>
        <v>-</v>
      </c>
      <c r="AJ209" s="271" t="str">
        <f>IFERROR(IF(AD209=1,AJ$100*EXP(-(LN(2)/$D$65+0.04)*AF209)*EXP(-(LN(2)/$D$65+0.1)*AG209),IF(AD209=2,AJ$100*EXP(-(LN(2)/$D$65+0.04)*(VLOOKUP(($F$16-$F$15)-1,AC$100:AG209,4,FALSE)))*EXP(-(LN(2)/$D$65+0.1)*(VLOOKUP(($F$16-$F$15)-1,AC$100:AG209,5,FALSE)))*EXP(-(LN(2)/$D$65+0.04)*AF209)*EXP(-(LN(2)/$D$65+0.1)*AG209),IF(AD209=3,AJ$100*EXP(-(LN(2)/$D$65+0.04)*(VLOOKUP(($F$16-$F$15)-1,AC$100:AG209,4,FALSE)))*EXP(-(LN(2)/$D$65+0.1)*(VLOOKUP(($F$16-$F$15)-1,AC$100:AG209,5,FALSE)))*EXP(-(LN(2)/$D$65+0.04)*(VLOOKUP(($F$16-$F$15)*2-1,AC$100:AG209,4,FALSE)))*EXP(-(LN(2)/$D$65+0.1)*(VLOOKUP(($F$16-$F$15)*2-1,AC$100:AG209,5,FALSE)))*EXP(-(LN(2)/$D$65+0.04)*AF209)*EXP(-(LN(2)/$D$65+0.1)*AG209),"-"))),"-")</f>
        <v>-</v>
      </c>
      <c r="AK209" s="227">
        <f t="shared" si="137"/>
        <v>109</v>
      </c>
      <c r="AL209" s="226" t="str">
        <f t="shared" si="111"/>
        <v>-</v>
      </c>
      <c r="AM209" s="227" t="str">
        <f t="shared" si="138"/>
        <v>-</v>
      </c>
      <c r="AN209" s="227" t="str">
        <f t="shared" si="139"/>
        <v>-</v>
      </c>
      <c r="AO209" s="227" t="str">
        <f t="shared" si="112"/>
        <v>-</v>
      </c>
      <c r="AP209" s="273">
        <f t="shared" si="140"/>
        <v>0.1</v>
      </c>
      <c r="AQ209" s="271" t="str">
        <f>IFERROR(IF(AL208=1,AQ$100*EXP(-(LN(2)/$D$65+0.04)*AN208)*EXP(-(LN(2)/$D$65+0.1)*AO208),IF(AL208=2,AQ$100*EXP(-(LN(2)/$D$65+0.04)*(VLOOKUP(($F$16-$F$15)-1,AK$99:AO208,4,FALSE)))*EXP(-(LN(2)/$D$65+0.1)*(VLOOKUP(($F$16-$F$15)-1,AK$99:AO208,5,FALSE)))*EXP(-(LN(2)/$D$65+0.04)*AN208)*EXP(-(LN(2)/$D$65+0.1)*AO208),IF(AL208=3,AQ$100*EXP(-(LN(2)/$D$65+0.04)*(VLOOKUP(($F$16-$F$15)-1,AK$99:AO208,4,FALSE)))*EXP(-(LN(2)/$D$65+0.1)*(VLOOKUP(($F$16-$F$15)-1,AK$99:AO208,5,FALSE)))*EXP(-(LN(2)/$D$65+0.04)*(VLOOKUP(($F$16-$F$15)*2-1,AK$99:AO208,4,FALSE)))*EXP(-(LN(2)/$D$65+0.1)*(VLOOKUP(($F$16-$F$15)*2-1,AK$99:AO208,5,FALSE)))*EXP(-(LN(2)/$D$65+0.04)*AN208)*EXP(-(LN(2)/$D$65+0.1)*AO208),"-"))),"-")</f>
        <v>-</v>
      </c>
      <c r="AR209" s="271" t="str">
        <f>IFERROR(IF(AL209=1,AR$100*EXP(-(LN(2)/$D$65+0.04)*AN209)*EXP(-(LN(2)/$D$65+0.1)*AO209),IF(AL209=2,AR$100*EXP(-(LN(2)/$D$65+0.04)*(VLOOKUP(($F$16-$F$15)-1,AK$100:AO209,4,FALSE)))*EXP(-(LN(2)/$D$65+0.1)*(VLOOKUP(($F$16-$F$15)-1,AK$100:AO209,5,FALSE)))*EXP(-(LN(2)/$D$65+0.04)*AN209)*EXP(-(LN(2)/$D$65+0.1)*AO209),IF(AL209=3,AR$100*EXP(-(LN(2)/$D$65+0.04)*(VLOOKUP(($F$16-$F$15)-1,AK$100:AO209,4,FALSE)))*EXP(-(LN(2)/$D$65+0.1)*(VLOOKUP(($F$16-$F$15)-1,AK$100:AO209,5,FALSE)))*EXP(-(LN(2)/$D$65+0.04)*(VLOOKUP(($F$16-$F$15)*2-1,AK$100:AO209,4,FALSE)))*EXP(-(LN(2)/$D$65+0.1)*(VLOOKUP(($F$16-$F$15)*2-1,AK$100:AO209,5,FALSE)))*EXP(-(LN(2)/$D$65+0.04)*AN209)*EXP(-(LN(2)/$D$65+0.1)*AO209),"-"))),"-")</f>
        <v>-</v>
      </c>
      <c r="AS209" s="274">
        <f t="shared" si="113"/>
        <v>0</v>
      </c>
      <c r="AT209" s="274">
        <f t="shared" si="114"/>
        <v>0</v>
      </c>
      <c r="AU209" s="274">
        <f t="shared" si="115"/>
        <v>0</v>
      </c>
      <c r="AV209" s="190" t="str">
        <f>IF($B209&lt;$F$22,SUM($T$100:$T209),"")</f>
        <v/>
      </c>
      <c r="AW209" s="190" t="str">
        <f t="shared" si="161"/>
        <v>-</v>
      </c>
      <c r="AX209" s="190" t="str">
        <f t="shared" si="141"/>
        <v/>
      </c>
      <c r="AY209"/>
      <c r="AZ209" s="190" t="str">
        <f ca="1">IF(ISNUMBER(OFFSET(AV209,-$F$21,0)),SUM(OFFSET($T$100,$F$21,0):$T209),"")</f>
        <v/>
      </c>
      <c r="BA209" s="190" t="str">
        <f t="shared" ca="1" si="162"/>
        <v/>
      </c>
      <c r="BB209" s="190" t="str">
        <f t="shared" ca="1" si="148"/>
        <v/>
      </c>
      <c r="BC209" s="190"/>
      <c r="BD209" s="190" t="str">
        <f ca="1">IFERROR(IF(OR(ISNUMBER(I),ISNUMBER($F$14)),IF(AND($B209&gt;=($F$16-$F$15),$B209&lt;$F$22+($F$16-$F$15)),SUM(OFFSET($T$100,($F$16-$F$15),0):$T209),""),""),"")</f>
        <v/>
      </c>
      <c r="BE209" s="190" t="str">
        <f t="shared" ca="1" si="142"/>
        <v/>
      </c>
      <c r="BF209" s="190" t="str">
        <f t="shared" ca="1" si="143"/>
        <v/>
      </c>
      <c r="BG209"/>
      <c r="BH209" s="190" t="str">
        <f ca="1">IF(ISNUMBER(OFFSET(BD209,-$F$21,0)),SUM(OFFSET($T$100,($F$16-$F$15+$F$21),0):$T209),"")</f>
        <v/>
      </c>
      <c r="BI209" s="190" t="str">
        <f t="shared" ca="1" si="163"/>
        <v/>
      </c>
      <c r="BJ209" s="190" t="str">
        <f t="shared" ca="1" si="144"/>
        <v/>
      </c>
      <c r="BK209" s="190"/>
      <c r="BL209" s="190" t="str">
        <f ca="1">IFERROR(IF(OR(ISNUMBER(I),ISNUMBER($F$14)),IF(AND($B209&gt;=($F$17-$F$15),$B209&lt;$F$22+($F$17-$F$15)),SUM(OFFSET($T$100,($F$17-$F$15),0):$T209),""),""),"")</f>
        <v/>
      </c>
      <c r="BM209" s="190" t="str">
        <f t="shared" ca="1" si="164"/>
        <v/>
      </c>
      <c r="BN209" s="190" t="str">
        <f t="shared" ca="1" si="145"/>
        <v/>
      </c>
      <c r="BO209"/>
      <c r="BP209" s="190" t="str">
        <f ca="1">IF(ISNUMBER(OFFSET(BL209,-$F$21,0)),SUM(OFFSET($T$100,($F$17-$F$15+$F$21),0):$T209),"")</f>
        <v/>
      </c>
      <c r="BQ209" s="190" t="str">
        <f t="shared" ca="1" si="165"/>
        <v/>
      </c>
      <c r="BR209" s="190" t="str">
        <f t="shared" ca="1" si="146"/>
        <v/>
      </c>
      <c r="BS209" s="190"/>
      <c r="BT209"/>
      <c r="BU209"/>
      <c r="BV209"/>
      <c r="BY209" s="99"/>
      <c r="BZ209" s="99"/>
      <c r="CA209" s="280" t="str">
        <f t="shared" si="166"/>
        <v/>
      </c>
      <c r="CB209" s="71" t="str">
        <f t="shared" si="122"/>
        <v>-</v>
      </c>
      <c r="CC209" s="33"/>
      <c r="CD209" s="261" t="str">
        <f t="shared" si="123"/>
        <v/>
      </c>
      <c r="CE209" s="280" t="str">
        <f t="shared" si="167"/>
        <v/>
      </c>
      <c r="CF209" s="71" t="str">
        <f t="shared" ca="1" si="168"/>
        <v/>
      </c>
      <c r="CG209" s="33" t="str">
        <f t="shared" si="126"/>
        <v/>
      </c>
      <c r="CH209" s="261" t="str">
        <f t="shared" ca="1" si="127"/>
        <v/>
      </c>
    </row>
    <row r="210" spans="2:86" ht="13.5" customHeight="1" x14ac:dyDescent="0.2">
      <c r="B210" s="262">
        <v>110</v>
      </c>
      <c r="C210" s="237" t="str">
        <f t="shared" si="91"/>
        <v/>
      </c>
      <c r="D210" s="237" t="str">
        <f t="shared" si="147"/>
        <v/>
      </c>
      <c r="E210" s="263" t="str">
        <f t="shared" si="128"/>
        <v/>
      </c>
      <c r="F210" s="264" t="str">
        <f t="shared" si="129"/>
        <v/>
      </c>
      <c r="G210" s="264" t="str">
        <f t="shared" si="130"/>
        <v/>
      </c>
      <c r="H210" s="240" t="str">
        <f t="shared" si="149"/>
        <v/>
      </c>
      <c r="I210" s="265" t="str">
        <f t="shared" si="150"/>
        <v/>
      </c>
      <c r="J210" s="265" t="str">
        <f t="shared" si="151"/>
        <v/>
      </c>
      <c r="K210" s="240" t="str">
        <f t="shared" si="152"/>
        <v/>
      </c>
      <c r="L210" s="265" t="str">
        <f t="shared" si="153"/>
        <v/>
      </c>
      <c r="M210" s="265" t="str">
        <f t="shared" si="154"/>
        <v/>
      </c>
      <c r="N210" s="240" t="str">
        <f t="shared" si="155"/>
        <v>-</v>
      </c>
      <c r="O210" s="265" t="str">
        <f t="shared" si="156"/>
        <v>-</v>
      </c>
      <c r="P210" s="265" t="str">
        <f t="shared" si="157"/>
        <v>-</v>
      </c>
      <c r="Q210" s="266" t="str">
        <f t="shared" si="158"/>
        <v>-</v>
      </c>
      <c r="R210" s="267" t="str">
        <f t="shared" si="159"/>
        <v>-</v>
      </c>
      <c r="S210" s="268" t="str">
        <f t="shared" si="160"/>
        <v>-</v>
      </c>
      <c r="T210" s="269" t="str">
        <f t="shared" si="104"/>
        <v/>
      </c>
      <c r="U210" s="221">
        <f t="shared" si="105"/>
        <v>110</v>
      </c>
      <c r="V210" s="220" t="str">
        <f t="shared" si="131"/>
        <v>-</v>
      </c>
      <c r="W210" s="221" t="str">
        <f t="shared" si="132"/>
        <v>-</v>
      </c>
      <c r="X210" s="221" t="str">
        <f t="shared" si="106"/>
        <v>-</v>
      </c>
      <c r="Y210" s="221" t="str">
        <f t="shared" si="107"/>
        <v>-</v>
      </c>
      <c r="Z210" s="270">
        <f t="shared" si="133"/>
        <v>0.1</v>
      </c>
      <c r="AA210" s="271" t="str">
        <f>IFERROR(IF(V209=1,AA$100*EXP(-(LN(2)/$D$65+0.04)*X209)*EXP(-(LN(2)/$D$65+0.1)*Y209),IF(V209=2,AA$100*EXP(-(LN(2)/$D$65+0.04)*(VLOOKUP(($F$16-$F$15)-1,U$99:Y209,4,FALSE)))*EXP(-(LN(2)/$D$65+0.1)*(VLOOKUP(($F$16-$F$15)-1,U$99:Y209,5,FALSE)))*EXP(-(LN(2)/$D$65+0.04)*X209)*EXP(-(LN(2)/$D$65+0.1)*Y209),IF(V209=3,AA$100*EXP(-(LN(2)/$D$65+0.04)*(VLOOKUP(($F$16-$F$15)-1,U$99:Y209,4,FALSE)))*EXP(-(LN(2)/$D$65+0.1)*(VLOOKUP(($F$16-$F$15)-1,U$99:Y209,5,FALSE)))*EXP(-(LN(2)/$D$65+0.04)*(VLOOKUP(($F$16-$F$15)*2-1,U$99:Y209,4,FALSE)))*EXP(-(LN(2)/$D$65+0.1)*(VLOOKUP(($F$16-$F$15)*2-1,U$99:Y209,5,FALSE)))*EXP(-(LN(2)/$D$65+0.04)*X209)*EXP(-(LN(2)/$D$65+0.1)*Y209),"-"))),"-")</f>
        <v>-</v>
      </c>
      <c r="AB210" s="271" t="str">
        <f>IFERROR(IF(V210=1,AB$100*EXP(-(LN(2)/$D$65+0.04)*X210)*EXP(-(LN(2)/$D$65+0.1)*Y210),IF(V210=2,AB$100*EXP(-(LN(2)/$D$65+0.04)*(VLOOKUP(($F$16-$F$15)-1,U$100:Y210,4,FALSE)))*EXP(-(LN(2)/$D$65+0.1)*(VLOOKUP(($F$16-$F$15)-1,U$100:Y210,5,FALSE)))*EXP(-(LN(2)/$D$65+0.04)*X210)*EXP(-(LN(2)/$D$65+0.1)*Y210),IF(V210=3,AB$100*EXP(-(LN(2)/$D$65+0.04)*(VLOOKUP(($F$16-$F$15)-1,U$100:Y210,4,FALSE)))*EXP(-(LN(2)/$D$65+0.1)*(VLOOKUP(($F$16-$F$15)-1,U$100:Y210,5,FALSE)))*EXP(-(LN(2)/$D$65+0.04)*(VLOOKUP(($F$16-$F$15)*2-1,U$100:Y210,4,FALSE)))*EXP(-(LN(2)/$D$65+0.1)*(VLOOKUP(($F$16-$F$15)*2-1,U$100:Y210,5,FALSE)))*EXP(-(LN(2)/$D$65+0.04)*X210)*EXP(-(LN(2)/$D$65+0.1)*Y210),"-"))),"-")</f>
        <v>-</v>
      </c>
      <c r="AC210" s="224">
        <f t="shared" si="134"/>
        <v>110</v>
      </c>
      <c r="AD210" s="223" t="str">
        <f t="shared" si="108"/>
        <v>-</v>
      </c>
      <c r="AE210" s="224" t="str">
        <f t="shared" si="135"/>
        <v>-</v>
      </c>
      <c r="AF210" s="224" t="str">
        <f t="shared" si="109"/>
        <v>-</v>
      </c>
      <c r="AG210" s="224" t="str">
        <f t="shared" si="110"/>
        <v>-</v>
      </c>
      <c r="AH210" s="272">
        <f t="shared" si="136"/>
        <v>0.1</v>
      </c>
      <c r="AI210" s="271" t="str">
        <f>IFERROR(IF(AD209=1,AI$100*EXP(-(LN(2)/$D$65+0.04)*AF209)*EXP(-(LN(2)/$D$65+0.1)*AG209),IF(AD209=2,AI$100*EXP(-(LN(2)/$D$65+0.04)*(VLOOKUP(($F$16-$F$15)-1,AC$99:AG209,4,FALSE)))*EXP(-(LN(2)/$D$65+0.1)*(VLOOKUP(($F$16-$F$15)-1,AC$99:AG209,5,FALSE)))*EXP(-(LN(2)/$D$65+0.04)*AF209)*EXP(-(LN(2)/$D$65+0.1)*AG209),IF(AD209=3,AI$100*EXP(-(LN(2)/$D$65+0.04)*(VLOOKUP(($F$16-$F$15)-1,AC$99:AG209,4,FALSE)))*EXP(-(LN(2)/$D$65+0.1)*(VLOOKUP(($F$16-$F$15)-1,AC$99:AG209,5,FALSE)))*EXP(-(LN(2)/$D$65+0.04)*(VLOOKUP(($F$16-$F$15)*2-1,AC$99:AG209,4,FALSE)))*EXP(-(LN(2)/$D$65+0.1)*(VLOOKUP(($F$16-$F$15)*2-1,AC$99:AG209,5,FALSE)))*EXP(-(LN(2)/$D$65+0.04)*AF209)*EXP(-(LN(2)/$D$65+0.1)*AG209),"-"))),"-")</f>
        <v>-</v>
      </c>
      <c r="AJ210" s="271" t="str">
        <f>IFERROR(IF(AD210=1,AJ$100*EXP(-(LN(2)/$D$65+0.04)*AF210)*EXP(-(LN(2)/$D$65+0.1)*AG210),IF(AD210=2,AJ$100*EXP(-(LN(2)/$D$65+0.04)*(VLOOKUP(($F$16-$F$15)-1,AC$100:AG210,4,FALSE)))*EXP(-(LN(2)/$D$65+0.1)*(VLOOKUP(($F$16-$F$15)-1,AC$100:AG210,5,FALSE)))*EXP(-(LN(2)/$D$65+0.04)*AF210)*EXP(-(LN(2)/$D$65+0.1)*AG210),IF(AD210=3,AJ$100*EXP(-(LN(2)/$D$65+0.04)*(VLOOKUP(($F$16-$F$15)-1,AC$100:AG210,4,FALSE)))*EXP(-(LN(2)/$D$65+0.1)*(VLOOKUP(($F$16-$F$15)-1,AC$100:AG210,5,FALSE)))*EXP(-(LN(2)/$D$65+0.04)*(VLOOKUP(($F$16-$F$15)*2-1,AC$100:AG210,4,FALSE)))*EXP(-(LN(2)/$D$65+0.1)*(VLOOKUP(($F$16-$F$15)*2-1,AC$100:AG210,5,FALSE)))*EXP(-(LN(2)/$D$65+0.04)*AF210)*EXP(-(LN(2)/$D$65+0.1)*AG210),"-"))),"-")</f>
        <v>-</v>
      </c>
      <c r="AK210" s="227">
        <f t="shared" si="137"/>
        <v>110</v>
      </c>
      <c r="AL210" s="226" t="str">
        <f t="shared" si="111"/>
        <v>-</v>
      </c>
      <c r="AM210" s="227" t="str">
        <f t="shared" si="138"/>
        <v>-</v>
      </c>
      <c r="AN210" s="227" t="str">
        <f t="shared" si="139"/>
        <v>-</v>
      </c>
      <c r="AO210" s="227" t="str">
        <f t="shared" si="112"/>
        <v>-</v>
      </c>
      <c r="AP210" s="273">
        <f t="shared" si="140"/>
        <v>0.1</v>
      </c>
      <c r="AQ210" s="271" t="str">
        <f>IFERROR(IF(AL209=1,AQ$100*EXP(-(LN(2)/$D$65+0.04)*AN209)*EXP(-(LN(2)/$D$65+0.1)*AO209),IF(AL209=2,AQ$100*EXP(-(LN(2)/$D$65+0.04)*(VLOOKUP(($F$16-$F$15)-1,AK$99:AO209,4,FALSE)))*EXP(-(LN(2)/$D$65+0.1)*(VLOOKUP(($F$16-$F$15)-1,AK$99:AO209,5,FALSE)))*EXP(-(LN(2)/$D$65+0.04)*AN209)*EXP(-(LN(2)/$D$65+0.1)*AO209),IF(AL209=3,AQ$100*EXP(-(LN(2)/$D$65+0.04)*(VLOOKUP(($F$16-$F$15)-1,AK$99:AO209,4,FALSE)))*EXP(-(LN(2)/$D$65+0.1)*(VLOOKUP(($F$16-$F$15)-1,AK$99:AO209,5,FALSE)))*EXP(-(LN(2)/$D$65+0.04)*(VLOOKUP(($F$16-$F$15)*2-1,AK$99:AO209,4,FALSE)))*EXP(-(LN(2)/$D$65+0.1)*(VLOOKUP(($F$16-$F$15)*2-1,AK$99:AO209,5,FALSE)))*EXP(-(LN(2)/$D$65+0.04)*AN209)*EXP(-(LN(2)/$D$65+0.1)*AO209),"-"))),"-")</f>
        <v>-</v>
      </c>
      <c r="AR210" s="271" t="str">
        <f>IFERROR(IF(AL210=1,AR$100*EXP(-(LN(2)/$D$65+0.04)*AN210)*EXP(-(LN(2)/$D$65+0.1)*AO210),IF(AL210=2,AR$100*EXP(-(LN(2)/$D$65+0.04)*(VLOOKUP(($F$16-$F$15)-1,AK$100:AO210,4,FALSE)))*EXP(-(LN(2)/$D$65+0.1)*(VLOOKUP(($F$16-$F$15)-1,AK$100:AO210,5,FALSE)))*EXP(-(LN(2)/$D$65+0.04)*AN210)*EXP(-(LN(2)/$D$65+0.1)*AO210),IF(AL210=3,AR$100*EXP(-(LN(2)/$D$65+0.04)*(VLOOKUP(($F$16-$F$15)-1,AK$100:AO210,4,FALSE)))*EXP(-(LN(2)/$D$65+0.1)*(VLOOKUP(($F$16-$F$15)-1,AK$100:AO210,5,FALSE)))*EXP(-(LN(2)/$D$65+0.04)*(VLOOKUP(($F$16-$F$15)*2-1,AK$100:AO210,4,FALSE)))*EXP(-(LN(2)/$D$65+0.1)*(VLOOKUP(($F$16-$F$15)*2-1,AK$100:AO210,5,FALSE)))*EXP(-(LN(2)/$D$65+0.04)*AN210)*EXP(-(LN(2)/$D$65+0.1)*AO210),"-"))),"-")</f>
        <v>-</v>
      </c>
      <c r="AS210" s="274">
        <f t="shared" si="113"/>
        <v>0</v>
      </c>
      <c r="AT210" s="274">
        <f t="shared" si="114"/>
        <v>0</v>
      </c>
      <c r="AU210" s="274">
        <f t="shared" si="115"/>
        <v>0</v>
      </c>
      <c r="AV210" s="190" t="str">
        <f>IF($B210&lt;$F$22,SUM($T$100:$T210),"")</f>
        <v/>
      </c>
      <c r="AW210" s="190" t="str">
        <f t="shared" si="161"/>
        <v>-</v>
      </c>
      <c r="AX210" s="190" t="str">
        <f t="shared" si="141"/>
        <v/>
      </c>
      <c r="AY210"/>
      <c r="AZ210" s="190" t="str">
        <f ca="1">IF(ISNUMBER(OFFSET(AV210,-$F$21,0)),SUM(OFFSET($T$100,$F$21,0):$T210),"")</f>
        <v/>
      </c>
      <c r="BA210" s="190" t="str">
        <f t="shared" ca="1" si="162"/>
        <v/>
      </c>
      <c r="BB210" s="190" t="str">
        <f t="shared" ca="1" si="148"/>
        <v/>
      </c>
      <c r="BC210" s="190"/>
      <c r="BD210" s="190" t="str">
        <f ca="1">IFERROR(IF(OR(ISNUMBER(I),ISNUMBER($F$14)),IF(AND($B210&gt;=($F$16-$F$15),$B210&lt;$F$22+($F$16-$F$15)),SUM(OFFSET($T$100,($F$16-$F$15),0):$T210),""),""),"")</f>
        <v/>
      </c>
      <c r="BE210" s="190" t="str">
        <f t="shared" ca="1" si="142"/>
        <v/>
      </c>
      <c r="BF210" s="190" t="str">
        <f t="shared" ca="1" si="143"/>
        <v/>
      </c>
      <c r="BG210"/>
      <c r="BH210" s="190" t="str">
        <f ca="1">IF(ISNUMBER(OFFSET(BD210,-$F$21,0)),SUM(OFFSET($T$100,($F$16-$F$15+$F$21),0):$T210),"")</f>
        <v/>
      </c>
      <c r="BI210" s="190" t="str">
        <f t="shared" ca="1" si="163"/>
        <v/>
      </c>
      <c r="BJ210" s="190" t="str">
        <f t="shared" ca="1" si="144"/>
        <v/>
      </c>
      <c r="BK210" s="190"/>
      <c r="BL210" s="190" t="str">
        <f ca="1">IFERROR(IF(OR(ISNUMBER(I),ISNUMBER($F$14)),IF(AND($B210&gt;=($F$17-$F$15),$B210&lt;$F$22+($F$17-$F$15)),SUM(OFFSET($T$100,($F$17-$F$15),0):$T210),""),""),"")</f>
        <v/>
      </c>
      <c r="BM210" s="190" t="str">
        <f t="shared" ca="1" si="164"/>
        <v/>
      </c>
      <c r="BN210" s="190" t="str">
        <f t="shared" ca="1" si="145"/>
        <v/>
      </c>
      <c r="BO210"/>
      <c r="BP210" s="190" t="str">
        <f ca="1">IF(ISNUMBER(OFFSET(BL210,-$F$21,0)),SUM(OFFSET($T$100,($F$17-$F$15+$F$21),0):$T210),"")</f>
        <v/>
      </c>
      <c r="BQ210" s="190" t="str">
        <f t="shared" ca="1" si="165"/>
        <v/>
      </c>
      <c r="BR210" s="190" t="str">
        <f t="shared" ca="1" si="146"/>
        <v/>
      </c>
      <c r="BS210" s="190"/>
      <c r="BT210"/>
      <c r="BU210"/>
      <c r="BV210"/>
      <c r="BY210" s="99"/>
      <c r="BZ210" s="99"/>
      <c r="CA210" s="280" t="str">
        <f t="shared" si="166"/>
        <v/>
      </c>
      <c r="CB210" s="71" t="str">
        <f t="shared" si="122"/>
        <v>-</v>
      </c>
      <c r="CC210" s="33"/>
      <c r="CD210" s="261" t="str">
        <f t="shared" si="123"/>
        <v/>
      </c>
      <c r="CE210" s="280" t="str">
        <f t="shared" si="167"/>
        <v/>
      </c>
      <c r="CF210" s="71" t="str">
        <f t="shared" ca="1" si="168"/>
        <v/>
      </c>
      <c r="CG210" s="33" t="str">
        <f t="shared" si="126"/>
        <v/>
      </c>
      <c r="CH210" s="261" t="str">
        <f t="shared" ca="1" si="127"/>
        <v/>
      </c>
    </row>
    <row r="211" spans="2:86" ht="13.5" customHeight="1" x14ac:dyDescent="0.2">
      <c r="B211" s="262">
        <v>111</v>
      </c>
      <c r="C211" s="237" t="str">
        <f t="shared" si="91"/>
        <v/>
      </c>
      <c r="D211" s="237" t="str">
        <f t="shared" si="147"/>
        <v/>
      </c>
      <c r="E211" s="263" t="str">
        <f t="shared" si="128"/>
        <v/>
      </c>
      <c r="F211" s="264" t="str">
        <f t="shared" si="129"/>
        <v/>
      </c>
      <c r="G211" s="264" t="str">
        <f t="shared" si="130"/>
        <v/>
      </c>
      <c r="H211" s="240" t="str">
        <f t="shared" si="149"/>
        <v/>
      </c>
      <c r="I211" s="265" t="str">
        <f t="shared" si="150"/>
        <v/>
      </c>
      <c r="J211" s="265" t="str">
        <f t="shared" si="151"/>
        <v/>
      </c>
      <c r="K211" s="240" t="str">
        <f t="shared" si="152"/>
        <v/>
      </c>
      <c r="L211" s="265" t="str">
        <f t="shared" si="153"/>
        <v/>
      </c>
      <c r="M211" s="265" t="str">
        <f t="shared" si="154"/>
        <v/>
      </c>
      <c r="N211" s="240" t="str">
        <f t="shared" si="155"/>
        <v>-</v>
      </c>
      <c r="O211" s="265" t="str">
        <f t="shared" si="156"/>
        <v>-</v>
      </c>
      <c r="P211" s="265" t="str">
        <f t="shared" si="157"/>
        <v>-</v>
      </c>
      <c r="Q211" s="266" t="str">
        <f t="shared" si="158"/>
        <v>-</v>
      </c>
      <c r="R211" s="267" t="str">
        <f t="shared" si="159"/>
        <v>-</v>
      </c>
      <c r="S211" s="268" t="str">
        <f t="shared" si="160"/>
        <v>-</v>
      </c>
      <c r="T211" s="269" t="str">
        <f t="shared" si="104"/>
        <v/>
      </c>
      <c r="U211" s="221">
        <f t="shared" si="105"/>
        <v>111</v>
      </c>
      <c r="V211" s="220" t="str">
        <f t="shared" si="131"/>
        <v>-</v>
      </c>
      <c r="W211" s="221" t="str">
        <f t="shared" si="132"/>
        <v>-</v>
      </c>
      <c r="X211" s="221" t="str">
        <f t="shared" si="106"/>
        <v>-</v>
      </c>
      <c r="Y211" s="221" t="str">
        <f t="shared" si="107"/>
        <v>-</v>
      </c>
      <c r="Z211" s="270">
        <f t="shared" si="133"/>
        <v>0.1</v>
      </c>
      <c r="AA211" s="271" t="str">
        <f>IFERROR(IF(V210=1,AA$100*EXP(-(LN(2)/$D$65+0.04)*X210)*EXP(-(LN(2)/$D$65+0.1)*Y210),IF(V210=2,AA$100*EXP(-(LN(2)/$D$65+0.04)*(VLOOKUP(($F$16-$F$15)-1,U$99:Y210,4,FALSE)))*EXP(-(LN(2)/$D$65+0.1)*(VLOOKUP(($F$16-$F$15)-1,U$99:Y210,5,FALSE)))*EXP(-(LN(2)/$D$65+0.04)*X210)*EXP(-(LN(2)/$D$65+0.1)*Y210),IF(V210=3,AA$100*EXP(-(LN(2)/$D$65+0.04)*(VLOOKUP(($F$16-$F$15)-1,U$99:Y210,4,FALSE)))*EXP(-(LN(2)/$D$65+0.1)*(VLOOKUP(($F$16-$F$15)-1,U$99:Y210,5,FALSE)))*EXP(-(LN(2)/$D$65+0.04)*(VLOOKUP(($F$16-$F$15)*2-1,U$99:Y210,4,FALSE)))*EXP(-(LN(2)/$D$65+0.1)*(VLOOKUP(($F$16-$F$15)*2-1,U$99:Y210,5,FALSE)))*EXP(-(LN(2)/$D$65+0.04)*X210)*EXP(-(LN(2)/$D$65+0.1)*Y210),"-"))),"-")</f>
        <v>-</v>
      </c>
      <c r="AB211" s="271" t="str">
        <f>IFERROR(IF(V211=1,AB$100*EXP(-(LN(2)/$D$65+0.04)*X211)*EXP(-(LN(2)/$D$65+0.1)*Y211),IF(V211=2,AB$100*EXP(-(LN(2)/$D$65+0.04)*(VLOOKUP(($F$16-$F$15)-1,U$100:Y211,4,FALSE)))*EXP(-(LN(2)/$D$65+0.1)*(VLOOKUP(($F$16-$F$15)-1,U$100:Y211,5,FALSE)))*EXP(-(LN(2)/$D$65+0.04)*X211)*EXP(-(LN(2)/$D$65+0.1)*Y211),IF(V211=3,AB$100*EXP(-(LN(2)/$D$65+0.04)*(VLOOKUP(($F$16-$F$15)-1,U$100:Y211,4,FALSE)))*EXP(-(LN(2)/$D$65+0.1)*(VLOOKUP(($F$16-$F$15)-1,U$100:Y211,5,FALSE)))*EXP(-(LN(2)/$D$65+0.04)*(VLOOKUP(($F$16-$F$15)*2-1,U$100:Y211,4,FALSE)))*EXP(-(LN(2)/$D$65+0.1)*(VLOOKUP(($F$16-$F$15)*2-1,U$100:Y211,5,FALSE)))*EXP(-(LN(2)/$D$65+0.04)*X211)*EXP(-(LN(2)/$D$65+0.1)*Y211),"-"))),"-")</f>
        <v>-</v>
      </c>
      <c r="AC211" s="224">
        <f t="shared" si="134"/>
        <v>111</v>
      </c>
      <c r="AD211" s="223" t="str">
        <f t="shared" si="108"/>
        <v>-</v>
      </c>
      <c r="AE211" s="224" t="str">
        <f t="shared" si="135"/>
        <v>-</v>
      </c>
      <c r="AF211" s="224" t="str">
        <f t="shared" si="109"/>
        <v>-</v>
      </c>
      <c r="AG211" s="224" t="str">
        <f t="shared" si="110"/>
        <v>-</v>
      </c>
      <c r="AH211" s="272">
        <f t="shared" si="136"/>
        <v>0.1</v>
      </c>
      <c r="AI211" s="271" t="str">
        <f>IFERROR(IF(AD210=1,AI$100*EXP(-(LN(2)/$D$65+0.04)*AF210)*EXP(-(LN(2)/$D$65+0.1)*AG210),IF(AD210=2,AI$100*EXP(-(LN(2)/$D$65+0.04)*(VLOOKUP(($F$16-$F$15)-1,AC$99:AG210,4,FALSE)))*EXP(-(LN(2)/$D$65+0.1)*(VLOOKUP(($F$16-$F$15)-1,AC$99:AG210,5,FALSE)))*EXP(-(LN(2)/$D$65+0.04)*AF210)*EXP(-(LN(2)/$D$65+0.1)*AG210),IF(AD210=3,AI$100*EXP(-(LN(2)/$D$65+0.04)*(VLOOKUP(($F$16-$F$15)-1,AC$99:AG210,4,FALSE)))*EXP(-(LN(2)/$D$65+0.1)*(VLOOKUP(($F$16-$F$15)-1,AC$99:AG210,5,FALSE)))*EXP(-(LN(2)/$D$65+0.04)*(VLOOKUP(($F$16-$F$15)*2-1,AC$99:AG210,4,FALSE)))*EXP(-(LN(2)/$D$65+0.1)*(VLOOKUP(($F$16-$F$15)*2-1,AC$99:AG210,5,FALSE)))*EXP(-(LN(2)/$D$65+0.04)*AF210)*EXP(-(LN(2)/$D$65+0.1)*AG210),"-"))),"-")</f>
        <v>-</v>
      </c>
      <c r="AJ211" s="271" t="str">
        <f>IFERROR(IF(AD211=1,AJ$100*EXP(-(LN(2)/$D$65+0.04)*AF211)*EXP(-(LN(2)/$D$65+0.1)*AG211),IF(AD211=2,AJ$100*EXP(-(LN(2)/$D$65+0.04)*(VLOOKUP(($F$16-$F$15)-1,AC$100:AG211,4,FALSE)))*EXP(-(LN(2)/$D$65+0.1)*(VLOOKUP(($F$16-$F$15)-1,AC$100:AG211,5,FALSE)))*EXP(-(LN(2)/$D$65+0.04)*AF211)*EXP(-(LN(2)/$D$65+0.1)*AG211),IF(AD211=3,AJ$100*EXP(-(LN(2)/$D$65+0.04)*(VLOOKUP(($F$16-$F$15)-1,AC$100:AG211,4,FALSE)))*EXP(-(LN(2)/$D$65+0.1)*(VLOOKUP(($F$16-$F$15)-1,AC$100:AG211,5,FALSE)))*EXP(-(LN(2)/$D$65+0.04)*(VLOOKUP(($F$16-$F$15)*2-1,AC$100:AG211,4,FALSE)))*EXP(-(LN(2)/$D$65+0.1)*(VLOOKUP(($F$16-$F$15)*2-1,AC$100:AG211,5,FALSE)))*EXP(-(LN(2)/$D$65+0.04)*AF211)*EXP(-(LN(2)/$D$65+0.1)*AG211),"-"))),"-")</f>
        <v>-</v>
      </c>
      <c r="AK211" s="227">
        <f t="shared" si="137"/>
        <v>111</v>
      </c>
      <c r="AL211" s="226" t="str">
        <f t="shared" si="111"/>
        <v>-</v>
      </c>
      <c r="AM211" s="227" t="str">
        <f t="shared" si="138"/>
        <v>-</v>
      </c>
      <c r="AN211" s="227" t="str">
        <f t="shared" si="139"/>
        <v>-</v>
      </c>
      <c r="AO211" s="227" t="str">
        <f t="shared" si="112"/>
        <v>-</v>
      </c>
      <c r="AP211" s="273">
        <f t="shared" si="140"/>
        <v>0.1</v>
      </c>
      <c r="AQ211" s="271" t="str">
        <f>IFERROR(IF(AL210=1,AQ$100*EXP(-(LN(2)/$D$65+0.04)*AN210)*EXP(-(LN(2)/$D$65+0.1)*AO210),IF(AL210=2,AQ$100*EXP(-(LN(2)/$D$65+0.04)*(VLOOKUP(($F$16-$F$15)-1,AK$99:AO210,4,FALSE)))*EXP(-(LN(2)/$D$65+0.1)*(VLOOKUP(($F$16-$F$15)-1,AK$99:AO210,5,FALSE)))*EXP(-(LN(2)/$D$65+0.04)*AN210)*EXP(-(LN(2)/$D$65+0.1)*AO210),IF(AL210=3,AQ$100*EXP(-(LN(2)/$D$65+0.04)*(VLOOKUP(($F$16-$F$15)-1,AK$99:AO210,4,FALSE)))*EXP(-(LN(2)/$D$65+0.1)*(VLOOKUP(($F$16-$F$15)-1,AK$99:AO210,5,FALSE)))*EXP(-(LN(2)/$D$65+0.04)*(VLOOKUP(($F$16-$F$15)*2-1,AK$99:AO210,4,FALSE)))*EXP(-(LN(2)/$D$65+0.1)*(VLOOKUP(($F$16-$F$15)*2-1,AK$99:AO210,5,FALSE)))*EXP(-(LN(2)/$D$65+0.04)*AN210)*EXP(-(LN(2)/$D$65+0.1)*AO210),"-"))),"-")</f>
        <v>-</v>
      </c>
      <c r="AR211" s="271" t="str">
        <f>IFERROR(IF(AL211=1,AR$100*EXP(-(LN(2)/$D$65+0.04)*AN211)*EXP(-(LN(2)/$D$65+0.1)*AO211),IF(AL211=2,AR$100*EXP(-(LN(2)/$D$65+0.04)*(VLOOKUP(($F$16-$F$15)-1,AK$100:AO211,4,FALSE)))*EXP(-(LN(2)/$D$65+0.1)*(VLOOKUP(($F$16-$F$15)-1,AK$100:AO211,5,FALSE)))*EXP(-(LN(2)/$D$65+0.04)*AN211)*EXP(-(LN(2)/$D$65+0.1)*AO211),IF(AL211=3,AR$100*EXP(-(LN(2)/$D$65+0.04)*(VLOOKUP(($F$16-$F$15)-1,AK$100:AO211,4,FALSE)))*EXP(-(LN(2)/$D$65+0.1)*(VLOOKUP(($F$16-$F$15)-1,AK$100:AO211,5,FALSE)))*EXP(-(LN(2)/$D$65+0.04)*(VLOOKUP(($F$16-$F$15)*2-1,AK$100:AO211,4,FALSE)))*EXP(-(LN(2)/$D$65+0.1)*(VLOOKUP(($F$16-$F$15)*2-1,AK$100:AO211,5,FALSE)))*EXP(-(LN(2)/$D$65+0.04)*AN211)*EXP(-(LN(2)/$D$65+0.1)*AO211),"-"))),"-")</f>
        <v>-</v>
      </c>
      <c r="AS211" s="274">
        <f t="shared" si="113"/>
        <v>0</v>
      </c>
      <c r="AT211" s="274">
        <f t="shared" si="114"/>
        <v>0</v>
      </c>
      <c r="AU211" s="274">
        <f t="shared" si="115"/>
        <v>0</v>
      </c>
      <c r="AV211" s="190" t="str">
        <f>IF($B211&lt;$F$22,SUM($T$100:$T211),"")</f>
        <v/>
      </c>
      <c r="AW211" s="190" t="str">
        <f t="shared" si="161"/>
        <v>-</v>
      </c>
      <c r="AX211" s="190" t="str">
        <f t="shared" si="141"/>
        <v/>
      </c>
      <c r="AY211"/>
      <c r="AZ211" s="190" t="str">
        <f ca="1">IF(ISNUMBER(OFFSET(AV211,-$F$21,0)),SUM(OFFSET($T$100,$F$21,0):$T211),"")</f>
        <v/>
      </c>
      <c r="BA211" s="190" t="str">
        <f t="shared" ca="1" si="162"/>
        <v/>
      </c>
      <c r="BB211" s="190" t="str">
        <f t="shared" ca="1" si="148"/>
        <v/>
      </c>
      <c r="BC211" s="190"/>
      <c r="BD211" s="190" t="str">
        <f ca="1">IFERROR(IF(OR(ISNUMBER(I),ISNUMBER($F$14)),IF(AND($B211&gt;=($F$16-$F$15),$B211&lt;$F$22+($F$16-$F$15)),SUM(OFFSET($T$100,($F$16-$F$15),0):$T211),""),""),"")</f>
        <v/>
      </c>
      <c r="BE211" s="190" t="str">
        <f t="shared" ca="1" si="142"/>
        <v/>
      </c>
      <c r="BF211" s="190" t="str">
        <f t="shared" ca="1" si="143"/>
        <v/>
      </c>
      <c r="BG211"/>
      <c r="BH211" s="190" t="str">
        <f ca="1">IF(ISNUMBER(OFFSET(BD211,-$F$21,0)),SUM(OFFSET($T$100,($F$16-$F$15+$F$21),0):$T211),"")</f>
        <v/>
      </c>
      <c r="BI211" s="190" t="str">
        <f t="shared" ca="1" si="163"/>
        <v/>
      </c>
      <c r="BJ211" s="190" t="str">
        <f t="shared" ca="1" si="144"/>
        <v/>
      </c>
      <c r="BK211" s="190"/>
      <c r="BL211" s="190" t="str">
        <f ca="1">IFERROR(IF(OR(ISNUMBER(I),ISNUMBER($F$14)),IF(AND($B211&gt;=($F$17-$F$15),$B211&lt;$F$22+($F$17-$F$15)),SUM(OFFSET($T$100,($F$17-$F$15),0):$T211),""),""),"")</f>
        <v/>
      </c>
      <c r="BM211" s="190" t="str">
        <f t="shared" ca="1" si="164"/>
        <v/>
      </c>
      <c r="BN211" s="190" t="str">
        <f t="shared" ca="1" si="145"/>
        <v/>
      </c>
      <c r="BO211"/>
      <c r="BP211" s="190" t="str">
        <f ca="1">IF(ISNUMBER(OFFSET(BL211,-$F$21,0)),SUM(OFFSET($T$100,($F$17-$F$15+$F$21),0):$T211),"")</f>
        <v/>
      </c>
      <c r="BQ211" s="190" t="str">
        <f t="shared" ca="1" si="165"/>
        <v/>
      </c>
      <c r="BR211" s="190" t="str">
        <f t="shared" ca="1" si="146"/>
        <v/>
      </c>
      <c r="BS211" s="190"/>
      <c r="BT211"/>
      <c r="BU211"/>
      <c r="BV211"/>
      <c r="BY211" s="99"/>
      <c r="BZ211" s="99"/>
      <c r="CA211" s="280" t="str">
        <f t="shared" si="166"/>
        <v/>
      </c>
      <c r="CB211" s="71" t="str">
        <f t="shared" si="122"/>
        <v>-</v>
      </c>
      <c r="CC211" s="33"/>
      <c r="CD211" s="261" t="str">
        <f t="shared" si="123"/>
        <v/>
      </c>
      <c r="CE211" s="280" t="str">
        <f t="shared" si="167"/>
        <v/>
      </c>
      <c r="CF211" s="71" t="str">
        <f t="shared" ca="1" si="168"/>
        <v/>
      </c>
      <c r="CG211" s="33" t="str">
        <f t="shared" si="126"/>
        <v/>
      </c>
      <c r="CH211" s="261" t="str">
        <f t="shared" ca="1" si="127"/>
        <v/>
      </c>
    </row>
    <row r="212" spans="2:86" ht="13.5" customHeight="1" x14ac:dyDescent="0.2">
      <c r="B212" s="262">
        <v>112</v>
      </c>
      <c r="C212" s="237" t="str">
        <f t="shared" si="91"/>
        <v/>
      </c>
      <c r="D212" s="237" t="str">
        <f t="shared" si="147"/>
        <v/>
      </c>
      <c r="E212" s="263" t="str">
        <f t="shared" si="128"/>
        <v/>
      </c>
      <c r="F212" s="264" t="str">
        <f t="shared" si="129"/>
        <v/>
      </c>
      <c r="G212" s="264" t="str">
        <f t="shared" si="130"/>
        <v/>
      </c>
      <c r="H212" s="240" t="str">
        <f t="shared" si="149"/>
        <v/>
      </c>
      <c r="I212" s="265" t="str">
        <f t="shared" si="150"/>
        <v/>
      </c>
      <c r="J212" s="265" t="str">
        <f t="shared" si="151"/>
        <v/>
      </c>
      <c r="K212" s="240" t="str">
        <f t="shared" si="152"/>
        <v/>
      </c>
      <c r="L212" s="265" t="str">
        <f t="shared" si="153"/>
        <v/>
      </c>
      <c r="M212" s="265" t="str">
        <f t="shared" si="154"/>
        <v/>
      </c>
      <c r="N212" s="240" t="str">
        <f t="shared" si="155"/>
        <v>-</v>
      </c>
      <c r="O212" s="265" t="str">
        <f t="shared" si="156"/>
        <v>-</v>
      </c>
      <c r="P212" s="265" t="str">
        <f t="shared" si="157"/>
        <v>-</v>
      </c>
      <c r="Q212" s="266" t="str">
        <f t="shared" si="158"/>
        <v>-</v>
      </c>
      <c r="R212" s="267" t="str">
        <f t="shared" si="159"/>
        <v>-</v>
      </c>
      <c r="S212" s="268" t="str">
        <f t="shared" si="160"/>
        <v>-</v>
      </c>
      <c r="T212" s="269" t="str">
        <f t="shared" si="104"/>
        <v/>
      </c>
      <c r="U212" s="221">
        <f t="shared" si="105"/>
        <v>112</v>
      </c>
      <c r="V212" s="220" t="str">
        <f t="shared" si="131"/>
        <v>-</v>
      </c>
      <c r="W212" s="221" t="str">
        <f t="shared" si="132"/>
        <v>-</v>
      </c>
      <c r="X212" s="221" t="str">
        <f t="shared" si="106"/>
        <v>-</v>
      </c>
      <c r="Y212" s="221" t="str">
        <f t="shared" si="107"/>
        <v>-</v>
      </c>
      <c r="Z212" s="270">
        <f t="shared" si="133"/>
        <v>0.1</v>
      </c>
      <c r="AA212" s="271" t="str">
        <f>IFERROR(IF(V211=1,AA$100*EXP(-(LN(2)/$D$65+0.04)*X211)*EXP(-(LN(2)/$D$65+0.1)*Y211),IF(V211=2,AA$100*EXP(-(LN(2)/$D$65+0.04)*(VLOOKUP(($F$16-$F$15)-1,U$99:Y211,4,FALSE)))*EXP(-(LN(2)/$D$65+0.1)*(VLOOKUP(($F$16-$F$15)-1,U$99:Y211,5,FALSE)))*EXP(-(LN(2)/$D$65+0.04)*X211)*EXP(-(LN(2)/$D$65+0.1)*Y211),IF(V211=3,AA$100*EXP(-(LN(2)/$D$65+0.04)*(VLOOKUP(($F$16-$F$15)-1,U$99:Y211,4,FALSE)))*EXP(-(LN(2)/$D$65+0.1)*(VLOOKUP(($F$16-$F$15)-1,U$99:Y211,5,FALSE)))*EXP(-(LN(2)/$D$65+0.04)*(VLOOKUP(($F$16-$F$15)*2-1,U$99:Y211,4,FALSE)))*EXP(-(LN(2)/$D$65+0.1)*(VLOOKUP(($F$16-$F$15)*2-1,U$99:Y211,5,FALSE)))*EXP(-(LN(2)/$D$65+0.04)*X211)*EXP(-(LN(2)/$D$65+0.1)*Y211),"-"))),"-")</f>
        <v>-</v>
      </c>
      <c r="AB212" s="271" t="str">
        <f>IFERROR(IF(V212=1,AB$100*EXP(-(LN(2)/$D$65+0.04)*X212)*EXP(-(LN(2)/$D$65+0.1)*Y212),IF(V212=2,AB$100*EXP(-(LN(2)/$D$65+0.04)*(VLOOKUP(($F$16-$F$15)-1,U$100:Y212,4,FALSE)))*EXP(-(LN(2)/$D$65+0.1)*(VLOOKUP(($F$16-$F$15)-1,U$100:Y212,5,FALSE)))*EXP(-(LN(2)/$D$65+0.04)*X212)*EXP(-(LN(2)/$D$65+0.1)*Y212),IF(V212=3,AB$100*EXP(-(LN(2)/$D$65+0.04)*(VLOOKUP(($F$16-$F$15)-1,U$100:Y212,4,FALSE)))*EXP(-(LN(2)/$D$65+0.1)*(VLOOKUP(($F$16-$F$15)-1,U$100:Y212,5,FALSE)))*EXP(-(LN(2)/$D$65+0.04)*(VLOOKUP(($F$16-$F$15)*2-1,U$100:Y212,4,FALSE)))*EXP(-(LN(2)/$D$65+0.1)*(VLOOKUP(($F$16-$F$15)*2-1,U$100:Y212,5,FALSE)))*EXP(-(LN(2)/$D$65+0.04)*X212)*EXP(-(LN(2)/$D$65+0.1)*Y212),"-"))),"-")</f>
        <v>-</v>
      </c>
      <c r="AC212" s="224">
        <f t="shared" si="134"/>
        <v>112</v>
      </c>
      <c r="AD212" s="223" t="str">
        <f t="shared" si="108"/>
        <v>-</v>
      </c>
      <c r="AE212" s="224" t="str">
        <f t="shared" si="135"/>
        <v>-</v>
      </c>
      <c r="AF212" s="224" t="str">
        <f t="shared" si="109"/>
        <v>-</v>
      </c>
      <c r="AG212" s="224" t="str">
        <f t="shared" si="110"/>
        <v>-</v>
      </c>
      <c r="AH212" s="272">
        <f t="shared" si="136"/>
        <v>0.1</v>
      </c>
      <c r="AI212" s="271" t="str">
        <f>IFERROR(IF(AD211=1,AI$100*EXP(-(LN(2)/$D$65+0.04)*AF211)*EXP(-(LN(2)/$D$65+0.1)*AG211),IF(AD211=2,AI$100*EXP(-(LN(2)/$D$65+0.04)*(VLOOKUP(($F$16-$F$15)-1,AC$99:AG211,4,FALSE)))*EXP(-(LN(2)/$D$65+0.1)*(VLOOKUP(($F$16-$F$15)-1,AC$99:AG211,5,FALSE)))*EXP(-(LN(2)/$D$65+0.04)*AF211)*EXP(-(LN(2)/$D$65+0.1)*AG211),IF(AD211=3,AI$100*EXP(-(LN(2)/$D$65+0.04)*(VLOOKUP(($F$16-$F$15)-1,AC$99:AG211,4,FALSE)))*EXP(-(LN(2)/$D$65+0.1)*(VLOOKUP(($F$16-$F$15)-1,AC$99:AG211,5,FALSE)))*EXP(-(LN(2)/$D$65+0.04)*(VLOOKUP(($F$16-$F$15)*2-1,AC$99:AG211,4,FALSE)))*EXP(-(LN(2)/$D$65+0.1)*(VLOOKUP(($F$16-$F$15)*2-1,AC$99:AG211,5,FALSE)))*EXP(-(LN(2)/$D$65+0.04)*AF211)*EXP(-(LN(2)/$D$65+0.1)*AG211),"-"))),"-")</f>
        <v>-</v>
      </c>
      <c r="AJ212" s="271" t="str">
        <f>IFERROR(IF(AD212=1,AJ$100*EXP(-(LN(2)/$D$65+0.04)*AF212)*EXP(-(LN(2)/$D$65+0.1)*AG212),IF(AD212=2,AJ$100*EXP(-(LN(2)/$D$65+0.04)*(VLOOKUP(($F$16-$F$15)-1,AC$100:AG212,4,FALSE)))*EXP(-(LN(2)/$D$65+0.1)*(VLOOKUP(($F$16-$F$15)-1,AC$100:AG212,5,FALSE)))*EXP(-(LN(2)/$D$65+0.04)*AF212)*EXP(-(LN(2)/$D$65+0.1)*AG212),IF(AD212=3,AJ$100*EXP(-(LN(2)/$D$65+0.04)*(VLOOKUP(($F$16-$F$15)-1,AC$100:AG212,4,FALSE)))*EXP(-(LN(2)/$D$65+0.1)*(VLOOKUP(($F$16-$F$15)-1,AC$100:AG212,5,FALSE)))*EXP(-(LN(2)/$D$65+0.04)*(VLOOKUP(($F$16-$F$15)*2-1,AC$100:AG212,4,FALSE)))*EXP(-(LN(2)/$D$65+0.1)*(VLOOKUP(($F$16-$F$15)*2-1,AC$100:AG212,5,FALSE)))*EXP(-(LN(2)/$D$65+0.04)*AF212)*EXP(-(LN(2)/$D$65+0.1)*AG212),"-"))),"-")</f>
        <v>-</v>
      </c>
      <c r="AK212" s="227">
        <f t="shared" si="137"/>
        <v>112</v>
      </c>
      <c r="AL212" s="226" t="str">
        <f t="shared" si="111"/>
        <v>-</v>
      </c>
      <c r="AM212" s="227" t="str">
        <f t="shared" si="138"/>
        <v>-</v>
      </c>
      <c r="AN212" s="227" t="str">
        <f t="shared" si="139"/>
        <v>-</v>
      </c>
      <c r="AO212" s="227" t="str">
        <f t="shared" si="112"/>
        <v>-</v>
      </c>
      <c r="AP212" s="273">
        <f t="shared" si="140"/>
        <v>0.1</v>
      </c>
      <c r="AQ212" s="271" t="str">
        <f>IFERROR(IF(AL211=1,AQ$100*EXP(-(LN(2)/$D$65+0.04)*AN211)*EXP(-(LN(2)/$D$65+0.1)*AO211),IF(AL211=2,AQ$100*EXP(-(LN(2)/$D$65+0.04)*(VLOOKUP(($F$16-$F$15)-1,AK$99:AO211,4,FALSE)))*EXP(-(LN(2)/$D$65+0.1)*(VLOOKUP(($F$16-$F$15)-1,AK$99:AO211,5,FALSE)))*EXP(-(LN(2)/$D$65+0.04)*AN211)*EXP(-(LN(2)/$D$65+0.1)*AO211),IF(AL211=3,AQ$100*EXP(-(LN(2)/$D$65+0.04)*(VLOOKUP(($F$16-$F$15)-1,AK$99:AO211,4,FALSE)))*EXP(-(LN(2)/$D$65+0.1)*(VLOOKUP(($F$16-$F$15)-1,AK$99:AO211,5,FALSE)))*EXP(-(LN(2)/$D$65+0.04)*(VLOOKUP(($F$16-$F$15)*2-1,AK$99:AO211,4,FALSE)))*EXP(-(LN(2)/$D$65+0.1)*(VLOOKUP(($F$16-$F$15)*2-1,AK$99:AO211,5,FALSE)))*EXP(-(LN(2)/$D$65+0.04)*AN211)*EXP(-(LN(2)/$D$65+0.1)*AO211),"-"))),"-")</f>
        <v>-</v>
      </c>
      <c r="AR212" s="271" t="str">
        <f>IFERROR(IF(AL212=1,AR$100*EXP(-(LN(2)/$D$65+0.04)*AN212)*EXP(-(LN(2)/$D$65+0.1)*AO212),IF(AL212=2,AR$100*EXP(-(LN(2)/$D$65+0.04)*(VLOOKUP(($F$16-$F$15)-1,AK$100:AO212,4,FALSE)))*EXP(-(LN(2)/$D$65+0.1)*(VLOOKUP(($F$16-$F$15)-1,AK$100:AO212,5,FALSE)))*EXP(-(LN(2)/$D$65+0.04)*AN212)*EXP(-(LN(2)/$D$65+0.1)*AO212),IF(AL212=3,AR$100*EXP(-(LN(2)/$D$65+0.04)*(VLOOKUP(($F$16-$F$15)-1,AK$100:AO212,4,FALSE)))*EXP(-(LN(2)/$D$65+0.1)*(VLOOKUP(($F$16-$F$15)-1,AK$100:AO212,5,FALSE)))*EXP(-(LN(2)/$D$65+0.04)*(VLOOKUP(($F$16-$F$15)*2-1,AK$100:AO212,4,FALSE)))*EXP(-(LN(2)/$D$65+0.1)*(VLOOKUP(($F$16-$F$15)*2-1,AK$100:AO212,5,FALSE)))*EXP(-(LN(2)/$D$65+0.04)*AN212)*EXP(-(LN(2)/$D$65+0.1)*AO212),"-"))),"-")</f>
        <v>-</v>
      </c>
      <c r="AS212" s="274">
        <f t="shared" si="113"/>
        <v>0</v>
      </c>
      <c r="AT212" s="274">
        <f t="shared" si="114"/>
        <v>0</v>
      </c>
      <c r="AU212" s="274">
        <f t="shared" si="115"/>
        <v>0</v>
      </c>
      <c r="AV212" s="190" t="str">
        <f>IF($B212&lt;$F$22,SUM($T$100:$T212),"")</f>
        <v/>
      </c>
      <c r="AW212" s="190" t="str">
        <f t="shared" si="161"/>
        <v>-</v>
      </c>
      <c r="AX212" s="190" t="str">
        <f t="shared" si="141"/>
        <v/>
      </c>
      <c r="AY212"/>
      <c r="AZ212" s="190" t="str">
        <f ca="1">IF(ISNUMBER(OFFSET(AV212,-$F$21,0)),SUM(OFFSET($T$100,$F$21,0):$T212),"")</f>
        <v/>
      </c>
      <c r="BA212" s="190" t="str">
        <f t="shared" ca="1" si="162"/>
        <v/>
      </c>
      <c r="BB212" s="190" t="str">
        <f t="shared" ca="1" si="148"/>
        <v/>
      </c>
      <c r="BC212" s="190"/>
      <c r="BD212" s="190" t="str">
        <f ca="1">IFERROR(IF(OR(ISNUMBER(I),ISNUMBER($F$14)),IF(AND($B212&gt;=($F$16-$F$15),$B212&lt;$F$22+($F$16-$F$15)),SUM(OFFSET($T$100,($F$16-$F$15),0):$T212),""),""),"")</f>
        <v/>
      </c>
      <c r="BE212" s="190" t="str">
        <f t="shared" ca="1" si="142"/>
        <v/>
      </c>
      <c r="BF212" s="190" t="str">
        <f t="shared" ca="1" si="143"/>
        <v/>
      </c>
      <c r="BG212"/>
      <c r="BH212" s="190" t="str">
        <f ca="1">IF(ISNUMBER(OFFSET(BD212,-$F$21,0)),SUM(OFFSET($T$100,($F$16-$F$15+$F$21),0):$T212),"")</f>
        <v/>
      </c>
      <c r="BI212" s="190" t="str">
        <f t="shared" ca="1" si="163"/>
        <v/>
      </c>
      <c r="BJ212" s="190" t="str">
        <f t="shared" ca="1" si="144"/>
        <v/>
      </c>
      <c r="BK212" s="190"/>
      <c r="BL212" s="190" t="str">
        <f ca="1">IFERROR(IF(OR(ISNUMBER(I),ISNUMBER($F$14)),IF(AND($B212&gt;=($F$17-$F$15),$B212&lt;$F$22+($F$17-$F$15)),SUM(OFFSET($T$100,($F$17-$F$15),0):$T212),""),""),"")</f>
        <v/>
      </c>
      <c r="BM212" s="190" t="str">
        <f t="shared" ca="1" si="164"/>
        <v/>
      </c>
      <c r="BN212" s="190" t="str">
        <f t="shared" ca="1" si="145"/>
        <v/>
      </c>
      <c r="BO212"/>
      <c r="BP212" s="190" t="str">
        <f ca="1">IF(ISNUMBER(OFFSET(BL212,-$F$21,0)),SUM(OFFSET($T$100,($F$17-$F$15+$F$21),0):$T212),"")</f>
        <v/>
      </c>
      <c r="BQ212" s="190" t="str">
        <f t="shared" ca="1" si="165"/>
        <v/>
      </c>
      <c r="BR212" s="190" t="str">
        <f t="shared" ca="1" si="146"/>
        <v/>
      </c>
      <c r="BS212" s="190"/>
      <c r="BT212"/>
      <c r="BU212"/>
      <c r="BV212"/>
      <c r="BY212" s="99"/>
      <c r="BZ212" s="99"/>
      <c r="CA212" s="280" t="str">
        <f t="shared" si="166"/>
        <v/>
      </c>
      <c r="CB212" s="71" t="str">
        <f t="shared" si="122"/>
        <v>-</v>
      </c>
      <c r="CC212" s="33"/>
      <c r="CD212" s="261" t="str">
        <f t="shared" si="123"/>
        <v/>
      </c>
      <c r="CE212" s="280" t="str">
        <f t="shared" si="167"/>
        <v/>
      </c>
      <c r="CF212" s="71" t="str">
        <f t="shared" ca="1" si="168"/>
        <v/>
      </c>
      <c r="CG212" s="33" t="str">
        <f t="shared" si="126"/>
        <v/>
      </c>
      <c r="CH212" s="261" t="str">
        <f t="shared" ca="1" si="127"/>
        <v/>
      </c>
    </row>
    <row r="213" spans="2:86" ht="13.5" customHeight="1" x14ac:dyDescent="0.2">
      <c r="B213" s="262">
        <v>113</v>
      </c>
      <c r="C213" s="237" t="str">
        <f t="shared" si="91"/>
        <v/>
      </c>
      <c r="D213" s="237" t="str">
        <f t="shared" si="147"/>
        <v/>
      </c>
      <c r="E213" s="263" t="str">
        <f t="shared" si="128"/>
        <v/>
      </c>
      <c r="F213" s="264" t="str">
        <f t="shared" si="129"/>
        <v/>
      </c>
      <c r="G213" s="264" t="str">
        <f t="shared" si="130"/>
        <v/>
      </c>
      <c r="H213" s="240" t="str">
        <f t="shared" si="149"/>
        <v/>
      </c>
      <c r="I213" s="265" t="str">
        <f t="shared" si="150"/>
        <v/>
      </c>
      <c r="J213" s="265" t="str">
        <f t="shared" si="151"/>
        <v/>
      </c>
      <c r="K213" s="240" t="str">
        <f t="shared" si="152"/>
        <v/>
      </c>
      <c r="L213" s="265" t="str">
        <f t="shared" si="153"/>
        <v/>
      </c>
      <c r="M213" s="265" t="str">
        <f t="shared" si="154"/>
        <v/>
      </c>
      <c r="N213" s="240" t="str">
        <f t="shared" si="155"/>
        <v>-</v>
      </c>
      <c r="O213" s="265" t="str">
        <f t="shared" si="156"/>
        <v>-</v>
      </c>
      <c r="P213" s="265" t="str">
        <f t="shared" si="157"/>
        <v>-</v>
      </c>
      <c r="Q213" s="266" t="str">
        <f t="shared" si="158"/>
        <v>-</v>
      </c>
      <c r="R213" s="267" t="str">
        <f t="shared" si="159"/>
        <v>-</v>
      </c>
      <c r="S213" s="268" t="str">
        <f t="shared" si="160"/>
        <v>-</v>
      </c>
      <c r="T213" s="269" t="str">
        <f t="shared" si="104"/>
        <v/>
      </c>
      <c r="U213" s="221">
        <f t="shared" si="105"/>
        <v>113</v>
      </c>
      <c r="V213" s="220" t="str">
        <f t="shared" si="131"/>
        <v>-</v>
      </c>
      <c r="W213" s="221" t="str">
        <f t="shared" si="132"/>
        <v>-</v>
      </c>
      <c r="X213" s="221" t="str">
        <f t="shared" si="106"/>
        <v>-</v>
      </c>
      <c r="Y213" s="221" t="str">
        <f t="shared" si="107"/>
        <v>-</v>
      </c>
      <c r="Z213" s="270">
        <f t="shared" si="133"/>
        <v>0.1</v>
      </c>
      <c r="AA213" s="271" t="str">
        <f>IFERROR(IF(V212=1,AA$100*EXP(-(LN(2)/$D$65+0.04)*X212)*EXP(-(LN(2)/$D$65+0.1)*Y212),IF(V212=2,AA$100*EXP(-(LN(2)/$D$65+0.04)*(VLOOKUP(($F$16-$F$15)-1,U$99:Y212,4,FALSE)))*EXP(-(LN(2)/$D$65+0.1)*(VLOOKUP(($F$16-$F$15)-1,U$99:Y212,5,FALSE)))*EXP(-(LN(2)/$D$65+0.04)*X212)*EXP(-(LN(2)/$D$65+0.1)*Y212),IF(V212=3,AA$100*EXP(-(LN(2)/$D$65+0.04)*(VLOOKUP(($F$16-$F$15)-1,U$99:Y212,4,FALSE)))*EXP(-(LN(2)/$D$65+0.1)*(VLOOKUP(($F$16-$F$15)-1,U$99:Y212,5,FALSE)))*EXP(-(LN(2)/$D$65+0.04)*(VLOOKUP(($F$16-$F$15)*2-1,U$99:Y212,4,FALSE)))*EXP(-(LN(2)/$D$65+0.1)*(VLOOKUP(($F$16-$F$15)*2-1,U$99:Y212,5,FALSE)))*EXP(-(LN(2)/$D$65+0.04)*X212)*EXP(-(LN(2)/$D$65+0.1)*Y212),"-"))),"-")</f>
        <v>-</v>
      </c>
      <c r="AB213" s="271" t="str">
        <f>IFERROR(IF(V213=1,AB$100*EXP(-(LN(2)/$D$65+0.04)*X213)*EXP(-(LN(2)/$D$65+0.1)*Y213),IF(V213=2,AB$100*EXP(-(LN(2)/$D$65+0.04)*(VLOOKUP(($F$16-$F$15)-1,U$100:Y213,4,FALSE)))*EXP(-(LN(2)/$D$65+0.1)*(VLOOKUP(($F$16-$F$15)-1,U$100:Y213,5,FALSE)))*EXP(-(LN(2)/$D$65+0.04)*X213)*EXP(-(LN(2)/$D$65+0.1)*Y213),IF(V213=3,AB$100*EXP(-(LN(2)/$D$65+0.04)*(VLOOKUP(($F$16-$F$15)-1,U$100:Y213,4,FALSE)))*EXP(-(LN(2)/$D$65+0.1)*(VLOOKUP(($F$16-$F$15)-1,U$100:Y213,5,FALSE)))*EXP(-(LN(2)/$D$65+0.04)*(VLOOKUP(($F$16-$F$15)*2-1,U$100:Y213,4,FALSE)))*EXP(-(LN(2)/$D$65+0.1)*(VLOOKUP(($F$16-$F$15)*2-1,U$100:Y213,5,FALSE)))*EXP(-(LN(2)/$D$65+0.04)*X213)*EXP(-(LN(2)/$D$65+0.1)*Y213),"-"))),"-")</f>
        <v>-</v>
      </c>
      <c r="AC213" s="224">
        <f t="shared" si="134"/>
        <v>113</v>
      </c>
      <c r="AD213" s="223" t="str">
        <f t="shared" si="108"/>
        <v>-</v>
      </c>
      <c r="AE213" s="224" t="str">
        <f t="shared" si="135"/>
        <v>-</v>
      </c>
      <c r="AF213" s="224" t="str">
        <f t="shared" si="109"/>
        <v>-</v>
      </c>
      <c r="AG213" s="224" t="str">
        <f t="shared" si="110"/>
        <v>-</v>
      </c>
      <c r="AH213" s="272">
        <f t="shared" si="136"/>
        <v>0.1</v>
      </c>
      <c r="AI213" s="271" t="str">
        <f>IFERROR(IF(AD212=1,AI$100*EXP(-(LN(2)/$D$65+0.04)*AF212)*EXP(-(LN(2)/$D$65+0.1)*AG212),IF(AD212=2,AI$100*EXP(-(LN(2)/$D$65+0.04)*(VLOOKUP(($F$16-$F$15)-1,AC$99:AG212,4,FALSE)))*EXP(-(LN(2)/$D$65+0.1)*(VLOOKUP(($F$16-$F$15)-1,AC$99:AG212,5,FALSE)))*EXP(-(LN(2)/$D$65+0.04)*AF212)*EXP(-(LN(2)/$D$65+0.1)*AG212),IF(AD212=3,AI$100*EXP(-(LN(2)/$D$65+0.04)*(VLOOKUP(($F$16-$F$15)-1,AC$99:AG212,4,FALSE)))*EXP(-(LN(2)/$D$65+0.1)*(VLOOKUP(($F$16-$F$15)-1,AC$99:AG212,5,FALSE)))*EXP(-(LN(2)/$D$65+0.04)*(VLOOKUP(($F$16-$F$15)*2-1,AC$99:AG212,4,FALSE)))*EXP(-(LN(2)/$D$65+0.1)*(VLOOKUP(($F$16-$F$15)*2-1,AC$99:AG212,5,FALSE)))*EXP(-(LN(2)/$D$65+0.04)*AF212)*EXP(-(LN(2)/$D$65+0.1)*AG212),"-"))),"-")</f>
        <v>-</v>
      </c>
      <c r="AJ213" s="271" t="str">
        <f>IFERROR(IF(AD213=1,AJ$100*EXP(-(LN(2)/$D$65+0.04)*AF213)*EXP(-(LN(2)/$D$65+0.1)*AG213),IF(AD213=2,AJ$100*EXP(-(LN(2)/$D$65+0.04)*(VLOOKUP(($F$16-$F$15)-1,AC$100:AG213,4,FALSE)))*EXP(-(LN(2)/$D$65+0.1)*(VLOOKUP(($F$16-$F$15)-1,AC$100:AG213,5,FALSE)))*EXP(-(LN(2)/$D$65+0.04)*AF213)*EXP(-(LN(2)/$D$65+0.1)*AG213),IF(AD213=3,AJ$100*EXP(-(LN(2)/$D$65+0.04)*(VLOOKUP(($F$16-$F$15)-1,AC$100:AG213,4,FALSE)))*EXP(-(LN(2)/$D$65+0.1)*(VLOOKUP(($F$16-$F$15)-1,AC$100:AG213,5,FALSE)))*EXP(-(LN(2)/$D$65+0.04)*(VLOOKUP(($F$16-$F$15)*2-1,AC$100:AG213,4,FALSE)))*EXP(-(LN(2)/$D$65+0.1)*(VLOOKUP(($F$16-$F$15)*2-1,AC$100:AG213,5,FALSE)))*EXP(-(LN(2)/$D$65+0.04)*AF213)*EXP(-(LN(2)/$D$65+0.1)*AG213),"-"))),"-")</f>
        <v>-</v>
      </c>
      <c r="AK213" s="227">
        <f t="shared" si="137"/>
        <v>113</v>
      </c>
      <c r="AL213" s="226" t="str">
        <f t="shared" si="111"/>
        <v>-</v>
      </c>
      <c r="AM213" s="227" t="str">
        <f t="shared" si="138"/>
        <v>-</v>
      </c>
      <c r="AN213" s="227" t="str">
        <f t="shared" si="139"/>
        <v>-</v>
      </c>
      <c r="AO213" s="227" t="str">
        <f t="shared" si="112"/>
        <v>-</v>
      </c>
      <c r="AP213" s="273">
        <f t="shared" si="140"/>
        <v>0.1</v>
      </c>
      <c r="AQ213" s="271" t="str">
        <f>IFERROR(IF(AL212=1,AQ$100*EXP(-(LN(2)/$D$65+0.04)*AN212)*EXP(-(LN(2)/$D$65+0.1)*AO212),IF(AL212=2,AQ$100*EXP(-(LN(2)/$D$65+0.04)*(VLOOKUP(($F$16-$F$15)-1,AK$99:AO212,4,FALSE)))*EXP(-(LN(2)/$D$65+0.1)*(VLOOKUP(($F$16-$F$15)-1,AK$99:AO212,5,FALSE)))*EXP(-(LN(2)/$D$65+0.04)*AN212)*EXP(-(LN(2)/$D$65+0.1)*AO212),IF(AL212=3,AQ$100*EXP(-(LN(2)/$D$65+0.04)*(VLOOKUP(($F$16-$F$15)-1,AK$99:AO212,4,FALSE)))*EXP(-(LN(2)/$D$65+0.1)*(VLOOKUP(($F$16-$F$15)-1,AK$99:AO212,5,FALSE)))*EXP(-(LN(2)/$D$65+0.04)*(VLOOKUP(($F$16-$F$15)*2-1,AK$99:AO212,4,FALSE)))*EXP(-(LN(2)/$D$65+0.1)*(VLOOKUP(($F$16-$F$15)*2-1,AK$99:AO212,5,FALSE)))*EXP(-(LN(2)/$D$65+0.04)*AN212)*EXP(-(LN(2)/$D$65+0.1)*AO212),"-"))),"-")</f>
        <v>-</v>
      </c>
      <c r="AR213" s="271" t="str">
        <f>IFERROR(IF(AL213=1,AR$100*EXP(-(LN(2)/$D$65+0.04)*AN213)*EXP(-(LN(2)/$D$65+0.1)*AO213),IF(AL213=2,AR$100*EXP(-(LN(2)/$D$65+0.04)*(VLOOKUP(($F$16-$F$15)-1,AK$100:AO213,4,FALSE)))*EXP(-(LN(2)/$D$65+0.1)*(VLOOKUP(($F$16-$F$15)-1,AK$100:AO213,5,FALSE)))*EXP(-(LN(2)/$D$65+0.04)*AN213)*EXP(-(LN(2)/$D$65+0.1)*AO213),IF(AL213=3,AR$100*EXP(-(LN(2)/$D$65+0.04)*(VLOOKUP(($F$16-$F$15)-1,AK$100:AO213,4,FALSE)))*EXP(-(LN(2)/$D$65+0.1)*(VLOOKUP(($F$16-$F$15)-1,AK$100:AO213,5,FALSE)))*EXP(-(LN(2)/$D$65+0.04)*(VLOOKUP(($F$16-$F$15)*2-1,AK$100:AO213,4,FALSE)))*EXP(-(LN(2)/$D$65+0.1)*(VLOOKUP(($F$16-$F$15)*2-1,AK$100:AO213,5,FALSE)))*EXP(-(LN(2)/$D$65+0.04)*AN213)*EXP(-(LN(2)/$D$65+0.1)*AO213),"-"))),"-")</f>
        <v>-</v>
      </c>
      <c r="AS213" s="274">
        <f t="shared" si="113"/>
        <v>0</v>
      </c>
      <c r="AT213" s="274">
        <f t="shared" si="114"/>
        <v>0</v>
      </c>
      <c r="AU213" s="274">
        <f t="shared" si="115"/>
        <v>0</v>
      </c>
      <c r="AV213" s="190" t="str">
        <f>IF($B213&lt;$F$22,SUM($T$100:$T213),"")</f>
        <v/>
      </c>
      <c r="AW213" s="190" t="str">
        <f t="shared" si="161"/>
        <v>-</v>
      </c>
      <c r="AX213" s="190" t="str">
        <f t="shared" si="141"/>
        <v/>
      </c>
      <c r="AY213"/>
      <c r="AZ213" s="190" t="str">
        <f ca="1">IF(ISNUMBER(OFFSET(AV213,-$F$21,0)),SUM(OFFSET($T$100,$F$21,0):$T213),"")</f>
        <v/>
      </c>
      <c r="BA213" s="190" t="str">
        <f t="shared" ca="1" si="162"/>
        <v/>
      </c>
      <c r="BB213" s="190" t="str">
        <f t="shared" ca="1" si="148"/>
        <v/>
      </c>
      <c r="BC213" s="190"/>
      <c r="BD213" s="190" t="str">
        <f ca="1">IFERROR(IF(OR(ISNUMBER(I),ISNUMBER($F$14)),IF(AND($B213&gt;=($F$16-$F$15),$B213&lt;$F$22+($F$16-$F$15)),SUM(OFFSET($T$100,($F$16-$F$15),0):$T213),""),""),"")</f>
        <v/>
      </c>
      <c r="BE213" s="190" t="str">
        <f t="shared" ca="1" si="142"/>
        <v/>
      </c>
      <c r="BF213" s="190" t="str">
        <f t="shared" ca="1" si="143"/>
        <v/>
      </c>
      <c r="BG213"/>
      <c r="BH213" s="190" t="str">
        <f ca="1">IF(ISNUMBER(OFFSET(BD213,-$F$21,0)),SUM(OFFSET($T$100,($F$16-$F$15+$F$21),0):$T213),"")</f>
        <v/>
      </c>
      <c r="BI213" s="190" t="str">
        <f t="shared" ca="1" si="163"/>
        <v/>
      </c>
      <c r="BJ213" s="190" t="str">
        <f t="shared" ca="1" si="144"/>
        <v/>
      </c>
      <c r="BK213" s="190"/>
      <c r="BL213" s="190" t="str">
        <f ca="1">IFERROR(IF(OR(ISNUMBER(I),ISNUMBER($F$14)),IF(AND($B213&gt;=($F$17-$F$15),$B213&lt;$F$22+($F$17-$F$15)),SUM(OFFSET($T$100,($F$17-$F$15),0):$T213),""),""),"")</f>
        <v/>
      </c>
      <c r="BM213" s="190" t="str">
        <f t="shared" ca="1" si="164"/>
        <v/>
      </c>
      <c r="BN213" s="190" t="str">
        <f t="shared" ca="1" si="145"/>
        <v/>
      </c>
      <c r="BO213"/>
      <c r="BP213" s="190" t="str">
        <f ca="1">IF(ISNUMBER(OFFSET(BL213,-$F$21,0)),SUM(OFFSET($T$100,($F$17-$F$15+$F$21),0):$T213),"")</f>
        <v/>
      </c>
      <c r="BQ213" s="190" t="str">
        <f t="shared" ca="1" si="165"/>
        <v/>
      </c>
      <c r="BR213" s="190" t="str">
        <f t="shared" ca="1" si="146"/>
        <v/>
      </c>
      <c r="BS213" s="190"/>
      <c r="BT213"/>
      <c r="BU213"/>
      <c r="BV213"/>
      <c r="BY213" s="99"/>
      <c r="BZ213" s="99"/>
      <c r="CA213" s="280" t="str">
        <f t="shared" si="166"/>
        <v/>
      </c>
      <c r="CB213" s="71" t="str">
        <f t="shared" si="122"/>
        <v>-</v>
      </c>
      <c r="CC213" s="33"/>
      <c r="CD213" s="261" t="str">
        <f t="shared" si="123"/>
        <v/>
      </c>
      <c r="CE213" s="280" t="str">
        <f t="shared" si="167"/>
        <v/>
      </c>
      <c r="CF213" s="71" t="str">
        <f t="shared" ca="1" si="168"/>
        <v/>
      </c>
      <c r="CG213" s="33" t="str">
        <f t="shared" si="126"/>
        <v/>
      </c>
      <c r="CH213" s="261" t="str">
        <f t="shared" ca="1" si="127"/>
        <v/>
      </c>
    </row>
    <row r="214" spans="2:86" ht="13.5" customHeight="1" x14ac:dyDescent="0.2">
      <c r="B214" s="262">
        <v>114</v>
      </c>
      <c r="C214" s="237" t="str">
        <f t="shared" si="91"/>
        <v/>
      </c>
      <c r="D214" s="237" t="str">
        <f t="shared" si="147"/>
        <v/>
      </c>
      <c r="E214" s="263" t="str">
        <f t="shared" si="128"/>
        <v/>
      </c>
      <c r="F214" s="264" t="str">
        <f t="shared" si="129"/>
        <v/>
      </c>
      <c r="G214" s="264" t="str">
        <f t="shared" si="130"/>
        <v/>
      </c>
      <c r="H214" s="240" t="str">
        <f t="shared" si="149"/>
        <v/>
      </c>
      <c r="I214" s="265" t="str">
        <f t="shared" si="150"/>
        <v/>
      </c>
      <c r="J214" s="265" t="str">
        <f t="shared" si="151"/>
        <v/>
      </c>
      <c r="K214" s="240" t="str">
        <f t="shared" si="152"/>
        <v/>
      </c>
      <c r="L214" s="265" t="str">
        <f t="shared" si="153"/>
        <v/>
      </c>
      <c r="M214" s="265" t="str">
        <f t="shared" si="154"/>
        <v/>
      </c>
      <c r="N214" s="240" t="str">
        <f t="shared" si="155"/>
        <v>-</v>
      </c>
      <c r="O214" s="265" t="str">
        <f t="shared" si="156"/>
        <v>-</v>
      </c>
      <c r="P214" s="265" t="str">
        <f t="shared" si="157"/>
        <v>-</v>
      </c>
      <c r="Q214" s="266" t="str">
        <f t="shared" si="158"/>
        <v>-</v>
      </c>
      <c r="R214" s="267" t="str">
        <f t="shared" si="159"/>
        <v>-</v>
      </c>
      <c r="S214" s="268" t="str">
        <f t="shared" si="160"/>
        <v>-</v>
      </c>
      <c r="T214" s="269" t="str">
        <f t="shared" si="104"/>
        <v/>
      </c>
      <c r="U214" s="221">
        <f t="shared" si="105"/>
        <v>114</v>
      </c>
      <c r="V214" s="220" t="str">
        <f t="shared" si="131"/>
        <v>-</v>
      </c>
      <c r="W214" s="221" t="str">
        <f t="shared" si="132"/>
        <v>-</v>
      </c>
      <c r="X214" s="221" t="str">
        <f t="shared" si="106"/>
        <v>-</v>
      </c>
      <c r="Y214" s="221" t="str">
        <f t="shared" si="107"/>
        <v>-</v>
      </c>
      <c r="Z214" s="270">
        <f t="shared" si="133"/>
        <v>0.1</v>
      </c>
      <c r="AA214" s="271" t="str">
        <f>IFERROR(IF(V213=1,AA$100*EXP(-(LN(2)/$D$65+0.04)*X213)*EXP(-(LN(2)/$D$65+0.1)*Y213),IF(V213=2,AA$100*EXP(-(LN(2)/$D$65+0.04)*(VLOOKUP(($F$16-$F$15)-1,U$99:Y213,4,FALSE)))*EXP(-(LN(2)/$D$65+0.1)*(VLOOKUP(($F$16-$F$15)-1,U$99:Y213,5,FALSE)))*EXP(-(LN(2)/$D$65+0.04)*X213)*EXP(-(LN(2)/$D$65+0.1)*Y213),IF(V213=3,AA$100*EXP(-(LN(2)/$D$65+0.04)*(VLOOKUP(($F$16-$F$15)-1,U$99:Y213,4,FALSE)))*EXP(-(LN(2)/$D$65+0.1)*(VLOOKUP(($F$16-$F$15)-1,U$99:Y213,5,FALSE)))*EXP(-(LN(2)/$D$65+0.04)*(VLOOKUP(($F$16-$F$15)*2-1,U$99:Y213,4,FALSE)))*EXP(-(LN(2)/$D$65+0.1)*(VLOOKUP(($F$16-$F$15)*2-1,U$99:Y213,5,FALSE)))*EXP(-(LN(2)/$D$65+0.04)*X213)*EXP(-(LN(2)/$D$65+0.1)*Y213),"-"))),"-")</f>
        <v>-</v>
      </c>
      <c r="AB214" s="271" t="str">
        <f>IFERROR(IF(V214=1,AB$100*EXP(-(LN(2)/$D$65+0.04)*X214)*EXP(-(LN(2)/$D$65+0.1)*Y214),IF(V214=2,AB$100*EXP(-(LN(2)/$D$65+0.04)*(VLOOKUP(($F$16-$F$15)-1,U$100:Y214,4,FALSE)))*EXP(-(LN(2)/$D$65+0.1)*(VLOOKUP(($F$16-$F$15)-1,U$100:Y214,5,FALSE)))*EXP(-(LN(2)/$D$65+0.04)*X214)*EXP(-(LN(2)/$D$65+0.1)*Y214),IF(V214=3,AB$100*EXP(-(LN(2)/$D$65+0.04)*(VLOOKUP(($F$16-$F$15)-1,U$100:Y214,4,FALSE)))*EXP(-(LN(2)/$D$65+0.1)*(VLOOKUP(($F$16-$F$15)-1,U$100:Y214,5,FALSE)))*EXP(-(LN(2)/$D$65+0.04)*(VLOOKUP(($F$16-$F$15)*2-1,U$100:Y214,4,FALSE)))*EXP(-(LN(2)/$D$65+0.1)*(VLOOKUP(($F$16-$F$15)*2-1,U$100:Y214,5,FALSE)))*EXP(-(LN(2)/$D$65+0.04)*X214)*EXP(-(LN(2)/$D$65+0.1)*Y214),"-"))),"-")</f>
        <v>-</v>
      </c>
      <c r="AC214" s="224">
        <f t="shared" si="134"/>
        <v>114</v>
      </c>
      <c r="AD214" s="223" t="str">
        <f t="shared" si="108"/>
        <v>-</v>
      </c>
      <c r="AE214" s="224" t="str">
        <f t="shared" si="135"/>
        <v>-</v>
      </c>
      <c r="AF214" s="224" t="str">
        <f t="shared" si="109"/>
        <v>-</v>
      </c>
      <c r="AG214" s="224" t="str">
        <f t="shared" si="110"/>
        <v>-</v>
      </c>
      <c r="AH214" s="272">
        <f t="shared" si="136"/>
        <v>0.1</v>
      </c>
      <c r="AI214" s="271" t="str">
        <f>IFERROR(IF(AD213=1,AI$100*EXP(-(LN(2)/$D$65+0.04)*AF213)*EXP(-(LN(2)/$D$65+0.1)*AG213),IF(AD213=2,AI$100*EXP(-(LN(2)/$D$65+0.04)*(VLOOKUP(($F$16-$F$15)-1,AC$99:AG213,4,FALSE)))*EXP(-(LN(2)/$D$65+0.1)*(VLOOKUP(($F$16-$F$15)-1,AC$99:AG213,5,FALSE)))*EXP(-(LN(2)/$D$65+0.04)*AF213)*EXP(-(LN(2)/$D$65+0.1)*AG213),IF(AD213=3,AI$100*EXP(-(LN(2)/$D$65+0.04)*(VLOOKUP(($F$16-$F$15)-1,AC$99:AG213,4,FALSE)))*EXP(-(LN(2)/$D$65+0.1)*(VLOOKUP(($F$16-$F$15)-1,AC$99:AG213,5,FALSE)))*EXP(-(LN(2)/$D$65+0.04)*(VLOOKUP(($F$16-$F$15)*2-1,AC$99:AG213,4,FALSE)))*EXP(-(LN(2)/$D$65+0.1)*(VLOOKUP(($F$16-$F$15)*2-1,AC$99:AG213,5,FALSE)))*EXP(-(LN(2)/$D$65+0.04)*AF213)*EXP(-(LN(2)/$D$65+0.1)*AG213),"-"))),"-")</f>
        <v>-</v>
      </c>
      <c r="AJ214" s="271" t="str">
        <f>IFERROR(IF(AD214=1,AJ$100*EXP(-(LN(2)/$D$65+0.04)*AF214)*EXP(-(LN(2)/$D$65+0.1)*AG214),IF(AD214=2,AJ$100*EXP(-(LN(2)/$D$65+0.04)*(VLOOKUP(($F$16-$F$15)-1,AC$100:AG214,4,FALSE)))*EXP(-(LN(2)/$D$65+0.1)*(VLOOKUP(($F$16-$F$15)-1,AC$100:AG214,5,FALSE)))*EXP(-(LN(2)/$D$65+0.04)*AF214)*EXP(-(LN(2)/$D$65+0.1)*AG214),IF(AD214=3,AJ$100*EXP(-(LN(2)/$D$65+0.04)*(VLOOKUP(($F$16-$F$15)-1,AC$100:AG214,4,FALSE)))*EXP(-(LN(2)/$D$65+0.1)*(VLOOKUP(($F$16-$F$15)-1,AC$100:AG214,5,FALSE)))*EXP(-(LN(2)/$D$65+0.04)*(VLOOKUP(($F$16-$F$15)*2-1,AC$100:AG214,4,FALSE)))*EXP(-(LN(2)/$D$65+0.1)*(VLOOKUP(($F$16-$F$15)*2-1,AC$100:AG214,5,FALSE)))*EXP(-(LN(2)/$D$65+0.04)*AF214)*EXP(-(LN(2)/$D$65+0.1)*AG214),"-"))),"-")</f>
        <v>-</v>
      </c>
      <c r="AK214" s="227">
        <f t="shared" si="137"/>
        <v>114</v>
      </c>
      <c r="AL214" s="226" t="str">
        <f t="shared" si="111"/>
        <v>-</v>
      </c>
      <c r="AM214" s="227" t="str">
        <f t="shared" si="138"/>
        <v>-</v>
      </c>
      <c r="AN214" s="227" t="str">
        <f t="shared" si="139"/>
        <v>-</v>
      </c>
      <c r="AO214" s="227" t="str">
        <f t="shared" si="112"/>
        <v>-</v>
      </c>
      <c r="AP214" s="273">
        <f t="shared" si="140"/>
        <v>0.1</v>
      </c>
      <c r="AQ214" s="271" t="str">
        <f>IFERROR(IF(AL213=1,AQ$100*EXP(-(LN(2)/$D$65+0.04)*AN213)*EXP(-(LN(2)/$D$65+0.1)*AO213),IF(AL213=2,AQ$100*EXP(-(LN(2)/$D$65+0.04)*(VLOOKUP(($F$16-$F$15)-1,AK$99:AO213,4,FALSE)))*EXP(-(LN(2)/$D$65+0.1)*(VLOOKUP(($F$16-$F$15)-1,AK$99:AO213,5,FALSE)))*EXP(-(LN(2)/$D$65+0.04)*AN213)*EXP(-(LN(2)/$D$65+0.1)*AO213),IF(AL213=3,AQ$100*EXP(-(LN(2)/$D$65+0.04)*(VLOOKUP(($F$16-$F$15)-1,AK$99:AO213,4,FALSE)))*EXP(-(LN(2)/$D$65+0.1)*(VLOOKUP(($F$16-$F$15)-1,AK$99:AO213,5,FALSE)))*EXP(-(LN(2)/$D$65+0.04)*(VLOOKUP(($F$16-$F$15)*2-1,AK$99:AO213,4,FALSE)))*EXP(-(LN(2)/$D$65+0.1)*(VLOOKUP(($F$16-$F$15)*2-1,AK$99:AO213,5,FALSE)))*EXP(-(LN(2)/$D$65+0.04)*AN213)*EXP(-(LN(2)/$D$65+0.1)*AO213),"-"))),"-")</f>
        <v>-</v>
      </c>
      <c r="AR214" s="271" t="str">
        <f>IFERROR(IF(AL214=1,AR$100*EXP(-(LN(2)/$D$65+0.04)*AN214)*EXP(-(LN(2)/$D$65+0.1)*AO214),IF(AL214=2,AR$100*EXP(-(LN(2)/$D$65+0.04)*(VLOOKUP(($F$16-$F$15)-1,AK$100:AO214,4,FALSE)))*EXP(-(LN(2)/$D$65+0.1)*(VLOOKUP(($F$16-$F$15)-1,AK$100:AO214,5,FALSE)))*EXP(-(LN(2)/$D$65+0.04)*AN214)*EXP(-(LN(2)/$D$65+0.1)*AO214),IF(AL214=3,AR$100*EXP(-(LN(2)/$D$65+0.04)*(VLOOKUP(($F$16-$F$15)-1,AK$100:AO214,4,FALSE)))*EXP(-(LN(2)/$D$65+0.1)*(VLOOKUP(($F$16-$F$15)-1,AK$100:AO214,5,FALSE)))*EXP(-(LN(2)/$D$65+0.04)*(VLOOKUP(($F$16-$F$15)*2-1,AK$100:AO214,4,FALSE)))*EXP(-(LN(2)/$D$65+0.1)*(VLOOKUP(($F$16-$F$15)*2-1,AK$100:AO214,5,FALSE)))*EXP(-(LN(2)/$D$65+0.04)*AN214)*EXP(-(LN(2)/$D$65+0.1)*AO214),"-"))),"-")</f>
        <v>-</v>
      </c>
      <c r="AS214" s="274">
        <f t="shared" si="113"/>
        <v>0</v>
      </c>
      <c r="AT214" s="274">
        <f t="shared" si="114"/>
        <v>0</v>
      </c>
      <c r="AU214" s="274">
        <f t="shared" si="115"/>
        <v>0</v>
      </c>
      <c r="AV214" s="190" t="str">
        <f>IF($B214&lt;$F$22,SUM($T$100:$T214),"")</f>
        <v/>
      </c>
      <c r="AW214" s="190" t="str">
        <f t="shared" si="161"/>
        <v>-</v>
      </c>
      <c r="AX214" s="190" t="str">
        <f t="shared" si="141"/>
        <v/>
      </c>
      <c r="AY214"/>
      <c r="AZ214" s="190" t="str">
        <f ca="1">IF(ISNUMBER(OFFSET(AV214,-$F$21,0)),SUM(OFFSET($T$100,$F$21,0):$T214),"")</f>
        <v/>
      </c>
      <c r="BA214" s="190" t="str">
        <f t="shared" ca="1" si="162"/>
        <v/>
      </c>
      <c r="BB214" s="190" t="str">
        <f t="shared" ca="1" si="148"/>
        <v/>
      </c>
      <c r="BC214" s="190"/>
      <c r="BD214" s="190" t="str">
        <f ca="1">IFERROR(IF(OR(ISNUMBER(I),ISNUMBER($F$14)),IF(AND($B214&gt;=($F$16-$F$15),$B214&lt;$F$22+($F$16-$F$15)),SUM(OFFSET($T$100,($F$16-$F$15),0):$T214),""),""),"")</f>
        <v/>
      </c>
      <c r="BE214" s="190" t="str">
        <f t="shared" ca="1" si="142"/>
        <v/>
      </c>
      <c r="BF214" s="190" t="str">
        <f t="shared" ca="1" si="143"/>
        <v/>
      </c>
      <c r="BG214"/>
      <c r="BH214" s="190" t="str">
        <f ca="1">IF(ISNUMBER(OFFSET(BD214,-$F$21,0)),SUM(OFFSET($T$100,($F$16-$F$15+$F$21),0):$T214),"")</f>
        <v/>
      </c>
      <c r="BI214" s="190" t="str">
        <f t="shared" ca="1" si="163"/>
        <v/>
      </c>
      <c r="BJ214" s="190" t="str">
        <f t="shared" ca="1" si="144"/>
        <v/>
      </c>
      <c r="BK214" s="190"/>
      <c r="BL214" s="190" t="str">
        <f ca="1">IFERROR(IF(OR(ISNUMBER(I),ISNUMBER($F$14)),IF(AND($B214&gt;=($F$17-$F$15),$B214&lt;$F$22+($F$17-$F$15)),SUM(OFFSET($T$100,($F$17-$F$15),0):$T214),""),""),"")</f>
        <v/>
      </c>
      <c r="BM214" s="190" t="str">
        <f t="shared" ca="1" si="164"/>
        <v/>
      </c>
      <c r="BN214" s="190" t="str">
        <f t="shared" ca="1" si="145"/>
        <v/>
      </c>
      <c r="BO214"/>
      <c r="BP214" s="190" t="str">
        <f ca="1">IF(ISNUMBER(OFFSET(BL214,-$F$21,0)),SUM(OFFSET($T$100,($F$17-$F$15+$F$21),0):$T214),"")</f>
        <v/>
      </c>
      <c r="BQ214" s="190" t="str">
        <f t="shared" ca="1" si="165"/>
        <v/>
      </c>
      <c r="BR214" s="190" t="str">
        <f t="shared" ca="1" si="146"/>
        <v/>
      </c>
      <c r="BS214" s="190"/>
      <c r="BT214"/>
      <c r="BU214"/>
      <c r="BV214"/>
      <c r="BY214" s="99"/>
      <c r="BZ214" s="99"/>
      <c r="CA214" s="280" t="str">
        <f t="shared" si="166"/>
        <v/>
      </c>
      <c r="CB214" s="71" t="str">
        <f t="shared" si="122"/>
        <v>-</v>
      </c>
      <c r="CC214" s="33"/>
      <c r="CD214" s="261" t="str">
        <f t="shared" si="123"/>
        <v/>
      </c>
      <c r="CE214" s="280" t="str">
        <f t="shared" si="167"/>
        <v/>
      </c>
      <c r="CF214" s="71" t="str">
        <f t="shared" ca="1" si="168"/>
        <v/>
      </c>
      <c r="CG214" s="33" t="str">
        <f t="shared" si="126"/>
        <v/>
      </c>
      <c r="CH214" s="261" t="str">
        <f t="shared" ca="1" si="127"/>
        <v/>
      </c>
    </row>
    <row r="215" spans="2:86" ht="13.5" customHeight="1" x14ac:dyDescent="0.2">
      <c r="B215" s="262">
        <v>115</v>
      </c>
      <c r="C215" s="237" t="str">
        <f t="shared" si="91"/>
        <v/>
      </c>
      <c r="D215" s="237" t="str">
        <f t="shared" si="147"/>
        <v/>
      </c>
      <c r="E215" s="263" t="str">
        <f t="shared" si="128"/>
        <v/>
      </c>
      <c r="F215" s="264" t="str">
        <f t="shared" si="129"/>
        <v/>
      </c>
      <c r="G215" s="264" t="str">
        <f t="shared" si="130"/>
        <v/>
      </c>
      <c r="H215" s="240" t="str">
        <f t="shared" si="149"/>
        <v/>
      </c>
      <c r="I215" s="265" t="str">
        <f t="shared" si="150"/>
        <v/>
      </c>
      <c r="J215" s="265" t="str">
        <f t="shared" si="151"/>
        <v/>
      </c>
      <c r="K215" s="240" t="str">
        <f t="shared" si="152"/>
        <v/>
      </c>
      <c r="L215" s="265" t="str">
        <f t="shared" si="153"/>
        <v/>
      </c>
      <c r="M215" s="265" t="str">
        <f t="shared" si="154"/>
        <v/>
      </c>
      <c r="N215" s="240" t="str">
        <f t="shared" si="155"/>
        <v>-</v>
      </c>
      <c r="O215" s="265" t="str">
        <f t="shared" si="156"/>
        <v>-</v>
      </c>
      <c r="P215" s="265" t="str">
        <f t="shared" si="157"/>
        <v>-</v>
      </c>
      <c r="Q215" s="266" t="str">
        <f t="shared" si="158"/>
        <v>-</v>
      </c>
      <c r="R215" s="267" t="str">
        <f t="shared" si="159"/>
        <v>-</v>
      </c>
      <c r="S215" s="268" t="str">
        <f t="shared" si="160"/>
        <v>-</v>
      </c>
      <c r="T215" s="269" t="str">
        <f t="shared" si="104"/>
        <v/>
      </c>
      <c r="U215" s="221">
        <f t="shared" si="105"/>
        <v>115</v>
      </c>
      <c r="V215" s="220" t="str">
        <f t="shared" si="131"/>
        <v>-</v>
      </c>
      <c r="W215" s="221" t="str">
        <f t="shared" si="132"/>
        <v>-</v>
      </c>
      <c r="X215" s="221" t="str">
        <f t="shared" si="106"/>
        <v>-</v>
      </c>
      <c r="Y215" s="221" t="str">
        <f t="shared" si="107"/>
        <v>-</v>
      </c>
      <c r="Z215" s="270">
        <f t="shared" si="133"/>
        <v>0.1</v>
      </c>
      <c r="AA215" s="271" t="str">
        <f>IFERROR(IF(V214=1,AA$100*EXP(-(LN(2)/$D$65+0.04)*X214)*EXP(-(LN(2)/$D$65+0.1)*Y214),IF(V214=2,AA$100*EXP(-(LN(2)/$D$65+0.04)*(VLOOKUP(($F$16-$F$15)-1,U$99:Y214,4,FALSE)))*EXP(-(LN(2)/$D$65+0.1)*(VLOOKUP(($F$16-$F$15)-1,U$99:Y214,5,FALSE)))*EXP(-(LN(2)/$D$65+0.04)*X214)*EXP(-(LN(2)/$D$65+0.1)*Y214),IF(V214=3,AA$100*EXP(-(LN(2)/$D$65+0.04)*(VLOOKUP(($F$16-$F$15)-1,U$99:Y214,4,FALSE)))*EXP(-(LN(2)/$D$65+0.1)*(VLOOKUP(($F$16-$F$15)-1,U$99:Y214,5,FALSE)))*EXP(-(LN(2)/$D$65+0.04)*(VLOOKUP(($F$16-$F$15)*2-1,U$99:Y214,4,FALSE)))*EXP(-(LN(2)/$D$65+0.1)*(VLOOKUP(($F$16-$F$15)*2-1,U$99:Y214,5,FALSE)))*EXP(-(LN(2)/$D$65+0.04)*X214)*EXP(-(LN(2)/$D$65+0.1)*Y214),"-"))),"-")</f>
        <v>-</v>
      </c>
      <c r="AB215" s="271" t="str">
        <f>IFERROR(IF(V215=1,AB$100*EXP(-(LN(2)/$D$65+0.04)*X215)*EXP(-(LN(2)/$D$65+0.1)*Y215),IF(V215=2,AB$100*EXP(-(LN(2)/$D$65+0.04)*(VLOOKUP(($F$16-$F$15)-1,U$100:Y215,4,FALSE)))*EXP(-(LN(2)/$D$65+0.1)*(VLOOKUP(($F$16-$F$15)-1,U$100:Y215,5,FALSE)))*EXP(-(LN(2)/$D$65+0.04)*X215)*EXP(-(LN(2)/$D$65+0.1)*Y215),IF(V215=3,AB$100*EXP(-(LN(2)/$D$65+0.04)*(VLOOKUP(($F$16-$F$15)-1,U$100:Y215,4,FALSE)))*EXP(-(LN(2)/$D$65+0.1)*(VLOOKUP(($F$16-$F$15)-1,U$100:Y215,5,FALSE)))*EXP(-(LN(2)/$D$65+0.04)*(VLOOKUP(($F$16-$F$15)*2-1,U$100:Y215,4,FALSE)))*EXP(-(LN(2)/$D$65+0.1)*(VLOOKUP(($F$16-$F$15)*2-1,U$100:Y215,5,FALSE)))*EXP(-(LN(2)/$D$65+0.04)*X215)*EXP(-(LN(2)/$D$65+0.1)*Y215),"-"))),"-")</f>
        <v>-</v>
      </c>
      <c r="AC215" s="224">
        <f t="shared" si="134"/>
        <v>115</v>
      </c>
      <c r="AD215" s="223" t="str">
        <f t="shared" si="108"/>
        <v>-</v>
      </c>
      <c r="AE215" s="224" t="str">
        <f t="shared" si="135"/>
        <v>-</v>
      </c>
      <c r="AF215" s="224" t="str">
        <f t="shared" si="109"/>
        <v>-</v>
      </c>
      <c r="AG215" s="224" t="str">
        <f t="shared" si="110"/>
        <v>-</v>
      </c>
      <c r="AH215" s="272">
        <f t="shared" si="136"/>
        <v>0.1</v>
      </c>
      <c r="AI215" s="271" t="str">
        <f>IFERROR(IF(AD214=1,AI$100*EXP(-(LN(2)/$D$65+0.04)*AF214)*EXP(-(LN(2)/$D$65+0.1)*AG214),IF(AD214=2,AI$100*EXP(-(LN(2)/$D$65+0.04)*(VLOOKUP(($F$16-$F$15)-1,AC$99:AG214,4,FALSE)))*EXP(-(LN(2)/$D$65+0.1)*(VLOOKUP(($F$16-$F$15)-1,AC$99:AG214,5,FALSE)))*EXP(-(LN(2)/$D$65+0.04)*AF214)*EXP(-(LN(2)/$D$65+0.1)*AG214),IF(AD214=3,AI$100*EXP(-(LN(2)/$D$65+0.04)*(VLOOKUP(($F$16-$F$15)-1,AC$99:AG214,4,FALSE)))*EXP(-(LN(2)/$D$65+0.1)*(VLOOKUP(($F$16-$F$15)-1,AC$99:AG214,5,FALSE)))*EXP(-(LN(2)/$D$65+0.04)*(VLOOKUP(($F$16-$F$15)*2-1,AC$99:AG214,4,FALSE)))*EXP(-(LN(2)/$D$65+0.1)*(VLOOKUP(($F$16-$F$15)*2-1,AC$99:AG214,5,FALSE)))*EXP(-(LN(2)/$D$65+0.04)*AF214)*EXP(-(LN(2)/$D$65+0.1)*AG214),"-"))),"-")</f>
        <v>-</v>
      </c>
      <c r="AJ215" s="271" t="str">
        <f>IFERROR(IF(AD215=1,AJ$100*EXP(-(LN(2)/$D$65+0.04)*AF215)*EXP(-(LN(2)/$D$65+0.1)*AG215),IF(AD215=2,AJ$100*EXP(-(LN(2)/$D$65+0.04)*(VLOOKUP(($F$16-$F$15)-1,AC$100:AG215,4,FALSE)))*EXP(-(LN(2)/$D$65+0.1)*(VLOOKUP(($F$16-$F$15)-1,AC$100:AG215,5,FALSE)))*EXP(-(LN(2)/$D$65+0.04)*AF215)*EXP(-(LN(2)/$D$65+0.1)*AG215),IF(AD215=3,AJ$100*EXP(-(LN(2)/$D$65+0.04)*(VLOOKUP(($F$16-$F$15)-1,AC$100:AG215,4,FALSE)))*EXP(-(LN(2)/$D$65+0.1)*(VLOOKUP(($F$16-$F$15)-1,AC$100:AG215,5,FALSE)))*EXP(-(LN(2)/$D$65+0.04)*(VLOOKUP(($F$16-$F$15)*2-1,AC$100:AG215,4,FALSE)))*EXP(-(LN(2)/$D$65+0.1)*(VLOOKUP(($F$16-$F$15)*2-1,AC$100:AG215,5,FALSE)))*EXP(-(LN(2)/$D$65+0.04)*AF215)*EXP(-(LN(2)/$D$65+0.1)*AG215),"-"))),"-")</f>
        <v>-</v>
      </c>
      <c r="AK215" s="227">
        <f t="shared" si="137"/>
        <v>115</v>
      </c>
      <c r="AL215" s="226" t="str">
        <f t="shared" si="111"/>
        <v>-</v>
      </c>
      <c r="AM215" s="227" t="str">
        <f t="shared" si="138"/>
        <v>-</v>
      </c>
      <c r="AN215" s="227" t="str">
        <f t="shared" si="139"/>
        <v>-</v>
      </c>
      <c r="AO215" s="227" t="str">
        <f t="shared" si="112"/>
        <v>-</v>
      </c>
      <c r="AP215" s="273">
        <f t="shared" si="140"/>
        <v>0.1</v>
      </c>
      <c r="AQ215" s="271" t="str">
        <f>IFERROR(IF(AL214=1,AQ$100*EXP(-(LN(2)/$D$65+0.04)*AN214)*EXP(-(LN(2)/$D$65+0.1)*AO214),IF(AL214=2,AQ$100*EXP(-(LN(2)/$D$65+0.04)*(VLOOKUP(($F$16-$F$15)-1,AK$99:AO214,4,FALSE)))*EXP(-(LN(2)/$D$65+0.1)*(VLOOKUP(($F$16-$F$15)-1,AK$99:AO214,5,FALSE)))*EXP(-(LN(2)/$D$65+0.04)*AN214)*EXP(-(LN(2)/$D$65+0.1)*AO214),IF(AL214=3,AQ$100*EXP(-(LN(2)/$D$65+0.04)*(VLOOKUP(($F$16-$F$15)-1,AK$99:AO214,4,FALSE)))*EXP(-(LN(2)/$D$65+0.1)*(VLOOKUP(($F$16-$F$15)-1,AK$99:AO214,5,FALSE)))*EXP(-(LN(2)/$D$65+0.04)*(VLOOKUP(($F$16-$F$15)*2-1,AK$99:AO214,4,FALSE)))*EXP(-(LN(2)/$D$65+0.1)*(VLOOKUP(($F$16-$F$15)*2-1,AK$99:AO214,5,FALSE)))*EXP(-(LN(2)/$D$65+0.04)*AN214)*EXP(-(LN(2)/$D$65+0.1)*AO214),"-"))),"-")</f>
        <v>-</v>
      </c>
      <c r="AR215" s="271" t="str">
        <f>IFERROR(IF(AL215=1,AR$100*EXP(-(LN(2)/$D$65+0.04)*AN215)*EXP(-(LN(2)/$D$65+0.1)*AO215),IF(AL215=2,AR$100*EXP(-(LN(2)/$D$65+0.04)*(VLOOKUP(($F$16-$F$15)-1,AK$100:AO215,4,FALSE)))*EXP(-(LN(2)/$D$65+0.1)*(VLOOKUP(($F$16-$F$15)-1,AK$100:AO215,5,FALSE)))*EXP(-(LN(2)/$D$65+0.04)*AN215)*EXP(-(LN(2)/$D$65+0.1)*AO215),IF(AL215=3,AR$100*EXP(-(LN(2)/$D$65+0.04)*(VLOOKUP(($F$16-$F$15)-1,AK$100:AO215,4,FALSE)))*EXP(-(LN(2)/$D$65+0.1)*(VLOOKUP(($F$16-$F$15)-1,AK$100:AO215,5,FALSE)))*EXP(-(LN(2)/$D$65+0.04)*(VLOOKUP(($F$16-$F$15)*2-1,AK$100:AO215,4,FALSE)))*EXP(-(LN(2)/$D$65+0.1)*(VLOOKUP(($F$16-$F$15)*2-1,AK$100:AO215,5,FALSE)))*EXP(-(LN(2)/$D$65+0.04)*AN215)*EXP(-(LN(2)/$D$65+0.1)*AO215),"-"))),"-")</f>
        <v>-</v>
      </c>
      <c r="AS215" s="274">
        <f t="shared" si="113"/>
        <v>0</v>
      </c>
      <c r="AT215" s="274">
        <f t="shared" si="114"/>
        <v>0</v>
      </c>
      <c r="AU215" s="274">
        <f t="shared" si="115"/>
        <v>0</v>
      </c>
      <c r="AV215" s="190" t="str">
        <f>IF($B215&lt;$F$22,SUM($T$100:$T215),"")</f>
        <v/>
      </c>
      <c r="AW215" s="190" t="str">
        <f t="shared" si="161"/>
        <v>-</v>
      </c>
      <c r="AX215" s="190" t="str">
        <f t="shared" si="141"/>
        <v/>
      </c>
      <c r="AY215"/>
      <c r="AZ215" s="190" t="str">
        <f ca="1">IF(ISNUMBER(OFFSET(AV215,-$F$21,0)),SUM(OFFSET($T$100,$F$21,0):$T215),"")</f>
        <v/>
      </c>
      <c r="BA215" s="190" t="str">
        <f t="shared" ca="1" si="162"/>
        <v/>
      </c>
      <c r="BB215" s="190" t="str">
        <f t="shared" ca="1" si="148"/>
        <v/>
      </c>
      <c r="BC215" s="190"/>
      <c r="BD215" s="190" t="str">
        <f ca="1">IFERROR(IF(OR(ISNUMBER(I),ISNUMBER($F$14)),IF(AND($B215&gt;=($F$16-$F$15),$B215&lt;$F$22+($F$16-$F$15)),SUM(OFFSET($T$100,($F$16-$F$15),0):$T215),""),""),"")</f>
        <v/>
      </c>
      <c r="BE215" s="190" t="str">
        <f t="shared" ca="1" si="142"/>
        <v/>
      </c>
      <c r="BF215" s="190" t="str">
        <f t="shared" ca="1" si="143"/>
        <v/>
      </c>
      <c r="BG215"/>
      <c r="BH215" s="190" t="str">
        <f ca="1">IF(ISNUMBER(OFFSET(BD215,-$F$21,0)),SUM(OFFSET($T$100,($F$16-$F$15+$F$21),0):$T215),"")</f>
        <v/>
      </c>
      <c r="BI215" s="190" t="str">
        <f t="shared" ca="1" si="163"/>
        <v/>
      </c>
      <c r="BJ215" s="190" t="str">
        <f t="shared" ca="1" si="144"/>
        <v/>
      </c>
      <c r="BK215" s="190"/>
      <c r="BL215" s="190" t="str">
        <f ca="1">IFERROR(IF(OR(ISNUMBER(I),ISNUMBER($F$14)),IF(AND($B215&gt;=($F$17-$F$15),$B215&lt;$F$22+($F$17-$F$15)),SUM(OFFSET($T$100,($F$17-$F$15),0):$T215),""),""),"")</f>
        <v/>
      </c>
      <c r="BM215" s="190" t="str">
        <f t="shared" ca="1" si="164"/>
        <v/>
      </c>
      <c r="BN215" s="190" t="str">
        <f t="shared" ca="1" si="145"/>
        <v/>
      </c>
      <c r="BO215"/>
      <c r="BP215" s="190" t="str">
        <f ca="1">IF(ISNUMBER(OFFSET(BL215,-$F$21,0)),SUM(OFFSET($T$100,($F$17-$F$15+$F$21),0):$T215),"")</f>
        <v/>
      </c>
      <c r="BQ215" s="190" t="str">
        <f t="shared" ca="1" si="165"/>
        <v/>
      </c>
      <c r="BR215" s="190" t="str">
        <f t="shared" ca="1" si="146"/>
        <v/>
      </c>
      <c r="BS215" s="190"/>
      <c r="BT215"/>
      <c r="BU215"/>
      <c r="BV215"/>
      <c r="BY215" s="99"/>
      <c r="BZ215" s="99"/>
      <c r="CA215" s="280" t="str">
        <f t="shared" si="166"/>
        <v/>
      </c>
      <c r="CB215" s="71" t="str">
        <f t="shared" si="122"/>
        <v>-</v>
      </c>
      <c r="CC215" s="33"/>
      <c r="CD215" s="261" t="str">
        <f t="shared" si="123"/>
        <v/>
      </c>
      <c r="CE215" s="280" t="str">
        <f t="shared" si="167"/>
        <v/>
      </c>
      <c r="CF215" s="71" t="str">
        <f t="shared" ca="1" si="168"/>
        <v/>
      </c>
      <c r="CG215" s="33" t="str">
        <f t="shared" si="126"/>
        <v/>
      </c>
      <c r="CH215" s="261" t="str">
        <f t="shared" ca="1" si="127"/>
        <v/>
      </c>
    </row>
    <row r="216" spans="2:86" ht="13.5" customHeight="1" x14ac:dyDescent="0.2">
      <c r="B216" s="262">
        <v>116</v>
      </c>
      <c r="C216" s="237" t="str">
        <f t="shared" si="91"/>
        <v/>
      </c>
      <c r="D216" s="237" t="str">
        <f t="shared" si="147"/>
        <v/>
      </c>
      <c r="E216" s="263" t="str">
        <f t="shared" si="128"/>
        <v/>
      </c>
      <c r="F216" s="264" t="str">
        <f t="shared" si="129"/>
        <v/>
      </c>
      <c r="G216" s="264" t="str">
        <f t="shared" si="130"/>
        <v/>
      </c>
      <c r="H216" s="240" t="str">
        <f t="shared" si="149"/>
        <v/>
      </c>
      <c r="I216" s="265" t="str">
        <f t="shared" si="150"/>
        <v/>
      </c>
      <c r="J216" s="265" t="str">
        <f t="shared" si="151"/>
        <v/>
      </c>
      <c r="K216" s="240" t="str">
        <f t="shared" si="152"/>
        <v/>
      </c>
      <c r="L216" s="265" t="str">
        <f t="shared" si="153"/>
        <v/>
      </c>
      <c r="M216" s="265" t="str">
        <f t="shared" si="154"/>
        <v/>
      </c>
      <c r="N216" s="240" t="str">
        <f t="shared" si="155"/>
        <v>-</v>
      </c>
      <c r="O216" s="265" t="str">
        <f t="shared" si="156"/>
        <v>-</v>
      </c>
      <c r="P216" s="265" t="str">
        <f t="shared" si="157"/>
        <v>-</v>
      </c>
      <c r="Q216" s="266" t="str">
        <f t="shared" si="158"/>
        <v>-</v>
      </c>
      <c r="R216" s="267" t="str">
        <f t="shared" si="159"/>
        <v>-</v>
      </c>
      <c r="S216" s="268" t="str">
        <f t="shared" si="160"/>
        <v>-</v>
      </c>
      <c r="T216" s="269" t="str">
        <f t="shared" si="104"/>
        <v/>
      </c>
      <c r="U216" s="221">
        <f t="shared" si="105"/>
        <v>116</v>
      </c>
      <c r="V216" s="220" t="str">
        <f t="shared" si="131"/>
        <v>-</v>
      </c>
      <c r="W216" s="221" t="str">
        <f t="shared" si="132"/>
        <v>-</v>
      </c>
      <c r="X216" s="221" t="str">
        <f t="shared" si="106"/>
        <v>-</v>
      </c>
      <c r="Y216" s="221" t="str">
        <f t="shared" si="107"/>
        <v>-</v>
      </c>
      <c r="Z216" s="270">
        <f t="shared" si="133"/>
        <v>0.1</v>
      </c>
      <c r="AA216" s="271" t="str">
        <f>IFERROR(IF(V215=1,AA$100*EXP(-(LN(2)/$D$65+0.04)*X215)*EXP(-(LN(2)/$D$65+0.1)*Y215),IF(V215=2,AA$100*EXP(-(LN(2)/$D$65+0.04)*(VLOOKUP(($F$16-$F$15)-1,U$99:Y215,4,FALSE)))*EXP(-(LN(2)/$D$65+0.1)*(VLOOKUP(($F$16-$F$15)-1,U$99:Y215,5,FALSE)))*EXP(-(LN(2)/$D$65+0.04)*X215)*EXP(-(LN(2)/$D$65+0.1)*Y215),IF(V215=3,AA$100*EXP(-(LN(2)/$D$65+0.04)*(VLOOKUP(($F$16-$F$15)-1,U$99:Y215,4,FALSE)))*EXP(-(LN(2)/$D$65+0.1)*(VLOOKUP(($F$16-$F$15)-1,U$99:Y215,5,FALSE)))*EXP(-(LN(2)/$D$65+0.04)*(VLOOKUP(($F$16-$F$15)*2-1,U$99:Y215,4,FALSE)))*EXP(-(LN(2)/$D$65+0.1)*(VLOOKUP(($F$16-$F$15)*2-1,U$99:Y215,5,FALSE)))*EXP(-(LN(2)/$D$65+0.04)*X215)*EXP(-(LN(2)/$D$65+0.1)*Y215),"-"))),"-")</f>
        <v>-</v>
      </c>
      <c r="AB216" s="271" t="str">
        <f>IFERROR(IF(V216=1,AB$100*EXP(-(LN(2)/$D$65+0.04)*X216)*EXP(-(LN(2)/$D$65+0.1)*Y216),IF(V216=2,AB$100*EXP(-(LN(2)/$D$65+0.04)*(VLOOKUP(($F$16-$F$15)-1,U$100:Y216,4,FALSE)))*EXP(-(LN(2)/$D$65+0.1)*(VLOOKUP(($F$16-$F$15)-1,U$100:Y216,5,FALSE)))*EXP(-(LN(2)/$D$65+0.04)*X216)*EXP(-(LN(2)/$D$65+0.1)*Y216),IF(V216=3,AB$100*EXP(-(LN(2)/$D$65+0.04)*(VLOOKUP(($F$16-$F$15)-1,U$100:Y216,4,FALSE)))*EXP(-(LN(2)/$D$65+0.1)*(VLOOKUP(($F$16-$F$15)-1,U$100:Y216,5,FALSE)))*EXP(-(LN(2)/$D$65+0.04)*(VLOOKUP(($F$16-$F$15)*2-1,U$100:Y216,4,FALSE)))*EXP(-(LN(2)/$D$65+0.1)*(VLOOKUP(($F$16-$F$15)*2-1,U$100:Y216,5,FALSE)))*EXP(-(LN(2)/$D$65+0.04)*X216)*EXP(-(LN(2)/$D$65+0.1)*Y216),"-"))),"-")</f>
        <v>-</v>
      </c>
      <c r="AC216" s="224">
        <f t="shared" si="134"/>
        <v>116</v>
      </c>
      <c r="AD216" s="223" t="str">
        <f t="shared" si="108"/>
        <v>-</v>
      </c>
      <c r="AE216" s="224" t="str">
        <f t="shared" si="135"/>
        <v>-</v>
      </c>
      <c r="AF216" s="224" t="str">
        <f t="shared" si="109"/>
        <v>-</v>
      </c>
      <c r="AG216" s="224" t="str">
        <f t="shared" si="110"/>
        <v>-</v>
      </c>
      <c r="AH216" s="272">
        <f t="shared" si="136"/>
        <v>0.1</v>
      </c>
      <c r="AI216" s="271" t="str">
        <f>IFERROR(IF(AD215=1,AI$100*EXP(-(LN(2)/$D$65+0.04)*AF215)*EXP(-(LN(2)/$D$65+0.1)*AG215),IF(AD215=2,AI$100*EXP(-(LN(2)/$D$65+0.04)*(VLOOKUP(($F$16-$F$15)-1,AC$99:AG215,4,FALSE)))*EXP(-(LN(2)/$D$65+0.1)*(VLOOKUP(($F$16-$F$15)-1,AC$99:AG215,5,FALSE)))*EXP(-(LN(2)/$D$65+0.04)*AF215)*EXP(-(LN(2)/$D$65+0.1)*AG215),IF(AD215=3,AI$100*EXP(-(LN(2)/$D$65+0.04)*(VLOOKUP(($F$16-$F$15)-1,AC$99:AG215,4,FALSE)))*EXP(-(LN(2)/$D$65+0.1)*(VLOOKUP(($F$16-$F$15)-1,AC$99:AG215,5,FALSE)))*EXP(-(LN(2)/$D$65+0.04)*(VLOOKUP(($F$16-$F$15)*2-1,AC$99:AG215,4,FALSE)))*EXP(-(LN(2)/$D$65+0.1)*(VLOOKUP(($F$16-$F$15)*2-1,AC$99:AG215,5,FALSE)))*EXP(-(LN(2)/$D$65+0.04)*AF215)*EXP(-(LN(2)/$D$65+0.1)*AG215),"-"))),"-")</f>
        <v>-</v>
      </c>
      <c r="AJ216" s="271" t="str">
        <f>IFERROR(IF(AD216=1,AJ$100*EXP(-(LN(2)/$D$65+0.04)*AF216)*EXP(-(LN(2)/$D$65+0.1)*AG216),IF(AD216=2,AJ$100*EXP(-(LN(2)/$D$65+0.04)*(VLOOKUP(($F$16-$F$15)-1,AC$100:AG216,4,FALSE)))*EXP(-(LN(2)/$D$65+0.1)*(VLOOKUP(($F$16-$F$15)-1,AC$100:AG216,5,FALSE)))*EXP(-(LN(2)/$D$65+0.04)*AF216)*EXP(-(LN(2)/$D$65+0.1)*AG216),IF(AD216=3,AJ$100*EXP(-(LN(2)/$D$65+0.04)*(VLOOKUP(($F$16-$F$15)-1,AC$100:AG216,4,FALSE)))*EXP(-(LN(2)/$D$65+0.1)*(VLOOKUP(($F$16-$F$15)-1,AC$100:AG216,5,FALSE)))*EXP(-(LN(2)/$D$65+0.04)*(VLOOKUP(($F$16-$F$15)*2-1,AC$100:AG216,4,FALSE)))*EXP(-(LN(2)/$D$65+0.1)*(VLOOKUP(($F$16-$F$15)*2-1,AC$100:AG216,5,FALSE)))*EXP(-(LN(2)/$D$65+0.04)*AF216)*EXP(-(LN(2)/$D$65+0.1)*AG216),"-"))),"-")</f>
        <v>-</v>
      </c>
      <c r="AK216" s="227">
        <f t="shared" si="137"/>
        <v>116</v>
      </c>
      <c r="AL216" s="226" t="str">
        <f t="shared" si="111"/>
        <v>-</v>
      </c>
      <c r="AM216" s="227" t="str">
        <f t="shared" si="138"/>
        <v>-</v>
      </c>
      <c r="AN216" s="227" t="str">
        <f t="shared" si="139"/>
        <v>-</v>
      </c>
      <c r="AO216" s="227" t="str">
        <f t="shared" si="112"/>
        <v>-</v>
      </c>
      <c r="AP216" s="273">
        <f t="shared" si="140"/>
        <v>0.1</v>
      </c>
      <c r="AQ216" s="271" t="str">
        <f>IFERROR(IF(AL215=1,AQ$100*EXP(-(LN(2)/$D$65+0.04)*AN215)*EXP(-(LN(2)/$D$65+0.1)*AO215),IF(AL215=2,AQ$100*EXP(-(LN(2)/$D$65+0.04)*(VLOOKUP(($F$16-$F$15)-1,AK$99:AO215,4,FALSE)))*EXP(-(LN(2)/$D$65+0.1)*(VLOOKUP(($F$16-$F$15)-1,AK$99:AO215,5,FALSE)))*EXP(-(LN(2)/$D$65+0.04)*AN215)*EXP(-(LN(2)/$D$65+0.1)*AO215),IF(AL215=3,AQ$100*EXP(-(LN(2)/$D$65+0.04)*(VLOOKUP(($F$16-$F$15)-1,AK$99:AO215,4,FALSE)))*EXP(-(LN(2)/$D$65+0.1)*(VLOOKUP(($F$16-$F$15)-1,AK$99:AO215,5,FALSE)))*EXP(-(LN(2)/$D$65+0.04)*(VLOOKUP(($F$16-$F$15)*2-1,AK$99:AO215,4,FALSE)))*EXP(-(LN(2)/$D$65+0.1)*(VLOOKUP(($F$16-$F$15)*2-1,AK$99:AO215,5,FALSE)))*EXP(-(LN(2)/$D$65+0.04)*AN215)*EXP(-(LN(2)/$D$65+0.1)*AO215),"-"))),"-")</f>
        <v>-</v>
      </c>
      <c r="AR216" s="271" t="str">
        <f>IFERROR(IF(AL216=1,AR$100*EXP(-(LN(2)/$D$65+0.04)*AN216)*EXP(-(LN(2)/$D$65+0.1)*AO216),IF(AL216=2,AR$100*EXP(-(LN(2)/$D$65+0.04)*(VLOOKUP(($F$16-$F$15)-1,AK$100:AO216,4,FALSE)))*EXP(-(LN(2)/$D$65+0.1)*(VLOOKUP(($F$16-$F$15)-1,AK$100:AO216,5,FALSE)))*EXP(-(LN(2)/$D$65+0.04)*AN216)*EXP(-(LN(2)/$D$65+0.1)*AO216),IF(AL216=3,AR$100*EXP(-(LN(2)/$D$65+0.04)*(VLOOKUP(($F$16-$F$15)-1,AK$100:AO216,4,FALSE)))*EXP(-(LN(2)/$D$65+0.1)*(VLOOKUP(($F$16-$F$15)-1,AK$100:AO216,5,FALSE)))*EXP(-(LN(2)/$D$65+0.04)*(VLOOKUP(($F$16-$F$15)*2-1,AK$100:AO216,4,FALSE)))*EXP(-(LN(2)/$D$65+0.1)*(VLOOKUP(($F$16-$F$15)*2-1,AK$100:AO216,5,FALSE)))*EXP(-(LN(2)/$D$65+0.04)*AN216)*EXP(-(LN(2)/$D$65+0.1)*AO216),"-"))),"-")</f>
        <v>-</v>
      </c>
      <c r="AS216" s="274">
        <f t="shared" si="113"/>
        <v>0</v>
      </c>
      <c r="AT216" s="274">
        <f t="shared" si="114"/>
        <v>0</v>
      </c>
      <c r="AU216" s="274">
        <f t="shared" si="115"/>
        <v>0</v>
      </c>
      <c r="AV216" s="190" t="str">
        <f>IF($B216&lt;$F$22,SUM($T$100:$T216),"")</f>
        <v/>
      </c>
      <c r="AW216" s="190" t="str">
        <f t="shared" si="161"/>
        <v>-</v>
      </c>
      <c r="AX216" s="190" t="str">
        <f t="shared" si="141"/>
        <v/>
      </c>
      <c r="AY216"/>
      <c r="AZ216" s="190" t="str">
        <f ca="1">IF(ISNUMBER(OFFSET(AV216,-$F$21,0)),SUM(OFFSET($T$100,$F$21,0):$T216),"")</f>
        <v/>
      </c>
      <c r="BA216" s="190" t="str">
        <f t="shared" ca="1" si="162"/>
        <v/>
      </c>
      <c r="BB216" s="190" t="str">
        <f t="shared" ca="1" si="148"/>
        <v/>
      </c>
      <c r="BC216" s="190"/>
      <c r="BD216" s="190" t="str">
        <f ca="1">IFERROR(IF(OR(ISNUMBER(I),ISNUMBER($F$14)),IF(AND($B216&gt;=($F$16-$F$15),$B216&lt;$F$22+($F$16-$F$15)),SUM(OFFSET($T$100,($F$16-$F$15),0):$T216),""),""),"")</f>
        <v/>
      </c>
      <c r="BE216" s="190" t="str">
        <f t="shared" ca="1" si="142"/>
        <v/>
      </c>
      <c r="BF216" s="190" t="str">
        <f t="shared" ca="1" si="143"/>
        <v/>
      </c>
      <c r="BG216"/>
      <c r="BH216" s="190" t="str">
        <f ca="1">IF(ISNUMBER(OFFSET(BD216,-$F$21,0)),SUM(OFFSET($T$100,($F$16-$F$15+$F$21),0):$T216),"")</f>
        <v/>
      </c>
      <c r="BI216" s="190" t="str">
        <f t="shared" ca="1" si="163"/>
        <v/>
      </c>
      <c r="BJ216" s="190" t="str">
        <f t="shared" ca="1" si="144"/>
        <v/>
      </c>
      <c r="BK216" s="190"/>
      <c r="BL216" s="190" t="str">
        <f ca="1">IFERROR(IF(OR(ISNUMBER(I),ISNUMBER($F$14)),IF(AND($B216&gt;=($F$17-$F$15),$B216&lt;$F$22+($F$17-$F$15)),SUM(OFFSET($T$100,($F$17-$F$15),0):$T216),""),""),"")</f>
        <v/>
      </c>
      <c r="BM216" s="190" t="str">
        <f t="shared" ca="1" si="164"/>
        <v/>
      </c>
      <c r="BN216" s="190" t="str">
        <f t="shared" ca="1" si="145"/>
        <v/>
      </c>
      <c r="BO216"/>
      <c r="BP216" s="190" t="str">
        <f ca="1">IF(ISNUMBER(OFFSET(BL216,-$F$21,0)),SUM(OFFSET($T$100,($F$17-$F$15+$F$21),0):$T216),"")</f>
        <v/>
      </c>
      <c r="BQ216" s="190" t="str">
        <f t="shared" ca="1" si="165"/>
        <v/>
      </c>
      <c r="BR216" s="190" t="str">
        <f t="shared" ca="1" si="146"/>
        <v/>
      </c>
      <c r="BS216" s="190"/>
      <c r="BT216"/>
      <c r="BU216"/>
      <c r="BV216"/>
      <c r="BY216" s="99"/>
      <c r="BZ216" s="99"/>
      <c r="CA216" s="280" t="str">
        <f t="shared" si="166"/>
        <v/>
      </c>
      <c r="CB216" s="71" t="str">
        <f t="shared" si="122"/>
        <v>-</v>
      </c>
      <c r="CC216" s="33"/>
      <c r="CD216" s="261" t="str">
        <f t="shared" si="123"/>
        <v/>
      </c>
      <c r="CE216" s="280" t="str">
        <f t="shared" si="167"/>
        <v/>
      </c>
      <c r="CF216" s="71" t="str">
        <f t="shared" ca="1" si="168"/>
        <v/>
      </c>
      <c r="CG216" s="33" t="str">
        <f t="shared" si="126"/>
        <v/>
      </c>
      <c r="CH216" s="261" t="str">
        <f t="shared" ca="1" si="127"/>
        <v/>
      </c>
    </row>
    <row r="217" spans="2:86" ht="13.5" customHeight="1" x14ac:dyDescent="0.2">
      <c r="B217" s="262">
        <v>117</v>
      </c>
      <c r="C217" s="237" t="str">
        <f t="shared" si="91"/>
        <v/>
      </c>
      <c r="D217" s="237" t="str">
        <f t="shared" si="147"/>
        <v/>
      </c>
      <c r="E217" s="263" t="str">
        <f t="shared" si="128"/>
        <v/>
      </c>
      <c r="F217" s="264" t="str">
        <f t="shared" si="129"/>
        <v/>
      </c>
      <c r="G217" s="264" t="str">
        <f t="shared" si="130"/>
        <v/>
      </c>
      <c r="H217" s="240" t="str">
        <f t="shared" si="149"/>
        <v/>
      </c>
      <c r="I217" s="265" t="str">
        <f t="shared" si="150"/>
        <v/>
      </c>
      <c r="J217" s="265" t="str">
        <f t="shared" si="151"/>
        <v/>
      </c>
      <c r="K217" s="240" t="str">
        <f t="shared" si="152"/>
        <v/>
      </c>
      <c r="L217" s="265" t="str">
        <f t="shared" si="153"/>
        <v/>
      </c>
      <c r="M217" s="265" t="str">
        <f t="shared" si="154"/>
        <v/>
      </c>
      <c r="N217" s="240" t="str">
        <f t="shared" si="155"/>
        <v>-</v>
      </c>
      <c r="O217" s="265" t="str">
        <f t="shared" si="156"/>
        <v>-</v>
      </c>
      <c r="P217" s="265" t="str">
        <f t="shared" si="157"/>
        <v>-</v>
      </c>
      <c r="Q217" s="266" t="str">
        <f t="shared" si="158"/>
        <v>-</v>
      </c>
      <c r="R217" s="267" t="str">
        <f t="shared" si="159"/>
        <v>-</v>
      </c>
      <c r="S217" s="268" t="str">
        <f t="shared" si="160"/>
        <v>-</v>
      </c>
      <c r="T217" s="269" t="str">
        <f t="shared" si="104"/>
        <v/>
      </c>
      <c r="U217" s="221">
        <f t="shared" si="105"/>
        <v>117</v>
      </c>
      <c r="V217" s="220" t="str">
        <f t="shared" si="131"/>
        <v>-</v>
      </c>
      <c r="W217" s="221" t="str">
        <f t="shared" si="132"/>
        <v>-</v>
      </c>
      <c r="X217" s="221" t="str">
        <f t="shared" si="106"/>
        <v>-</v>
      </c>
      <c r="Y217" s="221" t="str">
        <f t="shared" si="107"/>
        <v>-</v>
      </c>
      <c r="Z217" s="270">
        <f t="shared" si="133"/>
        <v>0.1</v>
      </c>
      <c r="AA217" s="271" t="str">
        <f>IFERROR(IF(V216=1,AA$100*EXP(-(LN(2)/$D$65+0.04)*X216)*EXP(-(LN(2)/$D$65+0.1)*Y216),IF(V216=2,AA$100*EXP(-(LN(2)/$D$65+0.04)*(VLOOKUP(($F$16-$F$15)-1,U$99:Y216,4,FALSE)))*EXP(-(LN(2)/$D$65+0.1)*(VLOOKUP(($F$16-$F$15)-1,U$99:Y216,5,FALSE)))*EXP(-(LN(2)/$D$65+0.04)*X216)*EXP(-(LN(2)/$D$65+0.1)*Y216),IF(V216=3,AA$100*EXP(-(LN(2)/$D$65+0.04)*(VLOOKUP(($F$16-$F$15)-1,U$99:Y216,4,FALSE)))*EXP(-(LN(2)/$D$65+0.1)*(VLOOKUP(($F$16-$F$15)-1,U$99:Y216,5,FALSE)))*EXP(-(LN(2)/$D$65+0.04)*(VLOOKUP(($F$16-$F$15)*2-1,U$99:Y216,4,FALSE)))*EXP(-(LN(2)/$D$65+0.1)*(VLOOKUP(($F$16-$F$15)*2-1,U$99:Y216,5,FALSE)))*EXP(-(LN(2)/$D$65+0.04)*X216)*EXP(-(LN(2)/$D$65+0.1)*Y216),"-"))),"-")</f>
        <v>-</v>
      </c>
      <c r="AB217" s="271" t="str">
        <f>IFERROR(IF(V217=1,AB$100*EXP(-(LN(2)/$D$65+0.04)*X217)*EXP(-(LN(2)/$D$65+0.1)*Y217),IF(V217=2,AB$100*EXP(-(LN(2)/$D$65+0.04)*(VLOOKUP(($F$16-$F$15)-1,U$100:Y217,4,FALSE)))*EXP(-(LN(2)/$D$65+0.1)*(VLOOKUP(($F$16-$F$15)-1,U$100:Y217,5,FALSE)))*EXP(-(LN(2)/$D$65+0.04)*X217)*EXP(-(LN(2)/$D$65+0.1)*Y217),IF(V217=3,AB$100*EXP(-(LN(2)/$D$65+0.04)*(VLOOKUP(($F$16-$F$15)-1,U$100:Y217,4,FALSE)))*EXP(-(LN(2)/$D$65+0.1)*(VLOOKUP(($F$16-$F$15)-1,U$100:Y217,5,FALSE)))*EXP(-(LN(2)/$D$65+0.04)*(VLOOKUP(($F$16-$F$15)*2-1,U$100:Y217,4,FALSE)))*EXP(-(LN(2)/$D$65+0.1)*(VLOOKUP(($F$16-$F$15)*2-1,U$100:Y217,5,FALSE)))*EXP(-(LN(2)/$D$65+0.04)*X217)*EXP(-(LN(2)/$D$65+0.1)*Y217),"-"))),"-")</f>
        <v>-</v>
      </c>
      <c r="AC217" s="224">
        <f t="shared" si="134"/>
        <v>117</v>
      </c>
      <c r="AD217" s="223" t="str">
        <f t="shared" si="108"/>
        <v>-</v>
      </c>
      <c r="AE217" s="224" t="str">
        <f t="shared" si="135"/>
        <v>-</v>
      </c>
      <c r="AF217" s="224" t="str">
        <f t="shared" si="109"/>
        <v>-</v>
      </c>
      <c r="AG217" s="224" t="str">
        <f t="shared" si="110"/>
        <v>-</v>
      </c>
      <c r="AH217" s="272">
        <f t="shared" si="136"/>
        <v>0.1</v>
      </c>
      <c r="AI217" s="271" t="str">
        <f>IFERROR(IF(AD216=1,AI$100*EXP(-(LN(2)/$D$65+0.04)*AF216)*EXP(-(LN(2)/$D$65+0.1)*AG216),IF(AD216=2,AI$100*EXP(-(LN(2)/$D$65+0.04)*(VLOOKUP(($F$16-$F$15)-1,AC$99:AG216,4,FALSE)))*EXP(-(LN(2)/$D$65+0.1)*(VLOOKUP(($F$16-$F$15)-1,AC$99:AG216,5,FALSE)))*EXP(-(LN(2)/$D$65+0.04)*AF216)*EXP(-(LN(2)/$D$65+0.1)*AG216),IF(AD216=3,AI$100*EXP(-(LN(2)/$D$65+0.04)*(VLOOKUP(($F$16-$F$15)-1,AC$99:AG216,4,FALSE)))*EXP(-(LN(2)/$D$65+0.1)*(VLOOKUP(($F$16-$F$15)-1,AC$99:AG216,5,FALSE)))*EXP(-(LN(2)/$D$65+0.04)*(VLOOKUP(($F$16-$F$15)*2-1,AC$99:AG216,4,FALSE)))*EXP(-(LN(2)/$D$65+0.1)*(VLOOKUP(($F$16-$F$15)*2-1,AC$99:AG216,5,FALSE)))*EXP(-(LN(2)/$D$65+0.04)*AF216)*EXP(-(LN(2)/$D$65+0.1)*AG216),"-"))),"-")</f>
        <v>-</v>
      </c>
      <c r="AJ217" s="271" t="str">
        <f>IFERROR(IF(AD217=1,AJ$100*EXP(-(LN(2)/$D$65+0.04)*AF217)*EXP(-(LN(2)/$D$65+0.1)*AG217),IF(AD217=2,AJ$100*EXP(-(LN(2)/$D$65+0.04)*(VLOOKUP(($F$16-$F$15)-1,AC$100:AG217,4,FALSE)))*EXP(-(LN(2)/$D$65+0.1)*(VLOOKUP(($F$16-$F$15)-1,AC$100:AG217,5,FALSE)))*EXP(-(LN(2)/$D$65+0.04)*AF217)*EXP(-(LN(2)/$D$65+0.1)*AG217),IF(AD217=3,AJ$100*EXP(-(LN(2)/$D$65+0.04)*(VLOOKUP(($F$16-$F$15)-1,AC$100:AG217,4,FALSE)))*EXP(-(LN(2)/$D$65+0.1)*(VLOOKUP(($F$16-$F$15)-1,AC$100:AG217,5,FALSE)))*EXP(-(LN(2)/$D$65+0.04)*(VLOOKUP(($F$16-$F$15)*2-1,AC$100:AG217,4,FALSE)))*EXP(-(LN(2)/$D$65+0.1)*(VLOOKUP(($F$16-$F$15)*2-1,AC$100:AG217,5,FALSE)))*EXP(-(LN(2)/$D$65+0.04)*AF217)*EXP(-(LN(2)/$D$65+0.1)*AG217),"-"))),"-")</f>
        <v>-</v>
      </c>
      <c r="AK217" s="227">
        <f t="shared" si="137"/>
        <v>117</v>
      </c>
      <c r="AL217" s="226" t="str">
        <f t="shared" si="111"/>
        <v>-</v>
      </c>
      <c r="AM217" s="227" t="str">
        <f t="shared" si="138"/>
        <v>-</v>
      </c>
      <c r="AN217" s="227" t="str">
        <f t="shared" si="139"/>
        <v>-</v>
      </c>
      <c r="AO217" s="227" t="str">
        <f t="shared" si="112"/>
        <v>-</v>
      </c>
      <c r="AP217" s="273">
        <f t="shared" si="140"/>
        <v>0.1</v>
      </c>
      <c r="AQ217" s="271" t="str">
        <f>IFERROR(IF(AL216=1,AQ$100*EXP(-(LN(2)/$D$65+0.04)*AN216)*EXP(-(LN(2)/$D$65+0.1)*AO216),IF(AL216=2,AQ$100*EXP(-(LN(2)/$D$65+0.04)*(VLOOKUP(($F$16-$F$15)-1,AK$99:AO216,4,FALSE)))*EXP(-(LN(2)/$D$65+0.1)*(VLOOKUP(($F$16-$F$15)-1,AK$99:AO216,5,FALSE)))*EXP(-(LN(2)/$D$65+0.04)*AN216)*EXP(-(LN(2)/$D$65+0.1)*AO216),IF(AL216=3,AQ$100*EXP(-(LN(2)/$D$65+0.04)*(VLOOKUP(($F$16-$F$15)-1,AK$99:AO216,4,FALSE)))*EXP(-(LN(2)/$D$65+0.1)*(VLOOKUP(($F$16-$F$15)-1,AK$99:AO216,5,FALSE)))*EXP(-(LN(2)/$D$65+0.04)*(VLOOKUP(($F$16-$F$15)*2-1,AK$99:AO216,4,FALSE)))*EXP(-(LN(2)/$D$65+0.1)*(VLOOKUP(($F$16-$F$15)*2-1,AK$99:AO216,5,FALSE)))*EXP(-(LN(2)/$D$65+0.04)*AN216)*EXP(-(LN(2)/$D$65+0.1)*AO216),"-"))),"-")</f>
        <v>-</v>
      </c>
      <c r="AR217" s="271" t="str">
        <f>IFERROR(IF(AL217=1,AR$100*EXP(-(LN(2)/$D$65+0.04)*AN217)*EXP(-(LN(2)/$D$65+0.1)*AO217),IF(AL217=2,AR$100*EXP(-(LN(2)/$D$65+0.04)*(VLOOKUP(($F$16-$F$15)-1,AK$100:AO217,4,FALSE)))*EXP(-(LN(2)/$D$65+0.1)*(VLOOKUP(($F$16-$F$15)-1,AK$100:AO217,5,FALSE)))*EXP(-(LN(2)/$D$65+0.04)*AN217)*EXP(-(LN(2)/$D$65+0.1)*AO217),IF(AL217=3,AR$100*EXP(-(LN(2)/$D$65+0.04)*(VLOOKUP(($F$16-$F$15)-1,AK$100:AO217,4,FALSE)))*EXP(-(LN(2)/$D$65+0.1)*(VLOOKUP(($F$16-$F$15)-1,AK$100:AO217,5,FALSE)))*EXP(-(LN(2)/$D$65+0.04)*(VLOOKUP(($F$16-$F$15)*2-1,AK$100:AO217,4,FALSE)))*EXP(-(LN(2)/$D$65+0.1)*(VLOOKUP(($F$16-$F$15)*2-1,AK$100:AO217,5,FALSE)))*EXP(-(LN(2)/$D$65+0.04)*AN217)*EXP(-(LN(2)/$D$65+0.1)*AO217),"-"))),"-")</f>
        <v>-</v>
      </c>
      <c r="AS217" s="274">
        <f t="shared" si="113"/>
        <v>0</v>
      </c>
      <c r="AT217" s="274">
        <f t="shared" si="114"/>
        <v>0</v>
      </c>
      <c r="AU217" s="274">
        <f t="shared" si="115"/>
        <v>0</v>
      </c>
      <c r="AV217" s="190" t="str">
        <f>IF($B217&lt;$F$22,SUM($T$100:$T217),"")</f>
        <v/>
      </c>
      <c r="AW217" s="190" t="str">
        <f t="shared" si="161"/>
        <v>-</v>
      </c>
      <c r="AX217" s="190" t="str">
        <f t="shared" si="141"/>
        <v/>
      </c>
      <c r="AY217"/>
      <c r="AZ217" s="190" t="str">
        <f ca="1">IF(ISNUMBER(OFFSET(AV217,-$F$21,0)),SUM(OFFSET($T$100,$F$21,0):$T217),"")</f>
        <v/>
      </c>
      <c r="BA217" s="190" t="str">
        <f t="shared" ca="1" si="162"/>
        <v/>
      </c>
      <c r="BB217" s="190" t="str">
        <f t="shared" ca="1" si="148"/>
        <v/>
      </c>
      <c r="BC217" s="190"/>
      <c r="BD217" s="190" t="str">
        <f ca="1">IFERROR(IF(OR(ISNUMBER(I),ISNUMBER($F$14)),IF(AND($B217&gt;=($F$16-$F$15),$B217&lt;$F$22+($F$16-$F$15)),SUM(OFFSET($T$100,($F$16-$F$15),0):$T217),""),""),"")</f>
        <v/>
      </c>
      <c r="BE217" s="190" t="str">
        <f t="shared" ca="1" si="142"/>
        <v/>
      </c>
      <c r="BF217" s="190" t="str">
        <f t="shared" ca="1" si="143"/>
        <v/>
      </c>
      <c r="BG217"/>
      <c r="BH217" s="190" t="str">
        <f ca="1">IF(ISNUMBER(OFFSET(BD217,-$F$21,0)),SUM(OFFSET($T$100,($F$16-$F$15+$F$21),0):$T217),"")</f>
        <v/>
      </c>
      <c r="BI217" s="190" t="str">
        <f t="shared" ca="1" si="163"/>
        <v/>
      </c>
      <c r="BJ217" s="190" t="str">
        <f t="shared" ca="1" si="144"/>
        <v/>
      </c>
      <c r="BK217" s="190"/>
      <c r="BL217" s="190" t="str">
        <f ca="1">IFERROR(IF(OR(ISNUMBER(I),ISNUMBER($F$14)),IF(AND($B217&gt;=($F$17-$F$15),$B217&lt;$F$22+($F$17-$F$15)),SUM(OFFSET($T$100,($F$17-$F$15),0):$T217),""),""),"")</f>
        <v/>
      </c>
      <c r="BM217" s="190" t="str">
        <f t="shared" ca="1" si="164"/>
        <v/>
      </c>
      <c r="BN217" s="190" t="str">
        <f t="shared" ca="1" si="145"/>
        <v/>
      </c>
      <c r="BO217"/>
      <c r="BP217" s="190" t="str">
        <f ca="1">IF(ISNUMBER(OFFSET(BL217,-$F$21,0)),SUM(OFFSET($T$100,($F$17-$F$15+$F$21),0):$T217),"")</f>
        <v/>
      </c>
      <c r="BQ217" s="190" t="str">
        <f t="shared" ca="1" si="165"/>
        <v/>
      </c>
      <c r="BR217" s="190" t="str">
        <f t="shared" ca="1" si="146"/>
        <v/>
      </c>
      <c r="BS217" s="190"/>
      <c r="BT217"/>
      <c r="BU217"/>
      <c r="BV217"/>
      <c r="BY217" s="99"/>
      <c r="BZ217" s="99"/>
      <c r="CA217" s="280" t="str">
        <f t="shared" si="166"/>
        <v/>
      </c>
      <c r="CB217" s="71" t="str">
        <f t="shared" si="122"/>
        <v>-</v>
      </c>
      <c r="CC217" s="33"/>
      <c r="CD217" s="261" t="str">
        <f t="shared" si="123"/>
        <v/>
      </c>
      <c r="CE217" s="280" t="str">
        <f t="shared" si="167"/>
        <v/>
      </c>
      <c r="CF217" s="71" t="str">
        <f t="shared" ca="1" si="168"/>
        <v/>
      </c>
      <c r="CG217" s="33" t="str">
        <f t="shared" si="126"/>
        <v/>
      </c>
      <c r="CH217" s="261" t="str">
        <f t="shared" ca="1" si="127"/>
        <v/>
      </c>
    </row>
    <row r="218" spans="2:86" ht="13.5" customHeight="1" x14ac:dyDescent="0.2">
      <c r="B218" s="262">
        <v>118</v>
      </c>
      <c r="C218" s="237" t="str">
        <f t="shared" si="91"/>
        <v/>
      </c>
      <c r="D218" s="237" t="str">
        <f t="shared" si="147"/>
        <v/>
      </c>
      <c r="E218" s="263" t="str">
        <f t="shared" si="128"/>
        <v/>
      </c>
      <c r="F218" s="264" t="str">
        <f t="shared" si="129"/>
        <v/>
      </c>
      <c r="G218" s="264" t="str">
        <f t="shared" si="130"/>
        <v/>
      </c>
      <c r="H218" s="240" t="str">
        <f t="shared" si="149"/>
        <v/>
      </c>
      <c r="I218" s="265" t="str">
        <f t="shared" si="150"/>
        <v/>
      </c>
      <c r="J218" s="265" t="str">
        <f t="shared" si="151"/>
        <v/>
      </c>
      <c r="K218" s="240" t="str">
        <f t="shared" si="152"/>
        <v/>
      </c>
      <c r="L218" s="265" t="str">
        <f t="shared" si="153"/>
        <v/>
      </c>
      <c r="M218" s="265" t="str">
        <f t="shared" si="154"/>
        <v/>
      </c>
      <c r="N218" s="240" t="str">
        <f t="shared" si="155"/>
        <v>-</v>
      </c>
      <c r="O218" s="265" t="str">
        <f t="shared" si="156"/>
        <v>-</v>
      </c>
      <c r="P218" s="265" t="str">
        <f t="shared" si="157"/>
        <v>-</v>
      </c>
      <c r="Q218" s="266" t="str">
        <f t="shared" si="158"/>
        <v>-</v>
      </c>
      <c r="R218" s="267" t="str">
        <f t="shared" si="159"/>
        <v>-</v>
      </c>
      <c r="S218" s="268" t="str">
        <f t="shared" si="160"/>
        <v>-</v>
      </c>
      <c r="T218" s="269" t="str">
        <f t="shared" si="104"/>
        <v/>
      </c>
      <c r="U218" s="221">
        <f t="shared" si="105"/>
        <v>118</v>
      </c>
      <c r="V218" s="220" t="str">
        <f t="shared" si="131"/>
        <v>-</v>
      </c>
      <c r="W218" s="221" t="str">
        <f t="shared" si="132"/>
        <v>-</v>
      </c>
      <c r="X218" s="221" t="str">
        <f t="shared" si="106"/>
        <v>-</v>
      </c>
      <c r="Y218" s="221" t="str">
        <f t="shared" si="107"/>
        <v>-</v>
      </c>
      <c r="Z218" s="270">
        <f t="shared" si="133"/>
        <v>0.1</v>
      </c>
      <c r="AA218" s="271" t="str">
        <f>IFERROR(IF(V217=1,AA$100*EXP(-(LN(2)/$D$65+0.04)*X217)*EXP(-(LN(2)/$D$65+0.1)*Y217),IF(V217=2,AA$100*EXP(-(LN(2)/$D$65+0.04)*(VLOOKUP(($F$16-$F$15)-1,U$99:Y217,4,FALSE)))*EXP(-(LN(2)/$D$65+0.1)*(VLOOKUP(($F$16-$F$15)-1,U$99:Y217,5,FALSE)))*EXP(-(LN(2)/$D$65+0.04)*X217)*EXP(-(LN(2)/$D$65+0.1)*Y217),IF(V217=3,AA$100*EXP(-(LN(2)/$D$65+0.04)*(VLOOKUP(($F$16-$F$15)-1,U$99:Y217,4,FALSE)))*EXP(-(LN(2)/$D$65+0.1)*(VLOOKUP(($F$16-$F$15)-1,U$99:Y217,5,FALSE)))*EXP(-(LN(2)/$D$65+0.04)*(VLOOKUP(($F$16-$F$15)*2-1,U$99:Y217,4,FALSE)))*EXP(-(LN(2)/$D$65+0.1)*(VLOOKUP(($F$16-$F$15)*2-1,U$99:Y217,5,FALSE)))*EXP(-(LN(2)/$D$65+0.04)*X217)*EXP(-(LN(2)/$D$65+0.1)*Y217),"-"))),"-")</f>
        <v>-</v>
      </c>
      <c r="AB218" s="271" t="str">
        <f>IFERROR(IF(V218=1,AB$100*EXP(-(LN(2)/$D$65+0.04)*X218)*EXP(-(LN(2)/$D$65+0.1)*Y218),IF(V218=2,AB$100*EXP(-(LN(2)/$D$65+0.04)*(VLOOKUP(($F$16-$F$15)-1,U$100:Y218,4,FALSE)))*EXP(-(LN(2)/$D$65+0.1)*(VLOOKUP(($F$16-$F$15)-1,U$100:Y218,5,FALSE)))*EXP(-(LN(2)/$D$65+0.04)*X218)*EXP(-(LN(2)/$D$65+0.1)*Y218),IF(V218=3,AB$100*EXP(-(LN(2)/$D$65+0.04)*(VLOOKUP(($F$16-$F$15)-1,U$100:Y218,4,FALSE)))*EXP(-(LN(2)/$D$65+0.1)*(VLOOKUP(($F$16-$F$15)-1,U$100:Y218,5,FALSE)))*EXP(-(LN(2)/$D$65+0.04)*(VLOOKUP(($F$16-$F$15)*2-1,U$100:Y218,4,FALSE)))*EXP(-(LN(2)/$D$65+0.1)*(VLOOKUP(($F$16-$F$15)*2-1,U$100:Y218,5,FALSE)))*EXP(-(LN(2)/$D$65+0.04)*X218)*EXP(-(LN(2)/$D$65+0.1)*Y218),"-"))),"-")</f>
        <v>-</v>
      </c>
      <c r="AC218" s="224">
        <f t="shared" si="134"/>
        <v>118</v>
      </c>
      <c r="AD218" s="223" t="str">
        <f t="shared" si="108"/>
        <v>-</v>
      </c>
      <c r="AE218" s="224" t="str">
        <f t="shared" si="135"/>
        <v>-</v>
      </c>
      <c r="AF218" s="224" t="str">
        <f t="shared" si="109"/>
        <v>-</v>
      </c>
      <c r="AG218" s="224" t="str">
        <f t="shared" si="110"/>
        <v>-</v>
      </c>
      <c r="AH218" s="272">
        <f t="shared" si="136"/>
        <v>0.1</v>
      </c>
      <c r="AI218" s="271" t="str">
        <f>IFERROR(IF(AD217=1,AI$100*EXP(-(LN(2)/$D$65+0.04)*AF217)*EXP(-(LN(2)/$D$65+0.1)*AG217),IF(AD217=2,AI$100*EXP(-(LN(2)/$D$65+0.04)*(VLOOKUP(($F$16-$F$15)-1,AC$99:AG217,4,FALSE)))*EXP(-(LN(2)/$D$65+0.1)*(VLOOKUP(($F$16-$F$15)-1,AC$99:AG217,5,FALSE)))*EXP(-(LN(2)/$D$65+0.04)*AF217)*EXP(-(LN(2)/$D$65+0.1)*AG217),IF(AD217=3,AI$100*EXP(-(LN(2)/$D$65+0.04)*(VLOOKUP(($F$16-$F$15)-1,AC$99:AG217,4,FALSE)))*EXP(-(LN(2)/$D$65+0.1)*(VLOOKUP(($F$16-$F$15)-1,AC$99:AG217,5,FALSE)))*EXP(-(LN(2)/$D$65+0.04)*(VLOOKUP(($F$16-$F$15)*2-1,AC$99:AG217,4,FALSE)))*EXP(-(LN(2)/$D$65+0.1)*(VLOOKUP(($F$16-$F$15)*2-1,AC$99:AG217,5,FALSE)))*EXP(-(LN(2)/$D$65+0.04)*AF217)*EXP(-(LN(2)/$D$65+0.1)*AG217),"-"))),"-")</f>
        <v>-</v>
      </c>
      <c r="AJ218" s="271" t="str">
        <f>IFERROR(IF(AD218=1,AJ$100*EXP(-(LN(2)/$D$65+0.04)*AF218)*EXP(-(LN(2)/$D$65+0.1)*AG218),IF(AD218=2,AJ$100*EXP(-(LN(2)/$D$65+0.04)*(VLOOKUP(($F$16-$F$15)-1,AC$100:AG218,4,FALSE)))*EXP(-(LN(2)/$D$65+0.1)*(VLOOKUP(($F$16-$F$15)-1,AC$100:AG218,5,FALSE)))*EXP(-(LN(2)/$D$65+0.04)*AF218)*EXP(-(LN(2)/$D$65+0.1)*AG218),IF(AD218=3,AJ$100*EXP(-(LN(2)/$D$65+0.04)*(VLOOKUP(($F$16-$F$15)-1,AC$100:AG218,4,FALSE)))*EXP(-(LN(2)/$D$65+0.1)*(VLOOKUP(($F$16-$F$15)-1,AC$100:AG218,5,FALSE)))*EXP(-(LN(2)/$D$65+0.04)*(VLOOKUP(($F$16-$F$15)*2-1,AC$100:AG218,4,FALSE)))*EXP(-(LN(2)/$D$65+0.1)*(VLOOKUP(($F$16-$F$15)*2-1,AC$100:AG218,5,FALSE)))*EXP(-(LN(2)/$D$65+0.04)*AF218)*EXP(-(LN(2)/$D$65+0.1)*AG218),"-"))),"-")</f>
        <v>-</v>
      </c>
      <c r="AK218" s="227">
        <f t="shared" si="137"/>
        <v>118</v>
      </c>
      <c r="AL218" s="226" t="str">
        <f t="shared" si="111"/>
        <v>-</v>
      </c>
      <c r="AM218" s="227" t="str">
        <f t="shared" si="138"/>
        <v>-</v>
      </c>
      <c r="AN218" s="227" t="str">
        <f t="shared" si="139"/>
        <v>-</v>
      </c>
      <c r="AO218" s="227" t="str">
        <f t="shared" si="112"/>
        <v>-</v>
      </c>
      <c r="AP218" s="273">
        <f t="shared" si="140"/>
        <v>0.1</v>
      </c>
      <c r="AQ218" s="271" t="str">
        <f>IFERROR(IF(AL217=1,AQ$100*EXP(-(LN(2)/$D$65+0.04)*AN217)*EXP(-(LN(2)/$D$65+0.1)*AO217),IF(AL217=2,AQ$100*EXP(-(LN(2)/$D$65+0.04)*(VLOOKUP(($F$16-$F$15)-1,AK$99:AO217,4,FALSE)))*EXP(-(LN(2)/$D$65+0.1)*(VLOOKUP(($F$16-$F$15)-1,AK$99:AO217,5,FALSE)))*EXP(-(LN(2)/$D$65+0.04)*AN217)*EXP(-(LN(2)/$D$65+0.1)*AO217),IF(AL217=3,AQ$100*EXP(-(LN(2)/$D$65+0.04)*(VLOOKUP(($F$16-$F$15)-1,AK$99:AO217,4,FALSE)))*EXP(-(LN(2)/$D$65+0.1)*(VLOOKUP(($F$16-$F$15)-1,AK$99:AO217,5,FALSE)))*EXP(-(LN(2)/$D$65+0.04)*(VLOOKUP(($F$16-$F$15)*2-1,AK$99:AO217,4,FALSE)))*EXP(-(LN(2)/$D$65+0.1)*(VLOOKUP(($F$16-$F$15)*2-1,AK$99:AO217,5,FALSE)))*EXP(-(LN(2)/$D$65+0.04)*AN217)*EXP(-(LN(2)/$D$65+0.1)*AO217),"-"))),"-")</f>
        <v>-</v>
      </c>
      <c r="AR218" s="271" t="str">
        <f>IFERROR(IF(AL218=1,AR$100*EXP(-(LN(2)/$D$65+0.04)*AN218)*EXP(-(LN(2)/$D$65+0.1)*AO218),IF(AL218=2,AR$100*EXP(-(LN(2)/$D$65+0.04)*(VLOOKUP(($F$16-$F$15)-1,AK$100:AO218,4,FALSE)))*EXP(-(LN(2)/$D$65+0.1)*(VLOOKUP(($F$16-$F$15)-1,AK$100:AO218,5,FALSE)))*EXP(-(LN(2)/$D$65+0.04)*AN218)*EXP(-(LN(2)/$D$65+0.1)*AO218),IF(AL218=3,AR$100*EXP(-(LN(2)/$D$65+0.04)*(VLOOKUP(($F$16-$F$15)-1,AK$100:AO218,4,FALSE)))*EXP(-(LN(2)/$D$65+0.1)*(VLOOKUP(($F$16-$F$15)-1,AK$100:AO218,5,FALSE)))*EXP(-(LN(2)/$D$65+0.04)*(VLOOKUP(($F$16-$F$15)*2-1,AK$100:AO218,4,FALSE)))*EXP(-(LN(2)/$D$65+0.1)*(VLOOKUP(($F$16-$F$15)*2-1,AK$100:AO218,5,FALSE)))*EXP(-(LN(2)/$D$65+0.04)*AN218)*EXP(-(LN(2)/$D$65+0.1)*AO218),"-"))),"-")</f>
        <v>-</v>
      </c>
      <c r="AS218" s="274">
        <f t="shared" si="113"/>
        <v>0</v>
      </c>
      <c r="AT218" s="274">
        <f t="shared" si="114"/>
        <v>0</v>
      </c>
      <c r="AU218" s="274">
        <f t="shared" si="115"/>
        <v>0</v>
      </c>
      <c r="AV218" s="190" t="str">
        <f>IF($B218&lt;$F$22,SUM($T$100:$T218),"")</f>
        <v/>
      </c>
      <c r="AW218" s="190" t="str">
        <f t="shared" si="161"/>
        <v>-</v>
      </c>
      <c r="AX218" s="190" t="str">
        <f t="shared" si="141"/>
        <v/>
      </c>
      <c r="AY218"/>
      <c r="AZ218" s="190" t="str">
        <f ca="1">IF(ISNUMBER(OFFSET(AV218,-$F$21,0)),SUM(OFFSET($T$100,$F$21,0):$T218),"")</f>
        <v/>
      </c>
      <c r="BA218" s="190" t="str">
        <f t="shared" ca="1" si="162"/>
        <v/>
      </c>
      <c r="BB218" s="190" t="str">
        <f t="shared" ca="1" si="148"/>
        <v/>
      </c>
      <c r="BC218" s="190"/>
      <c r="BD218" s="190" t="str">
        <f ca="1">IFERROR(IF(OR(ISNUMBER(I),ISNUMBER($F$14)),IF(AND($B218&gt;=($F$16-$F$15),$B218&lt;$F$22+($F$16-$F$15)),SUM(OFFSET($T$100,($F$16-$F$15),0):$T218),""),""),"")</f>
        <v/>
      </c>
      <c r="BE218" s="190" t="str">
        <f t="shared" ca="1" si="142"/>
        <v/>
      </c>
      <c r="BF218" s="190" t="str">
        <f t="shared" ca="1" si="143"/>
        <v/>
      </c>
      <c r="BG218"/>
      <c r="BH218" s="190" t="str">
        <f ca="1">IF(ISNUMBER(OFFSET(BD218,-$F$21,0)),SUM(OFFSET($T$100,($F$16-$F$15+$F$21),0):$T218),"")</f>
        <v/>
      </c>
      <c r="BI218" s="190" t="str">
        <f t="shared" ca="1" si="163"/>
        <v/>
      </c>
      <c r="BJ218" s="190" t="str">
        <f t="shared" ca="1" si="144"/>
        <v/>
      </c>
      <c r="BK218" s="190"/>
      <c r="BL218" s="190" t="str">
        <f ca="1">IFERROR(IF(OR(ISNUMBER(I),ISNUMBER($F$14)),IF(AND($B218&gt;=($F$17-$F$15),$B218&lt;$F$22+($F$17-$F$15)),SUM(OFFSET($T$100,($F$17-$F$15),0):$T218),""),""),"")</f>
        <v/>
      </c>
      <c r="BM218" s="190" t="str">
        <f t="shared" ca="1" si="164"/>
        <v/>
      </c>
      <c r="BN218" s="190" t="str">
        <f t="shared" ca="1" si="145"/>
        <v/>
      </c>
      <c r="BO218"/>
      <c r="BP218" s="190" t="str">
        <f ca="1">IF(ISNUMBER(OFFSET(BL218,-$F$21,0)),SUM(OFFSET($T$100,($F$17-$F$15+$F$21),0):$T218),"")</f>
        <v/>
      </c>
      <c r="BQ218" s="190" t="str">
        <f t="shared" ca="1" si="165"/>
        <v/>
      </c>
      <c r="BR218" s="190" t="str">
        <f t="shared" ca="1" si="146"/>
        <v/>
      </c>
      <c r="BS218" s="190"/>
      <c r="BT218"/>
      <c r="BU218"/>
      <c r="BV218"/>
      <c r="BY218" s="99"/>
      <c r="BZ218" s="99"/>
      <c r="CA218" s="280" t="str">
        <f t="shared" si="166"/>
        <v/>
      </c>
      <c r="CB218" s="71" t="str">
        <f t="shared" si="122"/>
        <v>-</v>
      </c>
      <c r="CC218" s="33"/>
      <c r="CD218" s="261" t="str">
        <f t="shared" si="123"/>
        <v/>
      </c>
      <c r="CE218" s="280" t="str">
        <f t="shared" si="167"/>
        <v/>
      </c>
      <c r="CF218" s="71" t="str">
        <f t="shared" ca="1" si="168"/>
        <v/>
      </c>
      <c r="CG218" s="33" t="str">
        <f t="shared" si="126"/>
        <v/>
      </c>
      <c r="CH218" s="261" t="str">
        <f t="shared" ca="1" si="127"/>
        <v/>
      </c>
    </row>
    <row r="219" spans="2:86" ht="13.5" customHeight="1" x14ac:dyDescent="0.2">
      <c r="B219" s="262">
        <v>119</v>
      </c>
      <c r="C219" s="237" t="str">
        <f t="shared" si="91"/>
        <v/>
      </c>
      <c r="D219" s="237" t="str">
        <f t="shared" si="147"/>
        <v/>
      </c>
      <c r="E219" s="263" t="str">
        <f t="shared" si="128"/>
        <v/>
      </c>
      <c r="F219" s="264" t="str">
        <f t="shared" si="129"/>
        <v/>
      </c>
      <c r="G219" s="264" t="str">
        <f t="shared" si="130"/>
        <v/>
      </c>
      <c r="H219" s="240" t="str">
        <f t="shared" si="149"/>
        <v/>
      </c>
      <c r="I219" s="265" t="str">
        <f t="shared" si="150"/>
        <v/>
      </c>
      <c r="J219" s="265" t="str">
        <f t="shared" si="151"/>
        <v/>
      </c>
      <c r="K219" s="240" t="str">
        <f t="shared" si="152"/>
        <v/>
      </c>
      <c r="L219" s="265" t="str">
        <f t="shared" si="153"/>
        <v/>
      </c>
      <c r="M219" s="265" t="str">
        <f t="shared" si="154"/>
        <v/>
      </c>
      <c r="N219" s="240" t="str">
        <f t="shared" si="155"/>
        <v>-</v>
      </c>
      <c r="O219" s="265" t="str">
        <f t="shared" si="156"/>
        <v>-</v>
      </c>
      <c r="P219" s="265" t="str">
        <f t="shared" si="157"/>
        <v>-</v>
      </c>
      <c r="Q219" s="266" t="str">
        <f t="shared" si="158"/>
        <v>-</v>
      </c>
      <c r="R219" s="267" t="str">
        <f t="shared" si="159"/>
        <v>-</v>
      </c>
      <c r="S219" s="268" t="str">
        <f t="shared" si="160"/>
        <v>-</v>
      </c>
      <c r="T219" s="269" t="str">
        <f t="shared" si="104"/>
        <v/>
      </c>
      <c r="U219" s="221">
        <f t="shared" si="105"/>
        <v>119</v>
      </c>
      <c r="V219" s="220" t="str">
        <f t="shared" si="131"/>
        <v>-</v>
      </c>
      <c r="W219" s="221" t="str">
        <f t="shared" si="132"/>
        <v>-</v>
      </c>
      <c r="X219" s="221" t="str">
        <f t="shared" si="106"/>
        <v>-</v>
      </c>
      <c r="Y219" s="221" t="str">
        <f t="shared" si="107"/>
        <v>-</v>
      </c>
      <c r="Z219" s="270">
        <f t="shared" si="133"/>
        <v>0.1</v>
      </c>
      <c r="AA219" s="271" t="str">
        <f>IFERROR(IF(V218=1,AA$100*EXP(-(LN(2)/$D$65+0.04)*X218)*EXP(-(LN(2)/$D$65+0.1)*Y218),IF(V218=2,AA$100*EXP(-(LN(2)/$D$65+0.04)*(VLOOKUP(($F$16-$F$15)-1,U$99:Y218,4,FALSE)))*EXP(-(LN(2)/$D$65+0.1)*(VLOOKUP(($F$16-$F$15)-1,U$99:Y218,5,FALSE)))*EXP(-(LN(2)/$D$65+0.04)*X218)*EXP(-(LN(2)/$D$65+0.1)*Y218),IF(V218=3,AA$100*EXP(-(LN(2)/$D$65+0.04)*(VLOOKUP(($F$16-$F$15)-1,U$99:Y218,4,FALSE)))*EXP(-(LN(2)/$D$65+0.1)*(VLOOKUP(($F$16-$F$15)-1,U$99:Y218,5,FALSE)))*EXP(-(LN(2)/$D$65+0.04)*(VLOOKUP(($F$16-$F$15)*2-1,U$99:Y218,4,FALSE)))*EXP(-(LN(2)/$D$65+0.1)*(VLOOKUP(($F$16-$F$15)*2-1,U$99:Y218,5,FALSE)))*EXP(-(LN(2)/$D$65+0.04)*X218)*EXP(-(LN(2)/$D$65+0.1)*Y218),"-"))),"-")</f>
        <v>-</v>
      </c>
      <c r="AB219" s="271" t="str">
        <f>IFERROR(IF(V219=1,AB$100*EXP(-(LN(2)/$D$65+0.04)*X219)*EXP(-(LN(2)/$D$65+0.1)*Y219),IF(V219=2,AB$100*EXP(-(LN(2)/$D$65+0.04)*(VLOOKUP(($F$16-$F$15)-1,U$100:Y219,4,FALSE)))*EXP(-(LN(2)/$D$65+0.1)*(VLOOKUP(($F$16-$F$15)-1,U$100:Y219,5,FALSE)))*EXP(-(LN(2)/$D$65+0.04)*X219)*EXP(-(LN(2)/$D$65+0.1)*Y219),IF(V219=3,AB$100*EXP(-(LN(2)/$D$65+0.04)*(VLOOKUP(($F$16-$F$15)-1,U$100:Y219,4,FALSE)))*EXP(-(LN(2)/$D$65+0.1)*(VLOOKUP(($F$16-$F$15)-1,U$100:Y219,5,FALSE)))*EXP(-(LN(2)/$D$65+0.04)*(VLOOKUP(($F$16-$F$15)*2-1,U$100:Y219,4,FALSE)))*EXP(-(LN(2)/$D$65+0.1)*(VLOOKUP(($F$16-$F$15)*2-1,U$100:Y219,5,FALSE)))*EXP(-(LN(2)/$D$65+0.04)*X219)*EXP(-(LN(2)/$D$65+0.1)*Y219),"-"))),"-")</f>
        <v>-</v>
      </c>
      <c r="AC219" s="224">
        <f t="shared" si="134"/>
        <v>119</v>
      </c>
      <c r="AD219" s="223" t="str">
        <f t="shared" si="108"/>
        <v>-</v>
      </c>
      <c r="AE219" s="224" t="str">
        <f t="shared" si="135"/>
        <v>-</v>
      </c>
      <c r="AF219" s="224" t="str">
        <f t="shared" si="109"/>
        <v>-</v>
      </c>
      <c r="AG219" s="224" t="str">
        <f t="shared" si="110"/>
        <v>-</v>
      </c>
      <c r="AH219" s="272">
        <f t="shared" si="136"/>
        <v>0.1</v>
      </c>
      <c r="AI219" s="271" t="str">
        <f>IFERROR(IF(AD218=1,AI$100*EXP(-(LN(2)/$D$65+0.04)*AF218)*EXP(-(LN(2)/$D$65+0.1)*AG218),IF(AD218=2,AI$100*EXP(-(LN(2)/$D$65+0.04)*(VLOOKUP(($F$16-$F$15)-1,AC$99:AG218,4,FALSE)))*EXP(-(LN(2)/$D$65+0.1)*(VLOOKUP(($F$16-$F$15)-1,AC$99:AG218,5,FALSE)))*EXP(-(LN(2)/$D$65+0.04)*AF218)*EXP(-(LN(2)/$D$65+0.1)*AG218),IF(AD218=3,AI$100*EXP(-(LN(2)/$D$65+0.04)*(VLOOKUP(($F$16-$F$15)-1,AC$99:AG218,4,FALSE)))*EXP(-(LN(2)/$D$65+0.1)*(VLOOKUP(($F$16-$F$15)-1,AC$99:AG218,5,FALSE)))*EXP(-(LN(2)/$D$65+0.04)*(VLOOKUP(($F$16-$F$15)*2-1,AC$99:AG218,4,FALSE)))*EXP(-(LN(2)/$D$65+0.1)*(VLOOKUP(($F$16-$F$15)*2-1,AC$99:AG218,5,FALSE)))*EXP(-(LN(2)/$D$65+0.04)*AF218)*EXP(-(LN(2)/$D$65+0.1)*AG218),"-"))),"-")</f>
        <v>-</v>
      </c>
      <c r="AJ219" s="271" t="str">
        <f>IFERROR(IF(AD219=1,AJ$100*EXP(-(LN(2)/$D$65+0.04)*AF219)*EXP(-(LN(2)/$D$65+0.1)*AG219),IF(AD219=2,AJ$100*EXP(-(LN(2)/$D$65+0.04)*(VLOOKUP(($F$16-$F$15)-1,AC$100:AG219,4,FALSE)))*EXP(-(LN(2)/$D$65+0.1)*(VLOOKUP(($F$16-$F$15)-1,AC$100:AG219,5,FALSE)))*EXP(-(LN(2)/$D$65+0.04)*AF219)*EXP(-(LN(2)/$D$65+0.1)*AG219),IF(AD219=3,AJ$100*EXP(-(LN(2)/$D$65+0.04)*(VLOOKUP(($F$16-$F$15)-1,AC$100:AG219,4,FALSE)))*EXP(-(LN(2)/$D$65+0.1)*(VLOOKUP(($F$16-$F$15)-1,AC$100:AG219,5,FALSE)))*EXP(-(LN(2)/$D$65+0.04)*(VLOOKUP(($F$16-$F$15)*2-1,AC$100:AG219,4,FALSE)))*EXP(-(LN(2)/$D$65+0.1)*(VLOOKUP(($F$16-$F$15)*2-1,AC$100:AG219,5,FALSE)))*EXP(-(LN(2)/$D$65+0.04)*AF219)*EXP(-(LN(2)/$D$65+0.1)*AG219),"-"))),"-")</f>
        <v>-</v>
      </c>
      <c r="AK219" s="227">
        <f t="shared" si="137"/>
        <v>119</v>
      </c>
      <c r="AL219" s="226" t="str">
        <f t="shared" si="111"/>
        <v>-</v>
      </c>
      <c r="AM219" s="227" t="str">
        <f t="shared" si="138"/>
        <v>-</v>
      </c>
      <c r="AN219" s="227" t="str">
        <f t="shared" si="139"/>
        <v>-</v>
      </c>
      <c r="AO219" s="227" t="str">
        <f t="shared" si="112"/>
        <v>-</v>
      </c>
      <c r="AP219" s="273">
        <f t="shared" si="140"/>
        <v>0.1</v>
      </c>
      <c r="AQ219" s="271" t="str">
        <f>IFERROR(IF(AL218=1,AQ$100*EXP(-(LN(2)/$D$65+0.04)*AN218)*EXP(-(LN(2)/$D$65+0.1)*AO218),IF(AL218=2,AQ$100*EXP(-(LN(2)/$D$65+0.04)*(VLOOKUP(($F$16-$F$15)-1,AK$99:AO218,4,FALSE)))*EXP(-(LN(2)/$D$65+0.1)*(VLOOKUP(($F$16-$F$15)-1,AK$99:AO218,5,FALSE)))*EXP(-(LN(2)/$D$65+0.04)*AN218)*EXP(-(LN(2)/$D$65+0.1)*AO218),IF(AL218=3,AQ$100*EXP(-(LN(2)/$D$65+0.04)*(VLOOKUP(($F$16-$F$15)-1,AK$99:AO218,4,FALSE)))*EXP(-(LN(2)/$D$65+0.1)*(VLOOKUP(($F$16-$F$15)-1,AK$99:AO218,5,FALSE)))*EXP(-(LN(2)/$D$65+0.04)*(VLOOKUP(($F$16-$F$15)*2-1,AK$99:AO218,4,FALSE)))*EXP(-(LN(2)/$D$65+0.1)*(VLOOKUP(($F$16-$F$15)*2-1,AK$99:AO218,5,FALSE)))*EXP(-(LN(2)/$D$65+0.04)*AN218)*EXP(-(LN(2)/$D$65+0.1)*AO218),"-"))),"-")</f>
        <v>-</v>
      </c>
      <c r="AR219" s="271" t="str">
        <f>IFERROR(IF(AL219=1,AR$100*EXP(-(LN(2)/$D$65+0.04)*AN219)*EXP(-(LN(2)/$D$65+0.1)*AO219),IF(AL219=2,AR$100*EXP(-(LN(2)/$D$65+0.04)*(VLOOKUP(($F$16-$F$15)-1,AK$100:AO219,4,FALSE)))*EXP(-(LN(2)/$D$65+0.1)*(VLOOKUP(($F$16-$F$15)-1,AK$100:AO219,5,FALSE)))*EXP(-(LN(2)/$D$65+0.04)*AN219)*EXP(-(LN(2)/$D$65+0.1)*AO219),IF(AL219=3,AR$100*EXP(-(LN(2)/$D$65+0.04)*(VLOOKUP(($F$16-$F$15)-1,AK$100:AO219,4,FALSE)))*EXP(-(LN(2)/$D$65+0.1)*(VLOOKUP(($F$16-$F$15)-1,AK$100:AO219,5,FALSE)))*EXP(-(LN(2)/$D$65+0.04)*(VLOOKUP(($F$16-$F$15)*2-1,AK$100:AO219,4,FALSE)))*EXP(-(LN(2)/$D$65+0.1)*(VLOOKUP(($F$16-$F$15)*2-1,AK$100:AO219,5,FALSE)))*EXP(-(LN(2)/$D$65+0.04)*AN219)*EXP(-(LN(2)/$D$65+0.1)*AO219),"-"))),"-")</f>
        <v>-</v>
      </c>
      <c r="AS219" s="274">
        <f t="shared" si="113"/>
        <v>0</v>
      </c>
      <c r="AT219" s="274">
        <f t="shared" si="114"/>
        <v>0</v>
      </c>
      <c r="AU219" s="274">
        <f t="shared" si="115"/>
        <v>0</v>
      </c>
      <c r="AV219" s="190" t="str">
        <f>IF($B219&lt;$F$22,SUM($T$100:$T219),"")</f>
        <v/>
      </c>
      <c r="AW219" s="190" t="str">
        <f t="shared" si="161"/>
        <v>-</v>
      </c>
      <c r="AX219" s="190" t="str">
        <f t="shared" si="141"/>
        <v/>
      </c>
      <c r="AY219"/>
      <c r="AZ219" s="190" t="str">
        <f ca="1">IF(ISNUMBER(OFFSET(AV219,-$F$21,0)),SUM(OFFSET($T$100,$F$21,0):$T219),"")</f>
        <v/>
      </c>
      <c r="BA219" s="190" t="str">
        <f t="shared" ca="1" si="162"/>
        <v/>
      </c>
      <c r="BB219" s="190" t="str">
        <f t="shared" ca="1" si="148"/>
        <v/>
      </c>
      <c r="BC219" s="190"/>
      <c r="BD219" s="190" t="str">
        <f ca="1">IFERROR(IF(OR(ISNUMBER(I),ISNUMBER($F$14)),IF(AND($B219&gt;=($F$16-$F$15),$B219&lt;$F$22+($F$16-$F$15)),SUM(OFFSET($T$100,($F$16-$F$15),0):$T219),""),""),"")</f>
        <v/>
      </c>
      <c r="BE219" s="190" t="str">
        <f t="shared" ca="1" si="142"/>
        <v/>
      </c>
      <c r="BF219" s="190" t="str">
        <f t="shared" ca="1" si="143"/>
        <v/>
      </c>
      <c r="BG219"/>
      <c r="BH219" s="190" t="str">
        <f ca="1">IF(ISNUMBER(OFFSET(BD219,-$F$21,0)),SUM(OFFSET($T$100,($F$16-$F$15+$F$21),0):$T219),"")</f>
        <v/>
      </c>
      <c r="BI219" s="190" t="str">
        <f t="shared" ca="1" si="163"/>
        <v/>
      </c>
      <c r="BJ219" s="190" t="str">
        <f t="shared" ca="1" si="144"/>
        <v/>
      </c>
      <c r="BK219" s="190"/>
      <c r="BL219" s="190" t="str">
        <f ca="1">IFERROR(IF(OR(ISNUMBER(I),ISNUMBER($F$14)),IF(AND($B219&gt;=($F$17-$F$15),$B219&lt;$F$22+($F$17-$F$15)),SUM(OFFSET($T$100,($F$17-$F$15),0):$T219),""),""),"")</f>
        <v/>
      </c>
      <c r="BM219" s="190" t="str">
        <f t="shared" ca="1" si="164"/>
        <v/>
      </c>
      <c r="BN219" s="190" t="str">
        <f t="shared" ca="1" si="145"/>
        <v/>
      </c>
      <c r="BO219"/>
      <c r="BP219" s="190" t="str">
        <f ca="1">IF(ISNUMBER(OFFSET(BL219,-$F$21,0)),SUM(OFFSET($T$100,($F$17-$F$15+$F$21),0):$T219),"")</f>
        <v/>
      </c>
      <c r="BQ219" s="190" t="str">
        <f t="shared" ca="1" si="165"/>
        <v/>
      </c>
      <c r="BR219" s="190" t="str">
        <f t="shared" ca="1" si="146"/>
        <v/>
      </c>
      <c r="BS219" s="190"/>
      <c r="BT219"/>
      <c r="BU219"/>
      <c r="BV219"/>
      <c r="BY219" s="99"/>
      <c r="BZ219" s="99"/>
      <c r="CA219" s="280" t="str">
        <f t="shared" si="166"/>
        <v/>
      </c>
      <c r="CB219" s="71" t="str">
        <f t="shared" si="122"/>
        <v>-</v>
      </c>
      <c r="CC219" s="33"/>
      <c r="CD219" s="261" t="str">
        <f t="shared" si="123"/>
        <v/>
      </c>
      <c r="CE219" s="280" t="str">
        <f t="shared" si="167"/>
        <v/>
      </c>
      <c r="CF219" s="71" t="str">
        <f t="shared" ca="1" si="168"/>
        <v/>
      </c>
      <c r="CG219" s="33" t="str">
        <f t="shared" si="126"/>
        <v/>
      </c>
      <c r="CH219" s="261" t="str">
        <f t="shared" ca="1" si="127"/>
        <v/>
      </c>
    </row>
    <row r="220" spans="2:86" ht="13.5" customHeight="1" x14ac:dyDescent="0.2">
      <c r="B220" s="262">
        <v>120</v>
      </c>
      <c r="C220" s="237" t="str">
        <f t="shared" si="91"/>
        <v/>
      </c>
      <c r="D220" s="237" t="str">
        <f t="shared" si="147"/>
        <v/>
      </c>
      <c r="E220" s="263" t="str">
        <f t="shared" si="128"/>
        <v/>
      </c>
      <c r="F220" s="264" t="str">
        <f t="shared" si="129"/>
        <v/>
      </c>
      <c r="G220" s="264" t="str">
        <f t="shared" si="130"/>
        <v/>
      </c>
      <c r="H220" s="240" t="str">
        <f t="shared" si="149"/>
        <v/>
      </c>
      <c r="I220" s="265" t="str">
        <f t="shared" si="150"/>
        <v/>
      </c>
      <c r="J220" s="265" t="str">
        <f t="shared" si="151"/>
        <v/>
      </c>
      <c r="K220" s="240" t="str">
        <f t="shared" si="152"/>
        <v/>
      </c>
      <c r="L220" s="265" t="str">
        <f t="shared" si="153"/>
        <v/>
      </c>
      <c r="M220" s="265" t="str">
        <f t="shared" si="154"/>
        <v/>
      </c>
      <c r="N220" s="240" t="str">
        <f t="shared" si="155"/>
        <v>-</v>
      </c>
      <c r="O220" s="265" t="str">
        <f t="shared" si="156"/>
        <v>-</v>
      </c>
      <c r="P220" s="265" t="str">
        <f t="shared" si="157"/>
        <v>-</v>
      </c>
      <c r="Q220" s="266" t="str">
        <f t="shared" si="158"/>
        <v>-</v>
      </c>
      <c r="R220" s="267" t="str">
        <f t="shared" si="159"/>
        <v>-</v>
      </c>
      <c r="S220" s="268" t="str">
        <f t="shared" si="160"/>
        <v>-</v>
      </c>
      <c r="T220" s="269" t="str">
        <f t="shared" si="104"/>
        <v/>
      </c>
      <c r="U220" s="221">
        <f t="shared" si="105"/>
        <v>120</v>
      </c>
      <c r="V220" s="220" t="str">
        <f t="shared" si="131"/>
        <v>-</v>
      </c>
      <c r="W220" s="221" t="str">
        <f t="shared" si="132"/>
        <v>-</v>
      </c>
      <c r="X220" s="221" t="str">
        <f t="shared" si="106"/>
        <v>-</v>
      </c>
      <c r="Y220" s="221" t="str">
        <f t="shared" si="107"/>
        <v>-</v>
      </c>
      <c r="Z220" s="270">
        <f t="shared" si="133"/>
        <v>0.1</v>
      </c>
      <c r="AA220" s="271" t="str">
        <f>IFERROR(IF(V219=1,AA$100*EXP(-(LN(2)/$D$65+0.04)*X219)*EXP(-(LN(2)/$D$65+0.1)*Y219),IF(V219=2,AA$100*EXP(-(LN(2)/$D$65+0.04)*(VLOOKUP(($F$16-$F$15)-1,U$99:Y219,4,FALSE)))*EXP(-(LN(2)/$D$65+0.1)*(VLOOKUP(($F$16-$F$15)-1,U$99:Y219,5,FALSE)))*EXP(-(LN(2)/$D$65+0.04)*X219)*EXP(-(LN(2)/$D$65+0.1)*Y219),IF(V219=3,AA$100*EXP(-(LN(2)/$D$65+0.04)*(VLOOKUP(($F$16-$F$15)-1,U$99:Y219,4,FALSE)))*EXP(-(LN(2)/$D$65+0.1)*(VLOOKUP(($F$16-$F$15)-1,U$99:Y219,5,FALSE)))*EXP(-(LN(2)/$D$65+0.04)*(VLOOKUP(($F$16-$F$15)*2-1,U$99:Y219,4,FALSE)))*EXP(-(LN(2)/$D$65+0.1)*(VLOOKUP(($F$16-$F$15)*2-1,U$99:Y219,5,FALSE)))*EXP(-(LN(2)/$D$65+0.04)*X219)*EXP(-(LN(2)/$D$65+0.1)*Y219),"-"))),"-")</f>
        <v>-</v>
      </c>
      <c r="AB220" s="271" t="str">
        <f>IFERROR(IF(V220=1,AB$100*EXP(-(LN(2)/$D$65+0.04)*X220)*EXP(-(LN(2)/$D$65+0.1)*Y220),IF(V220=2,AB$100*EXP(-(LN(2)/$D$65+0.04)*(VLOOKUP(($F$16-$F$15)-1,U$100:Y220,4,FALSE)))*EXP(-(LN(2)/$D$65+0.1)*(VLOOKUP(($F$16-$F$15)-1,U$100:Y220,5,FALSE)))*EXP(-(LN(2)/$D$65+0.04)*X220)*EXP(-(LN(2)/$D$65+0.1)*Y220),IF(V220=3,AB$100*EXP(-(LN(2)/$D$65+0.04)*(VLOOKUP(($F$16-$F$15)-1,U$100:Y220,4,FALSE)))*EXP(-(LN(2)/$D$65+0.1)*(VLOOKUP(($F$16-$F$15)-1,U$100:Y220,5,FALSE)))*EXP(-(LN(2)/$D$65+0.04)*(VLOOKUP(($F$16-$F$15)*2-1,U$100:Y220,4,FALSE)))*EXP(-(LN(2)/$D$65+0.1)*(VLOOKUP(($F$16-$F$15)*2-1,U$100:Y220,5,FALSE)))*EXP(-(LN(2)/$D$65+0.04)*X220)*EXP(-(LN(2)/$D$65+0.1)*Y220),"-"))),"-")</f>
        <v>-</v>
      </c>
      <c r="AC220" s="224">
        <f t="shared" si="134"/>
        <v>120</v>
      </c>
      <c r="AD220" s="223" t="str">
        <f t="shared" si="108"/>
        <v>-</v>
      </c>
      <c r="AE220" s="224" t="str">
        <f t="shared" si="135"/>
        <v>-</v>
      </c>
      <c r="AF220" s="224" t="str">
        <f t="shared" si="109"/>
        <v>-</v>
      </c>
      <c r="AG220" s="224" t="str">
        <f t="shared" si="110"/>
        <v>-</v>
      </c>
      <c r="AH220" s="272">
        <f t="shared" si="136"/>
        <v>0.1</v>
      </c>
      <c r="AI220" s="271" t="str">
        <f>IFERROR(IF(AD219=1,AI$100*EXP(-(LN(2)/$D$65+0.04)*AF219)*EXP(-(LN(2)/$D$65+0.1)*AG219),IF(AD219=2,AI$100*EXP(-(LN(2)/$D$65+0.04)*(VLOOKUP(($F$16-$F$15)-1,AC$99:AG219,4,FALSE)))*EXP(-(LN(2)/$D$65+0.1)*(VLOOKUP(($F$16-$F$15)-1,AC$99:AG219,5,FALSE)))*EXP(-(LN(2)/$D$65+0.04)*AF219)*EXP(-(LN(2)/$D$65+0.1)*AG219),IF(AD219=3,AI$100*EXP(-(LN(2)/$D$65+0.04)*(VLOOKUP(($F$16-$F$15)-1,AC$99:AG219,4,FALSE)))*EXP(-(LN(2)/$D$65+0.1)*(VLOOKUP(($F$16-$F$15)-1,AC$99:AG219,5,FALSE)))*EXP(-(LN(2)/$D$65+0.04)*(VLOOKUP(($F$16-$F$15)*2-1,AC$99:AG219,4,FALSE)))*EXP(-(LN(2)/$D$65+0.1)*(VLOOKUP(($F$16-$F$15)*2-1,AC$99:AG219,5,FALSE)))*EXP(-(LN(2)/$D$65+0.04)*AF219)*EXP(-(LN(2)/$D$65+0.1)*AG219),"-"))),"-")</f>
        <v>-</v>
      </c>
      <c r="AJ220" s="271" t="str">
        <f>IFERROR(IF(AD220=1,AJ$100*EXP(-(LN(2)/$D$65+0.04)*AF220)*EXP(-(LN(2)/$D$65+0.1)*AG220),IF(AD220=2,AJ$100*EXP(-(LN(2)/$D$65+0.04)*(VLOOKUP(($F$16-$F$15)-1,AC$100:AG220,4,FALSE)))*EXP(-(LN(2)/$D$65+0.1)*(VLOOKUP(($F$16-$F$15)-1,AC$100:AG220,5,FALSE)))*EXP(-(LN(2)/$D$65+0.04)*AF220)*EXP(-(LN(2)/$D$65+0.1)*AG220),IF(AD220=3,AJ$100*EXP(-(LN(2)/$D$65+0.04)*(VLOOKUP(($F$16-$F$15)-1,AC$100:AG220,4,FALSE)))*EXP(-(LN(2)/$D$65+0.1)*(VLOOKUP(($F$16-$F$15)-1,AC$100:AG220,5,FALSE)))*EXP(-(LN(2)/$D$65+0.04)*(VLOOKUP(($F$16-$F$15)*2-1,AC$100:AG220,4,FALSE)))*EXP(-(LN(2)/$D$65+0.1)*(VLOOKUP(($F$16-$F$15)*2-1,AC$100:AG220,5,FALSE)))*EXP(-(LN(2)/$D$65+0.04)*AF220)*EXP(-(LN(2)/$D$65+0.1)*AG220),"-"))),"-")</f>
        <v>-</v>
      </c>
      <c r="AK220" s="227">
        <f t="shared" si="137"/>
        <v>120</v>
      </c>
      <c r="AL220" s="226" t="str">
        <f t="shared" si="111"/>
        <v>-</v>
      </c>
      <c r="AM220" s="227" t="str">
        <f t="shared" si="138"/>
        <v>-</v>
      </c>
      <c r="AN220" s="227" t="str">
        <f t="shared" si="139"/>
        <v>-</v>
      </c>
      <c r="AO220" s="227" t="str">
        <f t="shared" si="112"/>
        <v>-</v>
      </c>
      <c r="AP220" s="273">
        <f t="shared" si="140"/>
        <v>0.1</v>
      </c>
      <c r="AQ220" s="271" t="str">
        <f>IFERROR(IF(AL219=1,AQ$100*EXP(-(LN(2)/$D$65+0.04)*AN219)*EXP(-(LN(2)/$D$65+0.1)*AO219),IF(AL219=2,AQ$100*EXP(-(LN(2)/$D$65+0.04)*(VLOOKUP(($F$16-$F$15)-1,AK$99:AO219,4,FALSE)))*EXP(-(LN(2)/$D$65+0.1)*(VLOOKUP(($F$16-$F$15)-1,AK$99:AO219,5,FALSE)))*EXP(-(LN(2)/$D$65+0.04)*AN219)*EXP(-(LN(2)/$D$65+0.1)*AO219),IF(AL219=3,AQ$100*EXP(-(LN(2)/$D$65+0.04)*(VLOOKUP(($F$16-$F$15)-1,AK$99:AO219,4,FALSE)))*EXP(-(LN(2)/$D$65+0.1)*(VLOOKUP(($F$16-$F$15)-1,AK$99:AO219,5,FALSE)))*EXP(-(LN(2)/$D$65+0.04)*(VLOOKUP(($F$16-$F$15)*2-1,AK$99:AO219,4,FALSE)))*EXP(-(LN(2)/$D$65+0.1)*(VLOOKUP(($F$16-$F$15)*2-1,AK$99:AO219,5,FALSE)))*EXP(-(LN(2)/$D$65+0.04)*AN219)*EXP(-(LN(2)/$D$65+0.1)*AO219),"-"))),"-")</f>
        <v>-</v>
      </c>
      <c r="AR220" s="271" t="str">
        <f>IFERROR(IF(AL220=1,AR$100*EXP(-(LN(2)/$D$65+0.04)*AN220)*EXP(-(LN(2)/$D$65+0.1)*AO220),IF(AL220=2,AR$100*EXP(-(LN(2)/$D$65+0.04)*(VLOOKUP(($F$16-$F$15)-1,AK$100:AO220,4,FALSE)))*EXP(-(LN(2)/$D$65+0.1)*(VLOOKUP(($F$16-$F$15)-1,AK$100:AO220,5,FALSE)))*EXP(-(LN(2)/$D$65+0.04)*AN220)*EXP(-(LN(2)/$D$65+0.1)*AO220),IF(AL220=3,AR$100*EXP(-(LN(2)/$D$65+0.04)*(VLOOKUP(($F$16-$F$15)-1,AK$100:AO220,4,FALSE)))*EXP(-(LN(2)/$D$65+0.1)*(VLOOKUP(($F$16-$F$15)-1,AK$100:AO220,5,FALSE)))*EXP(-(LN(2)/$D$65+0.04)*(VLOOKUP(($F$16-$F$15)*2-1,AK$100:AO220,4,FALSE)))*EXP(-(LN(2)/$D$65+0.1)*(VLOOKUP(($F$16-$F$15)*2-1,AK$100:AO220,5,FALSE)))*EXP(-(LN(2)/$D$65+0.04)*AN220)*EXP(-(LN(2)/$D$65+0.1)*AO220),"-"))),"-")</f>
        <v>-</v>
      </c>
      <c r="AS220" s="274">
        <f t="shared" si="113"/>
        <v>0</v>
      </c>
      <c r="AT220" s="274">
        <f t="shared" si="114"/>
        <v>0</v>
      </c>
      <c r="AU220" s="274">
        <f t="shared" si="115"/>
        <v>0</v>
      </c>
      <c r="AV220" s="190" t="str">
        <f>IF($B220&lt;$F$22,SUM($T$100:$T220),"")</f>
        <v/>
      </c>
      <c r="AW220" s="190" t="str">
        <f t="shared" si="161"/>
        <v>-</v>
      </c>
      <c r="AX220" s="190" t="str">
        <f t="shared" si="141"/>
        <v/>
      </c>
      <c r="AY220"/>
      <c r="AZ220" s="190" t="str">
        <f ca="1">IF(ISNUMBER(OFFSET(AV220,-$F$21,0)),SUM(OFFSET($T$100,$F$21,0):$T220),"")</f>
        <v/>
      </c>
      <c r="BA220" s="190" t="str">
        <f t="shared" ca="1" si="162"/>
        <v/>
      </c>
      <c r="BB220" s="190" t="str">
        <f t="shared" ca="1" si="148"/>
        <v/>
      </c>
      <c r="BC220" s="190"/>
      <c r="BD220" s="190" t="str">
        <f ca="1">IFERROR(IF(OR(ISNUMBER(I),ISNUMBER($F$14)),IF(AND($B220&gt;=($F$16-$F$15),$B220&lt;$F$22+($F$16-$F$15)),SUM(OFFSET($T$100,($F$16-$F$15),0):$T220),""),""),"")</f>
        <v/>
      </c>
      <c r="BE220" s="190" t="str">
        <f t="shared" ca="1" si="142"/>
        <v/>
      </c>
      <c r="BF220" s="190" t="str">
        <f t="shared" ca="1" si="143"/>
        <v/>
      </c>
      <c r="BG220"/>
      <c r="BH220" s="190" t="str">
        <f ca="1">IF(ISNUMBER(OFFSET(BD220,-$F$21,0)),SUM(OFFSET($T$100,($F$16-$F$15+$F$21),0):$T220),"")</f>
        <v/>
      </c>
      <c r="BI220" s="190" t="str">
        <f t="shared" ca="1" si="163"/>
        <v/>
      </c>
      <c r="BJ220" s="190" t="str">
        <f t="shared" ca="1" si="144"/>
        <v/>
      </c>
      <c r="BK220" s="190"/>
      <c r="BL220" s="190" t="str">
        <f ca="1">IFERROR(IF(OR(ISNUMBER(I),ISNUMBER($F$14)),IF(AND($B220&gt;=($F$17-$F$15),$B220&lt;$F$22+($F$17-$F$15)),SUM(OFFSET($T$100,($F$17-$F$15),0):$T220),""),""),"")</f>
        <v/>
      </c>
      <c r="BM220" s="190" t="str">
        <f t="shared" ca="1" si="164"/>
        <v/>
      </c>
      <c r="BN220" s="190" t="str">
        <f t="shared" ca="1" si="145"/>
        <v/>
      </c>
      <c r="BO220"/>
      <c r="BP220" s="190" t="str">
        <f ca="1">IF(ISNUMBER(OFFSET(BL220,-$F$21,0)),SUM(OFFSET($T$100,($F$17-$F$15+$F$21),0):$T220),"")</f>
        <v/>
      </c>
      <c r="BQ220" s="190" t="str">
        <f t="shared" ca="1" si="165"/>
        <v/>
      </c>
      <c r="BR220" s="190" t="str">
        <f t="shared" ca="1" si="146"/>
        <v/>
      </c>
      <c r="BS220" s="190"/>
      <c r="BT220"/>
      <c r="BU220"/>
      <c r="BV220"/>
      <c r="BY220" s="99"/>
      <c r="BZ220" s="99"/>
      <c r="CA220" s="280" t="str">
        <f t="shared" si="166"/>
        <v/>
      </c>
      <c r="CB220" s="71" t="str">
        <f t="shared" si="122"/>
        <v>-</v>
      </c>
      <c r="CC220" s="33"/>
      <c r="CD220" s="261" t="str">
        <f t="shared" si="123"/>
        <v/>
      </c>
      <c r="CE220" s="280" t="str">
        <f t="shared" si="167"/>
        <v/>
      </c>
      <c r="CF220" s="71" t="str">
        <f t="shared" ca="1" si="168"/>
        <v/>
      </c>
      <c r="CG220" s="33" t="str">
        <f t="shared" si="126"/>
        <v/>
      </c>
      <c r="CH220" s="261" t="str">
        <f t="shared" ca="1" si="127"/>
        <v/>
      </c>
    </row>
    <row r="221" spans="2:86" ht="13.5" customHeight="1" x14ac:dyDescent="0.2">
      <c r="B221" s="262">
        <v>121</v>
      </c>
      <c r="C221" s="237" t="str">
        <f t="shared" si="91"/>
        <v/>
      </c>
      <c r="D221" s="237" t="str">
        <f t="shared" si="147"/>
        <v/>
      </c>
      <c r="E221" s="263" t="str">
        <f t="shared" si="128"/>
        <v/>
      </c>
      <c r="F221" s="264" t="str">
        <f t="shared" si="129"/>
        <v/>
      </c>
      <c r="G221" s="264" t="str">
        <f t="shared" si="130"/>
        <v/>
      </c>
      <c r="H221" s="240" t="str">
        <f t="shared" si="149"/>
        <v/>
      </c>
      <c r="I221" s="265" t="str">
        <f t="shared" si="150"/>
        <v/>
      </c>
      <c r="J221" s="265" t="str">
        <f t="shared" si="151"/>
        <v/>
      </c>
      <c r="K221" s="240" t="str">
        <f t="shared" si="152"/>
        <v/>
      </c>
      <c r="L221" s="265" t="str">
        <f t="shared" si="153"/>
        <v/>
      </c>
      <c r="M221" s="265" t="str">
        <f t="shared" si="154"/>
        <v/>
      </c>
      <c r="N221" s="240" t="str">
        <f t="shared" si="155"/>
        <v>-</v>
      </c>
      <c r="O221" s="265" t="str">
        <f t="shared" si="156"/>
        <v>-</v>
      </c>
      <c r="P221" s="265" t="str">
        <f t="shared" si="157"/>
        <v>-</v>
      </c>
      <c r="Q221" s="266" t="str">
        <f t="shared" si="158"/>
        <v>-</v>
      </c>
      <c r="R221" s="267" t="str">
        <f t="shared" si="159"/>
        <v>-</v>
      </c>
      <c r="S221" s="268" t="str">
        <f t="shared" si="160"/>
        <v>-</v>
      </c>
      <c r="T221" s="269" t="str">
        <f t="shared" si="104"/>
        <v/>
      </c>
      <c r="U221" s="221">
        <f t="shared" si="105"/>
        <v>121</v>
      </c>
      <c r="V221" s="220" t="str">
        <f t="shared" si="131"/>
        <v>-</v>
      </c>
      <c r="W221" s="221" t="str">
        <f t="shared" si="132"/>
        <v>-</v>
      </c>
      <c r="X221" s="221" t="str">
        <f t="shared" si="106"/>
        <v>-</v>
      </c>
      <c r="Y221" s="221" t="str">
        <f t="shared" si="107"/>
        <v>-</v>
      </c>
      <c r="Z221" s="270">
        <f t="shared" si="133"/>
        <v>0.1</v>
      </c>
      <c r="AA221" s="271" t="str">
        <f>IFERROR(IF(V220=1,AA$100*EXP(-(LN(2)/$D$65+0.04)*X220)*EXP(-(LN(2)/$D$65+0.1)*Y220),IF(V220=2,AA$100*EXP(-(LN(2)/$D$65+0.04)*(VLOOKUP(($F$16-$F$15)-1,U$99:Y220,4,FALSE)))*EXP(-(LN(2)/$D$65+0.1)*(VLOOKUP(($F$16-$F$15)-1,U$99:Y220,5,FALSE)))*EXP(-(LN(2)/$D$65+0.04)*X220)*EXP(-(LN(2)/$D$65+0.1)*Y220),IF(V220=3,AA$100*EXP(-(LN(2)/$D$65+0.04)*(VLOOKUP(($F$16-$F$15)-1,U$99:Y220,4,FALSE)))*EXP(-(LN(2)/$D$65+0.1)*(VLOOKUP(($F$16-$F$15)-1,U$99:Y220,5,FALSE)))*EXP(-(LN(2)/$D$65+0.04)*(VLOOKUP(($F$16-$F$15)*2-1,U$99:Y220,4,FALSE)))*EXP(-(LN(2)/$D$65+0.1)*(VLOOKUP(($F$16-$F$15)*2-1,U$99:Y220,5,FALSE)))*EXP(-(LN(2)/$D$65+0.04)*X220)*EXP(-(LN(2)/$D$65+0.1)*Y220),"-"))),"-")</f>
        <v>-</v>
      </c>
      <c r="AB221" s="271" t="str">
        <f>IFERROR(IF(V221=1,AB$100*EXP(-(LN(2)/$D$65+0.04)*X221)*EXP(-(LN(2)/$D$65+0.1)*Y221),IF(V221=2,AB$100*EXP(-(LN(2)/$D$65+0.04)*(VLOOKUP(($F$16-$F$15)-1,U$100:Y221,4,FALSE)))*EXP(-(LN(2)/$D$65+0.1)*(VLOOKUP(($F$16-$F$15)-1,U$100:Y221,5,FALSE)))*EXP(-(LN(2)/$D$65+0.04)*X221)*EXP(-(LN(2)/$D$65+0.1)*Y221),IF(V221=3,AB$100*EXP(-(LN(2)/$D$65+0.04)*(VLOOKUP(($F$16-$F$15)-1,U$100:Y221,4,FALSE)))*EXP(-(LN(2)/$D$65+0.1)*(VLOOKUP(($F$16-$F$15)-1,U$100:Y221,5,FALSE)))*EXP(-(LN(2)/$D$65+0.04)*(VLOOKUP(($F$16-$F$15)*2-1,U$100:Y221,4,FALSE)))*EXP(-(LN(2)/$D$65+0.1)*(VLOOKUP(($F$16-$F$15)*2-1,U$100:Y221,5,FALSE)))*EXP(-(LN(2)/$D$65+0.04)*X221)*EXP(-(LN(2)/$D$65+0.1)*Y221),"-"))),"-")</f>
        <v>-</v>
      </c>
      <c r="AC221" s="224">
        <f t="shared" si="134"/>
        <v>121</v>
      </c>
      <c r="AD221" s="223" t="str">
        <f t="shared" si="108"/>
        <v>-</v>
      </c>
      <c r="AE221" s="224" t="str">
        <f t="shared" si="135"/>
        <v>-</v>
      </c>
      <c r="AF221" s="224" t="str">
        <f t="shared" si="109"/>
        <v>-</v>
      </c>
      <c r="AG221" s="224" t="str">
        <f t="shared" si="110"/>
        <v>-</v>
      </c>
      <c r="AH221" s="272">
        <f t="shared" si="136"/>
        <v>0.1</v>
      </c>
      <c r="AI221" s="271" t="str">
        <f>IFERROR(IF(AD220=1,AI$100*EXP(-(LN(2)/$D$65+0.04)*AF220)*EXP(-(LN(2)/$D$65+0.1)*AG220),IF(AD220=2,AI$100*EXP(-(LN(2)/$D$65+0.04)*(VLOOKUP(($F$16-$F$15)-1,AC$99:AG220,4,FALSE)))*EXP(-(LN(2)/$D$65+0.1)*(VLOOKUP(($F$16-$F$15)-1,AC$99:AG220,5,FALSE)))*EXP(-(LN(2)/$D$65+0.04)*AF220)*EXP(-(LN(2)/$D$65+0.1)*AG220),IF(AD220=3,AI$100*EXP(-(LN(2)/$D$65+0.04)*(VLOOKUP(($F$16-$F$15)-1,AC$99:AG220,4,FALSE)))*EXP(-(LN(2)/$D$65+0.1)*(VLOOKUP(($F$16-$F$15)-1,AC$99:AG220,5,FALSE)))*EXP(-(LN(2)/$D$65+0.04)*(VLOOKUP(($F$16-$F$15)*2-1,AC$99:AG220,4,FALSE)))*EXP(-(LN(2)/$D$65+0.1)*(VLOOKUP(($F$16-$F$15)*2-1,AC$99:AG220,5,FALSE)))*EXP(-(LN(2)/$D$65+0.04)*AF220)*EXP(-(LN(2)/$D$65+0.1)*AG220),"-"))),"-")</f>
        <v>-</v>
      </c>
      <c r="AJ221" s="271" t="str">
        <f>IFERROR(IF(AD221=1,AJ$100*EXP(-(LN(2)/$D$65+0.04)*AF221)*EXP(-(LN(2)/$D$65+0.1)*AG221),IF(AD221=2,AJ$100*EXP(-(LN(2)/$D$65+0.04)*(VLOOKUP(($F$16-$F$15)-1,AC$100:AG221,4,FALSE)))*EXP(-(LN(2)/$D$65+0.1)*(VLOOKUP(($F$16-$F$15)-1,AC$100:AG221,5,FALSE)))*EXP(-(LN(2)/$D$65+0.04)*AF221)*EXP(-(LN(2)/$D$65+0.1)*AG221),IF(AD221=3,AJ$100*EXP(-(LN(2)/$D$65+0.04)*(VLOOKUP(($F$16-$F$15)-1,AC$100:AG221,4,FALSE)))*EXP(-(LN(2)/$D$65+0.1)*(VLOOKUP(($F$16-$F$15)-1,AC$100:AG221,5,FALSE)))*EXP(-(LN(2)/$D$65+0.04)*(VLOOKUP(($F$16-$F$15)*2-1,AC$100:AG221,4,FALSE)))*EXP(-(LN(2)/$D$65+0.1)*(VLOOKUP(($F$16-$F$15)*2-1,AC$100:AG221,5,FALSE)))*EXP(-(LN(2)/$D$65+0.04)*AF221)*EXP(-(LN(2)/$D$65+0.1)*AG221),"-"))),"-")</f>
        <v>-</v>
      </c>
      <c r="AK221" s="227">
        <f t="shared" si="137"/>
        <v>121</v>
      </c>
      <c r="AL221" s="226" t="str">
        <f t="shared" si="111"/>
        <v>-</v>
      </c>
      <c r="AM221" s="227" t="str">
        <f t="shared" si="138"/>
        <v>-</v>
      </c>
      <c r="AN221" s="227" t="str">
        <f t="shared" si="139"/>
        <v>-</v>
      </c>
      <c r="AO221" s="227" t="str">
        <f t="shared" si="112"/>
        <v>-</v>
      </c>
      <c r="AP221" s="273">
        <f t="shared" si="140"/>
        <v>0.1</v>
      </c>
      <c r="AQ221" s="271" t="str">
        <f>IFERROR(IF(AL220=1,AQ$100*EXP(-(LN(2)/$D$65+0.04)*AN220)*EXP(-(LN(2)/$D$65+0.1)*AO220),IF(AL220=2,AQ$100*EXP(-(LN(2)/$D$65+0.04)*(VLOOKUP(($F$16-$F$15)-1,AK$99:AO220,4,FALSE)))*EXP(-(LN(2)/$D$65+0.1)*(VLOOKUP(($F$16-$F$15)-1,AK$99:AO220,5,FALSE)))*EXP(-(LN(2)/$D$65+0.04)*AN220)*EXP(-(LN(2)/$D$65+0.1)*AO220),IF(AL220=3,AQ$100*EXP(-(LN(2)/$D$65+0.04)*(VLOOKUP(($F$16-$F$15)-1,AK$99:AO220,4,FALSE)))*EXP(-(LN(2)/$D$65+0.1)*(VLOOKUP(($F$16-$F$15)-1,AK$99:AO220,5,FALSE)))*EXP(-(LN(2)/$D$65+0.04)*(VLOOKUP(($F$16-$F$15)*2-1,AK$99:AO220,4,FALSE)))*EXP(-(LN(2)/$D$65+0.1)*(VLOOKUP(($F$16-$F$15)*2-1,AK$99:AO220,5,FALSE)))*EXP(-(LN(2)/$D$65+0.04)*AN220)*EXP(-(LN(2)/$D$65+0.1)*AO220),"-"))),"-")</f>
        <v>-</v>
      </c>
      <c r="AR221" s="271" t="str">
        <f>IFERROR(IF(AL221=1,AR$100*EXP(-(LN(2)/$D$65+0.04)*AN221)*EXP(-(LN(2)/$D$65+0.1)*AO221),IF(AL221=2,AR$100*EXP(-(LN(2)/$D$65+0.04)*(VLOOKUP(($F$16-$F$15)-1,AK$100:AO221,4,FALSE)))*EXP(-(LN(2)/$D$65+0.1)*(VLOOKUP(($F$16-$F$15)-1,AK$100:AO221,5,FALSE)))*EXP(-(LN(2)/$D$65+0.04)*AN221)*EXP(-(LN(2)/$D$65+0.1)*AO221),IF(AL221=3,AR$100*EXP(-(LN(2)/$D$65+0.04)*(VLOOKUP(($F$16-$F$15)-1,AK$100:AO221,4,FALSE)))*EXP(-(LN(2)/$D$65+0.1)*(VLOOKUP(($F$16-$F$15)-1,AK$100:AO221,5,FALSE)))*EXP(-(LN(2)/$D$65+0.04)*(VLOOKUP(($F$16-$F$15)*2-1,AK$100:AO221,4,FALSE)))*EXP(-(LN(2)/$D$65+0.1)*(VLOOKUP(($F$16-$F$15)*2-1,AK$100:AO221,5,FALSE)))*EXP(-(LN(2)/$D$65+0.04)*AN221)*EXP(-(LN(2)/$D$65+0.1)*AO221),"-"))),"-")</f>
        <v>-</v>
      </c>
      <c r="AS221" s="274">
        <f t="shared" si="113"/>
        <v>0</v>
      </c>
      <c r="AT221" s="274">
        <f t="shared" si="114"/>
        <v>0</v>
      </c>
      <c r="AU221" s="274">
        <f t="shared" si="115"/>
        <v>0</v>
      </c>
      <c r="AV221" s="190" t="str">
        <f>IF($B221&lt;$F$22,SUM($T$100:$T221),"")</f>
        <v/>
      </c>
      <c r="AW221" s="190" t="str">
        <f t="shared" si="161"/>
        <v>-</v>
      </c>
      <c r="AX221" s="190" t="str">
        <f t="shared" si="141"/>
        <v/>
      </c>
      <c r="AY221"/>
      <c r="AZ221" s="190" t="str">
        <f ca="1">IF(ISNUMBER(OFFSET(AV221,-$F$21,0)),SUM(OFFSET($T$100,$F$21,0):$T221),"")</f>
        <v/>
      </c>
      <c r="BA221" s="190" t="str">
        <f t="shared" ca="1" si="162"/>
        <v/>
      </c>
      <c r="BB221" s="190" t="str">
        <f t="shared" ca="1" si="148"/>
        <v/>
      </c>
      <c r="BC221" s="190"/>
      <c r="BD221" s="190" t="str">
        <f ca="1">IFERROR(IF(OR(ISNUMBER(I),ISNUMBER($F$14)),IF(AND($B221&gt;=($F$16-$F$15),$B221&lt;$F$22+($F$16-$F$15)),SUM(OFFSET($T$100,($F$16-$F$15),0):$T221),""),""),"")</f>
        <v/>
      </c>
      <c r="BE221" s="190" t="str">
        <f t="shared" ca="1" si="142"/>
        <v/>
      </c>
      <c r="BF221" s="190" t="str">
        <f t="shared" ca="1" si="143"/>
        <v/>
      </c>
      <c r="BG221"/>
      <c r="BH221" s="190" t="str">
        <f ca="1">IF(ISNUMBER(OFFSET(BD221,-$F$21,0)),SUM(OFFSET($T$100,($F$16-$F$15+$F$21),0):$T221),"")</f>
        <v/>
      </c>
      <c r="BI221" s="190" t="str">
        <f t="shared" ca="1" si="163"/>
        <v/>
      </c>
      <c r="BJ221" s="190" t="str">
        <f t="shared" ca="1" si="144"/>
        <v/>
      </c>
      <c r="BK221" s="190"/>
      <c r="BL221" s="190" t="str">
        <f ca="1">IFERROR(IF(OR(ISNUMBER(I),ISNUMBER($F$14)),IF(AND($B221&gt;=($F$17-$F$15),$B221&lt;$F$22+($F$17-$F$15)),SUM(OFFSET($T$100,($F$17-$F$15),0):$T221),""),""),"")</f>
        <v/>
      </c>
      <c r="BM221" s="190" t="str">
        <f t="shared" ca="1" si="164"/>
        <v/>
      </c>
      <c r="BN221" s="190" t="str">
        <f t="shared" ca="1" si="145"/>
        <v/>
      </c>
      <c r="BO221"/>
      <c r="BP221" s="190" t="str">
        <f ca="1">IF(ISNUMBER(OFFSET(BL221,-$F$21,0)),SUM(OFFSET($T$100,($F$17-$F$15+$F$21),0):$T221),"")</f>
        <v/>
      </c>
      <c r="BQ221" s="190" t="str">
        <f t="shared" ca="1" si="165"/>
        <v/>
      </c>
      <c r="BR221" s="190" t="str">
        <f t="shared" ca="1" si="146"/>
        <v/>
      </c>
      <c r="BS221" s="190"/>
      <c r="BT221"/>
      <c r="BU221"/>
      <c r="BV221"/>
      <c r="BY221" s="99"/>
      <c r="BZ221" s="99"/>
      <c r="CA221" s="280" t="str">
        <f t="shared" si="166"/>
        <v/>
      </c>
      <c r="CB221" s="71" t="str">
        <f t="shared" si="122"/>
        <v>-</v>
      </c>
      <c r="CC221" s="33"/>
      <c r="CD221" s="261" t="str">
        <f t="shared" si="123"/>
        <v/>
      </c>
      <c r="CE221" s="280" t="str">
        <f t="shared" si="167"/>
        <v/>
      </c>
      <c r="CF221" s="71" t="str">
        <f t="shared" ca="1" si="168"/>
        <v/>
      </c>
      <c r="CG221" s="33" t="str">
        <f t="shared" si="126"/>
        <v/>
      </c>
      <c r="CH221" s="261" t="str">
        <f t="shared" ca="1" si="127"/>
        <v/>
      </c>
    </row>
    <row r="222" spans="2:86" ht="13.5" customHeight="1" x14ac:dyDescent="0.2">
      <c r="B222" s="262">
        <v>122</v>
      </c>
      <c r="C222" s="237" t="str">
        <f t="shared" si="91"/>
        <v/>
      </c>
      <c r="D222" s="237" t="str">
        <f t="shared" si="147"/>
        <v/>
      </c>
      <c r="E222" s="263" t="str">
        <f t="shared" si="128"/>
        <v/>
      </c>
      <c r="F222" s="264" t="str">
        <f t="shared" si="129"/>
        <v/>
      </c>
      <c r="G222" s="264" t="str">
        <f t="shared" si="130"/>
        <v/>
      </c>
      <c r="H222" s="240" t="str">
        <f t="shared" si="149"/>
        <v/>
      </c>
      <c r="I222" s="265" t="str">
        <f t="shared" si="150"/>
        <v/>
      </c>
      <c r="J222" s="265" t="str">
        <f t="shared" si="151"/>
        <v/>
      </c>
      <c r="K222" s="240" t="str">
        <f t="shared" si="152"/>
        <v/>
      </c>
      <c r="L222" s="265" t="str">
        <f t="shared" si="153"/>
        <v/>
      </c>
      <c r="M222" s="265" t="str">
        <f t="shared" si="154"/>
        <v/>
      </c>
      <c r="N222" s="240" t="str">
        <f t="shared" si="155"/>
        <v>-</v>
      </c>
      <c r="O222" s="265" t="str">
        <f t="shared" si="156"/>
        <v>-</v>
      </c>
      <c r="P222" s="265" t="str">
        <f t="shared" si="157"/>
        <v>-</v>
      </c>
      <c r="Q222" s="266" t="str">
        <f t="shared" si="158"/>
        <v>-</v>
      </c>
      <c r="R222" s="267" t="str">
        <f t="shared" si="159"/>
        <v>-</v>
      </c>
      <c r="S222" s="268" t="str">
        <f t="shared" si="160"/>
        <v>-</v>
      </c>
      <c r="T222" s="269" t="str">
        <f t="shared" si="104"/>
        <v/>
      </c>
      <c r="U222" s="221">
        <f t="shared" si="105"/>
        <v>122</v>
      </c>
      <c r="V222" s="220" t="str">
        <f t="shared" si="131"/>
        <v>-</v>
      </c>
      <c r="W222" s="221" t="str">
        <f t="shared" si="132"/>
        <v>-</v>
      </c>
      <c r="X222" s="221" t="str">
        <f t="shared" si="106"/>
        <v>-</v>
      </c>
      <c r="Y222" s="221" t="str">
        <f t="shared" si="107"/>
        <v>-</v>
      </c>
      <c r="Z222" s="270">
        <f t="shared" si="133"/>
        <v>0.1</v>
      </c>
      <c r="AA222" s="271" t="str">
        <f>IFERROR(IF(V221=1,AA$100*EXP(-(LN(2)/$D$65+0.04)*X221)*EXP(-(LN(2)/$D$65+0.1)*Y221),IF(V221=2,AA$100*EXP(-(LN(2)/$D$65+0.04)*(VLOOKUP(($F$16-$F$15)-1,U$99:Y221,4,FALSE)))*EXP(-(LN(2)/$D$65+0.1)*(VLOOKUP(($F$16-$F$15)-1,U$99:Y221,5,FALSE)))*EXP(-(LN(2)/$D$65+0.04)*X221)*EXP(-(LN(2)/$D$65+0.1)*Y221),IF(V221=3,AA$100*EXP(-(LN(2)/$D$65+0.04)*(VLOOKUP(($F$16-$F$15)-1,U$99:Y221,4,FALSE)))*EXP(-(LN(2)/$D$65+0.1)*(VLOOKUP(($F$16-$F$15)-1,U$99:Y221,5,FALSE)))*EXP(-(LN(2)/$D$65+0.04)*(VLOOKUP(($F$16-$F$15)*2-1,U$99:Y221,4,FALSE)))*EXP(-(LN(2)/$D$65+0.1)*(VLOOKUP(($F$16-$F$15)*2-1,U$99:Y221,5,FALSE)))*EXP(-(LN(2)/$D$65+0.04)*X221)*EXP(-(LN(2)/$D$65+0.1)*Y221),"-"))),"-")</f>
        <v>-</v>
      </c>
      <c r="AB222" s="271" t="str">
        <f>IFERROR(IF(V222=1,AB$100*EXP(-(LN(2)/$D$65+0.04)*X222)*EXP(-(LN(2)/$D$65+0.1)*Y222),IF(V222=2,AB$100*EXP(-(LN(2)/$D$65+0.04)*(VLOOKUP(($F$16-$F$15)-1,U$100:Y222,4,FALSE)))*EXP(-(LN(2)/$D$65+0.1)*(VLOOKUP(($F$16-$F$15)-1,U$100:Y222,5,FALSE)))*EXP(-(LN(2)/$D$65+0.04)*X222)*EXP(-(LN(2)/$D$65+0.1)*Y222),IF(V222=3,AB$100*EXP(-(LN(2)/$D$65+0.04)*(VLOOKUP(($F$16-$F$15)-1,U$100:Y222,4,FALSE)))*EXP(-(LN(2)/$D$65+0.1)*(VLOOKUP(($F$16-$F$15)-1,U$100:Y222,5,FALSE)))*EXP(-(LN(2)/$D$65+0.04)*(VLOOKUP(($F$16-$F$15)*2-1,U$100:Y222,4,FALSE)))*EXP(-(LN(2)/$D$65+0.1)*(VLOOKUP(($F$16-$F$15)*2-1,U$100:Y222,5,FALSE)))*EXP(-(LN(2)/$D$65+0.04)*X222)*EXP(-(LN(2)/$D$65+0.1)*Y222),"-"))),"-")</f>
        <v>-</v>
      </c>
      <c r="AC222" s="224">
        <f t="shared" si="134"/>
        <v>122</v>
      </c>
      <c r="AD222" s="223" t="str">
        <f t="shared" si="108"/>
        <v>-</v>
      </c>
      <c r="AE222" s="224" t="str">
        <f t="shared" si="135"/>
        <v>-</v>
      </c>
      <c r="AF222" s="224" t="str">
        <f t="shared" si="109"/>
        <v>-</v>
      </c>
      <c r="AG222" s="224" t="str">
        <f t="shared" si="110"/>
        <v>-</v>
      </c>
      <c r="AH222" s="272">
        <f t="shared" si="136"/>
        <v>0.1</v>
      </c>
      <c r="AI222" s="271" t="str">
        <f>IFERROR(IF(AD221=1,AI$100*EXP(-(LN(2)/$D$65+0.04)*AF221)*EXP(-(LN(2)/$D$65+0.1)*AG221),IF(AD221=2,AI$100*EXP(-(LN(2)/$D$65+0.04)*(VLOOKUP(($F$16-$F$15)-1,AC$99:AG221,4,FALSE)))*EXP(-(LN(2)/$D$65+0.1)*(VLOOKUP(($F$16-$F$15)-1,AC$99:AG221,5,FALSE)))*EXP(-(LN(2)/$D$65+0.04)*AF221)*EXP(-(LN(2)/$D$65+0.1)*AG221),IF(AD221=3,AI$100*EXP(-(LN(2)/$D$65+0.04)*(VLOOKUP(($F$16-$F$15)-1,AC$99:AG221,4,FALSE)))*EXP(-(LN(2)/$D$65+0.1)*(VLOOKUP(($F$16-$F$15)-1,AC$99:AG221,5,FALSE)))*EXP(-(LN(2)/$D$65+0.04)*(VLOOKUP(($F$16-$F$15)*2-1,AC$99:AG221,4,FALSE)))*EXP(-(LN(2)/$D$65+0.1)*(VLOOKUP(($F$16-$F$15)*2-1,AC$99:AG221,5,FALSE)))*EXP(-(LN(2)/$D$65+0.04)*AF221)*EXP(-(LN(2)/$D$65+0.1)*AG221),"-"))),"-")</f>
        <v>-</v>
      </c>
      <c r="AJ222" s="271" t="str">
        <f>IFERROR(IF(AD222=1,AJ$100*EXP(-(LN(2)/$D$65+0.04)*AF222)*EXP(-(LN(2)/$D$65+0.1)*AG222),IF(AD222=2,AJ$100*EXP(-(LN(2)/$D$65+0.04)*(VLOOKUP(($F$16-$F$15)-1,AC$100:AG222,4,FALSE)))*EXP(-(LN(2)/$D$65+0.1)*(VLOOKUP(($F$16-$F$15)-1,AC$100:AG222,5,FALSE)))*EXP(-(LN(2)/$D$65+0.04)*AF222)*EXP(-(LN(2)/$D$65+0.1)*AG222),IF(AD222=3,AJ$100*EXP(-(LN(2)/$D$65+0.04)*(VLOOKUP(($F$16-$F$15)-1,AC$100:AG222,4,FALSE)))*EXP(-(LN(2)/$D$65+0.1)*(VLOOKUP(($F$16-$F$15)-1,AC$100:AG222,5,FALSE)))*EXP(-(LN(2)/$D$65+0.04)*(VLOOKUP(($F$16-$F$15)*2-1,AC$100:AG222,4,FALSE)))*EXP(-(LN(2)/$D$65+0.1)*(VLOOKUP(($F$16-$F$15)*2-1,AC$100:AG222,5,FALSE)))*EXP(-(LN(2)/$D$65+0.04)*AF222)*EXP(-(LN(2)/$D$65+0.1)*AG222),"-"))),"-")</f>
        <v>-</v>
      </c>
      <c r="AK222" s="227">
        <f t="shared" si="137"/>
        <v>122</v>
      </c>
      <c r="AL222" s="226" t="str">
        <f t="shared" si="111"/>
        <v>-</v>
      </c>
      <c r="AM222" s="227" t="str">
        <f t="shared" si="138"/>
        <v>-</v>
      </c>
      <c r="AN222" s="227" t="str">
        <f t="shared" si="139"/>
        <v>-</v>
      </c>
      <c r="AO222" s="227" t="str">
        <f t="shared" si="112"/>
        <v>-</v>
      </c>
      <c r="AP222" s="273">
        <f t="shared" si="140"/>
        <v>0.1</v>
      </c>
      <c r="AQ222" s="271" t="str">
        <f>IFERROR(IF(AL221=1,AQ$100*EXP(-(LN(2)/$D$65+0.04)*AN221)*EXP(-(LN(2)/$D$65+0.1)*AO221),IF(AL221=2,AQ$100*EXP(-(LN(2)/$D$65+0.04)*(VLOOKUP(($F$16-$F$15)-1,AK$99:AO221,4,FALSE)))*EXP(-(LN(2)/$D$65+0.1)*(VLOOKUP(($F$16-$F$15)-1,AK$99:AO221,5,FALSE)))*EXP(-(LN(2)/$D$65+0.04)*AN221)*EXP(-(LN(2)/$D$65+0.1)*AO221),IF(AL221=3,AQ$100*EXP(-(LN(2)/$D$65+0.04)*(VLOOKUP(($F$16-$F$15)-1,AK$99:AO221,4,FALSE)))*EXP(-(LN(2)/$D$65+0.1)*(VLOOKUP(($F$16-$F$15)-1,AK$99:AO221,5,FALSE)))*EXP(-(LN(2)/$D$65+0.04)*(VLOOKUP(($F$16-$F$15)*2-1,AK$99:AO221,4,FALSE)))*EXP(-(LN(2)/$D$65+0.1)*(VLOOKUP(($F$16-$F$15)*2-1,AK$99:AO221,5,FALSE)))*EXP(-(LN(2)/$D$65+0.04)*AN221)*EXP(-(LN(2)/$D$65+0.1)*AO221),"-"))),"-")</f>
        <v>-</v>
      </c>
      <c r="AR222" s="271" t="str">
        <f>IFERROR(IF(AL222=1,AR$100*EXP(-(LN(2)/$D$65+0.04)*AN222)*EXP(-(LN(2)/$D$65+0.1)*AO222),IF(AL222=2,AR$100*EXP(-(LN(2)/$D$65+0.04)*(VLOOKUP(($F$16-$F$15)-1,AK$100:AO222,4,FALSE)))*EXP(-(LN(2)/$D$65+0.1)*(VLOOKUP(($F$16-$F$15)-1,AK$100:AO222,5,FALSE)))*EXP(-(LN(2)/$D$65+0.04)*AN222)*EXP(-(LN(2)/$D$65+0.1)*AO222),IF(AL222=3,AR$100*EXP(-(LN(2)/$D$65+0.04)*(VLOOKUP(($F$16-$F$15)-1,AK$100:AO222,4,FALSE)))*EXP(-(LN(2)/$D$65+0.1)*(VLOOKUP(($F$16-$F$15)-1,AK$100:AO222,5,FALSE)))*EXP(-(LN(2)/$D$65+0.04)*(VLOOKUP(($F$16-$F$15)*2-1,AK$100:AO222,4,FALSE)))*EXP(-(LN(2)/$D$65+0.1)*(VLOOKUP(($F$16-$F$15)*2-1,AK$100:AO222,5,FALSE)))*EXP(-(LN(2)/$D$65+0.04)*AN222)*EXP(-(LN(2)/$D$65+0.1)*AO222),"-"))),"-")</f>
        <v>-</v>
      </c>
      <c r="AS222" s="274">
        <f t="shared" si="113"/>
        <v>0</v>
      </c>
      <c r="AT222" s="274">
        <f t="shared" si="114"/>
        <v>0</v>
      </c>
      <c r="AU222" s="274">
        <f t="shared" si="115"/>
        <v>0</v>
      </c>
      <c r="AV222" s="190" t="str">
        <f>IF($B222&lt;$F$22,SUM($T$100:$T222),"")</f>
        <v/>
      </c>
      <c r="AW222" s="190" t="str">
        <f t="shared" si="161"/>
        <v>-</v>
      </c>
      <c r="AX222" s="190" t="str">
        <f t="shared" si="141"/>
        <v/>
      </c>
      <c r="AY222"/>
      <c r="AZ222" s="190" t="str">
        <f ca="1">IF(ISNUMBER(OFFSET(AV222,-$F$21,0)),SUM(OFFSET($T$100,$F$21,0):$T222),"")</f>
        <v/>
      </c>
      <c r="BA222" s="190" t="str">
        <f t="shared" ca="1" si="162"/>
        <v/>
      </c>
      <c r="BB222" s="190" t="str">
        <f t="shared" ca="1" si="148"/>
        <v/>
      </c>
      <c r="BC222" s="190"/>
      <c r="BD222" s="190" t="str">
        <f ca="1">IFERROR(IF(OR(ISNUMBER(I),ISNUMBER($F$14)),IF(AND($B222&gt;=($F$16-$F$15),$B222&lt;$F$22+($F$16-$F$15)),SUM(OFFSET($T$100,($F$16-$F$15),0):$T222),""),""),"")</f>
        <v/>
      </c>
      <c r="BE222" s="190" t="str">
        <f t="shared" ca="1" si="142"/>
        <v/>
      </c>
      <c r="BF222" s="190" t="str">
        <f t="shared" ca="1" si="143"/>
        <v/>
      </c>
      <c r="BG222"/>
      <c r="BH222" s="190" t="str">
        <f ca="1">IF(ISNUMBER(OFFSET(BD222,-$F$21,0)),SUM(OFFSET($T$100,($F$16-$F$15+$F$21),0):$T222),"")</f>
        <v/>
      </c>
      <c r="BI222" s="190" t="str">
        <f t="shared" ca="1" si="163"/>
        <v/>
      </c>
      <c r="BJ222" s="190" t="str">
        <f t="shared" ca="1" si="144"/>
        <v/>
      </c>
      <c r="BK222" s="190"/>
      <c r="BL222" s="190" t="str">
        <f ca="1">IFERROR(IF(OR(ISNUMBER(I),ISNUMBER($F$14)),IF(AND($B222&gt;=($F$17-$F$15),$B222&lt;$F$22+($F$17-$F$15)),SUM(OFFSET($T$100,($F$17-$F$15),0):$T222),""),""),"")</f>
        <v/>
      </c>
      <c r="BM222" s="190" t="str">
        <f t="shared" ca="1" si="164"/>
        <v/>
      </c>
      <c r="BN222" s="190" t="str">
        <f t="shared" ca="1" si="145"/>
        <v/>
      </c>
      <c r="BO222"/>
      <c r="BP222" s="190" t="str">
        <f ca="1">IF(ISNUMBER(OFFSET(BL222,-$F$21,0)),SUM(OFFSET($T$100,($F$17-$F$15+$F$21),0):$T222),"")</f>
        <v/>
      </c>
      <c r="BQ222" s="190" t="str">
        <f t="shared" ca="1" si="165"/>
        <v/>
      </c>
      <c r="BR222" s="190" t="str">
        <f t="shared" ca="1" si="146"/>
        <v/>
      </c>
      <c r="BS222" s="190"/>
      <c r="BT222"/>
      <c r="BU222"/>
      <c r="BV222"/>
      <c r="BY222" s="99"/>
      <c r="BZ222" s="99"/>
      <c r="CA222" s="280" t="str">
        <f t="shared" si="166"/>
        <v/>
      </c>
      <c r="CB222" s="71" t="str">
        <f t="shared" si="122"/>
        <v>-</v>
      </c>
      <c r="CC222" s="33"/>
      <c r="CD222" s="261" t="str">
        <f t="shared" si="123"/>
        <v/>
      </c>
      <c r="CE222" s="280" t="str">
        <f t="shared" si="167"/>
        <v/>
      </c>
      <c r="CF222" s="71" t="str">
        <f t="shared" ca="1" si="168"/>
        <v/>
      </c>
      <c r="CG222" s="33" t="str">
        <f t="shared" si="126"/>
        <v/>
      </c>
      <c r="CH222" s="261" t="str">
        <f t="shared" ca="1" si="127"/>
        <v/>
      </c>
    </row>
    <row r="223" spans="2:86" ht="13.5" customHeight="1" x14ac:dyDescent="0.2">
      <c r="B223" s="262">
        <v>123</v>
      </c>
      <c r="C223" s="237" t="str">
        <f t="shared" si="91"/>
        <v/>
      </c>
      <c r="D223" s="237" t="str">
        <f t="shared" si="147"/>
        <v/>
      </c>
      <c r="E223" s="263" t="str">
        <f t="shared" si="128"/>
        <v/>
      </c>
      <c r="F223" s="264" t="str">
        <f t="shared" si="129"/>
        <v/>
      </c>
      <c r="G223" s="264" t="str">
        <f t="shared" si="130"/>
        <v/>
      </c>
      <c r="H223" s="240" t="str">
        <f t="shared" si="149"/>
        <v/>
      </c>
      <c r="I223" s="265" t="str">
        <f t="shared" si="150"/>
        <v/>
      </c>
      <c r="J223" s="265" t="str">
        <f t="shared" si="151"/>
        <v/>
      </c>
      <c r="K223" s="240" t="str">
        <f t="shared" si="152"/>
        <v/>
      </c>
      <c r="L223" s="265" t="str">
        <f t="shared" si="153"/>
        <v/>
      </c>
      <c r="M223" s="265" t="str">
        <f t="shared" si="154"/>
        <v/>
      </c>
      <c r="N223" s="240" t="str">
        <f t="shared" si="155"/>
        <v>-</v>
      </c>
      <c r="O223" s="265" t="str">
        <f t="shared" si="156"/>
        <v>-</v>
      </c>
      <c r="P223" s="265" t="str">
        <f t="shared" si="157"/>
        <v>-</v>
      </c>
      <c r="Q223" s="266" t="str">
        <f t="shared" si="158"/>
        <v>-</v>
      </c>
      <c r="R223" s="267" t="str">
        <f t="shared" si="159"/>
        <v>-</v>
      </c>
      <c r="S223" s="268" t="str">
        <f t="shared" si="160"/>
        <v>-</v>
      </c>
      <c r="T223" s="269" t="str">
        <f t="shared" si="104"/>
        <v/>
      </c>
      <c r="U223" s="221">
        <f t="shared" si="105"/>
        <v>123</v>
      </c>
      <c r="V223" s="220" t="str">
        <f t="shared" si="131"/>
        <v>-</v>
      </c>
      <c r="W223" s="221" t="str">
        <f t="shared" si="132"/>
        <v>-</v>
      </c>
      <c r="X223" s="221" t="str">
        <f t="shared" si="106"/>
        <v>-</v>
      </c>
      <c r="Y223" s="221" t="str">
        <f t="shared" si="107"/>
        <v>-</v>
      </c>
      <c r="Z223" s="270">
        <f t="shared" si="133"/>
        <v>0.1</v>
      </c>
      <c r="AA223" s="271" t="str">
        <f>IFERROR(IF(V222=1,AA$100*EXP(-(LN(2)/$D$65+0.04)*X222)*EXP(-(LN(2)/$D$65+0.1)*Y222),IF(V222=2,AA$100*EXP(-(LN(2)/$D$65+0.04)*(VLOOKUP(($F$16-$F$15)-1,U$99:Y222,4,FALSE)))*EXP(-(LN(2)/$D$65+0.1)*(VLOOKUP(($F$16-$F$15)-1,U$99:Y222,5,FALSE)))*EXP(-(LN(2)/$D$65+0.04)*X222)*EXP(-(LN(2)/$D$65+0.1)*Y222),IF(V222=3,AA$100*EXP(-(LN(2)/$D$65+0.04)*(VLOOKUP(($F$16-$F$15)-1,U$99:Y222,4,FALSE)))*EXP(-(LN(2)/$D$65+0.1)*(VLOOKUP(($F$16-$F$15)-1,U$99:Y222,5,FALSE)))*EXP(-(LN(2)/$D$65+0.04)*(VLOOKUP(($F$16-$F$15)*2-1,U$99:Y222,4,FALSE)))*EXP(-(LN(2)/$D$65+0.1)*(VLOOKUP(($F$16-$F$15)*2-1,U$99:Y222,5,FALSE)))*EXP(-(LN(2)/$D$65+0.04)*X222)*EXP(-(LN(2)/$D$65+0.1)*Y222),"-"))),"-")</f>
        <v>-</v>
      </c>
      <c r="AB223" s="271" t="str">
        <f>IFERROR(IF(V223=1,AB$100*EXP(-(LN(2)/$D$65+0.04)*X223)*EXP(-(LN(2)/$D$65+0.1)*Y223),IF(V223=2,AB$100*EXP(-(LN(2)/$D$65+0.04)*(VLOOKUP(($F$16-$F$15)-1,U$100:Y223,4,FALSE)))*EXP(-(LN(2)/$D$65+0.1)*(VLOOKUP(($F$16-$F$15)-1,U$100:Y223,5,FALSE)))*EXP(-(LN(2)/$D$65+0.04)*X223)*EXP(-(LN(2)/$D$65+0.1)*Y223),IF(V223=3,AB$100*EXP(-(LN(2)/$D$65+0.04)*(VLOOKUP(($F$16-$F$15)-1,U$100:Y223,4,FALSE)))*EXP(-(LN(2)/$D$65+0.1)*(VLOOKUP(($F$16-$F$15)-1,U$100:Y223,5,FALSE)))*EXP(-(LN(2)/$D$65+0.04)*(VLOOKUP(($F$16-$F$15)*2-1,U$100:Y223,4,FALSE)))*EXP(-(LN(2)/$D$65+0.1)*(VLOOKUP(($F$16-$F$15)*2-1,U$100:Y223,5,FALSE)))*EXP(-(LN(2)/$D$65+0.04)*X223)*EXP(-(LN(2)/$D$65+0.1)*Y223),"-"))),"-")</f>
        <v>-</v>
      </c>
      <c r="AC223" s="224">
        <f t="shared" si="134"/>
        <v>123</v>
      </c>
      <c r="AD223" s="223" t="str">
        <f t="shared" si="108"/>
        <v>-</v>
      </c>
      <c r="AE223" s="224" t="str">
        <f t="shared" si="135"/>
        <v>-</v>
      </c>
      <c r="AF223" s="224" t="str">
        <f t="shared" si="109"/>
        <v>-</v>
      </c>
      <c r="AG223" s="224" t="str">
        <f t="shared" si="110"/>
        <v>-</v>
      </c>
      <c r="AH223" s="272">
        <f t="shared" si="136"/>
        <v>0.1</v>
      </c>
      <c r="AI223" s="271" t="str">
        <f>IFERROR(IF(AD222=1,AI$100*EXP(-(LN(2)/$D$65+0.04)*AF222)*EXP(-(LN(2)/$D$65+0.1)*AG222),IF(AD222=2,AI$100*EXP(-(LN(2)/$D$65+0.04)*(VLOOKUP(($F$16-$F$15)-1,AC$99:AG222,4,FALSE)))*EXP(-(LN(2)/$D$65+0.1)*(VLOOKUP(($F$16-$F$15)-1,AC$99:AG222,5,FALSE)))*EXP(-(LN(2)/$D$65+0.04)*AF222)*EXP(-(LN(2)/$D$65+0.1)*AG222),IF(AD222=3,AI$100*EXP(-(LN(2)/$D$65+0.04)*(VLOOKUP(($F$16-$F$15)-1,AC$99:AG222,4,FALSE)))*EXP(-(LN(2)/$D$65+0.1)*(VLOOKUP(($F$16-$F$15)-1,AC$99:AG222,5,FALSE)))*EXP(-(LN(2)/$D$65+0.04)*(VLOOKUP(($F$16-$F$15)*2-1,AC$99:AG222,4,FALSE)))*EXP(-(LN(2)/$D$65+0.1)*(VLOOKUP(($F$16-$F$15)*2-1,AC$99:AG222,5,FALSE)))*EXP(-(LN(2)/$D$65+0.04)*AF222)*EXP(-(LN(2)/$D$65+0.1)*AG222),"-"))),"-")</f>
        <v>-</v>
      </c>
      <c r="AJ223" s="271" t="str">
        <f>IFERROR(IF(AD223=1,AJ$100*EXP(-(LN(2)/$D$65+0.04)*AF223)*EXP(-(LN(2)/$D$65+0.1)*AG223),IF(AD223=2,AJ$100*EXP(-(LN(2)/$D$65+0.04)*(VLOOKUP(($F$16-$F$15)-1,AC$100:AG223,4,FALSE)))*EXP(-(LN(2)/$D$65+0.1)*(VLOOKUP(($F$16-$F$15)-1,AC$100:AG223,5,FALSE)))*EXP(-(LN(2)/$D$65+0.04)*AF223)*EXP(-(LN(2)/$D$65+0.1)*AG223),IF(AD223=3,AJ$100*EXP(-(LN(2)/$D$65+0.04)*(VLOOKUP(($F$16-$F$15)-1,AC$100:AG223,4,FALSE)))*EXP(-(LN(2)/$D$65+0.1)*(VLOOKUP(($F$16-$F$15)-1,AC$100:AG223,5,FALSE)))*EXP(-(LN(2)/$D$65+0.04)*(VLOOKUP(($F$16-$F$15)*2-1,AC$100:AG223,4,FALSE)))*EXP(-(LN(2)/$D$65+0.1)*(VLOOKUP(($F$16-$F$15)*2-1,AC$100:AG223,5,FALSE)))*EXP(-(LN(2)/$D$65+0.04)*AF223)*EXP(-(LN(2)/$D$65+0.1)*AG223),"-"))),"-")</f>
        <v>-</v>
      </c>
      <c r="AK223" s="227">
        <f t="shared" si="137"/>
        <v>123</v>
      </c>
      <c r="AL223" s="226" t="str">
        <f t="shared" si="111"/>
        <v>-</v>
      </c>
      <c r="AM223" s="227" t="str">
        <f t="shared" si="138"/>
        <v>-</v>
      </c>
      <c r="AN223" s="227" t="str">
        <f t="shared" si="139"/>
        <v>-</v>
      </c>
      <c r="AO223" s="227" t="str">
        <f t="shared" si="112"/>
        <v>-</v>
      </c>
      <c r="AP223" s="273">
        <f t="shared" si="140"/>
        <v>0.1</v>
      </c>
      <c r="AQ223" s="271" t="str">
        <f>IFERROR(IF(AL222=1,AQ$100*EXP(-(LN(2)/$D$65+0.04)*AN222)*EXP(-(LN(2)/$D$65+0.1)*AO222),IF(AL222=2,AQ$100*EXP(-(LN(2)/$D$65+0.04)*(VLOOKUP(($F$16-$F$15)-1,AK$99:AO222,4,FALSE)))*EXP(-(LN(2)/$D$65+0.1)*(VLOOKUP(($F$16-$F$15)-1,AK$99:AO222,5,FALSE)))*EXP(-(LN(2)/$D$65+0.04)*AN222)*EXP(-(LN(2)/$D$65+0.1)*AO222),IF(AL222=3,AQ$100*EXP(-(LN(2)/$D$65+0.04)*(VLOOKUP(($F$16-$F$15)-1,AK$99:AO222,4,FALSE)))*EXP(-(LN(2)/$D$65+0.1)*(VLOOKUP(($F$16-$F$15)-1,AK$99:AO222,5,FALSE)))*EXP(-(LN(2)/$D$65+0.04)*(VLOOKUP(($F$16-$F$15)*2-1,AK$99:AO222,4,FALSE)))*EXP(-(LN(2)/$D$65+0.1)*(VLOOKUP(($F$16-$F$15)*2-1,AK$99:AO222,5,FALSE)))*EXP(-(LN(2)/$D$65+0.04)*AN222)*EXP(-(LN(2)/$D$65+0.1)*AO222),"-"))),"-")</f>
        <v>-</v>
      </c>
      <c r="AR223" s="271" t="str">
        <f>IFERROR(IF(AL223=1,AR$100*EXP(-(LN(2)/$D$65+0.04)*AN223)*EXP(-(LN(2)/$D$65+0.1)*AO223),IF(AL223=2,AR$100*EXP(-(LN(2)/$D$65+0.04)*(VLOOKUP(($F$16-$F$15)-1,AK$100:AO223,4,FALSE)))*EXP(-(LN(2)/$D$65+0.1)*(VLOOKUP(($F$16-$F$15)-1,AK$100:AO223,5,FALSE)))*EXP(-(LN(2)/$D$65+0.04)*AN223)*EXP(-(LN(2)/$D$65+0.1)*AO223),IF(AL223=3,AR$100*EXP(-(LN(2)/$D$65+0.04)*(VLOOKUP(($F$16-$F$15)-1,AK$100:AO223,4,FALSE)))*EXP(-(LN(2)/$D$65+0.1)*(VLOOKUP(($F$16-$F$15)-1,AK$100:AO223,5,FALSE)))*EXP(-(LN(2)/$D$65+0.04)*(VLOOKUP(($F$16-$F$15)*2-1,AK$100:AO223,4,FALSE)))*EXP(-(LN(2)/$D$65+0.1)*(VLOOKUP(($F$16-$F$15)*2-1,AK$100:AO223,5,FALSE)))*EXP(-(LN(2)/$D$65+0.04)*AN223)*EXP(-(LN(2)/$D$65+0.1)*AO223),"-"))),"-")</f>
        <v>-</v>
      </c>
      <c r="AS223" s="274">
        <f t="shared" si="113"/>
        <v>0</v>
      </c>
      <c r="AT223" s="274">
        <f t="shared" si="114"/>
        <v>0</v>
      </c>
      <c r="AU223" s="274">
        <f t="shared" si="115"/>
        <v>0</v>
      </c>
      <c r="AV223" s="190" t="str">
        <f>IF($B223&lt;$F$22,SUM($T$100:$T223),"")</f>
        <v/>
      </c>
      <c r="AW223" s="190" t="str">
        <f t="shared" si="161"/>
        <v>-</v>
      </c>
      <c r="AX223" s="190" t="str">
        <f t="shared" si="141"/>
        <v/>
      </c>
      <c r="AY223"/>
      <c r="AZ223" s="190" t="str">
        <f ca="1">IF(ISNUMBER(OFFSET(AV223,-$F$21,0)),SUM(OFFSET($T$100,$F$21,0):$T223),"")</f>
        <v/>
      </c>
      <c r="BA223" s="190" t="str">
        <f t="shared" ca="1" si="162"/>
        <v/>
      </c>
      <c r="BB223" s="190" t="str">
        <f t="shared" ca="1" si="148"/>
        <v/>
      </c>
      <c r="BC223" s="190"/>
      <c r="BD223" s="190" t="str">
        <f ca="1">IFERROR(IF(OR(ISNUMBER(I),ISNUMBER($F$14)),IF(AND($B223&gt;=($F$16-$F$15),$B223&lt;$F$22+($F$16-$F$15)),SUM(OFFSET($T$100,($F$16-$F$15),0):$T223),""),""),"")</f>
        <v/>
      </c>
      <c r="BE223" s="190" t="str">
        <f t="shared" ca="1" si="142"/>
        <v/>
      </c>
      <c r="BF223" s="190" t="str">
        <f t="shared" ca="1" si="143"/>
        <v/>
      </c>
      <c r="BG223"/>
      <c r="BH223" s="190" t="str">
        <f ca="1">IF(ISNUMBER(OFFSET(BD223,-$F$21,0)),SUM(OFFSET($T$100,($F$16-$F$15+$F$21),0):$T223),"")</f>
        <v/>
      </c>
      <c r="BI223" s="190" t="str">
        <f t="shared" ca="1" si="163"/>
        <v/>
      </c>
      <c r="BJ223" s="190" t="str">
        <f t="shared" ca="1" si="144"/>
        <v/>
      </c>
      <c r="BK223" s="190"/>
      <c r="BL223" s="190" t="str">
        <f ca="1">IFERROR(IF(OR(ISNUMBER(I),ISNUMBER($F$14)),IF(AND($B223&gt;=($F$17-$F$15),$B223&lt;$F$22+($F$17-$F$15)),SUM(OFFSET($T$100,($F$17-$F$15),0):$T223),""),""),"")</f>
        <v/>
      </c>
      <c r="BM223" s="190" t="str">
        <f t="shared" ca="1" si="164"/>
        <v/>
      </c>
      <c r="BN223" s="190" t="str">
        <f t="shared" ca="1" si="145"/>
        <v/>
      </c>
      <c r="BO223"/>
      <c r="BP223" s="190" t="str">
        <f ca="1">IF(ISNUMBER(OFFSET(BL223,-$F$21,0)),SUM(OFFSET($T$100,($F$17-$F$15+$F$21),0):$T223),"")</f>
        <v/>
      </c>
      <c r="BQ223" s="190" t="str">
        <f t="shared" ca="1" si="165"/>
        <v/>
      </c>
      <c r="BR223" s="190" t="str">
        <f t="shared" ca="1" si="146"/>
        <v/>
      </c>
      <c r="BS223" s="190"/>
      <c r="BT223"/>
      <c r="BU223"/>
      <c r="BV223"/>
      <c r="BY223" s="99"/>
      <c r="BZ223" s="99"/>
      <c r="CA223" s="280" t="str">
        <f t="shared" si="166"/>
        <v/>
      </c>
      <c r="CB223" s="71" t="str">
        <f t="shared" si="122"/>
        <v>-</v>
      </c>
      <c r="CC223" s="33"/>
      <c r="CD223" s="261" t="str">
        <f t="shared" si="123"/>
        <v/>
      </c>
      <c r="CE223" s="280" t="str">
        <f t="shared" si="167"/>
        <v/>
      </c>
      <c r="CF223" s="71" t="str">
        <f t="shared" ca="1" si="168"/>
        <v/>
      </c>
      <c r="CG223" s="33" t="str">
        <f t="shared" si="126"/>
        <v/>
      </c>
      <c r="CH223" s="261" t="str">
        <f t="shared" ca="1" si="127"/>
        <v/>
      </c>
    </row>
    <row r="224" spans="2:86" ht="13.5" customHeight="1" x14ac:dyDescent="0.2">
      <c r="B224" s="262">
        <v>124</v>
      </c>
      <c r="C224" s="237" t="str">
        <f t="shared" si="91"/>
        <v/>
      </c>
      <c r="D224" s="237" t="str">
        <f t="shared" si="147"/>
        <v/>
      </c>
      <c r="E224" s="263" t="str">
        <f t="shared" si="128"/>
        <v/>
      </c>
      <c r="F224" s="264" t="str">
        <f t="shared" si="129"/>
        <v/>
      </c>
      <c r="G224" s="264" t="str">
        <f t="shared" si="130"/>
        <v/>
      </c>
      <c r="H224" s="240" t="str">
        <f t="shared" si="149"/>
        <v/>
      </c>
      <c r="I224" s="265" t="str">
        <f t="shared" si="150"/>
        <v/>
      </c>
      <c r="J224" s="265" t="str">
        <f t="shared" si="151"/>
        <v/>
      </c>
      <c r="K224" s="240" t="str">
        <f t="shared" si="152"/>
        <v/>
      </c>
      <c r="L224" s="265" t="str">
        <f t="shared" si="153"/>
        <v/>
      </c>
      <c r="M224" s="265" t="str">
        <f t="shared" si="154"/>
        <v/>
      </c>
      <c r="N224" s="240" t="str">
        <f t="shared" si="155"/>
        <v>-</v>
      </c>
      <c r="O224" s="265" t="str">
        <f t="shared" si="156"/>
        <v>-</v>
      </c>
      <c r="P224" s="265" t="str">
        <f t="shared" si="157"/>
        <v>-</v>
      </c>
      <c r="Q224" s="266" t="str">
        <f t="shared" si="158"/>
        <v>-</v>
      </c>
      <c r="R224" s="267" t="str">
        <f t="shared" si="159"/>
        <v>-</v>
      </c>
      <c r="S224" s="268" t="str">
        <f t="shared" si="160"/>
        <v>-</v>
      </c>
      <c r="T224" s="269" t="str">
        <f t="shared" si="104"/>
        <v/>
      </c>
      <c r="U224" s="221">
        <f t="shared" si="105"/>
        <v>124</v>
      </c>
      <c r="V224" s="220" t="str">
        <f t="shared" si="131"/>
        <v>-</v>
      </c>
      <c r="W224" s="221" t="str">
        <f t="shared" si="132"/>
        <v>-</v>
      </c>
      <c r="X224" s="221" t="str">
        <f t="shared" si="106"/>
        <v>-</v>
      </c>
      <c r="Y224" s="221" t="str">
        <f t="shared" si="107"/>
        <v>-</v>
      </c>
      <c r="Z224" s="270">
        <f t="shared" si="133"/>
        <v>0.1</v>
      </c>
      <c r="AA224" s="271" t="str">
        <f>IFERROR(IF(V223=1,AA$100*EXP(-(LN(2)/$D$65+0.04)*X223)*EXP(-(LN(2)/$D$65+0.1)*Y223),IF(V223=2,AA$100*EXP(-(LN(2)/$D$65+0.04)*(VLOOKUP(($F$16-$F$15)-1,U$99:Y223,4,FALSE)))*EXP(-(LN(2)/$D$65+0.1)*(VLOOKUP(($F$16-$F$15)-1,U$99:Y223,5,FALSE)))*EXP(-(LN(2)/$D$65+0.04)*X223)*EXP(-(LN(2)/$D$65+0.1)*Y223),IF(V223=3,AA$100*EXP(-(LN(2)/$D$65+0.04)*(VLOOKUP(($F$16-$F$15)-1,U$99:Y223,4,FALSE)))*EXP(-(LN(2)/$D$65+0.1)*(VLOOKUP(($F$16-$F$15)-1,U$99:Y223,5,FALSE)))*EXP(-(LN(2)/$D$65+0.04)*(VLOOKUP(($F$16-$F$15)*2-1,U$99:Y223,4,FALSE)))*EXP(-(LN(2)/$D$65+0.1)*(VLOOKUP(($F$16-$F$15)*2-1,U$99:Y223,5,FALSE)))*EXP(-(LN(2)/$D$65+0.04)*X223)*EXP(-(LN(2)/$D$65+0.1)*Y223),"-"))),"-")</f>
        <v>-</v>
      </c>
      <c r="AB224" s="271" t="str">
        <f>IFERROR(IF(V224=1,AB$100*EXP(-(LN(2)/$D$65+0.04)*X224)*EXP(-(LN(2)/$D$65+0.1)*Y224),IF(V224=2,AB$100*EXP(-(LN(2)/$D$65+0.04)*(VLOOKUP(($F$16-$F$15)-1,U$100:Y224,4,FALSE)))*EXP(-(LN(2)/$D$65+0.1)*(VLOOKUP(($F$16-$F$15)-1,U$100:Y224,5,FALSE)))*EXP(-(LN(2)/$D$65+0.04)*X224)*EXP(-(LN(2)/$D$65+0.1)*Y224),IF(V224=3,AB$100*EXP(-(LN(2)/$D$65+0.04)*(VLOOKUP(($F$16-$F$15)-1,U$100:Y224,4,FALSE)))*EXP(-(LN(2)/$D$65+0.1)*(VLOOKUP(($F$16-$F$15)-1,U$100:Y224,5,FALSE)))*EXP(-(LN(2)/$D$65+0.04)*(VLOOKUP(($F$16-$F$15)*2-1,U$100:Y224,4,FALSE)))*EXP(-(LN(2)/$D$65+0.1)*(VLOOKUP(($F$16-$F$15)*2-1,U$100:Y224,5,FALSE)))*EXP(-(LN(2)/$D$65+0.04)*X224)*EXP(-(LN(2)/$D$65+0.1)*Y224),"-"))),"-")</f>
        <v>-</v>
      </c>
      <c r="AC224" s="224">
        <f t="shared" si="134"/>
        <v>124</v>
      </c>
      <c r="AD224" s="223" t="str">
        <f t="shared" si="108"/>
        <v>-</v>
      </c>
      <c r="AE224" s="224" t="str">
        <f t="shared" si="135"/>
        <v>-</v>
      </c>
      <c r="AF224" s="224" t="str">
        <f t="shared" si="109"/>
        <v>-</v>
      </c>
      <c r="AG224" s="224" t="str">
        <f t="shared" si="110"/>
        <v>-</v>
      </c>
      <c r="AH224" s="272">
        <f t="shared" si="136"/>
        <v>0.1</v>
      </c>
      <c r="AI224" s="271" t="str">
        <f>IFERROR(IF(AD223=1,AI$100*EXP(-(LN(2)/$D$65+0.04)*AF223)*EXP(-(LN(2)/$D$65+0.1)*AG223),IF(AD223=2,AI$100*EXP(-(LN(2)/$D$65+0.04)*(VLOOKUP(($F$16-$F$15)-1,AC$99:AG223,4,FALSE)))*EXP(-(LN(2)/$D$65+0.1)*(VLOOKUP(($F$16-$F$15)-1,AC$99:AG223,5,FALSE)))*EXP(-(LN(2)/$D$65+0.04)*AF223)*EXP(-(LN(2)/$D$65+0.1)*AG223),IF(AD223=3,AI$100*EXP(-(LN(2)/$D$65+0.04)*(VLOOKUP(($F$16-$F$15)-1,AC$99:AG223,4,FALSE)))*EXP(-(LN(2)/$D$65+0.1)*(VLOOKUP(($F$16-$F$15)-1,AC$99:AG223,5,FALSE)))*EXP(-(LN(2)/$D$65+0.04)*(VLOOKUP(($F$16-$F$15)*2-1,AC$99:AG223,4,FALSE)))*EXP(-(LN(2)/$D$65+0.1)*(VLOOKUP(($F$16-$F$15)*2-1,AC$99:AG223,5,FALSE)))*EXP(-(LN(2)/$D$65+0.04)*AF223)*EXP(-(LN(2)/$D$65+0.1)*AG223),"-"))),"-")</f>
        <v>-</v>
      </c>
      <c r="AJ224" s="271" t="str">
        <f>IFERROR(IF(AD224=1,AJ$100*EXP(-(LN(2)/$D$65+0.04)*AF224)*EXP(-(LN(2)/$D$65+0.1)*AG224),IF(AD224=2,AJ$100*EXP(-(LN(2)/$D$65+0.04)*(VLOOKUP(($F$16-$F$15)-1,AC$100:AG224,4,FALSE)))*EXP(-(LN(2)/$D$65+0.1)*(VLOOKUP(($F$16-$F$15)-1,AC$100:AG224,5,FALSE)))*EXP(-(LN(2)/$D$65+0.04)*AF224)*EXP(-(LN(2)/$D$65+0.1)*AG224),IF(AD224=3,AJ$100*EXP(-(LN(2)/$D$65+0.04)*(VLOOKUP(($F$16-$F$15)-1,AC$100:AG224,4,FALSE)))*EXP(-(LN(2)/$D$65+0.1)*(VLOOKUP(($F$16-$F$15)-1,AC$100:AG224,5,FALSE)))*EXP(-(LN(2)/$D$65+0.04)*(VLOOKUP(($F$16-$F$15)*2-1,AC$100:AG224,4,FALSE)))*EXP(-(LN(2)/$D$65+0.1)*(VLOOKUP(($F$16-$F$15)*2-1,AC$100:AG224,5,FALSE)))*EXP(-(LN(2)/$D$65+0.04)*AF224)*EXP(-(LN(2)/$D$65+0.1)*AG224),"-"))),"-")</f>
        <v>-</v>
      </c>
      <c r="AK224" s="227">
        <f t="shared" si="137"/>
        <v>124</v>
      </c>
      <c r="AL224" s="226" t="str">
        <f t="shared" si="111"/>
        <v>-</v>
      </c>
      <c r="AM224" s="227" t="str">
        <f t="shared" si="138"/>
        <v>-</v>
      </c>
      <c r="AN224" s="227" t="str">
        <f t="shared" si="139"/>
        <v>-</v>
      </c>
      <c r="AO224" s="227" t="str">
        <f t="shared" si="112"/>
        <v>-</v>
      </c>
      <c r="AP224" s="273">
        <f t="shared" si="140"/>
        <v>0.1</v>
      </c>
      <c r="AQ224" s="271" t="str">
        <f>IFERROR(IF(AL223=1,AQ$100*EXP(-(LN(2)/$D$65+0.04)*AN223)*EXP(-(LN(2)/$D$65+0.1)*AO223),IF(AL223=2,AQ$100*EXP(-(LN(2)/$D$65+0.04)*(VLOOKUP(($F$16-$F$15)-1,AK$99:AO223,4,FALSE)))*EXP(-(LN(2)/$D$65+0.1)*(VLOOKUP(($F$16-$F$15)-1,AK$99:AO223,5,FALSE)))*EXP(-(LN(2)/$D$65+0.04)*AN223)*EXP(-(LN(2)/$D$65+0.1)*AO223),IF(AL223=3,AQ$100*EXP(-(LN(2)/$D$65+0.04)*(VLOOKUP(($F$16-$F$15)-1,AK$99:AO223,4,FALSE)))*EXP(-(LN(2)/$D$65+0.1)*(VLOOKUP(($F$16-$F$15)-1,AK$99:AO223,5,FALSE)))*EXP(-(LN(2)/$D$65+0.04)*(VLOOKUP(($F$16-$F$15)*2-1,AK$99:AO223,4,FALSE)))*EXP(-(LN(2)/$D$65+0.1)*(VLOOKUP(($F$16-$F$15)*2-1,AK$99:AO223,5,FALSE)))*EXP(-(LN(2)/$D$65+0.04)*AN223)*EXP(-(LN(2)/$D$65+0.1)*AO223),"-"))),"-")</f>
        <v>-</v>
      </c>
      <c r="AR224" s="271" t="str">
        <f>IFERROR(IF(AL224=1,AR$100*EXP(-(LN(2)/$D$65+0.04)*AN224)*EXP(-(LN(2)/$D$65+0.1)*AO224),IF(AL224=2,AR$100*EXP(-(LN(2)/$D$65+0.04)*(VLOOKUP(($F$16-$F$15)-1,AK$100:AO224,4,FALSE)))*EXP(-(LN(2)/$D$65+0.1)*(VLOOKUP(($F$16-$F$15)-1,AK$100:AO224,5,FALSE)))*EXP(-(LN(2)/$D$65+0.04)*AN224)*EXP(-(LN(2)/$D$65+0.1)*AO224),IF(AL224=3,AR$100*EXP(-(LN(2)/$D$65+0.04)*(VLOOKUP(($F$16-$F$15)-1,AK$100:AO224,4,FALSE)))*EXP(-(LN(2)/$D$65+0.1)*(VLOOKUP(($F$16-$F$15)-1,AK$100:AO224,5,FALSE)))*EXP(-(LN(2)/$D$65+0.04)*(VLOOKUP(($F$16-$F$15)*2-1,AK$100:AO224,4,FALSE)))*EXP(-(LN(2)/$D$65+0.1)*(VLOOKUP(($F$16-$F$15)*2-1,AK$100:AO224,5,FALSE)))*EXP(-(LN(2)/$D$65+0.04)*AN224)*EXP(-(LN(2)/$D$65+0.1)*AO224),"-"))),"-")</f>
        <v>-</v>
      </c>
      <c r="AS224" s="274">
        <f t="shared" si="113"/>
        <v>0</v>
      </c>
      <c r="AT224" s="274">
        <f t="shared" si="114"/>
        <v>0</v>
      </c>
      <c r="AU224" s="274">
        <f t="shared" si="115"/>
        <v>0</v>
      </c>
      <c r="AV224" s="190" t="str">
        <f>IF($B224&lt;$F$22,SUM($T$100:$T224),"")</f>
        <v/>
      </c>
      <c r="AW224" s="190" t="str">
        <f t="shared" si="161"/>
        <v>-</v>
      </c>
      <c r="AX224" s="190" t="str">
        <f t="shared" si="141"/>
        <v/>
      </c>
      <c r="AY224"/>
      <c r="AZ224" s="190" t="str">
        <f ca="1">IF(ISNUMBER(OFFSET(AV224,-$F$21,0)),SUM(OFFSET($T$100,$F$21,0):$T224),"")</f>
        <v/>
      </c>
      <c r="BA224" s="190" t="str">
        <f t="shared" ca="1" si="162"/>
        <v/>
      </c>
      <c r="BB224" s="190" t="str">
        <f t="shared" ca="1" si="148"/>
        <v/>
      </c>
      <c r="BC224" s="190"/>
      <c r="BD224" s="190" t="str">
        <f ca="1">IFERROR(IF(OR(ISNUMBER(I),ISNUMBER($F$14)),IF(AND($B224&gt;=($F$16-$F$15),$B224&lt;$F$22+($F$16-$F$15)),SUM(OFFSET($T$100,($F$16-$F$15),0):$T224),""),""),"")</f>
        <v/>
      </c>
      <c r="BE224" s="190" t="str">
        <f t="shared" ca="1" si="142"/>
        <v/>
      </c>
      <c r="BF224" s="190" t="str">
        <f t="shared" ca="1" si="143"/>
        <v/>
      </c>
      <c r="BG224"/>
      <c r="BH224" s="190" t="str">
        <f ca="1">IF(ISNUMBER(OFFSET(BD224,-$F$21,0)),SUM(OFFSET($T$100,($F$16-$F$15+$F$21),0):$T224),"")</f>
        <v/>
      </c>
      <c r="BI224" s="190" t="str">
        <f t="shared" ca="1" si="163"/>
        <v/>
      </c>
      <c r="BJ224" s="190" t="str">
        <f t="shared" ca="1" si="144"/>
        <v/>
      </c>
      <c r="BK224" s="190"/>
      <c r="BL224" s="190" t="str">
        <f ca="1">IFERROR(IF(OR(ISNUMBER(I),ISNUMBER($F$14)),IF(AND($B224&gt;=($F$17-$F$15),$B224&lt;$F$22+($F$17-$F$15)),SUM(OFFSET($T$100,($F$17-$F$15),0):$T224),""),""),"")</f>
        <v/>
      </c>
      <c r="BM224" s="190" t="str">
        <f t="shared" ca="1" si="164"/>
        <v/>
      </c>
      <c r="BN224" s="190" t="str">
        <f t="shared" ca="1" si="145"/>
        <v/>
      </c>
      <c r="BO224"/>
      <c r="BP224" s="190" t="str">
        <f ca="1">IF(ISNUMBER(OFFSET(BL224,-$F$21,0)),SUM(OFFSET($T$100,($F$17-$F$15+$F$21),0):$T224),"")</f>
        <v/>
      </c>
      <c r="BQ224" s="190" t="str">
        <f t="shared" ca="1" si="165"/>
        <v/>
      </c>
      <c r="BR224" s="190" t="str">
        <f t="shared" ca="1" si="146"/>
        <v/>
      </c>
      <c r="BS224" s="190"/>
      <c r="BT224"/>
      <c r="BU224"/>
      <c r="BV224"/>
      <c r="BY224" s="99"/>
      <c r="BZ224" s="99"/>
      <c r="CA224" s="280" t="str">
        <f t="shared" si="166"/>
        <v/>
      </c>
      <c r="CB224" s="71" t="str">
        <f t="shared" si="122"/>
        <v>-</v>
      </c>
      <c r="CC224" s="33"/>
      <c r="CD224" s="261" t="str">
        <f t="shared" si="123"/>
        <v/>
      </c>
      <c r="CE224" s="280" t="str">
        <f t="shared" si="167"/>
        <v/>
      </c>
      <c r="CF224" s="71" t="str">
        <f t="shared" ca="1" si="168"/>
        <v/>
      </c>
      <c r="CG224" s="33" t="str">
        <f t="shared" si="126"/>
        <v/>
      </c>
      <c r="CH224" s="261" t="str">
        <f t="shared" ca="1" si="127"/>
        <v/>
      </c>
    </row>
    <row r="225" spans="2:86" ht="13.5" customHeight="1" x14ac:dyDescent="0.2">
      <c r="B225" s="262">
        <v>125</v>
      </c>
      <c r="C225" s="237" t="str">
        <f t="shared" si="91"/>
        <v/>
      </c>
      <c r="D225" s="237" t="str">
        <f t="shared" si="147"/>
        <v/>
      </c>
      <c r="E225" s="263" t="str">
        <f t="shared" si="128"/>
        <v/>
      </c>
      <c r="F225" s="264" t="str">
        <f t="shared" si="129"/>
        <v/>
      </c>
      <c r="G225" s="264" t="str">
        <f t="shared" si="130"/>
        <v/>
      </c>
      <c r="H225" s="240" t="str">
        <f t="shared" si="149"/>
        <v/>
      </c>
      <c r="I225" s="265" t="str">
        <f t="shared" si="150"/>
        <v/>
      </c>
      <c r="J225" s="265" t="str">
        <f t="shared" si="151"/>
        <v/>
      </c>
      <c r="K225" s="240" t="str">
        <f t="shared" si="152"/>
        <v/>
      </c>
      <c r="L225" s="265" t="str">
        <f t="shared" si="153"/>
        <v/>
      </c>
      <c r="M225" s="265" t="str">
        <f t="shared" si="154"/>
        <v/>
      </c>
      <c r="N225" s="240" t="str">
        <f t="shared" si="155"/>
        <v>-</v>
      </c>
      <c r="O225" s="265" t="str">
        <f t="shared" si="156"/>
        <v>-</v>
      </c>
      <c r="P225" s="265" t="str">
        <f t="shared" si="157"/>
        <v>-</v>
      </c>
      <c r="Q225" s="266" t="str">
        <f t="shared" si="158"/>
        <v>-</v>
      </c>
      <c r="R225" s="267" t="str">
        <f t="shared" si="159"/>
        <v>-</v>
      </c>
      <c r="S225" s="268" t="str">
        <f t="shared" si="160"/>
        <v>-</v>
      </c>
      <c r="T225" s="269" t="str">
        <f t="shared" si="104"/>
        <v/>
      </c>
      <c r="U225" s="221">
        <f t="shared" si="105"/>
        <v>125</v>
      </c>
      <c r="V225" s="220" t="str">
        <f t="shared" si="131"/>
        <v>-</v>
      </c>
      <c r="W225" s="221" t="str">
        <f t="shared" si="132"/>
        <v>-</v>
      </c>
      <c r="X225" s="221" t="str">
        <f t="shared" si="106"/>
        <v>-</v>
      </c>
      <c r="Y225" s="221" t="str">
        <f t="shared" si="107"/>
        <v>-</v>
      </c>
      <c r="Z225" s="270">
        <f t="shared" si="133"/>
        <v>0.1</v>
      </c>
      <c r="AA225" s="271" t="str">
        <f>IFERROR(IF(V224=1,AA$100*EXP(-(LN(2)/$D$65+0.04)*X224)*EXP(-(LN(2)/$D$65+0.1)*Y224),IF(V224=2,AA$100*EXP(-(LN(2)/$D$65+0.04)*(VLOOKUP(($F$16-$F$15)-1,U$99:Y224,4,FALSE)))*EXP(-(LN(2)/$D$65+0.1)*(VLOOKUP(($F$16-$F$15)-1,U$99:Y224,5,FALSE)))*EXP(-(LN(2)/$D$65+0.04)*X224)*EXP(-(LN(2)/$D$65+0.1)*Y224),IF(V224=3,AA$100*EXP(-(LN(2)/$D$65+0.04)*(VLOOKUP(($F$16-$F$15)-1,U$99:Y224,4,FALSE)))*EXP(-(LN(2)/$D$65+0.1)*(VLOOKUP(($F$16-$F$15)-1,U$99:Y224,5,FALSE)))*EXP(-(LN(2)/$D$65+0.04)*(VLOOKUP(($F$16-$F$15)*2-1,U$99:Y224,4,FALSE)))*EXP(-(LN(2)/$D$65+0.1)*(VLOOKUP(($F$16-$F$15)*2-1,U$99:Y224,5,FALSE)))*EXP(-(LN(2)/$D$65+0.04)*X224)*EXP(-(LN(2)/$D$65+0.1)*Y224),"-"))),"-")</f>
        <v>-</v>
      </c>
      <c r="AB225" s="271" t="str">
        <f>IFERROR(IF(V225=1,AB$100*EXP(-(LN(2)/$D$65+0.04)*X225)*EXP(-(LN(2)/$D$65+0.1)*Y225),IF(V225=2,AB$100*EXP(-(LN(2)/$D$65+0.04)*(VLOOKUP(($F$16-$F$15)-1,U$100:Y225,4,FALSE)))*EXP(-(LN(2)/$D$65+0.1)*(VLOOKUP(($F$16-$F$15)-1,U$100:Y225,5,FALSE)))*EXP(-(LN(2)/$D$65+0.04)*X225)*EXP(-(LN(2)/$D$65+0.1)*Y225),IF(V225=3,AB$100*EXP(-(LN(2)/$D$65+0.04)*(VLOOKUP(($F$16-$F$15)-1,U$100:Y225,4,FALSE)))*EXP(-(LN(2)/$D$65+0.1)*(VLOOKUP(($F$16-$F$15)-1,U$100:Y225,5,FALSE)))*EXP(-(LN(2)/$D$65+0.04)*(VLOOKUP(($F$16-$F$15)*2-1,U$100:Y225,4,FALSE)))*EXP(-(LN(2)/$D$65+0.1)*(VLOOKUP(($F$16-$F$15)*2-1,U$100:Y225,5,FALSE)))*EXP(-(LN(2)/$D$65+0.04)*X225)*EXP(-(LN(2)/$D$65+0.1)*Y225),"-"))),"-")</f>
        <v>-</v>
      </c>
      <c r="AC225" s="224">
        <f t="shared" si="134"/>
        <v>125</v>
      </c>
      <c r="AD225" s="223" t="str">
        <f t="shared" si="108"/>
        <v>-</v>
      </c>
      <c r="AE225" s="224" t="str">
        <f t="shared" si="135"/>
        <v>-</v>
      </c>
      <c r="AF225" s="224" t="str">
        <f t="shared" si="109"/>
        <v>-</v>
      </c>
      <c r="AG225" s="224" t="str">
        <f t="shared" si="110"/>
        <v>-</v>
      </c>
      <c r="AH225" s="272">
        <f t="shared" si="136"/>
        <v>0.1</v>
      </c>
      <c r="AI225" s="271" t="str">
        <f>IFERROR(IF(AD224=1,AI$100*EXP(-(LN(2)/$D$65+0.04)*AF224)*EXP(-(LN(2)/$D$65+0.1)*AG224),IF(AD224=2,AI$100*EXP(-(LN(2)/$D$65+0.04)*(VLOOKUP(($F$16-$F$15)-1,AC$99:AG224,4,FALSE)))*EXP(-(LN(2)/$D$65+0.1)*(VLOOKUP(($F$16-$F$15)-1,AC$99:AG224,5,FALSE)))*EXP(-(LN(2)/$D$65+0.04)*AF224)*EXP(-(LN(2)/$D$65+0.1)*AG224),IF(AD224=3,AI$100*EXP(-(LN(2)/$D$65+0.04)*(VLOOKUP(($F$16-$F$15)-1,AC$99:AG224,4,FALSE)))*EXP(-(LN(2)/$D$65+0.1)*(VLOOKUP(($F$16-$F$15)-1,AC$99:AG224,5,FALSE)))*EXP(-(LN(2)/$D$65+0.04)*(VLOOKUP(($F$16-$F$15)*2-1,AC$99:AG224,4,FALSE)))*EXP(-(LN(2)/$D$65+0.1)*(VLOOKUP(($F$16-$F$15)*2-1,AC$99:AG224,5,FALSE)))*EXP(-(LN(2)/$D$65+0.04)*AF224)*EXP(-(LN(2)/$D$65+0.1)*AG224),"-"))),"-")</f>
        <v>-</v>
      </c>
      <c r="AJ225" s="271" t="str">
        <f>IFERROR(IF(AD225=1,AJ$100*EXP(-(LN(2)/$D$65+0.04)*AF225)*EXP(-(LN(2)/$D$65+0.1)*AG225),IF(AD225=2,AJ$100*EXP(-(LN(2)/$D$65+0.04)*(VLOOKUP(($F$16-$F$15)-1,AC$100:AG225,4,FALSE)))*EXP(-(LN(2)/$D$65+0.1)*(VLOOKUP(($F$16-$F$15)-1,AC$100:AG225,5,FALSE)))*EXP(-(LN(2)/$D$65+0.04)*AF225)*EXP(-(LN(2)/$D$65+0.1)*AG225),IF(AD225=3,AJ$100*EXP(-(LN(2)/$D$65+0.04)*(VLOOKUP(($F$16-$F$15)-1,AC$100:AG225,4,FALSE)))*EXP(-(LN(2)/$D$65+0.1)*(VLOOKUP(($F$16-$F$15)-1,AC$100:AG225,5,FALSE)))*EXP(-(LN(2)/$D$65+0.04)*(VLOOKUP(($F$16-$F$15)*2-1,AC$100:AG225,4,FALSE)))*EXP(-(LN(2)/$D$65+0.1)*(VLOOKUP(($F$16-$F$15)*2-1,AC$100:AG225,5,FALSE)))*EXP(-(LN(2)/$D$65+0.04)*AF225)*EXP(-(LN(2)/$D$65+0.1)*AG225),"-"))),"-")</f>
        <v>-</v>
      </c>
      <c r="AK225" s="227">
        <f t="shared" si="137"/>
        <v>125</v>
      </c>
      <c r="AL225" s="226" t="str">
        <f t="shared" si="111"/>
        <v>-</v>
      </c>
      <c r="AM225" s="227" t="str">
        <f t="shared" si="138"/>
        <v>-</v>
      </c>
      <c r="AN225" s="227" t="str">
        <f t="shared" si="139"/>
        <v>-</v>
      </c>
      <c r="AO225" s="227" t="str">
        <f t="shared" si="112"/>
        <v>-</v>
      </c>
      <c r="AP225" s="273">
        <f t="shared" si="140"/>
        <v>0.1</v>
      </c>
      <c r="AQ225" s="271" t="str">
        <f>IFERROR(IF(AL224=1,AQ$100*EXP(-(LN(2)/$D$65+0.04)*AN224)*EXP(-(LN(2)/$D$65+0.1)*AO224),IF(AL224=2,AQ$100*EXP(-(LN(2)/$D$65+0.04)*(VLOOKUP(($F$16-$F$15)-1,AK$99:AO224,4,FALSE)))*EXP(-(LN(2)/$D$65+0.1)*(VLOOKUP(($F$16-$F$15)-1,AK$99:AO224,5,FALSE)))*EXP(-(LN(2)/$D$65+0.04)*AN224)*EXP(-(LN(2)/$D$65+0.1)*AO224),IF(AL224=3,AQ$100*EXP(-(LN(2)/$D$65+0.04)*(VLOOKUP(($F$16-$F$15)-1,AK$99:AO224,4,FALSE)))*EXP(-(LN(2)/$D$65+0.1)*(VLOOKUP(($F$16-$F$15)-1,AK$99:AO224,5,FALSE)))*EXP(-(LN(2)/$D$65+0.04)*(VLOOKUP(($F$16-$F$15)*2-1,AK$99:AO224,4,FALSE)))*EXP(-(LN(2)/$D$65+0.1)*(VLOOKUP(($F$16-$F$15)*2-1,AK$99:AO224,5,FALSE)))*EXP(-(LN(2)/$D$65+0.04)*AN224)*EXP(-(LN(2)/$D$65+0.1)*AO224),"-"))),"-")</f>
        <v>-</v>
      </c>
      <c r="AR225" s="271" t="str">
        <f>IFERROR(IF(AL225=1,AR$100*EXP(-(LN(2)/$D$65+0.04)*AN225)*EXP(-(LN(2)/$D$65+0.1)*AO225),IF(AL225=2,AR$100*EXP(-(LN(2)/$D$65+0.04)*(VLOOKUP(($F$16-$F$15)-1,AK$100:AO225,4,FALSE)))*EXP(-(LN(2)/$D$65+0.1)*(VLOOKUP(($F$16-$F$15)-1,AK$100:AO225,5,FALSE)))*EXP(-(LN(2)/$D$65+0.04)*AN225)*EXP(-(LN(2)/$D$65+0.1)*AO225),IF(AL225=3,AR$100*EXP(-(LN(2)/$D$65+0.04)*(VLOOKUP(($F$16-$F$15)-1,AK$100:AO225,4,FALSE)))*EXP(-(LN(2)/$D$65+0.1)*(VLOOKUP(($F$16-$F$15)-1,AK$100:AO225,5,FALSE)))*EXP(-(LN(2)/$D$65+0.04)*(VLOOKUP(($F$16-$F$15)*2-1,AK$100:AO225,4,FALSE)))*EXP(-(LN(2)/$D$65+0.1)*(VLOOKUP(($F$16-$F$15)*2-1,AK$100:AO225,5,FALSE)))*EXP(-(LN(2)/$D$65+0.04)*AN225)*EXP(-(LN(2)/$D$65+0.1)*AO225),"-"))),"-")</f>
        <v>-</v>
      </c>
      <c r="AS225" s="274">
        <f t="shared" si="113"/>
        <v>0</v>
      </c>
      <c r="AT225" s="274">
        <f t="shared" si="114"/>
        <v>0</v>
      </c>
      <c r="AU225" s="274">
        <f t="shared" si="115"/>
        <v>0</v>
      </c>
      <c r="AV225" s="190" t="str">
        <f>IF($B225&lt;$F$22,SUM($T$100:$T225),"")</f>
        <v/>
      </c>
      <c r="AW225" s="190" t="str">
        <f t="shared" si="161"/>
        <v>-</v>
      </c>
      <c r="AX225" s="190" t="str">
        <f t="shared" si="141"/>
        <v/>
      </c>
      <c r="AY225"/>
      <c r="AZ225" s="190" t="str">
        <f ca="1">IF(ISNUMBER(OFFSET(AV225,-$F$21,0)),SUM(OFFSET($T$100,$F$21,0):$T225),"")</f>
        <v/>
      </c>
      <c r="BA225" s="190" t="str">
        <f t="shared" ca="1" si="162"/>
        <v/>
      </c>
      <c r="BB225" s="190" t="str">
        <f t="shared" ca="1" si="148"/>
        <v/>
      </c>
      <c r="BC225" s="190"/>
      <c r="BD225" s="190" t="str">
        <f ca="1">IFERROR(IF(OR(ISNUMBER(I),ISNUMBER($F$14)),IF(AND($B225&gt;=($F$16-$F$15),$B225&lt;$F$22+($F$16-$F$15)),SUM(OFFSET($T$100,($F$16-$F$15),0):$T225),""),""),"")</f>
        <v/>
      </c>
      <c r="BE225" s="190" t="str">
        <f t="shared" ca="1" si="142"/>
        <v/>
      </c>
      <c r="BF225" s="190" t="str">
        <f t="shared" ca="1" si="143"/>
        <v/>
      </c>
      <c r="BG225"/>
      <c r="BH225" s="190" t="str">
        <f ca="1">IF(ISNUMBER(OFFSET(BD225,-$F$21,0)),SUM(OFFSET($T$100,($F$16-$F$15+$F$21),0):$T225),"")</f>
        <v/>
      </c>
      <c r="BI225" s="190" t="str">
        <f t="shared" ca="1" si="163"/>
        <v/>
      </c>
      <c r="BJ225" s="190" t="str">
        <f t="shared" ca="1" si="144"/>
        <v/>
      </c>
      <c r="BK225" s="190"/>
      <c r="BL225" s="190" t="str">
        <f ca="1">IFERROR(IF(OR(ISNUMBER(I),ISNUMBER($F$14)),IF(AND($B225&gt;=($F$17-$F$15),$B225&lt;$F$22+($F$17-$F$15)),SUM(OFFSET($T$100,($F$17-$F$15),0):$T225),""),""),"")</f>
        <v/>
      </c>
      <c r="BM225" s="190" t="str">
        <f t="shared" ca="1" si="164"/>
        <v/>
      </c>
      <c r="BN225" s="190" t="str">
        <f t="shared" ca="1" si="145"/>
        <v/>
      </c>
      <c r="BO225"/>
      <c r="BP225" s="190" t="str">
        <f ca="1">IF(ISNUMBER(OFFSET(BL225,-$F$21,0)),SUM(OFFSET($T$100,($F$17-$F$15+$F$21),0):$T225),"")</f>
        <v/>
      </c>
      <c r="BQ225" s="190" t="str">
        <f t="shared" ca="1" si="165"/>
        <v/>
      </c>
      <c r="BR225" s="190" t="str">
        <f t="shared" ca="1" si="146"/>
        <v/>
      </c>
      <c r="BS225" s="190"/>
      <c r="BT225"/>
      <c r="BU225"/>
      <c r="BV225"/>
      <c r="BY225" s="99"/>
      <c r="BZ225" s="99"/>
      <c r="CA225" s="280" t="str">
        <f t="shared" si="166"/>
        <v/>
      </c>
      <c r="CB225" s="71" t="str">
        <f t="shared" si="122"/>
        <v>-</v>
      </c>
      <c r="CC225" s="33"/>
      <c r="CD225" s="261" t="str">
        <f t="shared" si="123"/>
        <v/>
      </c>
      <c r="CE225" s="280" t="str">
        <f t="shared" si="167"/>
        <v/>
      </c>
      <c r="CF225" s="71" t="str">
        <f t="shared" ca="1" si="168"/>
        <v/>
      </c>
      <c r="CG225" s="33" t="str">
        <f t="shared" si="126"/>
        <v/>
      </c>
      <c r="CH225" s="261" t="str">
        <f t="shared" ca="1" si="127"/>
        <v/>
      </c>
    </row>
    <row r="226" spans="2:86" ht="13.5" customHeight="1" x14ac:dyDescent="0.2">
      <c r="B226" s="262">
        <v>126</v>
      </c>
      <c r="C226" s="237" t="str">
        <f t="shared" si="91"/>
        <v/>
      </c>
      <c r="D226" s="237" t="str">
        <f t="shared" si="147"/>
        <v/>
      </c>
      <c r="E226" s="263" t="str">
        <f t="shared" si="128"/>
        <v/>
      </c>
      <c r="F226" s="264" t="str">
        <f t="shared" si="129"/>
        <v/>
      </c>
      <c r="G226" s="264" t="str">
        <f t="shared" si="130"/>
        <v/>
      </c>
      <c r="H226" s="240" t="str">
        <f t="shared" si="149"/>
        <v/>
      </c>
      <c r="I226" s="265" t="str">
        <f t="shared" si="150"/>
        <v/>
      </c>
      <c r="J226" s="265" t="str">
        <f t="shared" si="151"/>
        <v/>
      </c>
      <c r="K226" s="240" t="str">
        <f t="shared" si="152"/>
        <v/>
      </c>
      <c r="L226" s="265" t="str">
        <f t="shared" si="153"/>
        <v/>
      </c>
      <c r="M226" s="265" t="str">
        <f t="shared" si="154"/>
        <v/>
      </c>
      <c r="N226" s="240" t="str">
        <f t="shared" si="155"/>
        <v>-</v>
      </c>
      <c r="O226" s="265" t="str">
        <f t="shared" si="156"/>
        <v>-</v>
      </c>
      <c r="P226" s="265" t="str">
        <f t="shared" si="157"/>
        <v>-</v>
      </c>
      <c r="Q226" s="266" t="str">
        <f t="shared" si="158"/>
        <v>-</v>
      </c>
      <c r="R226" s="267" t="str">
        <f t="shared" si="159"/>
        <v>-</v>
      </c>
      <c r="S226" s="268" t="str">
        <f t="shared" si="160"/>
        <v>-</v>
      </c>
      <c r="T226" s="269" t="str">
        <f t="shared" si="104"/>
        <v/>
      </c>
      <c r="U226" s="221">
        <f t="shared" si="105"/>
        <v>126</v>
      </c>
      <c r="V226" s="220" t="str">
        <f t="shared" si="131"/>
        <v>-</v>
      </c>
      <c r="W226" s="221" t="str">
        <f t="shared" si="132"/>
        <v>-</v>
      </c>
      <c r="X226" s="221" t="str">
        <f t="shared" si="106"/>
        <v>-</v>
      </c>
      <c r="Y226" s="221" t="str">
        <f t="shared" si="107"/>
        <v>-</v>
      </c>
      <c r="Z226" s="270">
        <f t="shared" si="133"/>
        <v>0.1</v>
      </c>
      <c r="AA226" s="271" t="str">
        <f>IFERROR(IF(V225=1,AA$100*EXP(-(LN(2)/$D$65+0.04)*X225)*EXP(-(LN(2)/$D$65+0.1)*Y225),IF(V225=2,AA$100*EXP(-(LN(2)/$D$65+0.04)*(VLOOKUP(($F$16-$F$15)-1,U$99:Y225,4,FALSE)))*EXP(-(LN(2)/$D$65+0.1)*(VLOOKUP(($F$16-$F$15)-1,U$99:Y225,5,FALSE)))*EXP(-(LN(2)/$D$65+0.04)*X225)*EXP(-(LN(2)/$D$65+0.1)*Y225),IF(V225=3,AA$100*EXP(-(LN(2)/$D$65+0.04)*(VLOOKUP(($F$16-$F$15)-1,U$99:Y225,4,FALSE)))*EXP(-(LN(2)/$D$65+0.1)*(VLOOKUP(($F$16-$F$15)-1,U$99:Y225,5,FALSE)))*EXP(-(LN(2)/$D$65+0.04)*(VLOOKUP(($F$16-$F$15)*2-1,U$99:Y225,4,FALSE)))*EXP(-(LN(2)/$D$65+0.1)*(VLOOKUP(($F$16-$F$15)*2-1,U$99:Y225,5,FALSE)))*EXP(-(LN(2)/$D$65+0.04)*X225)*EXP(-(LN(2)/$D$65+0.1)*Y225),"-"))),"-")</f>
        <v>-</v>
      </c>
      <c r="AB226" s="271" t="str">
        <f>IFERROR(IF(V226=1,AB$100*EXP(-(LN(2)/$D$65+0.04)*X226)*EXP(-(LN(2)/$D$65+0.1)*Y226),IF(V226=2,AB$100*EXP(-(LN(2)/$D$65+0.04)*(VLOOKUP(($F$16-$F$15)-1,U$100:Y226,4,FALSE)))*EXP(-(LN(2)/$D$65+0.1)*(VLOOKUP(($F$16-$F$15)-1,U$100:Y226,5,FALSE)))*EXP(-(LN(2)/$D$65+0.04)*X226)*EXP(-(LN(2)/$D$65+0.1)*Y226),IF(V226=3,AB$100*EXP(-(LN(2)/$D$65+0.04)*(VLOOKUP(($F$16-$F$15)-1,U$100:Y226,4,FALSE)))*EXP(-(LN(2)/$D$65+0.1)*(VLOOKUP(($F$16-$F$15)-1,U$100:Y226,5,FALSE)))*EXP(-(LN(2)/$D$65+0.04)*(VLOOKUP(($F$16-$F$15)*2-1,U$100:Y226,4,FALSE)))*EXP(-(LN(2)/$D$65+0.1)*(VLOOKUP(($F$16-$F$15)*2-1,U$100:Y226,5,FALSE)))*EXP(-(LN(2)/$D$65+0.04)*X226)*EXP(-(LN(2)/$D$65+0.1)*Y226),"-"))),"-")</f>
        <v>-</v>
      </c>
      <c r="AC226" s="224">
        <f t="shared" si="134"/>
        <v>126</v>
      </c>
      <c r="AD226" s="223" t="str">
        <f t="shared" si="108"/>
        <v>-</v>
      </c>
      <c r="AE226" s="224" t="str">
        <f t="shared" si="135"/>
        <v>-</v>
      </c>
      <c r="AF226" s="224" t="str">
        <f t="shared" si="109"/>
        <v>-</v>
      </c>
      <c r="AG226" s="224" t="str">
        <f t="shared" si="110"/>
        <v>-</v>
      </c>
      <c r="AH226" s="272">
        <f t="shared" si="136"/>
        <v>0.1</v>
      </c>
      <c r="AI226" s="271" t="str">
        <f>IFERROR(IF(AD225=1,AI$100*EXP(-(LN(2)/$D$65+0.04)*AF225)*EXP(-(LN(2)/$D$65+0.1)*AG225),IF(AD225=2,AI$100*EXP(-(LN(2)/$D$65+0.04)*(VLOOKUP(($F$16-$F$15)-1,AC$99:AG225,4,FALSE)))*EXP(-(LN(2)/$D$65+0.1)*(VLOOKUP(($F$16-$F$15)-1,AC$99:AG225,5,FALSE)))*EXP(-(LN(2)/$D$65+0.04)*AF225)*EXP(-(LN(2)/$D$65+0.1)*AG225),IF(AD225=3,AI$100*EXP(-(LN(2)/$D$65+0.04)*(VLOOKUP(($F$16-$F$15)-1,AC$99:AG225,4,FALSE)))*EXP(-(LN(2)/$D$65+0.1)*(VLOOKUP(($F$16-$F$15)-1,AC$99:AG225,5,FALSE)))*EXP(-(LN(2)/$D$65+0.04)*(VLOOKUP(($F$16-$F$15)*2-1,AC$99:AG225,4,FALSE)))*EXP(-(LN(2)/$D$65+0.1)*(VLOOKUP(($F$16-$F$15)*2-1,AC$99:AG225,5,FALSE)))*EXP(-(LN(2)/$D$65+0.04)*AF225)*EXP(-(LN(2)/$D$65+0.1)*AG225),"-"))),"-")</f>
        <v>-</v>
      </c>
      <c r="AJ226" s="271" t="str">
        <f>IFERROR(IF(AD226=1,AJ$100*EXP(-(LN(2)/$D$65+0.04)*AF226)*EXP(-(LN(2)/$D$65+0.1)*AG226),IF(AD226=2,AJ$100*EXP(-(LN(2)/$D$65+0.04)*(VLOOKUP(($F$16-$F$15)-1,AC$100:AG226,4,FALSE)))*EXP(-(LN(2)/$D$65+0.1)*(VLOOKUP(($F$16-$F$15)-1,AC$100:AG226,5,FALSE)))*EXP(-(LN(2)/$D$65+0.04)*AF226)*EXP(-(LN(2)/$D$65+0.1)*AG226),IF(AD226=3,AJ$100*EXP(-(LN(2)/$D$65+0.04)*(VLOOKUP(($F$16-$F$15)-1,AC$100:AG226,4,FALSE)))*EXP(-(LN(2)/$D$65+0.1)*(VLOOKUP(($F$16-$F$15)-1,AC$100:AG226,5,FALSE)))*EXP(-(LN(2)/$D$65+0.04)*(VLOOKUP(($F$16-$F$15)*2-1,AC$100:AG226,4,FALSE)))*EXP(-(LN(2)/$D$65+0.1)*(VLOOKUP(($F$16-$F$15)*2-1,AC$100:AG226,5,FALSE)))*EXP(-(LN(2)/$D$65+0.04)*AF226)*EXP(-(LN(2)/$D$65+0.1)*AG226),"-"))),"-")</f>
        <v>-</v>
      </c>
      <c r="AK226" s="227">
        <f t="shared" si="137"/>
        <v>126</v>
      </c>
      <c r="AL226" s="226" t="str">
        <f t="shared" si="111"/>
        <v>-</v>
      </c>
      <c r="AM226" s="227" t="str">
        <f t="shared" si="138"/>
        <v>-</v>
      </c>
      <c r="AN226" s="227" t="str">
        <f t="shared" si="139"/>
        <v>-</v>
      </c>
      <c r="AO226" s="227" t="str">
        <f t="shared" si="112"/>
        <v>-</v>
      </c>
      <c r="AP226" s="273">
        <f t="shared" si="140"/>
        <v>0.1</v>
      </c>
      <c r="AQ226" s="271" t="str">
        <f>IFERROR(IF(AL225=1,AQ$100*EXP(-(LN(2)/$D$65+0.04)*AN225)*EXP(-(LN(2)/$D$65+0.1)*AO225),IF(AL225=2,AQ$100*EXP(-(LN(2)/$D$65+0.04)*(VLOOKUP(($F$16-$F$15)-1,AK$99:AO225,4,FALSE)))*EXP(-(LN(2)/$D$65+0.1)*(VLOOKUP(($F$16-$F$15)-1,AK$99:AO225,5,FALSE)))*EXP(-(LN(2)/$D$65+0.04)*AN225)*EXP(-(LN(2)/$D$65+0.1)*AO225),IF(AL225=3,AQ$100*EXP(-(LN(2)/$D$65+0.04)*(VLOOKUP(($F$16-$F$15)-1,AK$99:AO225,4,FALSE)))*EXP(-(LN(2)/$D$65+0.1)*(VLOOKUP(($F$16-$F$15)-1,AK$99:AO225,5,FALSE)))*EXP(-(LN(2)/$D$65+0.04)*(VLOOKUP(($F$16-$F$15)*2-1,AK$99:AO225,4,FALSE)))*EXP(-(LN(2)/$D$65+0.1)*(VLOOKUP(($F$16-$F$15)*2-1,AK$99:AO225,5,FALSE)))*EXP(-(LN(2)/$D$65+0.04)*AN225)*EXP(-(LN(2)/$D$65+0.1)*AO225),"-"))),"-")</f>
        <v>-</v>
      </c>
      <c r="AR226" s="271" t="str">
        <f>IFERROR(IF(AL226=1,AR$100*EXP(-(LN(2)/$D$65+0.04)*AN226)*EXP(-(LN(2)/$D$65+0.1)*AO226),IF(AL226=2,AR$100*EXP(-(LN(2)/$D$65+0.04)*(VLOOKUP(($F$16-$F$15)-1,AK$100:AO226,4,FALSE)))*EXP(-(LN(2)/$D$65+0.1)*(VLOOKUP(($F$16-$F$15)-1,AK$100:AO226,5,FALSE)))*EXP(-(LN(2)/$D$65+0.04)*AN226)*EXP(-(LN(2)/$D$65+0.1)*AO226),IF(AL226=3,AR$100*EXP(-(LN(2)/$D$65+0.04)*(VLOOKUP(($F$16-$F$15)-1,AK$100:AO226,4,FALSE)))*EXP(-(LN(2)/$D$65+0.1)*(VLOOKUP(($F$16-$F$15)-1,AK$100:AO226,5,FALSE)))*EXP(-(LN(2)/$D$65+0.04)*(VLOOKUP(($F$16-$F$15)*2-1,AK$100:AO226,4,FALSE)))*EXP(-(LN(2)/$D$65+0.1)*(VLOOKUP(($F$16-$F$15)*2-1,AK$100:AO226,5,FALSE)))*EXP(-(LN(2)/$D$65+0.04)*AN226)*EXP(-(LN(2)/$D$65+0.1)*AO226),"-"))),"-")</f>
        <v>-</v>
      </c>
      <c r="AS226" s="274">
        <f t="shared" si="113"/>
        <v>0</v>
      </c>
      <c r="AT226" s="274">
        <f t="shared" si="114"/>
        <v>0</v>
      </c>
      <c r="AU226" s="274">
        <f t="shared" si="115"/>
        <v>0</v>
      </c>
      <c r="AV226" s="190" t="str">
        <f>IF($B226&lt;$F$22,SUM($T$100:$T226),"")</f>
        <v/>
      </c>
      <c r="AW226" s="190" t="str">
        <f t="shared" si="161"/>
        <v>-</v>
      </c>
      <c r="AX226" s="190" t="str">
        <f t="shared" si="141"/>
        <v/>
      </c>
      <c r="AY226"/>
      <c r="AZ226" s="190" t="str">
        <f ca="1">IF(ISNUMBER(OFFSET(AV226,-$F$21,0)),SUM(OFFSET($T$100,$F$21,0):$T226),"")</f>
        <v/>
      </c>
      <c r="BA226" s="190" t="str">
        <f t="shared" ca="1" si="162"/>
        <v/>
      </c>
      <c r="BB226" s="190" t="str">
        <f t="shared" ca="1" si="148"/>
        <v/>
      </c>
      <c r="BC226" s="190"/>
      <c r="BD226" s="190" t="str">
        <f ca="1">IFERROR(IF(OR(ISNUMBER(I),ISNUMBER($F$14)),IF(AND($B226&gt;=($F$16-$F$15),$B226&lt;$F$22+($F$16-$F$15)),SUM(OFFSET($T$100,($F$16-$F$15),0):$T226),""),""),"")</f>
        <v/>
      </c>
      <c r="BE226" s="190" t="str">
        <f t="shared" ca="1" si="142"/>
        <v/>
      </c>
      <c r="BF226" s="190" t="str">
        <f t="shared" ca="1" si="143"/>
        <v/>
      </c>
      <c r="BG226"/>
      <c r="BH226" s="190" t="str">
        <f ca="1">IF(ISNUMBER(OFFSET(BD226,-$F$21,0)),SUM(OFFSET($T$100,($F$16-$F$15+$F$21),0):$T226),"")</f>
        <v/>
      </c>
      <c r="BI226" s="190" t="str">
        <f t="shared" ca="1" si="163"/>
        <v/>
      </c>
      <c r="BJ226" s="190" t="str">
        <f t="shared" ca="1" si="144"/>
        <v/>
      </c>
      <c r="BK226" s="190"/>
      <c r="BL226" s="190" t="str">
        <f ca="1">IFERROR(IF(OR(ISNUMBER(I),ISNUMBER($F$14)),IF(AND($B226&gt;=($F$17-$F$15),$B226&lt;$F$22+($F$17-$F$15)),SUM(OFFSET($T$100,($F$17-$F$15),0):$T226),""),""),"")</f>
        <v/>
      </c>
      <c r="BM226" s="190" t="str">
        <f t="shared" ca="1" si="164"/>
        <v/>
      </c>
      <c r="BN226" s="190" t="str">
        <f t="shared" ca="1" si="145"/>
        <v/>
      </c>
      <c r="BO226"/>
      <c r="BP226" s="190" t="str">
        <f ca="1">IF(ISNUMBER(OFFSET(BL226,-$F$21,0)),SUM(OFFSET($T$100,($F$17-$F$15+$F$21),0):$T226),"")</f>
        <v/>
      </c>
      <c r="BQ226" s="190" t="str">
        <f t="shared" ca="1" si="165"/>
        <v/>
      </c>
      <c r="BR226" s="190" t="str">
        <f t="shared" ca="1" si="146"/>
        <v/>
      </c>
      <c r="BS226" s="190"/>
      <c r="BT226"/>
      <c r="BU226"/>
      <c r="BV226"/>
      <c r="BY226" s="99"/>
      <c r="BZ226" s="99"/>
      <c r="CA226" s="280" t="str">
        <f t="shared" si="166"/>
        <v/>
      </c>
      <c r="CB226" s="71" t="str">
        <f t="shared" si="122"/>
        <v>-</v>
      </c>
      <c r="CC226" s="33"/>
      <c r="CD226" s="261" t="str">
        <f t="shared" si="123"/>
        <v/>
      </c>
      <c r="CE226" s="280" t="str">
        <f t="shared" si="167"/>
        <v/>
      </c>
      <c r="CF226" s="71" t="str">
        <f t="shared" ca="1" si="168"/>
        <v/>
      </c>
      <c r="CG226" s="33" t="str">
        <f t="shared" si="126"/>
        <v/>
      </c>
      <c r="CH226" s="261" t="str">
        <f t="shared" ca="1" si="127"/>
        <v/>
      </c>
    </row>
    <row r="227" spans="2:86" ht="13.5" customHeight="1" x14ac:dyDescent="0.2">
      <c r="B227" s="262">
        <v>127</v>
      </c>
      <c r="C227" s="237" t="str">
        <f t="shared" si="91"/>
        <v/>
      </c>
      <c r="D227" s="237" t="str">
        <f t="shared" si="147"/>
        <v/>
      </c>
      <c r="E227" s="263" t="str">
        <f t="shared" si="128"/>
        <v/>
      </c>
      <c r="F227" s="264" t="str">
        <f t="shared" si="129"/>
        <v/>
      </c>
      <c r="G227" s="264" t="str">
        <f t="shared" si="130"/>
        <v/>
      </c>
      <c r="H227" s="240" t="str">
        <f t="shared" si="149"/>
        <v/>
      </c>
      <c r="I227" s="265" t="str">
        <f t="shared" si="150"/>
        <v/>
      </c>
      <c r="J227" s="265" t="str">
        <f t="shared" si="151"/>
        <v/>
      </c>
      <c r="K227" s="240" t="str">
        <f t="shared" si="152"/>
        <v/>
      </c>
      <c r="L227" s="265" t="str">
        <f t="shared" si="153"/>
        <v/>
      </c>
      <c r="M227" s="265" t="str">
        <f t="shared" si="154"/>
        <v/>
      </c>
      <c r="N227" s="240" t="str">
        <f t="shared" si="155"/>
        <v>-</v>
      </c>
      <c r="O227" s="265" t="str">
        <f t="shared" si="156"/>
        <v>-</v>
      </c>
      <c r="P227" s="265" t="str">
        <f t="shared" si="157"/>
        <v>-</v>
      </c>
      <c r="Q227" s="266" t="str">
        <f t="shared" si="158"/>
        <v>-</v>
      </c>
      <c r="R227" s="267" t="str">
        <f t="shared" si="159"/>
        <v>-</v>
      </c>
      <c r="S227" s="268" t="str">
        <f t="shared" si="160"/>
        <v>-</v>
      </c>
      <c r="T227" s="269" t="str">
        <f t="shared" si="104"/>
        <v/>
      </c>
      <c r="U227" s="221">
        <f t="shared" si="105"/>
        <v>127</v>
      </c>
      <c r="V227" s="220" t="str">
        <f t="shared" si="131"/>
        <v>-</v>
      </c>
      <c r="W227" s="221" t="str">
        <f t="shared" si="132"/>
        <v>-</v>
      </c>
      <c r="X227" s="221" t="str">
        <f t="shared" si="106"/>
        <v>-</v>
      </c>
      <c r="Y227" s="221" t="str">
        <f t="shared" si="107"/>
        <v>-</v>
      </c>
      <c r="Z227" s="270">
        <f t="shared" si="133"/>
        <v>0.1</v>
      </c>
      <c r="AA227" s="271" t="str">
        <f>IFERROR(IF(V226=1,AA$100*EXP(-(LN(2)/$D$65+0.04)*X226)*EXP(-(LN(2)/$D$65+0.1)*Y226),IF(V226=2,AA$100*EXP(-(LN(2)/$D$65+0.04)*(VLOOKUP(($F$16-$F$15)-1,U$99:Y226,4,FALSE)))*EXP(-(LN(2)/$D$65+0.1)*(VLOOKUP(($F$16-$F$15)-1,U$99:Y226,5,FALSE)))*EXP(-(LN(2)/$D$65+0.04)*X226)*EXP(-(LN(2)/$D$65+0.1)*Y226),IF(V226=3,AA$100*EXP(-(LN(2)/$D$65+0.04)*(VLOOKUP(($F$16-$F$15)-1,U$99:Y226,4,FALSE)))*EXP(-(LN(2)/$D$65+0.1)*(VLOOKUP(($F$16-$F$15)-1,U$99:Y226,5,FALSE)))*EXP(-(LN(2)/$D$65+0.04)*(VLOOKUP(($F$16-$F$15)*2-1,U$99:Y226,4,FALSE)))*EXP(-(LN(2)/$D$65+0.1)*(VLOOKUP(($F$16-$F$15)*2-1,U$99:Y226,5,FALSE)))*EXP(-(LN(2)/$D$65+0.04)*X226)*EXP(-(LN(2)/$D$65+0.1)*Y226),"-"))),"-")</f>
        <v>-</v>
      </c>
      <c r="AB227" s="271" t="str">
        <f>IFERROR(IF(V227=1,AB$100*EXP(-(LN(2)/$D$65+0.04)*X227)*EXP(-(LN(2)/$D$65+0.1)*Y227),IF(V227=2,AB$100*EXP(-(LN(2)/$D$65+0.04)*(VLOOKUP(($F$16-$F$15)-1,U$100:Y227,4,FALSE)))*EXP(-(LN(2)/$D$65+0.1)*(VLOOKUP(($F$16-$F$15)-1,U$100:Y227,5,FALSE)))*EXP(-(LN(2)/$D$65+0.04)*X227)*EXP(-(LN(2)/$D$65+0.1)*Y227),IF(V227=3,AB$100*EXP(-(LN(2)/$D$65+0.04)*(VLOOKUP(($F$16-$F$15)-1,U$100:Y227,4,FALSE)))*EXP(-(LN(2)/$D$65+0.1)*(VLOOKUP(($F$16-$F$15)-1,U$100:Y227,5,FALSE)))*EXP(-(LN(2)/$D$65+0.04)*(VLOOKUP(($F$16-$F$15)*2-1,U$100:Y227,4,FALSE)))*EXP(-(LN(2)/$D$65+0.1)*(VLOOKUP(($F$16-$F$15)*2-1,U$100:Y227,5,FALSE)))*EXP(-(LN(2)/$D$65+0.04)*X227)*EXP(-(LN(2)/$D$65+0.1)*Y227),"-"))),"-")</f>
        <v>-</v>
      </c>
      <c r="AC227" s="224">
        <f t="shared" si="134"/>
        <v>127</v>
      </c>
      <c r="AD227" s="223" t="str">
        <f t="shared" si="108"/>
        <v>-</v>
      </c>
      <c r="AE227" s="224" t="str">
        <f t="shared" si="135"/>
        <v>-</v>
      </c>
      <c r="AF227" s="224" t="str">
        <f t="shared" si="109"/>
        <v>-</v>
      </c>
      <c r="AG227" s="224" t="str">
        <f t="shared" si="110"/>
        <v>-</v>
      </c>
      <c r="AH227" s="272">
        <f t="shared" si="136"/>
        <v>0.1</v>
      </c>
      <c r="AI227" s="271" t="str">
        <f>IFERROR(IF(AD226=1,AI$100*EXP(-(LN(2)/$D$65+0.04)*AF226)*EXP(-(LN(2)/$D$65+0.1)*AG226),IF(AD226=2,AI$100*EXP(-(LN(2)/$D$65+0.04)*(VLOOKUP(($F$16-$F$15)-1,AC$99:AG226,4,FALSE)))*EXP(-(LN(2)/$D$65+0.1)*(VLOOKUP(($F$16-$F$15)-1,AC$99:AG226,5,FALSE)))*EXP(-(LN(2)/$D$65+0.04)*AF226)*EXP(-(LN(2)/$D$65+0.1)*AG226),IF(AD226=3,AI$100*EXP(-(LN(2)/$D$65+0.04)*(VLOOKUP(($F$16-$F$15)-1,AC$99:AG226,4,FALSE)))*EXP(-(LN(2)/$D$65+0.1)*(VLOOKUP(($F$16-$F$15)-1,AC$99:AG226,5,FALSE)))*EXP(-(LN(2)/$D$65+0.04)*(VLOOKUP(($F$16-$F$15)*2-1,AC$99:AG226,4,FALSE)))*EXP(-(LN(2)/$D$65+0.1)*(VLOOKUP(($F$16-$F$15)*2-1,AC$99:AG226,5,FALSE)))*EXP(-(LN(2)/$D$65+0.04)*AF226)*EXP(-(LN(2)/$D$65+0.1)*AG226),"-"))),"-")</f>
        <v>-</v>
      </c>
      <c r="AJ227" s="271" t="str">
        <f>IFERROR(IF(AD227=1,AJ$100*EXP(-(LN(2)/$D$65+0.04)*AF227)*EXP(-(LN(2)/$D$65+0.1)*AG227),IF(AD227=2,AJ$100*EXP(-(LN(2)/$D$65+0.04)*(VLOOKUP(($F$16-$F$15)-1,AC$100:AG227,4,FALSE)))*EXP(-(LN(2)/$D$65+0.1)*(VLOOKUP(($F$16-$F$15)-1,AC$100:AG227,5,FALSE)))*EXP(-(LN(2)/$D$65+0.04)*AF227)*EXP(-(LN(2)/$D$65+0.1)*AG227),IF(AD227=3,AJ$100*EXP(-(LN(2)/$D$65+0.04)*(VLOOKUP(($F$16-$F$15)-1,AC$100:AG227,4,FALSE)))*EXP(-(LN(2)/$D$65+0.1)*(VLOOKUP(($F$16-$F$15)-1,AC$100:AG227,5,FALSE)))*EXP(-(LN(2)/$D$65+0.04)*(VLOOKUP(($F$16-$F$15)*2-1,AC$100:AG227,4,FALSE)))*EXP(-(LN(2)/$D$65+0.1)*(VLOOKUP(($F$16-$F$15)*2-1,AC$100:AG227,5,FALSE)))*EXP(-(LN(2)/$D$65+0.04)*AF227)*EXP(-(LN(2)/$D$65+0.1)*AG227),"-"))),"-")</f>
        <v>-</v>
      </c>
      <c r="AK227" s="227">
        <f t="shared" si="137"/>
        <v>127</v>
      </c>
      <c r="AL227" s="226" t="str">
        <f t="shared" si="111"/>
        <v>-</v>
      </c>
      <c r="AM227" s="227" t="str">
        <f t="shared" si="138"/>
        <v>-</v>
      </c>
      <c r="AN227" s="227" t="str">
        <f t="shared" si="139"/>
        <v>-</v>
      </c>
      <c r="AO227" s="227" t="str">
        <f t="shared" si="112"/>
        <v>-</v>
      </c>
      <c r="AP227" s="273">
        <f t="shared" si="140"/>
        <v>0.1</v>
      </c>
      <c r="AQ227" s="271" t="str">
        <f>IFERROR(IF(AL226=1,AQ$100*EXP(-(LN(2)/$D$65+0.04)*AN226)*EXP(-(LN(2)/$D$65+0.1)*AO226),IF(AL226=2,AQ$100*EXP(-(LN(2)/$D$65+0.04)*(VLOOKUP(($F$16-$F$15)-1,AK$99:AO226,4,FALSE)))*EXP(-(LN(2)/$D$65+0.1)*(VLOOKUP(($F$16-$F$15)-1,AK$99:AO226,5,FALSE)))*EXP(-(LN(2)/$D$65+0.04)*AN226)*EXP(-(LN(2)/$D$65+0.1)*AO226),IF(AL226=3,AQ$100*EXP(-(LN(2)/$D$65+0.04)*(VLOOKUP(($F$16-$F$15)-1,AK$99:AO226,4,FALSE)))*EXP(-(LN(2)/$D$65+0.1)*(VLOOKUP(($F$16-$F$15)-1,AK$99:AO226,5,FALSE)))*EXP(-(LN(2)/$D$65+0.04)*(VLOOKUP(($F$16-$F$15)*2-1,AK$99:AO226,4,FALSE)))*EXP(-(LN(2)/$D$65+0.1)*(VLOOKUP(($F$16-$F$15)*2-1,AK$99:AO226,5,FALSE)))*EXP(-(LN(2)/$D$65+0.04)*AN226)*EXP(-(LN(2)/$D$65+0.1)*AO226),"-"))),"-")</f>
        <v>-</v>
      </c>
      <c r="AR227" s="271" t="str">
        <f>IFERROR(IF(AL227=1,AR$100*EXP(-(LN(2)/$D$65+0.04)*AN227)*EXP(-(LN(2)/$D$65+0.1)*AO227),IF(AL227=2,AR$100*EXP(-(LN(2)/$D$65+0.04)*(VLOOKUP(($F$16-$F$15)-1,AK$100:AO227,4,FALSE)))*EXP(-(LN(2)/$D$65+0.1)*(VLOOKUP(($F$16-$F$15)-1,AK$100:AO227,5,FALSE)))*EXP(-(LN(2)/$D$65+0.04)*AN227)*EXP(-(LN(2)/$D$65+0.1)*AO227),IF(AL227=3,AR$100*EXP(-(LN(2)/$D$65+0.04)*(VLOOKUP(($F$16-$F$15)-1,AK$100:AO227,4,FALSE)))*EXP(-(LN(2)/$D$65+0.1)*(VLOOKUP(($F$16-$F$15)-1,AK$100:AO227,5,FALSE)))*EXP(-(LN(2)/$D$65+0.04)*(VLOOKUP(($F$16-$F$15)*2-1,AK$100:AO227,4,FALSE)))*EXP(-(LN(2)/$D$65+0.1)*(VLOOKUP(($F$16-$F$15)*2-1,AK$100:AO227,5,FALSE)))*EXP(-(LN(2)/$D$65+0.04)*AN227)*EXP(-(LN(2)/$D$65+0.1)*AO227),"-"))),"-")</f>
        <v>-</v>
      </c>
      <c r="AS227" s="274">
        <f t="shared" si="113"/>
        <v>0</v>
      </c>
      <c r="AT227" s="274">
        <f t="shared" si="114"/>
        <v>0</v>
      </c>
      <c r="AU227" s="274">
        <f t="shared" si="115"/>
        <v>0</v>
      </c>
      <c r="AV227" s="190" t="str">
        <f>IF($B227&lt;$F$22,SUM($T$100:$T227),"")</f>
        <v/>
      </c>
      <c r="AW227" s="190" t="str">
        <f t="shared" si="161"/>
        <v>-</v>
      </c>
      <c r="AX227" s="190" t="str">
        <f t="shared" si="141"/>
        <v/>
      </c>
      <c r="AY227"/>
      <c r="AZ227" s="190" t="str">
        <f ca="1">IF(ISNUMBER(OFFSET(AV227,-$F$21,0)),SUM(OFFSET($T$100,$F$21,0):$T227),"")</f>
        <v/>
      </c>
      <c r="BA227" s="190" t="str">
        <f t="shared" ca="1" si="162"/>
        <v/>
      </c>
      <c r="BB227" s="190" t="str">
        <f t="shared" ca="1" si="148"/>
        <v/>
      </c>
      <c r="BC227" s="190"/>
      <c r="BD227" s="190" t="str">
        <f ca="1">IFERROR(IF(OR(ISNUMBER(I),ISNUMBER($F$14)),IF(AND($B227&gt;=($F$16-$F$15),$B227&lt;$F$22+($F$16-$F$15)),SUM(OFFSET($T$100,($F$16-$F$15),0):$T227),""),""),"")</f>
        <v/>
      </c>
      <c r="BE227" s="190" t="str">
        <f t="shared" ca="1" si="142"/>
        <v/>
      </c>
      <c r="BF227" s="190" t="str">
        <f t="shared" ca="1" si="143"/>
        <v/>
      </c>
      <c r="BG227"/>
      <c r="BH227" s="190" t="str">
        <f ca="1">IF(ISNUMBER(OFFSET(BD227,-$F$21,0)),SUM(OFFSET($T$100,($F$16-$F$15+$F$21),0):$T227),"")</f>
        <v/>
      </c>
      <c r="BI227" s="190" t="str">
        <f t="shared" ca="1" si="163"/>
        <v/>
      </c>
      <c r="BJ227" s="190" t="str">
        <f t="shared" ca="1" si="144"/>
        <v/>
      </c>
      <c r="BK227" s="190"/>
      <c r="BL227" s="190" t="str">
        <f ca="1">IFERROR(IF(OR(ISNUMBER(I),ISNUMBER($F$14)),IF(AND($B227&gt;=($F$17-$F$15),$B227&lt;$F$22+($F$17-$F$15)),SUM(OFFSET($T$100,($F$17-$F$15),0):$T227),""),""),"")</f>
        <v/>
      </c>
      <c r="BM227" s="190" t="str">
        <f t="shared" ca="1" si="164"/>
        <v/>
      </c>
      <c r="BN227" s="190" t="str">
        <f t="shared" ca="1" si="145"/>
        <v/>
      </c>
      <c r="BO227"/>
      <c r="BP227" s="190" t="str">
        <f ca="1">IF(ISNUMBER(OFFSET(BL227,-$F$21,0)),SUM(OFFSET($T$100,($F$17-$F$15+$F$21),0):$T227),"")</f>
        <v/>
      </c>
      <c r="BQ227" s="190" t="str">
        <f t="shared" ca="1" si="165"/>
        <v/>
      </c>
      <c r="BR227" s="190" t="str">
        <f t="shared" ca="1" si="146"/>
        <v/>
      </c>
      <c r="BS227" s="190"/>
      <c r="BT227"/>
      <c r="BU227"/>
      <c r="BV227"/>
      <c r="BY227" s="99"/>
      <c r="BZ227" s="99"/>
      <c r="CA227" s="280" t="str">
        <f t="shared" si="166"/>
        <v/>
      </c>
      <c r="CB227" s="71" t="str">
        <f t="shared" si="122"/>
        <v>-</v>
      </c>
      <c r="CC227" s="33"/>
      <c r="CD227" s="261" t="str">
        <f t="shared" si="123"/>
        <v/>
      </c>
      <c r="CE227" s="280" t="str">
        <f t="shared" si="167"/>
        <v/>
      </c>
      <c r="CF227" s="71" t="str">
        <f t="shared" ca="1" si="168"/>
        <v/>
      </c>
      <c r="CG227" s="33" t="str">
        <f t="shared" si="126"/>
        <v/>
      </c>
      <c r="CH227" s="261" t="str">
        <f t="shared" ca="1" si="127"/>
        <v/>
      </c>
    </row>
    <row r="228" spans="2:86" ht="13.5" customHeight="1" x14ac:dyDescent="0.2">
      <c r="B228" s="262">
        <v>128</v>
      </c>
      <c r="C228" s="237" t="str">
        <f t="shared" ref="C228:C250" si="169">IF(ISERROR(VLOOKUP(B228,$B$39:$C$73,2,0)),"",VLOOKUP(B228,$B$39:$C$73,2,0))</f>
        <v/>
      </c>
      <c r="D228" s="237" t="str">
        <f t="shared" si="147"/>
        <v/>
      </c>
      <c r="E228" s="263" t="str">
        <f t="shared" si="128"/>
        <v/>
      </c>
      <c r="F228" s="264" t="str">
        <f t="shared" si="129"/>
        <v/>
      </c>
      <c r="G228" s="264" t="str">
        <f t="shared" si="130"/>
        <v/>
      </c>
      <c r="H228" s="240" t="str">
        <f t="shared" ref="H228:H250" si="170">IF(E228&lt;&gt;"",IF($B228&lt;$F$21,"",IF(ISNUMBER(F228),IF(ISNUMBER(I228),(E228*30*50*ffp),""),(E228*30*50*ffp))),"")</f>
        <v/>
      </c>
      <c r="I228" s="265" t="str">
        <f t="shared" ref="I228:I250" si="171">IFERROR(IF(F228&lt;&gt;"",IF($B228&lt;$F$21+$F$16,"",IF(ISNUMBER(G228),IF(ISNUMBER(J228),(F228*30*50*ffp),""),(F228*30*50*ffp))),""),"")</f>
        <v/>
      </c>
      <c r="J228" s="265" t="str">
        <f t="shared" ref="J228:J250" si="172">IFERROR(IF(G228&lt;&gt;"",IF($B228&lt;$F$21+$F$17,"",(G228*30*50*ffp)),""),"")</f>
        <v/>
      </c>
      <c r="K228" s="240" t="str">
        <f t="shared" ref="K228:K250" si="173">IF(E228&lt;&gt;"",((E228*20*50*ffp)/Klevee),"")</f>
        <v/>
      </c>
      <c r="L228" s="265" t="str">
        <f t="shared" ref="L228:L250" si="174">IF(ISNUMBER(F228),((F228*20*50*ffp)/Klevee),"")</f>
        <v/>
      </c>
      <c r="M228" s="265" t="str">
        <f t="shared" ref="M228:M250" si="175">IF(ISNUMBER(G228),((G228*20*50*ffp)/Klevee),"")</f>
        <v/>
      </c>
      <c r="N228" s="240" t="str">
        <f t="shared" ref="N228:N250" si="176">IF(AND(ISNUMBER(I),ISNUMBER($F$14),ISNUMBER($F$20)),IF($B228=0,I*($J$40/100)*$J$42*1,""),"-")</f>
        <v>-</v>
      </c>
      <c r="O228" s="265" t="str">
        <f t="shared" ref="O228:O250" si="177">IF(ISNUMBER($F$14),IF($F$14&gt;1,IF($B228=0+$F$16,I*($J$40/100)*$J$42*1,""),""),"-")</f>
        <v>-</v>
      </c>
      <c r="P228" s="265" t="str">
        <f t="shared" ref="P228:P250" si="178">IF(ISNUMBER($F$14),IF($F$14&gt;2,IF($B228=0+$F$17,I*($J$40/100)*$J$42*1,""),""),"-")</f>
        <v>-</v>
      </c>
      <c r="Q228" s="266" t="str">
        <f t="shared" ref="Q228:Q250" si="179">IF(AND(ISNUMBER(I),ISNUMBER($F$14),ISNUMBER($F$20)),IF($B228=0,I*(dt/100)*$J$45*1,""),"-")</f>
        <v>-</v>
      </c>
      <c r="R228" s="267" t="str">
        <f t="shared" ref="R228:R250" si="180">IF(ISNUMBER($F$14),IF($F$14&gt;1,IF($B228=0+$F$16,I*(dt/100)*$J$45*1,""),""),"-")</f>
        <v>-</v>
      </c>
      <c r="S228" s="268" t="str">
        <f t="shared" ref="S228:S250" si="181">IF(ISNUMBER($F$14),IF($F$14&gt;2,IF($B228=0+$F$17,I*(dt/100)*$J$45*1,""),""),"-")</f>
        <v>-</v>
      </c>
      <c r="T228" s="269" t="str">
        <f t="shared" ref="T228:T250" si="182">IF(SUM(H228:S228)=0,"",SUM(H228:S228))</f>
        <v/>
      </c>
      <c r="U228" s="221">
        <f t="shared" ref="U228:U250" si="183">B228</f>
        <v>128</v>
      </c>
      <c r="V228" s="220" t="str">
        <f t="shared" si="131"/>
        <v>-</v>
      </c>
      <c r="W228" s="221" t="str">
        <f t="shared" si="132"/>
        <v>-</v>
      </c>
      <c r="X228" s="221" t="str">
        <f t="shared" ref="X228:X250" si="184">IFERROR(IF($F$21=0,0,IF(V228=V227,IF(B228-(V228-1)*($F$16-$F$15)&lt;$F$21,X227+1,X227),1)),"-")</f>
        <v>-</v>
      </c>
      <c r="Y228" s="221" t="str">
        <f t="shared" ref="Y228:Y250" si="185">IFERROR(W228-X228,"-")</f>
        <v>-</v>
      </c>
      <c r="Z228" s="270">
        <f t="shared" si="133"/>
        <v>0.1</v>
      </c>
      <c r="AA228" s="271" t="str">
        <f>IFERROR(IF(V227=1,AA$100*EXP(-(LN(2)/$D$65+0.04)*X227)*EXP(-(LN(2)/$D$65+0.1)*Y227),IF(V227=2,AA$100*EXP(-(LN(2)/$D$65+0.04)*(VLOOKUP(($F$16-$F$15)-1,U$99:Y227,4,FALSE)))*EXP(-(LN(2)/$D$65+0.1)*(VLOOKUP(($F$16-$F$15)-1,U$99:Y227,5,FALSE)))*EXP(-(LN(2)/$D$65+0.04)*X227)*EXP(-(LN(2)/$D$65+0.1)*Y227),IF(V227=3,AA$100*EXP(-(LN(2)/$D$65+0.04)*(VLOOKUP(($F$16-$F$15)-1,U$99:Y227,4,FALSE)))*EXP(-(LN(2)/$D$65+0.1)*(VLOOKUP(($F$16-$F$15)-1,U$99:Y227,5,FALSE)))*EXP(-(LN(2)/$D$65+0.04)*(VLOOKUP(($F$16-$F$15)*2-1,U$99:Y227,4,FALSE)))*EXP(-(LN(2)/$D$65+0.1)*(VLOOKUP(($F$16-$F$15)*2-1,U$99:Y227,5,FALSE)))*EXP(-(LN(2)/$D$65+0.04)*X227)*EXP(-(LN(2)/$D$65+0.1)*Y227),"-"))),"-")</f>
        <v>-</v>
      </c>
      <c r="AB228" s="271" t="str">
        <f>IFERROR(IF(V228=1,AB$100*EXP(-(LN(2)/$D$65+0.04)*X228)*EXP(-(LN(2)/$D$65+0.1)*Y228),IF(V228=2,AB$100*EXP(-(LN(2)/$D$65+0.04)*(VLOOKUP(($F$16-$F$15)-1,U$100:Y228,4,FALSE)))*EXP(-(LN(2)/$D$65+0.1)*(VLOOKUP(($F$16-$F$15)-1,U$100:Y228,5,FALSE)))*EXP(-(LN(2)/$D$65+0.04)*X228)*EXP(-(LN(2)/$D$65+0.1)*Y228),IF(V228=3,AB$100*EXP(-(LN(2)/$D$65+0.04)*(VLOOKUP(($F$16-$F$15)-1,U$100:Y228,4,FALSE)))*EXP(-(LN(2)/$D$65+0.1)*(VLOOKUP(($F$16-$F$15)-1,U$100:Y228,5,FALSE)))*EXP(-(LN(2)/$D$65+0.04)*(VLOOKUP(($F$16-$F$15)*2-1,U$100:Y228,4,FALSE)))*EXP(-(LN(2)/$D$65+0.1)*(VLOOKUP(($F$16-$F$15)*2-1,U$100:Y228,5,FALSE)))*EXP(-(LN(2)/$D$65+0.04)*X228)*EXP(-(LN(2)/$D$65+0.1)*Y228),"-"))),"-")</f>
        <v>-</v>
      </c>
      <c r="AC228" s="224">
        <f t="shared" si="134"/>
        <v>128</v>
      </c>
      <c r="AD228" s="223" t="str">
        <f t="shared" ref="AD228:AD250" si="186">IFERROR(IF($F$14-1&gt;0,IF(B228&lt;($F$16-$F$15)*($F$14-1),INT(B228/($F$16-$F$15))+1,AD226),"-"),"-")</f>
        <v>-</v>
      </c>
      <c r="AE228" s="224" t="str">
        <f t="shared" si="135"/>
        <v>-</v>
      </c>
      <c r="AF228" s="224" t="str">
        <f t="shared" ref="AF228:AF250" si="187">IFERROR(IF($F$21=0,0,IF(AD228=AD227,IF(B228-(AD228-1)*($F$16-$F$15)&lt;$F$21,AF227+1,AF227),1)),"-")</f>
        <v>-</v>
      </c>
      <c r="AG228" s="224" t="str">
        <f t="shared" ref="AG228:AG250" si="188">IFERROR(AE228-AF228,"-")</f>
        <v>-</v>
      </c>
      <c r="AH228" s="272">
        <f t="shared" si="136"/>
        <v>0.1</v>
      </c>
      <c r="AI228" s="271" t="str">
        <f>IFERROR(IF(AD227=1,AI$100*EXP(-(LN(2)/$D$65+0.04)*AF227)*EXP(-(LN(2)/$D$65+0.1)*AG227),IF(AD227=2,AI$100*EXP(-(LN(2)/$D$65+0.04)*(VLOOKUP(($F$16-$F$15)-1,AC$99:AG227,4,FALSE)))*EXP(-(LN(2)/$D$65+0.1)*(VLOOKUP(($F$16-$F$15)-1,AC$99:AG227,5,FALSE)))*EXP(-(LN(2)/$D$65+0.04)*AF227)*EXP(-(LN(2)/$D$65+0.1)*AG227),IF(AD227=3,AI$100*EXP(-(LN(2)/$D$65+0.04)*(VLOOKUP(($F$16-$F$15)-1,AC$99:AG227,4,FALSE)))*EXP(-(LN(2)/$D$65+0.1)*(VLOOKUP(($F$16-$F$15)-1,AC$99:AG227,5,FALSE)))*EXP(-(LN(2)/$D$65+0.04)*(VLOOKUP(($F$16-$F$15)*2-1,AC$99:AG227,4,FALSE)))*EXP(-(LN(2)/$D$65+0.1)*(VLOOKUP(($F$16-$F$15)*2-1,AC$99:AG227,5,FALSE)))*EXP(-(LN(2)/$D$65+0.04)*AF227)*EXP(-(LN(2)/$D$65+0.1)*AG227),"-"))),"-")</f>
        <v>-</v>
      </c>
      <c r="AJ228" s="271" t="str">
        <f>IFERROR(IF(AD228=1,AJ$100*EXP(-(LN(2)/$D$65+0.04)*AF228)*EXP(-(LN(2)/$D$65+0.1)*AG228),IF(AD228=2,AJ$100*EXP(-(LN(2)/$D$65+0.04)*(VLOOKUP(($F$16-$F$15)-1,AC$100:AG228,4,FALSE)))*EXP(-(LN(2)/$D$65+0.1)*(VLOOKUP(($F$16-$F$15)-1,AC$100:AG228,5,FALSE)))*EXP(-(LN(2)/$D$65+0.04)*AF228)*EXP(-(LN(2)/$D$65+0.1)*AG228),IF(AD228=3,AJ$100*EXP(-(LN(2)/$D$65+0.04)*(VLOOKUP(($F$16-$F$15)-1,AC$100:AG228,4,FALSE)))*EXP(-(LN(2)/$D$65+0.1)*(VLOOKUP(($F$16-$F$15)-1,AC$100:AG228,5,FALSE)))*EXP(-(LN(2)/$D$65+0.04)*(VLOOKUP(($F$16-$F$15)*2-1,AC$100:AG228,4,FALSE)))*EXP(-(LN(2)/$D$65+0.1)*(VLOOKUP(($F$16-$F$15)*2-1,AC$100:AG228,5,FALSE)))*EXP(-(LN(2)/$D$65+0.04)*AF228)*EXP(-(LN(2)/$D$65+0.1)*AG228),"-"))),"-")</f>
        <v>-</v>
      </c>
      <c r="AK228" s="227">
        <f t="shared" si="137"/>
        <v>128</v>
      </c>
      <c r="AL228" s="226" t="str">
        <f t="shared" ref="AL228:AL250" si="189">IFERROR(IF($F$14-2&gt;0,IF(B228&lt;($F$16-$F$15)*($F$14-2),INT(B228/($F$16-$F$15))+1,AL226),"-"),"-")</f>
        <v>-</v>
      </c>
      <c r="AM228" s="227" t="str">
        <f t="shared" si="138"/>
        <v>-</v>
      </c>
      <c r="AN228" s="227" t="str">
        <f t="shared" si="139"/>
        <v>-</v>
      </c>
      <c r="AO228" s="227" t="str">
        <f t="shared" ref="AO228:AO250" si="190">IFERROR(AM228-AN228,"-")</f>
        <v>-</v>
      </c>
      <c r="AP228" s="273">
        <f t="shared" si="140"/>
        <v>0.1</v>
      </c>
      <c r="AQ228" s="271" t="str">
        <f>IFERROR(IF(AL227=1,AQ$100*EXP(-(LN(2)/$D$65+0.04)*AN227)*EXP(-(LN(2)/$D$65+0.1)*AO227),IF(AL227=2,AQ$100*EXP(-(LN(2)/$D$65+0.04)*(VLOOKUP(($F$16-$F$15)-1,AK$99:AO227,4,FALSE)))*EXP(-(LN(2)/$D$65+0.1)*(VLOOKUP(($F$16-$F$15)-1,AK$99:AO227,5,FALSE)))*EXP(-(LN(2)/$D$65+0.04)*AN227)*EXP(-(LN(2)/$D$65+0.1)*AO227),IF(AL227=3,AQ$100*EXP(-(LN(2)/$D$65+0.04)*(VLOOKUP(($F$16-$F$15)-1,AK$99:AO227,4,FALSE)))*EXP(-(LN(2)/$D$65+0.1)*(VLOOKUP(($F$16-$F$15)-1,AK$99:AO227,5,FALSE)))*EXP(-(LN(2)/$D$65+0.04)*(VLOOKUP(($F$16-$F$15)*2-1,AK$99:AO227,4,FALSE)))*EXP(-(LN(2)/$D$65+0.1)*(VLOOKUP(($F$16-$F$15)*2-1,AK$99:AO227,5,FALSE)))*EXP(-(LN(2)/$D$65+0.04)*AN227)*EXP(-(LN(2)/$D$65+0.1)*AO227),"-"))),"-")</f>
        <v>-</v>
      </c>
      <c r="AR228" s="271" t="str">
        <f>IFERROR(IF(AL228=1,AR$100*EXP(-(LN(2)/$D$65+0.04)*AN228)*EXP(-(LN(2)/$D$65+0.1)*AO228),IF(AL228=2,AR$100*EXP(-(LN(2)/$D$65+0.04)*(VLOOKUP(($F$16-$F$15)-1,AK$100:AO228,4,FALSE)))*EXP(-(LN(2)/$D$65+0.1)*(VLOOKUP(($F$16-$F$15)-1,AK$100:AO228,5,FALSE)))*EXP(-(LN(2)/$D$65+0.04)*AN228)*EXP(-(LN(2)/$D$65+0.1)*AO228),IF(AL228=3,AR$100*EXP(-(LN(2)/$D$65+0.04)*(VLOOKUP(($F$16-$F$15)-1,AK$100:AO228,4,FALSE)))*EXP(-(LN(2)/$D$65+0.1)*(VLOOKUP(($F$16-$F$15)-1,AK$100:AO228,5,FALSE)))*EXP(-(LN(2)/$D$65+0.04)*(VLOOKUP(($F$16-$F$15)*2-1,AK$100:AO228,4,FALSE)))*EXP(-(LN(2)/$D$65+0.1)*(VLOOKUP(($F$16-$F$15)*2-1,AK$100:AO228,5,FALSE)))*EXP(-(LN(2)/$D$65+0.04)*AN228)*EXP(-(LN(2)/$D$65+0.1)*AO228),"-"))),"-")</f>
        <v>-</v>
      </c>
      <c r="AS228" s="274">
        <f t="shared" ref="AS228:AS250" si="191">SUM(H228:J228)</f>
        <v>0</v>
      </c>
      <c r="AT228" s="274">
        <f t="shared" ref="AT228:AT250" si="192">SUM(K228:M228)</f>
        <v>0</v>
      </c>
      <c r="AU228" s="274">
        <f t="shared" ref="AU228:AU250" si="193">SUM(N228:S228)</f>
        <v>0</v>
      </c>
      <c r="AV228" s="190" t="str">
        <f>IF($B228&lt;$F$22,SUM($T$100:$T228),"")</f>
        <v/>
      </c>
      <c r="AW228" s="190" t="str">
        <f t="shared" ref="AW228:AW250" si="194">IF(ISNUMBER(Koc),IF(ISNUMBER(AV228),AV228*(Koc*(Ocse/100)*Pse*Vse)/(Koc*(Ocse/100)*Pse*Vse+1*86400*($B228+1)),""),"-")</f>
        <v>-</v>
      </c>
      <c r="AX228" s="190" t="str">
        <f t="shared" si="141"/>
        <v/>
      </c>
      <c r="AY228"/>
      <c r="AZ228" s="190" t="str">
        <f ca="1">IF(ISNUMBER(OFFSET(AV228,-$F$21,0)),SUM(OFFSET($T$100,$F$21,0):$T228),"")</f>
        <v/>
      </c>
      <c r="BA228" s="190" t="str">
        <f t="shared" ref="BA228:BA250" ca="1" si="195">IF(ISNUMBER(OFFSET(AV228,-$F$21,0)),AZ228*(Koc*(Ocse/100)*Pse*Vse)/(Koc*(Ocse/100)*Pse*Vse+1*86400*($B228+1)),"")</f>
        <v/>
      </c>
      <c r="BB228" s="190" t="str">
        <f t="shared" ca="1" si="148"/>
        <v/>
      </c>
      <c r="BC228" s="190"/>
      <c r="BD228" s="190" t="str">
        <f ca="1">IFERROR(IF(OR(ISNUMBER(I),ISNUMBER($F$14)),IF(AND($B228&gt;=($F$16-$F$15),$B228&lt;$F$22+($F$16-$F$15)),SUM(OFFSET($T$100,($F$16-$F$15),0):$T228),""),""),"")</f>
        <v/>
      </c>
      <c r="BE228" s="190" t="str">
        <f t="shared" ca="1" si="142"/>
        <v/>
      </c>
      <c r="BF228" s="190" t="str">
        <f t="shared" ca="1" si="143"/>
        <v/>
      </c>
      <c r="BG228"/>
      <c r="BH228" s="190" t="str">
        <f ca="1">IF(ISNUMBER(OFFSET(BD228,-$F$21,0)),SUM(OFFSET($T$100,($F$16-$F$15+$F$21),0):$T228),"")</f>
        <v/>
      </c>
      <c r="BI228" s="190" t="str">
        <f t="shared" ref="BI228:BI250" ca="1" si="196">IF(ISNUMBER(OFFSET(BD228,-$F$21,0)),BH228*(Koc*(Ocse/100)*Pse*Vse)/(Koc*(Ocse/100)*Pse*Vse+1*86400*($B228+1)),"")</f>
        <v/>
      </c>
      <c r="BJ228" s="190" t="str">
        <f t="shared" ca="1" si="144"/>
        <v/>
      </c>
      <c r="BK228" s="190"/>
      <c r="BL228" s="190" t="str">
        <f ca="1">IFERROR(IF(OR(ISNUMBER(I),ISNUMBER($F$14)),IF(AND($B228&gt;=($F$17-$F$15),$B228&lt;$F$22+($F$17-$F$15)),SUM(OFFSET($T$100,($F$17-$F$15),0):$T228),""),""),"")</f>
        <v/>
      </c>
      <c r="BM228" s="190" t="str">
        <f t="shared" ref="BM228:BM250" ca="1" si="197">IF(ISNUMBER(BL228),BL228*(Koc*(Ocse/100)*Pse*Vse)/(Koc*(Ocse/100)*Pse*Vse+1*86400*($B228+1)),"")</f>
        <v/>
      </c>
      <c r="BN228" s="190" t="str">
        <f t="shared" ca="1" si="145"/>
        <v/>
      </c>
      <c r="BO228"/>
      <c r="BP228" s="190" t="str">
        <f ca="1">IF(ISNUMBER(OFFSET(BL228,-$F$21,0)),SUM(OFFSET($T$100,($F$17-$F$15+$F$21),0):$T228),"")</f>
        <v/>
      </c>
      <c r="BQ228" s="190" t="str">
        <f t="shared" ref="BQ228:BQ250" ca="1" si="198">IF(ISNUMBER(OFFSET(BL228,-$F$21,0)),BP228*(Koc*(Ocse/100)*Pse*Vse)/(Koc*(Ocse/100)*Pse*Vse+1*86400*($B228+1)),"")</f>
        <v/>
      </c>
      <c r="BR228" s="190" t="str">
        <f t="shared" ca="1" si="146"/>
        <v/>
      </c>
      <c r="BS228" s="190"/>
      <c r="BT228"/>
      <c r="BU228"/>
      <c r="BV228"/>
      <c r="BY228" s="99"/>
      <c r="BZ228" s="99"/>
      <c r="CA228" s="280" t="str">
        <f t="shared" ref="CA228:CA250" si="199">IFERROR(IF($B228&lt;$CA$94,T228*(Koc*(Ocse/100)*Pse*Vse)/(Koc*(Ocse/100)*Pse*Vse+1*86400*$CA$94),""),"-")</f>
        <v/>
      </c>
      <c r="CB228" s="71" t="str">
        <f t="shared" ref="CB228:CB250" si="200">IF(ISNUMBER(T228),IF($B228&lt;$CA$94,(T228-CA228)/(3*86400)*1000,""),"-")</f>
        <v>-</v>
      </c>
      <c r="CC228" s="33"/>
      <c r="CD228" s="261" t="str">
        <f t="shared" ref="CD228:CD250" si="201">IF(CC228=CA$96,CB$96,"")</f>
        <v/>
      </c>
      <c r="CE228" s="280" t="str">
        <f t="shared" ref="CE228:CE250" si="202">IFERROR(IF($B228&lt;$CE$94,T228*(Koc*(Ocse/100)*Pse*Vse)/(Koc*(Ocse/100)*Pse*Vse+1*86400*$CE$94),""),"-")</f>
        <v/>
      </c>
      <c r="CF228" s="71" t="str">
        <f t="shared" ref="CF228:CF250" ca="1" si="203">IFERROR(IF($B228&lt;$CE$94,IF(NOT(ISNUMBER(ffp)),"-",IF($F$70=$AX$87,AX228,IF($F$70=$BB$87,OFFSET(BB228,$F$21,0),IF($F$70=$BF$87,OFFSET(BF228,$F$16,0),IF($F$70=$BJ$87,OFFSET(BJ228,$F$16+$F$21,0),IF($F$70=$BN$87,OFFSET(BN228,$F$17,0),OFFSET(BR228,$F$17+$F$21,0))))))),""),"-")</f>
        <v/>
      </c>
      <c r="CG228" s="33" t="str">
        <f t="shared" ref="CG228:CG250" si="204">IF($B228&lt;$CE$94,$B228&amp;"-"&amp;$B228+1,"")</f>
        <v/>
      </c>
      <c r="CH228" s="261" t="str">
        <f t="shared" ref="CH228:CH250" ca="1" si="205">IF(CG228=CE$96,CF$96,"")</f>
        <v/>
      </c>
    </row>
    <row r="229" spans="2:86" ht="13.5" customHeight="1" x14ac:dyDescent="0.2">
      <c r="B229" s="262">
        <v>129</v>
      </c>
      <c r="C229" s="237" t="str">
        <f t="shared" si="169"/>
        <v/>
      </c>
      <c r="D229" s="237" t="str">
        <f t="shared" si="147"/>
        <v/>
      </c>
      <c r="E229" s="263" t="str">
        <f t="shared" ref="E229:E250" si="206">IF(ISNUMBER($F$14),IF(ISNUMBER(AA229),AA229,""),"")</f>
        <v/>
      </c>
      <c r="F229" s="264" t="str">
        <f t="shared" ref="F229:F250" si="207">IF(OR($F$14=2,$F$14=3),IF(($F$16-$F$15)&gt;B229," ",VLOOKUP((B229-($F$16-$F$15)),$AC$100:$AI$250,7,FALSE)),"")</f>
        <v/>
      </c>
      <c r="G229" s="264" t="str">
        <f t="shared" ref="G229:G250" si="208">IF($F$14=3,IF(($F$16-$F$15)*2&gt;B229," ",VLOOKUP((B229-($F$16-$F$15)*2),$AK$100:$AQ$250,7,FALSE)),"")</f>
        <v/>
      </c>
      <c r="H229" s="240" t="str">
        <f t="shared" si="170"/>
        <v/>
      </c>
      <c r="I229" s="265" t="str">
        <f t="shared" si="171"/>
        <v/>
      </c>
      <c r="J229" s="265" t="str">
        <f t="shared" si="172"/>
        <v/>
      </c>
      <c r="K229" s="240" t="str">
        <f t="shared" si="173"/>
        <v/>
      </c>
      <c r="L229" s="265" t="str">
        <f t="shared" si="174"/>
        <v/>
      </c>
      <c r="M229" s="265" t="str">
        <f t="shared" si="175"/>
        <v/>
      </c>
      <c r="N229" s="240" t="str">
        <f t="shared" si="176"/>
        <v>-</v>
      </c>
      <c r="O229" s="265" t="str">
        <f t="shared" si="177"/>
        <v>-</v>
      </c>
      <c r="P229" s="265" t="str">
        <f t="shared" si="178"/>
        <v>-</v>
      </c>
      <c r="Q229" s="266" t="str">
        <f t="shared" si="179"/>
        <v>-</v>
      </c>
      <c r="R229" s="267" t="str">
        <f t="shared" si="180"/>
        <v>-</v>
      </c>
      <c r="S229" s="268" t="str">
        <f t="shared" si="181"/>
        <v>-</v>
      </c>
      <c r="T229" s="269" t="str">
        <f t="shared" si="182"/>
        <v/>
      </c>
      <c r="U229" s="221">
        <f t="shared" si="183"/>
        <v>129</v>
      </c>
      <c r="V229" s="220" t="str">
        <f t="shared" ref="V229:V250" si="209">IF(ISNUMBER($F$14),IF(B229&lt;($F$16-$F$15)*$F$14,INT(B229/($F$16-$F$15))+1,V227),"-")</f>
        <v>-</v>
      </c>
      <c r="W229" s="221" t="str">
        <f t="shared" ref="W229:W250" si="210">IF(ISNUMBER($F$14),IF(B229&lt;$F$14*($F$16-$F$15),B229-INT(B229/($F$16-$F$15))*($F$16-$F$15)+1,W228+1),"-")</f>
        <v>-</v>
      </c>
      <c r="X229" s="221" t="str">
        <f t="shared" si="184"/>
        <v>-</v>
      </c>
      <c r="Y229" s="221" t="str">
        <f t="shared" si="185"/>
        <v>-</v>
      </c>
      <c r="Z229" s="270">
        <f t="shared" ref="Z229:Z250" si="211">IF(Y229&gt;0,0.1,0.04)</f>
        <v>0.1</v>
      </c>
      <c r="AA229" s="271" t="str">
        <f>IFERROR(IF(V228=1,AA$100*EXP(-(LN(2)/$D$65+0.04)*X228)*EXP(-(LN(2)/$D$65+0.1)*Y228),IF(V228=2,AA$100*EXP(-(LN(2)/$D$65+0.04)*(VLOOKUP(($F$16-$F$15)-1,U$99:Y228,4,FALSE)))*EXP(-(LN(2)/$D$65+0.1)*(VLOOKUP(($F$16-$F$15)-1,U$99:Y228,5,FALSE)))*EXP(-(LN(2)/$D$65+0.04)*X228)*EXP(-(LN(2)/$D$65+0.1)*Y228),IF(V228=3,AA$100*EXP(-(LN(2)/$D$65+0.04)*(VLOOKUP(($F$16-$F$15)-1,U$99:Y228,4,FALSE)))*EXP(-(LN(2)/$D$65+0.1)*(VLOOKUP(($F$16-$F$15)-1,U$99:Y228,5,FALSE)))*EXP(-(LN(2)/$D$65+0.04)*(VLOOKUP(($F$16-$F$15)*2-1,U$99:Y228,4,FALSE)))*EXP(-(LN(2)/$D$65+0.1)*(VLOOKUP(($F$16-$F$15)*2-1,U$99:Y228,5,FALSE)))*EXP(-(LN(2)/$D$65+0.04)*X228)*EXP(-(LN(2)/$D$65+0.1)*Y228),"-"))),"-")</f>
        <v>-</v>
      </c>
      <c r="AB229" s="271" t="str">
        <f>IFERROR(IF(V229=1,AB$100*EXP(-(LN(2)/$D$65+0.04)*X229)*EXP(-(LN(2)/$D$65+0.1)*Y229),IF(V229=2,AB$100*EXP(-(LN(2)/$D$65+0.04)*(VLOOKUP(($F$16-$F$15)-1,U$100:Y229,4,FALSE)))*EXP(-(LN(2)/$D$65+0.1)*(VLOOKUP(($F$16-$F$15)-1,U$100:Y229,5,FALSE)))*EXP(-(LN(2)/$D$65+0.04)*X229)*EXP(-(LN(2)/$D$65+0.1)*Y229),IF(V229=3,AB$100*EXP(-(LN(2)/$D$65+0.04)*(VLOOKUP(($F$16-$F$15)-1,U$100:Y229,4,FALSE)))*EXP(-(LN(2)/$D$65+0.1)*(VLOOKUP(($F$16-$F$15)-1,U$100:Y229,5,FALSE)))*EXP(-(LN(2)/$D$65+0.04)*(VLOOKUP(($F$16-$F$15)*2-1,U$100:Y229,4,FALSE)))*EXP(-(LN(2)/$D$65+0.1)*(VLOOKUP(($F$16-$F$15)*2-1,U$100:Y229,5,FALSE)))*EXP(-(LN(2)/$D$65+0.04)*X229)*EXP(-(LN(2)/$D$65+0.1)*Y229),"-"))),"-")</f>
        <v>-</v>
      </c>
      <c r="AC229" s="224">
        <f t="shared" ref="AC229:AC240" si="212">B229</f>
        <v>129</v>
      </c>
      <c r="AD229" s="223" t="str">
        <f t="shared" si="186"/>
        <v>-</v>
      </c>
      <c r="AE229" s="224" t="str">
        <f t="shared" ref="AE229:AE250" si="213">IFERROR(IF($F$14-1&gt;0,IF(B229&lt;($F$14-1)*($F$16-$F$15),B229-INT(B229/($F$16-$F$15))*($F$16-$F$15)+1,AE228+1),"-"),"-")</f>
        <v>-</v>
      </c>
      <c r="AF229" s="224" t="str">
        <f t="shared" si="187"/>
        <v>-</v>
      </c>
      <c r="AG229" s="224" t="str">
        <f t="shared" si="188"/>
        <v>-</v>
      </c>
      <c r="AH229" s="272">
        <f t="shared" ref="AH229:AH250" si="214">IF(AG229&gt;0,0.1,0.04)</f>
        <v>0.1</v>
      </c>
      <c r="AI229" s="271" t="str">
        <f>IFERROR(IF(AD228=1,AI$100*EXP(-(LN(2)/$D$65+0.04)*AF228)*EXP(-(LN(2)/$D$65+0.1)*AG228),IF(AD228=2,AI$100*EXP(-(LN(2)/$D$65+0.04)*(VLOOKUP(($F$16-$F$15)-1,AC$99:AG228,4,FALSE)))*EXP(-(LN(2)/$D$65+0.1)*(VLOOKUP(($F$16-$F$15)-1,AC$99:AG228,5,FALSE)))*EXP(-(LN(2)/$D$65+0.04)*AF228)*EXP(-(LN(2)/$D$65+0.1)*AG228),IF(AD228=3,AI$100*EXP(-(LN(2)/$D$65+0.04)*(VLOOKUP(($F$16-$F$15)-1,AC$99:AG228,4,FALSE)))*EXP(-(LN(2)/$D$65+0.1)*(VLOOKUP(($F$16-$F$15)-1,AC$99:AG228,5,FALSE)))*EXP(-(LN(2)/$D$65+0.04)*(VLOOKUP(($F$16-$F$15)*2-1,AC$99:AG228,4,FALSE)))*EXP(-(LN(2)/$D$65+0.1)*(VLOOKUP(($F$16-$F$15)*2-1,AC$99:AG228,5,FALSE)))*EXP(-(LN(2)/$D$65+0.04)*AF228)*EXP(-(LN(2)/$D$65+0.1)*AG228),"-"))),"-")</f>
        <v>-</v>
      </c>
      <c r="AJ229" s="271" t="str">
        <f>IFERROR(IF(AD229=1,AJ$100*EXP(-(LN(2)/$D$65+0.04)*AF229)*EXP(-(LN(2)/$D$65+0.1)*AG229),IF(AD229=2,AJ$100*EXP(-(LN(2)/$D$65+0.04)*(VLOOKUP(($F$16-$F$15)-1,AC$100:AG229,4,FALSE)))*EXP(-(LN(2)/$D$65+0.1)*(VLOOKUP(($F$16-$F$15)-1,AC$100:AG229,5,FALSE)))*EXP(-(LN(2)/$D$65+0.04)*AF229)*EXP(-(LN(2)/$D$65+0.1)*AG229),IF(AD229=3,AJ$100*EXP(-(LN(2)/$D$65+0.04)*(VLOOKUP(($F$16-$F$15)-1,AC$100:AG229,4,FALSE)))*EXP(-(LN(2)/$D$65+0.1)*(VLOOKUP(($F$16-$F$15)-1,AC$100:AG229,5,FALSE)))*EXP(-(LN(2)/$D$65+0.04)*(VLOOKUP(($F$16-$F$15)*2-1,AC$100:AG229,4,FALSE)))*EXP(-(LN(2)/$D$65+0.1)*(VLOOKUP(($F$16-$F$15)*2-1,AC$100:AG229,5,FALSE)))*EXP(-(LN(2)/$D$65+0.04)*AF229)*EXP(-(LN(2)/$D$65+0.1)*AG229),"-"))),"-")</f>
        <v>-</v>
      </c>
      <c r="AK229" s="227">
        <f t="shared" ref="AK229:AK250" si="215">B229</f>
        <v>129</v>
      </c>
      <c r="AL229" s="226" t="str">
        <f t="shared" si="189"/>
        <v>-</v>
      </c>
      <c r="AM229" s="227" t="str">
        <f t="shared" ref="AM229:AM250" si="216">IFERROR(IF($F$14-2&gt;0,IF(B229&lt;($F$14-2)*($F$16-$F$15),B229-INT(B229/($F$16-$F$15))*($F$16-$F$15)+1,AM228+1),"-"),"-")</f>
        <v>-</v>
      </c>
      <c r="AN229" s="227" t="str">
        <f t="shared" ref="AN229:AN250" si="217">IFERROR(IF($F$21=0,0,IF(AL229=AL228,IF(B229-(AL229-1)*($F$16-$F$15)&lt;$F$21,AN228+1,AN228),1)),"-")</f>
        <v>-</v>
      </c>
      <c r="AO229" s="227" t="str">
        <f t="shared" si="190"/>
        <v>-</v>
      </c>
      <c r="AP229" s="273">
        <f t="shared" ref="AP229:AP250" si="218">IF(AO229&gt;0,0.1,0.04)</f>
        <v>0.1</v>
      </c>
      <c r="AQ229" s="271" t="str">
        <f>IFERROR(IF(AL228=1,AQ$100*EXP(-(LN(2)/$D$65+0.04)*AN228)*EXP(-(LN(2)/$D$65+0.1)*AO228),IF(AL228=2,AQ$100*EXP(-(LN(2)/$D$65+0.04)*(VLOOKUP(($F$16-$F$15)-1,AK$99:AO228,4,FALSE)))*EXP(-(LN(2)/$D$65+0.1)*(VLOOKUP(($F$16-$F$15)-1,AK$99:AO228,5,FALSE)))*EXP(-(LN(2)/$D$65+0.04)*AN228)*EXP(-(LN(2)/$D$65+0.1)*AO228),IF(AL228=3,AQ$100*EXP(-(LN(2)/$D$65+0.04)*(VLOOKUP(($F$16-$F$15)-1,AK$99:AO228,4,FALSE)))*EXP(-(LN(2)/$D$65+0.1)*(VLOOKUP(($F$16-$F$15)-1,AK$99:AO228,5,FALSE)))*EXP(-(LN(2)/$D$65+0.04)*(VLOOKUP(($F$16-$F$15)*2-1,AK$99:AO228,4,FALSE)))*EXP(-(LN(2)/$D$65+0.1)*(VLOOKUP(($F$16-$F$15)*2-1,AK$99:AO228,5,FALSE)))*EXP(-(LN(2)/$D$65+0.04)*AN228)*EXP(-(LN(2)/$D$65+0.1)*AO228),"-"))),"-")</f>
        <v>-</v>
      </c>
      <c r="AR229" s="271" t="str">
        <f>IFERROR(IF(AL229=1,AR$100*EXP(-(LN(2)/$D$65+0.04)*AN229)*EXP(-(LN(2)/$D$65+0.1)*AO229),IF(AL229=2,AR$100*EXP(-(LN(2)/$D$65+0.04)*(VLOOKUP(($F$16-$F$15)-1,AK$100:AO229,4,FALSE)))*EXP(-(LN(2)/$D$65+0.1)*(VLOOKUP(($F$16-$F$15)-1,AK$100:AO229,5,FALSE)))*EXP(-(LN(2)/$D$65+0.04)*AN229)*EXP(-(LN(2)/$D$65+0.1)*AO229),IF(AL229=3,AR$100*EXP(-(LN(2)/$D$65+0.04)*(VLOOKUP(($F$16-$F$15)-1,AK$100:AO229,4,FALSE)))*EXP(-(LN(2)/$D$65+0.1)*(VLOOKUP(($F$16-$F$15)-1,AK$100:AO229,5,FALSE)))*EXP(-(LN(2)/$D$65+0.04)*(VLOOKUP(($F$16-$F$15)*2-1,AK$100:AO229,4,FALSE)))*EXP(-(LN(2)/$D$65+0.1)*(VLOOKUP(($F$16-$F$15)*2-1,AK$100:AO229,5,FALSE)))*EXP(-(LN(2)/$D$65+0.04)*AN229)*EXP(-(LN(2)/$D$65+0.1)*AO229),"-"))),"-")</f>
        <v>-</v>
      </c>
      <c r="AS229" s="274">
        <f t="shared" si="191"/>
        <v>0</v>
      </c>
      <c r="AT229" s="274">
        <f t="shared" si="192"/>
        <v>0</v>
      </c>
      <c r="AU229" s="274">
        <f t="shared" si="193"/>
        <v>0</v>
      </c>
      <c r="AV229" s="190" t="str">
        <f>IF($B229&lt;$F$22,SUM($T$100:$T229),"")</f>
        <v/>
      </c>
      <c r="AW229" s="190" t="str">
        <f t="shared" si="194"/>
        <v>-</v>
      </c>
      <c r="AX229" s="190" t="str">
        <f t="shared" ref="AX229:AX250" si="219">IF(ISNUMBER(AW229),IF(ISNUMBER(AV229),(AV229-AW229)/(3*86400*($B229+1))*1000,""),"")</f>
        <v/>
      </c>
      <c r="AY229"/>
      <c r="AZ229" s="190" t="str">
        <f ca="1">IF(ISNUMBER(OFFSET(AV229,-$F$21,0)),SUM(OFFSET($T$100,$F$21,0):$T229),"")</f>
        <v/>
      </c>
      <c r="BA229" s="190" t="str">
        <f t="shared" ca="1" si="195"/>
        <v/>
      </c>
      <c r="BB229" s="190" t="str">
        <f t="shared" ca="1" si="148"/>
        <v/>
      </c>
      <c r="BC229" s="190"/>
      <c r="BD229" s="190" t="str">
        <f ca="1">IFERROR(IF(OR(ISNUMBER(I),ISNUMBER($F$14)),IF(AND($B229&gt;=($F$16-$F$15),$B229&lt;$F$22+($F$16-$F$15)),SUM(OFFSET($T$100,($F$16-$F$15),0):$T229),""),""),"")</f>
        <v/>
      </c>
      <c r="BE229" s="190" t="str">
        <f t="shared" ref="BE229:BE250" ca="1" si="220">IF(ISNUMBER(BD229),BD229*(Koc*(Ocse/100)*Pse*Vse)/(Koc*(Ocse/100)*Pse*Vse+1*86400*($B229+1)),"")</f>
        <v/>
      </c>
      <c r="BF229" s="190" t="str">
        <f t="shared" ref="BF229:BF250" ca="1" si="221">IF(ISNUMBER(BD229),(BD229-BE229)/(3*86400*($B229-($F$16-$F$15)+1))*1000,"")</f>
        <v/>
      </c>
      <c r="BG229"/>
      <c r="BH229" s="190" t="str">
        <f ca="1">IF(ISNUMBER(OFFSET(BD229,-$F$21,0)),SUM(OFFSET($T$100,($F$16-$F$15+$F$21),0):$T229),"")</f>
        <v/>
      </c>
      <c r="BI229" s="190" t="str">
        <f t="shared" ca="1" si="196"/>
        <v/>
      </c>
      <c r="BJ229" s="190" t="str">
        <f t="shared" ref="BJ229:BJ250" ca="1" si="222">IF(ISNUMBER(BH229),(BH229-BI229)/(3*86400*((OFFSET($B229,-$F$21,0)-($F$16-$F$15)+1)))*1000,"")</f>
        <v/>
      </c>
      <c r="BK229" s="190"/>
      <c r="BL229" s="190" t="str">
        <f ca="1">IFERROR(IF(OR(ISNUMBER(I),ISNUMBER($F$14)),IF(AND($B229&gt;=($F$17-$F$15),$B229&lt;$F$22+($F$17-$F$15)),SUM(OFFSET($T$100,($F$17-$F$15),0):$T229),""),""),"")</f>
        <v/>
      </c>
      <c r="BM229" s="190" t="str">
        <f t="shared" ca="1" si="197"/>
        <v/>
      </c>
      <c r="BN229" s="190" t="str">
        <f t="shared" ref="BN229:BN250" ca="1" si="223">IF(ISNUMBER(BL229),(BL229-BM229)/(3*86400*($B229-($F$17-$F$15)+1))*1000,"")</f>
        <v/>
      </c>
      <c r="BO229"/>
      <c r="BP229" s="190" t="str">
        <f ca="1">IF(ISNUMBER(OFFSET(BL229,-$F$21,0)),SUM(OFFSET($T$100,($F$17-$F$15+$F$21),0):$T229),"")</f>
        <v/>
      </c>
      <c r="BQ229" s="190" t="str">
        <f t="shared" ca="1" si="198"/>
        <v/>
      </c>
      <c r="BR229" s="190" t="str">
        <f t="shared" ref="BR229:BR250" ca="1" si="224">IF(ISNUMBER(BP229),(BP229-BQ229)/(3*86400*(OFFSET($B229,-$F$21,0)-($F$17-$F$15)+1))*1000,"")</f>
        <v/>
      </c>
      <c r="BS229" s="190"/>
      <c r="BT229"/>
      <c r="BU229"/>
      <c r="BV229"/>
      <c r="BY229" s="99"/>
      <c r="BZ229" s="99"/>
      <c r="CA229" s="280" t="str">
        <f t="shared" si="199"/>
        <v/>
      </c>
      <c r="CB229" s="71" t="str">
        <f t="shared" si="200"/>
        <v>-</v>
      </c>
      <c r="CC229" s="33"/>
      <c r="CD229" s="261" t="str">
        <f t="shared" si="201"/>
        <v/>
      </c>
      <c r="CE229" s="280" t="str">
        <f t="shared" si="202"/>
        <v/>
      </c>
      <c r="CF229" s="71" t="str">
        <f t="shared" ca="1" si="203"/>
        <v/>
      </c>
      <c r="CG229" s="33" t="str">
        <f t="shared" si="204"/>
        <v/>
      </c>
      <c r="CH229" s="261" t="str">
        <f t="shared" ca="1" si="205"/>
        <v/>
      </c>
    </row>
    <row r="230" spans="2:86" ht="13.5" customHeight="1" x14ac:dyDescent="0.2">
      <c r="B230" s="262">
        <v>130</v>
      </c>
      <c r="C230" s="237" t="str">
        <f t="shared" si="169"/>
        <v/>
      </c>
      <c r="D230" s="237" t="str">
        <f t="shared" ref="D230:D250" si="225">IFERROR(IF(B230&lt;$F$22,IF(ISNUMBER($D$65),IF(MAX($BU$101:$BU$120)&lt;B230, "", IF(B230=VLOOKUP(B230, $BU$101:$BU$120,1,1), C230,D229-INDEX($BY$101:$BY$120, MATCH(VLOOKUP(B230, $BU$101:$BU$120,1,1), $BU$101:$BU$120)+1, 1))),D229-VLOOKUP(MAX($BU$101:$BU$120),$BU$101:$BY$120,5)),""),"-")</f>
        <v/>
      </c>
      <c r="E230" s="263" t="str">
        <f t="shared" si="206"/>
        <v/>
      </c>
      <c r="F230" s="264" t="str">
        <f t="shared" si="207"/>
        <v/>
      </c>
      <c r="G230" s="264" t="str">
        <f t="shared" si="208"/>
        <v/>
      </c>
      <c r="H230" s="240" t="str">
        <f t="shared" si="170"/>
        <v/>
      </c>
      <c r="I230" s="265" t="str">
        <f t="shared" si="171"/>
        <v/>
      </c>
      <c r="J230" s="265" t="str">
        <f t="shared" si="172"/>
        <v/>
      </c>
      <c r="K230" s="240" t="str">
        <f t="shared" si="173"/>
        <v/>
      </c>
      <c r="L230" s="265" t="str">
        <f t="shared" si="174"/>
        <v/>
      </c>
      <c r="M230" s="265" t="str">
        <f t="shared" si="175"/>
        <v/>
      </c>
      <c r="N230" s="240" t="str">
        <f t="shared" si="176"/>
        <v>-</v>
      </c>
      <c r="O230" s="265" t="str">
        <f t="shared" si="177"/>
        <v>-</v>
      </c>
      <c r="P230" s="265" t="str">
        <f t="shared" si="178"/>
        <v>-</v>
      </c>
      <c r="Q230" s="266" t="str">
        <f t="shared" si="179"/>
        <v>-</v>
      </c>
      <c r="R230" s="267" t="str">
        <f t="shared" si="180"/>
        <v>-</v>
      </c>
      <c r="S230" s="268" t="str">
        <f t="shared" si="181"/>
        <v>-</v>
      </c>
      <c r="T230" s="269" t="str">
        <f t="shared" si="182"/>
        <v/>
      </c>
      <c r="U230" s="221">
        <f t="shared" si="183"/>
        <v>130</v>
      </c>
      <c r="V230" s="220" t="str">
        <f t="shared" si="209"/>
        <v>-</v>
      </c>
      <c r="W230" s="221" t="str">
        <f t="shared" si="210"/>
        <v>-</v>
      </c>
      <c r="X230" s="221" t="str">
        <f t="shared" si="184"/>
        <v>-</v>
      </c>
      <c r="Y230" s="221" t="str">
        <f t="shared" si="185"/>
        <v>-</v>
      </c>
      <c r="Z230" s="270">
        <f t="shared" si="211"/>
        <v>0.1</v>
      </c>
      <c r="AA230" s="271" t="str">
        <f>IFERROR(IF(V229=1,AA$100*EXP(-(LN(2)/$D$65+0.04)*X229)*EXP(-(LN(2)/$D$65+0.1)*Y229),IF(V229=2,AA$100*EXP(-(LN(2)/$D$65+0.04)*(VLOOKUP(($F$16-$F$15)-1,U$99:Y229,4,FALSE)))*EXP(-(LN(2)/$D$65+0.1)*(VLOOKUP(($F$16-$F$15)-1,U$99:Y229,5,FALSE)))*EXP(-(LN(2)/$D$65+0.04)*X229)*EXP(-(LN(2)/$D$65+0.1)*Y229),IF(V229=3,AA$100*EXP(-(LN(2)/$D$65+0.04)*(VLOOKUP(($F$16-$F$15)-1,U$99:Y229,4,FALSE)))*EXP(-(LN(2)/$D$65+0.1)*(VLOOKUP(($F$16-$F$15)-1,U$99:Y229,5,FALSE)))*EXP(-(LN(2)/$D$65+0.04)*(VLOOKUP(($F$16-$F$15)*2-1,U$99:Y229,4,FALSE)))*EXP(-(LN(2)/$D$65+0.1)*(VLOOKUP(($F$16-$F$15)*2-1,U$99:Y229,5,FALSE)))*EXP(-(LN(2)/$D$65+0.04)*X229)*EXP(-(LN(2)/$D$65+0.1)*Y229),"-"))),"-")</f>
        <v>-</v>
      </c>
      <c r="AB230" s="271" t="str">
        <f>IFERROR(IF(V230=1,AB$100*EXP(-(LN(2)/$D$65+0.04)*X230)*EXP(-(LN(2)/$D$65+0.1)*Y230),IF(V230=2,AB$100*EXP(-(LN(2)/$D$65+0.04)*(VLOOKUP(($F$16-$F$15)-1,U$100:Y230,4,FALSE)))*EXP(-(LN(2)/$D$65+0.1)*(VLOOKUP(($F$16-$F$15)-1,U$100:Y230,5,FALSE)))*EXP(-(LN(2)/$D$65+0.04)*X230)*EXP(-(LN(2)/$D$65+0.1)*Y230),IF(V230=3,AB$100*EXP(-(LN(2)/$D$65+0.04)*(VLOOKUP(($F$16-$F$15)-1,U$100:Y230,4,FALSE)))*EXP(-(LN(2)/$D$65+0.1)*(VLOOKUP(($F$16-$F$15)-1,U$100:Y230,5,FALSE)))*EXP(-(LN(2)/$D$65+0.04)*(VLOOKUP(($F$16-$F$15)*2-1,U$100:Y230,4,FALSE)))*EXP(-(LN(2)/$D$65+0.1)*(VLOOKUP(($F$16-$F$15)*2-1,U$100:Y230,5,FALSE)))*EXP(-(LN(2)/$D$65+0.04)*X230)*EXP(-(LN(2)/$D$65+0.1)*Y230),"-"))),"-")</f>
        <v>-</v>
      </c>
      <c r="AC230" s="224">
        <f t="shared" si="212"/>
        <v>130</v>
      </c>
      <c r="AD230" s="223" t="str">
        <f t="shared" si="186"/>
        <v>-</v>
      </c>
      <c r="AE230" s="224" t="str">
        <f t="shared" si="213"/>
        <v>-</v>
      </c>
      <c r="AF230" s="224" t="str">
        <f t="shared" si="187"/>
        <v>-</v>
      </c>
      <c r="AG230" s="224" t="str">
        <f t="shared" si="188"/>
        <v>-</v>
      </c>
      <c r="AH230" s="272">
        <f t="shared" si="214"/>
        <v>0.1</v>
      </c>
      <c r="AI230" s="271" t="str">
        <f>IFERROR(IF(AD229=1,AI$100*EXP(-(LN(2)/$D$65+0.04)*AF229)*EXP(-(LN(2)/$D$65+0.1)*AG229),IF(AD229=2,AI$100*EXP(-(LN(2)/$D$65+0.04)*(VLOOKUP(($F$16-$F$15)-1,AC$99:AG229,4,FALSE)))*EXP(-(LN(2)/$D$65+0.1)*(VLOOKUP(($F$16-$F$15)-1,AC$99:AG229,5,FALSE)))*EXP(-(LN(2)/$D$65+0.04)*AF229)*EXP(-(LN(2)/$D$65+0.1)*AG229),IF(AD229=3,AI$100*EXP(-(LN(2)/$D$65+0.04)*(VLOOKUP(($F$16-$F$15)-1,AC$99:AG229,4,FALSE)))*EXP(-(LN(2)/$D$65+0.1)*(VLOOKUP(($F$16-$F$15)-1,AC$99:AG229,5,FALSE)))*EXP(-(LN(2)/$D$65+0.04)*(VLOOKUP(($F$16-$F$15)*2-1,AC$99:AG229,4,FALSE)))*EXP(-(LN(2)/$D$65+0.1)*(VLOOKUP(($F$16-$F$15)*2-1,AC$99:AG229,5,FALSE)))*EXP(-(LN(2)/$D$65+0.04)*AF229)*EXP(-(LN(2)/$D$65+0.1)*AG229),"-"))),"-")</f>
        <v>-</v>
      </c>
      <c r="AJ230" s="271" t="str">
        <f>IFERROR(IF(AD230=1,AJ$100*EXP(-(LN(2)/$D$65+0.04)*AF230)*EXP(-(LN(2)/$D$65+0.1)*AG230),IF(AD230=2,AJ$100*EXP(-(LN(2)/$D$65+0.04)*(VLOOKUP(($F$16-$F$15)-1,AC$100:AG230,4,FALSE)))*EXP(-(LN(2)/$D$65+0.1)*(VLOOKUP(($F$16-$F$15)-1,AC$100:AG230,5,FALSE)))*EXP(-(LN(2)/$D$65+0.04)*AF230)*EXP(-(LN(2)/$D$65+0.1)*AG230),IF(AD230=3,AJ$100*EXP(-(LN(2)/$D$65+0.04)*(VLOOKUP(($F$16-$F$15)-1,AC$100:AG230,4,FALSE)))*EXP(-(LN(2)/$D$65+0.1)*(VLOOKUP(($F$16-$F$15)-1,AC$100:AG230,5,FALSE)))*EXP(-(LN(2)/$D$65+0.04)*(VLOOKUP(($F$16-$F$15)*2-1,AC$100:AG230,4,FALSE)))*EXP(-(LN(2)/$D$65+0.1)*(VLOOKUP(($F$16-$F$15)*2-1,AC$100:AG230,5,FALSE)))*EXP(-(LN(2)/$D$65+0.04)*AF230)*EXP(-(LN(2)/$D$65+0.1)*AG230),"-"))),"-")</f>
        <v>-</v>
      </c>
      <c r="AK230" s="227">
        <f t="shared" si="215"/>
        <v>130</v>
      </c>
      <c r="AL230" s="226" t="str">
        <f t="shared" si="189"/>
        <v>-</v>
      </c>
      <c r="AM230" s="227" t="str">
        <f t="shared" si="216"/>
        <v>-</v>
      </c>
      <c r="AN230" s="227" t="str">
        <f t="shared" si="217"/>
        <v>-</v>
      </c>
      <c r="AO230" s="227" t="str">
        <f t="shared" si="190"/>
        <v>-</v>
      </c>
      <c r="AP230" s="273">
        <f t="shared" si="218"/>
        <v>0.1</v>
      </c>
      <c r="AQ230" s="271" t="str">
        <f>IFERROR(IF(AL229=1,AQ$100*EXP(-(LN(2)/$D$65+0.04)*AN229)*EXP(-(LN(2)/$D$65+0.1)*AO229),IF(AL229=2,AQ$100*EXP(-(LN(2)/$D$65+0.04)*(VLOOKUP(($F$16-$F$15)-1,AK$99:AO229,4,FALSE)))*EXP(-(LN(2)/$D$65+0.1)*(VLOOKUP(($F$16-$F$15)-1,AK$99:AO229,5,FALSE)))*EXP(-(LN(2)/$D$65+0.04)*AN229)*EXP(-(LN(2)/$D$65+0.1)*AO229),IF(AL229=3,AQ$100*EXP(-(LN(2)/$D$65+0.04)*(VLOOKUP(($F$16-$F$15)-1,AK$99:AO229,4,FALSE)))*EXP(-(LN(2)/$D$65+0.1)*(VLOOKUP(($F$16-$F$15)-1,AK$99:AO229,5,FALSE)))*EXP(-(LN(2)/$D$65+0.04)*(VLOOKUP(($F$16-$F$15)*2-1,AK$99:AO229,4,FALSE)))*EXP(-(LN(2)/$D$65+0.1)*(VLOOKUP(($F$16-$F$15)*2-1,AK$99:AO229,5,FALSE)))*EXP(-(LN(2)/$D$65+0.04)*AN229)*EXP(-(LN(2)/$D$65+0.1)*AO229),"-"))),"-")</f>
        <v>-</v>
      </c>
      <c r="AR230" s="271" t="str">
        <f>IFERROR(IF(AL230=1,AR$100*EXP(-(LN(2)/$D$65+0.04)*AN230)*EXP(-(LN(2)/$D$65+0.1)*AO230),IF(AL230=2,AR$100*EXP(-(LN(2)/$D$65+0.04)*(VLOOKUP(($F$16-$F$15)-1,AK$100:AO230,4,FALSE)))*EXP(-(LN(2)/$D$65+0.1)*(VLOOKUP(($F$16-$F$15)-1,AK$100:AO230,5,FALSE)))*EXP(-(LN(2)/$D$65+0.04)*AN230)*EXP(-(LN(2)/$D$65+0.1)*AO230),IF(AL230=3,AR$100*EXP(-(LN(2)/$D$65+0.04)*(VLOOKUP(($F$16-$F$15)-1,AK$100:AO230,4,FALSE)))*EXP(-(LN(2)/$D$65+0.1)*(VLOOKUP(($F$16-$F$15)-1,AK$100:AO230,5,FALSE)))*EXP(-(LN(2)/$D$65+0.04)*(VLOOKUP(($F$16-$F$15)*2-1,AK$100:AO230,4,FALSE)))*EXP(-(LN(2)/$D$65+0.1)*(VLOOKUP(($F$16-$F$15)*2-1,AK$100:AO230,5,FALSE)))*EXP(-(LN(2)/$D$65+0.04)*AN230)*EXP(-(LN(2)/$D$65+0.1)*AO230),"-"))),"-")</f>
        <v>-</v>
      </c>
      <c r="AS230" s="274">
        <f t="shared" si="191"/>
        <v>0</v>
      </c>
      <c r="AT230" s="274">
        <f t="shared" si="192"/>
        <v>0</v>
      </c>
      <c r="AU230" s="274">
        <f t="shared" si="193"/>
        <v>0</v>
      </c>
      <c r="AV230" s="190" t="str">
        <f>IF($B230&lt;$F$22,SUM($T$100:$T230),"")</f>
        <v/>
      </c>
      <c r="AW230" s="190" t="str">
        <f t="shared" si="194"/>
        <v>-</v>
      </c>
      <c r="AX230" s="190" t="str">
        <f t="shared" si="219"/>
        <v/>
      </c>
      <c r="AY230"/>
      <c r="AZ230" s="190" t="str">
        <f ca="1">IF(ISNUMBER(OFFSET(AV230,-$F$21,0)),SUM(OFFSET($T$100,$F$21,0):$T230),"")</f>
        <v/>
      </c>
      <c r="BA230" s="190" t="str">
        <f t="shared" ca="1" si="195"/>
        <v/>
      </c>
      <c r="BB230" s="190" t="str">
        <f t="shared" ca="1" si="148"/>
        <v/>
      </c>
      <c r="BC230" s="190"/>
      <c r="BD230" s="190" t="str">
        <f ca="1">IFERROR(IF(OR(ISNUMBER(I),ISNUMBER($F$14)),IF(AND($B230&gt;=($F$16-$F$15),$B230&lt;$F$22+($F$16-$F$15)),SUM(OFFSET($T$100,($F$16-$F$15),0):$T230),""),""),"")</f>
        <v/>
      </c>
      <c r="BE230" s="190" t="str">
        <f t="shared" ca="1" si="220"/>
        <v/>
      </c>
      <c r="BF230" s="190" t="str">
        <f t="shared" ca="1" si="221"/>
        <v/>
      </c>
      <c r="BG230"/>
      <c r="BH230" s="190" t="str">
        <f ca="1">IF(ISNUMBER(OFFSET(BD230,-$F$21,0)),SUM(OFFSET($T$100,($F$16-$F$15+$F$21),0):$T230),"")</f>
        <v/>
      </c>
      <c r="BI230" s="190" t="str">
        <f t="shared" ca="1" si="196"/>
        <v/>
      </c>
      <c r="BJ230" s="190" t="str">
        <f t="shared" ca="1" si="222"/>
        <v/>
      </c>
      <c r="BK230" s="190"/>
      <c r="BL230" s="190" t="str">
        <f ca="1">IFERROR(IF(OR(ISNUMBER(I),ISNUMBER($F$14)),IF(AND($B230&gt;=($F$17-$F$15),$B230&lt;$F$22+($F$17-$F$15)),SUM(OFFSET($T$100,($F$17-$F$15),0):$T230),""),""),"")</f>
        <v/>
      </c>
      <c r="BM230" s="190" t="str">
        <f t="shared" ca="1" si="197"/>
        <v/>
      </c>
      <c r="BN230" s="190" t="str">
        <f t="shared" ca="1" si="223"/>
        <v/>
      </c>
      <c r="BO230"/>
      <c r="BP230" s="190" t="str">
        <f ca="1">IF(ISNUMBER(OFFSET(BL230,-$F$21,0)),SUM(OFFSET($T$100,($F$17-$F$15+$F$21),0):$T230),"")</f>
        <v/>
      </c>
      <c r="BQ230" s="190" t="str">
        <f t="shared" ca="1" si="198"/>
        <v/>
      </c>
      <c r="BR230" s="190" t="str">
        <f t="shared" ca="1" si="224"/>
        <v/>
      </c>
      <c r="BS230" s="190"/>
      <c r="BT230"/>
      <c r="BU230"/>
      <c r="BV230"/>
      <c r="BY230" s="99"/>
      <c r="BZ230" s="99"/>
      <c r="CA230" s="280" t="str">
        <f t="shared" si="199"/>
        <v/>
      </c>
      <c r="CB230" s="71" t="str">
        <f t="shared" si="200"/>
        <v>-</v>
      </c>
      <c r="CC230" s="33"/>
      <c r="CD230" s="261" t="str">
        <f t="shared" si="201"/>
        <v/>
      </c>
      <c r="CE230" s="280" t="str">
        <f t="shared" si="202"/>
        <v/>
      </c>
      <c r="CF230" s="71" t="str">
        <f t="shared" ca="1" si="203"/>
        <v/>
      </c>
      <c r="CG230" s="33" t="str">
        <f t="shared" si="204"/>
        <v/>
      </c>
      <c r="CH230" s="261" t="str">
        <f t="shared" ca="1" si="205"/>
        <v/>
      </c>
    </row>
    <row r="231" spans="2:86" ht="13.5" customHeight="1" x14ac:dyDescent="0.2">
      <c r="B231" s="262">
        <v>131</v>
      </c>
      <c r="C231" s="237" t="str">
        <f t="shared" si="169"/>
        <v/>
      </c>
      <c r="D231" s="237" t="str">
        <f t="shared" si="225"/>
        <v/>
      </c>
      <c r="E231" s="263" t="str">
        <f t="shared" si="206"/>
        <v/>
      </c>
      <c r="F231" s="264" t="str">
        <f t="shared" si="207"/>
        <v/>
      </c>
      <c r="G231" s="264" t="str">
        <f t="shared" si="208"/>
        <v/>
      </c>
      <c r="H231" s="240" t="str">
        <f t="shared" si="170"/>
        <v/>
      </c>
      <c r="I231" s="265" t="str">
        <f t="shared" si="171"/>
        <v/>
      </c>
      <c r="J231" s="265" t="str">
        <f t="shared" si="172"/>
        <v/>
      </c>
      <c r="K231" s="240" t="str">
        <f t="shared" si="173"/>
        <v/>
      </c>
      <c r="L231" s="265" t="str">
        <f t="shared" si="174"/>
        <v/>
      </c>
      <c r="M231" s="265" t="str">
        <f t="shared" si="175"/>
        <v/>
      </c>
      <c r="N231" s="240" t="str">
        <f t="shared" si="176"/>
        <v>-</v>
      </c>
      <c r="O231" s="265" t="str">
        <f t="shared" si="177"/>
        <v>-</v>
      </c>
      <c r="P231" s="265" t="str">
        <f t="shared" si="178"/>
        <v>-</v>
      </c>
      <c r="Q231" s="266" t="str">
        <f t="shared" si="179"/>
        <v>-</v>
      </c>
      <c r="R231" s="267" t="str">
        <f t="shared" si="180"/>
        <v>-</v>
      </c>
      <c r="S231" s="268" t="str">
        <f t="shared" si="181"/>
        <v>-</v>
      </c>
      <c r="T231" s="269" t="str">
        <f t="shared" si="182"/>
        <v/>
      </c>
      <c r="U231" s="221">
        <f t="shared" si="183"/>
        <v>131</v>
      </c>
      <c r="V231" s="220" t="str">
        <f t="shared" si="209"/>
        <v>-</v>
      </c>
      <c r="W231" s="221" t="str">
        <f t="shared" si="210"/>
        <v>-</v>
      </c>
      <c r="X231" s="221" t="str">
        <f t="shared" si="184"/>
        <v>-</v>
      </c>
      <c r="Y231" s="221" t="str">
        <f t="shared" si="185"/>
        <v>-</v>
      </c>
      <c r="Z231" s="270">
        <f t="shared" si="211"/>
        <v>0.1</v>
      </c>
      <c r="AA231" s="271" t="str">
        <f>IFERROR(IF(V230=1,AA$100*EXP(-(LN(2)/$D$65+0.04)*X230)*EXP(-(LN(2)/$D$65+0.1)*Y230),IF(V230=2,AA$100*EXP(-(LN(2)/$D$65+0.04)*(VLOOKUP(($F$16-$F$15)-1,U$99:Y230,4,FALSE)))*EXP(-(LN(2)/$D$65+0.1)*(VLOOKUP(($F$16-$F$15)-1,U$99:Y230,5,FALSE)))*EXP(-(LN(2)/$D$65+0.04)*X230)*EXP(-(LN(2)/$D$65+0.1)*Y230),IF(V230=3,AA$100*EXP(-(LN(2)/$D$65+0.04)*(VLOOKUP(($F$16-$F$15)-1,U$99:Y230,4,FALSE)))*EXP(-(LN(2)/$D$65+0.1)*(VLOOKUP(($F$16-$F$15)-1,U$99:Y230,5,FALSE)))*EXP(-(LN(2)/$D$65+0.04)*(VLOOKUP(($F$16-$F$15)*2-1,U$99:Y230,4,FALSE)))*EXP(-(LN(2)/$D$65+0.1)*(VLOOKUP(($F$16-$F$15)*2-1,U$99:Y230,5,FALSE)))*EXP(-(LN(2)/$D$65+0.04)*X230)*EXP(-(LN(2)/$D$65+0.1)*Y230),"-"))),"-")</f>
        <v>-</v>
      </c>
      <c r="AB231" s="271" t="str">
        <f>IFERROR(IF(V231=1,AB$100*EXP(-(LN(2)/$D$65+0.04)*X231)*EXP(-(LN(2)/$D$65+0.1)*Y231),IF(V231=2,AB$100*EXP(-(LN(2)/$D$65+0.04)*(VLOOKUP(($F$16-$F$15)-1,U$100:Y231,4,FALSE)))*EXP(-(LN(2)/$D$65+0.1)*(VLOOKUP(($F$16-$F$15)-1,U$100:Y231,5,FALSE)))*EXP(-(LN(2)/$D$65+0.04)*X231)*EXP(-(LN(2)/$D$65+0.1)*Y231),IF(V231=3,AB$100*EXP(-(LN(2)/$D$65+0.04)*(VLOOKUP(($F$16-$F$15)-1,U$100:Y231,4,FALSE)))*EXP(-(LN(2)/$D$65+0.1)*(VLOOKUP(($F$16-$F$15)-1,U$100:Y231,5,FALSE)))*EXP(-(LN(2)/$D$65+0.04)*(VLOOKUP(($F$16-$F$15)*2-1,U$100:Y231,4,FALSE)))*EXP(-(LN(2)/$D$65+0.1)*(VLOOKUP(($F$16-$F$15)*2-1,U$100:Y231,5,FALSE)))*EXP(-(LN(2)/$D$65+0.04)*X231)*EXP(-(LN(2)/$D$65+0.1)*Y231),"-"))),"-")</f>
        <v>-</v>
      </c>
      <c r="AC231" s="224">
        <f t="shared" si="212"/>
        <v>131</v>
      </c>
      <c r="AD231" s="223" t="str">
        <f t="shared" si="186"/>
        <v>-</v>
      </c>
      <c r="AE231" s="224" t="str">
        <f t="shared" si="213"/>
        <v>-</v>
      </c>
      <c r="AF231" s="224" t="str">
        <f t="shared" si="187"/>
        <v>-</v>
      </c>
      <c r="AG231" s="224" t="str">
        <f t="shared" si="188"/>
        <v>-</v>
      </c>
      <c r="AH231" s="272">
        <f t="shared" si="214"/>
        <v>0.1</v>
      </c>
      <c r="AI231" s="271" t="str">
        <f>IFERROR(IF(AD230=1,AI$100*EXP(-(LN(2)/$D$65+0.04)*AF230)*EXP(-(LN(2)/$D$65+0.1)*AG230),IF(AD230=2,AI$100*EXP(-(LN(2)/$D$65+0.04)*(VLOOKUP(($F$16-$F$15)-1,AC$99:AG230,4,FALSE)))*EXP(-(LN(2)/$D$65+0.1)*(VLOOKUP(($F$16-$F$15)-1,AC$99:AG230,5,FALSE)))*EXP(-(LN(2)/$D$65+0.04)*AF230)*EXP(-(LN(2)/$D$65+0.1)*AG230),IF(AD230=3,AI$100*EXP(-(LN(2)/$D$65+0.04)*(VLOOKUP(($F$16-$F$15)-1,AC$99:AG230,4,FALSE)))*EXP(-(LN(2)/$D$65+0.1)*(VLOOKUP(($F$16-$F$15)-1,AC$99:AG230,5,FALSE)))*EXP(-(LN(2)/$D$65+0.04)*(VLOOKUP(($F$16-$F$15)*2-1,AC$99:AG230,4,FALSE)))*EXP(-(LN(2)/$D$65+0.1)*(VLOOKUP(($F$16-$F$15)*2-1,AC$99:AG230,5,FALSE)))*EXP(-(LN(2)/$D$65+0.04)*AF230)*EXP(-(LN(2)/$D$65+0.1)*AG230),"-"))),"-")</f>
        <v>-</v>
      </c>
      <c r="AJ231" s="271" t="str">
        <f>IFERROR(IF(AD231=1,AJ$100*EXP(-(LN(2)/$D$65+0.04)*AF231)*EXP(-(LN(2)/$D$65+0.1)*AG231),IF(AD231=2,AJ$100*EXP(-(LN(2)/$D$65+0.04)*(VLOOKUP(($F$16-$F$15)-1,AC$100:AG231,4,FALSE)))*EXP(-(LN(2)/$D$65+0.1)*(VLOOKUP(($F$16-$F$15)-1,AC$100:AG231,5,FALSE)))*EXP(-(LN(2)/$D$65+0.04)*AF231)*EXP(-(LN(2)/$D$65+0.1)*AG231),IF(AD231=3,AJ$100*EXP(-(LN(2)/$D$65+0.04)*(VLOOKUP(($F$16-$F$15)-1,AC$100:AG231,4,FALSE)))*EXP(-(LN(2)/$D$65+0.1)*(VLOOKUP(($F$16-$F$15)-1,AC$100:AG231,5,FALSE)))*EXP(-(LN(2)/$D$65+0.04)*(VLOOKUP(($F$16-$F$15)*2-1,AC$100:AG231,4,FALSE)))*EXP(-(LN(2)/$D$65+0.1)*(VLOOKUP(($F$16-$F$15)*2-1,AC$100:AG231,5,FALSE)))*EXP(-(LN(2)/$D$65+0.04)*AF231)*EXP(-(LN(2)/$D$65+0.1)*AG231),"-"))),"-")</f>
        <v>-</v>
      </c>
      <c r="AK231" s="227">
        <f t="shared" si="215"/>
        <v>131</v>
      </c>
      <c r="AL231" s="226" t="str">
        <f t="shared" si="189"/>
        <v>-</v>
      </c>
      <c r="AM231" s="227" t="str">
        <f t="shared" si="216"/>
        <v>-</v>
      </c>
      <c r="AN231" s="227" t="str">
        <f t="shared" si="217"/>
        <v>-</v>
      </c>
      <c r="AO231" s="227" t="str">
        <f t="shared" si="190"/>
        <v>-</v>
      </c>
      <c r="AP231" s="273">
        <f t="shared" si="218"/>
        <v>0.1</v>
      </c>
      <c r="AQ231" s="271" t="str">
        <f>IFERROR(IF(AL230=1,AQ$100*EXP(-(LN(2)/$D$65+0.04)*AN230)*EXP(-(LN(2)/$D$65+0.1)*AO230),IF(AL230=2,AQ$100*EXP(-(LN(2)/$D$65+0.04)*(VLOOKUP(($F$16-$F$15)-1,AK$99:AO230,4,FALSE)))*EXP(-(LN(2)/$D$65+0.1)*(VLOOKUP(($F$16-$F$15)-1,AK$99:AO230,5,FALSE)))*EXP(-(LN(2)/$D$65+0.04)*AN230)*EXP(-(LN(2)/$D$65+0.1)*AO230),IF(AL230=3,AQ$100*EXP(-(LN(2)/$D$65+0.04)*(VLOOKUP(($F$16-$F$15)-1,AK$99:AO230,4,FALSE)))*EXP(-(LN(2)/$D$65+0.1)*(VLOOKUP(($F$16-$F$15)-1,AK$99:AO230,5,FALSE)))*EXP(-(LN(2)/$D$65+0.04)*(VLOOKUP(($F$16-$F$15)*2-1,AK$99:AO230,4,FALSE)))*EXP(-(LN(2)/$D$65+0.1)*(VLOOKUP(($F$16-$F$15)*2-1,AK$99:AO230,5,FALSE)))*EXP(-(LN(2)/$D$65+0.04)*AN230)*EXP(-(LN(2)/$D$65+0.1)*AO230),"-"))),"-")</f>
        <v>-</v>
      </c>
      <c r="AR231" s="271" t="str">
        <f>IFERROR(IF(AL231=1,AR$100*EXP(-(LN(2)/$D$65+0.04)*AN231)*EXP(-(LN(2)/$D$65+0.1)*AO231),IF(AL231=2,AR$100*EXP(-(LN(2)/$D$65+0.04)*(VLOOKUP(($F$16-$F$15)-1,AK$100:AO231,4,FALSE)))*EXP(-(LN(2)/$D$65+0.1)*(VLOOKUP(($F$16-$F$15)-1,AK$100:AO231,5,FALSE)))*EXP(-(LN(2)/$D$65+0.04)*AN231)*EXP(-(LN(2)/$D$65+0.1)*AO231),IF(AL231=3,AR$100*EXP(-(LN(2)/$D$65+0.04)*(VLOOKUP(($F$16-$F$15)-1,AK$100:AO231,4,FALSE)))*EXP(-(LN(2)/$D$65+0.1)*(VLOOKUP(($F$16-$F$15)-1,AK$100:AO231,5,FALSE)))*EXP(-(LN(2)/$D$65+0.04)*(VLOOKUP(($F$16-$F$15)*2-1,AK$100:AO231,4,FALSE)))*EXP(-(LN(2)/$D$65+0.1)*(VLOOKUP(($F$16-$F$15)*2-1,AK$100:AO231,5,FALSE)))*EXP(-(LN(2)/$D$65+0.04)*AN231)*EXP(-(LN(2)/$D$65+0.1)*AO231),"-"))),"-")</f>
        <v>-</v>
      </c>
      <c r="AS231" s="274">
        <f t="shared" si="191"/>
        <v>0</v>
      </c>
      <c r="AT231" s="274">
        <f t="shared" si="192"/>
        <v>0</v>
      </c>
      <c r="AU231" s="274">
        <f t="shared" si="193"/>
        <v>0</v>
      </c>
      <c r="AV231" s="190" t="str">
        <f>IF($B231&lt;$F$22,SUM($T$100:$T231),"")</f>
        <v/>
      </c>
      <c r="AW231" s="190" t="str">
        <f t="shared" si="194"/>
        <v>-</v>
      </c>
      <c r="AX231" s="190" t="str">
        <f t="shared" si="219"/>
        <v/>
      </c>
      <c r="AY231"/>
      <c r="AZ231" s="190" t="str">
        <f ca="1">IF(ISNUMBER(OFFSET(AV231,-$F$21,0)),SUM(OFFSET($T$100,$F$21,0):$T231),"")</f>
        <v/>
      </c>
      <c r="BA231" s="190" t="str">
        <f t="shared" ca="1" si="195"/>
        <v/>
      </c>
      <c r="BB231" s="190" t="str">
        <f t="shared" ca="1" si="148"/>
        <v/>
      </c>
      <c r="BC231" s="190"/>
      <c r="BD231" s="190" t="str">
        <f ca="1">IFERROR(IF(OR(ISNUMBER(I),ISNUMBER($F$14)),IF(AND($B231&gt;=($F$16-$F$15),$B231&lt;$F$22+($F$16-$F$15)),SUM(OFFSET($T$100,($F$16-$F$15),0):$T231),""),""),"")</f>
        <v/>
      </c>
      <c r="BE231" s="190" t="str">
        <f t="shared" ca="1" si="220"/>
        <v/>
      </c>
      <c r="BF231" s="190" t="str">
        <f t="shared" ca="1" si="221"/>
        <v/>
      </c>
      <c r="BG231"/>
      <c r="BH231" s="190" t="str">
        <f ca="1">IF(ISNUMBER(OFFSET(BD231,-$F$21,0)),SUM(OFFSET($T$100,($F$16-$F$15+$F$21),0):$T231),"")</f>
        <v/>
      </c>
      <c r="BI231" s="190" t="str">
        <f t="shared" ca="1" si="196"/>
        <v/>
      </c>
      <c r="BJ231" s="190" t="str">
        <f t="shared" ca="1" si="222"/>
        <v/>
      </c>
      <c r="BK231" s="190"/>
      <c r="BL231" s="190" t="str">
        <f ca="1">IFERROR(IF(OR(ISNUMBER(I),ISNUMBER($F$14)),IF(AND($B231&gt;=($F$17-$F$15),$B231&lt;$F$22+($F$17-$F$15)),SUM(OFFSET($T$100,($F$17-$F$15),0):$T231),""),""),"")</f>
        <v/>
      </c>
      <c r="BM231" s="190" t="str">
        <f t="shared" ca="1" si="197"/>
        <v/>
      </c>
      <c r="BN231" s="190" t="str">
        <f t="shared" ca="1" si="223"/>
        <v/>
      </c>
      <c r="BO231"/>
      <c r="BP231" s="190" t="str">
        <f ca="1">IF(ISNUMBER(OFFSET(BL231,-$F$21,0)),SUM(OFFSET($T$100,($F$17-$F$15+$F$21),0):$T231),"")</f>
        <v/>
      </c>
      <c r="BQ231" s="190" t="str">
        <f t="shared" ca="1" si="198"/>
        <v/>
      </c>
      <c r="BR231" s="190" t="str">
        <f t="shared" ca="1" si="224"/>
        <v/>
      </c>
      <c r="BS231" s="190"/>
      <c r="BT231"/>
      <c r="BU231"/>
      <c r="BV231"/>
      <c r="BY231" s="99"/>
      <c r="BZ231" s="99"/>
      <c r="CA231" s="280" t="str">
        <f t="shared" si="199"/>
        <v/>
      </c>
      <c r="CB231" s="71" t="str">
        <f t="shared" si="200"/>
        <v>-</v>
      </c>
      <c r="CC231" s="33"/>
      <c r="CD231" s="261" t="str">
        <f t="shared" si="201"/>
        <v/>
      </c>
      <c r="CE231" s="280" t="str">
        <f t="shared" si="202"/>
        <v/>
      </c>
      <c r="CF231" s="71" t="str">
        <f t="shared" ca="1" si="203"/>
        <v/>
      </c>
      <c r="CG231" s="33" t="str">
        <f t="shared" si="204"/>
        <v/>
      </c>
      <c r="CH231" s="261" t="str">
        <f t="shared" ca="1" si="205"/>
        <v/>
      </c>
    </row>
    <row r="232" spans="2:86" ht="13.5" customHeight="1" x14ac:dyDescent="0.2">
      <c r="B232" s="262">
        <v>132</v>
      </c>
      <c r="C232" s="237" t="str">
        <f t="shared" si="169"/>
        <v/>
      </c>
      <c r="D232" s="237" t="str">
        <f t="shared" si="225"/>
        <v/>
      </c>
      <c r="E232" s="263" t="str">
        <f t="shared" si="206"/>
        <v/>
      </c>
      <c r="F232" s="264" t="str">
        <f t="shared" si="207"/>
        <v/>
      </c>
      <c r="G232" s="264" t="str">
        <f t="shared" si="208"/>
        <v/>
      </c>
      <c r="H232" s="240" t="str">
        <f t="shared" si="170"/>
        <v/>
      </c>
      <c r="I232" s="265" t="str">
        <f t="shared" si="171"/>
        <v/>
      </c>
      <c r="J232" s="265" t="str">
        <f t="shared" si="172"/>
        <v/>
      </c>
      <c r="K232" s="240" t="str">
        <f t="shared" si="173"/>
        <v/>
      </c>
      <c r="L232" s="265" t="str">
        <f t="shared" si="174"/>
        <v/>
      </c>
      <c r="M232" s="265" t="str">
        <f t="shared" si="175"/>
        <v/>
      </c>
      <c r="N232" s="240" t="str">
        <f t="shared" si="176"/>
        <v>-</v>
      </c>
      <c r="O232" s="265" t="str">
        <f t="shared" si="177"/>
        <v>-</v>
      </c>
      <c r="P232" s="265" t="str">
        <f t="shared" si="178"/>
        <v>-</v>
      </c>
      <c r="Q232" s="266" t="str">
        <f t="shared" si="179"/>
        <v>-</v>
      </c>
      <c r="R232" s="267" t="str">
        <f t="shared" si="180"/>
        <v>-</v>
      </c>
      <c r="S232" s="268" t="str">
        <f t="shared" si="181"/>
        <v>-</v>
      </c>
      <c r="T232" s="269" t="str">
        <f t="shared" si="182"/>
        <v/>
      </c>
      <c r="U232" s="221">
        <f t="shared" si="183"/>
        <v>132</v>
      </c>
      <c r="V232" s="220" t="str">
        <f t="shared" si="209"/>
        <v>-</v>
      </c>
      <c r="W232" s="221" t="str">
        <f t="shared" si="210"/>
        <v>-</v>
      </c>
      <c r="X232" s="221" t="str">
        <f t="shared" si="184"/>
        <v>-</v>
      </c>
      <c r="Y232" s="221" t="str">
        <f t="shared" si="185"/>
        <v>-</v>
      </c>
      <c r="Z232" s="270">
        <f t="shared" si="211"/>
        <v>0.1</v>
      </c>
      <c r="AA232" s="271" t="str">
        <f>IFERROR(IF(V231=1,AA$100*EXP(-(LN(2)/$D$65+0.04)*X231)*EXP(-(LN(2)/$D$65+0.1)*Y231),IF(V231=2,AA$100*EXP(-(LN(2)/$D$65+0.04)*(VLOOKUP(($F$16-$F$15)-1,U$99:Y231,4,FALSE)))*EXP(-(LN(2)/$D$65+0.1)*(VLOOKUP(($F$16-$F$15)-1,U$99:Y231,5,FALSE)))*EXP(-(LN(2)/$D$65+0.04)*X231)*EXP(-(LN(2)/$D$65+0.1)*Y231),IF(V231=3,AA$100*EXP(-(LN(2)/$D$65+0.04)*(VLOOKUP(($F$16-$F$15)-1,U$99:Y231,4,FALSE)))*EXP(-(LN(2)/$D$65+0.1)*(VLOOKUP(($F$16-$F$15)-1,U$99:Y231,5,FALSE)))*EXP(-(LN(2)/$D$65+0.04)*(VLOOKUP(($F$16-$F$15)*2-1,U$99:Y231,4,FALSE)))*EXP(-(LN(2)/$D$65+0.1)*(VLOOKUP(($F$16-$F$15)*2-1,U$99:Y231,5,FALSE)))*EXP(-(LN(2)/$D$65+0.04)*X231)*EXP(-(LN(2)/$D$65+0.1)*Y231),"-"))),"-")</f>
        <v>-</v>
      </c>
      <c r="AB232" s="271" t="str">
        <f>IFERROR(IF(V232=1,AB$100*EXP(-(LN(2)/$D$65+0.04)*X232)*EXP(-(LN(2)/$D$65+0.1)*Y232),IF(V232=2,AB$100*EXP(-(LN(2)/$D$65+0.04)*(VLOOKUP(($F$16-$F$15)-1,U$100:Y232,4,FALSE)))*EXP(-(LN(2)/$D$65+0.1)*(VLOOKUP(($F$16-$F$15)-1,U$100:Y232,5,FALSE)))*EXP(-(LN(2)/$D$65+0.04)*X232)*EXP(-(LN(2)/$D$65+0.1)*Y232),IF(V232=3,AB$100*EXP(-(LN(2)/$D$65+0.04)*(VLOOKUP(($F$16-$F$15)-1,U$100:Y232,4,FALSE)))*EXP(-(LN(2)/$D$65+0.1)*(VLOOKUP(($F$16-$F$15)-1,U$100:Y232,5,FALSE)))*EXP(-(LN(2)/$D$65+0.04)*(VLOOKUP(($F$16-$F$15)*2-1,U$100:Y232,4,FALSE)))*EXP(-(LN(2)/$D$65+0.1)*(VLOOKUP(($F$16-$F$15)*2-1,U$100:Y232,5,FALSE)))*EXP(-(LN(2)/$D$65+0.04)*X232)*EXP(-(LN(2)/$D$65+0.1)*Y232),"-"))),"-")</f>
        <v>-</v>
      </c>
      <c r="AC232" s="224">
        <f t="shared" si="212"/>
        <v>132</v>
      </c>
      <c r="AD232" s="223" t="str">
        <f t="shared" si="186"/>
        <v>-</v>
      </c>
      <c r="AE232" s="224" t="str">
        <f t="shared" si="213"/>
        <v>-</v>
      </c>
      <c r="AF232" s="224" t="str">
        <f t="shared" si="187"/>
        <v>-</v>
      </c>
      <c r="AG232" s="224" t="str">
        <f t="shared" si="188"/>
        <v>-</v>
      </c>
      <c r="AH232" s="272">
        <f t="shared" si="214"/>
        <v>0.1</v>
      </c>
      <c r="AI232" s="271" t="str">
        <f>IFERROR(IF(AD231=1,AI$100*EXP(-(LN(2)/$D$65+0.04)*AF231)*EXP(-(LN(2)/$D$65+0.1)*AG231),IF(AD231=2,AI$100*EXP(-(LN(2)/$D$65+0.04)*(VLOOKUP(($F$16-$F$15)-1,AC$99:AG231,4,FALSE)))*EXP(-(LN(2)/$D$65+0.1)*(VLOOKUP(($F$16-$F$15)-1,AC$99:AG231,5,FALSE)))*EXP(-(LN(2)/$D$65+0.04)*AF231)*EXP(-(LN(2)/$D$65+0.1)*AG231),IF(AD231=3,AI$100*EXP(-(LN(2)/$D$65+0.04)*(VLOOKUP(($F$16-$F$15)-1,AC$99:AG231,4,FALSE)))*EXP(-(LN(2)/$D$65+0.1)*(VLOOKUP(($F$16-$F$15)-1,AC$99:AG231,5,FALSE)))*EXP(-(LN(2)/$D$65+0.04)*(VLOOKUP(($F$16-$F$15)*2-1,AC$99:AG231,4,FALSE)))*EXP(-(LN(2)/$D$65+0.1)*(VLOOKUP(($F$16-$F$15)*2-1,AC$99:AG231,5,FALSE)))*EXP(-(LN(2)/$D$65+0.04)*AF231)*EXP(-(LN(2)/$D$65+0.1)*AG231),"-"))),"-")</f>
        <v>-</v>
      </c>
      <c r="AJ232" s="271" t="str">
        <f>IFERROR(IF(AD232=1,AJ$100*EXP(-(LN(2)/$D$65+0.04)*AF232)*EXP(-(LN(2)/$D$65+0.1)*AG232),IF(AD232=2,AJ$100*EXP(-(LN(2)/$D$65+0.04)*(VLOOKUP(($F$16-$F$15)-1,AC$100:AG232,4,FALSE)))*EXP(-(LN(2)/$D$65+0.1)*(VLOOKUP(($F$16-$F$15)-1,AC$100:AG232,5,FALSE)))*EXP(-(LN(2)/$D$65+0.04)*AF232)*EXP(-(LN(2)/$D$65+0.1)*AG232),IF(AD232=3,AJ$100*EXP(-(LN(2)/$D$65+0.04)*(VLOOKUP(($F$16-$F$15)-1,AC$100:AG232,4,FALSE)))*EXP(-(LN(2)/$D$65+0.1)*(VLOOKUP(($F$16-$F$15)-1,AC$100:AG232,5,FALSE)))*EXP(-(LN(2)/$D$65+0.04)*(VLOOKUP(($F$16-$F$15)*2-1,AC$100:AG232,4,FALSE)))*EXP(-(LN(2)/$D$65+0.1)*(VLOOKUP(($F$16-$F$15)*2-1,AC$100:AG232,5,FALSE)))*EXP(-(LN(2)/$D$65+0.04)*AF232)*EXP(-(LN(2)/$D$65+0.1)*AG232),"-"))),"-")</f>
        <v>-</v>
      </c>
      <c r="AK232" s="227">
        <f t="shared" si="215"/>
        <v>132</v>
      </c>
      <c r="AL232" s="226" t="str">
        <f t="shared" si="189"/>
        <v>-</v>
      </c>
      <c r="AM232" s="227" t="str">
        <f t="shared" si="216"/>
        <v>-</v>
      </c>
      <c r="AN232" s="227" t="str">
        <f t="shared" si="217"/>
        <v>-</v>
      </c>
      <c r="AO232" s="227" t="str">
        <f t="shared" si="190"/>
        <v>-</v>
      </c>
      <c r="AP232" s="273">
        <f t="shared" si="218"/>
        <v>0.1</v>
      </c>
      <c r="AQ232" s="271" t="str">
        <f>IFERROR(IF(AL231=1,AQ$100*EXP(-(LN(2)/$D$65+0.04)*AN231)*EXP(-(LN(2)/$D$65+0.1)*AO231),IF(AL231=2,AQ$100*EXP(-(LN(2)/$D$65+0.04)*(VLOOKUP(($F$16-$F$15)-1,AK$99:AO231,4,FALSE)))*EXP(-(LN(2)/$D$65+0.1)*(VLOOKUP(($F$16-$F$15)-1,AK$99:AO231,5,FALSE)))*EXP(-(LN(2)/$D$65+0.04)*AN231)*EXP(-(LN(2)/$D$65+0.1)*AO231),IF(AL231=3,AQ$100*EXP(-(LN(2)/$D$65+0.04)*(VLOOKUP(($F$16-$F$15)-1,AK$99:AO231,4,FALSE)))*EXP(-(LN(2)/$D$65+0.1)*(VLOOKUP(($F$16-$F$15)-1,AK$99:AO231,5,FALSE)))*EXP(-(LN(2)/$D$65+0.04)*(VLOOKUP(($F$16-$F$15)*2-1,AK$99:AO231,4,FALSE)))*EXP(-(LN(2)/$D$65+0.1)*(VLOOKUP(($F$16-$F$15)*2-1,AK$99:AO231,5,FALSE)))*EXP(-(LN(2)/$D$65+0.04)*AN231)*EXP(-(LN(2)/$D$65+0.1)*AO231),"-"))),"-")</f>
        <v>-</v>
      </c>
      <c r="AR232" s="271" t="str">
        <f>IFERROR(IF(AL232=1,AR$100*EXP(-(LN(2)/$D$65+0.04)*AN232)*EXP(-(LN(2)/$D$65+0.1)*AO232),IF(AL232=2,AR$100*EXP(-(LN(2)/$D$65+0.04)*(VLOOKUP(($F$16-$F$15)-1,AK$100:AO232,4,FALSE)))*EXP(-(LN(2)/$D$65+0.1)*(VLOOKUP(($F$16-$F$15)-1,AK$100:AO232,5,FALSE)))*EXP(-(LN(2)/$D$65+0.04)*AN232)*EXP(-(LN(2)/$D$65+0.1)*AO232),IF(AL232=3,AR$100*EXP(-(LN(2)/$D$65+0.04)*(VLOOKUP(($F$16-$F$15)-1,AK$100:AO232,4,FALSE)))*EXP(-(LN(2)/$D$65+0.1)*(VLOOKUP(($F$16-$F$15)-1,AK$100:AO232,5,FALSE)))*EXP(-(LN(2)/$D$65+0.04)*(VLOOKUP(($F$16-$F$15)*2-1,AK$100:AO232,4,FALSE)))*EXP(-(LN(2)/$D$65+0.1)*(VLOOKUP(($F$16-$F$15)*2-1,AK$100:AO232,5,FALSE)))*EXP(-(LN(2)/$D$65+0.04)*AN232)*EXP(-(LN(2)/$D$65+0.1)*AO232),"-"))),"-")</f>
        <v>-</v>
      </c>
      <c r="AS232" s="274">
        <f t="shared" si="191"/>
        <v>0</v>
      </c>
      <c r="AT232" s="274">
        <f t="shared" si="192"/>
        <v>0</v>
      </c>
      <c r="AU232" s="274">
        <f t="shared" si="193"/>
        <v>0</v>
      </c>
      <c r="AV232" s="190" t="str">
        <f>IF($B232&lt;$F$22,SUM($T$100:$T232),"")</f>
        <v/>
      </c>
      <c r="AW232" s="190" t="str">
        <f t="shared" si="194"/>
        <v>-</v>
      </c>
      <c r="AX232" s="190" t="str">
        <f t="shared" si="219"/>
        <v/>
      </c>
      <c r="AY232"/>
      <c r="AZ232" s="190" t="str">
        <f ca="1">IF(ISNUMBER(OFFSET(AV232,-$F$21,0)),SUM(OFFSET($T$100,$F$21,0):$T232),"")</f>
        <v/>
      </c>
      <c r="BA232" s="190" t="str">
        <f t="shared" ca="1" si="195"/>
        <v/>
      </c>
      <c r="BB232" s="190" t="str">
        <f t="shared" ca="1" si="148"/>
        <v/>
      </c>
      <c r="BC232" s="190"/>
      <c r="BD232" s="190" t="str">
        <f ca="1">IFERROR(IF(OR(ISNUMBER(I),ISNUMBER($F$14)),IF(AND($B232&gt;=($F$16-$F$15),$B232&lt;$F$22+($F$16-$F$15)),SUM(OFFSET($T$100,($F$16-$F$15),0):$T232),""),""),"")</f>
        <v/>
      </c>
      <c r="BE232" s="190" t="str">
        <f t="shared" ca="1" si="220"/>
        <v/>
      </c>
      <c r="BF232" s="190" t="str">
        <f t="shared" ca="1" si="221"/>
        <v/>
      </c>
      <c r="BG232"/>
      <c r="BH232" s="190" t="str">
        <f ca="1">IF(ISNUMBER(OFFSET(BD232,-$F$21,0)),SUM(OFFSET($T$100,($F$16-$F$15+$F$21),0):$T232),"")</f>
        <v/>
      </c>
      <c r="BI232" s="190" t="str">
        <f t="shared" ca="1" si="196"/>
        <v/>
      </c>
      <c r="BJ232" s="190" t="str">
        <f t="shared" ca="1" si="222"/>
        <v/>
      </c>
      <c r="BK232" s="190"/>
      <c r="BL232" s="190" t="str">
        <f ca="1">IFERROR(IF(OR(ISNUMBER(I),ISNUMBER($F$14)),IF(AND($B232&gt;=($F$17-$F$15),$B232&lt;$F$22+($F$17-$F$15)),SUM(OFFSET($T$100,($F$17-$F$15),0):$T232),""),""),"")</f>
        <v/>
      </c>
      <c r="BM232" s="190" t="str">
        <f t="shared" ca="1" si="197"/>
        <v/>
      </c>
      <c r="BN232" s="190" t="str">
        <f t="shared" ca="1" si="223"/>
        <v/>
      </c>
      <c r="BO232"/>
      <c r="BP232" s="190" t="str">
        <f ca="1">IF(ISNUMBER(OFFSET(BL232,-$F$21,0)),SUM(OFFSET($T$100,($F$17-$F$15+$F$21),0):$T232),"")</f>
        <v/>
      </c>
      <c r="BQ232" s="190" t="str">
        <f t="shared" ca="1" si="198"/>
        <v/>
      </c>
      <c r="BR232" s="190" t="str">
        <f t="shared" ca="1" si="224"/>
        <v/>
      </c>
      <c r="BS232" s="190"/>
      <c r="BT232"/>
      <c r="BU232"/>
      <c r="BV232"/>
      <c r="BY232" s="99"/>
      <c r="BZ232" s="99"/>
      <c r="CA232" s="280" t="str">
        <f t="shared" si="199"/>
        <v/>
      </c>
      <c r="CB232" s="71" t="str">
        <f t="shared" si="200"/>
        <v>-</v>
      </c>
      <c r="CC232" s="33"/>
      <c r="CD232" s="261" t="str">
        <f t="shared" si="201"/>
        <v/>
      </c>
      <c r="CE232" s="280" t="str">
        <f t="shared" si="202"/>
        <v/>
      </c>
      <c r="CF232" s="71" t="str">
        <f t="shared" ca="1" si="203"/>
        <v/>
      </c>
      <c r="CG232" s="33" t="str">
        <f t="shared" si="204"/>
        <v/>
      </c>
      <c r="CH232" s="261" t="str">
        <f t="shared" ca="1" si="205"/>
        <v/>
      </c>
    </row>
    <row r="233" spans="2:86" ht="13.5" customHeight="1" x14ac:dyDescent="0.2">
      <c r="B233" s="262">
        <v>133</v>
      </c>
      <c r="C233" s="237" t="str">
        <f t="shared" si="169"/>
        <v/>
      </c>
      <c r="D233" s="237" t="str">
        <f t="shared" si="225"/>
        <v/>
      </c>
      <c r="E233" s="263" t="str">
        <f t="shared" si="206"/>
        <v/>
      </c>
      <c r="F233" s="264" t="str">
        <f t="shared" si="207"/>
        <v/>
      </c>
      <c r="G233" s="264" t="str">
        <f t="shared" si="208"/>
        <v/>
      </c>
      <c r="H233" s="240" t="str">
        <f t="shared" si="170"/>
        <v/>
      </c>
      <c r="I233" s="265" t="str">
        <f t="shared" si="171"/>
        <v/>
      </c>
      <c r="J233" s="265" t="str">
        <f t="shared" si="172"/>
        <v/>
      </c>
      <c r="K233" s="240" t="str">
        <f t="shared" si="173"/>
        <v/>
      </c>
      <c r="L233" s="265" t="str">
        <f t="shared" si="174"/>
        <v/>
      </c>
      <c r="M233" s="265" t="str">
        <f t="shared" si="175"/>
        <v/>
      </c>
      <c r="N233" s="240" t="str">
        <f t="shared" si="176"/>
        <v>-</v>
      </c>
      <c r="O233" s="265" t="str">
        <f t="shared" si="177"/>
        <v>-</v>
      </c>
      <c r="P233" s="265" t="str">
        <f t="shared" si="178"/>
        <v>-</v>
      </c>
      <c r="Q233" s="266" t="str">
        <f t="shared" si="179"/>
        <v>-</v>
      </c>
      <c r="R233" s="267" t="str">
        <f t="shared" si="180"/>
        <v>-</v>
      </c>
      <c r="S233" s="268" t="str">
        <f t="shared" si="181"/>
        <v>-</v>
      </c>
      <c r="T233" s="269" t="str">
        <f t="shared" si="182"/>
        <v/>
      </c>
      <c r="U233" s="221">
        <f t="shared" si="183"/>
        <v>133</v>
      </c>
      <c r="V233" s="220" t="str">
        <f t="shared" si="209"/>
        <v>-</v>
      </c>
      <c r="W233" s="221" t="str">
        <f t="shared" si="210"/>
        <v>-</v>
      </c>
      <c r="X233" s="221" t="str">
        <f t="shared" si="184"/>
        <v>-</v>
      </c>
      <c r="Y233" s="221" t="str">
        <f t="shared" si="185"/>
        <v>-</v>
      </c>
      <c r="Z233" s="270">
        <f t="shared" si="211"/>
        <v>0.1</v>
      </c>
      <c r="AA233" s="271" t="str">
        <f>IFERROR(IF(V232=1,AA$100*EXP(-(LN(2)/$D$65+0.04)*X232)*EXP(-(LN(2)/$D$65+0.1)*Y232),IF(V232=2,AA$100*EXP(-(LN(2)/$D$65+0.04)*(VLOOKUP(($F$16-$F$15)-1,U$99:Y232,4,FALSE)))*EXP(-(LN(2)/$D$65+0.1)*(VLOOKUP(($F$16-$F$15)-1,U$99:Y232,5,FALSE)))*EXP(-(LN(2)/$D$65+0.04)*X232)*EXP(-(LN(2)/$D$65+0.1)*Y232),IF(V232=3,AA$100*EXP(-(LN(2)/$D$65+0.04)*(VLOOKUP(($F$16-$F$15)-1,U$99:Y232,4,FALSE)))*EXP(-(LN(2)/$D$65+0.1)*(VLOOKUP(($F$16-$F$15)-1,U$99:Y232,5,FALSE)))*EXP(-(LN(2)/$D$65+0.04)*(VLOOKUP(($F$16-$F$15)*2-1,U$99:Y232,4,FALSE)))*EXP(-(LN(2)/$D$65+0.1)*(VLOOKUP(($F$16-$F$15)*2-1,U$99:Y232,5,FALSE)))*EXP(-(LN(2)/$D$65+0.04)*X232)*EXP(-(LN(2)/$D$65+0.1)*Y232),"-"))),"-")</f>
        <v>-</v>
      </c>
      <c r="AB233" s="271" t="str">
        <f>IFERROR(IF(V233=1,AB$100*EXP(-(LN(2)/$D$65+0.04)*X233)*EXP(-(LN(2)/$D$65+0.1)*Y233),IF(V233=2,AB$100*EXP(-(LN(2)/$D$65+0.04)*(VLOOKUP(($F$16-$F$15)-1,U$100:Y233,4,FALSE)))*EXP(-(LN(2)/$D$65+0.1)*(VLOOKUP(($F$16-$F$15)-1,U$100:Y233,5,FALSE)))*EXP(-(LN(2)/$D$65+0.04)*X233)*EXP(-(LN(2)/$D$65+0.1)*Y233),IF(V233=3,AB$100*EXP(-(LN(2)/$D$65+0.04)*(VLOOKUP(($F$16-$F$15)-1,U$100:Y233,4,FALSE)))*EXP(-(LN(2)/$D$65+0.1)*(VLOOKUP(($F$16-$F$15)-1,U$100:Y233,5,FALSE)))*EXP(-(LN(2)/$D$65+0.04)*(VLOOKUP(($F$16-$F$15)*2-1,U$100:Y233,4,FALSE)))*EXP(-(LN(2)/$D$65+0.1)*(VLOOKUP(($F$16-$F$15)*2-1,U$100:Y233,5,FALSE)))*EXP(-(LN(2)/$D$65+0.04)*X233)*EXP(-(LN(2)/$D$65+0.1)*Y233),"-"))),"-")</f>
        <v>-</v>
      </c>
      <c r="AC233" s="224">
        <f t="shared" si="212"/>
        <v>133</v>
      </c>
      <c r="AD233" s="223" t="str">
        <f t="shared" si="186"/>
        <v>-</v>
      </c>
      <c r="AE233" s="224" t="str">
        <f t="shared" si="213"/>
        <v>-</v>
      </c>
      <c r="AF233" s="224" t="str">
        <f t="shared" si="187"/>
        <v>-</v>
      </c>
      <c r="AG233" s="224" t="str">
        <f t="shared" si="188"/>
        <v>-</v>
      </c>
      <c r="AH233" s="272">
        <f t="shared" si="214"/>
        <v>0.1</v>
      </c>
      <c r="AI233" s="271" t="str">
        <f>IFERROR(IF(AD232=1,AI$100*EXP(-(LN(2)/$D$65+0.04)*AF232)*EXP(-(LN(2)/$D$65+0.1)*AG232),IF(AD232=2,AI$100*EXP(-(LN(2)/$D$65+0.04)*(VLOOKUP(($F$16-$F$15)-1,AC$99:AG232,4,FALSE)))*EXP(-(LN(2)/$D$65+0.1)*(VLOOKUP(($F$16-$F$15)-1,AC$99:AG232,5,FALSE)))*EXP(-(LN(2)/$D$65+0.04)*AF232)*EXP(-(LN(2)/$D$65+0.1)*AG232),IF(AD232=3,AI$100*EXP(-(LN(2)/$D$65+0.04)*(VLOOKUP(($F$16-$F$15)-1,AC$99:AG232,4,FALSE)))*EXP(-(LN(2)/$D$65+0.1)*(VLOOKUP(($F$16-$F$15)-1,AC$99:AG232,5,FALSE)))*EXP(-(LN(2)/$D$65+0.04)*(VLOOKUP(($F$16-$F$15)*2-1,AC$99:AG232,4,FALSE)))*EXP(-(LN(2)/$D$65+0.1)*(VLOOKUP(($F$16-$F$15)*2-1,AC$99:AG232,5,FALSE)))*EXP(-(LN(2)/$D$65+0.04)*AF232)*EXP(-(LN(2)/$D$65+0.1)*AG232),"-"))),"-")</f>
        <v>-</v>
      </c>
      <c r="AJ233" s="271" t="str">
        <f>IFERROR(IF(AD233=1,AJ$100*EXP(-(LN(2)/$D$65+0.04)*AF233)*EXP(-(LN(2)/$D$65+0.1)*AG233),IF(AD233=2,AJ$100*EXP(-(LN(2)/$D$65+0.04)*(VLOOKUP(($F$16-$F$15)-1,AC$100:AG233,4,FALSE)))*EXP(-(LN(2)/$D$65+0.1)*(VLOOKUP(($F$16-$F$15)-1,AC$100:AG233,5,FALSE)))*EXP(-(LN(2)/$D$65+0.04)*AF233)*EXP(-(LN(2)/$D$65+0.1)*AG233),IF(AD233=3,AJ$100*EXP(-(LN(2)/$D$65+0.04)*(VLOOKUP(($F$16-$F$15)-1,AC$100:AG233,4,FALSE)))*EXP(-(LN(2)/$D$65+0.1)*(VLOOKUP(($F$16-$F$15)-1,AC$100:AG233,5,FALSE)))*EXP(-(LN(2)/$D$65+0.04)*(VLOOKUP(($F$16-$F$15)*2-1,AC$100:AG233,4,FALSE)))*EXP(-(LN(2)/$D$65+0.1)*(VLOOKUP(($F$16-$F$15)*2-1,AC$100:AG233,5,FALSE)))*EXP(-(LN(2)/$D$65+0.04)*AF233)*EXP(-(LN(2)/$D$65+0.1)*AG233),"-"))),"-")</f>
        <v>-</v>
      </c>
      <c r="AK233" s="227">
        <f t="shared" si="215"/>
        <v>133</v>
      </c>
      <c r="AL233" s="226" t="str">
        <f t="shared" si="189"/>
        <v>-</v>
      </c>
      <c r="AM233" s="227" t="str">
        <f t="shared" si="216"/>
        <v>-</v>
      </c>
      <c r="AN233" s="227" t="str">
        <f t="shared" si="217"/>
        <v>-</v>
      </c>
      <c r="AO233" s="227" t="str">
        <f t="shared" si="190"/>
        <v>-</v>
      </c>
      <c r="AP233" s="273">
        <f t="shared" si="218"/>
        <v>0.1</v>
      </c>
      <c r="AQ233" s="271" t="str">
        <f>IFERROR(IF(AL232=1,AQ$100*EXP(-(LN(2)/$D$65+0.04)*AN232)*EXP(-(LN(2)/$D$65+0.1)*AO232),IF(AL232=2,AQ$100*EXP(-(LN(2)/$D$65+0.04)*(VLOOKUP(($F$16-$F$15)-1,AK$99:AO232,4,FALSE)))*EXP(-(LN(2)/$D$65+0.1)*(VLOOKUP(($F$16-$F$15)-1,AK$99:AO232,5,FALSE)))*EXP(-(LN(2)/$D$65+0.04)*AN232)*EXP(-(LN(2)/$D$65+0.1)*AO232),IF(AL232=3,AQ$100*EXP(-(LN(2)/$D$65+0.04)*(VLOOKUP(($F$16-$F$15)-1,AK$99:AO232,4,FALSE)))*EXP(-(LN(2)/$D$65+0.1)*(VLOOKUP(($F$16-$F$15)-1,AK$99:AO232,5,FALSE)))*EXP(-(LN(2)/$D$65+0.04)*(VLOOKUP(($F$16-$F$15)*2-1,AK$99:AO232,4,FALSE)))*EXP(-(LN(2)/$D$65+0.1)*(VLOOKUP(($F$16-$F$15)*2-1,AK$99:AO232,5,FALSE)))*EXP(-(LN(2)/$D$65+0.04)*AN232)*EXP(-(LN(2)/$D$65+0.1)*AO232),"-"))),"-")</f>
        <v>-</v>
      </c>
      <c r="AR233" s="271" t="str">
        <f>IFERROR(IF(AL233=1,AR$100*EXP(-(LN(2)/$D$65+0.04)*AN233)*EXP(-(LN(2)/$D$65+0.1)*AO233),IF(AL233=2,AR$100*EXP(-(LN(2)/$D$65+0.04)*(VLOOKUP(($F$16-$F$15)-1,AK$100:AO233,4,FALSE)))*EXP(-(LN(2)/$D$65+0.1)*(VLOOKUP(($F$16-$F$15)-1,AK$100:AO233,5,FALSE)))*EXP(-(LN(2)/$D$65+0.04)*AN233)*EXP(-(LN(2)/$D$65+0.1)*AO233),IF(AL233=3,AR$100*EXP(-(LN(2)/$D$65+0.04)*(VLOOKUP(($F$16-$F$15)-1,AK$100:AO233,4,FALSE)))*EXP(-(LN(2)/$D$65+0.1)*(VLOOKUP(($F$16-$F$15)-1,AK$100:AO233,5,FALSE)))*EXP(-(LN(2)/$D$65+0.04)*(VLOOKUP(($F$16-$F$15)*2-1,AK$100:AO233,4,FALSE)))*EXP(-(LN(2)/$D$65+0.1)*(VLOOKUP(($F$16-$F$15)*2-1,AK$100:AO233,5,FALSE)))*EXP(-(LN(2)/$D$65+0.04)*AN233)*EXP(-(LN(2)/$D$65+0.1)*AO233),"-"))),"-")</f>
        <v>-</v>
      </c>
      <c r="AS233" s="274">
        <f t="shared" si="191"/>
        <v>0</v>
      </c>
      <c r="AT233" s="274">
        <f t="shared" si="192"/>
        <v>0</v>
      </c>
      <c r="AU233" s="274">
        <f t="shared" si="193"/>
        <v>0</v>
      </c>
      <c r="AV233" s="190" t="str">
        <f>IF($B233&lt;$F$22,SUM($T$100:$T233),"")</f>
        <v/>
      </c>
      <c r="AW233" s="190" t="str">
        <f t="shared" si="194"/>
        <v>-</v>
      </c>
      <c r="AX233" s="190" t="str">
        <f t="shared" si="219"/>
        <v/>
      </c>
      <c r="AY233"/>
      <c r="AZ233" s="190" t="str">
        <f ca="1">IF(ISNUMBER(OFFSET(AV233,-$F$21,0)),SUM(OFFSET($T$100,$F$21,0):$T233),"")</f>
        <v/>
      </c>
      <c r="BA233" s="190" t="str">
        <f t="shared" ca="1" si="195"/>
        <v/>
      </c>
      <c r="BB233" s="190" t="str">
        <f t="shared" ca="1" si="148"/>
        <v/>
      </c>
      <c r="BC233" s="190"/>
      <c r="BD233" s="190" t="str">
        <f ca="1">IFERROR(IF(OR(ISNUMBER(I),ISNUMBER($F$14)),IF(AND($B233&gt;=($F$16-$F$15),$B233&lt;$F$22+($F$16-$F$15)),SUM(OFFSET($T$100,($F$16-$F$15),0):$T233),""),""),"")</f>
        <v/>
      </c>
      <c r="BE233" s="190" t="str">
        <f t="shared" ca="1" si="220"/>
        <v/>
      </c>
      <c r="BF233" s="190" t="str">
        <f t="shared" ca="1" si="221"/>
        <v/>
      </c>
      <c r="BG233"/>
      <c r="BH233" s="190" t="str">
        <f ca="1">IF(ISNUMBER(OFFSET(BD233,-$F$21,0)),SUM(OFFSET($T$100,($F$16-$F$15+$F$21),0):$T233),"")</f>
        <v/>
      </c>
      <c r="BI233" s="190" t="str">
        <f t="shared" ca="1" si="196"/>
        <v/>
      </c>
      <c r="BJ233" s="190" t="str">
        <f t="shared" ca="1" si="222"/>
        <v/>
      </c>
      <c r="BK233" s="190"/>
      <c r="BL233" s="190" t="str">
        <f ca="1">IFERROR(IF(OR(ISNUMBER(I),ISNUMBER($F$14)),IF(AND($B233&gt;=($F$17-$F$15),$B233&lt;$F$22+($F$17-$F$15)),SUM(OFFSET($T$100,($F$17-$F$15),0):$T233),""),""),"")</f>
        <v/>
      </c>
      <c r="BM233" s="190" t="str">
        <f t="shared" ca="1" si="197"/>
        <v/>
      </c>
      <c r="BN233" s="190" t="str">
        <f t="shared" ca="1" si="223"/>
        <v/>
      </c>
      <c r="BO233"/>
      <c r="BP233" s="190" t="str">
        <f ca="1">IF(ISNUMBER(OFFSET(BL233,-$F$21,0)),SUM(OFFSET($T$100,($F$17-$F$15+$F$21),0):$T233),"")</f>
        <v/>
      </c>
      <c r="BQ233" s="190" t="str">
        <f t="shared" ca="1" si="198"/>
        <v/>
      </c>
      <c r="BR233" s="190" t="str">
        <f t="shared" ca="1" si="224"/>
        <v/>
      </c>
      <c r="BS233" s="190"/>
      <c r="BT233"/>
      <c r="BU233"/>
      <c r="BV233"/>
      <c r="BY233" s="99"/>
      <c r="BZ233" s="99"/>
      <c r="CA233" s="280" t="str">
        <f t="shared" si="199"/>
        <v/>
      </c>
      <c r="CB233" s="71" t="str">
        <f t="shared" si="200"/>
        <v>-</v>
      </c>
      <c r="CC233" s="33"/>
      <c r="CD233" s="261" t="str">
        <f t="shared" si="201"/>
        <v/>
      </c>
      <c r="CE233" s="280" t="str">
        <f t="shared" si="202"/>
        <v/>
      </c>
      <c r="CF233" s="71" t="str">
        <f t="shared" ca="1" si="203"/>
        <v/>
      </c>
      <c r="CG233" s="33" t="str">
        <f t="shared" si="204"/>
        <v/>
      </c>
      <c r="CH233" s="261" t="str">
        <f t="shared" ca="1" si="205"/>
        <v/>
      </c>
    </row>
    <row r="234" spans="2:86" ht="13.5" customHeight="1" x14ac:dyDescent="0.2">
      <c r="B234" s="262">
        <v>134</v>
      </c>
      <c r="C234" s="237" t="str">
        <f t="shared" si="169"/>
        <v/>
      </c>
      <c r="D234" s="237" t="str">
        <f t="shared" si="225"/>
        <v/>
      </c>
      <c r="E234" s="263" t="str">
        <f t="shared" si="206"/>
        <v/>
      </c>
      <c r="F234" s="264" t="str">
        <f t="shared" si="207"/>
        <v/>
      </c>
      <c r="G234" s="264" t="str">
        <f t="shared" si="208"/>
        <v/>
      </c>
      <c r="H234" s="240" t="str">
        <f t="shared" si="170"/>
        <v/>
      </c>
      <c r="I234" s="265" t="str">
        <f t="shared" si="171"/>
        <v/>
      </c>
      <c r="J234" s="265" t="str">
        <f t="shared" si="172"/>
        <v/>
      </c>
      <c r="K234" s="240" t="str">
        <f t="shared" si="173"/>
        <v/>
      </c>
      <c r="L234" s="265" t="str">
        <f t="shared" si="174"/>
        <v/>
      </c>
      <c r="M234" s="265" t="str">
        <f t="shared" si="175"/>
        <v/>
      </c>
      <c r="N234" s="240" t="str">
        <f t="shared" si="176"/>
        <v>-</v>
      </c>
      <c r="O234" s="265" t="str">
        <f t="shared" si="177"/>
        <v>-</v>
      </c>
      <c r="P234" s="265" t="str">
        <f t="shared" si="178"/>
        <v>-</v>
      </c>
      <c r="Q234" s="266" t="str">
        <f t="shared" si="179"/>
        <v>-</v>
      </c>
      <c r="R234" s="267" t="str">
        <f t="shared" si="180"/>
        <v>-</v>
      </c>
      <c r="S234" s="268" t="str">
        <f t="shared" si="181"/>
        <v>-</v>
      </c>
      <c r="T234" s="269" t="str">
        <f t="shared" si="182"/>
        <v/>
      </c>
      <c r="U234" s="221">
        <f t="shared" si="183"/>
        <v>134</v>
      </c>
      <c r="V234" s="220" t="str">
        <f t="shared" si="209"/>
        <v>-</v>
      </c>
      <c r="W234" s="221" t="str">
        <f t="shared" si="210"/>
        <v>-</v>
      </c>
      <c r="X234" s="221" t="str">
        <f t="shared" si="184"/>
        <v>-</v>
      </c>
      <c r="Y234" s="221" t="str">
        <f t="shared" si="185"/>
        <v>-</v>
      </c>
      <c r="Z234" s="270">
        <f t="shared" si="211"/>
        <v>0.1</v>
      </c>
      <c r="AA234" s="271" t="str">
        <f>IFERROR(IF(V233=1,AA$100*EXP(-(LN(2)/$D$65+0.04)*X233)*EXP(-(LN(2)/$D$65+0.1)*Y233),IF(V233=2,AA$100*EXP(-(LN(2)/$D$65+0.04)*(VLOOKUP(($F$16-$F$15)-1,U$99:Y233,4,FALSE)))*EXP(-(LN(2)/$D$65+0.1)*(VLOOKUP(($F$16-$F$15)-1,U$99:Y233,5,FALSE)))*EXP(-(LN(2)/$D$65+0.04)*X233)*EXP(-(LN(2)/$D$65+0.1)*Y233),IF(V233=3,AA$100*EXP(-(LN(2)/$D$65+0.04)*(VLOOKUP(($F$16-$F$15)-1,U$99:Y233,4,FALSE)))*EXP(-(LN(2)/$D$65+0.1)*(VLOOKUP(($F$16-$F$15)-1,U$99:Y233,5,FALSE)))*EXP(-(LN(2)/$D$65+0.04)*(VLOOKUP(($F$16-$F$15)*2-1,U$99:Y233,4,FALSE)))*EXP(-(LN(2)/$D$65+0.1)*(VLOOKUP(($F$16-$F$15)*2-1,U$99:Y233,5,FALSE)))*EXP(-(LN(2)/$D$65+0.04)*X233)*EXP(-(LN(2)/$D$65+0.1)*Y233),"-"))),"-")</f>
        <v>-</v>
      </c>
      <c r="AB234" s="271" t="str">
        <f>IFERROR(IF(V234=1,AB$100*EXP(-(LN(2)/$D$65+0.04)*X234)*EXP(-(LN(2)/$D$65+0.1)*Y234),IF(V234=2,AB$100*EXP(-(LN(2)/$D$65+0.04)*(VLOOKUP(($F$16-$F$15)-1,U$100:Y234,4,FALSE)))*EXP(-(LN(2)/$D$65+0.1)*(VLOOKUP(($F$16-$F$15)-1,U$100:Y234,5,FALSE)))*EXP(-(LN(2)/$D$65+0.04)*X234)*EXP(-(LN(2)/$D$65+0.1)*Y234),IF(V234=3,AB$100*EXP(-(LN(2)/$D$65+0.04)*(VLOOKUP(($F$16-$F$15)-1,U$100:Y234,4,FALSE)))*EXP(-(LN(2)/$D$65+0.1)*(VLOOKUP(($F$16-$F$15)-1,U$100:Y234,5,FALSE)))*EXP(-(LN(2)/$D$65+0.04)*(VLOOKUP(($F$16-$F$15)*2-1,U$100:Y234,4,FALSE)))*EXP(-(LN(2)/$D$65+0.1)*(VLOOKUP(($F$16-$F$15)*2-1,U$100:Y234,5,FALSE)))*EXP(-(LN(2)/$D$65+0.04)*X234)*EXP(-(LN(2)/$D$65+0.1)*Y234),"-"))),"-")</f>
        <v>-</v>
      </c>
      <c r="AC234" s="224">
        <f t="shared" si="212"/>
        <v>134</v>
      </c>
      <c r="AD234" s="223" t="str">
        <f t="shared" si="186"/>
        <v>-</v>
      </c>
      <c r="AE234" s="224" t="str">
        <f t="shared" si="213"/>
        <v>-</v>
      </c>
      <c r="AF234" s="224" t="str">
        <f t="shared" si="187"/>
        <v>-</v>
      </c>
      <c r="AG234" s="224" t="str">
        <f t="shared" si="188"/>
        <v>-</v>
      </c>
      <c r="AH234" s="272">
        <f t="shared" si="214"/>
        <v>0.1</v>
      </c>
      <c r="AI234" s="271" t="str">
        <f>IFERROR(IF(AD233=1,AI$100*EXP(-(LN(2)/$D$65+0.04)*AF233)*EXP(-(LN(2)/$D$65+0.1)*AG233),IF(AD233=2,AI$100*EXP(-(LN(2)/$D$65+0.04)*(VLOOKUP(($F$16-$F$15)-1,AC$99:AG233,4,FALSE)))*EXP(-(LN(2)/$D$65+0.1)*(VLOOKUP(($F$16-$F$15)-1,AC$99:AG233,5,FALSE)))*EXP(-(LN(2)/$D$65+0.04)*AF233)*EXP(-(LN(2)/$D$65+0.1)*AG233),IF(AD233=3,AI$100*EXP(-(LN(2)/$D$65+0.04)*(VLOOKUP(($F$16-$F$15)-1,AC$99:AG233,4,FALSE)))*EXP(-(LN(2)/$D$65+0.1)*(VLOOKUP(($F$16-$F$15)-1,AC$99:AG233,5,FALSE)))*EXP(-(LN(2)/$D$65+0.04)*(VLOOKUP(($F$16-$F$15)*2-1,AC$99:AG233,4,FALSE)))*EXP(-(LN(2)/$D$65+0.1)*(VLOOKUP(($F$16-$F$15)*2-1,AC$99:AG233,5,FALSE)))*EXP(-(LN(2)/$D$65+0.04)*AF233)*EXP(-(LN(2)/$D$65+0.1)*AG233),"-"))),"-")</f>
        <v>-</v>
      </c>
      <c r="AJ234" s="271" t="str">
        <f>IFERROR(IF(AD234=1,AJ$100*EXP(-(LN(2)/$D$65+0.04)*AF234)*EXP(-(LN(2)/$D$65+0.1)*AG234),IF(AD234=2,AJ$100*EXP(-(LN(2)/$D$65+0.04)*(VLOOKUP(($F$16-$F$15)-1,AC$100:AG234,4,FALSE)))*EXP(-(LN(2)/$D$65+0.1)*(VLOOKUP(($F$16-$F$15)-1,AC$100:AG234,5,FALSE)))*EXP(-(LN(2)/$D$65+0.04)*AF234)*EXP(-(LN(2)/$D$65+0.1)*AG234),IF(AD234=3,AJ$100*EXP(-(LN(2)/$D$65+0.04)*(VLOOKUP(($F$16-$F$15)-1,AC$100:AG234,4,FALSE)))*EXP(-(LN(2)/$D$65+0.1)*(VLOOKUP(($F$16-$F$15)-1,AC$100:AG234,5,FALSE)))*EXP(-(LN(2)/$D$65+0.04)*(VLOOKUP(($F$16-$F$15)*2-1,AC$100:AG234,4,FALSE)))*EXP(-(LN(2)/$D$65+0.1)*(VLOOKUP(($F$16-$F$15)*2-1,AC$100:AG234,5,FALSE)))*EXP(-(LN(2)/$D$65+0.04)*AF234)*EXP(-(LN(2)/$D$65+0.1)*AG234),"-"))),"-")</f>
        <v>-</v>
      </c>
      <c r="AK234" s="227">
        <f t="shared" si="215"/>
        <v>134</v>
      </c>
      <c r="AL234" s="226" t="str">
        <f t="shared" si="189"/>
        <v>-</v>
      </c>
      <c r="AM234" s="227" t="str">
        <f t="shared" si="216"/>
        <v>-</v>
      </c>
      <c r="AN234" s="227" t="str">
        <f t="shared" si="217"/>
        <v>-</v>
      </c>
      <c r="AO234" s="227" t="str">
        <f t="shared" si="190"/>
        <v>-</v>
      </c>
      <c r="AP234" s="273">
        <f t="shared" si="218"/>
        <v>0.1</v>
      </c>
      <c r="AQ234" s="271" t="str">
        <f>IFERROR(IF(AL233=1,AQ$100*EXP(-(LN(2)/$D$65+0.04)*AN233)*EXP(-(LN(2)/$D$65+0.1)*AO233),IF(AL233=2,AQ$100*EXP(-(LN(2)/$D$65+0.04)*(VLOOKUP(($F$16-$F$15)-1,AK$99:AO233,4,FALSE)))*EXP(-(LN(2)/$D$65+0.1)*(VLOOKUP(($F$16-$F$15)-1,AK$99:AO233,5,FALSE)))*EXP(-(LN(2)/$D$65+0.04)*AN233)*EXP(-(LN(2)/$D$65+0.1)*AO233),IF(AL233=3,AQ$100*EXP(-(LN(2)/$D$65+0.04)*(VLOOKUP(($F$16-$F$15)-1,AK$99:AO233,4,FALSE)))*EXP(-(LN(2)/$D$65+0.1)*(VLOOKUP(($F$16-$F$15)-1,AK$99:AO233,5,FALSE)))*EXP(-(LN(2)/$D$65+0.04)*(VLOOKUP(($F$16-$F$15)*2-1,AK$99:AO233,4,FALSE)))*EXP(-(LN(2)/$D$65+0.1)*(VLOOKUP(($F$16-$F$15)*2-1,AK$99:AO233,5,FALSE)))*EXP(-(LN(2)/$D$65+0.04)*AN233)*EXP(-(LN(2)/$D$65+0.1)*AO233),"-"))),"-")</f>
        <v>-</v>
      </c>
      <c r="AR234" s="271" t="str">
        <f>IFERROR(IF(AL234=1,AR$100*EXP(-(LN(2)/$D$65+0.04)*AN234)*EXP(-(LN(2)/$D$65+0.1)*AO234),IF(AL234=2,AR$100*EXP(-(LN(2)/$D$65+0.04)*(VLOOKUP(($F$16-$F$15)-1,AK$100:AO234,4,FALSE)))*EXP(-(LN(2)/$D$65+0.1)*(VLOOKUP(($F$16-$F$15)-1,AK$100:AO234,5,FALSE)))*EXP(-(LN(2)/$D$65+0.04)*AN234)*EXP(-(LN(2)/$D$65+0.1)*AO234),IF(AL234=3,AR$100*EXP(-(LN(2)/$D$65+0.04)*(VLOOKUP(($F$16-$F$15)-1,AK$100:AO234,4,FALSE)))*EXP(-(LN(2)/$D$65+0.1)*(VLOOKUP(($F$16-$F$15)-1,AK$100:AO234,5,FALSE)))*EXP(-(LN(2)/$D$65+0.04)*(VLOOKUP(($F$16-$F$15)*2-1,AK$100:AO234,4,FALSE)))*EXP(-(LN(2)/$D$65+0.1)*(VLOOKUP(($F$16-$F$15)*2-1,AK$100:AO234,5,FALSE)))*EXP(-(LN(2)/$D$65+0.04)*AN234)*EXP(-(LN(2)/$D$65+0.1)*AO234),"-"))),"-")</f>
        <v>-</v>
      </c>
      <c r="AS234" s="274">
        <f t="shared" si="191"/>
        <v>0</v>
      </c>
      <c r="AT234" s="274">
        <f t="shared" si="192"/>
        <v>0</v>
      </c>
      <c r="AU234" s="274">
        <f t="shared" si="193"/>
        <v>0</v>
      </c>
      <c r="AV234" s="190" t="str">
        <f>IF($B234&lt;$F$22,SUM($T$100:$T234),"")</f>
        <v/>
      </c>
      <c r="AW234" s="190" t="str">
        <f t="shared" si="194"/>
        <v>-</v>
      </c>
      <c r="AX234" s="190" t="str">
        <f t="shared" si="219"/>
        <v/>
      </c>
      <c r="AY234"/>
      <c r="AZ234" s="190" t="str">
        <f ca="1">IF(ISNUMBER(OFFSET(AV234,-$F$21,0)),SUM(OFFSET($T$100,$F$21,0):$T234),"")</f>
        <v/>
      </c>
      <c r="BA234" s="190" t="str">
        <f t="shared" ca="1" si="195"/>
        <v/>
      </c>
      <c r="BB234" s="190" t="str">
        <f t="shared" ca="1" si="148"/>
        <v/>
      </c>
      <c r="BC234" s="190"/>
      <c r="BD234" s="190" t="str">
        <f ca="1">IFERROR(IF(OR(ISNUMBER(I),ISNUMBER($F$14)),IF(AND($B234&gt;=($F$16-$F$15),$B234&lt;$F$22+($F$16-$F$15)),SUM(OFFSET($T$100,($F$16-$F$15),0):$T234),""),""),"")</f>
        <v/>
      </c>
      <c r="BE234" s="190" t="str">
        <f t="shared" ca="1" si="220"/>
        <v/>
      </c>
      <c r="BF234" s="190" t="str">
        <f t="shared" ca="1" si="221"/>
        <v/>
      </c>
      <c r="BG234"/>
      <c r="BH234" s="190" t="str">
        <f ca="1">IF(ISNUMBER(OFFSET(BD234,-$F$21,0)),SUM(OFFSET($T$100,($F$16-$F$15+$F$21),0):$T234),"")</f>
        <v/>
      </c>
      <c r="BI234" s="190" t="str">
        <f t="shared" ca="1" si="196"/>
        <v/>
      </c>
      <c r="BJ234" s="190" t="str">
        <f t="shared" ca="1" si="222"/>
        <v/>
      </c>
      <c r="BK234" s="190"/>
      <c r="BL234" s="190" t="str">
        <f ca="1">IFERROR(IF(OR(ISNUMBER(I),ISNUMBER($F$14)),IF(AND($B234&gt;=($F$17-$F$15),$B234&lt;$F$22+($F$17-$F$15)),SUM(OFFSET($T$100,($F$17-$F$15),0):$T234),""),""),"")</f>
        <v/>
      </c>
      <c r="BM234" s="190" t="str">
        <f t="shared" ca="1" si="197"/>
        <v/>
      </c>
      <c r="BN234" s="190" t="str">
        <f t="shared" ca="1" si="223"/>
        <v/>
      </c>
      <c r="BO234"/>
      <c r="BP234" s="190" t="str">
        <f ca="1">IF(ISNUMBER(OFFSET(BL234,-$F$21,0)),SUM(OFFSET($T$100,($F$17-$F$15+$F$21),0):$T234),"")</f>
        <v/>
      </c>
      <c r="BQ234" s="190" t="str">
        <f t="shared" ca="1" si="198"/>
        <v/>
      </c>
      <c r="BR234" s="190" t="str">
        <f t="shared" ca="1" si="224"/>
        <v/>
      </c>
      <c r="BS234" s="190"/>
      <c r="BT234"/>
      <c r="BU234"/>
      <c r="BV234"/>
      <c r="BY234" s="99"/>
      <c r="BZ234" s="99"/>
      <c r="CA234" s="280" t="str">
        <f t="shared" si="199"/>
        <v/>
      </c>
      <c r="CB234" s="71" t="str">
        <f t="shared" si="200"/>
        <v>-</v>
      </c>
      <c r="CC234" s="33"/>
      <c r="CD234" s="261" t="str">
        <f t="shared" si="201"/>
        <v/>
      </c>
      <c r="CE234" s="280" t="str">
        <f t="shared" si="202"/>
        <v/>
      </c>
      <c r="CF234" s="71" t="str">
        <f t="shared" ca="1" si="203"/>
        <v/>
      </c>
      <c r="CG234" s="33" t="str">
        <f t="shared" si="204"/>
        <v/>
      </c>
      <c r="CH234" s="261" t="str">
        <f t="shared" ca="1" si="205"/>
        <v/>
      </c>
    </row>
    <row r="235" spans="2:86" ht="13.5" customHeight="1" x14ac:dyDescent="0.2">
      <c r="B235" s="262">
        <v>135</v>
      </c>
      <c r="C235" s="237" t="str">
        <f t="shared" si="169"/>
        <v/>
      </c>
      <c r="D235" s="237" t="str">
        <f t="shared" si="225"/>
        <v/>
      </c>
      <c r="E235" s="263" t="str">
        <f t="shared" si="206"/>
        <v/>
      </c>
      <c r="F235" s="264" t="str">
        <f t="shared" si="207"/>
        <v/>
      </c>
      <c r="G235" s="264" t="str">
        <f t="shared" si="208"/>
        <v/>
      </c>
      <c r="H235" s="240" t="str">
        <f t="shared" si="170"/>
        <v/>
      </c>
      <c r="I235" s="265" t="str">
        <f t="shared" si="171"/>
        <v/>
      </c>
      <c r="J235" s="265" t="str">
        <f t="shared" si="172"/>
        <v/>
      </c>
      <c r="K235" s="240" t="str">
        <f t="shared" si="173"/>
        <v/>
      </c>
      <c r="L235" s="265" t="str">
        <f t="shared" si="174"/>
        <v/>
      </c>
      <c r="M235" s="265" t="str">
        <f t="shared" si="175"/>
        <v/>
      </c>
      <c r="N235" s="240" t="str">
        <f t="shared" si="176"/>
        <v>-</v>
      </c>
      <c r="O235" s="265" t="str">
        <f t="shared" si="177"/>
        <v>-</v>
      </c>
      <c r="P235" s="265" t="str">
        <f t="shared" si="178"/>
        <v>-</v>
      </c>
      <c r="Q235" s="266" t="str">
        <f t="shared" si="179"/>
        <v>-</v>
      </c>
      <c r="R235" s="267" t="str">
        <f t="shared" si="180"/>
        <v>-</v>
      </c>
      <c r="S235" s="268" t="str">
        <f t="shared" si="181"/>
        <v>-</v>
      </c>
      <c r="T235" s="269" t="str">
        <f t="shared" si="182"/>
        <v/>
      </c>
      <c r="U235" s="221">
        <f t="shared" si="183"/>
        <v>135</v>
      </c>
      <c r="V235" s="220" t="str">
        <f t="shared" si="209"/>
        <v>-</v>
      </c>
      <c r="W235" s="221" t="str">
        <f t="shared" si="210"/>
        <v>-</v>
      </c>
      <c r="X235" s="221" t="str">
        <f t="shared" si="184"/>
        <v>-</v>
      </c>
      <c r="Y235" s="221" t="str">
        <f t="shared" si="185"/>
        <v>-</v>
      </c>
      <c r="Z235" s="270">
        <f t="shared" si="211"/>
        <v>0.1</v>
      </c>
      <c r="AA235" s="271" t="str">
        <f>IFERROR(IF(V234=1,AA$100*EXP(-(LN(2)/$D$65+0.04)*X234)*EXP(-(LN(2)/$D$65+0.1)*Y234),IF(V234=2,AA$100*EXP(-(LN(2)/$D$65+0.04)*(VLOOKUP(($F$16-$F$15)-1,U$99:Y234,4,FALSE)))*EXP(-(LN(2)/$D$65+0.1)*(VLOOKUP(($F$16-$F$15)-1,U$99:Y234,5,FALSE)))*EXP(-(LN(2)/$D$65+0.04)*X234)*EXP(-(LN(2)/$D$65+0.1)*Y234),IF(V234=3,AA$100*EXP(-(LN(2)/$D$65+0.04)*(VLOOKUP(($F$16-$F$15)-1,U$99:Y234,4,FALSE)))*EXP(-(LN(2)/$D$65+0.1)*(VLOOKUP(($F$16-$F$15)-1,U$99:Y234,5,FALSE)))*EXP(-(LN(2)/$D$65+0.04)*(VLOOKUP(($F$16-$F$15)*2-1,U$99:Y234,4,FALSE)))*EXP(-(LN(2)/$D$65+0.1)*(VLOOKUP(($F$16-$F$15)*2-1,U$99:Y234,5,FALSE)))*EXP(-(LN(2)/$D$65+0.04)*X234)*EXP(-(LN(2)/$D$65+0.1)*Y234),"-"))),"-")</f>
        <v>-</v>
      </c>
      <c r="AB235" s="271" t="str">
        <f>IFERROR(IF(V235=1,AB$100*EXP(-(LN(2)/$D$65+0.04)*X235)*EXP(-(LN(2)/$D$65+0.1)*Y235),IF(V235=2,AB$100*EXP(-(LN(2)/$D$65+0.04)*(VLOOKUP(($F$16-$F$15)-1,U$100:Y235,4,FALSE)))*EXP(-(LN(2)/$D$65+0.1)*(VLOOKUP(($F$16-$F$15)-1,U$100:Y235,5,FALSE)))*EXP(-(LN(2)/$D$65+0.04)*X235)*EXP(-(LN(2)/$D$65+0.1)*Y235),IF(V235=3,AB$100*EXP(-(LN(2)/$D$65+0.04)*(VLOOKUP(($F$16-$F$15)-1,U$100:Y235,4,FALSE)))*EXP(-(LN(2)/$D$65+0.1)*(VLOOKUP(($F$16-$F$15)-1,U$100:Y235,5,FALSE)))*EXP(-(LN(2)/$D$65+0.04)*(VLOOKUP(($F$16-$F$15)*2-1,U$100:Y235,4,FALSE)))*EXP(-(LN(2)/$D$65+0.1)*(VLOOKUP(($F$16-$F$15)*2-1,U$100:Y235,5,FALSE)))*EXP(-(LN(2)/$D$65+0.04)*X235)*EXP(-(LN(2)/$D$65+0.1)*Y235),"-"))),"-")</f>
        <v>-</v>
      </c>
      <c r="AC235" s="224">
        <f t="shared" si="212"/>
        <v>135</v>
      </c>
      <c r="AD235" s="223" t="str">
        <f t="shared" si="186"/>
        <v>-</v>
      </c>
      <c r="AE235" s="224" t="str">
        <f t="shared" si="213"/>
        <v>-</v>
      </c>
      <c r="AF235" s="224" t="str">
        <f t="shared" si="187"/>
        <v>-</v>
      </c>
      <c r="AG235" s="224" t="str">
        <f t="shared" si="188"/>
        <v>-</v>
      </c>
      <c r="AH235" s="272">
        <f t="shared" si="214"/>
        <v>0.1</v>
      </c>
      <c r="AI235" s="271" t="str">
        <f>IFERROR(IF(AD234=1,AI$100*EXP(-(LN(2)/$D$65+0.04)*AF234)*EXP(-(LN(2)/$D$65+0.1)*AG234),IF(AD234=2,AI$100*EXP(-(LN(2)/$D$65+0.04)*(VLOOKUP(($F$16-$F$15)-1,AC$99:AG234,4,FALSE)))*EXP(-(LN(2)/$D$65+0.1)*(VLOOKUP(($F$16-$F$15)-1,AC$99:AG234,5,FALSE)))*EXP(-(LN(2)/$D$65+0.04)*AF234)*EXP(-(LN(2)/$D$65+0.1)*AG234),IF(AD234=3,AI$100*EXP(-(LN(2)/$D$65+0.04)*(VLOOKUP(($F$16-$F$15)-1,AC$99:AG234,4,FALSE)))*EXP(-(LN(2)/$D$65+0.1)*(VLOOKUP(($F$16-$F$15)-1,AC$99:AG234,5,FALSE)))*EXP(-(LN(2)/$D$65+0.04)*(VLOOKUP(($F$16-$F$15)*2-1,AC$99:AG234,4,FALSE)))*EXP(-(LN(2)/$D$65+0.1)*(VLOOKUP(($F$16-$F$15)*2-1,AC$99:AG234,5,FALSE)))*EXP(-(LN(2)/$D$65+0.04)*AF234)*EXP(-(LN(2)/$D$65+0.1)*AG234),"-"))),"-")</f>
        <v>-</v>
      </c>
      <c r="AJ235" s="271" t="str">
        <f>IFERROR(IF(AD235=1,AJ$100*EXP(-(LN(2)/$D$65+0.04)*AF235)*EXP(-(LN(2)/$D$65+0.1)*AG235),IF(AD235=2,AJ$100*EXP(-(LN(2)/$D$65+0.04)*(VLOOKUP(($F$16-$F$15)-1,AC$100:AG235,4,FALSE)))*EXP(-(LN(2)/$D$65+0.1)*(VLOOKUP(($F$16-$F$15)-1,AC$100:AG235,5,FALSE)))*EXP(-(LN(2)/$D$65+0.04)*AF235)*EXP(-(LN(2)/$D$65+0.1)*AG235),IF(AD235=3,AJ$100*EXP(-(LN(2)/$D$65+0.04)*(VLOOKUP(($F$16-$F$15)-1,AC$100:AG235,4,FALSE)))*EXP(-(LN(2)/$D$65+0.1)*(VLOOKUP(($F$16-$F$15)-1,AC$100:AG235,5,FALSE)))*EXP(-(LN(2)/$D$65+0.04)*(VLOOKUP(($F$16-$F$15)*2-1,AC$100:AG235,4,FALSE)))*EXP(-(LN(2)/$D$65+0.1)*(VLOOKUP(($F$16-$F$15)*2-1,AC$100:AG235,5,FALSE)))*EXP(-(LN(2)/$D$65+0.04)*AF235)*EXP(-(LN(2)/$D$65+0.1)*AG235),"-"))),"-")</f>
        <v>-</v>
      </c>
      <c r="AK235" s="227">
        <f t="shared" si="215"/>
        <v>135</v>
      </c>
      <c r="AL235" s="226" t="str">
        <f t="shared" si="189"/>
        <v>-</v>
      </c>
      <c r="AM235" s="227" t="str">
        <f t="shared" si="216"/>
        <v>-</v>
      </c>
      <c r="AN235" s="227" t="str">
        <f t="shared" si="217"/>
        <v>-</v>
      </c>
      <c r="AO235" s="227" t="str">
        <f t="shared" si="190"/>
        <v>-</v>
      </c>
      <c r="AP235" s="273">
        <f t="shared" si="218"/>
        <v>0.1</v>
      </c>
      <c r="AQ235" s="271" t="str">
        <f>IFERROR(IF(AL234=1,AQ$100*EXP(-(LN(2)/$D$65+0.04)*AN234)*EXP(-(LN(2)/$D$65+0.1)*AO234),IF(AL234=2,AQ$100*EXP(-(LN(2)/$D$65+0.04)*(VLOOKUP(($F$16-$F$15)-1,AK$99:AO234,4,FALSE)))*EXP(-(LN(2)/$D$65+0.1)*(VLOOKUP(($F$16-$F$15)-1,AK$99:AO234,5,FALSE)))*EXP(-(LN(2)/$D$65+0.04)*AN234)*EXP(-(LN(2)/$D$65+0.1)*AO234),IF(AL234=3,AQ$100*EXP(-(LN(2)/$D$65+0.04)*(VLOOKUP(($F$16-$F$15)-1,AK$99:AO234,4,FALSE)))*EXP(-(LN(2)/$D$65+0.1)*(VLOOKUP(($F$16-$F$15)-1,AK$99:AO234,5,FALSE)))*EXP(-(LN(2)/$D$65+0.04)*(VLOOKUP(($F$16-$F$15)*2-1,AK$99:AO234,4,FALSE)))*EXP(-(LN(2)/$D$65+0.1)*(VLOOKUP(($F$16-$F$15)*2-1,AK$99:AO234,5,FALSE)))*EXP(-(LN(2)/$D$65+0.04)*AN234)*EXP(-(LN(2)/$D$65+0.1)*AO234),"-"))),"-")</f>
        <v>-</v>
      </c>
      <c r="AR235" s="271" t="str">
        <f>IFERROR(IF(AL235=1,AR$100*EXP(-(LN(2)/$D$65+0.04)*AN235)*EXP(-(LN(2)/$D$65+0.1)*AO235),IF(AL235=2,AR$100*EXP(-(LN(2)/$D$65+0.04)*(VLOOKUP(($F$16-$F$15)-1,AK$100:AO235,4,FALSE)))*EXP(-(LN(2)/$D$65+0.1)*(VLOOKUP(($F$16-$F$15)-1,AK$100:AO235,5,FALSE)))*EXP(-(LN(2)/$D$65+0.04)*AN235)*EXP(-(LN(2)/$D$65+0.1)*AO235),IF(AL235=3,AR$100*EXP(-(LN(2)/$D$65+0.04)*(VLOOKUP(($F$16-$F$15)-1,AK$100:AO235,4,FALSE)))*EXP(-(LN(2)/$D$65+0.1)*(VLOOKUP(($F$16-$F$15)-1,AK$100:AO235,5,FALSE)))*EXP(-(LN(2)/$D$65+0.04)*(VLOOKUP(($F$16-$F$15)*2-1,AK$100:AO235,4,FALSE)))*EXP(-(LN(2)/$D$65+0.1)*(VLOOKUP(($F$16-$F$15)*2-1,AK$100:AO235,5,FALSE)))*EXP(-(LN(2)/$D$65+0.04)*AN235)*EXP(-(LN(2)/$D$65+0.1)*AO235),"-"))),"-")</f>
        <v>-</v>
      </c>
      <c r="AS235" s="274">
        <f t="shared" si="191"/>
        <v>0</v>
      </c>
      <c r="AT235" s="274">
        <f t="shared" si="192"/>
        <v>0</v>
      </c>
      <c r="AU235" s="274">
        <f t="shared" si="193"/>
        <v>0</v>
      </c>
      <c r="AV235" s="190" t="str">
        <f>IF($B235&lt;$F$22,SUM($T$100:$T235),"")</f>
        <v/>
      </c>
      <c r="AW235" s="190" t="str">
        <f t="shared" si="194"/>
        <v>-</v>
      </c>
      <c r="AX235" s="190" t="str">
        <f t="shared" si="219"/>
        <v/>
      </c>
      <c r="AY235"/>
      <c r="AZ235" s="190" t="str">
        <f ca="1">IF(ISNUMBER(OFFSET(AV235,-$F$21,0)),SUM(OFFSET($T$100,$F$21,0):$T235),"")</f>
        <v/>
      </c>
      <c r="BA235" s="190" t="str">
        <f t="shared" ca="1" si="195"/>
        <v/>
      </c>
      <c r="BB235" s="190" t="str">
        <f t="shared" ca="1" si="148"/>
        <v/>
      </c>
      <c r="BC235" s="190"/>
      <c r="BD235" s="190" t="str">
        <f ca="1">IFERROR(IF(OR(ISNUMBER(I),ISNUMBER($F$14)),IF(AND($B235&gt;=($F$16-$F$15),$B235&lt;$F$22+($F$16-$F$15)),SUM(OFFSET($T$100,($F$16-$F$15),0):$T235),""),""),"")</f>
        <v/>
      </c>
      <c r="BE235" s="190" t="str">
        <f t="shared" ca="1" si="220"/>
        <v/>
      </c>
      <c r="BF235" s="190" t="str">
        <f t="shared" ca="1" si="221"/>
        <v/>
      </c>
      <c r="BG235"/>
      <c r="BH235" s="190" t="str">
        <f ca="1">IF(ISNUMBER(OFFSET(BD235,-$F$21,0)),SUM(OFFSET($T$100,($F$16-$F$15+$F$21),0):$T235),"")</f>
        <v/>
      </c>
      <c r="BI235" s="190" t="str">
        <f t="shared" ca="1" si="196"/>
        <v/>
      </c>
      <c r="BJ235" s="190" t="str">
        <f t="shared" ca="1" si="222"/>
        <v/>
      </c>
      <c r="BK235" s="190"/>
      <c r="BL235" s="190" t="str">
        <f ca="1">IFERROR(IF(OR(ISNUMBER(I),ISNUMBER($F$14)),IF(AND($B235&gt;=($F$17-$F$15),$B235&lt;$F$22+($F$17-$F$15)),SUM(OFFSET($T$100,($F$17-$F$15),0):$T235),""),""),"")</f>
        <v/>
      </c>
      <c r="BM235" s="190" t="str">
        <f t="shared" ca="1" si="197"/>
        <v/>
      </c>
      <c r="BN235" s="190" t="str">
        <f t="shared" ca="1" si="223"/>
        <v/>
      </c>
      <c r="BO235"/>
      <c r="BP235" s="190" t="str">
        <f ca="1">IF(ISNUMBER(OFFSET(BL235,-$F$21,0)),SUM(OFFSET($T$100,($F$17-$F$15+$F$21),0):$T235),"")</f>
        <v/>
      </c>
      <c r="BQ235" s="190" t="str">
        <f t="shared" ca="1" si="198"/>
        <v/>
      </c>
      <c r="BR235" s="190" t="str">
        <f t="shared" ca="1" si="224"/>
        <v/>
      </c>
      <c r="BS235" s="190"/>
      <c r="BT235"/>
      <c r="BU235"/>
      <c r="BV235"/>
      <c r="BY235" s="99"/>
      <c r="BZ235" s="99"/>
      <c r="CA235" s="280" t="str">
        <f t="shared" si="199"/>
        <v/>
      </c>
      <c r="CB235" s="71" t="str">
        <f t="shared" si="200"/>
        <v>-</v>
      </c>
      <c r="CC235" s="33"/>
      <c r="CD235" s="261" t="str">
        <f t="shared" si="201"/>
        <v/>
      </c>
      <c r="CE235" s="280" t="str">
        <f t="shared" si="202"/>
        <v/>
      </c>
      <c r="CF235" s="71" t="str">
        <f t="shared" ca="1" si="203"/>
        <v/>
      </c>
      <c r="CG235" s="33" t="str">
        <f t="shared" si="204"/>
        <v/>
      </c>
      <c r="CH235" s="261" t="str">
        <f t="shared" ca="1" si="205"/>
        <v/>
      </c>
    </row>
    <row r="236" spans="2:86" ht="13.5" customHeight="1" x14ac:dyDescent="0.2">
      <c r="B236" s="262">
        <v>136</v>
      </c>
      <c r="C236" s="237" t="str">
        <f t="shared" si="169"/>
        <v/>
      </c>
      <c r="D236" s="237" t="str">
        <f t="shared" si="225"/>
        <v/>
      </c>
      <c r="E236" s="263" t="str">
        <f t="shared" si="206"/>
        <v/>
      </c>
      <c r="F236" s="264" t="str">
        <f t="shared" si="207"/>
        <v/>
      </c>
      <c r="G236" s="264" t="str">
        <f t="shared" si="208"/>
        <v/>
      </c>
      <c r="H236" s="240" t="str">
        <f t="shared" si="170"/>
        <v/>
      </c>
      <c r="I236" s="265" t="str">
        <f t="shared" si="171"/>
        <v/>
      </c>
      <c r="J236" s="265" t="str">
        <f t="shared" si="172"/>
        <v/>
      </c>
      <c r="K236" s="240" t="str">
        <f t="shared" si="173"/>
        <v/>
      </c>
      <c r="L236" s="265" t="str">
        <f t="shared" si="174"/>
        <v/>
      </c>
      <c r="M236" s="265" t="str">
        <f t="shared" si="175"/>
        <v/>
      </c>
      <c r="N236" s="240" t="str">
        <f t="shared" si="176"/>
        <v>-</v>
      </c>
      <c r="O236" s="265" t="str">
        <f t="shared" si="177"/>
        <v>-</v>
      </c>
      <c r="P236" s="265" t="str">
        <f t="shared" si="178"/>
        <v>-</v>
      </c>
      <c r="Q236" s="266" t="str">
        <f t="shared" si="179"/>
        <v>-</v>
      </c>
      <c r="R236" s="267" t="str">
        <f t="shared" si="180"/>
        <v>-</v>
      </c>
      <c r="S236" s="268" t="str">
        <f t="shared" si="181"/>
        <v>-</v>
      </c>
      <c r="T236" s="269" t="str">
        <f t="shared" si="182"/>
        <v/>
      </c>
      <c r="U236" s="221">
        <f t="shared" si="183"/>
        <v>136</v>
      </c>
      <c r="V236" s="220" t="str">
        <f t="shared" si="209"/>
        <v>-</v>
      </c>
      <c r="W236" s="221" t="str">
        <f t="shared" si="210"/>
        <v>-</v>
      </c>
      <c r="X236" s="221" t="str">
        <f t="shared" si="184"/>
        <v>-</v>
      </c>
      <c r="Y236" s="221" t="str">
        <f t="shared" si="185"/>
        <v>-</v>
      </c>
      <c r="Z236" s="270">
        <f t="shared" si="211"/>
        <v>0.1</v>
      </c>
      <c r="AA236" s="271" t="str">
        <f>IFERROR(IF(V235=1,AA$100*EXP(-(LN(2)/$D$65+0.04)*X235)*EXP(-(LN(2)/$D$65+0.1)*Y235),IF(V235=2,AA$100*EXP(-(LN(2)/$D$65+0.04)*(VLOOKUP(($F$16-$F$15)-1,U$99:Y235,4,FALSE)))*EXP(-(LN(2)/$D$65+0.1)*(VLOOKUP(($F$16-$F$15)-1,U$99:Y235,5,FALSE)))*EXP(-(LN(2)/$D$65+0.04)*X235)*EXP(-(LN(2)/$D$65+0.1)*Y235),IF(V235=3,AA$100*EXP(-(LN(2)/$D$65+0.04)*(VLOOKUP(($F$16-$F$15)-1,U$99:Y235,4,FALSE)))*EXP(-(LN(2)/$D$65+0.1)*(VLOOKUP(($F$16-$F$15)-1,U$99:Y235,5,FALSE)))*EXP(-(LN(2)/$D$65+0.04)*(VLOOKUP(($F$16-$F$15)*2-1,U$99:Y235,4,FALSE)))*EXP(-(LN(2)/$D$65+0.1)*(VLOOKUP(($F$16-$F$15)*2-1,U$99:Y235,5,FALSE)))*EXP(-(LN(2)/$D$65+0.04)*X235)*EXP(-(LN(2)/$D$65+0.1)*Y235),"-"))),"-")</f>
        <v>-</v>
      </c>
      <c r="AB236" s="271" t="str">
        <f>IFERROR(IF(V236=1,AB$100*EXP(-(LN(2)/$D$65+0.04)*X236)*EXP(-(LN(2)/$D$65+0.1)*Y236),IF(V236=2,AB$100*EXP(-(LN(2)/$D$65+0.04)*(VLOOKUP(($F$16-$F$15)-1,U$100:Y236,4,FALSE)))*EXP(-(LN(2)/$D$65+0.1)*(VLOOKUP(($F$16-$F$15)-1,U$100:Y236,5,FALSE)))*EXP(-(LN(2)/$D$65+0.04)*X236)*EXP(-(LN(2)/$D$65+0.1)*Y236),IF(V236=3,AB$100*EXP(-(LN(2)/$D$65+0.04)*(VLOOKUP(($F$16-$F$15)-1,U$100:Y236,4,FALSE)))*EXP(-(LN(2)/$D$65+0.1)*(VLOOKUP(($F$16-$F$15)-1,U$100:Y236,5,FALSE)))*EXP(-(LN(2)/$D$65+0.04)*(VLOOKUP(($F$16-$F$15)*2-1,U$100:Y236,4,FALSE)))*EXP(-(LN(2)/$D$65+0.1)*(VLOOKUP(($F$16-$F$15)*2-1,U$100:Y236,5,FALSE)))*EXP(-(LN(2)/$D$65+0.04)*X236)*EXP(-(LN(2)/$D$65+0.1)*Y236),"-"))),"-")</f>
        <v>-</v>
      </c>
      <c r="AC236" s="224">
        <f t="shared" si="212"/>
        <v>136</v>
      </c>
      <c r="AD236" s="223" t="str">
        <f t="shared" si="186"/>
        <v>-</v>
      </c>
      <c r="AE236" s="224" t="str">
        <f t="shared" si="213"/>
        <v>-</v>
      </c>
      <c r="AF236" s="224" t="str">
        <f t="shared" si="187"/>
        <v>-</v>
      </c>
      <c r="AG236" s="224" t="str">
        <f t="shared" si="188"/>
        <v>-</v>
      </c>
      <c r="AH236" s="272">
        <f t="shared" si="214"/>
        <v>0.1</v>
      </c>
      <c r="AI236" s="271" t="str">
        <f>IFERROR(IF(AD235=1,AI$100*EXP(-(LN(2)/$D$65+0.04)*AF235)*EXP(-(LN(2)/$D$65+0.1)*AG235),IF(AD235=2,AI$100*EXP(-(LN(2)/$D$65+0.04)*(VLOOKUP(($F$16-$F$15)-1,AC$99:AG235,4,FALSE)))*EXP(-(LN(2)/$D$65+0.1)*(VLOOKUP(($F$16-$F$15)-1,AC$99:AG235,5,FALSE)))*EXP(-(LN(2)/$D$65+0.04)*AF235)*EXP(-(LN(2)/$D$65+0.1)*AG235),IF(AD235=3,AI$100*EXP(-(LN(2)/$D$65+0.04)*(VLOOKUP(($F$16-$F$15)-1,AC$99:AG235,4,FALSE)))*EXP(-(LN(2)/$D$65+0.1)*(VLOOKUP(($F$16-$F$15)-1,AC$99:AG235,5,FALSE)))*EXP(-(LN(2)/$D$65+0.04)*(VLOOKUP(($F$16-$F$15)*2-1,AC$99:AG235,4,FALSE)))*EXP(-(LN(2)/$D$65+0.1)*(VLOOKUP(($F$16-$F$15)*2-1,AC$99:AG235,5,FALSE)))*EXP(-(LN(2)/$D$65+0.04)*AF235)*EXP(-(LN(2)/$D$65+0.1)*AG235),"-"))),"-")</f>
        <v>-</v>
      </c>
      <c r="AJ236" s="271" t="str">
        <f>IFERROR(IF(AD236=1,AJ$100*EXP(-(LN(2)/$D$65+0.04)*AF236)*EXP(-(LN(2)/$D$65+0.1)*AG236),IF(AD236=2,AJ$100*EXP(-(LN(2)/$D$65+0.04)*(VLOOKUP(($F$16-$F$15)-1,AC$100:AG236,4,FALSE)))*EXP(-(LN(2)/$D$65+0.1)*(VLOOKUP(($F$16-$F$15)-1,AC$100:AG236,5,FALSE)))*EXP(-(LN(2)/$D$65+0.04)*AF236)*EXP(-(LN(2)/$D$65+0.1)*AG236),IF(AD236=3,AJ$100*EXP(-(LN(2)/$D$65+0.04)*(VLOOKUP(($F$16-$F$15)-1,AC$100:AG236,4,FALSE)))*EXP(-(LN(2)/$D$65+0.1)*(VLOOKUP(($F$16-$F$15)-1,AC$100:AG236,5,FALSE)))*EXP(-(LN(2)/$D$65+0.04)*(VLOOKUP(($F$16-$F$15)*2-1,AC$100:AG236,4,FALSE)))*EXP(-(LN(2)/$D$65+0.1)*(VLOOKUP(($F$16-$F$15)*2-1,AC$100:AG236,5,FALSE)))*EXP(-(LN(2)/$D$65+0.04)*AF236)*EXP(-(LN(2)/$D$65+0.1)*AG236),"-"))),"-")</f>
        <v>-</v>
      </c>
      <c r="AK236" s="227">
        <f t="shared" si="215"/>
        <v>136</v>
      </c>
      <c r="AL236" s="226" t="str">
        <f t="shared" si="189"/>
        <v>-</v>
      </c>
      <c r="AM236" s="227" t="str">
        <f t="shared" si="216"/>
        <v>-</v>
      </c>
      <c r="AN236" s="227" t="str">
        <f t="shared" si="217"/>
        <v>-</v>
      </c>
      <c r="AO236" s="227" t="str">
        <f t="shared" si="190"/>
        <v>-</v>
      </c>
      <c r="AP236" s="273">
        <f t="shared" si="218"/>
        <v>0.1</v>
      </c>
      <c r="AQ236" s="271" t="str">
        <f>IFERROR(IF(AL235=1,AQ$100*EXP(-(LN(2)/$D$65+0.04)*AN235)*EXP(-(LN(2)/$D$65+0.1)*AO235),IF(AL235=2,AQ$100*EXP(-(LN(2)/$D$65+0.04)*(VLOOKUP(($F$16-$F$15)-1,AK$99:AO235,4,FALSE)))*EXP(-(LN(2)/$D$65+0.1)*(VLOOKUP(($F$16-$F$15)-1,AK$99:AO235,5,FALSE)))*EXP(-(LN(2)/$D$65+0.04)*AN235)*EXP(-(LN(2)/$D$65+0.1)*AO235),IF(AL235=3,AQ$100*EXP(-(LN(2)/$D$65+0.04)*(VLOOKUP(($F$16-$F$15)-1,AK$99:AO235,4,FALSE)))*EXP(-(LN(2)/$D$65+0.1)*(VLOOKUP(($F$16-$F$15)-1,AK$99:AO235,5,FALSE)))*EXP(-(LN(2)/$D$65+0.04)*(VLOOKUP(($F$16-$F$15)*2-1,AK$99:AO235,4,FALSE)))*EXP(-(LN(2)/$D$65+0.1)*(VLOOKUP(($F$16-$F$15)*2-1,AK$99:AO235,5,FALSE)))*EXP(-(LN(2)/$D$65+0.04)*AN235)*EXP(-(LN(2)/$D$65+0.1)*AO235),"-"))),"-")</f>
        <v>-</v>
      </c>
      <c r="AR236" s="271" t="str">
        <f>IFERROR(IF(AL236=1,AR$100*EXP(-(LN(2)/$D$65+0.04)*AN236)*EXP(-(LN(2)/$D$65+0.1)*AO236),IF(AL236=2,AR$100*EXP(-(LN(2)/$D$65+0.04)*(VLOOKUP(($F$16-$F$15)-1,AK$100:AO236,4,FALSE)))*EXP(-(LN(2)/$D$65+0.1)*(VLOOKUP(($F$16-$F$15)-1,AK$100:AO236,5,FALSE)))*EXP(-(LN(2)/$D$65+0.04)*AN236)*EXP(-(LN(2)/$D$65+0.1)*AO236),IF(AL236=3,AR$100*EXP(-(LN(2)/$D$65+0.04)*(VLOOKUP(($F$16-$F$15)-1,AK$100:AO236,4,FALSE)))*EXP(-(LN(2)/$D$65+0.1)*(VLOOKUP(($F$16-$F$15)-1,AK$100:AO236,5,FALSE)))*EXP(-(LN(2)/$D$65+0.04)*(VLOOKUP(($F$16-$F$15)*2-1,AK$100:AO236,4,FALSE)))*EXP(-(LN(2)/$D$65+0.1)*(VLOOKUP(($F$16-$F$15)*2-1,AK$100:AO236,5,FALSE)))*EXP(-(LN(2)/$D$65+0.04)*AN236)*EXP(-(LN(2)/$D$65+0.1)*AO236),"-"))),"-")</f>
        <v>-</v>
      </c>
      <c r="AS236" s="274">
        <f t="shared" si="191"/>
        <v>0</v>
      </c>
      <c r="AT236" s="274">
        <f t="shared" si="192"/>
        <v>0</v>
      </c>
      <c r="AU236" s="274">
        <f t="shared" si="193"/>
        <v>0</v>
      </c>
      <c r="AV236" s="190" t="str">
        <f>IF($B236&lt;$F$22,SUM($T$100:$T236),"")</f>
        <v/>
      </c>
      <c r="AW236" s="190" t="str">
        <f t="shared" si="194"/>
        <v>-</v>
      </c>
      <c r="AX236" s="190" t="str">
        <f t="shared" si="219"/>
        <v/>
      </c>
      <c r="AY236"/>
      <c r="AZ236" s="190" t="str">
        <f ca="1">IF(ISNUMBER(OFFSET(AV236,-$F$21,0)),SUM(OFFSET($T$100,$F$21,0):$T236),"")</f>
        <v/>
      </c>
      <c r="BA236" s="190" t="str">
        <f t="shared" ca="1" si="195"/>
        <v/>
      </c>
      <c r="BB236" s="190" t="str">
        <f t="shared" ca="1" si="148"/>
        <v/>
      </c>
      <c r="BC236" s="190"/>
      <c r="BD236" s="190" t="str">
        <f ca="1">IFERROR(IF(OR(ISNUMBER(I),ISNUMBER($F$14)),IF(AND($B236&gt;=($F$16-$F$15),$B236&lt;$F$22+($F$16-$F$15)),SUM(OFFSET($T$100,($F$16-$F$15),0):$T236),""),""),"")</f>
        <v/>
      </c>
      <c r="BE236" s="190" t="str">
        <f t="shared" ca="1" si="220"/>
        <v/>
      </c>
      <c r="BF236" s="190" t="str">
        <f t="shared" ca="1" si="221"/>
        <v/>
      </c>
      <c r="BG236"/>
      <c r="BH236" s="190" t="str">
        <f ca="1">IF(ISNUMBER(OFFSET(BD236,-$F$21,0)),SUM(OFFSET($T$100,($F$16-$F$15+$F$21),0):$T236),"")</f>
        <v/>
      </c>
      <c r="BI236" s="190" t="str">
        <f t="shared" ca="1" si="196"/>
        <v/>
      </c>
      <c r="BJ236" s="190" t="str">
        <f t="shared" ca="1" si="222"/>
        <v/>
      </c>
      <c r="BK236" s="190"/>
      <c r="BL236" s="190" t="str">
        <f ca="1">IFERROR(IF(OR(ISNUMBER(I),ISNUMBER($F$14)),IF(AND($B236&gt;=($F$17-$F$15),$B236&lt;$F$22+($F$17-$F$15)),SUM(OFFSET($T$100,($F$17-$F$15),0):$T236),""),""),"")</f>
        <v/>
      </c>
      <c r="BM236" s="190" t="str">
        <f t="shared" ca="1" si="197"/>
        <v/>
      </c>
      <c r="BN236" s="190" t="str">
        <f t="shared" ca="1" si="223"/>
        <v/>
      </c>
      <c r="BO236"/>
      <c r="BP236" s="190" t="str">
        <f ca="1">IF(ISNUMBER(OFFSET(BL236,-$F$21,0)),SUM(OFFSET($T$100,($F$17-$F$15+$F$21),0):$T236),"")</f>
        <v/>
      </c>
      <c r="BQ236" s="190" t="str">
        <f t="shared" ca="1" si="198"/>
        <v/>
      </c>
      <c r="BR236" s="190" t="str">
        <f t="shared" ca="1" si="224"/>
        <v/>
      </c>
      <c r="BS236" s="190"/>
      <c r="BT236"/>
      <c r="BU236"/>
      <c r="BV236"/>
      <c r="BY236" s="99"/>
      <c r="BZ236" s="99"/>
      <c r="CA236" s="280" t="str">
        <f t="shared" si="199"/>
        <v/>
      </c>
      <c r="CB236" s="71" t="str">
        <f t="shared" si="200"/>
        <v>-</v>
      </c>
      <c r="CC236" s="33"/>
      <c r="CD236" s="261" t="str">
        <f t="shared" si="201"/>
        <v/>
      </c>
      <c r="CE236" s="280" t="str">
        <f t="shared" si="202"/>
        <v/>
      </c>
      <c r="CF236" s="71" t="str">
        <f t="shared" ca="1" si="203"/>
        <v/>
      </c>
      <c r="CG236" s="33" t="str">
        <f t="shared" si="204"/>
        <v/>
      </c>
      <c r="CH236" s="261" t="str">
        <f t="shared" ca="1" si="205"/>
        <v/>
      </c>
    </row>
    <row r="237" spans="2:86" ht="13.5" customHeight="1" x14ac:dyDescent="0.2">
      <c r="B237" s="262">
        <v>137</v>
      </c>
      <c r="C237" s="237" t="str">
        <f t="shared" si="169"/>
        <v/>
      </c>
      <c r="D237" s="237" t="str">
        <f t="shared" si="225"/>
        <v/>
      </c>
      <c r="E237" s="263" t="str">
        <f t="shared" si="206"/>
        <v/>
      </c>
      <c r="F237" s="264" t="str">
        <f t="shared" si="207"/>
        <v/>
      </c>
      <c r="G237" s="264" t="str">
        <f t="shared" si="208"/>
        <v/>
      </c>
      <c r="H237" s="240" t="str">
        <f t="shared" si="170"/>
        <v/>
      </c>
      <c r="I237" s="265" t="str">
        <f t="shared" si="171"/>
        <v/>
      </c>
      <c r="J237" s="265" t="str">
        <f t="shared" si="172"/>
        <v/>
      </c>
      <c r="K237" s="240" t="str">
        <f t="shared" si="173"/>
        <v/>
      </c>
      <c r="L237" s="265" t="str">
        <f t="shared" si="174"/>
        <v/>
      </c>
      <c r="M237" s="265" t="str">
        <f t="shared" si="175"/>
        <v/>
      </c>
      <c r="N237" s="240" t="str">
        <f t="shared" si="176"/>
        <v>-</v>
      </c>
      <c r="O237" s="265" t="str">
        <f t="shared" si="177"/>
        <v>-</v>
      </c>
      <c r="P237" s="265" t="str">
        <f t="shared" si="178"/>
        <v>-</v>
      </c>
      <c r="Q237" s="266" t="str">
        <f t="shared" si="179"/>
        <v>-</v>
      </c>
      <c r="R237" s="267" t="str">
        <f t="shared" si="180"/>
        <v>-</v>
      </c>
      <c r="S237" s="268" t="str">
        <f t="shared" si="181"/>
        <v>-</v>
      </c>
      <c r="T237" s="269" t="str">
        <f t="shared" si="182"/>
        <v/>
      </c>
      <c r="U237" s="221">
        <f t="shared" si="183"/>
        <v>137</v>
      </c>
      <c r="V237" s="220" t="str">
        <f t="shared" si="209"/>
        <v>-</v>
      </c>
      <c r="W237" s="221" t="str">
        <f t="shared" si="210"/>
        <v>-</v>
      </c>
      <c r="X237" s="221" t="str">
        <f t="shared" si="184"/>
        <v>-</v>
      </c>
      <c r="Y237" s="221" t="str">
        <f t="shared" si="185"/>
        <v>-</v>
      </c>
      <c r="Z237" s="270">
        <f t="shared" si="211"/>
        <v>0.1</v>
      </c>
      <c r="AA237" s="271" t="str">
        <f>IFERROR(IF(V236=1,AA$100*EXP(-(LN(2)/$D$65+0.04)*X236)*EXP(-(LN(2)/$D$65+0.1)*Y236),IF(V236=2,AA$100*EXP(-(LN(2)/$D$65+0.04)*(VLOOKUP(($F$16-$F$15)-1,U$99:Y236,4,FALSE)))*EXP(-(LN(2)/$D$65+0.1)*(VLOOKUP(($F$16-$F$15)-1,U$99:Y236,5,FALSE)))*EXP(-(LN(2)/$D$65+0.04)*X236)*EXP(-(LN(2)/$D$65+0.1)*Y236),IF(V236=3,AA$100*EXP(-(LN(2)/$D$65+0.04)*(VLOOKUP(($F$16-$F$15)-1,U$99:Y236,4,FALSE)))*EXP(-(LN(2)/$D$65+0.1)*(VLOOKUP(($F$16-$F$15)-1,U$99:Y236,5,FALSE)))*EXP(-(LN(2)/$D$65+0.04)*(VLOOKUP(($F$16-$F$15)*2-1,U$99:Y236,4,FALSE)))*EXP(-(LN(2)/$D$65+0.1)*(VLOOKUP(($F$16-$F$15)*2-1,U$99:Y236,5,FALSE)))*EXP(-(LN(2)/$D$65+0.04)*X236)*EXP(-(LN(2)/$D$65+0.1)*Y236),"-"))),"-")</f>
        <v>-</v>
      </c>
      <c r="AB237" s="271" t="str">
        <f>IFERROR(IF(V237=1,AB$100*EXP(-(LN(2)/$D$65+0.04)*X237)*EXP(-(LN(2)/$D$65+0.1)*Y237),IF(V237=2,AB$100*EXP(-(LN(2)/$D$65+0.04)*(VLOOKUP(($F$16-$F$15)-1,U$100:Y237,4,FALSE)))*EXP(-(LN(2)/$D$65+0.1)*(VLOOKUP(($F$16-$F$15)-1,U$100:Y237,5,FALSE)))*EXP(-(LN(2)/$D$65+0.04)*X237)*EXP(-(LN(2)/$D$65+0.1)*Y237),IF(V237=3,AB$100*EXP(-(LN(2)/$D$65+0.04)*(VLOOKUP(($F$16-$F$15)-1,U$100:Y237,4,FALSE)))*EXP(-(LN(2)/$D$65+0.1)*(VLOOKUP(($F$16-$F$15)-1,U$100:Y237,5,FALSE)))*EXP(-(LN(2)/$D$65+0.04)*(VLOOKUP(($F$16-$F$15)*2-1,U$100:Y237,4,FALSE)))*EXP(-(LN(2)/$D$65+0.1)*(VLOOKUP(($F$16-$F$15)*2-1,U$100:Y237,5,FALSE)))*EXP(-(LN(2)/$D$65+0.04)*X237)*EXP(-(LN(2)/$D$65+0.1)*Y237),"-"))),"-")</f>
        <v>-</v>
      </c>
      <c r="AC237" s="224">
        <f t="shared" si="212"/>
        <v>137</v>
      </c>
      <c r="AD237" s="223" t="str">
        <f t="shared" si="186"/>
        <v>-</v>
      </c>
      <c r="AE237" s="224" t="str">
        <f t="shared" si="213"/>
        <v>-</v>
      </c>
      <c r="AF237" s="224" t="str">
        <f t="shared" si="187"/>
        <v>-</v>
      </c>
      <c r="AG237" s="224" t="str">
        <f t="shared" si="188"/>
        <v>-</v>
      </c>
      <c r="AH237" s="272">
        <f t="shared" si="214"/>
        <v>0.1</v>
      </c>
      <c r="AI237" s="271" t="str">
        <f>IFERROR(IF(AD236=1,AI$100*EXP(-(LN(2)/$D$65+0.04)*AF236)*EXP(-(LN(2)/$D$65+0.1)*AG236),IF(AD236=2,AI$100*EXP(-(LN(2)/$D$65+0.04)*(VLOOKUP(($F$16-$F$15)-1,AC$99:AG236,4,FALSE)))*EXP(-(LN(2)/$D$65+0.1)*(VLOOKUP(($F$16-$F$15)-1,AC$99:AG236,5,FALSE)))*EXP(-(LN(2)/$D$65+0.04)*AF236)*EXP(-(LN(2)/$D$65+0.1)*AG236),IF(AD236=3,AI$100*EXP(-(LN(2)/$D$65+0.04)*(VLOOKUP(($F$16-$F$15)-1,AC$99:AG236,4,FALSE)))*EXP(-(LN(2)/$D$65+0.1)*(VLOOKUP(($F$16-$F$15)-1,AC$99:AG236,5,FALSE)))*EXP(-(LN(2)/$D$65+0.04)*(VLOOKUP(($F$16-$F$15)*2-1,AC$99:AG236,4,FALSE)))*EXP(-(LN(2)/$D$65+0.1)*(VLOOKUP(($F$16-$F$15)*2-1,AC$99:AG236,5,FALSE)))*EXP(-(LN(2)/$D$65+0.04)*AF236)*EXP(-(LN(2)/$D$65+0.1)*AG236),"-"))),"-")</f>
        <v>-</v>
      </c>
      <c r="AJ237" s="271" t="str">
        <f>IFERROR(IF(AD237=1,AJ$100*EXP(-(LN(2)/$D$65+0.04)*AF237)*EXP(-(LN(2)/$D$65+0.1)*AG237),IF(AD237=2,AJ$100*EXP(-(LN(2)/$D$65+0.04)*(VLOOKUP(($F$16-$F$15)-1,AC$100:AG237,4,FALSE)))*EXP(-(LN(2)/$D$65+0.1)*(VLOOKUP(($F$16-$F$15)-1,AC$100:AG237,5,FALSE)))*EXP(-(LN(2)/$D$65+0.04)*AF237)*EXP(-(LN(2)/$D$65+0.1)*AG237),IF(AD237=3,AJ$100*EXP(-(LN(2)/$D$65+0.04)*(VLOOKUP(($F$16-$F$15)-1,AC$100:AG237,4,FALSE)))*EXP(-(LN(2)/$D$65+0.1)*(VLOOKUP(($F$16-$F$15)-1,AC$100:AG237,5,FALSE)))*EXP(-(LN(2)/$D$65+0.04)*(VLOOKUP(($F$16-$F$15)*2-1,AC$100:AG237,4,FALSE)))*EXP(-(LN(2)/$D$65+0.1)*(VLOOKUP(($F$16-$F$15)*2-1,AC$100:AG237,5,FALSE)))*EXP(-(LN(2)/$D$65+0.04)*AF237)*EXP(-(LN(2)/$D$65+0.1)*AG237),"-"))),"-")</f>
        <v>-</v>
      </c>
      <c r="AK237" s="227">
        <f t="shared" si="215"/>
        <v>137</v>
      </c>
      <c r="AL237" s="226" t="str">
        <f t="shared" si="189"/>
        <v>-</v>
      </c>
      <c r="AM237" s="227" t="str">
        <f t="shared" si="216"/>
        <v>-</v>
      </c>
      <c r="AN237" s="227" t="str">
        <f t="shared" si="217"/>
        <v>-</v>
      </c>
      <c r="AO237" s="227" t="str">
        <f t="shared" si="190"/>
        <v>-</v>
      </c>
      <c r="AP237" s="273">
        <f t="shared" si="218"/>
        <v>0.1</v>
      </c>
      <c r="AQ237" s="271" t="str">
        <f>IFERROR(IF(AL236=1,AQ$100*EXP(-(LN(2)/$D$65+0.04)*AN236)*EXP(-(LN(2)/$D$65+0.1)*AO236),IF(AL236=2,AQ$100*EXP(-(LN(2)/$D$65+0.04)*(VLOOKUP(($F$16-$F$15)-1,AK$99:AO236,4,FALSE)))*EXP(-(LN(2)/$D$65+0.1)*(VLOOKUP(($F$16-$F$15)-1,AK$99:AO236,5,FALSE)))*EXP(-(LN(2)/$D$65+0.04)*AN236)*EXP(-(LN(2)/$D$65+0.1)*AO236),IF(AL236=3,AQ$100*EXP(-(LN(2)/$D$65+0.04)*(VLOOKUP(($F$16-$F$15)-1,AK$99:AO236,4,FALSE)))*EXP(-(LN(2)/$D$65+0.1)*(VLOOKUP(($F$16-$F$15)-1,AK$99:AO236,5,FALSE)))*EXP(-(LN(2)/$D$65+0.04)*(VLOOKUP(($F$16-$F$15)*2-1,AK$99:AO236,4,FALSE)))*EXP(-(LN(2)/$D$65+0.1)*(VLOOKUP(($F$16-$F$15)*2-1,AK$99:AO236,5,FALSE)))*EXP(-(LN(2)/$D$65+0.04)*AN236)*EXP(-(LN(2)/$D$65+0.1)*AO236),"-"))),"-")</f>
        <v>-</v>
      </c>
      <c r="AR237" s="271" t="str">
        <f>IFERROR(IF(AL237=1,AR$100*EXP(-(LN(2)/$D$65+0.04)*AN237)*EXP(-(LN(2)/$D$65+0.1)*AO237),IF(AL237=2,AR$100*EXP(-(LN(2)/$D$65+0.04)*(VLOOKUP(($F$16-$F$15)-1,AK$100:AO237,4,FALSE)))*EXP(-(LN(2)/$D$65+0.1)*(VLOOKUP(($F$16-$F$15)-1,AK$100:AO237,5,FALSE)))*EXP(-(LN(2)/$D$65+0.04)*AN237)*EXP(-(LN(2)/$D$65+0.1)*AO237),IF(AL237=3,AR$100*EXP(-(LN(2)/$D$65+0.04)*(VLOOKUP(($F$16-$F$15)-1,AK$100:AO237,4,FALSE)))*EXP(-(LN(2)/$D$65+0.1)*(VLOOKUP(($F$16-$F$15)-1,AK$100:AO237,5,FALSE)))*EXP(-(LN(2)/$D$65+0.04)*(VLOOKUP(($F$16-$F$15)*2-1,AK$100:AO237,4,FALSE)))*EXP(-(LN(2)/$D$65+0.1)*(VLOOKUP(($F$16-$F$15)*2-1,AK$100:AO237,5,FALSE)))*EXP(-(LN(2)/$D$65+0.04)*AN237)*EXP(-(LN(2)/$D$65+0.1)*AO237),"-"))),"-")</f>
        <v>-</v>
      </c>
      <c r="AS237" s="274">
        <f t="shared" si="191"/>
        <v>0</v>
      </c>
      <c r="AT237" s="274">
        <f t="shared" si="192"/>
        <v>0</v>
      </c>
      <c r="AU237" s="274">
        <f t="shared" si="193"/>
        <v>0</v>
      </c>
      <c r="AV237" s="190" t="str">
        <f>IF($B237&lt;$F$22,SUM($T$100:$T237),"")</f>
        <v/>
      </c>
      <c r="AW237" s="190" t="str">
        <f t="shared" si="194"/>
        <v>-</v>
      </c>
      <c r="AX237" s="190" t="str">
        <f t="shared" si="219"/>
        <v/>
      </c>
      <c r="AY237"/>
      <c r="AZ237" s="190" t="str">
        <f ca="1">IF(ISNUMBER(OFFSET(AV237,-$F$21,0)),SUM(OFFSET($T$100,$F$21,0):$T237),"")</f>
        <v/>
      </c>
      <c r="BA237" s="190" t="str">
        <f t="shared" ca="1" si="195"/>
        <v/>
      </c>
      <c r="BB237" s="190" t="str">
        <f t="shared" ca="1" si="148"/>
        <v/>
      </c>
      <c r="BC237" s="190"/>
      <c r="BD237" s="190" t="str">
        <f ca="1">IFERROR(IF(OR(ISNUMBER(I),ISNUMBER($F$14)),IF(AND($B237&gt;=($F$16-$F$15),$B237&lt;$F$22+($F$16-$F$15)),SUM(OFFSET($T$100,($F$16-$F$15),0):$T237),""),""),"")</f>
        <v/>
      </c>
      <c r="BE237" s="190" t="str">
        <f t="shared" ca="1" si="220"/>
        <v/>
      </c>
      <c r="BF237" s="190" t="str">
        <f t="shared" ca="1" si="221"/>
        <v/>
      </c>
      <c r="BG237"/>
      <c r="BH237" s="190" t="str">
        <f ca="1">IF(ISNUMBER(OFFSET(BD237,-$F$21,0)),SUM(OFFSET($T$100,($F$16-$F$15+$F$21),0):$T237),"")</f>
        <v/>
      </c>
      <c r="BI237" s="190" t="str">
        <f t="shared" ca="1" si="196"/>
        <v/>
      </c>
      <c r="BJ237" s="190" t="str">
        <f t="shared" ca="1" si="222"/>
        <v/>
      </c>
      <c r="BK237" s="190"/>
      <c r="BL237" s="190" t="str">
        <f ca="1">IFERROR(IF(OR(ISNUMBER(I),ISNUMBER($F$14)),IF(AND($B237&gt;=($F$17-$F$15),$B237&lt;$F$22+($F$17-$F$15)),SUM(OFFSET($T$100,($F$17-$F$15),0):$T237),""),""),"")</f>
        <v/>
      </c>
      <c r="BM237" s="190" t="str">
        <f t="shared" ca="1" si="197"/>
        <v/>
      </c>
      <c r="BN237" s="190" t="str">
        <f t="shared" ca="1" si="223"/>
        <v/>
      </c>
      <c r="BO237"/>
      <c r="BP237" s="190" t="str">
        <f ca="1">IF(ISNUMBER(OFFSET(BL237,-$F$21,0)),SUM(OFFSET($T$100,($F$17-$F$15+$F$21),0):$T237),"")</f>
        <v/>
      </c>
      <c r="BQ237" s="190" t="str">
        <f t="shared" ca="1" si="198"/>
        <v/>
      </c>
      <c r="BR237" s="190" t="str">
        <f t="shared" ca="1" si="224"/>
        <v/>
      </c>
      <c r="BS237" s="190"/>
      <c r="BT237"/>
      <c r="BU237"/>
      <c r="BV237"/>
      <c r="BY237" s="99"/>
      <c r="BZ237" s="99"/>
      <c r="CA237" s="280" t="str">
        <f t="shared" si="199"/>
        <v/>
      </c>
      <c r="CB237" s="71" t="str">
        <f t="shared" si="200"/>
        <v>-</v>
      </c>
      <c r="CC237" s="33"/>
      <c r="CD237" s="261" t="str">
        <f t="shared" si="201"/>
        <v/>
      </c>
      <c r="CE237" s="280" t="str">
        <f t="shared" si="202"/>
        <v/>
      </c>
      <c r="CF237" s="71" t="str">
        <f t="shared" ca="1" si="203"/>
        <v/>
      </c>
      <c r="CG237" s="33" t="str">
        <f t="shared" si="204"/>
        <v/>
      </c>
      <c r="CH237" s="261" t="str">
        <f t="shared" ca="1" si="205"/>
        <v/>
      </c>
    </row>
    <row r="238" spans="2:86" ht="13.5" customHeight="1" x14ac:dyDescent="0.2">
      <c r="B238" s="262">
        <v>138</v>
      </c>
      <c r="C238" s="237" t="str">
        <f t="shared" si="169"/>
        <v/>
      </c>
      <c r="D238" s="237" t="str">
        <f t="shared" si="225"/>
        <v/>
      </c>
      <c r="E238" s="263" t="str">
        <f t="shared" si="206"/>
        <v/>
      </c>
      <c r="F238" s="264" t="str">
        <f t="shared" si="207"/>
        <v/>
      </c>
      <c r="G238" s="264" t="str">
        <f t="shared" si="208"/>
        <v/>
      </c>
      <c r="H238" s="240" t="str">
        <f t="shared" si="170"/>
        <v/>
      </c>
      <c r="I238" s="265" t="str">
        <f t="shared" si="171"/>
        <v/>
      </c>
      <c r="J238" s="265" t="str">
        <f t="shared" si="172"/>
        <v/>
      </c>
      <c r="K238" s="240" t="str">
        <f t="shared" si="173"/>
        <v/>
      </c>
      <c r="L238" s="265" t="str">
        <f t="shared" si="174"/>
        <v/>
      </c>
      <c r="M238" s="265" t="str">
        <f t="shared" si="175"/>
        <v/>
      </c>
      <c r="N238" s="240" t="str">
        <f t="shared" si="176"/>
        <v>-</v>
      </c>
      <c r="O238" s="265" t="str">
        <f t="shared" si="177"/>
        <v>-</v>
      </c>
      <c r="P238" s="265" t="str">
        <f t="shared" si="178"/>
        <v>-</v>
      </c>
      <c r="Q238" s="266" t="str">
        <f t="shared" si="179"/>
        <v>-</v>
      </c>
      <c r="R238" s="267" t="str">
        <f t="shared" si="180"/>
        <v>-</v>
      </c>
      <c r="S238" s="268" t="str">
        <f t="shared" si="181"/>
        <v>-</v>
      </c>
      <c r="T238" s="269" t="str">
        <f t="shared" si="182"/>
        <v/>
      </c>
      <c r="U238" s="221">
        <f t="shared" si="183"/>
        <v>138</v>
      </c>
      <c r="V238" s="220" t="str">
        <f t="shared" si="209"/>
        <v>-</v>
      </c>
      <c r="W238" s="221" t="str">
        <f t="shared" si="210"/>
        <v>-</v>
      </c>
      <c r="X238" s="221" t="str">
        <f t="shared" si="184"/>
        <v>-</v>
      </c>
      <c r="Y238" s="221" t="str">
        <f t="shared" si="185"/>
        <v>-</v>
      </c>
      <c r="Z238" s="270">
        <f t="shared" si="211"/>
        <v>0.1</v>
      </c>
      <c r="AA238" s="271" t="str">
        <f>IFERROR(IF(V237=1,AA$100*EXP(-(LN(2)/$D$65+0.04)*X237)*EXP(-(LN(2)/$D$65+0.1)*Y237),IF(V237=2,AA$100*EXP(-(LN(2)/$D$65+0.04)*(VLOOKUP(($F$16-$F$15)-1,U$99:Y237,4,FALSE)))*EXP(-(LN(2)/$D$65+0.1)*(VLOOKUP(($F$16-$F$15)-1,U$99:Y237,5,FALSE)))*EXP(-(LN(2)/$D$65+0.04)*X237)*EXP(-(LN(2)/$D$65+0.1)*Y237),IF(V237=3,AA$100*EXP(-(LN(2)/$D$65+0.04)*(VLOOKUP(($F$16-$F$15)-1,U$99:Y237,4,FALSE)))*EXP(-(LN(2)/$D$65+0.1)*(VLOOKUP(($F$16-$F$15)-1,U$99:Y237,5,FALSE)))*EXP(-(LN(2)/$D$65+0.04)*(VLOOKUP(($F$16-$F$15)*2-1,U$99:Y237,4,FALSE)))*EXP(-(LN(2)/$D$65+0.1)*(VLOOKUP(($F$16-$F$15)*2-1,U$99:Y237,5,FALSE)))*EXP(-(LN(2)/$D$65+0.04)*X237)*EXP(-(LN(2)/$D$65+0.1)*Y237),"-"))),"-")</f>
        <v>-</v>
      </c>
      <c r="AB238" s="271" t="str">
        <f>IFERROR(IF(V238=1,AB$100*EXP(-(LN(2)/$D$65+0.04)*X238)*EXP(-(LN(2)/$D$65+0.1)*Y238),IF(V238=2,AB$100*EXP(-(LN(2)/$D$65+0.04)*(VLOOKUP(($F$16-$F$15)-1,U$100:Y238,4,FALSE)))*EXP(-(LN(2)/$D$65+0.1)*(VLOOKUP(($F$16-$F$15)-1,U$100:Y238,5,FALSE)))*EXP(-(LN(2)/$D$65+0.04)*X238)*EXP(-(LN(2)/$D$65+0.1)*Y238),IF(V238=3,AB$100*EXP(-(LN(2)/$D$65+0.04)*(VLOOKUP(($F$16-$F$15)-1,U$100:Y238,4,FALSE)))*EXP(-(LN(2)/$D$65+0.1)*(VLOOKUP(($F$16-$F$15)-1,U$100:Y238,5,FALSE)))*EXP(-(LN(2)/$D$65+0.04)*(VLOOKUP(($F$16-$F$15)*2-1,U$100:Y238,4,FALSE)))*EXP(-(LN(2)/$D$65+0.1)*(VLOOKUP(($F$16-$F$15)*2-1,U$100:Y238,5,FALSE)))*EXP(-(LN(2)/$D$65+0.04)*X238)*EXP(-(LN(2)/$D$65+0.1)*Y238),"-"))),"-")</f>
        <v>-</v>
      </c>
      <c r="AC238" s="224">
        <f t="shared" si="212"/>
        <v>138</v>
      </c>
      <c r="AD238" s="223" t="str">
        <f t="shared" si="186"/>
        <v>-</v>
      </c>
      <c r="AE238" s="224" t="str">
        <f t="shared" si="213"/>
        <v>-</v>
      </c>
      <c r="AF238" s="224" t="str">
        <f t="shared" si="187"/>
        <v>-</v>
      </c>
      <c r="AG238" s="224" t="str">
        <f t="shared" si="188"/>
        <v>-</v>
      </c>
      <c r="AH238" s="272">
        <f t="shared" si="214"/>
        <v>0.1</v>
      </c>
      <c r="AI238" s="271" t="str">
        <f>IFERROR(IF(AD237=1,AI$100*EXP(-(LN(2)/$D$65+0.04)*AF237)*EXP(-(LN(2)/$D$65+0.1)*AG237),IF(AD237=2,AI$100*EXP(-(LN(2)/$D$65+0.04)*(VLOOKUP(($F$16-$F$15)-1,AC$99:AG237,4,FALSE)))*EXP(-(LN(2)/$D$65+0.1)*(VLOOKUP(($F$16-$F$15)-1,AC$99:AG237,5,FALSE)))*EXP(-(LN(2)/$D$65+0.04)*AF237)*EXP(-(LN(2)/$D$65+0.1)*AG237),IF(AD237=3,AI$100*EXP(-(LN(2)/$D$65+0.04)*(VLOOKUP(($F$16-$F$15)-1,AC$99:AG237,4,FALSE)))*EXP(-(LN(2)/$D$65+0.1)*(VLOOKUP(($F$16-$F$15)-1,AC$99:AG237,5,FALSE)))*EXP(-(LN(2)/$D$65+0.04)*(VLOOKUP(($F$16-$F$15)*2-1,AC$99:AG237,4,FALSE)))*EXP(-(LN(2)/$D$65+0.1)*(VLOOKUP(($F$16-$F$15)*2-1,AC$99:AG237,5,FALSE)))*EXP(-(LN(2)/$D$65+0.04)*AF237)*EXP(-(LN(2)/$D$65+0.1)*AG237),"-"))),"-")</f>
        <v>-</v>
      </c>
      <c r="AJ238" s="271" t="str">
        <f>IFERROR(IF(AD238=1,AJ$100*EXP(-(LN(2)/$D$65+0.04)*AF238)*EXP(-(LN(2)/$D$65+0.1)*AG238),IF(AD238=2,AJ$100*EXP(-(LN(2)/$D$65+0.04)*(VLOOKUP(($F$16-$F$15)-1,AC$100:AG238,4,FALSE)))*EXP(-(LN(2)/$D$65+0.1)*(VLOOKUP(($F$16-$F$15)-1,AC$100:AG238,5,FALSE)))*EXP(-(LN(2)/$D$65+0.04)*AF238)*EXP(-(LN(2)/$D$65+0.1)*AG238),IF(AD238=3,AJ$100*EXP(-(LN(2)/$D$65+0.04)*(VLOOKUP(($F$16-$F$15)-1,AC$100:AG238,4,FALSE)))*EXP(-(LN(2)/$D$65+0.1)*(VLOOKUP(($F$16-$F$15)-1,AC$100:AG238,5,FALSE)))*EXP(-(LN(2)/$D$65+0.04)*(VLOOKUP(($F$16-$F$15)*2-1,AC$100:AG238,4,FALSE)))*EXP(-(LN(2)/$D$65+0.1)*(VLOOKUP(($F$16-$F$15)*2-1,AC$100:AG238,5,FALSE)))*EXP(-(LN(2)/$D$65+0.04)*AF238)*EXP(-(LN(2)/$D$65+0.1)*AG238),"-"))),"-")</f>
        <v>-</v>
      </c>
      <c r="AK238" s="227">
        <f t="shared" si="215"/>
        <v>138</v>
      </c>
      <c r="AL238" s="226" t="str">
        <f t="shared" si="189"/>
        <v>-</v>
      </c>
      <c r="AM238" s="227" t="str">
        <f t="shared" si="216"/>
        <v>-</v>
      </c>
      <c r="AN238" s="227" t="str">
        <f t="shared" si="217"/>
        <v>-</v>
      </c>
      <c r="AO238" s="227" t="str">
        <f t="shared" si="190"/>
        <v>-</v>
      </c>
      <c r="AP238" s="273">
        <f t="shared" si="218"/>
        <v>0.1</v>
      </c>
      <c r="AQ238" s="271" t="str">
        <f>IFERROR(IF(AL237=1,AQ$100*EXP(-(LN(2)/$D$65+0.04)*AN237)*EXP(-(LN(2)/$D$65+0.1)*AO237),IF(AL237=2,AQ$100*EXP(-(LN(2)/$D$65+0.04)*(VLOOKUP(($F$16-$F$15)-1,AK$99:AO237,4,FALSE)))*EXP(-(LN(2)/$D$65+0.1)*(VLOOKUP(($F$16-$F$15)-1,AK$99:AO237,5,FALSE)))*EXP(-(LN(2)/$D$65+0.04)*AN237)*EXP(-(LN(2)/$D$65+0.1)*AO237),IF(AL237=3,AQ$100*EXP(-(LN(2)/$D$65+0.04)*(VLOOKUP(($F$16-$F$15)-1,AK$99:AO237,4,FALSE)))*EXP(-(LN(2)/$D$65+0.1)*(VLOOKUP(($F$16-$F$15)-1,AK$99:AO237,5,FALSE)))*EXP(-(LN(2)/$D$65+0.04)*(VLOOKUP(($F$16-$F$15)*2-1,AK$99:AO237,4,FALSE)))*EXP(-(LN(2)/$D$65+0.1)*(VLOOKUP(($F$16-$F$15)*2-1,AK$99:AO237,5,FALSE)))*EXP(-(LN(2)/$D$65+0.04)*AN237)*EXP(-(LN(2)/$D$65+0.1)*AO237),"-"))),"-")</f>
        <v>-</v>
      </c>
      <c r="AR238" s="271" t="str">
        <f>IFERROR(IF(AL238=1,AR$100*EXP(-(LN(2)/$D$65+0.04)*AN238)*EXP(-(LN(2)/$D$65+0.1)*AO238),IF(AL238=2,AR$100*EXP(-(LN(2)/$D$65+0.04)*(VLOOKUP(($F$16-$F$15)-1,AK$100:AO238,4,FALSE)))*EXP(-(LN(2)/$D$65+0.1)*(VLOOKUP(($F$16-$F$15)-1,AK$100:AO238,5,FALSE)))*EXP(-(LN(2)/$D$65+0.04)*AN238)*EXP(-(LN(2)/$D$65+0.1)*AO238),IF(AL238=3,AR$100*EXP(-(LN(2)/$D$65+0.04)*(VLOOKUP(($F$16-$F$15)-1,AK$100:AO238,4,FALSE)))*EXP(-(LN(2)/$D$65+0.1)*(VLOOKUP(($F$16-$F$15)-1,AK$100:AO238,5,FALSE)))*EXP(-(LN(2)/$D$65+0.04)*(VLOOKUP(($F$16-$F$15)*2-1,AK$100:AO238,4,FALSE)))*EXP(-(LN(2)/$D$65+0.1)*(VLOOKUP(($F$16-$F$15)*2-1,AK$100:AO238,5,FALSE)))*EXP(-(LN(2)/$D$65+0.04)*AN238)*EXP(-(LN(2)/$D$65+0.1)*AO238),"-"))),"-")</f>
        <v>-</v>
      </c>
      <c r="AS238" s="274">
        <f t="shared" si="191"/>
        <v>0</v>
      </c>
      <c r="AT238" s="274">
        <f t="shared" si="192"/>
        <v>0</v>
      </c>
      <c r="AU238" s="274">
        <f t="shared" si="193"/>
        <v>0</v>
      </c>
      <c r="AV238" s="190" t="str">
        <f>IF($B238&lt;$F$22,SUM($T$100:$T238),"")</f>
        <v/>
      </c>
      <c r="AW238" s="190" t="str">
        <f t="shared" si="194"/>
        <v>-</v>
      </c>
      <c r="AX238" s="190" t="str">
        <f t="shared" si="219"/>
        <v/>
      </c>
      <c r="AY238"/>
      <c r="AZ238" s="190" t="str">
        <f ca="1">IF(ISNUMBER(OFFSET(AV238,-$F$21,0)),SUM(OFFSET($T$100,$F$21,0):$T238),"")</f>
        <v/>
      </c>
      <c r="BA238" s="190" t="str">
        <f t="shared" ca="1" si="195"/>
        <v/>
      </c>
      <c r="BB238" s="190" t="str">
        <f t="shared" ca="1" si="148"/>
        <v/>
      </c>
      <c r="BC238" s="190"/>
      <c r="BD238" s="190" t="str">
        <f ca="1">IFERROR(IF(OR(ISNUMBER(I),ISNUMBER($F$14)),IF(AND($B238&gt;=($F$16-$F$15),$B238&lt;$F$22+($F$16-$F$15)),SUM(OFFSET($T$100,($F$16-$F$15),0):$T238),""),""),"")</f>
        <v/>
      </c>
      <c r="BE238" s="190" t="str">
        <f t="shared" ca="1" si="220"/>
        <v/>
      </c>
      <c r="BF238" s="190" t="str">
        <f t="shared" ca="1" si="221"/>
        <v/>
      </c>
      <c r="BG238"/>
      <c r="BH238" s="190" t="str">
        <f ca="1">IF(ISNUMBER(OFFSET(BD238,-$F$21,0)),SUM(OFFSET($T$100,($F$16-$F$15+$F$21),0):$T238),"")</f>
        <v/>
      </c>
      <c r="BI238" s="190" t="str">
        <f t="shared" ca="1" si="196"/>
        <v/>
      </c>
      <c r="BJ238" s="190" t="str">
        <f t="shared" ca="1" si="222"/>
        <v/>
      </c>
      <c r="BK238" s="190"/>
      <c r="BL238" s="190" t="str">
        <f ca="1">IFERROR(IF(OR(ISNUMBER(I),ISNUMBER($F$14)),IF(AND($B238&gt;=($F$17-$F$15),$B238&lt;$F$22+($F$17-$F$15)),SUM(OFFSET($T$100,($F$17-$F$15),0):$T238),""),""),"")</f>
        <v/>
      </c>
      <c r="BM238" s="190" t="str">
        <f t="shared" ca="1" si="197"/>
        <v/>
      </c>
      <c r="BN238" s="190" t="str">
        <f t="shared" ca="1" si="223"/>
        <v/>
      </c>
      <c r="BO238"/>
      <c r="BP238" s="190" t="str">
        <f ca="1">IF(ISNUMBER(OFFSET(BL238,-$F$21,0)),SUM(OFFSET($T$100,($F$17-$F$15+$F$21),0):$T238),"")</f>
        <v/>
      </c>
      <c r="BQ238" s="190" t="str">
        <f t="shared" ca="1" si="198"/>
        <v/>
      </c>
      <c r="BR238" s="190" t="str">
        <f t="shared" ca="1" si="224"/>
        <v/>
      </c>
      <c r="BS238" s="190"/>
      <c r="BT238"/>
      <c r="BU238"/>
      <c r="BV238"/>
      <c r="BY238" s="99"/>
      <c r="BZ238" s="99"/>
      <c r="CA238" s="280" t="str">
        <f t="shared" si="199"/>
        <v/>
      </c>
      <c r="CB238" s="71" t="str">
        <f t="shared" si="200"/>
        <v>-</v>
      </c>
      <c r="CC238" s="33"/>
      <c r="CD238" s="261" t="str">
        <f t="shared" si="201"/>
        <v/>
      </c>
      <c r="CE238" s="280" t="str">
        <f t="shared" si="202"/>
        <v/>
      </c>
      <c r="CF238" s="71" t="str">
        <f t="shared" ca="1" si="203"/>
        <v/>
      </c>
      <c r="CG238" s="33" t="str">
        <f t="shared" si="204"/>
        <v/>
      </c>
      <c r="CH238" s="261" t="str">
        <f t="shared" ca="1" si="205"/>
        <v/>
      </c>
    </row>
    <row r="239" spans="2:86" ht="13.5" customHeight="1" x14ac:dyDescent="0.2">
      <c r="B239" s="262">
        <v>139</v>
      </c>
      <c r="C239" s="237" t="str">
        <f t="shared" si="169"/>
        <v/>
      </c>
      <c r="D239" s="237" t="str">
        <f t="shared" si="225"/>
        <v/>
      </c>
      <c r="E239" s="263" t="str">
        <f t="shared" si="206"/>
        <v/>
      </c>
      <c r="F239" s="264" t="str">
        <f t="shared" si="207"/>
        <v/>
      </c>
      <c r="G239" s="264" t="str">
        <f t="shared" si="208"/>
        <v/>
      </c>
      <c r="H239" s="240" t="str">
        <f t="shared" si="170"/>
        <v/>
      </c>
      <c r="I239" s="265" t="str">
        <f t="shared" si="171"/>
        <v/>
      </c>
      <c r="J239" s="265" t="str">
        <f t="shared" si="172"/>
        <v/>
      </c>
      <c r="K239" s="240" t="str">
        <f t="shared" si="173"/>
        <v/>
      </c>
      <c r="L239" s="265" t="str">
        <f t="shared" si="174"/>
        <v/>
      </c>
      <c r="M239" s="265" t="str">
        <f t="shared" si="175"/>
        <v/>
      </c>
      <c r="N239" s="240" t="str">
        <f t="shared" si="176"/>
        <v>-</v>
      </c>
      <c r="O239" s="265" t="str">
        <f t="shared" si="177"/>
        <v>-</v>
      </c>
      <c r="P239" s="265" t="str">
        <f t="shared" si="178"/>
        <v>-</v>
      </c>
      <c r="Q239" s="266" t="str">
        <f t="shared" si="179"/>
        <v>-</v>
      </c>
      <c r="R239" s="267" t="str">
        <f t="shared" si="180"/>
        <v>-</v>
      </c>
      <c r="S239" s="268" t="str">
        <f t="shared" si="181"/>
        <v>-</v>
      </c>
      <c r="T239" s="269" t="str">
        <f t="shared" si="182"/>
        <v/>
      </c>
      <c r="U239" s="221">
        <f t="shared" si="183"/>
        <v>139</v>
      </c>
      <c r="V239" s="220" t="str">
        <f t="shared" si="209"/>
        <v>-</v>
      </c>
      <c r="W239" s="221" t="str">
        <f t="shared" si="210"/>
        <v>-</v>
      </c>
      <c r="X239" s="221" t="str">
        <f t="shared" si="184"/>
        <v>-</v>
      </c>
      <c r="Y239" s="221" t="str">
        <f t="shared" si="185"/>
        <v>-</v>
      </c>
      <c r="Z239" s="270">
        <f t="shared" si="211"/>
        <v>0.1</v>
      </c>
      <c r="AA239" s="271" t="str">
        <f>IFERROR(IF(V238=1,AA$100*EXP(-(LN(2)/$D$65+0.04)*X238)*EXP(-(LN(2)/$D$65+0.1)*Y238),IF(V238=2,AA$100*EXP(-(LN(2)/$D$65+0.04)*(VLOOKUP(($F$16-$F$15)-1,U$99:Y238,4,FALSE)))*EXP(-(LN(2)/$D$65+0.1)*(VLOOKUP(($F$16-$F$15)-1,U$99:Y238,5,FALSE)))*EXP(-(LN(2)/$D$65+0.04)*X238)*EXP(-(LN(2)/$D$65+0.1)*Y238),IF(V238=3,AA$100*EXP(-(LN(2)/$D$65+0.04)*(VLOOKUP(($F$16-$F$15)-1,U$99:Y238,4,FALSE)))*EXP(-(LN(2)/$D$65+0.1)*(VLOOKUP(($F$16-$F$15)-1,U$99:Y238,5,FALSE)))*EXP(-(LN(2)/$D$65+0.04)*(VLOOKUP(($F$16-$F$15)*2-1,U$99:Y238,4,FALSE)))*EXP(-(LN(2)/$D$65+0.1)*(VLOOKUP(($F$16-$F$15)*2-1,U$99:Y238,5,FALSE)))*EXP(-(LN(2)/$D$65+0.04)*X238)*EXP(-(LN(2)/$D$65+0.1)*Y238),"-"))),"-")</f>
        <v>-</v>
      </c>
      <c r="AB239" s="271" t="str">
        <f>IFERROR(IF(V239=1,AB$100*EXP(-(LN(2)/$D$65+0.04)*X239)*EXP(-(LN(2)/$D$65+0.1)*Y239),IF(V239=2,AB$100*EXP(-(LN(2)/$D$65+0.04)*(VLOOKUP(($F$16-$F$15)-1,U$100:Y239,4,FALSE)))*EXP(-(LN(2)/$D$65+0.1)*(VLOOKUP(($F$16-$F$15)-1,U$100:Y239,5,FALSE)))*EXP(-(LN(2)/$D$65+0.04)*X239)*EXP(-(LN(2)/$D$65+0.1)*Y239),IF(V239=3,AB$100*EXP(-(LN(2)/$D$65+0.04)*(VLOOKUP(($F$16-$F$15)-1,U$100:Y239,4,FALSE)))*EXP(-(LN(2)/$D$65+0.1)*(VLOOKUP(($F$16-$F$15)-1,U$100:Y239,5,FALSE)))*EXP(-(LN(2)/$D$65+0.04)*(VLOOKUP(($F$16-$F$15)*2-1,U$100:Y239,4,FALSE)))*EXP(-(LN(2)/$D$65+0.1)*(VLOOKUP(($F$16-$F$15)*2-1,U$100:Y239,5,FALSE)))*EXP(-(LN(2)/$D$65+0.04)*X239)*EXP(-(LN(2)/$D$65+0.1)*Y239),"-"))),"-")</f>
        <v>-</v>
      </c>
      <c r="AC239" s="224">
        <f t="shared" si="212"/>
        <v>139</v>
      </c>
      <c r="AD239" s="223" t="str">
        <f t="shared" si="186"/>
        <v>-</v>
      </c>
      <c r="AE239" s="224" t="str">
        <f t="shared" si="213"/>
        <v>-</v>
      </c>
      <c r="AF239" s="224" t="str">
        <f t="shared" si="187"/>
        <v>-</v>
      </c>
      <c r="AG239" s="224" t="str">
        <f t="shared" si="188"/>
        <v>-</v>
      </c>
      <c r="AH239" s="272">
        <f t="shared" si="214"/>
        <v>0.1</v>
      </c>
      <c r="AI239" s="271" t="str">
        <f>IFERROR(IF(AD238=1,AI$100*EXP(-(LN(2)/$D$65+0.04)*AF238)*EXP(-(LN(2)/$D$65+0.1)*AG238),IF(AD238=2,AI$100*EXP(-(LN(2)/$D$65+0.04)*(VLOOKUP(($F$16-$F$15)-1,AC$99:AG238,4,FALSE)))*EXP(-(LN(2)/$D$65+0.1)*(VLOOKUP(($F$16-$F$15)-1,AC$99:AG238,5,FALSE)))*EXP(-(LN(2)/$D$65+0.04)*AF238)*EXP(-(LN(2)/$D$65+0.1)*AG238),IF(AD238=3,AI$100*EXP(-(LN(2)/$D$65+0.04)*(VLOOKUP(($F$16-$F$15)-1,AC$99:AG238,4,FALSE)))*EXP(-(LN(2)/$D$65+0.1)*(VLOOKUP(($F$16-$F$15)-1,AC$99:AG238,5,FALSE)))*EXP(-(LN(2)/$D$65+0.04)*(VLOOKUP(($F$16-$F$15)*2-1,AC$99:AG238,4,FALSE)))*EXP(-(LN(2)/$D$65+0.1)*(VLOOKUP(($F$16-$F$15)*2-1,AC$99:AG238,5,FALSE)))*EXP(-(LN(2)/$D$65+0.04)*AF238)*EXP(-(LN(2)/$D$65+0.1)*AG238),"-"))),"-")</f>
        <v>-</v>
      </c>
      <c r="AJ239" s="271" t="str">
        <f>IFERROR(IF(AD239=1,AJ$100*EXP(-(LN(2)/$D$65+0.04)*AF239)*EXP(-(LN(2)/$D$65+0.1)*AG239),IF(AD239=2,AJ$100*EXP(-(LN(2)/$D$65+0.04)*(VLOOKUP(($F$16-$F$15)-1,AC$100:AG239,4,FALSE)))*EXP(-(LN(2)/$D$65+0.1)*(VLOOKUP(($F$16-$F$15)-1,AC$100:AG239,5,FALSE)))*EXP(-(LN(2)/$D$65+0.04)*AF239)*EXP(-(LN(2)/$D$65+0.1)*AG239),IF(AD239=3,AJ$100*EXP(-(LN(2)/$D$65+0.04)*(VLOOKUP(($F$16-$F$15)-1,AC$100:AG239,4,FALSE)))*EXP(-(LN(2)/$D$65+0.1)*(VLOOKUP(($F$16-$F$15)-1,AC$100:AG239,5,FALSE)))*EXP(-(LN(2)/$D$65+0.04)*(VLOOKUP(($F$16-$F$15)*2-1,AC$100:AG239,4,FALSE)))*EXP(-(LN(2)/$D$65+0.1)*(VLOOKUP(($F$16-$F$15)*2-1,AC$100:AG239,5,FALSE)))*EXP(-(LN(2)/$D$65+0.04)*AF239)*EXP(-(LN(2)/$D$65+0.1)*AG239),"-"))),"-")</f>
        <v>-</v>
      </c>
      <c r="AK239" s="227">
        <f t="shared" si="215"/>
        <v>139</v>
      </c>
      <c r="AL239" s="226" t="str">
        <f t="shared" si="189"/>
        <v>-</v>
      </c>
      <c r="AM239" s="227" t="str">
        <f t="shared" si="216"/>
        <v>-</v>
      </c>
      <c r="AN239" s="227" t="str">
        <f t="shared" si="217"/>
        <v>-</v>
      </c>
      <c r="AO239" s="227" t="str">
        <f t="shared" si="190"/>
        <v>-</v>
      </c>
      <c r="AP239" s="273">
        <f t="shared" si="218"/>
        <v>0.1</v>
      </c>
      <c r="AQ239" s="271" t="str">
        <f>IFERROR(IF(AL238=1,AQ$100*EXP(-(LN(2)/$D$65+0.04)*AN238)*EXP(-(LN(2)/$D$65+0.1)*AO238),IF(AL238=2,AQ$100*EXP(-(LN(2)/$D$65+0.04)*(VLOOKUP(($F$16-$F$15)-1,AK$99:AO238,4,FALSE)))*EXP(-(LN(2)/$D$65+0.1)*(VLOOKUP(($F$16-$F$15)-1,AK$99:AO238,5,FALSE)))*EXP(-(LN(2)/$D$65+0.04)*AN238)*EXP(-(LN(2)/$D$65+0.1)*AO238),IF(AL238=3,AQ$100*EXP(-(LN(2)/$D$65+0.04)*(VLOOKUP(($F$16-$F$15)-1,AK$99:AO238,4,FALSE)))*EXP(-(LN(2)/$D$65+0.1)*(VLOOKUP(($F$16-$F$15)-1,AK$99:AO238,5,FALSE)))*EXP(-(LN(2)/$D$65+0.04)*(VLOOKUP(($F$16-$F$15)*2-1,AK$99:AO238,4,FALSE)))*EXP(-(LN(2)/$D$65+0.1)*(VLOOKUP(($F$16-$F$15)*2-1,AK$99:AO238,5,FALSE)))*EXP(-(LN(2)/$D$65+0.04)*AN238)*EXP(-(LN(2)/$D$65+0.1)*AO238),"-"))),"-")</f>
        <v>-</v>
      </c>
      <c r="AR239" s="271" t="str">
        <f>IFERROR(IF(AL239=1,AR$100*EXP(-(LN(2)/$D$65+0.04)*AN239)*EXP(-(LN(2)/$D$65+0.1)*AO239),IF(AL239=2,AR$100*EXP(-(LN(2)/$D$65+0.04)*(VLOOKUP(($F$16-$F$15)-1,AK$100:AO239,4,FALSE)))*EXP(-(LN(2)/$D$65+0.1)*(VLOOKUP(($F$16-$F$15)-1,AK$100:AO239,5,FALSE)))*EXP(-(LN(2)/$D$65+0.04)*AN239)*EXP(-(LN(2)/$D$65+0.1)*AO239),IF(AL239=3,AR$100*EXP(-(LN(2)/$D$65+0.04)*(VLOOKUP(($F$16-$F$15)-1,AK$100:AO239,4,FALSE)))*EXP(-(LN(2)/$D$65+0.1)*(VLOOKUP(($F$16-$F$15)-1,AK$100:AO239,5,FALSE)))*EXP(-(LN(2)/$D$65+0.04)*(VLOOKUP(($F$16-$F$15)*2-1,AK$100:AO239,4,FALSE)))*EXP(-(LN(2)/$D$65+0.1)*(VLOOKUP(($F$16-$F$15)*2-1,AK$100:AO239,5,FALSE)))*EXP(-(LN(2)/$D$65+0.04)*AN239)*EXP(-(LN(2)/$D$65+0.1)*AO239),"-"))),"-")</f>
        <v>-</v>
      </c>
      <c r="AS239" s="274">
        <f t="shared" si="191"/>
        <v>0</v>
      </c>
      <c r="AT239" s="274">
        <f t="shared" si="192"/>
        <v>0</v>
      </c>
      <c r="AU239" s="274">
        <f t="shared" si="193"/>
        <v>0</v>
      </c>
      <c r="AV239" s="190" t="str">
        <f>IF($B239&lt;$F$22,SUM($T$100:$T239),"")</f>
        <v/>
      </c>
      <c r="AW239" s="190" t="str">
        <f t="shared" si="194"/>
        <v>-</v>
      </c>
      <c r="AX239" s="190" t="str">
        <f t="shared" si="219"/>
        <v/>
      </c>
      <c r="AY239"/>
      <c r="AZ239" s="190" t="str">
        <f ca="1">IF(ISNUMBER(OFFSET(AV239,-$F$21,0)),SUM(OFFSET($T$100,$F$21,0):$T239),"")</f>
        <v/>
      </c>
      <c r="BA239" s="190" t="str">
        <f t="shared" ca="1" si="195"/>
        <v/>
      </c>
      <c r="BB239" s="190" t="str">
        <f t="shared" ca="1" si="148"/>
        <v/>
      </c>
      <c r="BC239" s="190"/>
      <c r="BD239" s="190" t="str">
        <f ca="1">IFERROR(IF(OR(ISNUMBER(I),ISNUMBER($F$14)),IF(AND($B239&gt;=($F$16-$F$15),$B239&lt;$F$22+($F$16-$F$15)),SUM(OFFSET($T$100,($F$16-$F$15),0):$T239),""),""),"")</f>
        <v/>
      </c>
      <c r="BE239" s="190" t="str">
        <f t="shared" ca="1" si="220"/>
        <v/>
      </c>
      <c r="BF239" s="190" t="str">
        <f t="shared" ca="1" si="221"/>
        <v/>
      </c>
      <c r="BG239"/>
      <c r="BH239" s="190" t="str">
        <f ca="1">IF(ISNUMBER(OFFSET(BD239,-$F$21,0)),SUM(OFFSET($T$100,($F$16-$F$15+$F$21),0):$T239),"")</f>
        <v/>
      </c>
      <c r="BI239" s="190" t="str">
        <f t="shared" ca="1" si="196"/>
        <v/>
      </c>
      <c r="BJ239" s="190" t="str">
        <f t="shared" ca="1" si="222"/>
        <v/>
      </c>
      <c r="BK239" s="190"/>
      <c r="BL239" s="190" t="str">
        <f ca="1">IFERROR(IF(OR(ISNUMBER(I),ISNUMBER($F$14)),IF(AND($B239&gt;=($F$17-$F$15),$B239&lt;$F$22+($F$17-$F$15)),SUM(OFFSET($T$100,($F$17-$F$15),0):$T239),""),""),"")</f>
        <v/>
      </c>
      <c r="BM239" s="190" t="str">
        <f t="shared" ca="1" si="197"/>
        <v/>
      </c>
      <c r="BN239" s="190" t="str">
        <f t="shared" ca="1" si="223"/>
        <v/>
      </c>
      <c r="BO239"/>
      <c r="BP239" s="190" t="str">
        <f ca="1">IF(ISNUMBER(OFFSET(BL239,-$F$21,0)),SUM(OFFSET($T$100,($F$17-$F$15+$F$21),0):$T239),"")</f>
        <v/>
      </c>
      <c r="BQ239" s="190" t="str">
        <f t="shared" ca="1" si="198"/>
        <v/>
      </c>
      <c r="BR239" s="190" t="str">
        <f t="shared" ca="1" si="224"/>
        <v/>
      </c>
      <c r="BS239" s="190"/>
      <c r="BT239"/>
      <c r="BU239"/>
      <c r="BV239"/>
      <c r="BY239" s="99"/>
      <c r="BZ239" s="99"/>
      <c r="CA239" s="280" t="str">
        <f t="shared" si="199"/>
        <v/>
      </c>
      <c r="CB239" s="71" t="str">
        <f t="shared" si="200"/>
        <v>-</v>
      </c>
      <c r="CC239" s="33"/>
      <c r="CD239" s="261" t="str">
        <f t="shared" si="201"/>
        <v/>
      </c>
      <c r="CE239" s="280" t="str">
        <f t="shared" si="202"/>
        <v/>
      </c>
      <c r="CF239" s="71" t="str">
        <f t="shared" ca="1" si="203"/>
        <v/>
      </c>
      <c r="CG239" s="33" t="str">
        <f t="shared" si="204"/>
        <v/>
      </c>
      <c r="CH239" s="261" t="str">
        <f t="shared" ca="1" si="205"/>
        <v/>
      </c>
    </row>
    <row r="240" spans="2:86" ht="13.5" customHeight="1" x14ac:dyDescent="0.2">
      <c r="B240" s="262">
        <v>140</v>
      </c>
      <c r="C240" s="237" t="str">
        <f t="shared" si="169"/>
        <v/>
      </c>
      <c r="D240" s="237" t="str">
        <f t="shared" si="225"/>
        <v/>
      </c>
      <c r="E240" s="263" t="str">
        <f t="shared" si="206"/>
        <v/>
      </c>
      <c r="F240" s="264" t="str">
        <f t="shared" si="207"/>
        <v/>
      </c>
      <c r="G240" s="264" t="str">
        <f t="shared" si="208"/>
        <v/>
      </c>
      <c r="H240" s="240" t="str">
        <f t="shared" si="170"/>
        <v/>
      </c>
      <c r="I240" s="265" t="str">
        <f t="shared" si="171"/>
        <v/>
      </c>
      <c r="J240" s="265" t="str">
        <f t="shared" si="172"/>
        <v/>
      </c>
      <c r="K240" s="240" t="str">
        <f t="shared" si="173"/>
        <v/>
      </c>
      <c r="L240" s="265" t="str">
        <f t="shared" si="174"/>
        <v/>
      </c>
      <c r="M240" s="265" t="str">
        <f t="shared" si="175"/>
        <v/>
      </c>
      <c r="N240" s="240" t="str">
        <f t="shared" si="176"/>
        <v>-</v>
      </c>
      <c r="O240" s="265" t="str">
        <f t="shared" si="177"/>
        <v>-</v>
      </c>
      <c r="P240" s="265" t="str">
        <f t="shared" si="178"/>
        <v>-</v>
      </c>
      <c r="Q240" s="266" t="str">
        <f t="shared" si="179"/>
        <v>-</v>
      </c>
      <c r="R240" s="267" t="str">
        <f t="shared" si="180"/>
        <v>-</v>
      </c>
      <c r="S240" s="268" t="str">
        <f t="shared" si="181"/>
        <v>-</v>
      </c>
      <c r="T240" s="269" t="str">
        <f t="shared" si="182"/>
        <v/>
      </c>
      <c r="U240" s="221">
        <f t="shared" si="183"/>
        <v>140</v>
      </c>
      <c r="V240" s="220" t="str">
        <f t="shared" si="209"/>
        <v>-</v>
      </c>
      <c r="W240" s="221" t="str">
        <f t="shared" si="210"/>
        <v>-</v>
      </c>
      <c r="X240" s="221" t="str">
        <f t="shared" si="184"/>
        <v>-</v>
      </c>
      <c r="Y240" s="221" t="str">
        <f t="shared" si="185"/>
        <v>-</v>
      </c>
      <c r="Z240" s="270">
        <f t="shared" si="211"/>
        <v>0.1</v>
      </c>
      <c r="AA240" s="271" t="str">
        <f>IFERROR(IF(V239=1,AA$100*EXP(-(LN(2)/$D$65+0.04)*X239)*EXP(-(LN(2)/$D$65+0.1)*Y239),IF(V239=2,AA$100*EXP(-(LN(2)/$D$65+0.04)*(VLOOKUP(($F$16-$F$15)-1,U$99:Y239,4,FALSE)))*EXP(-(LN(2)/$D$65+0.1)*(VLOOKUP(($F$16-$F$15)-1,U$99:Y239,5,FALSE)))*EXP(-(LN(2)/$D$65+0.04)*X239)*EXP(-(LN(2)/$D$65+0.1)*Y239),IF(V239=3,AA$100*EXP(-(LN(2)/$D$65+0.04)*(VLOOKUP(($F$16-$F$15)-1,U$99:Y239,4,FALSE)))*EXP(-(LN(2)/$D$65+0.1)*(VLOOKUP(($F$16-$F$15)-1,U$99:Y239,5,FALSE)))*EXP(-(LN(2)/$D$65+0.04)*(VLOOKUP(($F$16-$F$15)*2-1,U$99:Y239,4,FALSE)))*EXP(-(LN(2)/$D$65+0.1)*(VLOOKUP(($F$16-$F$15)*2-1,U$99:Y239,5,FALSE)))*EXP(-(LN(2)/$D$65+0.04)*X239)*EXP(-(LN(2)/$D$65+0.1)*Y239),"-"))),"-")</f>
        <v>-</v>
      </c>
      <c r="AB240" s="271" t="str">
        <f>IFERROR(IF(V240=1,AB$100*EXP(-(LN(2)/$D$65+0.04)*X240)*EXP(-(LN(2)/$D$65+0.1)*Y240),IF(V240=2,AB$100*EXP(-(LN(2)/$D$65+0.04)*(VLOOKUP(($F$16-$F$15)-1,U$100:Y240,4,FALSE)))*EXP(-(LN(2)/$D$65+0.1)*(VLOOKUP(($F$16-$F$15)-1,U$100:Y240,5,FALSE)))*EXP(-(LN(2)/$D$65+0.04)*X240)*EXP(-(LN(2)/$D$65+0.1)*Y240),IF(V240=3,AB$100*EXP(-(LN(2)/$D$65+0.04)*(VLOOKUP(($F$16-$F$15)-1,U$100:Y240,4,FALSE)))*EXP(-(LN(2)/$D$65+0.1)*(VLOOKUP(($F$16-$F$15)-1,U$100:Y240,5,FALSE)))*EXP(-(LN(2)/$D$65+0.04)*(VLOOKUP(($F$16-$F$15)*2-1,U$100:Y240,4,FALSE)))*EXP(-(LN(2)/$D$65+0.1)*(VLOOKUP(($F$16-$F$15)*2-1,U$100:Y240,5,FALSE)))*EXP(-(LN(2)/$D$65+0.04)*X240)*EXP(-(LN(2)/$D$65+0.1)*Y240),"-"))),"-")</f>
        <v>-</v>
      </c>
      <c r="AC240" s="224">
        <f t="shared" si="212"/>
        <v>140</v>
      </c>
      <c r="AD240" s="223" t="str">
        <f t="shared" si="186"/>
        <v>-</v>
      </c>
      <c r="AE240" s="224" t="str">
        <f t="shared" si="213"/>
        <v>-</v>
      </c>
      <c r="AF240" s="224" t="str">
        <f t="shared" si="187"/>
        <v>-</v>
      </c>
      <c r="AG240" s="224" t="str">
        <f t="shared" si="188"/>
        <v>-</v>
      </c>
      <c r="AH240" s="272">
        <f t="shared" si="214"/>
        <v>0.1</v>
      </c>
      <c r="AI240" s="271" t="str">
        <f>IFERROR(IF(AD239=1,AI$100*EXP(-(LN(2)/$D$65+0.04)*AF239)*EXP(-(LN(2)/$D$65+0.1)*AG239),IF(AD239=2,AI$100*EXP(-(LN(2)/$D$65+0.04)*(VLOOKUP(($F$16-$F$15)-1,AC$99:AG239,4,FALSE)))*EXP(-(LN(2)/$D$65+0.1)*(VLOOKUP(($F$16-$F$15)-1,AC$99:AG239,5,FALSE)))*EXP(-(LN(2)/$D$65+0.04)*AF239)*EXP(-(LN(2)/$D$65+0.1)*AG239),IF(AD239=3,AI$100*EXP(-(LN(2)/$D$65+0.04)*(VLOOKUP(($F$16-$F$15)-1,AC$99:AG239,4,FALSE)))*EXP(-(LN(2)/$D$65+0.1)*(VLOOKUP(($F$16-$F$15)-1,AC$99:AG239,5,FALSE)))*EXP(-(LN(2)/$D$65+0.04)*(VLOOKUP(($F$16-$F$15)*2-1,AC$99:AG239,4,FALSE)))*EXP(-(LN(2)/$D$65+0.1)*(VLOOKUP(($F$16-$F$15)*2-1,AC$99:AG239,5,FALSE)))*EXP(-(LN(2)/$D$65+0.04)*AF239)*EXP(-(LN(2)/$D$65+0.1)*AG239),"-"))),"-")</f>
        <v>-</v>
      </c>
      <c r="AJ240" s="271" t="str">
        <f>IFERROR(IF(AD240=1,AJ$100*EXP(-(LN(2)/$D$65+0.04)*AF240)*EXP(-(LN(2)/$D$65+0.1)*AG240),IF(AD240=2,AJ$100*EXP(-(LN(2)/$D$65+0.04)*(VLOOKUP(($F$16-$F$15)-1,AC$100:AG240,4,FALSE)))*EXP(-(LN(2)/$D$65+0.1)*(VLOOKUP(($F$16-$F$15)-1,AC$100:AG240,5,FALSE)))*EXP(-(LN(2)/$D$65+0.04)*AF240)*EXP(-(LN(2)/$D$65+0.1)*AG240),IF(AD240=3,AJ$100*EXP(-(LN(2)/$D$65+0.04)*(VLOOKUP(($F$16-$F$15)-1,AC$100:AG240,4,FALSE)))*EXP(-(LN(2)/$D$65+0.1)*(VLOOKUP(($F$16-$F$15)-1,AC$100:AG240,5,FALSE)))*EXP(-(LN(2)/$D$65+0.04)*(VLOOKUP(($F$16-$F$15)*2-1,AC$100:AG240,4,FALSE)))*EXP(-(LN(2)/$D$65+0.1)*(VLOOKUP(($F$16-$F$15)*2-1,AC$100:AG240,5,FALSE)))*EXP(-(LN(2)/$D$65+0.04)*AF240)*EXP(-(LN(2)/$D$65+0.1)*AG240),"-"))),"-")</f>
        <v>-</v>
      </c>
      <c r="AK240" s="227">
        <f t="shared" si="215"/>
        <v>140</v>
      </c>
      <c r="AL240" s="226" t="str">
        <f t="shared" si="189"/>
        <v>-</v>
      </c>
      <c r="AM240" s="227" t="str">
        <f t="shared" si="216"/>
        <v>-</v>
      </c>
      <c r="AN240" s="227" t="str">
        <f t="shared" si="217"/>
        <v>-</v>
      </c>
      <c r="AO240" s="227" t="str">
        <f t="shared" si="190"/>
        <v>-</v>
      </c>
      <c r="AP240" s="273">
        <f t="shared" si="218"/>
        <v>0.1</v>
      </c>
      <c r="AQ240" s="271" t="str">
        <f>IFERROR(IF(AL239=1,AQ$100*EXP(-(LN(2)/$D$65+0.04)*AN239)*EXP(-(LN(2)/$D$65+0.1)*AO239),IF(AL239=2,AQ$100*EXP(-(LN(2)/$D$65+0.04)*(VLOOKUP(($F$16-$F$15)-1,AK$99:AO239,4,FALSE)))*EXP(-(LN(2)/$D$65+0.1)*(VLOOKUP(($F$16-$F$15)-1,AK$99:AO239,5,FALSE)))*EXP(-(LN(2)/$D$65+0.04)*AN239)*EXP(-(LN(2)/$D$65+0.1)*AO239),IF(AL239=3,AQ$100*EXP(-(LN(2)/$D$65+0.04)*(VLOOKUP(($F$16-$F$15)-1,AK$99:AO239,4,FALSE)))*EXP(-(LN(2)/$D$65+0.1)*(VLOOKUP(($F$16-$F$15)-1,AK$99:AO239,5,FALSE)))*EXP(-(LN(2)/$D$65+0.04)*(VLOOKUP(($F$16-$F$15)*2-1,AK$99:AO239,4,FALSE)))*EXP(-(LN(2)/$D$65+0.1)*(VLOOKUP(($F$16-$F$15)*2-1,AK$99:AO239,5,FALSE)))*EXP(-(LN(2)/$D$65+0.04)*AN239)*EXP(-(LN(2)/$D$65+0.1)*AO239),"-"))),"-")</f>
        <v>-</v>
      </c>
      <c r="AR240" s="271" t="str">
        <f>IFERROR(IF(AL240=1,AR$100*EXP(-(LN(2)/$D$65+0.04)*AN240)*EXP(-(LN(2)/$D$65+0.1)*AO240),IF(AL240=2,AR$100*EXP(-(LN(2)/$D$65+0.04)*(VLOOKUP(($F$16-$F$15)-1,AK$100:AO240,4,FALSE)))*EXP(-(LN(2)/$D$65+0.1)*(VLOOKUP(($F$16-$F$15)-1,AK$100:AO240,5,FALSE)))*EXP(-(LN(2)/$D$65+0.04)*AN240)*EXP(-(LN(2)/$D$65+0.1)*AO240),IF(AL240=3,AR$100*EXP(-(LN(2)/$D$65+0.04)*(VLOOKUP(($F$16-$F$15)-1,AK$100:AO240,4,FALSE)))*EXP(-(LN(2)/$D$65+0.1)*(VLOOKUP(($F$16-$F$15)-1,AK$100:AO240,5,FALSE)))*EXP(-(LN(2)/$D$65+0.04)*(VLOOKUP(($F$16-$F$15)*2-1,AK$100:AO240,4,FALSE)))*EXP(-(LN(2)/$D$65+0.1)*(VLOOKUP(($F$16-$F$15)*2-1,AK$100:AO240,5,FALSE)))*EXP(-(LN(2)/$D$65+0.04)*AN240)*EXP(-(LN(2)/$D$65+0.1)*AO240),"-"))),"-")</f>
        <v>-</v>
      </c>
      <c r="AS240" s="274">
        <f t="shared" si="191"/>
        <v>0</v>
      </c>
      <c r="AT240" s="274">
        <f t="shared" si="192"/>
        <v>0</v>
      </c>
      <c r="AU240" s="274">
        <f t="shared" si="193"/>
        <v>0</v>
      </c>
      <c r="AV240" s="190" t="str">
        <f>IF($B240&lt;$F$22,SUM($T$100:$T240),"")</f>
        <v/>
      </c>
      <c r="AW240" s="190" t="str">
        <f t="shared" si="194"/>
        <v>-</v>
      </c>
      <c r="AX240" s="190" t="str">
        <f t="shared" si="219"/>
        <v/>
      </c>
      <c r="AY240"/>
      <c r="AZ240" s="190" t="str">
        <f ca="1">IF(ISNUMBER(OFFSET(AV240,-$F$21,0)),SUM(OFFSET($T$100,$F$21,0):$T240),"")</f>
        <v/>
      </c>
      <c r="BA240" s="190" t="str">
        <f t="shared" ca="1" si="195"/>
        <v/>
      </c>
      <c r="BB240" s="190" t="str">
        <f t="shared" ca="1" si="148"/>
        <v/>
      </c>
      <c r="BC240" s="190"/>
      <c r="BD240" s="190" t="str">
        <f ca="1">IFERROR(IF(OR(ISNUMBER(I),ISNUMBER($F$14)),IF(AND($B240&gt;=($F$16-$F$15),$B240&lt;$F$22+($F$16-$F$15)),SUM(OFFSET($T$100,($F$16-$F$15),0):$T240),""),""),"")</f>
        <v/>
      </c>
      <c r="BE240" s="190" t="str">
        <f t="shared" ca="1" si="220"/>
        <v/>
      </c>
      <c r="BF240" s="190" t="str">
        <f t="shared" ca="1" si="221"/>
        <v/>
      </c>
      <c r="BG240"/>
      <c r="BH240" s="190" t="str">
        <f ca="1">IF(ISNUMBER(OFFSET(BD240,-$F$21,0)),SUM(OFFSET($T$100,($F$16-$F$15+$F$21),0):$T240),"")</f>
        <v/>
      </c>
      <c r="BI240" s="190" t="str">
        <f t="shared" ca="1" si="196"/>
        <v/>
      </c>
      <c r="BJ240" s="190" t="str">
        <f t="shared" ca="1" si="222"/>
        <v/>
      </c>
      <c r="BK240" s="190"/>
      <c r="BL240" s="190" t="str">
        <f ca="1">IFERROR(IF(OR(ISNUMBER(I),ISNUMBER($F$14)),IF(AND($B240&gt;=($F$17-$F$15),$B240&lt;$F$22+($F$17-$F$15)),SUM(OFFSET($T$100,($F$17-$F$15),0):$T240),""),""),"")</f>
        <v/>
      </c>
      <c r="BM240" s="190" t="str">
        <f t="shared" ca="1" si="197"/>
        <v/>
      </c>
      <c r="BN240" s="190" t="str">
        <f t="shared" ca="1" si="223"/>
        <v/>
      </c>
      <c r="BO240"/>
      <c r="BP240" s="190" t="str">
        <f ca="1">IF(ISNUMBER(OFFSET(BL240,-$F$21,0)),SUM(OFFSET($T$100,($F$17-$F$15+$F$21),0):$T240),"")</f>
        <v/>
      </c>
      <c r="BQ240" s="190" t="str">
        <f t="shared" ca="1" si="198"/>
        <v/>
      </c>
      <c r="BR240" s="190" t="str">
        <f t="shared" ca="1" si="224"/>
        <v/>
      </c>
      <c r="BS240" s="190"/>
      <c r="BT240"/>
      <c r="BU240"/>
      <c r="BV240"/>
      <c r="BY240" s="99"/>
      <c r="BZ240" s="99"/>
      <c r="CA240" s="280" t="str">
        <f t="shared" si="199"/>
        <v/>
      </c>
      <c r="CB240" s="71" t="str">
        <f t="shared" si="200"/>
        <v>-</v>
      </c>
      <c r="CC240" s="33"/>
      <c r="CD240" s="261" t="str">
        <f t="shared" si="201"/>
        <v/>
      </c>
      <c r="CE240" s="280" t="str">
        <f t="shared" si="202"/>
        <v/>
      </c>
      <c r="CF240" s="71" t="str">
        <f t="shared" ca="1" si="203"/>
        <v/>
      </c>
      <c r="CG240" s="33" t="str">
        <f t="shared" si="204"/>
        <v/>
      </c>
      <c r="CH240" s="261" t="str">
        <f t="shared" ca="1" si="205"/>
        <v/>
      </c>
    </row>
    <row r="241" spans="2:86" ht="13.5" customHeight="1" x14ac:dyDescent="0.2">
      <c r="B241" s="262">
        <v>141</v>
      </c>
      <c r="C241" s="237" t="str">
        <f t="shared" si="169"/>
        <v/>
      </c>
      <c r="D241" s="237" t="str">
        <f t="shared" si="225"/>
        <v/>
      </c>
      <c r="E241" s="263" t="str">
        <f t="shared" si="206"/>
        <v/>
      </c>
      <c r="F241" s="264" t="str">
        <f t="shared" si="207"/>
        <v/>
      </c>
      <c r="G241" s="264" t="str">
        <f t="shared" si="208"/>
        <v/>
      </c>
      <c r="H241" s="240" t="str">
        <f t="shared" si="170"/>
        <v/>
      </c>
      <c r="I241" s="265" t="str">
        <f t="shared" si="171"/>
        <v/>
      </c>
      <c r="J241" s="265" t="str">
        <f t="shared" si="172"/>
        <v/>
      </c>
      <c r="K241" s="240" t="str">
        <f t="shared" si="173"/>
        <v/>
      </c>
      <c r="L241" s="265" t="str">
        <f t="shared" si="174"/>
        <v/>
      </c>
      <c r="M241" s="265" t="str">
        <f t="shared" si="175"/>
        <v/>
      </c>
      <c r="N241" s="240" t="str">
        <f t="shared" si="176"/>
        <v>-</v>
      </c>
      <c r="O241" s="265" t="str">
        <f t="shared" si="177"/>
        <v>-</v>
      </c>
      <c r="P241" s="265" t="str">
        <f t="shared" si="178"/>
        <v>-</v>
      </c>
      <c r="Q241" s="266" t="str">
        <f t="shared" si="179"/>
        <v>-</v>
      </c>
      <c r="R241" s="267" t="str">
        <f t="shared" si="180"/>
        <v>-</v>
      </c>
      <c r="S241" s="268" t="str">
        <f t="shared" si="181"/>
        <v>-</v>
      </c>
      <c r="T241" s="269" t="str">
        <f t="shared" si="182"/>
        <v/>
      </c>
      <c r="U241" s="221">
        <f t="shared" si="183"/>
        <v>141</v>
      </c>
      <c r="V241" s="220" t="str">
        <f t="shared" si="209"/>
        <v>-</v>
      </c>
      <c r="W241" s="221" t="str">
        <f t="shared" si="210"/>
        <v>-</v>
      </c>
      <c r="X241" s="221" t="str">
        <f t="shared" si="184"/>
        <v>-</v>
      </c>
      <c r="Y241" s="221" t="str">
        <f t="shared" si="185"/>
        <v>-</v>
      </c>
      <c r="Z241" s="270">
        <f t="shared" si="211"/>
        <v>0.1</v>
      </c>
      <c r="AA241" s="271" t="str">
        <f>IFERROR(IF(V240=1,AA$100*EXP(-(LN(2)/$D$65+0.04)*X240)*EXP(-(LN(2)/$D$65+0.1)*Y240),IF(V240=2,AA$100*EXP(-(LN(2)/$D$65+0.04)*(VLOOKUP(($F$16-$F$15)-1,U$99:Y240,4,FALSE)))*EXP(-(LN(2)/$D$65+0.1)*(VLOOKUP(($F$16-$F$15)-1,U$99:Y240,5,FALSE)))*EXP(-(LN(2)/$D$65+0.04)*X240)*EXP(-(LN(2)/$D$65+0.1)*Y240),IF(V240=3,AA$100*EXP(-(LN(2)/$D$65+0.04)*(VLOOKUP(($F$16-$F$15)-1,U$99:Y240,4,FALSE)))*EXP(-(LN(2)/$D$65+0.1)*(VLOOKUP(($F$16-$F$15)-1,U$99:Y240,5,FALSE)))*EXP(-(LN(2)/$D$65+0.04)*(VLOOKUP(($F$16-$F$15)*2-1,U$99:Y240,4,FALSE)))*EXP(-(LN(2)/$D$65+0.1)*(VLOOKUP(($F$16-$F$15)*2-1,U$99:Y240,5,FALSE)))*EXP(-(LN(2)/$D$65+0.04)*X240)*EXP(-(LN(2)/$D$65+0.1)*Y240),"-"))),"-")</f>
        <v>-</v>
      </c>
      <c r="AB241" s="271" t="str">
        <f>IFERROR(IF(V241=1,AB$100*EXP(-(LN(2)/$D$65+0.04)*X241)*EXP(-(LN(2)/$D$65+0.1)*Y241),IF(V241=2,AB$100*EXP(-(LN(2)/$D$65+0.04)*(VLOOKUP(($F$16-$F$15)-1,U$100:Y241,4,FALSE)))*EXP(-(LN(2)/$D$65+0.1)*(VLOOKUP(($F$16-$F$15)-1,U$100:Y241,5,FALSE)))*EXP(-(LN(2)/$D$65+0.04)*X241)*EXP(-(LN(2)/$D$65+0.1)*Y241),IF(V241=3,AB$100*EXP(-(LN(2)/$D$65+0.04)*(VLOOKUP(($F$16-$F$15)-1,U$100:Y241,4,FALSE)))*EXP(-(LN(2)/$D$65+0.1)*(VLOOKUP(($F$16-$F$15)-1,U$100:Y241,5,FALSE)))*EXP(-(LN(2)/$D$65+0.04)*(VLOOKUP(($F$16-$F$15)*2-1,U$100:Y241,4,FALSE)))*EXP(-(LN(2)/$D$65+0.1)*(VLOOKUP(($F$16-$F$15)*2-1,U$100:Y241,5,FALSE)))*EXP(-(LN(2)/$D$65+0.04)*X241)*EXP(-(LN(2)/$D$65+0.1)*Y241),"-"))),"-")</f>
        <v>-</v>
      </c>
      <c r="AC241" s="224">
        <f>B241</f>
        <v>141</v>
      </c>
      <c r="AD241" s="223" t="str">
        <f t="shared" si="186"/>
        <v>-</v>
      </c>
      <c r="AE241" s="224" t="str">
        <f t="shared" si="213"/>
        <v>-</v>
      </c>
      <c r="AF241" s="224" t="str">
        <f t="shared" si="187"/>
        <v>-</v>
      </c>
      <c r="AG241" s="224" t="str">
        <f t="shared" si="188"/>
        <v>-</v>
      </c>
      <c r="AH241" s="272">
        <f t="shared" si="214"/>
        <v>0.1</v>
      </c>
      <c r="AI241" s="271" t="str">
        <f>IFERROR(IF(AD240=1,AI$100*EXP(-(LN(2)/$D$65+0.04)*AF240)*EXP(-(LN(2)/$D$65+0.1)*AG240),IF(AD240=2,AI$100*EXP(-(LN(2)/$D$65+0.04)*(VLOOKUP(($F$16-$F$15)-1,AC$99:AG240,4,FALSE)))*EXP(-(LN(2)/$D$65+0.1)*(VLOOKUP(($F$16-$F$15)-1,AC$99:AG240,5,FALSE)))*EXP(-(LN(2)/$D$65+0.04)*AF240)*EXP(-(LN(2)/$D$65+0.1)*AG240),IF(AD240=3,AI$100*EXP(-(LN(2)/$D$65+0.04)*(VLOOKUP(($F$16-$F$15)-1,AC$99:AG240,4,FALSE)))*EXP(-(LN(2)/$D$65+0.1)*(VLOOKUP(($F$16-$F$15)-1,AC$99:AG240,5,FALSE)))*EXP(-(LN(2)/$D$65+0.04)*(VLOOKUP(($F$16-$F$15)*2-1,AC$99:AG240,4,FALSE)))*EXP(-(LN(2)/$D$65+0.1)*(VLOOKUP(($F$16-$F$15)*2-1,AC$99:AG240,5,FALSE)))*EXP(-(LN(2)/$D$65+0.04)*AF240)*EXP(-(LN(2)/$D$65+0.1)*AG240),"-"))),"-")</f>
        <v>-</v>
      </c>
      <c r="AJ241" s="271" t="str">
        <f>IFERROR(IF(AD241=1,AJ$100*EXP(-(LN(2)/$D$65+0.04)*AF241)*EXP(-(LN(2)/$D$65+0.1)*AG241),IF(AD241=2,AJ$100*EXP(-(LN(2)/$D$65+0.04)*(VLOOKUP(($F$16-$F$15)-1,AC$100:AG241,4,FALSE)))*EXP(-(LN(2)/$D$65+0.1)*(VLOOKUP(($F$16-$F$15)-1,AC$100:AG241,5,FALSE)))*EXP(-(LN(2)/$D$65+0.04)*AF241)*EXP(-(LN(2)/$D$65+0.1)*AG241),IF(AD241=3,AJ$100*EXP(-(LN(2)/$D$65+0.04)*(VLOOKUP(($F$16-$F$15)-1,AC$100:AG241,4,FALSE)))*EXP(-(LN(2)/$D$65+0.1)*(VLOOKUP(($F$16-$F$15)-1,AC$100:AG241,5,FALSE)))*EXP(-(LN(2)/$D$65+0.04)*(VLOOKUP(($F$16-$F$15)*2-1,AC$100:AG241,4,FALSE)))*EXP(-(LN(2)/$D$65+0.1)*(VLOOKUP(($F$16-$F$15)*2-1,AC$100:AG241,5,FALSE)))*EXP(-(LN(2)/$D$65+0.04)*AF241)*EXP(-(LN(2)/$D$65+0.1)*AG241),"-"))),"-")</f>
        <v>-</v>
      </c>
      <c r="AK241" s="227">
        <f t="shared" si="215"/>
        <v>141</v>
      </c>
      <c r="AL241" s="226" t="str">
        <f t="shared" si="189"/>
        <v>-</v>
      </c>
      <c r="AM241" s="227" t="str">
        <f t="shared" si="216"/>
        <v>-</v>
      </c>
      <c r="AN241" s="227" t="str">
        <f t="shared" si="217"/>
        <v>-</v>
      </c>
      <c r="AO241" s="227" t="str">
        <f t="shared" si="190"/>
        <v>-</v>
      </c>
      <c r="AP241" s="273">
        <f t="shared" si="218"/>
        <v>0.1</v>
      </c>
      <c r="AQ241" s="271" t="str">
        <f>IFERROR(IF(AL240=1,AQ$100*EXP(-(LN(2)/$D$65+0.04)*AN240)*EXP(-(LN(2)/$D$65+0.1)*AO240),IF(AL240=2,AQ$100*EXP(-(LN(2)/$D$65+0.04)*(VLOOKUP(($F$16-$F$15)-1,AK$99:AO240,4,FALSE)))*EXP(-(LN(2)/$D$65+0.1)*(VLOOKUP(($F$16-$F$15)-1,AK$99:AO240,5,FALSE)))*EXP(-(LN(2)/$D$65+0.04)*AN240)*EXP(-(LN(2)/$D$65+0.1)*AO240),IF(AL240=3,AQ$100*EXP(-(LN(2)/$D$65+0.04)*(VLOOKUP(($F$16-$F$15)-1,AK$99:AO240,4,FALSE)))*EXP(-(LN(2)/$D$65+0.1)*(VLOOKUP(($F$16-$F$15)-1,AK$99:AO240,5,FALSE)))*EXP(-(LN(2)/$D$65+0.04)*(VLOOKUP(($F$16-$F$15)*2-1,AK$99:AO240,4,FALSE)))*EXP(-(LN(2)/$D$65+0.1)*(VLOOKUP(($F$16-$F$15)*2-1,AK$99:AO240,5,FALSE)))*EXP(-(LN(2)/$D$65+0.04)*AN240)*EXP(-(LN(2)/$D$65+0.1)*AO240),"-"))),"-")</f>
        <v>-</v>
      </c>
      <c r="AR241" s="271" t="str">
        <f>IFERROR(IF(AL241=1,AR$100*EXP(-(LN(2)/$D$65+0.04)*AN241)*EXP(-(LN(2)/$D$65+0.1)*AO241),IF(AL241=2,AR$100*EXP(-(LN(2)/$D$65+0.04)*(VLOOKUP(($F$16-$F$15)-1,AK$100:AO241,4,FALSE)))*EXP(-(LN(2)/$D$65+0.1)*(VLOOKUP(($F$16-$F$15)-1,AK$100:AO241,5,FALSE)))*EXP(-(LN(2)/$D$65+0.04)*AN241)*EXP(-(LN(2)/$D$65+0.1)*AO241),IF(AL241=3,AR$100*EXP(-(LN(2)/$D$65+0.04)*(VLOOKUP(($F$16-$F$15)-1,AK$100:AO241,4,FALSE)))*EXP(-(LN(2)/$D$65+0.1)*(VLOOKUP(($F$16-$F$15)-1,AK$100:AO241,5,FALSE)))*EXP(-(LN(2)/$D$65+0.04)*(VLOOKUP(($F$16-$F$15)*2-1,AK$100:AO241,4,FALSE)))*EXP(-(LN(2)/$D$65+0.1)*(VLOOKUP(($F$16-$F$15)*2-1,AK$100:AO241,5,FALSE)))*EXP(-(LN(2)/$D$65+0.04)*AN241)*EXP(-(LN(2)/$D$65+0.1)*AO241),"-"))),"-")</f>
        <v>-</v>
      </c>
      <c r="AS241" s="274">
        <f t="shared" si="191"/>
        <v>0</v>
      </c>
      <c r="AT241" s="274">
        <f t="shared" si="192"/>
        <v>0</v>
      </c>
      <c r="AU241" s="274">
        <f t="shared" si="193"/>
        <v>0</v>
      </c>
      <c r="AV241" s="190" t="str">
        <f>IF($B241&lt;$F$22,SUM($T$100:$T241),"")</f>
        <v/>
      </c>
      <c r="AW241" s="190" t="str">
        <f t="shared" si="194"/>
        <v>-</v>
      </c>
      <c r="AX241" s="190" t="str">
        <f t="shared" si="219"/>
        <v/>
      </c>
      <c r="AY241"/>
      <c r="AZ241" s="190" t="str">
        <f ca="1">IF(ISNUMBER(OFFSET(AV241,-$F$21,0)),SUM(OFFSET($T$100,$F$21,0):$T241),"")</f>
        <v/>
      </c>
      <c r="BA241" s="190" t="str">
        <f t="shared" ca="1" si="195"/>
        <v/>
      </c>
      <c r="BB241" s="190" t="str">
        <f t="shared" ca="1" si="148"/>
        <v/>
      </c>
      <c r="BC241" s="190"/>
      <c r="BD241" s="190" t="str">
        <f ca="1">IFERROR(IF(OR(ISNUMBER(I),ISNUMBER($F$14)),IF(AND($B241&gt;=($F$16-$F$15),$B241&lt;$F$22+($F$16-$F$15)),SUM(OFFSET($T$100,($F$16-$F$15),0):$T241),""),""),"")</f>
        <v/>
      </c>
      <c r="BE241" s="190" t="str">
        <f t="shared" ca="1" si="220"/>
        <v/>
      </c>
      <c r="BF241" s="190" t="str">
        <f t="shared" ca="1" si="221"/>
        <v/>
      </c>
      <c r="BG241"/>
      <c r="BH241" s="190" t="str">
        <f ca="1">IF(ISNUMBER(OFFSET(BD241,-$F$21,0)),SUM(OFFSET($T$100,($F$16-$F$15+$F$21),0):$T241),"")</f>
        <v/>
      </c>
      <c r="BI241" s="190" t="str">
        <f t="shared" ca="1" si="196"/>
        <v/>
      </c>
      <c r="BJ241" s="190" t="str">
        <f t="shared" ca="1" si="222"/>
        <v/>
      </c>
      <c r="BK241" s="190"/>
      <c r="BL241" s="190" t="str">
        <f ca="1">IFERROR(IF(OR(ISNUMBER(I),ISNUMBER($F$14)),IF(AND($B241&gt;=($F$17-$F$15),$B241&lt;$F$22+($F$17-$F$15)),SUM(OFFSET($T$100,($F$17-$F$15),0):$T241),""),""),"")</f>
        <v/>
      </c>
      <c r="BM241" s="190" t="str">
        <f t="shared" ca="1" si="197"/>
        <v/>
      </c>
      <c r="BN241" s="190" t="str">
        <f t="shared" ca="1" si="223"/>
        <v/>
      </c>
      <c r="BO241"/>
      <c r="BP241" s="190" t="str">
        <f ca="1">IF(ISNUMBER(OFFSET(BL241,-$F$21,0)),SUM(OFFSET($T$100,($F$17-$F$15+$F$21),0):$T241),"")</f>
        <v/>
      </c>
      <c r="BQ241" s="190" t="str">
        <f t="shared" ca="1" si="198"/>
        <v/>
      </c>
      <c r="BR241" s="190" t="str">
        <f t="shared" ca="1" si="224"/>
        <v/>
      </c>
      <c r="BS241" s="190"/>
      <c r="BT241"/>
      <c r="BU241"/>
      <c r="BV241"/>
      <c r="BY241" s="99"/>
      <c r="BZ241" s="99"/>
      <c r="CA241" s="280" t="str">
        <f t="shared" si="199"/>
        <v/>
      </c>
      <c r="CB241" s="71" t="str">
        <f t="shared" si="200"/>
        <v>-</v>
      </c>
      <c r="CC241" s="33"/>
      <c r="CD241" s="261" t="str">
        <f t="shared" si="201"/>
        <v/>
      </c>
      <c r="CE241" s="280" t="str">
        <f t="shared" si="202"/>
        <v/>
      </c>
      <c r="CF241" s="71" t="str">
        <f t="shared" ca="1" si="203"/>
        <v/>
      </c>
      <c r="CG241" s="33" t="str">
        <f t="shared" si="204"/>
        <v/>
      </c>
      <c r="CH241" s="261" t="str">
        <f t="shared" ca="1" si="205"/>
        <v/>
      </c>
    </row>
    <row r="242" spans="2:86" ht="13.5" customHeight="1" x14ac:dyDescent="0.2">
      <c r="B242" s="262">
        <v>142</v>
      </c>
      <c r="C242" s="237" t="str">
        <f t="shared" si="169"/>
        <v/>
      </c>
      <c r="D242" s="237" t="str">
        <f t="shared" si="225"/>
        <v/>
      </c>
      <c r="E242" s="263" t="str">
        <f t="shared" si="206"/>
        <v/>
      </c>
      <c r="F242" s="264" t="str">
        <f t="shared" si="207"/>
        <v/>
      </c>
      <c r="G242" s="264" t="str">
        <f t="shared" si="208"/>
        <v/>
      </c>
      <c r="H242" s="240" t="str">
        <f t="shared" si="170"/>
        <v/>
      </c>
      <c r="I242" s="265" t="str">
        <f t="shared" si="171"/>
        <v/>
      </c>
      <c r="J242" s="265" t="str">
        <f t="shared" si="172"/>
        <v/>
      </c>
      <c r="K242" s="240" t="str">
        <f t="shared" si="173"/>
        <v/>
      </c>
      <c r="L242" s="265" t="str">
        <f t="shared" si="174"/>
        <v/>
      </c>
      <c r="M242" s="265" t="str">
        <f t="shared" si="175"/>
        <v/>
      </c>
      <c r="N242" s="240" t="str">
        <f t="shared" si="176"/>
        <v>-</v>
      </c>
      <c r="O242" s="265" t="str">
        <f t="shared" si="177"/>
        <v>-</v>
      </c>
      <c r="P242" s="265" t="str">
        <f t="shared" si="178"/>
        <v>-</v>
      </c>
      <c r="Q242" s="266" t="str">
        <f t="shared" si="179"/>
        <v>-</v>
      </c>
      <c r="R242" s="267" t="str">
        <f t="shared" si="180"/>
        <v>-</v>
      </c>
      <c r="S242" s="268" t="str">
        <f t="shared" si="181"/>
        <v>-</v>
      </c>
      <c r="T242" s="269" t="str">
        <f t="shared" si="182"/>
        <v/>
      </c>
      <c r="U242" s="221">
        <f t="shared" si="183"/>
        <v>142</v>
      </c>
      <c r="V242" s="220" t="str">
        <f t="shared" si="209"/>
        <v>-</v>
      </c>
      <c r="W242" s="221" t="str">
        <f t="shared" si="210"/>
        <v>-</v>
      </c>
      <c r="X242" s="221" t="str">
        <f t="shared" si="184"/>
        <v>-</v>
      </c>
      <c r="Y242" s="221" t="str">
        <f t="shared" si="185"/>
        <v>-</v>
      </c>
      <c r="Z242" s="270">
        <f t="shared" si="211"/>
        <v>0.1</v>
      </c>
      <c r="AA242" s="271" t="str">
        <f>IFERROR(IF(V241=1,AA$100*EXP(-(LN(2)/$D$65+0.04)*X241)*EXP(-(LN(2)/$D$65+0.1)*Y241),IF(V241=2,AA$100*EXP(-(LN(2)/$D$65+0.04)*(VLOOKUP(($F$16-$F$15)-1,U$99:Y241,4,FALSE)))*EXP(-(LN(2)/$D$65+0.1)*(VLOOKUP(($F$16-$F$15)-1,U$99:Y241,5,FALSE)))*EXP(-(LN(2)/$D$65+0.04)*X241)*EXP(-(LN(2)/$D$65+0.1)*Y241),IF(V241=3,AA$100*EXP(-(LN(2)/$D$65+0.04)*(VLOOKUP(($F$16-$F$15)-1,U$99:Y241,4,FALSE)))*EXP(-(LN(2)/$D$65+0.1)*(VLOOKUP(($F$16-$F$15)-1,U$99:Y241,5,FALSE)))*EXP(-(LN(2)/$D$65+0.04)*(VLOOKUP(($F$16-$F$15)*2-1,U$99:Y241,4,FALSE)))*EXP(-(LN(2)/$D$65+0.1)*(VLOOKUP(($F$16-$F$15)*2-1,U$99:Y241,5,FALSE)))*EXP(-(LN(2)/$D$65+0.04)*X241)*EXP(-(LN(2)/$D$65+0.1)*Y241),"-"))),"-")</f>
        <v>-</v>
      </c>
      <c r="AB242" s="271" t="str">
        <f>IFERROR(IF(V242=1,AB$100*EXP(-(LN(2)/$D$65+0.04)*X242)*EXP(-(LN(2)/$D$65+0.1)*Y242),IF(V242=2,AB$100*EXP(-(LN(2)/$D$65+0.04)*(VLOOKUP(($F$16-$F$15)-1,U$100:Y242,4,FALSE)))*EXP(-(LN(2)/$D$65+0.1)*(VLOOKUP(($F$16-$F$15)-1,U$100:Y242,5,FALSE)))*EXP(-(LN(2)/$D$65+0.04)*X242)*EXP(-(LN(2)/$D$65+0.1)*Y242),IF(V242=3,AB$100*EXP(-(LN(2)/$D$65+0.04)*(VLOOKUP(($F$16-$F$15)-1,U$100:Y242,4,FALSE)))*EXP(-(LN(2)/$D$65+0.1)*(VLOOKUP(($F$16-$F$15)-1,U$100:Y242,5,FALSE)))*EXP(-(LN(2)/$D$65+0.04)*(VLOOKUP(($F$16-$F$15)*2-1,U$100:Y242,4,FALSE)))*EXP(-(LN(2)/$D$65+0.1)*(VLOOKUP(($F$16-$F$15)*2-1,U$100:Y242,5,FALSE)))*EXP(-(LN(2)/$D$65+0.04)*X242)*EXP(-(LN(2)/$D$65+0.1)*Y242),"-"))),"-")</f>
        <v>-</v>
      </c>
      <c r="AC242" s="224">
        <f t="shared" ref="AC242:AC250" si="226">B242</f>
        <v>142</v>
      </c>
      <c r="AD242" s="223" t="str">
        <f t="shared" si="186"/>
        <v>-</v>
      </c>
      <c r="AE242" s="224" t="str">
        <f t="shared" si="213"/>
        <v>-</v>
      </c>
      <c r="AF242" s="224" t="str">
        <f t="shared" si="187"/>
        <v>-</v>
      </c>
      <c r="AG242" s="224" t="str">
        <f t="shared" si="188"/>
        <v>-</v>
      </c>
      <c r="AH242" s="272">
        <f t="shared" si="214"/>
        <v>0.1</v>
      </c>
      <c r="AI242" s="271" t="str">
        <f>IFERROR(IF(AD241=1,AI$100*EXP(-(LN(2)/$D$65+0.04)*AF241)*EXP(-(LN(2)/$D$65+0.1)*AG241),IF(AD241=2,AI$100*EXP(-(LN(2)/$D$65+0.04)*(VLOOKUP(($F$16-$F$15)-1,AC$99:AG241,4,FALSE)))*EXP(-(LN(2)/$D$65+0.1)*(VLOOKUP(($F$16-$F$15)-1,AC$99:AG241,5,FALSE)))*EXP(-(LN(2)/$D$65+0.04)*AF241)*EXP(-(LN(2)/$D$65+0.1)*AG241),IF(AD241=3,AI$100*EXP(-(LN(2)/$D$65+0.04)*(VLOOKUP(($F$16-$F$15)-1,AC$99:AG241,4,FALSE)))*EXP(-(LN(2)/$D$65+0.1)*(VLOOKUP(($F$16-$F$15)-1,AC$99:AG241,5,FALSE)))*EXP(-(LN(2)/$D$65+0.04)*(VLOOKUP(($F$16-$F$15)*2-1,AC$99:AG241,4,FALSE)))*EXP(-(LN(2)/$D$65+0.1)*(VLOOKUP(($F$16-$F$15)*2-1,AC$99:AG241,5,FALSE)))*EXP(-(LN(2)/$D$65+0.04)*AF241)*EXP(-(LN(2)/$D$65+0.1)*AG241),"-"))),"-")</f>
        <v>-</v>
      </c>
      <c r="AJ242" s="271" t="str">
        <f>IFERROR(IF(AD242=1,AJ$100*EXP(-(LN(2)/$D$65+0.04)*AF242)*EXP(-(LN(2)/$D$65+0.1)*AG242),IF(AD242=2,AJ$100*EXP(-(LN(2)/$D$65+0.04)*(VLOOKUP(($F$16-$F$15)-1,AC$100:AG242,4,FALSE)))*EXP(-(LN(2)/$D$65+0.1)*(VLOOKUP(($F$16-$F$15)-1,AC$100:AG242,5,FALSE)))*EXP(-(LN(2)/$D$65+0.04)*AF242)*EXP(-(LN(2)/$D$65+0.1)*AG242),IF(AD242=3,AJ$100*EXP(-(LN(2)/$D$65+0.04)*(VLOOKUP(($F$16-$F$15)-1,AC$100:AG242,4,FALSE)))*EXP(-(LN(2)/$D$65+0.1)*(VLOOKUP(($F$16-$F$15)-1,AC$100:AG242,5,FALSE)))*EXP(-(LN(2)/$D$65+0.04)*(VLOOKUP(($F$16-$F$15)*2-1,AC$100:AG242,4,FALSE)))*EXP(-(LN(2)/$D$65+0.1)*(VLOOKUP(($F$16-$F$15)*2-1,AC$100:AG242,5,FALSE)))*EXP(-(LN(2)/$D$65+0.04)*AF242)*EXP(-(LN(2)/$D$65+0.1)*AG242),"-"))),"-")</f>
        <v>-</v>
      </c>
      <c r="AK242" s="227">
        <f t="shared" si="215"/>
        <v>142</v>
      </c>
      <c r="AL242" s="226" t="str">
        <f t="shared" si="189"/>
        <v>-</v>
      </c>
      <c r="AM242" s="227" t="str">
        <f t="shared" si="216"/>
        <v>-</v>
      </c>
      <c r="AN242" s="227" t="str">
        <f t="shared" si="217"/>
        <v>-</v>
      </c>
      <c r="AO242" s="227" t="str">
        <f t="shared" si="190"/>
        <v>-</v>
      </c>
      <c r="AP242" s="273">
        <f t="shared" si="218"/>
        <v>0.1</v>
      </c>
      <c r="AQ242" s="271" t="str">
        <f>IFERROR(IF(AL241=1,AQ$100*EXP(-(LN(2)/$D$65+0.04)*AN241)*EXP(-(LN(2)/$D$65+0.1)*AO241),IF(AL241=2,AQ$100*EXP(-(LN(2)/$D$65+0.04)*(VLOOKUP(($F$16-$F$15)-1,AK$99:AO241,4,FALSE)))*EXP(-(LN(2)/$D$65+0.1)*(VLOOKUP(($F$16-$F$15)-1,AK$99:AO241,5,FALSE)))*EXP(-(LN(2)/$D$65+0.04)*AN241)*EXP(-(LN(2)/$D$65+0.1)*AO241),IF(AL241=3,AQ$100*EXP(-(LN(2)/$D$65+0.04)*(VLOOKUP(($F$16-$F$15)-1,AK$99:AO241,4,FALSE)))*EXP(-(LN(2)/$D$65+0.1)*(VLOOKUP(($F$16-$F$15)-1,AK$99:AO241,5,FALSE)))*EXP(-(LN(2)/$D$65+0.04)*(VLOOKUP(($F$16-$F$15)*2-1,AK$99:AO241,4,FALSE)))*EXP(-(LN(2)/$D$65+0.1)*(VLOOKUP(($F$16-$F$15)*2-1,AK$99:AO241,5,FALSE)))*EXP(-(LN(2)/$D$65+0.04)*AN241)*EXP(-(LN(2)/$D$65+0.1)*AO241),"-"))),"-")</f>
        <v>-</v>
      </c>
      <c r="AR242" s="271" t="str">
        <f>IFERROR(IF(AL242=1,AR$100*EXP(-(LN(2)/$D$65+0.04)*AN242)*EXP(-(LN(2)/$D$65+0.1)*AO242),IF(AL242=2,AR$100*EXP(-(LN(2)/$D$65+0.04)*(VLOOKUP(($F$16-$F$15)-1,AK$100:AO242,4,FALSE)))*EXP(-(LN(2)/$D$65+0.1)*(VLOOKUP(($F$16-$F$15)-1,AK$100:AO242,5,FALSE)))*EXP(-(LN(2)/$D$65+0.04)*AN242)*EXP(-(LN(2)/$D$65+0.1)*AO242),IF(AL242=3,AR$100*EXP(-(LN(2)/$D$65+0.04)*(VLOOKUP(($F$16-$F$15)-1,AK$100:AO242,4,FALSE)))*EXP(-(LN(2)/$D$65+0.1)*(VLOOKUP(($F$16-$F$15)-1,AK$100:AO242,5,FALSE)))*EXP(-(LN(2)/$D$65+0.04)*(VLOOKUP(($F$16-$F$15)*2-1,AK$100:AO242,4,FALSE)))*EXP(-(LN(2)/$D$65+0.1)*(VLOOKUP(($F$16-$F$15)*2-1,AK$100:AO242,5,FALSE)))*EXP(-(LN(2)/$D$65+0.04)*AN242)*EXP(-(LN(2)/$D$65+0.1)*AO242),"-"))),"-")</f>
        <v>-</v>
      </c>
      <c r="AS242" s="274">
        <f t="shared" si="191"/>
        <v>0</v>
      </c>
      <c r="AT242" s="274">
        <f t="shared" si="192"/>
        <v>0</v>
      </c>
      <c r="AU242" s="274">
        <f t="shared" si="193"/>
        <v>0</v>
      </c>
      <c r="AV242" s="190" t="str">
        <f>IF($B242&lt;$F$22,SUM($T$100:$T242),"")</f>
        <v/>
      </c>
      <c r="AW242" s="190" t="str">
        <f t="shared" si="194"/>
        <v>-</v>
      </c>
      <c r="AX242" s="190" t="str">
        <f t="shared" si="219"/>
        <v/>
      </c>
      <c r="AY242"/>
      <c r="AZ242" s="190" t="str">
        <f ca="1">IF(ISNUMBER(OFFSET(AV242,-$F$21,0)),SUM(OFFSET($T$100,$F$21,0):$T242),"")</f>
        <v/>
      </c>
      <c r="BA242" s="190" t="str">
        <f t="shared" ca="1" si="195"/>
        <v/>
      </c>
      <c r="BB242" s="190" t="str">
        <f t="shared" ca="1" si="148"/>
        <v/>
      </c>
      <c r="BC242" s="190"/>
      <c r="BD242" s="190" t="str">
        <f ca="1">IFERROR(IF(OR(ISNUMBER(I),ISNUMBER($F$14)),IF(AND($B242&gt;=($F$16-$F$15),$B242&lt;$F$22+($F$16-$F$15)),SUM(OFFSET($T$100,($F$16-$F$15),0):$T242),""),""),"")</f>
        <v/>
      </c>
      <c r="BE242" s="190" t="str">
        <f t="shared" ca="1" si="220"/>
        <v/>
      </c>
      <c r="BF242" s="190" t="str">
        <f t="shared" ca="1" si="221"/>
        <v/>
      </c>
      <c r="BG242"/>
      <c r="BH242" s="190" t="str">
        <f ca="1">IF(ISNUMBER(OFFSET(BD242,-$F$21,0)),SUM(OFFSET($T$100,($F$16-$F$15+$F$21),0):$T242),"")</f>
        <v/>
      </c>
      <c r="BI242" s="190" t="str">
        <f t="shared" ca="1" si="196"/>
        <v/>
      </c>
      <c r="BJ242" s="190" t="str">
        <f t="shared" ca="1" si="222"/>
        <v/>
      </c>
      <c r="BK242" s="190"/>
      <c r="BL242" s="190" t="str">
        <f ca="1">IFERROR(IF(OR(ISNUMBER(I),ISNUMBER($F$14)),IF(AND($B242&gt;=($F$17-$F$15),$B242&lt;$F$22+($F$17-$F$15)),SUM(OFFSET($T$100,($F$17-$F$15),0):$T242),""),""),"")</f>
        <v/>
      </c>
      <c r="BM242" s="190" t="str">
        <f t="shared" ca="1" si="197"/>
        <v/>
      </c>
      <c r="BN242" s="190" t="str">
        <f t="shared" ca="1" si="223"/>
        <v/>
      </c>
      <c r="BO242"/>
      <c r="BP242" s="190" t="str">
        <f ca="1">IF(ISNUMBER(OFFSET(BL242,-$F$21,0)),SUM(OFFSET($T$100,($F$17-$F$15+$F$21),0):$T242),"")</f>
        <v/>
      </c>
      <c r="BQ242" s="190" t="str">
        <f t="shared" ca="1" si="198"/>
        <v/>
      </c>
      <c r="BR242" s="190" t="str">
        <f t="shared" ca="1" si="224"/>
        <v/>
      </c>
      <c r="BS242" s="190"/>
      <c r="BT242"/>
      <c r="BU242"/>
      <c r="BV242"/>
      <c r="BY242" s="99"/>
      <c r="BZ242" s="99"/>
      <c r="CA242" s="280" t="str">
        <f t="shared" si="199"/>
        <v/>
      </c>
      <c r="CB242" s="71" t="str">
        <f t="shared" si="200"/>
        <v>-</v>
      </c>
      <c r="CC242" s="33"/>
      <c r="CD242" s="261" t="str">
        <f t="shared" si="201"/>
        <v/>
      </c>
      <c r="CE242" s="280" t="str">
        <f t="shared" si="202"/>
        <v/>
      </c>
      <c r="CF242" s="71" t="str">
        <f t="shared" ca="1" si="203"/>
        <v/>
      </c>
      <c r="CG242" s="33" t="str">
        <f t="shared" si="204"/>
        <v/>
      </c>
      <c r="CH242" s="261" t="str">
        <f t="shared" ca="1" si="205"/>
        <v/>
      </c>
    </row>
    <row r="243" spans="2:86" ht="13.5" customHeight="1" x14ac:dyDescent="0.2">
      <c r="B243" s="262">
        <v>143</v>
      </c>
      <c r="C243" s="237" t="str">
        <f t="shared" si="169"/>
        <v/>
      </c>
      <c r="D243" s="237" t="str">
        <f t="shared" si="225"/>
        <v/>
      </c>
      <c r="E243" s="263" t="str">
        <f t="shared" si="206"/>
        <v/>
      </c>
      <c r="F243" s="264" t="str">
        <f t="shared" si="207"/>
        <v/>
      </c>
      <c r="G243" s="264" t="str">
        <f t="shared" si="208"/>
        <v/>
      </c>
      <c r="H243" s="240" t="str">
        <f t="shared" si="170"/>
        <v/>
      </c>
      <c r="I243" s="265" t="str">
        <f t="shared" si="171"/>
        <v/>
      </c>
      <c r="J243" s="265" t="str">
        <f t="shared" si="172"/>
        <v/>
      </c>
      <c r="K243" s="240" t="str">
        <f t="shared" si="173"/>
        <v/>
      </c>
      <c r="L243" s="265" t="str">
        <f t="shared" si="174"/>
        <v/>
      </c>
      <c r="M243" s="265" t="str">
        <f t="shared" si="175"/>
        <v/>
      </c>
      <c r="N243" s="240" t="str">
        <f t="shared" si="176"/>
        <v>-</v>
      </c>
      <c r="O243" s="265" t="str">
        <f t="shared" si="177"/>
        <v>-</v>
      </c>
      <c r="P243" s="265" t="str">
        <f t="shared" si="178"/>
        <v>-</v>
      </c>
      <c r="Q243" s="266" t="str">
        <f t="shared" si="179"/>
        <v>-</v>
      </c>
      <c r="R243" s="267" t="str">
        <f t="shared" si="180"/>
        <v>-</v>
      </c>
      <c r="S243" s="268" t="str">
        <f t="shared" si="181"/>
        <v>-</v>
      </c>
      <c r="T243" s="269" t="str">
        <f t="shared" si="182"/>
        <v/>
      </c>
      <c r="U243" s="221">
        <f t="shared" si="183"/>
        <v>143</v>
      </c>
      <c r="V243" s="220" t="str">
        <f t="shared" si="209"/>
        <v>-</v>
      </c>
      <c r="W243" s="221" t="str">
        <f t="shared" si="210"/>
        <v>-</v>
      </c>
      <c r="X243" s="221" t="str">
        <f t="shared" si="184"/>
        <v>-</v>
      </c>
      <c r="Y243" s="221" t="str">
        <f t="shared" si="185"/>
        <v>-</v>
      </c>
      <c r="Z243" s="270">
        <f t="shared" si="211"/>
        <v>0.1</v>
      </c>
      <c r="AA243" s="271" t="str">
        <f>IFERROR(IF(V242=1,AA$100*EXP(-(LN(2)/$D$65+0.04)*X242)*EXP(-(LN(2)/$D$65+0.1)*Y242),IF(V242=2,AA$100*EXP(-(LN(2)/$D$65+0.04)*(VLOOKUP(($F$16-$F$15)-1,U$99:Y242,4,FALSE)))*EXP(-(LN(2)/$D$65+0.1)*(VLOOKUP(($F$16-$F$15)-1,U$99:Y242,5,FALSE)))*EXP(-(LN(2)/$D$65+0.04)*X242)*EXP(-(LN(2)/$D$65+0.1)*Y242),IF(V242=3,AA$100*EXP(-(LN(2)/$D$65+0.04)*(VLOOKUP(($F$16-$F$15)-1,U$99:Y242,4,FALSE)))*EXP(-(LN(2)/$D$65+0.1)*(VLOOKUP(($F$16-$F$15)-1,U$99:Y242,5,FALSE)))*EXP(-(LN(2)/$D$65+0.04)*(VLOOKUP(($F$16-$F$15)*2-1,U$99:Y242,4,FALSE)))*EXP(-(LN(2)/$D$65+0.1)*(VLOOKUP(($F$16-$F$15)*2-1,U$99:Y242,5,FALSE)))*EXP(-(LN(2)/$D$65+0.04)*X242)*EXP(-(LN(2)/$D$65+0.1)*Y242),"-"))),"-")</f>
        <v>-</v>
      </c>
      <c r="AB243" s="271" t="str">
        <f>IFERROR(IF(V243=1,AB$100*EXP(-(LN(2)/$D$65+0.04)*X243)*EXP(-(LN(2)/$D$65+0.1)*Y243),IF(V243=2,AB$100*EXP(-(LN(2)/$D$65+0.04)*(VLOOKUP(($F$16-$F$15)-1,U$100:Y243,4,FALSE)))*EXP(-(LN(2)/$D$65+0.1)*(VLOOKUP(($F$16-$F$15)-1,U$100:Y243,5,FALSE)))*EXP(-(LN(2)/$D$65+0.04)*X243)*EXP(-(LN(2)/$D$65+0.1)*Y243),IF(V243=3,AB$100*EXP(-(LN(2)/$D$65+0.04)*(VLOOKUP(($F$16-$F$15)-1,U$100:Y243,4,FALSE)))*EXP(-(LN(2)/$D$65+0.1)*(VLOOKUP(($F$16-$F$15)-1,U$100:Y243,5,FALSE)))*EXP(-(LN(2)/$D$65+0.04)*(VLOOKUP(($F$16-$F$15)*2-1,U$100:Y243,4,FALSE)))*EXP(-(LN(2)/$D$65+0.1)*(VLOOKUP(($F$16-$F$15)*2-1,U$100:Y243,5,FALSE)))*EXP(-(LN(2)/$D$65+0.04)*X243)*EXP(-(LN(2)/$D$65+0.1)*Y243),"-"))),"-")</f>
        <v>-</v>
      </c>
      <c r="AC243" s="224">
        <f t="shared" si="226"/>
        <v>143</v>
      </c>
      <c r="AD243" s="223" t="str">
        <f t="shared" si="186"/>
        <v>-</v>
      </c>
      <c r="AE243" s="224" t="str">
        <f t="shared" si="213"/>
        <v>-</v>
      </c>
      <c r="AF243" s="224" t="str">
        <f t="shared" si="187"/>
        <v>-</v>
      </c>
      <c r="AG243" s="224" t="str">
        <f t="shared" si="188"/>
        <v>-</v>
      </c>
      <c r="AH243" s="272">
        <f t="shared" si="214"/>
        <v>0.1</v>
      </c>
      <c r="AI243" s="271" t="str">
        <f>IFERROR(IF(AD242=1,AI$100*EXP(-(LN(2)/$D$65+0.04)*AF242)*EXP(-(LN(2)/$D$65+0.1)*AG242),IF(AD242=2,AI$100*EXP(-(LN(2)/$D$65+0.04)*(VLOOKUP(($F$16-$F$15)-1,AC$99:AG242,4,FALSE)))*EXP(-(LN(2)/$D$65+0.1)*(VLOOKUP(($F$16-$F$15)-1,AC$99:AG242,5,FALSE)))*EXP(-(LN(2)/$D$65+0.04)*AF242)*EXP(-(LN(2)/$D$65+0.1)*AG242),IF(AD242=3,AI$100*EXP(-(LN(2)/$D$65+0.04)*(VLOOKUP(($F$16-$F$15)-1,AC$99:AG242,4,FALSE)))*EXP(-(LN(2)/$D$65+0.1)*(VLOOKUP(($F$16-$F$15)-1,AC$99:AG242,5,FALSE)))*EXP(-(LN(2)/$D$65+0.04)*(VLOOKUP(($F$16-$F$15)*2-1,AC$99:AG242,4,FALSE)))*EXP(-(LN(2)/$D$65+0.1)*(VLOOKUP(($F$16-$F$15)*2-1,AC$99:AG242,5,FALSE)))*EXP(-(LN(2)/$D$65+0.04)*AF242)*EXP(-(LN(2)/$D$65+0.1)*AG242),"-"))),"-")</f>
        <v>-</v>
      </c>
      <c r="AJ243" s="271" t="str">
        <f>IFERROR(IF(AD243=1,AJ$100*EXP(-(LN(2)/$D$65+0.04)*AF243)*EXP(-(LN(2)/$D$65+0.1)*AG243),IF(AD243=2,AJ$100*EXP(-(LN(2)/$D$65+0.04)*(VLOOKUP(($F$16-$F$15)-1,AC$100:AG243,4,FALSE)))*EXP(-(LN(2)/$D$65+0.1)*(VLOOKUP(($F$16-$F$15)-1,AC$100:AG243,5,FALSE)))*EXP(-(LN(2)/$D$65+0.04)*AF243)*EXP(-(LN(2)/$D$65+0.1)*AG243),IF(AD243=3,AJ$100*EXP(-(LN(2)/$D$65+0.04)*(VLOOKUP(($F$16-$F$15)-1,AC$100:AG243,4,FALSE)))*EXP(-(LN(2)/$D$65+0.1)*(VLOOKUP(($F$16-$F$15)-1,AC$100:AG243,5,FALSE)))*EXP(-(LN(2)/$D$65+0.04)*(VLOOKUP(($F$16-$F$15)*2-1,AC$100:AG243,4,FALSE)))*EXP(-(LN(2)/$D$65+0.1)*(VLOOKUP(($F$16-$F$15)*2-1,AC$100:AG243,5,FALSE)))*EXP(-(LN(2)/$D$65+0.04)*AF243)*EXP(-(LN(2)/$D$65+0.1)*AG243),"-"))),"-")</f>
        <v>-</v>
      </c>
      <c r="AK243" s="227">
        <f t="shared" si="215"/>
        <v>143</v>
      </c>
      <c r="AL243" s="226" t="str">
        <f t="shared" si="189"/>
        <v>-</v>
      </c>
      <c r="AM243" s="227" t="str">
        <f t="shared" si="216"/>
        <v>-</v>
      </c>
      <c r="AN243" s="227" t="str">
        <f t="shared" si="217"/>
        <v>-</v>
      </c>
      <c r="AO243" s="227" t="str">
        <f t="shared" si="190"/>
        <v>-</v>
      </c>
      <c r="AP243" s="273">
        <f t="shared" si="218"/>
        <v>0.1</v>
      </c>
      <c r="AQ243" s="271" t="str">
        <f>IFERROR(IF(AL242=1,AQ$100*EXP(-(LN(2)/$D$65+0.04)*AN242)*EXP(-(LN(2)/$D$65+0.1)*AO242),IF(AL242=2,AQ$100*EXP(-(LN(2)/$D$65+0.04)*(VLOOKUP(($F$16-$F$15)-1,AK$99:AO242,4,FALSE)))*EXP(-(LN(2)/$D$65+0.1)*(VLOOKUP(($F$16-$F$15)-1,AK$99:AO242,5,FALSE)))*EXP(-(LN(2)/$D$65+0.04)*AN242)*EXP(-(LN(2)/$D$65+0.1)*AO242),IF(AL242=3,AQ$100*EXP(-(LN(2)/$D$65+0.04)*(VLOOKUP(($F$16-$F$15)-1,AK$99:AO242,4,FALSE)))*EXP(-(LN(2)/$D$65+0.1)*(VLOOKUP(($F$16-$F$15)-1,AK$99:AO242,5,FALSE)))*EXP(-(LN(2)/$D$65+0.04)*(VLOOKUP(($F$16-$F$15)*2-1,AK$99:AO242,4,FALSE)))*EXP(-(LN(2)/$D$65+0.1)*(VLOOKUP(($F$16-$F$15)*2-1,AK$99:AO242,5,FALSE)))*EXP(-(LN(2)/$D$65+0.04)*AN242)*EXP(-(LN(2)/$D$65+0.1)*AO242),"-"))),"-")</f>
        <v>-</v>
      </c>
      <c r="AR243" s="271" t="str">
        <f>IFERROR(IF(AL243=1,AR$100*EXP(-(LN(2)/$D$65+0.04)*AN243)*EXP(-(LN(2)/$D$65+0.1)*AO243),IF(AL243=2,AR$100*EXP(-(LN(2)/$D$65+0.04)*(VLOOKUP(($F$16-$F$15)-1,AK$100:AO243,4,FALSE)))*EXP(-(LN(2)/$D$65+0.1)*(VLOOKUP(($F$16-$F$15)-1,AK$100:AO243,5,FALSE)))*EXP(-(LN(2)/$D$65+0.04)*AN243)*EXP(-(LN(2)/$D$65+0.1)*AO243),IF(AL243=3,AR$100*EXP(-(LN(2)/$D$65+0.04)*(VLOOKUP(($F$16-$F$15)-1,AK$100:AO243,4,FALSE)))*EXP(-(LN(2)/$D$65+0.1)*(VLOOKUP(($F$16-$F$15)-1,AK$100:AO243,5,FALSE)))*EXP(-(LN(2)/$D$65+0.04)*(VLOOKUP(($F$16-$F$15)*2-1,AK$100:AO243,4,FALSE)))*EXP(-(LN(2)/$D$65+0.1)*(VLOOKUP(($F$16-$F$15)*2-1,AK$100:AO243,5,FALSE)))*EXP(-(LN(2)/$D$65+0.04)*AN243)*EXP(-(LN(2)/$D$65+0.1)*AO243),"-"))),"-")</f>
        <v>-</v>
      </c>
      <c r="AS243" s="274">
        <f t="shared" si="191"/>
        <v>0</v>
      </c>
      <c r="AT243" s="274">
        <f t="shared" si="192"/>
        <v>0</v>
      </c>
      <c r="AU243" s="274">
        <f t="shared" si="193"/>
        <v>0</v>
      </c>
      <c r="AV243" s="190" t="str">
        <f>IF($B243&lt;$F$22,SUM($T$100:$T243),"")</f>
        <v/>
      </c>
      <c r="AW243" s="190" t="str">
        <f t="shared" si="194"/>
        <v>-</v>
      </c>
      <c r="AX243" s="190" t="str">
        <f t="shared" si="219"/>
        <v/>
      </c>
      <c r="AY243"/>
      <c r="AZ243" s="190" t="str">
        <f ca="1">IF(ISNUMBER(OFFSET(AV243,-$F$21,0)),SUM(OFFSET($T$100,$F$21,0):$T243),"")</f>
        <v/>
      </c>
      <c r="BA243" s="190" t="str">
        <f t="shared" ca="1" si="195"/>
        <v/>
      </c>
      <c r="BB243" s="190" t="str">
        <f t="shared" ca="1" si="148"/>
        <v/>
      </c>
      <c r="BC243" s="190"/>
      <c r="BD243" s="190" t="str">
        <f ca="1">IFERROR(IF(OR(ISNUMBER(I),ISNUMBER($F$14)),IF(AND($B243&gt;=($F$16-$F$15),$B243&lt;$F$22+($F$16-$F$15)),SUM(OFFSET($T$100,($F$16-$F$15),0):$T243),""),""),"")</f>
        <v/>
      </c>
      <c r="BE243" s="190" t="str">
        <f t="shared" ca="1" si="220"/>
        <v/>
      </c>
      <c r="BF243" s="190" t="str">
        <f t="shared" ca="1" si="221"/>
        <v/>
      </c>
      <c r="BG243"/>
      <c r="BH243" s="190" t="str">
        <f ca="1">IF(ISNUMBER(OFFSET(BD243,-$F$21,0)),SUM(OFFSET($T$100,($F$16-$F$15+$F$21),0):$T243),"")</f>
        <v/>
      </c>
      <c r="BI243" s="190" t="str">
        <f t="shared" ca="1" si="196"/>
        <v/>
      </c>
      <c r="BJ243" s="190" t="str">
        <f t="shared" ca="1" si="222"/>
        <v/>
      </c>
      <c r="BK243" s="190"/>
      <c r="BL243" s="190" t="str">
        <f ca="1">IFERROR(IF(OR(ISNUMBER(I),ISNUMBER($F$14)),IF(AND($B243&gt;=($F$17-$F$15),$B243&lt;$F$22+($F$17-$F$15)),SUM(OFFSET($T$100,($F$17-$F$15),0):$T243),""),""),"")</f>
        <v/>
      </c>
      <c r="BM243" s="190" t="str">
        <f t="shared" ca="1" si="197"/>
        <v/>
      </c>
      <c r="BN243" s="190" t="str">
        <f t="shared" ca="1" si="223"/>
        <v/>
      </c>
      <c r="BO243"/>
      <c r="BP243" s="190" t="str">
        <f ca="1">IF(ISNUMBER(OFFSET(BL243,-$F$21,0)),SUM(OFFSET($T$100,($F$17-$F$15+$F$21),0):$T243),"")</f>
        <v/>
      </c>
      <c r="BQ243" s="190" t="str">
        <f t="shared" ca="1" si="198"/>
        <v/>
      </c>
      <c r="BR243" s="190" t="str">
        <f t="shared" ca="1" si="224"/>
        <v/>
      </c>
      <c r="BS243" s="190"/>
      <c r="BT243"/>
      <c r="BU243"/>
      <c r="BV243"/>
      <c r="BY243" s="99"/>
      <c r="BZ243" s="99"/>
      <c r="CA243" s="280" t="str">
        <f t="shared" si="199"/>
        <v/>
      </c>
      <c r="CB243" s="71" t="str">
        <f t="shared" si="200"/>
        <v>-</v>
      </c>
      <c r="CC243" s="33"/>
      <c r="CD243" s="261" t="str">
        <f t="shared" si="201"/>
        <v/>
      </c>
      <c r="CE243" s="280" t="str">
        <f t="shared" si="202"/>
        <v/>
      </c>
      <c r="CF243" s="71" t="str">
        <f t="shared" ca="1" si="203"/>
        <v/>
      </c>
      <c r="CG243" s="33" t="str">
        <f t="shared" si="204"/>
        <v/>
      </c>
      <c r="CH243" s="261" t="str">
        <f t="shared" ca="1" si="205"/>
        <v/>
      </c>
    </row>
    <row r="244" spans="2:86" ht="13.5" customHeight="1" x14ac:dyDescent="0.2">
      <c r="B244" s="262">
        <v>144</v>
      </c>
      <c r="C244" s="237" t="str">
        <f t="shared" si="169"/>
        <v/>
      </c>
      <c r="D244" s="237" t="str">
        <f t="shared" si="225"/>
        <v/>
      </c>
      <c r="E244" s="263" t="str">
        <f t="shared" si="206"/>
        <v/>
      </c>
      <c r="F244" s="264" t="str">
        <f t="shared" si="207"/>
        <v/>
      </c>
      <c r="G244" s="264" t="str">
        <f t="shared" si="208"/>
        <v/>
      </c>
      <c r="H244" s="240" t="str">
        <f t="shared" si="170"/>
        <v/>
      </c>
      <c r="I244" s="265" t="str">
        <f t="shared" si="171"/>
        <v/>
      </c>
      <c r="J244" s="265" t="str">
        <f t="shared" si="172"/>
        <v/>
      </c>
      <c r="K244" s="240" t="str">
        <f t="shared" si="173"/>
        <v/>
      </c>
      <c r="L244" s="265" t="str">
        <f t="shared" si="174"/>
        <v/>
      </c>
      <c r="M244" s="265" t="str">
        <f t="shared" si="175"/>
        <v/>
      </c>
      <c r="N244" s="240" t="str">
        <f t="shared" si="176"/>
        <v>-</v>
      </c>
      <c r="O244" s="265" t="str">
        <f t="shared" si="177"/>
        <v>-</v>
      </c>
      <c r="P244" s="265" t="str">
        <f t="shared" si="178"/>
        <v>-</v>
      </c>
      <c r="Q244" s="266" t="str">
        <f t="shared" si="179"/>
        <v>-</v>
      </c>
      <c r="R244" s="267" t="str">
        <f t="shared" si="180"/>
        <v>-</v>
      </c>
      <c r="S244" s="268" t="str">
        <f t="shared" si="181"/>
        <v>-</v>
      </c>
      <c r="T244" s="269" t="str">
        <f t="shared" si="182"/>
        <v/>
      </c>
      <c r="U244" s="221">
        <f t="shared" si="183"/>
        <v>144</v>
      </c>
      <c r="V244" s="220" t="str">
        <f t="shared" si="209"/>
        <v>-</v>
      </c>
      <c r="W244" s="221" t="str">
        <f t="shared" si="210"/>
        <v>-</v>
      </c>
      <c r="X244" s="221" t="str">
        <f t="shared" si="184"/>
        <v>-</v>
      </c>
      <c r="Y244" s="221" t="str">
        <f t="shared" si="185"/>
        <v>-</v>
      </c>
      <c r="Z244" s="270">
        <f t="shared" si="211"/>
        <v>0.1</v>
      </c>
      <c r="AA244" s="271" t="str">
        <f>IFERROR(IF(V243=1,AA$100*EXP(-(LN(2)/$D$65+0.04)*X243)*EXP(-(LN(2)/$D$65+0.1)*Y243),IF(V243=2,AA$100*EXP(-(LN(2)/$D$65+0.04)*(VLOOKUP(($F$16-$F$15)-1,U$99:Y243,4,FALSE)))*EXP(-(LN(2)/$D$65+0.1)*(VLOOKUP(($F$16-$F$15)-1,U$99:Y243,5,FALSE)))*EXP(-(LN(2)/$D$65+0.04)*X243)*EXP(-(LN(2)/$D$65+0.1)*Y243),IF(V243=3,AA$100*EXP(-(LN(2)/$D$65+0.04)*(VLOOKUP(($F$16-$F$15)-1,U$99:Y243,4,FALSE)))*EXP(-(LN(2)/$D$65+0.1)*(VLOOKUP(($F$16-$F$15)-1,U$99:Y243,5,FALSE)))*EXP(-(LN(2)/$D$65+0.04)*(VLOOKUP(($F$16-$F$15)*2-1,U$99:Y243,4,FALSE)))*EXP(-(LN(2)/$D$65+0.1)*(VLOOKUP(($F$16-$F$15)*2-1,U$99:Y243,5,FALSE)))*EXP(-(LN(2)/$D$65+0.04)*X243)*EXP(-(LN(2)/$D$65+0.1)*Y243),"-"))),"-")</f>
        <v>-</v>
      </c>
      <c r="AB244" s="271" t="str">
        <f>IFERROR(IF(V244=1,AB$100*EXP(-(LN(2)/$D$65+0.04)*X244)*EXP(-(LN(2)/$D$65+0.1)*Y244),IF(V244=2,AB$100*EXP(-(LN(2)/$D$65+0.04)*(VLOOKUP(($F$16-$F$15)-1,U$100:Y244,4,FALSE)))*EXP(-(LN(2)/$D$65+0.1)*(VLOOKUP(($F$16-$F$15)-1,U$100:Y244,5,FALSE)))*EXP(-(LN(2)/$D$65+0.04)*X244)*EXP(-(LN(2)/$D$65+0.1)*Y244),IF(V244=3,AB$100*EXP(-(LN(2)/$D$65+0.04)*(VLOOKUP(($F$16-$F$15)-1,U$100:Y244,4,FALSE)))*EXP(-(LN(2)/$D$65+0.1)*(VLOOKUP(($F$16-$F$15)-1,U$100:Y244,5,FALSE)))*EXP(-(LN(2)/$D$65+0.04)*(VLOOKUP(($F$16-$F$15)*2-1,U$100:Y244,4,FALSE)))*EXP(-(LN(2)/$D$65+0.1)*(VLOOKUP(($F$16-$F$15)*2-1,U$100:Y244,5,FALSE)))*EXP(-(LN(2)/$D$65+0.04)*X244)*EXP(-(LN(2)/$D$65+0.1)*Y244),"-"))),"-")</f>
        <v>-</v>
      </c>
      <c r="AC244" s="224">
        <f t="shared" si="226"/>
        <v>144</v>
      </c>
      <c r="AD244" s="223" t="str">
        <f t="shared" si="186"/>
        <v>-</v>
      </c>
      <c r="AE244" s="224" t="str">
        <f t="shared" si="213"/>
        <v>-</v>
      </c>
      <c r="AF244" s="224" t="str">
        <f t="shared" si="187"/>
        <v>-</v>
      </c>
      <c r="AG244" s="224" t="str">
        <f t="shared" si="188"/>
        <v>-</v>
      </c>
      <c r="AH244" s="272">
        <f t="shared" si="214"/>
        <v>0.1</v>
      </c>
      <c r="AI244" s="271" t="str">
        <f>IFERROR(IF(AD243=1,AI$100*EXP(-(LN(2)/$D$65+0.04)*AF243)*EXP(-(LN(2)/$D$65+0.1)*AG243),IF(AD243=2,AI$100*EXP(-(LN(2)/$D$65+0.04)*(VLOOKUP(($F$16-$F$15)-1,AC$99:AG243,4,FALSE)))*EXP(-(LN(2)/$D$65+0.1)*(VLOOKUP(($F$16-$F$15)-1,AC$99:AG243,5,FALSE)))*EXP(-(LN(2)/$D$65+0.04)*AF243)*EXP(-(LN(2)/$D$65+0.1)*AG243),IF(AD243=3,AI$100*EXP(-(LN(2)/$D$65+0.04)*(VLOOKUP(($F$16-$F$15)-1,AC$99:AG243,4,FALSE)))*EXP(-(LN(2)/$D$65+0.1)*(VLOOKUP(($F$16-$F$15)-1,AC$99:AG243,5,FALSE)))*EXP(-(LN(2)/$D$65+0.04)*(VLOOKUP(($F$16-$F$15)*2-1,AC$99:AG243,4,FALSE)))*EXP(-(LN(2)/$D$65+0.1)*(VLOOKUP(($F$16-$F$15)*2-1,AC$99:AG243,5,FALSE)))*EXP(-(LN(2)/$D$65+0.04)*AF243)*EXP(-(LN(2)/$D$65+0.1)*AG243),"-"))),"-")</f>
        <v>-</v>
      </c>
      <c r="AJ244" s="271" t="str">
        <f>IFERROR(IF(AD244=1,AJ$100*EXP(-(LN(2)/$D$65+0.04)*AF244)*EXP(-(LN(2)/$D$65+0.1)*AG244),IF(AD244=2,AJ$100*EXP(-(LN(2)/$D$65+0.04)*(VLOOKUP(($F$16-$F$15)-1,AC$100:AG244,4,FALSE)))*EXP(-(LN(2)/$D$65+0.1)*(VLOOKUP(($F$16-$F$15)-1,AC$100:AG244,5,FALSE)))*EXP(-(LN(2)/$D$65+0.04)*AF244)*EXP(-(LN(2)/$D$65+0.1)*AG244),IF(AD244=3,AJ$100*EXP(-(LN(2)/$D$65+0.04)*(VLOOKUP(($F$16-$F$15)-1,AC$100:AG244,4,FALSE)))*EXP(-(LN(2)/$D$65+0.1)*(VLOOKUP(($F$16-$F$15)-1,AC$100:AG244,5,FALSE)))*EXP(-(LN(2)/$D$65+0.04)*(VLOOKUP(($F$16-$F$15)*2-1,AC$100:AG244,4,FALSE)))*EXP(-(LN(2)/$D$65+0.1)*(VLOOKUP(($F$16-$F$15)*2-1,AC$100:AG244,5,FALSE)))*EXP(-(LN(2)/$D$65+0.04)*AF244)*EXP(-(LN(2)/$D$65+0.1)*AG244),"-"))),"-")</f>
        <v>-</v>
      </c>
      <c r="AK244" s="227">
        <f t="shared" si="215"/>
        <v>144</v>
      </c>
      <c r="AL244" s="226" t="str">
        <f t="shared" si="189"/>
        <v>-</v>
      </c>
      <c r="AM244" s="227" t="str">
        <f t="shared" si="216"/>
        <v>-</v>
      </c>
      <c r="AN244" s="227" t="str">
        <f t="shared" si="217"/>
        <v>-</v>
      </c>
      <c r="AO244" s="227" t="str">
        <f t="shared" si="190"/>
        <v>-</v>
      </c>
      <c r="AP244" s="273">
        <f t="shared" si="218"/>
        <v>0.1</v>
      </c>
      <c r="AQ244" s="271" t="str">
        <f>IFERROR(IF(AL243=1,AQ$100*EXP(-(LN(2)/$D$65+0.04)*AN243)*EXP(-(LN(2)/$D$65+0.1)*AO243),IF(AL243=2,AQ$100*EXP(-(LN(2)/$D$65+0.04)*(VLOOKUP(($F$16-$F$15)-1,AK$99:AO243,4,FALSE)))*EXP(-(LN(2)/$D$65+0.1)*(VLOOKUP(($F$16-$F$15)-1,AK$99:AO243,5,FALSE)))*EXP(-(LN(2)/$D$65+0.04)*AN243)*EXP(-(LN(2)/$D$65+0.1)*AO243),IF(AL243=3,AQ$100*EXP(-(LN(2)/$D$65+0.04)*(VLOOKUP(($F$16-$F$15)-1,AK$99:AO243,4,FALSE)))*EXP(-(LN(2)/$D$65+0.1)*(VLOOKUP(($F$16-$F$15)-1,AK$99:AO243,5,FALSE)))*EXP(-(LN(2)/$D$65+0.04)*(VLOOKUP(($F$16-$F$15)*2-1,AK$99:AO243,4,FALSE)))*EXP(-(LN(2)/$D$65+0.1)*(VLOOKUP(($F$16-$F$15)*2-1,AK$99:AO243,5,FALSE)))*EXP(-(LN(2)/$D$65+0.04)*AN243)*EXP(-(LN(2)/$D$65+0.1)*AO243),"-"))),"-")</f>
        <v>-</v>
      </c>
      <c r="AR244" s="271" t="str">
        <f>IFERROR(IF(AL244=1,AR$100*EXP(-(LN(2)/$D$65+0.04)*AN244)*EXP(-(LN(2)/$D$65+0.1)*AO244),IF(AL244=2,AR$100*EXP(-(LN(2)/$D$65+0.04)*(VLOOKUP(($F$16-$F$15)-1,AK$100:AO244,4,FALSE)))*EXP(-(LN(2)/$D$65+0.1)*(VLOOKUP(($F$16-$F$15)-1,AK$100:AO244,5,FALSE)))*EXP(-(LN(2)/$D$65+0.04)*AN244)*EXP(-(LN(2)/$D$65+0.1)*AO244),IF(AL244=3,AR$100*EXP(-(LN(2)/$D$65+0.04)*(VLOOKUP(($F$16-$F$15)-1,AK$100:AO244,4,FALSE)))*EXP(-(LN(2)/$D$65+0.1)*(VLOOKUP(($F$16-$F$15)-1,AK$100:AO244,5,FALSE)))*EXP(-(LN(2)/$D$65+0.04)*(VLOOKUP(($F$16-$F$15)*2-1,AK$100:AO244,4,FALSE)))*EXP(-(LN(2)/$D$65+0.1)*(VLOOKUP(($F$16-$F$15)*2-1,AK$100:AO244,5,FALSE)))*EXP(-(LN(2)/$D$65+0.04)*AN244)*EXP(-(LN(2)/$D$65+0.1)*AO244),"-"))),"-")</f>
        <v>-</v>
      </c>
      <c r="AS244" s="274">
        <f t="shared" si="191"/>
        <v>0</v>
      </c>
      <c r="AT244" s="274">
        <f t="shared" si="192"/>
        <v>0</v>
      </c>
      <c r="AU244" s="274">
        <f t="shared" si="193"/>
        <v>0</v>
      </c>
      <c r="AV244" s="190" t="str">
        <f>IF($B244&lt;$F$22,SUM($T$100:$T244),"")</f>
        <v/>
      </c>
      <c r="AW244" s="190" t="str">
        <f t="shared" si="194"/>
        <v>-</v>
      </c>
      <c r="AX244" s="190" t="str">
        <f t="shared" si="219"/>
        <v/>
      </c>
      <c r="AY244"/>
      <c r="AZ244" s="190" t="str">
        <f ca="1">IF(ISNUMBER(OFFSET(AV244,-$F$21,0)),SUM(OFFSET($T$100,$F$21,0):$T244),"")</f>
        <v/>
      </c>
      <c r="BA244" s="190" t="str">
        <f t="shared" ca="1" si="195"/>
        <v/>
      </c>
      <c r="BB244" s="190" t="str">
        <f t="shared" ca="1" si="148"/>
        <v/>
      </c>
      <c r="BC244" s="190"/>
      <c r="BD244" s="190" t="str">
        <f ca="1">IFERROR(IF(OR(ISNUMBER(I),ISNUMBER($F$14)),IF(AND($B244&gt;=($F$16-$F$15),$B244&lt;$F$22+($F$16-$F$15)),SUM(OFFSET($T$100,($F$16-$F$15),0):$T244),""),""),"")</f>
        <v/>
      </c>
      <c r="BE244" s="190" t="str">
        <f t="shared" ca="1" si="220"/>
        <v/>
      </c>
      <c r="BF244" s="190" t="str">
        <f t="shared" ca="1" si="221"/>
        <v/>
      </c>
      <c r="BG244"/>
      <c r="BH244" s="190" t="str">
        <f ca="1">IF(ISNUMBER(OFFSET(BD244,-$F$21,0)),SUM(OFFSET($T$100,($F$16-$F$15+$F$21),0):$T244),"")</f>
        <v/>
      </c>
      <c r="BI244" s="190" t="str">
        <f t="shared" ca="1" si="196"/>
        <v/>
      </c>
      <c r="BJ244" s="190" t="str">
        <f t="shared" ca="1" si="222"/>
        <v/>
      </c>
      <c r="BK244" s="190"/>
      <c r="BL244" s="190" t="str">
        <f ca="1">IFERROR(IF(OR(ISNUMBER(I),ISNUMBER($F$14)),IF(AND($B244&gt;=($F$17-$F$15),$B244&lt;$F$22+($F$17-$F$15)),SUM(OFFSET($T$100,($F$17-$F$15),0):$T244),""),""),"")</f>
        <v/>
      </c>
      <c r="BM244" s="190" t="str">
        <f t="shared" ca="1" si="197"/>
        <v/>
      </c>
      <c r="BN244" s="190" t="str">
        <f t="shared" ca="1" si="223"/>
        <v/>
      </c>
      <c r="BO244"/>
      <c r="BP244" s="190" t="str">
        <f ca="1">IF(ISNUMBER(OFFSET(BL244,-$F$21,0)),SUM(OFFSET($T$100,($F$17-$F$15+$F$21),0):$T244),"")</f>
        <v/>
      </c>
      <c r="BQ244" s="190" t="str">
        <f t="shared" ca="1" si="198"/>
        <v/>
      </c>
      <c r="BR244" s="190" t="str">
        <f t="shared" ca="1" si="224"/>
        <v/>
      </c>
      <c r="BS244" s="190"/>
      <c r="BT244"/>
      <c r="BU244"/>
      <c r="BV244"/>
      <c r="BY244" s="99"/>
      <c r="BZ244" s="99"/>
      <c r="CA244" s="280" t="str">
        <f t="shared" si="199"/>
        <v/>
      </c>
      <c r="CB244" s="71" t="str">
        <f t="shared" si="200"/>
        <v>-</v>
      </c>
      <c r="CC244" s="33"/>
      <c r="CD244" s="261" t="str">
        <f t="shared" si="201"/>
        <v/>
      </c>
      <c r="CE244" s="280" t="str">
        <f t="shared" si="202"/>
        <v/>
      </c>
      <c r="CF244" s="71" t="str">
        <f t="shared" ca="1" si="203"/>
        <v/>
      </c>
      <c r="CG244" s="33" t="str">
        <f t="shared" si="204"/>
        <v/>
      </c>
      <c r="CH244" s="261" t="str">
        <f t="shared" ca="1" si="205"/>
        <v/>
      </c>
    </row>
    <row r="245" spans="2:86" ht="13.5" customHeight="1" x14ac:dyDescent="0.2">
      <c r="B245" s="262">
        <v>145</v>
      </c>
      <c r="C245" s="237" t="str">
        <f t="shared" si="169"/>
        <v/>
      </c>
      <c r="D245" s="237" t="str">
        <f t="shared" si="225"/>
        <v/>
      </c>
      <c r="E245" s="263" t="str">
        <f t="shared" si="206"/>
        <v/>
      </c>
      <c r="F245" s="264" t="str">
        <f t="shared" si="207"/>
        <v/>
      </c>
      <c r="G245" s="264" t="str">
        <f t="shared" si="208"/>
        <v/>
      </c>
      <c r="H245" s="240" t="str">
        <f t="shared" si="170"/>
        <v/>
      </c>
      <c r="I245" s="265" t="str">
        <f t="shared" si="171"/>
        <v/>
      </c>
      <c r="J245" s="265" t="str">
        <f t="shared" si="172"/>
        <v/>
      </c>
      <c r="K245" s="240" t="str">
        <f t="shared" si="173"/>
        <v/>
      </c>
      <c r="L245" s="265" t="str">
        <f t="shared" si="174"/>
        <v/>
      </c>
      <c r="M245" s="265" t="str">
        <f t="shared" si="175"/>
        <v/>
      </c>
      <c r="N245" s="240" t="str">
        <f t="shared" si="176"/>
        <v>-</v>
      </c>
      <c r="O245" s="265" t="str">
        <f t="shared" si="177"/>
        <v>-</v>
      </c>
      <c r="P245" s="265" t="str">
        <f t="shared" si="178"/>
        <v>-</v>
      </c>
      <c r="Q245" s="266" t="str">
        <f t="shared" si="179"/>
        <v>-</v>
      </c>
      <c r="R245" s="267" t="str">
        <f t="shared" si="180"/>
        <v>-</v>
      </c>
      <c r="S245" s="268" t="str">
        <f t="shared" si="181"/>
        <v>-</v>
      </c>
      <c r="T245" s="269" t="str">
        <f t="shared" si="182"/>
        <v/>
      </c>
      <c r="U245" s="221">
        <f t="shared" si="183"/>
        <v>145</v>
      </c>
      <c r="V245" s="220" t="str">
        <f t="shared" si="209"/>
        <v>-</v>
      </c>
      <c r="W245" s="221" t="str">
        <f t="shared" si="210"/>
        <v>-</v>
      </c>
      <c r="X245" s="221" t="str">
        <f t="shared" si="184"/>
        <v>-</v>
      </c>
      <c r="Y245" s="221" t="str">
        <f t="shared" si="185"/>
        <v>-</v>
      </c>
      <c r="Z245" s="270">
        <f t="shared" si="211"/>
        <v>0.1</v>
      </c>
      <c r="AA245" s="271" t="str">
        <f>IFERROR(IF(V244=1,AA$100*EXP(-(LN(2)/$D$65+0.04)*X244)*EXP(-(LN(2)/$D$65+0.1)*Y244),IF(V244=2,AA$100*EXP(-(LN(2)/$D$65+0.04)*(VLOOKUP(($F$16-$F$15)-1,U$99:Y244,4,FALSE)))*EXP(-(LN(2)/$D$65+0.1)*(VLOOKUP(($F$16-$F$15)-1,U$99:Y244,5,FALSE)))*EXP(-(LN(2)/$D$65+0.04)*X244)*EXP(-(LN(2)/$D$65+0.1)*Y244),IF(V244=3,AA$100*EXP(-(LN(2)/$D$65+0.04)*(VLOOKUP(($F$16-$F$15)-1,U$99:Y244,4,FALSE)))*EXP(-(LN(2)/$D$65+0.1)*(VLOOKUP(($F$16-$F$15)-1,U$99:Y244,5,FALSE)))*EXP(-(LN(2)/$D$65+0.04)*(VLOOKUP(($F$16-$F$15)*2-1,U$99:Y244,4,FALSE)))*EXP(-(LN(2)/$D$65+0.1)*(VLOOKUP(($F$16-$F$15)*2-1,U$99:Y244,5,FALSE)))*EXP(-(LN(2)/$D$65+0.04)*X244)*EXP(-(LN(2)/$D$65+0.1)*Y244),"-"))),"-")</f>
        <v>-</v>
      </c>
      <c r="AB245" s="271" t="str">
        <f>IFERROR(IF(V245=1,AB$100*EXP(-(LN(2)/$D$65+0.04)*X245)*EXP(-(LN(2)/$D$65+0.1)*Y245),IF(V245=2,AB$100*EXP(-(LN(2)/$D$65+0.04)*(VLOOKUP(($F$16-$F$15)-1,U$100:Y245,4,FALSE)))*EXP(-(LN(2)/$D$65+0.1)*(VLOOKUP(($F$16-$F$15)-1,U$100:Y245,5,FALSE)))*EXP(-(LN(2)/$D$65+0.04)*X245)*EXP(-(LN(2)/$D$65+0.1)*Y245),IF(V245=3,AB$100*EXP(-(LN(2)/$D$65+0.04)*(VLOOKUP(($F$16-$F$15)-1,U$100:Y245,4,FALSE)))*EXP(-(LN(2)/$D$65+0.1)*(VLOOKUP(($F$16-$F$15)-1,U$100:Y245,5,FALSE)))*EXP(-(LN(2)/$D$65+0.04)*(VLOOKUP(($F$16-$F$15)*2-1,U$100:Y245,4,FALSE)))*EXP(-(LN(2)/$D$65+0.1)*(VLOOKUP(($F$16-$F$15)*2-1,U$100:Y245,5,FALSE)))*EXP(-(LN(2)/$D$65+0.04)*X245)*EXP(-(LN(2)/$D$65+0.1)*Y245),"-"))),"-")</f>
        <v>-</v>
      </c>
      <c r="AC245" s="224">
        <f t="shared" si="226"/>
        <v>145</v>
      </c>
      <c r="AD245" s="223" t="str">
        <f t="shared" si="186"/>
        <v>-</v>
      </c>
      <c r="AE245" s="224" t="str">
        <f t="shared" si="213"/>
        <v>-</v>
      </c>
      <c r="AF245" s="224" t="str">
        <f t="shared" si="187"/>
        <v>-</v>
      </c>
      <c r="AG245" s="224" t="str">
        <f t="shared" si="188"/>
        <v>-</v>
      </c>
      <c r="AH245" s="272">
        <f t="shared" si="214"/>
        <v>0.1</v>
      </c>
      <c r="AI245" s="271" t="str">
        <f>IFERROR(IF(AD244=1,AI$100*EXP(-(LN(2)/$D$65+0.04)*AF244)*EXP(-(LN(2)/$D$65+0.1)*AG244),IF(AD244=2,AI$100*EXP(-(LN(2)/$D$65+0.04)*(VLOOKUP(($F$16-$F$15)-1,AC$99:AG244,4,FALSE)))*EXP(-(LN(2)/$D$65+0.1)*(VLOOKUP(($F$16-$F$15)-1,AC$99:AG244,5,FALSE)))*EXP(-(LN(2)/$D$65+0.04)*AF244)*EXP(-(LN(2)/$D$65+0.1)*AG244),IF(AD244=3,AI$100*EXP(-(LN(2)/$D$65+0.04)*(VLOOKUP(($F$16-$F$15)-1,AC$99:AG244,4,FALSE)))*EXP(-(LN(2)/$D$65+0.1)*(VLOOKUP(($F$16-$F$15)-1,AC$99:AG244,5,FALSE)))*EXP(-(LN(2)/$D$65+0.04)*(VLOOKUP(($F$16-$F$15)*2-1,AC$99:AG244,4,FALSE)))*EXP(-(LN(2)/$D$65+0.1)*(VLOOKUP(($F$16-$F$15)*2-1,AC$99:AG244,5,FALSE)))*EXP(-(LN(2)/$D$65+0.04)*AF244)*EXP(-(LN(2)/$D$65+0.1)*AG244),"-"))),"-")</f>
        <v>-</v>
      </c>
      <c r="AJ245" s="271" t="str">
        <f>IFERROR(IF(AD245=1,AJ$100*EXP(-(LN(2)/$D$65+0.04)*AF245)*EXP(-(LN(2)/$D$65+0.1)*AG245),IF(AD245=2,AJ$100*EXP(-(LN(2)/$D$65+0.04)*(VLOOKUP(($F$16-$F$15)-1,AC$100:AG245,4,FALSE)))*EXP(-(LN(2)/$D$65+0.1)*(VLOOKUP(($F$16-$F$15)-1,AC$100:AG245,5,FALSE)))*EXP(-(LN(2)/$D$65+0.04)*AF245)*EXP(-(LN(2)/$D$65+0.1)*AG245),IF(AD245=3,AJ$100*EXP(-(LN(2)/$D$65+0.04)*(VLOOKUP(($F$16-$F$15)-1,AC$100:AG245,4,FALSE)))*EXP(-(LN(2)/$D$65+0.1)*(VLOOKUP(($F$16-$F$15)-1,AC$100:AG245,5,FALSE)))*EXP(-(LN(2)/$D$65+0.04)*(VLOOKUP(($F$16-$F$15)*2-1,AC$100:AG245,4,FALSE)))*EXP(-(LN(2)/$D$65+0.1)*(VLOOKUP(($F$16-$F$15)*2-1,AC$100:AG245,5,FALSE)))*EXP(-(LN(2)/$D$65+0.04)*AF245)*EXP(-(LN(2)/$D$65+0.1)*AG245),"-"))),"-")</f>
        <v>-</v>
      </c>
      <c r="AK245" s="227">
        <f t="shared" si="215"/>
        <v>145</v>
      </c>
      <c r="AL245" s="226" t="str">
        <f t="shared" si="189"/>
        <v>-</v>
      </c>
      <c r="AM245" s="227" t="str">
        <f t="shared" si="216"/>
        <v>-</v>
      </c>
      <c r="AN245" s="227" t="str">
        <f t="shared" si="217"/>
        <v>-</v>
      </c>
      <c r="AO245" s="227" t="str">
        <f t="shared" si="190"/>
        <v>-</v>
      </c>
      <c r="AP245" s="273">
        <f t="shared" si="218"/>
        <v>0.1</v>
      </c>
      <c r="AQ245" s="271" t="str">
        <f>IFERROR(IF(AL244=1,AQ$100*EXP(-(LN(2)/$D$65+0.04)*AN244)*EXP(-(LN(2)/$D$65+0.1)*AO244),IF(AL244=2,AQ$100*EXP(-(LN(2)/$D$65+0.04)*(VLOOKUP(($F$16-$F$15)-1,AK$99:AO244,4,FALSE)))*EXP(-(LN(2)/$D$65+0.1)*(VLOOKUP(($F$16-$F$15)-1,AK$99:AO244,5,FALSE)))*EXP(-(LN(2)/$D$65+0.04)*AN244)*EXP(-(LN(2)/$D$65+0.1)*AO244),IF(AL244=3,AQ$100*EXP(-(LN(2)/$D$65+0.04)*(VLOOKUP(($F$16-$F$15)-1,AK$99:AO244,4,FALSE)))*EXP(-(LN(2)/$D$65+0.1)*(VLOOKUP(($F$16-$F$15)-1,AK$99:AO244,5,FALSE)))*EXP(-(LN(2)/$D$65+0.04)*(VLOOKUP(($F$16-$F$15)*2-1,AK$99:AO244,4,FALSE)))*EXP(-(LN(2)/$D$65+0.1)*(VLOOKUP(($F$16-$F$15)*2-1,AK$99:AO244,5,FALSE)))*EXP(-(LN(2)/$D$65+0.04)*AN244)*EXP(-(LN(2)/$D$65+0.1)*AO244),"-"))),"-")</f>
        <v>-</v>
      </c>
      <c r="AR245" s="271" t="str">
        <f>IFERROR(IF(AL245=1,AR$100*EXP(-(LN(2)/$D$65+0.04)*AN245)*EXP(-(LN(2)/$D$65+0.1)*AO245),IF(AL245=2,AR$100*EXP(-(LN(2)/$D$65+0.04)*(VLOOKUP(($F$16-$F$15)-1,AK$100:AO245,4,FALSE)))*EXP(-(LN(2)/$D$65+0.1)*(VLOOKUP(($F$16-$F$15)-1,AK$100:AO245,5,FALSE)))*EXP(-(LN(2)/$D$65+0.04)*AN245)*EXP(-(LN(2)/$D$65+0.1)*AO245),IF(AL245=3,AR$100*EXP(-(LN(2)/$D$65+0.04)*(VLOOKUP(($F$16-$F$15)-1,AK$100:AO245,4,FALSE)))*EXP(-(LN(2)/$D$65+0.1)*(VLOOKUP(($F$16-$F$15)-1,AK$100:AO245,5,FALSE)))*EXP(-(LN(2)/$D$65+0.04)*(VLOOKUP(($F$16-$F$15)*2-1,AK$100:AO245,4,FALSE)))*EXP(-(LN(2)/$D$65+0.1)*(VLOOKUP(($F$16-$F$15)*2-1,AK$100:AO245,5,FALSE)))*EXP(-(LN(2)/$D$65+0.04)*AN245)*EXP(-(LN(2)/$D$65+0.1)*AO245),"-"))),"-")</f>
        <v>-</v>
      </c>
      <c r="AS245" s="274">
        <f t="shared" si="191"/>
        <v>0</v>
      </c>
      <c r="AT245" s="274">
        <f t="shared" si="192"/>
        <v>0</v>
      </c>
      <c r="AU245" s="274">
        <f t="shared" si="193"/>
        <v>0</v>
      </c>
      <c r="AV245" s="190" t="str">
        <f>IF($B245&lt;$F$22,SUM($T$100:$T245),"")</f>
        <v/>
      </c>
      <c r="AW245" s="190" t="str">
        <f t="shared" si="194"/>
        <v>-</v>
      </c>
      <c r="AX245" s="190" t="str">
        <f t="shared" si="219"/>
        <v/>
      </c>
      <c r="AY245"/>
      <c r="AZ245" s="190" t="str">
        <f ca="1">IF(ISNUMBER(OFFSET(AV245,-$F$21,0)),SUM(OFFSET($T$100,$F$21,0):$T245),"")</f>
        <v/>
      </c>
      <c r="BA245" s="190" t="str">
        <f t="shared" ca="1" si="195"/>
        <v/>
      </c>
      <c r="BB245" s="190" t="str">
        <f t="shared" ca="1" si="148"/>
        <v/>
      </c>
      <c r="BC245" s="190"/>
      <c r="BD245" s="190" t="str">
        <f ca="1">IFERROR(IF(OR(ISNUMBER(I),ISNUMBER($F$14)),IF(AND($B245&gt;=($F$16-$F$15),$B245&lt;$F$22+($F$16-$F$15)),SUM(OFFSET($T$100,($F$16-$F$15),0):$T245),""),""),"")</f>
        <v/>
      </c>
      <c r="BE245" s="190" t="str">
        <f t="shared" ca="1" si="220"/>
        <v/>
      </c>
      <c r="BF245" s="190" t="str">
        <f t="shared" ca="1" si="221"/>
        <v/>
      </c>
      <c r="BG245"/>
      <c r="BH245" s="190" t="str">
        <f ca="1">IF(ISNUMBER(OFFSET(BD245,-$F$21,0)),SUM(OFFSET($T$100,($F$16-$F$15+$F$21),0):$T245),"")</f>
        <v/>
      </c>
      <c r="BI245" s="190" t="str">
        <f t="shared" ca="1" si="196"/>
        <v/>
      </c>
      <c r="BJ245" s="190" t="str">
        <f t="shared" ca="1" si="222"/>
        <v/>
      </c>
      <c r="BK245" s="190"/>
      <c r="BL245" s="190" t="str">
        <f ca="1">IFERROR(IF(OR(ISNUMBER(I),ISNUMBER($F$14)),IF(AND($B245&gt;=($F$17-$F$15),$B245&lt;$F$22+($F$17-$F$15)),SUM(OFFSET($T$100,($F$17-$F$15),0):$T245),""),""),"")</f>
        <v/>
      </c>
      <c r="BM245" s="190" t="str">
        <f t="shared" ca="1" si="197"/>
        <v/>
      </c>
      <c r="BN245" s="190" t="str">
        <f t="shared" ca="1" si="223"/>
        <v/>
      </c>
      <c r="BO245"/>
      <c r="BP245" s="190" t="str">
        <f ca="1">IF(ISNUMBER(OFFSET(BL245,-$F$21,0)),SUM(OFFSET($T$100,($F$17-$F$15+$F$21),0):$T245),"")</f>
        <v/>
      </c>
      <c r="BQ245" s="190" t="str">
        <f t="shared" ca="1" si="198"/>
        <v/>
      </c>
      <c r="BR245" s="190" t="str">
        <f t="shared" ca="1" si="224"/>
        <v/>
      </c>
      <c r="BS245" s="190"/>
      <c r="BT245"/>
      <c r="BU245"/>
      <c r="BV245"/>
      <c r="BY245" s="99"/>
      <c r="BZ245" s="99"/>
      <c r="CA245" s="280" t="str">
        <f t="shared" si="199"/>
        <v/>
      </c>
      <c r="CB245" s="71" t="str">
        <f t="shared" si="200"/>
        <v>-</v>
      </c>
      <c r="CC245" s="33"/>
      <c r="CD245" s="261" t="str">
        <f t="shared" si="201"/>
        <v/>
      </c>
      <c r="CE245" s="280" t="str">
        <f t="shared" si="202"/>
        <v/>
      </c>
      <c r="CF245" s="71" t="str">
        <f t="shared" ca="1" si="203"/>
        <v/>
      </c>
      <c r="CG245" s="33" t="str">
        <f t="shared" si="204"/>
        <v/>
      </c>
      <c r="CH245" s="261" t="str">
        <f t="shared" ca="1" si="205"/>
        <v/>
      </c>
    </row>
    <row r="246" spans="2:86" ht="13.5" customHeight="1" x14ac:dyDescent="0.2">
      <c r="B246" s="262">
        <v>146</v>
      </c>
      <c r="C246" s="237" t="str">
        <f t="shared" si="169"/>
        <v/>
      </c>
      <c r="D246" s="237" t="str">
        <f t="shared" si="225"/>
        <v/>
      </c>
      <c r="E246" s="263" t="str">
        <f t="shared" si="206"/>
        <v/>
      </c>
      <c r="F246" s="264" t="str">
        <f t="shared" si="207"/>
        <v/>
      </c>
      <c r="G246" s="264" t="str">
        <f t="shared" si="208"/>
        <v/>
      </c>
      <c r="H246" s="240" t="str">
        <f t="shared" si="170"/>
        <v/>
      </c>
      <c r="I246" s="265" t="str">
        <f t="shared" si="171"/>
        <v/>
      </c>
      <c r="J246" s="265" t="str">
        <f t="shared" si="172"/>
        <v/>
      </c>
      <c r="K246" s="240" t="str">
        <f t="shared" si="173"/>
        <v/>
      </c>
      <c r="L246" s="265" t="str">
        <f t="shared" si="174"/>
        <v/>
      </c>
      <c r="M246" s="265" t="str">
        <f t="shared" si="175"/>
        <v/>
      </c>
      <c r="N246" s="240" t="str">
        <f t="shared" si="176"/>
        <v>-</v>
      </c>
      <c r="O246" s="265" t="str">
        <f t="shared" si="177"/>
        <v>-</v>
      </c>
      <c r="P246" s="265" t="str">
        <f t="shared" si="178"/>
        <v>-</v>
      </c>
      <c r="Q246" s="266" t="str">
        <f t="shared" si="179"/>
        <v>-</v>
      </c>
      <c r="R246" s="267" t="str">
        <f t="shared" si="180"/>
        <v>-</v>
      </c>
      <c r="S246" s="268" t="str">
        <f t="shared" si="181"/>
        <v>-</v>
      </c>
      <c r="T246" s="269" t="str">
        <f t="shared" si="182"/>
        <v/>
      </c>
      <c r="U246" s="221">
        <f t="shared" si="183"/>
        <v>146</v>
      </c>
      <c r="V246" s="220" t="str">
        <f t="shared" si="209"/>
        <v>-</v>
      </c>
      <c r="W246" s="221" t="str">
        <f t="shared" si="210"/>
        <v>-</v>
      </c>
      <c r="X246" s="221" t="str">
        <f t="shared" si="184"/>
        <v>-</v>
      </c>
      <c r="Y246" s="221" t="str">
        <f t="shared" si="185"/>
        <v>-</v>
      </c>
      <c r="Z246" s="270">
        <f t="shared" si="211"/>
        <v>0.1</v>
      </c>
      <c r="AA246" s="271" t="str">
        <f>IFERROR(IF(V245=1,AA$100*EXP(-(LN(2)/$D$65+0.04)*X245)*EXP(-(LN(2)/$D$65+0.1)*Y245),IF(V245=2,AA$100*EXP(-(LN(2)/$D$65+0.04)*(VLOOKUP(($F$16-$F$15)-1,U$99:Y245,4,FALSE)))*EXP(-(LN(2)/$D$65+0.1)*(VLOOKUP(($F$16-$F$15)-1,U$99:Y245,5,FALSE)))*EXP(-(LN(2)/$D$65+0.04)*X245)*EXP(-(LN(2)/$D$65+0.1)*Y245),IF(V245=3,AA$100*EXP(-(LN(2)/$D$65+0.04)*(VLOOKUP(($F$16-$F$15)-1,U$99:Y245,4,FALSE)))*EXP(-(LN(2)/$D$65+0.1)*(VLOOKUP(($F$16-$F$15)-1,U$99:Y245,5,FALSE)))*EXP(-(LN(2)/$D$65+0.04)*(VLOOKUP(($F$16-$F$15)*2-1,U$99:Y245,4,FALSE)))*EXP(-(LN(2)/$D$65+0.1)*(VLOOKUP(($F$16-$F$15)*2-1,U$99:Y245,5,FALSE)))*EXP(-(LN(2)/$D$65+0.04)*X245)*EXP(-(LN(2)/$D$65+0.1)*Y245),"-"))),"-")</f>
        <v>-</v>
      </c>
      <c r="AB246" s="271" t="str">
        <f>IFERROR(IF(V246=1,AB$100*EXP(-(LN(2)/$D$65+0.04)*X246)*EXP(-(LN(2)/$D$65+0.1)*Y246),IF(V246=2,AB$100*EXP(-(LN(2)/$D$65+0.04)*(VLOOKUP(($F$16-$F$15)-1,U$100:Y246,4,FALSE)))*EXP(-(LN(2)/$D$65+0.1)*(VLOOKUP(($F$16-$F$15)-1,U$100:Y246,5,FALSE)))*EXP(-(LN(2)/$D$65+0.04)*X246)*EXP(-(LN(2)/$D$65+0.1)*Y246),IF(V246=3,AB$100*EXP(-(LN(2)/$D$65+0.04)*(VLOOKUP(($F$16-$F$15)-1,U$100:Y246,4,FALSE)))*EXP(-(LN(2)/$D$65+0.1)*(VLOOKUP(($F$16-$F$15)-1,U$100:Y246,5,FALSE)))*EXP(-(LN(2)/$D$65+0.04)*(VLOOKUP(($F$16-$F$15)*2-1,U$100:Y246,4,FALSE)))*EXP(-(LN(2)/$D$65+0.1)*(VLOOKUP(($F$16-$F$15)*2-1,U$100:Y246,5,FALSE)))*EXP(-(LN(2)/$D$65+0.04)*X246)*EXP(-(LN(2)/$D$65+0.1)*Y246),"-"))),"-")</f>
        <v>-</v>
      </c>
      <c r="AC246" s="224">
        <f t="shared" si="226"/>
        <v>146</v>
      </c>
      <c r="AD246" s="223" t="str">
        <f t="shared" si="186"/>
        <v>-</v>
      </c>
      <c r="AE246" s="224" t="str">
        <f t="shared" si="213"/>
        <v>-</v>
      </c>
      <c r="AF246" s="224" t="str">
        <f t="shared" si="187"/>
        <v>-</v>
      </c>
      <c r="AG246" s="224" t="str">
        <f t="shared" si="188"/>
        <v>-</v>
      </c>
      <c r="AH246" s="272">
        <f t="shared" si="214"/>
        <v>0.1</v>
      </c>
      <c r="AI246" s="271" t="str">
        <f>IFERROR(IF(AD245=1,AI$100*EXP(-(LN(2)/$D$65+0.04)*AF245)*EXP(-(LN(2)/$D$65+0.1)*AG245),IF(AD245=2,AI$100*EXP(-(LN(2)/$D$65+0.04)*(VLOOKUP(($F$16-$F$15)-1,AC$99:AG245,4,FALSE)))*EXP(-(LN(2)/$D$65+0.1)*(VLOOKUP(($F$16-$F$15)-1,AC$99:AG245,5,FALSE)))*EXP(-(LN(2)/$D$65+0.04)*AF245)*EXP(-(LN(2)/$D$65+0.1)*AG245),IF(AD245=3,AI$100*EXP(-(LN(2)/$D$65+0.04)*(VLOOKUP(($F$16-$F$15)-1,AC$99:AG245,4,FALSE)))*EXP(-(LN(2)/$D$65+0.1)*(VLOOKUP(($F$16-$F$15)-1,AC$99:AG245,5,FALSE)))*EXP(-(LN(2)/$D$65+0.04)*(VLOOKUP(($F$16-$F$15)*2-1,AC$99:AG245,4,FALSE)))*EXP(-(LN(2)/$D$65+0.1)*(VLOOKUP(($F$16-$F$15)*2-1,AC$99:AG245,5,FALSE)))*EXP(-(LN(2)/$D$65+0.04)*AF245)*EXP(-(LN(2)/$D$65+0.1)*AG245),"-"))),"-")</f>
        <v>-</v>
      </c>
      <c r="AJ246" s="271" t="str">
        <f>IFERROR(IF(AD246=1,AJ$100*EXP(-(LN(2)/$D$65+0.04)*AF246)*EXP(-(LN(2)/$D$65+0.1)*AG246),IF(AD246=2,AJ$100*EXP(-(LN(2)/$D$65+0.04)*(VLOOKUP(($F$16-$F$15)-1,AC$100:AG246,4,FALSE)))*EXP(-(LN(2)/$D$65+0.1)*(VLOOKUP(($F$16-$F$15)-1,AC$100:AG246,5,FALSE)))*EXP(-(LN(2)/$D$65+0.04)*AF246)*EXP(-(LN(2)/$D$65+0.1)*AG246),IF(AD246=3,AJ$100*EXP(-(LN(2)/$D$65+0.04)*(VLOOKUP(($F$16-$F$15)-1,AC$100:AG246,4,FALSE)))*EXP(-(LN(2)/$D$65+0.1)*(VLOOKUP(($F$16-$F$15)-1,AC$100:AG246,5,FALSE)))*EXP(-(LN(2)/$D$65+0.04)*(VLOOKUP(($F$16-$F$15)*2-1,AC$100:AG246,4,FALSE)))*EXP(-(LN(2)/$D$65+0.1)*(VLOOKUP(($F$16-$F$15)*2-1,AC$100:AG246,5,FALSE)))*EXP(-(LN(2)/$D$65+0.04)*AF246)*EXP(-(LN(2)/$D$65+0.1)*AG246),"-"))),"-")</f>
        <v>-</v>
      </c>
      <c r="AK246" s="227">
        <f t="shared" si="215"/>
        <v>146</v>
      </c>
      <c r="AL246" s="226" t="str">
        <f t="shared" si="189"/>
        <v>-</v>
      </c>
      <c r="AM246" s="227" t="str">
        <f t="shared" si="216"/>
        <v>-</v>
      </c>
      <c r="AN246" s="227" t="str">
        <f t="shared" si="217"/>
        <v>-</v>
      </c>
      <c r="AO246" s="227" t="str">
        <f t="shared" si="190"/>
        <v>-</v>
      </c>
      <c r="AP246" s="273">
        <f t="shared" si="218"/>
        <v>0.1</v>
      </c>
      <c r="AQ246" s="271" t="str">
        <f>IFERROR(IF(AL245=1,AQ$100*EXP(-(LN(2)/$D$65+0.04)*AN245)*EXP(-(LN(2)/$D$65+0.1)*AO245),IF(AL245=2,AQ$100*EXP(-(LN(2)/$D$65+0.04)*(VLOOKUP(($F$16-$F$15)-1,AK$99:AO245,4,FALSE)))*EXP(-(LN(2)/$D$65+0.1)*(VLOOKUP(($F$16-$F$15)-1,AK$99:AO245,5,FALSE)))*EXP(-(LN(2)/$D$65+0.04)*AN245)*EXP(-(LN(2)/$D$65+0.1)*AO245),IF(AL245=3,AQ$100*EXP(-(LN(2)/$D$65+0.04)*(VLOOKUP(($F$16-$F$15)-1,AK$99:AO245,4,FALSE)))*EXP(-(LN(2)/$D$65+0.1)*(VLOOKUP(($F$16-$F$15)-1,AK$99:AO245,5,FALSE)))*EXP(-(LN(2)/$D$65+0.04)*(VLOOKUP(($F$16-$F$15)*2-1,AK$99:AO245,4,FALSE)))*EXP(-(LN(2)/$D$65+0.1)*(VLOOKUP(($F$16-$F$15)*2-1,AK$99:AO245,5,FALSE)))*EXP(-(LN(2)/$D$65+0.04)*AN245)*EXP(-(LN(2)/$D$65+0.1)*AO245),"-"))),"-")</f>
        <v>-</v>
      </c>
      <c r="AR246" s="271" t="str">
        <f>IFERROR(IF(AL246=1,AR$100*EXP(-(LN(2)/$D$65+0.04)*AN246)*EXP(-(LN(2)/$D$65+0.1)*AO246),IF(AL246=2,AR$100*EXP(-(LN(2)/$D$65+0.04)*(VLOOKUP(($F$16-$F$15)-1,AK$100:AO246,4,FALSE)))*EXP(-(LN(2)/$D$65+0.1)*(VLOOKUP(($F$16-$F$15)-1,AK$100:AO246,5,FALSE)))*EXP(-(LN(2)/$D$65+0.04)*AN246)*EXP(-(LN(2)/$D$65+0.1)*AO246),IF(AL246=3,AR$100*EXP(-(LN(2)/$D$65+0.04)*(VLOOKUP(($F$16-$F$15)-1,AK$100:AO246,4,FALSE)))*EXP(-(LN(2)/$D$65+0.1)*(VLOOKUP(($F$16-$F$15)-1,AK$100:AO246,5,FALSE)))*EXP(-(LN(2)/$D$65+0.04)*(VLOOKUP(($F$16-$F$15)*2-1,AK$100:AO246,4,FALSE)))*EXP(-(LN(2)/$D$65+0.1)*(VLOOKUP(($F$16-$F$15)*2-1,AK$100:AO246,5,FALSE)))*EXP(-(LN(2)/$D$65+0.04)*AN246)*EXP(-(LN(2)/$D$65+0.1)*AO246),"-"))),"-")</f>
        <v>-</v>
      </c>
      <c r="AS246" s="274">
        <f t="shared" si="191"/>
        <v>0</v>
      </c>
      <c r="AT246" s="274">
        <f t="shared" si="192"/>
        <v>0</v>
      </c>
      <c r="AU246" s="274">
        <f t="shared" si="193"/>
        <v>0</v>
      </c>
      <c r="AV246" s="190" t="str">
        <f>IF($B246&lt;$F$22,SUM($T$100:$T246),"")</f>
        <v/>
      </c>
      <c r="AW246" s="190" t="str">
        <f t="shared" si="194"/>
        <v>-</v>
      </c>
      <c r="AX246" s="190" t="str">
        <f t="shared" si="219"/>
        <v/>
      </c>
      <c r="AY246"/>
      <c r="AZ246" s="190" t="str">
        <f ca="1">IF(ISNUMBER(OFFSET(AV246,-$F$21,0)),SUM(OFFSET($T$100,$F$21,0):$T246),"")</f>
        <v/>
      </c>
      <c r="BA246" s="190" t="str">
        <f t="shared" ca="1" si="195"/>
        <v/>
      </c>
      <c r="BB246" s="190" t="str">
        <f t="shared" ca="1" si="148"/>
        <v/>
      </c>
      <c r="BC246" s="190"/>
      <c r="BD246" s="190" t="str">
        <f ca="1">IFERROR(IF(OR(ISNUMBER(I),ISNUMBER($F$14)),IF(AND($B246&gt;=($F$16-$F$15),$B246&lt;$F$22+($F$16-$F$15)),SUM(OFFSET($T$100,($F$16-$F$15),0):$T246),""),""),"")</f>
        <v/>
      </c>
      <c r="BE246" s="190" t="str">
        <f t="shared" ca="1" si="220"/>
        <v/>
      </c>
      <c r="BF246" s="190" t="str">
        <f t="shared" ca="1" si="221"/>
        <v/>
      </c>
      <c r="BG246"/>
      <c r="BH246" s="190" t="str">
        <f ca="1">IF(ISNUMBER(OFFSET(BD246,-$F$21,0)),SUM(OFFSET($T$100,($F$16-$F$15+$F$21),0):$T246),"")</f>
        <v/>
      </c>
      <c r="BI246" s="190" t="str">
        <f t="shared" ca="1" si="196"/>
        <v/>
      </c>
      <c r="BJ246" s="190" t="str">
        <f t="shared" ca="1" si="222"/>
        <v/>
      </c>
      <c r="BK246" s="190"/>
      <c r="BL246" s="190" t="str">
        <f ca="1">IFERROR(IF(OR(ISNUMBER(I),ISNUMBER($F$14)),IF(AND($B246&gt;=($F$17-$F$15),$B246&lt;$F$22+($F$17-$F$15)),SUM(OFFSET($T$100,($F$17-$F$15),0):$T246),""),""),"")</f>
        <v/>
      </c>
      <c r="BM246" s="190" t="str">
        <f t="shared" ca="1" si="197"/>
        <v/>
      </c>
      <c r="BN246" s="190" t="str">
        <f t="shared" ca="1" si="223"/>
        <v/>
      </c>
      <c r="BO246"/>
      <c r="BP246" s="190" t="str">
        <f ca="1">IF(ISNUMBER(OFFSET(BL246,-$F$21,0)),SUM(OFFSET($T$100,($F$17-$F$15+$F$21),0):$T246),"")</f>
        <v/>
      </c>
      <c r="BQ246" s="190" t="str">
        <f t="shared" ca="1" si="198"/>
        <v/>
      </c>
      <c r="BR246" s="190" t="str">
        <f t="shared" ca="1" si="224"/>
        <v/>
      </c>
      <c r="BS246" s="190"/>
      <c r="BT246"/>
      <c r="BU246"/>
      <c r="BV246"/>
      <c r="BY246" s="99"/>
      <c r="BZ246" s="99"/>
      <c r="CA246" s="280" t="str">
        <f t="shared" si="199"/>
        <v/>
      </c>
      <c r="CB246" s="71" t="str">
        <f t="shared" si="200"/>
        <v>-</v>
      </c>
      <c r="CC246" s="33"/>
      <c r="CD246" s="261" t="str">
        <f t="shared" si="201"/>
        <v/>
      </c>
      <c r="CE246" s="280" t="str">
        <f t="shared" si="202"/>
        <v/>
      </c>
      <c r="CF246" s="71" t="str">
        <f t="shared" ca="1" si="203"/>
        <v/>
      </c>
      <c r="CG246" s="33" t="str">
        <f t="shared" si="204"/>
        <v/>
      </c>
      <c r="CH246" s="261" t="str">
        <f t="shared" ca="1" si="205"/>
        <v/>
      </c>
    </row>
    <row r="247" spans="2:86" ht="13.5" customHeight="1" x14ac:dyDescent="0.2">
      <c r="B247" s="262">
        <v>147</v>
      </c>
      <c r="C247" s="237" t="str">
        <f t="shared" si="169"/>
        <v/>
      </c>
      <c r="D247" s="237" t="str">
        <f t="shared" si="225"/>
        <v/>
      </c>
      <c r="E247" s="263" t="str">
        <f t="shared" si="206"/>
        <v/>
      </c>
      <c r="F247" s="264" t="str">
        <f t="shared" si="207"/>
        <v/>
      </c>
      <c r="G247" s="264" t="str">
        <f t="shared" si="208"/>
        <v/>
      </c>
      <c r="H247" s="240" t="str">
        <f t="shared" si="170"/>
        <v/>
      </c>
      <c r="I247" s="265" t="str">
        <f t="shared" si="171"/>
        <v/>
      </c>
      <c r="J247" s="265" t="str">
        <f t="shared" si="172"/>
        <v/>
      </c>
      <c r="K247" s="240" t="str">
        <f t="shared" si="173"/>
        <v/>
      </c>
      <c r="L247" s="265" t="str">
        <f t="shared" si="174"/>
        <v/>
      </c>
      <c r="M247" s="265" t="str">
        <f t="shared" si="175"/>
        <v/>
      </c>
      <c r="N247" s="240" t="str">
        <f t="shared" si="176"/>
        <v>-</v>
      </c>
      <c r="O247" s="265" t="str">
        <f t="shared" si="177"/>
        <v>-</v>
      </c>
      <c r="P247" s="265" t="str">
        <f t="shared" si="178"/>
        <v>-</v>
      </c>
      <c r="Q247" s="266" t="str">
        <f t="shared" si="179"/>
        <v>-</v>
      </c>
      <c r="R247" s="267" t="str">
        <f t="shared" si="180"/>
        <v>-</v>
      </c>
      <c r="S247" s="268" t="str">
        <f t="shared" si="181"/>
        <v>-</v>
      </c>
      <c r="T247" s="269" t="str">
        <f t="shared" si="182"/>
        <v/>
      </c>
      <c r="U247" s="221">
        <f t="shared" si="183"/>
        <v>147</v>
      </c>
      <c r="V247" s="220" t="str">
        <f t="shared" si="209"/>
        <v>-</v>
      </c>
      <c r="W247" s="221" t="str">
        <f t="shared" si="210"/>
        <v>-</v>
      </c>
      <c r="X247" s="221" t="str">
        <f t="shared" si="184"/>
        <v>-</v>
      </c>
      <c r="Y247" s="221" t="str">
        <f t="shared" si="185"/>
        <v>-</v>
      </c>
      <c r="Z247" s="270">
        <f t="shared" si="211"/>
        <v>0.1</v>
      </c>
      <c r="AA247" s="271" t="str">
        <f>IFERROR(IF(V246=1,AA$100*EXP(-(LN(2)/$D$65+0.04)*X246)*EXP(-(LN(2)/$D$65+0.1)*Y246),IF(V246=2,AA$100*EXP(-(LN(2)/$D$65+0.04)*(VLOOKUP(($F$16-$F$15)-1,U$99:Y246,4,FALSE)))*EXP(-(LN(2)/$D$65+0.1)*(VLOOKUP(($F$16-$F$15)-1,U$99:Y246,5,FALSE)))*EXP(-(LN(2)/$D$65+0.04)*X246)*EXP(-(LN(2)/$D$65+0.1)*Y246),IF(V246=3,AA$100*EXP(-(LN(2)/$D$65+0.04)*(VLOOKUP(($F$16-$F$15)-1,U$99:Y246,4,FALSE)))*EXP(-(LN(2)/$D$65+0.1)*(VLOOKUP(($F$16-$F$15)-1,U$99:Y246,5,FALSE)))*EXP(-(LN(2)/$D$65+0.04)*(VLOOKUP(($F$16-$F$15)*2-1,U$99:Y246,4,FALSE)))*EXP(-(LN(2)/$D$65+0.1)*(VLOOKUP(($F$16-$F$15)*2-1,U$99:Y246,5,FALSE)))*EXP(-(LN(2)/$D$65+0.04)*X246)*EXP(-(LN(2)/$D$65+0.1)*Y246),"-"))),"-")</f>
        <v>-</v>
      </c>
      <c r="AB247" s="271" t="str">
        <f>IFERROR(IF(V247=1,AB$100*EXP(-(LN(2)/$D$65+0.04)*X247)*EXP(-(LN(2)/$D$65+0.1)*Y247),IF(V247=2,AB$100*EXP(-(LN(2)/$D$65+0.04)*(VLOOKUP(($F$16-$F$15)-1,U$100:Y247,4,FALSE)))*EXP(-(LN(2)/$D$65+0.1)*(VLOOKUP(($F$16-$F$15)-1,U$100:Y247,5,FALSE)))*EXP(-(LN(2)/$D$65+0.04)*X247)*EXP(-(LN(2)/$D$65+0.1)*Y247),IF(V247=3,AB$100*EXP(-(LN(2)/$D$65+0.04)*(VLOOKUP(($F$16-$F$15)-1,U$100:Y247,4,FALSE)))*EXP(-(LN(2)/$D$65+0.1)*(VLOOKUP(($F$16-$F$15)-1,U$100:Y247,5,FALSE)))*EXP(-(LN(2)/$D$65+0.04)*(VLOOKUP(($F$16-$F$15)*2-1,U$100:Y247,4,FALSE)))*EXP(-(LN(2)/$D$65+0.1)*(VLOOKUP(($F$16-$F$15)*2-1,U$100:Y247,5,FALSE)))*EXP(-(LN(2)/$D$65+0.04)*X247)*EXP(-(LN(2)/$D$65+0.1)*Y247),"-"))),"-")</f>
        <v>-</v>
      </c>
      <c r="AC247" s="224">
        <f t="shared" si="226"/>
        <v>147</v>
      </c>
      <c r="AD247" s="223" t="str">
        <f t="shared" si="186"/>
        <v>-</v>
      </c>
      <c r="AE247" s="224" t="str">
        <f t="shared" si="213"/>
        <v>-</v>
      </c>
      <c r="AF247" s="224" t="str">
        <f t="shared" si="187"/>
        <v>-</v>
      </c>
      <c r="AG247" s="224" t="str">
        <f t="shared" si="188"/>
        <v>-</v>
      </c>
      <c r="AH247" s="272">
        <f t="shared" si="214"/>
        <v>0.1</v>
      </c>
      <c r="AI247" s="271" t="str">
        <f>IFERROR(IF(AD246=1,AI$100*EXP(-(LN(2)/$D$65+0.04)*AF246)*EXP(-(LN(2)/$D$65+0.1)*AG246),IF(AD246=2,AI$100*EXP(-(LN(2)/$D$65+0.04)*(VLOOKUP(($F$16-$F$15)-1,AC$99:AG246,4,FALSE)))*EXP(-(LN(2)/$D$65+0.1)*(VLOOKUP(($F$16-$F$15)-1,AC$99:AG246,5,FALSE)))*EXP(-(LN(2)/$D$65+0.04)*AF246)*EXP(-(LN(2)/$D$65+0.1)*AG246),IF(AD246=3,AI$100*EXP(-(LN(2)/$D$65+0.04)*(VLOOKUP(($F$16-$F$15)-1,AC$99:AG246,4,FALSE)))*EXP(-(LN(2)/$D$65+0.1)*(VLOOKUP(($F$16-$F$15)-1,AC$99:AG246,5,FALSE)))*EXP(-(LN(2)/$D$65+0.04)*(VLOOKUP(($F$16-$F$15)*2-1,AC$99:AG246,4,FALSE)))*EXP(-(LN(2)/$D$65+0.1)*(VLOOKUP(($F$16-$F$15)*2-1,AC$99:AG246,5,FALSE)))*EXP(-(LN(2)/$D$65+0.04)*AF246)*EXP(-(LN(2)/$D$65+0.1)*AG246),"-"))),"-")</f>
        <v>-</v>
      </c>
      <c r="AJ247" s="271" t="str">
        <f>IFERROR(IF(AD247=1,AJ$100*EXP(-(LN(2)/$D$65+0.04)*AF247)*EXP(-(LN(2)/$D$65+0.1)*AG247),IF(AD247=2,AJ$100*EXP(-(LN(2)/$D$65+0.04)*(VLOOKUP(($F$16-$F$15)-1,AC$100:AG247,4,FALSE)))*EXP(-(LN(2)/$D$65+0.1)*(VLOOKUP(($F$16-$F$15)-1,AC$100:AG247,5,FALSE)))*EXP(-(LN(2)/$D$65+0.04)*AF247)*EXP(-(LN(2)/$D$65+0.1)*AG247),IF(AD247=3,AJ$100*EXP(-(LN(2)/$D$65+0.04)*(VLOOKUP(($F$16-$F$15)-1,AC$100:AG247,4,FALSE)))*EXP(-(LN(2)/$D$65+0.1)*(VLOOKUP(($F$16-$F$15)-1,AC$100:AG247,5,FALSE)))*EXP(-(LN(2)/$D$65+0.04)*(VLOOKUP(($F$16-$F$15)*2-1,AC$100:AG247,4,FALSE)))*EXP(-(LN(2)/$D$65+0.1)*(VLOOKUP(($F$16-$F$15)*2-1,AC$100:AG247,5,FALSE)))*EXP(-(LN(2)/$D$65+0.04)*AF247)*EXP(-(LN(2)/$D$65+0.1)*AG247),"-"))),"-")</f>
        <v>-</v>
      </c>
      <c r="AK247" s="227">
        <f t="shared" si="215"/>
        <v>147</v>
      </c>
      <c r="AL247" s="226" t="str">
        <f t="shared" si="189"/>
        <v>-</v>
      </c>
      <c r="AM247" s="227" t="str">
        <f t="shared" si="216"/>
        <v>-</v>
      </c>
      <c r="AN247" s="227" t="str">
        <f t="shared" si="217"/>
        <v>-</v>
      </c>
      <c r="AO247" s="227" t="str">
        <f t="shared" si="190"/>
        <v>-</v>
      </c>
      <c r="AP247" s="273">
        <f t="shared" si="218"/>
        <v>0.1</v>
      </c>
      <c r="AQ247" s="271" t="str">
        <f>IFERROR(IF(AL246=1,AQ$100*EXP(-(LN(2)/$D$65+0.04)*AN246)*EXP(-(LN(2)/$D$65+0.1)*AO246),IF(AL246=2,AQ$100*EXP(-(LN(2)/$D$65+0.04)*(VLOOKUP(($F$16-$F$15)-1,AK$99:AO246,4,FALSE)))*EXP(-(LN(2)/$D$65+0.1)*(VLOOKUP(($F$16-$F$15)-1,AK$99:AO246,5,FALSE)))*EXP(-(LN(2)/$D$65+0.04)*AN246)*EXP(-(LN(2)/$D$65+0.1)*AO246),IF(AL246=3,AQ$100*EXP(-(LN(2)/$D$65+0.04)*(VLOOKUP(($F$16-$F$15)-1,AK$99:AO246,4,FALSE)))*EXP(-(LN(2)/$D$65+0.1)*(VLOOKUP(($F$16-$F$15)-1,AK$99:AO246,5,FALSE)))*EXP(-(LN(2)/$D$65+0.04)*(VLOOKUP(($F$16-$F$15)*2-1,AK$99:AO246,4,FALSE)))*EXP(-(LN(2)/$D$65+0.1)*(VLOOKUP(($F$16-$F$15)*2-1,AK$99:AO246,5,FALSE)))*EXP(-(LN(2)/$D$65+0.04)*AN246)*EXP(-(LN(2)/$D$65+0.1)*AO246),"-"))),"-")</f>
        <v>-</v>
      </c>
      <c r="AR247" s="271" t="str">
        <f>IFERROR(IF(AL247=1,AR$100*EXP(-(LN(2)/$D$65+0.04)*AN247)*EXP(-(LN(2)/$D$65+0.1)*AO247),IF(AL247=2,AR$100*EXP(-(LN(2)/$D$65+0.04)*(VLOOKUP(($F$16-$F$15)-1,AK$100:AO247,4,FALSE)))*EXP(-(LN(2)/$D$65+0.1)*(VLOOKUP(($F$16-$F$15)-1,AK$100:AO247,5,FALSE)))*EXP(-(LN(2)/$D$65+0.04)*AN247)*EXP(-(LN(2)/$D$65+0.1)*AO247),IF(AL247=3,AR$100*EXP(-(LN(2)/$D$65+0.04)*(VLOOKUP(($F$16-$F$15)-1,AK$100:AO247,4,FALSE)))*EXP(-(LN(2)/$D$65+0.1)*(VLOOKUP(($F$16-$F$15)-1,AK$100:AO247,5,FALSE)))*EXP(-(LN(2)/$D$65+0.04)*(VLOOKUP(($F$16-$F$15)*2-1,AK$100:AO247,4,FALSE)))*EXP(-(LN(2)/$D$65+0.1)*(VLOOKUP(($F$16-$F$15)*2-1,AK$100:AO247,5,FALSE)))*EXP(-(LN(2)/$D$65+0.04)*AN247)*EXP(-(LN(2)/$D$65+0.1)*AO247),"-"))),"-")</f>
        <v>-</v>
      </c>
      <c r="AS247" s="274">
        <f t="shared" si="191"/>
        <v>0</v>
      </c>
      <c r="AT247" s="274">
        <f t="shared" si="192"/>
        <v>0</v>
      </c>
      <c r="AU247" s="274">
        <f t="shared" si="193"/>
        <v>0</v>
      </c>
      <c r="AV247" s="190" t="str">
        <f>IF($B247&lt;$F$22,SUM($T$100:$T247),"")</f>
        <v/>
      </c>
      <c r="AW247" s="190" t="str">
        <f t="shared" si="194"/>
        <v>-</v>
      </c>
      <c r="AX247" s="190" t="str">
        <f t="shared" si="219"/>
        <v/>
      </c>
      <c r="AY247"/>
      <c r="AZ247" s="190" t="str">
        <f ca="1">IF(ISNUMBER(OFFSET(AV247,-$F$21,0)),SUM(OFFSET($T$100,$F$21,0):$T247),"")</f>
        <v/>
      </c>
      <c r="BA247" s="190" t="str">
        <f t="shared" ca="1" si="195"/>
        <v/>
      </c>
      <c r="BB247" s="190" t="str">
        <f t="shared" ca="1" si="148"/>
        <v/>
      </c>
      <c r="BC247" s="190"/>
      <c r="BD247" s="190" t="str">
        <f ca="1">IFERROR(IF(OR(ISNUMBER(I),ISNUMBER($F$14)),IF(AND($B247&gt;=($F$16-$F$15),$B247&lt;$F$22+($F$16-$F$15)),SUM(OFFSET($T$100,($F$16-$F$15),0):$T247),""),""),"")</f>
        <v/>
      </c>
      <c r="BE247" s="190" t="str">
        <f t="shared" ca="1" si="220"/>
        <v/>
      </c>
      <c r="BF247" s="190" t="str">
        <f t="shared" ca="1" si="221"/>
        <v/>
      </c>
      <c r="BG247"/>
      <c r="BH247" s="190" t="str">
        <f ca="1">IF(ISNUMBER(OFFSET(BD247,-$F$21,0)),SUM(OFFSET($T$100,($F$16-$F$15+$F$21),0):$T247),"")</f>
        <v/>
      </c>
      <c r="BI247" s="190" t="str">
        <f t="shared" ca="1" si="196"/>
        <v/>
      </c>
      <c r="BJ247" s="190" t="str">
        <f t="shared" ca="1" si="222"/>
        <v/>
      </c>
      <c r="BK247" s="190"/>
      <c r="BL247" s="190" t="str">
        <f ca="1">IFERROR(IF(OR(ISNUMBER(I),ISNUMBER($F$14)),IF(AND($B247&gt;=($F$17-$F$15),$B247&lt;$F$22+($F$17-$F$15)),SUM(OFFSET($T$100,($F$17-$F$15),0):$T247),""),""),"")</f>
        <v/>
      </c>
      <c r="BM247" s="190" t="str">
        <f t="shared" ca="1" si="197"/>
        <v/>
      </c>
      <c r="BN247" s="190" t="str">
        <f t="shared" ca="1" si="223"/>
        <v/>
      </c>
      <c r="BO247"/>
      <c r="BP247" s="190" t="str">
        <f ca="1">IF(ISNUMBER(OFFSET(BL247,-$F$21,0)),SUM(OFFSET($T$100,($F$17-$F$15+$F$21),0):$T247),"")</f>
        <v/>
      </c>
      <c r="BQ247" s="190" t="str">
        <f t="shared" ca="1" si="198"/>
        <v/>
      </c>
      <c r="BR247" s="190" t="str">
        <f t="shared" ca="1" si="224"/>
        <v/>
      </c>
      <c r="BS247" s="190"/>
      <c r="BT247"/>
      <c r="BU247"/>
      <c r="BV247"/>
      <c r="BY247" s="99"/>
      <c r="BZ247" s="99"/>
      <c r="CA247" s="280" t="str">
        <f t="shared" si="199"/>
        <v/>
      </c>
      <c r="CB247" s="71" t="str">
        <f t="shared" si="200"/>
        <v>-</v>
      </c>
      <c r="CC247" s="33"/>
      <c r="CD247" s="261" t="str">
        <f t="shared" si="201"/>
        <v/>
      </c>
      <c r="CE247" s="280" t="str">
        <f t="shared" si="202"/>
        <v/>
      </c>
      <c r="CF247" s="71" t="str">
        <f t="shared" ca="1" si="203"/>
        <v/>
      </c>
      <c r="CG247" s="33" t="str">
        <f t="shared" si="204"/>
        <v/>
      </c>
      <c r="CH247" s="261" t="str">
        <f t="shared" ca="1" si="205"/>
        <v/>
      </c>
    </row>
    <row r="248" spans="2:86" ht="13.5" customHeight="1" x14ac:dyDescent="0.2">
      <c r="B248" s="262">
        <v>148</v>
      </c>
      <c r="C248" s="237" t="str">
        <f t="shared" si="169"/>
        <v/>
      </c>
      <c r="D248" s="237" t="str">
        <f t="shared" si="225"/>
        <v/>
      </c>
      <c r="E248" s="263" t="str">
        <f t="shared" si="206"/>
        <v/>
      </c>
      <c r="F248" s="264" t="str">
        <f t="shared" si="207"/>
        <v/>
      </c>
      <c r="G248" s="264" t="str">
        <f t="shared" si="208"/>
        <v/>
      </c>
      <c r="H248" s="240" t="str">
        <f t="shared" si="170"/>
        <v/>
      </c>
      <c r="I248" s="265" t="str">
        <f t="shared" si="171"/>
        <v/>
      </c>
      <c r="J248" s="265" t="str">
        <f t="shared" si="172"/>
        <v/>
      </c>
      <c r="K248" s="240" t="str">
        <f t="shared" si="173"/>
        <v/>
      </c>
      <c r="L248" s="265" t="str">
        <f t="shared" si="174"/>
        <v/>
      </c>
      <c r="M248" s="265" t="str">
        <f t="shared" si="175"/>
        <v/>
      </c>
      <c r="N248" s="240" t="str">
        <f t="shared" si="176"/>
        <v>-</v>
      </c>
      <c r="O248" s="265" t="str">
        <f t="shared" si="177"/>
        <v>-</v>
      </c>
      <c r="P248" s="265" t="str">
        <f t="shared" si="178"/>
        <v>-</v>
      </c>
      <c r="Q248" s="266" t="str">
        <f t="shared" si="179"/>
        <v>-</v>
      </c>
      <c r="R248" s="267" t="str">
        <f t="shared" si="180"/>
        <v>-</v>
      </c>
      <c r="S248" s="268" t="str">
        <f t="shared" si="181"/>
        <v>-</v>
      </c>
      <c r="T248" s="269" t="str">
        <f t="shared" si="182"/>
        <v/>
      </c>
      <c r="U248" s="221">
        <f t="shared" si="183"/>
        <v>148</v>
      </c>
      <c r="V248" s="220" t="str">
        <f t="shared" si="209"/>
        <v>-</v>
      </c>
      <c r="W248" s="221" t="str">
        <f t="shared" si="210"/>
        <v>-</v>
      </c>
      <c r="X248" s="221" t="str">
        <f t="shared" si="184"/>
        <v>-</v>
      </c>
      <c r="Y248" s="221" t="str">
        <f t="shared" si="185"/>
        <v>-</v>
      </c>
      <c r="Z248" s="270">
        <f t="shared" si="211"/>
        <v>0.1</v>
      </c>
      <c r="AA248" s="271" t="str">
        <f>IFERROR(IF(V247=1,AA$100*EXP(-(LN(2)/$D$65+0.04)*X247)*EXP(-(LN(2)/$D$65+0.1)*Y247),IF(V247=2,AA$100*EXP(-(LN(2)/$D$65+0.04)*(VLOOKUP(($F$16-$F$15)-1,U$99:Y247,4,FALSE)))*EXP(-(LN(2)/$D$65+0.1)*(VLOOKUP(($F$16-$F$15)-1,U$99:Y247,5,FALSE)))*EXP(-(LN(2)/$D$65+0.04)*X247)*EXP(-(LN(2)/$D$65+0.1)*Y247),IF(V247=3,AA$100*EXP(-(LN(2)/$D$65+0.04)*(VLOOKUP(($F$16-$F$15)-1,U$99:Y247,4,FALSE)))*EXP(-(LN(2)/$D$65+0.1)*(VLOOKUP(($F$16-$F$15)-1,U$99:Y247,5,FALSE)))*EXP(-(LN(2)/$D$65+0.04)*(VLOOKUP(($F$16-$F$15)*2-1,U$99:Y247,4,FALSE)))*EXP(-(LN(2)/$D$65+0.1)*(VLOOKUP(($F$16-$F$15)*2-1,U$99:Y247,5,FALSE)))*EXP(-(LN(2)/$D$65+0.04)*X247)*EXP(-(LN(2)/$D$65+0.1)*Y247),"-"))),"-")</f>
        <v>-</v>
      </c>
      <c r="AB248" s="271" t="str">
        <f>IFERROR(IF(V248=1,AB$100*EXP(-(LN(2)/$D$65+0.04)*X248)*EXP(-(LN(2)/$D$65+0.1)*Y248),IF(V248=2,AB$100*EXP(-(LN(2)/$D$65+0.04)*(VLOOKUP(($F$16-$F$15)-1,U$100:Y248,4,FALSE)))*EXP(-(LN(2)/$D$65+0.1)*(VLOOKUP(($F$16-$F$15)-1,U$100:Y248,5,FALSE)))*EXP(-(LN(2)/$D$65+0.04)*X248)*EXP(-(LN(2)/$D$65+0.1)*Y248),IF(V248=3,AB$100*EXP(-(LN(2)/$D$65+0.04)*(VLOOKUP(($F$16-$F$15)-1,U$100:Y248,4,FALSE)))*EXP(-(LN(2)/$D$65+0.1)*(VLOOKUP(($F$16-$F$15)-1,U$100:Y248,5,FALSE)))*EXP(-(LN(2)/$D$65+0.04)*(VLOOKUP(($F$16-$F$15)*2-1,U$100:Y248,4,FALSE)))*EXP(-(LN(2)/$D$65+0.1)*(VLOOKUP(($F$16-$F$15)*2-1,U$100:Y248,5,FALSE)))*EXP(-(LN(2)/$D$65+0.04)*X248)*EXP(-(LN(2)/$D$65+0.1)*Y248),"-"))),"-")</f>
        <v>-</v>
      </c>
      <c r="AC248" s="224">
        <f t="shared" si="226"/>
        <v>148</v>
      </c>
      <c r="AD248" s="223" t="str">
        <f t="shared" si="186"/>
        <v>-</v>
      </c>
      <c r="AE248" s="224" t="str">
        <f t="shared" si="213"/>
        <v>-</v>
      </c>
      <c r="AF248" s="224" t="str">
        <f t="shared" si="187"/>
        <v>-</v>
      </c>
      <c r="AG248" s="224" t="str">
        <f t="shared" si="188"/>
        <v>-</v>
      </c>
      <c r="AH248" s="272">
        <f t="shared" si="214"/>
        <v>0.1</v>
      </c>
      <c r="AI248" s="271" t="str">
        <f>IFERROR(IF(AD247=1,AI$100*EXP(-(LN(2)/$D$65+0.04)*AF247)*EXP(-(LN(2)/$D$65+0.1)*AG247),IF(AD247=2,AI$100*EXP(-(LN(2)/$D$65+0.04)*(VLOOKUP(($F$16-$F$15)-1,AC$99:AG247,4,FALSE)))*EXP(-(LN(2)/$D$65+0.1)*(VLOOKUP(($F$16-$F$15)-1,AC$99:AG247,5,FALSE)))*EXP(-(LN(2)/$D$65+0.04)*AF247)*EXP(-(LN(2)/$D$65+0.1)*AG247),IF(AD247=3,AI$100*EXP(-(LN(2)/$D$65+0.04)*(VLOOKUP(($F$16-$F$15)-1,AC$99:AG247,4,FALSE)))*EXP(-(LN(2)/$D$65+0.1)*(VLOOKUP(($F$16-$F$15)-1,AC$99:AG247,5,FALSE)))*EXP(-(LN(2)/$D$65+0.04)*(VLOOKUP(($F$16-$F$15)*2-1,AC$99:AG247,4,FALSE)))*EXP(-(LN(2)/$D$65+0.1)*(VLOOKUP(($F$16-$F$15)*2-1,AC$99:AG247,5,FALSE)))*EXP(-(LN(2)/$D$65+0.04)*AF247)*EXP(-(LN(2)/$D$65+0.1)*AG247),"-"))),"-")</f>
        <v>-</v>
      </c>
      <c r="AJ248" s="271" t="str">
        <f>IFERROR(IF(AD248=1,AJ$100*EXP(-(LN(2)/$D$65+0.04)*AF248)*EXP(-(LN(2)/$D$65+0.1)*AG248),IF(AD248=2,AJ$100*EXP(-(LN(2)/$D$65+0.04)*(VLOOKUP(($F$16-$F$15)-1,AC$100:AG248,4,FALSE)))*EXP(-(LN(2)/$D$65+0.1)*(VLOOKUP(($F$16-$F$15)-1,AC$100:AG248,5,FALSE)))*EXP(-(LN(2)/$D$65+0.04)*AF248)*EXP(-(LN(2)/$D$65+0.1)*AG248),IF(AD248=3,AJ$100*EXP(-(LN(2)/$D$65+0.04)*(VLOOKUP(($F$16-$F$15)-1,AC$100:AG248,4,FALSE)))*EXP(-(LN(2)/$D$65+0.1)*(VLOOKUP(($F$16-$F$15)-1,AC$100:AG248,5,FALSE)))*EXP(-(LN(2)/$D$65+0.04)*(VLOOKUP(($F$16-$F$15)*2-1,AC$100:AG248,4,FALSE)))*EXP(-(LN(2)/$D$65+0.1)*(VLOOKUP(($F$16-$F$15)*2-1,AC$100:AG248,5,FALSE)))*EXP(-(LN(2)/$D$65+0.04)*AF248)*EXP(-(LN(2)/$D$65+0.1)*AG248),"-"))),"-")</f>
        <v>-</v>
      </c>
      <c r="AK248" s="227">
        <f t="shared" si="215"/>
        <v>148</v>
      </c>
      <c r="AL248" s="226" t="str">
        <f t="shared" si="189"/>
        <v>-</v>
      </c>
      <c r="AM248" s="227" t="str">
        <f t="shared" si="216"/>
        <v>-</v>
      </c>
      <c r="AN248" s="227" t="str">
        <f t="shared" si="217"/>
        <v>-</v>
      </c>
      <c r="AO248" s="227" t="str">
        <f t="shared" si="190"/>
        <v>-</v>
      </c>
      <c r="AP248" s="273">
        <f t="shared" si="218"/>
        <v>0.1</v>
      </c>
      <c r="AQ248" s="271" t="str">
        <f>IFERROR(IF(AL247=1,AQ$100*EXP(-(LN(2)/$D$65+0.04)*AN247)*EXP(-(LN(2)/$D$65+0.1)*AO247),IF(AL247=2,AQ$100*EXP(-(LN(2)/$D$65+0.04)*(VLOOKUP(($F$16-$F$15)-1,AK$99:AO247,4,FALSE)))*EXP(-(LN(2)/$D$65+0.1)*(VLOOKUP(($F$16-$F$15)-1,AK$99:AO247,5,FALSE)))*EXP(-(LN(2)/$D$65+0.04)*AN247)*EXP(-(LN(2)/$D$65+0.1)*AO247),IF(AL247=3,AQ$100*EXP(-(LN(2)/$D$65+0.04)*(VLOOKUP(($F$16-$F$15)-1,AK$99:AO247,4,FALSE)))*EXP(-(LN(2)/$D$65+0.1)*(VLOOKUP(($F$16-$F$15)-1,AK$99:AO247,5,FALSE)))*EXP(-(LN(2)/$D$65+0.04)*(VLOOKUP(($F$16-$F$15)*2-1,AK$99:AO247,4,FALSE)))*EXP(-(LN(2)/$D$65+0.1)*(VLOOKUP(($F$16-$F$15)*2-1,AK$99:AO247,5,FALSE)))*EXP(-(LN(2)/$D$65+0.04)*AN247)*EXP(-(LN(2)/$D$65+0.1)*AO247),"-"))),"-")</f>
        <v>-</v>
      </c>
      <c r="AR248" s="271" t="str">
        <f>IFERROR(IF(AL248=1,AR$100*EXP(-(LN(2)/$D$65+0.04)*AN248)*EXP(-(LN(2)/$D$65+0.1)*AO248),IF(AL248=2,AR$100*EXP(-(LN(2)/$D$65+0.04)*(VLOOKUP(($F$16-$F$15)-1,AK$100:AO248,4,FALSE)))*EXP(-(LN(2)/$D$65+0.1)*(VLOOKUP(($F$16-$F$15)-1,AK$100:AO248,5,FALSE)))*EXP(-(LN(2)/$D$65+0.04)*AN248)*EXP(-(LN(2)/$D$65+0.1)*AO248),IF(AL248=3,AR$100*EXP(-(LN(2)/$D$65+0.04)*(VLOOKUP(($F$16-$F$15)-1,AK$100:AO248,4,FALSE)))*EXP(-(LN(2)/$D$65+0.1)*(VLOOKUP(($F$16-$F$15)-1,AK$100:AO248,5,FALSE)))*EXP(-(LN(2)/$D$65+0.04)*(VLOOKUP(($F$16-$F$15)*2-1,AK$100:AO248,4,FALSE)))*EXP(-(LN(2)/$D$65+0.1)*(VLOOKUP(($F$16-$F$15)*2-1,AK$100:AO248,5,FALSE)))*EXP(-(LN(2)/$D$65+0.04)*AN248)*EXP(-(LN(2)/$D$65+0.1)*AO248),"-"))),"-")</f>
        <v>-</v>
      </c>
      <c r="AS248" s="274">
        <f t="shared" si="191"/>
        <v>0</v>
      </c>
      <c r="AT248" s="274">
        <f t="shared" si="192"/>
        <v>0</v>
      </c>
      <c r="AU248" s="274">
        <f t="shared" si="193"/>
        <v>0</v>
      </c>
      <c r="AV248" s="190" t="str">
        <f>IF($B248&lt;$F$22,SUM($T$100:$T248),"")</f>
        <v/>
      </c>
      <c r="AW248" s="190" t="str">
        <f t="shared" si="194"/>
        <v>-</v>
      </c>
      <c r="AX248" s="190" t="str">
        <f t="shared" si="219"/>
        <v/>
      </c>
      <c r="AY248"/>
      <c r="AZ248" s="190" t="str">
        <f ca="1">IF(ISNUMBER(OFFSET(AV248,-$F$21,0)),SUM(OFFSET($T$100,$F$21,0):$T248),"")</f>
        <v/>
      </c>
      <c r="BA248" s="190" t="str">
        <f t="shared" ca="1" si="195"/>
        <v/>
      </c>
      <c r="BB248" s="190" t="str">
        <f t="shared" ca="1" si="148"/>
        <v/>
      </c>
      <c r="BC248" s="190"/>
      <c r="BD248" s="190" t="str">
        <f ca="1">IFERROR(IF(OR(ISNUMBER(I),ISNUMBER($F$14)),IF(AND($B248&gt;=($F$16-$F$15),$B248&lt;$F$22+($F$16-$F$15)),SUM(OFFSET($T$100,($F$16-$F$15),0):$T248),""),""),"")</f>
        <v/>
      </c>
      <c r="BE248" s="190" t="str">
        <f t="shared" ca="1" si="220"/>
        <v/>
      </c>
      <c r="BF248" s="190" t="str">
        <f t="shared" ca="1" si="221"/>
        <v/>
      </c>
      <c r="BG248"/>
      <c r="BH248" s="190" t="str">
        <f ca="1">IF(ISNUMBER(OFFSET(BD248,-$F$21,0)),SUM(OFFSET($T$100,($F$16-$F$15+$F$21),0):$T248),"")</f>
        <v/>
      </c>
      <c r="BI248" s="190" t="str">
        <f t="shared" ca="1" si="196"/>
        <v/>
      </c>
      <c r="BJ248" s="190" t="str">
        <f t="shared" ca="1" si="222"/>
        <v/>
      </c>
      <c r="BK248" s="190"/>
      <c r="BL248" s="190" t="str">
        <f ca="1">IFERROR(IF(OR(ISNUMBER(I),ISNUMBER($F$14)),IF(AND($B248&gt;=($F$17-$F$15),$B248&lt;$F$22+($F$17-$F$15)),SUM(OFFSET($T$100,($F$17-$F$15),0):$T248),""),""),"")</f>
        <v/>
      </c>
      <c r="BM248" s="190" t="str">
        <f t="shared" ca="1" si="197"/>
        <v/>
      </c>
      <c r="BN248" s="190" t="str">
        <f t="shared" ca="1" si="223"/>
        <v/>
      </c>
      <c r="BO248"/>
      <c r="BP248" s="190" t="str">
        <f ca="1">IF(ISNUMBER(OFFSET(BL248,-$F$21,0)),SUM(OFFSET($T$100,($F$17-$F$15+$F$21),0):$T248),"")</f>
        <v/>
      </c>
      <c r="BQ248" s="190" t="str">
        <f t="shared" ca="1" si="198"/>
        <v/>
      </c>
      <c r="BR248" s="190" t="str">
        <f t="shared" ca="1" si="224"/>
        <v/>
      </c>
      <c r="BS248" s="190"/>
      <c r="BT248"/>
      <c r="BU248"/>
      <c r="BV248"/>
      <c r="BY248" s="99"/>
      <c r="BZ248" s="99"/>
      <c r="CA248" s="280" t="str">
        <f t="shared" si="199"/>
        <v/>
      </c>
      <c r="CB248" s="71" t="str">
        <f t="shared" si="200"/>
        <v>-</v>
      </c>
      <c r="CC248" s="33"/>
      <c r="CD248" s="261" t="str">
        <f t="shared" si="201"/>
        <v/>
      </c>
      <c r="CE248" s="280" t="str">
        <f t="shared" si="202"/>
        <v/>
      </c>
      <c r="CF248" s="71" t="str">
        <f t="shared" ca="1" si="203"/>
        <v/>
      </c>
      <c r="CG248" s="33" t="str">
        <f t="shared" si="204"/>
        <v/>
      </c>
      <c r="CH248" s="261" t="str">
        <f t="shared" ca="1" si="205"/>
        <v/>
      </c>
    </row>
    <row r="249" spans="2:86" ht="13.5" customHeight="1" x14ac:dyDescent="0.2">
      <c r="B249" s="262">
        <v>149</v>
      </c>
      <c r="C249" s="237" t="str">
        <f t="shared" si="169"/>
        <v/>
      </c>
      <c r="D249" s="237" t="str">
        <f t="shared" si="225"/>
        <v/>
      </c>
      <c r="E249" s="263" t="str">
        <f t="shared" si="206"/>
        <v/>
      </c>
      <c r="F249" s="264" t="str">
        <f t="shared" si="207"/>
        <v/>
      </c>
      <c r="G249" s="264" t="str">
        <f t="shared" si="208"/>
        <v/>
      </c>
      <c r="H249" s="240" t="str">
        <f t="shared" si="170"/>
        <v/>
      </c>
      <c r="I249" s="265" t="str">
        <f t="shared" si="171"/>
        <v/>
      </c>
      <c r="J249" s="265" t="str">
        <f t="shared" si="172"/>
        <v/>
      </c>
      <c r="K249" s="240" t="str">
        <f t="shared" si="173"/>
        <v/>
      </c>
      <c r="L249" s="265" t="str">
        <f t="shared" si="174"/>
        <v/>
      </c>
      <c r="M249" s="265" t="str">
        <f t="shared" si="175"/>
        <v/>
      </c>
      <c r="N249" s="240" t="str">
        <f t="shared" si="176"/>
        <v>-</v>
      </c>
      <c r="O249" s="265" t="str">
        <f t="shared" si="177"/>
        <v>-</v>
      </c>
      <c r="P249" s="265" t="str">
        <f t="shared" si="178"/>
        <v>-</v>
      </c>
      <c r="Q249" s="266" t="str">
        <f t="shared" si="179"/>
        <v>-</v>
      </c>
      <c r="R249" s="267" t="str">
        <f t="shared" si="180"/>
        <v>-</v>
      </c>
      <c r="S249" s="268" t="str">
        <f t="shared" si="181"/>
        <v>-</v>
      </c>
      <c r="T249" s="269" t="str">
        <f t="shared" si="182"/>
        <v/>
      </c>
      <c r="U249" s="221">
        <f t="shared" si="183"/>
        <v>149</v>
      </c>
      <c r="V249" s="220" t="str">
        <f t="shared" si="209"/>
        <v>-</v>
      </c>
      <c r="W249" s="221" t="str">
        <f t="shared" si="210"/>
        <v>-</v>
      </c>
      <c r="X249" s="221" t="str">
        <f t="shared" si="184"/>
        <v>-</v>
      </c>
      <c r="Y249" s="221" t="str">
        <f t="shared" si="185"/>
        <v>-</v>
      </c>
      <c r="Z249" s="270">
        <f t="shared" si="211"/>
        <v>0.1</v>
      </c>
      <c r="AA249" s="271" t="str">
        <f>IFERROR(IF(V248=1,AA$100*EXP(-(LN(2)/$D$65+0.04)*X248)*EXP(-(LN(2)/$D$65+0.1)*Y248),IF(V248=2,AA$100*EXP(-(LN(2)/$D$65+0.04)*(VLOOKUP(($F$16-$F$15)-1,U$99:Y248,4,FALSE)))*EXP(-(LN(2)/$D$65+0.1)*(VLOOKUP(($F$16-$F$15)-1,U$99:Y248,5,FALSE)))*EXP(-(LN(2)/$D$65+0.04)*X248)*EXP(-(LN(2)/$D$65+0.1)*Y248),IF(V248=3,AA$100*EXP(-(LN(2)/$D$65+0.04)*(VLOOKUP(($F$16-$F$15)-1,U$99:Y248,4,FALSE)))*EXP(-(LN(2)/$D$65+0.1)*(VLOOKUP(($F$16-$F$15)-1,U$99:Y248,5,FALSE)))*EXP(-(LN(2)/$D$65+0.04)*(VLOOKUP(($F$16-$F$15)*2-1,U$99:Y248,4,FALSE)))*EXP(-(LN(2)/$D$65+0.1)*(VLOOKUP(($F$16-$F$15)*2-1,U$99:Y248,5,FALSE)))*EXP(-(LN(2)/$D$65+0.04)*X248)*EXP(-(LN(2)/$D$65+0.1)*Y248),"-"))),"-")</f>
        <v>-</v>
      </c>
      <c r="AB249" s="271" t="str">
        <f>IFERROR(IF(V249=1,AB$100*EXP(-(LN(2)/$D$65+0.04)*X249)*EXP(-(LN(2)/$D$65+0.1)*Y249),IF(V249=2,AB$100*EXP(-(LN(2)/$D$65+0.04)*(VLOOKUP(($F$16-$F$15)-1,U$100:Y249,4,FALSE)))*EXP(-(LN(2)/$D$65+0.1)*(VLOOKUP(($F$16-$F$15)-1,U$100:Y249,5,FALSE)))*EXP(-(LN(2)/$D$65+0.04)*X249)*EXP(-(LN(2)/$D$65+0.1)*Y249),IF(V249=3,AB$100*EXP(-(LN(2)/$D$65+0.04)*(VLOOKUP(($F$16-$F$15)-1,U$100:Y249,4,FALSE)))*EXP(-(LN(2)/$D$65+0.1)*(VLOOKUP(($F$16-$F$15)-1,U$100:Y249,5,FALSE)))*EXP(-(LN(2)/$D$65+0.04)*(VLOOKUP(($F$16-$F$15)*2-1,U$100:Y249,4,FALSE)))*EXP(-(LN(2)/$D$65+0.1)*(VLOOKUP(($F$16-$F$15)*2-1,U$100:Y249,5,FALSE)))*EXP(-(LN(2)/$D$65+0.04)*X249)*EXP(-(LN(2)/$D$65+0.1)*Y249),"-"))),"-")</f>
        <v>-</v>
      </c>
      <c r="AC249" s="224">
        <f t="shared" si="226"/>
        <v>149</v>
      </c>
      <c r="AD249" s="223" t="str">
        <f t="shared" si="186"/>
        <v>-</v>
      </c>
      <c r="AE249" s="224" t="str">
        <f t="shared" si="213"/>
        <v>-</v>
      </c>
      <c r="AF249" s="224" t="str">
        <f t="shared" si="187"/>
        <v>-</v>
      </c>
      <c r="AG249" s="224" t="str">
        <f t="shared" si="188"/>
        <v>-</v>
      </c>
      <c r="AH249" s="272">
        <f t="shared" si="214"/>
        <v>0.1</v>
      </c>
      <c r="AI249" s="271" t="str">
        <f>IFERROR(IF(AD248=1,AI$100*EXP(-(LN(2)/$D$65+0.04)*AF248)*EXP(-(LN(2)/$D$65+0.1)*AG248),IF(AD248=2,AI$100*EXP(-(LN(2)/$D$65+0.04)*(VLOOKUP(($F$16-$F$15)-1,AC$99:AG248,4,FALSE)))*EXP(-(LN(2)/$D$65+0.1)*(VLOOKUP(($F$16-$F$15)-1,AC$99:AG248,5,FALSE)))*EXP(-(LN(2)/$D$65+0.04)*AF248)*EXP(-(LN(2)/$D$65+0.1)*AG248),IF(AD248=3,AI$100*EXP(-(LN(2)/$D$65+0.04)*(VLOOKUP(($F$16-$F$15)-1,AC$99:AG248,4,FALSE)))*EXP(-(LN(2)/$D$65+0.1)*(VLOOKUP(($F$16-$F$15)-1,AC$99:AG248,5,FALSE)))*EXP(-(LN(2)/$D$65+0.04)*(VLOOKUP(($F$16-$F$15)*2-1,AC$99:AG248,4,FALSE)))*EXP(-(LN(2)/$D$65+0.1)*(VLOOKUP(($F$16-$F$15)*2-1,AC$99:AG248,5,FALSE)))*EXP(-(LN(2)/$D$65+0.04)*AF248)*EXP(-(LN(2)/$D$65+0.1)*AG248),"-"))),"-")</f>
        <v>-</v>
      </c>
      <c r="AJ249" s="271" t="str">
        <f>IFERROR(IF(AD249=1,AJ$100*EXP(-(LN(2)/$D$65+0.04)*AF249)*EXP(-(LN(2)/$D$65+0.1)*AG249),IF(AD249=2,AJ$100*EXP(-(LN(2)/$D$65+0.04)*(VLOOKUP(($F$16-$F$15)-1,AC$100:AG249,4,FALSE)))*EXP(-(LN(2)/$D$65+0.1)*(VLOOKUP(($F$16-$F$15)-1,AC$100:AG249,5,FALSE)))*EXP(-(LN(2)/$D$65+0.04)*AF249)*EXP(-(LN(2)/$D$65+0.1)*AG249),IF(AD249=3,AJ$100*EXP(-(LN(2)/$D$65+0.04)*(VLOOKUP(($F$16-$F$15)-1,AC$100:AG249,4,FALSE)))*EXP(-(LN(2)/$D$65+0.1)*(VLOOKUP(($F$16-$F$15)-1,AC$100:AG249,5,FALSE)))*EXP(-(LN(2)/$D$65+0.04)*(VLOOKUP(($F$16-$F$15)*2-1,AC$100:AG249,4,FALSE)))*EXP(-(LN(2)/$D$65+0.1)*(VLOOKUP(($F$16-$F$15)*2-1,AC$100:AG249,5,FALSE)))*EXP(-(LN(2)/$D$65+0.04)*AF249)*EXP(-(LN(2)/$D$65+0.1)*AG249),"-"))),"-")</f>
        <v>-</v>
      </c>
      <c r="AK249" s="227">
        <f t="shared" si="215"/>
        <v>149</v>
      </c>
      <c r="AL249" s="226" t="str">
        <f t="shared" si="189"/>
        <v>-</v>
      </c>
      <c r="AM249" s="227" t="str">
        <f t="shared" si="216"/>
        <v>-</v>
      </c>
      <c r="AN249" s="227" t="str">
        <f t="shared" si="217"/>
        <v>-</v>
      </c>
      <c r="AO249" s="227" t="str">
        <f t="shared" si="190"/>
        <v>-</v>
      </c>
      <c r="AP249" s="273">
        <f t="shared" si="218"/>
        <v>0.1</v>
      </c>
      <c r="AQ249" s="271" t="str">
        <f>IFERROR(IF(AL248=1,AQ$100*EXP(-(LN(2)/$D$65+0.04)*AN248)*EXP(-(LN(2)/$D$65+0.1)*AO248),IF(AL248=2,AQ$100*EXP(-(LN(2)/$D$65+0.04)*(VLOOKUP(($F$16-$F$15)-1,AK$99:AO248,4,FALSE)))*EXP(-(LN(2)/$D$65+0.1)*(VLOOKUP(($F$16-$F$15)-1,AK$99:AO248,5,FALSE)))*EXP(-(LN(2)/$D$65+0.04)*AN248)*EXP(-(LN(2)/$D$65+0.1)*AO248),IF(AL248=3,AQ$100*EXP(-(LN(2)/$D$65+0.04)*(VLOOKUP(($F$16-$F$15)-1,AK$99:AO248,4,FALSE)))*EXP(-(LN(2)/$D$65+0.1)*(VLOOKUP(($F$16-$F$15)-1,AK$99:AO248,5,FALSE)))*EXP(-(LN(2)/$D$65+0.04)*(VLOOKUP(($F$16-$F$15)*2-1,AK$99:AO248,4,FALSE)))*EXP(-(LN(2)/$D$65+0.1)*(VLOOKUP(($F$16-$F$15)*2-1,AK$99:AO248,5,FALSE)))*EXP(-(LN(2)/$D$65+0.04)*AN248)*EXP(-(LN(2)/$D$65+0.1)*AO248),"-"))),"-")</f>
        <v>-</v>
      </c>
      <c r="AR249" s="271" t="str">
        <f>IFERROR(IF(AL249=1,AR$100*EXP(-(LN(2)/$D$65+0.04)*AN249)*EXP(-(LN(2)/$D$65+0.1)*AO249),IF(AL249=2,AR$100*EXP(-(LN(2)/$D$65+0.04)*(VLOOKUP(($F$16-$F$15)-1,AK$100:AO249,4,FALSE)))*EXP(-(LN(2)/$D$65+0.1)*(VLOOKUP(($F$16-$F$15)-1,AK$100:AO249,5,FALSE)))*EXP(-(LN(2)/$D$65+0.04)*AN249)*EXP(-(LN(2)/$D$65+0.1)*AO249),IF(AL249=3,AR$100*EXP(-(LN(2)/$D$65+0.04)*(VLOOKUP(($F$16-$F$15)-1,AK$100:AO249,4,FALSE)))*EXP(-(LN(2)/$D$65+0.1)*(VLOOKUP(($F$16-$F$15)-1,AK$100:AO249,5,FALSE)))*EXP(-(LN(2)/$D$65+0.04)*(VLOOKUP(($F$16-$F$15)*2-1,AK$100:AO249,4,FALSE)))*EXP(-(LN(2)/$D$65+0.1)*(VLOOKUP(($F$16-$F$15)*2-1,AK$100:AO249,5,FALSE)))*EXP(-(LN(2)/$D$65+0.04)*AN249)*EXP(-(LN(2)/$D$65+0.1)*AO249),"-"))),"-")</f>
        <v>-</v>
      </c>
      <c r="AS249" s="274">
        <f t="shared" si="191"/>
        <v>0</v>
      </c>
      <c r="AT249" s="274">
        <f t="shared" si="192"/>
        <v>0</v>
      </c>
      <c r="AU249" s="274">
        <f t="shared" si="193"/>
        <v>0</v>
      </c>
      <c r="AV249" s="190" t="str">
        <f>IF($B249&lt;$F$22,SUM($T$100:$T249),"")</f>
        <v/>
      </c>
      <c r="AW249" s="190" t="str">
        <f t="shared" si="194"/>
        <v>-</v>
      </c>
      <c r="AX249" s="190" t="str">
        <f t="shared" si="219"/>
        <v/>
      </c>
      <c r="AY249"/>
      <c r="AZ249" s="190" t="str">
        <f ca="1">IF(ISNUMBER(OFFSET(AV249,-$F$21,0)),SUM(OFFSET($T$100,$F$21,0):$T249),"")</f>
        <v/>
      </c>
      <c r="BA249" s="190" t="str">
        <f t="shared" ca="1" si="195"/>
        <v/>
      </c>
      <c r="BB249" s="190" t="str">
        <f ca="1">IF(ISNUMBER(AZ249),(AZ249-BA249)/(3*86400*(OFFSET($B249,-$F$21,0)+1))*1000,"")</f>
        <v/>
      </c>
      <c r="BC249" s="190"/>
      <c r="BD249" s="190" t="str">
        <f ca="1">IFERROR(IF(OR(ISNUMBER(I),ISNUMBER($F$14)),IF(AND($B249&gt;=($F$16-$F$15),$B249&lt;$F$22+($F$16-$F$15)),SUM(OFFSET($T$100,($F$16-$F$15),0):$T249),""),""),"")</f>
        <v/>
      </c>
      <c r="BE249" s="190" t="str">
        <f t="shared" ca="1" si="220"/>
        <v/>
      </c>
      <c r="BF249" s="190" t="str">
        <f t="shared" ca="1" si="221"/>
        <v/>
      </c>
      <c r="BG249"/>
      <c r="BH249" s="190" t="str">
        <f ca="1">IF(ISNUMBER(OFFSET(BD249,-$F$21,0)),SUM(OFFSET($T$100,($F$16-$F$15+$F$21),0):$T249),"")</f>
        <v/>
      </c>
      <c r="BI249" s="190" t="str">
        <f t="shared" ca="1" si="196"/>
        <v/>
      </c>
      <c r="BJ249" s="190" t="str">
        <f t="shared" ca="1" si="222"/>
        <v/>
      </c>
      <c r="BK249" s="190"/>
      <c r="BL249" s="190" t="str">
        <f ca="1">IFERROR(IF(OR(ISNUMBER(I),ISNUMBER($F$14)),IF(AND($B249&gt;=($F$17-$F$15),$B249&lt;$F$22+($F$17-$F$15)),SUM(OFFSET($T$100,($F$17-$F$15),0):$T249),""),""),"")</f>
        <v/>
      </c>
      <c r="BM249" s="190" t="str">
        <f t="shared" ca="1" si="197"/>
        <v/>
      </c>
      <c r="BN249" s="190" t="str">
        <f t="shared" ca="1" si="223"/>
        <v/>
      </c>
      <c r="BO249"/>
      <c r="BP249" s="190" t="str">
        <f ca="1">IF(ISNUMBER(OFFSET(BL249,-$F$21,0)),SUM(OFFSET($T$100,($F$17-$F$15+$F$21),0):$T249),"")</f>
        <v/>
      </c>
      <c r="BQ249" s="190" t="str">
        <f t="shared" ca="1" si="198"/>
        <v/>
      </c>
      <c r="BR249" s="190" t="str">
        <f t="shared" ca="1" si="224"/>
        <v/>
      </c>
      <c r="BS249" s="190"/>
      <c r="BT249"/>
      <c r="BU249"/>
      <c r="BV249"/>
      <c r="BY249" s="99"/>
      <c r="BZ249" s="99"/>
      <c r="CA249" s="280" t="str">
        <f t="shared" si="199"/>
        <v/>
      </c>
      <c r="CB249" s="71" t="str">
        <f t="shared" si="200"/>
        <v>-</v>
      </c>
      <c r="CC249" s="33"/>
      <c r="CD249" s="261" t="str">
        <f t="shared" si="201"/>
        <v/>
      </c>
      <c r="CE249" s="280" t="str">
        <f t="shared" si="202"/>
        <v/>
      </c>
      <c r="CF249" s="71" t="str">
        <f t="shared" ca="1" si="203"/>
        <v/>
      </c>
      <c r="CG249" s="33" t="str">
        <f t="shared" si="204"/>
        <v/>
      </c>
      <c r="CH249" s="261" t="str">
        <f t="shared" ca="1" si="205"/>
        <v/>
      </c>
    </row>
    <row r="250" spans="2:86" ht="13.5" customHeight="1" x14ac:dyDescent="0.2">
      <c r="B250" s="262">
        <v>150</v>
      </c>
      <c r="C250" s="237" t="str">
        <f t="shared" si="169"/>
        <v/>
      </c>
      <c r="D250" s="237" t="str">
        <f t="shared" si="225"/>
        <v/>
      </c>
      <c r="E250" s="263" t="str">
        <f t="shared" si="206"/>
        <v/>
      </c>
      <c r="F250" s="264" t="str">
        <f t="shared" si="207"/>
        <v/>
      </c>
      <c r="G250" s="264" t="str">
        <f t="shared" si="208"/>
        <v/>
      </c>
      <c r="H250" s="240" t="str">
        <f t="shared" si="170"/>
        <v/>
      </c>
      <c r="I250" s="265" t="str">
        <f t="shared" si="171"/>
        <v/>
      </c>
      <c r="J250" s="265" t="str">
        <f t="shared" si="172"/>
        <v/>
      </c>
      <c r="K250" s="240" t="str">
        <f t="shared" si="173"/>
        <v/>
      </c>
      <c r="L250" s="265" t="str">
        <f t="shared" si="174"/>
        <v/>
      </c>
      <c r="M250" s="265" t="str">
        <f t="shared" si="175"/>
        <v/>
      </c>
      <c r="N250" s="240" t="str">
        <f t="shared" si="176"/>
        <v>-</v>
      </c>
      <c r="O250" s="265" t="str">
        <f t="shared" si="177"/>
        <v>-</v>
      </c>
      <c r="P250" s="265" t="str">
        <f t="shared" si="178"/>
        <v>-</v>
      </c>
      <c r="Q250" s="266" t="str">
        <f t="shared" si="179"/>
        <v>-</v>
      </c>
      <c r="R250" s="267" t="str">
        <f t="shared" si="180"/>
        <v>-</v>
      </c>
      <c r="S250" s="268" t="str">
        <f t="shared" si="181"/>
        <v>-</v>
      </c>
      <c r="T250" s="269" t="str">
        <f t="shared" si="182"/>
        <v/>
      </c>
      <c r="U250" s="221">
        <f t="shared" si="183"/>
        <v>150</v>
      </c>
      <c r="V250" s="220" t="str">
        <f t="shared" si="209"/>
        <v>-</v>
      </c>
      <c r="W250" s="221" t="str">
        <f t="shared" si="210"/>
        <v>-</v>
      </c>
      <c r="X250" s="221" t="str">
        <f t="shared" si="184"/>
        <v>-</v>
      </c>
      <c r="Y250" s="221" t="str">
        <f t="shared" si="185"/>
        <v>-</v>
      </c>
      <c r="Z250" s="270">
        <f t="shared" si="211"/>
        <v>0.1</v>
      </c>
      <c r="AA250" s="271" t="str">
        <f>IFERROR(IF(V249=1,AA$100*EXP(-(LN(2)/$D$65+0.04)*X249)*EXP(-(LN(2)/$D$65+0.1)*Y249),IF(V249=2,AA$100*EXP(-(LN(2)/$D$65+0.04)*(VLOOKUP(($F$16-$F$15)-1,U$99:Y249,4,FALSE)))*EXP(-(LN(2)/$D$65+0.1)*(VLOOKUP(($F$16-$F$15)-1,U$99:Y249,5,FALSE)))*EXP(-(LN(2)/$D$65+0.04)*X249)*EXP(-(LN(2)/$D$65+0.1)*Y249),IF(V249=3,AA$100*EXP(-(LN(2)/$D$65+0.04)*(VLOOKUP(($F$16-$F$15)-1,U$99:Y249,4,FALSE)))*EXP(-(LN(2)/$D$65+0.1)*(VLOOKUP(($F$16-$F$15)-1,U$99:Y249,5,FALSE)))*EXP(-(LN(2)/$D$65+0.04)*(VLOOKUP(($F$16-$F$15)*2-1,U$99:Y249,4,FALSE)))*EXP(-(LN(2)/$D$65+0.1)*(VLOOKUP(($F$16-$F$15)*2-1,U$99:Y249,5,FALSE)))*EXP(-(LN(2)/$D$65+0.04)*X249)*EXP(-(LN(2)/$D$65+0.1)*Y249),"-"))),"-")</f>
        <v>-</v>
      </c>
      <c r="AB250" s="271" t="str">
        <f>IFERROR(IF(V250=1,AB$100*EXP(-(LN(2)/$D$65+0.04)*X250)*EXP(-(LN(2)/$D$65+0.1)*Y250),IF(V250=2,AB$100*EXP(-(LN(2)/$D$65+0.04)*(VLOOKUP(($F$16-$F$15)-1,U$100:Y250,4,FALSE)))*EXP(-(LN(2)/$D$65+0.1)*(VLOOKUP(($F$16-$F$15)-1,U$100:Y250,5,FALSE)))*EXP(-(LN(2)/$D$65+0.04)*X250)*EXP(-(LN(2)/$D$65+0.1)*Y250),IF(V250=3,AB$100*EXP(-(LN(2)/$D$65+0.04)*(VLOOKUP(($F$16-$F$15)-1,U$100:Y250,4,FALSE)))*EXP(-(LN(2)/$D$65+0.1)*(VLOOKUP(($F$16-$F$15)-1,U$100:Y250,5,FALSE)))*EXP(-(LN(2)/$D$65+0.04)*(VLOOKUP(($F$16-$F$15)*2-1,U$100:Y250,4,FALSE)))*EXP(-(LN(2)/$D$65+0.1)*(VLOOKUP(($F$16-$F$15)*2-1,U$100:Y250,5,FALSE)))*EXP(-(LN(2)/$D$65+0.04)*X250)*EXP(-(LN(2)/$D$65+0.1)*Y250),"-"))),"-")</f>
        <v>-</v>
      </c>
      <c r="AC250" s="224">
        <f t="shared" si="226"/>
        <v>150</v>
      </c>
      <c r="AD250" s="223" t="str">
        <f t="shared" si="186"/>
        <v>-</v>
      </c>
      <c r="AE250" s="224" t="str">
        <f t="shared" si="213"/>
        <v>-</v>
      </c>
      <c r="AF250" s="224" t="str">
        <f t="shared" si="187"/>
        <v>-</v>
      </c>
      <c r="AG250" s="224" t="str">
        <f t="shared" si="188"/>
        <v>-</v>
      </c>
      <c r="AH250" s="272">
        <f t="shared" si="214"/>
        <v>0.1</v>
      </c>
      <c r="AI250" s="271" t="str">
        <f>IFERROR(IF(AD249=1,AI$100*EXP(-(LN(2)/$D$65+0.04)*AF249)*EXP(-(LN(2)/$D$65+0.1)*AG249),IF(AD249=2,AI$100*EXP(-(LN(2)/$D$65+0.04)*(VLOOKUP(($F$16-$F$15)-1,AC$99:AG249,4,FALSE)))*EXP(-(LN(2)/$D$65+0.1)*(VLOOKUP(($F$16-$F$15)-1,AC$99:AG249,5,FALSE)))*EXP(-(LN(2)/$D$65+0.04)*AF249)*EXP(-(LN(2)/$D$65+0.1)*AG249),IF(AD249=3,AI$100*EXP(-(LN(2)/$D$65+0.04)*(VLOOKUP(($F$16-$F$15)-1,AC$99:AG249,4,FALSE)))*EXP(-(LN(2)/$D$65+0.1)*(VLOOKUP(($F$16-$F$15)-1,AC$99:AG249,5,FALSE)))*EXP(-(LN(2)/$D$65+0.04)*(VLOOKUP(($F$16-$F$15)*2-1,AC$99:AG249,4,FALSE)))*EXP(-(LN(2)/$D$65+0.1)*(VLOOKUP(($F$16-$F$15)*2-1,AC$99:AG249,5,FALSE)))*EXP(-(LN(2)/$D$65+0.04)*AF249)*EXP(-(LN(2)/$D$65+0.1)*AG249),"-"))),"-")</f>
        <v>-</v>
      </c>
      <c r="AJ250" s="271" t="str">
        <f>IFERROR(IF(AD250=1,AJ$100*EXP(-(LN(2)/$D$65+0.04)*AF250)*EXP(-(LN(2)/$D$65+0.1)*AG250),IF(AD250=2,AJ$100*EXP(-(LN(2)/$D$65+0.04)*(VLOOKUP(($F$16-$F$15)-1,AC$100:AG250,4,FALSE)))*EXP(-(LN(2)/$D$65+0.1)*(VLOOKUP(($F$16-$F$15)-1,AC$100:AG250,5,FALSE)))*EXP(-(LN(2)/$D$65+0.04)*AF250)*EXP(-(LN(2)/$D$65+0.1)*AG250),IF(AD250=3,AJ$100*EXP(-(LN(2)/$D$65+0.04)*(VLOOKUP(($F$16-$F$15)-1,AC$100:AG250,4,FALSE)))*EXP(-(LN(2)/$D$65+0.1)*(VLOOKUP(($F$16-$F$15)-1,AC$100:AG250,5,FALSE)))*EXP(-(LN(2)/$D$65+0.04)*(VLOOKUP(($F$16-$F$15)*2-1,AC$100:AG250,4,FALSE)))*EXP(-(LN(2)/$D$65+0.1)*(VLOOKUP(($F$16-$F$15)*2-1,AC$100:AG250,5,FALSE)))*EXP(-(LN(2)/$D$65+0.04)*AF250)*EXP(-(LN(2)/$D$65+0.1)*AG250),"-"))),"-")</f>
        <v>-</v>
      </c>
      <c r="AK250" s="227">
        <f t="shared" si="215"/>
        <v>150</v>
      </c>
      <c r="AL250" s="226" t="str">
        <f t="shared" si="189"/>
        <v>-</v>
      </c>
      <c r="AM250" s="227" t="str">
        <f t="shared" si="216"/>
        <v>-</v>
      </c>
      <c r="AN250" s="227" t="str">
        <f t="shared" si="217"/>
        <v>-</v>
      </c>
      <c r="AO250" s="227" t="str">
        <f t="shared" si="190"/>
        <v>-</v>
      </c>
      <c r="AP250" s="273">
        <f t="shared" si="218"/>
        <v>0.1</v>
      </c>
      <c r="AQ250" s="271" t="str">
        <f>IFERROR(IF(AL249=1,AQ$100*EXP(-(LN(2)/$D$65+0.04)*AN249)*EXP(-(LN(2)/$D$65+0.1)*AO249),IF(AL249=2,AQ$100*EXP(-(LN(2)/$D$65+0.04)*(VLOOKUP(($F$16-$F$15)-1,AK$99:AO249,4,FALSE)))*EXP(-(LN(2)/$D$65+0.1)*(VLOOKUP(($F$16-$F$15)-1,AK$99:AO249,5,FALSE)))*EXP(-(LN(2)/$D$65+0.04)*AN249)*EXP(-(LN(2)/$D$65+0.1)*AO249),IF(AL249=3,AQ$100*EXP(-(LN(2)/$D$65+0.04)*(VLOOKUP(($F$16-$F$15)-1,AK$99:AO249,4,FALSE)))*EXP(-(LN(2)/$D$65+0.1)*(VLOOKUP(($F$16-$F$15)-1,AK$99:AO249,5,FALSE)))*EXP(-(LN(2)/$D$65+0.04)*(VLOOKUP(($F$16-$F$15)*2-1,AK$99:AO249,4,FALSE)))*EXP(-(LN(2)/$D$65+0.1)*(VLOOKUP(($F$16-$F$15)*2-1,AK$99:AO249,5,FALSE)))*EXP(-(LN(2)/$D$65+0.04)*AN249)*EXP(-(LN(2)/$D$65+0.1)*AO249),"-"))),"-")</f>
        <v>-</v>
      </c>
      <c r="AR250" s="271" t="str">
        <f>IFERROR(IF(AL250=1,AR$100*EXP(-(LN(2)/$D$65+0.04)*AN250)*EXP(-(LN(2)/$D$65+0.1)*AO250),IF(AL250=2,AR$100*EXP(-(LN(2)/$D$65+0.04)*(VLOOKUP(($F$16-$F$15)-1,AK$100:AO250,4,FALSE)))*EXP(-(LN(2)/$D$65+0.1)*(VLOOKUP(($F$16-$F$15)-1,AK$100:AO250,5,FALSE)))*EXP(-(LN(2)/$D$65+0.04)*AN250)*EXP(-(LN(2)/$D$65+0.1)*AO250),IF(AL250=3,AR$100*EXP(-(LN(2)/$D$65+0.04)*(VLOOKUP(($F$16-$F$15)-1,AK$100:AO250,4,FALSE)))*EXP(-(LN(2)/$D$65+0.1)*(VLOOKUP(($F$16-$F$15)-1,AK$100:AO250,5,FALSE)))*EXP(-(LN(2)/$D$65+0.04)*(VLOOKUP(($F$16-$F$15)*2-1,AK$100:AO250,4,FALSE)))*EXP(-(LN(2)/$D$65+0.1)*(VLOOKUP(($F$16-$F$15)*2-1,AK$100:AO250,5,FALSE)))*EXP(-(LN(2)/$D$65+0.04)*AN250)*EXP(-(LN(2)/$D$65+0.1)*AO250),"-"))),"-")</f>
        <v>-</v>
      </c>
      <c r="AS250" s="274">
        <f t="shared" si="191"/>
        <v>0</v>
      </c>
      <c r="AT250" s="274">
        <f t="shared" si="192"/>
        <v>0</v>
      </c>
      <c r="AU250" s="274">
        <f t="shared" si="193"/>
        <v>0</v>
      </c>
      <c r="AV250" s="253" t="str">
        <f>IF($B250&lt;$F$22,SUM($T$100:$T250),"")</f>
        <v/>
      </c>
      <c r="AW250" s="253" t="str">
        <f t="shared" si="194"/>
        <v>-</v>
      </c>
      <c r="AX250" s="253" t="str">
        <f t="shared" si="219"/>
        <v/>
      </c>
      <c r="AY250" s="252"/>
      <c r="AZ250" s="253" t="str">
        <f ca="1">IF(ISNUMBER(OFFSET(AV250,-$F$21,0)),SUM(OFFSET($T$100,$F$21,0):$T250),"")</f>
        <v/>
      </c>
      <c r="BA250" s="253" t="str">
        <f t="shared" ca="1" si="195"/>
        <v/>
      </c>
      <c r="BB250" s="253" t="str">
        <f ca="1">IF(ISNUMBER(AZ250),(AZ250-BA250)/(3*86400*(OFFSET($B250,-$F$21,0)+1))*1000,"")</f>
        <v/>
      </c>
      <c r="BC250" s="253"/>
      <c r="BD250" s="253" t="str">
        <f ca="1">IFERROR(IF(OR(ISNUMBER(I),ISNUMBER($F$14)),IF(AND($B250&gt;=($F$16-$F$15),$B250&lt;$F$22+($F$16-$F$15)),SUM(OFFSET($T$100,($F$16-$F$15),0):$T250),""),""),"")</f>
        <v/>
      </c>
      <c r="BE250" s="253" t="str">
        <f t="shared" ca="1" si="220"/>
        <v/>
      </c>
      <c r="BF250" s="253" t="str">
        <f t="shared" ca="1" si="221"/>
        <v/>
      </c>
      <c r="BG250" s="252"/>
      <c r="BH250" s="253" t="str">
        <f ca="1">IF(ISNUMBER(OFFSET(BD250,-$F$21,0)),SUM(OFFSET($T$100,($F$16-$F$15+$F$21),0):$T250),"")</f>
        <v/>
      </c>
      <c r="BI250" s="253" t="str">
        <f t="shared" ca="1" si="196"/>
        <v/>
      </c>
      <c r="BJ250" s="253" t="str">
        <f t="shared" ca="1" si="222"/>
        <v/>
      </c>
      <c r="BK250" s="253"/>
      <c r="BL250" s="253" t="str">
        <f ca="1">IFERROR(IF(OR(ISNUMBER(I),ISNUMBER($F$14)),IF(AND($B250&gt;=($F$17-$F$15),$B250&lt;$F$22+($F$17-$F$15)),SUM(OFFSET($T$100,($F$17-$F$15),0):$T250),""),""),"")</f>
        <v/>
      </c>
      <c r="BM250" s="253" t="str">
        <f t="shared" ca="1" si="197"/>
        <v/>
      </c>
      <c r="BN250" s="253" t="str">
        <f t="shared" ca="1" si="223"/>
        <v/>
      </c>
      <c r="BO250" s="252"/>
      <c r="BP250" s="253" t="str">
        <f ca="1">IF(ISNUMBER(OFFSET(BL250,-$F$21,0)),SUM(OFFSET($T$100,($F$17-$F$15+$F$21),0):$T250),"")</f>
        <v/>
      </c>
      <c r="BQ250" s="253" t="str">
        <f t="shared" ca="1" si="198"/>
        <v/>
      </c>
      <c r="BR250" s="253" t="str">
        <f t="shared" ca="1" si="224"/>
        <v/>
      </c>
      <c r="BS250" s="253"/>
      <c r="BT250"/>
      <c r="BU250"/>
      <c r="BV250"/>
      <c r="BY250" s="99"/>
      <c r="BZ250" s="99"/>
      <c r="CA250" s="280" t="str">
        <f t="shared" si="199"/>
        <v/>
      </c>
      <c r="CB250" s="71" t="str">
        <f t="shared" si="200"/>
        <v>-</v>
      </c>
      <c r="CC250" s="33"/>
      <c r="CD250" s="261" t="str">
        <f t="shared" si="201"/>
        <v/>
      </c>
      <c r="CE250" s="280" t="str">
        <f t="shared" si="202"/>
        <v/>
      </c>
      <c r="CF250" s="71" t="str">
        <f t="shared" ca="1" si="203"/>
        <v/>
      </c>
      <c r="CG250" s="33" t="str">
        <f t="shared" si="204"/>
        <v/>
      </c>
      <c r="CH250" s="261" t="str">
        <f t="shared" ca="1" si="205"/>
        <v/>
      </c>
    </row>
  </sheetData>
  <sheetProtection algorithmName="SHA-512" hashValue="kESzANthlIxrOMs2vk+aEC/8GOHHi7BLTXI6OcSnZf3/AccVCaN7vTliJ70j5i/761yhDOnGhGE3TjjtZmxpzQ==" saltValue="zZ4kaZWuO1AOg7g/6EjV5g==" spinCount="100000" sheet="1" objects="1" scenarios="1" selectLockedCells="1"/>
  <mergeCells count="108">
    <mergeCell ref="BU94:BY94"/>
    <mergeCell ref="AW97:AW98"/>
    <mergeCell ref="BA97:BA98"/>
    <mergeCell ref="BE97:BE98"/>
    <mergeCell ref="BF97:BF98"/>
    <mergeCell ref="BH97:BH98"/>
    <mergeCell ref="BI97:BI98"/>
    <mergeCell ref="BJ97:BJ98"/>
    <mergeCell ref="BL97:BL98"/>
    <mergeCell ref="BM97:BM98"/>
    <mergeCell ref="BN97:BN98"/>
    <mergeCell ref="BP97:BP98"/>
    <mergeCell ref="BQ97:BQ98"/>
    <mergeCell ref="BR97:BR98"/>
    <mergeCell ref="B5:C5"/>
    <mergeCell ref="D5:J5"/>
    <mergeCell ref="B6:C6"/>
    <mergeCell ref="D6:J6"/>
    <mergeCell ref="C11:E11"/>
    <mergeCell ref="H11:J11"/>
    <mergeCell ref="C12:E12"/>
    <mergeCell ref="H12:J12"/>
    <mergeCell ref="B2:D3"/>
    <mergeCell ref="C13:E13"/>
    <mergeCell ref="H13:J13"/>
    <mergeCell ref="C14:E14"/>
    <mergeCell ref="H14:J14"/>
    <mergeCell ref="B15:B17"/>
    <mergeCell ref="C15:E17"/>
    <mergeCell ref="G15:G17"/>
    <mergeCell ref="H15:J17"/>
    <mergeCell ref="B18:B19"/>
    <mergeCell ref="C18:E19"/>
    <mergeCell ref="F18:F19"/>
    <mergeCell ref="G18:G19"/>
    <mergeCell ref="H18:J19"/>
    <mergeCell ref="C20:E20"/>
    <mergeCell ref="H20:J20"/>
    <mergeCell ref="C21:E21"/>
    <mergeCell ref="H21:J21"/>
    <mergeCell ref="C22:E22"/>
    <mergeCell ref="H22:J22"/>
    <mergeCell ref="C23:E23"/>
    <mergeCell ref="H23:J23"/>
    <mergeCell ref="H25:K34"/>
    <mergeCell ref="B26:C26"/>
    <mergeCell ref="B27:C27"/>
    <mergeCell ref="B31:C31"/>
    <mergeCell ref="B36:D36"/>
    <mergeCell ref="B37:B38"/>
    <mergeCell ref="C37:C38"/>
    <mergeCell ref="D37:D38"/>
    <mergeCell ref="G38:I38"/>
    <mergeCell ref="G39:I39"/>
    <mergeCell ref="F40:F41"/>
    <mergeCell ref="G40:I41"/>
    <mergeCell ref="G42:I42"/>
    <mergeCell ref="F43:F44"/>
    <mergeCell ref="G43:I44"/>
    <mergeCell ref="G45:I45"/>
    <mergeCell ref="F46:F47"/>
    <mergeCell ref="G46:I47"/>
    <mergeCell ref="F48:F49"/>
    <mergeCell ref="G48:J49"/>
    <mergeCell ref="G50:I50"/>
    <mergeCell ref="G51:I51"/>
    <mergeCell ref="B65:C65"/>
    <mergeCell ref="G66:H66"/>
    <mergeCell ref="C69:E69"/>
    <mergeCell ref="C70:E70"/>
    <mergeCell ref="C71:E71"/>
    <mergeCell ref="B93:C93"/>
    <mergeCell ref="G52:I52"/>
    <mergeCell ref="G53:I53"/>
    <mergeCell ref="G54:I54"/>
    <mergeCell ref="G55:I55"/>
    <mergeCell ref="G56:I56"/>
    <mergeCell ref="B61:E64"/>
    <mergeCell ref="B95:B99"/>
    <mergeCell ref="C95:C99"/>
    <mergeCell ref="D95:D99"/>
    <mergeCell ref="E95:E99"/>
    <mergeCell ref="F95:F99"/>
    <mergeCell ref="G95:G99"/>
    <mergeCell ref="H95:H99"/>
    <mergeCell ref="I95:I99"/>
    <mergeCell ref="B94:D94"/>
    <mergeCell ref="E94:G94"/>
    <mergeCell ref="H94:J94"/>
    <mergeCell ref="S95:S99"/>
    <mergeCell ref="T94:T99"/>
    <mergeCell ref="BD97:BD98"/>
    <mergeCell ref="AV97:AV98"/>
    <mergeCell ref="AX97:AX98"/>
    <mergeCell ref="AZ97:AZ98"/>
    <mergeCell ref="BB97:BB98"/>
    <mergeCell ref="J95:J99"/>
    <mergeCell ref="K95:K99"/>
    <mergeCell ref="L95:L99"/>
    <mergeCell ref="M95:M99"/>
    <mergeCell ref="N95:N99"/>
    <mergeCell ref="O95:O99"/>
    <mergeCell ref="P95:P99"/>
    <mergeCell ref="Q95:Q99"/>
    <mergeCell ref="R95:R99"/>
    <mergeCell ref="K94:M94"/>
    <mergeCell ref="N94:P94"/>
    <mergeCell ref="Q94:S94"/>
  </mergeCells>
  <phoneticPr fontId="3"/>
  <conditionalFormatting sqref="B100:B114">
    <cfRule type="expression" dxfId="297" priority="3491" stopIfTrue="1">
      <formula>MAX($BG$99:$BG$120)+14&lt;$B100</formula>
    </cfRule>
  </conditionalFormatting>
  <conditionalFormatting sqref="D65">
    <cfRule type="expression" dxfId="296" priority="344" stopIfTrue="1">
      <formula>$G$13=8</formula>
    </cfRule>
    <cfRule type="expression" dxfId="295" priority="343" stopIfTrue="1">
      <formula>$G$13=""</formula>
    </cfRule>
    <cfRule type="expression" dxfId="294" priority="363" stopIfTrue="1">
      <formula>AND(ISNUMBER(D65),MAX($C65:$C65)=D65,$G$13=8)</formula>
    </cfRule>
    <cfRule type="expression" dxfId="293" priority="362" stopIfTrue="1">
      <formula>AND(ISNUMBER(D65),MAX($C65:$C65)=D65,$G$13=7)</formula>
    </cfRule>
    <cfRule type="expression" dxfId="292" priority="361" stopIfTrue="1">
      <formula>AND(ISNUMBER(D65),MAX($C65:$C65)=D65,$G$13=6)</formula>
    </cfRule>
    <cfRule type="expression" dxfId="291" priority="360" stopIfTrue="1">
      <formula>AND(ISNUMBER(D65),MAX($C65:$C65)=D65,$G$13=5)</formula>
    </cfRule>
    <cfRule type="expression" dxfId="290" priority="359" stopIfTrue="1">
      <formula>AND(ISNUMBER(D65),MAX($C65:$C65)=D65,$G$13=4)</formula>
    </cfRule>
    <cfRule type="expression" dxfId="289" priority="358" stopIfTrue="1">
      <formula>AND(ISNUMBER(D65),MAX($C65:$C65)=D65,$G$13=3)</formula>
    </cfRule>
    <cfRule type="expression" dxfId="288" priority="357" stopIfTrue="1">
      <formula>AND(ISNUMBER(D65),MAX($C65:$C65)=D65,$G$13=2)</formula>
    </cfRule>
    <cfRule type="expression" dxfId="287" priority="356" stopIfTrue="1">
      <formula>AND(ISNUMBER(D65),MAX($C65:$C65)=D65,$G$13=1)</formula>
    </cfRule>
    <cfRule type="expression" dxfId="286" priority="355" stopIfTrue="1">
      <formula>AND(ISNUMBER(D65),MAX($C65:$C65)=D65,$G$13=0)</formula>
    </cfRule>
    <cfRule type="expression" dxfId="285" priority="354" stopIfTrue="1">
      <formula>AND(ISNUMBER(D65),MAX($C65:$C65)=D65,$G$13="")</formula>
    </cfRule>
    <cfRule type="expression" dxfId="284" priority="353" stopIfTrue="1">
      <formula>$G$13=0</formula>
    </cfRule>
    <cfRule type="expression" dxfId="283" priority="352" stopIfTrue="1">
      <formula>$G$13=1</formula>
    </cfRule>
    <cfRule type="expression" dxfId="282" priority="351" stopIfTrue="1">
      <formula>$G$13=2</formula>
    </cfRule>
    <cfRule type="expression" dxfId="281" priority="348" stopIfTrue="1">
      <formula>$G$13=5</formula>
    </cfRule>
    <cfRule type="expression" dxfId="280" priority="350" stopIfTrue="1">
      <formula>$G$13=3</formula>
    </cfRule>
    <cfRule type="expression" dxfId="279" priority="349" stopIfTrue="1">
      <formula>$G$13=4</formula>
    </cfRule>
    <cfRule type="expression" dxfId="278" priority="347" stopIfTrue="1">
      <formula>$G$13=6</formula>
    </cfRule>
    <cfRule type="expression" dxfId="277" priority="345" stopIfTrue="1">
      <formula>$G$13=7</formula>
    </cfRule>
  </conditionalFormatting>
  <conditionalFormatting sqref="F70">
    <cfRule type="expression" dxfId="276" priority="1" stopIfTrue="1">
      <formula>$G$13=""</formula>
    </cfRule>
    <cfRule type="expression" dxfId="275" priority="2" stopIfTrue="1">
      <formula>$G$13=8</formula>
    </cfRule>
    <cfRule type="expression" dxfId="274" priority="3" stopIfTrue="1">
      <formula>$G$13=7</formula>
    </cfRule>
    <cfRule type="expression" dxfId="273" priority="4" stopIfTrue="1">
      <formula>$G$13=6</formula>
    </cfRule>
    <cfRule type="expression" dxfId="272" priority="5" stopIfTrue="1">
      <formula>$G$13=5</formula>
    </cfRule>
    <cfRule type="expression" dxfId="271" priority="6" stopIfTrue="1">
      <formula>$G$13=4</formula>
    </cfRule>
    <cfRule type="expression" dxfId="270" priority="7" stopIfTrue="1">
      <formula>$G$13=3</formula>
    </cfRule>
    <cfRule type="expression" dxfId="269" priority="8" stopIfTrue="1">
      <formula>$G$13=2</formula>
    </cfRule>
    <cfRule type="expression" dxfId="268" priority="9" stopIfTrue="1">
      <formula>$G$13=1</formula>
    </cfRule>
    <cfRule type="expression" dxfId="267" priority="10" stopIfTrue="1">
      <formula>$G$13=0</formula>
    </cfRule>
    <cfRule type="expression" dxfId="266" priority="11" stopIfTrue="1">
      <formula>AND(ISNUMBER(F70),MAX($C70:$C70)=F70,$G$13="")</formula>
    </cfRule>
    <cfRule type="expression" dxfId="265" priority="12" stopIfTrue="1">
      <formula>AND(ISNUMBER(F70),MAX($C70:$C70)=F70,$G$13=0)</formula>
    </cfRule>
    <cfRule type="expression" dxfId="264" priority="13" stopIfTrue="1">
      <formula>AND(ISNUMBER(F70),MAX($C70:$C70)=F70,$G$13=1)</formula>
    </cfRule>
    <cfRule type="expression" dxfId="263" priority="14" stopIfTrue="1">
      <formula>AND(ISNUMBER(F70),MAX($C70:$C70)=F70,$G$13=2)</formula>
    </cfRule>
    <cfRule type="expression" dxfId="262" priority="15" stopIfTrue="1">
      <formula>AND(ISNUMBER(F70),MAX($C70:$C70)=F70,$G$13=3)</formula>
    </cfRule>
    <cfRule type="expression" dxfId="261" priority="16" stopIfTrue="1">
      <formula>AND(ISNUMBER(F70),MAX($C70:$C70)=F70,$G$13=4)</formula>
    </cfRule>
    <cfRule type="expression" dxfId="260" priority="18" stopIfTrue="1">
      <formula>AND(ISNUMBER(F70),MAX($C70:$C70)=F70,$G$13=6)</formula>
    </cfRule>
    <cfRule type="expression" dxfId="259" priority="19" stopIfTrue="1">
      <formula>AND(ISNUMBER(F70),MAX($C70:$C70)=F70,$G$13=7)</formula>
    </cfRule>
    <cfRule type="expression" dxfId="258" priority="20" stopIfTrue="1">
      <formula>AND(ISNUMBER(F70),MAX($C70:$C70)=F70,$G$13=8)</formula>
    </cfRule>
    <cfRule type="expression" dxfId="257" priority="17" stopIfTrue="1">
      <formula>AND(ISNUMBER(F70),MAX($C70:$C70)=F70,$G$13=5)</formula>
    </cfRule>
  </conditionalFormatting>
  <conditionalFormatting sqref="F71">
    <cfRule type="expression" dxfId="256" priority="21" stopIfTrue="1">
      <formula>$I$66=""</formula>
    </cfRule>
    <cfRule type="expression" dxfId="255" priority="22" stopIfTrue="1">
      <formula>$I$66=0</formula>
    </cfRule>
    <cfRule type="expression" dxfId="254" priority="23" stopIfTrue="1">
      <formula>$I$66=1</formula>
    </cfRule>
    <cfRule type="expression" dxfId="253" priority="24" stopIfTrue="1">
      <formula>$I$66=2</formula>
    </cfRule>
    <cfRule type="expression" dxfId="252" priority="25" stopIfTrue="1">
      <formula>$I$66=3</formula>
    </cfRule>
    <cfRule type="expression" dxfId="251" priority="26" stopIfTrue="1">
      <formula>$I$66=4</formula>
    </cfRule>
    <cfRule type="expression" dxfId="250" priority="27" stopIfTrue="1">
      <formula>$I$66=5</formula>
    </cfRule>
    <cfRule type="expression" dxfId="249" priority="28" stopIfTrue="1">
      <formula>$I$66=7</formula>
    </cfRule>
    <cfRule type="expression" dxfId="248" priority="29" stopIfTrue="1">
      <formula>$I$66=8</formula>
    </cfRule>
  </conditionalFormatting>
  <conditionalFormatting sqref="I3">
    <cfRule type="expression" dxfId="247" priority="330" stopIfTrue="1">
      <formula>$G$11=2</formula>
    </cfRule>
    <cfRule type="expression" dxfId="246" priority="329" stopIfTrue="1">
      <formula>$G$11=3</formula>
    </cfRule>
    <cfRule type="expression" dxfId="245" priority="331" stopIfTrue="1">
      <formula>$G$11=1</formula>
    </cfRule>
    <cfRule type="expression" dxfId="244" priority="328" stopIfTrue="1">
      <formula>$G$11=4</formula>
    </cfRule>
    <cfRule type="expression" dxfId="243" priority="327" stopIfTrue="1">
      <formula>$G$11=5</formula>
    </cfRule>
    <cfRule type="expression" dxfId="242" priority="326" stopIfTrue="1">
      <formula>$G$11=6</formula>
    </cfRule>
    <cfRule type="expression" dxfId="241" priority="324" stopIfTrue="1">
      <formula>$G$11=7</formula>
    </cfRule>
    <cfRule type="expression" dxfId="240" priority="323" stopIfTrue="1">
      <formula>$G$11=8</formula>
    </cfRule>
    <cfRule type="expression" dxfId="239" priority="322" stopIfTrue="1">
      <formula>$G$11=""</formula>
    </cfRule>
    <cfRule type="expression" dxfId="238" priority="342" stopIfTrue="1">
      <formula>AND(ISNUMBER(I3),MAX($C69:$C69)=I3,$G$11=8)</formula>
    </cfRule>
    <cfRule type="expression" dxfId="237" priority="341" stopIfTrue="1">
      <formula>AND(ISNUMBER(I3),MAX($C69:$C69)=I3,$G$11=7)</formula>
    </cfRule>
    <cfRule type="expression" dxfId="236" priority="340" stopIfTrue="1">
      <formula>AND(ISNUMBER(I3),MAX($C69:$C69)=I3,$G$11=6)</formula>
    </cfRule>
    <cfRule type="expression" dxfId="235" priority="339" stopIfTrue="1">
      <formula>AND(ISNUMBER(I3),MAX($C69:$C69)=I3,$G$11=5)</formula>
    </cfRule>
    <cfRule type="expression" dxfId="234" priority="338" stopIfTrue="1">
      <formula>AND(ISNUMBER(I3),MAX($C69:$C69)=I3,$G$11=4)</formula>
    </cfRule>
    <cfRule type="expression" dxfId="233" priority="337" stopIfTrue="1">
      <formula>AND(ISNUMBER(I3),MAX($C69:$C69)=I3,$G$11=3)</formula>
    </cfRule>
    <cfRule type="expression" dxfId="232" priority="336" stopIfTrue="1">
      <formula>AND(ISNUMBER(I3),MAX($C69:$C69)=I3,$G$11=2)</formula>
    </cfRule>
    <cfRule type="expression" dxfId="231" priority="335" stopIfTrue="1">
      <formula>AND(ISNUMBER(I3),MAX($C69:$C69)=I3,$G$11=1)</formula>
    </cfRule>
    <cfRule type="expression" dxfId="230" priority="334" stopIfTrue="1">
      <formula>AND(ISNUMBER(I3),MAX($C69:$C69)=I3,$G$11=0)</formula>
    </cfRule>
    <cfRule type="expression" dxfId="229" priority="333" stopIfTrue="1">
      <formula>AND(ISNUMBER(I3),MAX($C69:$C69)=I3,$G$11="")</formula>
    </cfRule>
    <cfRule type="expression" dxfId="228" priority="332" stopIfTrue="1">
      <formula>$G$11=0</formula>
    </cfRule>
  </conditionalFormatting>
  <conditionalFormatting sqref="Q100:Q114">
    <cfRule type="expression" dxfId="227" priority="30" stopIfTrue="1">
      <formula>MAX($BU$99:$BU$120)+14&lt;$B100</formula>
    </cfRule>
  </conditionalFormatting>
  <conditionalFormatting sqref="R100:T114">
    <cfRule type="expression" dxfId="226" priority="206" stopIfTrue="1">
      <formula>MAX($BG$99:$BG$120)+14&lt;$B100</formula>
    </cfRule>
  </conditionalFormatting>
  <conditionalFormatting sqref="T100:T114">
    <cfRule type="expression" dxfId="225" priority="207">
      <formula>MAX($BG$101:$BG$120)+4&lt;$B100</formula>
    </cfRule>
  </conditionalFormatting>
  <conditionalFormatting sqref="V99:V104">
    <cfRule type="expression" dxfId="224" priority="94" stopIfTrue="1">
      <formula>MAX($BU$99:$BU$120)+14&lt;$B99</formula>
    </cfRule>
    <cfRule type="expression" dxfId="223" priority="95">
      <formula>MAX($BU$101:$BU$120)+4&lt;$B99</formula>
    </cfRule>
  </conditionalFormatting>
  <conditionalFormatting sqref="AX88">
    <cfRule type="expression" dxfId="222" priority="40" stopIfTrue="1">
      <formula>$I$66=""</formula>
    </cfRule>
    <cfRule type="expression" dxfId="221" priority="42" stopIfTrue="1">
      <formula>$I$66=1</formula>
    </cfRule>
    <cfRule type="expression" dxfId="220" priority="43" stopIfTrue="1">
      <formula>$I$66=2</formula>
    </cfRule>
    <cfRule type="expression" dxfId="219" priority="44" stopIfTrue="1">
      <formula>$I$66=3</formula>
    </cfRule>
    <cfRule type="expression" dxfId="218" priority="45" stopIfTrue="1">
      <formula>$I$66=4</formula>
    </cfRule>
    <cfRule type="expression" dxfId="217" priority="46" stopIfTrue="1">
      <formula>$I$66=5</formula>
    </cfRule>
    <cfRule type="expression" dxfId="216" priority="47" stopIfTrue="1">
      <formula>$I$66=7</formula>
    </cfRule>
    <cfRule type="expression" dxfId="215" priority="48" stopIfTrue="1">
      <formula>$I$66=8</formula>
    </cfRule>
    <cfRule type="expression" dxfId="214" priority="41" stopIfTrue="1">
      <formula>$I$66=0</formula>
    </cfRule>
  </conditionalFormatting>
  <conditionalFormatting sqref="BB88">
    <cfRule type="expression" dxfId="213" priority="49" stopIfTrue="1">
      <formula>$I$66=""</formula>
    </cfRule>
    <cfRule type="expression" dxfId="212" priority="50" stopIfTrue="1">
      <formula>$I$66=0</formula>
    </cfRule>
    <cfRule type="expression" dxfId="211" priority="51" stopIfTrue="1">
      <formula>$I$66=1</formula>
    </cfRule>
    <cfRule type="expression" dxfId="210" priority="53" stopIfTrue="1">
      <formula>$I$66=3</formula>
    </cfRule>
    <cfRule type="expression" dxfId="209" priority="54" stopIfTrue="1">
      <formula>$I$66=4</formula>
    </cfRule>
    <cfRule type="expression" dxfId="208" priority="55" stopIfTrue="1">
      <formula>$I$66=5</formula>
    </cfRule>
    <cfRule type="expression" dxfId="207" priority="56" stopIfTrue="1">
      <formula>$I$66=7</formula>
    </cfRule>
    <cfRule type="expression" dxfId="206" priority="57" stopIfTrue="1">
      <formula>$I$66=8</formula>
    </cfRule>
    <cfRule type="expression" dxfId="205" priority="52" stopIfTrue="1">
      <formula>$I$66=2</formula>
    </cfRule>
  </conditionalFormatting>
  <conditionalFormatting sqref="BF88">
    <cfRule type="expression" dxfId="204" priority="66" stopIfTrue="1">
      <formula>$I$66=8</formula>
    </cfRule>
    <cfRule type="expression" dxfId="203" priority="58" stopIfTrue="1">
      <formula>$I$66=""</formula>
    </cfRule>
    <cfRule type="expression" dxfId="202" priority="64" stopIfTrue="1">
      <formula>$I$66=5</formula>
    </cfRule>
    <cfRule type="expression" dxfId="201" priority="59" stopIfTrue="1">
      <formula>$I$66=0</formula>
    </cfRule>
    <cfRule type="expression" dxfId="200" priority="60" stopIfTrue="1">
      <formula>$I$66=1</formula>
    </cfRule>
    <cfRule type="expression" dxfId="199" priority="61" stopIfTrue="1">
      <formula>$I$66=2</formula>
    </cfRule>
    <cfRule type="expression" dxfId="198" priority="62" stopIfTrue="1">
      <formula>$I$66=3</formula>
    </cfRule>
    <cfRule type="expression" dxfId="197" priority="63" stopIfTrue="1">
      <formula>$I$66=4</formula>
    </cfRule>
    <cfRule type="expression" dxfId="196" priority="65" stopIfTrue="1">
      <formula>$I$66=7</formula>
    </cfRule>
  </conditionalFormatting>
  <conditionalFormatting sqref="BJ88">
    <cfRule type="expression" dxfId="195" priority="68" stopIfTrue="1">
      <formula>$I$66=0</formula>
    </cfRule>
    <cfRule type="expression" dxfId="194" priority="67" stopIfTrue="1">
      <formula>$I$66=""</formula>
    </cfRule>
    <cfRule type="expression" dxfId="193" priority="73" stopIfTrue="1">
      <formula>$I$66=5</formula>
    </cfRule>
    <cfRule type="expression" dxfId="192" priority="75" stopIfTrue="1">
      <formula>$I$66=8</formula>
    </cfRule>
    <cfRule type="expression" dxfId="191" priority="69" stopIfTrue="1">
      <formula>$I$66=1</formula>
    </cfRule>
    <cfRule type="expression" dxfId="190" priority="72" stopIfTrue="1">
      <formula>$I$66=4</formula>
    </cfRule>
    <cfRule type="expression" dxfId="189" priority="71" stopIfTrue="1">
      <formula>$I$66=3</formula>
    </cfRule>
    <cfRule type="expression" dxfId="188" priority="70" stopIfTrue="1">
      <formula>$I$66=2</formula>
    </cfRule>
    <cfRule type="expression" dxfId="187" priority="74" stopIfTrue="1">
      <formula>$I$66=7</formula>
    </cfRule>
  </conditionalFormatting>
  <conditionalFormatting sqref="BN88">
    <cfRule type="expression" dxfId="186" priority="76" stopIfTrue="1">
      <formula>$I$66=""</formula>
    </cfRule>
    <cfRule type="expression" dxfId="185" priority="77" stopIfTrue="1">
      <formula>$I$66=0</formula>
    </cfRule>
    <cfRule type="expression" dxfId="184" priority="79" stopIfTrue="1">
      <formula>$I$66=2</formula>
    </cfRule>
    <cfRule type="expression" dxfId="183" priority="78" stopIfTrue="1">
      <formula>$I$66=1</formula>
    </cfRule>
    <cfRule type="expression" dxfId="182" priority="80" stopIfTrue="1">
      <formula>$I$66=3</formula>
    </cfRule>
    <cfRule type="expression" dxfId="181" priority="81" stopIfTrue="1">
      <formula>$I$66=4</formula>
    </cfRule>
    <cfRule type="expression" dxfId="180" priority="82" stopIfTrue="1">
      <formula>$I$66=5</formula>
    </cfRule>
    <cfRule type="expression" dxfId="179" priority="84" stopIfTrue="1">
      <formula>$I$66=8</formula>
    </cfRule>
    <cfRule type="expression" dxfId="178" priority="83" stopIfTrue="1">
      <formula>$I$66=7</formula>
    </cfRule>
  </conditionalFormatting>
  <conditionalFormatting sqref="BR88">
    <cfRule type="expression" dxfId="177" priority="93" stopIfTrue="1">
      <formula>$I$66=8</formula>
    </cfRule>
    <cfRule type="expression" dxfId="176" priority="92" stopIfTrue="1">
      <formula>$I$66=7</formula>
    </cfRule>
    <cfRule type="expression" dxfId="175" priority="91" stopIfTrue="1">
      <formula>$I$66=5</formula>
    </cfRule>
    <cfRule type="expression" dxfId="174" priority="90" stopIfTrue="1">
      <formula>$I$66=4</formula>
    </cfRule>
    <cfRule type="expression" dxfId="173" priority="85" stopIfTrue="1">
      <formula>$I$66=""</formula>
    </cfRule>
    <cfRule type="expression" dxfId="172" priority="86" stopIfTrue="1">
      <formula>$I$66=0</formula>
    </cfRule>
    <cfRule type="expression" dxfId="171" priority="87" stopIfTrue="1">
      <formula>$I$66=1</formula>
    </cfRule>
    <cfRule type="expression" dxfId="170" priority="88" stopIfTrue="1">
      <formula>$I$66=2</formula>
    </cfRule>
    <cfRule type="expression" dxfId="169" priority="89" stopIfTrue="1">
      <formula>$I$66=3</formula>
    </cfRule>
  </conditionalFormatting>
  <hyperlinks>
    <hyperlink ref="C72" location="入力及び計算結果!A1" display="「入力及び計算結果」に戻る" xr:uid="{00000000-0004-0000-0A00-000000000000}"/>
  </hyperlinks>
  <pageMargins left="0.7" right="0.7" top="0.75" bottom="0.75" header="0.3" footer="0.3"/>
  <pageSetup paperSize="9"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O250"/>
  <sheetViews>
    <sheetView topLeftCell="A59" zoomScale="90" zoomScaleNormal="90" workbookViewId="0">
      <selection activeCell="C72" sqref="C72"/>
    </sheetView>
  </sheetViews>
  <sheetFormatPr defaultRowHeight="13" x14ac:dyDescent="0.2"/>
  <cols>
    <col min="1" max="1" width="2.453125" style="91" customWidth="1"/>
    <col min="2" max="2" width="12.08984375" customWidth="1"/>
    <col min="3" max="3" width="24.08984375" customWidth="1"/>
    <col min="4" max="9" width="12.453125" customWidth="1"/>
    <col min="10" max="10" width="15.453125" customWidth="1"/>
    <col min="11" max="21" width="12.453125" customWidth="1"/>
    <col min="22" max="22" width="12.08984375" customWidth="1"/>
    <col min="23" max="23" width="11.90625" bestFit="1" customWidth="1"/>
    <col min="24" max="24" width="9.26953125" customWidth="1"/>
    <col min="25" max="25" width="19.7265625" customWidth="1"/>
    <col min="26" max="26" width="5.7265625" customWidth="1"/>
    <col min="27" max="28" width="13.90625" customWidth="1"/>
    <col min="29" max="29" width="12.453125" customWidth="1"/>
    <col min="30" max="30" width="12.08984375" customWidth="1"/>
    <col min="31" max="31" width="11.90625" bestFit="1" customWidth="1"/>
    <col min="32" max="32" width="9.26953125" customWidth="1"/>
    <col min="33" max="33" width="19.7265625" customWidth="1"/>
    <col min="34" max="34" width="5.7265625" customWidth="1"/>
    <col min="35" max="36" width="13.90625" customWidth="1"/>
    <col min="37" max="37" width="12.453125" customWidth="1"/>
    <col min="38" max="38" width="12.08984375" customWidth="1"/>
    <col min="39" max="39" width="11.90625" bestFit="1" customWidth="1"/>
    <col min="40" max="40" width="9.26953125" customWidth="1"/>
    <col min="41" max="41" width="19.7265625" customWidth="1"/>
    <col min="42" max="42" width="5.7265625" customWidth="1"/>
    <col min="43" max="47" width="13.90625" customWidth="1"/>
    <col min="48" max="48" width="11.453125" customWidth="1"/>
    <col min="49" max="50" width="13.453125" customWidth="1"/>
    <col min="51" max="51" width="11.90625" style="99" customWidth="1"/>
    <col min="52" max="52" width="12.453125" style="99" customWidth="1"/>
    <col min="53" max="53" width="13.7265625" style="143" customWidth="1"/>
    <col min="54" max="54" width="14.453125" style="99" customWidth="1"/>
    <col min="55" max="55" width="12.453125" style="143" customWidth="1"/>
    <col min="56" max="56" width="16.08984375" style="143" customWidth="1"/>
    <col min="57" max="57" width="13.26953125" style="143" customWidth="1"/>
    <col min="58" max="58" width="14.453125" style="143" customWidth="1"/>
    <col min="59" max="59" width="11.90625" style="99" customWidth="1"/>
    <col min="60" max="60" width="12.453125" style="99" customWidth="1"/>
    <col min="61" max="61" width="13.453125" style="143" customWidth="1"/>
    <col min="62" max="62" width="14.453125" style="99" customWidth="1"/>
    <col min="63" max="63" width="12.7265625" style="143" customWidth="1"/>
    <col min="64" max="64" width="16.08984375" style="143" customWidth="1"/>
    <col min="65" max="65" width="13.26953125" style="143" customWidth="1"/>
    <col min="66" max="66" width="14.453125" style="143" customWidth="1"/>
    <col min="67" max="67" width="11.90625" style="99" customWidth="1"/>
    <col min="68" max="68" width="12.453125" style="99" customWidth="1"/>
    <col min="69" max="69" width="14.08984375" style="143" customWidth="1"/>
    <col min="70" max="70" width="14.90625" style="99" customWidth="1"/>
    <col min="71" max="71" width="16.08984375" style="143" customWidth="1"/>
    <col min="72" max="72" width="8.7265625" style="143" customWidth="1"/>
    <col min="73" max="73" width="10.7265625" style="80" customWidth="1"/>
    <col min="74" max="74" width="14.08984375" style="143" customWidth="1"/>
    <col min="75" max="75" width="14.08984375" style="99" customWidth="1"/>
    <col min="76" max="76" width="9.08984375" style="99" customWidth="1"/>
    <col min="77" max="77" width="9.08984375" style="80" customWidth="1"/>
    <col min="78" max="78" width="13.08984375" style="80" customWidth="1"/>
    <col min="79" max="81" width="9.08984375" style="80" customWidth="1"/>
    <col min="82" max="82" width="13.08984375" style="80" customWidth="1"/>
    <col min="83" max="84" width="9.08984375" style="80" customWidth="1"/>
    <col min="85" max="87" width="9.08984375" style="99" customWidth="1"/>
    <col min="89" max="89" width="11.453125" bestFit="1" customWidth="1"/>
    <col min="90" max="90" width="5.08984375" customWidth="1"/>
    <col min="92" max="92" width="11.453125" bestFit="1" customWidth="1"/>
    <col min="93" max="93" width="5.08984375" customWidth="1"/>
    <col min="95" max="95" width="11.453125" bestFit="1" customWidth="1"/>
    <col min="96" max="96" width="5.08984375" customWidth="1"/>
  </cols>
  <sheetData>
    <row r="1" spans="2:84" ht="15" customHeight="1" x14ac:dyDescent="0.2">
      <c r="B1" s="17" t="str">
        <f>入力及び計算結果!B1</f>
        <v>ver.1.0（2026/07/01）</v>
      </c>
      <c r="C1" s="39"/>
      <c r="D1" s="39"/>
    </row>
    <row r="2" spans="2:84" ht="15" customHeight="1" x14ac:dyDescent="0.2">
      <c r="B2" s="606" t="s">
        <v>351</v>
      </c>
      <c r="C2" s="606"/>
      <c r="D2" s="606"/>
      <c r="F2" s="89"/>
      <c r="G2" s="21" t="s">
        <v>96</v>
      </c>
      <c r="AW2" s="99"/>
      <c r="AX2" s="99"/>
      <c r="AY2" s="143"/>
      <c r="BB2" s="143"/>
      <c r="BE2" s="99"/>
      <c r="BF2" s="99"/>
      <c r="BG2" s="143"/>
      <c r="BJ2" s="143"/>
      <c r="BM2" s="99"/>
      <c r="BN2" s="99"/>
      <c r="BO2" s="143"/>
      <c r="BR2" s="143"/>
      <c r="BS2" s="80"/>
      <c r="BU2" s="99"/>
      <c r="BV2" s="99"/>
      <c r="BW2" s="80"/>
      <c r="BX2" s="80"/>
      <c r="CE2" s="99"/>
      <c r="CF2" s="99"/>
    </row>
    <row r="3" spans="2:84" ht="15" customHeight="1" x14ac:dyDescent="0.2">
      <c r="B3" s="606"/>
      <c r="C3" s="606"/>
      <c r="D3" s="606"/>
      <c r="F3" s="22"/>
      <c r="G3" t="s">
        <v>97</v>
      </c>
      <c r="I3" s="23"/>
      <c r="J3" s="21" t="s">
        <v>98</v>
      </c>
      <c r="W3" s="99"/>
      <c r="X3" s="99"/>
      <c r="Y3" s="99"/>
      <c r="Z3" s="99"/>
      <c r="AA3" s="99"/>
      <c r="AB3" s="99"/>
      <c r="AE3" s="99"/>
      <c r="AF3" s="99"/>
      <c r="AG3" s="99"/>
      <c r="AH3" s="99"/>
      <c r="AI3" s="99"/>
      <c r="AJ3" s="99"/>
      <c r="AM3" s="99"/>
      <c r="AN3" s="99"/>
      <c r="AO3" s="99"/>
      <c r="AP3" s="99"/>
      <c r="AQ3" s="99"/>
      <c r="AR3" s="99"/>
      <c r="AS3" s="99"/>
      <c r="AT3" s="99"/>
      <c r="AU3" s="99"/>
      <c r="AV3" s="99"/>
      <c r="AW3" s="99"/>
      <c r="AX3" s="99"/>
      <c r="BA3" s="144"/>
      <c r="BB3" s="80"/>
      <c r="BC3" s="144"/>
      <c r="BD3" s="144"/>
      <c r="BE3" s="144"/>
      <c r="BF3" s="144"/>
      <c r="BI3" s="144"/>
      <c r="BJ3" s="80"/>
      <c r="BK3" s="144"/>
      <c r="BL3" s="144"/>
      <c r="BM3" s="144"/>
      <c r="BN3" s="144"/>
      <c r="BQ3" s="144"/>
      <c r="BR3" s="80"/>
      <c r="BS3" s="144"/>
      <c r="BT3" s="144"/>
      <c r="BV3" s="144"/>
      <c r="BW3" s="80"/>
      <c r="BX3" s="80"/>
    </row>
    <row r="4" spans="2:84" ht="13.5" customHeight="1" thickBot="1" x14ac:dyDescent="0.25">
      <c r="F4" s="90"/>
      <c r="W4" s="99"/>
      <c r="X4" s="99"/>
      <c r="Y4" s="99"/>
      <c r="Z4" s="99"/>
      <c r="AA4" s="99"/>
      <c r="AB4" s="99"/>
      <c r="AE4" s="99"/>
      <c r="AF4" s="99"/>
      <c r="AG4" s="99"/>
      <c r="AH4" s="99"/>
      <c r="AI4" s="99"/>
      <c r="AJ4" s="99"/>
      <c r="AM4" s="99"/>
      <c r="AN4" s="99"/>
      <c r="AO4" s="99"/>
      <c r="AP4" s="99"/>
      <c r="AQ4" s="99"/>
      <c r="AR4" s="99"/>
      <c r="AS4" s="99"/>
      <c r="AT4" s="99"/>
      <c r="AU4" s="99"/>
      <c r="AV4" s="99"/>
      <c r="AW4" s="99"/>
      <c r="AX4" s="99"/>
      <c r="BA4" s="144"/>
      <c r="BB4" s="80"/>
      <c r="BC4" s="144"/>
      <c r="BD4" s="144"/>
      <c r="BE4" s="144"/>
      <c r="BF4" s="144"/>
      <c r="BI4" s="144"/>
      <c r="BJ4" s="80"/>
      <c r="BK4" s="144"/>
      <c r="BL4" s="144"/>
      <c r="BM4" s="144"/>
      <c r="BN4" s="144"/>
      <c r="BQ4" s="144"/>
      <c r="BR4" s="80"/>
      <c r="BS4" s="144"/>
      <c r="BT4" s="144"/>
      <c r="BV4" s="144"/>
      <c r="BW4" s="80"/>
      <c r="BX4" s="80"/>
    </row>
    <row r="5" spans="2:84" ht="13.5" customHeight="1" thickTop="1" thickBot="1" x14ac:dyDescent="0.25">
      <c r="B5" s="531" t="s">
        <v>155</v>
      </c>
      <c r="C5" s="532"/>
      <c r="D5" s="533" t="str">
        <f>IF(ISBLANK(入力及び計算結果!C6),"",IF(ISBLANK(入力及び計算結果!F7),"",IF(AND(OR(入力及び計算結果!F7=0,入力及び計算結果!F7=2),入力及び計算結果!F9=1),入力及び計算結果!C6,"")))</f>
        <v/>
      </c>
      <c r="E5" s="534"/>
      <c r="F5" s="534"/>
      <c r="G5" s="534"/>
      <c r="H5" s="534"/>
      <c r="I5" s="534"/>
      <c r="J5" s="535"/>
    </row>
    <row r="6" spans="2:84" ht="27" customHeight="1" thickTop="1" thickBot="1" x14ac:dyDescent="0.25">
      <c r="B6" s="536" t="s">
        <v>156</v>
      </c>
      <c r="C6" s="532"/>
      <c r="D6" s="533" t="str">
        <f>IF(ISBLANK(入力及び計算結果!E60),"",入力及び計算結果!E60)</f>
        <v/>
      </c>
      <c r="E6" s="534"/>
      <c r="F6" s="534"/>
      <c r="G6" s="534"/>
      <c r="H6" s="534"/>
      <c r="I6" s="534"/>
      <c r="J6" s="535"/>
    </row>
    <row r="7" spans="2:84" ht="13.5" customHeight="1" thickTop="1" x14ac:dyDescent="0.2">
      <c r="B7" s="145" t="s">
        <v>157</v>
      </c>
      <c r="C7" s="145"/>
      <c r="D7" s="145"/>
      <c r="E7" s="145"/>
      <c r="F7" s="145"/>
      <c r="G7" s="145"/>
      <c r="H7" s="145"/>
      <c r="I7" s="145"/>
    </row>
    <row r="8" spans="2:84" ht="13.5" customHeight="1" x14ac:dyDescent="0.2">
      <c r="B8" s="145"/>
      <c r="C8" s="145"/>
      <c r="D8" s="145"/>
      <c r="E8" s="145"/>
      <c r="F8" s="145"/>
      <c r="G8" s="145"/>
      <c r="H8" s="145"/>
      <c r="I8" s="145"/>
    </row>
    <row r="9" spans="2:84" ht="13.5" customHeight="1" x14ac:dyDescent="0.2">
      <c r="B9" s="91"/>
    </row>
    <row r="10" spans="2:84" ht="13.5" customHeight="1" x14ac:dyDescent="0.2">
      <c r="B10" s="40" t="s">
        <v>158</v>
      </c>
    </row>
    <row r="11" spans="2:84" ht="13.5" customHeight="1" x14ac:dyDescent="0.2">
      <c r="B11" s="95" t="s">
        <v>159</v>
      </c>
      <c r="C11" s="537" t="s">
        <v>160</v>
      </c>
      <c r="D11" s="537"/>
      <c r="E11" s="537"/>
      <c r="F11" s="95" t="s">
        <v>161</v>
      </c>
      <c r="G11" s="95" t="s">
        <v>162</v>
      </c>
      <c r="H11" s="537" t="s">
        <v>163</v>
      </c>
      <c r="I11" s="537"/>
      <c r="J11" s="537"/>
    </row>
    <row r="12" spans="2:84" ht="13.5" customHeight="1" thickBot="1" x14ac:dyDescent="0.25">
      <c r="B12" s="43" t="s">
        <v>164</v>
      </c>
      <c r="C12" s="380" t="s">
        <v>103</v>
      </c>
      <c r="D12" s="452"/>
      <c r="E12" s="453"/>
      <c r="F12" s="146">
        <v>50</v>
      </c>
      <c r="G12" s="43" t="s">
        <v>165</v>
      </c>
      <c r="H12" s="438"/>
      <c r="I12" s="439"/>
      <c r="J12" s="440"/>
    </row>
    <row r="13" spans="2:84" ht="13.5" customHeight="1" thickTop="1" thickBot="1" x14ac:dyDescent="0.25">
      <c r="B13" s="87" t="s">
        <v>166</v>
      </c>
      <c r="C13" s="375" t="s">
        <v>167</v>
      </c>
      <c r="D13" s="375"/>
      <c r="E13" s="401"/>
      <c r="F13" s="147" t="str">
        <f>IF(ISBLANK(入力及び計算結果!E49),"",入力及び計算結果!E49)</f>
        <v/>
      </c>
      <c r="G13" s="69" t="s">
        <v>168</v>
      </c>
      <c r="H13" s="545" t="s">
        <v>169</v>
      </c>
      <c r="I13" s="545"/>
      <c r="J13" s="545"/>
    </row>
    <row r="14" spans="2:84" ht="13.5" customHeight="1" thickTop="1" thickBot="1" x14ac:dyDescent="0.25">
      <c r="B14" s="149" t="s">
        <v>170</v>
      </c>
      <c r="C14" s="401" t="s">
        <v>171</v>
      </c>
      <c r="D14" s="402"/>
      <c r="E14" s="403"/>
      <c r="F14" s="147" t="str">
        <f>IF(ISBLANK(入力及び計算結果!E51),"",入力及び計算結果!E51)</f>
        <v/>
      </c>
      <c r="G14" s="75"/>
      <c r="H14" s="528" t="s">
        <v>348</v>
      </c>
      <c r="I14" s="529"/>
      <c r="J14" s="530"/>
    </row>
    <row r="15" spans="2:84" ht="13.5" customHeight="1" thickTop="1" x14ac:dyDescent="0.2">
      <c r="B15" s="526" t="s">
        <v>173</v>
      </c>
      <c r="C15" s="547" t="s">
        <v>174</v>
      </c>
      <c r="D15" s="539"/>
      <c r="E15" s="539"/>
      <c r="F15" s="151">
        <v>0</v>
      </c>
      <c r="G15" s="526" t="s">
        <v>146</v>
      </c>
      <c r="H15" s="550"/>
      <c r="I15" s="551"/>
      <c r="J15" s="552"/>
    </row>
    <row r="16" spans="2:84" ht="13.5" customHeight="1" x14ac:dyDescent="0.2">
      <c r="B16" s="546"/>
      <c r="C16" s="548"/>
      <c r="D16" s="549"/>
      <c r="E16" s="549"/>
      <c r="F16" s="152">
        <v>14</v>
      </c>
      <c r="G16" s="546"/>
      <c r="H16" s="553"/>
      <c r="I16" s="554"/>
      <c r="J16" s="555"/>
    </row>
    <row r="17" spans="2:76" ht="13.5" customHeight="1" thickBot="1" x14ac:dyDescent="0.25">
      <c r="B17" s="546"/>
      <c r="C17" s="548"/>
      <c r="D17" s="549"/>
      <c r="E17" s="549"/>
      <c r="F17" s="153">
        <v>28</v>
      </c>
      <c r="G17" s="546"/>
      <c r="H17" s="553"/>
      <c r="I17" s="554"/>
      <c r="J17" s="555"/>
    </row>
    <row r="18" spans="2:76" ht="27" customHeight="1" thickTop="1" thickBot="1" x14ac:dyDescent="0.25">
      <c r="B18" s="526" t="s">
        <v>124</v>
      </c>
      <c r="C18" s="538" t="s">
        <v>292</v>
      </c>
      <c r="D18" s="539"/>
      <c r="E18" s="539"/>
      <c r="F18" s="542" t="str">
        <f>IF(ISBLANK(入力及び計算結果!E52),"",入力及び計算結果!E52)</f>
        <v/>
      </c>
      <c r="G18" s="543"/>
      <c r="H18" s="476" t="s">
        <v>54</v>
      </c>
      <c r="I18" s="476"/>
      <c r="J18" s="476"/>
    </row>
    <row r="19" spans="2:76" ht="27" customHeight="1" thickTop="1" thickBot="1" x14ac:dyDescent="0.25">
      <c r="B19" s="527"/>
      <c r="C19" s="540"/>
      <c r="D19" s="541"/>
      <c r="E19" s="541"/>
      <c r="F19" s="542"/>
      <c r="G19" s="544"/>
      <c r="H19" s="476"/>
      <c r="I19" s="476"/>
      <c r="J19" s="476"/>
    </row>
    <row r="20" spans="2:76" ht="27" customHeight="1" thickTop="1" thickBot="1" x14ac:dyDescent="0.25">
      <c r="B20" s="148" t="s">
        <v>176</v>
      </c>
      <c r="C20" s="401" t="s">
        <v>177</v>
      </c>
      <c r="D20" s="402"/>
      <c r="E20" s="402"/>
      <c r="F20" s="156">
        <v>1</v>
      </c>
      <c r="G20" s="69"/>
      <c r="H20" s="373" t="s">
        <v>293</v>
      </c>
      <c r="I20" s="436"/>
      <c r="J20" s="437"/>
    </row>
    <row r="21" spans="2:76" ht="13.5" customHeight="1" thickTop="1" thickBot="1" x14ac:dyDescent="0.25">
      <c r="B21" s="87" t="s">
        <v>178</v>
      </c>
      <c r="C21" s="375" t="s">
        <v>179</v>
      </c>
      <c r="D21" s="375"/>
      <c r="E21" s="401"/>
      <c r="F21" s="147" t="str">
        <f>IF(ISBLANK(入力及び計算結果!E54),"",入力及び計算結果!E54)</f>
        <v/>
      </c>
      <c r="G21" s="69" t="s">
        <v>146</v>
      </c>
      <c r="H21" s="398" t="s">
        <v>180</v>
      </c>
      <c r="I21" s="399"/>
      <c r="J21" s="400"/>
    </row>
    <row r="22" spans="2:76" ht="13.5" customHeight="1" thickTop="1" thickBot="1" x14ac:dyDescent="0.25">
      <c r="B22" s="87" t="s">
        <v>181</v>
      </c>
      <c r="C22" s="401" t="s">
        <v>105</v>
      </c>
      <c r="D22" s="402"/>
      <c r="E22" s="410"/>
      <c r="F22" s="157">
        <v>21</v>
      </c>
      <c r="G22" s="69" t="s">
        <v>146</v>
      </c>
      <c r="H22" s="401"/>
      <c r="I22" s="402"/>
      <c r="J22" s="410"/>
    </row>
    <row r="23" spans="2:76" ht="13.5" customHeight="1" thickTop="1" thickBot="1" x14ac:dyDescent="0.25">
      <c r="B23" s="87" t="s">
        <v>182</v>
      </c>
      <c r="C23" s="375" t="s">
        <v>183</v>
      </c>
      <c r="D23" s="375"/>
      <c r="E23" s="401"/>
      <c r="F23" s="147" t="str">
        <f>IF(ISBLANK(入力及び計算結果!E56),"",入力及び計算結果!E56)</f>
        <v/>
      </c>
      <c r="G23" s="69" t="s">
        <v>184</v>
      </c>
      <c r="H23" s="398"/>
      <c r="I23" s="399"/>
      <c r="J23" s="400"/>
    </row>
    <row r="24" spans="2:76" ht="13.5" customHeight="1" thickTop="1" x14ac:dyDescent="0.2">
      <c r="B24" s="91"/>
      <c r="H24" s="67"/>
      <c r="I24" s="67"/>
      <c r="W24" s="99"/>
      <c r="X24" s="99"/>
      <c r="Y24" s="99"/>
      <c r="Z24" s="99"/>
      <c r="AA24" s="99"/>
      <c r="AB24" s="99"/>
      <c r="AE24" s="99"/>
      <c r="AF24" s="99"/>
      <c r="AG24" s="99"/>
      <c r="AH24" s="99"/>
      <c r="AI24" s="99"/>
      <c r="AJ24" s="99"/>
      <c r="AM24" s="99"/>
      <c r="AN24" s="99"/>
      <c r="AO24" s="99"/>
      <c r="AP24" s="99"/>
      <c r="AQ24" s="99"/>
      <c r="AR24" s="99"/>
      <c r="AS24" s="99"/>
      <c r="AT24" s="99"/>
      <c r="AU24" s="99"/>
      <c r="AV24" s="99"/>
      <c r="AW24" s="99"/>
      <c r="AX24" s="99"/>
      <c r="BX24" s="80"/>
    </row>
    <row r="25" spans="2:76" ht="13.5" customHeight="1" thickBot="1" x14ac:dyDescent="0.25">
      <c r="B25" s="40" t="s">
        <v>185</v>
      </c>
      <c r="H25" s="570" t="s">
        <v>186</v>
      </c>
      <c r="I25" s="570"/>
      <c r="J25" s="570"/>
      <c r="K25" s="570"/>
      <c r="W25" s="99"/>
      <c r="X25" s="99"/>
      <c r="Y25" s="99"/>
      <c r="Z25" s="99"/>
      <c r="AA25" s="99"/>
      <c r="AB25" s="99"/>
      <c r="AE25" s="99"/>
      <c r="AF25" s="99"/>
      <c r="AG25" s="99"/>
      <c r="AH25" s="99"/>
      <c r="AI25" s="99"/>
      <c r="AJ25" s="99"/>
      <c r="AM25" s="99"/>
      <c r="AN25" s="99"/>
      <c r="AO25" s="99"/>
      <c r="AP25" s="99"/>
      <c r="AQ25" s="99"/>
      <c r="AR25" s="99"/>
      <c r="AS25" s="99"/>
      <c r="AT25" s="99"/>
      <c r="AU25" s="99"/>
      <c r="AV25" s="99"/>
      <c r="AW25" s="99"/>
      <c r="AX25" s="99"/>
      <c r="BX25" s="80"/>
    </row>
    <row r="26" spans="2:76" ht="13.5" customHeight="1" thickTop="1" thickBot="1" x14ac:dyDescent="0.25">
      <c r="B26" s="556" t="s">
        <v>187</v>
      </c>
      <c r="C26" s="557"/>
      <c r="D26" s="103" t="str">
        <f>IF(ISBLANK(No.10!D26),"",No.10!D26)</f>
        <v/>
      </c>
      <c r="E26" s="104" t="s">
        <v>146</v>
      </c>
      <c r="G26" s="100"/>
      <c r="H26" s="570"/>
      <c r="I26" s="570"/>
      <c r="J26" s="570"/>
      <c r="K26" s="570"/>
      <c r="W26" s="99"/>
      <c r="X26" s="99"/>
      <c r="Y26" s="99"/>
      <c r="Z26" s="99"/>
      <c r="AA26" s="99"/>
      <c r="AB26" s="99"/>
      <c r="AE26" s="99"/>
      <c r="AF26" s="99"/>
      <c r="AG26" s="99"/>
      <c r="AH26" s="99"/>
      <c r="AI26" s="99"/>
      <c r="AJ26" s="99"/>
      <c r="AM26" s="99"/>
      <c r="AN26" s="99"/>
      <c r="AO26" s="99"/>
      <c r="AP26" s="99"/>
      <c r="AQ26" s="99"/>
      <c r="AR26" s="99"/>
      <c r="AS26" s="99"/>
      <c r="AT26" s="99"/>
      <c r="AU26" s="99"/>
      <c r="AV26" s="99"/>
      <c r="AW26" s="99"/>
      <c r="AX26" s="99"/>
      <c r="BX26" s="80"/>
    </row>
    <row r="27" spans="2:76" ht="13.5" customHeight="1" thickTop="1" thickBot="1" x14ac:dyDescent="0.25">
      <c r="B27" s="380" t="s">
        <v>188</v>
      </c>
      <c r="C27" s="506"/>
      <c r="D27" s="103" t="str">
        <f>IF(ISBLANK(No.10!D27),"",No.10!D27)</f>
        <v/>
      </c>
      <c r="E27" s="104" t="s">
        <v>146</v>
      </c>
      <c r="G27" s="100"/>
      <c r="H27" s="570"/>
      <c r="I27" s="570"/>
      <c r="J27" s="570"/>
      <c r="K27" s="570"/>
      <c r="W27" s="99"/>
      <c r="X27" s="99"/>
      <c r="Y27" s="99"/>
      <c r="Z27" s="99"/>
      <c r="AA27" s="99"/>
      <c r="AB27" s="99"/>
      <c r="AE27" s="99"/>
      <c r="AF27" s="99"/>
      <c r="AG27" s="99"/>
      <c r="AH27" s="99"/>
      <c r="AI27" s="99"/>
      <c r="AJ27" s="99"/>
      <c r="AM27" s="99"/>
      <c r="AN27" s="99"/>
      <c r="AO27" s="99"/>
      <c r="AP27" s="99"/>
      <c r="AQ27" s="99"/>
      <c r="AR27" s="99"/>
      <c r="AS27" s="99"/>
      <c r="AT27" s="99"/>
      <c r="AU27" s="99"/>
      <c r="AV27" s="99"/>
      <c r="AW27" s="99"/>
      <c r="AX27" s="99"/>
      <c r="BX27" s="80"/>
    </row>
    <row r="28" spans="2:76" ht="13.5" customHeight="1" thickTop="1" x14ac:dyDescent="0.2">
      <c r="B28" s="91"/>
      <c r="C28" s="116" t="s">
        <v>189</v>
      </c>
      <c r="D28" s="158">
        <f>IF(ISBLANK(No.10!D28),"",No.10!D28)</f>
        <v>0</v>
      </c>
      <c r="G28" s="100"/>
      <c r="H28" s="570"/>
      <c r="I28" s="570"/>
      <c r="J28" s="570"/>
      <c r="K28" s="570"/>
      <c r="W28" s="99"/>
      <c r="X28" s="99"/>
      <c r="Y28" s="99"/>
      <c r="Z28" s="99"/>
      <c r="AA28" s="99"/>
      <c r="AB28" s="99"/>
      <c r="AE28" s="99"/>
      <c r="AF28" s="99"/>
      <c r="AG28" s="99"/>
      <c r="AH28" s="99"/>
      <c r="AI28" s="99"/>
      <c r="AJ28" s="99"/>
      <c r="AM28" s="99"/>
      <c r="AN28" s="99"/>
      <c r="AO28" s="99"/>
      <c r="AP28" s="99"/>
      <c r="AQ28" s="99"/>
      <c r="AR28" s="99"/>
      <c r="AS28" s="99"/>
      <c r="AT28" s="99"/>
      <c r="AU28" s="99"/>
      <c r="AV28" s="99"/>
      <c r="AW28" s="99"/>
      <c r="AX28" s="99"/>
      <c r="BX28" s="80"/>
    </row>
    <row r="29" spans="2:76" ht="13.5" customHeight="1" x14ac:dyDescent="0.2">
      <c r="B29" s="91"/>
      <c r="C29" s="116" t="s">
        <v>190</v>
      </c>
      <c r="D29" s="159">
        <f>IF(ISBLANK(No.10!D29),"",No.10!D29)</f>
        <v>0</v>
      </c>
      <c r="G29" s="100"/>
      <c r="H29" s="570"/>
      <c r="I29" s="570"/>
      <c r="J29" s="570"/>
      <c r="K29" s="570"/>
      <c r="W29" s="99"/>
      <c r="X29" s="99"/>
      <c r="Y29" s="99"/>
      <c r="Z29" s="99"/>
      <c r="AA29" s="99"/>
      <c r="AB29" s="99"/>
      <c r="AE29" s="99"/>
      <c r="AF29" s="99"/>
      <c r="AG29" s="99"/>
      <c r="AH29" s="99"/>
      <c r="AI29" s="99"/>
      <c r="AJ29" s="99"/>
      <c r="AM29" s="99"/>
      <c r="AN29" s="99"/>
      <c r="AO29" s="99"/>
      <c r="AP29" s="99"/>
      <c r="AQ29" s="99"/>
      <c r="AR29" s="99"/>
      <c r="AS29" s="99"/>
      <c r="AT29" s="99"/>
      <c r="AU29" s="99"/>
      <c r="AV29" s="99"/>
      <c r="AW29" s="99"/>
      <c r="AX29" s="99"/>
      <c r="BX29" s="80"/>
    </row>
    <row r="30" spans="2:76" ht="13.5" customHeight="1" thickBot="1" x14ac:dyDescent="0.25">
      <c r="B30" t="s">
        <v>191</v>
      </c>
      <c r="G30" s="100"/>
      <c r="H30" s="570"/>
      <c r="I30" s="570"/>
      <c r="J30" s="570"/>
      <c r="K30" s="570"/>
      <c r="W30" s="99"/>
      <c r="X30" s="99"/>
      <c r="Y30" s="99"/>
      <c r="Z30" s="99"/>
      <c r="AA30" s="99"/>
      <c r="AB30" s="99"/>
      <c r="AE30" s="99"/>
      <c r="AF30" s="99"/>
      <c r="AG30" s="99"/>
      <c r="AH30" s="99"/>
      <c r="AI30" s="99"/>
      <c r="AJ30" s="99"/>
      <c r="AM30" s="99"/>
      <c r="AN30" s="99"/>
      <c r="AO30" s="99"/>
      <c r="AP30" s="99"/>
      <c r="AQ30" s="99"/>
      <c r="AR30" s="99"/>
      <c r="AS30" s="99"/>
      <c r="AT30" s="99"/>
      <c r="AU30" s="99"/>
      <c r="AV30" s="99"/>
      <c r="AW30" s="99"/>
      <c r="AX30" s="99"/>
      <c r="BX30" s="80"/>
    </row>
    <row r="31" spans="2:76" ht="13.5" customHeight="1" thickTop="1" thickBot="1" x14ac:dyDescent="0.25">
      <c r="B31" s="380" t="s">
        <v>192</v>
      </c>
      <c r="C31" s="506"/>
      <c r="D31" s="103" t="str">
        <f>IF(ISBLANK(No.10!D31),"",No.10!D31)</f>
        <v/>
      </c>
      <c r="E31" s="104" t="s">
        <v>146</v>
      </c>
      <c r="G31" s="100"/>
      <c r="H31" s="570"/>
      <c r="I31" s="570"/>
      <c r="J31" s="570"/>
      <c r="K31" s="570"/>
      <c r="W31" s="99"/>
      <c r="X31" s="99"/>
      <c r="Y31" s="99"/>
      <c r="Z31" s="99"/>
      <c r="AA31" s="99"/>
      <c r="AB31" s="99"/>
      <c r="AE31" s="99"/>
      <c r="AF31" s="99"/>
      <c r="AG31" s="99"/>
      <c r="AH31" s="99"/>
      <c r="AI31" s="99"/>
      <c r="AJ31" s="99"/>
      <c r="AM31" s="99"/>
      <c r="AN31" s="99"/>
      <c r="AO31" s="99"/>
      <c r="AP31" s="99"/>
      <c r="AQ31" s="99"/>
      <c r="AR31" s="99"/>
      <c r="AS31" s="99"/>
      <c r="AT31" s="99"/>
      <c r="AU31" s="99"/>
      <c r="AV31" s="99"/>
      <c r="AW31" s="99"/>
      <c r="AX31" s="99"/>
      <c r="BX31" s="80"/>
    </row>
    <row r="32" spans="2:76" ht="13.5" customHeight="1" thickTop="1" x14ac:dyDescent="0.2">
      <c r="B32" s="91"/>
      <c r="C32" s="117" t="s">
        <v>193</v>
      </c>
      <c r="D32" s="159">
        <f>IF(ISBLANK(No.10!D32),"",No.10!D32)</f>
        <v>0</v>
      </c>
      <c r="G32" s="100"/>
      <c r="H32" s="570"/>
      <c r="I32" s="570"/>
      <c r="J32" s="570"/>
      <c r="K32" s="570"/>
      <c r="W32" s="99"/>
      <c r="X32" s="99"/>
      <c r="Y32" s="99"/>
      <c r="Z32" s="99"/>
      <c r="AA32" s="99"/>
      <c r="AB32" s="99"/>
      <c r="AE32" s="99"/>
      <c r="AF32" s="99"/>
      <c r="AG32" s="99"/>
      <c r="AH32" s="99"/>
      <c r="AI32" s="99"/>
      <c r="AJ32" s="99"/>
      <c r="AM32" s="99"/>
      <c r="AN32" s="99"/>
      <c r="AO32" s="99"/>
      <c r="AP32" s="99"/>
      <c r="AQ32" s="99"/>
      <c r="AR32" s="99"/>
      <c r="AS32" s="99"/>
      <c r="AT32" s="99"/>
      <c r="AU32" s="99"/>
      <c r="AV32" s="99"/>
      <c r="AW32" s="99"/>
      <c r="AX32" s="99"/>
      <c r="BX32" s="80"/>
    </row>
    <row r="33" spans="2:76" ht="13.5" customHeight="1" x14ac:dyDescent="0.2">
      <c r="B33" s="91"/>
      <c r="C33" s="117"/>
      <c r="G33" s="100"/>
      <c r="H33" s="570"/>
      <c r="I33" s="570"/>
      <c r="J33" s="570"/>
      <c r="K33" s="570"/>
      <c r="W33" s="99"/>
      <c r="X33" s="99"/>
      <c r="Y33" s="99"/>
      <c r="Z33" s="99"/>
      <c r="AA33" s="99"/>
      <c r="AB33" s="99"/>
      <c r="AE33" s="99"/>
      <c r="AF33" s="99"/>
      <c r="AG33" s="99"/>
      <c r="AH33" s="99"/>
      <c r="AI33" s="99"/>
      <c r="AJ33" s="99"/>
      <c r="AM33" s="99"/>
      <c r="AN33" s="99"/>
      <c r="AO33" s="99"/>
      <c r="AP33" s="99"/>
      <c r="AQ33" s="99"/>
      <c r="AR33" s="99"/>
      <c r="AS33" s="99"/>
      <c r="AT33" s="99"/>
      <c r="AU33" s="99"/>
      <c r="AV33" s="99"/>
      <c r="AW33" s="99"/>
      <c r="AX33" s="99"/>
      <c r="BX33" s="80"/>
    </row>
    <row r="34" spans="2:76" ht="13.5" customHeight="1" x14ac:dyDescent="0.2">
      <c r="B34" s="91"/>
      <c r="C34" s="116" t="s">
        <v>194</v>
      </c>
      <c r="D34" s="159">
        <f>IF(ISBLANK(No.10!D34),"",No.10!D34)</f>
        <v>0</v>
      </c>
      <c r="G34" s="100"/>
      <c r="H34" s="570"/>
      <c r="I34" s="570"/>
      <c r="J34" s="570"/>
      <c r="K34" s="570"/>
      <c r="W34" s="99"/>
      <c r="X34" s="99"/>
      <c r="Y34" s="99"/>
      <c r="Z34" s="99"/>
      <c r="AA34" s="99"/>
      <c r="AB34" s="99"/>
      <c r="AE34" s="99"/>
      <c r="AF34" s="99"/>
      <c r="AG34" s="99"/>
      <c r="AH34" s="99"/>
      <c r="AI34" s="99"/>
      <c r="AJ34" s="99"/>
      <c r="AM34" s="99"/>
      <c r="AN34" s="99"/>
      <c r="AO34" s="99"/>
      <c r="AP34" s="99"/>
      <c r="AQ34" s="99"/>
      <c r="AR34" s="99"/>
      <c r="AS34" s="99"/>
      <c r="AT34" s="99"/>
      <c r="AU34" s="99"/>
      <c r="AV34" s="99"/>
      <c r="AW34" s="99"/>
      <c r="AX34" s="99"/>
      <c r="BX34" s="80"/>
    </row>
    <row r="35" spans="2:76" ht="13.5" customHeight="1" x14ac:dyDescent="0.2">
      <c r="B35" s="91"/>
      <c r="G35" s="100"/>
      <c r="H35" s="100"/>
      <c r="I35" s="100"/>
      <c r="J35" s="100"/>
      <c r="W35" s="99"/>
      <c r="X35" s="99"/>
      <c r="Y35" s="99"/>
      <c r="Z35" s="99"/>
      <c r="AA35" s="99"/>
      <c r="AB35" s="99"/>
      <c r="AE35" s="99"/>
      <c r="AF35" s="99"/>
      <c r="AG35" s="99"/>
      <c r="AH35" s="99"/>
      <c r="AI35" s="99"/>
      <c r="AJ35" s="99"/>
      <c r="AM35" s="99"/>
      <c r="AN35" s="99"/>
      <c r="AO35" s="99"/>
      <c r="AP35" s="99"/>
      <c r="AQ35" s="99"/>
      <c r="AR35" s="99"/>
      <c r="AS35" s="99"/>
      <c r="AT35" s="99"/>
      <c r="AU35" s="99"/>
      <c r="AV35" s="99"/>
      <c r="AW35" s="99"/>
      <c r="AX35" s="99"/>
      <c r="BX35" s="80"/>
    </row>
    <row r="36" spans="2:76" ht="13.5" customHeight="1" thickBot="1" x14ac:dyDescent="0.25">
      <c r="B36" s="569" t="s">
        <v>195</v>
      </c>
      <c r="C36" s="569"/>
      <c r="D36" s="569"/>
      <c r="F36" s="160" t="s">
        <v>196</v>
      </c>
      <c r="W36" s="99"/>
      <c r="X36" s="99"/>
      <c r="Y36" s="99"/>
      <c r="Z36" s="99"/>
      <c r="AA36" s="99"/>
      <c r="AB36" s="99"/>
      <c r="AE36" s="99"/>
      <c r="AF36" s="99"/>
      <c r="AG36" s="99"/>
      <c r="AH36" s="99"/>
      <c r="AI36" s="99"/>
      <c r="AJ36" s="99"/>
      <c r="AM36" s="99"/>
      <c r="AN36" s="99"/>
      <c r="AO36" s="99"/>
      <c r="AP36" s="99"/>
      <c r="AQ36" s="99"/>
      <c r="AR36" s="99"/>
      <c r="AS36" s="99"/>
      <c r="AT36" s="99"/>
      <c r="AU36" s="99"/>
      <c r="AV36" s="99"/>
      <c r="AW36" s="99"/>
      <c r="AX36" s="99"/>
      <c r="BX36" s="80"/>
    </row>
    <row r="37" spans="2:76" ht="13.5" customHeight="1" thickTop="1" x14ac:dyDescent="0.2">
      <c r="B37" s="567" t="s">
        <v>197</v>
      </c>
      <c r="C37" s="567" t="s">
        <v>198</v>
      </c>
      <c r="D37" s="505" t="s">
        <v>199</v>
      </c>
      <c r="F37" s="71" t="s">
        <v>159</v>
      </c>
      <c r="G37" s="45" t="s">
        <v>160</v>
      </c>
      <c r="H37" s="161"/>
      <c r="I37" s="162"/>
      <c r="J37" s="71" t="s">
        <v>161</v>
      </c>
      <c r="K37" s="71" t="s">
        <v>162</v>
      </c>
      <c r="W37" s="99"/>
      <c r="X37" s="99"/>
      <c r="Y37" s="99"/>
      <c r="Z37" s="99"/>
      <c r="AA37" s="99"/>
      <c r="AB37" s="99"/>
      <c r="AE37" s="99"/>
      <c r="AF37" s="99"/>
      <c r="AG37" s="99"/>
      <c r="AH37" s="99"/>
      <c r="AI37" s="99"/>
      <c r="AJ37" s="99"/>
      <c r="AM37" s="99"/>
      <c r="AN37" s="99"/>
      <c r="AO37" s="99"/>
      <c r="AP37" s="99"/>
      <c r="AQ37" s="99"/>
      <c r="AR37" s="99"/>
      <c r="AS37" s="99"/>
      <c r="AT37" s="99"/>
      <c r="AU37" s="99"/>
      <c r="AV37" s="99"/>
      <c r="AW37" s="99"/>
      <c r="AX37" s="99"/>
      <c r="BX37" s="80"/>
    </row>
    <row r="38" spans="2:76" ht="13.5" customHeight="1" x14ac:dyDescent="0.2">
      <c r="B38" s="568"/>
      <c r="C38" s="568"/>
      <c r="D38" s="505"/>
      <c r="F38" s="46" t="s">
        <v>200</v>
      </c>
      <c r="G38" s="401" t="s">
        <v>201</v>
      </c>
      <c r="H38" s="402"/>
      <c r="I38" s="410"/>
      <c r="J38" s="163">
        <v>30</v>
      </c>
      <c r="K38" s="87" t="s">
        <v>202</v>
      </c>
      <c r="W38" s="99"/>
      <c r="X38" s="99"/>
      <c r="Y38" s="99"/>
      <c r="Z38" s="99"/>
      <c r="AA38" s="99"/>
      <c r="AB38" s="99"/>
      <c r="AE38" s="99"/>
      <c r="AF38" s="99"/>
      <c r="AG38" s="99"/>
      <c r="AH38" s="99"/>
      <c r="AI38" s="99"/>
      <c r="AJ38" s="99"/>
      <c r="AM38" s="99"/>
      <c r="AN38" s="99"/>
      <c r="AO38" s="99"/>
      <c r="AP38" s="99"/>
      <c r="AQ38" s="99"/>
      <c r="AR38" s="99"/>
      <c r="AS38" s="99"/>
      <c r="AT38" s="99"/>
      <c r="AU38" s="99"/>
      <c r="AV38" s="99"/>
      <c r="AW38" s="99"/>
      <c r="AX38" s="99"/>
      <c r="BX38" s="80"/>
    </row>
    <row r="39" spans="2:76" ht="13.5" customHeight="1" x14ac:dyDescent="0.2">
      <c r="B39" s="164" t="str">
        <f>IF(ISBLANK(入力及び計算結果!E61),"",入力及び計算結果!E61)</f>
        <v/>
      </c>
      <c r="C39" s="164" t="str">
        <f>IF(ISBLANK(入力及び計算結果!E62),"",入力及び計算結果!E62)</f>
        <v/>
      </c>
      <c r="D39" s="165" t="str">
        <f>IF(ISNUMBER(C39),LN(C39/C$39),"")</f>
        <v/>
      </c>
      <c r="F39" s="46" t="s">
        <v>203</v>
      </c>
      <c r="G39" s="401" t="s">
        <v>204</v>
      </c>
      <c r="H39" s="402"/>
      <c r="I39" s="410"/>
      <c r="J39" s="163">
        <v>20</v>
      </c>
      <c r="K39" s="46" t="s">
        <v>202</v>
      </c>
      <c r="W39" s="99"/>
      <c r="X39" s="99"/>
      <c r="Y39" s="99"/>
      <c r="Z39" s="99"/>
      <c r="AA39" s="99"/>
      <c r="AB39" s="99"/>
      <c r="AE39" s="99"/>
      <c r="AF39" s="99"/>
      <c r="AG39" s="99"/>
      <c r="AH39" s="99"/>
      <c r="AI39" s="99"/>
      <c r="AJ39" s="99"/>
      <c r="AM39" s="99"/>
      <c r="AN39" s="99"/>
      <c r="AO39" s="99"/>
      <c r="AP39" s="99"/>
      <c r="AQ39" s="99"/>
      <c r="AR39" s="99"/>
      <c r="AS39" s="99"/>
      <c r="AT39" s="99"/>
      <c r="AU39" s="99"/>
      <c r="AV39" s="99"/>
      <c r="AW39" s="99"/>
      <c r="AX39" s="99"/>
      <c r="BX39" s="80"/>
    </row>
    <row r="40" spans="2:76" ht="13.5" customHeight="1" x14ac:dyDescent="0.2">
      <c r="B40" s="164" t="str">
        <f>IF(ISBLANK(入力及び計算結果!F61),"",入力及び計算結果!F61)</f>
        <v/>
      </c>
      <c r="C40" s="164" t="str">
        <f>IF(ISBLANK(入力及び計算結果!F62),"",入力及び計算結果!F62)</f>
        <v/>
      </c>
      <c r="D40" s="165" t="str">
        <f>IF(ISNUMBER(C40),LN(C40/C$39),"")</f>
        <v/>
      </c>
      <c r="F40" s="526" t="s">
        <v>77</v>
      </c>
      <c r="G40" s="538" t="s">
        <v>294</v>
      </c>
      <c r="H40" s="482"/>
      <c r="I40" s="564"/>
      <c r="J40" s="166">
        <v>1.9</v>
      </c>
      <c r="K40" s="150" t="s">
        <v>206</v>
      </c>
      <c r="W40" s="99"/>
      <c r="X40" s="99"/>
      <c r="Y40" s="99"/>
      <c r="Z40" s="99"/>
      <c r="AA40" s="99"/>
      <c r="AB40" s="99"/>
      <c r="AE40" s="99"/>
      <c r="AF40" s="99"/>
      <c r="AG40" s="99"/>
      <c r="AH40" s="99"/>
      <c r="AI40" s="99"/>
      <c r="AJ40" s="99"/>
      <c r="AM40" s="99"/>
      <c r="AN40" s="99"/>
      <c r="AO40" s="99"/>
      <c r="AP40" s="99"/>
      <c r="AQ40" s="99"/>
      <c r="AR40" s="99"/>
      <c r="AS40" s="99"/>
      <c r="AT40" s="99"/>
      <c r="AU40" s="99"/>
      <c r="AV40" s="99"/>
      <c r="AW40" s="99"/>
      <c r="AX40" s="99"/>
      <c r="BX40" s="80"/>
    </row>
    <row r="41" spans="2:76" ht="13.5" customHeight="1" x14ac:dyDescent="0.2">
      <c r="B41" s="164" t="str">
        <f>IF(ISBLANK(入力及び計算結果!G61),"",入力及び計算結果!G61)</f>
        <v/>
      </c>
      <c r="C41" s="164" t="str">
        <f>IF(ISBLANK(入力及び計算結果!G62),"",入力及び計算結果!G62)</f>
        <v/>
      </c>
      <c r="D41" s="165" t="str">
        <f>IF(ISNUMBER(C41),LN(C41/C$39),"")</f>
        <v/>
      </c>
      <c r="F41" s="527"/>
      <c r="G41" s="565"/>
      <c r="H41" s="489"/>
      <c r="I41" s="566"/>
      <c r="J41" s="167"/>
      <c r="K41" s="155"/>
      <c r="W41" s="99"/>
      <c r="X41" s="99"/>
      <c r="Y41" s="99"/>
      <c r="Z41" s="99"/>
      <c r="AA41" s="99"/>
      <c r="AB41" s="99"/>
      <c r="AE41" s="99"/>
      <c r="AF41" s="99"/>
      <c r="AG41" s="99"/>
      <c r="AH41" s="99"/>
      <c r="AI41" s="99"/>
      <c r="AJ41" s="99"/>
      <c r="AM41" s="99"/>
      <c r="AN41" s="99"/>
      <c r="AO41" s="99"/>
      <c r="AP41" s="99"/>
      <c r="AQ41" s="99"/>
      <c r="AR41" s="99"/>
      <c r="AS41" s="99"/>
      <c r="AT41" s="99"/>
      <c r="AU41" s="99"/>
      <c r="AV41" s="99"/>
      <c r="AW41" s="99"/>
      <c r="AX41" s="99"/>
      <c r="BX41" s="80"/>
    </row>
    <row r="42" spans="2:76" ht="13.5" customHeight="1" x14ac:dyDescent="0.2">
      <c r="B42" s="164" t="str">
        <f>IF(ISBLANK(入力及び計算結果!H61),"",入力及び計算結果!H61)</f>
        <v/>
      </c>
      <c r="C42" s="164" t="str">
        <f>IF(ISBLANK(入力及び計算結果!H62),"",入力及び計算結果!H62)</f>
        <v/>
      </c>
      <c r="D42" s="165" t="str">
        <f>IF(ISNUMBER(C42),LN(C42/C$39),"")</f>
        <v/>
      </c>
      <c r="F42" s="46" t="s">
        <v>207</v>
      </c>
      <c r="G42" s="401" t="s">
        <v>208</v>
      </c>
      <c r="H42" s="402"/>
      <c r="I42" s="410"/>
      <c r="J42" s="163">
        <v>0.8</v>
      </c>
      <c r="K42" s="46" t="s">
        <v>209</v>
      </c>
      <c r="W42" s="99"/>
      <c r="X42" s="99"/>
      <c r="Y42" s="99"/>
      <c r="Z42" s="99"/>
      <c r="AA42" s="99"/>
      <c r="AB42" s="99"/>
      <c r="AE42" s="99"/>
      <c r="AF42" s="99"/>
      <c r="AG42" s="99"/>
      <c r="AH42" s="99"/>
      <c r="AI42" s="99"/>
      <c r="AJ42" s="99"/>
      <c r="AM42" s="99"/>
      <c r="AN42" s="99"/>
      <c r="AO42" s="99"/>
      <c r="AP42" s="99"/>
      <c r="AQ42" s="99"/>
      <c r="AR42" s="99"/>
      <c r="AS42" s="99"/>
      <c r="AT42" s="99"/>
      <c r="AU42" s="99"/>
      <c r="AV42" s="99"/>
      <c r="AW42" s="99"/>
      <c r="AX42" s="99"/>
      <c r="BX42" s="80"/>
    </row>
    <row r="43" spans="2:76" ht="13.5" customHeight="1" x14ac:dyDescent="0.2">
      <c r="B43" s="164" t="str">
        <f>IF(ISBLANK(入力及び計算結果!I61),"",入力及び計算結果!I61)</f>
        <v/>
      </c>
      <c r="C43" s="164" t="str">
        <f>IF(ISBLANK(入力及び計算結果!I62),"",入力及び計算結果!I62)</f>
        <v/>
      </c>
      <c r="D43" s="165" t="str">
        <f>IF(ISNUMBER(C43),LN(C43/C$39),"")</f>
        <v/>
      </c>
      <c r="F43" s="526" t="s">
        <v>210</v>
      </c>
      <c r="G43" s="547" t="s">
        <v>295</v>
      </c>
      <c r="H43" s="539"/>
      <c r="I43" s="571"/>
      <c r="J43" s="166">
        <v>100</v>
      </c>
      <c r="K43" s="150" t="s">
        <v>206</v>
      </c>
      <c r="W43" s="99"/>
      <c r="X43" s="99"/>
      <c r="Y43" s="99"/>
      <c r="Z43" s="99"/>
      <c r="AA43" s="99"/>
      <c r="AB43" s="99"/>
      <c r="AE43" s="99"/>
      <c r="AF43" s="99"/>
      <c r="AG43" s="99"/>
      <c r="AH43" s="99"/>
      <c r="AI43" s="99"/>
      <c r="AJ43" s="99"/>
      <c r="AM43" s="99"/>
      <c r="AN43" s="99"/>
      <c r="AO43" s="99"/>
      <c r="AP43" s="99"/>
      <c r="AQ43" s="99"/>
      <c r="AR43" s="99"/>
      <c r="AS43" s="99"/>
      <c r="AT43" s="99"/>
      <c r="AU43" s="99"/>
      <c r="AV43" s="99"/>
      <c r="AW43" s="99"/>
      <c r="AX43" s="99"/>
      <c r="BX43" s="80"/>
    </row>
    <row r="44" spans="2:76" ht="13.5" customHeight="1" x14ac:dyDescent="0.2">
      <c r="B44" s="164" t="str">
        <f>IF(ISBLANK(入力及び計算結果!J61),"",入力及び計算結果!J61)</f>
        <v/>
      </c>
      <c r="C44" s="164" t="str">
        <f>IF(ISBLANK(入力及び計算結果!J62),"",入力及び計算結果!J62)</f>
        <v/>
      </c>
      <c r="D44" s="165" t="str">
        <f t="shared" ref="D44:D59" si="0">IF(ISNUMBER(C44),LN(C44/C$39),"")</f>
        <v/>
      </c>
      <c r="F44" s="527"/>
      <c r="G44" s="540"/>
      <c r="H44" s="541"/>
      <c r="I44" s="572"/>
      <c r="J44" s="167"/>
      <c r="K44" s="155"/>
      <c r="W44" s="99"/>
      <c r="X44" s="99"/>
      <c r="Y44" s="99"/>
      <c r="Z44" s="99"/>
      <c r="AA44" s="99"/>
      <c r="AB44" s="99"/>
      <c r="AE44" s="99"/>
      <c r="AF44" s="99"/>
      <c r="AG44" s="99"/>
      <c r="AH44" s="99"/>
      <c r="AI44" s="99"/>
      <c r="AJ44" s="99"/>
      <c r="AM44" s="99"/>
      <c r="AN44" s="99"/>
      <c r="AO44" s="99"/>
      <c r="AP44" s="99"/>
      <c r="AQ44" s="99"/>
      <c r="AR44" s="99"/>
      <c r="AS44" s="99"/>
      <c r="AT44" s="99"/>
      <c r="AU44" s="99"/>
      <c r="AV44" s="99"/>
      <c r="AW44" s="99"/>
      <c r="AX44" s="99"/>
      <c r="BX44" s="80"/>
    </row>
    <row r="45" spans="2:76" ht="13.5" customHeight="1" x14ac:dyDescent="0.2">
      <c r="B45" s="164" t="str">
        <f>IF(ISBLANK(入力及び計算結果!K61),"",入力及び計算結果!K61)</f>
        <v/>
      </c>
      <c r="C45" s="164" t="str">
        <f>IF(ISBLANK(入力及び計算結果!K62),"",入力及び計算結果!K62)</f>
        <v/>
      </c>
      <c r="D45" s="165" t="str">
        <f t="shared" si="0"/>
        <v/>
      </c>
      <c r="F45" s="46" t="s">
        <v>212</v>
      </c>
      <c r="G45" s="401" t="s">
        <v>213</v>
      </c>
      <c r="H45" s="402"/>
      <c r="I45" s="410"/>
      <c r="J45" s="163">
        <v>0.33</v>
      </c>
      <c r="K45" s="46" t="s">
        <v>209</v>
      </c>
      <c r="W45" s="99"/>
      <c r="X45" s="99"/>
      <c r="Y45" s="99"/>
      <c r="Z45" s="99"/>
      <c r="AA45" s="99"/>
      <c r="AB45" s="99"/>
      <c r="AE45" s="99"/>
      <c r="AF45" s="99"/>
      <c r="AG45" s="99"/>
      <c r="AH45" s="99"/>
      <c r="AI45" s="99"/>
      <c r="AJ45" s="99"/>
      <c r="AM45" s="99"/>
      <c r="AN45" s="99"/>
      <c r="AO45" s="99"/>
      <c r="AP45" s="99"/>
      <c r="AQ45" s="99"/>
      <c r="AR45" s="99"/>
      <c r="AS45" s="99"/>
      <c r="AT45" s="99"/>
      <c r="AU45" s="99"/>
      <c r="AV45" s="99"/>
      <c r="AW45" s="99"/>
      <c r="AX45" s="99"/>
      <c r="BX45" s="80"/>
    </row>
    <row r="46" spans="2:76" ht="13.5" customHeight="1" x14ac:dyDescent="0.2">
      <c r="B46" s="164" t="str">
        <f>IF(ISBLANK(入力及び計算結果!L61),"",入力及び計算結果!L61)</f>
        <v/>
      </c>
      <c r="C46" s="164" t="str">
        <f>IF(ISBLANK(入力及び計算結果!L62),"",入力及び計算結果!L62)</f>
        <v/>
      </c>
      <c r="D46" s="165" t="str">
        <f t="shared" si="0"/>
        <v/>
      </c>
      <c r="F46" s="526" t="s">
        <v>214</v>
      </c>
      <c r="G46" s="547" t="s">
        <v>215</v>
      </c>
      <c r="H46" s="539"/>
      <c r="I46" s="571"/>
      <c r="J46" s="166">
        <v>1</v>
      </c>
      <c r="K46" s="150" t="s">
        <v>146</v>
      </c>
      <c r="W46" s="99"/>
      <c r="X46" s="99"/>
      <c r="Y46" s="99"/>
      <c r="Z46" s="99"/>
      <c r="AA46" s="99"/>
      <c r="AB46" s="99"/>
      <c r="AE46" s="99"/>
      <c r="AF46" s="99"/>
      <c r="AG46" s="99"/>
      <c r="AH46" s="99"/>
      <c r="AI46" s="99"/>
      <c r="AJ46" s="99"/>
      <c r="AM46" s="99"/>
      <c r="AN46" s="99"/>
      <c r="AO46" s="99"/>
      <c r="AP46" s="99"/>
      <c r="AQ46" s="99"/>
      <c r="AR46" s="99"/>
      <c r="AS46" s="99"/>
      <c r="AT46" s="99"/>
      <c r="AU46" s="99"/>
      <c r="AV46" s="99"/>
      <c r="AW46" s="99"/>
      <c r="AX46" s="99"/>
      <c r="BX46" s="80"/>
    </row>
    <row r="47" spans="2:76" ht="13.5" customHeight="1" x14ac:dyDescent="0.2">
      <c r="B47" s="164" t="str">
        <f>IF(ISBLANK(入力及び計算結果!M61),"",入力及び計算結果!M61)</f>
        <v/>
      </c>
      <c r="C47" s="164" t="str">
        <f>IF(ISBLANK(入力及び計算結果!M62),"",入力及び計算結果!M62)</f>
        <v/>
      </c>
      <c r="D47" s="165" t="str">
        <f t="shared" si="0"/>
        <v/>
      </c>
      <c r="F47" s="527"/>
      <c r="G47" s="540"/>
      <c r="H47" s="541"/>
      <c r="I47" s="572"/>
      <c r="J47" s="167"/>
      <c r="K47" s="155"/>
      <c r="W47" s="99"/>
      <c r="X47" s="99"/>
      <c r="Y47" s="99"/>
      <c r="Z47" s="99"/>
      <c r="AA47" s="99"/>
      <c r="AB47" s="99"/>
      <c r="AE47" s="99"/>
      <c r="AF47" s="99"/>
      <c r="AG47" s="99"/>
      <c r="AH47" s="99"/>
      <c r="AI47" s="99"/>
      <c r="AJ47" s="99"/>
      <c r="AM47" s="99"/>
      <c r="AN47" s="99"/>
      <c r="AO47" s="99"/>
      <c r="AP47" s="99"/>
      <c r="AQ47" s="99"/>
      <c r="AR47" s="99"/>
      <c r="AS47" s="99"/>
      <c r="AT47" s="99"/>
      <c r="AU47" s="99"/>
      <c r="AV47" s="99"/>
      <c r="AW47" s="99"/>
      <c r="AX47" s="99"/>
      <c r="BX47" s="80"/>
    </row>
    <row r="48" spans="2:76" ht="13.5" customHeight="1" x14ac:dyDescent="0.2">
      <c r="B48" s="164" t="str">
        <f>IF(ISBLANK(入力及び計算結果!N61),"",入力及び計算結果!N61)</f>
        <v/>
      </c>
      <c r="C48" s="164" t="str">
        <f>IF(ISBLANK(入力及び計算結果!N62),"",入力及び計算結果!N62)</f>
        <v/>
      </c>
      <c r="D48" s="165" t="str">
        <f t="shared" si="0"/>
        <v/>
      </c>
      <c r="F48" s="526" t="s">
        <v>216</v>
      </c>
      <c r="G48" s="538" t="s">
        <v>217</v>
      </c>
      <c r="H48" s="539"/>
      <c r="I48" s="539"/>
      <c r="J48" s="571"/>
      <c r="K48" s="150" t="s">
        <v>218</v>
      </c>
      <c r="W48" s="99"/>
      <c r="X48" s="99"/>
      <c r="Y48" s="99"/>
      <c r="Z48" s="99"/>
      <c r="AA48" s="99"/>
      <c r="AB48" s="99"/>
      <c r="AE48" s="99"/>
      <c r="AF48" s="99"/>
      <c r="AG48" s="99"/>
      <c r="AH48" s="99"/>
      <c r="AI48" s="99"/>
      <c r="AJ48" s="99"/>
      <c r="AM48" s="99"/>
      <c r="AN48" s="99"/>
      <c r="AO48" s="99"/>
      <c r="AP48" s="99"/>
      <c r="AQ48" s="99"/>
      <c r="AR48" s="99"/>
      <c r="AS48" s="99"/>
      <c r="AT48" s="99"/>
      <c r="AU48" s="99"/>
      <c r="AV48" s="99"/>
      <c r="AW48" s="99"/>
      <c r="AX48" s="99"/>
      <c r="BX48" s="80"/>
    </row>
    <row r="49" spans="1:87" ht="13.5" customHeight="1" x14ac:dyDescent="0.2">
      <c r="B49" s="4"/>
      <c r="C49" s="4"/>
      <c r="D49" s="165" t="str">
        <f t="shared" si="0"/>
        <v/>
      </c>
      <c r="F49" s="527"/>
      <c r="G49" s="540"/>
      <c r="H49" s="541"/>
      <c r="I49" s="541"/>
      <c r="J49" s="572"/>
      <c r="K49" s="155"/>
      <c r="W49" s="99"/>
      <c r="X49" s="99"/>
      <c r="Y49" s="99"/>
      <c r="Z49" s="99"/>
      <c r="AA49" s="99"/>
      <c r="AB49" s="99"/>
      <c r="AE49" s="99"/>
      <c r="AF49" s="99"/>
      <c r="AG49" s="99"/>
      <c r="AH49" s="99"/>
      <c r="AI49" s="99"/>
      <c r="AJ49" s="99"/>
      <c r="AM49" s="99"/>
      <c r="AN49" s="99"/>
      <c r="AO49" s="99"/>
      <c r="AP49" s="99"/>
      <c r="AQ49" s="99"/>
      <c r="AR49" s="99"/>
      <c r="AS49" s="99"/>
      <c r="AT49" s="99"/>
      <c r="AU49" s="99"/>
      <c r="AV49" s="99"/>
      <c r="AW49" s="99"/>
      <c r="AX49" s="99"/>
      <c r="BX49" s="80"/>
    </row>
    <row r="50" spans="1:87" ht="13.5" customHeight="1" x14ac:dyDescent="0.2">
      <c r="B50" s="4"/>
      <c r="C50" s="4"/>
      <c r="D50" s="165" t="str">
        <f t="shared" si="0"/>
        <v/>
      </c>
      <c r="F50" s="43" t="s">
        <v>219</v>
      </c>
      <c r="G50" s="380" t="s">
        <v>220</v>
      </c>
      <c r="H50" s="452"/>
      <c r="I50" s="453"/>
      <c r="J50" s="168">
        <v>2000</v>
      </c>
      <c r="K50" s="87" t="s">
        <v>218</v>
      </c>
      <c r="W50" s="99"/>
      <c r="X50" s="99"/>
      <c r="Y50" s="99"/>
      <c r="Z50" s="99"/>
      <c r="AA50" s="99"/>
      <c r="AB50" s="99"/>
      <c r="AE50" s="99"/>
      <c r="AF50" s="99"/>
      <c r="AG50" s="99"/>
      <c r="AH50" s="99"/>
      <c r="AI50" s="99"/>
      <c r="AJ50" s="99"/>
      <c r="AM50" s="99"/>
      <c r="AN50" s="99"/>
      <c r="AO50" s="99"/>
      <c r="AP50" s="99"/>
      <c r="AQ50" s="99"/>
      <c r="AR50" s="99"/>
      <c r="AS50" s="99"/>
      <c r="AT50" s="99"/>
      <c r="AU50" s="99"/>
      <c r="AV50" s="99"/>
      <c r="AW50" s="99"/>
      <c r="AX50" s="99"/>
      <c r="BX50" s="80"/>
    </row>
    <row r="51" spans="1:87" ht="13.5" customHeight="1" x14ac:dyDescent="0.2">
      <c r="B51" s="4"/>
      <c r="C51" s="4"/>
      <c r="D51" s="165" t="str">
        <f t="shared" si="0"/>
        <v/>
      </c>
      <c r="F51" s="27" t="s">
        <v>221</v>
      </c>
      <c r="G51" s="380" t="s">
        <v>222</v>
      </c>
      <c r="H51" s="452"/>
      <c r="I51" s="453"/>
      <c r="J51" s="168">
        <v>1</v>
      </c>
      <c r="K51" s="87" t="s">
        <v>223</v>
      </c>
      <c r="W51" s="99"/>
      <c r="X51" s="99"/>
      <c r="Y51" s="99"/>
      <c r="Z51" s="99"/>
      <c r="AA51" s="99"/>
      <c r="AB51" s="99"/>
      <c r="AE51" s="99"/>
      <c r="AF51" s="99"/>
      <c r="AG51" s="99"/>
      <c r="AH51" s="99"/>
      <c r="AI51" s="99"/>
      <c r="AJ51" s="99"/>
      <c r="AM51" s="99"/>
      <c r="AN51" s="99"/>
      <c r="AO51" s="99"/>
      <c r="AP51" s="99"/>
      <c r="AQ51" s="99"/>
      <c r="AR51" s="99"/>
      <c r="AS51" s="99"/>
      <c r="AT51" s="99"/>
      <c r="AU51" s="99"/>
      <c r="AV51" s="99"/>
      <c r="AW51" s="99"/>
      <c r="AX51" s="99"/>
      <c r="BX51" s="80"/>
    </row>
    <row r="52" spans="1:87" ht="13.5" customHeight="1" x14ac:dyDescent="0.2">
      <c r="B52" s="4"/>
      <c r="C52" s="4"/>
      <c r="D52" s="165" t="str">
        <f t="shared" si="0"/>
        <v/>
      </c>
      <c r="F52" s="27" t="s">
        <v>224</v>
      </c>
      <c r="G52" s="380" t="s">
        <v>296</v>
      </c>
      <c r="H52" s="452"/>
      <c r="I52" s="453"/>
      <c r="J52" s="168">
        <v>1.2</v>
      </c>
      <c r="K52" s="87" t="s">
        <v>206</v>
      </c>
      <c r="W52" s="99"/>
      <c r="X52" s="99"/>
      <c r="Y52" s="99"/>
      <c r="Z52" s="99"/>
      <c r="AA52" s="99"/>
      <c r="AB52" s="99"/>
      <c r="AE52" s="99"/>
      <c r="AF52" s="99"/>
      <c r="AG52" s="99"/>
      <c r="AH52" s="99"/>
      <c r="AI52" s="99"/>
      <c r="AJ52" s="99"/>
      <c r="AM52" s="99"/>
      <c r="AN52" s="99"/>
      <c r="AO52" s="99"/>
      <c r="AP52" s="99"/>
      <c r="AQ52" s="99"/>
      <c r="AR52" s="99"/>
      <c r="AS52" s="99"/>
      <c r="AT52" s="99"/>
      <c r="AU52" s="99"/>
      <c r="AV52" s="99"/>
      <c r="AW52" s="99"/>
      <c r="AX52" s="99"/>
      <c r="BX52" s="80"/>
    </row>
    <row r="53" spans="1:87" ht="13.5" customHeight="1" x14ac:dyDescent="0.2">
      <c r="B53" s="4"/>
      <c r="C53" s="4"/>
      <c r="D53" s="165" t="str">
        <f t="shared" si="0"/>
        <v/>
      </c>
      <c r="F53" s="27" t="s">
        <v>226</v>
      </c>
      <c r="G53" s="380" t="s">
        <v>227</v>
      </c>
      <c r="H53" s="452"/>
      <c r="I53" s="453"/>
      <c r="J53" s="168">
        <v>1</v>
      </c>
      <c r="K53" s="87" t="s">
        <v>223</v>
      </c>
      <c r="W53" s="99"/>
      <c r="X53" s="99"/>
      <c r="Y53" s="99"/>
      <c r="Z53" s="99"/>
      <c r="AA53" s="99"/>
      <c r="AB53" s="99"/>
      <c r="AE53" s="99"/>
      <c r="AF53" s="99"/>
      <c r="AG53" s="99"/>
      <c r="AH53" s="99"/>
      <c r="AI53" s="99"/>
      <c r="AJ53" s="99"/>
      <c r="AM53" s="99"/>
      <c r="AN53" s="99"/>
      <c r="AO53" s="99"/>
      <c r="AP53" s="99"/>
      <c r="AQ53" s="99"/>
      <c r="AR53" s="99"/>
      <c r="AS53" s="99"/>
      <c r="AT53" s="99"/>
      <c r="AU53" s="99"/>
      <c r="AV53" s="99"/>
      <c r="AW53" s="99"/>
      <c r="AX53" s="99"/>
      <c r="BX53" s="80"/>
    </row>
    <row r="54" spans="1:87" ht="13.5" customHeight="1" x14ac:dyDescent="0.2">
      <c r="B54" s="4"/>
      <c r="C54" s="5"/>
      <c r="D54" s="165" t="str">
        <f t="shared" si="0"/>
        <v/>
      </c>
      <c r="F54" s="27" t="s">
        <v>228</v>
      </c>
      <c r="G54" s="576" t="s">
        <v>229</v>
      </c>
      <c r="H54" s="577"/>
      <c r="I54" s="578"/>
      <c r="J54" s="168">
        <v>2.4</v>
      </c>
      <c r="K54" s="87" t="s">
        <v>230</v>
      </c>
      <c r="W54" s="99"/>
      <c r="X54" s="99"/>
      <c r="Y54" s="99"/>
      <c r="Z54" s="99"/>
      <c r="AA54" s="99"/>
      <c r="AB54" s="99"/>
      <c r="AE54" s="99"/>
      <c r="AF54" s="99"/>
      <c r="AG54" s="99"/>
      <c r="AH54" s="99"/>
      <c r="AI54" s="99"/>
      <c r="AJ54" s="99"/>
      <c r="AM54" s="99"/>
      <c r="AN54" s="99"/>
      <c r="AO54" s="99"/>
      <c r="AP54" s="99"/>
      <c r="AQ54" s="99"/>
      <c r="AR54" s="99"/>
      <c r="AS54" s="99"/>
      <c r="AT54" s="99"/>
      <c r="AU54" s="99"/>
      <c r="AV54" s="99"/>
      <c r="AW54" s="99"/>
      <c r="AX54" s="99"/>
      <c r="BX54" s="80"/>
    </row>
    <row r="55" spans="1:87" ht="13.5" customHeight="1" x14ac:dyDescent="0.2">
      <c r="B55" s="4"/>
      <c r="C55" s="4"/>
      <c r="D55" s="165" t="str">
        <f t="shared" si="0"/>
        <v/>
      </c>
      <c r="F55" s="27" t="s">
        <v>231</v>
      </c>
      <c r="G55" s="380" t="s">
        <v>232</v>
      </c>
      <c r="H55" s="452"/>
      <c r="I55" s="453"/>
      <c r="J55" s="168">
        <v>2.9</v>
      </c>
      <c r="K55" s="87" t="s">
        <v>206</v>
      </c>
      <c r="W55" s="99"/>
      <c r="X55" s="99"/>
      <c r="Y55" s="99"/>
      <c r="Z55" s="99"/>
      <c r="AA55" s="99"/>
      <c r="AB55" s="99"/>
      <c r="AE55" s="99"/>
      <c r="AF55" s="99"/>
      <c r="AG55" s="99"/>
      <c r="AH55" s="99"/>
      <c r="AI55" s="99"/>
      <c r="AJ55" s="99"/>
      <c r="AM55" s="99"/>
      <c r="AN55" s="99"/>
      <c r="AO55" s="99"/>
      <c r="AP55" s="99"/>
      <c r="AQ55" s="99"/>
      <c r="AR55" s="99"/>
      <c r="AS55" s="99"/>
      <c r="AT55" s="99"/>
      <c r="AU55" s="99"/>
      <c r="AV55" s="99"/>
      <c r="AW55" s="99"/>
      <c r="AX55" s="99"/>
      <c r="BX55" s="80"/>
    </row>
    <row r="56" spans="1:87" ht="13.5" customHeight="1" x14ac:dyDescent="0.2">
      <c r="B56" s="4"/>
      <c r="C56" s="4"/>
      <c r="D56" s="165" t="str">
        <f t="shared" si="0"/>
        <v/>
      </c>
      <c r="F56" s="27" t="s">
        <v>233</v>
      </c>
      <c r="G56" s="380" t="s">
        <v>234</v>
      </c>
      <c r="H56" s="452"/>
      <c r="I56" s="453"/>
      <c r="J56" s="169" t="str">
        <f>IF(ISNUMBER(Koc),(Plevee/rws)*Koc*(Oclevee/100)+1,"-")</f>
        <v>-</v>
      </c>
      <c r="K56" s="170" t="s">
        <v>230</v>
      </c>
      <c r="W56" s="99"/>
      <c r="X56" s="99"/>
      <c r="Y56" s="99"/>
      <c r="Z56" s="99"/>
      <c r="AA56" s="99"/>
      <c r="AB56" s="99"/>
      <c r="AE56" s="99"/>
      <c r="AF56" s="99"/>
      <c r="AG56" s="99"/>
      <c r="AH56" s="99"/>
      <c r="AI56" s="99"/>
      <c r="AJ56" s="99"/>
      <c r="AM56" s="99"/>
      <c r="AN56" s="99"/>
      <c r="AO56" s="99"/>
      <c r="AP56" s="99"/>
      <c r="AQ56" s="99"/>
      <c r="AR56" s="99"/>
      <c r="AS56" s="99"/>
      <c r="AT56" s="99"/>
      <c r="AU56" s="99"/>
      <c r="AV56" s="99"/>
      <c r="AW56" s="99"/>
      <c r="AX56" s="99"/>
      <c r="BX56" s="80"/>
    </row>
    <row r="57" spans="1:87" ht="13.5" customHeight="1" x14ac:dyDescent="0.2">
      <c r="B57" s="4"/>
      <c r="C57" s="4"/>
      <c r="D57" s="165" t="str">
        <f t="shared" si="0"/>
        <v/>
      </c>
      <c r="F57" s="171"/>
      <c r="H57" s="67"/>
      <c r="I57" s="67"/>
      <c r="J57" s="172"/>
      <c r="W57" s="99"/>
      <c r="X57" s="99"/>
      <c r="Y57" s="99"/>
      <c r="Z57" s="99"/>
      <c r="AA57" s="99"/>
      <c r="AB57" s="99"/>
      <c r="AE57" s="99"/>
      <c r="AF57" s="99"/>
      <c r="AG57" s="99"/>
      <c r="AH57" s="99"/>
      <c r="AI57" s="99"/>
      <c r="AJ57" s="99"/>
      <c r="AM57" s="99"/>
      <c r="AN57" s="99"/>
      <c r="AO57" s="99"/>
      <c r="AP57" s="99"/>
      <c r="AQ57" s="99"/>
      <c r="AR57" s="99"/>
      <c r="AS57" s="99"/>
      <c r="AT57" s="99"/>
      <c r="AU57" s="99"/>
      <c r="AV57" s="99"/>
      <c r="AW57" s="99"/>
      <c r="AX57" s="99"/>
      <c r="BX57" s="80"/>
    </row>
    <row r="58" spans="1:87" ht="13.5" customHeight="1" x14ac:dyDescent="0.2">
      <c r="B58" s="4"/>
      <c r="C58" s="4"/>
      <c r="D58" s="165" t="str">
        <f t="shared" si="0"/>
        <v/>
      </c>
      <c r="F58" s="123"/>
      <c r="H58" s="67"/>
      <c r="I58" s="67"/>
      <c r="W58" s="99"/>
      <c r="X58" s="99"/>
      <c r="Y58" s="99"/>
      <c r="Z58" s="99"/>
      <c r="AA58" s="99"/>
      <c r="AB58" s="99"/>
      <c r="AE58" s="99"/>
      <c r="AF58" s="99"/>
      <c r="AG58" s="99"/>
      <c r="AH58" s="99"/>
      <c r="AI58" s="99"/>
      <c r="AJ58" s="99"/>
      <c r="AM58" s="99"/>
      <c r="AN58" s="99"/>
      <c r="AO58" s="99"/>
      <c r="AP58" s="99"/>
      <c r="AQ58" s="99"/>
      <c r="AR58" s="99"/>
      <c r="AS58" s="99"/>
      <c r="AT58" s="99"/>
      <c r="AU58" s="99"/>
      <c r="AV58" s="99"/>
      <c r="AW58" s="99"/>
      <c r="AX58" s="99"/>
      <c r="BX58" s="80"/>
    </row>
    <row r="59" spans="1:87" ht="13.5" customHeight="1" thickBot="1" x14ac:dyDescent="0.25">
      <c r="B59" s="6"/>
      <c r="C59" s="6"/>
      <c r="D59" s="165" t="str">
        <f t="shared" si="0"/>
        <v/>
      </c>
      <c r="H59" s="67"/>
      <c r="I59" s="67"/>
      <c r="W59" s="99"/>
      <c r="X59" s="99"/>
      <c r="Y59" s="99"/>
      <c r="Z59" s="99"/>
      <c r="AA59" s="99"/>
      <c r="AB59" s="99"/>
      <c r="AE59" s="99"/>
      <c r="AF59" s="99"/>
      <c r="AG59" s="99"/>
      <c r="AH59" s="99"/>
      <c r="AI59" s="99"/>
      <c r="AJ59" s="99"/>
      <c r="AM59" s="99"/>
      <c r="AN59" s="99"/>
      <c r="AO59" s="99"/>
      <c r="AP59" s="99"/>
      <c r="AQ59" s="99"/>
      <c r="AR59" s="99"/>
      <c r="AS59" s="99"/>
      <c r="AT59" s="99"/>
      <c r="AU59" s="99"/>
      <c r="AV59" s="99"/>
      <c r="AW59" s="99"/>
      <c r="AX59" s="99"/>
      <c r="BX59" s="80"/>
    </row>
    <row r="60" spans="1:87" ht="13.5" customHeight="1" thickTop="1" x14ac:dyDescent="0.2">
      <c r="B60" s="91"/>
      <c r="H60" s="67"/>
      <c r="I60" s="67"/>
      <c r="W60" s="99"/>
      <c r="X60" s="99"/>
      <c r="Y60" s="99"/>
      <c r="Z60" s="99"/>
      <c r="AA60" s="99"/>
      <c r="AB60" s="99"/>
      <c r="AE60" s="99"/>
      <c r="AF60" s="99"/>
      <c r="AG60" s="99"/>
      <c r="AH60" s="99"/>
      <c r="AI60" s="99"/>
      <c r="AJ60" s="99"/>
      <c r="AM60" s="99"/>
      <c r="AN60" s="99"/>
      <c r="AO60" s="99"/>
      <c r="AP60" s="99"/>
      <c r="AQ60" s="99"/>
      <c r="AR60" s="99"/>
      <c r="AS60" s="99"/>
      <c r="AT60" s="99"/>
      <c r="AU60" s="99"/>
      <c r="AV60" s="99"/>
      <c r="AW60" s="99"/>
      <c r="AX60" s="99"/>
      <c r="BX60" s="80"/>
    </row>
    <row r="61" spans="1:87" ht="13.5" customHeight="1" x14ac:dyDescent="0.2">
      <c r="A61"/>
      <c r="B61" s="579" t="s">
        <v>235</v>
      </c>
      <c r="C61" s="522"/>
      <c r="D61" s="522"/>
      <c r="E61" s="522"/>
      <c r="V61" s="67"/>
      <c r="W61" s="67"/>
      <c r="X61" s="67"/>
      <c r="Y61" s="67"/>
      <c r="Z61" s="67"/>
      <c r="AA61" s="67"/>
      <c r="AB61" s="67"/>
      <c r="AD61" s="67"/>
      <c r="AE61" s="67"/>
      <c r="AF61" s="67"/>
      <c r="AG61" s="67"/>
      <c r="AH61" s="67"/>
      <c r="AI61" s="67"/>
      <c r="AJ61" s="67"/>
      <c r="AL61" s="67"/>
      <c r="AM61" s="67"/>
      <c r="AN61" s="67"/>
      <c r="AO61" s="67"/>
      <c r="AP61" s="67"/>
      <c r="AQ61" s="67"/>
      <c r="AR61" s="67"/>
      <c r="AS61" s="67"/>
      <c r="AT61" s="67"/>
      <c r="AU61" s="67"/>
      <c r="AV61" s="67"/>
      <c r="AW61" s="67"/>
      <c r="AX61" s="67"/>
      <c r="AY61" s="67"/>
      <c r="AZ61" s="80"/>
      <c r="BA61" s="144"/>
      <c r="BB61" s="80"/>
      <c r="BC61" s="144"/>
      <c r="BD61" s="144"/>
      <c r="BE61" s="144"/>
      <c r="BF61" s="144"/>
      <c r="BG61" s="67"/>
      <c r="BH61" s="80"/>
      <c r="BI61" s="144"/>
      <c r="BJ61" s="80"/>
      <c r="BK61" s="144"/>
      <c r="BL61" s="144"/>
      <c r="BM61" s="144"/>
      <c r="BN61" s="144"/>
      <c r="BO61" s="67"/>
      <c r="BP61" s="80"/>
      <c r="BQ61" s="144"/>
      <c r="BR61" s="80"/>
      <c r="BS61" s="144"/>
      <c r="BT61" s="144"/>
      <c r="BV61" s="144"/>
      <c r="BW61" s="80"/>
      <c r="BX61" s="67"/>
      <c r="BY61" s="67"/>
      <c r="CB61"/>
      <c r="CC61"/>
      <c r="CD61"/>
      <c r="CE61"/>
      <c r="CF61"/>
      <c r="CG61"/>
      <c r="CH61"/>
      <c r="CI61"/>
    </row>
    <row r="62" spans="1:87" ht="13.5" customHeight="1" x14ac:dyDescent="0.2">
      <c r="A62"/>
      <c r="B62" s="522"/>
      <c r="C62" s="522"/>
      <c r="D62" s="522"/>
      <c r="E62" s="522"/>
      <c r="V62" s="67"/>
      <c r="W62" s="67"/>
      <c r="X62" s="67"/>
      <c r="Y62" s="67"/>
      <c r="Z62" s="67"/>
      <c r="AA62" s="67"/>
      <c r="AB62" s="67"/>
      <c r="AD62" s="67"/>
      <c r="AE62" s="67"/>
      <c r="AF62" s="67"/>
      <c r="AG62" s="67"/>
      <c r="AH62" s="67"/>
      <c r="AI62" s="67"/>
      <c r="AJ62" s="67"/>
      <c r="AL62" s="67"/>
      <c r="AM62" s="67"/>
      <c r="AN62" s="67"/>
      <c r="AO62" s="67"/>
      <c r="AP62" s="67"/>
      <c r="AQ62" s="67"/>
      <c r="AR62" s="67"/>
      <c r="AS62" s="67"/>
      <c r="AT62" s="67"/>
      <c r="AU62" s="67"/>
      <c r="AV62" s="67"/>
      <c r="AW62" s="67"/>
      <c r="AX62" s="67"/>
      <c r="AY62" s="67"/>
      <c r="AZ62" s="80"/>
      <c r="BA62" s="144"/>
      <c r="BB62" s="80"/>
      <c r="BC62" s="144"/>
      <c r="BD62" s="144"/>
      <c r="BE62" s="144"/>
      <c r="BF62" s="144"/>
      <c r="BG62" s="67"/>
      <c r="BH62" s="80"/>
      <c r="BI62" s="144"/>
      <c r="BJ62" s="80"/>
      <c r="BK62" s="144"/>
      <c r="BL62" s="144"/>
      <c r="BM62" s="144"/>
      <c r="BN62" s="144"/>
      <c r="BO62" s="67"/>
      <c r="BP62" s="80"/>
      <c r="BQ62" s="144"/>
      <c r="BR62" s="80"/>
      <c r="BS62" s="144"/>
      <c r="BT62" s="144"/>
      <c r="BV62" s="144"/>
      <c r="BW62" s="80"/>
      <c r="BX62" s="67"/>
      <c r="BY62" s="67"/>
      <c r="CB62"/>
      <c r="CC62"/>
      <c r="CD62"/>
      <c r="CE62"/>
      <c r="CF62"/>
      <c r="CG62"/>
      <c r="CH62"/>
      <c r="CI62"/>
    </row>
    <row r="63" spans="1:87" ht="13.5" customHeight="1" x14ac:dyDescent="0.2">
      <c r="A63"/>
      <c r="B63" s="522"/>
      <c r="C63" s="522"/>
      <c r="D63" s="522"/>
      <c r="E63" s="522"/>
      <c r="V63" s="67"/>
      <c r="W63" s="67"/>
      <c r="X63" s="67"/>
      <c r="Y63" s="67"/>
      <c r="Z63" s="67"/>
      <c r="AA63" s="67"/>
      <c r="AB63" s="67"/>
      <c r="AD63" s="67"/>
      <c r="AE63" s="67"/>
      <c r="AF63" s="67"/>
      <c r="AG63" s="67"/>
      <c r="AH63" s="67"/>
      <c r="AI63" s="67"/>
      <c r="AJ63" s="67"/>
      <c r="AL63" s="67"/>
      <c r="AM63" s="67"/>
      <c r="AN63" s="67"/>
      <c r="AO63" s="67"/>
      <c r="AP63" s="67"/>
      <c r="AQ63" s="67"/>
      <c r="AR63" s="67"/>
      <c r="AS63" s="67"/>
      <c r="AT63" s="67"/>
      <c r="AU63" s="67"/>
      <c r="AV63" s="67"/>
      <c r="AW63" s="67"/>
      <c r="AX63" s="67"/>
      <c r="AY63" s="67"/>
      <c r="AZ63" s="80"/>
      <c r="BA63" s="144"/>
      <c r="BB63" s="80"/>
      <c r="BC63" s="144"/>
      <c r="BD63" s="144"/>
      <c r="BE63" s="144"/>
      <c r="BF63" s="144"/>
      <c r="BG63" s="67"/>
      <c r="BH63" s="80"/>
      <c r="BI63" s="144"/>
      <c r="BJ63" s="80"/>
      <c r="BK63" s="144"/>
      <c r="BL63" s="144"/>
      <c r="BM63" s="144"/>
      <c r="BN63" s="144"/>
      <c r="BO63" s="67"/>
      <c r="BP63" s="80"/>
      <c r="BQ63" s="144"/>
      <c r="BR63" s="80"/>
      <c r="BS63" s="144"/>
      <c r="BT63" s="144"/>
      <c r="BV63" s="144"/>
      <c r="BW63" s="80"/>
      <c r="BX63" s="67"/>
      <c r="BY63" s="67"/>
      <c r="CB63"/>
      <c r="CC63"/>
      <c r="CD63"/>
      <c r="CE63"/>
      <c r="CF63"/>
      <c r="CG63"/>
      <c r="CH63"/>
      <c r="CI63"/>
    </row>
    <row r="64" spans="1:87" ht="13.5" customHeight="1" x14ac:dyDescent="0.2">
      <c r="A64"/>
      <c r="B64" s="522"/>
      <c r="C64" s="522"/>
      <c r="D64" s="522"/>
      <c r="E64" s="522"/>
      <c r="V64" s="67"/>
      <c r="W64" s="67"/>
      <c r="X64" s="67"/>
      <c r="Y64" s="67"/>
      <c r="Z64" s="67"/>
      <c r="AA64" s="67"/>
      <c r="AB64" s="67"/>
      <c r="AD64" s="67"/>
      <c r="AE64" s="67"/>
      <c r="AF64" s="67"/>
      <c r="AG64" s="67"/>
      <c r="AH64" s="67"/>
      <c r="AI64" s="67"/>
      <c r="AJ64" s="67"/>
      <c r="AL64" s="67"/>
      <c r="AM64" s="67"/>
      <c r="AN64" s="67"/>
      <c r="AO64" s="67"/>
      <c r="AP64" s="67"/>
      <c r="AQ64" s="67"/>
      <c r="AR64" s="67"/>
      <c r="AS64" s="67"/>
      <c r="AT64" s="67"/>
      <c r="AU64" s="67"/>
      <c r="AV64" s="67"/>
      <c r="AW64" s="67"/>
      <c r="AX64" s="67"/>
      <c r="AY64" s="67"/>
      <c r="AZ64" s="80"/>
      <c r="BA64" s="144"/>
      <c r="BB64" s="80"/>
      <c r="BC64" s="144"/>
      <c r="BD64" s="144"/>
      <c r="BE64" s="144"/>
      <c r="BF64" s="144"/>
      <c r="BG64" s="67"/>
      <c r="BH64" s="80"/>
      <c r="BI64" s="144"/>
      <c r="BJ64" s="80"/>
      <c r="BK64" s="144"/>
      <c r="BL64" s="144"/>
      <c r="BM64" s="144"/>
      <c r="BN64" s="144"/>
      <c r="BO64" s="67"/>
      <c r="BP64" s="80"/>
      <c r="BQ64" s="144"/>
      <c r="BR64" s="80"/>
      <c r="BS64" s="144"/>
      <c r="BT64" s="144"/>
      <c r="BV64" s="144"/>
      <c r="BW64" s="80"/>
      <c r="BX64" s="67"/>
      <c r="BY64" s="67"/>
      <c r="CB64"/>
      <c r="CC64"/>
      <c r="CD64"/>
      <c r="CE64"/>
      <c r="CF64"/>
      <c r="CG64"/>
      <c r="CH64"/>
      <c r="CI64"/>
    </row>
    <row r="65" spans="1:91" ht="13.5" customHeight="1" thickBot="1" x14ac:dyDescent="0.25">
      <c r="B65" s="380" t="s">
        <v>236</v>
      </c>
      <c r="C65" s="452"/>
      <c r="D65" s="23" t="str">
        <f>IF(ISERR(LN(2)/(-SLOPE(D39:D59,B39:B59))),"",(LN(2)/(-SLOPE(D39:D59,B39:B59))))</f>
        <v/>
      </c>
      <c r="E65" s="104" t="s">
        <v>146</v>
      </c>
      <c r="H65" s="67"/>
      <c r="I65" s="67"/>
      <c r="W65" s="99"/>
      <c r="X65" s="99"/>
      <c r="Y65" s="99"/>
      <c r="Z65" s="67"/>
      <c r="AA65" s="99"/>
      <c r="AB65" s="99"/>
      <c r="AE65" s="99"/>
      <c r="AF65" s="99"/>
      <c r="AG65" s="99"/>
      <c r="AH65" s="67"/>
      <c r="AI65" s="99"/>
      <c r="AJ65" s="99"/>
      <c r="AM65" s="99"/>
      <c r="AN65" s="99"/>
      <c r="AO65" s="99"/>
      <c r="AP65" s="67"/>
      <c r="AQ65" s="99"/>
      <c r="AR65" s="99"/>
      <c r="AS65" s="99"/>
      <c r="AT65" s="99"/>
      <c r="AU65" s="99"/>
      <c r="AV65" s="99"/>
      <c r="AW65" s="99"/>
      <c r="AX65" s="99"/>
      <c r="BX65" s="80"/>
    </row>
    <row r="66" spans="1:91" ht="13.5" customHeight="1" thickTop="1" thickBot="1" x14ac:dyDescent="0.25">
      <c r="B66" s="91"/>
      <c r="C66" s="173"/>
      <c r="G66" s="507" t="s">
        <v>117</v>
      </c>
      <c r="H66" s="580"/>
      <c r="I66" s="2"/>
      <c r="W66" s="99"/>
      <c r="X66" s="99"/>
      <c r="Y66" s="99"/>
      <c r="Z66" s="67"/>
      <c r="AA66" s="99"/>
      <c r="AB66" s="99"/>
      <c r="AE66" s="99"/>
      <c r="AF66" s="99"/>
      <c r="AG66" s="99"/>
      <c r="AH66" s="67"/>
      <c r="AI66" s="99"/>
      <c r="AJ66" s="99"/>
      <c r="AM66" s="99"/>
      <c r="AN66" s="99"/>
      <c r="AO66" s="99"/>
      <c r="AP66" s="67"/>
      <c r="AQ66" s="99"/>
      <c r="AR66" s="99"/>
      <c r="AS66" s="99"/>
      <c r="AT66" s="99"/>
      <c r="AU66" s="99"/>
      <c r="AV66" s="99"/>
      <c r="AW66" s="99"/>
      <c r="AX66" s="99"/>
      <c r="BX66" s="80"/>
    </row>
    <row r="67" spans="1:91" ht="13.5" customHeight="1" thickTop="1" x14ac:dyDescent="0.2">
      <c r="B67" s="91"/>
      <c r="C67" s="123"/>
      <c r="G67" s="79" t="s">
        <v>120</v>
      </c>
      <c r="H67" s="115"/>
      <c r="I67" s="115"/>
      <c r="Q67" s="99"/>
      <c r="R67" s="99"/>
      <c r="S67" s="99"/>
      <c r="T67" s="99"/>
      <c r="U67" s="67"/>
      <c r="V67" s="67"/>
      <c r="W67" s="99"/>
      <c r="X67" s="99"/>
      <c r="Y67" s="99"/>
      <c r="Z67" s="99"/>
      <c r="AA67" s="99"/>
      <c r="AB67" s="99"/>
      <c r="AC67" s="67"/>
      <c r="AD67" s="67"/>
      <c r="AE67" s="99"/>
      <c r="AF67" s="99"/>
      <c r="AG67" s="99"/>
      <c r="AH67" s="99"/>
      <c r="AI67" s="99"/>
      <c r="AJ67" s="99"/>
      <c r="AK67" s="67"/>
      <c r="AL67" s="67"/>
      <c r="AM67" s="99"/>
      <c r="AN67" s="99"/>
      <c r="AO67" s="99"/>
      <c r="AP67" s="99"/>
      <c r="AQ67" s="99"/>
      <c r="AR67" s="99"/>
      <c r="AS67" s="99"/>
      <c r="AT67" s="99"/>
      <c r="AU67" s="143"/>
      <c r="AV67" s="99"/>
      <c r="AW67" s="143"/>
      <c r="AX67" s="143"/>
      <c r="AY67" s="143"/>
      <c r="AZ67" s="143"/>
      <c r="BA67" s="99"/>
      <c r="BD67" s="99"/>
      <c r="BG67" s="143"/>
      <c r="BH67" s="143"/>
      <c r="BI67" s="99"/>
      <c r="BL67" s="99"/>
      <c r="BO67" s="143"/>
      <c r="BP67" s="143"/>
      <c r="BR67" s="143"/>
      <c r="BT67" s="80"/>
      <c r="BV67" s="80"/>
      <c r="BW67" s="80"/>
      <c r="BX67" s="80"/>
      <c r="CA67" s="99"/>
      <c r="CB67" s="99"/>
      <c r="CC67" s="99"/>
      <c r="CD67" s="99"/>
      <c r="CE67" s="99"/>
      <c r="CF67" s="99"/>
      <c r="CI67"/>
    </row>
    <row r="68" spans="1:91" ht="13.5" customHeight="1" thickBot="1" x14ac:dyDescent="0.25">
      <c r="B68" s="91"/>
      <c r="C68" s="40" t="s">
        <v>237</v>
      </c>
      <c r="Q68" s="99"/>
      <c r="R68" s="99"/>
      <c r="S68" s="99"/>
      <c r="T68" s="99"/>
      <c r="U68" s="67"/>
      <c r="V68" s="67"/>
      <c r="W68" s="99"/>
      <c r="X68" s="99"/>
      <c r="Y68" s="99"/>
      <c r="Z68" s="99"/>
      <c r="AA68" s="99"/>
      <c r="AB68" s="99"/>
      <c r="AC68" s="67"/>
      <c r="AD68" s="67"/>
      <c r="AE68" s="99"/>
      <c r="AF68" s="99"/>
      <c r="AG68" s="99"/>
      <c r="AH68" s="99"/>
      <c r="AI68" s="99"/>
      <c r="AJ68" s="99"/>
      <c r="AK68" s="67"/>
      <c r="AL68" s="67"/>
      <c r="AM68" s="99"/>
      <c r="AN68" s="99"/>
      <c r="AO68" s="99"/>
      <c r="AP68" s="99"/>
      <c r="AQ68" s="99"/>
      <c r="AR68" s="99"/>
      <c r="AS68" s="99"/>
      <c r="AT68" s="99"/>
      <c r="AU68" s="143"/>
      <c r="AV68" s="99"/>
      <c r="AW68" s="143"/>
      <c r="AX68" s="143"/>
      <c r="AY68" s="143"/>
      <c r="AZ68" s="143"/>
      <c r="BA68" s="99"/>
      <c r="BD68" s="99"/>
      <c r="BG68" s="143"/>
      <c r="BH68" s="143"/>
      <c r="BI68" s="99"/>
      <c r="BL68" s="99"/>
      <c r="BO68" s="143"/>
      <c r="BP68" s="143"/>
      <c r="BR68" s="143"/>
      <c r="BT68" s="80"/>
      <c r="BV68" s="80"/>
      <c r="BW68" s="80"/>
      <c r="BX68" s="80"/>
      <c r="CA68" s="99"/>
      <c r="CB68" s="99"/>
      <c r="CC68" s="99"/>
      <c r="CD68" s="99"/>
      <c r="CE68" s="99"/>
      <c r="CF68" s="99"/>
      <c r="CI68"/>
    </row>
    <row r="69" spans="1:91" ht="103.5" customHeight="1" thickTop="1" thickBot="1" x14ac:dyDescent="0.25">
      <c r="B69" s="91"/>
      <c r="C69" s="607" t="s">
        <v>238</v>
      </c>
      <c r="D69" s="608"/>
      <c r="E69" s="609"/>
      <c r="F69" s="174" t="str">
        <f>IF(NOT(ISNUMBER(ffp)),"-",IF(F70=AJ87,AH84,IF(F70=AN87,AL84,IF(F70=AR87,AP84,IF(F70=AV87,AT84,IF(F70=AZ87,AX84,"-"))))))</f>
        <v>-</v>
      </c>
      <c r="Q69" s="99"/>
      <c r="R69" s="99"/>
      <c r="S69" s="99"/>
      <c r="T69" s="99"/>
      <c r="U69" s="67"/>
      <c r="V69" s="67"/>
      <c r="W69" s="99"/>
      <c r="X69" s="99"/>
      <c r="Y69" s="99"/>
      <c r="Z69" s="99"/>
      <c r="AA69" s="99"/>
      <c r="AB69" s="99"/>
      <c r="AC69" s="67"/>
      <c r="AD69" s="67"/>
      <c r="AE69" s="99"/>
      <c r="AF69" s="99"/>
      <c r="AG69" s="99"/>
      <c r="AH69" s="99"/>
      <c r="AI69" s="99"/>
      <c r="AJ69" s="99"/>
      <c r="AK69" s="67"/>
      <c r="AL69" s="67"/>
      <c r="AM69" s="99"/>
      <c r="AN69" s="99"/>
      <c r="AO69" s="99"/>
      <c r="AP69" s="99"/>
      <c r="AQ69" s="99"/>
      <c r="AR69" s="99"/>
      <c r="AS69" s="80"/>
      <c r="AT69" s="80"/>
      <c r="AU69" s="144"/>
      <c r="AV69" s="80"/>
      <c r="AW69" s="144"/>
      <c r="AX69" s="144"/>
      <c r="AY69" s="144"/>
      <c r="AZ69" s="144"/>
      <c r="BA69" s="80"/>
      <c r="BB69" s="80"/>
      <c r="BC69" s="144"/>
      <c r="BD69" s="80"/>
      <c r="BE69" s="144"/>
      <c r="BF69" s="144"/>
      <c r="BG69" s="144"/>
      <c r="BH69" s="144"/>
      <c r="BI69" s="80"/>
      <c r="BJ69" s="80"/>
      <c r="BK69" s="144"/>
      <c r="BL69" s="80"/>
      <c r="BM69" s="144"/>
      <c r="BN69" s="144"/>
      <c r="BO69" s="144"/>
      <c r="BP69" s="144"/>
      <c r="BQ69" s="144"/>
      <c r="BR69" s="144"/>
      <c r="BS69" s="144"/>
      <c r="BT69" s="80"/>
      <c r="BV69" s="80"/>
      <c r="BW69" s="80"/>
      <c r="BX69" s="80"/>
      <c r="CA69" s="99"/>
      <c r="CB69" s="99"/>
      <c r="CC69" s="99"/>
      <c r="CD69" s="99"/>
      <c r="CE69" s="99"/>
      <c r="CF69"/>
      <c r="CG69"/>
      <c r="CH69"/>
      <c r="CI69"/>
    </row>
    <row r="70" spans="1:91" ht="13.5" customHeight="1" thickTop="1" x14ac:dyDescent="0.2">
      <c r="C70" s="610" t="s">
        <v>152</v>
      </c>
      <c r="D70" s="611"/>
      <c r="E70" s="612"/>
      <c r="F70" s="175" t="str">
        <f>IF(NOT(AND(ISNUMBER(ffp),ISNUMBER(F14),ISNUMBER(F13))),"-",IF(MAX(AX87,BB87,BF87,BJ87,BN87,BR87)&gt;0,MAX(AX87,BB87,BF87,BJ87,BN87,BR87),"-"))</f>
        <v>-</v>
      </c>
      <c r="Q70" s="99"/>
      <c r="R70" s="99"/>
      <c r="S70" s="99"/>
      <c r="T70" s="99"/>
      <c r="U70" s="67"/>
      <c r="V70" s="67"/>
      <c r="W70" s="99"/>
      <c r="X70" s="99"/>
      <c r="Y70" s="99"/>
      <c r="Z70" s="99"/>
      <c r="AA70" s="99"/>
      <c r="AB70" s="99"/>
      <c r="AC70" s="67"/>
      <c r="AD70" s="67"/>
      <c r="AE70" s="99"/>
      <c r="AF70" s="99"/>
      <c r="AG70" s="99"/>
      <c r="AH70" s="99"/>
      <c r="AI70" s="99"/>
      <c r="AJ70" s="99"/>
      <c r="AK70" s="67"/>
      <c r="AL70" s="67"/>
      <c r="AM70" s="99"/>
      <c r="AN70" s="99"/>
      <c r="AO70" s="99"/>
      <c r="AP70" s="99"/>
      <c r="AQ70" s="99"/>
      <c r="AR70" s="99"/>
      <c r="AS70" s="80"/>
      <c r="AT70" s="80"/>
      <c r="AU70" s="144"/>
      <c r="AV70" s="80"/>
      <c r="AW70" s="144"/>
      <c r="AX70" s="144"/>
      <c r="AY70" s="144"/>
      <c r="AZ70" s="144"/>
      <c r="BA70" s="80"/>
      <c r="BB70" s="80"/>
      <c r="BC70" s="144"/>
      <c r="BD70" s="80"/>
      <c r="BE70" s="144"/>
      <c r="BF70" s="144"/>
      <c r="BG70" s="144"/>
      <c r="BH70" s="144"/>
      <c r="BI70" s="80"/>
      <c r="BJ70" s="80"/>
      <c r="BK70" s="144"/>
      <c r="BL70" s="80"/>
      <c r="BM70" s="144"/>
      <c r="BN70" s="144"/>
      <c r="BO70" s="144"/>
      <c r="BP70" s="144"/>
      <c r="BQ70" s="144"/>
      <c r="BR70" s="144"/>
      <c r="BS70" s="144"/>
      <c r="BT70" s="80"/>
      <c r="BV70" s="80"/>
      <c r="BW70" s="80"/>
      <c r="BX70" s="80"/>
      <c r="CA70" s="99"/>
      <c r="CB70" s="99"/>
      <c r="CC70" s="99"/>
      <c r="CD70" s="99"/>
      <c r="CE70" s="99"/>
      <c r="CF70"/>
      <c r="CG70"/>
      <c r="CH70"/>
      <c r="CI70"/>
    </row>
    <row r="71" spans="1:91" ht="13.5" customHeight="1" thickBot="1" x14ac:dyDescent="0.25">
      <c r="C71" s="573" t="s">
        <v>239</v>
      </c>
      <c r="D71" s="574"/>
      <c r="E71" s="575"/>
      <c r="F71" s="176" t="str">
        <f>IF(NOT(ISNUMBER(ffp)),"-",IF(F70=AX87,AX88,IF(F70=BB87,BB88,IF(F70=BF87,BF88,IF(F70=BJ87,BJ88,IF(F70=BN87,BN88,BR88))))))</f>
        <v>-</v>
      </c>
      <c r="O71" s="99"/>
      <c r="P71" s="99"/>
      <c r="Q71" s="99"/>
      <c r="R71" s="99"/>
      <c r="S71" s="67"/>
      <c r="T71" s="67"/>
      <c r="U71" s="67"/>
      <c r="V71" s="67"/>
      <c r="W71" s="99"/>
      <c r="X71" s="99"/>
      <c r="Y71" s="99"/>
      <c r="Z71" s="99"/>
      <c r="AA71" s="99"/>
      <c r="AB71" s="99"/>
      <c r="AC71" s="67"/>
      <c r="AD71" s="67"/>
      <c r="AE71" s="99"/>
      <c r="AF71" s="99"/>
      <c r="AG71" s="99"/>
      <c r="AH71" s="99"/>
      <c r="AI71" s="99"/>
      <c r="AJ71" s="99"/>
      <c r="AK71" s="67"/>
      <c r="AL71" s="67"/>
      <c r="AM71" s="99"/>
      <c r="AN71" s="99"/>
      <c r="AO71" s="99"/>
      <c r="AP71" s="99"/>
      <c r="AQ71" s="99"/>
      <c r="AR71" s="99"/>
      <c r="AS71" s="80"/>
      <c r="AT71" s="80"/>
      <c r="AU71" s="144"/>
      <c r="AV71" s="80"/>
      <c r="AW71" s="144"/>
      <c r="AX71" s="144"/>
      <c r="AY71" s="144"/>
      <c r="AZ71" s="144"/>
      <c r="BA71" s="80"/>
      <c r="BB71" s="80"/>
      <c r="BC71" s="144"/>
      <c r="BD71" s="80"/>
      <c r="BE71" s="144"/>
      <c r="BF71" s="144"/>
      <c r="BG71" s="144"/>
      <c r="BH71" s="144"/>
      <c r="BI71" s="80"/>
      <c r="BJ71" s="80"/>
      <c r="BK71" s="144"/>
      <c r="BL71" s="80"/>
      <c r="BM71" s="144"/>
      <c r="BN71" s="144"/>
      <c r="BO71" s="144"/>
      <c r="BP71" s="144"/>
      <c r="BQ71" s="144"/>
      <c r="BR71" s="144"/>
      <c r="BS71" s="144"/>
      <c r="BT71" s="80"/>
      <c r="BV71" s="80"/>
      <c r="BW71" s="80"/>
      <c r="BX71" s="80"/>
      <c r="CA71" s="99"/>
      <c r="CB71" s="99"/>
      <c r="CC71" s="99"/>
      <c r="CD71" s="99"/>
      <c r="CE71" s="99"/>
      <c r="CF71"/>
      <c r="CG71"/>
      <c r="CH71"/>
      <c r="CI71"/>
    </row>
    <row r="72" spans="1:91" ht="13.5" customHeight="1" thickTop="1" x14ac:dyDescent="0.2">
      <c r="C72" s="10" t="s">
        <v>129</v>
      </c>
      <c r="D72" s="177"/>
      <c r="E72" s="177"/>
      <c r="F72" s="177"/>
      <c r="G72" s="177"/>
      <c r="H72" s="178"/>
      <c r="I72" s="179"/>
      <c r="Q72" s="99"/>
      <c r="R72" s="99"/>
      <c r="S72" s="99"/>
      <c r="T72" s="99"/>
      <c r="U72" s="67"/>
      <c r="V72" s="67"/>
      <c r="W72" s="99"/>
      <c r="X72" s="99"/>
      <c r="Y72" s="99"/>
      <c r="Z72" s="99"/>
      <c r="AA72" s="99"/>
      <c r="AB72" s="99"/>
      <c r="AC72" s="67"/>
      <c r="AD72" s="67"/>
      <c r="AE72" s="99"/>
      <c r="AF72" s="99"/>
      <c r="AG72" s="99"/>
      <c r="AH72" s="99"/>
      <c r="AI72" s="99"/>
      <c r="AJ72" s="99"/>
      <c r="AK72" s="67"/>
      <c r="AL72" s="67"/>
      <c r="AM72" s="99"/>
      <c r="AN72" s="99"/>
      <c r="AO72" s="99"/>
      <c r="AP72" s="99"/>
      <c r="AQ72" s="99"/>
      <c r="AR72" s="99"/>
      <c r="AS72" s="99"/>
      <c r="AT72" s="99"/>
      <c r="AU72" s="143"/>
      <c r="AV72" s="99"/>
      <c r="AW72" s="143"/>
      <c r="AX72" s="143"/>
      <c r="AY72" s="143"/>
      <c r="AZ72" s="143"/>
      <c r="BA72" s="99"/>
      <c r="BD72" s="99"/>
      <c r="BG72" s="143"/>
      <c r="BH72" s="143"/>
      <c r="BI72" s="99"/>
      <c r="BL72" s="99"/>
      <c r="BO72" s="143"/>
      <c r="BP72" s="143"/>
      <c r="BR72" s="143"/>
      <c r="BT72" s="80"/>
      <c r="BV72" s="80"/>
      <c r="BW72" s="80"/>
      <c r="BX72" s="80"/>
      <c r="CA72" s="99"/>
      <c r="CB72" s="99"/>
      <c r="CC72" s="99"/>
      <c r="CD72" s="99"/>
      <c r="CE72" s="99"/>
      <c r="CF72" s="99"/>
      <c r="CI72"/>
    </row>
    <row r="73" spans="1:91" ht="13.5" customHeight="1" x14ac:dyDescent="0.2">
      <c r="H73" s="67"/>
      <c r="I73" s="67"/>
      <c r="W73" s="99"/>
      <c r="X73" s="99"/>
      <c r="Y73" s="99"/>
      <c r="Z73" s="67"/>
      <c r="AA73" s="99"/>
      <c r="AB73" s="99"/>
      <c r="AE73" s="99"/>
      <c r="AF73" s="99"/>
      <c r="AG73" s="99"/>
      <c r="AH73" s="67"/>
      <c r="AI73" s="99"/>
      <c r="AJ73" s="99"/>
      <c r="AM73" s="99"/>
      <c r="AN73" s="99"/>
      <c r="AO73" s="99"/>
      <c r="AP73" s="67"/>
      <c r="AQ73" s="99"/>
      <c r="AR73" s="99"/>
      <c r="AS73" s="99"/>
      <c r="AT73" s="99"/>
      <c r="AU73" s="99"/>
      <c r="AV73" s="99"/>
      <c r="AW73" s="99"/>
      <c r="AX73" s="99"/>
      <c r="BX73" s="80"/>
    </row>
    <row r="74" spans="1:91" s="67" customFormat="1" ht="27" customHeight="1" x14ac:dyDescent="0.2">
      <c r="A74" s="180"/>
      <c r="B74" s="181" t="s">
        <v>240</v>
      </c>
      <c r="C74" s="182"/>
      <c r="D74" s="182"/>
      <c r="E74" s="182"/>
      <c r="F74" s="182"/>
      <c r="G74" s="182"/>
      <c r="H74" s="182"/>
      <c r="I74" s="182"/>
      <c r="J74" s="182"/>
      <c r="K74" s="182"/>
      <c r="T74" s="183"/>
      <c r="U74" s="183"/>
      <c r="V74" s="99"/>
      <c r="W74"/>
      <c r="X74"/>
      <c r="Y74"/>
      <c r="AA74"/>
      <c r="AB74"/>
      <c r="AC74" s="183"/>
      <c r="AD74" s="99"/>
      <c r="AE74"/>
      <c r="AF74"/>
      <c r="AG74"/>
      <c r="AI74"/>
      <c r="AJ74"/>
      <c r="AK74" s="183"/>
      <c r="AL74" s="99"/>
      <c r="AM74"/>
      <c r="AN74"/>
      <c r="AO74"/>
      <c r="AQ74"/>
      <c r="AR74"/>
      <c r="AS74"/>
      <c r="AT74"/>
      <c r="AU74"/>
      <c r="AV74"/>
      <c r="AW74"/>
      <c r="AX74"/>
      <c r="AY74" s="99"/>
      <c r="AZ74" s="99"/>
      <c r="BA74" s="143"/>
      <c r="BB74" s="99"/>
      <c r="BC74" s="143"/>
      <c r="BD74" s="143"/>
      <c r="BE74" s="143"/>
      <c r="BF74" s="143"/>
      <c r="BG74" s="99"/>
      <c r="BH74" s="99"/>
      <c r="BI74" s="143"/>
      <c r="BJ74" s="99"/>
      <c r="BK74" s="143"/>
      <c r="BL74" s="143"/>
      <c r="BM74" s="143"/>
      <c r="BN74" s="143"/>
      <c r="BO74" s="99"/>
      <c r="BP74" s="99"/>
      <c r="BQ74" s="143"/>
      <c r="BR74" s="99"/>
      <c r="BS74" s="143"/>
      <c r="BT74" s="143"/>
      <c r="BU74" s="80"/>
      <c r="BV74" s="143"/>
      <c r="BW74" s="99"/>
      <c r="BX74" s="99"/>
      <c r="BY74" s="80"/>
      <c r="BZ74" s="80"/>
      <c r="CA74" s="80"/>
      <c r="CB74" s="80"/>
      <c r="CC74" s="80"/>
      <c r="CD74" s="80"/>
      <c r="CE74" s="80"/>
      <c r="CF74" s="80"/>
      <c r="CI74" s="99"/>
      <c r="CJ74" s="99"/>
      <c r="CK74" s="99"/>
      <c r="CL74" s="99"/>
      <c r="CM74" s="99"/>
    </row>
    <row r="75" spans="1:91" x14ac:dyDescent="0.2">
      <c r="B75" s="100"/>
      <c r="C75" s="100"/>
      <c r="T75" s="184"/>
      <c r="U75" s="184"/>
      <c r="V75" s="99"/>
      <c r="Z75" s="67"/>
      <c r="AC75" s="184"/>
      <c r="AD75" s="99"/>
      <c r="AH75" s="67"/>
      <c r="AK75" s="184"/>
      <c r="AL75" s="99"/>
      <c r="AP75" s="67"/>
      <c r="CG75"/>
      <c r="CH75"/>
      <c r="CJ75" s="99"/>
      <c r="CK75" s="99"/>
      <c r="CL75" s="99"/>
      <c r="CM75" s="99"/>
    </row>
    <row r="76" spans="1:91" x14ac:dyDescent="0.2">
      <c r="B76" s="92"/>
      <c r="C76" s="92"/>
      <c r="T76" s="177"/>
      <c r="U76" s="177"/>
      <c r="V76" s="99"/>
      <c r="Z76" s="67"/>
      <c r="AC76" s="177"/>
      <c r="AD76" s="99"/>
      <c r="AH76" s="67"/>
      <c r="AK76" s="177"/>
      <c r="AL76" s="99"/>
      <c r="AP76" s="67"/>
      <c r="CG76"/>
      <c r="CH76"/>
      <c r="CJ76" s="99"/>
      <c r="CK76" s="99"/>
      <c r="CL76" s="99"/>
      <c r="CM76" s="99"/>
    </row>
    <row r="77" spans="1:91" x14ac:dyDescent="0.2">
      <c r="B77" s="92"/>
      <c r="C77" s="92"/>
      <c r="D77" s="92"/>
      <c r="E77" s="92"/>
      <c r="F77" s="92"/>
      <c r="V77" s="99"/>
      <c r="Z77" s="67"/>
      <c r="AD77" s="99"/>
      <c r="AH77" s="67"/>
      <c r="AL77" s="99"/>
      <c r="AP77" s="67"/>
      <c r="CG77"/>
      <c r="CH77"/>
      <c r="CJ77" s="99"/>
      <c r="CK77" s="99"/>
      <c r="CL77" s="99"/>
      <c r="CM77" s="99"/>
    </row>
    <row r="78" spans="1:91" x14ac:dyDescent="0.2">
      <c r="D78" s="92"/>
      <c r="E78" s="92"/>
      <c r="F78" s="92"/>
      <c r="V78" s="99"/>
      <c r="AD78" s="99"/>
      <c r="AL78" s="99"/>
      <c r="CG78"/>
      <c r="CH78"/>
      <c r="CJ78" s="99"/>
      <c r="CK78" s="99"/>
      <c r="CL78" s="99"/>
      <c r="CM78" s="99"/>
    </row>
    <row r="79" spans="1:91" x14ac:dyDescent="0.2">
      <c r="V79" s="99"/>
      <c r="AD79" s="99"/>
      <c r="AL79" s="99"/>
      <c r="CG79"/>
      <c r="CH79"/>
      <c r="CJ79" s="99"/>
      <c r="CK79" s="99"/>
      <c r="CL79" s="99"/>
      <c r="CM79" s="99"/>
    </row>
    <row r="80" spans="1:91" x14ac:dyDescent="0.2">
      <c r="V80" s="99"/>
      <c r="AD80" s="99"/>
      <c r="AL80" s="99"/>
      <c r="CG80"/>
      <c r="CH80"/>
      <c r="CJ80" s="99"/>
      <c r="CK80" s="99"/>
      <c r="CL80" s="99"/>
      <c r="CM80" s="99"/>
    </row>
    <row r="81" spans="2:93" x14ac:dyDescent="0.2">
      <c r="V81" s="99"/>
      <c r="AD81" s="99"/>
      <c r="AL81" s="99"/>
      <c r="CH81"/>
      <c r="CJ81" s="99"/>
      <c r="CK81" s="99"/>
      <c r="CL81" s="99"/>
      <c r="CM81" s="99"/>
    </row>
    <row r="82" spans="2:93" x14ac:dyDescent="0.2">
      <c r="V82" s="185"/>
      <c r="AD82" s="185"/>
      <c r="AL82" s="185"/>
      <c r="CJ82" s="99"/>
      <c r="CK82" s="99"/>
      <c r="CL82" s="99"/>
      <c r="CM82" s="99"/>
    </row>
    <row r="83" spans="2:93" x14ac:dyDescent="0.2">
      <c r="CJ83" s="99"/>
      <c r="CK83" s="99"/>
      <c r="CL83" s="99"/>
      <c r="CM83" s="99"/>
    </row>
    <row r="84" spans="2:93" x14ac:dyDescent="0.2">
      <c r="AV84" s="79" t="str">
        <f>_xlfn.CONCAT("1回目散布から",F22,"日")</f>
        <v>1回目散布から21日</v>
      </c>
      <c r="AZ84" s="79" t="str">
        <f>_xlfn.CONCAT("1回目散布の止水期間終了から",F22,"日")</f>
        <v>1回目散布の止水期間終了から21日</v>
      </c>
      <c r="BD84" s="79" t="str">
        <f>_xlfn.CONCAT("2回目散布から",F22,"日")</f>
        <v>2回目散布から21日</v>
      </c>
      <c r="BH84" s="79" t="str">
        <f>_xlfn.CONCAT("2回目散布の止水期間終了から",F22,"日")</f>
        <v>2回目散布の止水期間終了から21日</v>
      </c>
      <c r="BL84" s="79" t="str">
        <f>_xlfn.CONCAT("3回目散布から",F22,"日")</f>
        <v>3回目散布から21日</v>
      </c>
      <c r="BP84" s="79" t="str">
        <f>_xlfn.CONCAT("3回目散布の止水期間終了から",F22,"日")</f>
        <v>3回目散布の止水期間終了から21日</v>
      </c>
      <c r="CJ84" s="99"/>
      <c r="CK84" s="99"/>
      <c r="CL84" s="99"/>
      <c r="CM84" s="99"/>
    </row>
    <row r="85" spans="2:93" x14ac:dyDescent="0.2">
      <c r="AT85" s="186"/>
      <c r="AV85" s="44" t="s">
        <v>241</v>
      </c>
      <c r="AW85" s="87" t="s">
        <v>242</v>
      </c>
      <c r="AX85" s="187">
        <f>IF(ISNUMBER($F$22),VLOOKUP($F$22-1,$U$100:$AX$250,28),"-")</f>
        <v>0</v>
      </c>
      <c r="AZ85" s="44" t="s">
        <v>241</v>
      </c>
      <c r="BA85" s="87" t="s">
        <v>242</v>
      </c>
      <c r="BB85" s="187" t="str">
        <f>IFERROR(VLOOKUP($F$22+$F$21-1,$U$100:$BB$250,32),"-")</f>
        <v>-</v>
      </c>
      <c r="BD85" s="44" t="s">
        <v>241</v>
      </c>
      <c r="BE85" s="87" t="s">
        <v>242</v>
      </c>
      <c r="BF85" s="187" t="str">
        <f ca="1">IF(ISNUMBER($F$22),VLOOKUP($F$22-1+$F$16,$U$100:$BF$250,36),"-")</f>
        <v/>
      </c>
      <c r="BH85" s="44" t="s">
        <v>241</v>
      </c>
      <c r="BI85" s="87" t="s">
        <v>242</v>
      </c>
      <c r="BJ85" s="187" t="str">
        <f>IFERROR(VLOOKUP($F$22+$F$21-1+$F$16,$U$100:$BJ$250,40),"-")</f>
        <v>-</v>
      </c>
      <c r="BL85" s="44" t="s">
        <v>241</v>
      </c>
      <c r="BM85" s="87" t="s">
        <v>242</v>
      </c>
      <c r="BN85" s="187" t="str">
        <f ca="1">IF(ISNUMBER($F$22),VLOOKUP($F$22-1+$F$17,$U$100:$BN$250,44),"-")</f>
        <v/>
      </c>
      <c r="BP85" s="44" t="s">
        <v>241</v>
      </c>
      <c r="BQ85" s="87" t="s">
        <v>242</v>
      </c>
      <c r="BR85" s="187" t="str">
        <f>IFERROR(VLOOKUP($F$22+$F$21-1+$F$17,$U$100:$BR$250,48),"-")</f>
        <v>-</v>
      </c>
      <c r="CJ85" s="99"/>
      <c r="CK85" s="99"/>
      <c r="CL85" s="99"/>
      <c r="CM85" s="99"/>
    </row>
    <row r="86" spans="2:93" x14ac:dyDescent="0.2">
      <c r="AV86" s="44" t="s">
        <v>243</v>
      </c>
      <c r="AW86" s="188" t="s">
        <v>244</v>
      </c>
      <c r="AX86" s="187" t="str">
        <f xml:space="preserve"> IF(ISNUMBER($F$22),VLOOKUP($F$22-1,$U$100:$AX$250,29),"-")</f>
        <v>-</v>
      </c>
      <c r="AZ86" s="44" t="s">
        <v>243</v>
      </c>
      <c r="BA86" s="188" t="s">
        <v>244</v>
      </c>
      <c r="BB86" s="187" t="str">
        <f>IFERROR(VLOOKUP($F$22+$F$21-1,$U$100:$BB$250,33),"-")</f>
        <v>-</v>
      </c>
      <c r="BD86" s="44" t="s">
        <v>243</v>
      </c>
      <c r="BE86" s="188" t="s">
        <v>244</v>
      </c>
      <c r="BF86" s="187" t="str">
        <f ca="1">IF(ISNUMBER($F$22),VLOOKUP($F$22-1+$F$16,$U$100:$BF$250,37),"-")</f>
        <v/>
      </c>
      <c r="BH86" s="44" t="s">
        <v>243</v>
      </c>
      <c r="BI86" s="188" t="s">
        <v>244</v>
      </c>
      <c r="BJ86" s="187" t="str">
        <f>IFERROR(VLOOKUP($F$22+$F$21-1+$F$16,$U$100:$BJ$250,41),"-")</f>
        <v>-</v>
      </c>
      <c r="BL86" s="44" t="s">
        <v>243</v>
      </c>
      <c r="BM86" s="188" t="s">
        <v>244</v>
      </c>
      <c r="BN86" s="187" t="str">
        <f ca="1">IF(ISNUMBER($F$22),VLOOKUP($F$22-1+$F$17,$U$100:$BN$250,45),"-")</f>
        <v/>
      </c>
      <c r="BP86" s="44" t="s">
        <v>243</v>
      </c>
      <c r="BQ86" s="188" t="s">
        <v>244</v>
      </c>
      <c r="BR86" s="187" t="str">
        <f>IFERROR(VLOOKUP($F$22+$F$21-1+$F$17,$U$100:$BR$250,49),"-")</f>
        <v>-</v>
      </c>
      <c r="CJ86" s="99"/>
      <c r="CK86" s="99"/>
      <c r="CL86" s="99"/>
      <c r="CM86" s="99"/>
    </row>
    <row r="87" spans="2:93" x14ac:dyDescent="0.2">
      <c r="AV87" s="27" t="s">
        <v>152</v>
      </c>
      <c r="AW87" s="27"/>
      <c r="AX87" s="189" t="str">
        <f>IF(ISNUMBER($F$22),VLOOKUP($F$22-1,$U$100:$AX$250,30),"-")</f>
        <v/>
      </c>
      <c r="AZ87" s="27" t="s">
        <v>152</v>
      </c>
      <c r="BA87" s="27"/>
      <c r="BB87" s="189" t="str">
        <f>IFERROR(VLOOKUP($F$22+$F$21-1,$U$100:$BB$250,34),"-")</f>
        <v>-</v>
      </c>
      <c r="BD87" s="27" t="s">
        <v>152</v>
      </c>
      <c r="BE87" s="27"/>
      <c r="BF87" s="189" t="str">
        <f ca="1">IF(ISNUMBER($F$22),VLOOKUP($F$22-1+$F$16,$U$100:$BF$250,38),"-")</f>
        <v/>
      </c>
      <c r="BH87" s="27" t="s">
        <v>152</v>
      </c>
      <c r="BI87" s="27"/>
      <c r="BJ87" s="189" t="str">
        <f>IFERROR(VLOOKUP($F$22+$F$21-1+$F$16,$U$100:$BJ$250,42),"-")</f>
        <v>-</v>
      </c>
      <c r="BL87" s="27" t="s">
        <v>152</v>
      </c>
      <c r="BM87" s="27"/>
      <c r="BN87" s="189" t="str">
        <f ca="1">IF(ISNUMBER($F$22),VLOOKUP($F$22-1+$F$17,$U$100:$BN$250,46),"-")</f>
        <v/>
      </c>
      <c r="BP87" s="27" t="s">
        <v>152</v>
      </c>
      <c r="BQ87" s="27"/>
      <c r="BR87" s="189" t="str">
        <f>IFERROR(VLOOKUP($F$22+$F$21-1+$F$17,$U$100:$BR$250,50),"-")</f>
        <v>-</v>
      </c>
      <c r="CJ87" s="99"/>
      <c r="CK87" s="99"/>
      <c r="CL87" s="99"/>
      <c r="CM87" s="99"/>
    </row>
    <row r="88" spans="2:93" x14ac:dyDescent="0.2">
      <c r="AV88" s="27" t="s">
        <v>245</v>
      </c>
      <c r="AW88" s="27"/>
      <c r="AX88" s="23" t="str">
        <f>IF(ISNUMBER(AX87),IF(ISBLANK(ffp),"-",IF(k=0,"分解を考慮せず",AX87*EXP(-0.17*k))),"-")</f>
        <v>-</v>
      </c>
      <c r="AZ88" s="27" t="s">
        <v>245</v>
      </c>
      <c r="BA88" s="27"/>
      <c r="BB88" s="23" t="str">
        <f>IFERROR(IF(ISBLANK(ffp),"-",IF(k=0,"分解を考慮せず",BB87*EXP(-0.17*k))),"-")</f>
        <v>分解を考慮せず</v>
      </c>
      <c r="BD88" s="27" t="s">
        <v>245</v>
      </c>
      <c r="BE88" s="27"/>
      <c r="BF88" s="23" t="str">
        <f ca="1">IF(ISNUMBER(BF87),IF(ISBLANK(ffp),"-",IF(k=0,"分解を考慮せず",BF87*EXP(-0.17*k))),"-")</f>
        <v>-</v>
      </c>
      <c r="BH88" s="27" t="s">
        <v>245</v>
      </c>
      <c r="BI88" s="27"/>
      <c r="BJ88" s="23" t="str">
        <f>IF(ISNUMBER(BJ87),IF(ISBLANK(ffp),"-",IF(k=0,"分解を考慮せず",BJ87*EXP(-0.17*k))),"-")</f>
        <v>-</v>
      </c>
      <c r="BL88" s="27" t="s">
        <v>245</v>
      </c>
      <c r="BM88" s="27"/>
      <c r="BN88" s="23" t="str">
        <f ca="1">IF(ISNUMBER(BN87),IF(ISBLANK(ffp),"-",IF(k=0,"分解を考慮せず",BN87*EXP(-0.17*k))),"-")</f>
        <v>-</v>
      </c>
      <c r="BP88" s="27" t="s">
        <v>245</v>
      </c>
      <c r="BQ88" s="27"/>
      <c r="BR88" s="23" t="str">
        <f>IF(ISNUMBER(BR87),IF(ISBLANK(ffp),"-",IF(k=0,"分解を考慮せず",BR87*EXP(-0.17*k))),"-")</f>
        <v>-</v>
      </c>
      <c r="CJ88" s="99"/>
      <c r="CK88" s="99"/>
      <c r="CL88" s="99"/>
      <c r="CM88" s="99"/>
    </row>
    <row r="89" spans="2:93" x14ac:dyDescent="0.2">
      <c r="AV89" s="79"/>
      <c r="AW89" s="99"/>
      <c r="AX89" s="143"/>
      <c r="AZ89" s="79"/>
      <c r="BB89" s="143"/>
      <c r="BD89" s="79"/>
      <c r="BE89" s="99"/>
      <c r="BH89" s="79"/>
      <c r="BJ89" s="143"/>
      <c r="BL89" s="79"/>
      <c r="BM89" s="99"/>
      <c r="BP89" s="79"/>
      <c r="BR89" s="143"/>
      <c r="BT89" s="99"/>
      <c r="BU89" s="99"/>
      <c r="BV89" s="80"/>
      <c r="BW89" s="80"/>
      <c r="BX89" s="80"/>
      <c r="CD89" s="99"/>
      <c r="CE89" s="99"/>
      <c r="CF89" s="99"/>
      <c r="CJ89" s="99"/>
    </row>
    <row r="90" spans="2:93" x14ac:dyDescent="0.2">
      <c r="AV90" s="99"/>
      <c r="AW90" s="99"/>
      <c r="AX90" s="143"/>
      <c r="BB90" s="143"/>
      <c r="BD90" s="99"/>
      <c r="BE90" s="99"/>
      <c r="BJ90" s="143"/>
      <c r="BL90" s="99"/>
      <c r="BM90" s="99"/>
      <c r="BR90" s="143"/>
      <c r="BT90" s="99"/>
      <c r="BU90" s="99"/>
      <c r="BV90" s="80"/>
      <c r="BW90" s="80"/>
      <c r="BX90" s="80"/>
      <c r="CD90" s="99"/>
      <c r="CE90" s="99"/>
      <c r="CF90" s="99"/>
      <c r="CJ90" s="99"/>
    </row>
    <row r="91" spans="2:93" x14ac:dyDescent="0.2">
      <c r="AV91" s="21"/>
      <c r="AX91" s="190"/>
      <c r="AY91"/>
      <c r="AZ91" s="21"/>
      <c r="BB91" s="190"/>
      <c r="BD91" s="21"/>
      <c r="BF91" s="190"/>
      <c r="BG91"/>
      <c r="BH91" s="21"/>
      <c r="BJ91" s="190"/>
      <c r="BL91" s="21"/>
      <c r="BN91" s="190"/>
      <c r="BO91"/>
      <c r="BP91" s="21"/>
      <c r="BR91" s="190"/>
      <c r="BT91" s="99"/>
      <c r="BU91" s="99"/>
      <c r="BV91" s="80"/>
      <c r="BW91" s="80"/>
      <c r="BX91" s="80"/>
      <c r="CD91" s="99"/>
      <c r="CE91" s="99"/>
      <c r="CF91" s="99"/>
      <c r="CJ91" s="99"/>
    </row>
    <row r="92" spans="2:93" x14ac:dyDescent="0.2">
      <c r="AV92" s="21"/>
      <c r="AX92" s="191"/>
      <c r="AY92"/>
      <c r="AZ92" s="21"/>
      <c r="BB92" s="191"/>
      <c r="BD92" s="21"/>
      <c r="BF92" s="191"/>
      <c r="BG92"/>
      <c r="BH92" s="21"/>
      <c r="BJ92" s="191"/>
      <c r="BL92" s="21"/>
      <c r="BN92" s="191"/>
      <c r="BO92"/>
      <c r="BP92" s="21"/>
      <c r="BR92" s="191"/>
      <c r="BT92" s="99"/>
      <c r="BU92" s="99"/>
      <c r="BV92" s="80"/>
      <c r="BW92" s="80"/>
      <c r="BX92" s="80"/>
      <c r="CD92" s="99"/>
      <c r="CE92" s="99"/>
      <c r="CF92" s="99"/>
      <c r="CJ92" s="99"/>
    </row>
    <row r="93" spans="2:93" ht="13.5" thickBot="1" x14ac:dyDescent="0.25">
      <c r="B93" s="605"/>
      <c r="C93" s="605"/>
      <c r="D93" s="192"/>
      <c r="E93" s="99"/>
      <c r="F93" s="99"/>
      <c r="G93" s="99"/>
      <c r="H93" s="99"/>
      <c r="I93" s="99"/>
      <c r="J93" s="99"/>
      <c r="K93" s="99"/>
      <c r="L93" s="99"/>
      <c r="M93" s="99"/>
      <c r="N93" s="99"/>
      <c r="O93" s="99"/>
      <c r="P93" s="99"/>
      <c r="Q93" s="99"/>
      <c r="R93" s="99"/>
      <c r="S93" s="99"/>
      <c r="T93" s="99"/>
      <c r="AV93" s="21"/>
      <c r="AX93" s="190"/>
      <c r="AY93"/>
      <c r="AZ93" s="193"/>
      <c r="BB93" s="190"/>
      <c r="BC93" s="190"/>
      <c r="BD93" s="21"/>
      <c r="BF93" s="190"/>
      <c r="BG93"/>
      <c r="BH93" s="193"/>
      <c r="BJ93" s="190"/>
      <c r="BK93" s="190"/>
      <c r="BL93" s="21"/>
      <c r="BN93" s="190"/>
      <c r="BO93"/>
      <c r="BP93" s="193"/>
      <c r="BR93" s="190"/>
      <c r="BS93" s="190"/>
      <c r="BT93"/>
      <c r="BU93"/>
      <c r="BV93" s="80"/>
      <c r="BW93" s="80" t="s">
        <v>246</v>
      </c>
      <c r="BX93" s="80"/>
      <c r="CD93" s="99"/>
      <c r="CE93" s="99"/>
      <c r="CF93" s="99"/>
      <c r="CJ93" s="99"/>
    </row>
    <row r="94" spans="2:93" ht="27" customHeight="1" thickTop="1" x14ac:dyDescent="0.2">
      <c r="B94" s="599"/>
      <c r="C94" s="600"/>
      <c r="D94" s="601"/>
      <c r="E94" s="599" t="s">
        <v>247</v>
      </c>
      <c r="F94" s="600"/>
      <c r="G94" s="600"/>
      <c r="H94" s="599" t="s">
        <v>248</v>
      </c>
      <c r="I94" s="600"/>
      <c r="J94" s="600"/>
      <c r="K94" s="599" t="s">
        <v>249</v>
      </c>
      <c r="L94" s="600"/>
      <c r="M94" s="600"/>
      <c r="N94" s="599" t="s">
        <v>250</v>
      </c>
      <c r="O94" s="600"/>
      <c r="P94" s="600"/>
      <c r="Q94" s="599" t="s">
        <v>251</v>
      </c>
      <c r="R94" s="600"/>
      <c r="S94" s="600"/>
      <c r="T94" s="602" t="s">
        <v>252</v>
      </c>
      <c r="U94" s="194"/>
      <c r="V94" s="194"/>
      <c r="W94" s="194"/>
      <c r="X94" s="194"/>
      <c r="Y94" s="194"/>
      <c r="Z94" s="194"/>
      <c r="AA94" s="194"/>
      <c r="AB94" s="194"/>
      <c r="AC94" s="194"/>
      <c r="AD94" s="194"/>
      <c r="AE94" s="194"/>
      <c r="AF94" s="194"/>
      <c r="AG94" s="194"/>
      <c r="AH94" s="194"/>
      <c r="AI94" s="194"/>
      <c r="AJ94" s="194"/>
      <c r="AK94" s="194"/>
      <c r="AL94" s="194"/>
      <c r="AM94" s="194"/>
      <c r="AN94" s="194"/>
      <c r="AO94" s="194"/>
      <c r="AP94" s="194"/>
      <c r="AQ94" s="194"/>
      <c r="AR94" s="194"/>
      <c r="AS94" s="194"/>
      <c r="AT94" s="194"/>
      <c r="AU94" s="194"/>
      <c r="AV94" s="145"/>
      <c r="AX94" s="195"/>
      <c r="AY94"/>
      <c r="AZ94" s="196"/>
      <c r="BB94" s="195"/>
      <c r="BC94" s="190"/>
      <c r="BD94" s="145"/>
      <c r="BF94" s="195"/>
      <c r="BG94"/>
      <c r="BH94" s="196"/>
      <c r="BJ94" s="195"/>
      <c r="BK94" s="190"/>
      <c r="BL94" s="145"/>
      <c r="BN94" s="195"/>
      <c r="BO94"/>
      <c r="BP94" s="196"/>
      <c r="BR94" s="195"/>
      <c r="BS94" s="190"/>
      <c r="BT94"/>
      <c r="BU94" s="581" t="s">
        <v>253</v>
      </c>
      <c r="BV94" s="582"/>
      <c r="BW94" s="582"/>
      <c r="BX94" s="582"/>
      <c r="BY94" s="583"/>
      <c r="BZ94"/>
      <c r="CA94" s="199">
        <v>21</v>
      </c>
      <c r="CB94" s="200"/>
      <c r="CC94" s="201"/>
      <c r="CD94" s="197"/>
      <c r="CE94" s="199">
        <f>F22</f>
        <v>21</v>
      </c>
      <c r="CF94" s="200"/>
      <c r="CG94" s="201"/>
      <c r="CH94" s="197"/>
      <c r="CI94" s="202"/>
      <c r="CJ94" s="99"/>
      <c r="CK94" s="99"/>
      <c r="CL94" s="99"/>
      <c r="CM94" s="99"/>
      <c r="CN94" s="99"/>
      <c r="CO94" s="99"/>
    </row>
    <row r="95" spans="2:93" ht="13.5" customHeight="1" x14ac:dyDescent="0.2">
      <c r="B95" s="584" t="s">
        <v>254</v>
      </c>
      <c r="C95" s="587" t="s">
        <v>255</v>
      </c>
      <c r="D95" s="590" t="s">
        <v>256</v>
      </c>
      <c r="E95" s="593" t="s">
        <v>257</v>
      </c>
      <c r="F95" s="596" t="s">
        <v>258</v>
      </c>
      <c r="G95" s="596" t="s">
        <v>259</v>
      </c>
      <c r="H95" s="593" t="s">
        <v>257</v>
      </c>
      <c r="I95" s="596" t="s">
        <v>258</v>
      </c>
      <c r="J95" s="596" t="s">
        <v>259</v>
      </c>
      <c r="K95" s="593" t="s">
        <v>257</v>
      </c>
      <c r="L95" s="596" t="s">
        <v>258</v>
      </c>
      <c r="M95" s="596" t="s">
        <v>259</v>
      </c>
      <c r="N95" s="593" t="s">
        <v>257</v>
      </c>
      <c r="O95" s="596" t="s">
        <v>258</v>
      </c>
      <c r="P95" s="596" t="s">
        <v>259</v>
      </c>
      <c r="Q95" s="593" t="s">
        <v>257</v>
      </c>
      <c r="R95" s="596" t="s">
        <v>258</v>
      </c>
      <c r="S95" s="596" t="s">
        <v>259</v>
      </c>
      <c r="T95" s="603"/>
      <c r="U95" s="194"/>
      <c r="V95" s="194"/>
      <c r="W95" s="194"/>
      <c r="X95" s="194"/>
      <c r="Y95" s="194"/>
      <c r="Z95" s="194"/>
      <c r="AA95" s="194"/>
      <c r="AB95" s="194"/>
      <c r="AC95" s="194"/>
      <c r="AD95" s="194"/>
      <c r="AE95" s="194"/>
      <c r="AF95" s="194"/>
      <c r="AG95" s="194"/>
      <c r="AH95" s="194"/>
      <c r="AI95" s="194"/>
      <c r="AJ95" s="194"/>
      <c r="AK95" s="194"/>
      <c r="AL95" s="194"/>
      <c r="AM95" s="194"/>
      <c r="AN95" s="194"/>
      <c r="AO95" s="194"/>
      <c r="AP95" s="194"/>
      <c r="AQ95" s="194"/>
      <c r="AR95" s="194"/>
      <c r="AS95" s="194"/>
      <c r="AT95" s="194"/>
      <c r="AU95" s="194"/>
      <c r="AV95" s="99"/>
      <c r="AW95" s="99"/>
      <c r="AX95" s="143"/>
      <c r="AZ95" s="143"/>
      <c r="BB95" s="143"/>
      <c r="BC95" s="190"/>
      <c r="BD95" s="99"/>
      <c r="BE95" s="99"/>
      <c r="BH95" s="143"/>
      <c r="BJ95" s="143"/>
      <c r="BK95" s="190"/>
      <c r="BL95" s="99"/>
      <c r="BM95" s="99"/>
      <c r="BP95" s="143"/>
      <c r="BR95" s="143"/>
      <c r="BS95" s="190"/>
      <c r="BT95"/>
      <c r="BU95" s="204" t="s">
        <v>260</v>
      </c>
      <c r="BV95" s="203" t="s">
        <v>261</v>
      </c>
      <c r="BW95" s="31" t="s">
        <v>262</v>
      </c>
      <c r="BX95" s="31" t="s">
        <v>263</v>
      </c>
      <c r="BY95" s="205" t="s">
        <v>264</v>
      </c>
      <c r="BZ95"/>
      <c r="CA95" s="206" t="s">
        <v>265</v>
      </c>
      <c r="CB95" s="71" t="s">
        <v>266</v>
      </c>
      <c r="CC95" s="71"/>
      <c r="CD95" s="207"/>
      <c r="CE95" s="206" t="s">
        <v>265</v>
      </c>
      <c r="CF95" s="71" t="s">
        <v>266</v>
      </c>
      <c r="CG95" s="71"/>
      <c r="CH95" s="207"/>
      <c r="CI95" s="202"/>
      <c r="CJ95" s="99"/>
      <c r="CK95" s="99"/>
      <c r="CL95" s="99"/>
      <c r="CM95" s="99"/>
      <c r="CN95" s="99"/>
      <c r="CO95" s="99"/>
    </row>
    <row r="96" spans="2:93" ht="13.5" customHeight="1" x14ac:dyDescent="0.2">
      <c r="B96" s="585"/>
      <c r="C96" s="588"/>
      <c r="D96" s="591"/>
      <c r="E96" s="594"/>
      <c r="F96" s="597"/>
      <c r="G96" s="597"/>
      <c r="H96" s="594"/>
      <c r="I96" s="597"/>
      <c r="J96" s="597"/>
      <c r="K96" s="594"/>
      <c r="L96" s="597"/>
      <c r="M96" s="597"/>
      <c r="N96" s="594"/>
      <c r="O96" s="597"/>
      <c r="P96" s="597"/>
      <c r="Q96" s="594"/>
      <c r="R96" s="597"/>
      <c r="S96" s="597"/>
      <c r="T96" s="603"/>
      <c r="U96" s="194"/>
      <c r="V96" s="194"/>
      <c r="W96" s="194"/>
      <c r="X96" s="194"/>
      <c r="Y96" s="194"/>
      <c r="Z96" s="194"/>
      <c r="AA96" s="194"/>
      <c r="AB96" s="194"/>
      <c r="AC96" s="194"/>
      <c r="AD96" s="194"/>
      <c r="AE96" s="194"/>
      <c r="AF96" s="194"/>
      <c r="AG96" s="194"/>
      <c r="AH96" s="194"/>
      <c r="AI96" s="194"/>
      <c r="AJ96" s="194"/>
      <c r="AK96" s="194"/>
      <c r="AL96" s="194"/>
      <c r="AM96" s="194"/>
      <c r="AN96" s="194"/>
      <c r="AO96" s="194"/>
      <c r="AP96" s="194"/>
      <c r="AQ96" s="194"/>
      <c r="AR96" s="194"/>
      <c r="AS96" s="194"/>
      <c r="AT96" s="194"/>
      <c r="AU96" s="194"/>
      <c r="AV96" s="99"/>
      <c r="AW96" s="99"/>
      <c r="AX96" s="143"/>
      <c r="AZ96" s="143"/>
      <c r="BB96" s="143"/>
      <c r="BC96" s="191"/>
      <c r="BD96" s="99"/>
      <c r="BE96" s="99"/>
      <c r="BH96" s="143"/>
      <c r="BJ96" s="143"/>
      <c r="BK96" s="191"/>
      <c r="BL96" s="99"/>
      <c r="BM96" s="99"/>
      <c r="BP96" s="143"/>
      <c r="BR96" s="143"/>
      <c r="BS96" s="191"/>
      <c r="BT96"/>
      <c r="BU96" s="210"/>
      <c r="BV96" s="208"/>
      <c r="BW96" s="24"/>
      <c r="BX96" s="24"/>
      <c r="BY96" s="209"/>
      <c r="BZ96"/>
      <c r="CA96" s="206" t="str">
        <f>IF(CB96&gt;0,VLOOKUP(CB96,CB100:CC250,2,FALSE),"-")</f>
        <v>-</v>
      </c>
      <c r="CB96" s="71">
        <f>MAX(CB100:CB250)</f>
        <v>0</v>
      </c>
      <c r="CC96" s="71"/>
      <c r="CD96" s="207"/>
      <c r="CE96" s="206" t="str">
        <f ca="1">IF(CF96&gt;0,VLOOKUP(CF96,CF100:CG250,2,FALSE),"-")</f>
        <v>-</v>
      </c>
      <c r="CF96" s="71">
        <f ca="1">MAX(CF100:CF250)</f>
        <v>0</v>
      </c>
      <c r="CG96" s="71"/>
      <c r="CH96" s="207"/>
      <c r="CI96" s="202"/>
      <c r="CJ96" s="99"/>
      <c r="CK96" s="99"/>
      <c r="CL96" s="99"/>
      <c r="CM96" s="99"/>
      <c r="CN96" s="99"/>
      <c r="CO96" s="99"/>
    </row>
    <row r="97" spans="2:93" ht="13.5" customHeight="1" x14ac:dyDescent="0.2">
      <c r="B97" s="585"/>
      <c r="C97" s="588"/>
      <c r="D97" s="591"/>
      <c r="E97" s="594"/>
      <c r="F97" s="597"/>
      <c r="G97" s="597"/>
      <c r="H97" s="594"/>
      <c r="I97" s="597"/>
      <c r="J97" s="597"/>
      <c r="K97" s="594"/>
      <c r="L97" s="597"/>
      <c r="M97" s="597"/>
      <c r="N97" s="594"/>
      <c r="O97" s="597"/>
      <c r="P97" s="597"/>
      <c r="Q97" s="594"/>
      <c r="R97" s="597"/>
      <c r="S97" s="597"/>
      <c r="T97" s="603"/>
      <c r="U97" s="194"/>
      <c r="V97" s="194"/>
      <c r="W97" s="194"/>
      <c r="X97" s="194"/>
      <c r="Y97" s="194"/>
      <c r="Z97" s="194"/>
      <c r="AA97" s="194" t="s">
        <v>267</v>
      </c>
      <c r="AB97" s="194" t="s">
        <v>268</v>
      </c>
      <c r="AC97" s="194"/>
      <c r="AD97" s="194"/>
      <c r="AE97" s="194"/>
      <c r="AF97" s="194"/>
      <c r="AG97" s="194"/>
      <c r="AH97" s="194"/>
      <c r="AI97" s="194" t="s">
        <v>267</v>
      </c>
      <c r="AJ97" s="194" t="s">
        <v>268</v>
      </c>
      <c r="AK97" s="194"/>
      <c r="AL97" s="194"/>
      <c r="AM97" s="194"/>
      <c r="AN97" s="194"/>
      <c r="AO97" s="194"/>
      <c r="AP97" s="194"/>
      <c r="AQ97" s="194" t="s">
        <v>267</v>
      </c>
      <c r="AR97" s="194" t="s">
        <v>268</v>
      </c>
      <c r="AS97" s="194"/>
      <c r="AT97" s="194"/>
      <c r="AU97" s="194"/>
      <c r="AV97" s="605" t="s">
        <v>269</v>
      </c>
      <c r="AW97" s="605" t="s">
        <v>270</v>
      </c>
      <c r="AX97" s="605" t="s">
        <v>271</v>
      </c>
      <c r="AY97"/>
      <c r="AZ97" s="605" t="s">
        <v>272</v>
      </c>
      <c r="BA97" s="605" t="s">
        <v>273</v>
      </c>
      <c r="BB97" s="605" t="s">
        <v>274</v>
      </c>
      <c r="BC97" s="190"/>
      <c r="BD97" s="605" t="s">
        <v>269</v>
      </c>
      <c r="BE97" s="605" t="s">
        <v>270</v>
      </c>
      <c r="BF97" s="605" t="s">
        <v>271</v>
      </c>
      <c r="BG97"/>
      <c r="BH97" s="605" t="s">
        <v>272</v>
      </c>
      <c r="BI97" s="605" t="s">
        <v>273</v>
      </c>
      <c r="BJ97" s="605" t="s">
        <v>274</v>
      </c>
      <c r="BK97" s="190"/>
      <c r="BL97" s="605" t="s">
        <v>269</v>
      </c>
      <c r="BM97" s="605" t="s">
        <v>270</v>
      </c>
      <c r="BN97" s="605" t="s">
        <v>271</v>
      </c>
      <c r="BO97"/>
      <c r="BP97" s="605" t="s">
        <v>272</v>
      </c>
      <c r="BQ97" s="605" t="s">
        <v>273</v>
      </c>
      <c r="BR97" s="605" t="s">
        <v>274</v>
      </c>
      <c r="BS97" s="190"/>
      <c r="BT97"/>
      <c r="BU97" s="210"/>
      <c r="BV97" s="208"/>
      <c r="BW97" s="24"/>
      <c r="BX97" s="24"/>
      <c r="BY97" s="209"/>
      <c r="BZ97"/>
      <c r="CA97" s="211" t="str">
        <f>CA96</f>
        <v>-</v>
      </c>
      <c r="CB97" s="212">
        <f>IF(ISNUMBER(CB96),ROUND(CB96,IF($I$66="",4,$I$66)),"-")</f>
        <v>0</v>
      </c>
      <c r="CC97" s="212"/>
      <c r="CD97" s="213"/>
      <c r="CE97" s="211" t="str">
        <f ca="1">CE96</f>
        <v>-</v>
      </c>
      <c r="CF97" s="212">
        <f ca="1">IF(ISNUMBER(CF96),ROUND(CF96,IF($I$66="",4,$I$66)),"-")</f>
        <v>0</v>
      </c>
      <c r="CG97" s="212"/>
      <c r="CH97" s="213"/>
      <c r="CI97" s="202"/>
      <c r="CJ97" s="99"/>
      <c r="CK97" s="99"/>
      <c r="CL97" s="99"/>
      <c r="CM97" s="99"/>
      <c r="CN97" s="99"/>
      <c r="CO97" s="99"/>
    </row>
    <row r="98" spans="2:93" ht="13.5" customHeight="1" x14ac:dyDescent="0.2">
      <c r="B98" s="585"/>
      <c r="C98" s="588"/>
      <c r="D98" s="591"/>
      <c r="E98" s="594"/>
      <c r="F98" s="597"/>
      <c r="G98" s="597"/>
      <c r="H98" s="594"/>
      <c r="I98" s="597"/>
      <c r="J98" s="597"/>
      <c r="K98" s="594"/>
      <c r="L98" s="597"/>
      <c r="M98" s="597"/>
      <c r="N98" s="594"/>
      <c r="O98" s="597"/>
      <c r="P98" s="597"/>
      <c r="Q98" s="594"/>
      <c r="R98" s="597"/>
      <c r="S98" s="597"/>
      <c r="T98" s="603"/>
      <c r="U98" s="214" t="s">
        <v>275</v>
      </c>
      <c r="V98" s="214" t="s">
        <v>276</v>
      </c>
      <c r="W98" s="214" t="s">
        <v>277</v>
      </c>
      <c r="X98" s="214" t="s">
        <v>278</v>
      </c>
      <c r="Y98" s="214" t="s">
        <v>279</v>
      </c>
      <c r="Z98" s="214" t="s">
        <v>280</v>
      </c>
      <c r="AA98" s="214" t="s">
        <v>281</v>
      </c>
      <c r="AB98" s="214" t="s">
        <v>281</v>
      </c>
      <c r="AC98" s="215" t="s">
        <v>275</v>
      </c>
      <c r="AD98" s="215" t="s">
        <v>276</v>
      </c>
      <c r="AE98" s="215" t="s">
        <v>277</v>
      </c>
      <c r="AF98" s="215" t="s">
        <v>278</v>
      </c>
      <c r="AG98" s="215" t="s">
        <v>279</v>
      </c>
      <c r="AH98" s="215" t="s">
        <v>280</v>
      </c>
      <c r="AI98" s="215" t="s">
        <v>281</v>
      </c>
      <c r="AJ98" s="215" t="s">
        <v>281</v>
      </c>
      <c r="AK98" s="216" t="s">
        <v>275</v>
      </c>
      <c r="AL98" s="216" t="s">
        <v>276</v>
      </c>
      <c r="AM98" s="216" t="s">
        <v>277</v>
      </c>
      <c r="AN98" s="216" t="s">
        <v>278</v>
      </c>
      <c r="AO98" s="216" t="s">
        <v>279</v>
      </c>
      <c r="AP98" s="216" t="s">
        <v>280</v>
      </c>
      <c r="AQ98" s="216" t="s">
        <v>281</v>
      </c>
      <c r="AR98" s="216" t="s">
        <v>281</v>
      </c>
      <c r="AS98" s="194" t="s">
        <v>282</v>
      </c>
      <c r="AT98" s="194" t="s">
        <v>283</v>
      </c>
      <c r="AU98" s="194" t="s">
        <v>284</v>
      </c>
      <c r="AV98" s="605"/>
      <c r="AW98" s="605"/>
      <c r="AX98" s="605"/>
      <c r="AY98"/>
      <c r="AZ98" s="605"/>
      <c r="BA98" s="605"/>
      <c r="BB98" s="605"/>
      <c r="BC98" s="190"/>
      <c r="BD98" s="605"/>
      <c r="BE98" s="605"/>
      <c r="BF98" s="605"/>
      <c r="BG98"/>
      <c r="BH98" s="605"/>
      <c r="BI98" s="605"/>
      <c r="BJ98" s="605"/>
      <c r="BK98" s="190"/>
      <c r="BL98" s="605"/>
      <c r="BM98" s="605"/>
      <c r="BN98" s="605"/>
      <c r="BO98"/>
      <c r="BP98" s="605"/>
      <c r="BQ98" s="605"/>
      <c r="BR98" s="605"/>
      <c r="BS98" s="190"/>
      <c r="BT98"/>
      <c r="BU98" s="210"/>
      <c r="BV98" s="208"/>
      <c r="BW98" s="24"/>
      <c r="BX98" s="24"/>
      <c r="BY98" s="209"/>
      <c r="BZ98"/>
      <c r="CA98" s="206"/>
      <c r="CB98" s="71"/>
      <c r="CC98" s="71"/>
      <c r="CD98" s="207"/>
      <c r="CE98" s="206"/>
      <c r="CF98" s="71"/>
      <c r="CG98" s="71"/>
      <c r="CH98" s="207"/>
      <c r="CI98" s="202"/>
      <c r="CJ98" s="99"/>
      <c r="CK98" s="99"/>
      <c r="CL98" s="99"/>
      <c r="CM98" s="99"/>
      <c r="CN98" s="99"/>
      <c r="CO98" s="99"/>
    </row>
    <row r="99" spans="2:93" ht="13.5" customHeight="1" thickBot="1" x14ac:dyDescent="0.25">
      <c r="B99" s="586"/>
      <c r="C99" s="589"/>
      <c r="D99" s="592"/>
      <c r="E99" s="595"/>
      <c r="F99" s="598"/>
      <c r="G99" s="598"/>
      <c r="H99" s="595"/>
      <c r="I99" s="598"/>
      <c r="J99" s="598"/>
      <c r="K99" s="595"/>
      <c r="L99" s="598"/>
      <c r="M99" s="598"/>
      <c r="N99" s="595"/>
      <c r="O99" s="598"/>
      <c r="P99" s="598"/>
      <c r="Q99" s="595"/>
      <c r="R99" s="598"/>
      <c r="S99" s="598"/>
      <c r="T99" s="604"/>
      <c r="U99" s="219"/>
      <c r="V99" s="220" t="str">
        <f>IF(ISNUMBER($F$14),IF(B99&lt;($F$16-$F$15)*$F$14,INT(B99/($F$16-$F$15))+1,V97),"-")</f>
        <v>-</v>
      </c>
      <c r="W99" s="221">
        <v>0</v>
      </c>
      <c r="X99" s="221">
        <v>0</v>
      </c>
      <c r="Y99" s="221">
        <f>W99-X99</f>
        <v>0</v>
      </c>
      <c r="Z99" s="219"/>
      <c r="AA99" s="219"/>
      <c r="AB99" s="219"/>
      <c r="AC99" s="222"/>
      <c r="AD99" s="223" t="str">
        <f>IFERROR(IF($F$14-1&gt;0,IF(B99&lt;($F$16-$F$15)*($F$14-1),INT(B99/($F$16-$F$15))+1,AD97),"-"),"-")</f>
        <v>-</v>
      </c>
      <c r="AE99" s="224">
        <v>0</v>
      </c>
      <c r="AF99" s="224">
        <v>0</v>
      </c>
      <c r="AG99" s="224">
        <f>AE99-AF99</f>
        <v>0</v>
      </c>
      <c r="AH99" s="222"/>
      <c r="AI99" s="222"/>
      <c r="AJ99" s="222"/>
      <c r="AK99" s="225"/>
      <c r="AL99" s="226" t="str">
        <f>IFERROR(IF($F$14-2&gt;0,IF(B99&lt;($F$16-$F$15)*($F$14-2),INT(B99/($F$16-$F$15))+1,AL97),"-"),"-")</f>
        <v>-</v>
      </c>
      <c r="AM99" s="227">
        <v>0</v>
      </c>
      <c r="AN99" s="227">
        <v>0</v>
      </c>
      <c r="AO99" s="227">
        <f>AM99-AN99</f>
        <v>0</v>
      </c>
      <c r="AP99" s="225"/>
      <c r="AQ99" s="225"/>
      <c r="AR99" s="225"/>
      <c r="AV99" s="228"/>
      <c r="AX99" s="190"/>
      <c r="AY99"/>
      <c r="AZ99" s="190"/>
      <c r="BA99" s="190"/>
      <c r="BB99" s="190"/>
      <c r="BC99" s="190"/>
      <c r="BD99" s="228"/>
      <c r="BE99"/>
      <c r="BF99" s="190"/>
      <c r="BG99"/>
      <c r="BH99" s="190"/>
      <c r="BI99" s="190"/>
      <c r="BJ99" s="190"/>
      <c r="BK99" s="190"/>
      <c r="BL99" s="228"/>
      <c r="BM99"/>
      <c r="BN99" s="190"/>
      <c r="BO99"/>
      <c r="BP99" s="190"/>
      <c r="BQ99" s="190"/>
      <c r="BR99" s="190"/>
      <c r="BS99" s="190"/>
      <c r="BT99"/>
      <c r="BU99" s="229"/>
      <c r="BV99" s="217"/>
      <c r="BW99" s="230"/>
      <c r="BX99" s="230"/>
      <c r="BY99" s="218"/>
      <c r="BZ99"/>
      <c r="CA99" s="231" t="s">
        <v>285</v>
      </c>
      <c r="CB99" s="232" t="s">
        <v>286</v>
      </c>
      <c r="CC99" s="233" t="s">
        <v>287</v>
      </c>
      <c r="CD99" s="234" t="s">
        <v>288</v>
      </c>
      <c r="CE99" s="231" t="s">
        <v>285</v>
      </c>
      <c r="CF99" s="232" t="s">
        <v>286</v>
      </c>
      <c r="CG99" s="233" t="s">
        <v>287</v>
      </c>
      <c r="CH99" s="234" t="s">
        <v>288</v>
      </c>
      <c r="CI99" s="202"/>
      <c r="CJ99" s="99"/>
      <c r="CK99" s="99"/>
      <c r="CL99" s="99"/>
      <c r="CM99" s="99"/>
      <c r="CN99" s="99"/>
      <c r="CO99" s="99"/>
    </row>
    <row r="100" spans="2:93" ht="13.5" customHeight="1" thickTop="1" x14ac:dyDescent="0.2">
      <c r="B100" s="235">
        <v>0</v>
      </c>
      <c r="C100" s="236" t="str">
        <f t="shared" ref="C100:C163" si="1">IF(ISERROR(VLOOKUP(B100,$B$39:$C$73,2,0)),"",VLOOKUP(B100,$B$39:$C$73,2,0))</f>
        <v/>
      </c>
      <c r="D100" s="237" t="str">
        <f>IF(ISNUMBER(C100),C100,"-")</f>
        <v>-</v>
      </c>
      <c r="E100" s="238" t="str">
        <f>IF(ISNUMBER($F$14),IF(ISNUMBER(AA100),AA100,""),"")</f>
        <v/>
      </c>
      <c r="F100" s="239" t="str">
        <f>IF(OR($F$14=2,$F$14=3),IF(($F$16-$F$15)&gt;B100," ",VLOOKUP((B100-($F$16-$F$15)),$AC$100:$AI$250,7,FALSE)),"")</f>
        <v/>
      </c>
      <c r="G100" s="239" t="str">
        <f>IF($F$14=3,IF(($F$16-$F$15)*2&gt;B100," ",VLOOKUP((B100-($F$16-$F$15)*2),$AK$100:$AQ$250,7,FALSE)),"")</f>
        <v/>
      </c>
      <c r="H100" s="240" t="str">
        <f>IF(E100&lt;&gt;"",IF($B100&lt;$F$21,"",IF(ISNUMBER(F100),IF(ISNUMBER(I100),(E100*30*50*ffp),""),(E100*30*50*ffp))),"")</f>
        <v/>
      </c>
      <c r="I100" s="241" t="str">
        <f t="shared" ref="I100:I131" si="2">IFERROR(IF(F100&lt;&gt;"",IF($B100&lt;$F$21+$F$16,"",IF(ISNUMBER(G100),IF(ISNUMBER(J100),(F100*30*50*ffp),""),(F100*30*50*ffp))),""),"")</f>
        <v/>
      </c>
      <c r="J100" s="241" t="str">
        <f t="shared" ref="J100:J131" si="3">IFERROR(IF(G100&lt;&gt;"",IF($B100&lt;$F$21+$F$17,"",(G100*30*50*ffp)),""),"")</f>
        <v/>
      </c>
      <c r="K100" s="242" t="str">
        <f t="shared" ref="K100:K131" si="4">IF(E100&lt;&gt;"",((E100*20*50*ffp)/Klevee),"")</f>
        <v/>
      </c>
      <c r="L100" s="241" t="str">
        <f t="shared" ref="L100:L131" si="5">IF(ISNUMBER(F100),((F100*20*50*ffp)/Klevee),"")</f>
        <v/>
      </c>
      <c r="M100" s="241" t="str">
        <f t="shared" ref="M100:M131" si="6">IF(ISNUMBER(G100),((G100*20*50*ffp)/Klevee),"")</f>
        <v/>
      </c>
      <c r="N100" s="242" t="str">
        <f t="shared" ref="N100:N131" si="7">IF(AND(ISNUMBER(I),ISNUMBER($F$14),ISNUMBER($F$20)),IF($B100=0,I*($J$40/100)*$J$42*1,""),"-")</f>
        <v>-</v>
      </c>
      <c r="O100" s="241" t="str">
        <f t="shared" ref="O100:O131" si="8">IF(ISNUMBER($F$14),IF($F$14&gt;1,IF($B100=0+$F$16,I*($J$40/100)*$J$42*1,""),""),"-")</f>
        <v>-</v>
      </c>
      <c r="P100" s="241" t="str">
        <f t="shared" ref="P100:P131" si="9">IF(ISNUMBER($F$14),IF($F$14&gt;2,IF($B100=0+$F$17,I*($J$40/100)*$J$42*1,""),""),"-")</f>
        <v>-</v>
      </c>
      <c r="Q100" s="243" t="str">
        <f t="shared" ref="Q100:Q131" si="10">IF(AND(ISNUMBER(I),ISNUMBER($F$14),ISNUMBER($F$20)),IF($B100=0,I*(dt/100)*$J$45*1,""),"-")</f>
        <v>-</v>
      </c>
      <c r="R100" s="244" t="str">
        <f t="shared" ref="R100:R131" si="11">IF(ISNUMBER($F$14),IF($F$14&gt;1,IF($B100=0+$F$16,I*(dt/100)*$J$45*1,""),""),"-")</f>
        <v>-</v>
      </c>
      <c r="S100" s="245" t="str">
        <f t="shared" ref="S100:S131" si="12">IF(ISNUMBER($F$14),IF($F$14&gt;2,IF($B100=0+$F$17,I*(dt/100)*$J$45*1,""),""),"-")</f>
        <v>-</v>
      </c>
      <c r="T100" s="246" t="str">
        <f t="shared" ref="T100:T163" si="13">IF(SUM(H100:S100)=0,"",SUM(H100:S100))</f>
        <v/>
      </c>
      <c r="U100" s="247">
        <f t="shared" ref="U100:U163" si="14">B100</f>
        <v>0</v>
      </c>
      <c r="V100" s="248" t="str">
        <f>IF(ISNUMBER($F$14),IF(B100&lt;($F$16-$F$15)*$F$14,INT(B100/($F$16-$F$15))+1,V98),"-")</f>
        <v>-</v>
      </c>
      <c r="W100" s="247" t="str">
        <f>IF(ISNUMBER($F$14),IF(B100&lt;$F$14*($F$16-$F$15),B100-INT(B100/($F$16-$F$15))*($F$16-$F$15)+1,W99+1),"-")</f>
        <v>-</v>
      </c>
      <c r="X100" s="247" t="str">
        <f t="shared" ref="X100:X163" si="15">IFERROR(IF($F$21=0,0,IF(V100=V99,IF(B100-(V100-1)*($F$16-$F$15)&lt;$F$21,X99+1,X99),1)),"-")</f>
        <v>-</v>
      </c>
      <c r="Y100" s="247" t="str">
        <f t="shared" ref="Y100:Y163" si="16">IFERROR(W100-X100,"-")</f>
        <v>-</v>
      </c>
      <c r="Z100" s="249">
        <f>IF(Y100&gt;0,0.1,0.04)</f>
        <v>0.1</v>
      </c>
      <c r="AA100" s="250" t="str">
        <f>IFERROR(IF(V99=1,D100*EXP(-(0.04*X99+0.1*Y99)),IF(V99=2,D100*EXP(-(0.04*($F$21+X99)+0.1*(($F$16-$F$15)-$F$21+Y99))),D100*EXP(-(0.04*($F$21*2+X99)+0.1*((($F$16-$F$15)-$F$21)*2-Y99))))),"-")</f>
        <v>-</v>
      </c>
      <c r="AB100" s="250" t="str">
        <f t="shared" ref="AB100:AB114" si="17">IFERROR(IF(V100=1,D100*EXP(-(0.04*X100+0.1*Y100)),IF(V100=2,D100*EXP(-(0.04*($F$21+X100)+0.1*(($F$16-$F$15)-$F$21+Y100))),D100*EXP(-(0.04*($F$21*2+X100)+0.1*((($F$16-$F$15)-$F$21)*2-Y100))))),"-")</f>
        <v>-</v>
      </c>
      <c r="AC100" s="247">
        <f>B100</f>
        <v>0</v>
      </c>
      <c r="AD100" s="248" t="str">
        <f t="shared" ref="AD100:AD163" si="18">IFERROR(IF($F$14-1&gt;0,IF(B100&lt;($F$16-$F$15)*($F$14-1),INT(B100/($F$16-$F$15))+1,AD98),"-"),"-")</f>
        <v>-</v>
      </c>
      <c r="AE100" s="247" t="str">
        <f>IFERROR(IF($F$14-1&gt;0,IF(B100&lt;($F$14-1)*($F$16-$F$15),B100-INT(B100/($F$16-$F$15))*($F$16-$F$15)+1,AE99+1),"-"),"-")</f>
        <v>-</v>
      </c>
      <c r="AF100" s="247" t="str">
        <f t="shared" ref="AF100:AF163" si="19">IFERROR(IF($F$21=0,0,IF(AD100=AD99,IF(B100-(AD100-1)*($F$16-$F$15)&lt;$F$21,AF99+1,AF99),1)),"-")</f>
        <v>-</v>
      </c>
      <c r="AG100" s="247" t="str">
        <f t="shared" ref="AG100:AG163" si="20">IFERROR(AE100-AF100,"-")</f>
        <v>-</v>
      </c>
      <c r="AH100" s="249">
        <f>IF(AG100&gt;0,0.1,0.04)</f>
        <v>0.1</v>
      </c>
      <c r="AI100" s="250" t="str">
        <f t="shared" ref="AI100:AI114" si="21">IFERROR(IF(AD99=1,D100*EXP(-(0.04*AF99+0.1*AG99)),IF(AD99=2,D100*EXP(-(0.04*($F$21+AF99)+0.1*(($F$16-$F$15)-$F$21+AG99))),D100*EXP(-(0.04*($F$21*2+AF99)+0.1*((($F$16-$F$15)-$F$21)*2-AG99))))),"-")</f>
        <v>-</v>
      </c>
      <c r="AJ100" s="250" t="str">
        <f>IFERROR(IF(AD100=1,D100*EXP(-(0.04*AF100+0.1*AG100)),IF(AD100=2,D100*EXP(-(0.04*($F$21+AF100)+0.1*(($F$16-$F$15)-$F$21+AG100))),D100*EXP(-(0.04*($F$21*2+AF100)+0.1*((($F$16-$F$15)-$F$21)*2-AG100))))),"-")</f>
        <v>-</v>
      </c>
      <c r="AK100" s="247">
        <f>B100</f>
        <v>0</v>
      </c>
      <c r="AL100" s="248" t="str">
        <f t="shared" ref="AL100:AL163" si="22">IFERROR(IF($F$14-2&gt;0,IF(B100&lt;($F$16-$F$15)*($F$14-2),INT(B100/($F$16-$F$15))+1,AL98),"-"),"-")</f>
        <v>-</v>
      </c>
      <c r="AM100" s="247" t="str">
        <f>IFERROR(IF($F$14-2&gt;0,IF(B100&lt;($F$14-2)*($F$16-$F$15),B100-INT(B100/($F$16-$F$15))*($F$16-$F$15)+1,AM99+1),"-"),"-")</f>
        <v>-</v>
      </c>
      <c r="AN100" s="247" t="str">
        <f>IFERROR(IF($F$21=0,0,IF(AL100=AL99,IF(B100-(AL100-1)*($F$16-$F$15)&lt;$F$21,AN99+1,AN99),1)),"-")</f>
        <v>-</v>
      </c>
      <c r="AO100" s="247" t="str">
        <f t="shared" ref="AO100:AO163" si="23">IFERROR(AM100-AN100,"-")</f>
        <v>-</v>
      </c>
      <c r="AP100" s="249">
        <f>IF(AO100&gt;0,0.1,0.04)</f>
        <v>0.1</v>
      </c>
      <c r="AQ100" s="250" t="str">
        <f>IFERROR(IF(AL99=1,D100*EXP(-(0.04*AN99+0.1*AO99)),IF(AL99=2,D100*EXP(-(0.04*($F$21+AN99)+0.1*(($F$16-$F$15)-$F$21+AO99))),D100*EXP(-(0.04*($F$21*2+AN99)+0.1*((($F$16-$F$15)-$F$21)*2-AO99))))),"-")</f>
        <v>-</v>
      </c>
      <c r="AR100" s="250" t="str">
        <f>IFERROR(IF(AL100=1,D100*EXP(-(0.04*AN100+0.1*AO100)),IF(AL100=2,D100*EXP(-(0.04*($F$21+AN100)+0.1*(($F$16-$F$15)-$F$21+AO100))),D100*EXP(-(0.04*($F$21*2+AN100)+0.1*((($F$16-$F$15)-$F$21)*2-AO100))))),"-")</f>
        <v>-</v>
      </c>
      <c r="AS100" s="250">
        <f t="shared" ref="AS100:AS163" si="24">SUM(H100:J100)</f>
        <v>0</v>
      </c>
      <c r="AT100" s="250">
        <f t="shared" ref="AT100:AT163" si="25">SUM(K100:M100)</f>
        <v>0</v>
      </c>
      <c r="AU100" s="250">
        <f t="shared" ref="AU100:AU163" si="26">SUM(N100:S100)</f>
        <v>0</v>
      </c>
      <c r="AV100" s="251">
        <f>IF($B100&lt;$F$22,SUM($T$100:$T100),"")</f>
        <v>0</v>
      </c>
      <c r="AW100" s="251" t="str">
        <f>IF(ISNUMBER(Koc),IF(ISNUMBER(AV100),AV100*(Koc*(Ocse/100)*Pse*Vse)/(Koc*(Ocse/100)*Pse*Vse+1*86400*($B100+1)),""),"-")</f>
        <v>-</v>
      </c>
      <c r="AX100" s="251" t="str">
        <f>IF(ISNUMBER(AW100),IF(ISNUMBER(AV100),(AV100-AW100)/(3*86400*($B100+1))*1000,""),"")</f>
        <v/>
      </c>
      <c r="AY100" s="252"/>
      <c r="AZ100" s="251" t="str">
        <f ca="1">IF(ISNUMBER(OFFSET(AV100,-$F$21,0)),SUM(OFFSET($T$100,$F$21,0):$T100),"")</f>
        <v/>
      </c>
      <c r="BA100" s="251" t="str">
        <f t="shared" ref="BA100:BA131" ca="1" si="27">IF(ISNUMBER(OFFSET(AV100,-$F$21,0)),AZ100*(Koc*(Ocse/100)*Pse*Vse)/(Koc*(Ocse/100)*Pse*Vse+1*86400*($B100+1)),"")</f>
        <v/>
      </c>
      <c r="BB100" s="251" t="str">
        <f ca="1">IF(ISNUMBER(AZ100),(AZ100-BA100)/(3*86400*(OFFSET($B100,-$F$21,0)+1))*1000,"")</f>
        <v/>
      </c>
      <c r="BC100" s="253"/>
      <c r="BD100" s="251" t="str">
        <f ca="1">IFERROR(IF(OR(ISNUMBER(I),ISNUMBER($F$14)),IF(AND($B100&gt;=($F$16-$F$15),$B100&lt;$F$22+($F$16-$F$15)),SUM(OFFSET($T$100,($F$16-$F$15),0):$T100),""),""),"")</f>
        <v/>
      </c>
      <c r="BE100" s="251" t="str">
        <f ca="1">IF(ISNUMBER(BD100),BD100*(Koc*(Ocse/100)*Pse*Vse)/(Koc*(Ocse/100)*Pse*Vse+1*86400*($B100+1)),"")</f>
        <v/>
      </c>
      <c r="BF100" s="251" t="str">
        <f ca="1">IF(ISNUMBER(BD100),(BD100-BE100)/(3*86400*($B100-($F$16-$F$15)+1))*1000,"")</f>
        <v/>
      </c>
      <c r="BG100" s="252"/>
      <c r="BH100" s="253" t="str">
        <f ca="1">IF(ISNUMBER(OFFSET(BD100,-$F$21,0)),SUM(OFFSET($T$100,($F$16-$F$15+$F$21),0):$T100),"")</f>
        <v/>
      </c>
      <c r="BI100" s="253" t="str">
        <f t="shared" ref="BI100:BI131" ca="1" si="28">IF(ISNUMBER(OFFSET(BD100,-$F$21,0)),BH100*(Koc*(Ocse/100)*Pse*Vse)/(Koc*(Ocse/100)*Pse*Vse+1*86400*($B100+1)),"")</f>
        <v/>
      </c>
      <c r="BJ100" s="253" t="str">
        <f ca="1">IF(ISNUMBER(BH100),(BH100-BI100)/(3*86400*((OFFSET($B100,-$F$21,0)-($F$16-$F$15)+1)))*1000,"")</f>
        <v/>
      </c>
      <c r="BK100" s="253"/>
      <c r="BL100" s="251" t="str">
        <f ca="1">IFERROR(IF(OR(ISNUMBER(I),ISNUMBER($F$14)),IF(AND($B100&gt;=($F$17-$F$15),$B100&lt;$F$22+($F$17-$F$15)),SUM(OFFSET($T$100,($F$17-$F$15),0):$T100),""),""),"")</f>
        <v/>
      </c>
      <c r="BM100" s="251" t="str">
        <f t="shared" ref="BM100:BM131" ca="1" si="29">IF(ISNUMBER(BL100),BL100*(Koc*(Ocse/100)*Pse*Vse)/(Koc*(Ocse/100)*Pse*Vse+1*86400*($B100+1)),"")</f>
        <v/>
      </c>
      <c r="BN100" s="251" t="str">
        <f ca="1">IF(ISNUMBER(BL100),(BL100-BM100)/(3*86400*($B100-($F$17-$F$15)+1))*1000,"")</f>
        <v/>
      </c>
      <c r="BO100" s="252"/>
      <c r="BP100" s="251" t="str">
        <f ca="1">IF(ISNUMBER(OFFSET(BL100,-$F$21,0)),SUM(OFFSET($T$100,($F$17-$F$15+$F$21),0):$T100),"")</f>
        <v/>
      </c>
      <c r="BQ100" s="251" t="str">
        <f ca="1">IF(ISNUMBER(OFFSET(BL100,-$F$21,0)),BP100*(Koc*(Ocse/100)*Pse*Vse)/(Koc*(Ocse/100)*Pse*Vse+1*86400*($B100+1)),"")</f>
        <v/>
      </c>
      <c r="BR100" s="251" t="str">
        <f ca="1">IF(ISNUMBER(BP100),(BP100-BQ100)/(3*86400*(OFFSET($B100,-$F$21,0)-($F$17-$F$15)+1))*1000,"")</f>
        <v/>
      </c>
      <c r="BS100" s="253"/>
      <c r="BT100"/>
      <c r="BU100" s="254" t="str">
        <f>IF(B39&lt;&gt;"",B39,"")</f>
        <v/>
      </c>
      <c r="BV100" s="255">
        <v>0</v>
      </c>
      <c r="BW100" s="256"/>
      <c r="BX100" s="256"/>
      <c r="BY100" s="257"/>
      <c r="BZ100"/>
      <c r="CA100" s="258" t="str">
        <f t="shared" ref="CA100:CA131" si="30">IFERROR(IF($B100&lt;$CA$94,T100*(Koc*(Ocse/100)*Pse*Vse)/(Koc*(Ocse/100)*Pse*Vse+1*86400*$CA$94),""),"-")</f>
        <v>-</v>
      </c>
      <c r="CB100" s="33" t="str">
        <f t="shared" ref="CB100:CB163" si="31">IF(ISNUMBER(T100),IF($B100&lt;$CA$94,(T100-CA100)/(3*86400)*1000,""),"-")</f>
        <v>-</v>
      </c>
      <c r="CC100" s="33" t="str">
        <f t="shared" ref="CC100:CC120" si="32">$B100&amp;"-"&amp;$B100+1</f>
        <v>0-1</v>
      </c>
      <c r="CD100" s="259" t="str">
        <f t="shared" ref="CD100:CD163" si="33">IF(CC100=CA$96,CB$96,"")</f>
        <v/>
      </c>
      <c r="CE100" s="260" t="str">
        <f t="shared" ref="CE100:CE131" si="34">IFERROR(IF($B100&lt;$CE$94,T100*(Koc*(Ocse/100)*Pse*Vse)/(Koc*(Ocse/100)*Pse*Vse+1*86400*$CE$94),""),"-")</f>
        <v>-</v>
      </c>
      <c r="CF100" s="33" t="str">
        <f t="shared" ref="CF100:CF131" ca="1" si="35">IFERROR(IF($B100&lt;$CE$94,IF(NOT(ISNUMBER(ffp)),"-",IF($F$70=$AX$87,AX100,IF($F$70=$BB$87,OFFSET(BB100,$F$21,0),IF($F$70=$BF$87,OFFSET(BF100,$F$16,0),IF($F$70=$BJ$87,OFFSET(BJ100,$F$16+$F$21,0),IF($F$70=$BN$87,OFFSET(BN100,$F$17,0),OFFSET(BR100,$F$17+$F$21,0))))))),""),"-")</f>
        <v>-</v>
      </c>
      <c r="CG100" s="33" t="str">
        <f t="shared" ref="CG100:CG163" si="36">IF($B100&lt;$CE$94,$B100&amp;"-"&amp;$B100+1,"")</f>
        <v>0-1</v>
      </c>
      <c r="CH100" s="261" t="str">
        <f t="shared" ref="CH100:CH163" ca="1" si="37">IF(CG100=CE$96,CF$96,"")</f>
        <v/>
      </c>
      <c r="CI100" s="202"/>
      <c r="CJ100" s="99"/>
      <c r="CK100" s="99"/>
      <c r="CL100" s="99"/>
      <c r="CM100" s="99"/>
      <c r="CN100" s="99"/>
      <c r="CO100" s="99"/>
    </row>
    <row r="101" spans="2:93" ht="13.5" customHeight="1" x14ac:dyDescent="0.2">
      <c r="B101" s="262">
        <v>1</v>
      </c>
      <c r="C101" s="236" t="str">
        <f t="shared" si="1"/>
        <v/>
      </c>
      <c r="D101" s="237" t="str">
        <f>IFERROR(IF(B101&lt;$F$22,IF(ISNUMBER($D$65),IF(MAX($BU$101:$BU$120)&lt;B101, "", IF(B101=VLOOKUP(B101, $BU$101:$BU$120,1,1), C101,D100-INDEX($BY$101:$BY$120, MATCH(VLOOKUP(B101, $BU$101:$BU$120,1,1), $BU$101:$BU$120)+1, 1))),D100-VLOOKUP(MAX($BU$101:$BU$120),$BU$101:$BY$120,5)),""),"-")</f>
        <v>-</v>
      </c>
      <c r="E101" s="263" t="str">
        <f t="shared" ref="E101:E164" si="38">IF(ISNUMBER($F$14),IF(ISNUMBER(AA101),AA101,""),"")</f>
        <v/>
      </c>
      <c r="F101" s="264" t="str">
        <f t="shared" ref="F101:F164" si="39">IF(OR($F$14=2,$F$14=3),IF(($F$16-$F$15)&gt;B101," ",VLOOKUP((B101-($F$16-$F$15)),$AC$100:$AI$250,7,FALSE)),"")</f>
        <v/>
      </c>
      <c r="G101" s="264" t="str">
        <f t="shared" ref="G101:G164" si="40">IF($F$14=3,IF(($F$16-$F$15)*2&gt;B101," ",VLOOKUP((B101-($F$16-$F$15)*2),$AK$100:$AQ$250,7,FALSE)),"")</f>
        <v/>
      </c>
      <c r="H101" s="240" t="str">
        <f t="shared" ref="H101:H131" si="41">IF(E101&lt;&gt;"",IF($B101&lt;$F$21,"",IF(ISNUMBER(F101),IF(ISNUMBER(I101),(E101*30*50*ffp),""),(E101*30*50*ffp))),"")</f>
        <v/>
      </c>
      <c r="I101" s="265" t="str">
        <f t="shared" si="2"/>
        <v/>
      </c>
      <c r="J101" s="265" t="str">
        <f t="shared" si="3"/>
        <v/>
      </c>
      <c r="K101" s="240" t="str">
        <f t="shared" si="4"/>
        <v/>
      </c>
      <c r="L101" s="265" t="str">
        <f t="shared" si="5"/>
        <v/>
      </c>
      <c r="M101" s="265" t="str">
        <f t="shared" si="6"/>
        <v/>
      </c>
      <c r="N101" s="240" t="str">
        <f t="shared" si="7"/>
        <v>-</v>
      </c>
      <c r="O101" s="265" t="str">
        <f t="shared" si="8"/>
        <v>-</v>
      </c>
      <c r="P101" s="265" t="str">
        <f t="shared" si="9"/>
        <v>-</v>
      </c>
      <c r="Q101" s="266" t="str">
        <f t="shared" si="10"/>
        <v>-</v>
      </c>
      <c r="R101" s="267" t="str">
        <f t="shared" si="11"/>
        <v>-</v>
      </c>
      <c r="S101" s="268" t="str">
        <f t="shared" si="12"/>
        <v>-</v>
      </c>
      <c r="T101" s="269" t="str">
        <f t="shared" si="13"/>
        <v/>
      </c>
      <c r="U101" s="221">
        <f t="shared" si="14"/>
        <v>1</v>
      </c>
      <c r="V101" s="220" t="str">
        <f t="shared" ref="V101:V164" si="42">IF(ISNUMBER($F$14),IF(B101&lt;($F$16-$F$15)*$F$14,INT(B101/($F$16-$F$15))+1,V99),"-")</f>
        <v>-</v>
      </c>
      <c r="W101" s="221" t="str">
        <f t="shared" ref="W101:W164" si="43">IF(ISNUMBER($F$14),IF(B101&lt;$F$14*($F$16-$F$15),B101-INT(B101/($F$16-$F$15))*($F$16-$F$15)+1,W100+1),"-")</f>
        <v>-</v>
      </c>
      <c r="X101" s="221" t="str">
        <f t="shared" si="15"/>
        <v>-</v>
      </c>
      <c r="Y101" s="221" t="str">
        <f t="shared" si="16"/>
        <v>-</v>
      </c>
      <c r="Z101" s="270">
        <f t="shared" ref="Z101:Z164" si="44">IF(Y101&gt;0,0.1,0.04)</f>
        <v>0.1</v>
      </c>
      <c r="AA101" s="271" t="str">
        <f>IFERROR(IF(V100=1,D101*EXP(-(0.04*X100+0.1*Y100)),IF(V100=2,D101*EXP(-(0.04*($F$21+X100)+0.1*(($F$16-$F$15)-$F$21+Y100))),D101*EXP(-(0.04*($F$21*2+X100)+0.1*((($F$16-$F$15)-$F$21)*2-Y100))))),"-")</f>
        <v>-</v>
      </c>
      <c r="AB101" s="271" t="str">
        <f t="shared" si="17"/>
        <v>-</v>
      </c>
      <c r="AC101" s="224">
        <f t="shared" ref="AC101:AC164" si="45">B101</f>
        <v>1</v>
      </c>
      <c r="AD101" s="223" t="str">
        <f t="shared" si="18"/>
        <v>-</v>
      </c>
      <c r="AE101" s="224" t="str">
        <f t="shared" ref="AE101:AE164" si="46">IFERROR(IF($F$14-1&gt;0,IF(B101&lt;($F$14-1)*($F$16-$F$15),B101-INT(B101/($F$16-$F$15))*($F$16-$F$15)+1,AE100+1),"-"),"-")</f>
        <v>-</v>
      </c>
      <c r="AF101" s="224" t="str">
        <f t="shared" si="19"/>
        <v>-</v>
      </c>
      <c r="AG101" s="224" t="str">
        <f t="shared" si="20"/>
        <v>-</v>
      </c>
      <c r="AH101" s="272">
        <f t="shared" ref="AH101:AH164" si="47">IF(AG101&gt;0,0.1,0.04)</f>
        <v>0.1</v>
      </c>
      <c r="AI101" s="271" t="str">
        <f t="shared" si="21"/>
        <v>-</v>
      </c>
      <c r="AJ101" s="271" t="str">
        <f t="shared" ref="AJ101:AJ112" si="48">IFERROR(IF(AD101=1,D101*EXP(-(0.04*AF101+0.1*AG101)),IF(AD101=2,D101*EXP(-(0.04*($F$21+AF101)+0.1*(($F$16-$F$15)-$F$21+AG101))),D101*EXP(-(0.04*($F$21*2+AF101)+0.1*((($F$16-$F$15)-$F$21)*2-AG101))))),"-")</f>
        <v>-</v>
      </c>
      <c r="AK101" s="227">
        <f t="shared" ref="AK101:AK164" si="49">B101</f>
        <v>1</v>
      </c>
      <c r="AL101" s="226" t="str">
        <f t="shared" si="22"/>
        <v>-</v>
      </c>
      <c r="AM101" s="227" t="str">
        <f t="shared" ref="AM101:AM164" si="50">IFERROR(IF($F$14-2&gt;0,IF(B101&lt;($F$14-2)*($F$16-$F$15),B101-INT(B101/($F$16-$F$15))*($F$16-$F$15)+1,AM100+1),"-"),"-")</f>
        <v>-</v>
      </c>
      <c r="AN101" s="227" t="str">
        <f t="shared" ref="AN101:AN164" si="51">IFERROR(IF($F$21=0,0,IF(AL101=AL100,IF(B101-(AL101-1)*($F$16-$F$15)&lt;$F$21,AN100+1,AN100),1)),"-")</f>
        <v>-</v>
      </c>
      <c r="AO101" s="227" t="str">
        <f t="shared" si="23"/>
        <v>-</v>
      </c>
      <c r="AP101" s="273">
        <f t="shared" ref="AP101:AP164" si="52">IF(AO101&gt;0,0.1,0.04)</f>
        <v>0.1</v>
      </c>
      <c r="AQ101" s="271" t="str">
        <f t="shared" ref="AQ101:AQ113" si="53">IFERROR(IF(AL100=1,D101*EXP(-(0.04*AN100+0.1*AO100)),IF(AL100=2,D101*EXP(-(0.04*($F$21+AN100)+0.1*(($F$16-$F$15)-$F$21+AO100))),D101*EXP(-(0.04*($F$21*2+AN100)+0.1*((($F$16-$F$15)-$F$21)*2-AO100))))),"-")</f>
        <v>-</v>
      </c>
      <c r="AR101" s="271" t="str">
        <f t="shared" ref="AR101:AR113" si="54">IFERROR(IF(AL101=1,D101*EXP(-(0.04*AN101+0.1*AO101)),IF(AL101=2,D101*EXP(-(0.04*($F$21+AN101)+0.1*(($F$16-$F$15)-$F$21+AO101))),D101*EXP(-(0.04*($F$21*2+AN101)+0.1*((($F$16-$F$15)-$F$21)*2-AO101))))),"-")</f>
        <v>-</v>
      </c>
      <c r="AS101" s="274">
        <f t="shared" si="24"/>
        <v>0</v>
      </c>
      <c r="AT101" s="274">
        <f t="shared" si="25"/>
        <v>0</v>
      </c>
      <c r="AU101" s="274">
        <f t="shared" si="26"/>
        <v>0</v>
      </c>
      <c r="AV101" s="275">
        <f>IF($B101&lt;$F$22,SUM($T$100:$T101),"")</f>
        <v>0</v>
      </c>
      <c r="AW101" s="275" t="str">
        <f t="shared" ref="AW101:AW131" si="55">IF(ISNUMBER(Koc),IF(ISNUMBER(AV101),AV101*(Koc*(Ocse/100)*Pse*Vse)/(Koc*(Ocse/100)*Pse*Vse+1*86400*($B101+1)),""),"-")</f>
        <v>-</v>
      </c>
      <c r="AX101" s="275" t="str">
        <f t="shared" ref="AX101:AX164" si="56">IF(ISNUMBER(AW101),IF(ISNUMBER(AV101),(AV101-AW101)/(3*86400*($B101+1))*1000,""),"")</f>
        <v/>
      </c>
      <c r="AY101"/>
      <c r="AZ101" s="275" t="str">
        <f ca="1">IF(ISNUMBER(OFFSET(AV101,-$F$21,0)),SUM(OFFSET($T$100,$F$21,0):$T101),"")</f>
        <v/>
      </c>
      <c r="BA101" s="275" t="str">
        <f t="shared" ca="1" si="27"/>
        <v/>
      </c>
      <c r="BB101" s="275" t="str">
        <f t="shared" ref="BB101:BB119" ca="1" si="57">IF(ISNUMBER(AZ101),(AZ101-BA101)/(3*86400*(OFFSET($B101,-$F$21,0)+1))*1000,"")</f>
        <v/>
      </c>
      <c r="BC101" s="190"/>
      <c r="BD101" s="275" t="str">
        <f ca="1">IFERROR(IF(OR(ISNUMBER(I),ISNUMBER($F$14)),IF(AND($B101&gt;=($F$16-$F$15),$B101&lt;$F$22+($F$16-$F$15)),SUM(OFFSET($T$100,($F$16-$F$15),0):$T101),""),""),"")</f>
        <v/>
      </c>
      <c r="BE101" s="275" t="str">
        <f t="shared" ref="BE101:BE164" ca="1" si="58">IF(ISNUMBER(BD101),BD101*(Koc*(Ocse/100)*Pse*Vse)/(Koc*(Ocse/100)*Pse*Vse+1*86400*($B101+1)),"")</f>
        <v/>
      </c>
      <c r="BF101" s="275" t="str">
        <f t="shared" ref="BF101:BF164" ca="1" si="59">IF(ISNUMBER(BD101),(BD101-BE101)/(3*86400*($B101-($F$16-$F$15)+1))*1000,"")</f>
        <v/>
      </c>
      <c r="BG101"/>
      <c r="BH101" s="190" t="str">
        <f ca="1">IF(ISNUMBER(OFFSET(BD101,-$F$21,0)),SUM(OFFSET($T$100,($F$16-$F$15+$F$21),0):$T101),"")</f>
        <v/>
      </c>
      <c r="BI101" s="190" t="str">
        <f t="shared" ca="1" si="28"/>
        <v/>
      </c>
      <c r="BJ101" s="190" t="str">
        <f t="shared" ref="BJ101:BJ164" ca="1" si="60">IF(ISNUMBER(BH101),(BH101-BI101)/(3*86400*((OFFSET($B101,-$F$21,0)-($F$16-$F$15)+1)))*1000,"")</f>
        <v/>
      </c>
      <c r="BK101" s="190"/>
      <c r="BL101" s="275" t="str">
        <f ca="1">IFERROR(IF(OR(ISNUMBER(I),ISNUMBER($F$14)),IF(AND($B101&gt;=($F$17-$F$15),$B101&lt;$F$22+($F$17-$F$15)),SUM(OFFSET($T$100,($F$17-$F$15),0):$T101),""),""),"")</f>
        <v/>
      </c>
      <c r="BM101" s="275" t="str">
        <f t="shared" ca="1" si="29"/>
        <v/>
      </c>
      <c r="BN101" s="275" t="str">
        <f t="shared" ref="BN101:BN164" ca="1" si="61">IF(ISNUMBER(BL101),(BL101-BM101)/(3*86400*($B101-($F$17-$F$15)+1))*1000,"")</f>
        <v/>
      </c>
      <c r="BO101"/>
      <c r="BP101" s="275" t="str">
        <f ca="1">IF(ISNUMBER(OFFSET(BL101,-$F$21,0)),SUM(OFFSET($T$100,($F$17-$F$15+$F$21),0):$T101),"")</f>
        <v/>
      </c>
      <c r="BQ101" s="275" t="str">
        <f t="shared" ref="BQ101:BQ131" ca="1" si="62">IF(ISNUMBER(OFFSET(BL101,-$F$21,0)),BP101*(Koc*(Ocse/100)*Pse*Vse)/(Koc*(Ocse/100)*Pse*Vse+1*86400*($B101+1)),"")</f>
        <v/>
      </c>
      <c r="BR101" s="275" t="str">
        <f t="shared" ref="BR101:BR164" ca="1" si="63">IF(ISNUMBER(BP101),(BP101-BQ101)/(3*86400*(OFFSET($B101,-$F$21,0)-($F$17-$F$15)+1))*1000,"")</f>
        <v/>
      </c>
      <c r="BS101" s="190"/>
      <c r="BT101"/>
      <c r="BU101" s="276" t="str">
        <f t="shared" ref="BU101:BU120" si="64">IF(B40&lt;&gt;"",B40,"end")</f>
        <v>end</v>
      </c>
      <c r="BV101" s="277">
        <v>1</v>
      </c>
      <c r="BW101" s="278">
        <f>IF(BU101&lt;&gt;"",MIN(BU100:BU101),"")</f>
        <v>0</v>
      </c>
      <c r="BX101" s="278">
        <f>IF(BU101&lt;&gt;"",MAX(BU100:BU101),"")</f>
        <v>0</v>
      </c>
      <c r="BY101" s="279" t="str">
        <f t="shared" ref="BY101:BY120" si="65">IF(B40&lt;&gt;"",(C39-C40)/(B40-B39),"")</f>
        <v/>
      </c>
      <c r="BZ101"/>
      <c r="CA101" s="280" t="str">
        <f t="shared" si="30"/>
        <v>-</v>
      </c>
      <c r="CB101" s="71" t="str">
        <f t="shared" si="31"/>
        <v>-</v>
      </c>
      <c r="CC101" s="33" t="str">
        <f t="shared" si="32"/>
        <v>1-2</v>
      </c>
      <c r="CD101" s="259" t="str">
        <f t="shared" si="33"/>
        <v/>
      </c>
      <c r="CE101" s="280" t="str">
        <f t="shared" si="34"/>
        <v>-</v>
      </c>
      <c r="CF101" s="71" t="str">
        <f t="shared" ca="1" si="35"/>
        <v>-</v>
      </c>
      <c r="CG101" s="33" t="str">
        <f t="shared" si="36"/>
        <v>1-2</v>
      </c>
      <c r="CH101" s="261" t="str">
        <f t="shared" ca="1" si="37"/>
        <v/>
      </c>
      <c r="CI101" s="202"/>
      <c r="CJ101" s="99"/>
      <c r="CK101" s="99"/>
      <c r="CL101" s="99"/>
      <c r="CM101" s="99"/>
      <c r="CN101" s="99"/>
      <c r="CO101" s="99"/>
    </row>
    <row r="102" spans="2:93" ht="13.5" customHeight="1" x14ac:dyDescent="0.2">
      <c r="B102" s="262">
        <v>2</v>
      </c>
      <c r="C102" s="237" t="str">
        <f t="shared" si="1"/>
        <v/>
      </c>
      <c r="D102" s="237" t="str">
        <f t="shared" ref="D102:D165" si="66">IFERROR(IF(B102&lt;$F$22,IF(ISNUMBER($D$65),IF(MAX($BU$101:$BU$120)&lt;B102, "", IF(B102=VLOOKUP(B102, $BU$101:$BU$120,1,1), C102,D101-INDEX($BY$101:$BY$120, MATCH(VLOOKUP(B102, $BU$101:$BU$120,1,1), $BU$101:$BU$120)+1, 1))),D101-VLOOKUP(MAX($BU$101:$BU$120),$BU$101:$BY$120,5)),""),"-")</f>
        <v>-</v>
      </c>
      <c r="E102" s="263" t="str">
        <f t="shared" si="38"/>
        <v/>
      </c>
      <c r="F102" s="264" t="str">
        <f t="shared" si="39"/>
        <v/>
      </c>
      <c r="G102" s="264" t="str">
        <f t="shared" si="40"/>
        <v/>
      </c>
      <c r="H102" s="240" t="str">
        <f t="shared" si="41"/>
        <v/>
      </c>
      <c r="I102" s="265" t="str">
        <f t="shared" si="2"/>
        <v/>
      </c>
      <c r="J102" s="265" t="str">
        <f t="shared" si="3"/>
        <v/>
      </c>
      <c r="K102" s="240" t="str">
        <f t="shared" si="4"/>
        <v/>
      </c>
      <c r="L102" s="265" t="str">
        <f t="shared" si="5"/>
        <v/>
      </c>
      <c r="M102" s="265" t="str">
        <f t="shared" si="6"/>
        <v/>
      </c>
      <c r="N102" s="240" t="str">
        <f t="shared" si="7"/>
        <v>-</v>
      </c>
      <c r="O102" s="265" t="str">
        <f t="shared" si="8"/>
        <v>-</v>
      </c>
      <c r="P102" s="265" t="str">
        <f t="shared" si="9"/>
        <v>-</v>
      </c>
      <c r="Q102" s="266" t="str">
        <f t="shared" si="10"/>
        <v>-</v>
      </c>
      <c r="R102" s="267" t="str">
        <f t="shared" si="11"/>
        <v>-</v>
      </c>
      <c r="S102" s="268" t="str">
        <f t="shared" si="12"/>
        <v>-</v>
      </c>
      <c r="T102" s="269" t="str">
        <f t="shared" si="13"/>
        <v/>
      </c>
      <c r="U102" s="221">
        <f t="shared" si="14"/>
        <v>2</v>
      </c>
      <c r="V102" s="220" t="str">
        <f t="shared" si="42"/>
        <v>-</v>
      </c>
      <c r="W102" s="221" t="str">
        <f t="shared" si="43"/>
        <v>-</v>
      </c>
      <c r="X102" s="221" t="str">
        <f t="shared" si="15"/>
        <v>-</v>
      </c>
      <c r="Y102" s="221" t="str">
        <f t="shared" si="16"/>
        <v>-</v>
      </c>
      <c r="Z102" s="270">
        <f t="shared" si="44"/>
        <v>0.1</v>
      </c>
      <c r="AA102" s="271" t="str">
        <f t="shared" ref="AA102:AA114" si="67">IFERROR(IF(V101=1,D102*EXP(-(0.04*X101+0.1*Y101)),IF(V101=2,D102*EXP(-(0.04*($F$21+X101)+0.1*(($F$16-$F$15)-$F$21+Y101))),D102*EXP(-(0.04*($F$21*2+X101)+0.1*((($F$16-$F$15)-$F$21)*2-Y101))))),"-")</f>
        <v>-</v>
      </c>
      <c r="AB102" s="271" t="str">
        <f t="shared" si="17"/>
        <v>-</v>
      </c>
      <c r="AC102" s="224">
        <f t="shared" si="45"/>
        <v>2</v>
      </c>
      <c r="AD102" s="223" t="str">
        <f t="shared" si="18"/>
        <v>-</v>
      </c>
      <c r="AE102" s="224" t="str">
        <f t="shared" si="46"/>
        <v>-</v>
      </c>
      <c r="AF102" s="224" t="str">
        <f t="shared" si="19"/>
        <v>-</v>
      </c>
      <c r="AG102" s="224" t="str">
        <f t="shared" si="20"/>
        <v>-</v>
      </c>
      <c r="AH102" s="272">
        <f t="shared" si="47"/>
        <v>0.1</v>
      </c>
      <c r="AI102" s="271" t="str">
        <f t="shared" si="21"/>
        <v>-</v>
      </c>
      <c r="AJ102" s="271" t="str">
        <f t="shared" si="48"/>
        <v>-</v>
      </c>
      <c r="AK102" s="227">
        <f t="shared" si="49"/>
        <v>2</v>
      </c>
      <c r="AL102" s="226" t="str">
        <f t="shared" si="22"/>
        <v>-</v>
      </c>
      <c r="AM102" s="227" t="str">
        <f t="shared" si="50"/>
        <v>-</v>
      </c>
      <c r="AN102" s="227" t="str">
        <f t="shared" si="51"/>
        <v>-</v>
      </c>
      <c r="AO102" s="227" t="str">
        <f t="shared" si="23"/>
        <v>-</v>
      </c>
      <c r="AP102" s="273">
        <f t="shared" si="52"/>
        <v>0.1</v>
      </c>
      <c r="AQ102" s="271" t="str">
        <f t="shared" si="53"/>
        <v>-</v>
      </c>
      <c r="AR102" s="271" t="str">
        <f t="shared" si="54"/>
        <v>-</v>
      </c>
      <c r="AS102" s="274">
        <f t="shared" si="24"/>
        <v>0</v>
      </c>
      <c r="AT102" s="274">
        <f t="shared" si="25"/>
        <v>0</v>
      </c>
      <c r="AU102" s="274">
        <f t="shared" si="26"/>
        <v>0</v>
      </c>
      <c r="AV102" s="275">
        <f>IF($B102&lt;$F$22,SUM($T$100:$T102),"")</f>
        <v>0</v>
      </c>
      <c r="AW102" s="275" t="str">
        <f t="shared" si="55"/>
        <v>-</v>
      </c>
      <c r="AX102" s="275" t="str">
        <f t="shared" si="56"/>
        <v/>
      </c>
      <c r="AY102"/>
      <c r="AZ102" s="275" t="str">
        <f ca="1">IF(ISNUMBER(OFFSET(AV102,-$F$21,0)),SUM(OFFSET($T$100,$F$21,0):$T102),"")</f>
        <v/>
      </c>
      <c r="BA102" s="275" t="str">
        <f t="shared" ca="1" si="27"/>
        <v/>
      </c>
      <c r="BB102" s="275" t="str">
        <f t="shared" ca="1" si="57"/>
        <v/>
      </c>
      <c r="BC102" s="190"/>
      <c r="BD102" s="275" t="str">
        <f ca="1">IFERROR(IF(OR(ISNUMBER(I),ISNUMBER($F$14)),IF(AND($B102&gt;=($F$16-$F$15),$B102&lt;$F$22+($F$16-$F$15)),SUM(OFFSET($T$100,($F$16-$F$15),0):$T102),""),""),"")</f>
        <v/>
      </c>
      <c r="BE102" s="275" t="str">
        <f t="shared" ca="1" si="58"/>
        <v/>
      </c>
      <c r="BF102" s="275" t="str">
        <f t="shared" ca="1" si="59"/>
        <v/>
      </c>
      <c r="BG102"/>
      <c r="BH102" s="190" t="str">
        <f ca="1">IF(ISNUMBER(OFFSET(BD102,-$F$21,0)),SUM(OFFSET($T$100,($F$16-$F$15+$F$21),0):$T102),"")</f>
        <v/>
      </c>
      <c r="BI102" s="190" t="str">
        <f t="shared" ca="1" si="28"/>
        <v/>
      </c>
      <c r="BJ102" s="190" t="str">
        <f t="shared" ca="1" si="60"/>
        <v/>
      </c>
      <c r="BK102" s="190"/>
      <c r="BL102" s="275" t="str">
        <f ca="1">IFERROR(IF(OR(ISNUMBER(I),ISNUMBER($F$14)),IF(AND($B102&gt;=($F$17-$F$15),$B102&lt;$F$22+($F$17-$F$15)),SUM(OFFSET($T$100,($F$17-$F$15),0):$T102),""),""),"")</f>
        <v/>
      </c>
      <c r="BM102" s="275" t="str">
        <f t="shared" ca="1" si="29"/>
        <v/>
      </c>
      <c r="BN102" s="275" t="str">
        <f t="shared" ca="1" si="61"/>
        <v/>
      </c>
      <c r="BO102"/>
      <c r="BP102" s="275" t="str">
        <f ca="1">IF(ISNUMBER(OFFSET(BL102,-$F$21,0)),SUM(OFFSET($T$100,($F$17-$F$15+$F$21),0):$T102),"")</f>
        <v/>
      </c>
      <c r="BQ102" s="275" t="str">
        <f t="shared" ca="1" si="62"/>
        <v/>
      </c>
      <c r="BR102" s="275" t="str">
        <f t="shared" ca="1" si="63"/>
        <v/>
      </c>
      <c r="BS102" s="190"/>
      <c r="BT102"/>
      <c r="BU102" s="276" t="str">
        <f t="shared" si="64"/>
        <v>end</v>
      </c>
      <c r="BV102" s="277">
        <v>2</v>
      </c>
      <c r="BW102" s="278">
        <f>IF(BU102&lt;&gt;"",MIN(BU101:BU102),"")</f>
        <v>0</v>
      </c>
      <c r="BX102" s="278">
        <f>IF(BU102&lt;&gt;"",MAX(BU101:BU102),"")</f>
        <v>0</v>
      </c>
      <c r="BY102" s="279" t="str">
        <f t="shared" si="65"/>
        <v/>
      </c>
      <c r="BZ102"/>
      <c r="CA102" s="280" t="str">
        <f t="shared" si="30"/>
        <v>-</v>
      </c>
      <c r="CB102" s="71" t="str">
        <f t="shared" si="31"/>
        <v>-</v>
      </c>
      <c r="CC102" s="33" t="str">
        <f t="shared" si="32"/>
        <v>2-3</v>
      </c>
      <c r="CD102" s="259" t="str">
        <f t="shared" si="33"/>
        <v/>
      </c>
      <c r="CE102" s="280" t="str">
        <f t="shared" si="34"/>
        <v>-</v>
      </c>
      <c r="CF102" s="71" t="str">
        <f t="shared" ca="1" si="35"/>
        <v>-</v>
      </c>
      <c r="CG102" s="33" t="str">
        <f t="shared" si="36"/>
        <v>2-3</v>
      </c>
      <c r="CH102" s="261" t="str">
        <f t="shared" ca="1" si="37"/>
        <v/>
      </c>
      <c r="CI102" s="202"/>
      <c r="CJ102" s="99"/>
      <c r="CK102" s="99"/>
      <c r="CL102" s="99"/>
      <c r="CM102" s="99"/>
      <c r="CN102" s="99"/>
      <c r="CO102" s="99"/>
    </row>
    <row r="103" spans="2:93" ht="13.5" customHeight="1" x14ac:dyDescent="0.2">
      <c r="B103" s="262">
        <v>3</v>
      </c>
      <c r="C103" s="236" t="str">
        <f t="shared" si="1"/>
        <v/>
      </c>
      <c r="D103" s="237" t="str">
        <f t="shared" si="66"/>
        <v>-</v>
      </c>
      <c r="E103" s="263" t="str">
        <f t="shared" si="38"/>
        <v/>
      </c>
      <c r="F103" s="264" t="str">
        <f t="shared" si="39"/>
        <v/>
      </c>
      <c r="G103" s="264" t="str">
        <f t="shared" si="40"/>
        <v/>
      </c>
      <c r="H103" s="240" t="str">
        <f t="shared" si="41"/>
        <v/>
      </c>
      <c r="I103" s="265" t="str">
        <f t="shared" si="2"/>
        <v/>
      </c>
      <c r="J103" s="265" t="str">
        <f t="shared" si="3"/>
        <v/>
      </c>
      <c r="K103" s="240" t="str">
        <f t="shared" si="4"/>
        <v/>
      </c>
      <c r="L103" s="265" t="str">
        <f t="shared" si="5"/>
        <v/>
      </c>
      <c r="M103" s="265" t="str">
        <f t="shared" si="6"/>
        <v/>
      </c>
      <c r="N103" s="240" t="str">
        <f t="shared" si="7"/>
        <v>-</v>
      </c>
      <c r="O103" s="265" t="str">
        <f t="shared" si="8"/>
        <v>-</v>
      </c>
      <c r="P103" s="265" t="str">
        <f t="shared" si="9"/>
        <v>-</v>
      </c>
      <c r="Q103" s="266" t="str">
        <f t="shared" si="10"/>
        <v>-</v>
      </c>
      <c r="R103" s="267" t="str">
        <f t="shared" si="11"/>
        <v>-</v>
      </c>
      <c r="S103" s="268" t="str">
        <f t="shared" si="12"/>
        <v>-</v>
      </c>
      <c r="T103" s="269" t="str">
        <f t="shared" si="13"/>
        <v/>
      </c>
      <c r="U103" s="221">
        <f t="shared" si="14"/>
        <v>3</v>
      </c>
      <c r="V103" s="220" t="str">
        <f t="shared" si="42"/>
        <v>-</v>
      </c>
      <c r="W103" s="221" t="str">
        <f t="shared" si="43"/>
        <v>-</v>
      </c>
      <c r="X103" s="221" t="str">
        <f t="shared" si="15"/>
        <v>-</v>
      </c>
      <c r="Y103" s="221" t="str">
        <f t="shared" si="16"/>
        <v>-</v>
      </c>
      <c r="Z103" s="270">
        <f t="shared" si="44"/>
        <v>0.1</v>
      </c>
      <c r="AA103" s="271" t="str">
        <f t="shared" si="67"/>
        <v>-</v>
      </c>
      <c r="AB103" s="271" t="str">
        <f t="shared" si="17"/>
        <v>-</v>
      </c>
      <c r="AC103" s="224">
        <f t="shared" si="45"/>
        <v>3</v>
      </c>
      <c r="AD103" s="223" t="str">
        <f t="shared" si="18"/>
        <v>-</v>
      </c>
      <c r="AE103" s="224" t="str">
        <f t="shared" si="46"/>
        <v>-</v>
      </c>
      <c r="AF103" s="224" t="str">
        <f t="shared" si="19"/>
        <v>-</v>
      </c>
      <c r="AG103" s="224" t="str">
        <f t="shared" si="20"/>
        <v>-</v>
      </c>
      <c r="AH103" s="272">
        <f t="shared" si="47"/>
        <v>0.1</v>
      </c>
      <c r="AI103" s="271" t="str">
        <f t="shared" si="21"/>
        <v>-</v>
      </c>
      <c r="AJ103" s="271" t="str">
        <f t="shared" si="48"/>
        <v>-</v>
      </c>
      <c r="AK103" s="227">
        <f t="shared" si="49"/>
        <v>3</v>
      </c>
      <c r="AL103" s="226" t="str">
        <f t="shared" si="22"/>
        <v>-</v>
      </c>
      <c r="AM103" s="227" t="str">
        <f t="shared" si="50"/>
        <v>-</v>
      </c>
      <c r="AN103" s="227" t="str">
        <f t="shared" si="51"/>
        <v>-</v>
      </c>
      <c r="AO103" s="227" t="str">
        <f t="shared" si="23"/>
        <v>-</v>
      </c>
      <c r="AP103" s="273">
        <f t="shared" si="52"/>
        <v>0.1</v>
      </c>
      <c r="AQ103" s="271" t="str">
        <f t="shared" si="53"/>
        <v>-</v>
      </c>
      <c r="AR103" s="271" t="str">
        <f t="shared" si="54"/>
        <v>-</v>
      </c>
      <c r="AS103" s="274">
        <f t="shared" si="24"/>
        <v>0</v>
      </c>
      <c r="AT103" s="274">
        <f t="shared" si="25"/>
        <v>0</v>
      </c>
      <c r="AU103" s="274">
        <f t="shared" si="26"/>
        <v>0</v>
      </c>
      <c r="AV103" s="275">
        <f>IF($B103&lt;$F$22,SUM($T$100:$T103),"")</f>
        <v>0</v>
      </c>
      <c r="AW103" s="275" t="str">
        <f t="shared" si="55"/>
        <v>-</v>
      </c>
      <c r="AX103" s="275" t="str">
        <f t="shared" si="56"/>
        <v/>
      </c>
      <c r="AY103"/>
      <c r="AZ103" s="275" t="str">
        <f ca="1">IF(ISNUMBER(OFFSET(AV103,-$F$21,0)),SUM(OFFSET($T$100,$F$21,0):$T103),"")</f>
        <v/>
      </c>
      <c r="BA103" s="275" t="str">
        <f t="shared" ca="1" si="27"/>
        <v/>
      </c>
      <c r="BB103" s="275" t="str">
        <f t="shared" ca="1" si="57"/>
        <v/>
      </c>
      <c r="BC103" s="190"/>
      <c r="BD103" s="275" t="str">
        <f ca="1">IFERROR(IF(OR(ISNUMBER(I),ISNUMBER($F$14)),IF(AND($B103&gt;=($F$16-$F$15),$B103&lt;$F$22+($F$16-$F$15)),SUM(OFFSET($T$100,($F$16-$F$15),0):$T103),""),""),"")</f>
        <v/>
      </c>
      <c r="BE103" s="275" t="str">
        <f t="shared" ca="1" si="58"/>
        <v/>
      </c>
      <c r="BF103" s="275" t="str">
        <f t="shared" ca="1" si="59"/>
        <v/>
      </c>
      <c r="BG103"/>
      <c r="BH103" s="190" t="str">
        <f ca="1">IF(ISNUMBER(OFFSET(BD103,-$F$21,0)),SUM(OFFSET($T$100,($F$16-$F$15+$F$21),0):$T103),"")</f>
        <v/>
      </c>
      <c r="BI103" s="190" t="str">
        <f t="shared" ca="1" si="28"/>
        <v/>
      </c>
      <c r="BJ103" s="190" t="str">
        <f t="shared" ca="1" si="60"/>
        <v/>
      </c>
      <c r="BK103" s="190"/>
      <c r="BL103" s="275" t="str">
        <f ca="1">IFERROR(IF(OR(ISNUMBER(I),ISNUMBER($F$14)),IF(AND($B103&gt;=($F$17-$F$15),$B103&lt;$F$22+($F$17-$F$15)),SUM(OFFSET($T$100,($F$17-$F$15),0):$T103),""),""),"")</f>
        <v/>
      </c>
      <c r="BM103" s="275" t="str">
        <f t="shared" ca="1" si="29"/>
        <v/>
      </c>
      <c r="BN103" s="275" t="str">
        <f t="shared" ca="1" si="61"/>
        <v/>
      </c>
      <c r="BO103"/>
      <c r="BP103" s="275" t="str">
        <f ca="1">IF(ISNUMBER(OFFSET(BL103,-$F$21,0)),SUM(OFFSET($T$100,($F$17-$F$15+$F$21),0):$T103),"")</f>
        <v/>
      </c>
      <c r="BQ103" s="275" t="str">
        <f t="shared" ca="1" si="62"/>
        <v/>
      </c>
      <c r="BR103" s="275" t="str">
        <f t="shared" ca="1" si="63"/>
        <v/>
      </c>
      <c r="BS103" s="190"/>
      <c r="BT103"/>
      <c r="BU103" s="276" t="str">
        <f t="shared" si="64"/>
        <v>end</v>
      </c>
      <c r="BV103" s="277">
        <v>3</v>
      </c>
      <c r="BW103" s="278">
        <f>IF(BU103&lt;&gt;"",MIN(BU102:BU103),"")</f>
        <v>0</v>
      </c>
      <c r="BX103" s="278">
        <f>IF(BU103&lt;&gt;"",MAX(BU102:BU103),"")</f>
        <v>0</v>
      </c>
      <c r="BY103" s="279" t="str">
        <f t="shared" si="65"/>
        <v/>
      </c>
      <c r="BZ103"/>
      <c r="CA103" s="280" t="str">
        <f t="shared" si="30"/>
        <v>-</v>
      </c>
      <c r="CB103" s="71" t="str">
        <f t="shared" si="31"/>
        <v>-</v>
      </c>
      <c r="CC103" s="33" t="str">
        <f t="shared" si="32"/>
        <v>3-4</v>
      </c>
      <c r="CD103" s="259" t="str">
        <f t="shared" si="33"/>
        <v/>
      </c>
      <c r="CE103" s="280" t="str">
        <f t="shared" si="34"/>
        <v>-</v>
      </c>
      <c r="CF103" s="71" t="str">
        <f t="shared" ca="1" si="35"/>
        <v>-</v>
      </c>
      <c r="CG103" s="33" t="str">
        <f t="shared" si="36"/>
        <v>3-4</v>
      </c>
      <c r="CH103" s="261" t="str">
        <f t="shared" ca="1" si="37"/>
        <v/>
      </c>
      <c r="CI103" s="202"/>
      <c r="CJ103" s="99"/>
      <c r="CK103" s="99"/>
      <c r="CL103" s="99"/>
      <c r="CM103" s="99"/>
      <c r="CN103" s="99"/>
      <c r="CO103" s="99"/>
    </row>
    <row r="104" spans="2:93" ht="13.5" customHeight="1" x14ac:dyDescent="0.2">
      <c r="B104" s="262">
        <v>4</v>
      </c>
      <c r="C104" s="237" t="str">
        <f t="shared" si="1"/>
        <v/>
      </c>
      <c r="D104" s="237" t="str">
        <f t="shared" si="66"/>
        <v>-</v>
      </c>
      <c r="E104" s="263" t="str">
        <f t="shared" si="38"/>
        <v/>
      </c>
      <c r="F104" s="264" t="str">
        <f t="shared" si="39"/>
        <v/>
      </c>
      <c r="G104" s="264" t="str">
        <f t="shared" si="40"/>
        <v/>
      </c>
      <c r="H104" s="240" t="str">
        <f t="shared" si="41"/>
        <v/>
      </c>
      <c r="I104" s="265" t="str">
        <f t="shared" si="2"/>
        <v/>
      </c>
      <c r="J104" s="265" t="str">
        <f t="shared" si="3"/>
        <v/>
      </c>
      <c r="K104" s="240" t="str">
        <f t="shared" si="4"/>
        <v/>
      </c>
      <c r="L104" s="265" t="str">
        <f t="shared" si="5"/>
        <v/>
      </c>
      <c r="M104" s="265" t="str">
        <f t="shared" si="6"/>
        <v/>
      </c>
      <c r="N104" s="240" t="str">
        <f t="shared" si="7"/>
        <v>-</v>
      </c>
      <c r="O104" s="265" t="str">
        <f t="shared" si="8"/>
        <v>-</v>
      </c>
      <c r="P104" s="265" t="str">
        <f t="shared" si="9"/>
        <v>-</v>
      </c>
      <c r="Q104" s="266" t="str">
        <f t="shared" si="10"/>
        <v>-</v>
      </c>
      <c r="R104" s="267" t="str">
        <f t="shared" si="11"/>
        <v>-</v>
      </c>
      <c r="S104" s="268" t="str">
        <f t="shared" si="12"/>
        <v>-</v>
      </c>
      <c r="T104" s="269" t="str">
        <f t="shared" si="13"/>
        <v/>
      </c>
      <c r="U104" s="221">
        <f t="shared" si="14"/>
        <v>4</v>
      </c>
      <c r="V104" s="220" t="str">
        <f t="shared" si="42"/>
        <v>-</v>
      </c>
      <c r="W104" s="221" t="str">
        <f t="shared" si="43"/>
        <v>-</v>
      </c>
      <c r="X104" s="221" t="str">
        <f t="shared" si="15"/>
        <v>-</v>
      </c>
      <c r="Y104" s="221" t="str">
        <f t="shared" si="16"/>
        <v>-</v>
      </c>
      <c r="Z104" s="270">
        <f t="shared" si="44"/>
        <v>0.1</v>
      </c>
      <c r="AA104" s="271" t="str">
        <f t="shared" si="67"/>
        <v>-</v>
      </c>
      <c r="AB104" s="271" t="str">
        <f t="shared" si="17"/>
        <v>-</v>
      </c>
      <c r="AC104" s="224">
        <f t="shared" si="45"/>
        <v>4</v>
      </c>
      <c r="AD104" s="223" t="str">
        <f t="shared" si="18"/>
        <v>-</v>
      </c>
      <c r="AE104" s="224" t="str">
        <f t="shared" si="46"/>
        <v>-</v>
      </c>
      <c r="AF104" s="224" t="str">
        <f t="shared" si="19"/>
        <v>-</v>
      </c>
      <c r="AG104" s="224" t="str">
        <f t="shared" si="20"/>
        <v>-</v>
      </c>
      <c r="AH104" s="272">
        <f t="shared" si="47"/>
        <v>0.1</v>
      </c>
      <c r="AI104" s="271" t="str">
        <f t="shared" si="21"/>
        <v>-</v>
      </c>
      <c r="AJ104" s="271" t="str">
        <f t="shared" si="48"/>
        <v>-</v>
      </c>
      <c r="AK104" s="227">
        <f t="shared" si="49"/>
        <v>4</v>
      </c>
      <c r="AL104" s="226" t="str">
        <f t="shared" si="22"/>
        <v>-</v>
      </c>
      <c r="AM104" s="227" t="str">
        <f t="shared" si="50"/>
        <v>-</v>
      </c>
      <c r="AN104" s="227" t="str">
        <f t="shared" si="51"/>
        <v>-</v>
      </c>
      <c r="AO104" s="227" t="str">
        <f t="shared" si="23"/>
        <v>-</v>
      </c>
      <c r="AP104" s="273">
        <f t="shared" si="52"/>
        <v>0.1</v>
      </c>
      <c r="AQ104" s="271" t="str">
        <f t="shared" si="53"/>
        <v>-</v>
      </c>
      <c r="AR104" s="271" t="str">
        <f t="shared" si="54"/>
        <v>-</v>
      </c>
      <c r="AS104" s="274">
        <f t="shared" si="24"/>
        <v>0</v>
      </c>
      <c r="AT104" s="274">
        <f t="shared" si="25"/>
        <v>0</v>
      </c>
      <c r="AU104" s="274">
        <f t="shared" si="26"/>
        <v>0</v>
      </c>
      <c r="AV104" s="275">
        <f>IF($B104&lt;$F$22,SUM($T$100:$T104),"")</f>
        <v>0</v>
      </c>
      <c r="AW104" s="275" t="str">
        <f t="shared" si="55"/>
        <v>-</v>
      </c>
      <c r="AX104" s="275" t="str">
        <f t="shared" si="56"/>
        <v/>
      </c>
      <c r="AY104"/>
      <c r="AZ104" s="275" t="str">
        <f ca="1">IF(ISNUMBER(OFFSET(AV104,-$F$21,0)),SUM(OFFSET($T$100,$F$21,0):$T104),"")</f>
        <v/>
      </c>
      <c r="BA104" s="275" t="str">
        <f t="shared" ca="1" si="27"/>
        <v/>
      </c>
      <c r="BB104" s="275" t="str">
        <f t="shared" ca="1" si="57"/>
        <v/>
      </c>
      <c r="BC104" s="190"/>
      <c r="BD104" s="275" t="str">
        <f ca="1">IFERROR(IF(OR(ISNUMBER(I),ISNUMBER($F$14)),IF(AND($B104&gt;=($F$16-$F$15),$B104&lt;$F$22+($F$16-$F$15)),SUM(OFFSET($T$100,($F$16-$F$15),0):$T104),""),""),"")</f>
        <v/>
      </c>
      <c r="BE104" s="275" t="str">
        <f t="shared" ca="1" si="58"/>
        <v/>
      </c>
      <c r="BF104" s="275" t="str">
        <f t="shared" ca="1" si="59"/>
        <v/>
      </c>
      <c r="BG104"/>
      <c r="BH104" s="190" t="str">
        <f ca="1">IF(ISNUMBER(OFFSET(BD104,-$F$21,0)),SUM(OFFSET($T$100,($F$16-$F$15+$F$21),0):$T104),"")</f>
        <v/>
      </c>
      <c r="BI104" s="190" t="str">
        <f t="shared" ca="1" si="28"/>
        <v/>
      </c>
      <c r="BJ104" s="190" t="str">
        <f t="shared" ca="1" si="60"/>
        <v/>
      </c>
      <c r="BK104" s="190"/>
      <c r="BL104" s="275" t="str">
        <f ca="1">IFERROR(IF(OR(ISNUMBER(I),ISNUMBER($F$14)),IF(AND($B104&gt;=($F$17-$F$15),$B104&lt;$F$22+($F$17-$F$15)),SUM(OFFSET($T$100,($F$17-$F$15),0):$T104),""),""),"")</f>
        <v/>
      </c>
      <c r="BM104" s="275" t="str">
        <f t="shared" ca="1" si="29"/>
        <v/>
      </c>
      <c r="BN104" s="275" t="str">
        <f t="shared" ca="1" si="61"/>
        <v/>
      </c>
      <c r="BO104"/>
      <c r="BP104" s="275" t="str">
        <f ca="1">IF(ISNUMBER(OFFSET(BL104,-$F$21,0)),SUM(OFFSET($T$100,($F$17-$F$15+$F$21),0):$T104),"")</f>
        <v/>
      </c>
      <c r="BQ104" s="275" t="str">
        <f t="shared" ca="1" si="62"/>
        <v/>
      </c>
      <c r="BR104" s="275" t="str">
        <f t="shared" ca="1" si="63"/>
        <v/>
      </c>
      <c r="BS104" s="190"/>
      <c r="BT104"/>
      <c r="BU104" s="276" t="str">
        <f t="shared" si="64"/>
        <v>end</v>
      </c>
      <c r="BV104" s="277">
        <v>4</v>
      </c>
      <c r="BW104" s="278">
        <f>IF(BU104&lt;&gt;"",MIN(BU103:BU104),"")</f>
        <v>0</v>
      </c>
      <c r="BX104" s="278">
        <f>IF(BU104&lt;&gt;"",MAX(BU103:BU104),"")</f>
        <v>0</v>
      </c>
      <c r="BY104" s="279" t="str">
        <f t="shared" si="65"/>
        <v/>
      </c>
      <c r="BZ104"/>
      <c r="CA104" s="281" t="str">
        <f t="shared" si="30"/>
        <v>-</v>
      </c>
      <c r="CB104" s="31" t="str">
        <f t="shared" si="31"/>
        <v>-</v>
      </c>
      <c r="CC104" s="24" t="str">
        <f t="shared" si="32"/>
        <v>4-5</v>
      </c>
      <c r="CD104" s="282" t="str">
        <f t="shared" si="33"/>
        <v/>
      </c>
      <c r="CE104" s="281" t="str">
        <f t="shared" si="34"/>
        <v>-</v>
      </c>
      <c r="CF104" s="31" t="str">
        <f t="shared" ca="1" si="35"/>
        <v>-</v>
      </c>
      <c r="CG104" s="24" t="str">
        <f t="shared" si="36"/>
        <v>4-5</v>
      </c>
      <c r="CH104" s="283" t="str">
        <f t="shared" ca="1" si="37"/>
        <v/>
      </c>
      <c r="CI104" s="202"/>
      <c r="CJ104" s="99"/>
      <c r="CK104" s="99"/>
      <c r="CL104" s="99"/>
      <c r="CM104" s="99"/>
      <c r="CN104" s="99"/>
      <c r="CO104" s="99"/>
    </row>
    <row r="105" spans="2:93" ht="13.5" customHeight="1" x14ac:dyDescent="0.2">
      <c r="B105" s="262">
        <v>5</v>
      </c>
      <c r="C105" s="237" t="str">
        <f t="shared" si="1"/>
        <v/>
      </c>
      <c r="D105" s="237" t="str">
        <f t="shared" si="66"/>
        <v>-</v>
      </c>
      <c r="E105" s="263" t="str">
        <f t="shared" si="38"/>
        <v/>
      </c>
      <c r="F105" s="264" t="str">
        <f t="shared" si="39"/>
        <v/>
      </c>
      <c r="G105" s="264" t="str">
        <f t="shared" si="40"/>
        <v/>
      </c>
      <c r="H105" s="240" t="str">
        <f t="shared" si="41"/>
        <v/>
      </c>
      <c r="I105" s="265" t="str">
        <f t="shared" si="2"/>
        <v/>
      </c>
      <c r="J105" s="265" t="str">
        <f t="shared" si="3"/>
        <v/>
      </c>
      <c r="K105" s="240" t="str">
        <f t="shared" si="4"/>
        <v/>
      </c>
      <c r="L105" s="265" t="str">
        <f t="shared" si="5"/>
        <v/>
      </c>
      <c r="M105" s="265" t="str">
        <f t="shared" si="6"/>
        <v/>
      </c>
      <c r="N105" s="240" t="str">
        <f t="shared" si="7"/>
        <v>-</v>
      </c>
      <c r="O105" s="265" t="str">
        <f t="shared" si="8"/>
        <v>-</v>
      </c>
      <c r="P105" s="265" t="str">
        <f t="shared" si="9"/>
        <v>-</v>
      </c>
      <c r="Q105" s="266" t="str">
        <f t="shared" si="10"/>
        <v>-</v>
      </c>
      <c r="R105" s="267" t="str">
        <f t="shared" si="11"/>
        <v>-</v>
      </c>
      <c r="S105" s="268" t="str">
        <f t="shared" si="12"/>
        <v>-</v>
      </c>
      <c r="T105" s="269" t="str">
        <f t="shared" si="13"/>
        <v/>
      </c>
      <c r="U105" s="221">
        <f t="shared" si="14"/>
        <v>5</v>
      </c>
      <c r="V105" s="220" t="str">
        <f t="shared" si="42"/>
        <v>-</v>
      </c>
      <c r="W105" s="221" t="str">
        <f t="shared" si="43"/>
        <v>-</v>
      </c>
      <c r="X105" s="221" t="str">
        <f t="shared" si="15"/>
        <v>-</v>
      </c>
      <c r="Y105" s="221" t="str">
        <f t="shared" si="16"/>
        <v>-</v>
      </c>
      <c r="Z105" s="270">
        <f t="shared" si="44"/>
        <v>0.1</v>
      </c>
      <c r="AA105" s="271" t="str">
        <f t="shared" si="67"/>
        <v>-</v>
      </c>
      <c r="AB105" s="271" t="str">
        <f t="shared" si="17"/>
        <v>-</v>
      </c>
      <c r="AC105" s="224">
        <f t="shared" si="45"/>
        <v>5</v>
      </c>
      <c r="AD105" s="223" t="str">
        <f t="shared" si="18"/>
        <v>-</v>
      </c>
      <c r="AE105" s="224" t="str">
        <f t="shared" si="46"/>
        <v>-</v>
      </c>
      <c r="AF105" s="224" t="str">
        <f t="shared" si="19"/>
        <v>-</v>
      </c>
      <c r="AG105" s="224" t="str">
        <f t="shared" si="20"/>
        <v>-</v>
      </c>
      <c r="AH105" s="272">
        <f t="shared" si="47"/>
        <v>0.1</v>
      </c>
      <c r="AI105" s="271" t="str">
        <f t="shared" si="21"/>
        <v>-</v>
      </c>
      <c r="AJ105" s="271" t="str">
        <f t="shared" si="48"/>
        <v>-</v>
      </c>
      <c r="AK105" s="227">
        <f t="shared" si="49"/>
        <v>5</v>
      </c>
      <c r="AL105" s="226" t="str">
        <f t="shared" si="22"/>
        <v>-</v>
      </c>
      <c r="AM105" s="227" t="str">
        <f t="shared" si="50"/>
        <v>-</v>
      </c>
      <c r="AN105" s="227" t="str">
        <f t="shared" si="51"/>
        <v>-</v>
      </c>
      <c r="AO105" s="227" t="str">
        <f t="shared" si="23"/>
        <v>-</v>
      </c>
      <c r="AP105" s="273">
        <f t="shared" si="52"/>
        <v>0.1</v>
      </c>
      <c r="AQ105" s="271" t="str">
        <f t="shared" si="53"/>
        <v>-</v>
      </c>
      <c r="AR105" s="271" t="str">
        <f t="shared" si="54"/>
        <v>-</v>
      </c>
      <c r="AS105" s="274">
        <f t="shared" si="24"/>
        <v>0</v>
      </c>
      <c r="AT105" s="274">
        <f t="shared" si="25"/>
        <v>0</v>
      </c>
      <c r="AU105" s="274">
        <f t="shared" si="26"/>
        <v>0</v>
      </c>
      <c r="AV105" s="275">
        <f>IF($B105&lt;$F$22,SUM($T$100:$T105),"")</f>
        <v>0</v>
      </c>
      <c r="AW105" s="275" t="str">
        <f t="shared" si="55"/>
        <v>-</v>
      </c>
      <c r="AX105" s="275" t="str">
        <f t="shared" si="56"/>
        <v/>
      </c>
      <c r="AY105"/>
      <c r="AZ105" s="275" t="str">
        <f ca="1">IF(ISNUMBER(OFFSET(AV105,-$F$21,0)),SUM(OFFSET($T$100,$F$21,0):$T105),"")</f>
        <v/>
      </c>
      <c r="BA105" s="275" t="str">
        <f t="shared" ca="1" si="27"/>
        <v/>
      </c>
      <c r="BB105" s="275" t="str">
        <f t="shared" ca="1" si="57"/>
        <v/>
      </c>
      <c r="BC105" s="190"/>
      <c r="BD105" s="275" t="str">
        <f ca="1">IFERROR(IF(OR(ISNUMBER(I),ISNUMBER($F$14)),IF(AND($B105&gt;=($F$16-$F$15),$B105&lt;$F$22+($F$16-$F$15)),SUM(OFFSET($T$100,($F$16-$F$15),0):$T105),""),""),"")</f>
        <v/>
      </c>
      <c r="BE105" s="275" t="str">
        <f t="shared" ca="1" si="58"/>
        <v/>
      </c>
      <c r="BF105" s="275" t="str">
        <f t="shared" ca="1" si="59"/>
        <v/>
      </c>
      <c r="BG105"/>
      <c r="BH105" s="190" t="str">
        <f ca="1">IF(ISNUMBER(OFFSET(BD105,-$F$21,0)),SUM(OFFSET($T$100,($F$16-$F$15+$F$21),0):$T105),"")</f>
        <v/>
      </c>
      <c r="BI105" s="190" t="str">
        <f t="shared" ca="1" si="28"/>
        <v/>
      </c>
      <c r="BJ105" s="190" t="str">
        <f t="shared" ca="1" si="60"/>
        <v/>
      </c>
      <c r="BK105" s="190"/>
      <c r="BL105" s="275" t="str">
        <f ca="1">IFERROR(IF(OR(ISNUMBER(I),ISNUMBER($F$14)),IF(AND($B105&gt;=($F$17-$F$15),$B105&lt;$F$22+($F$17-$F$15)),SUM(OFFSET($T$100,($F$17-$F$15),0):$T105),""),""),"")</f>
        <v/>
      </c>
      <c r="BM105" s="275" t="str">
        <f t="shared" ca="1" si="29"/>
        <v/>
      </c>
      <c r="BN105" s="275" t="str">
        <f t="shared" ca="1" si="61"/>
        <v/>
      </c>
      <c r="BO105"/>
      <c r="BP105" s="275" t="str">
        <f ca="1">IF(ISNUMBER(OFFSET(BL105,-$F$21,0)),SUM(OFFSET($T$100,($F$17-$F$15+$F$21),0):$T105),"")</f>
        <v/>
      </c>
      <c r="BQ105" s="275" t="str">
        <f t="shared" ca="1" si="62"/>
        <v/>
      </c>
      <c r="BR105" s="275" t="str">
        <f t="shared" ca="1" si="63"/>
        <v/>
      </c>
      <c r="BS105" s="190"/>
      <c r="BT105"/>
      <c r="BU105" s="276" t="str">
        <f t="shared" si="64"/>
        <v>end</v>
      </c>
      <c r="BV105" s="277">
        <v>5</v>
      </c>
      <c r="BW105" s="278">
        <f>IF(BU105&lt;&gt;"",MIN(BU104:BU105),"")</f>
        <v>0</v>
      </c>
      <c r="BX105" s="278">
        <f>IF(BU105&lt;&gt;"",MAX(BU104:BU105),"")</f>
        <v>0</v>
      </c>
      <c r="BY105" s="279" t="str">
        <f t="shared" si="65"/>
        <v/>
      </c>
      <c r="BZ105"/>
      <c r="CA105" s="284" t="str">
        <f t="shared" si="30"/>
        <v>-</v>
      </c>
      <c r="CB105" s="285" t="str">
        <f t="shared" si="31"/>
        <v>-</v>
      </c>
      <c r="CC105" s="285" t="str">
        <f t="shared" si="32"/>
        <v>5-6</v>
      </c>
      <c r="CD105" s="286" t="str">
        <f t="shared" si="33"/>
        <v/>
      </c>
      <c r="CE105" s="287" t="str">
        <f t="shared" si="34"/>
        <v>-</v>
      </c>
      <c r="CF105" s="285" t="str">
        <f t="shared" ca="1" si="35"/>
        <v>-</v>
      </c>
      <c r="CG105" s="285" t="str">
        <f t="shared" si="36"/>
        <v>5-6</v>
      </c>
      <c r="CH105" s="288" t="str">
        <f t="shared" ca="1" si="37"/>
        <v/>
      </c>
      <c r="CJ105" s="99"/>
      <c r="CK105" s="99"/>
      <c r="CL105" s="99"/>
      <c r="CM105" s="99"/>
      <c r="CN105" s="99"/>
      <c r="CO105" s="99"/>
    </row>
    <row r="106" spans="2:93" ht="13.5" customHeight="1" x14ac:dyDescent="0.2">
      <c r="B106" s="262">
        <v>6</v>
      </c>
      <c r="C106" s="237" t="str">
        <f t="shared" si="1"/>
        <v/>
      </c>
      <c r="D106" s="237" t="str">
        <f t="shared" si="66"/>
        <v>-</v>
      </c>
      <c r="E106" s="263" t="str">
        <f t="shared" si="38"/>
        <v/>
      </c>
      <c r="F106" s="264" t="str">
        <f t="shared" si="39"/>
        <v/>
      </c>
      <c r="G106" s="264" t="str">
        <f t="shared" si="40"/>
        <v/>
      </c>
      <c r="H106" s="240" t="str">
        <f t="shared" si="41"/>
        <v/>
      </c>
      <c r="I106" s="265" t="str">
        <f t="shared" si="2"/>
        <v/>
      </c>
      <c r="J106" s="265" t="str">
        <f t="shared" si="3"/>
        <v/>
      </c>
      <c r="K106" s="240" t="str">
        <f t="shared" si="4"/>
        <v/>
      </c>
      <c r="L106" s="265" t="str">
        <f t="shared" si="5"/>
        <v/>
      </c>
      <c r="M106" s="265" t="str">
        <f t="shared" si="6"/>
        <v/>
      </c>
      <c r="N106" s="240" t="str">
        <f t="shared" si="7"/>
        <v>-</v>
      </c>
      <c r="O106" s="265" t="str">
        <f t="shared" si="8"/>
        <v>-</v>
      </c>
      <c r="P106" s="265" t="str">
        <f t="shared" si="9"/>
        <v>-</v>
      </c>
      <c r="Q106" s="266" t="str">
        <f t="shared" si="10"/>
        <v>-</v>
      </c>
      <c r="R106" s="267" t="str">
        <f t="shared" si="11"/>
        <v>-</v>
      </c>
      <c r="S106" s="268" t="str">
        <f t="shared" si="12"/>
        <v>-</v>
      </c>
      <c r="T106" s="269" t="str">
        <f t="shared" si="13"/>
        <v/>
      </c>
      <c r="U106" s="221">
        <f t="shared" si="14"/>
        <v>6</v>
      </c>
      <c r="V106" s="220" t="str">
        <f t="shared" si="42"/>
        <v>-</v>
      </c>
      <c r="W106" s="221" t="str">
        <f t="shared" si="43"/>
        <v>-</v>
      </c>
      <c r="X106" s="221" t="str">
        <f t="shared" si="15"/>
        <v>-</v>
      </c>
      <c r="Y106" s="221" t="str">
        <f t="shared" si="16"/>
        <v>-</v>
      </c>
      <c r="Z106" s="270">
        <f t="shared" si="44"/>
        <v>0.1</v>
      </c>
      <c r="AA106" s="271" t="str">
        <f t="shared" si="67"/>
        <v>-</v>
      </c>
      <c r="AB106" s="271" t="str">
        <f t="shared" si="17"/>
        <v>-</v>
      </c>
      <c r="AC106" s="224">
        <f t="shared" si="45"/>
        <v>6</v>
      </c>
      <c r="AD106" s="223" t="str">
        <f t="shared" si="18"/>
        <v>-</v>
      </c>
      <c r="AE106" s="224" t="str">
        <f t="shared" si="46"/>
        <v>-</v>
      </c>
      <c r="AF106" s="224" t="str">
        <f t="shared" si="19"/>
        <v>-</v>
      </c>
      <c r="AG106" s="224" t="str">
        <f t="shared" si="20"/>
        <v>-</v>
      </c>
      <c r="AH106" s="272">
        <f t="shared" si="47"/>
        <v>0.1</v>
      </c>
      <c r="AI106" s="271" t="str">
        <f t="shared" si="21"/>
        <v>-</v>
      </c>
      <c r="AJ106" s="271" t="str">
        <f t="shared" si="48"/>
        <v>-</v>
      </c>
      <c r="AK106" s="227">
        <f t="shared" si="49"/>
        <v>6</v>
      </c>
      <c r="AL106" s="226" t="str">
        <f t="shared" si="22"/>
        <v>-</v>
      </c>
      <c r="AM106" s="227" t="str">
        <f t="shared" si="50"/>
        <v>-</v>
      </c>
      <c r="AN106" s="227" t="str">
        <f t="shared" si="51"/>
        <v>-</v>
      </c>
      <c r="AO106" s="227" t="str">
        <f t="shared" si="23"/>
        <v>-</v>
      </c>
      <c r="AP106" s="273">
        <f t="shared" si="52"/>
        <v>0.1</v>
      </c>
      <c r="AQ106" s="271" t="str">
        <f t="shared" si="53"/>
        <v>-</v>
      </c>
      <c r="AR106" s="271" t="str">
        <f t="shared" si="54"/>
        <v>-</v>
      </c>
      <c r="AS106" s="274">
        <f t="shared" si="24"/>
        <v>0</v>
      </c>
      <c r="AT106" s="274">
        <f t="shared" si="25"/>
        <v>0</v>
      </c>
      <c r="AU106" s="274">
        <f t="shared" si="26"/>
        <v>0</v>
      </c>
      <c r="AV106" s="275">
        <f>IF($B106&lt;$F$22,SUM($T$100:$T106),"")</f>
        <v>0</v>
      </c>
      <c r="AW106" s="275" t="str">
        <f t="shared" si="55"/>
        <v>-</v>
      </c>
      <c r="AX106" s="275" t="str">
        <f t="shared" si="56"/>
        <v/>
      </c>
      <c r="AY106"/>
      <c r="AZ106" s="275" t="str">
        <f ca="1">IF(ISNUMBER(OFFSET(AV106,-$F$21,0)),SUM(OFFSET($T$100,$F$21,0):$T106),"")</f>
        <v/>
      </c>
      <c r="BA106" s="275" t="str">
        <f t="shared" ca="1" si="27"/>
        <v/>
      </c>
      <c r="BB106" s="275" t="str">
        <f t="shared" ca="1" si="57"/>
        <v/>
      </c>
      <c r="BC106" s="190"/>
      <c r="BD106" s="275" t="str">
        <f ca="1">IFERROR(IF(OR(ISNUMBER(I),ISNUMBER($F$14)),IF(AND($B106&gt;=($F$16-$F$15),$B106&lt;$F$22+($F$16-$F$15)),SUM(OFFSET($T$100,($F$16-$F$15),0):$T106),""),""),"")</f>
        <v/>
      </c>
      <c r="BE106" s="275" t="str">
        <f t="shared" ca="1" si="58"/>
        <v/>
      </c>
      <c r="BF106" s="275" t="str">
        <f t="shared" ca="1" si="59"/>
        <v/>
      </c>
      <c r="BG106"/>
      <c r="BH106" s="190" t="str">
        <f ca="1">IF(ISNUMBER(OFFSET(BD106,-$F$21,0)),SUM(OFFSET($T$100,($F$16-$F$15+$F$21),0):$T106),"")</f>
        <v/>
      </c>
      <c r="BI106" s="190" t="str">
        <f t="shared" ca="1" si="28"/>
        <v/>
      </c>
      <c r="BJ106" s="190" t="str">
        <f t="shared" ca="1" si="60"/>
        <v/>
      </c>
      <c r="BK106" s="190"/>
      <c r="BL106" s="275" t="str">
        <f ca="1">IFERROR(IF(OR(ISNUMBER(I),ISNUMBER($F$14)),IF(AND($B106&gt;=($F$17-$F$15),$B106&lt;$F$22+($F$17-$F$15)),SUM(OFFSET($T$100,($F$17-$F$15),0):$T106),""),""),"")</f>
        <v/>
      </c>
      <c r="BM106" s="275" t="str">
        <f t="shared" ca="1" si="29"/>
        <v/>
      </c>
      <c r="BN106" s="275" t="str">
        <f t="shared" ca="1" si="61"/>
        <v/>
      </c>
      <c r="BO106"/>
      <c r="BP106" s="275" t="str">
        <f ca="1">IF(ISNUMBER(OFFSET(BL106,-$F$21,0)),SUM(OFFSET($T$100,($F$17-$F$15+$F$21),0):$T106),"")</f>
        <v/>
      </c>
      <c r="BQ106" s="275" t="str">
        <f t="shared" ca="1" si="62"/>
        <v/>
      </c>
      <c r="BR106" s="275" t="str">
        <f t="shared" ca="1" si="63"/>
        <v/>
      </c>
      <c r="BS106" s="190"/>
      <c r="BT106"/>
      <c r="BU106" s="276" t="str">
        <f t="shared" si="64"/>
        <v>end</v>
      </c>
      <c r="BV106" s="277">
        <v>6</v>
      </c>
      <c r="BW106" s="278" t="str">
        <f>IF(AND(BU106="end",BU105="end"), "", IF(BU106&lt;&gt;"",MIN(BU105:BU106),""))</f>
        <v/>
      </c>
      <c r="BX106" s="278" t="str">
        <f>IF(AND(BU106="end",BU105="end"), "", IF(BU106&lt;&gt;"",MAX(BU105:BU106),""))</f>
        <v/>
      </c>
      <c r="BY106" s="279" t="str">
        <f t="shared" si="65"/>
        <v/>
      </c>
      <c r="BZ106"/>
      <c r="CA106" s="284" t="str">
        <f t="shared" si="30"/>
        <v>-</v>
      </c>
      <c r="CB106" s="285" t="str">
        <f t="shared" si="31"/>
        <v>-</v>
      </c>
      <c r="CC106" s="285" t="str">
        <f t="shared" si="32"/>
        <v>6-7</v>
      </c>
      <c r="CD106" s="286" t="str">
        <f t="shared" si="33"/>
        <v/>
      </c>
      <c r="CE106" s="287" t="str">
        <f t="shared" si="34"/>
        <v>-</v>
      </c>
      <c r="CF106" s="285" t="str">
        <f t="shared" ca="1" si="35"/>
        <v>-</v>
      </c>
      <c r="CG106" s="285" t="str">
        <f t="shared" si="36"/>
        <v>6-7</v>
      </c>
      <c r="CH106" s="288" t="str">
        <f t="shared" ca="1" si="37"/>
        <v/>
      </c>
      <c r="CJ106" s="99"/>
      <c r="CK106" s="99"/>
      <c r="CL106" s="99"/>
      <c r="CM106" s="99"/>
      <c r="CN106" s="99"/>
      <c r="CO106" s="99"/>
    </row>
    <row r="107" spans="2:93" ht="13.5" customHeight="1" x14ac:dyDescent="0.2">
      <c r="B107" s="262">
        <v>7</v>
      </c>
      <c r="C107" s="236" t="str">
        <f t="shared" si="1"/>
        <v/>
      </c>
      <c r="D107" s="237" t="str">
        <f t="shared" si="66"/>
        <v>-</v>
      </c>
      <c r="E107" s="263" t="str">
        <f t="shared" si="38"/>
        <v/>
      </c>
      <c r="F107" s="264" t="str">
        <f t="shared" si="39"/>
        <v/>
      </c>
      <c r="G107" s="264" t="str">
        <f t="shared" si="40"/>
        <v/>
      </c>
      <c r="H107" s="240" t="str">
        <f t="shared" si="41"/>
        <v/>
      </c>
      <c r="I107" s="265" t="str">
        <f t="shared" si="2"/>
        <v/>
      </c>
      <c r="J107" s="265" t="str">
        <f t="shared" si="3"/>
        <v/>
      </c>
      <c r="K107" s="240" t="str">
        <f t="shared" si="4"/>
        <v/>
      </c>
      <c r="L107" s="265" t="str">
        <f t="shared" si="5"/>
        <v/>
      </c>
      <c r="M107" s="265" t="str">
        <f t="shared" si="6"/>
        <v/>
      </c>
      <c r="N107" s="240" t="str">
        <f t="shared" si="7"/>
        <v>-</v>
      </c>
      <c r="O107" s="265" t="str">
        <f t="shared" si="8"/>
        <v>-</v>
      </c>
      <c r="P107" s="265" t="str">
        <f t="shared" si="9"/>
        <v>-</v>
      </c>
      <c r="Q107" s="266" t="str">
        <f t="shared" si="10"/>
        <v>-</v>
      </c>
      <c r="R107" s="267" t="str">
        <f t="shared" si="11"/>
        <v>-</v>
      </c>
      <c r="S107" s="268" t="str">
        <f t="shared" si="12"/>
        <v>-</v>
      </c>
      <c r="T107" s="269" t="str">
        <f t="shared" si="13"/>
        <v/>
      </c>
      <c r="U107" s="221">
        <f t="shared" si="14"/>
        <v>7</v>
      </c>
      <c r="V107" s="220" t="str">
        <f t="shared" si="42"/>
        <v>-</v>
      </c>
      <c r="W107" s="221" t="str">
        <f t="shared" si="43"/>
        <v>-</v>
      </c>
      <c r="X107" s="221" t="str">
        <f t="shared" si="15"/>
        <v>-</v>
      </c>
      <c r="Y107" s="221" t="str">
        <f t="shared" si="16"/>
        <v>-</v>
      </c>
      <c r="Z107" s="270">
        <f t="shared" si="44"/>
        <v>0.1</v>
      </c>
      <c r="AA107" s="271" t="str">
        <f t="shared" si="67"/>
        <v>-</v>
      </c>
      <c r="AB107" s="271" t="str">
        <f t="shared" si="17"/>
        <v>-</v>
      </c>
      <c r="AC107" s="224">
        <f t="shared" si="45"/>
        <v>7</v>
      </c>
      <c r="AD107" s="223" t="str">
        <f t="shared" si="18"/>
        <v>-</v>
      </c>
      <c r="AE107" s="224" t="str">
        <f t="shared" si="46"/>
        <v>-</v>
      </c>
      <c r="AF107" s="224" t="str">
        <f t="shared" si="19"/>
        <v>-</v>
      </c>
      <c r="AG107" s="224" t="str">
        <f t="shared" si="20"/>
        <v>-</v>
      </c>
      <c r="AH107" s="272">
        <f t="shared" si="47"/>
        <v>0.1</v>
      </c>
      <c r="AI107" s="271" t="str">
        <f t="shared" si="21"/>
        <v>-</v>
      </c>
      <c r="AJ107" s="271" t="str">
        <f t="shared" si="48"/>
        <v>-</v>
      </c>
      <c r="AK107" s="227">
        <f t="shared" si="49"/>
        <v>7</v>
      </c>
      <c r="AL107" s="226" t="str">
        <f t="shared" si="22"/>
        <v>-</v>
      </c>
      <c r="AM107" s="227" t="str">
        <f t="shared" si="50"/>
        <v>-</v>
      </c>
      <c r="AN107" s="227" t="str">
        <f t="shared" si="51"/>
        <v>-</v>
      </c>
      <c r="AO107" s="227" t="str">
        <f t="shared" si="23"/>
        <v>-</v>
      </c>
      <c r="AP107" s="273">
        <f t="shared" si="52"/>
        <v>0.1</v>
      </c>
      <c r="AQ107" s="271" t="str">
        <f t="shared" si="53"/>
        <v>-</v>
      </c>
      <c r="AR107" s="271" t="str">
        <f t="shared" si="54"/>
        <v>-</v>
      </c>
      <c r="AS107" s="274">
        <f t="shared" si="24"/>
        <v>0</v>
      </c>
      <c r="AT107" s="274">
        <f t="shared" si="25"/>
        <v>0</v>
      </c>
      <c r="AU107" s="274">
        <f t="shared" si="26"/>
        <v>0</v>
      </c>
      <c r="AV107" s="275">
        <f>IF($B107&lt;$F$22,SUM($T$100:$T107),"")</f>
        <v>0</v>
      </c>
      <c r="AW107" s="275" t="str">
        <f t="shared" si="55"/>
        <v>-</v>
      </c>
      <c r="AX107" s="275" t="str">
        <f t="shared" si="56"/>
        <v/>
      </c>
      <c r="AY107"/>
      <c r="AZ107" s="275" t="str">
        <f ca="1">IF(ISNUMBER(OFFSET(AV107,-$F$21,0)),SUM(OFFSET($T$100,$F$21,0):$T107),"")</f>
        <v/>
      </c>
      <c r="BA107" s="275" t="str">
        <f t="shared" ca="1" si="27"/>
        <v/>
      </c>
      <c r="BB107" s="275" t="str">
        <f t="shared" ca="1" si="57"/>
        <v/>
      </c>
      <c r="BC107" s="190"/>
      <c r="BD107" s="275" t="str">
        <f ca="1">IFERROR(IF(OR(ISNUMBER(I),ISNUMBER($F$14)),IF(AND($B107&gt;=($F$16-$F$15),$B107&lt;$F$22+($F$16-$F$15)),SUM(OFFSET($T$100,($F$16-$F$15),0):$T107),""),""),"")</f>
        <v/>
      </c>
      <c r="BE107" s="275" t="str">
        <f t="shared" ca="1" si="58"/>
        <v/>
      </c>
      <c r="BF107" s="275" t="str">
        <f t="shared" ca="1" si="59"/>
        <v/>
      </c>
      <c r="BG107"/>
      <c r="BH107" s="190" t="str">
        <f ca="1">IF(ISNUMBER(OFFSET(BD107,-$F$21,0)),SUM(OFFSET($T$100,($F$16-$F$15+$F$21),0):$T107),"")</f>
        <v/>
      </c>
      <c r="BI107" s="190" t="str">
        <f t="shared" ca="1" si="28"/>
        <v/>
      </c>
      <c r="BJ107" s="190" t="str">
        <f t="shared" ca="1" si="60"/>
        <v/>
      </c>
      <c r="BK107" s="190"/>
      <c r="BL107" s="275" t="str">
        <f ca="1">IFERROR(IF(OR(ISNUMBER(I),ISNUMBER($F$14)),IF(AND($B107&gt;=($F$17-$F$15),$B107&lt;$F$22+($F$17-$F$15)),SUM(OFFSET($T$100,($F$17-$F$15),0):$T107),""),""),"")</f>
        <v/>
      </c>
      <c r="BM107" s="275" t="str">
        <f t="shared" ca="1" si="29"/>
        <v/>
      </c>
      <c r="BN107" s="275" t="str">
        <f t="shared" ca="1" si="61"/>
        <v/>
      </c>
      <c r="BO107"/>
      <c r="BP107" s="275" t="str">
        <f ca="1">IF(ISNUMBER(OFFSET(BL107,-$F$21,0)),SUM(OFFSET($T$100,($F$17-$F$15+$F$21),0):$T107),"")</f>
        <v/>
      </c>
      <c r="BQ107" s="275" t="str">
        <f t="shared" ca="1" si="62"/>
        <v/>
      </c>
      <c r="BR107" s="275" t="str">
        <f t="shared" ca="1" si="63"/>
        <v/>
      </c>
      <c r="BS107" s="190"/>
      <c r="BT107"/>
      <c r="BU107" s="276" t="str">
        <f t="shared" si="64"/>
        <v>end</v>
      </c>
      <c r="BV107" s="277">
        <v>7</v>
      </c>
      <c r="BW107" s="278" t="str">
        <f>IF(AND(BU107="end",BU106="end"), "", IF(BU107&lt;&gt;"",MIN(BU106:BU107),""))</f>
        <v/>
      </c>
      <c r="BX107" s="278" t="str">
        <f t="shared" ref="BX107:BX120" si="68">IF(AND(BU107="end",BU106="end"), "", IF(BU107&lt;&gt;"",MAX(BU106:BU107),""))</f>
        <v/>
      </c>
      <c r="BY107" s="279" t="str">
        <f t="shared" si="65"/>
        <v/>
      </c>
      <c r="BZ107"/>
      <c r="CA107" s="284" t="str">
        <f t="shared" si="30"/>
        <v>-</v>
      </c>
      <c r="CB107" s="285" t="str">
        <f t="shared" si="31"/>
        <v>-</v>
      </c>
      <c r="CC107" s="285" t="str">
        <f t="shared" si="32"/>
        <v>7-8</v>
      </c>
      <c r="CD107" s="286" t="str">
        <f t="shared" si="33"/>
        <v/>
      </c>
      <c r="CE107" s="287" t="str">
        <f t="shared" si="34"/>
        <v>-</v>
      </c>
      <c r="CF107" s="285" t="str">
        <f t="shared" ca="1" si="35"/>
        <v>-</v>
      </c>
      <c r="CG107" s="285" t="str">
        <f t="shared" si="36"/>
        <v>7-8</v>
      </c>
      <c r="CH107" s="288" t="str">
        <f t="shared" ca="1" si="37"/>
        <v/>
      </c>
      <c r="CJ107" s="99"/>
      <c r="CK107" s="99"/>
      <c r="CL107" s="99"/>
      <c r="CM107" s="99"/>
      <c r="CN107" s="99"/>
      <c r="CO107" s="99"/>
    </row>
    <row r="108" spans="2:93" ht="13.5" customHeight="1" x14ac:dyDescent="0.2">
      <c r="B108" s="262">
        <v>8</v>
      </c>
      <c r="C108" s="237" t="str">
        <f t="shared" si="1"/>
        <v/>
      </c>
      <c r="D108" s="237" t="str">
        <f t="shared" si="66"/>
        <v>-</v>
      </c>
      <c r="E108" s="263" t="str">
        <f t="shared" si="38"/>
        <v/>
      </c>
      <c r="F108" s="264" t="str">
        <f t="shared" si="39"/>
        <v/>
      </c>
      <c r="G108" s="264" t="str">
        <f t="shared" si="40"/>
        <v/>
      </c>
      <c r="H108" s="240" t="str">
        <f t="shared" si="41"/>
        <v/>
      </c>
      <c r="I108" s="265" t="str">
        <f t="shared" si="2"/>
        <v/>
      </c>
      <c r="J108" s="265" t="str">
        <f t="shared" si="3"/>
        <v/>
      </c>
      <c r="K108" s="240" t="str">
        <f t="shared" si="4"/>
        <v/>
      </c>
      <c r="L108" s="265" t="str">
        <f t="shared" si="5"/>
        <v/>
      </c>
      <c r="M108" s="265" t="str">
        <f t="shared" si="6"/>
        <v/>
      </c>
      <c r="N108" s="240" t="str">
        <f t="shared" si="7"/>
        <v>-</v>
      </c>
      <c r="O108" s="265" t="str">
        <f t="shared" si="8"/>
        <v>-</v>
      </c>
      <c r="P108" s="265" t="str">
        <f t="shared" si="9"/>
        <v>-</v>
      </c>
      <c r="Q108" s="266" t="str">
        <f t="shared" si="10"/>
        <v>-</v>
      </c>
      <c r="R108" s="267" t="str">
        <f t="shared" si="11"/>
        <v>-</v>
      </c>
      <c r="S108" s="268" t="str">
        <f t="shared" si="12"/>
        <v>-</v>
      </c>
      <c r="T108" s="269" t="str">
        <f t="shared" si="13"/>
        <v/>
      </c>
      <c r="U108" s="221">
        <f t="shared" si="14"/>
        <v>8</v>
      </c>
      <c r="V108" s="220" t="str">
        <f t="shared" si="42"/>
        <v>-</v>
      </c>
      <c r="W108" s="221" t="str">
        <f t="shared" si="43"/>
        <v>-</v>
      </c>
      <c r="X108" s="221" t="str">
        <f t="shared" si="15"/>
        <v>-</v>
      </c>
      <c r="Y108" s="221" t="str">
        <f t="shared" si="16"/>
        <v>-</v>
      </c>
      <c r="Z108" s="270">
        <f t="shared" si="44"/>
        <v>0.1</v>
      </c>
      <c r="AA108" s="271" t="str">
        <f t="shared" si="67"/>
        <v>-</v>
      </c>
      <c r="AB108" s="271" t="str">
        <f t="shared" si="17"/>
        <v>-</v>
      </c>
      <c r="AC108" s="224">
        <f t="shared" si="45"/>
        <v>8</v>
      </c>
      <c r="AD108" s="223" t="str">
        <f t="shared" si="18"/>
        <v>-</v>
      </c>
      <c r="AE108" s="224" t="str">
        <f t="shared" si="46"/>
        <v>-</v>
      </c>
      <c r="AF108" s="224" t="str">
        <f t="shared" si="19"/>
        <v>-</v>
      </c>
      <c r="AG108" s="224" t="str">
        <f t="shared" si="20"/>
        <v>-</v>
      </c>
      <c r="AH108" s="272">
        <f t="shared" si="47"/>
        <v>0.1</v>
      </c>
      <c r="AI108" s="271" t="str">
        <f t="shared" si="21"/>
        <v>-</v>
      </c>
      <c r="AJ108" s="271" t="str">
        <f t="shared" si="48"/>
        <v>-</v>
      </c>
      <c r="AK108" s="227">
        <f t="shared" si="49"/>
        <v>8</v>
      </c>
      <c r="AL108" s="226" t="str">
        <f t="shared" si="22"/>
        <v>-</v>
      </c>
      <c r="AM108" s="227" t="str">
        <f t="shared" si="50"/>
        <v>-</v>
      </c>
      <c r="AN108" s="227" t="str">
        <f t="shared" si="51"/>
        <v>-</v>
      </c>
      <c r="AO108" s="227" t="str">
        <f t="shared" si="23"/>
        <v>-</v>
      </c>
      <c r="AP108" s="273">
        <f t="shared" si="52"/>
        <v>0.1</v>
      </c>
      <c r="AQ108" s="271" t="str">
        <f t="shared" si="53"/>
        <v>-</v>
      </c>
      <c r="AR108" s="271" t="str">
        <f t="shared" si="54"/>
        <v>-</v>
      </c>
      <c r="AS108" s="274">
        <f t="shared" si="24"/>
        <v>0</v>
      </c>
      <c r="AT108" s="274">
        <f t="shared" si="25"/>
        <v>0</v>
      </c>
      <c r="AU108" s="274">
        <f t="shared" si="26"/>
        <v>0</v>
      </c>
      <c r="AV108" s="275">
        <f>IF($B108&lt;$F$22,SUM($T$100:$T108),"")</f>
        <v>0</v>
      </c>
      <c r="AW108" s="275" t="str">
        <f t="shared" si="55"/>
        <v>-</v>
      </c>
      <c r="AX108" s="275" t="str">
        <f t="shared" si="56"/>
        <v/>
      </c>
      <c r="AY108"/>
      <c r="AZ108" s="275" t="str">
        <f ca="1">IF(ISNUMBER(OFFSET(AV108,-$F$21,0)),SUM(OFFSET($T$100,$F$21,0):$T108),"")</f>
        <v/>
      </c>
      <c r="BA108" s="275" t="str">
        <f t="shared" ca="1" si="27"/>
        <v/>
      </c>
      <c r="BB108" s="275" t="str">
        <f t="shared" ca="1" si="57"/>
        <v/>
      </c>
      <c r="BC108" s="190"/>
      <c r="BD108" s="275" t="str">
        <f ca="1">IFERROR(IF(OR(ISNUMBER(I),ISNUMBER($F$14)),IF(AND($B108&gt;=($F$16-$F$15),$B108&lt;$F$22+($F$16-$F$15)),SUM(OFFSET($T$100,($F$16-$F$15),0):$T108),""),""),"")</f>
        <v/>
      </c>
      <c r="BE108" s="275" t="str">
        <f t="shared" ca="1" si="58"/>
        <v/>
      </c>
      <c r="BF108" s="275" t="str">
        <f t="shared" ca="1" si="59"/>
        <v/>
      </c>
      <c r="BG108"/>
      <c r="BH108" s="190" t="str">
        <f ca="1">IF(ISNUMBER(OFFSET(BD108,-$F$21,0)),SUM(OFFSET($T$100,($F$16-$F$15+$F$21),0):$T108),"")</f>
        <v/>
      </c>
      <c r="BI108" s="190" t="str">
        <f t="shared" ca="1" si="28"/>
        <v/>
      </c>
      <c r="BJ108" s="190" t="str">
        <f t="shared" ca="1" si="60"/>
        <v/>
      </c>
      <c r="BK108" s="190"/>
      <c r="BL108" s="275" t="str">
        <f ca="1">IFERROR(IF(OR(ISNUMBER(I),ISNUMBER($F$14)),IF(AND($B108&gt;=($F$17-$F$15),$B108&lt;$F$22+($F$17-$F$15)),SUM(OFFSET($T$100,($F$17-$F$15),0):$T108),""),""),"")</f>
        <v/>
      </c>
      <c r="BM108" s="275" t="str">
        <f t="shared" ca="1" si="29"/>
        <v/>
      </c>
      <c r="BN108" s="275" t="str">
        <f t="shared" ca="1" si="61"/>
        <v/>
      </c>
      <c r="BO108"/>
      <c r="BP108" s="275" t="str">
        <f ca="1">IF(ISNUMBER(OFFSET(BL108,-$F$21,0)),SUM(OFFSET($T$100,($F$17-$F$15+$F$21),0):$T108),"")</f>
        <v/>
      </c>
      <c r="BQ108" s="275" t="str">
        <f t="shared" ca="1" si="62"/>
        <v/>
      </c>
      <c r="BR108" s="275" t="str">
        <f t="shared" ca="1" si="63"/>
        <v/>
      </c>
      <c r="BS108" s="190"/>
      <c r="BT108"/>
      <c r="BU108" s="276" t="str">
        <f t="shared" si="64"/>
        <v>end</v>
      </c>
      <c r="BV108" s="277">
        <v>8</v>
      </c>
      <c r="BW108" s="278" t="str">
        <f t="shared" ref="BW108:BW120" si="69">IF(AND(BU108="end",BU107="end"), "", IF(BU108&lt;&gt;"",MIN(BU107:BU108),""))</f>
        <v/>
      </c>
      <c r="BX108" s="278" t="str">
        <f t="shared" si="68"/>
        <v/>
      </c>
      <c r="BY108" s="279" t="str">
        <f t="shared" si="65"/>
        <v/>
      </c>
      <c r="BZ108"/>
      <c r="CA108" s="284" t="str">
        <f t="shared" si="30"/>
        <v>-</v>
      </c>
      <c r="CB108" s="285" t="str">
        <f t="shared" si="31"/>
        <v>-</v>
      </c>
      <c r="CC108" s="285" t="str">
        <f t="shared" si="32"/>
        <v>8-9</v>
      </c>
      <c r="CD108" s="286" t="str">
        <f t="shared" si="33"/>
        <v/>
      </c>
      <c r="CE108" s="287" t="str">
        <f t="shared" si="34"/>
        <v>-</v>
      </c>
      <c r="CF108" s="285" t="str">
        <f t="shared" ca="1" si="35"/>
        <v>-</v>
      </c>
      <c r="CG108" s="285" t="str">
        <f t="shared" si="36"/>
        <v>8-9</v>
      </c>
      <c r="CH108" s="288" t="str">
        <f t="shared" ca="1" si="37"/>
        <v/>
      </c>
      <c r="CJ108" s="99"/>
      <c r="CK108" s="99"/>
      <c r="CL108" s="99"/>
      <c r="CM108" s="99"/>
      <c r="CN108" s="99"/>
      <c r="CO108" s="99"/>
    </row>
    <row r="109" spans="2:93" ht="13.5" customHeight="1" x14ac:dyDescent="0.2">
      <c r="B109" s="262">
        <v>9</v>
      </c>
      <c r="C109" s="237" t="str">
        <f t="shared" si="1"/>
        <v/>
      </c>
      <c r="D109" s="237" t="str">
        <f t="shared" si="66"/>
        <v>-</v>
      </c>
      <c r="E109" s="263" t="str">
        <f t="shared" si="38"/>
        <v/>
      </c>
      <c r="F109" s="264" t="str">
        <f t="shared" si="39"/>
        <v/>
      </c>
      <c r="G109" s="264" t="str">
        <f t="shared" si="40"/>
        <v/>
      </c>
      <c r="H109" s="240" t="str">
        <f t="shared" si="41"/>
        <v/>
      </c>
      <c r="I109" s="265" t="str">
        <f t="shared" si="2"/>
        <v/>
      </c>
      <c r="J109" s="265" t="str">
        <f t="shared" si="3"/>
        <v/>
      </c>
      <c r="K109" s="240" t="str">
        <f t="shared" si="4"/>
        <v/>
      </c>
      <c r="L109" s="265" t="str">
        <f t="shared" si="5"/>
        <v/>
      </c>
      <c r="M109" s="265" t="str">
        <f t="shared" si="6"/>
        <v/>
      </c>
      <c r="N109" s="240" t="str">
        <f t="shared" si="7"/>
        <v>-</v>
      </c>
      <c r="O109" s="265" t="str">
        <f t="shared" si="8"/>
        <v>-</v>
      </c>
      <c r="P109" s="265" t="str">
        <f t="shared" si="9"/>
        <v>-</v>
      </c>
      <c r="Q109" s="266" t="str">
        <f t="shared" si="10"/>
        <v>-</v>
      </c>
      <c r="R109" s="267" t="str">
        <f t="shared" si="11"/>
        <v>-</v>
      </c>
      <c r="S109" s="268" t="str">
        <f t="shared" si="12"/>
        <v>-</v>
      </c>
      <c r="T109" s="269" t="str">
        <f t="shared" si="13"/>
        <v/>
      </c>
      <c r="U109" s="221">
        <f t="shared" si="14"/>
        <v>9</v>
      </c>
      <c r="V109" s="220" t="str">
        <f t="shared" si="42"/>
        <v>-</v>
      </c>
      <c r="W109" s="221" t="str">
        <f t="shared" si="43"/>
        <v>-</v>
      </c>
      <c r="X109" s="221" t="str">
        <f t="shared" si="15"/>
        <v>-</v>
      </c>
      <c r="Y109" s="221" t="str">
        <f t="shared" si="16"/>
        <v>-</v>
      </c>
      <c r="Z109" s="270">
        <f t="shared" si="44"/>
        <v>0.1</v>
      </c>
      <c r="AA109" s="271" t="str">
        <f t="shared" si="67"/>
        <v>-</v>
      </c>
      <c r="AB109" s="271" t="str">
        <f t="shared" si="17"/>
        <v>-</v>
      </c>
      <c r="AC109" s="224">
        <f t="shared" si="45"/>
        <v>9</v>
      </c>
      <c r="AD109" s="223" t="str">
        <f t="shared" si="18"/>
        <v>-</v>
      </c>
      <c r="AE109" s="224" t="str">
        <f t="shared" si="46"/>
        <v>-</v>
      </c>
      <c r="AF109" s="224" t="str">
        <f t="shared" si="19"/>
        <v>-</v>
      </c>
      <c r="AG109" s="224" t="str">
        <f t="shared" si="20"/>
        <v>-</v>
      </c>
      <c r="AH109" s="272">
        <f t="shared" si="47"/>
        <v>0.1</v>
      </c>
      <c r="AI109" s="271" t="str">
        <f t="shared" si="21"/>
        <v>-</v>
      </c>
      <c r="AJ109" s="271" t="str">
        <f t="shared" si="48"/>
        <v>-</v>
      </c>
      <c r="AK109" s="227">
        <f t="shared" si="49"/>
        <v>9</v>
      </c>
      <c r="AL109" s="226" t="str">
        <f t="shared" si="22"/>
        <v>-</v>
      </c>
      <c r="AM109" s="227" t="str">
        <f t="shared" si="50"/>
        <v>-</v>
      </c>
      <c r="AN109" s="227" t="str">
        <f t="shared" si="51"/>
        <v>-</v>
      </c>
      <c r="AO109" s="227" t="str">
        <f t="shared" si="23"/>
        <v>-</v>
      </c>
      <c r="AP109" s="273">
        <f t="shared" si="52"/>
        <v>0.1</v>
      </c>
      <c r="AQ109" s="271" t="str">
        <f t="shared" si="53"/>
        <v>-</v>
      </c>
      <c r="AR109" s="271" t="str">
        <f t="shared" si="54"/>
        <v>-</v>
      </c>
      <c r="AS109" s="274">
        <f t="shared" si="24"/>
        <v>0</v>
      </c>
      <c r="AT109" s="274">
        <f t="shared" si="25"/>
        <v>0</v>
      </c>
      <c r="AU109" s="274">
        <f t="shared" si="26"/>
        <v>0</v>
      </c>
      <c r="AV109" s="275">
        <f>IF($B109&lt;$F$22,SUM($T$100:$T109),"")</f>
        <v>0</v>
      </c>
      <c r="AW109" s="275" t="str">
        <f t="shared" si="55"/>
        <v>-</v>
      </c>
      <c r="AX109" s="275" t="str">
        <f t="shared" si="56"/>
        <v/>
      </c>
      <c r="AY109"/>
      <c r="AZ109" s="275" t="str">
        <f ca="1">IF(ISNUMBER(OFFSET(AV109,-$F$21,0)),SUM(OFFSET($T$100,$F$21,0):$T109),"")</f>
        <v/>
      </c>
      <c r="BA109" s="275" t="str">
        <f t="shared" ca="1" si="27"/>
        <v/>
      </c>
      <c r="BB109" s="275" t="str">
        <f t="shared" ca="1" si="57"/>
        <v/>
      </c>
      <c r="BC109" s="190"/>
      <c r="BD109" s="275" t="str">
        <f ca="1">IFERROR(IF(OR(ISNUMBER(I),ISNUMBER($F$14)),IF(AND($B109&gt;=($F$16-$F$15),$B109&lt;$F$22+($F$16-$F$15)),SUM(OFFSET($T$100,($F$16-$F$15),0):$T109),""),""),"")</f>
        <v/>
      </c>
      <c r="BE109" s="275" t="str">
        <f t="shared" ca="1" si="58"/>
        <v/>
      </c>
      <c r="BF109" s="275" t="str">
        <f t="shared" ca="1" si="59"/>
        <v/>
      </c>
      <c r="BG109"/>
      <c r="BH109" s="190" t="str">
        <f ca="1">IF(ISNUMBER(OFFSET(BD109,-$F$21,0)),SUM(OFFSET($T$100,($F$16-$F$15+$F$21),0):$T109),"")</f>
        <v/>
      </c>
      <c r="BI109" s="190" t="str">
        <f t="shared" ca="1" si="28"/>
        <v/>
      </c>
      <c r="BJ109" s="190" t="str">
        <f t="shared" ca="1" si="60"/>
        <v/>
      </c>
      <c r="BK109" s="190"/>
      <c r="BL109" s="275" t="str">
        <f ca="1">IFERROR(IF(OR(ISNUMBER(I),ISNUMBER($F$14)),IF(AND($B109&gt;=($F$17-$F$15),$B109&lt;$F$22+($F$17-$F$15)),SUM(OFFSET($T$100,($F$17-$F$15),0):$T109),""),""),"")</f>
        <v/>
      </c>
      <c r="BM109" s="275" t="str">
        <f t="shared" ca="1" si="29"/>
        <v/>
      </c>
      <c r="BN109" s="275" t="str">
        <f t="shared" ca="1" si="61"/>
        <v/>
      </c>
      <c r="BO109"/>
      <c r="BP109" s="275" t="str">
        <f ca="1">IF(ISNUMBER(OFFSET(BL109,-$F$21,0)),SUM(OFFSET($T$100,($F$17-$F$15+$F$21),0):$T109),"")</f>
        <v/>
      </c>
      <c r="BQ109" s="275" t="str">
        <f t="shared" ca="1" si="62"/>
        <v/>
      </c>
      <c r="BR109" s="275" t="str">
        <f t="shared" ca="1" si="63"/>
        <v/>
      </c>
      <c r="BS109" s="190"/>
      <c r="BT109"/>
      <c r="BU109" s="276" t="str">
        <f t="shared" si="64"/>
        <v>end</v>
      </c>
      <c r="BV109" s="277">
        <v>9</v>
      </c>
      <c r="BW109" s="278" t="str">
        <f t="shared" si="69"/>
        <v/>
      </c>
      <c r="BX109" s="278" t="str">
        <f t="shared" si="68"/>
        <v/>
      </c>
      <c r="BY109" s="279" t="str">
        <f t="shared" si="65"/>
        <v/>
      </c>
      <c r="BZ109"/>
      <c r="CA109" s="284" t="str">
        <f t="shared" si="30"/>
        <v>-</v>
      </c>
      <c r="CB109" s="285" t="str">
        <f t="shared" si="31"/>
        <v>-</v>
      </c>
      <c r="CC109" s="285" t="str">
        <f t="shared" si="32"/>
        <v>9-10</v>
      </c>
      <c r="CD109" s="286" t="str">
        <f t="shared" si="33"/>
        <v/>
      </c>
      <c r="CE109" s="287" t="str">
        <f t="shared" si="34"/>
        <v>-</v>
      </c>
      <c r="CF109" s="285" t="str">
        <f t="shared" ca="1" si="35"/>
        <v>-</v>
      </c>
      <c r="CG109" s="285" t="str">
        <f t="shared" si="36"/>
        <v>9-10</v>
      </c>
      <c r="CH109" s="288" t="str">
        <f t="shared" ca="1" si="37"/>
        <v/>
      </c>
      <c r="CJ109" s="99"/>
      <c r="CK109" s="99"/>
      <c r="CL109" s="99"/>
      <c r="CM109" s="99"/>
      <c r="CN109" s="99"/>
      <c r="CO109" s="99"/>
    </row>
    <row r="110" spans="2:93" ht="13.5" customHeight="1" x14ac:dyDescent="0.2">
      <c r="B110" s="262">
        <v>10</v>
      </c>
      <c r="C110" s="237" t="str">
        <f t="shared" si="1"/>
        <v/>
      </c>
      <c r="D110" s="237" t="str">
        <f t="shared" si="66"/>
        <v>-</v>
      </c>
      <c r="E110" s="263" t="str">
        <f t="shared" si="38"/>
        <v/>
      </c>
      <c r="F110" s="264" t="str">
        <f t="shared" si="39"/>
        <v/>
      </c>
      <c r="G110" s="264" t="str">
        <f t="shared" si="40"/>
        <v/>
      </c>
      <c r="H110" s="240" t="str">
        <f t="shared" si="41"/>
        <v/>
      </c>
      <c r="I110" s="265" t="str">
        <f t="shared" si="2"/>
        <v/>
      </c>
      <c r="J110" s="265" t="str">
        <f t="shared" si="3"/>
        <v/>
      </c>
      <c r="K110" s="240" t="str">
        <f t="shared" si="4"/>
        <v/>
      </c>
      <c r="L110" s="265" t="str">
        <f t="shared" si="5"/>
        <v/>
      </c>
      <c r="M110" s="265" t="str">
        <f t="shared" si="6"/>
        <v/>
      </c>
      <c r="N110" s="240" t="str">
        <f t="shared" si="7"/>
        <v>-</v>
      </c>
      <c r="O110" s="265" t="str">
        <f t="shared" si="8"/>
        <v>-</v>
      </c>
      <c r="P110" s="265" t="str">
        <f t="shared" si="9"/>
        <v>-</v>
      </c>
      <c r="Q110" s="266" t="str">
        <f t="shared" si="10"/>
        <v>-</v>
      </c>
      <c r="R110" s="267" t="str">
        <f t="shared" si="11"/>
        <v>-</v>
      </c>
      <c r="S110" s="268" t="str">
        <f t="shared" si="12"/>
        <v>-</v>
      </c>
      <c r="T110" s="269" t="str">
        <f t="shared" si="13"/>
        <v/>
      </c>
      <c r="U110" s="221">
        <f t="shared" si="14"/>
        <v>10</v>
      </c>
      <c r="V110" s="220" t="str">
        <f t="shared" si="42"/>
        <v>-</v>
      </c>
      <c r="W110" s="221" t="str">
        <f t="shared" si="43"/>
        <v>-</v>
      </c>
      <c r="X110" s="221" t="str">
        <f t="shared" si="15"/>
        <v>-</v>
      </c>
      <c r="Y110" s="221" t="str">
        <f t="shared" si="16"/>
        <v>-</v>
      </c>
      <c r="Z110" s="270">
        <f t="shared" si="44"/>
        <v>0.1</v>
      </c>
      <c r="AA110" s="271" t="str">
        <f t="shared" si="67"/>
        <v>-</v>
      </c>
      <c r="AB110" s="271" t="str">
        <f t="shared" si="17"/>
        <v>-</v>
      </c>
      <c r="AC110" s="224">
        <f t="shared" si="45"/>
        <v>10</v>
      </c>
      <c r="AD110" s="223" t="str">
        <f t="shared" si="18"/>
        <v>-</v>
      </c>
      <c r="AE110" s="224" t="str">
        <f t="shared" si="46"/>
        <v>-</v>
      </c>
      <c r="AF110" s="224" t="str">
        <f t="shared" si="19"/>
        <v>-</v>
      </c>
      <c r="AG110" s="224" t="str">
        <f t="shared" si="20"/>
        <v>-</v>
      </c>
      <c r="AH110" s="272">
        <f t="shared" si="47"/>
        <v>0.1</v>
      </c>
      <c r="AI110" s="271" t="str">
        <f t="shared" si="21"/>
        <v>-</v>
      </c>
      <c r="AJ110" s="271" t="str">
        <f t="shared" si="48"/>
        <v>-</v>
      </c>
      <c r="AK110" s="227">
        <f t="shared" si="49"/>
        <v>10</v>
      </c>
      <c r="AL110" s="226" t="str">
        <f t="shared" si="22"/>
        <v>-</v>
      </c>
      <c r="AM110" s="227" t="str">
        <f t="shared" si="50"/>
        <v>-</v>
      </c>
      <c r="AN110" s="227" t="str">
        <f t="shared" si="51"/>
        <v>-</v>
      </c>
      <c r="AO110" s="227" t="str">
        <f t="shared" si="23"/>
        <v>-</v>
      </c>
      <c r="AP110" s="273">
        <f t="shared" si="52"/>
        <v>0.1</v>
      </c>
      <c r="AQ110" s="271" t="str">
        <f t="shared" si="53"/>
        <v>-</v>
      </c>
      <c r="AR110" s="271" t="str">
        <f t="shared" si="54"/>
        <v>-</v>
      </c>
      <c r="AS110" s="274">
        <f t="shared" si="24"/>
        <v>0</v>
      </c>
      <c r="AT110" s="274">
        <f t="shared" si="25"/>
        <v>0</v>
      </c>
      <c r="AU110" s="274">
        <f t="shared" si="26"/>
        <v>0</v>
      </c>
      <c r="AV110" s="275">
        <f>IF($B110&lt;$F$22,SUM($T$100:$T110),"")</f>
        <v>0</v>
      </c>
      <c r="AW110" s="275" t="str">
        <f t="shared" si="55"/>
        <v>-</v>
      </c>
      <c r="AX110" s="275" t="str">
        <f t="shared" si="56"/>
        <v/>
      </c>
      <c r="AY110"/>
      <c r="AZ110" s="275" t="str">
        <f ca="1">IF(ISNUMBER(OFFSET(AV110,-$F$21,0)),SUM(OFFSET($T$100,$F$21,0):$T110),"")</f>
        <v/>
      </c>
      <c r="BA110" s="275" t="str">
        <f t="shared" ca="1" si="27"/>
        <v/>
      </c>
      <c r="BB110" s="275" t="str">
        <f t="shared" ca="1" si="57"/>
        <v/>
      </c>
      <c r="BC110" s="190"/>
      <c r="BD110" s="275" t="str">
        <f ca="1">IFERROR(IF(OR(ISNUMBER(I),ISNUMBER($F$14)),IF(AND($B110&gt;=($F$16-$F$15),$B110&lt;$F$22+($F$16-$F$15)),SUM(OFFSET($T$100,($F$16-$F$15),0):$T110),""),""),"")</f>
        <v/>
      </c>
      <c r="BE110" s="275" t="str">
        <f t="shared" ca="1" si="58"/>
        <v/>
      </c>
      <c r="BF110" s="275" t="str">
        <f t="shared" ca="1" si="59"/>
        <v/>
      </c>
      <c r="BG110"/>
      <c r="BH110" s="190" t="str">
        <f ca="1">IF(ISNUMBER(OFFSET(BD110,-$F$21,0)),SUM(OFFSET($T$100,($F$16-$F$15+$F$21),0):$T110),"")</f>
        <v/>
      </c>
      <c r="BI110" s="190" t="str">
        <f t="shared" ca="1" si="28"/>
        <v/>
      </c>
      <c r="BJ110" s="190" t="str">
        <f t="shared" ca="1" si="60"/>
        <v/>
      </c>
      <c r="BK110" s="190"/>
      <c r="BL110" s="275" t="str">
        <f ca="1">IFERROR(IF(OR(ISNUMBER(I),ISNUMBER($F$14)),IF(AND($B110&gt;=($F$17-$F$15),$B110&lt;$F$22+($F$17-$F$15)),SUM(OFFSET($T$100,($F$17-$F$15),0):$T110),""),""),"")</f>
        <v/>
      </c>
      <c r="BM110" s="275" t="str">
        <f t="shared" ca="1" si="29"/>
        <v/>
      </c>
      <c r="BN110" s="275" t="str">
        <f t="shared" ca="1" si="61"/>
        <v/>
      </c>
      <c r="BO110"/>
      <c r="BP110" s="275" t="str">
        <f ca="1">IF(ISNUMBER(OFFSET(BL110,-$F$21,0)),SUM(OFFSET($T$100,($F$17-$F$15+$F$21),0):$T110),"")</f>
        <v/>
      </c>
      <c r="BQ110" s="275" t="str">
        <f t="shared" ca="1" si="62"/>
        <v/>
      </c>
      <c r="BR110" s="275" t="str">
        <f t="shared" ca="1" si="63"/>
        <v/>
      </c>
      <c r="BS110" s="190"/>
      <c r="BT110"/>
      <c r="BU110" s="276" t="str">
        <f t="shared" si="64"/>
        <v>end</v>
      </c>
      <c r="BV110" s="277">
        <v>10</v>
      </c>
      <c r="BW110" s="278" t="str">
        <f t="shared" si="69"/>
        <v/>
      </c>
      <c r="BX110" s="278" t="str">
        <f t="shared" si="68"/>
        <v/>
      </c>
      <c r="BY110" s="279" t="str">
        <f t="shared" si="65"/>
        <v/>
      </c>
      <c r="BZ110"/>
      <c r="CA110" s="284" t="str">
        <f t="shared" si="30"/>
        <v>-</v>
      </c>
      <c r="CB110" s="285" t="str">
        <f t="shared" si="31"/>
        <v>-</v>
      </c>
      <c r="CC110" s="285" t="str">
        <f t="shared" si="32"/>
        <v>10-11</v>
      </c>
      <c r="CD110" s="286" t="str">
        <f t="shared" si="33"/>
        <v/>
      </c>
      <c r="CE110" s="287" t="str">
        <f t="shared" si="34"/>
        <v>-</v>
      </c>
      <c r="CF110" s="285" t="str">
        <f t="shared" ca="1" si="35"/>
        <v>-</v>
      </c>
      <c r="CG110" s="285" t="str">
        <f t="shared" si="36"/>
        <v>10-11</v>
      </c>
      <c r="CH110" s="288" t="str">
        <f t="shared" ca="1" si="37"/>
        <v/>
      </c>
      <c r="CJ110" s="99"/>
      <c r="CK110" s="99"/>
      <c r="CL110" s="99"/>
      <c r="CM110" s="99"/>
      <c r="CN110" s="99"/>
      <c r="CO110" s="99"/>
    </row>
    <row r="111" spans="2:93" ht="13.5" customHeight="1" x14ac:dyDescent="0.2">
      <c r="B111" s="262">
        <v>11</v>
      </c>
      <c r="C111" s="237" t="str">
        <f t="shared" si="1"/>
        <v/>
      </c>
      <c r="D111" s="237" t="str">
        <f t="shared" si="66"/>
        <v>-</v>
      </c>
      <c r="E111" s="263" t="str">
        <f t="shared" si="38"/>
        <v/>
      </c>
      <c r="F111" s="264" t="str">
        <f t="shared" si="39"/>
        <v/>
      </c>
      <c r="G111" s="264" t="str">
        <f t="shared" si="40"/>
        <v/>
      </c>
      <c r="H111" s="240" t="str">
        <f t="shared" si="41"/>
        <v/>
      </c>
      <c r="I111" s="265" t="str">
        <f t="shared" si="2"/>
        <v/>
      </c>
      <c r="J111" s="265" t="str">
        <f t="shared" si="3"/>
        <v/>
      </c>
      <c r="K111" s="240" t="str">
        <f t="shared" si="4"/>
        <v/>
      </c>
      <c r="L111" s="265" t="str">
        <f t="shared" si="5"/>
        <v/>
      </c>
      <c r="M111" s="265" t="str">
        <f t="shared" si="6"/>
        <v/>
      </c>
      <c r="N111" s="240" t="str">
        <f t="shared" si="7"/>
        <v>-</v>
      </c>
      <c r="O111" s="265" t="str">
        <f t="shared" si="8"/>
        <v>-</v>
      </c>
      <c r="P111" s="265" t="str">
        <f t="shared" si="9"/>
        <v>-</v>
      </c>
      <c r="Q111" s="266" t="str">
        <f t="shared" si="10"/>
        <v>-</v>
      </c>
      <c r="R111" s="267" t="str">
        <f t="shared" si="11"/>
        <v>-</v>
      </c>
      <c r="S111" s="268" t="str">
        <f t="shared" si="12"/>
        <v>-</v>
      </c>
      <c r="T111" s="269" t="str">
        <f t="shared" si="13"/>
        <v/>
      </c>
      <c r="U111" s="221">
        <f t="shared" si="14"/>
        <v>11</v>
      </c>
      <c r="V111" s="220" t="str">
        <f t="shared" si="42"/>
        <v>-</v>
      </c>
      <c r="W111" s="221" t="str">
        <f t="shared" si="43"/>
        <v>-</v>
      </c>
      <c r="X111" s="221" t="str">
        <f t="shared" si="15"/>
        <v>-</v>
      </c>
      <c r="Y111" s="221" t="str">
        <f t="shared" si="16"/>
        <v>-</v>
      </c>
      <c r="Z111" s="270">
        <f t="shared" si="44"/>
        <v>0.1</v>
      </c>
      <c r="AA111" s="271" t="str">
        <f t="shared" si="67"/>
        <v>-</v>
      </c>
      <c r="AB111" s="271" t="str">
        <f t="shared" si="17"/>
        <v>-</v>
      </c>
      <c r="AC111" s="224">
        <f t="shared" si="45"/>
        <v>11</v>
      </c>
      <c r="AD111" s="223" t="str">
        <f t="shared" si="18"/>
        <v>-</v>
      </c>
      <c r="AE111" s="224" t="str">
        <f t="shared" si="46"/>
        <v>-</v>
      </c>
      <c r="AF111" s="224" t="str">
        <f t="shared" si="19"/>
        <v>-</v>
      </c>
      <c r="AG111" s="224" t="str">
        <f t="shared" si="20"/>
        <v>-</v>
      </c>
      <c r="AH111" s="272">
        <f t="shared" si="47"/>
        <v>0.1</v>
      </c>
      <c r="AI111" s="271" t="str">
        <f t="shared" si="21"/>
        <v>-</v>
      </c>
      <c r="AJ111" s="271" t="str">
        <f t="shared" si="48"/>
        <v>-</v>
      </c>
      <c r="AK111" s="227">
        <f t="shared" si="49"/>
        <v>11</v>
      </c>
      <c r="AL111" s="226" t="str">
        <f t="shared" si="22"/>
        <v>-</v>
      </c>
      <c r="AM111" s="227" t="str">
        <f t="shared" si="50"/>
        <v>-</v>
      </c>
      <c r="AN111" s="227" t="str">
        <f t="shared" si="51"/>
        <v>-</v>
      </c>
      <c r="AO111" s="227" t="str">
        <f t="shared" si="23"/>
        <v>-</v>
      </c>
      <c r="AP111" s="273">
        <f t="shared" si="52"/>
        <v>0.1</v>
      </c>
      <c r="AQ111" s="271" t="str">
        <f t="shared" si="53"/>
        <v>-</v>
      </c>
      <c r="AR111" s="271" t="str">
        <f t="shared" si="54"/>
        <v>-</v>
      </c>
      <c r="AS111" s="274">
        <f t="shared" si="24"/>
        <v>0</v>
      </c>
      <c r="AT111" s="274">
        <f t="shared" si="25"/>
        <v>0</v>
      </c>
      <c r="AU111" s="274">
        <f t="shared" si="26"/>
        <v>0</v>
      </c>
      <c r="AV111" s="275">
        <f>IF($B111&lt;$F$22,SUM($T$100:$T111),"")</f>
        <v>0</v>
      </c>
      <c r="AW111" s="275" t="str">
        <f t="shared" si="55"/>
        <v>-</v>
      </c>
      <c r="AX111" s="275" t="str">
        <f t="shared" si="56"/>
        <v/>
      </c>
      <c r="AY111"/>
      <c r="AZ111" s="275" t="str">
        <f ca="1">IF(ISNUMBER(OFFSET(AV111,-$F$21,0)),SUM(OFFSET($T$100,$F$21,0):$T111),"")</f>
        <v/>
      </c>
      <c r="BA111" s="275" t="str">
        <f t="shared" ca="1" si="27"/>
        <v/>
      </c>
      <c r="BB111" s="275" t="str">
        <f t="shared" ca="1" si="57"/>
        <v/>
      </c>
      <c r="BC111" s="190"/>
      <c r="BD111" s="275" t="str">
        <f ca="1">IFERROR(IF(OR(ISNUMBER(I),ISNUMBER($F$14)),IF(AND($B111&gt;=($F$16-$F$15),$B111&lt;$F$22+($F$16-$F$15)),SUM(OFFSET($T$100,($F$16-$F$15),0):$T111),""),""),"")</f>
        <v/>
      </c>
      <c r="BE111" s="275" t="str">
        <f t="shared" ca="1" si="58"/>
        <v/>
      </c>
      <c r="BF111" s="275" t="str">
        <f t="shared" ca="1" si="59"/>
        <v/>
      </c>
      <c r="BG111"/>
      <c r="BH111" s="190" t="str">
        <f ca="1">IF(ISNUMBER(OFFSET(BD111,-$F$21,0)),SUM(OFFSET($T$100,($F$16-$F$15+$F$21),0):$T111),"")</f>
        <v/>
      </c>
      <c r="BI111" s="190" t="str">
        <f t="shared" ca="1" si="28"/>
        <v/>
      </c>
      <c r="BJ111" s="190" t="str">
        <f t="shared" ca="1" si="60"/>
        <v/>
      </c>
      <c r="BK111" s="190"/>
      <c r="BL111" s="275" t="str">
        <f ca="1">IFERROR(IF(OR(ISNUMBER(I),ISNUMBER($F$14)),IF(AND($B111&gt;=($F$17-$F$15),$B111&lt;$F$22+($F$17-$F$15)),SUM(OFFSET($T$100,($F$17-$F$15),0):$T111),""),""),"")</f>
        <v/>
      </c>
      <c r="BM111" s="275" t="str">
        <f t="shared" ca="1" si="29"/>
        <v/>
      </c>
      <c r="BN111" s="275" t="str">
        <f t="shared" ca="1" si="61"/>
        <v/>
      </c>
      <c r="BO111"/>
      <c r="BP111" s="275" t="str">
        <f ca="1">IF(ISNUMBER(OFFSET(BL111,-$F$21,0)),SUM(OFFSET($T$100,($F$17-$F$15+$F$21),0):$T111),"")</f>
        <v/>
      </c>
      <c r="BQ111" s="275" t="str">
        <f t="shared" ca="1" si="62"/>
        <v/>
      </c>
      <c r="BR111" s="275" t="str">
        <f t="shared" ca="1" si="63"/>
        <v/>
      </c>
      <c r="BS111" s="190"/>
      <c r="BT111"/>
      <c r="BU111" s="276" t="str">
        <f t="shared" si="64"/>
        <v>end</v>
      </c>
      <c r="BV111" s="277">
        <v>11</v>
      </c>
      <c r="BW111" s="278" t="str">
        <f t="shared" si="69"/>
        <v/>
      </c>
      <c r="BX111" s="278" t="str">
        <f t="shared" si="68"/>
        <v/>
      </c>
      <c r="BY111" s="279" t="str">
        <f t="shared" si="65"/>
        <v/>
      </c>
      <c r="BZ111"/>
      <c r="CA111" s="284" t="str">
        <f t="shared" si="30"/>
        <v>-</v>
      </c>
      <c r="CB111" s="285" t="str">
        <f t="shared" si="31"/>
        <v>-</v>
      </c>
      <c r="CC111" s="285" t="str">
        <f t="shared" si="32"/>
        <v>11-12</v>
      </c>
      <c r="CD111" s="286" t="str">
        <f t="shared" si="33"/>
        <v/>
      </c>
      <c r="CE111" s="287" t="str">
        <f t="shared" si="34"/>
        <v>-</v>
      </c>
      <c r="CF111" s="285" t="str">
        <f t="shared" ca="1" si="35"/>
        <v>-</v>
      </c>
      <c r="CG111" s="285" t="str">
        <f t="shared" si="36"/>
        <v>11-12</v>
      </c>
      <c r="CH111" s="288" t="str">
        <f t="shared" ca="1" si="37"/>
        <v/>
      </c>
      <c r="CJ111" s="99"/>
      <c r="CK111" s="99"/>
      <c r="CL111" s="99"/>
      <c r="CM111" s="99"/>
      <c r="CN111" s="99"/>
      <c r="CO111" s="99"/>
    </row>
    <row r="112" spans="2:93" ht="13.5" customHeight="1" x14ac:dyDescent="0.2">
      <c r="B112" s="262">
        <v>12</v>
      </c>
      <c r="C112" s="237" t="str">
        <f t="shared" si="1"/>
        <v/>
      </c>
      <c r="D112" s="237" t="str">
        <f t="shared" si="66"/>
        <v>-</v>
      </c>
      <c r="E112" s="263" t="str">
        <f t="shared" si="38"/>
        <v/>
      </c>
      <c r="F112" s="264" t="str">
        <f t="shared" si="39"/>
        <v/>
      </c>
      <c r="G112" s="264" t="str">
        <f t="shared" si="40"/>
        <v/>
      </c>
      <c r="H112" s="240" t="str">
        <f t="shared" si="41"/>
        <v/>
      </c>
      <c r="I112" s="265" t="str">
        <f t="shared" si="2"/>
        <v/>
      </c>
      <c r="J112" s="265" t="str">
        <f t="shared" si="3"/>
        <v/>
      </c>
      <c r="K112" s="240" t="str">
        <f t="shared" si="4"/>
        <v/>
      </c>
      <c r="L112" s="265" t="str">
        <f t="shared" si="5"/>
        <v/>
      </c>
      <c r="M112" s="265" t="str">
        <f t="shared" si="6"/>
        <v/>
      </c>
      <c r="N112" s="240" t="str">
        <f t="shared" si="7"/>
        <v>-</v>
      </c>
      <c r="O112" s="265" t="str">
        <f t="shared" si="8"/>
        <v>-</v>
      </c>
      <c r="P112" s="265" t="str">
        <f t="shared" si="9"/>
        <v>-</v>
      </c>
      <c r="Q112" s="266" t="str">
        <f t="shared" si="10"/>
        <v>-</v>
      </c>
      <c r="R112" s="267" t="str">
        <f t="shared" si="11"/>
        <v>-</v>
      </c>
      <c r="S112" s="268" t="str">
        <f t="shared" si="12"/>
        <v>-</v>
      </c>
      <c r="T112" s="269" t="str">
        <f t="shared" si="13"/>
        <v/>
      </c>
      <c r="U112" s="221">
        <f t="shared" si="14"/>
        <v>12</v>
      </c>
      <c r="V112" s="220" t="str">
        <f t="shared" si="42"/>
        <v>-</v>
      </c>
      <c r="W112" s="221" t="str">
        <f t="shared" si="43"/>
        <v>-</v>
      </c>
      <c r="X112" s="221" t="str">
        <f t="shared" si="15"/>
        <v>-</v>
      </c>
      <c r="Y112" s="221" t="str">
        <f t="shared" si="16"/>
        <v>-</v>
      </c>
      <c r="Z112" s="270">
        <f t="shared" si="44"/>
        <v>0.1</v>
      </c>
      <c r="AA112" s="271" t="str">
        <f t="shared" si="67"/>
        <v>-</v>
      </c>
      <c r="AB112" s="271" t="str">
        <f t="shared" si="17"/>
        <v>-</v>
      </c>
      <c r="AC112" s="224">
        <f t="shared" si="45"/>
        <v>12</v>
      </c>
      <c r="AD112" s="223" t="str">
        <f t="shared" si="18"/>
        <v>-</v>
      </c>
      <c r="AE112" s="224" t="str">
        <f t="shared" si="46"/>
        <v>-</v>
      </c>
      <c r="AF112" s="224" t="str">
        <f t="shared" si="19"/>
        <v>-</v>
      </c>
      <c r="AG112" s="224" t="str">
        <f t="shared" si="20"/>
        <v>-</v>
      </c>
      <c r="AH112" s="272">
        <f t="shared" si="47"/>
        <v>0.1</v>
      </c>
      <c r="AI112" s="271" t="str">
        <f t="shared" si="21"/>
        <v>-</v>
      </c>
      <c r="AJ112" s="271" t="str">
        <f t="shared" si="48"/>
        <v>-</v>
      </c>
      <c r="AK112" s="227">
        <f t="shared" si="49"/>
        <v>12</v>
      </c>
      <c r="AL112" s="226" t="str">
        <f t="shared" si="22"/>
        <v>-</v>
      </c>
      <c r="AM112" s="227" t="str">
        <f t="shared" si="50"/>
        <v>-</v>
      </c>
      <c r="AN112" s="227" t="str">
        <f t="shared" si="51"/>
        <v>-</v>
      </c>
      <c r="AO112" s="227" t="str">
        <f t="shared" si="23"/>
        <v>-</v>
      </c>
      <c r="AP112" s="273">
        <f t="shared" si="52"/>
        <v>0.1</v>
      </c>
      <c r="AQ112" s="271" t="str">
        <f t="shared" si="53"/>
        <v>-</v>
      </c>
      <c r="AR112" s="271" t="str">
        <f t="shared" si="54"/>
        <v>-</v>
      </c>
      <c r="AS112" s="274">
        <f t="shared" si="24"/>
        <v>0</v>
      </c>
      <c r="AT112" s="274">
        <f t="shared" si="25"/>
        <v>0</v>
      </c>
      <c r="AU112" s="274">
        <f t="shared" si="26"/>
        <v>0</v>
      </c>
      <c r="AV112" s="275">
        <f>IF($B112&lt;$F$22,SUM($T$100:$T112),"")</f>
        <v>0</v>
      </c>
      <c r="AW112" s="275" t="str">
        <f t="shared" si="55"/>
        <v>-</v>
      </c>
      <c r="AX112" s="275" t="str">
        <f t="shared" si="56"/>
        <v/>
      </c>
      <c r="AY112"/>
      <c r="AZ112" s="275" t="str">
        <f ca="1">IF(ISNUMBER(OFFSET(AV112,-$F$21,0)),SUM(OFFSET($T$100,$F$21,0):$T112),"")</f>
        <v/>
      </c>
      <c r="BA112" s="275" t="str">
        <f t="shared" ca="1" si="27"/>
        <v/>
      </c>
      <c r="BB112" s="275" t="str">
        <f t="shared" ca="1" si="57"/>
        <v/>
      </c>
      <c r="BC112" s="190"/>
      <c r="BD112" s="275" t="str">
        <f ca="1">IFERROR(IF(OR(ISNUMBER(I),ISNUMBER($F$14)),IF(AND($B112&gt;=($F$16-$F$15),$B112&lt;$F$22+($F$16-$F$15)),SUM(OFFSET($T$100,($F$16-$F$15),0):$T112),""),""),"")</f>
        <v/>
      </c>
      <c r="BE112" s="275" t="str">
        <f t="shared" ca="1" si="58"/>
        <v/>
      </c>
      <c r="BF112" s="275" t="str">
        <f t="shared" ca="1" si="59"/>
        <v/>
      </c>
      <c r="BG112"/>
      <c r="BH112" s="190" t="str">
        <f ca="1">IF(ISNUMBER(OFFSET(BD112,-$F$21,0)),SUM(OFFSET($T$100,($F$16-$F$15+$F$21),0):$T112),"")</f>
        <v/>
      </c>
      <c r="BI112" s="190" t="str">
        <f t="shared" ca="1" si="28"/>
        <v/>
      </c>
      <c r="BJ112" s="190" t="str">
        <f t="shared" ca="1" si="60"/>
        <v/>
      </c>
      <c r="BK112" s="190"/>
      <c r="BL112" s="275" t="str">
        <f ca="1">IFERROR(IF(OR(ISNUMBER(I),ISNUMBER($F$14)),IF(AND($B112&gt;=($F$17-$F$15),$B112&lt;$F$22+($F$17-$F$15)),SUM(OFFSET($T$100,($F$17-$F$15),0):$T112),""),""),"")</f>
        <v/>
      </c>
      <c r="BM112" s="275" t="str">
        <f t="shared" ca="1" si="29"/>
        <v/>
      </c>
      <c r="BN112" s="275" t="str">
        <f t="shared" ca="1" si="61"/>
        <v/>
      </c>
      <c r="BO112"/>
      <c r="BP112" s="275" t="str">
        <f ca="1">IF(ISNUMBER(OFFSET(BL112,-$F$21,0)),SUM(OFFSET($T$100,($F$17-$F$15+$F$21),0):$T112),"")</f>
        <v/>
      </c>
      <c r="BQ112" s="275" t="str">
        <f t="shared" ca="1" si="62"/>
        <v/>
      </c>
      <c r="BR112" s="275" t="str">
        <f t="shared" ca="1" si="63"/>
        <v/>
      </c>
      <c r="BS112" s="190"/>
      <c r="BT112"/>
      <c r="BU112" s="276" t="str">
        <f t="shared" si="64"/>
        <v>end</v>
      </c>
      <c r="BV112" s="277">
        <v>12</v>
      </c>
      <c r="BW112" s="278" t="str">
        <f t="shared" si="69"/>
        <v/>
      </c>
      <c r="BX112" s="278" t="str">
        <f t="shared" si="68"/>
        <v/>
      </c>
      <c r="BY112" s="279" t="str">
        <f t="shared" si="65"/>
        <v/>
      </c>
      <c r="BZ112"/>
      <c r="CA112" s="284" t="str">
        <f t="shared" si="30"/>
        <v>-</v>
      </c>
      <c r="CB112" s="285" t="str">
        <f t="shared" si="31"/>
        <v>-</v>
      </c>
      <c r="CC112" s="285" t="str">
        <f t="shared" si="32"/>
        <v>12-13</v>
      </c>
      <c r="CD112" s="286" t="str">
        <f t="shared" si="33"/>
        <v/>
      </c>
      <c r="CE112" s="287" t="str">
        <f t="shared" si="34"/>
        <v>-</v>
      </c>
      <c r="CF112" s="285" t="str">
        <f t="shared" ca="1" si="35"/>
        <v>-</v>
      </c>
      <c r="CG112" s="285" t="str">
        <f t="shared" si="36"/>
        <v>12-13</v>
      </c>
      <c r="CH112" s="288" t="str">
        <f t="shared" ca="1" si="37"/>
        <v/>
      </c>
      <c r="CJ112" s="99"/>
      <c r="CK112" s="99"/>
      <c r="CL112" s="99"/>
      <c r="CM112" s="99"/>
      <c r="CN112" s="99"/>
      <c r="CO112" s="99"/>
    </row>
    <row r="113" spans="2:93" ht="13.5" customHeight="1" x14ac:dyDescent="0.2">
      <c r="B113" s="262">
        <v>13</v>
      </c>
      <c r="C113" s="237" t="str">
        <f t="shared" si="1"/>
        <v/>
      </c>
      <c r="D113" s="237" t="str">
        <f t="shared" si="66"/>
        <v>-</v>
      </c>
      <c r="E113" s="263" t="str">
        <f t="shared" si="38"/>
        <v/>
      </c>
      <c r="F113" s="289" t="str">
        <f t="shared" si="39"/>
        <v/>
      </c>
      <c r="G113" s="264" t="str">
        <f t="shared" si="40"/>
        <v/>
      </c>
      <c r="H113" s="240" t="str">
        <f>IF(E113&lt;&gt;"",IF($B113&lt;$F$21,"",IF(ISNUMBER(F113),IF(ISNUMBER(I113),(E113*30*50*ffp),""),(E113*30*50*ffp))),"")</f>
        <v/>
      </c>
      <c r="I113" s="265" t="str">
        <f t="shared" si="2"/>
        <v/>
      </c>
      <c r="J113" s="265" t="str">
        <f t="shared" si="3"/>
        <v/>
      </c>
      <c r="K113" s="240" t="str">
        <f t="shared" si="4"/>
        <v/>
      </c>
      <c r="L113" s="265" t="str">
        <f t="shared" si="5"/>
        <v/>
      </c>
      <c r="M113" s="265" t="str">
        <f t="shared" si="6"/>
        <v/>
      </c>
      <c r="N113" s="240" t="str">
        <f t="shared" si="7"/>
        <v>-</v>
      </c>
      <c r="O113" s="265" t="str">
        <f t="shared" si="8"/>
        <v>-</v>
      </c>
      <c r="P113" s="265" t="str">
        <f t="shared" si="9"/>
        <v>-</v>
      </c>
      <c r="Q113" s="266" t="str">
        <f t="shared" si="10"/>
        <v>-</v>
      </c>
      <c r="R113" s="267" t="str">
        <f t="shared" si="11"/>
        <v>-</v>
      </c>
      <c r="S113" s="268" t="str">
        <f t="shared" si="12"/>
        <v>-</v>
      </c>
      <c r="T113" s="269" t="str">
        <f t="shared" si="13"/>
        <v/>
      </c>
      <c r="U113" s="221">
        <f t="shared" si="14"/>
        <v>13</v>
      </c>
      <c r="V113" s="220" t="str">
        <f t="shared" si="42"/>
        <v>-</v>
      </c>
      <c r="W113" s="221" t="str">
        <f t="shared" si="43"/>
        <v>-</v>
      </c>
      <c r="X113" s="221" t="str">
        <f t="shared" si="15"/>
        <v>-</v>
      </c>
      <c r="Y113" s="221" t="str">
        <f t="shared" si="16"/>
        <v>-</v>
      </c>
      <c r="Z113" s="270">
        <f t="shared" si="44"/>
        <v>0.1</v>
      </c>
      <c r="AA113" s="271" t="str">
        <f t="shared" si="67"/>
        <v>-</v>
      </c>
      <c r="AB113" s="271" t="str">
        <f t="shared" si="17"/>
        <v>-</v>
      </c>
      <c r="AC113" s="224">
        <f t="shared" si="45"/>
        <v>13</v>
      </c>
      <c r="AD113" s="223" t="str">
        <f t="shared" si="18"/>
        <v>-</v>
      </c>
      <c r="AE113" s="224" t="str">
        <f t="shared" si="46"/>
        <v>-</v>
      </c>
      <c r="AF113" s="224" t="str">
        <f t="shared" si="19"/>
        <v>-</v>
      </c>
      <c r="AG113" s="224" t="str">
        <f t="shared" si="20"/>
        <v>-</v>
      </c>
      <c r="AH113" s="272">
        <f t="shared" si="47"/>
        <v>0.1</v>
      </c>
      <c r="AI113" s="271" t="str">
        <f t="shared" si="21"/>
        <v>-</v>
      </c>
      <c r="AJ113" s="271" t="str">
        <f>IFERROR(IF(AD113=1,D113*EXP(-(0.04*AF113+0.1*AG113)),IF(AD113=2,D113*EXP(-(0.04*($F$21+AF113)+0.1*(($F$16-$F$15)-$F$21+AG113))),D113*EXP(-(0.04*($F$21*2+AF113)+0.1*((($F$16-$F$15)-$F$21)*2-AG113))))),"-")</f>
        <v>-</v>
      </c>
      <c r="AK113" s="227">
        <f t="shared" si="49"/>
        <v>13</v>
      </c>
      <c r="AL113" s="226" t="str">
        <f t="shared" si="22"/>
        <v>-</v>
      </c>
      <c r="AM113" s="227" t="str">
        <f t="shared" si="50"/>
        <v>-</v>
      </c>
      <c r="AN113" s="227" t="str">
        <f t="shared" si="51"/>
        <v>-</v>
      </c>
      <c r="AO113" s="227" t="str">
        <f t="shared" si="23"/>
        <v>-</v>
      </c>
      <c r="AP113" s="273">
        <f t="shared" si="52"/>
        <v>0.1</v>
      </c>
      <c r="AQ113" s="271" t="str">
        <f t="shared" si="53"/>
        <v>-</v>
      </c>
      <c r="AR113" s="271" t="str">
        <f t="shared" si="54"/>
        <v>-</v>
      </c>
      <c r="AS113" s="274">
        <f t="shared" si="24"/>
        <v>0</v>
      </c>
      <c r="AT113" s="274">
        <f t="shared" si="25"/>
        <v>0</v>
      </c>
      <c r="AU113" s="274">
        <f t="shared" si="26"/>
        <v>0</v>
      </c>
      <c r="AV113" s="275">
        <f>IF($B113&lt;$F$22,SUM($T$100:$T113),"")</f>
        <v>0</v>
      </c>
      <c r="AW113" s="275" t="str">
        <f t="shared" si="55"/>
        <v>-</v>
      </c>
      <c r="AX113" s="275" t="str">
        <f t="shared" si="56"/>
        <v/>
      </c>
      <c r="AY113"/>
      <c r="AZ113" s="275" t="str">
        <f ca="1">IF(ISNUMBER(OFFSET(AV113,-$F$21,0)),SUM(OFFSET($T$100,$F$21,0):$T113),"")</f>
        <v/>
      </c>
      <c r="BA113" s="275" t="str">
        <f t="shared" ca="1" si="27"/>
        <v/>
      </c>
      <c r="BB113" s="275" t="str">
        <f t="shared" ca="1" si="57"/>
        <v/>
      </c>
      <c r="BC113" s="190"/>
      <c r="BD113" s="275" t="str">
        <f ca="1">IFERROR(IF(OR(ISNUMBER(I),ISNUMBER($F$14)),IF(AND($B113&gt;=($F$16-$F$15),$B113&lt;$F$22+($F$16-$F$15)),SUM(OFFSET($T$100,($F$16-$F$15),0):$T113),""),""),"")</f>
        <v/>
      </c>
      <c r="BE113" s="275" t="str">
        <f t="shared" ca="1" si="58"/>
        <v/>
      </c>
      <c r="BF113" s="275" t="str">
        <f t="shared" ca="1" si="59"/>
        <v/>
      </c>
      <c r="BG113"/>
      <c r="BH113" s="190" t="str">
        <f ca="1">IF(ISNUMBER(OFFSET(BD113,-$F$21,0)),SUM(OFFSET($T$100,($F$16-$F$15+$F$21),0):$T113),"")</f>
        <v/>
      </c>
      <c r="BI113" s="190" t="str">
        <f t="shared" ca="1" si="28"/>
        <v/>
      </c>
      <c r="BJ113" s="190" t="str">
        <f t="shared" ca="1" si="60"/>
        <v/>
      </c>
      <c r="BK113" s="190"/>
      <c r="BL113" s="275" t="str">
        <f ca="1">IFERROR(IF(OR(ISNUMBER(I),ISNUMBER($F$14)),IF(AND($B113&gt;=($F$17-$F$15),$B113&lt;$F$22+($F$17-$F$15)),SUM(OFFSET($T$100,($F$17-$F$15),0):$T113),""),""),"")</f>
        <v/>
      </c>
      <c r="BM113" s="275" t="str">
        <f t="shared" ca="1" si="29"/>
        <v/>
      </c>
      <c r="BN113" s="275" t="str">
        <f t="shared" ca="1" si="61"/>
        <v/>
      </c>
      <c r="BO113"/>
      <c r="BP113" s="275" t="str">
        <f ca="1">IF(ISNUMBER(OFFSET(BL113,-$F$21,0)),SUM(OFFSET($T$100,($F$17-$F$15+$F$21),0):$T113),"")</f>
        <v/>
      </c>
      <c r="BQ113" s="275" t="str">
        <f t="shared" ca="1" si="62"/>
        <v/>
      </c>
      <c r="BR113" s="275" t="str">
        <f t="shared" ca="1" si="63"/>
        <v/>
      </c>
      <c r="BS113" s="190"/>
      <c r="BT113"/>
      <c r="BU113" s="276" t="str">
        <f t="shared" si="64"/>
        <v>end</v>
      </c>
      <c r="BV113" s="277">
        <v>13</v>
      </c>
      <c r="BW113" s="278" t="str">
        <f t="shared" si="69"/>
        <v/>
      </c>
      <c r="BX113" s="278" t="str">
        <f t="shared" si="68"/>
        <v/>
      </c>
      <c r="BY113" s="279" t="str">
        <f t="shared" si="65"/>
        <v/>
      </c>
      <c r="BZ113"/>
      <c r="CA113" s="284" t="str">
        <f t="shared" si="30"/>
        <v>-</v>
      </c>
      <c r="CB113" s="285" t="str">
        <f t="shared" si="31"/>
        <v>-</v>
      </c>
      <c r="CC113" s="285" t="str">
        <f t="shared" si="32"/>
        <v>13-14</v>
      </c>
      <c r="CD113" s="286" t="str">
        <f t="shared" si="33"/>
        <v/>
      </c>
      <c r="CE113" s="287" t="str">
        <f t="shared" si="34"/>
        <v>-</v>
      </c>
      <c r="CF113" s="285" t="str">
        <f t="shared" ca="1" si="35"/>
        <v>-</v>
      </c>
      <c r="CG113" s="285" t="str">
        <f t="shared" si="36"/>
        <v>13-14</v>
      </c>
      <c r="CH113" s="288" t="str">
        <f t="shared" ca="1" si="37"/>
        <v/>
      </c>
      <c r="CJ113" s="99"/>
      <c r="CK113" s="99"/>
      <c r="CL113" s="99"/>
      <c r="CM113" s="99"/>
      <c r="CN113" s="99"/>
      <c r="CO113" s="99"/>
    </row>
    <row r="114" spans="2:93" ht="13.5" customHeight="1" x14ac:dyDescent="0.2">
      <c r="B114" s="262">
        <v>14</v>
      </c>
      <c r="C114" s="236" t="str">
        <f t="shared" si="1"/>
        <v/>
      </c>
      <c r="D114" s="237" t="str">
        <f t="shared" si="66"/>
        <v>-</v>
      </c>
      <c r="E114" s="290" t="str">
        <f t="shared" si="38"/>
        <v/>
      </c>
      <c r="F114" s="264" t="str">
        <f t="shared" si="39"/>
        <v/>
      </c>
      <c r="G114" s="291" t="str">
        <f t="shared" si="40"/>
        <v/>
      </c>
      <c r="H114" s="240" t="str">
        <f>IF(E114&lt;&gt;"",IF($B114&lt;$F$21,"",IF(ISNUMBER(F114),IF(ISNUMBER(I114),(E114*30*50*ffp),""),(E114*30*50*ffp))),"")</f>
        <v/>
      </c>
      <c r="I114" s="265" t="str">
        <f t="shared" si="2"/>
        <v/>
      </c>
      <c r="J114" s="265" t="str">
        <f t="shared" si="3"/>
        <v/>
      </c>
      <c r="K114" s="240" t="str">
        <f t="shared" si="4"/>
        <v/>
      </c>
      <c r="L114" s="265" t="str">
        <f t="shared" si="5"/>
        <v/>
      </c>
      <c r="M114" s="265" t="str">
        <f t="shared" si="6"/>
        <v/>
      </c>
      <c r="N114" s="240" t="str">
        <f t="shared" si="7"/>
        <v>-</v>
      </c>
      <c r="O114" s="265" t="str">
        <f t="shared" si="8"/>
        <v>-</v>
      </c>
      <c r="P114" s="265" t="str">
        <f t="shared" si="9"/>
        <v>-</v>
      </c>
      <c r="Q114" s="266" t="str">
        <f t="shared" si="10"/>
        <v>-</v>
      </c>
      <c r="R114" s="267" t="str">
        <f t="shared" si="11"/>
        <v>-</v>
      </c>
      <c r="S114" s="268" t="str">
        <f t="shared" si="12"/>
        <v>-</v>
      </c>
      <c r="T114" s="269" t="str">
        <f t="shared" si="13"/>
        <v/>
      </c>
      <c r="U114" s="221">
        <f t="shared" si="14"/>
        <v>14</v>
      </c>
      <c r="V114" s="220" t="str">
        <f t="shared" si="42"/>
        <v>-</v>
      </c>
      <c r="W114" s="221" t="str">
        <f t="shared" si="43"/>
        <v>-</v>
      </c>
      <c r="X114" s="221" t="str">
        <f t="shared" si="15"/>
        <v>-</v>
      </c>
      <c r="Y114" s="221" t="str">
        <f t="shared" si="16"/>
        <v>-</v>
      </c>
      <c r="Z114" s="270">
        <f t="shared" si="44"/>
        <v>0.1</v>
      </c>
      <c r="AA114" s="271" t="str">
        <f t="shared" si="67"/>
        <v>-</v>
      </c>
      <c r="AB114" s="292" t="str">
        <f t="shared" si="17"/>
        <v>-</v>
      </c>
      <c r="AC114" s="224">
        <f t="shared" si="45"/>
        <v>14</v>
      </c>
      <c r="AD114" s="223" t="str">
        <f t="shared" si="18"/>
        <v>-</v>
      </c>
      <c r="AE114" s="224" t="str">
        <f t="shared" si="46"/>
        <v>-</v>
      </c>
      <c r="AF114" s="224" t="str">
        <f t="shared" si="19"/>
        <v>-</v>
      </c>
      <c r="AG114" s="224" t="str">
        <f t="shared" si="20"/>
        <v>-</v>
      </c>
      <c r="AH114" s="272">
        <f t="shared" si="47"/>
        <v>0.1</v>
      </c>
      <c r="AI114" s="271" t="str">
        <f t="shared" si="21"/>
        <v>-</v>
      </c>
      <c r="AJ114" s="292" t="str">
        <f>IFERROR(IF(AD114=1,D114*EXP(-(0.04*AF114+0.1*AG114)),IF(AD114=2,D114*EXP(-(0.04*($F$21+AF114)+0.1*(($F$16-$F$15)-$F$21+AG114))),D114*EXP(-(0.04*($F$21*2+AF114)+0.1*((($F$16-$F$15)-$F$21)*2-AG114))))),"-")</f>
        <v>-</v>
      </c>
      <c r="AK114" s="227">
        <f t="shared" si="49"/>
        <v>14</v>
      </c>
      <c r="AL114" s="226" t="str">
        <f t="shared" si="22"/>
        <v>-</v>
      </c>
      <c r="AM114" s="227" t="str">
        <f t="shared" si="50"/>
        <v>-</v>
      </c>
      <c r="AN114" s="227" t="str">
        <f t="shared" si="51"/>
        <v>-</v>
      </c>
      <c r="AO114" s="227" t="str">
        <f t="shared" si="23"/>
        <v>-</v>
      </c>
      <c r="AP114" s="273">
        <f t="shared" si="52"/>
        <v>0.1</v>
      </c>
      <c r="AQ114" s="271" t="str">
        <f>IFERROR(IF(AL113=1,D114*EXP(-(0.04*AN113+0.1*AO113)),IF(AL113=2,D114*EXP(-(0.04*($F$21+AN113)+0.1*(($F$16-$F$15)-$F$21+AO113))),D114*EXP(-(0.04*($F$21*2+AN113)+0.1*((($F$16-$F$15)-$F$21)*2-AO113))))),"-")</f>
        <v>-</v>
      </c>
      <c r="AR114" s="292" t="str">
        <f>IFERROR(IF(AL114=1,D114*EXP(-(0.04*AN114+0.1*AO114)),IF(AL114=2,D114*EXP(-(0.04*($F$21+AN114)+0.1*(($F$16-$F$15)-$F$21+AO114))),D114*EXP(-(0.04*($F$21*2+AN114)+0.1*((($F$16-$F$15)-$F$21)*2-AO114))))),"-")</f>
        <v>-</v>
      </c>
      <c r="AS114" s="274">
        <f t="shared" si="24"/>
        <v>0</v>
      </c>
      <c r="AT114" s="274">
        <f t="shared" si="25"/>
        <v>0</v>
      </c>
      <c r="AU114" s="274">
        <f t="shared" si="26"/>
        <v>0</v>
      </c>
      <c r="AV114" s="275">
        <f>IF($B114&lt;$F$22,SUM($T$100:$T114),"")</f>
        <v>0</v>
      </c>
      <c r="AW114" s="275" t="str">
        <f t="shared" si="55"/>
        <v>-</v>
      </c>
      <c r="AX114" s="275" t="str">
        <f t="shared" si="56"/>
        <v/>
      </c>
      <c r="AY114"/>
      <c r="AZ114" s="275" t="str">
        <f ca="1">IF(ISNUMBER(OFFSET(AV114,-$F$21,0)),SUM(OFFSET($T$100,$F$21,0):$T114),"")</f>
        <v/>
      </c>
      <c r="BA114" s="275" t="str">
        <f t="shared" ca="1" si="27"/>
        <v/>
      </c>
      <c r="BB114" s="275" t="str">
        <f t="shared" ca="1" si="57"/>
        <v/>
      </c>
      <c r="BC114" s="190"/>
      <c r="BD114" s="275" t="str">
        <f ca="1">IFERROR(IF(OR(ISNUMBER(I),ISNUMBER($F$14)),IF(AND($B114&gt;=($F$16-$F$15),$B114&lt;$F$22+($F$16-$F$15)),SUM(OFFSET($T$100,($F$16-$F$15),0):$T114),""),""),"")</f>
        <v/>
      </c>
      <c r="BE114" s="275" t="str">
        <f t="shared" ca="1" si="58"/>
        <v/>
      </c>
      <c r="BF114" s="275" t="str">
        <f ca="1">IF(ISNUMBER(BD114),(BD114-BE114)/(3*86400*($B114-($F$16-$F$15)+1))*1000,"")</f>
        <v/>
      </c>
      <c r="BG114"/>
      <c r="BH114" s="190" t="str">
        <f ca="1">IF(ISNUMBER(OFFSET(BD114,-$F$21,0)),SUM(OFFSET($T$100,($F$16-$F$15+$F$21),0):$T114),"")</f>
        <v/>
      </c>
      <c r="BI114" s="190" t="str">
        <f t="shared" ca="1" si="28"/>
        <v/>
      </c>
      <c r="BJ114" s="190" t="str">
        <f t="shared" ca="1" si="60"/>
        <v/>
      </c>
      <c r="BK114" s="190"/>
      <c r="BL114" s="275" t="str">
        <f ca="1">IFERROR(IF(OR(ISNUMBER(I),ISNUMBER($F$14)),IF(AND($B114&gt;=($F$17-$F$15),$B114&lt;$F$22+($F$17-$F$15)),SUM(OFFSET($T$100,($F$17-$F$15),0):$T114),""),""),"")</f>
        <v/>
      </c>
      <c r="BM114" s="275" t="str">
        <f t="shared" ca="1" si="29"/>
        <v/>
      </c>
      <c r="BN114" s="275" t="str">
        <f t="shared" ca="1" si="61"/>
        <v/>
      </c>
      <c r="BO114"/>
      <c r="BP114" s="275" t="str">
        <f ca="1">IF(ISNUMBER(OFFSET(BL114,-$F$21,0)),SUM(OFFSET($T$100,($F$17-$F$15+$F$21),0):$T114),"")</f>
        <v/>
      </c>
      <c r="BQ114" s="275" t="str">
        <f t="shared" ca="1" si="62"/>
        <v/>
      </c>
      <c r="BR114" s="275" t="str">
        <f t="shared" ca="1" si="63"/>
        <v/>
      </c>
      <c r="BS114" s="190"/>
      <c r="BT114"/>
      <c r="BU114" s="276" t="str">
        <f t="shared" si="64"/>
        <v>end</v>
      </c>
      <c r="BV114" s="277">
        <v>14</v>
      </c>
      <c r="BW114" s="278" t="str">
        <f t="shared" si="69"/>
        <v/>
      </c>
      <c r="BX114" s="278" t="str">
        <f t="shared" si="68"/>
        <v/>
      </c>
      <c r="BY114" s="279" t="str">
        <f t="shared" si="65"/>
        <v/>
      </c>
      <c r="BZ114"/>
      <c r="CA114" s="284" t="str">
        <f t="shared" si="30"/>
        <v>-</v>
      </c>
      <c r="CB114" s="285" t="str">
        <f t="shared" si="31"/>
        <v>-</v>
      </c>
      <c r="CC114" s="285" t="str">
        <f t="shared" si="32"/>
        <v>14-15</v>
      </c>
      <c r="CD114" s="286" t="str">
        <f t="shared" si="33"/>
        <v/>
      </c>
      <c r="CE114" s="287" t="str">
        <f t="shared" si="34"/>
        <v>-</v>
      </c>
      <c r="CF114" s="285" t="str">
        <f t="shared" ca="1" si="35"/>
        <v>-</v>
      </c>
      <c r="CG114" s="285" t="str">
        <f t="shared" si="36"/>
        <v>14-15</v>
      </c>
      <c r="CH114" s="288" t="str">
        <f t="shared" ca="1" si="37"/>
        <v/>
      </c>
      <c r="CJ114" s="99"/>
      <c r="CK114" s="99"/>
      <c r="CL114" s="99"/>
      <c r="CM114" s="99"/>
      <c r="CN114" s="99"/>
      <c r="CO114" s="99"/>
    </row>
    <row r="115" spans="2:93" ht="13.5" customHeight="1" x14ac:dyDescent="0.2">
      <c r="B115" s="293">
        <v>15</v>
      </c>
      <c r="C115" s="237" t="str">
        <f t="shared" si="1"/>
        <v/>
      </c>
      <c r="D115" s="237" t="str">
        <f t="shared" si="66"/>
        <v>-</v>
      </c>
      <c r="E115" s="290" t="str">
        <f t="shared" si="38"/>
        <v/>
      </c>
      <c r="F115" s="264" t="str">
        <f t="shared" si="39"/>
        <v/>
      </c>
      <c r="G115" s="291" t="str">
        <f t="shared" si="40"/>
        <v/>
      </c>
      <c r="H115" s="240" t="str">
        <f t="shared" si="41"/>
        <v/>
      </c>
      <c r="I115" s="265" t="str">
        <f t="shared" si="2"/>
        <v/>
      </c>
      <c r="J115" s="265" t="str">
        <f t="shared" si="3"/>
        <v/>
      </c>
      <c r="K115" s="240" t="str">
        <f t="shared" si="4"/>
        <v/>
      </c>
      <c r="L115" s="265" t="str">
        <f t="shared" si="5"/>
        <v/>
      </c>
      <c r="M115" s="265" t="str">
        <f t="shared" si="6"/>
        <v/>
      </c>
      <c r="N115" s="240" t="str">
        <f t="shared" si="7"/>
        <v>-</v>
      </c>
      <c r="O115" s="265" t="str">
        <f t="shared" si="8"/>
        <v>-</v>
      </c>
      <c r="P115" s="265" t="str">
        <f t="shared" si="9"/>
        <v>-</v>
      </c>
      <c r="Q115" s="266" t="str">
        <f t="shared" si="10"/>
        <v>-</v>
      </c>
      <c r="R115" s="267" t="str">
        <f t="shared" si="11"/>
        <v>-</v>
      </c>
      <c r="S115" s="268" t="str">
        <f t="shared" si="12"/>
        <v>-</v>
      </c>
      <c r="T115" s="269" t="str">
        <f t="shared" si="13"/>
        <v/>
      </c>
      <c r="U115" s="221">
        <f t="shared" si="14"/>
        <v>15</v>
      </c>
      <c r="V115" s="220" t="str">
        <f t="shared" si="42"/>
        <v>-</v>
      </c>
      <c r="W115" s="221" t="str">
        <f t="shared" si="43"/>
        <v>-</v>
      </c>
      <c r="X115" s="221" t="str">
        <f t="shared" si="15"/>
        <v>-</v>
      </c>
      <c r="Y115" s="221" t="str">
        <f t="shared" si="16"/>
        <v>-</v>
      </c>
      <c r="Z115" s="270">
        <f t="shared" si="44"/>
        <v>0.1</v>
      </c>
      <c r="AA115" s="292" t="str">
        <f>IFERROR(IF(V114=1,AA100*EXP(-(LN(2)/$D$65+0.04)*X114)*EXP(-(LN(2)/$D$65+0.1)*Y114),IF(V114=2,AA100*EXP(-(LN(2)/$D$65+0.04)*(VLOOKUP(($F$16-$F$15)-1,U99:Y114,4,FALSE)))*EXP(-(LN(2)/$D$65+0.1)*(VLOOKUP(($F$16-$F$15)-1,U99:Y114,5,FALSE)))*EXP(-(LN(2)/$D$65+0.04)*X114)*EXP(-(LN(2)/$D$65+0.1)*Y114),AA100*EXP(-(LN(2)/$D$65+0.04)*(VLOOKUP(($F$16-$F$15)-1,U99:Y114,4,FALSE)))*EXP(-(LN(2)/$D$65+0.1)*(VLOOKUP(($F$16-$F$15)-1,U99:Y114,5,FALSE)))*EXP(-(LN(2)/$D$65+0.04)*(VLOOKUP(($F$16-$F$15)*2-1,U99:Y114,4,FALSE)))*EXP(-(LN(2)/$D$65+0.1)*(VLOOKUP(($F$16-$F$15)*2-1,U99:Y114,5,FALSE)))*EXP(-(LN(2)/$D$65+0.04)*X114)*EXP(-(LN(2)/$D$65+0.1)*Y114))),"-")</f>
        <v>-</v>
      </c>
      <c r="AB115" s="271" t="str">
        <f>IFERROR(IF(V115=1,AB$100*EXP(-(LN(2)/$D$65+0.04)*X115)*EXP(-(LN(2)/$D$65+0.1)*Y115),IF(V115=2,AB$100*EXP(-(LN(2)/$D$65+0.04)*(VLOOKUP(($F$16-$F$15)-1,U$100:Y115,4,FALSE)))*EXP(-(LN(2)/$D$65+0.1)*(VLOOKUP(($F$16-$F$15)-1,U$100:Y115,5,FALSE)))*EXP(-(LN(2)/$D$65+0.04)*X115)*EXP(-(LN(2)/$D$65+0.1)*Y115),IF(V115=3,AB$100*EXP(-(LN(2)/$D$65+0.04)*(VLOOKUP(($F$16-$F$15)-1,U$100:Y115,4,FALSE)))*EXP(-(LN(2)/$D$65+0.1)*(VLOOKUP(($F$16-$F$15)-1,U$100:Y115,5,FALSE)))*EXP(-(LN(2)/$D$65+0.04)*(VLOOKUP(($F$16-$F$15)*2-1,U$100:Y115,4,FALSE)))*EXP(-(LN(2)/$D$65+0.1)*(VLOOKUP(($F$16-$F$15)*2-1,U$100:Y115,5,FALSE)))*EXP(-(LN(2)/$D$65+0.04)*X115)*EXP(-(LN(2)/$D$65+0.1)*Y115),"-"))),"-")</f>
        <v>-</v>
      </c>
      <c r="AC115" s="224">
        <f t="shared" si="45"/>
        <v>15</v>
      </c>
      <c r="AD115" s="223" t="str">
        <f t="shared" si="18"/>
        <v>-</v>
      </c>
      <c r="AE115" s="224" t="str">
        <f t="shared" si="46"/>
        <v>-</v>
      </c>
      <c r="AF115" s="224" t="str">
        <f t="shared" si="19"/>
        <v>-</v>
      </c>
      <c r="AG115" s="224" t="str">
        <f t="shared" si="20"/>
        <v>-</v>
      </c>
      <c r="AH115" s="272">
        <f t="shared" si="47"/>
        <v>0.1</v>
      </c>
      <c r="AI115" s="292" t="str">
        <f>IFERROR(IF(AD114=1,AI100*EXP(-(LN(2)/$D$65+0.04)*AF114)*EXP(-(LN(2)/$D$65+0.1)*AG114),IF(AD114=2,AI100*EXP(-(LN(2)/$D$65+0.04)*(VLOOKUP(($F$16-$F$15)-1,AC99:AG114,4,FALSE)))*EXP(-(LN(2)/$D$65+0.1)*(VLOOKUP(($F$16-$F$15)-1,AC99:AG114,5,FALSE)))*EXP(-(LN(2)/$D$65+0.04)*AF114)*EXP(-(LN(2)/$D$65+0.1)*AG114),AI100*EXP(-(LN(2)/$D$65+0.04)*(VLOOKUP(($F$16-$F$15)-1,AC99:AG114,4,FALSE)))*EXP(-(LN(2)/$D$65+0.1)*(VLOOKUP(($F$16-$F$15)-1,AC99:AG114,5,FALSE)))*EXP(-(LN(2)/$D$65+0.04)*(VLOOKUP(($F$16-$F$15)*2-1,AC99:AG114,4,FALSE)))*EXP(-(LN(2)/$D$65+0.1)*(VLOOKUP(($F$16-$F$15)*2-1,AC99:AG114,5,FALSE)))*EXP(-(LN(2)/$D$65+0.04)*AF114)*EXP(-(LN(2)/$D$65+0.1)*AG114))),"-")</f>
        <v>-</v>
      </c>
      <c r="AJ115" s="271" t="str">
        <f>IFERROR(IF(AD115=1,AJ$100*EXP(-(LN(2)/$D$65+0.04)*AF115)*EXP(-(LN(2)/$D$65+0.1)*AG115),IF(AD115=2,AJ$100*EXP(-(LN(2)/$D$65+0.04)*(VLOOKUP(($F$16-$F$15)-1,AC$100:AG115,4,FALSE)))*EXP(-(LN(2)/$D$65+0.1)*(VLOOKUP(($F$16-$F$15)-1,AC$100:AG115,5,FALSE)))*EXP(-(LN(2)/$D$65+0.04)*AF115)*EXP(-(LN(2)/$D$65+0.1)*AG115),IF(AD115=3,AJ$100*EXP(-(LN(2)/$D$65+0.04)*(VLOOKUP(($F$16-$F$15)-1,AC$100:AG115,4,FALSE)))*EXP(-(LN(2)/$D$65+0.1)*(VLOOKUP(($F$16-$F$15)-1,AC$100:AG115,5,FALSE)))*EXP(-(LN(2)/$D$65+0.04)*(VLOOKUP(($F$16-$F$15)*2-1,AC$100:AG115,4,FALSE)))*EXP(-(LN(2)/$D$65+0.1)*(VLOOKUP(($F$16-$F$15)*2-1,AC$100:AG115,5,FALSE)))*EXP(-(LN(2)/$D$65+0.04)*AF115)*EXP(-(LN(2)/$D$65+0.1)*AG115),"-"))),"-")</f>
        <v>-</v>
      </c>
      <c r="AK115" s="227">
        <f t="shared" si="49"/>
        <v>15</v>
      </c>
      <c r="AL115" s="226" t="str">
        <f t="shared" si="22"/>
        <v>-</v>
      </c>
      <c r="AM115" s="227" t="str">
        <f t="shared" si="50"/>
        <v>-</v>
      </c>
      <c r="AN115" s="227" t="str">
        <f t="shared" si="51"/>
        <v>-</v>
      </c>
      <c r="AO115" s="227" t="str">
        <f t="shared" si="23"/>
        <v>-</v>
      </c>
      <c r="AP115" s="273">
        <f t="shared" si="52"/>
        <v>0.1</v>
      </c>
      <c r="AQ115" s="292" t="str">
        <f>IFERROR(IF(AL114=1,AQ100*EXP(-(LN(2)/$D$65+0.04)*AN114)*EXP(-(LN(2)/$D$65+0.1)*AO114),IF(AL114=2,AQ100*EXP(-(LN(2)/$D$65+0.04)*(VLOOKUP(($F$16-$F$15)-1,AK99:AO114,4,FALSE)))*EXP(-(LN(2)/$D$65+0.1)*(VLOOKUP(($F$16-$F$15)-1,AK99:AO114,5,FALSE)))*EXP(-(LN(2)/$D$65+0.04)*AN114)*EXP(-(LN(2)/$D$65+0.1)*AO114),AQ100*EXP(-(LN(2)/$D$65+0.04)*(VLOOKUP(($F$16-$F$15)-1,AK99:AO114,4,FALSE)))*EXP(-(LN(2)/$D$65+0.1)*(VLOOKUP(($F$16-$F$15)-1,AK99:AO114,5,FALSE)))*EXP(-(LN(2)/$D$65+0.04)*(VLOOKUP(($F$16-$F$15)*2-1,AK99:AO114,4,FALSE)))*EXP(-(LN(2)/$D$65+0.1)*(VLOOKUP(($F$16-$F$15)*2-1,AK99:AO114,5,FALSE)))*EXP(-(LN(2)/$D$65+0.04)*AN114)*EXP(-(LN(2)/$D$65+0.1)*AO114))),"-")</f>
        <v>-</v>
      </c>
      <c r="AR115" s="271" t="str">
        <f>IFERROR(IF(AL115=1,AR$100*EXP(-(LN(2)/$D$65+0.04)*AN115)*EXP(-(LN(2)/$D$65+0.1)*AO115),IF(AL115=2,AR$100*EXP(-(LN(2)/$D$65+0.04)*(VLOOKUP(($F$16-$F$15)-1,AK$100:AO115,4,FALSE)))*EXP(-(LN(2)/$D$65+0.1)*(VLOOKUP(($F$16-$F$15)-1,AK$100:AO115,5,FALSE)))*EXP(-(LN(2)/$D$65+0.04)*AN115)*EXP(-(LN(2)/$D$65+0.1)*AO115),IF(AL115=3,AR$100*EXP(-(LN(2)/$D$65+0.04)*(VLOOKUP(($F$16-$F$15)-1,AK$100:AO115,4,FALSE)))*EXP(-(LN(2)/$D$65+0.1)*(VLOOKUP(($F$16-$F$15)-1,AK$100:AO115,5,FALSE)))*EXP(-(LN(2)/$D$65+0.04)*(VLOOKUP(($F$16-$F$15)*2-1,AK$100:AO115,4,FALSE)))*EXP(-(LN(2)/$D$65+0.1)*(VLOOKUP(($F$16-$F$15)*2-1,AK$100:AO115,5,FALSE)))*EXP(-(LN(2)/$D$65+0.04)*AN115)*EXP(-(LN(2)/$D$65+0.1)*AO115),"-"))),"-")</f>
        <v>-</v>
      </c>
      <c r="AS115" s="294">
        <f t="shared" si="24"/>
        <v>0</v>
      </c>
      <c r="AT115" s="294">
        <f t="shared" si="25"/>
        <v>0</v>
      </c>
      <c r="AU115" s="294">
        <f t="shared" si="26"/>
        <v>0</v>
      </c>
      <c r="AV115" s="275">
        <f>IF($B115&lt;$F$22,SUM($T$100:$T115),"")</f>
        <v>0</v>
      </c>
      <c r="AW115" s="275" t="str">
        <f t="shared" si="55"/>
        <v>-</v>
      </c>
      <c r="AX115" s="275" t="str">
        <f t="shared" si="56"/>
        <v/>
      </c>
      <c r="AY115"/>
      <c r="AZ115" s="275" t="str">
        <f ca="1">IF(ISNUMBER(OFFSET(AV115,-$F$21,0)),SUM(OFFSET($T$100,$F$21,0):$T115),"")</f>
        <v/>
      </c>
      <c r="BA115" s="275" t="str">
        <f t="shared" ca="1" si="27"/>
        <v/>
      </c>
      <c r="BB115" s="275" t="str">
        <f t="shared" ca="1" si="57"/>
        <v/>
      </c>
      <c r="BC115" s="190"/>
      <c r="BD115" s="275" t="str">
        <f ca="1">IFERROR(IF(OR(ISNUMBER(I),ISNUMBER($F$14)),IF(AND($B115&gt;=($F$16-$F$15),$B115&lt;$F$22+($F$16-$F$15)),SUM(OFFSET($T$100,($F$16-$F$15),0):$T115),""),""),"")</f>
        <v/>
      </c>
      <c r="BE115" s="275" t="str">
        <f t="shared" ca="1" si="58"/>
        <v/>
      </c>
      <c r="BF115" s="275" t="str">
        <f t="shared" ca="1" si="59"/>
        <v/>
      </c>
      <c r="BG115"/>
      <c r="BH115" s="190" t="str">
        <f ca="1">IF(ISNUMBER(OFFSET(BD115,-$F$21,0)),SUM(OFFSET($T$100,($F$16-$F$15+$F$21),0):$T115),"")</f>
        <v/>
      </c>
      <c r="BI115" s="190" t="str">
        <f t="shared" ca="1" si="28"/>
        <v/>
      </c>
      <c r="BJ115" s="190" t="str">
        <f t="shared" ca="1" si="60"/>
        <v/>
      </c>
      <c r="BK115" s="190"/>
      <c r="BL115" s="275" t="str">
        <f ca="1">IFERROR(IF(OR(ISNUMBER(I),ISNUMBER($F$14)),IF(AND($B115&gt;=($F$17-$F$15),$B115&lt;$F$22+($F$17-$F$15)),SUM(OFFSET($T$100,($F$17-$F$15),0):$T115),""),""),"")</f>
        <v/>
      </c>
      <c r="BM115" s="275" t="str">
        <f t="shared" ca="1" si="29"/>
        <v/>
      </c>
      <c r="BN115" s="275" t="str">
        <f t="shared" ca="1" si="61"/>
        <v/>
      </c>
      <c r="BO115"/>
      <c r="BP115" s="275" t="str">
        <f ca="1">IF(ISNUMBER(OFFSET(BL115,-$F$21,0)),SUM(OFFSET($T$100,($F$17-$F$15+$F$21),0):$T115),"")</f>
        <v/>
      </c>
      <c r="BQ115" s="275" t="str">
        <f t="shared" ca="1" si="62"/>
        <v/>
      </c>
      <c r="BR115" s="275" t="str">
        <f t="shared" ca="1" si="63"/>
        <v/>
      </c>
      <c r="BS115" s="190"/>
      <c r="BT115"/>
      <c r="BU115" s="276" t="str">
        <f t="shared" si="64"/>
        <v>end</v>
      </c>
      <c r="BV115" s="277">
        <v>15</v>
      </c>
      <c r="BW115" s="278" t="str">
        <f>IF(AND(BU115="end",BU114="end"), "", IF(BU115&lt;&gt;"",MIN(BU114:BU115),""))</f>
        <v/>
      </c>
      <c r="BX115" s="278" t="str">
        <f>IF(AND(BU115="end",BU114="end"), "", IF(BU115&lt;&gt;"",MAX(BU114:BU115),""))</f>
        <v/>
      </c>
      <c r="BY115" s="279" t="str">
        <f t="shared" si="65"/>
        <v/>
      </c>
      <c r="BZ115"/>
      <c r="CA115" s="258" t="str">
        <f t="shared" si="30"/>
        <v>-</v>
      </c>
      <c r="CB115" s="33" t="str">
        <f t="shared" si="31"/>
        <v>-</v>
      </c>
      <c r="CC115" s="33" t="str">
        <f t="shared" si="32"/>
        <v>15-16</v>
      </c>
      <c r="CD115" s="261" t="str">
        <f t="shared" si="33"/>
        <v/>
      </c>
      <c r="CE115" s="258" t="str">
        <f t="shared" si="34"/>
        <v>-</v>
      </c>
      <c r="CF115" s="33" t="str">
        <f t="shared" ca="1" si="35"/>
        <v>-</v>
      </c>
      <c r="CG115" s="33" t="str">
        <f t="shared" si="36"/>
        <v>15-16</v>
      </c>
      <c r="CH115" s="261" t="str">
        <f t="shared" ca="1" si="37"/>
        <v/>
      </c>
      <c r="CI115" s="202"/>
      <c r="CJ115" s="99"/>
      <c r="CK115" s="99"/>
      <c r="CL115" s="99"/>
      <c r="CM115" s="99"/>
      <c r="CN115" s="99"/>
      <c r="CO115" s="99"/>
    </row>
    <row r="116" spans="2:93" ht="13.5" customHeight="1" x14ac:dyDescent="0.2">
      <c r="B116" s="262">
        <v>16</v>
      </c>
      <c r="C116" s="237" t="str">
        <f t="shared" si="1"/>
        <v/>
      </c>
      <c r="D116" s="237" t="str">
        <f t="shared" si="66"/>
        <v>-</v>
      </c>
      <c r="E116" s="290" t="str">
        <f t="shared" si="38"/>
        <v/>
      </c>
      <c r="F116" s="264" t="str">
        <f t="shared" si="39"/>
        <v/>
      </c>
      <c r="G116" s="291" t="str">
        <f t="shared" si="40"/>
        <v/>
      </c>
      <c r="H116" s="240" t="str">
        <f t="shared" si="41"/>
        <v/>
      </c>
      <c r="I116" s="265" t="str">
        <f t="shared" si="2"/>
        <v/>
      </c>
      <c r="J116" s="265" t="str">
        <f t="shared" si="3"/>
        <v/>
      </c>
      <c r="K116" s="240" t="str">
        <f t="shared" si="4"/>
        <v/>
      </c>
      <c r="L116" s="265" t="str">
        <f t="shared" si="5"/>
        <v/>
      </c>
      <c r="M116" s="265" t="str">
        <f t="shared" si="6"/>
        <v/>
      </c>
      <c r="N116" s="240" t="str">
        <f t="shared" si="7"/>
        <v>-</v>
      </c>
      <c r="O116" s="265" t="str">
        <f t="shared" si="8"/>
        <v>-</v>
      </c>
      <c r="P116" s="265" t="str">
        <f t="shared" si="9"/>
        <v>-</v>
      </c>
      <c r="Q116" s="266" t="str">
        <f t="shared" si="10"/>
        <v>-</v>
      </c>
      <c r="R116" s="267" t="str">
        <f t="shared" si="11"/>
        <v>-</v>
      </c>
      <c r="S116" s="268" t="str">
        <f t="shared" si="12"/>
        <v>-</v>
      </c>
      <c r="T116" s="269" t="str">
        <f t="shared" si="13"/>
        <v/>
      </c>
      <c r="U116" s="221">
        <f t="shared" si="14"/>
        <v>16</v>
      </c>
      <c r="V116" s="220" t="str">
        <f t="shared" si="42"/>
        <v>-</v>
      </c>
      <c r="W116" s="221" t="str">
        <f t="shared" si="43"/>
        <v>-</v>
      </c>
      <c r="X116" s="221" t="str">
        <f t="shared" si="15"/>
        <v>-</v>
      </c>
      <c r="Y116" s="221" t="str">
        <f t="shared" si="16"/>
        <v>-</v>
      </c>
      <c r="Z116" s="270">
        <f t="shared" si="44"/>
        <v>0.1</v>
      </c>
      <c r="AA116" s="271" t="str">
        <f>IFERROR(IF(V115=1,AA$100*EXP(-(LN(2)/$D$65+0.04)*X115)*EXP(-(LN(2)/$D$65+0.1)*Y115),IF(V115=2,AA$100*EXP(-(LN(2)/$D$65+0.04)*(VLOOKUP(($F$16-$F$15)-1,U$99:Y115,4,FALSE)))*EXP(-(LN(2)/$D$65+0.1)*(VLOOKUP(($F$16-$F$15)-1,U$99:Y115,5,FALSE)))*EXP(-(LN(2)/$D$65+0.04)*X115)*EXP(-(LN(2)/$D$65+0.1)*Y115),IF(V115=3,AA$100*EXP(-(LN(2)/$D$65+0.04)*(VLOOKUP(($F$16-$F$15)-1,U$99:Y115,4,FALSE)))*EXP(-(LN(2)/$D$65+0.1)*(VLOOKUP(($F$16-$F$15)-1,U$99:Y115,5,FALSE)))*EXP(-(LN(2)/$D$65+0.04)*(VLOOKUP(($F$16-$F$15)*2-1,U$99:Y115,4,FALSE)))*EXP(-(LN(2)/$D$65+0.1)*(VLOOKUP(($F$16-$F$15)*2-1,U$99:Y115,5,FALSE)))*EXP(-(LN(2)/$D$65+0.04)*X115)*EXP(-(LN(2)/$D$65+0.1)*Y115),"-"))),"-")</f>
        <v>-</v>
      </c>
      <c r="AB116" s="271" t="str">
        <f>IFERROR(IF(V116=1,AB$100*EXP(-(LN(2)/$D$65+0.04)*X116)*EXP(-(LN(2)/$D$65+0.1)*Y116),IF(V116=2,AB$100*EXP(-(LN(2)/$D$65+0.04)*(VLOOKUP(($F$16-$F$15)-1,U$100:Y116,4,FALSE)))*EXP(-(LN(2)/$D$65+0.1)*(VLOOKUP(($F$16-$F$15)-1,U$100:Y116,5,FALSE)))*EXP(-(LN(2)/$D$65+0.04)*X116)*EXP(-(LN(2)/$D$65+0.1)*Y116),IF(V116=3,AB$100*EXP(-(LN(2)/$D$65+0.04)*(VLOOKUP(($F$16-$F$15)-1,U$100:Y116,4,FALSE)))*EXP(-(LN(2)/$D$65+0.1)*(VLOOKUP(($F$16-$F$15)-1,U$100:Y116,5,FALSE)))*EXP(-(LN(2)/$D$65+0.04)*(VLOOKUP(($F$16-$F$15)*2-1,U$100:Y116,4,FALSE)))*EXP(-(LN(2)/$D$65+0.1)*(VLOOKUP(($F$16-$F$15)*2-1,U$100:Y116,5,FALSE)))*EXP(-(LN(2)/$D$65+0.04)*X116)*EXP(-(LN(2)/$D$65+0.1)*Y116),"-"))),"-")</f>
        <v>-</v>
      </c>
      <c r="AC116" s="224">
        <f t="shared" si="45"/>
        <v>16</v>
      </c>
      <c r="AD116" s="223" t="str">
        <f t="shared" si="18"/>
        <v>-</v>
      </c>
      <c r="AE116" s="224" t="str">
        <f t="shared" si="46"/>
        <v>-</v>
      </c>
      <c r="AF116" s="224" t="str">
        <f t="shared" si="19"/>
        <v>-</v>
      </c>
      <c r="AG116" s="224" t="str">
        <f t="shared" si="20"/>
        <v>-</v>
      </c>
      <c r="AH116" s="272">
        <f t="shared" si="47"/>
        <v>0.1</v>
      </c>
      <c r="AI116" s="271" t="str">
        <f>IFERROR(IF(AD115=1,AI$100*EXP(-(LN(2)/$D$65+0.04)*AF115)*EXP(-(LN(2)/$D$65+0.1)*AG115),IF(AD115=2,AI$100*EXP(-(LN(2)/$D$65+0.04)*(VLOOKUP(($F$16-$F$15)-1,AC$99:AG115,4,FALSE)))*EXP(-(LN(2)/$D$65+0.1)*(VLOOKUP(($F$16-$F$15)-1,AC$99:AG115,5,FALSE)))*EXP(-(LN(2)/$D$65+0.04)*AF115)*EXP(-(LN(2)/$D$65+0.1)*AG115),IF(AD115=3,AI$100*EXP(-(LN(2)/$D$65+0.04)*(VLOOKUP(($F$16-$F$15)-1,AC$99:AG115,4,FALSE)))*EXP(-(LN(2)/$D$65+0.1)*(VLOOKUP(($F$16-$F$15)-1,AC$99:AG115,5,FALSE)))*EXP(-(LN(2)/$D$65+0.04)*(VLOOKUP(($F$16-$F$15)*2-1,AC$99:AG115,4,FALSE)))*EXP(-(LN(2)/$D$65+0.1)*(VLOOKUP(($F$16-$F$15)*2-1,AC$99:AG115,5,FALSE)))*EXP(-(LN(2)/$D$65+0.04)*AF115)*EXP(-(LN(2)/$D$65+0.1)*AG115),"-"))),"-")</f>
        <v>-</v>
      </c>
      <c r="AJ116" s="271" t="str">
        <f>IFERROR(IF(AD116=1,AJ$100*EXP(-(LN(2)/$D$65+0.04)*AF116)*EXP(-(LN(2)/$D$65+0.1)*AG116),IF(AD116=2,AJ$100*EXP(-(LN(2)/$D$65+0.04)*(VLOOKUP(($F$16-$F$15)-1,AC$100:AG116,4,FALSE)))*EXP(-(LN(2)/$D$65+0.1)*(VLOOKUP(($F$16-$F$15)-1,AC$100:AG116,5,FALSE)))*EXP(-(LN(2)/$D$65+0.04)*AF116)*EXP(-(LN(2)/$D$65+0.1)*AG116),IF(AD116=3,AJ$100*EXP(-(LN(2)/$D$65+0.04)*(VLOOKUP(($F$16-$F$15)-1,AC$100:AG116,4,FALSE)))*EXP(-(LN(2)/$D$65+0.1)*(VLOOKUP(($F$16-$F$15)-1,AC$100:AG116,5,FALSE)))*EXP(-(LN(2)/$D$65+0.04)*(VLOOKUP(($F$16-$F$15)*2-1,AC$100:AG116,4,FALSE)))*EXP(-(LN(2)/$D$65+0.1)*(VLOOKUP(($F$16-$F$15)*2-1,AC$100:AG116,5,FALSE)))*EXP(-(LN(2)/$D$65+0.04)*AF116)*EXP(-(LN(2)/$D$65+0.1)*AG116),"-"))),"-")</f>
        <v>-</v>
      </c>
      <c r="AK116" s="227">
        <f t="shared" si="49"/>
        <v>16</v>
      </c>
      <c r="AL116" s="226" t="str">
        <f t="shared" si="22"/>
        <v>-</v>
      </c>
      <c r="AM116" s="227" t="str">
        <f t="shared" si="50"/>
        <v>-</v>
      </c>
      <c r="AN116" s="227" t="str">
        <f t="shared" si="51"/>
        <v>-</v>
      </c>
      <c r="AO116" s="227" t="str">
        <f t="shared" si="23"/>
        <v>-</v>
      </c>
      <c r="AP116" s="273">
        <f t="shared" si="52"/>
        <v>0.1</v>
      </c>
      <c r="AQ116" s="271" t="str">
        <f>IFERROR(IF(AL115=1,AQ$100*EXP(-(LN(2)/$D$65+0.04)*AN115)*EXP(-(LN(2)/$D$65+0.1)*AO115),IF(AL115=2,AQ$100*EXP(-(LN(2)/$D$65+0.04)*(VLOOKUP(($F$16-$F$15)-1,AK$99:AO115,4,FALSE)))*EXP(-(LN(2)/$D$65+0.1)*(VLOOKUP(($F$16-$F$15)-1,AK$99:AO115,5,FALSE)))*EXP(-(LN(2)/$D$65+0.04)*AN115)*EXP(-(LN(2)/$D$65+0.1)*AO115),IF(AL115=3,AQ$100*EXP(-(LN(2)/$D$65+0.04)*(VLOOKUP(($F$16-$F$15)-1,AK$99:AO115,4,FALSE)))*EXP(-(LN(2)/$D$65+0.1)*(VLOOKUP(($F$16-$F$15)-1,AK$99:AO115,5,FALSE)))*EXP(-(LN(2)/$D$65+0.04)*(VLOOKUP(($F$16-$F$15)*2-1,AK$99:AO115,4,FALSE)))*EXP(-(LN(2)/$D$65+0.1)*(VLOOKUP(($F$16-$F$15)*2-1,AK$99:AO115,5,FALSE)))*EXP(-(LN(2)/$D$65+0.04)*AN115)*EXP(-(LN(2)/$D$65+0.1)*AO115),"-"))),"-")</f>
        <v>-</v>
      </c>
      <c r="AR116" s="271" t="str">
        <f>IFERROR(IF(AL116=1,AR$100*EXP(-(LN(2)/$D$65+0.04)*AN116)*EXP(-(LN(2)/$D$65+0.1)*AO116),IF(AL116=2,AR$100*EXP(-(LN(2)/$D$65+0.04)*(VLOOKUP(($F$16-$F$15)-1,AK$100:AO116,4,FALSE)))*EXP(-(LN(2)/$D$65+0.1)*(VLOOKUP(($F$16-$F$15)-1,AK$100:AO116,5,FALSE)))*EXP(-(LN(2)/$D$65+0.04)*AN116)*EXP(-(LN(2)/$D$65+0.1)*AO116),IF(AL116=3,AR$100*EXP(-(LN(2)/$D$65+0.04)*(VLOOKUP(($F$16-$F$15)-1,AK$100:AO116,4,FALSE)))*EXP(-(LN(2)/$D$65+0.1)*(VLOOKUP(($F$16-$F$15)-1,AK$100:AO116,5,FALSE)))*EXP(-(LN(2)/$D$65+0.04)*(VLOOKUP(($F$16-$F$15)*2-1,AK$100:AO116,4,FALSE)))*EXP(-(LN(2)/$D$65+0.1)*(VLOOKUP(($F$16-$F$15)*2-1,AK$100:AO116,5,FALSE)))*EXP(-(LN(2)/$D$65+0.04)*AN116)*EXP(-(LN(2)/$D$65+0.1)*AO116),"-"))),"-")</f>
        <v>-</v>
      </c>
      <c r="AS116" s="274">
        <f t="shared" si="24"/>
        <v>0</v>
      </c>
      <c r="AT116" s="274">
        <f t="shared" si="25"/>
        <v>0</v>
      </c>
      <c r="AU116" s="274">
        <f t="shared" si="26"/>
        <v>0</v>
      </c>
      <c r="AV116" s="275">
        <f>IF($B116&lt;$F$22,SUM($T$100:$T116),"")</f>
        <v>0</v>
      </c>
      <c r="AW116" s="275" t="str">
        <f t="shared" si="55"/>
        <v>-</v>
      </c>
      <c r="AX116" s="275" t="str">
        <f t="shared" si="56"/>
        <v/>
      </c>
      <c r="AY116"/>
      <c r="AZ116" s="275" t="str">
        <f ca="1">IF(ISNUMBER(OFFSET(AV116,-$F$21,0)),SUM(OFFSET($T$100,$F$21,0):$T116),"")</f>
        <v/>
      </c>
      <c r="BA116" s="275" t="str">
        <f t="shared" ca="1" si="27"/>
        <v/>
      </c>
      <c r="BB116" s="275" t="str">
        <f t="shared" ca="1" si="57"/>
        <v/>
      </c>
      <c r="BC116" s="190"/>
      <c r="BD116" s="275" t="str">
        <f ca="1">IFERROR(IF(OR(ISNUMBER(I),ISNUMBER($F$14)),IF(AND($B116&gt;=($F$16-$F$15),$B116&lt;$F$22+($F$16-$F$15)),SUM(OFFSET($T$100,($F$16-$F$15),0):$T116),""),""),"")</f>
        <v/>
      </c>
      <c r="BE116" s="275" t="str">
        <f t="shared" ca="1" si="58"/>
        <v/>
      </c>
      <c r="BF116" s="275" t="str">
        <f t="shared" ca="1" si="59"/>
        <v/>
      </c>
      <c r="BG116"/>
      <c r="BH116" s="190" t="str">
        <f ca="1">IF(ISNUMBER(OFFSET(BD116,-$F$21,0)),SUM(OFFSET($T$100,($F$16-$F$15+$F$21),0):$T116),"")</f>
        <v/>
      </c>
      <c r="BI116" s="190" t="str">
        <f t="shared" ca="1" si="28"/>
        <v/>
      </c>
      <c r="BJ116" s="190" t="str">
        <f t="shared" ca="1" si="60"/>
        <v/>
      </c>
      <c r="BK116" s="190"/>
      <c r="BL116" s="275" t="str">
        <f ca="1">IFERROR(IF(OR(ISNUMBER(I),ISNUMBER($F$14)),IF(AND($B116&gt;=($F$17-$F$15),$B116&lt;$F$22+($F$17-$F$15)),SUM(OFFSET($T$100,($F$17-$F$15),0):$T116),""),""),"")</f>
        <v/>
      </c>
      <c r="BM116" s="275" t="str">
        <f t="shared" ca="1" si="29"/>
        <v/>
      </c>
      <c r="BN116" s="275" t="str">
        <f t="shared" ca="1" si="61"/>
        <v/>
      </c>
      <c r="BO116"/>
      <c r="BP116" s="275" t="str">
        <f ca="1">IF(ISNUMBER(OFFSET(BL116,-$F$21,0)),SUM(OFFSET($T$100,($F$17-$F$15+$F$21),0):$T116),"")</f>
        <v/>
      </c>
      <c r="BQ116" s="275" t="str">
        <f t="shared" ca="1" si="62"/>
        <v/>
      </c>
      <c r="BR116" s="275" t="str">
        <f t="shared" ca="1" si="63"/>
        <v/>
      </c>
      <c r="BS116" s="190"/>
      <c r="BT116"/>
      <c r="BU116" s="276" t="str">
        <f t="shared" si="64"/>
        <v>end</v>
      </c>
      <c r="BV116" s="277">
        <v>16</v>
      </c>
      <c r="BW116" s="278" t="str">
        <f t="shared" si="69"/>
        <v/>
      </c>
      <c r="BX116" s="278" t="str">
        <f t="shared" si="68"/>
        <v/>
      </c>
      <c r="BY116" s="279" t="str">
        <f t="shared" si="65"/>
        <v/>
      </c>
      <c r="BZ116"/>
      <c r="CA116" s="280" t="str">
        <f t="shared" si="30"/>
        <v>-</v>
      </c>
      <c r="CB116" s="71" t="str">
        <f t="shared" si="31"/>
        <v>-</v>
      </c>
      <c r="CC116" s="33" t="str">
        <f t="shared" si="32"/>
        <v>16-17</v>
      </c>
      <c r="CD116" s="261" t="str">
        <f t="shared" si="33"/>
        <v/>
      </c>
      <c r="CE116" s="280" t="str">
        <f t="shared" si="34"/>
        <v>-</v>
      </c>
      <c r="CF116" s="71" t="str">
        <f t="shared" ca="1" si="35"/>
        <v>-</v>
      </c>
      <c r="CG116" s="33" t="str">
        <f t="shared" si="36"/>
        <v>16-17</v>
      </c>
      <c r="CH116" s="261" t="str">
        <f t="shared" ca="1" si="37"/>
        <v/>
      </c>
      <c r="CI116" s="202"/>
      <c r="CJ116" s="99"/>
      <c r="CK116" s="99"/>
      <c r="CL116" s="99"/>
      <c r="CM116" s="99"/>
      <c r="CN116" s="99"/>
      <c r="CO116" s="99"/>
    </row>
    <row r="117" spans="2:93" ht="13.5" customHeight="1" x14ac:dyDescent="0.2">
      <c r="B117" s="262">
        <v>17</v>
      </c>
      <c r="C117" s="237" t="str">
        <f t="shared" si="1"/>
        <v/>
      </c>
      <c r="D117" s="237" t="str">
        <f t="shared" si="66"/>
        <v>-</v>
      </c>
      <c r="E117" s="290" t="str">
        <f t="shared" si="38"/>
        <v/>
      </c>
      <c r="F117" s="264" t="str">
        <f t="shared" si="39"/>
        <v/>
      </c>
      <c r="G117" s="291" t="str">
        <f t="shared" si="40"/>
        <v/>
      </c>
      <c r="H117" s="240" t="str">
        <f t="shared" si="41"/>
        <v/>
      </c>
      <c r="I117" s="265" t="str">
        <f t="shared" si="2"/>
        <v/>
      </c>
      <c r="J117" s="265" t="str">
        <f t="shared" si="3"/>
        <v/>
      </c>
      <c r="K117" s="240" t="str">
        <f t="shared" si="4"/>
        <v/>
      </c>
      <c r="L117" s="265" t="str">
        <f t="shared" si="5"/>
        <v/>
      </c>
      <c r="M117" s="265" t="str">
        <f t="shared" si="6"/>
        <v/>
      </c>
      <c r="N117" s="240" t="str">
        <f t="shared" si="7"/>
        <v>-</v>
      </c>
      <c r="O117" s="265" t="str">
        <f t="shared" si="8"/>
        <v>-</v>
      </c>
      <c r="P117" s="265" t="str">
        <f t="shared" si="9"/>
        <v>-</v>
      </c>
      <c r="Q117" s="266" t="str">
        <f t="shared" si="10"/>
        <v>-</v>
      </c>
      <c r="R117" s="267" t="str">
        <f t="shared" si="11"/>
        <v>-</v>
      </c>
      <c r="S117" s="268" t="str">
        <f t="shared" si="12"/>
        <v>-</v>
      </c>
      <c r="T117" s="269" t="str">
        <f t="shared" si="13"/>
        <v/>
      </c>
      <c r="U117" s="221">
        <f t="shared" si="14"/>
        <v>17</v>
      </c>
      <c r="V117" s="220" t="str">
        <f t="shared" si="42"/>
        <v>-</v>
      </c>
      <c r="W117" s="221" t="str">
        <f t="shared" si="43"/>
        <v>-</v>
      </c>
      <c r="X117" s="221" t="str">
        <f t="shared" si="15"/>
        <v>-</v>
      </c>
      <c r="Y117" s="221" t="str">
        <f t="shared" si="16"/>
        <v>-</v>
      </c>
      <c r="Z117" s="270">
        <f t="shared" si="44"/>
        <v>0.1</v>
      </c>
      <c r="AA117" s="271" t="str">
        <f>IFERROR(IF(V116=1,AA$100*EXP(-(LN(2)/$D$65+0.04)*X116)*EXP(-(LN(2)/$D$65+0.1)*Y116),IF(V116=2,AA$100*EXP(-(LN(2)/$D$65+0.04)*(VLOOKUP(($F$16-$F$15)-1,U$99:Y116,4,FALSE)))*EXP(-(LN(2)/$D$65+0.1)*(VLOOKUP(($F$16-$F$15)-1,U$99:Y116,5,FALSE)))*EXP(-(LN(2)/$D$65+0.04)*X116)*EXP(-(LN(2)/$D$65+0.1)*Y116),IF(V116=3,AA$100*EXP(-(LN(2)/$D$65+0.04)*(VLOOKUP(($F$16-$F$15)-1,U$99:Y116,4,FALSE)))*EXP(-(LN(2)/$D$65+0.1)*(VLOOKUP(($F$16-$F$15)-1,U$99:Y116,5,FALSE)))*EXP(-(LN(2)/$D$65+0.04)*(VLOOKUP(($F$16-$F$15)*2-1,U$99:Y116,4,FALSE)))*EXP(-(LN(2)/$D$65+0.1)*(VLOOKUP(($F$16-$F$15)*2-1,U$99:Y116,5,FALSE)))*EXP(-(LN(2)/$D$65+0.04)*X116)*EXP(-(LN(2)/$D$65+0.1)*Y116),"-"))),"-")</f>
        <v>-</v>
      </c>
      <c r="AB117" s="271" t="str">
        <f>IFERROR(IF(V117=1,AB$100*EXP(-(LN(2)/$D$65+0.04)*X117)*EXP(-(LN(2)/$D$65+0.1)*Y117),IF(V117=2,AB$100*EXP(-(LN(2)/$D$65+0.04)*(VLOOKUP(($F$16-$F$15)-1,U$100:Y117,4,FALSE)))*EXP(-(LN(2)/$D$65+0.1)*(VLOOKUP(($F$16-$F$15)-1,U$100:Y117,5,FALSE)))*EXP(-(LN(2)/$D$65+0.04)*X117)*EXP(-(LN(2)/$D$65+0.1)*Y117),IF(V117=3,AB$100*EXP(-(LN(2)/$D$65+0.04)*(VLOOKUP(($F$16-$F$15)-1,U$100:Y117,4,FALSE)))*EXP(-(LN(2)/$D$65+0.1)*(VLOOKUP(($F$16-$F$15)-1,U$100:Y117,5,FALSE)))*EXP(-(LN(2)/$D$65+0.04)*(VLOOKUP(($F$16-$F$15)*2-1,U$100:Y117,4,FALSE)))*EXP(-(LN(2)/$D$65+0.1)*(VLOOKUP(($F$16-$F$15)*2-1,U$100:Y117,5,FALSE)))*EXP(-(LN(2)/$D$65+0.04)*X117)*EXP(-(LN(2)/$D$65+0.1)*Y117),"-"))),"-")</f>
        <v>-</v>
      </c>
      <c r="AC117" s="224">
        <f t="shared" si="45"/>
        <v>17</v>
      </c>
      <c r="AD117" s="223" t="str">
        <f t="shared" si="18"/>
        <v>-</v>
      </c>
      <c r="AE117" s="224" t="str">
        <f t="shared" si="46"/>
        <v>-</v>
      </c>
      <c r="AF117" s="224" t="str">
        <f t="shared" si="19"/>
        <v>-</v>
      </c>
      <c r="AG117" s="224" t="str">
        <f t="shared" si="20"/>
        <v>-</v>
      </c>
      <c r="AH117" s="272">
        <f t="shared" si="47"/>
        <v>0.1</v>
      </c>
      <c r="AI117" s="271" t="str">
        <f>IFERROR(IF(AD116=1,AI$100*EXP(-(LN(2)/$D$65+0.04)*AF116)*EXP(-(LN(2)/$D$65+0.1)*AG116),IF(AD116=2,AI$100*EXP(-(LN(2)/$D$65+0.04)*(VLOOKUP(($F$16-$F$15)-1,AC$99:AG116,4,FALSE)))*EXP(-(LN(2)/$D$65+0.1)*(VLOOKUP(($F$16-$F$15)-1,AC$99:AG116,5,FALSE)))*EXP(-(LN(2)/$D$65+0.04)*AF116)*EXP(-(LN(2)/$D$65+0.1)*AG116),IF(AD116=3,AI$100*EXP(-(LN(2)/$D$65+0.04)*(VLOOKUP(($F$16-$F$15)-1,AC$99:AG116,4,FALSE)))*EXP(-(LN(2)/$D$65+0.1)*(VLOOKUP(($F$16-$F$15)-1,AC$99:AG116,5,FALSE)))*EXP(-(LN(2)/$D$65+0.04)*(VLOOKUP(($F$16-$F$15)*2-1,AC$99:AG116,4,FALSE)))*EXP(-(LN(2)/$D$65+0.1)*(VLOOKUP(($F$16-$F$15)*2-1,AC$99:AG116,5,FALSE)))*EXP(-(LN(2)/$D$65+0.04)*AF116)*EXP(-(LN(2)/$D$65+0.1)*AG116),"-"))),"-")</f>
        <v>-</v>
      </c>
      <c r="AJ117" s="271" t="str">
        <f>IFERROR(IF(AD117=1,AJ$100*EXP(-(LN(2)/$D$65+0.04)*AF117)*EXP(-(LN(2)/$D$65+0.1)*AG117),IF(AD117=2,AJ$100*EXP(-(LN(2)/$D$65+0.04)*(VLOOKUP(($F$16-$F$15)-1,AC$100:AG117,4,FALSE)))*EXP(-(LN(2)/$D$65+0.1)*(VLOOKUP(($F$16-$F$15)-1,AC$100:AG117,5,FALSE)))*EXP(-(LN(2)/$D$65+0.04)*AF117)*EXP(-(LN(2)/$D$65+0.1)*AG117),IF(AD117=3,AJ$100*EXP(-(LN(2)/$D$65+0.04)*(VLOOKUP(($F$16-$F$15)-1,AC$100:AG117,4,FALSE)))*EXP(-(LN(2)/$D$65+0.1)*(VLOOKUP(($F$16-$F$15)-1,AC$100:AG117,5,FALSE)))*EXP(-(LN(2)/$D$65+0.04)*(VLOOKUP(($F$16-$F$15)*2-1,AC$100:AG117,4,FALSE)))*EXP(-(LN(2)/$D$65+0.1)*(VLOOKUP(($F$16-$F$15)*2-1,AC$100:AG117,5,FALSE)))*EXP(-(LN(2)/$D$65+0.04)*AF117)*EXP(-(LN(2)/$D$65+0.1)*AG117),"-"))),"-")</f>
        <v>-</v>
      </c>
      <c r="AK117" s="227">
        <f t="shared" si="49"/>
        <v>17</v>
      </c>
      <c r="AL117" s="226" t="str">
        <f t="shared" si="22"/>
        <v>-</v>
      </c>
      <c r="AM117" s="227" t="str">
        <f t="shared" si="50"/>
        <v>-</v>
      </c>
      <c r="AN117" s="227" t="str">
        <f t="shared" si="51"/>
        <v>-</v>
      </c>
      <c r="AO117" s="227" t="str">
        <f t="shared" si="23"/>
        <v>-</v>
      </c>
      <c r="AP117" s="273">
        <f t="shared" si="52"/>
        <v>0.1</v>
      </c>
      <c r="AQ117" s="271" t="str">
        <f>IFERROR(IF(AL116=1,AQ$100*EXP(-(LN(2)/$D$65+0.04)*AN116)*EXP(-(LN(2)/$D$65+0.1)*AO116),IF(AL116=2,AQ$100*EXP(-(LN(2)/$D$65+0.04)*(VLOOKUP(($F$16-$F$15)-1,AK$99:AO116,4,FALSE)))*EXP(-(LN(2)/$D$65+0.1)*(VLOOKUP(($F$16-$F$15)-1,AK$99:AO116,5,FALSE)))*EXP(-(LN(2)/$D$65+0.04)*AN116)*EXP(-(LN(2)/$D$65+0.1)*AO116),IF(AL116=3,AQ$100*EXP(-(LN(2)/$D$65+0.04)*(VLOOKUP(($F$16-$F$15)-1,AK$99:AO116,4,FALSE)))*EXP(-(LN(2)/$D$65+0.1)*(VLOOKUP(($F$16-$F$15)-1,AK$99:AO116,5,FALSE)))*EXP(-(LN(2)/$D$65+0.04)*(VLOOKUP(($F$16-$F$15)*2-1,AK$99:AO116,4,FALSE)))*EXP(-(LN(2)/$D$65+0.1)*(VLOOKUP(($F$16-$F$15)*2-1,AK$99:AO116,5,FALSE)))*EXP(-(LN(2)/$D$65+0.04)*AN116)*EXP(-(LN(2)/$D$65+0.1)*AO116),"-"))),"-")</f>
        <v>-</v>
      </c>
      <c r="AR117" s="271" t="str">
        <f>IFERROR(IF(AL117=1,AR$100*EXP(-(LN(2)/$D$65+0.04)*AN117)*EXP(-(LN(2)/$D$65+0.1)*AO117),IF(AL117=2,AR$100*EXP(-(LN(2)/$D$65+0.04)*(VLOOKUP(($F$16-$F$15)-1,AK$100:AO117,4,FALSE)))*EXP(-(LN(2)/$D$65+0.1)*(VLOOKUP(($F$16-$F$15)-1,AK$100:AO117,5,FALSE)))*EXP(-(LN(2)/$D$65+0.04)*AN117)*EXP(-(LN(2)/$D$65+0.1)*AO117),IF(AL117=3,AR$100*EXP(-(LN(2)/$D$65+0.04)*(VLOOKUP(($F$16-$F$15)-1,AK$100:AO117,4,FALSE)))*EXP(-(LN(2)/$D$65+0.1)*(VLOOKUP(($F$16-$F$15)-1,AK$100:AO117,5,FALSE)))*EXP(-(LN(2)/$D$65+0.04)*(VLOOKUP(($F$16-$F$15)*2-1,AK$100:AO117,4,FALSE)))*EXP(-(LN(2)/$D$65+0.1)*(VLOOKUP(($F$16-$F$15)*2-1,AK$100:AO117,5,FALSE)))*EXP(-(LN(2)/$D$65+0.04)*AN117)*EXP(-(LN(2)/$D$65+0.1)*AO117),"-"))),"-")</f>
        <v>-</v>
      </c>
      <c r="AS117" s="274">
        <f t="shared" si="24"/>
        <v>0</v>
      </c>
      <c r="AT117" s="274">
        <f t="shared" si="25"/>
        <v>0</v>
      </c>
      <c r="AU117" s="274">
        <f t="shared" si="26"/>
        <v>0</v>
      </c>
      <c r="AV117" s="275">
        <f>IF($B117&lt;$F$22,SUM($T$100:$T117),"")</f>
        <v>0</v>
      </c>
      <c r="AW117" s="275" t="str">
        <f t="shared" si="55"/>
        <v>-</v>
      </c>
      <c r="AX117" s="275" t="str">
        <f t="shared" si="56"/>
        <v/>
      </c>
      <c r="AY117"/>
      <c r="AZ117" s="275" t="str">
        <f ca="1">IF(ISNUMBER(OFFSET(AV117,-$F$21,0)),SUM(OFFSET($T$100,$F$21,0):$T117),"")</f>
        <v/>
      </c>
      <c r="BA117" s="275" t="str">
        <f t="shared" ca="1" si="27"/>
        <v/>
      </c>
      <c r="BB117" s="275" t="str">
        <f t="shared" ca="1" si="57"/>
        <v/>
      </c>
      <c r="BC117" s="190"/>
      <c r="BD117" s="275" t="str">
        <f ca="1">IFERROR(IF(OR(ISNUMBER(I),ISNUMBER($F$14)),IF(AND($B117&gt;=($F$16-$F$15),$B117&lt;$F$22+($F$16-$F$15)),SUM(OFFSET($T$100,($F$16-$F$15),0):$T117),""),""),"")</f>
        <v/>
      </c>
      <c r="BE117" s="275" t="str">
        <f t="shared" ca="1" si="58"/>
        <v/>
      </c>
      <c r="BF117" s="275" t="str">
        <f t="shared" ca="1" si="59"/>
        <v/>
      </c>
      <c r="BG117"/>
      <c r="BH117" s="190" t="str">
        <f ca="1">IF(ISNUMBER(OFFSET(BD117,-$F$21,0)),SUM(OFFSET($T$100,($F$16-$F$15+$F$21),0):$T117),"")</f>
        <v/>
      </c>
      <c r="BI117" s="190" t="str">
        <f t="shared" ca="1" si="28"/>
        <v/>
      </c>
      <c r="BJ117" s="190" t="str">
        <f t="shared" ca="1" si="60"/>
        <v/>
      </c>
      <c r="BK117" s="190"/>
      <c r="BL117" s="275" t="str">
        <f ca="1">IFERROR(IF(OR(ISNUMBER(I),ISNUMBER($F$14)),IF(AND($B117&gt;=($F$17-$F$15),$B117&lt;$F$22+($F$17-$F$15)),SUM(OFFSET($T$100,($F$17-$F$15),0):$T117),""),""),"")</f>
        <v/>
      </c>
      <c r="BM117" s="275" t="str">
        <f t="shared" ca="1" si="29"/>
        <v/>
      </c>
      <c r="BN117" s="275" t="str">
        <f t="shared" ca="1" si="61"/>
        <v/>
      </c>
      <c r="BO117"/>
      <c r="BP117" s="275" t="str">
        <f ca="1">IF(ISNUMBER(OFFSET(BL117,-$F$21,0)),SUM(OFFSET($T$100,($F$17-$F$15+$F$21),0):$T117),"")</f>
        <v/>
      </c>
      <c r="BQ117" s="275" t="str">
        <f t="shared" ca="1" si="62"/>
        <v/>
      </c>
      <c r="BR117" s="275" t="str">
        <f t="shared" ca="1" si="63"/>
        <v/>
      </c>
      <c r="BS117" s="190"/>
      <c r="BT117"/>
      <c r="BU117" s="276" t="str">
        <f t="shared" si="64"/>
        <v>end</v>
      </c>
      <c r="BV117" s="277">
        <v>17</v>
      </c>
      <c r="BW117" s="278" t="str">
        <f t="shared" si="69"/>
        <v/>
      </c>
      <c r="BX117" s="278" t="str">
        <f t="shared" si="68"/>
        <v/>
      </c>
      <c r="BY117" s="279" t="str">
        <f t="shared" si="65"/>
        <v/>
      </c>
      <c r="BZ117"/>
      <c r="CA117" s="280" t="str">
        <f t="shared" si="30"/>
        <v>-</v>
      </c>
      <c r="CB117" s="71" t="str">
        <f t="shared" si="31"/>
        <v>-</v>
      </c>
      <c r="CC117" s="33" t="str">
        <f t="shared" si="32"/>
        <v>17-18</v>
      </c>
      <c r="CD117" s="261" t="str">
        <f t="shared" si="33"/>
        <v/>
      </c>
      <c r="CE117" s="280" t="str">
        <f t="shared" si="34"/>
        <v>-</v>
      </c>
      <c r="CF117" s="71" t="str">
        <f t="shared" ca="1" si="35"/>
        <v>-</v>
      </c>
      <c r="CG117" s="33" t="str">
        <f t="shared" si="36"/>
        <v>17-18</v>
      </c>
      <c r="CH117" s="261" t="str">
        <f t="shared" ca="1" si="37"/>
        <v/>
      </c>
      <c r="CI117" s="202"/>
      <c r="CJ117" s="99"/>
      <c r="CK117" s="99"/>
      <c r="CL117" s="99"/>
      <c r="CM117" s="99"/>
      <c r="CN117" s="99"/>
      <c r="CO117" s="99"/>
    </row>
    <row r="118" spans="2:93" ht="13.5" customHeight="1" x14ac:dyDescent="0.2">
      <c r="B118" s="262">
        <v>18</v>
      </c>
      <c r="C118" s="237" t="str">
        <f t="shared" si="1"/>
        <v/>
      </c>
      <c r="D118" s="237" t="str">
        <f t="shared" si="66"/>
        <v>-</v>
      </c>
      <c r="E118" s="290" t="str">
        <f t="shared" si="38"/>
        <v/>
      </c>
      <c r="F118" s="264" t="str">
        <f t="shared" si="39"/>
        <v/>
      </c>
      <c r="G118" s="291" t="str">
        <f t="shared" si="40"/>
        <v/>
      </c>
      <c r="H118" s="240" t="str">
        <f t="shared" si="41"/>
        <v/>
      </c>
      <c r="I118" s="265" t="str">
        <f t="shared" si="2"/>
        <v/>
      </c>
      <c r="J118" s="265" t="str">
        <f t="shared" si="3"/>
        <v/>
      </c>
      <c r="K118" s="240" t="str">
        <f t="shared" si="4"/>
        <v/>
      </c>
      <c r="L118" s="265" t="str">
        <f t="shared" si="5"/>
        <v/>
      </c>
      <c r="M118" s="265" t="str">
        <f t="shared" si="6"/>
        <v/>
      </c>
      <c r="N118" s="240" t="str">
        <f t="shared" si="7"/>
        <v>-</v>
      </c>
      <c r="O118" s="265" t="str">
        <f t="shared" si="8"/>
        <v>-</v>
      </c>
      <c r="P118" s="265" t="str">
        <f t="shared" si="9"/>
        <v>-</v>
      </c>
      <c r="Q118" s="266" t="str">
        <f t="shared" si="10"/>
        <v>-</v>
      </c>
      <c r="R118" s="267" t="str">
        <f t="shared" si="11"/>
        <v>-</v>
      </c>
      <c r="S118" s="268" t="str">
        <f t="shared" si="12"/>
        <v>-</v>
      </c>
      <c r="T118" s="269" t="str">
        <f t="shared" si="13"/>
        <v/>
      </c>
      <c r="U118" s="221">
        <f t="shared" si="14"/>
        <v>18</v>
      </c>
      <c r="V118" s="220" t="str">
        <f t="shared" si="42"/>
        <v>-</v>
      </c>
      <c r="W118" s="221" t="str">
        <f t="shared" si="43"/>
        <v>-</v>
      </c>
      <c r="X118" s="221" t="str">
        <f t="shared" si="15"/>
        <v>-</v>
      </c>
      <c r="Y118" s="221" t="str">
        <f t="shared" si="16"/>
        <v>-</v>
      </c>
      <c r="Z118" s="270">
        <f t="shared" si="44"/>
        <v>0.1</v>
      </c>
      <c r="AA118" s="271" t="str">
        <f>IFERROR(IF(V117=1,AA$100*EXP(-(LN(2)/$D$65+0.04)*X117)*EXP(-(LN(2)/$D$65+0.1)*Y117),IF(V117=2,AA$100*EXP(-(LN(2)/$D$65+0.04)*(VLOOKUP(($F$16-$F$15)-1,U$99:Y117,4,FALSE)))*EXP(-(LN(2)/$D$65+0.1)*(VLOOKUP(($F$16-$F$15)-1,U$99:Y117,5,FALSE)))*EXP(-(LN(2)/$D$65+0.04)*X117)*EXP(-(LN(2)/$D$65+0.1)*Y117),IF(V117=3,AA$100*EXP(-(LN(2)/$D$65+0.04)*(VLOOKUP(($F$16-$F$15)-1,U$99:Y117,4,FALSE)))*EXP(-(LN(2)/$D$65+0.1)*(VLOOKUP(($F$16-$F$15)-1,U$99:Y117,5,FALSE)))*EXP(-(LN(2)/$D$65+0.04)*(VLOOKUP(($F$16-$F$15)*2-1,U$99:Y117,4,FALSE)))*EXP(-(LN(2)/$D$65+0.1)*(VLOOKUP(($F$16-$F$15)*2-1,U$99:Y117,5,FALSE)))*EXP(-(LN(2)/$D$65+0.04)*X117)*EXP(-(LN(2)/$D$65+0.1)*Y117),"-"))),"-")</f>
        <v>-</v>
      </c>
      <c r="AB118" s="271" t="str">
        <f>IFERROR(IF(V118=1,AB$100*EXP(-(LN(2)/$D$65+0.04)*X118)*EXP(-(LN(2)/$D$65+0.1)*Y118),IF(V118=2,AB$100*EXP(-(LN(2)/$D$65+0.04)*(VLOOKUP(($F$16-$F$15)-1,U$100:Y118,4,FALSE)))*EXP(-(LN(2)/$D$65+0.1)*(VLOOKUP(($F$16-$F$15)-1,U$100:Y118,5,FALSE)))*EXP(-(LN(2)/$D$65+0.04)*X118)*EXP(-(LN(2)/$D$65+0.1)*Y118),IF(V118=3,AB$100*EXP(-(LN(2)/$D$65+0.04)*(VLOOKUP(($F$16-$F$15)-1,U$100:Y118,4,FALSE)))*EXP(-(LN(2)/$D$65+0.1)*(VLOOKUP(($F$16-$F$15)-1,U$100:Y118,5,FALSE)))*EXP(-(LN(2)/$D$65+0.04)*(VLOOKUP(($F$16-$F$15)*2-1,U$100:Y118,4,FALSE)))*EXP(-(LN(2)/$D$65+0.1)*(VLOOKUP(($F$16-$F$15)*2-1,U$100:Y118,5,FALSE)))*EXP(-(LN(2)/$D$65+0.04)*X118)*EXP(-(LN(2)/$D$65+0.1)*Y118),"-"))),"-")</f>
        <v>-</v>
      </c>
      <c r="AC118" s="224">
        <f t="shared" si="45"/>
        <v>18</v>
      </c>
      <c r="AD118" s="223" t="str">
        <f t="shared" si="18"/>
        <v>-</v>
      </c>
      <c r="AE118" s="224" t="str">
        <f t="shared" si="46"/>
        <v>-</v>
      </c>
      <c r="AF118" s="224" t="str">
        <f t="shared" si="19"/>
        <v>-</v>
      </c>
      <c r="AG118" s="224" t="str">
        <f t="shared" si="20"/>
        <v>-</v>
      </c>
      <c r="AH118" s="272">
        <f t="shared" si="47"/>
        <v>0.1</v>
      </c>
      <c r="AI118" s="271" t="str">
        <f>IFERROR(IF(AD117=1,AI$100*EXP(-(LN(2)/$D$65+0.04)*AF117)*EXP(-(LN(2)/$D$65+0.1)*AG117),IF(AD117=2,AI$100*EXP(-(LN(2)/$D$65+0.04)*(VLOOKUP(($F$16-$F$15)-1,AC$99:AG117,4,FALSE)))*EXP(-(LN(2)/$D$65+0.1)*(VLOOKUP(($F$16-$F$15)-1,AC$99:AG117,5,FALSE)))*EXP(-(LN(2)/$D$65+0.04)*AF117)*EXP(-(LN(2)/$D$65+0.1)*AG117),IF(AD117=3,AI$100*EXP(-(LN(2)/$D$65+0.04)*(VLOOKUP(($F$16-$F$15)-1,AC$99:AG117,4,FALSE)))*EXP(-(LN(2)/$D$65+0.1)*(VLOOKUP(($F$16-$F$15)-1,AC$99:AG117,5,FALSE)))*EXP(-(LN(2)/$D$65+0.04)*(VLOOKUP(($F$16-$F$15)*2-1,AC$99:AG117,4,FALSE)))*EXP(-(LN(2)/$D$65+0.1)*(VLOOKUP(($F$16-$F$15)*2-1,AC$99:AG117,5,FALSE)))*EXP(-(LN(2)/$D$65+0.04)*AF117)*EXP(-(LN(2)/$D$65+0.1)*AG117),"-"))),"-")</f>
        <v>-</v>
      </c>
      <c r="AJ118" s="271" t="str">
        <f>IFERROR(IF(AD118=1,AJ$100*EXP(-(LN(2)/$D$65+0.04)*AF118)*EXP(-(LN(2)/$D$65+0.1)*AG118),IF(AD118=2,AJ$100*EXP(-(LN(2)/$D$65+0.04)*(VLOOKUP(($F$16-$F$15)-1,AC$100:AG118,4,FALSE)))*EXP(-(LN(2)/$D$65+0.1)*(VLOOKUP(($F$16-$F$15)-1,AC$100:AG118,5,FALSE)))*EXP(-(LN(2)/$D$65+0.04)*AF118)*EXP(-(LN(2)/$D$65+0.1)*AG118),IF(AD118=3,AJ$100*EXP(-(LN(2)/$D$65+0.04)*(VLOOKUP(($F$16-$F$15)-1,AC$100:AG118,4,FALSE)))*EXP(-(LN(2)/$D$65+0.1)*(VLOOKUP(($F$16-$F$15)-1,AC$100:AG118,5,FALSE)))*EXP(-(LN(2)/$D$65+0.04)*(VLOOKUP(($F$16-$F$15)*2-1,AC$100:AG118,4,FALSE)))*EXP(-(LN(2)/$D$65+0.1)*(VLOOKUP(($F$16-$F$15)*2-1,AC$100:AG118,5,FALSE)))*EXP(-(LN(2)/$D$65+0.04)*AF118)*EXP(-(LN(2)/$D$65+0.1)*AG118),"-"))),"-")</f>
        <v>-</v>
      </c>
      <c r="AK118" s="227">
        <f t="shared" si="49"/>
        <v>18</v>
      </c>
      <c r="AL118" s="226" t="str">
        <f t="shared" si="22"/>
        <v>-</v>
      </c>
      <c r="AM118" s="227" t="str">
        <f t="shared" si="50"/>
        <v>-</v>
      </c>
      <c r="AN118" s="227" t="str">
        <f t="shared" si="51"/>
        <v>-</v>
      </c>
      <c r="AO118" s="227" t="str">
        <f t="shared" si="23"/>
        <v>-</v>
      </c>
      <c r="AP118" s="273">
        <f t="shared" si="52"/>
        <v>0.1</v>
      </c>
      <c r="AQ118" s="271" t="str">
        <f>IFERROR(IF(AL117=1,AQ$100*EXP(-(LN(2)/$D$65+0.04)*AN117)*EXP(-(LN(2)/$D$65+0.1)*AO117),IF(AL117=2,AQ$100*EXP(-(LN(2)/$D$65+0.04)*(VLOOKUP(($F$16-$F$15)-1,AK$99:AO117,4,FALSE)))*EXP(-(LN(2)/$D$65+0.1)*(VLOOKUP(($F$16-$F$15)-1,AK$99:AO117,5,FALSE)))*EXP(-(LN(2)/$D$65+0.04)*AN117)*EXP(-(LN(2)/$D$65+0.1)*AO117),IF(AL117=3,AQ$100*EXP(-(LN(2)/$D$65+0.04)*(VLOOKUP(($F$16-$F$15)-1,AK$99:AO117,4,FALSE)))*EXP(-(LN(2)/$D$65+0.1)*(VLOOKUP(($F$16-$F$15)-1,AK$99:AO117,5,FALSE)))*EXP(-(LN(2)/$D$65+0.04)*(VLOOKUP(($F$16-$F$15)*2-1,AK$99:AO117,4,FALSE)))*EXP(-(LN(2)/$D$65+0.1)*(VLOOKUP(($F$16-$F$15)*2-1,AK$99:AO117,5,FALSE)))*EXP(-(LN(2)/$D$65+0.04)*AN117)*EXP(-(LN(2)/$D$65+0.1)*AO117),"-"))),"-")</f>
        <v>-</v>
      </c>
      <c r="AR118" s="271" t="str">
        <f>IFERROR(IF(AL118=1,AR$100*EXP(-(LN(2)/$D$65+0.04)*AN118)*EXP(-(LN(2)/$D$65+0.1)*AO118),IF(AL118=2,AR$100*EXP(-(LN(2)/$D$65+0.04)*(VLOOKUP(($F$16-$F$15)-1,AK$100:AO118,4,FALSE)))*EXP(-(LN(2)/$D$65+0.1)*(VLOOKUP(($F$16-$F$15)-1,AK$100:AO118,5,FALSE)))*EXP(-(LN(2)/$D$65+0.04)*AN118)*EXP(-(LN(2)/$D$65+0.1)*AO118),IF(AL118=3,AR$100*EXP(-(LN(2)/$D$65+0.04)*(VLOOKUP(($F$16-$F$15)-1,AK$100:AO118,4,FALSE)))*EXP(-(LN(2)/$D$65+0.1)*(VLOOKUP(($F$16-$F$15)-1,AK$100:AO118,5,FALSE)))*EXP(-(LN(2)/$D$65+0.04)*(VLOOKUP(($F$16-$F$15)*2-1,AK$100:AO118,4,FALSE)))*EXP(-(LN(2)/$D$65+0.1)*(VLOOKUP(($F$16-$F$15)*2-1,AK$100:AO118,5,FALSE)))*EXP(-(LN(2)/$D$65+0.04)*AN118)*EXP(-(LN(2)/$D$65+0.1)*AO118),"-"))),"-")</f>
        <v>-</v>
      </c>
      <c r="AS118" s="274">
        <f t="shared" si="24"/>
        <v>0</v>
      </c>
      <c r="AT118" s="274">
        <f t="shared" si="25"/>
        <v>0</v>
      </c>
      <c r="AU118" s="274">
        <f t="shared" si="26"/>
        <v>0</v>
      </c>
      <c r="AV118" s="275">
        <f>IF($B118&lt;$F$22,SUM($T$100:$T118),"")</f>
        <v>0</v>
      </c>
      <c r="AW118" s="275" t="str">
        <f t="shared" si="55"/>
        <v>-</v>
      </c>
      <c r="AX118" s="275" t="str">
        <f t="shared" si="56"/>
        <v/>
      </c>
      <c r="AY118"/>
      <c r="AZ118" s="275" t="str">
        <f ca="1">IF(ISNUMBER(OFFSET(AV118,-$F$21,0)),SUM(OFFSET($T$100,$F$21,0):$T118),"")</f>
        <v/>
      </c>
      <c r="BA118" s="275" t="str">
        <f t="shared" ca="1" si="27"/>
        <v/>
      </c>
      <c r="BB118" s="275" t="str">
        <f t="shared" ca="1" si="57"/>
        <v/>
      </c>
      <c r="BC118" s="190"/>
      <c r="BD118" s="275" t="str">
        <f ca="1">IFERROR(IF(OR(ISNUMBER(I),ISNUMBER($F$14)),IF(AND($B118&gt;=($F$16-$F$15),$B118&lt;$F$22+($F$16-$F$15)),SUM(OFFSET($T$100,($F$16-$F$15),0):$T118),""),""),"")</f>
        <v/>
      </c>
      <c r="BE118" s="275" t="str">
        <f t="shared" ca="1" si="58"/>
        <v/>
      </c>
      <c r="BF118" s="275" t="str">
        <f t="shared" ca="1" si="59"/>
        <v/>
      </c>
      <c r="BG118"/>
      <c r="BH118" s="190" t="str">
        <f ca="1">IF(ISNUMBER(OFFSET(BD118,-$F$21,0)),SUM(OFFSET($T$100,($F$16-$F$15+$F$21),0):$T118),"")</f>
        <v/>
      </c>
      <c r="BI118" s="190" t="str">
        <f t="shared" ca="1" si="28"/>
        <v/>
      </c>
      <c r="BJ118" s="190" t="str">
        <f t="shared" ca="1" si="60"/>
        <v/>
      </c>
      <c r="BK118" s="190"/>
      <c r="BL118" s="275" t="str">
        <f ca="1">IFERROR(IF(OR(ISNUMBER(I),ISNUMBER($F$14)),IF(AND($B118&gt;=($F$17-$F$15),$B118&lt;$F$22+($F$17-$F$15)),SUM(OFFSET($T$100,($F$17-$F$15),0):$T118),""),""),"")</f>
        <v/>
      </c>
      <c r="BM118" s="275" t="str">
        <f t="shared" ca="1" si="29"/>
        <v/>
      </c>
      <c r="BN118" s="275" t="str">
        <f t="shared" ca="1" si="61"/>
        <v/>
      </c>
      <c r="BO118"/>
      <c r="BP118" s="275" t="str">
        <f ca="1">IF(ISNUMBER(OFFSET(BL118,-$F$21,0)),SUM(OFFSET($T$100,($F$17-$F$15+$F$21),0):$T118),"")</f>
        <v/>
      </c>
      <c r="BQ118" s="275" t="str">
        <f t="shared" ca="1" si="62"/>
        <v/>
      </c>
      <c r="BR118" s="275" t="str">
        <f t="shared" ca="1" si="63"/>
        <v/>
      </c>
      <c r="BS118" s="190"/>
      <c r="BT118"/>
      <c r="BU118" s="276" t="str">
        <f t="shared" si="64"/>
        <v>end</v>
      </c>
      <c r="BV118" s="277">
        <v>18</v>
      </c>
      <c r="BW118" s="278" t="str">
        <f t="shared" si="69"/>
        <v/>
      </c>
      <c r="BX118" s="278" t="str">
        <f t="shared" si="68"/>
        <v/>
      </c>
      <c r="BY118" s="279" t="str">
        <f t="shared" si="65"/>
        <v/>
      </c>
      <c r="BZ118"/>
      <c r="CA118" s="280" t="str">
        <f t="shared" si="30"/>
        <v>-</v>
      </c>
      <c r="CB118" s="71" t="str">
        <f t="shared" si="31"/>
        <v>-</v>
      </c>
      <c r="CC118" s="33" t="str">
        <f t="shared" si="32"/>
        <v>18-19</v>
      </c>
      <c r="CD118" s="261" t="str">
        <f t="shared" si="33"/>
        <v/>
      </c>
      <c r="CE118" s="280" t="str">
        <f t="shared" si="34"/>
        <v>-</v>
      </c>
      <c r="CF118" s="71" t="str">
        <f t="shared" ca="1" si="35"/>
        <v>-</v>
      </c>
      <c r="CG118" s="33" t="str">
        <f t="shared" si="36"/>
        <v>18-19</v>
      </c>
      <c r="CH118" s="261" t="str">
        <f t="shared" ca="1" si="37"/>
        <v/>
      </c>
      <c r="CI118" s="202"/>
      <c r="CJ118" s="99"/>
      <c r="CK118" s="99"/>
      <c r="CL118" s="99"/>
      <c r="CM118" s="99"/>
      <c r="CN118" s="99"/>
      <c r="CO118" s="99"/>
    </row>
    <row r="119" spans="2:93" ht="13.5" customHeight="1" x14ac:dyDescent="0.2">
      <c r="B119" s="262">
        <v>19</v>
      </c>
      <c r="C119" s="237" t="str">
        <f t="shared" si="1"/>
        <v/>
      </c>
      <c r="D119" s="237" t="str">
        <f t="shared" si="66"/>
        <v>-</v>
      </c>
      <c r="E119" s="290" t="str">
        <f t="shared" si="38"/>
        <v/>
      </c>
      <c r="F119" s="264" t="str">
        <f t="shared" si="39"/>
        <v/>
      </c>
      <c r="G119" s="291" t="str">
        <f t="shared" si="40"/>
        <v/>
      </c>
      <c r="H119" s="240" t="str">
        <f t="shared" si="41"/>
        <v/>
      </c>
      <c r="I119" s="265" t="str">
        <f t="shared" si="2"/>
        <v/>
      </c>
      <c r="J119" s="265" t="str">
        <f t="shared" si="3"/>
        <v/>
      </c>
      <c r="K119" s="240" t="str">
        <f t="shared" si="4"/>
        <v/>
      </c>
      <c r="L119" s="265" t="str">
        <f t="shared" si="5"/>
        <v/>
      </c>
      <c r="M119" s="265" t="str">
        <f t="shared" si="6"/>
        <v/>
      </c>
      <c r="N119" s="240" t="str">
        <f t="shared" si="7"/>
        <v>-</v>
      </c>
      <c r="O119" s="265" t="str">
        <f t="shared" si="8"/>
        <v>-</v>
      </c>
      <c r="P119" s="265" t="str">
        <f t="shared" si="9"/>
        <v>-</v>
      </c>
      <c r="Q119" s="266" t="str">
        <f t="shared" si="10"/>
        <v>-</v>
      </c>
      <c r="R119" s="267" t="str">
        <f t="shared" si="11"/>
        <v>-</v>
      </c>
      <c r="S119" s="268" t="str">
        <f t="shared" si="12"/>
        <v>-</v>
      </c>
      <c r="T119" s="269" t="str">
        <f t="shared" si="13"/>
        <v/>
      </c>
      <c r="U119" s="221">
        <f t="shared" si="14"/>
        <v>19</v>
      </c>
      <c r="V119" s="220" t="str">
        <f t="shared" si="42"/>
        <v>-</v>
      </c>
      <c r="W119" s="221" t="str">
        <f t="shared" si="43"/>
        <v>-</v>
      </c>
      <c r="X119" s="221" t="str">
        <f t="shared" si="15"/>
        <v>-</v>
      </c>
      <c r="Y119" s="221" t="str">
        <f t="shared" si="16"/>
        <v>-</v>
      </c>
      <c r="Z119" s="270">
        <f t="shared" si="44"/>
        <v>0.1</v>
      </c>
      <c r="AA119" s="271" t="str">
        <f>IFERROR(IF(V118=1,AA$100*EXP(-(LN(2)/$D$65+0.04)*X118)*EXP(-(LN(2)/$D$65+0.1)*Y118),IF(V118=2,AA$100*EXP(-(LN(2)/$D$65+0.04)*(VLOOKUP(($F$16-$F$15)-1,U$99:Y118,4,FALSE)))*EXP(-(LN(2)/$D$65+0.1)*(VLOOKUP(($F$16-$F$15)-1,U$99:Y118,5,FALSE)))*EXP(-(LN(2)/$D$65+0.04)*X118)*EXP(-(LN(2)/$D$65+0.1)*Y118),IF(V118=3,AA$100*EXP(-(LN(2)/$D$65+0.04)*(VLOOKUP(($F$16-$F$15)-1,U$99:Y118,4,FALSE)))*EXP(-(LN(2)/$D$65+0.1)*(VLOOKUP(($F$16-$F$15)-1,U$99:Y118,5,FALSE)))*EXP(-(LN(2)/$D$65+0.04)*(VLOOKUP(($F$16-$F$15)*2-1,U$99:Y118,4,FALSE)))*EXP(-(LN(2)/$D$65+0.1)*(VLOOKUP(($F$16-$F$15)*2-1,U$99:Y118,5,FALSE)))*EXP(-(LN(2)/$D$65+0.04)*X118)*EXP(-(LN(2)/$D$65+0.1)*Y118),"-"))),"-")</f>
        <v>-</v>
      </c>
      <c r="AB119" s="271" t="str">
        <f>IFERROR(IF(V119=1,AB$100*EXP(-(LN(2)/$D$65+0.04)*X119)*EXP(-(LN(2)/$D$65+0.1)*Y119),IF(V119=2,AB$100*EXP(-(LN(2)/$D$65+0.04)*(VLOOKUP(($F$16-$F$15)-1,U$100:Y119,4,FALSE)))*EXP(-(LN(2)/$D$65+0.1)*(VLOOKUP(($F$16-$F$15)-1,U$100:Y119,5,FALSE)))*EXP(-(LN(2)/$D$65+0.04)*X119)*EXP(-(LN(2)/$D$65+0.1)*Y119),IF(V119=3,AB$100*EXP(-(LN(2)/$D$65+0.04)*(VLOOKUP(($F$16-$F$15)-1,U$100:Y119,4,FALSE)))*EXP(-(LN(2)/$D$65+0.1)*(VLOOKUP(($F$16-$F$15)-1,U$100:Y119,5,FALSE)))*EXP(-(LN(2)/$D$65+0.04)*(VLOOKUP(($F$16-$F$15)*2-1,U$100:Y119,4,FALSE)))*EXP(-(LN(2)/$D$65+0.1)*(VLOOKUP(($F$16-$F$15)*2-1,U$100:Y119,5,FALSE)))*EXP(-(LN(2)/$D$65+0.04)*X119)*EXP(-(LN(2)/$D$65+0.1)*Y119),"-"))),"-")</f>
        <v>-</v>
      </c>
      <c r="AC119" s="224">
        <f t="shared" si="45"/>
        <v>19</v>
      </c>
      <c r="AD119" s="223" t="str">
        <f t="shared" si="18"/>
        <v>-</v>
      </c>
      <c r="AE119" s="224" t="str">
        <f t="shared" si="46"/>
        <v>-</v>
      </c>
      <c r="AF119" s="224" t="str">
        <f t="shared" si="19"/>
        <v>-</v>
      </c>
      <c r="AG119" s="224" t="str">
        <f t="shared" si="20"/>
        <v>-</v>
      </c>
      <c r="AH119" s="272">
        <f t="shared" si="47"/>
        <v>0.1</v>
      </c>
      <c r="AI119" s="271" t="str">
        <f>IFERROR(IF(AD118=1,AI$100*EXP(-(LN(2)/$D$65+0.04)*AF118)*EXP(-(LN(2)/$D$65+0.1)*AG118),IF(AD118=2,AI$100*EXP(-(LN(2)/$D$65+0.04)*(VLOOKUP(($F$16-$F$15)-1,AC$99:AG118,4,FALSE)))*EXP(-(LN(2)/$D$65+0.1)*(VLOOKUP(($F$16-$F$15)-1,AC$99:AG118,5,FALSE)))*EXP(-(LN(2)/$D$65+0.04)*AF118)*EXP(-(LN(2)/$D$65+0.1)*AG118),IF(AD118=3,AI$100*EXP(-(LN(2)/$D$65+0.04)*(VLOOKUP(($F$16-$F$15)-1,AC$99:AG118,4,FALSE)))*EXP(-(LN(2)/$D$65+0.1)*(VLOOKUP(($F$16-$F$15)-1,AC$99:AG118,5,FALSE)))*EXP(-(LN(2)/$D$65+0.04)*(VLOOKUP(($F$16-$F$15)*2-1,AC$99:AG118,4,FALSE)))*EXP(-(LN(2)/$D$65+0.1)*(VLOOKUP(($F$16-$F$15)*2-1,AC$99:AG118,5,FALSE)))*EXP(-(LN(2)/$D$65+0.04)*AF118)*EXP(-(LN(2)/$D$65+0.1)*AG118),"-"))),"-")</f>
        <v>-</v>
      </c>
      <c r="AJ119" s="271" t="str">
        <f>IFERROR(IF(AD119=1,AJ$100*EXP(-(LN(2)/$D$65+0.04)*AF119)*EXP(-(LN(2)/$D$65+0.1)*AG119),IF(AD119=2,AJ$100*EXP(-(LN(2)/$D$65+0.04)*(VLOOKUP(($F$16-$F$15)-1,AC$100:AG119,4,FALSE)))*EXP(-(LN(2)/$D$65+0.1)*(VLOOKUP(($F$16-$F$15)-1,AC$100:AG119,5,FALSE)))*EXP(-(LN(2)/$D$65+0.04)*AF119)*EXP(-(LN(2)/$D$65+0.1)*AG119),IF(AD119=3,AJ$100*EXP(-(LN(2)/$D$65+0.04)*(VLOOKUP(($F$16-$F$15)-1,AC$100:AG119,4,FALSE)))*EXP(-(LN(2)/$D$65+0.1)*(VLOOKUP(($F$16-$F$15)-1,AC$100:AG119,5,FALSE)))*EXP(-(LN(2)/$D$65+0.04)*(VLOOKUP(($F$16-$F$15)*2-1,AC$100:AG119,4,FALSE)))*EXP(-(LN(2)/$D$65+0.1)*(VLOOKUP(($F$16-$F$15)*2-1,AC$100:AG119,5,FALSE)))*EXP(-(LN(2)/$D$65+0.04)*AF119)*EXP(-(LN(2)/$D$65+0.1)*AG119),"-"))),"-")</f>
        <v>-</v>
      </c>
      <c r="AK119" s="227">
        <f t="shared" si="49"/>
        <v>19</v>
      </c>
      <c r="AL119" s="226" t="str">
        <f t="shared" si="22"/>
        <v>-</v>
      </c>
      <c r="AM119" s="227" t="str">
        <f t="shared" si="50"/>
        <v>-</v>
      </c>
      <c r="AN119" s="227" t="str">
        <f t="shared" si="51"/>
        <v>-</v>
      </c>
      <c r="AO119" s="227" t="str">
        <f t="shared" si="23"/>
        <v>-</v>
      </c>
      <c r="AP119" s="273">
        <f t="shared" si="52"/>
        <v>0.1</v>
      </c>
      <c r="AQ119" s="271" t="str">
        <f>IFERROR(IF(AL118=1,AQ$100*EXP(-(LN(2)/$D$65+0.04)*AN118)*EXP(-(LN(2)/$D$65+0.1)*AO118),IF(AL118=2,AQ$100*EXP(-(LN(2)/$D$65+0.04)*(VLOOKUP(($F$16-$F$15)-1,AK$99:AO118,4,FALSE)))*EXP(-(LN(2)/$D$65+0.1)*(VLOOKUP(($F$16-$F$15)-1,AK$99:AO118,5,FALSE)))*EXP(-(LN(2)/$D$65+0.04)*AN118)*EXP(-(LN(2)/$D$65+0.1)*AO118),IF(AL118=3,AQ$100*EXP(-(LN(2)/$D$65+0.04)*(VLOOKUP(($F$16-$F$15)-1,AK$99:AO118,4,FALSE)))*EXP(-(LN(2)/$D$65+0.1)*(VLOOKUP(($F$16-$F$15)-1,AK$99:AO118,5,FALSE)))*EXP(-(LN(2)/$D$65+0.04)*(VLOOKUP(($F$16-$F$15)*2-1,AK$99:AO118,4,FALSE)))*EXP(-(LN(2)/$D$65+0.1)*(VLOOKUP(($F$16-$F$15)*2-1,AK$99:AO118,5,FALSE)))*EXP(-(LN(2)/$D$65+0.04)*AN118)*EXP(-(LN(2)/$D$65+0.1)*AO118),"-"))),"-")</f>
        <v>-</v>
      </c>
      <c r="AR119" s="271" t="str">
        <f>IFERROR(IF(AL119=1,AR$100*EXP(-(LN(2)/$D$65+0.04)*AN119)*EXP(-(LN(2)/$D$65+0.1)*AO119),IF(AL119=2,AR$100*EXP(-(LN(2)/$D$65+0.04)*(VLOOKUP(($F$16-$F$15)-1,AK$100:AO119,4,FALSE)))*EXP(-(LN(2)/$D$65+0.1)*(VLOOKUP(($F$16-$F$15)-1,AK$100:AO119,5,FALSE)))*EXP(-(LN(2)/$D$65+0.04)*AN119)*EXP(-(LN(2)/$D$65+0.1)*AO119),IF(AL119=3,AR$100*EXP(-(LN(2)/$D$65+0.04)*(VLOOKUP(($F$16-$F$15)-1,AK$100:AO119,4,FALSE)))*EXP(-(LN(2)/$D$65+0.1)*(VLOOKUP(($F$16-$F$15)-1,AK$100:AO119,5,FALSE)))*EXP(-(LN(2)/$D$65+0.04)*(VLOOKUP(($F$16-$F$15)*2-1,AK$100:AO119,4,FALSE)))*EXP(-(LN(2)/$D$65+0.1)*(VLOOKUP(($F$16-$F$15)*2-1,AK$100:AO119,5,FALSE)))*EXP(-(LN(2)/$D$65+0.04)*AN119)*EXP(-(LN(2)/$D$65+0.1)*AO119),"-"))),"-")</f>
        <v>-</v>
      </c>
      <c r="AS119" s="274">
        <f t="shared" si="24"/>
        <v>0</v>
      </c>
      <c r="AT119" s="274">
        <f t="shared" si="25"/>
        <v>0</v>
      </c>
      <c r="AU119" s="274">
        <f t="shared" si="26"/>
        <v>0</v>
      </c>
      <c r="AV119" s="275">
        <f>IF($B119&lt;$F$22,SUM($T$100:$T119),"")</f>
        <v>0</v>
      </c>
      <c r="AW119" s="275" t="str">
        <f t="shared" si="55"/>
        <v>-</v>
      </c>
      <c r="AX119" s="275" t="str">
        <f t="shared" si="56"/>
        <v/>
      </c>
      <c r="AY119"/>
      <c r="AZ119" s="275" t="str">
        <f ca="1">IF(ISNUMBER(OFFSET(AV119,-$F$21,0)),SUM(OFFSET($T$100,$F$21,0):$T119),"")</f>
        <v/>
      </c>
      <c r="BA119" s="275" t="str">
        <f t="shared" ca="1" si="27"/>
        <v/>
      </c>
      <c r="BB119" s="275" t="str">
        <f t="shared" ca="1" si="57"/>
        <v/>
      </c>
      <c r="BC119" s="190"/>
      <c r="BD119" s="275" t="str">
        <f ca="1">IFERROR(IF(OR(ISNUMBER(I),ISNUMBER($F$14)),IF(AND($B119&gt;=($F$16-$F$15),$B119&lt;$F$22+($F$16-$F$15)),SUM(OFFSET($T$100,($F$16-$F$15),0):$T119),""),""),"")</f>
        <v/>
      </c>
      <c r="BE119" s="275" t="str">
        <f t="shared" ca="1" si="58"/>
        <v/>
      </c>
      <c r="BF119" s="275" t="str">
        <f t="shared" ca="1" si="59"/>
        <v/>
      </c>
      <c r="BG119"/>
      <c r="BH119" s="190" t="str">
        <f ca="1">IF(ISNUMBER(OFFSET(BD119,-$F$21,0)),SUM(OFFSET($T$100,($F$16-$F$15+$F$21),0):$T119),"")</f>
        <v/>
      </c>
      <c r="BI119" s="190" t="str">
        <f t="shared" ca="1" si="28"/>
        <v/>
      </c>
      <c r="BJ119" s="190" t="str">
        <f t="shared" ca="1" si="60"/>
        <v/>
      </c>
      <c r="BK119" s="190"/>
      <c r="BL119" s="275" t="str">
        <f ca="1">IFERROR(IF(OR(ISNUMBER(I),ISNUMBER($F$14)),IF(AND($B119&gt;=($F$17-$F$15),$B119&lt;$F$22+($F$17-$F$15)),SUM(OFFSET($T$100,($F$17-$F$15),0):$T119),""),""),"")</f>
        <v/>
      </c>
      <c r="BM119" s="275" t="str">
        <f t="shared" ca="1" si="29"/>
        <v/>
      </c>
      <c r="BN119" s="275" t="str">
        <f t="shared" ca="1" si="61"/>
        <v/>
      </c>
      <c r="BO119"/>
      <c r="BP119" s="275" t="str">
        <f ca="1">IF(ISNUMBER(OFFSET(BL119,-$F$21,0)),SUM(OFFSET($T$100,($F$17-$F$15+$F$21),0):$T119),"")</f>
        <v/>
      </c>
      <c r="BQ119" s="275" t="str">
        <f t="shared" ca="1" si="62"/>
        <v/>
      </c>
      <c r="BR119" s="275" t="str">
        <f t="shared" ca="1" si="63"/>
        <v/>
      </c>
      <c r="BS119" s="190"/>
      <c r="BT119"/>
      <c r="BU119" s="276" t="str">
        <f t="shared" si="64"/>
        <v>end</v>
      </c>
      <c r="BV119" s="277">
        <v>19</v>
      </c>
      <c r="BW119" s="278" t="str">
        <f t="shared" si="69"/>
        <v/>
      </c>
      <c r="BX119" s="278" t="str">
        <f t="shared" si="68"/>
        <v/>
      </c>
      <c r="BY119" s="279" t="str">
        <f t="shared" si="65"/>
        <v/>
      </c>
      <c r="BZ119"/>
      <c r="CA119" s="280" t="str">
        <f t="shared" si="30"/>
        <v>-</v>
      </c>
      <c r="CB119" s="71" t="str">
        <f t="shared" si="31"/>
        <v>-</v>
      </c>
      <c r="CC119" s="33" t="str">
        <f t="shared" si="32"/>
        <v>19-20</v>
      </c>
      <c r="CD119" s="261" t="str">
        <f t="shared" si="33"/>
        <v/>
      </c>
      <c r="CE119" s="280" t="str">
        <f t="shared" si="34"/>
        <v>-</v>
      </c>
      <c r="CF119" s="71" t="str">
        <f t="shared" ca="1" si="35"/>
        <v>-</v>
      </c>
      <c r="CG119" s="33" t="str">
        <f t="shared" si="36"/>
        <v>19-20</v>
      </c>
      <c r="CH119" s="261" t="str">
        <f t="shared" ca="1" si="37"/>
        <v/>
      </c>
      <c r="CI119" s="202"/>
      <c r="CJ119" s="99"/>
      <c r="CK119" s="99"/>
      <c r="CL119" s="99"/>
      <c r="CM119" s="99"/>
      <c r="CN119" s="99"/>
      <c r="CO119" s="99"/>
    </row>
    <row r="120" spans="2:93" ht="13.5" customHeight="1" x14ac:dyDescent="0.2">
      <c r="B120" s="262">
        <v>20</v>
      </c>
      <c r="C120" s="237" t="str">
        <f t="shared" si="1"/>
        <v/>
      </c>
      <c r="D120" s="237" t="str">
        <f t="shared" si="66"/>
        <v>-</v>
      </c>
      <c r="E120" s="290" t="str">
        <f t="shared" si="38"/>
        <v/>
      </c>
      <c r="F120" s="264" t="str">
        <f t="shared" si="39"/>
        <v/>
      </c>
      <c r="G120" s="291" t="str">
        <f t="shared" si="40"/>
        <v/>
      </c>
      <c r="H120" s="240" t="str">
        <f t="shared" si="41"/>
        <v/>
      </c>
      <c r="I120" s="265" t="str">
        <f t="shared" si="2"/>
        <v/>
      </c>
      <c r="J120" s="265" t="str">
        <f t="shared" si="3"/>
        <v/>
      </c>
      <c r="K120" s="240" t="str">
        <f t="shared" si="4"/>
        <v/>
      </c>
      <c r="L120" s="265" t="str">
        <f t="shared" si="5"/>
        <v/>
      </c>
      <c r="M120" s="265" t="str">
        <f t="shared" si="6"/>
        <v/>
      </c>
      <c r="N120" s="240" t="str">
        <f t="shared" si="7"/>
        <v>-</v>
      </c>
      <c r="O120" s="265" t="str">
        <f t="shared" si="8"/>
        <v>-</v>
      </c>
      <c r="P120" s="265" t="str">
        <f t="shared" si="9"/>
        <v>-</v>
      </c>
      <c r="Q120" s="266" t="str">
        <f t="shared" si="10"/>
        <v>-</v>
      </c>
      <c r="R120" s="267" t="str">
        <f t="shared" si="11"/>
        <v>-</v>
      </c>
      <c r="S120" s="268" t="str">
        <f t="shared" si="12"/>
        <v>-</v>
      </c>
      <c r="T120" s="269" t="str">
        <f t="shared" si="13"/>
        <v/>
      </c>
      <c r="U120" s="221">
        <f t="shared" si="14"/>
        <v>20</v>
      </c>
      <c r="V120" s="220" t="str">
        <f t="shared" si="42"/>
        <v>-</v>
      </c>
      <c r="W120" s="221" t="str">
        <f t="shared" si="43"/>
        <v>-</v>
      </c>
      <c r="X120" s="221" t="str">
        <f t="shared" si="15"/>
        <v>-</v>
      </c>
      <c r="Y120" s="221" t="str">
        <f t="shared" si="16"/>
        <v>-</v>
      </c>
      <c r="Z120" s="270">
        <f t="shared" si="44"/>
        <v>0.1</v>
      </c>
      <c r="AA120" s="271" t="str">
        <f>IFERROR(IF(V119=1,AA$100*EXP(-(LN(2)/$D$65+0.04)*X119)*EXP(-(LN(2)/$D$65+0.1)*Y119),IF(V119=2,AA$100*EXP(-(LN(2)/$D$65+0.04)*(VLOOKUP(($F$16-$F$15)-1,U$99:Y119,4,FALSE)))*EXP(-(LN(2)/$D$65+0.1)*(VLOOKUP(($F$16-$F$15)-1,U$99:Y119,5,FALSE)))*EXP(-(LN(2)/$D$65+0.04)*X119)*EXP(-(LN(2)/$D$65+0.1)*Y119),IF(V119=3,AA$100*EXP(-(LN(2)/$D$65+0.04)*(VLOOKUP(($F$16-$F$15)-1,U$99:Y119,4,FALSE)))*EXP(-(LN(2)/$D$65+0.1)*(VLOOKUP(($F$16-$F$15)-1,U$99:Y119,5,FALSE)))*EXP(-(LN(2)/$D$65+0.04)*(VLOOKUP(($F$16-$F$15)*2-1,U$99:Y119,4,FALSE)))*EXP(-(LN(2)/$D$65+0.1)*(VLOOKUP(($F$16-$F$15)*2-1,U$99:Y119,5,FALSE)))*EXP(-(LN(2)/$D$65+0.04)*X119)*EXP(-(LN(2)/$D$65+0.1)*Y119),"-"))),"-")</f>
        <v>-</v>
      </c>
      <c r="AB120" s="271" t="str">
        <f>IFERROR(IF(V120=1,AB$100*EXP(-(LN(2)/$D$65+0.04)*X120)*EXP(-(LN(2)/$D$65+0.1)*Y120),IF(V120=2,AB$100*EXP(-(LN(2)/$D$65+0.04)*(VLOOKUP(($F$16-$F$15)-1,U$100:Y120,4,FALSE)))*EXP(-(LN(2)/$D$65+0.1)*(VLOOKUP(($F$16-$F$15)-1,U$100:Y120,5,FALSE)))*EXP(-(LN(2)/$D$65+0.04)*X120)*EXP(-(LN(2)/$D$65+0.1)*Y120),IF(V120=3,AB$100*EXP(-(LN(2)/$D$65+0.04)*(VLOOKUP(($F$16-$F$15)-1,U$100:Y120,4,FALSE)))*EXP(-(LN(2)/$D$65+0.1)*(VLOOKUP(($F$16-$F$15)-1,U$100:Y120,5,FALSE)))*EXP(-(LN(2)/$D$65+0.04)*(VLOOKUP(($F$16-$F$15)*2-1,U$100:Y120,4,FALSE)))*EXP(-(LN(2)/$D$65+0.1)*(VLOOKUP(($F$16-$F$15)*2-1,U$100:Y120,5,FALSE)))*EXP(-(LN(2)/$D$65+0.04)*X120)*EXP(-(LN(2)/$D$65+0.1)*Y120),"-"))),"-")</f>
        <v>-</v>
      </c>
      <c r="AC120" s="224">
        <f t="shared" si="45"/>
        <v>20</v>
      </c>
      <c r="AD120" s="223" t="str">
        <f t="shared" si="18"/>
        <v>-</v>
      </c>
      <c r="AE120" s="224" t="str">
        <f t="shared" si="46"/>
        <v>-</v>
      </c>
      <c r="AF120" s="224" t="str">
        <f t="shared" si="19"/>
        <v>-</v>
      </c>
      <c r="AG120" s="224" t="str">
        <f t="shared" si="20"/>
        <v>-</v>
      </c>
      <c r="AH120" s="272">
        <f t="shared" si="47"/>
        <v>0.1</v>
      </c>
      <c r="AI120" s="271" t="str">
        <f>IFERROR(IF(AD119=1,AI$100*EXP(-(LN(2)/$D$65+0.04)*AF119)*EXP(-(LN(2)/$D$65+0.1)*AG119),IF(AD119=2,AI$100*EXP(-(LN(2)/$D$65+0.04)*(VLOOKUP(($F$16-$F$15)-1,AC$99:AG119,4,FALSE)))*EXP(-(LN(2)/$D$65+0.1)*(VLOOKUP(($F$16-$F$15)-1,AC$99:AG119,5,FALSE)))*EXP(-(LN(2)/$D$65+0.04)*AF119)*EXP(-(LN(2)/$D$65+0.1)*AG119),IF(AD119=3,AI$100*EXP(-(LN(2)/$D$65+0.04)*(VLOOKUP(($F$16-$F$15)-1,AC$99:AG119,4,FALSE)))*EXP(-(LN(2)/$D$65+0.1)*(VLOOKUP(($F$16-$F$15)-1,AC$99:AG119,5,FALSE)))*EXP(-(LN(2)/$D$65+0.04)*(VLOOKUP(($F$16-$F$15)*2-1,AC$99:AG119,4,FALSE)))*EXP(-(LN(2)/$D$65+0.1)*(VLOOKUP(($F$16-$F$15)*2-1,AC$99:AG119,5,FALSE)))*EXP(-(LN(2)/$D$65+0.04)*AF119)*EXP(-(LN(2)/$D$65+0.1)*AG119),"-"))),"-")</f>
        <v>-</v>
      </c>
      <c r="AJ120" s="271" t="str">
        <f>IFERROR(IF(AD120=1,AJ$100*EXP(-(LN(2)/$D$65+0.04)*AF120)*EXP(-(LN(2)/$D$65+0.1)*AG120),IF(AD120=2,AJ$100*EXP(-(LN(2)/$D$65+0.04)*(VLOOKUP(($F$16-$F$15)-1,AC$100:AG120,4,FALSE)))*EXP(-(LN(2)/$D$65+0.1)*(VLOOKUP(($F$16-$F$15)-1,AC$100:AG120,5,FALSE)))*EXP(-(LN(2)/$D$65+0.04)*AF120)*EXP(-(LN(2)/$D$65+0.1)*AG120),IF(AD120=3,AJ$100*EXP(-(LN(2)/$D$65+0.04)*(VLOOKUP(($F$16-$F$15)-1,AC$100:AG120,4,FALSE)))*EXP(-(LN(2)/$D$65+0.1)*(VLOOKUP(($F$16-$F$15)-1,AC$100:AG120,5,FALSE)))*EXP(-(LN(2)/$D$65+0.04)*(VLOOKUP(($F$16-$F$15)*2-1,AC$100:AG120,4,FALSE)))*EXP(-(LN(2)/$D$65+0.1)*(VLOOKUP(($F$16-$F$15)*2-1,AC$100:AG120,5,FALSE)))*EXP(-(LN(2)/$D$65+0.04)*AF120)*EXP(-(LN(2)/$D$65+0.1)*AG120),"-"))),"-")</f>
        <v>-</v>
      </c>
      <c r="AK120" s="227">
        <f t="shared" si="49"/>
        <v>20</v>
      </c>
      <c r="AL120" s="226" t="str">
        <f t="shared" si="22"/>
        <v>-</v>
      </c>
      <c r="AM120" s="227" t="str">
        <f t="shared" si="50"/>
        <v>-</v>
      </c>
      <c r="AN120" s="227" t="str">
        <f t="shared" si="51"/>
        <v>-</v>
      </c>
      <c r="AO120" s="227" t="str">
        <f t="shared" si="23"/>
        <v>-</v>
      </c>
      <c r="AP120" s="273">
        <f t="shared" si="52"/>
        <v>0.1</v>
      </c>
      <c r="AQ120" s="271" t="str">
        <f>IFERROR(IF(AL119=1,AQ$100*EXP(-(LN(2)/$D$65+0.04)*AN119)*EXP(-(LN(2)/$D$65+0.1)*AO119),IF(AL119=2,AQ$100*EXP(-(LN(2)/$D$65+0.04)*(VLOOKUP(($F$16-$F$15)-1,AK$99:AO119,4,FALSE)))*EXP(-(LN(2)/$D$65+0.1)*(VLOOKUP(($F$16-$F$15)-1,AK$99:AO119,5,FALSE)))*EXP(-(LN(2)/$D$65+0.04)*AN119)*EXP(-(LN(2)/$D$65+0.1)*AO119),IF(AL119=3,AQ$100*EXP(-(LN(2)/$D$65+0.04)*(VLOOKUP(($F$16-$F$15)-1,AK$99:AO119,4,FALSE)))*EXP(-(LN(2)/$D$65+0.1)*(VLOOKUP(($F$16-$F$15)-1,AK$99:AO119,5,FALSE)))*EXP(-(LN(2)/$D$65+0.04)*(VLOOKUP(($F$16-$F$15)*2-1,AK$99:AO119,4,FALSE)))*EXP(-(LN(2)/$D$65+0.1)*(VLOOKUP(($F$16-$F$15)*2-1,AK$99:AO119,5,FALSE)))*EXP(-(LN(2)/$D$65+0.04)*AN119)*EXP(-(LN(2)/$D$65+0.1)*AO119),"-"))),"-")</f>
        <v>-</v>
      </c>
      <c r="AR120" s="271" t="str">
        <f>IFERROR(IF(AL120=1,AR$100*EXP(-(LN(2)/$D$65+0.04)*AN120)*EXP(-(LN(2)/$D$65+0.1)*AO120),IF(AL120=2,AR$100*EXP(-(LN(2)/$D$65+0.04)*(VLOOKUP(($F$16-$F$15)-1,AK$100:AO120,4,FALSE)))*EXP(-(LN(2)/$D$65+0.1)*(VLOOKUP(($F$16-$F$15)-1,AK$100:AO120,5,FALSE)))*EXP(-(LN(2)/$D$65+0.04)*AN120)*EXP(-(LN(2)/$D$65+0.1)*AO120),IF(AL120=3,AR$100*EXP(-(LN(2)/$D$65+0.04)*(VLOOKUP(($F$16-$F$15)-1,AK$100:AO120,4,FALSE)))*EXP(-(LN(2)/$D$65+0.1)*(VLOOKUP(($F$16-$F$15)-1,AK$100:AO120,5,FALSE)))*EXP(-(LN(2)/$D$65+0.04)*(VLOOKUP(($F$16-$F$15)*2-1,AK$100:AO120,4,FALSE)))*EXP(-(LN(2)/$D$65+0.1)*(VLOOKUP(($F$16-$F$15)*2-1,AK$100:AO120,5,FALSE)))*EXP(-(LN(2)/$D$65+0.04)*AN120)*EXP(-(LN(2)/$D$65+0.1)*AO120),"-"))),"-")</f>
        <v>-</v>
      </c>
      <c r="AS120" s="274">
        <f t="shared" si="24"/>
        <v>0</v>
      </c>
      <c r="AT120" s="274">
        <f t="shared" si="25"/>
        <v>0</v>
      </c>
      <c r="AU120" s="274">
        <f t="shared" si="26"/>
        <v>0</v>
      </c>
      <c r="AV120" s="253">
        <f>IF($B120&lt;$F$22,SUM($T$100:$T120),"")</f>
        <v>0</v>
      </c>
      <c r="AW120" s="253" t="str">
        <f t="shared" si="55"/>
        <v>-</v>
      </c>
      <c r="AX120" s="253" t="str">
        <f t="shared" si="56"/>
        <v/>
      </c>
      <c r="AY120" s="295"/>
      <c r="AZ120" s="253" t="str">
        <f ca="1">IF(ISNUMBER(OFFSET(AV120,-$F$21,0)),SUM(OFFSET($T$100,$F$21,0):$T120),"")</f>
        <v/>
      </c>
      <c r="BA120" s="253" t="str">
        <f t="shared" ca="1" si="27"/>
        <v/>
      </c>
      <c r="BB120" s="253" t="str">
        <f ca="1">IF(ISNUMBER(AZ120),(AZ120-BA120)/(3*86400*(OFFSET($B120,-$F$21,0)+1))*1000,"")</f>
        <v/>
      </c>
      <c r="BC120" s="253"/>
      <c r="BD120" s="253" t="str">
        <f ca="1">IFERROR(IF(OR(ISNUMBER(I),ISNUMBER($F$14)),IF(AND($B120&gt;=($F$16-$F$15),$B120&lt;$F$22+($F$16-$F$15)),SUM(OFFSET($T$100,($F$16-$F$15),0):$T120),""),""),"")</f>
        <v/>
      </c>
      <c r="BE120" s="253" t="str">
        <f t="shared" ca="1" si="58"/>
        <v/>
      </c>
      <c r="BF120" s="253" t="str">
        <f t="shared" ca="1" si="59"/>
        <v/>
      </c>
      <c r="BG120" s="295"/>
      <c r="BH120" s="253" t="str">
        <f ca="1">IF(ISNUMBER(OFFSET(BD120,-$F$21,0)),SUM(OFFSET($T$100,($F$16-$F$15+$F$21),0):$T120),"")</f>
        <v/>
      </c>
      <c r="BI120" s="253" t="str">
        <f t="shared" ca="1" si="28"/>
        <v/>
      </c>
      <c r="BJ120" s="253" t="str">
        <f t="shared" ca="1" si="60"/>
        <v/>
      </c>
      <c r="BK120" s="253"/>
      <c r="BL120" s="253" t="str">
        <f ca="1">IFERROR(IF(OR(ISNUMBER(I),ISNUMBER($F$14)),IF(AND($B120&gt;=($F$17-$F$15),$B120&lt;$F$22+($F$17-$F$15)),SUM(OFFSET($T$100,($F$17-$F$15),0):$T120),""),""),"")</f>
        <v/>
      </c>
      <c r="BM120" s="253" t="str">
        <f t="shared" ca="1" si="29"/>
        <v/>
      </c>
      <c r="BN120" s="253" t="str">
        <f t="shared" ca="1" si="61"/>
        <v/>
      </c>
      <c r="BO120" s="295"/>
      <c r="BP120" s="253" t="str">
        <f ca="1">IF(ISNUMBER(OFFSET(BL120,-$F$21,0)),SUM(OFFSET($T$100,($F$17-$F$15+$F$21),0):$T120),"")</f>
        <v/>
      </c>
      <c r="BQ120" s="253" t="str">
        <f t="shared" ca="1" si="62"/>
        <v/>
      </c>
      <c r="BR120" s="253" t="str">
        <f t="shared" ca="1" si="63"/>
        <v/>
      </c>
      <c r="BS120" s="253"/>
      <c r="BT120" s="296"/>
      <c r="BU120" s="297" t="str">
        <f t="shared" si="64"/>
        <v>end</v>
      </c>
      <c r="BV120" s="277">
        <v>20</v>
      </c>
      <c r="BW120" s="298" t="str">
        <f t="shared" si="69"/>
        <v/>
      </c>
      <c r="BX120" s="298" t="str">
        <f t="shared" si="68"/>
        <v/>
      </c>
      <c r="BY120" s="299" t="str">
        <f t="shared" si="65"/>
        <v/>
      </c>
      <c r="BZ120" s="67"/>
      <c r="CA120" s="280" t="str">
        <f t="shared" si="30"/>
        <v>-</v>
      </c>
      <c r="CB120" s="71" t="str">
        <f t="shared" si="31"/>
        <v>-</v>
      </c>
      <c r="CC120" s="33" t="str">
        <f t="shared" si="32"/>
        <v>20-21</v>
      </c>
      <c r="CD120" s="261" t="str">
        <f t="shared" si="33"/>
        <v/>
      </c>
      <c r="CE120" s="280" t="str">
        <f t="shared" si="34"/>
        <v>-</v>
      </c>
      <c r="CF120" s="71" t="str">
        <f t="shared" ca="1" si="35"/>
        <v>-</v>
      </c>
      <c r="CG120" s="33" t="str">
        <f t="shared" si="36"/>
        <v>20-21</v>
      </c>
      <c r="CH120" s="261" t="str">
        <f t="shared" ca="1" si="37"/>
        <v/>
      </c>
      <c r="CI120" s="202"/>
      <c r="CJ120" s="99"/>
      <c r="CK120" s="99"/>
      <c r="CL120" s="99"/>
      <c r="CM120" s="99"/>
      <c r="CN120" s="99"/>
      <c r="CO120" s="99"/>
    </row>
    <row r="121" spans="2:93" ht="13.5" customHeight="1" x14ac:dyDescent="0.2">
      <c r="B121" s="262">
        <v>21</v>
      </c>
      <c r="C121" s="237" t="str">
        <f t="shared" si="1"/>
        <v/>
      </c>
      <c r="D121" s="237" t="str">
        <f t="shared" si="66"/>
        <v/>
      </c>
      <c r="E121" s="290" t="str">
        <f t="shared" si="38"/>
        <v/>
      </c>
      <c r="F121" s="264" t="str">
        <f t="shared" si="39"/>
        <v/>
      </c>
      <c r="G121" s="291" t="str">
        <f t="shared" si="40"/>
        <v/>
      </c>
      <c r="H121" s="240" t="str">
        <f t="shared" si="41"/>
        <v/>
      </c>
      <c r="I121" s="265" t="str">
        <f t="shared" si="2"/>
        <v/>
      </c>
      <c r="J121" s="265" t="str">
        <f t="shared" si="3"/>
        <v/>
      </c>
      <c r="K121" s="240" t="str">
        <f t="shared" si="4"/>
        <v/>
      </c>
      <c r="L121" s="265" t="str">
        <f t="shared" si="5"/>
        <v/>
      </c>
      <c r="M121" s="265" t="str">
        <f t="shared" si="6"/>
        <v/>
      </c>
      <c r="N121" s="240" t="str">
        <f t="shared" si="7"/>
        <v>-</v>
      </c>
      <c r="O121" s="265" t="str">
        <f t="shared" si="8"/>
        <v>-</v>
      </c>
      <c r="P121" s="265" t="str">
        <f t="shared" si="9"/>
        <v>-</v>
      </c>
      <c r="Q121" s="266" t="str">
        <f t="shared" si="10"/>
        <v>-</v>
      </c>
      <c r="R121" s="267" t="str">
        <f t="shared" si="11"/>
        <v>-</v>
      </c>
      <c r="S121" s="268" t="str">
        <f t="shared" si="12"/>
        <v>-</v>
      </c>
      <c r="T121" s="269" t="str">
        <f t="shared" si="13"/>
        <v/>
      </c>
      <c r="U121" s="221">
        <f t="shared" si="14"/>
        <v>21</v>
      </c>
      <c r="V121" s="220" t="str">
        <f t="shared" si="42"/>
        <v>-</v>
      </c>
      <c r="W121" s="221" t="str">
        <f t="shared" si="43"/>
        <v>-</v>
      </c>
      <c r="X121" s="221" t="str">
        <f t="shared" si="15"/>
        <v>-</v>
      </c>
      <c r="Y121" s="221" t="str">
        <f t="shared" si="16"/>
        <v>-</v>
      </c>
      <c r="Z121" s="270">
        <f t="shared" si="44"/>
        <v>0.1</v>
      </c>
      <c r="AA121" s="271" t="str">
        <f>IFERROR(IF(V120=1,AA$100*EXP(-(LN(2)/$D$65+0.04)*X120)*EXP(-(LN(2)/$D$65+0.1)*Y120),IF(V120=2,AA$100*EXP(-(LN(2)/$D$65+0.04)*(VLOOKUP(($F$16-$F$15)-1,U$99:Y120,4,FALSE)))*EXP(-(LN(2)/$D$65+0.1)*(VLOOKUP(($F$16-$F$15)-1,U$99:Y120,5,FALSE)))*EXP(-(LN(2)/$D$65+0.04)*X120)*EXP(-(LN(2)/$D$65+0.1)*Y120),IF(V120=3,AA$100*EXP(-(LN(2)/$D$65+0.04)*(VLOOKUP(($F$16-$F$15)-1,U$99:Y120,4,FALSE)))*EXP(-(LN(2)/$D$65+0.1)*(VLOOKUP(($F$16-$F$15)-1,U$99:Y120,5,FALSE)))*EXP(-(LN(2)/$D$65+0.04)*(VLOOKUP(($F$16-$F$15)*2-1,U$99:Y120,4,FALSE)))*EXP(-(LN(2)/$D$65+0.1)*(VLOOKUP(($F$16-$F$15)*2-1,U$99:Y120,5,FALSE)))*EXP(-(LN(2)/$D$65+0.04)*X120)*EXP(-(LN(2)/$D$65+0.1)*Y120),"-"))),"-")</f>
        <v>-</v>
      </c>
      <c r="AB121" s="271" t="str">
        <f>IFERROR(IF(V121=1,AB$100*EXP(-(LN(2)/$D$65+0.04)*X121)*EXP(-(LN(2)/$D$65+0.1)*Y121),IF(V121=2,AB$100*EXP(-(LN(2)/$D$65+0.04)*(VLOOKUP(($F$16-$F$15)-1,U$100:Y121,4,FALSE)))*EXP(-(LN(2)/$D$65+0.1)*(VLOOKUP(($F$16-$F$15)-1,U$100:Y121,5,FALSE)))*EXP(-(LN(2)/$D$65+0.04)*X121)*EXP(-(LN(2)/$D$65+0.1)*Y121),IF(V121=3,AB$100*EXP(-(LN(2)/$D$65+0.04)*(VLOOKUP(($F$16-$F$15)-1,U$100:Y121,4,FALSE)))*EXP(-(LN(2)/$D$65+0.1)*(VLOOKUP(($F$16-$F$15)-1,U$100:Y121,5,FALSE)))*EXP(-(LN(2)/$D$65+0.04)*(VLOOKUP(($F$16-$F$15)*2-1,U$100:Y121,4,FALSE)))*EXP(-(LN(2)/$D$65+0.1)*(VLOOKUP(($F$16-$F$15)*2-1,U$100:Y121,5,FALSE)))*EXP(-(LN(2)/$D$65+0.04)*X121)*EXP(-(LN(2)/$D$65+0.1)*Y121),"-"))),"-")</f>
        <v>-</v>
      </c>
      <c r="AC121" s="224">
        <f t="shared" si="45"/>
        <v>21</v>
      </c>
      <c r="AD121" s="223" t="str">
        <f t="shared" si="18"/>
        <v>-</v>
      </c>
      <c r="AE121" s="224" t="str">
        <f t="shared" si="46"/>
        <v>-</v>
      </c>
      <c r="AF121" s="224" t="str">
        <f t="shared" si="19"/>
        <v>-</v>
      </c>
      <c r="AG121" s="224" t="str">
        <f t="shared" si="20"/>
        <v>-</v>
      </c>
      <c r="AH121" s="272">
        <f t="shared" si="47"/>
        <v>0.1</v>
      </c>
      <c r="AI121" s="271" t="str">
        <f>IFERROR(IF(AD120=1,AI$100*EXP(-(LN(2)/$D$65+0.04)*AF120)*EXP(-(LN(2)/$D$65+0.1)*AG120),IF(AD120=2,AI$100*EXP(-(LN(2)/$D$65+0.04)*(VLOOKUP(($F$16-$F$15)-1,AC$99:AG120,4,FALSE)))*EXP(-(LN(2)/$D$65+0.1)*(VLOOKUP(($F$16-$F$15)-1,AC$99:AG120,5,FALSE)))*EXP(-(LN(2)/$D$65+0.04)*AF120)*EXP(-(LN(2)/$D$65+0.1)*AG120),IF(AD120=3,AI$100*EXP(-(LN(2)/$D$65+0.04)*(VLOOKUP(($F$16-$F$15)-1,AC$99:AG120,4,FALSE)))*EXP(-(LN(2)/$D$65+0.1)*(VLOOKUP(($F$16-$F$15)-1,AC$99:AG120,5,FALSE)))*EXP(-(LN(2)/$D$65+0.04)*(VLOOKUP(($F$16-$F$15)*2-1,AC$99:AG120,4,FALSE)))*EXP(-(LN(2)/$D$65+0.1)*(VLOOKUP(($F$16-$F$15)*2-1,AC$99:AG120,5,FALSE)))*EXP(-(LN(2)/$D$65+0.04)*AF120)*EXP(-(LN(2)/$D$65+0.1)*AG120),"-"))),"-")</f>
        <v>-</v>
      </c>
      <c r="AJ121" s="271" t="str">
        <f>IFERROR(IF(AD121=1,AJ$100*EXP(-(LN(2)/$D$65+0.04)*AF121)*EXP(-(LN(2)/$D$65+0.1)*AG121),IF(AD121=2,AJ$100*EXP(-(LN(2)/$D$65+0.04)*(VLOOKUP(($F$16-$F$15)-1,AC$100:AG121,4,FALSE)))*EXP(-(LN(2)/$D$65+0.1)*(VLOOKUP(($F$16-$F$15)-1,AC$100:AG121,5,FALSE)))*EXP(-(LN(2)/$D$65+0.04)*AF121)*EXP(-(LN(2)/$D$65+0.1)*AG121),IF(AD121=3,AJ$100*EXP(-(LN(2)/$D$65+0.04)*(VLOOKUP(($F$16-$F$15)-1,AC$100:AG121,4,FALSE)))*EXP(-(LN(2)/$D$65+0.1)*(VLOOKUP(($F$16-$F$15)-1,AC$100:AG121,5,FALSE)))*EXP(-(LN(2)/$D$65+0.04)*(VLOOKUP(($F$16-$F$15)*2-1,AC$100:AG121,4,FALSE)))*EXP(-(LN(2)/$D$65+0.1)*(VLOOKUP(($F$16-$F$15)*2-1,AC$100:AG121,5,FALSE)))*EXP(-(LN(2)/$D$65+0.04)*AF121)*EXP(-(LN(2)/$D$65+0.1)*AG121),"-"))),"-")</f>
        <v>-</v>
      </c>
      <c r="AK121" s="227">
        <f t="shared" si="49"/>
        <v>21</v>
      </c>
      <c r="AL121" s="226" t="str">
        <f t="shared" si="22"/>
        <v>-</v>
      </c>
      <c r="AM121" s="227" t="str">
        <f t="shared" si="50"/>
        <v>-</v>
      </c>
      <c r="AN121" s="227" t="str">
        <f t="shared" si="51"/>
        <v>-</v>
      </c>
      <c r="AO121" s="227" t="str">
        <f t="shared" si="23"/>
        <v>-</v>
      </c>
      <c r="AP121" s="273">
        <f t="shared" si="52"/>
        <v>0.1</v>
      </c>
      <c r="AQ121" s="271" t="str">
        <f>IFERROR(IF(AL120=1,AQ$100*EXP(-(LN(2)/$D$65+0.04)*AN120)*EXP(-(LN(2)/$D$65+0.1)*AO120),IF(AL120=2,AQ$100*EXP(-(LN(2)/$D$65+0.04)*(VLOOKUP(($F$16-$F$15)-1,AK$99:AO120,4,FALSE)))*EXP(-(LN(2)/$D$65+0.1)*(VLOOKUP(($F$16-$F$15)-1,AK$99:AO120,5,FALSE)))*EXP(-(LN(2)/$D$65+0.04)*AN120)*EXP(-(LN(2)/$D$65+0.1)*AO120),IF(AL120=3,AQ$100*EXP(-(LN(2)/$D$65+0.04)*(VLOOKUP(($F$16-$F$15)-1,AK$99:AO120,4,FALSE)))*EXP(-(LN(2)/$D$65+0.1)*(VLOOKUP(($F$16-$F$15)-1,AK$99:AO120,5,FALSE)))*EXP(-(LN(2)/$D$65+0.04)*(VLOOKUP(($F$16-$F$15)*2-1,AK$99:AO120,4,FALSE)))*EXP(-(LN(2)/$D$65+0.1)*(VLOOKUP(($F$16-$F$15)*2-1,AK$99:AO120,5,FALSE)))*EXP(-(LN(2)/$D$65+0.04)*AN120)*EXP(-(LN(2)/$D$65+0.1)*AO120),"-"))),"-")</f>
        <v>-</v>
      </c>
      <c r="AR121" s="271" t="str">
        <f>IFERROR(IF(AL121=1,AR$100*EXP(-(LN(2)/$D$65+0.04)*AN121)*EXP(-(LN(2)/$D$65+0.1)*AO121),IF(AL121=2,AR$100*EXP(-(LN(2)/$D$65+0.04)*(VLOOKUP(($F$16-$F$15)-1,AK$100:AO121,4,FALSE)))*EXP(-(LN(2)/$D$65+0.1)*(VLOOKUP(($F$16-$F$15)-1,AK$100:AO121,5,FALSE)))*EXP(-(LN(2)/$D$65+0.04)*AN121)*EXP(-(LN(2)/$D$65+0.1)*AO121),IF(AL121=3,AR$100*EXP(-(LN(2)/$D$65+0.04)*(VLOOKUP(($F$16-$F$15)-1,AK$100:AO121,4,FALSE)))*EXP(-(LN(2)/$D$65+0.1)*(VLOOKUP(($F$16-$F$15)-1,AK$100:AO121,5,FALSE)))*EXP(-(LN(2)/$D$65+0.04)*(VLOOKUP(($F$16-$F$15)*2-1,AK$100:AO121,4,FALSE)))*EXP(-(LN(2)/$D$65+0.1)*(VLOOKUP(($F$16-$F$15)*2-1,AK$100:AO121,5,FALSE)))*EXP(-(LN(2)/$D$65+0.04)*AN121)*EXP(-(LN(2)/$D$65+0.1)*AO121),"-"))),"-")</f>
        <v>-</v>
      </c>
      <c r="AS121" s="274">
        <f t="shared" si="24"/>
        <v>0</v>
      </c>
      <c r="AT121" s="274">
        <f t="shared" si="25"/>
        <v>0</v>
      </c>
      <c r="AU121" s="274">
        <f t="shared" si="26"/>
        <v>0</v>
      </c>
      <c r="AV121" s="190" t="str">
        <f>IF($B121&lt;$F$22,SUM($T$100:$T121),"")</f>
        <v/>
      </c>
      <c r="AW121" s="190" t="str">
        <f t="shared" si="55"/>
        <v>-</v>
      </c>
      <c r="AX121" s="190" t="str">
        <f t="shared" si="56"/>
        <v/>
      </c>
      <c r="AY121"/>
      <c r="AZ121" s="190" t="str">
        <f ca="1">IF(ISNUMBER(OFFSET(AV121,-$F$21,0)),SUM(OFFSET($T$100,$F$21,0):$T121),"")</f>
        <v/>
      </c>
      <c r="BA121" s="190" t="str">
        <f t="shared" ca="1" si="27"/>
        <v/>
      </c>
      <c r="BB121" s="190" t="str">
        <f t="shared" ref="BB121:BB184" ca="1" si="70">IF(ISNUMBER(AZ121),(AZ121-BA121)/(3*86400*(OFFSET($B121,-$F$21,0)+1))*1000,"")</f>
        <v/>
      </c>
      <c r="BC121" s="190"/>
      <c r="BD121" s="190" t="str">
        <f ca="1">IFERROR(IF(OR(ISNUMBER(I),ISNUMBER($F$14)),IF(AND($B121&gt;=($F$16-$F$15),$B121&lt;$F$22+($F$16-$F$15)),SUM(OFFSET($T$100,($F$16-$F$15),0):$T121),""),""),"")</f>
        <v/>
      </c>
      <c r="BE121" s="190" t="str">
        <f t="shared" ca="1" si="58"/>
        <v/>
      </c>
      <c r="BF121" s="190" t="str">
        <f t="shared" ca="1" si="59"/>
        <v/>
      </c>
      <c r="BG121"/>
      <c r="BH121" s="190" t="str">
        <f ca="1">IF(ISNUMBER(OFFSET(BD121,-$F$21,0)),SUM(OFFSET($T$100,($F$16-$F$15+$F$21),0):$T121),"")</f>
        <v/>
      </c>
      <c r="BI121" s="190" t="str">
        <f t="shared" ca="1" si="28"/>
        <v/>
      </c>
      <c r="BJ121" s="190" t="str">
        <f t="shared" ca="1" si="60"/>
        <v/>
      </c>
      <c r="BK121" s="190"/>
      <c r="BL121" s="190" t="str">
        <f ca="1">IFERROR(IF(OR(ISNUMBER(I),ISNUMBER($F$14)),IF(AND($B121&gt;=($F$17-$F$15),$B121&lt;$F$22+($F$17-$F$15)),SUM(OFFSET($T$100,($F$17-$F$15),0):$T121),""),""),"")</f>
        <v/>
      </c>
      <c r="BM121" s="190" t="str">
        <f t="shared" ca="1" si="29"/>
        <v/>
      </c>
      <c r="BN121" s="190" t="str">
        <f t="shared" ca="1" si="61"/>
        <v/>
      </c>
      <c r="BO121"/>
      <c r="BP121" s="190" t="str">
        <f ca="1">IF(ISNUMBER(OFFSET(BL121,-$F$21,0)),SUM(OFFSET($T$100,($F$17-$F$15+$F$21),0):$T121),"")</f>
        <v/>
      </c>
      <c r="BQ121" s="190" t="str">
        <f t="shared" ca="1" si="62"/>
        <v/>
      </c>
      <c r="BR121" s="190" t="str">
        <f t="shared" ca="1" si="63"/>
        <v/>
      </c>
      <c r="BS121" s="190"/>
      <c r="BT121"/>
      <c r="BU121" s="300" t="s">
        <v>289</v>
      </c>
      <c r="BV121" s="301"/>
      <c r="BW121" s="300"/>
      <c r="BX121" s="300"/>
      <c r="BY121" s="300"/>
      <c r="BZ121" s="302"/>
      <c r="CA121" s="280" t="str">
        <f t="shared" si="30"/>
        <v/>
      </c>
      <c r="CB121" s="71" t="str">
        <f t="shared" si="31"/>
        <v>-</v>
      </c>
      <c r="CC121" s="33"/>
      <c r="CD121" s="261" t="str">
        <f t="shared" si="33"/>
        <v/>
      </c>
      <c r="CE121" s="280" t="str">
        <f t="shared" si="34"/>
        <v/>
      </c>
      <c r="CF121" s="71" t="str">
        <f t="shared" ca="1" si="35"/>
        <v/>
      </c>
      <c r="CG121" s="33" t="str">
        <f t="shared" si="36"/>
        <v/>
      </c>
      <c r="CH121" s="261" t="str">
        <f t="shared" ca="1" si="37"/>
        <v/>
      </c>
      <c r="CI121" s="202"/>
      <c r="CJ121" s="99"/>
      <c r="CK121" s="99"/>
      <c r="CL121" s="99"/>
      <c r="CM121" s="99"/>
      <c r="CN121" s="99"/>
      <c r="CO121" s="99"/>
    </row>
    <row r="122" spans="2:93" ht="13.5" customHeight="1" x14ac:dyDescent="0.2">
      <c r="B122" s="262">
        <v>22</v>
      </c>
      <c r="C122" s="237" t="str">
        <f t="shared" si="1"/>
        <v/>
      </c>
      <c r="D122" s="237" t="str">
        <f t="shared" si="66"/>
        <v/>
      </c>
      <c r="E122" s="290" t="str">
        <f t="shared" si="38"/>
        <v/>
      </c>
      <c r="F122" s="264" t="str">
        <f t="shared" si="39"/>
        <v/>
      </c>
      <c r="G122" s="291" t="str">
        <f t="shared" si="40"/>
        <v/>
      </c>
      <c r="H122" s="240" t="str">
        <f t="shared" si="41"/>
        <v/>
      </c>
      <c r="I122" s="265" t="str">
        <f t="shared" si="2"/>
        <v/>
      </c>
      <c r="J122" s="265" t="str">
        <f t="shared" si="3"/>
        <v/>
      </c>
      <c r="K122" s="240" t="str">
        <f t="shared" si="4"/>
        <v/>
      </c>
      <c r="L122" s="265" t="str">
        <f t="shared" si="5"/>
        <v/>
      </c>
      <c r="M122" s="265" t="str">
        <f t="shared" si="6"/>
        <v/>
      </c>
      <c r="N122" s="240" t="str">
        <f t="shared" si="7"/>
        <v>-</v>
      </c>
      <c r="O122" s="265" t="str">
        <f t="shared" si="8"/>
        <v>-</v>
      </c>
      <c r="P122" s="265" t="str">
        <f t="shared" si="9"/>
        <v>-</v>
      </c>
      <c r="Q122" s="266" t="str">
        <f t="shared" si="10"/>
        <v>-</v>
      </c>
      <c r="R122" s="267" t="str">
        <f t="shared" si="11"/>
        <v>-</v>
      </c>
      <c r="S122" s="268" t="str">
        <f t="shared" si="12"/>
        <v>-</v>
      </c>
      <c r="T122" s="269" t="str">
        <f t="shared" si="13"/>
        <v/>
      </c>
      <c r="U122" s="221">
        <f t="shared" si="14"/>
        <v>22</v>
      </c>
      <c r="V122" s="220" t="str">
        <f t="shared" si="42"/>
        <v>-</v>
      </c>
      <c r="W122" s="221" t="str">
        <f t="shared" si="43"/>
        <v>-</v>
      </c>
      <c r="X122" s="221" t="str">
        <f t="shared" si="15"/>
        <v>-</v>
      </c>
      <c r="Y122" s="221" t="str">
        <f t="shared" si="16"/>
        <v>-</v>
      </c>
      <c r="Z122" s="270">
        <f t="shared" si="44"/>
        <v>0.1</v>
      </c>
      <c r="AA122" s="271" t="str">
        <f>IFERROR(IF(V121=1,AA$100*EXP(-(LN(2)/$D$65+0.04)*X121)*EXP(-(LN(2)/$D$65+0.1)*Y121),IF(V121=2,AA$100*EXP(-(LN(2)/$D$65+0.04)*(VLOOKUP(($F$16-$F$15)-1,U$99:Y121,4,FALSE)))*EXP(-(LN(2)/$D$65+0.1)*(VLOOKUP(($F$16-$F$15)-1,U$99:Y121,5,FALSE)))*EXP(-(LN(2)/$D$65+0.04)*X121)*EXP(-(LN(2)/$D$65+0.1)*Y121),IF(V121=3,AA$100*EXP(-(LN(2)/$D$65+0.04)*(VLOOKUP(($F$16-$F$15)-1,U$99:Y121,4,FALSE)))*EXP(-(LN(2)/$D$65+0.1)*(VLOOKUP(($F$16-$F$15)-1,U$99:Y121,5,FALSE)))*EXP(-(LN(2)/$D$65+0.04)*(VLOOKUP(($F$16-$F$15)*2-1,U$99:Y121,4,FALSE)))*EXP(-(LN(2)/$D$65+0.1)*(VLOOKUP(($F$16-$F$15)*2-1,U$99:Y121,5,FALSE)))*EXP(-(LN(2)/$D$65+0.04)*X121)*EXP(-(LN(2)/$D$65+0.1)*Y121),"-"))),"-")</f>
        <v>-</v>
      </c>
      <c r="AB122" s="271" t="str">
        <f>IFERROR(IF(V122=1,AB$100*EXP(-(LN(2)/$D$65+0.04)*X122)*EXP(-(LN(2)/$D$65+0.1)*Y122),IF(V122=2,AB$100*EXP(-(LN(2)/$D$65+0.04)*(VLOOKUP(($F$16-$F$15)-1,U$100:Y122,4,FALSE)))*EXP(-(LN(2)/$D$65+0.1)*(VLOOKUP(($F$16-$F$15)-1,U$100:Y122,5,FALSE)))*EXP(-(LN(2)/$D$65+0.04)*X122)*EXP(-(LN(2)/$D$65+0.1)*Y122),IF(V122=3,AB$100*EXP(-(LN(2)/$D$65+0.04)*(VLOOKUP(($F$16-$F$15)-1,U$100:Y122,4,FALSE)))*EXP(-(LN(2)/$D$65+0.1)*(VLOOKUP(($F$16-$F$15)-1,U$100:Y122,5,FALSE)))*EXP(-(LN(2)/$D$65+0.04)*(VLOOKUP(($F$16-$F$15)*2-1,U$100:Y122,4,FALSE)))*EXP(-(LN(2)/$D$65+0.1)*(VLOOKUP(($F$16-$F$15)*2-1,U$100:Y122,5,FALSE)))*EXP(-(LN(2)/$D$65+0.04)*X122)*EXP(-(LN(2)/$D$65+0.1)*Y122),"-"))),"-")</f>
        <v>-</v>
      </c>
      <c r="AC122" s="224">
        <f t="shared" si="45"/>
        <v>22</v>
      </c>
      <c r="AD122" s="223" t="str">
        <f t="shared" si="18"/>
        <v>-</v>
      </c>
      <c r="AE122" s="224" t="str">
        <f t="shared" si="46"/>
        <v>-</v>
      </c>
      <c r="AF122" s="224" t="str">
        <f t="shared" si="19"/>
        <v>-</v>
      </c>
      <c r="AG122" s="224" t="str">
        <f t="shared" si="20"/>
        <v>-</v>
      </c>
      <c r="AH122" s="272">
        <f t="shared" si="47"/>
        <v>0.1</v>
      </c>
      <c r="AI122" s="271" t="str">
        <f>IFERROR(IF(AD121=1,AI$100*EXP(-(LN(2)/$D$65+0.04)*AF121)*EXP(-(LN(2)/$D$65+0.1)*AG121),IF(AD121=2,AI$100*EXP(-(LN(2)/$D$65+0.04)*(VLOOKUP(($F$16-$F$15)-1,AC$99:AG121,4,FALSE)))*EXP(-(LN(2)/$D$65+0.1)*(VLOOKUP(($F$16-$F$15)-1,AC$99:AG121,5,FALSE)))*EXP(-(LN(2)/$D$65+0.04)*AF121)*EXP(-(LN(2)/$D$65+0.1)*AG121),IF(AD121=3,AI$100*EXP(-(LN(2)/$D$65+0.04)*(VLOOKUP(($F$16-$F$15)-1,AC$99:AG121,4,FALSE)))*EXP(-(LN(2)/$D$65+0.1)*(VLOOKUP(($F$16-$F$15)-1,AC$99:AG121,5,FALSE)))*EXP(-(LN(2)/$D$65+0.04)*(VLOOKUP(($F$16-$F$15)*2-1,AC$99:AG121,4,FALSE)))*EXP(-(LN(2)/$D$65+0.1)*(VLOOKUP(($F$16-$F$15)*2-1,AC$99:AG121,5,FALSE)))*EXP(-(LN(2)/$D$65+0.04)*AF121)*EXP(-(LN(2)/$D$65+0.1)*AG121),"-"))),"-")</f>
        <v>-</v>
      </c>
      <c r="AJ122" s="271" t="str">
        <f>IFERROR(IF(AD122=1,AJ$100*EXP(-(LN(2)/$D$65+0.04)*AF122)*EXP(-(LN(2)/$D$65+0.1)*AG122),IF(AD122=2,AJ$100*EXP(-(LN(2)/$D$65+0.04)*(VLOOKUP(($F$16-$F$15)-1,AC$100:AG122,4,FALSE)))*EXP(-(LN(2)/$D$65+0.1)*(VLOOKUP(($F$16-$F$15)-1,AC$100:AG122,5,FALSE)))*EXP(-(LN(2)/$D$65+0.04)*AF122)*EXP(-(LN(2)/$D$65+0.1)*AG122),IF(AD122=3,AJ$100*EXP(-(LN(2)/$D$65+0.04)*(VLOOKUP(($F$16-$F$15)-1,AC$100:AG122,4,FALSE)))*EXP(-(LN(2)/$D$65+0.1)*(VLOOKUP(($F$16-$F$15)-1,AC$100:AG122,5,FALSE)))*EXP(-(LN(2)/$D$65+0.04)*(VLOOKUP(($F$16-$F$15)*2-1,AC$100:AG122,4,FALSE)))*EXP(-(LN(2)/$D$65+0.1)*(VLOOKUP(($F$16-$F$15)*2-1,AC$100:AG122,5,FALSE)))*EXP(-(LN(2)/$D$65+0.04)*AF122)*EXP(-(LN(2)/$D$65+0.1)*AG122),"-"))),"-")</f>
        <v>-</v>
      </c>
      <c r="AK122" s="227">
        <f t="shared" si="49"/>
        <v>22</v>
      </c>
      <c r="AL122" s="226" t="str">
        <f t="shared" si="22"/>
        <v>-</v>
      </c>
      <c r="AM122" s="227" t="str">
        <f t="shared" si="50"/>
        <v>-</v>
      </c>
      <c r="AN122" s="227" t="str">
        <f t="shared" si="51"/>
        <v>-</v>
      </c>
      <c r="AO122" s="227" t="str">
        <f t="shared" si="23"/>
        <v>-</v>
      </c>
      <c r="AP122" s="273">
        <f t="shared" si="52"/>
        <v>0.1</v>
      </c>
      <c r="AQ122" s="271" t="str">
        <f>IFERROR(IF(AL121=1,AQ$100*EXP(-(LN(2)/$D$65+0.04)*AN121)*EXP(-(LN(2)/$D$65+0.1)*AO121),IF(AL121=2,AQ$100*EXP(-(LN(2)/$D$65+0.04)*(VLOOKUP(($F$16-$F$15)-1,AK$99:AO121,4,FALSE)))*EXP(-(LN(2)/$D$65+0.1)*(VLOOKUP(($F$16-$F$15)-1,AK$99:AO121,5,FALSE)))*EXP(-(LN(2)/$D$65+0.04)*AN121)*EXP(-(LN(2)/$D$65+0.1)*AO121),IF(AL121=3,AQ$100*EXP(-(LN(2)/$D$65+0.04)*(VLOOKUP(($F$16-$F$15)-1,AK$99:AO121,4,FALSE)))*EXP(-(LN(2)/$D$65+0.1)*(VLOOKUP(($F$16-$F$15)-1,AK$99:AO121,5,FALSE)))*EXP(-(LN(2)/$D$65+0.04)*(VLOOKUP(($F$16-$F$15)*2-1,AK$99:AO121,4,FALSE)))*EXP(-(LN(2)/$D$65+0.1)*(VLOOKUP(($F$16-$F$15)*2-1,AK$99:AO121,5,FALSE)))*EXP(-(LN(2)/$D$65+0.04)*AN121)*EXP(-(LN(2)/$D$65+0.1)*AO121),"-"))),"-")</f>
        <v>-</v>
      </c>
      <c r="AR122" s="271" t="str">
        <f>IFERROR(IF(AL122=1,AR$100*EXP(-(LN(2)/$D$65+0.04)*AN122)*EXP(-(LN(2)/$D$65+0.1)*AO122),IF(AL122=2,AR$100*EXP(-(LN(2)/$D$65+0.04)*(VLOOKUP(($F$16-$F$15)-1,AK$100:AO122,4,FALSE)))*EXP(-(LN(2)/$D$65+0.1)*(VLOOKUP(($F$16-$F$15)-1,AK$100:AO122,5,FALSE)))*EXP(-(LN(2)/$D$65+0.04)*AN122)*EXP(-(LN(2)/$D$65+0.1)*AO122),IF(AL122=3,AR$100*EXP(-(LN(2)/$D$65+0.04)*(VLOOKUP(($F$16-$F$15)-1,AK$100:AO122,4,FALSE)))*EXP(-(LN(2)/$D$65+0.1)*(VLOOKUP(($F$16-$F$15)-1,AK$100:AO122,5,FALSE)))*EXP(-(LN(2)/$D$65+0.04)*(VLOOKUP(($F$16-$F$15)*2-1,AK$100:AO122,4,FALSE)))*EXP(-(LN(2)/$D$65+0.1)*(VLOOKUP(($F$16-$F$15)*2-1,AK$100:AO122,5,FALSE)))*EXP(-(LN(2)/$D$65+0.04)*AN122)*EXP(-(LN(2)/$D$65+0.1)*AO122),"-"))),"-")</f>
        <v>-</v>
      </c>
      <c r="AS122" s="274">
        <f t="shared" si="24"/>
        <v>0</v>
      </c>
      <c r="AT122" s="274">
        <f t="shared" si="25"/>
        <v>0</v>
      </c>
      <c r="AU122" s="274">
        <f t="shared" si="26"/>
        <v>0</v>
      </c>
      <c r="AV122" s="190" t="str">
        <f>IF($B122&lt;$F$22,SUM($T$100:$T122),"")</f>
        <v/>
      </c>
      <c r="AW122" s="190" t="str">
        <f t="shared" si="55"/>
        <v>-</v>
      </c>
      <c r="AX122" s="190" t="str">
        <f t="shared" si="56"/>
        <v/>
      </c>
      <c r="AY122"/>
      <c r="AZ122" s="190" t="str">
        <f ca="1">IF(ISNUMBER(OFFSET(AV122,-$F$21,0)),SUM(OFFSET($T$100,$F$21,0):$T122),"")</f>
        <v/>
      </c>
      <c r="BA122" s="190" t="str">
        <f t="shared" ca="1" si="27"/>
        <v/>
      </c>
      <c r="BB122" s="190" t="str">
        <f t="shared" ca="1" si="70"/>
        <v/>
      </c>
      <c r="BC122" s="190"/>
      <c r="BD122" s="190" t="str">
        <f ca="1">IFERROR(IF(OR(ISNUMBER(I),ISNUMBER($F$14)),IF(AND($B122&gt;=($F$16-$F$15),$B122&lt;$F$22+($F$16-$F$15)),SUM(OFFSET($T$100,($F$16-$F$15),0):$T122),""),""),"")</f>
        <v/>
      </c>
      <c r="BE122" s="190" t="str">
        <f t="shared" ca="1" si="58"/>
        <v/>
      </c>
      <c r="BF122" s="190" t="str">
        <f t="shared" ca="1" si="59"/>
        <v/>
      </c>
      <c r="BG122"/>
      <c r="BH122" s="190" t="str">
        <f ca="1">IF(ISNUMBER(OFFSET(BD122,-$F$21,0)),SUM(OFFSET($T$100,($F$16-$F$15+$F$21),0):$T122),"")</f>
        <v/>
      </c>
      <c r="BI122" s="190" t="str">
        <f t="shared" ca="1" si="28"/>
        <v/>
      </c>
      <c r="BJ122" s="190" t="str">
        <f t="shared" ca="1" si="60"/>
        <v/>
      </c>
      <c r="BK122" s="190"/>
      <c r="BL122" s="190" t="str">
        <f ca="1">IFERROR(IF(OR(ISNUMBER(I),ISNUMBER($F$14)),IF(AND($B122&gt;=($F$17-$F$15),$B122&lt;$F$22+($F$17-$F$15)),SUM(OFFSET($T$100,($F$17-$F$15),0):$T122),""),""),"")</f>
        <v/>
      </c>
      <c r="BM122" s="190" t="str">
        <f t="shared" ca="1" si="29"/>
        <v/>
      </c>
      <c r="BN122" s="190" t="str">
        <f t="shared" ca="1" si="61"/>
        <v/>
      </c>
      <c r="BO122"/>
      <c r="BP122" s="190" t="str">
        <f ca="1">IF(ISNUMBER(OFFSET(BL122,-$F$21,0)),SUM(OFFSET($T$100,($F$17-$F$15+$F$21),0):$T122),"")</f>
        <v/>
      </c>
      <c r="BQ122" s="190" t="str">
        <f t="shared" ca="1" si="62"/>
        <v/>
      </c>
      <c r="BR122" s="190" t="str">
        <f t="shared" ca="1" si="63"/>
        <v/>
      </c>
      <c r="BS122" s="190"/>
      <c r="BT122"/>
      <c r="BU122" s="185"/>
      <c r="BV122" s="303"/>
      <c r="BW122" s="185"/>
      <c r="BX122" s="185"/>
      <c r="BY122" s="185"/>
      <c r="BZ122" s="302"/>
      <c r="CA122" s="280" t="str">
        <f t="shared" si="30"/>
        <v/>
      </c>
      <c r="CB122" s="71" t="str">
        <f t="shared" si="31"/>
        <v>-</v>
      </c>
      <c r="CC122" s="33"/>
      <c r="CD122" s="261" t="str">
        <f t="shared" si="33"/>
        <v/>
      </c>
      <c r="CE122" s="280" t="str">
        <f t="shared" si="34"/>
        <v/>
      </c>
      <c r="CF122" s="71" t="str">
        <f t="shared" ca="1" si="35"/>
        <v/>
      </c>
      <c r="CG122" s="33" t="str">
        <f t="shared" si="36"/>
        <v/>
      </c>
      <c r="CH122" s="261" t="str">
        <f t="shared" ca="1" si="37"/>
        <v/>
      </c>
      <c r="CI122" s="202"/>
      <c r="CJ122" s="99"/>
      <c r="CK122" s="99"/>
      <c r="CL122" s="99"/>
      <c r="CM122" s="99"/>
      <c r="CN122" s="99"/>
      <c r="CO122" s="99"/>
    </row>
    <row r="123" spans="2:93" ht="13.5" customHeight="1" x14ac:dyDescent="0.2">
      <c r="B123" s="262">
        <v>23</v>
      </c>
      <c r="C123" s="237" t="str">
        <f t="shared" si="1"/>
        <v/>
      </c>
      <c r="D123" s="237" t="str">
        <f t="shared" si="66"/>
        <v/>
      </c>
      <c r="E123" s="290" t="str">
        <f t="shared" si="38"/>
        <v/>
      </c>
      <c r="F123" s="264" t="str">
        <f t="shared" si="39"/>
        <v/>
      </c>
      <c r="G123" s="291" t="str">
        <f t="shared" si="40"/>
        <v/>
      </c>
      <c r="H123" s="240" t="str">
        <f t="shared" si="41"/>
        <v/>
      </c>
      <c r="I123" s="265" t="str">
        <f t="shared" si="2"/>
        <v/>
      </c>
      <c r="J123" s="265" t="str">
        <f t="shared" si="3"/>
        <v/>
      </c>
      <c r="K123" s="240" t="str">
        <f t="shared" si="4"/>
        <v/>
      </c>
      <c r="L123" s="265" t="str">
        <f t="shared" si="5"/>
        <v/>
      </c>
      <c r="M123" s="265" t="str">
        <f t="shared" si="6"/>
        <v/>
      </c>
      <c r="N123" s="240" t="str">
        <f t="shared" si="7"/>
        <v>-</v>
      </c>
      <c r="O123" s="265" t="str">
        <f t="shared" si="8"/>
        <v>-</v>
      </c>
      <c r="P123" s="265" t="str">
        <f t="shared" si="9"/>
        <v>-</v>
      </c>
      <c r="Q123" s="266" t="str">
        <f t="shared" si="10"/>
        <v>-</v>
      </c>
      <c r="R123" s="267" t="str">
        <f t="shared" si="11"/>
        <v>-</v>
      </c>
      <c r="S123" s="268" t="str">
        <f t="shared" si="12"/>
        <v>-</v>
      </c>
      <c r="T123" s="269" t="str">
        <f t="shared" si="13"/>
        <v/>
      </c>
      <c r="U123" s="221">
        <f t="shared" si="14"/>
        <v>23</v>
      </c>
      <c r="V123" s="220" t="str">
        <f t="shared" si="42"/>
        <v>-</v>
      </c>
      <c r="W123" s="221" t="str">
        <f t="shared" si="43"/>
        <v>-</v>
      </c>
      <c r="X123" s="221" t="str">
        <f t="shared" si="15"/>
        <v>-</v>
      </c>
      <c r="Y123" s="221" t="str">
        <f t="shared" si="16"/>
        <v>-</v>
      </c>
      <c r="Z123" s="270">
        <f t="shared" si="44"/>
        <v>0.1</v>
      </c>
      <c r="AA123" s="271" t="str">
        <f>IFERROR(IF(V122=1,AA$100*EXP(-(LN(2)/$D$65+0.04)*X122)*EXP(-(LN(2)/$D$65+0.1)*Y122),IF(V122=2,AA$100*EXP(-(LN(2)/$D$65+0.04)*(VLOOKUP(($F$16-$F$15)-1,U$99:Y122,4,FALSE)))*EXP(-(LN(2)/$D$65+0.1)*(VLOOKUP(($F$16-$F$15)-1,U$99:Y122,5,FALSE)))*EXP(-(LN(2)/$D$65+0.04)*X122)*EXP(-(LN(2)/$D$65+0.1)*Y122),IF(V122=3,AA$100*EXP(-(LN(2)/$D$65+0.04)*(VLOOKUP(($F$16-$F$15)-1,U$99:Y122,4,FALSE)))*EXP(-(LN(2)/$D$65+0.1)*(VLOOKUP(($F$16-$F$15)-1,U$99:Y122,5,FALSE)))*EXP(-(LN(2)/$D$65+0.04)*(VLOOKUP(($F$16-$F$15)*2-1,U$99:Y122,4,FALSE)))*EXP(-(LN(2)/$D$65+0.1)*(VLOOKUP(($F$16-$F$15)*2-1,U$99:Y122,5,FALSE)))*EXP(-(LN(2)/$D$65+0.04)*X122)*EXP(-(LN(2)/$D$65+0.1)*Y122),"-"))),"-")</f>
        <v>-</v>
      </c>
      <c r="AB123" s="271" t="str">
        <f>IFERROR(IF(V123=1,AB$100*EXP(-(LN(2)/$D$65+0.04)*X123)*EXP(-(LN(2)/$D$65+0.1)*Y123),IF(V123=2,AB$100*EXP(-(LN(2)/$D$65+0.04)*(VLOOKUP(($F$16-$F$15)-1,U$100:Y123,4,FALSE)))*EXP(-(LN(2)/$D$65+0.1)*(VLOOKUP(($F$16-$F$15)-1,U$100:Y123,5,FALSE)))*EXP(-(LN(2)/$D$65+0.04)*X123)*EXP(-(LN(2)/$D$65+0.1)*Y123),IF(V123=3,AB$100*EXP(-(LN(2)/$D$65+0.04)*(VLOOKUP(($F$16-$F$15)-1,U$100:Y123,4,FALSE)))*EXP(-(LN(2)/$D$65+0.1)*(VLOOKUP(($F$16-$F$15)-1,U$100:Y123,5,FALSE)))*EXP(-(LN(2)/$D$65+0.04)*(VLOOKUP(($F$16-$F$15)*2-1,U$100:Y123,4,FALSE)))*EXP(-(LN(2)/$D$65+0.1)*(VLOOKUP(($F$16-$F$15)*2-1,U$100:Y123,5,FALSE)))*EXP(-(LN(2)/$D$65+0.04)*X123)*EXP(-(LN(2)/$D$65+0.1)*Y123),"-"))),"-")</f>
        <v>-</v>
      </c>
      <c r="AC123" s="224">
        <f t="shared" si="45"/>
        <v>23</v>
      </c>
      <c r="AD123" s="223" t="str">
        <f t="shared" si="18"/>
        <v>-</v>
      </c>
      <c r="AE123" s="224" t="str">
        <f t="shared" si="46"/>
        <v>-</v>
      </c>
      <c r="AF123" s="224" t="str">
        <f t="shared" si="19"/>
        <v>-</v>
      </c>
      <c r="AG123" s="224" t="str">
        <f t="shared" si="20"/>
        <v>-</v>
      </c>
      <c r="AH123" s="272">
        <f t="shared" si="47"/>
        <v>0.1</v>
      </c>
      <c r="AI123" s="271" t="str">
        <f>IFERROR(IF(AD122=1,AI$100*EXP(-(LN(2)/$D$65+0.04)*AF122)*EXP(-(LN(2)/$D$65+0.1)*AG122),IF(AD122=2,AI$100*EXP(-(LN(2)/$D$65+0.04)*(VLOOKUP(($F$16-$F$15)-1,AC$99:AG122,4,FALSE)))*EXP(-(LN(2)/$D$65+0.1)*(VLOOKUP(($F$16-$F$15)-1,AC$99:AG122,5,FALSE)))*EXP(-(LN(2)/$D$65+0.04)*AF122)*EXP(-(LN(2)/$D$65+0.1)*AG122),IF(AD122=3,AI$100*EXP(-(LN(2)/$D$65+0.04)*(VLOOKUP(($F$16-$F$15)-1,AC$99:AG122,4,FALSE)))*EXP(-(LN(2)/$D$65+0.1)*(VLOOKUP(($F$16-$F$15)-1,AC$99:AG122,5,FALSE)))*EXP(-(LN(2)/$D$65+0.04)*(VLOOKUP(($F$16-$F$15)*2-1,AC$99:AG122,4,FALSE)))*EXP(-(LN(2)/$D$65+0.1)*(VLOOKUP(($F$16-$F$15)*2-1,AC$99:AG122,5,FALSE)))*EXP(-(LN(2)/$D$65+0.04)*AF122)*EXP(-(LN(2)/$D$65+0.1)*AG122),"-"))),"-")</f>
        <v>-</v>
      </c>
      <c r="AJ123" s="271" t="str">
        <f>IFERROR(IF(AD123=1,AJ$100*EXP(-(LN(2)/$D$65+0.04)*AF123)*EXP(-(LN(2)/$D$65+0.1)*AG123),IF(AD123=2,AJ$100*EXP(-(LN(2)/$D$65+0.04)*(VLOOKUP(($F$16-$F$15)-1,AC$100:AG123,4,FALSE)))*EXP(-(LN(2)/$D$65+0.1)*(VLOOKUP(($F$16-$F$15)-1,AC$100:AG123,5,FALSE)))*EXP(-(LN(2)/$D$65+0.04)*AF123)*EXP(-(LN(2)/$D$65+0.1)*AG123),IF(AD123=3,AJ$100*EXP(-(LN(2)/$D$65+0.04)*(VLOOKUP(($F$16-$F$15)-1,AC$100:AG123,4,FALSE)))*EXP(-(LN(2)/$D$65+0.1)*(VLOOKUP(($F$16-$F$15)-1,AC$100:AG123,5,FALSE)))*EXP(-(LN(2)/$D$65+0.04)*(VLOOKUP(($F$16-$F$15)*2-1,AC$100:AG123,4,FALSE)))*EXP(-(LN(2)/$D$65+0.1)*(VLOOKUP(($F$16-$F$15)*2-1,AC$100:AG123,5,FALSE)))*EXP(-(LN(2)/$D$65+0.04)*AF123)*EXP(-(LN(2)/$D$65+0.1)*AG123),"-"))),"-")</f>
        <v>-</v>
      </c>
      <c r="AK123" s="227">
        <f t="shared" si="49"/>
        <v>23</v>
      </c>
      <c r="AL123" s="226" t="str">
        <f t="shared" si="22"/>
        <v>-</v>
      </c>
      <c r="AM123" s="227" t="str">
        <f t="shared" si="50"/>
        <v>-</v>
      </c>
      <c r="AN123" s="227" t="str">
        <f t="shared" si="51"/>
        <v>-</v>
      </c>
      <c r="AO123" s="227" t="str">
        <f t="shared" si="23"/>
        <v>-</v>
      </c>
      <c r="AP123" s="273">
        <f t="shared" si="52"/>
        <v>0.1</v>
      </c>
      <c r="AQ123" s="271" t="str">
        <f>IFERROR(IF(AL122=1,AQ$100*EXP(-(LN(2)/$D$65+0.04)*AN122)*EXP(-(LN(2)/$D$65+0.1)*AO122),IF(AL122=2,AQ$100*EXP(-(LN(2)/$D$65+0.04)*(VLOOKUP(($F$16-$F$15)-1,AK$99:AO122,4,FALSE)))*EXP(-(LN(2)/$D$65+0.1)*(VLOOKUP(($F$16-$F$15)-1,AK$99:AO122,5,FALSE)))*EXP(-(LN(2)/$D$65+0.04)*AN122)*EXP(-(LN(2)/$D$65+0.1)*AO122),IF(AL122=3,AQ$100*EXP(-(LN(2)/$D$65+0.04)*(VLOOKUP(($F$16-$F$15)-1,AK$99:AO122,4,FALSE)))*EXP(-(LN(2)/$D$65+0.1)*(VLOOKUP(($F$16-$F$15)-1,AK$99:AO122,5,FALSE)))*EXP(-(LN(2)/$D$65+0.04)*(VLOOKUP(($F$16-$F$15)*2-1,AK$99:AO122,4,FALSE)))*EXP(-(LN(2)/$D$65+0.1)*(VLOOKUP(($F$16-$F$15)*2-1,AK$99:AO122,5,FALSE)))*EXP(-(LN(2)/$D$65+0.04)*AN122)*EXP(-(LN(2)/$D$65+0.1)*AO122),"-"))),"-")</f>
        <v>-</v>
      </c>
      <c r="AR123" s="271" t="str">
        <f>IFERROR(IF(AL123=1,AR$100*EXP(-(LN(2)/$D$65+0.04)*AN123)*EXP(-(LN(2)/$D$65+0.1)*AO123),IF(AL123=2,AR$100*EXP(-(LN(2)/$D$65+0.04)*(VLOOKUP(($F$16-$F$15)-1,AK$100:AO123,4,FALSE)))*EXP(-(LN(2)/$D$65+0.1)*(VLOOKUP(($F$16-$F$15)-1,AK$100:AO123,5,FALSE)))*EXP(-(LN(2)/$D$65+0.04)*AN123)*EXP(-(LN(2)/$D$65+0.1)*AO123),IF(AL123=3,AR$100*EXP(-(LN(2)/$D$65+0.04)*(VLOOKUP(($F$16-$F$15)-1,AK$100:AO123,4,FALSE)))*EXP(-(LN(2)/$D$65+0.1)*(VLOOKUP(($F$16-$F$15)-1,AK$100:AO123,5,FALSE)))*EXP(-(LN(2)/$D$65+0.04)*(VLOOKUP(($F$16-$F$15)*2-1,AK$100:AO123,4,FALSE)))*EXP(-(LN(2)/$D$65+0.1)*(VLOOKUP(($F$16-$F$15)*2-1,AK$100:AO123,5,FALSE)))*EXP(-(LN(2)/$D$65+0.04)*AN123)*EXP(-(LN(2)/$D$65+0.1)*AO123),"-"))),"-")</f>
        <v>-</v>
      </c>
      <c r="AS123" s="274">
        <f t="shared" si="24"/>
        <v>0</v>
      </c>
      <c r="AT123" s="274">
        <f t="shared" si="25"/>
        <v>0</v>
      </c>
      <c r="AU123" s="274">
        <f t="shared" si="26"/>
        <v>0</v>
      </c>
      <c r="AV123" s="190" t="str">
        <f>IF($B123&lt;$F$22,SUM($T$100:$T123),"")</f>
        <v/>
      </c>
      <c r="AW123" s="190" t="str">
        <f t="shared" si="55"/>
        <v>-</v>
      </c>
      <c r="AX123" s="190" t="str">
        <f t="shared" si="56"/>
        <v/>
      </c>
      <c r="AY123"/>
      <c r="AZ123" s="190" t="str">
        <f ca="1">IF(ISNUMBER(OFFSET(AV123,-$F$21,0)),SUM(OFFSET($T$100,$F$21,0):$T123),"")</f>
        <v/>
      </c>
      <c r="BA123" s="190" t="str">
        <f t="shared" ca="1" si="27"/>
        <v/>
      </c>
      <c r="BB123" s="190" t="str">
        <f t="shared" ca="1" si="70"/>
        <v/>
      </c>
      <c r="BC123" s="190"/>
      <c r="BD123" s="190" t="str">
        <f ca="1">IFERROR(IF(OR(ISNUMBER(I),ISNUMBER($F$14)),IF(AND($B123&gt;=($F$16-$F$15),$B123&lt;$F$22+($F$16-$F$15)),SUM(OFFSET($T$100,($F$16-$F$15),0):$T123),""),""),"")</f>
        <v/>
      </c>
      <c r="BE123" s="190" t="str">
        <f t="shared" ca="1" si="58"/>
        <v/>
      </c>
      <c r="BF123" s="190" t="str">
        <f t="shared" ca="1" si="59"/>
        <v/>
      </c>
      <c r="BG123"/>
      <c r="BH123" s="190" t="str">
        <f ca="1">IF(ISNUMBER(OFFSET(BD123,-$F$21,0)),SUM(OFFSET($T$100,($F$16-$F$15+$F$21),0):$T123),"")</f>
        <v/>
      </c>
      <c r="BI123" s="190" t="str">
        <f t="shared" ca="1" si="28"/>
        <v/>
      </c>
      <c r="BJ123" s="190" t="str">
        <f t="shared" ca="1" si="60"/>
        <v/>
      </c>
      <c r="BK123" s="190"/>
      <c r="BL123" s="190" t="str">
        <f ca="1">IFERROR(IF(OR(ISNUMBER(I),ISNUMBER($F$14)),IF(AND($B123&gt;=($F$17-$F$15),$B123&lt;$F$22+($F$17-$F$15)),SUM(OFFSET($T$100,($F$17-$F$15),0):$T123),""),""),"")</f>
        <v/>
      </c>
      <c r="BM123" s="190" t="str">
        <f t="shared" ca="1" si="29"/>
        <v/>
      </c>
      <c r="BN123" s="190" t="str">
        <f t="shared" ca="1" si="61"/>
        <v/>
      </c>
      <c r="BO123"/>
      <c r="BP123" s="190" t="str">
        <f ca="1">IF(ISNUMBER(OFFSET(BL123,-$F$21,0)),SUM(OFFSET($T$100,($F$17-$F$15+$F$21),0):$T123),"")</f>
        <v/>
      </c>
      <c r="BQ123" s="190" t="str">
        <f t="shared" ca="1" si="62"/>
        <v/>
      </c>
      <c r="BR123" s="190" t="str">
        <f t="shared" ca="1" si="63"/>
        <v/>
      </c>
      <c r="BS123" s="190"/>
      <c r="BT123"/>
      <c r="BU123" s="185"/>
      <c r="BV123" s="304"/>
      <c r="BW123" s="185"/>
      <c r="BX123" s="185"/>
      <c r="BY123" s="185"/>
      <c r="BZ123"/>
      <c r="CA123" s="280" t="str">
        <f t="shared" si="30"/>
        <v/>
      </c>
      <c r="CB123" s="71" t="str">
        <f t="shared" si="31"/>
        <v>-</v>
      </c>
      <c r="CC123" s="33"/>
      <c r="CD123" s="261" t="str">
        <f t="shared" si="33"/>
        <v/>
      </c>
      <c r="CE123" s="280" t="str">
        <f t="shared" si="34"/>
        <v/>
      </c>
      <c r="CF123" s="71" t="str">
        <f t="shared" ca="1" si="35"/>
        <v/>
      </c>
      <c r="CG123" s="33" t="str">
        <f t="shared" si="36"/>
        <v/>
      </c>
      <c r="CH123" s="261" t="str">
        <f t="shared" ca="1" si="37"/>
        <v/>
      </c>
      <c r="CI123" s="202"/>
      <c r="CJ123" s="99"/>
      <c r="CK123" s="99"/>
      <c r="CL123" s="99"/>
      <c r="CM123" s="99"/>
      <c r="CN123" s="99"/>
      <c r="CO123" s="99"/>
    </row>
    <row r="124" spans="2:93" ht="13.5" customHeight="1" x14ac:dyDescent="0.2">
      <c r="B124" s="262">
        <v>24</v>
      </c>
      <c r="C124" s="237" t="str">
        <f t="shared" si="1"/>
        <v/>
      </c>
      <c r="D124" s="237" t="str">
        <f t="shared" si="66"/>
        <v/>
      </c>
      <c r="E124" s="290" t="str">
        <f t="shared" si="38"/>
        <v/>
      </c>
      <c r="F124" s="264" t="str">
        <f t="shared" si="39"/>
        <v/>
      </c>
      <c r="G124" s="291" t="str">
        <f t="shared" si="40"/>
        <v/>
      </c>
      <c r="H124" s="240" t="str">
        <f t="shared" si="41"/>
        <v/>
      </c>
      <c r="I124" s="265" t="str">
        <f t="shared" si="2"/>
        <v/>
      </c>
      <c r="J124" s="265" t="str">
        <f t="shared" si="3"/>
        <v/>
      </c>
      <c r="K124" s="240" t="str">
        <f t="shared" si="4"/>
        <v/>
      </c>
      <c r="L124" s="265" t="str">
        <f t="shared" si="5"/>
        <v/>
      </c>
      <c r="M124" s="265" t="str">
        <f t="shared" si="6"/>
        <v/>
      </c>
      <c r="N124" s="240" t="str">
        <f t="shared" si="7"/>
        <v>-</v>
      </c>
      <c r="O124" s="265" t="str">
        <f t="shared" si="8"/>
        <v>-</v>
      </c>
      <c r="P124" s="265" t="str">
        <f t="shared" si="9"/>
        <v>-</v>
      </c>
      <c r="Q124" s="266" t="str">
        <f t="shared" si="10"/>
        <v>-</v>
      </c>
      <c r="R124" s="267" t="str">
        <f t="shared" si="11"/>
        <v>-</v>
      </c>
      <c r="S124" s="268" t="str">
        <f t="shared" si="12"/>
        <v>-</v>
      </c>
      <c r="T124" s="269" t="str">
        <f t="shared" si="13"/>
        <v/>
      </c>
      <c r="U124" s="221">
        <f t="shared" si="14"/>
        <v>24</v>
      </c>
      <c r="V124" s="220" t="str">
        <f t="shared" si="42"/>
        <v>-</v>
      </c>
      <c r="W124" s="221" t="str">
        <f t="shared" si="43"/>
        <v>-</v>
      </c>
      <c r="X124" s="221" t="str">
        <f t="shared" si="15"/>
        <v>-</v>
      </c>
      <c r="Y124" s="221" t="str">
        <f t="shared" si="16"/>
        <v>-</v>
      </c>
      <c r="Z124" s="270">
        <f t="shared" si="44"/>
        <v>0.1</v>
      </c>
      <c r="AA124" s="271" t="str">
        <f>IFERROR(IF(V123=1,AA$100*EXP(-(LN(2)/$D$65+0.04)*X123)*EXP(-(LN(2)/$D$65+0.1)*Y123),IF(V123=2,AA$100*EXP(-(LN(2)/$D$65+0.04)*(VLOOKUP(($F$16-$F$15)-1,U$99:Y123,4,FALSE)))*EXP(-(LN(2)/$D$65+0.1)*(VLOOKUP(($F$16-$F$15)-1,U$99:Y123,5,FALSE)))*EXP(-(LN(2)/$D$65+0.04)*X123)*EXP(-(LN(2)/$D$65+0.1)*Y123),IF(V123=3,AA$100*EXP(-(LN(2)/$D$65+0.04)*(VLOOKUP(($F$16-$F$15)-1,U$99:Y123,4,FALSE)))*EXP(-(LN(2)/$D$65+0.1)*(VLOOKUP(($F$16-$F$15)-1,U$99:Y123,5,FALSE)))*EXP(-(LN(2)/$D$65+0.04)*(VLOOKUP(($F$16-$F$15)*2-1,U$99:Y123,4,FALSE)))*EXP(-(LN(2)/$D$65+0.1)*(VLOOKUP(($F$16-$F$15)*2-1,U$99:Y123,5,FALSE)))*EXP(-(LN(2)/$D$65+0.04)*X123)*EXP(-(LN(2)/$D$65+0.1)*Y123),"-"))),"-")</f>
        <v>-</v>
      </c>
      <c r="AB124" s="271" t="str">
        <f>IFERROR(IF(V124=1,AB$100*EXP(-(LN(2)/$D$65+0.04)*X124)*EXP(-(LN(2)/$D$65+0.1)*Y124),IF(V124=2,AB$100*EXP(-(LN(2)/$D$65+0.04)*(VLOOKUP(($F$16-$F$15)-1,U$100:Y124,4,FALSE)))*EXP(-(LN(2)/$D$65+0.1)*(VLOOKUP(($F$16-$F$15)-1,U$100:Y124,5,FALSE)))*EXP(-(LN(2)/$D$65+0.04)*X124)*EXP(-(LN(2)/$D$65+0.1)*Y124),IF(V124=3,AB$100*EXP(-(LN(2)/$D$65+0.04)*(VLOOKUP(($F$16-$F$15)-1,U$100:Y124,4,FALSE)))*EXP(-(LN(2)/$D$65+0.1)*(VLOOKUP(($F$16-$F$15)-1,U$100:Y124,5,FALSE)))*EXP(-(LN(2)/$D$65+0.04)*(VLOOKUP(($F$16-$F$15)*2-1,U$100:Y124,4,FALSE)))*EXP(-(LN(2)/$D$65+0.1)*(VLOOKUP(($F$16-$F$15)*2-1,U$100:Y124,5,FALSE)))*EXP(-(LN(2)/$D$65+0.04)*X124)*EXP(-(LN(2)/$D$65+0.1)*Y124),"-"))),"-")</f>
        <v>-</v>
      </c>
      <c r="AC124" s="224">
        <f t="shared" si="45"/>
        <v>24</v>
      </c>
      <c r="AD124" s="223" t="str">
        <f t="shared" si="18"/>
        <v>-</v>
      </c>
      <c r="AE124" s="224" t="str">
        <f t="shared" si="46"/>
        <v>-</v>
      </c>
      <c r="AF124" s="224" t="str">
        <f t="shared" si="19"/>
        <v>-</v>
      </c>
      <c r="AG124" s="224" t="str">
        <f t="shared" si="20"/>
        <v>-</v>
      </c>
      <c r="AH124" s="272">
        <f t="shared" si="47"/>
        <v>0.1</v>
      </c>
      <c r="AI124" s="271" t="str">
        <f>IFERROR(IF(AD123=1,AI$100*EXP(-(LN(2)/$D$65+0.04)*AF123)*EXP(-(LN(2)/$D$65+0.1)*AG123),IF(AD123=2,AI$100*EXP(-(LN(2)/$D$65+0.04)*(VLOOKUP(($F$16-$F$15)-1,AC$99:AG123,4,FALSE)))*EXP(-(LN(2)/$D$65+0.1)*(VLOOKUP(($F$16-$F$15)-1,AC$99:AG123,5,FALSE)))*EXP(-(LN(2)/$D$65+0.04)*AF123)*EXP(-(LN(2)/$D$65+0.1)*AG123),IF(AD123=3,AI$100*EXP(-(LN(2)/$D$65+0.04)*(VLOOKUP(($F$16-$F$15)-1,AC$99:AG123,4,FALSE)))*EXP(-(LN(2)/$D$65+0.1)*(VLOOKUP(($F$16-$F$15)-1,AC$99:AG123,5,FALSE)))*EXP(-(LN(2)/$D$65+0.04)*(VLOOKUP(($F$16-$F$15)*2-1,AC$99:AG123,4,FALSE)))*EXP(-(LN(2)/$D$65+0.1)*(VLOOKUP(($F$16-$F$15)*2-1,AC$99:AG123,5,FALSE)))*EXP(-(LN(2)/$D$65+0.04)*AF123)*EXP(-(LN(2)/$D$65+0.1)*AG123),"-"))),"-")</f>
        <v>-</v>
      </c>
      <c r="AJ124" s="271" t="str">
        <f>IFERROR(IF(AD124=1,AJ$100*EXP(-(LN(2)/$D$65+0.04)*AF124)*EXP(-(LN(2)/$D$65+0.1)*AG124),IF(AD124=2,AJ$100*EXP(-(LN(2)/$D$65+0.04)*(VLOOKUP(($F$16-$F$15)-1,AC$100:AG124,4,FALSE)))*EXP(-(LN(2)/$D$65+0.1)*(VLOOKUP(($F$16-$F$15)-1,AC$100:AG124,5,FALSE)))*EXP(-(LN(2)/$D$65+0.04)*AF124)*EXP(-(LN(2)/$D$65+0.1)*AG124),IF(AD124=3,AJ$100*EXP(-(LN(2)/$D$65+0.04)*(VLOOKUP(($F$16-$F$15)-1,AC$100:AG124,4,FALSE)))*EXP(-(LN(2)/$D$65+0.1)*(VLOOKUP(($F$16-$F$15)-1,AC$100:AG124,5,FALSE)))*EXP(-(LN(2)/$D$65+0.04)*(VLOOKUP(($F$16-$F$15)*2-1,AC$100:AG124,4,FALSE)))*EXP(-(LN(2)/$D$65+0.1)*(VLOOKUP(($F$16-$F$15)*2-1,AC$100:AG124,5,FALSE)))*EXP(-(LN(2)/$D$65+0.04)*AF124)*EXP(-(LN(2)/$D$65+0.1)*AG124),"-"))),"-")</f>
        <v>-</v>
      </c>
      <c r="AK124" s="227">
        <f t="shared" si="49"/>
        <v>24</v>
      </c>
      <c r="AL124" s="226" t="str">
        <f t="shared" si="22"/>
        <v>-</v>
      </c>
      <c r="AM124" s="227" t="str">
        <f t="shared" si="50"/>
        <v>-</v>
      </c>
      <c r="AN124" s="227" t="str">
        <f t="shared" si="51"/>
        <v>-</v>
      </c>
      <c r="AO124" s="227" t="str">
        <f t="shared" si="23"/>
        <v>-</v>
      </c>
      <c r="AP124" s="273">
        <f t="shared" si="52"/>
        <v>0.1</v>
      </c>
      <c r="AQ124" s="271" t="str">
        <f>IFERROR(IF(AL123=1,AQ$100*EXP(-(LN(2)/$D$65+0.04)*AN123)*EXP(-(LN(2)/$D$65+0.1)*AO123),IF(AL123=2,AQ$100*EXP(-(LN(2)/$D$65+0.04)*(VLOOKUP(($F$16-$F$15)-1,AK$99:AO123,4,FALSE)))*EXP(-(LN(2)/$D$65+0.1)*(VLOOKUP(($F$16-$F$15)-1,AK$99:AO123,5,FALSE)))*EXP(-(LN(2)/$D$65+0.04)*AN123)*EXP(-(LN(2)/$D$65+0.1)*AO123),IF(AL123=3,AQ$100*EXP(-(LN(2)/$D$65+0.04)*(VLOOKUP(($F$16-$F$15)-1,AK$99:AO123,4,FALSE)))*EXP(-(LN(2)/$D$65+0.1)*(VLOOKUP(($F$16-$F$15)-1,AK$99:AO123,5,FALSE)))*EXP(-(LN(2)/$D$65+0.04)*(VLOOKUP(($F$16-$F$15)*2-1,AK$99:AO123,4,FALSE)))*EXP(-(LN(2)/$D$65+0.1)*(VLOOKUP(($F$16-$F$15)*2-1,AK$99:AO123,5,FALSE)))*EXP(-(LN(2)/$D$65+0.04)*AN123)*EXP(-(LN(2)/$D$65+0.1)*AO123),"-"))),"-")</f>
        <v>-</v>
      </c>
      <c r="AR124" s="271" t="str">
        <f>IFERROR(IF(AL124=1,AR$100*EXP(-(LN(2)/$D$65+0.04)*AN124)*EXP(-(LN(2)/$D$65+0.1)*AO124),IF(AL124=2,AR$100*EXP(-(LN(2)/$D$65+0.04)*(VLOOKUP(($F$16-$F$15)-1,AK$100:AO124,4,FALSE)))*EXP(-(LN(2)/$D$65+0.1)*(VLOOKUP(($F$16-$F$15)-1,AK$100:AO124,5,FALSE)))*EXP(-(LN(2)/$D$65+0.04)*AN124)*EXP(-(LN(2)/$D$65+0.1)*AO124),IF(AL124=3,AR$100*EXP(-(LN(2)/$D$65+0.04)*(VLOOKUP(($F$16-$F$15)-1,AK$100:AO124,4,FALSE)))*EXP(-(LN(2)/$D$65+0.1)*(VLOOKUP(($F$16-$F$15)-1,AK$100:AO124,5,FALSE)))*EXP(-(LN(2)/$D$65+0.04)*(VLOOKUP(($F$16-$F$15)*2-1,AK$100:AO124,4,FALSE)))*EXP(-(LN(2)/$D$65+0.1)*(VLOOKUP(($F$16-$F$15)*2-1,AK$100:AO124,5,FALSE)))*EXP(-(LN(2)/$D$65+0.04)*AN124)*EXP(-(LN(2)/$D$65+0.1)*AO124),"-"))),"-")</f>
        <v>-</v>
      </c>
      <c r="AS124" s="274">
        <f t="shared" si="24"/>
        <v>0</v>
      </c>
      <c r="AT124" s="274">
        <f t="shared" si="25"/>
        <v>0</v>
      </c>
      <c r="AU124" s="274">
        <f t="shared" si="26"/>
        <v>0</v>
      </c>
      <c r="AV124" s="190" t="str">
        <f>IF($B124&lt;$F$22,SUM($T$100:$T124),"")</f>
        <v/>
      </c>
      <c r="AW124" s="190" t="str">
        <f t="shared" si="55"/>
        <v>-</v>
      </c>
      <c r="AX124" s="190" t="str">
        <f t="shared" si="56"/>
        <v/>
      </c>
      <c r="AY124"/>
      <c r="AZ124" s="190" t="str">
        <f ca="1">IF(ISNUMBER(OFFSET(AV124,-$F$21,0)),SUM(OFFSET($T$100,$F$21,0):$T124),"")</f>
        <v/>
      </c>
      <c r="BA124" s="190" t="str">
        <f t="shared" ca="1" si="27"/>
        <v/>
      </c>
      <c r="BB124" s="190" t="str">
        <f t="shared" ca="1" si="70"/>
        <v/>
      </c>
      <c r="BC124" s="190"/>
      <c r="BD124" s="190" t="str">
        <f ca="1">IFERROR(IF(OR(ISNUMBER(I),ISNUMBER($F$14)),IF(AND($B124&gt;=($F$16-$F$15),$B124&lt;$F$22+($F$16-$F$15)),SUM(OFFSET($T$100,($F$16-$F$15),0):$T124),""),""),"")</f>
        <v/>
      </c>
      <c r="BE124" s="190" t="str">
        <f t="shared" ca="1" si="58"/>
        <v/>
      </c>
      <c r="BF124" s="190" t="str">
        <f t="shared" ca="1" si="59"/>
        <v/>
      </c>
      <c r="BG124"/>
      <c r="BH124" s="190" t="str">
        <f ca="1">IF(ISNUMBER(OFFSET(BD124,-$F$21,0)),SUM(OFFSET($T$100,($F$16-$F$15+$F$21),0):$T124),"")</f>
        <v/>
      </c>
      <c r="BI124" s="190" t="str">
        <f t="shared" ca="1" si="28"/>
        <v/>
      </c>
      <c r="BJ124" s="190" t="str">
        <f t="shared" ca="1" si="60"/>
        <v/>
      </c>
      <c r="BK124" s="190"/>
      <c r="BL124" s="190" t="str">
        <f ca="1">IFERROR(IF(OR(ISNUMBER(I),ISNUMBER($F$14)),IF(AND($B124&gt;=($F$17-$F$15),$B124&lt;$F$22+($F$17-$F$15)),SUM(OFFSET($T$100,($F$17-$F$15),0):$T124),""),""),"")</f>
        <v/>
      </c>
      <c r="BM124" s="190" t="str">
        <f t="shared" ca="1" si="29"/>
        <v/>
      </c>
      <c r="BN124" s="190" t="str">
        <f t="shared" ca="1" si="61"/>
        <v/>
      </c>
      <c r="BO124"/>
      <c r="BP124" s="190" t="str">
        <f ca="1">IF(ISNUMBER(OFFSET(BL124,-$F$21,0)),SUM(OFFSET($T$100,($F$17-$F$15+$F$21),0):$T124),"")</f>
        <v/>
      </c>
      <c r="BQ124" s="190" t="str">
        <f t="shared" ca="1" si="62"/>
        <v/>
      </c>
      <c r="BR124" s="190" t="str">
        <f t="shared" ca="1" si="63"/>
        <v/>
      </c>
      <c r="BS124" s="190"/>
      <c r="BT124"/>
      <c r="BU124" s="185"/>
      <c r="BV124" s="184"/>
      <c r="BW124" s="185"/>
      <c r="BX124" s="185"/>
      <c r="BY124" s="185"/>
      <c r="BZ124"/>
      <c r="CA124" s="280" t="str">
        <f t="shared" si="30"/>
        <v/>
      </c>
      <c r="CB124" s="71" t="str">
        <f t="shared" si="31"/>
        <v>-</v>
      </c>
      <c r="CC124" s="33"/>
      <c r="CD124" s="261" t="str">
        <f t="shared" si="33"/>
        <v/>
      </c>
      <c r="CE124" s="280" t="str">
        <f t="shared" si="34"/>
        <v/>
      </c>
      <c r="CF124" s="71" t="str">
        <f t="shared" ca="1" si="35"/>
        <v/>
      </c>
      <c r="CG124" s="33" t="str">
        <f t="shared" si="36"/>
        <v/>
      </c>
      <c r="CH124" s="261" t="str">
        <f t="shared" ca="1" si="37"/>
        <v/>
      </c>
      <c r="CI124" s="202"/>
      <c r="CJ124" s="99"/>
      <c r="CK124" s="99"/>
      <c r="CL124" s="99"/>
      <c r="CM124" s="99"/>
      <c r="CN124" s="99"/>
      <c r="CO124" s="99"/>
    </row>
    <row r="125" spans="2:93" ht="13.5" customHeight="1" x14ac:dyDescent="0.2">
      <c r="B125" s="262">
        <v>25</v>
      </c>
      <c r="C125" s="237" t="str">
        <f t="shared" si="1"/>
        <v/>
      </c>
      <c r="D125" s="237" t="str">
        <f t="shared" si="66"/>
        <v/>
      </c>
      <c r="E125" s="290" t="str">
        <f t="shared" si="38"/>
        <v/>
      </c>
      <c r="F125" s="264" t="str">
        <f t="shared" si="39"/>
        <v/>
      </c>
      <c r="G125" s="291" t="str">
        <f t="shared" si="40"/>
        <v/>
      </c>
      <c r="H125" s="240" t="str">
        <f t="shared" si="41"/>
        <v/>
      </c>
      <c r="I125" s="265" t="str">
        <f t="shared" si="2"/>
        <v/>
      </c>
      <c r="J125" s="265" t="str">
        <f t="shared" si="3"/>
        <v/>
      </c>
      <c r="K125" s="240" t="str">
        <f t="shared" si="4"/>
        <v/>
      </c>
      <c r="L125" s="265" t="str">
        <f t="shared" si="5"/>
        <v/>
      </c>
      <c r="M125" s="265" t="str">
        <f t="shared" si="6"/>
        <v/>
      </c>
      <c r="N125" s="240" t="str">
        <f t="shared" si="7"/>
        <v>-</v>
      </c>
      <c r="O125" s="265" t="str">
        <f t="shared" si="8"/>
        <v>-</v>
      </c>
      <c r="P125" s="265" t="str">
        <f t="shared" si="9"/>
        <v>-</v>
      </c>
      <c r="Q125" s="266" t="str">
        <f t="shared" si="10"/>
        <v>-</v>
      </c>
      <c r="R125" s="267" t="str">
        <f t="shared" si="11"/>
        <v>-</v>
      </c>
      <c r="S125" s="268" t="str">
        <f t="shared" si="12"/>
        <v>-</v>
      </c>
      <c r="T125" s="269" t="str">
        <f t="shared" si="13"/>
        <v/>
      </c>
      <c r="U125" s="221">
        <f t="shared" si="14"/>
        <v>25</v>
      </c>
      <c r="V125" s="220" t="str">
        <f t="shared" si="42"/>
        <v>-</v>
      </c>
      <c r="W125" s="221" t="str">
        <f t="shared" si="43"/>
        <v>-</v>
      </c>
      <c r="X125" s="221" t="str">
        <f t="shared" si="15"/>
        <v>-</v>
      </c>
      <c r="Y125" s="221" t="str">
        <f t="shared" si="16"/>
        <v>-</v>
      </c>
      <c r="Z125" s="270">
        <f t="shared" si="44"/>
        <v>0.1</v>
      </c>
      <c r="AA125" s="271" t="str">
        <f>IFERROR(IF(V124=1,AA$100*EXP(-(LN(2)/$D$65+0.04)*X124)*EXP(-(LN(2)/$D$65+0.1)*Y124),IF(V124=2,AA$100*EXP(-(LN(2)/$D$65+0.04)*(VLOOKUP(($F$16-$F$15)-1,U$99:Y124,4,FALSE)))*EXP(-(LN(2)/$D$65+0.1)*(VLOOKUP(($F$16-$F$15)-1,U$99:Y124,5,FALSE)))*EXP(-(LN(2)/$D$65+0.04)*X124)*EXP(-(LN(2)/$D$65+0.1)*Y124),IF(V124=3,AA$100*EXP(-(LN(2)/$D$65+0.04)*(VLOOKUP(($F$16-$F$15)-1,U$99:Y124,4,FALSE)))*EXP(-(LN(2)/$D$65+0.1)*(VLOOKUP(($F$16-$F$15)-1,U$99:Y124,5,FALSE)))*EXP(-(LN(2)/$D$65+0.04)*(VLOOKUP(($F$16-$F$15)*2-1,U$99:Y124,4,FALSE)))*EXP(-(LN(2)/$D$65+0.1)*(VLOOKUP(($F$16-$F$15)*2-1,U$99:Y124,5,FALSE)))*EXP(-(LN(2)/$D$65+0.04)*X124)*EXP(-(LN(2)/$D$65+0.1)*Y124),"-"))),"-")</f>
        <v>-</v>
      </c>
      <c r="AB125" s="271" t="str">
        <f>IFERROR(IF(V125=1,AB$100*EXP(-(LN(2)/$D$65+0.04)*X125)*EXP(-(LN(2)/$D$65+0.1)*Y125),IF(V125=2,AB$100*EXP(-(LN(2)/$D$65+0.04)*(VLOOKUP(($F$16-$F$15)-1,U$100:Y125,4,FALSE)))*EXP(-(LN(2)/$D$65+0.1)*(VLOOKUP(($F$16-$F$15)-1,U$100:Y125,5,FALSE)))*EXP(-(LN(2)/$D$65+0.04)*X125)*EXP(-(LN(2)/$D$65+0.1)*Y125),IF(V125=3,AB$100*EXP(-(LN(2)/$D$65+0.04)*(VLOOKUP(($F$16-$F$15)-1,U$100:Y125,4,FALSE)))*EXP(-(LN(2)/$D$65+0.1)*(VLOOKUP(($F$16-$F$15)-1,U$100:Y125,5,FALSE)))*EXP(-(LN(2)/$D$65+0.04)*(VLOOKUP(($F$16-$F$15)*2-1,U$100:Y125,4,FALSE)))*EXP(-(LN(2)/$D$65+0.1)*(VLOOKUP(($F$16-$F$15)*2-1,U$100:Y125,5,FALSE)))*EXP(-(LN(2)/$D$65+0.04)*X125)*EXP(-(LN(2)/$D$65+0.1)*Y125),"-"))),"-")</f>
        <v>-</v>
      </c>
      <c r="AC125" s="224">
        <f t="shared" si="45"/>
        <v>25</v>
      </c>
      <c r="AD125" s="223" t="str">
        <f t="shared" si="18"/>
        <v>-</v>
      </c>
      <c r="AE125" s="224" t="str">
        <f t="shared" si="46"/>
        <v>-</v>
      </c>
      <c r="AF125" s="224" t="str">
        <f t="shared" si="19"/>
        <v>-</v>
      </c>
      <c r="AG125" s="224" t="str">
        <f t="shared" si="20"/>
        <v>-</v>
      </c>
      <c r="AH125" s="272">
        <f t="shared" si="47"/>
        <v>0.1</v>
      </c>
      <c r="AI125" s="271" t="str">
        <f>IFERROR(IF(AD124=1,AI$100*EXP(-(LN(2)/$D$65+0.04)*AF124)*EXP(-(LN(2)/$D$65+0.1)*AG124),IF(AD124=2,AI$100*EXP(-(LN(2)/$D$65+0.04)*(VLOOKUP(($F$16-$F$15)-1,AC$99:AG124,4,FALSE)))*EXP(-(LN(2)/$D$65+0.1)*(VLOOKUP(($F$16-$F$15)-1,AC$99:AG124,5,FALSE)))*EXP(-(LN(2)/$D$65+0.04)*AF124)*EXP(-(LN(2)/$D$65+0.1)*AG124),IF(AD124=3,AI$100*EXP(-(LN(2)/$D$65+0.04)*(VLOOKUP(($F$16-$F$15)-1,AC$99:AG124,4,FALSE)))*EXP(-(LN(2)/$D$65+0.1)*(VLOOKUP(($F$16-$F$15)-1,AC$99:AG124,5,FALSE)))*EXP(-(LN(2)/$D$65+0.04)*(VLOOKUP(($F$16-$F$15)*2-1,AC$99:AG124,4,FALSE)))*EXP(-(LN(2)/$D$65+0.1)*(VLOOKUP(($F$16-$F$15)*2-1,AC$99:AG124,5,FALSE)))*EXP(-(LN(2)/$D$65+0.04)*AF124)*EXP(-(LN(2)/$D$65+0.1)*AG124),"-"))),"-")</f>
        <v>-</v>
      </c>
      <c r="AJ125" s="271" t="str">
        <f>IFERROR(IF(AD125=1,AJ$100*EXP(-(LN(2)/$D$65+0.04)*AF125)*EXP(-(LN(2)/$D$65+0.1)*AG125),IF(AD125=2,AJ$100*EXP(-(LN(2)/$D$65+0.04)*(VLOOKUP(($F$16-$F$15)-1,AC$100:AG125,4,FALSE)))*EXP(-(LN(2)/$D$65+0.1)*(VLOOKUP(($F$16-$F$15)-1,AC$100:AG125,5,FALSE)))*EXP(-(LN(2)/$D$65+0.04)*AF125)*EXP(-(LN(2)/$D$65+0.1)*AG125),IF(AD125=3,AJ$100*EXP(-(LN(2)/$D$65+0.04)*(VLOOKUP(($F$16-$F$15)-1,AC$100:AG125,4,FALSE)))*EXP(-(LN(2)/$D$65+0.1)*(VLOOKUP(($F$16-$F$15)-1,AC$100:AG125,5,FALSE)))*EXP(-(LN(2)/$D$65+0.04)*(VLOOKUP(($F$16-$F$15)*2-1,AC$100:AG125,4,FALSE)))*EXP(-(LN(2)/$D$65+0.1)*(VLOOKUP(($F$16-$F$15)*2-1,AC$100:AG125,5,FALSE)))*EXP(-(LN(2)/$D$65+0.04)*AF125)*EXP(-(LN(2)/$D$65+0.1)*AG125),"-"))),"-")</f>
        <v>-</v>
      </c>
      <c r="AK125" s="227">
        <f t="shared" si="49"/>
        <v>25</v>
      </c>
      <c r="AL125" s="226" t="str">
        <f t="shared" si="22"/>
        <v>-</v>
      </c>
      <c r="AM125" s="227" t="str">
        <f t="shared" si="50"/>
        <v>-</v>
      </c>
      <c r="AN125" s="227" t="str">
        <f t="shared" si="51"/>
        <v>-</v>
      </c>
      <c r="AO125" s="227" t="str">
        <f t="shared" si="23"/>
        <v>-</v>
      </c>
      <c r="AP125" s="273">
        <f t="shared" si="52"/>
        <v>0.1</v>
      </c>
      <c r="AQ125" s="271" t="str">
        <f>IFERROR(IF(AL124=1,AQ$100*EXP(-(LN(2)/$D$65+0.04)*AN124)*EXP(-(LN(2)/$D$65+0.1)*AO124),IF(AL124=2,AQ$100*EXP(-(LN(2)/$D$65+0.04)*(VLOOKUP(($F$16-$F$15)-1,AK$99:AO124,4,FALSE)))*EXP(-(LN(2)/$D$65+0.1)*(VLOOKUP(($F$16-$F$15)-1,AK$99:AO124,5,FALSE)))*EXP(-(LN(2)/$D$65+0.04)*AN124)*EXP(-(LN(2)/$D$65+0.1)*AO124),IF(AL124=3,AQ$100*EXP(-(LN(2)/$D$65+0.04)*(VLOOKUP(($F$16-$F$15)-1,AK$99:AO124,4,FALSE)))*EXP(-(LN(2)/$D$65+0.1)*(VLOOKUP(($F$16-$F$15)-1,AK$99:AO124,5,FALSE)))*EXP(-(LN(2)/$D$65+0.04)*(VLOOKUP(($F$16-$F$15)*2-1,AK$99:AO124,4,FALSE)))*EXP(-(LN(2)/$D$65+0.1)*(VLOOKUP(($F$16-$F$15)*2-1,AK$99:AO124,5,FALSE)))*EXP(-(LN(2)/$D$65+0.04)*AN124)*EXP(-(LN(2)/$D$65+0.1)*AO124),"-"))),"-")</f>
        <v>-</v>
      </c>
      <c r="AR125" s="271" t="str">
        <f>IFERROR(IF(AL125=1,AR$100*EXP(-(LN(2)/$D$65+0.04)*AN125)*EXP(-(LN(2)/$D$65+0.1)*AO125),IF(AL125=2,AR$100*EXP(-(LN(2)/$D$65+0.04)*(VLOOKUP(($F$16-$F$15)-1,AK$100:AO125,4,FALSE)))*EXP(-(LN(2)/$D$65+0.1)*(VLOOKUP(($F$16-$F$15)-1,AK$100:AO125,5,FALSE)))*EXP(-(LN(2)/$D$65+0.04)*AN125)*EXP(-(LN(2)/$D$65+0.1)*AO125),IF(AL125=3,AR$100*EXP(-(LN(2)/$D$65+0.04)*(VLOOKUP(($F$16-$F$15)-1,AK$100:AO125,4,FALSE)))*EXP(-(LN(2)/$D$65+0.1)*(VLOOKUP(($F$16-$F$15)-1,AK$100:AO125,5,FALSE)))*EXP(-(LN(2)/$D$65+0.04)*(VLOOKUP(($F$16-$F$15)*2-1,AK$100:AO125,4,FALSE)))*EXP(-(LN(2)/$D$65+0.1)*(VLOOKUP(($F$16-$F$15)*2-1,AK$100:AO125,5,FALSE)))*EXP(-(LN(2)/$D$65+0.04)*AN125)*EXP(-(LN(2)/$D$65+0.1)*AO125),"-"))),"-")</f>
        <v>-</v>
      </c>
      <c r="AS125" s="274">
        <f t="shared" si="24"/>
        <v>0</v>
      </c>
      <c r="AT125" s="274">
        <f t="shared" si="25"/>
        <v>0</v>
      </c>
      <c r="AU125" s="274">
        <f t="shared" si="26"/>
        <v>0</v>
      </c>
      <c r="AV125" s="190" t="str">
        <f>IF($B125&lt;$F$22,SUM($T$100:$T125),"")</f>
        <v/>
      </c>
      <c r="AW125" s="190" t="str">
        <f t="shared" si="55"/>
        <v>-</v>
      </c>
      <c r="AX125" s="190" t="str">
        <f t="shared" si="56"/>
        <v/>
      </c>
      <c r="AY125"/>
      <c r="AZ125" s="190" t="str">
        <f ca="1">IF(ISNUMBER(OFFSET(AV125,-$F$21,0)),SUM(OFFSET($T$100,$F$21,0):$T125),"")</f>
        <v/>
      </c>
      <c r="BA125" s="190" t="str">
        <f t="shared" ca="1" si="27"/>
        <v/>
      </c>
      <c r="BB125" s="190" t="str">
        <f t="shared" ca="1" si="70"/>
        <v/>
      </c>
      <c r="BC125" s="190"/>
      <c r="BD125" s="190" t="str">
        <f ca="1">IFERROR(IF(OR(ISNUMBER(I),ISNUMBER($F$14)),IF(AND($B125&gt;=($F$16-$F$15),$B125&lt;$F$22+($F$16-$F$15)),SUM(OFFSET($T$100,($F$16-$F$15),0):$T125),""),""),"")</f>
        <v/>
      </c>
      <c r="BE125" s="190" t="str">
        <f t="shared" ca="1" si="58"/>
        <v/>
      </c>
      <c r="BF125" s="190" t="str">
        <f t="shared" ca="1" si="59"/>
        <v/>
      </c>
      <c r="BG125"/>
      <c r="BH125" s="190" t="str">
        <f ca="1">IF(ISNUMBER(OFFSET(BD125,-$F$21,0)),SUM(OFFSET($T$100,($F$16-$F$15+$F$21),0):$T125),"")</f>
        <v/>
      </c>
      <c r="BI125" s="190" t="str">
        <f t="shared" ca="1" si="28"/>
        <v/>
      </c>
      <c r="BJ125" s="190" t="str">
        <f t="shared" ca="1" si="60"/>
        <v/>
      </c>
      <c r="BK125" s="190"/>
      <c r="BL125" s="190" t="str">
        <f ca="1">IFERROR(IF(OR(ISNUMBER(I),ISNUMBER($F$14)),IF(AND($B125&gt;=($F$17-$F$15),$B125&lt;$F$22+($F$17-$F$15)),SUM(OFFSET($T$100,($F$17-$F$15),0):$T125),""),""),"")</f>
        <v/>
      </c>
      <c r="BM125" s="190" t="str">
        <f t="shared" ca="1" si="29"/>
        <v/>
      </c>
      <c r="BN125" s="190" t="str">
        <f t="shared" ca="1" si="61"/>
        <v/>
      </c>
      <c r="BO125"/>
      <c r="BP125" s="190" t="str">
        <f ca="1">IF(ISNUMBER(OFFSET(BL125,-$F$21,0)),SUM(OFFSET($T$100,($F$17-$F$15+$F$21),0):$T125),"")</f>
        <v/>
      </c>
      <c r="BQ125" s="190" t="str">
        <f t="shared" ca="1" si="62"/>
        <v/>
      </c>
      <c r="BR125" s="190" t="str">
        <f t="shared" ca="1" si="63"/>
        <v/>
      </c>
      <c r="BS125" s="190"/>
      <c r="BT125"/>
      <c r="BU125" s="185"/>
      <c r="BV125" s="177"/>
      <c r="BW125" s="185"/>
      <c r="BX125" s="185"/>
      <c r="BY125" s="185"/>
      <c r="BZ125"/>
      <c r="CA125" s="280" t="str">
        <f t="shared" si="30"/>
        <v/>
      </c>
      <c r="CB125" s="71" t="str">
        <f t="shared" si="31"/>
        <v>-</v>
      </c>
      <c r="CC125" s="33"/>
      <c r="CD125" s="261" t="str">
        <f t="shared" si="33"/>
        <v/>
      </c>
      <c r="CE125" s="280" t="str">
        <f t="shared" si="34"/>
        <v/>
      </c>
      <c r="CF125" s="71" t="str">
        <f t="shared" ca="1" si="35"/>
        <v/>
      </c>
      <c r="CG125" s="33" t="str">
        <f t="shared" si="36"/>
        <v/>
      </c>
      <c r="CH125" s="261" t="str">
        <f t="shared" ca="1" si="37"/>
        <v/>
      </c>
      <c r="CI125" s="202"/>
      <c r="CJ125" s="99"/>
      <c r="CK125" s="99"/>
      <c r="CL125" s="99"/>
      <c r="CM125" s="99"/>
      <c r="CN125" s="99"/>
      <c r="CO125" s="99"/>
    </row>
    <row r="126" spans="2:93" ht="13.5" customHeight="1" x14ac:dyDescent="0.2">
      <c r="B126" s="262">
        <v>26</v>
      </c>
      <c r="C126" s="237" t="str">
        <f t="shared" si="1"/>
        <v/>
      </c>
      <c r="D126" s="237" t="str">
        <f t="shared" si="66"/>
        <v/>
      </c>
      <c r="E126" s="290" t="str">
        <f t="shared" si="38"/>
        <v/>
      </c>
      <c r="F126" s="264" t="str">
        <f t="shared" si="39"/>
        <v/>
      </c>
      <c r="G126" s="291" t="str">
        <f t="shared" si="40"/>
        <v/>
      </c>
      <c r="H126" s="240" t="str">
        <f t="shared" si="41"/>
        <v/>
      </c>
      <c r="I126" s="265" t="str">
        <f t="shared" si="2"/>
        <v/>
      </c>
      <c r="J126" s="265" t="str">
        <f t="shared" si="3"/>
        <v/>
      </c>
      <c r="K126" s="240" t="str">
        <f t="shared" si="4"/>
        <v/>
      </c>
      <c r="L126" s="265" t="str">
        <f t="shared" si="5"/>
        <v/>
      </c>
      <c r="M126" s="265" t="str">
        <f t="shared" si="6"/>
        <v/>
      </c>
      <c r="N126" s="240" t="str">
        <f t="shared" si="7"/>
        <v>-</v>
      </c>
      <c r="O126" s="265" t="str">
        <f t="shared" si="8"/>
        <v>-</v>
      </c>
      <c r="P126" s="265" t="str">
        <f t="shared" si="9"/>
        <v>-</v>
      </c>
      <c r="Q126" s="266" t="str">
        <f t="shared" si="10"/>
        <v>-</v>
      </c>
      <c r="R126" s="267" t="str">
        <f t="shared" si="11"/>
        <v>-</v>
      </c>
      <c r="S126" s="268" t="str">
        <f t="shared" si="12"/>
        <v>-</v>
      </c>
      <c r="T126" s="269" t="str">
        <f t="shared" si="13"/>
        <v/>
      </c>
      <c r="U126" s="221">
        <f t="shared" si="14"/>
        <v>26</v>
      </c>
      <c r="V126" s="220" t="str">
        <f t="shared" si="42"/>
        <v>-</v>
      </c>
      <c r="W126" s="221" t="str">
        <f t="shared" si="43"/>
        <v>-</v>
      </c>
      <c r="X126" s="221" t="str">
        <f t="shared" si="15"/>
        <v>-</v>
      </c>
      <c r="Y126" s="221" t="str">
        <f t="shared" si="16"/>
        <v>-</v>
      </c>
      <c r="Z126" s="270">
        <f t="shared" si="44"/>
        <v>0.1</v>
      </c>
      <c r="AA126" s="271" t="str">
        <f>IFERROR(IF(V125=1,AA$100*EXP(-(LN(2)/$D$65+0.04)*X125)*EXP(-(LN(2)/$D$65+0.1)*Y125),IF(V125=2,AA$100*EXP(-(LN(2)/$D$65+0.04)*(VLOOKUP(($F$16-$F$15)-1,U$99:Y125,4,FALSE)))*EXP(-(LN(2)/$D$65+0.1)*(VLOOKUP(($F$16-$F$15)-1,U$99:Y125,5,FALSE)))*EXP(-(LN(2)/$D$65+0.04)*X125)*EXP(-(LN(2)/$D$65+0.1)*Y125),IF(V125=3,AA$100*EXP(-(LN(2)/$D$65+0.04)*(VLOOKUP(($F$16-$F$15)-1,U$99:Y125,4,FALSE)))*EXP(-(LN(2)/$D$65+0.1)*(VLOOKUP(($F$16-$F$15)-1,U$99:Y125,5,FALSE)))*EXP(-(LN(2)/$D$65+0.04)*(VLOOKUP(($F$16-$F$15)*2-1,U$99:Y125,4,FALSE)))*EXP(-(LN(2)/$D$65+0.1)*(VLOOKUP(($F$16-$F$15)*2-1,U$99:Y125,5,FALSE)))*EXP(-(LN(2)/$D$65+0.04)*X125)*EXP(-(LN(2)/$D$65+0.1)*Y125),"-"))),"-")</f>
        <v>-</v>
      </c>
      <c r="AB126" s="271" t="str">
        <f>IFERROR(IF(V126=1,AB$100*EXP(-(LN(2)/$D$65+0.04)*X126)*EXP(-(LN(2)/$D$65+0.1)*Y126),IF(V126=2,AB$100*EXP(-(LN(2)/$D$65+0.04)*(VLOOKUP(($F$16-$F$15)-1,U$100:Y126,4,FALSE)))*EXP(-(LN(2)/$D$65+0.1)*(VLOOKUP(($F$16-$F$15)-1,U$100:Y126,5,FALSE)))*EXP(-(LN(2)/$D$65+0.04)*X126)*EXP(-(LN(2)/$D$65+0.1)*Y126),IF(V126=3,AB$100*EXP(-(LN(2)/$D$65+0.04)*(VLOOKUP(($F$16-$F$15)-1,U$100:Y126,4,FALSE)))*EXP(-(LN(2)/$D$65+0.1)*(VLOOKUP(($F$16-$F$15)-1,U$100:Y126,5,FALSE)))*EXP(-(LN(2)/$D$65+0.04)*(VLOOKUP(($F$16-$F$15)*2-1,U$100:Y126,4,FALSE)))*EXP(-(LN(2)/$D$65+0.1)*(VLOOKUP(($F$16-$F$15)*2-1,U$100:Y126,5,FALSE)))*EXP(-(LN(2)/$D$65+0.04)*X126)*EXP(-(LN(2)/$D$65+0.1)*Y126),"-"))),"-")</f>
        <v>-</v>
      </c>
      <c r="AC126" s="224">
        <f t="shared" si="45"/>
        <v>26</v>
      </c>
      <c r="AD126" s="223" t="str">
        <f t="shared" si="18"/>
        <v>-</v>
      </c>
      <c r="AE126" s="224" t="str">
        <f t="shared" si="46"/>
        <v>-</v>
      </c>
      <c r="AF126" s="224" t="str">
        <f t="shared" si="19"/>
        <v>-</v>
      </c>
      <c r="AG126" s="224" t="str">
        <f t="shared" si="20"/>
        <v>-</v>
      </c>
      <c r="AH126" s="272">
        <f t="shared" si="47"/>
        <v>0.1</v>
      </c>
      <c r="AI126" s="271" t="str">
        <f>IFERROR(IF(AD125=1,AI$100*EXP(-(LN(2)/$D$65+0.04)*AF125)*EXP(-(LN(2)/$D$65+0.1)*AG125),IF(AD125=2,AI$100*EXP(-(LN(2)/$D$65+0.04)*(VLOOKUP(($F$16-$F$15)-1,AC$99:AG125,4,FALSE)))*EXP(-(LN(2)/$D$65+0.1)*(VLOOKUP(($F$16-$F$15)-1,AC$99:AG125,5,FALSE)))*EXP(-(LN(2)/$D$65+0.04)*AF125)*EXP(-(LN(2)/$D$65+0.1)*AG125),IF(AD125=3,AI$100*EXP(-(LN(2)/$D$65+0.04)*(VLOOKUP(($F$16-$F$15)-1,AC$99:AG125,4,FALSE)))*EXP(-(LN(2)/$D$65+0.1)*(VLOOKUP(($F$16-$F$15)-1,AC$99:AG125,5,FALSE)))*EXP(-(LN(2)/$D$65+0.04)*(VLOOKUP(($F$16-$F$15)*2-1,AC$99:AG125,4,FALSE)))*EXP(-(LN(2)/$D$65+0.1)*(VLOOKUP(($F$16-$F$15)*2-1,AC$99:AG125,5,FALSE)))*EXP(-(LN(2)/$D$65+0.04)*AF125)*EXP(-(LN(2)/$D$65+0.1)*AG125),"-"))),"-")</f>
        <v>-</v>
      </c>
      <c r="AJ126" s="271" t="str">
        <f>IFERROR(IF(AD126=1,AJ$100*EXP(-(LN(2)/$D$65+0.04)*AF126)*EXP(-(LN(2)/$D$65+0.1)*AG126),IF(AD126=2,AJ$100*EXP(-(LN(2)/$D$65+0.04)*(VLOOKUP(($F$16-$F$15)-1,AC$100:AG126,4,FALSE)))*EXP(-(LN(2)/$D$65+0.1)*(VLOOKUP(($F$16-$F$15)-1,AC$100:AG126,5,FALSE)))*EXP(-(LN(2)/$D$65+0.04)*AF126)*EXP(-(LN(2)/$D$65+0.1)*AG126),IF(AD126=3,AJ$100*EXP(-(LN(2)/$D$65+0.04)*(VLOOKUP(($F$16-$F$15)-1,AC$100:AG126,4,FALSE)))*EXP(-(LN(2)/$D$65+0.1)*(VLOOKUP(($F$16-$F$15)-1,AC$100:AG126,5,FALSE)))*EXP(-(LN(2)/$D$65+0.04)*(VLOOKUP(($F$16-$F$15)*2-1,AC$100:AG126,4,FALSE)))*EXP(-(LN(2)/$D$65+0.1)*(VLOOKUP(($F$16-$F$15)*2-1,AC$100:AG126,5,FALSE)))*EXP(-(LN(2)/$D$65+0.04)*AF126)*EXP(-(LN(2)/$D$65+0.1)*AG126),"-"))),"-")</f>
        <v>-</v>
      </c>
      <c r="AK126" s="227">
        <f t="shared" si="49"/>
        <v>26</v>
      </c>
      <c r="AL126" s="226" t="str">
        <f t="shared" si="22"/>
        <v>-</v>
      </c>
      <c r="AM126" s="227" t="str">
        <f t="shared" si="50"/>
        <v>-</v>
      </c>
      <c r="AN126" s="227" t="str">
        <f t="shared" si="51"/>
        <v>-</v>
      </c>
      <c r="AO126" s="227" t="str">
        <f t="shared" si="23"/>
        <v>-</v>
      </c>
      <c r="AP126" s="273">
        <f t="shared" si="52"/>
        <v>0.1</v>
      </c>
      <c r="AQ126" s="271" t="str">
        <f>IFERROR(IF(AL125=1,AQ$100*EXP(-(LN(2)/$D$65+0.04)*AN125)*EXP(-(LN(2)/$D$65+0.1)*AO125),IF(AL125=2,AQ$100*EXP(-(LN(2)/$D$65+0.04)*(VLOOKUP(($F$16-$F$15)-1,AK$99:AO125,4,FALSE)))*EXP(-(LN(2)/$D$65+0.1)*(VLOOKUP(($F$16-$F$15)-1,AK$99:AO125,5,FALSE)))*EXP(-(LN(2)/$D$65+0.04)*AN125)*EXP(-(LN(2)/$D$65+0.1)*AO125),IF(AL125=3,AQ$100*EXP(-(LN(2)/$D$65+0.04)*(VLOOKUP(($F$16-$F$15)-1,AK$99:AO125,4,FALSE)))*EXP(-(LN(2)/$D$65+0.1)*(VLOOKUP(($F$16-$F$15)-1,AK$99:AO125,5,FALSE)))*EXP(-(LN(2)/$D$65+0.04)*(VLOOKUP(($F$16-$F$15)*2-1,AK$99:AO125,4,FALSE)))*EXP(-(LN(2)/$D$65+0.1)*(VLOOKUP(($F$16-$F$15)*2-1,AK$99:AO125,5,FALSE)))*EXP(-(LN(2)/$D$65+0.04)*AN125)*EXP(-(LN(2)/$D$65+0.1)*AO125),"-"))),"-")</f>
        <v>-</v>
      </c>
      <c r="AR126" s="271" t="str">
        <f>IFERROR(IF(AL126=1,AR$100*EXP(-(LN(2)/$D$65+0.04)*AN126)*EXP(-(LN(2)/$D$65+0.1)*AO126),IF(AL126=2,AR$100*EXP(-(LN(2)/$D$65+0.04)*(VLOOKUP(($F$16-$F$15)-1,AK$100:AO126,4,FALSE)))*EXP(-(LN(2)/$D$65+0.1)*(VLOOKUP(($F$16-$F$15)-1,AK$100:AO126,5,FALSE)))*EXP(-(LN(2)/$D$65+0.04)*AN126)*EXP(-(LN(2)/$D$65+0.1)*AO126),IF(AL126=3,AR$100*EXP(-(LN(2)/$D$65+0.04)*(VLOOKUP(($F$16-$F$15)-1,AK$100:AO126,4,FALSE)))*EXP(-(LN(2)/$D$65+0.1)*(VLOOKUP(($F$16-$F$15)-1,AK$100:AO126,5,FALSE)))*EXP(-(LN(2)/$D$65+0.04)*(VLOOKUP(($F$16-$F$15)*2-1,AK$100:AO126,4,FALSE)))*EXP(-(LN(2)/$D$65+0.1)*(VLOOKUP(($F$16-$F$15)*2-1,AK$100:AO126,5,FALSE)))*EXP(-(LN(2)/$D$65+0.04)*AN126)*EXP(-(LN(2)/$D$65+0.1)*AO126),"-"))),"-")</f>
        <v>-</v>
      </c>
      <c r="AS126" s="274">
        <f t="shared" si="24"/>
        <v>0</v>
      </c>
      <c r="AT126" s="274">
        <f t="shared" si="25"/>
        <v>0</v>
      </c>
      <c r="AU126" s="274">
        <f t="shared" si="26"/>
        <v>0</v>
      </c>
      <c r="AV126" s="190" t="str">
        <f>IF($B126&lt;$F$22,SUM($T$100:$T126),"")</f>
        <v/>
      </c>
      <c r="AW126" s="190" t="str">
        <f t="shared" si="55"/>
        <v>-</v>
      </c>
      <c r="AX126" s="190" t="str">
        <f t="shared" si="56"/>
        <v/>
      </c>
      <c r="AY126"/>
      <c r="AZ126" s="190" t="str">
        <f ca="1">IF(ISNUMBER(OFFSET(AV126,-$F$21,0)),SUM(OFFSET($T$100,$F$21,0):$T126),"")</f>
        <v/>
      </c>
      <c r="BA126" s="190" t="str">
        <f t="shared" ca="1" si="27"/>
        <v/>
      </c>
      <c r="BB126" s="190" t="str">
        <f t="shared" ca="1" si="70"/>
        <v/>
      </c>
      <c r="BC126" s="190"/>
      <c r="BD126" s="190" t="str">
        <f ca="1">IFERROR(IF(OR(ISNUMBER(I),ISNUMBER($F$14)),IF(AND($B126&gt;=($F$16-$F$15),$B126&lt;$F$22+($F$16-$F$15)),SUM(OFFSET($T$100,($F$16-$F$15),0):$T126),""),""),"")</f>
        <v/>
      </c>
      <c r="BE126" s="190" t="str">
        <f t="shared" ca="1" si="58"/>
        <v/>
      </c>
      <c r="BF126" s="190" t="str">
        <f t="shared" ca="1" si="59"/>
        <v/>
      </c>
      <c r="BG126"/>
      <c r="BH126" s="190" t="str">
        <f ca="1">IF(ISNUMBER(OFFSET(BD126,-$F$21,0)),SUM(OFFSET($T$100,($F$16-$F$15+$F$21),0):$T126),"")</f>
        <v/>
      </c>
      <c r="BI126" s="190" t="str">
        <f t="shared" ca="1" si="28"/>
        <v/>
      </c>
      <c r="BJ126" s="190" t="str">
        <f t="shared" ca="1" si="60"/>
        <v/>
      </c>
      <c r="BK126" s="190"/>
      <c r="BL126" s="190" t="str">
        <f ca="1">IFERROR(IF(OR(ISNUMBER(I),ISNUMBER($F$14)),IF(AND($B126&gt;=($F$17-$F$15),$B126&lt;$F$22+($F$17-$F$15)),SUM(OFFSET($T$100,($F$17-$F$15),0):$T126),""),""),"")</f>
        <v/>
      </c>
      <c r="BM126" s="190" t="str">
        <f t="shared" ca="1" si="29"/>
        <v/>
      </c>
      <c r="BN126" s="190" t="str">
        <f t="shared" ca="1" si="61"/>
        <v/>
      </c>
      <c r="BO126"/>
      <c r="BP126" s="190" t="str">
        <f ca="1">IF(ISNUMBER(OFFSET(BL126,-$F$21,0)),SUM(OFFSET($T$100,($F$17-$F$15+$F$21),0):$T126),"")</f>
        <v/>
      </c>
      <c r="BQ126" s="190" t="str">
        <f t="shared" ca="1" si="62"/>
        <v/>
      </c>
      <c r="BR126" s="190" t="str">
        <f t="shared" ca="1" si="63"/>
        <v/>
      </c>
      <c r="BS126" s="190"/>
      <c r="BT126"/>
      <c r="BU126" s="185"/>
      <c r="BV126"/>
      <c r="BW126" s="185" t="str">
        <f>IF(BU126&lt;&gt;"",MIN(BU125:BU126),"")</f>
        <v/>
      </c>
      <c r="BX126" s="185" t="str">
        <f>IF(BU126&lt;&gt;"",MAX(BU125:BU126),"")</f>
        <v/>
      </c>
      <c r="BY126" s="185" t="str">
        <f>IF(B76&lt;&gt;"",(C75-C76)/(B76-B75),"")</f>
        <v/>
      </c>
      <c r="BZ126"/>
      <c r="CA126" s="280" t="str">
        <f t="shared" si="30"/>
        <v/>
      </c>
      <c r="CB126" s="71" t="str">
        <f t="shared" si="31"/>
        <v>-</v>
      </c>
      <c r="CC126" s="33"/>
      <c r="CD126" s="261" t="str">
        <f t="shared" si="33"/>
        <v/>
      </c>
      <c r="CE126" s="280" t="str">
        <f t="shared" si="34"/>
        <v/>
      </c>
      <c r="CF126" s="71" t="str">
        <f t="shared" ca="1" si="35"/>
        <v/>
      </c>
      <c r="CG126" s="33" t="str">
        <f t="shared" si="36"/>
        <v/>
      </c>
      <c r="CH126" s="261" t="str">
        <f t="shared" ca="1" si="37"/>
        <v/>
      </c>
      <c r="CI126" s="202"/>
      <c r="CJ126" s="99"/>
      <c r="CK126" s="99"/>
      <c r="CL126" s="99"/>
      <c r="CM126" s="99"/>
      <c r="CN126" s="99"/>
      <c r="CO126" s="99"/>
    </row>
    <row r="127" spans="2:93" ht="13.5" customHeight="1" x14ac:dyDescent="0.2">
      <c r="B127" s="262">
        <v>27</v>
      </c>
      <c r="C127" s="237" t="str">
        <f t="shared" si="1"/>
        <v/>
      </c>
      <c r="D127" s="237" t="str">
        <f t="shared" si="66"/>
        <v/>
      </c>
      <c r="E127" s="290" t="str">
        <f t="shared" si="38"/>
        <v/>
      </c>
      <c r="F127" s="264" t="str">
        <f t="shared" si="39"/>
        <v/>
      </c>
      <c r="G127" s="305" t="str">
        <f t="shared" si="40"/>
        <v/>
      </c>
      <c r="H127" s="240" t="str">
        <f t="shared" si="41"/>
        <v/>
      </c>
      <c r="I127" s="265" t="str">
        <f t="shared" si="2"/>
        <v/>
      </c>
      <c r="J127" s="265" t="str">
        <f t="shared" si="3"/>
        <v/>
      </c>
      <c r="K127" s="240" t="str">
        <f t="shared" si="4"/>
        <v/>
      </c>
      <c r="L127" s="265" t="str">
        <f t="shared" si="5"/>
        <v/>
      </c>
      <c r="M127" s="265" t="str">
        <f t="shared" si="6"/>
        <v/>
      </c>
      <c r="N127" s="240" t="str">
        <f t="shared" si="7"/>
        <v>-</v>
      </c>
      <c r="O127" s="265" t="str">
        <f t="shared" si="8"/>
        <v>-</v>
      </c>
      <c r="P127" s="265" t="str">
        <f t="shared" si="9"/>
        <v>-</v>
      </c>
      <c r="Q127" s="266" t="str">
        <f t="shared" si="10"/>
        <v>-</v>
      </c>
      <c r="R127" s="267" t="str">
        <f t="shared" si="11"/>
        <v>-</v>
      </c>
      <c r="S127" s="268" t="str">
        <f t="shared" si="12"/>
        <v>-</v>
      </c>
      <c r="T127" s="269" t="str">
        <f t="shared" si="13"/>
        <v/>
      </c>
      <c r="U127" s="221">
        <f t="shared" si="14"/>
        <v>27</v>
      </c>
      <c r="V127" s="220" t="str">
        <f t="shared" si="42"/>
        <v>-</v>
      </c>
      <c r="W127" s="221" t="str">
        <f t="shared" si="43"/>
        <v>-</v>
      </c>
      <c r="X127" s="221" t="str">
        <f t="shared" si="15"/>
        <v>-</v>
      </c>
      <c r="Y127" s="221" t="str">
        <f t="shared" si="16"/>
        <v>-</v>
      </c>
      <c r="Z127" s="270">
        <f t="shared" si="44"/>
        <v>0.1</v>
      </c>
      <c r="AA127" s="271" t="str">
        <f>IFERROR(IF(V126=1,AA$100*EXP(-(LN(2)/$D$65+0.04)*X126)*EXP(-(LN(2)/$D$65+0.1)*Y126),IF(V126=2,AA$100*EXP(-(LN(2)/$D$65+0.04)*(VLOOKUP(($F$16-$F$15)-1,U$99:Y126,4,FALSE)))*EXP(-(LN(2)/$D$65+0.1)*(VLOOKUP(($F$16-$F$15)-1,U$99:Y126,5,FALSE)))*EXP(-(LN(2)/$D$65+0.04)*X126)*EXP(-(LN(2)/$D$65+0.1)*Y126),IF(V126=3,AA$100*EXP(-(LN(2)/$D$65+0.04)*(VLOOKUP(($F$16-$F$15)-1,U$99:Y126,4,FALSE)))*EXP(-(LN(2)/$D$65+0.1)*(VLOOKUP(($F$16-$F$15)-1,U$99:Y126,5,FALSE)))*EXP(-(LN(2)/$D$65+0.04)*(VLOOKUP(($F$16-$F$15)*2-1,U$99:Y126,4,FALSE)))*EXP(-(LN(2)/$D$65+0.1)*(VLOOKUP(($F$16-$F$15)*2-1,U$99:Y126,5,FALSE)))*EXP(-(LN(2)/$D$65+0.04)*X126)*EXP(-(LN(2)/$D$65+0.1)*Y126),"-"))),"-")</f>
        <v>-</v>
      </c>
      <c r="AB127" s="271" t="str">
        <f>IFERROR(IF(V127=1,AB$100*EXP(-(LN(2)/$D$65+0.04)*X127)*EXP(-(LN(2)/$D$65+0.1)*Y127),IF(V127=2,AB$100*EXP(-(LN(2)/$D$65+0.04)*(VLOOKUP(($F$16-$F$15)-1,U$100:Y127,4,FALSE)))*EXP(-(LN(2)/$D$65+0.1)*(VLOOKUP(($F$16-$F$15)-1,U$100:Y127,5,FALSE)))*EXP(-(LN(2)/$D$65+0.04)*X127)*EXP(-(LN(2)/$D$65+0.1)*Y127),IF(V127=3,AB$100*EXP(-(LN(2)/$D$65+0.04)*(VLOOKUP(($F$16-$F$15)-1,U$100:Y127,4,FALSE)))*EXP(-(LN(2)/$D$65+0.1)*(VLOOKUP(($F$16-$F$15)-1,U$100:Y127,5,FALSE)))*EXP(-(LN(2)/$D$65+0.04)*(VLOOKUP(($F$16-$F$15)*2-1,U$100:Y127,4,FALSE)))*EXP(-(LN(2)/$D$65+0.1)*(VLOOKUP(($F$16-$F$15)*2-1,U$100:Y127,5,FALSE)))*EXP(-(LN(2)/$D$65+0.04)*X127)*EXP(-(LN(2)/$D$65+0.1)*Y127),"-"))),"-")</f>
        <v>-</v>
      </c>
      <c r="AC127" s="224">
        <f t="shared" si="45"/>
        <v>27</v>
      </c>
      <c r="AD127" s="223" t="str">
        <f t="shared" si="18"/>
        <v>-</v>
      </c>
      <c r="AE127" s="224" t="str">
        <f t="shared" si="46"/>
        <v>-</v>
      </c>
      <c r="AF127" s="224" t="str">
        <f t="shared" si="19"/>
        <v>-</v>
      </c>
      <c r="AG127" s="224" t="str">
        <f t="shared" si="20"/>
        <v>-</v>
      </c>
      <c r="AH127" s="272">
        <f t="shared" si="47"/>
        <v>0.1</v>
      </c>
      <c r="AI127" s="271" t="str">
        <f>IFERROR(IF(AD126=1,AI$100*EXP(-(LN(2)/$D$65+0.04)*AF126)*EXP(-(LN(2)/$D$65+0.1)*AG126),IF(AD126=2,AI$100*EXP(-(LN(2)/$D$65+0.04)*(VLOOKUP(($F$16-$F$15)-1,AC$99:AG126,4,FALSE)))*EXP(-(LN(2)/$D$65+0.1)*(VLOOKUP(($F$16-$F$15)-1,AC$99:AG126,5,FALSE)))*EXP(-(LN(2)/$D$65+0.04)*AF126)*EXP(-(LN(2)/$D$65+0.1)*AG126),IF(AD126=3,AI$100*EXP(-(LN(2)/$D$65+0.04)*(VLOOKUP(($F$16-$F$15)-1,AC$99:AG126,4,FALSE)))*EXP(-(LN(2)/$D$65+0.1)*(VLOOKUP(($F$16-$F$15)-1,AC$99:AG126,5,FALSE)))*EXP(-(LN(2)/$D$65+0.04)*(VLOOKUP(($F$16-$F$15)*2-1,AC$99:AG126,4,FALSE)))*EXP(-(LN(2)/$D$65+0.1)*(VLOOKUP(($F$16-$F$15)*2-1,AC$99:AG126,5,FALSE)))*EXP(-(LN(2)/$D$65+0.04)*AF126)*EXP(-(LN(2)/$D$65+0.1)*AG126),"-"))),"-")</f>
        <v>-</v>
      </c>
      <c r="AJ127" s="271" t="str">
        <f>IFERROR(IF(AD127=1,AJ$100*EXP(-(LN(2)/$D$65+0.04)*AF127)*EXP(-(LN(2)/$D$65+0.1)*AG127),IF(AD127=2,AJ$100*EXP(-(LN(2)/$D$65+0.04)*(VLOOKUP(($F$16-$F$15)-1,AC$100:AG127,4,FALSE)))*EXP(-(LN(2)/$D$65+0.1)*(VLOOKUP(($F$16-$F$15)-1,AC$100:AG127,5,FALSE)))*EXP(-(LN(2)/$D$65+0.04)*AF127)*EXP(-(LN(2)/$D$65+0.1)*AG127),IF(AD127=3,AJ$100*EXP(-(LN(2)/$D$65+0.04)*(VLOOKUP(($F$16-$F$15)-1,AC$100:AG127,4,FALSE)))*EXP(-(LN(2)/$D$65+0.1)*(VLOOKUP(($F$16-$F$15)-1,AC$100:AG127,5,FALSE)))*EXP(-(LN(2)/$D$65+0.04)*(VLOOKUP(($F$16-$F$15)*2-1,AC$100:AG127,4,FALSE)))*EXP(-(LN(2)/$D$65+0.1)*(VLOOKUP(($F$16-$F$15)*2-1,AC$100:AG127,5,FALSE)))*EXP(-(LN(2)/$D$65+0.04)*AF127)*EXP(-(LN(2)/$D$65+0.1)*AG127),"-"))),"-")</f>
        <v>-</v>
      </c>
      <c r="AK127" s="227">
        <f t="shared" si="49"/>
        <v>27</v>
      </c>
      <c r="AL127" s="226" t="str">
        <f t="shared" si="22"/>
        <v>-</v>
      </c>
      <c r="AM127" s="227" t="str">
        <f t="shared" si="50"/>
        <v>-</v>
      </c>
      <c r="AN127" s="227" t="str">
        <f t="shared" si="51"/>
        <v>-</v>
      </c>
      <c r="AO127" s="227" t="str">
        <f t="shared" si="23"/>
        <v>-</v>
      </c>
      <c r="AP127" s="273">
        <f t="shared" si="52"/>
        <v>0.1</v>
      </c>
      <c r="AQ127" s="271" t="str">
        <f>IFERROR(IF(AL126=1,AQ$100*EXP(-(LN(2)/$D$65+0.04)*AN126)*EXP(-(LN(2)/$D$65+0.1)*AO126),IF(AL126=2,AQ$100*EXP(-(LN(2)/$D$65+0.04)*(VLOOKUP(($F$16-$F$15)-1,AK$99:AO126,4,FALSE)))*EXP(-(LN(2)/$D$65+0.1)*(VLOOKUP(($F$16-$F$15)-1,AK$99:AO126,5,FALSE)))*EXP(-(LN(2)/$D$65+0.04)*AN126)*EXP(-(LN(2)/$D$65+0.1)*AO126),IF(AL126=3,AQ$100*EXP(-(LN(2)/$D$65+0.04)*(VLOOKUP(($F$16-$F$15)-1,AK$99:AO126,4,FALSE)))*EXP(-(LN(2)/$D$65+0.1)*(VLOOKUP(($F$16-$F$15)-1,AK$99:AO126,5,FALSE)))*EXP(-(LN(2)/$D$65+0.04)*(VLOOKUP(($F$16-$F$15)*2-1,AK$99:AO126,4,FALSE)))*EXP(-(LN(2)/$D$65+0.1)*(VLOOKUP(($F$16-$F$15)*2-1,AK$99:AO126,5,FALSE)))*EXP(-(LN(2)/$D$65+0.04)*AN126)*EXP(-(LN(2)/$D$65+0.1)*AO126),"-"))),"-")</f>
        <v>-</v>
      </c>
      <c r="AR127" s="271" t="str">
        <f>IFERROR(IF(AL127=1,AR$100*EXP(-(LN(2)/$D$65+0.04)*AN127)*EXP(-(LN(2)/$D$65+0.1)*AO127),IF(AL127=2,AR$100*EXP(-(LN(2)/$D$65+0.04)*(VLOOKUP(($F$16-$F$15)-1,AK$100:AO127,4,FALSE)))*EXP(-(LN(2)/$D$65+0.1)*(VLOOKUP(($F$16-$F$15)-1,AK$100:AO127,5,FALSE)))*EXP(-(LN(2)/$D$65+0.04)*AN127)*EXP(-(LN(2)/$D$65+0.1)*AO127),IF(AL127=3,AR$100*EXP(-(LN(2)/$D$65+0.04)*(VLOOKUP(($F$16-$F$15)-1,AK$100:AO127,4,FALSE)))*EXP(-(LN(2)/$D$65+0.1)*(VLOOKUP(($F$16-$F$15)-1,AK$100:AO127,5,FALSE)))*EXP(-(LN(2)/$D$65+0.04)*(VLOOKUP(($F$16-$F$15)*2-1,AK$100:AO127,4,FALSE)))*EXP(-(LN(2)/$D$65+0.1)*(VLOOKUP(($F$16-$F$15)*2-1,AK$100:AO127,5,FALSE)))*EXP(-(LN(2)/$D$65+0.04)*AN127)*EXP(-(LN(2)/$D$65+0.1)*AO127),"-"))),"-")</f>
        <v>-</v>
      </c>
      <c r="AS127" s="274">
        <f t="shared" si="24"/>
        <v>0</v>
      </c>
      <c r="AT127" s="274">
        <f t="shared" si="25"/>
        <v>0</v>
      </c>
      <c r="AU127" s="274">
        <f t="shared" si="26"/>
        <v>0</v>
      </c>
      <c r="AV127" s="190" t="str">
        <f>IF($B127&lt;$F$22,SUM($T$100:$T127),"")</f>
        <v/>
      </c>
      <c r="AW127" s="190" t="str">
        <f t="shared" si="55"/>
        <v>-</v>
      </c>
      <c r="AX127" s="190" t="str">
        <f t="shared" si="56"/>
        <v/>
      </c>
      <c r="AY127"/>
      <c r="AZ127" s="190" t="str">
        <f ca="1">IF(ISNUMBER(OFFSET(AV127,-$F$21,0)),SUM(OFFSET($T$100,$F$21,0):$T127),"")</f>
        <v/>
      </c>
      <c r="BA127" s="190" t="str">
        <f t="shared" ca="1" si="27"/>
        <v/>
      </c>
      <c r="BB127" s="190" t="str">
        <f t="shared" ca="1" si="70"/>
        <v/>
      </c>
      <c r="BC127" s="190"/>
      <c r="BD127" s="190" t="str">
        <f ca="1">IFERROR(IF(OR(ISNUMBER(I),ISNUMBER($F$14)),IF(AND($B127&gt;=($F$16-$F$15),$B127&lt;$F$22+($F$16-$F$15)),SUM(OFFSET($T$100,($F$16-$F$15),0):$T127),""),""),"")</f>
        <v/>
      </c>
      <c r="BE127" s="190" t="str">
        <f t="shared" ca="1" si="58"/>
        <v/>
      </c>
      <c r="BF127" s="190" t="str">
        <f t="shared" ca="1" si="59"/>
        <v/>
      </c>
      <c r="BG127"/>
      <c r="BH127" s="190" t="str">
        <f ca="1">IF(ISNUMBER(OFFSET(BD127,-$F$21,0)),SUM(OFFSET($T$100,($F$16-$F$15+$F$21),0):$T127),"")</f>
        <v/>
      </c>
      <c r="BI127" s="190" t="str">
        <f t="shared" ca="1" si="28"/>
        <v/>
      </c>
      <c r="BJ127" s="190" t="str">
        <f t="shared" ca="1" si="60"/>
        <v/>
      </c>
      <c r="BK127" s="190"/>
      <c r="BL127" s="190" t="str">
        <f ca="1">IFERROR(IF(OR(ISNUMBER(I),ISNUMBER($F$14)),IF(AND($B127&gt;=($F$17-$F$15),$B127&lt;$F$22+($F$17-$F$15)),SUM(OFFSET($T$100,($F$17-$F$15),0):$T127),""),""),"")</f>
        <v/>
      </c>
      <c r="BM127" s="190" t="str">
        <f t="shared" ca="1" si="29"/>
        <v/>
      </c>
      <c r="BN127" s="190" t="str">
        <f t="shared" ca="1" si="61"/>
        <v/>
      </c>
      <c r="BO127"/>
      <c r="BP127" s="190" t="str">
        <f ca="1">IF(ISNUMBER(OFFSET(BL127,-$F$21,0)),SUM(OFFSET($T$100,($F$17-$F$15+$F$21),0):$T127),"")</f>
        <v/>
      </c>
      <c r="BQ127" s="190" t="str">
        <f t="shared" ca="1" si="62"/>
        <v/>
      </c>
      <c r="BR127" s="190" t="str">
        <f t="shared" ca="1" si="63"/>
        <v/>
      </c>
      <c r="BS127" s="190"/>
      <c r="BT127"/>
      <c r="BU127"/>
      <c r="BV127"/>
      <c r="BY127" s="99"/>
      <c r="BZ127" s="99"/>
      <c r="CA127" s="280" t="str">
        <f t="shared" si="30"/>
        <v/>
      </c>
      <c r="CB127" s="71" t="str">
        <f t="shared" si="31"/>
        <v>-</v>
      </c>
      <c r="CC127" s="33"/>
      <c r="CD127" s="261" t="str">
        <f t="shared" si="33"/>
        <v/>
      </c>
      <c r="CE127" s="280" t="str">
        <f t="shared" si="34"/>
        <v/>
      </c>
      <c r="CF127" s="71" t="str">
        <f t="shared" ca="1" si="35"/>
        <v/>
      </c>
      <c r="CG127" s="33" t="str">
        <f t="shared" si="36"/>
        <v/>
      </c>
      <c r="CH127" s="261" t="str">
        <f t="shared" ca="1" si="37"/>
        <v/>
      </c>
      <c r="CI127" s="202"/>
      <c r="CJ127" s="99"/>
      <c r="CK127" s="99"/>
      <c r="CL127" s="99"/>
      <c r="CM127" s="99"/>
      <c r="CN127" s="99"/>
      <c r="CO127" s="99"/>
    </row>
    <row r="128" spans="2:93" ht="13.5" customHeight="1" x14ac:dyDescent="0.2">
      <c r="B128" s="262">
        <v>28</v>
      </c>
      <c r="C128" s="237" t="str">
        <f t="shared" si="1"/>
        <v/>
      </c>
      <c r="D128" s="237" t="str">
        <f t="shared" si="66"/>
        <v/>
      </c>
      <c r="E128" s="290" t="str">
        <f t="shared" si="38"/>
        <v/>
      </c>
      <c r="F128" s="264" t="str">
        <f t="shared" si="39"/>
        <v/>
      </c>
      <c r="G128" s="306" t="str">
        <f t="shared" si="40"/>
        <v/>
      </c>
      <c r="H128" s="240" t="str">
        <f t="shared" si="41"/>
        <v/>
      </c>
      <c r="I128" s="265" t="str">
        <f t="shared" si="2"/>
        <v/>
      </c>
      <c r="J128" s="265" t="str">
        <f t="shared" si="3"/>
        <v/>
      </c>
      <c r="K128" s="240" t="str">
        <f t="shared" si="4"/>
        <v/>
      </c>
      <c r="L128" s="265" t="str">
        <f t="shared" si="5"/>
        <v/>
      </c>
      <c r="M128" s="265" t="str">
        <f t="shared" si="6"/>
        <v/>
      </c>
      <c r="N128" s="240" t="str">
        <f t="shared" si="7"/>
        <v>-</v>
      </c>
      <c r="O128" s="265" t="str">
        <f t="shared" si="8"/>
        <v>-</v>
      </c>
      <c r="P128" s="265" t="str">
        <f t="shared" si="9"/>
        <v>-</v>
      </c>
      <c r="Q128" s="266" t="str">
        <f t="shared" si="10"/>
        <v>-</v>
      </c>
      <c r="R128" s="267" t="str">
        <f t="shared" si="11"/>
        <v>-</v>
      </c>
      <c r="S128" s="268" t="str">
        <f t="shared" si="12"/>
        <v>-</v>
      </c>
      <c r="T128" s="269" t="str">
        <f t="shared" si="13"/>
        <v/>
      </c>
      <c r="U128" s="221">
        <f t="shared" si="14"/>
        <v>28</v>
      </c>
      <c r="V128" s="220" t="str">
        <f t="shared" si="42"/>
        <v>-</v>
      </c>
      <c r="W128" s="221" t="str">
        <f t="shared" si="43"/>
        <v>-</v>
      </c>
      <c r="X128" s="221" t="str">
        <f t="shared" si="15"/>
        <v>-</v>
      </c>
      <c r="Y128" s="221" t="str">
        <f t="shared" si="16"/>
        <v>-</v>
      </c>
      <c r="Z128" s="270">
        <f t="shared" si="44"/>
        <v>0.1</v>
      </c>
      <c r="AA128" s="271" t="str">
        <f>IFERROR(IF(V127=1,AA$100*EXP(-(LN(2)/$D$65+0.04)*X127)*EXP(-(LN(2)/$D$65+0.1)*Y127),IF(V127=2,AA$100*EXP(-(LN(2)/$D$65+0.04)*(VLOOKUP(($F$16-$F$15)-1,U$99:Y127,4,FALSE)))*EXP(-(LN(2)/$D$65+0.1)*(VLOOKUP(($F$16-$F$15)-1,U$99:Y127,5,FALSE)))*EXP(-(LN(2)/$D$65+0.04)*X127)*EXP(-(LN(2)/$D$65+0.1)*Y127),IF(V127=3,AA$100*EXP(-(LN(2)/$D$65+0.04)*(VLOOKUP(($F$16-$F$15)-1,U$99:Y127,4,FALSE)))*EXP(-(LN(2)/$D$65+0.1)*(VLOOKUP(($F$16-$F$15)-1,U$99:Y127,5,FALSE)))*EXP(-(LN(2)/$D$65+0.04)*(VLOOKUP(($F$16-$F$15)*2-1,U$99:Y127,4,FALSE)))*EXP(-(LN(2)/$D$65+0.1)*(VLOOKUP(($F$16-$F$15)*2-1,U$99:Y127,5,FALSE)))*EXP(-(LN(2)/$D$65+0.04)*X127)*EXP(-(LN(2)/$D$65+0.1)*Y127),"-"))),"-")</f>
        <v>-</v>
      </c>
      <c r="AB128" s="271" t="str">
        <f>IFERROR(IF(V128=1,AB$100*EXP(-(LN(2)/$D$65+0.04)*X128)*EXP(-(LN(2)/$D$65+0.1)*Y128),IF(V128=2,AB$100*EXP(-(LN(2)/$D$65+0.04)*(VLOOKUP(($F$16-$F$15)-1,U$100:Y128,4,FALSE)))*EXP(-(LN(2)/$D$65+0.1)*(VLOOKUP(($F$16-$F$15)-1,U$100:Y128,5,FALSE)))*EXP(-(LN(2)/$D$65+0.04)*X128)*EXP(-(LN(2)/$D$65+0.1)*Y128),IF(V128=3,AB$100*EXP(-(LN(2)/$D$65+0.04)*(VLOOKUP(($F$16-$F$15)-1,U$100:Y128,4,FALSE)))*EXP(-(LN(2)/$D$65+0.1)*(VLOOKUP(($F$16-$F$15)-1,U$100:Y128,5,FALSE)))*EXP(-(LN(2)/$D$65+0.04)*(VLOOKUP(($F$16-$F$15)*2-1,U$100:Y128,4,FALSE)))*EXP(-(LN(2)/$D$65+0.1)*(VLOOKUP(($F$16-$F$15)*2-1,U$100:Y128,5,FALSE)))*EXP(-(LN(2)/$D$65+0.04)*X128)*EXP(-(LN(2)/$D$65+0.1)*Y128),"-"))),"-")</f>
        <v>-</v>
      </c>
      <c r="AC128" s="224">
        <f t="shared" si="45"/>
        <v>28</v>
      </c>
      <c r="AD128" s="223" t="str">
        <f t="shared" si="18"/>
        <v>-</v>
      </c>
      <c r="AE128" s="224" t="str">
        <f t="shared" si="46"/>
        <v>-</v>
      </c>
      <c r="AF128" s="224" t="str">
        <f t="shared" si="19"/>
        <v>-</v>
      </c>
      <c r="AG128" s="224" t="str">
        <f t="shared" si="20"/>
        <v>-</v>
      </c>
      <c r="AH128" s="272">
        <f t="shared" si="47"/>
        <v>0.1</v>
      </c>
      <c r="AI128" s="271" t="str">
        <f>IFERROR(IF(AD127=1,AI$100*EXP(-(LN(2)/$D$65+0.04)*AF127)*EXP(-(LN(2)/$D$65+0.1)*AG127),IF(AD127=2,AI$100*EXP(-(LN(2)/$D$65+0.04)*(VLOOKUP(($F$16-$F$15)-1,AC$99:AG127,4,FALSE)))*EXP(-(LN(2)/$D$65+0.1)*(VLOOKUP(($F$16-$F$15)-1,AC$99:AG127,5,FALSE)))*EXP(-(LN(2)/$D$65+0.04)*AF127)*EXP(-(LN(2)/$D$65+0.1)*AG127),IF(AD127=3,AI$100*EXP(-(LN(2)/$D$65+0.04)*(VLOOKUP(($F$16-$F$15)-1,AC$99:AG127,4,FALSE)))*EXP(-(LN(2)/$D$65+0.1)*(VLOOKUP(($F$16-$F$15)-1,AC$99:AG127,5,FALSE)))*EXP(-(LN(2)/$D$65+0.04)*(VLOOKUP(($F$16-$F$15)*2-1,AC$99:AG127,4,FALSE)))*EXP(-(LN(2)/$D$65+0.1)*(VLOOKUP(($F$16-$F$15)*2-1,AC$99:AG127,5,FALSE)))*EXP(-(LN(2)/$D$65+0.04)*AF127)*EXP(-(LN(2)/$D$65+0.1)*AG127),"-"))),"-")</f>
        <v>-</v>
      </c>
      <c r="AJ128" s="271" t="str">
        <f>IFERROR(IF(AD128=1,AJ$100*EXP(-(LN(2)/$D$65+0.04)*AF128)*EXP(-(LN(2)/$D$65+0.1)*AG128),IF(AD128=2,AJ$100*EXP(-(LN(2)/$D$65+0.04)*(VLOOKUP(($F$16-$F$15)-1,AC$100:AG128,4,FALSE)))*EXP(-(LN(2)/$D$65+0.1)*(VLOOKUP(($F$16-$F$15)-1,AC$100:AG128,5,FALSE)))*EXP(-(LN(2)/$D$65+0.04)*AF128)*EXP(-(LN(2)/$D$65+0.1)*AG128),IF(AD128=3,AJ$100*EXP(-(LN(2)/$D$65+0.04)*(VLOOKUP(($F$16-$F$15)-1,AC$100:AG128,4,FALSE)))*EXP(-(LN(2)/$D$65+0.1)*(VLOOKUP(($F$16-$F$15)-1,AC$100:AG128,5,FALSE)))*EXP(-(LN(2)/$D$65+0.04)*(VLOOKUP(($F$16-$F$15)*2-1,AC$100:AG128,4,FALSE)))*EXP(-(LN(2)/$D$65+0.1)*(VLOOKUP(($F$16-$F$15)*2-1,AC$100:AG128,5,FALSE)))*EXP(-(LN(2)/$D$65+0.04)*AF128)*EXP(-(LN(2)/$D$65+0.1)*AG128),"-"))),"-")</f>
        <v>-</v>
      </c>
      <c r="AK128" s="227">
        <f t="shared" si="49"/>
        <v>28</v>
      </c>
      <c r="AL128" s="226" t="str">
        <f t="shared" si="22"/>
        <v>-</v>
      </c>
      <c r="AM128" s="227" t="str">
        <f t="shared" si="50"/>
        <v>-</v>
      </c>
      <c r="AN128" s="227" t="str">
        <f t="shared" si="51"/>
        <v>-</v>
      </c>
      <c r="AO128" s="227" t="str">
        <f t="shared" si="23"/>
        <v>-</v>
      </c>
      <c r="AP128" s="273">
        <f t="shared" si="52"/>
        <v>0.1</v>
      </c>
      <c r="AQ128" s="271" t="str">
        <f>IFERROR(IF(AL127=1,AQ$100*EXP(-(LN(2)/$D$65+0.04)*AN127)*EXP(-(LN(2)/$D$65+0.1)*AO127),IF(AL127=2,AQ$100*EXP(-(LN(2)/$D$65+0.04)*(VLOOKUP(($F$16-$F$15)-1,AK$99:AO127,4,FALSE)))*EXP(-(LN(2)/$D$65+0.1)*(VLOOKUP(($F$16-$F$15)-1,AK$99:AO127,5,FALSE)))*EXP(-(LN(2)/$D$65+0.04)*AN127)*EXP(-(LN(2)/$D$65+0.1)*AO127),IF(AL127=3,AQ$100*EXP(-(LN(2)/$D$65+0.04)*(VLOOKUP(($F$16-$F$15)-1,AK$99:AO127,4,FALSE)))*EXP(-(LN(2)/$D$65+0.1)*(VLOOKUP(($F$16-$F$15)-1,AK$99:AO127,5,FALSE)))*EXP(-(LN(2)/$D$65+0.04)*(VLOOKUP(($F$16-$F$15)*2-1,AK$99:AO127,4,FALSE)))*EXP(-(LN(2)/$D$65+0.1)*(VLOOKUP(($F$16-$F$15)*2-1,AK$99:AO127,5,FALSE)))*EXP(-(LN(2)/$D$65+0.04)*AN127)*EXP(-(LN(2)/$D$65+0.1)*AO127),"-"))),"-")</f>
        <v>-</v>
      </c>
      <c r="AR128" s="271" t="str">
        <f>IFERROR(IF(AL128=1,AR$100*EXP(-(LN(2)/$D$65+0.04)*AN128)*EXP(-(LN(2)/$D$65+0.1)*AO128),IF(AL128=2,AR$100*EXP(-(LN(2)/$D$65+0.04)*(VLOOKUP(($F$16-$F$15)-1,AK$100:AO128,4,FALSE)))*EXP(-(LN(2)/$D$65+0.1)*(VLOOKUP(($F$16-$F$15)-1,AK$100:AO128,5,FALSE)))*EXP(-(LN(2)/$D$65+0.04)*AN128)*EXP(-(LN(2)/$D$65+0.1)*AO128),IF(AL128=3,AR$100*EXP(-(LN(2)/$D$65+0.04)*(VLOOKUP(($F$16-$F$15)-1,AK$100:AO128,4,FALSE)))*EXP(-(LN(2)/$D$65+0.1)*(VLOOKUP(($F$16-$F$15)-1,AK$100:AO128,5,FALSE)))*EXP(-(LN(2)/$D$65+0.04)*(VLOOKUP(($F$16-$F$15)*2-1,AK$100:AO128,4,FALSE)))*EXP(-(LN(2)/$D$65+0.1)*(VLOOKUP(($F$16-$F$15)*2-1,AK$100:AO128,5,FALSE)))*EXP(-(LN(2)/$D$65+0.04)*AN128)*EXP(-(LN(2)/$D$65+0.1)*AO128),"-"))),"-")</f>
        <v>-</v>
      </c>
      <c r="AS128" s="274">
        <f t="shared" si="24"/>
        <v>0</v>
      </c>
      <c r="AT128" s="274">
        <f t="shared" si="25"/>
        <v>0</v>
      </c>
      <c r="AU128" s="274">
        <f t="shared" si="26"/>
        <v>0</v>
      </c>
      <c r="AV128" s="190" t="str">
        <f>IF($B128&lt;$F$22,SUM($T$100:$T128),"")</f>
        <v/>
      </c>
      <c r="AW128" s="190" t="str">
        <f t="shared" si="55"/>
        <v>-</v>
      </c>
      <c r="AX128" s="190" t="str">
        <f t="shared" si="56"/>
        <v/>
      </c>
      <c r="AY128"/>
      <c r="AZ128" s="190" t="str">
        <f ca="1">IF(ISNUMBER(OFFSET(AV128,-$F$21,0)),SUM(OFFSET($T$100,$F$21,0):$T128),"")</f>
        <v/>
      </c>
      <c r="BA128" s="190" t="str">
        <f t="shared" ca="1" si="27"/>
        <v/>
      </c>
      <c r="BB128" s="190" t="str">
        <f t="shared" ca="1" si="70"/>
        <v/>
      </c>
      <c r="BC128" s="190"/>
      <c r="BD128" s="190" t="str">
        <f ca="1">IFERROR(IF(OR(ISNUMBER(I),ISNUMBER($F$14)),IF(AND($B128&gt;=($F$16-$F$15),$B128&lt;$F$22+($F$16-$F$15)),SUM(OFFSET($T$100,($F$16-$F$15),0):$T128),""),""),"")</f>
        <v/>
      </c>
      <c r="BE128" s="190" t="str">
        <f t="shared" ca="1" si="58"/>
        <v/>
      </c>
      <c r="BF128" s="190" t="str">
        <f t="shared" ca="1" si="59"/>
        <v/>
      </c>
      <c r="BG128"/>
      <c r="BH128" s="190" t="str">
        <f ca="1">IF(ISNUMBER(OFFSET(BD128,-$F$21,0)),SUM(OFFSET($T$100,($F$16-$F$15+$F$21),0):$T128),"")</f>
        <v/>
      </c>
      <c r="BI128" s="190" t="str">
        <f t="shared" ca="1" si="28"/>
        <v/>
      </c>
      <c r="BJ128" s="190" t="str">
        <f t="shared" ca="1" si="60"/>
        <v/>
      </c>
      <c r="BK128" s="190"/>
      <c r="BL128" s="190" t="str">
        <f ca="1">IFERROR(IF(OR(ISNUMBER(I),ISNUMBER($F$14)),IF(AND($B128&gt;=($F$17-$F$15),$B128&lt;$F$22+($F$17-$F$15)),SUM(OFFSET($T$100,($F$17-$F$15),0):$T128),""),""),"")</f>
        <v/>
      </c>
      <c r="BM128" s="190" t="str">
        <f t="shared" ca="1" si="29"/>
        <v/>
      </c>
      <c r="BN128" s="190" t="str">
        <f t="shared" ca="1" si="61"/>
        <v/>
      </c>
      <c r="BO128"/>
      <c r="BP128" s="190" t="str">
        <f ca="1">IF(ISNUMBER(OFFSET(BL128,-$F$21,0)),SUM(OFFSET($T$100,($F$17-$F$15+$F$21),0):$T128),"")</f>
        <v/>
      </c>
      <c r="BQ128" s="190" t="str">
        <f t="shared" ca="1" si="62"/>
        <v/>
      </c>
      <c r="BR128" s="190" t="str">
        <f t="shared" ca="1" si="63"/>
        <v/>
      </c>
      <c r="BS128" s="190"/>
      <c r="BT128"/>
      <c r="BU128"/>
      <c r="BV128"/>
      <c r="BY128" s="99"/>
      <c r="BZ128" s="99"/>
      <c r="CA128" s="280" t="str">
        <f t="shared" si="30"/>
        <v/>
      </c>
      <c r="CB128" s="71" t="str">
        <f t="shared" si="31"/>
        <v>-</v>
      </c>
      <c r="CC128" s="33"/>
      <c r="CD128" s="261" t="str">
        <f t="shared" si="33"/>
        <v/>
      </c>
      <c r="CE128" s="280" t="str">
        <f t="shared" si="34"/>
        <v/>
      </c>
      <c r="CF128" s="71" t="str">
        <f t="shared" ca="1" si="35"/>
        <v/>
      </c>
      <c r="CG128" s="33" t="str">
        <f t="shared" si="36"/>
        <v/>
      </c>
      <c r="CH128" s="261" t="str">
        <f t="shared" ca="1" si="37"/>
        <v/>
      </c>
      <c r="CI128" s="202"/>
      <c r="CJ128" s="99"/>
      <c r="CK128" s="99"/>
      <c r="CL128" s="99"/>
      <c r="CM128" s="99"/>
      <c r="CN128" s="99"/>
      <c r="CO128" s="99"/>
    </row>
    <row r="129" spans="2:93" ht="13.5" customHeight="1" x14ac:dyDescent="0.2">
      <c r="B129" s="262">
        <v>29</v>
      </c>
      <c r="C129" s="237" t="str">
        <f t="shared" si="1"/>
        <v/>
      </c>
      <c r="D129" s="237" t="str">
        <f t="shared" si="66"/>
        <v/>
      </c>
      <c r="E129" s="290" t="str">
        <f t="shared" si="38"/>
        <v/>
      </c>
      <c r="F129" s="264" t="str">
        <f t="shared" si="39"/>
        <v/>
      </c>
      <c r="G129" s="291" t="str">
        <f t="shared" si="40"/>
        <v/>
      </c>
      <c r="H129" s="240" t="str">
        <f t="shared" si="41"/>
        <v/>
      </c>
      <c r="I129" s="265" t="str">
        <f t="shared" si="2"/>
        <v/>
      </c>
      <c r="J129" s="265" t="str">
        <f t="shared" si="3"/>
        <v/>
      </c>
      <c r="K129" s="240" t="str">
        <f t="shared" si="4"/>
        <v/>
      </c>
      <c r="L129" s="265" t="str">
        <f t="shared" si="5"/>
        <v/>
      </c>
      <c r="M129" s="265" t="str">
        <f t="shared" si="6"/>
        <v/>
      </c>
      <c r="N129" s="240" t="str">
        <f t="shared" si="7"/>
        <v>-</v>
      </c>
      <c r="O129" s="265" t="str">
        <f t="shared" si="8"/>
        <v>-</v>
      </c>
      <c r="P129" s="265" t="str">
        <f t="shared" si="9"/>
        <v>-</v>
      </c>
      <c r="Q129" s="266" t="str">
        <f t="shared" si="10"/>
        <v>-</v>
      </c>
      <c r="R129" s="267" t="str">
        <f t="shared" si="11"/>
        <v>-</v>
      </c>
      <c r="S129" s="268" t="str">
        <f t="shared" si="12"/>
        <v>-</v>
      </c>
      <c r="T129" s="269" t="str">
        <f t="shared" si="13"/>
        <v/>
      </c>
      <c r="U129" s="221">
        <f t="shared" si="14"/>
        <v>29</v>
      </c>
      <c r="V129" s="220" t="str">
        <f t="shared" si="42"/>
        <v>-</v>
      </c>
      <c r="W129" s="221" t="str">
        <f t="shared" si="43"/>
        <v>-</v>
      </c>
      <c r="X129" s="221" t="str">
        <f t="shared" si="15"/>
        <v>-</v>
      </c>
      <c r="Y129" s="221" t="str">
        <f t="shared" si="16"/>
        <v>-</v>
      </c>
      <c r="Z129" s="270">
        <f t="shared" si="44"/>
        <v>0.1</v>
      </c>
      <c r="AA129" s="271" t="str">
        <f>IFERROR(IF(V128=1,AA$100*EXP(-(LN(2)/$D$65+0.04)*X128)*EXP(-(LN(2)/$D$65+0.1)*Y128),IF(V128=2,AA$100*EXP(-(LN(2)/$D$65+0.04)*(VLOOKUP(($F$16-$F$15)-1,U$99:Y128,4,FALSE)))*EXP(-(LN(2)/$D$65+0.1)*(VLOOKUP(($F$16-$F$15)-1,U$99:Y128,5,FALSE)))*EXP(-(LN(2)/$D$65+0.04)*X128)*EXP(-(LN(2)/$D$65+0.1)*Y128),IF(V128=3,AA$100*EXP(-(LN(2)/$D$65+0.04)*(VLOOKUP(($F$16-$F$15)-1,U$99:Y128,4,FALSE)))*EXP(-(LN(2)/$D$65+0.1)*(VLOOKUP(($F$16-$F$15)-1,U$99:Y128,5,FALSE)))*EXP(-(LN(2)/$D$65+0.04)*(VLOOKUP(($F$16-$F$15)*2-1,U$99:Y128,4,FALSE)))*EXP(-(LN(2)/$D$65+0.1)*(VLOOKUP(($F$16-$F$15)*2-1,U$99:Y128,5,FALSE)))*EXP(-(LN(2)/$D$65+0.04)*X128)*EXP(-(LN(2)/$D$65+0.1)*Y128),"-"))),"-")</f>
        <v>-</v>
      </c>
      <c r="AB129" s="271" t="str">
        <f>IFERROR(IF(V129=1,AB$100*EXP(-(LN(2)/$D$65+0.04)*X129)*EXP(-(LN(2)/$D$65+0.1)*Y129),IF(V129=2,AB$100*EXP(-(LN(2)/$D$65+0.04)*(VLOOKUP(($F$16-$F$15)-1,U$100:Y129,4,FALSE)))*EXP(-(LN(2)/$D$65+0.1)*(VLOOKUP(($F$16-$F$15)-1,U$100:Y129,5,FALSE)))*EXP(-(LN(2)/$D$65+0.04)*X129)*EXP(-(LN(2)/$D$65+0.1)*Y129),IF(V129=3,AB$100*EXP(-(LN(2)/$D$65+0.04)*(VLOOKUP(($F$16-$F$15)-1,U$100:Y129,4,FALSE)))*EXP(-(LN(2)/$D$65+0.1)*(VLOOKUP(($F$16-$F$15)-1,U$100:Y129,5,FALSE)))*EXP(-(LN(2)/$D$65+0.04)*(VLOOKUP(($F$16-$F$15)*2-1,U$100:Y129,4,FALSE)))*EXP(-(LN(2)/$D$65+0.1)*(VLOOKUP(($F$16-$F$15)*2-1,U$100:Y129,5,FALSE)))*EXP(-(LN(2)/$D$65+0.04)*X129)*EXP(-(LN(2)/$D$65+0.1)*Y129),"-"))),"-")</f>
        <v>-</v>
      </c>
      <c r="AC129" s="224">
        <f t="shared" si="45"/>
        <v>29</v>
      </c>
      <c r="AD129" s="223" t="str">
        <f t="shared" si="18"/>
        <v>-</v>
      </c>
      <c r="AE129" s="224" t="str">
        <f t="shared" si="46"/>
        <v>-</v>
      </c>
      <c r="AF129" s="224" t="str">
        <f t="shared" si="19"/>
        <v>-</v>
      </c>
      <c r="AG129" s="224" t="str">
        <f t="shared" si="20"/>
        <v>-</v>
      </c>
      <c r="AH129" s="272">
        <f t="shared" si="47"/>
        <v>0.1</v>
      </c>
      <c r="AI129" s="271" t="str">
        <f>IFERROR(IF(AD128=1,AI$100*EXP(-(LN(2)/$D$65+0.04)*AF128)*EXP(-(LN(2)/$D$65+0.1)*AG128),IF(AD128=2,AI$100*EXP(-(LN(2)/$D$65+0.04)*(VLOOKUP(($F$16-$F$15)-1,AC$99:AG128,4,FALSE)))*EXP(-(LN(2)/$D$65+0.1)*(VLOOKUP(($F$16-$F$15)-1,AC$99:AG128,5,FALSE)))*EXP(-(LN(2)/$D$65+0.04)*AF128)*EXP(-(LN(2)/$D$65+0.1)*AG128),IF(AD128=3,AI$100*EXP(-(LN(2)/$D$65+0.04)*(VLOOKUP(($F$16-$F$15)-1,AC$99:AG128,4,FALSE)))*EXP(-(LN(2)/$D$65+0.1)*(VLOOKUP(($F$16-$F$15)-1,AC$99:AG128,5,FALSE)))*EXP(-(LN(2)/$D$65+0.04)*(VLOOKUP(($F$16-$F$15)*2-1,AC$99:AG128,4,FALSE)))*EXP(-(LN(2)/$D$65+0.1)*(VLOOKUP(($F$16-$F$15)*2-1,AC$99:AG128,5,FALSE)))*EXP(-(LN(2)/$D$65+0.04)*AF128)*EXP(-(LN(2)/$D$65+0.1)*AG128),"-"))),"-")</f>
        <v>-</v>
      </c>
      <c r="AJ129" s="271" t="str">
        <f>IFERROR(IF(AD129=1,AJ$100*EXP(-(LN(2)/$D$65+0.04)*AF129)*EXP(-(LN(2)/$D$65+0.1)*AG129),IF(AD129=2,AJ$100*EXP(-(LN(2)/$D$65+0.04)*(VLOOKUP(($F$16-$F$15)-1,AC$100:AG129,4,FALSE)))*EXP(-(LN(2)/$D$65+0.1)*(VLOOKUP(($F$16-$F$15)-1,AC$100:AG129,5,FALSE)))*EXP(-(LN(2)/$D$65+0.04)*AF129)*EXP(-(LN(2)/$D$65+0.1)*AG129),IF(AD129=3,AJ$100*EXP(-(LN(2)/$D$65+0.04)*(VLOOKUP(($F$16-$F$15)-1,AC$100:AG129,4,FALSE)))*EXP(-(LN(2)/$D$65+0.1)*(VLOOKUP(($F$16-$F$15)-1,AC$100:AG129,5,FALSE)))*EXP(-(LN(2)/$D$65+0.04)*(VLOOKUP(($F$16-$F$15)*2-1,AC$100:AG129,4,FALSE)))*EXP(-(LN(2)/$D$65+0.1)*(VLOOKUP(($F$16-$F$15)*2-1,AC$100:AG129,5,FALSE)))*EXP(-(LN(2)/$D$65+0.04)*AF129)*EXP(-(LN(2)/$D$65+0.1)*AG129),"-"))),"-")</f>
        <v>-</v>
      </c>
      <c r="AK129" s="227">
        <f t="shared" si="49"/>
        <v>29</v>
      </c>
      <c r="AL129" s="226" t="str">
        <f t="shared" si="22"/>
        <v>-</v>
      </c>
      <c r="AM129" s="227" t="str">
        <f t="shared" si="50"/>
        <v>-</v>
      </c>
      <c r="AN129" s="227" t="str">
        <f t="shared" si="51"/>
        <v>-</v>
      </c>
      <c r="AO129" s="227" t="str">
        <f t="shared" si="23"/>
        <v>-</v>
      </c>
      <c r="AP129" s="273">
        <f t="shared" si="52"/>
        <v>0.1</v>
      </c>
      <c r="AQ129" s="271" t="str">
        <f>IFERROR(IF(AL128=1,AQ$100*EXP(-(LN(2)/$D$65+0.04)*AN128)*EXP(-(LN(2)/$D$65+0.1)*AO128),IF(AL128=2,AQ$100*EXP(-(LN(2)/$D$65+0.04)*(VLOOKUP(($F$16-$F$15)-1,AK$99:AO128,4,FALSE)))*EXP(-(LN(2)/$D$65+0.1)*(VLOOKUP(($F$16-$F$15)-1,AK$99:AO128,5,FALSE)))*EXP(-(LN(2)/$D$65+0.04)*AN128)*EXP(-(LN(2)/$D$65+0.1)*AO128),IF(AL128=3,AQ$100*EXP(-(LN(2)/$D$65+0.04)*(VLOOKUP(($F$16-$F$15)-1,AK$99:AO128,4,FALSE)))*EXP(-(LN(2)/$D$65+0.1)*(VLOOKUP(($F$16-$F$15)-1,AK$99:AO128,5,FALSE)))*EXP(-(LN(2)/$D$65+0.04)*(VLOOKUP(($F$16-$F$15)*2-1,AK$99:AO128,4,FALSE)))*EXP(-(LN(2)/$D$65+0.1)*(VLOOKUP(($F$16-$F$15)*2-1,AK$99:AO128,5,FALSE)))*EXP(-(LN(2)/$D$65+0.04)*AN128)*EXP(-(LN(2)/$D$65+0.1)*AO128),"-"))),"-")</f>
        <v>-</v>
      </c>
      <c r="AR129" s="271" t="str">
        <f>IFERROR(IF(AL129=1,AR$100*EXP(-(LN(2)/$D$65+0.04)*AN129)*EXP(-(LN(2)/$D$65+0.1)*AO129),IF(AL129=2,AR$100*EXP(-(LN(2)/$D$65+0.04)*(VLOOKUP(($F$16-$F$15)-1,AK$100:AO129,4,FALSE)))*EXP(-(LN(2)/$D$65+0.1)*(VLOOKUP(($F$16-$F$15)-1,AK$100:AO129,5,FALSE)))*EXP(-(LN(2)/$D$65+0.04)*AN129)*EXP(-(LN(2)/$D$65+0.1)*AO129),IF(AL129=3,AR$100*EXP(-(LN(2)/$D$65+0.04)*(VLOOKUP(($F$16-$F$15)-1,AK$100:AO129,4,FALSE)))*EXP(-(LN(2)/$D$65+0.1)*(VLOOKUP(($F$16-$F$15)-1,AK$100:AO129,5,FALSE)))*EXP(-(LN(2)/$D$65+0.04)*(VLOOKUP(($F$16-$F$15)*2-1,AK$100:AO129,4,FALSE)))*EXP(-(LN(2)/$D$65+0.1)*(VLOOKUP(($F$16-$F$15)*2-1,AK$100:AO129,5,FALSE)))*EXP(-(LN(2)/$D$65+0.04)*AN129)*EXP(-(LN(2)/$D$65+0.1)*AO129),"-"))),"-")</f>
        <v>-</v>
      </c>
      <c r="AS129" s="274">
        <f t="shared" si="24"/>
        <v>0</v>
      </c>
      <c r="AT129" s="274">
        <f t="shared" si="25"/>
        <v>0</v>
      </c>
      <c r="AU129" s="274">
        <f t="shared" si="26"/>
        <v>0</v>
      </c>
      <c r="AV129" s="190" t="str">
        <f>IF($B129&lt;$F$22,SUM($T$100:$T129),"")</f>
        <v/>
      </c>
      <c r="AW129" s="190" t="str">
        <f t="shared" si="55"/>
        <v>-</v>
      </c>
      <c r="AX129" s="190" t="str">
        <f t="shared" si="56"/>
        <v/>
      </c>
      <c r="AY129"/>
      <c r="AZ129" s="190" t="str">
        <f ca="1">IF(ISNUMBER(OFFSET(AV129,-$F$21,0)),SUM(OFFSET($T$100,$F$21,0):$T129),"")</f>
        <v/>
      </c>
      <c r="BA129" s="190" t="str">
        <f t="shared" ca="1" si="27"/>
        <v/>
      </c>
      <c r="BB129" s="190" t="str">
        <f t="shared" ca="1" si="70"/>
        <v/>
      </c>
      <c r="BC129" s="190"/>
      <c r="BD129" s="190" t="str">
        <f ca="1">IFERROR(IF(OR(ISNUMBER(I),ISNUMBER($F$14)),IF(AND($B129&gt;=($F$16-$F$15),$B129&lt;$F$22+($F$16-$F$15)),SUM(OFFSET($T$100,($F$16-$F$15),0):$T129),""),""),"")</f>
        <v/>
      </c>
      <c r="BE129" s="190" t="str">
        <f t="shared" ca="1" si="58"/>
        <v/>
      </c>
      <c r="BF129" s="190" t="str">
        <f t="shared" ca="1" si="59"/>
        <v/>
      </c>
      <c r="BG129"/>
      <c r="BH129" s="190" t="str">
        <f ca="1">IF(ISNUMBER(OFFSET(BD129,-$F$21,0)),SUM(OFFSET($T$100,($F$16-$F$15+$F$21),0):$T129),"")</f>
        <v/>
      </c>
      <c r="BI129" s="190" t="str">
        <f t="shared" ca="1" si="28"/>
        <v/>
      </c>
      <c r="BJ129" s="190" t="str">
        <f t="shared" ca="1" si="60"/>
        <v/>
      </c>
      <c r="BK129" s="190"/>
      <c r="BL129" s="190" t="str">
        <f ca="1">IFERROR(IF(OR(ISNUMBER(I),ISNUMBER($F$14)),IF(AND($B129&gt;=($F$17-$F$15),$B129&lt;$F$22+($F$17-$F$15)),SUM(OFFSET($T$100,($F$17-$F$15),0):$T129),""),""),"")</f>
        <v/>
      </c>
      <c r="BM129" s="190" t="str">
        <f t="shared" ca="1" si="29"/>
        <v/>
      </c>
      <c r="BN129" s="190" t="str">
        <f t="shared" ca="1" si="61"/>
        <v/>
      </c>
      <c r="BO129"/>
      <c r="BP129" s="190" t="str">
        <f ca="1">IF(ISNUMBER(OFFSET(BL129,-$F$21,0)),SUM(OFFSET($T$100,($F$17-$F$15+$F$21),0):$T129),"")</f>
        <v/>
      </c>
      <c r="BQ129" s="190" t="str">
        <f t="shared" ca="1" si="62"/>
        <v/>
      </c>
      <c r="BR129" s="190" t="str">
        <f t="shared" ca="1" si="63"/>
        <v/>
      </c>
      <c r="BS129" s="190"/>
      <c r="BT129"/>
      <c r="BU129"/>
      <c r="BV129"/>
      <c r="BY129" s="99"/>
      <c r="BZ129" s="99"/>
      <c r="CA129" s="280" t="str">
        <f t="shared" si="30"/>
        <v/>
      </c>
      <c r="CB129" s="71" t="str">
        <f t="shared" si="31"/>
        <v>-</v>
      </c>
      <c r="CC129" s="33"/>
      <c r="CD129" s="261" t="str">
        <f t="shared" si="33"/>
        <v/>
      </c>
      <c r="CE129" s="280" t="str">
        <f t="shared" si="34"/>
        <v/>
      </c>
      <c r="CF129" s="71" t="str">
        <f t="shared" ca="1" si="35"/>
        <v/>
      </c>
      <c r="CG129" s="33" t="str">
        <f t="shared" si="36"/>
        <v/>
      </c>
      <c r="CH129" s="261" t="str">
        <f t="shared" ca="1" si="37"/>
        <v/>
      </c>
      <c r="CI129" s="202"/>
      <c r="CJ129" s="99"/>
      <c r="CK129" s="99"/>
      <c r="CL129" s="99"/>
      <c r="CM129" s="99"/>
      <c r="CN129" s="99"/>
      <c r="CO129" s="99"/>
    </row>
    <row r="130" spans="2:93" ht="13.5" customHeight="1" x14ac:dyDescent="0.2">
      <c r="B130" s="262">
        <v>30</v>
      </c>
      <c r="C130" s="237" t="str">
        <f t="shared" si="1"/>
        <v/>
      </c>
      <c r="D130" s="237" t="str">
        <f t="shared" si="66"/>
        <v/>
      </c>
      <c r="E130" s="290" t="str">
        <f t="shared" si="38"/>
        <v/>
      </c>
      <c r="F130" s="264" t="str">
        <f t="shared" si="39"/>
        <v/>
      </c>
      <c r="G130" s="291" t="str">
        <f t="shared" si="40"/>
        <v/>
      </c>
      <c r="H130" s="240" t="str">
        <f t="shared" si="41"/>
        <v/>
      </c>
      <c r="I130" s="265" t="str">
        <f t="shared" si="2"/>
        <v/>
      </c>
      <c r="J130" s="265" t="str">
        <f t="shared" si="3"/>
        <v/>
      </c>
      <c r="K130" s="240" t="str">
        <f t="shared" si="4"/>
        <v/>
      </c>
      <c r="L130" s="265" t="str">
        <f t="shared" si="5"/>
        <v/>
      </c>
      <c r="M130" s="265" t="str">
        <f t="shared" si="6"/>
        <v/>
      </c>
      <c r="N130" s="240" t="str">
        <f t="shared" si="7"/>
        <v>-</v>
      </c>
      <c r="O130" s="265" t="str">
        <f t="shared" si="8"/>
        <v>-</v>
      </c>
      <c r="P130" s="265" t="str">
        <f t="shared" si="9"/>
        <v>-</v>
      </c>
      <c r="Q130" s="266" t="str">
        <f t="shared" si="10"/>
        <v>-</v>
      </c>
      <c r="R130" s="267" t="str">
        <f t="shared" si="11"/>
        <v>-</v>
      </c>
      <c r="S130" s="268" t="str">
        <f t="shared" si="12"/>
        <v>-</v>
      </c>
      <c r="T130" s="269" t="str">
        <f t="shared" si="13"/>
        <v/>
      </c>
      <c r="U130" s="221">
        <f t="shared" si="14"/>
        <v>30</v>
      </c>
      <c r="V130" s="220" t="str">
        <f t="shared" si="42"/>
        <v>-</v>
      </c>
      <c r="W130" s="221" t="str">
        <f t="shared" si="43"/>
        <v>-</v>
      </c>
      <c r="X130" s="221" t="str">
        <f t="shared" si="15"/>
        <v>-</v>
      </c>
      <c r="Y130" s="221" t="str">
        <f t="shared" si="16"/>
        <v>-</v>
      </c>
      <c r="Z130" s="270">
        <f t="shared" si="44"/>
        <v>0.1</v>
      </c>
      <c r="AA130" s="271" t="str">
        <f>IFERROR(IF(V129=1,AA$100*EXP(-(LN(2)/$D$65+0.04)*X129)*EXP(-(LN(2)/$D$65+0.1)*Y129),IF(V129=2,AA$100*EXP(-(LN(2)/$D$65+0.04)*(VLOOKUP(($F$16-$F$15)-1,U$99:Y129,4,FALSE)))*EXP(-(LN(2)/$D$65+0.1)*(VLOOKUP(($F$16-$F$15)-1,U$99:Y129,5,FALSE)))*EXP(-(LN(2)/$D$65+0.04)*X129)*EXP(-(LN(2)/$D$65+0.1)*Y129),IF(V129=3,AA$100*EXP(-(LN(2)/$D$65+0.04)*(VLOOKUP(($F$16-$F$15)-1,U$99:Y129,4,FALSE)))*EXP(-(LN(2)/$D$65+0.1)*(VLOOKUP(($F$16-$F$15)-1,U$99:Y129,5,FALSE)))*EXP(-(LN(2)/$D$65+0.04)*(VLOOKUP(($F$16-$F$15)*2-1,U$99:Y129,4,FALSE)))*EXP(-(LN(2)/$D$65+0.1)*(VLOOKUP(($F$16-$F$15)*2-1,U$99:Y129,5,FALSE)))*EXP(-(LN(2)/$D$65+0.04)*X129)*EXP(-(LN(2)/$D$65+0.1)*Y129),"-"))),"-")</f>
        <v>-</v>
      </c>
      <c r="AB130" s="271" t="str">
        <f>IFERROR(IF(V130=1,AB$100*EXP(-(LN(2)/$D$65+0.04)*X130)*EXP(-(LN(2)/$D$65+0.1)*Y130),IF(V130=2,AB$100*EXP(-(LN(2)/$D$65+0.04)*(VLOOKUP(($F$16-$F$15)-1,U$100:Y130,4,FALSE)))*EXP(-(LN(2)/$D$65+0.1)*(VLOOKUP(($F$16-$F$15)-1,U$100:Y130,5,FALSE)))*EXP(-(LN(2)/$D$65+0.04)*X130)*EXP(-(LN(2)/$D$65+0.1)*Y130),IF(V130=3,AB$100*EXP(-(LN(2)/$D$65+0.04)*(VLOOKUP(($F$16-$F$15)-1,U$100:Y130,4,FALSE)))*EXP(-(LN(2)/$D$65+0.1)*(VLOOKUP(($F$16-$F$15)-1,U$100:Y130,5,FALSE)))*EXP(-(LN(2)/$D$65+0.04)*(VLOOKUP(($F$16-$F$15)*2-1,U$100:Y130,4,FALSE)))*EXP(-(LN(2)/$D$65+0.1)*(VLOOKUP(($F$16-$F$15)*2-1,U$100:Y130,5,FALSE)))*EXP(-(LN(2)/$D$65+0.04)*X130)*EXP(-(LN(2)/$D$65+0.1)*Y130),"-"))),"-")</f>
        <v>-</v>
      </c>
      <c r="AC130" s="224">
        <f t="shared" si="45"/>
        <v>30</v>
      </c>
      <c r="AD130" s="223" t="str">
        <f t="shared" si="18"/>
        <v>-</v>
      </c>
      <c r="AE130" s="224" t="str">
        <f t="shared" si="46"/>
        <v>-</v>
      </c>
      <c r="AF130" s="224" t="str">
        <f t="shared" si="19"/>
        <v>-</v>
      </c>
      <c r="AG130" s="224" t="str">
        <f t="shared" si="20"/>
        <v>-</v>
      </c>
      <c r="AH130" s="272">
        <f t="shared" si="47"/>
        <v>0.1</v>
      </c>
      <c r="AI130" s="271" t="str">
        <f>IFERROR(IF(AD129=1,AI$100*EXP(-(LN(2)/$D$65+0.04)*AF129)*EXP(-(LN(2)/$D$65+0.1)*AG129),IF(AD129=2,AI$100*EXP(-(LN(2)/$D$65+0.04)*(VLOOKUP(($F$16-$F$15)-1,AC$99:AG129,4,FALSE)))*EXP(-(LN(2)/$D$65+0.1)*(VLOOKUP(($F$16-$F$15)-1,AC$99:AG129,5,FALSE)))*EXP(-(LN(2)/$D$65+0.04)*AF129)*EXP(-(LN(2)/$D$65+0.1)*AG129),IF(AD129=3,AI$100*EXP(-(LN(2)/$D$65+0.04)*(VLOOKUP(($F$16-$F$15)-1,AC$99:AG129,4,FALSE)))*EXP(-(LN(2)/$D$65+0.1)*(VLOOKUP(($F$16-$F$15)-1,AC$99:AG129,5,FALSE)))*EXP(-(LN(2)/$D$65+0.04)*(VLOOKUP(($F$16-$F$15)*2-1,AC$99:AG129,4,FALSE)))*EXP(-(LN(2)/$D$65+0.1)*(VLOOKUP(($F$16-$F$15)*2-1,AC$99:AG129,5,FALSE)))*EXP(-(LN(2)/$D$65+0.04)*AF129)*EXP(-(LN(2)/$D$65+0.1)*AG129),"-"))),"-")</f>
        <v>-</v>
      </c>
      <c r="AJ130" s="271" t="str">
        <f>IFERROR(IF(AD130=1,AJ$100*EXP(-(LN(2)/$D$65+0.04)*AF130)*EXP(-(LN(2)/$D$65+0.1)*AG130),IF(AD130=2,AJ$100*EXP(-(LN(2)/$D$65+0.04)*(VLOOKUP(($F$16-$F$15)-1,AC$100:AG130,4,FALSE)))*EXP(-(LN(2)/$D$65+0.1)*(VLOOKUP(($F$16-$F$15)-1,AC$100:AG130,5,FALSE)))*EXP(-(LN(2)/$D$65+0.04)*AF130)*EXP(-(LN(2)/$D$65+0.1)*AG130),IF(AD130=3,AJ$100*EXP(-(LN(2)/$D$65+0.04)*(VLOOKUP(($F$16-$F$15)-1,AC$100:AG130,4,FALSE)))*EXP(-(LN(2)/$D$65+0.1)*(VLOOKUP(($F$16-$F$15)-1,AC$100:AG130,5,FALSE)))*EXP(-(LN(2)/$D$65+0.04)*(VLOOKUP(($F$16-$F$15)*2-1,AC$100:AG130,4,FALSE)))*EXP(-(LN(2)/$D$65+0.1)*(VLOOKUP(($F$16-$F$15)*2-1,AC$100:AG130,5,FALSE)))*EXP(-(LN(2)/$D$65+0.04)*AF130)*EXP(-(LN(2)/$D$65+0.1)*AG130),"-"))),"-")</f>
        <v>-</v>
      </c>
      <c r="AK130" s="227">
        <f t="shared" si="49"/>
        <v>30</v>
      </c>
      <c r="AL130" s="226" t="str">
        <f t="shared" si="22"/>
        <v>-</v>
      </c>
      <c r="AM130" s="227" t="str">
        <f t="shared" si="50"/>
        <v>-</v>
      </c>
      <c r="AN130" s="227" t="str">
        <f t="shared" si="51"/>
        <v>-</v>
      </c>
      <c r="AO130" s="227" t="str">
        <f t="shared" si="23"/>
        <v>-</v>
      </c>
      <c r="AP130" s="273">
        <f t="shared" si="52"/>
        <v>0.1</v>
      </c>
      <c r="AQ130" s="271" t="str">
        <f>IFERROR(IF(AL129=1,AQ$100*EXP(-(LN(2)/$D$65+0.04)*AN129)*EXP(-(LN(2)/$D$65+0.1)*AO129),IF(AL129=2,AQ$100*EXP(-(LN(2)/$D$65+0.04)*(VLOOKUP(($F$16-$F$15)-1,AK$99:AO129,4,FALSE)))*EXP(-(LN(2)/$D$65+0.1)*(VLOOKUP(($F$16-$F$15)-1,AK$99:AO129,5,FALSE)))*EXP(-(LN(2)/$D$65+0.04)*AN129)*EXP(-(LN(2)/$D$65+0.1)*AO129),IF(AL129=3,AQ$100*EXP(-(LN(2)/$D$65+0.04)*(VLOOKUP(($F$16-$F$15)-1,AK$99:AO129,4,FALSE)))*EXP(-(LN(2)/$D$65+0.1)*(VLOOKUP(($F$16-$F$15)-1,AK$99:AO129,5,FALSE)))*EXP(-(LN(2)/$D$65+0.04)*(VLOOKUP(($F$16-$F$15)*2-1,AK$99:AO129,4,FALSE)))*EXP(-(LN(2)/$D$65+0.1)*(VLOOKUP(($F$16-$F$15)*2-1,AK$99:AO129,5,FALSE)))*EXP(-(LN(2)/$D$65+0.04)*AN129)*EXP(-(LN(2)/$D$65+0.1)*AO129),"-"))),"-")</f>
        <v>-</v>
      </c>
      <c r="AR130" s="271" t="str">
        <f>IFERROR(IF(AL130=1,AR$100*EXP(-(LN(2)/$D$65+0.04)*AN130)*EXP(-(LN(2)/$D$65+0.1)*AO130),IF(AL130=2,AR$100*EXP(-(LN(2)/$D$65+0.04)*(VLOOKUP(($F$16-$F$15)-1,AK$100:AO130,4,FALSE)))*EXP(-(LN(2)/$D$65+0.1)*(VLOOKUP(($F$16-$F$15)-1,AK$100:AO130,5,FALSE)))*EXP(-(LN(2)/$D$65+0.04)*AN130)*EXP(-(LN(2)/$D$65+0.1)*AO130),IF(AL130=3,AR$100*EXP(-(LN(2)/$D$65+0.04)*(VLOOKUP(($F$16-$F$15)-1,AK$100:AO130,4,FALSE)))*EXP(-(LN(2)/$D$65+0.1)*(VLOOKUP(($F$16-$F$15)-1,AK$100:AO130,5,FALSE)))*EXP(-(LN(2)/$D$65+0.04)*(VLOOKUP(($F$16-$F$15)*2-1,AK$100:AO130,4,FALSE)))*EXP(-(LN(2)/$D$65+0.1)*(VLOOKUP(($F$16-$F$15)*2-1,AK$100:AO130,5,FALSE)))*EXP(-(LN(2)/$D$65+0.04)*AN130)*EXP(-(LN(2)/$D$65+0.1)*AO130),"-"))),"-")</f>
        <v>-</v>
      </c>
      <c r="AS130" s="274">
        <f t="shared" si="24"/>
        <v>0</v>
      </c>
      <c r="AT130" s="274">
        <f t="shared" si="25"/>
        <v>0</v>
      </c>
      <c r="AU130" s="274">
        <f t="shared" si="26"/>
        <v>0</v>
      </c>
      <c r="AV130" s="190" t="str">
        <f>IF($B130&lt;$F$22,SUM($T$100:$T130),"")</f>
        <v/>
      </c>
      <c r="AW130" s="190" t="str">
        <f t="shared" si="55"/>
        <v>-</v>
      </c>
      <c r="AX130" s="190" t="str">
        <f t="shared" si="56"/>
        <v/>
      </c>
      <c r="AY130"/>
      <c r="AZ130" s="190" t="str">
        <f ca="1">IF(ISNUMBER(OFFSET(AV130,-$F$21,0)),SUM(OFFSET($T$100,$F$21,0):$T130),"")</f>
        <v/>
      </c>
      <c r="BA130" s="190" t="str">
        <f t="shared" ca="1" si="27"/>
        <v/>
      </c>
      <c r="BB130" s="190" t="str">
        <f t="shared" ca="1" si="70"/>
        <v/>
      </c>
      <c r="BC130" s="190"/>
      <c r="BD130" s="190" t="str">
        <f ca="1">IFERROR(IF(OR(ISNUMBER(I),ISNUMBER($F$14)),IF(AND($B130&gt;=($F$16-$F$15),$B130&lt;$F$22+($F$16-$F$15)),SUM(OFFSET($T$100,($F$16-$F$15),0):$T130),""),""),"")</f>
        <v/>
      </c>
      <c r="BE130" s="190" t="str">
        <f t="shared" ca="1" si="58"/>
        <v/>
      </c>
      <c r="BF130" s="190" t="str">
        <f t="shared" ca="1" si="59"/>
        <v/>
      </c>
      <c r="BG130"/>
      <c r="BH130" s="190" t="str">
        <f ca="1">IF(ISNUMBER(OFFSET(BD130,-$F$21,0)),SUM(OFFSET($T$100,($F$16-$F$15+$F$21),0):$T130),"")</f>
        <v/>
      </c>
      <c r="BI130" s="190" t="str">
        <f t="shared" ca="1" si="28"/>
        <v/>
      </c>
      <c r="BJ130" s="190" t="str">
        <f t="shared" ca="1" si="60"/>
        <v/>
      </c>
      <c r="BK130" s="190"/>
      <c r="BL130" s="190" t="str">
        <f ca="1">IFERROR(IF(OR(ISNUMBER(I),ISNUMBER($F$14)),IF(AND($B130&gt;=($F$17-$F$15),$B130&lt;$F$22+($F$17-$F$15)),SUM(OFFSET($T$100,($F$17-$F$15),0):$T130),""),""),"")</f>
        <v/>
      </c>
      <c r="BM130" s="190" t="str">
        <f t="shared" ca="1" si="29"/>
        <v/>
      </c>
      <c r="BN130" s="190" t="str">
        <f t="shared" ca="1" si="61"/>
        <v/>
      </c>
      <c r="BO130"/>
      <c r="BP130" s="190" t="str">
        <f ca="1">IF(ISNUMBER(OFFSET(BL130,-$F$21,0)),SUM(OFFSET($T$100,($F$17-$F$15+$F$21),0):$T130),"")</f>
        <v/>
      </c>
      <c r="BQ130" s="190" t="str">
        <f t="shared" ca="1" si="62"/>
        <v/>
      </c>
      <c r="BR130" s="190" t="str">
        <f t="shared" ca="1" si="63"/>
        <v/>
      </c>
      <c r="BS130" s="190"/>
      <c r="BT130"/>
      <c r="BU130"/>
      <c r="BV130"/>
      <c r="BY130" s="99"/>
      <c r="BZ130" s="99"/>
      <c r="CA130" s="280" t="str">
        <f t="shared" si="30"/>
        <v/>
      </c>
      <c r="CB130" s="71" t="str">
        <f t="shared" si="31"/>
        <v>-</v>
      </c>
      <c r="CC130" s="33"/>
      <c r="CD130" s="261" t="str">
        <f t="shared" si="33"/>
        <v/>
      </c>
      <c r="CE130" s="280" t="str">
        <f t="shared" si="34"/>
        <v/>
      </c>
      <c r="CF130" s="71" t="str">
        <f t="shared" ca="1" si="35"/>
        <v/>
      </c>
      <c r="CG130" s="33" t="str">
        <f t="shared" si="36"/>
        <v/>
      </c>
      <c r="CH130" s="261" t="str">
        <f t="shared" ca="1" si="37"/>
        <v/>
      </c>
      <c r="CI130" s="202"/>
      <c r="CJ130" s="99"/>
      <c r="CK130" s="99"/>
      <c r="CL130" s="99"/>
      <c r="CM130" s="99"/>
      <c r="CN130" s="99"/>
      <c r="CO130" s="99"/>
    </row>
    <row r="131" spans="2:93" ht="13.5" customHeight="1" x14ac:dyDescent="0.2">
      <c r="B131" s="262">
        <v>31</v>
      </c>
      <c r="C131" s="237" t="str">
        <f t="shared" si="1"/>
        <v/>
      </c>
      <c r="D131" s="237" t="str">
        <f t="shared" si="66"/>
        <v/>
      </c>
      <c r="E131" s="290" t="str">
        <f t="shared" si="38"/>
        <v/>
      </c>
      <c r="F131" s="264" t="str">
        <f t="shared" si="39"/>
        <v/>
      </c>
      <c r="G131" s="291" t="str">
        <f t="shared" si="40"/>
        <v/>
      </c>
      <c r="H131" s="240" t="str">
        <f t="shared" si="41"/>
        <v/>
      </c>
      <c r="I131" s="265" t="str">
        <f t="shared" si="2"/>
        <v/>
      </c>
      <c r="J131" s="265" t="str">
        <f t="shared" si="3"/>
        <v/>
      </c>
      <c r="K131" s="240" t="str">
        <f t="shared" si="4"/>
        <v/>
      </c>
      <c r="L131" s="265" t="str">
        <f t="shared" si="5"/>
        <v/>
      </c>
      <c r="M131" s="265" t="str">
        <f t="shared" si="6"/>
        <v/>
      </c>
      <c r="N131" s="240" t="str">
        <f t="shared" si="7"/>
        <v>-</v>
      </c>
      <c r="O131" s="265" t="str">
        <f t="shared" si="8"/>
        <v>-</v>
      </c>
      <c r="P131" s="265" t="str">
        <f t="shared" si="9"/>
        <v>-</v>
      </c>
      <c r="Q131" s="266" t="str">
        <f t="shared" si="10"/>
        <v>-</v>
      </c>
      <c r="R131" s="267" t="str">
        <f t="shared" si="11"/>
        <v>-</v>
      </c>
      <c r="S131" s="268" t="str">
        <f t="shared" si="12"/>
        <v>-</v>
      </c>
      <c r="T131" s="269" t="str">
        <f t="shared" si="13"/>
        <v/>
      </c>
      <c r="U131" s="221">
        <f t="shared" si="14"/>
        <v>31</v>
      </c>
      <c r="V131" s="220" t="str">
        <f t="shared" si="42"/>
        <v>-</v>
      </c>
      <c r="W131" s="221" t="str">
        <f t="shared" si="43"/>
        <v>-</v>
      </c>
      <c r="X131" s="221" t="str">
        <f t="shared" si="15"/>
        <v>-</v>
      </c>
      <c r="Y131" s="221" t="str">
        <f t="shared" si="16"/>
        <v>-</v>
      </c>
      <c r="Z131" s="270">
        <f t="shared" si="44"/>
        <v>0.1</v>
      </c>
      <c r="AA131" s="271" t="str">
        <f>IFERROR(IF(V130=1,AA$100*EXP(-(LN(2)/$D$65+0.04)*X130)*EXP(-(LN(2)/$D$65+0.1)*Y130),IF(V130=2,AA$100*EXP(-(LN(2)/$D$65+0.04)*(VLOOKUP(($F$16-$F$15)-1,U$99:Y130,4,FALSE)))*EXP(-(LN(2)/$D$65+0.1)*(VLOOKUP(($F$16-$F$15)-1,U$99:Y130,5,FALSE)))*EXP(-(LN(2)/$D$65+0.04)*X130)*EXP(-(LN(2)/$D$65+0.1)*Y130),IF(V130=3,AA$100*EXP(-(LN(2)/$D$65+0.04)*(VLOOKUP(($F$16-$F$15)-1,U$99:Y130,4,FALSE)))*EXP(-(LN(2)/$D$65+0.1)*(VLOOKUP(($F$16-$F$15)-1,U$99:Y130,5,FALSE)))*EXP(-(LN(2)/$D$65+0.04)*(VLOOKUP(($F$16-$F$15)*2-1,U$99:Y130,4,FALSE)))*EXP(-(LN(2)/$D$65+0.1)*(VLOOKUP(($F$16-$F$15)*2-1,U$99:Y130,5,FALSE)))*EXP(-(LN(2)/$D$65+0.04)*X130)*EXP(-(LN(2)/$D$65+0.1)*Y130),"-"))),"-")</f>
        <v>-</v>
      </c>
      <c r="AB131" s="271" t="str">
        <f>IFERROR(IF(V131=1,AB$100*EXP(-(LN(2)/$D$65+0.04)*X131)*EXP(-(LN(2)/$D$65+0.1)*Y131),IF(V131=2,AB$100*EXP(-(LN(2)/$D$65+0.04)*(VLOOKUP(($F$16-$F$15)-1,U$100:Y131,4,FALSE)))*EXP(-(LN(2)/$D$65+0.1)*(VLOOKUP(($F$16-$F$15)-1,U$100:Y131,5,FALSE)))*EXP(-(LN(2)/$D$65+0.04)*X131)*EXP(-(LN(2)/$D$65+0.1)*Y131),IF(V131=3,AB$100*EXP(-(LN(2)/$D$65+0.04)*(VLOOKUP(($F$16-$F$15)-1,U$100:Y131,4,FALSE)))*EXP(-(LN(2)/$D$65+0.1)*(VLOOKUP(($F$16-$F$15)-1,U$100:Y131,5,FALSE)))*EXP(-(LN(2)/$D$65+0.04)*(VLOOKUP(($F$16-$F$15)*2-1,U$100:Y131,4,FALSE)))*EXP(-(LN(2)/$D$65+0.1)*(VLOOKUP(($F$16-$F$15)*2-1,U$100:Y131,5,FALSE)))*EXP(-(LN(2)/$D$65+0.04)*X131)*EXP(-(LN(2)/$D$65+0.1)*Y131),"-"))),"-")</f>
        <v>-</v>
      </c>
      <c r="AC131" s="224">
        <f t="shared" si="45"/>
        <v>31</v>
      </c>
      <c r="AD131" s="223" t="str">
        <f t="shared" si="18"/>
        <v>-</v>
      </c>
      <c r="AE131" s="224" t="str">
        <f t="shared" si="46"/>
        <v>-</v>
      </c>
      <c r="AF131" s="224" t="str">
        <f t="shared" si="19"/>
        <v>-</v>
      </c>
      <c r="AG131" s="224" t="str">
        <f t="shared" si="20"/>
        <v>-</v>
      </c>
      <c r="AH131" s="272">
        <f t="shared" si="47"/>
        <v>0.1</v>
      </c>
      <c r="AI131" s="271" t="str">
        <f>IFERROR(IF(AD130=1,AI$100*EXP(-(LN(2)/$D$65+0.04)*AF130)*EXP(-(LN(2)/$D$65+0.1)*AG130),IF(AD130=2,AI$100*EXP(-(LN(2)/$D$65+0.04)*(VLOOKUP(($F$16-$F$15)-1,AC$99:AG130,4,FALSE)))*EXP(-(LN(2)/$D$65+0.1)*(VLOOKUP(($F$16-$F$15)-1,AC$99:AG130,5,FALSE)))*EXP(-(LN(2)/$D$65+0.04)*AF130)*EXP(-(LN(2)/$D$65+0.1)*AG130),IF(AD130=3,AI$100*EXP(-(LN(2)/$D$65+0.04)*(VLOOKUP(($F$16-$F$15)-1,AC$99:AG130,4,FALSE)))*EXP(-(LN(2)/$D$65+0.1)*(VLOOKUP(($F$16-$F$15)-1,AC$99:AG130,5,FALSE)))*EXP(-(LN(2)/$D$65+0.04)*(VLOOKUP(($F$16-$F$15)*2-1,AC$99:AG130,4,FALSE)))*EXP(-(LN(2)/$D$65+0.1)*(VLOOKUP(($F$16-$F$15)*2-1,AC$99:AG130,5,FALSE)))*EXP(-(LN(2)/$D$65+0.04)*AF130)*EXP(-(LN(2)/$D$65+0.1)*AG130),"-"))),"-")</f>
        <v>-</v>
      </c>
      <c r="AJ131" s="271" t="str">
        <f>IFERROR(IF(AD131=1,AJ$100*EXP(-(LN(2)/$D$65+0.04)*AF131)*EXP(-(LN(2)/$D$65+0.1)*AG131),IF(AD131=2,AJ$100*EXP(-(LN(2)/$D$65+0.04)*(VLOOKUP(($F$16-$F$15)-1,AC$100:AG131,4,FALSE)))*EXP(-(LN(2)/$D$65+0.1)*(VLOOKUP(($F$16-$F$15)-1,AC$100:AG131,5,FALSE)))*EXP(-(LN(2)/$D$65+0.04)*AF131)*EXP(-(LN(2)/$D$65+0.1)*AG131),IF(AD131=3,AJ$100*EXP(-(LN(2)/$D$65+0.04)*(VLOOKUP(($F$16-$F$15)-1,AC$100:AG131,4,FALSE)))*EXP(-(LN(2)/$D$65+0.1)*(VLOOKUP(($F$16-$F$15)-1,AC$100:AG131,5,FALSE)))*EXP(-(LN(2)/$D$65+0.04)*(VLOOKUP(($F$16-$F$15)*2-1,AC$100:AG131,4,FALSE)))*EXP(-(LN(2)/$D$65+0.1)*(VLOOKUP(($F$16-$F$15)*2-1,AC$100:AG131,5,FALSE)))*EXP(-(LN(2)/$D$65+0.04)*AF131)*EXP(-(LN(2)/$D$65+0.1)*AG131),"-"))),"-")</f>
        <v>-</v>
      </c>
      <c r="AK131" s="227">
        <f t="shared" si="49"/>
        <v>31</v>
      </c>
      <c r="AL131" s="226" t="str">
        <f t="shared" si="22"/>
        <v>-</v>
      </c>
      <c r="AM131" s="227" t="str">
        <f t="shared" si="50"/>
        <v>-</v>
      </c>
      <c r="AN131" s="227" t="str">
        <f t="shared" si="51"/>
        <v>-</v>
      </c>
      <c r="AO131" s="227" t="str">
        <f t="shared" si="23"/>
        <v>-</v>
      </c>
      <c r="AP131" s="273">
        <f t="shared" si="52"/>
        <v>0.1</v>
      </c>
      <c r="AQ131" s="271" t="str">
        <f>IFERROR(IF(AL130=1,AQ$100*EXP(-(LN(2)/$D$65+0.04)*AN130)*EXP(-(LN(2)/$D$65+0.1)*AO130),IF(AL130=2,AQ$100*EXP(-(LN(2)/$D$65+0.04)*(VLOOKUP(($F$16-$F$15)-1,AK$99:AO130,4,FALSE)))*EXP(-(LN(2)/$D$65+0.1)*(VLOOKUP(($F$16-$F$15)-1,AK$99:AO130,5,FALSE)))*EXP(-(LN(2)/$D$65+0.04)*AN130)*EXP(-(LN(2)/$D$65+0.1)*AO130),IF(AL130=3,AQ$100*EXP(-(LN(2)/$D$65+0.04)*(VLOOKUP(($F$16-$F$15)-1,AK$99:AO130,4,FALSE)))*EXP(-(LN(2)/$D$65+0.1)*(VLOOKUP(($F$16-$F$15)-1,AK$99:AO130,5,FALSE)))*EXP(-(LN(2)/$D$65+0.04)*(VLOOKUP(($F$16-$F$15)*2-1,AK$99:AO130,4,FALSE)))*EXP(-(LN(2)/$D$65+0.1)*(VLOOKUP(($F$16-$F$15)*2-1,AK$99:AO130,5,FALSE)))*EXP(-(LN(2)/$D$65+0.04)*AN130)*EXP(-(LN(2)/$D$65+0.1)*AO130),"-"))),"-")</f>
        <v>-</v>
      </c>
      <c r="AR131" s="271" t="str">
        <f>IFERROR(IF(AL131=1,AR$100*EXP(-(LN(2)/$D$65+0.04)*AN131)*EXP(-(LN(2)/$D$65+0.1)*AO131),IF(AL131=2,AR$100*EXP(-(LN(2)/$D$65+0.04)*(VLOOKUP(($F$16-$F$15)-1,AK$100:AO131,4,FALSE)))*EXP(-(LN(2)/$D$65+0.1)*(VLOOKUP(($F$16-$F$15)-1,AK$100:AO131,5,FALSE)))*EXP(-(LN(2)/$D$65+0.04)*AN131)*EXP(-(LN(2)/$D$65+0.1)*AO131),IF(AL131=3,AR$100*EXP(-(LN(2)/$D$65+0.04)*(VLOOKUP(($F$16-$F$15)-1,AK$100:AO131,4,FALSE)))*EXP(-(LN(2)/$D$65+0.1)*(VLOOKUP(($F$16-$F$15)-1,AK$100:AO131,5,FALSE)))*EXP(-(LN(2)/$D$65+0.04)*(VLOOKUP(($F$16-$F$15)*2-1,AK$100:AO131,4,FALSE)))*EXP(-(LN(2)/$D$65+0.1)*(VLOOKUP(($F$16-$F$15)*2-1,AK$100:AO131,5,FALSE)))*EXP(-(LN(2)/$D$65+0.04)*AN131)*EXP(-(LN(2)/$D$65+0.1)*AO131),"-"))),"-")</f>
        <v>-</v>
      </c>
      <c r="AS131" s="274">
        <f t="shared" si="24"/>
        <v>0</v>
      </c>
      <c r="AT131" s="274">
        <f t="shared" si="25"/>
        <v>0</v>
      </c>
      <c r="AU131" s="274">
        <f t="shared" si="26"/>
        <v>0</v>
      </c>
      <c r="AV131" s="190" t="str">
        <f>IF($B131&lt;$F$22,SUM($T$100:$T131),"")</f>
        <v/>
      </c>
      <c r="AW131" s="190" t="str">
        <f t="shared" si="55"/>
        <v>-</v>
      </c>
      <c r="AX131" s="190" t="str">
        <f t="shared" si="56"/>
        <v/>
      </c>
      <c r="AY131"/>
      <c r="AZ131" s="190" t="str">
        <f ca="1">IF(ISNUMBER(OFFSET(AV131,-$F$21,0)),SUM(OFFSET($T$100,$F$21,0):$T131),"")</f>
        <v/>
      </c>
      <c r="BA131" s="190" t="str">
        <f t="shared" ca="1" si="27"/>
        <v/>
      </c>
      <c r="BB131" s="190" t="str">
        <f t="shared" ca="1" si="70"/>
        <v/>
      </c>
      <c r="BC131" s="190"/>
      <c r="BD131" s="190" t="str">
        <f ca="1">IFERROR(IF(OR(ISNUMBER(I),ISNUMBER($F$14)),IF(AND($B131&gt;=($F$16-$F$15),$B131&lt;$F$22+($F$16-$F$15)),SUM(OFFSET($T$100,($F$16-$F$15),0):$T131),""),""),"")</f>
        <v/>
      </c>
      <c r="BE131" s="190" t="str">
        <f t="shared" ca="1" si="58"/>
        <v/>
      </c>
      <c r="BF131" s="190" t="str">
        <f t="shared" ca="1" si="59"/>
        <v/>
      </c>
      <c r="BG131"/>
      <c r="BH131" s="190" t="str">
        <f ca="1">IF(ISNUMBER(OFFSET(BD131,-$F$21,0)),SUM(OFFSET($T$100,($F$16-$F$15+$F$21),0):$T131),"")</f>
        <v/>
      </c>
      <c r="BI131" s="190" t="str">
        <f t="shared" ca="1" si="28"/>
        <v/>
      </c>
      <c r="BJ131" s="190" t="str">
        <f t="shared" ca="1" si="60"/>
        <v/>
      </c>
      <c r="BK131" s="190"/>
      <c r="BL131" s="190" t="str">
        <f ca="1">IFERROR(IF(OR(ISNUMBER(I),ISNUMBER($F$14)),IF(AND($B131&gt;=($F$17-$F$15),$B131&lt;$F$22+($F$17-$F$15)),SUM(OFFSET($T$100,($F$17-$F$15),0):$T131),""),""),"")</f>
        <v/>
      </c>
      <c r="BM131" s="190" t="str">
        <f t="shared" ca="1" si="29"/>
        <v/>
      </c>
      <c r="BN131" s="190" t="str">
        <f t="shared" ca="1" si="61"/>
        <v/>
      </c>
      <c r="BO131"/>
      <c r="BP131" s="190" t="str">
        <f ca="1">IF(ISNUMBER(OFFSET(BL131,-$F$21,0)),SUM(OFFSET($T$100,($F$17-$F$15+$F$21),0):$T131),"")</f>
        <v/>
      </c>
      <c r="BQ131" s="190" t="str">
        <f t="shared" ca="1" si="62"/>
        <v/>
      </c>
      <c r="BR131" s="190" t="str">
        <f t="shared" ca="1" si="63"/>
        <v/>
      </c>
      <c r="BS131" s="190"/>
      <c r="BT131"/>
      <c r="BU131"/>
      <c r="BV131"/>
      <c r="BY131" s="99"/>
      <c r="BZ131" s="99"/>
      <c r="CA131" s="280" t="str">
        <f t="shared" si="30"/>
        <v/>
      </c>
      <c r="CB131" s="71" t="str">
        <f t="shared" si="31"/>
        <v>-</v>
      </c>
      <c r="CC131" s="33"/>
      <c r="CD131" s="261" t="str">
        <f t="shared" si="33"/>
        <v/>
      </c>
      <c r="CE131" s="280" t="str">
        <f t="shared" si="34"/>
        <v/>
      </c>
      <c r="CF131" s="71" t="str">
        <f t="shared" ca="1" si="35"/>
        <v/>
      </c>
      <c r="CG131" s="33" t="str">
        <f t="shared" si="36"/>
        <v/>
      </c>
      <c r="CH131" s="261" t="str">
        <f t="shared" ca="1" si="37"/>
        <v/>
      </c>
      <c r="CI131" s="202"/>
      <c r="CJ131" s="99"/>
      <c r="CK131" s="99"/>
      <c r="CL131" s="99"/>
      <c r="CM131" s="99"/>
      <c r="CN131" s="99"/>
      <c r="CO131" s="99"/>
    </row>
    <row r="132" spans="2:93" ht="13.5" customHeight="1" x14ac:dyDescent="0.2">
      <c r="B132" s="262">
        <v>32</v>
      </c>
      <c r="C132" s="237" t="str">
        <f t="shared" si="1"/>
        <v/>
      </c>
      <c r="D132" s="237" t="str">
        <f t="shared" si="66"/>
        <v/>
      </c>
      <c r="E132" s="290" t="str">
        <f t="shared" si="38"/>
        <v/>
      </c>
      <c r="F132" s="264" t="str">
        <f t="shared" si="39"/>
        <v/>
      </c>
      <c r="G132" s="291" t="str">
        <f t="shared" si="40"/>
        <v/>
      </c>
      <c r="H132" s="240" t="str">
        <f t="shared" ref="H132:H163" si="71">IF(E132&lt;&gt;"",IF($B132&lt;$F$21,"",IF(ISNUMBER(F132),IF(ISNUMBER(I132),(E132*30*50*ffp),""),(E132*30*50*ffp))),"")</f>
        <v/>
      </c>
      <c r="I132" s="265" t="str">
        <f t="shared" ref="I132:I163" si="72">IFERROR(IF(F132&lt;&gt;"",IF($B132&lt;$F$21+$F$16,"",IF(ISNUMBER(G132),IF(ISNUMBER(J132),(F132*30*50*ffp),""),(F132*30*50*ffp))),""),"")</f>
        <v/>
      </c>
      <c r="J132" s="265" t="str">
        <f t="shared" ref="J132:J163" si="73">IFERROR(IF(G132&lt;&gt;"",IF($B132&lt;$F$21+$F$17,"",(G132*30*50*ffp)),""),"")</f>
        <v/>
      </c>
      <c r="K132" s="240" t="str">
        <f t="shared" ref="K132:K163" si="74">IF(E132&lt;&gt;"",((E132*20*50*ffp)/Klevee),"")</f>
        <v/>
      </c>
      <c r="L132" s="265" t="str">
        <f t="shared" ref="L132:L163" si="75">IF(ISNUMBER(F132),((F132*20*50*ffp)/Klevee),"")</f>
        <v/>
      </c>
      <c r="M132" s="265" t="str">
        <f t="shared" ref="M132:M163" si="76">IF(ISNUMBER(G132),((G132*20*50*ffp)/Klevee),"")</f>
        <v/>
      </c>
      <c r="N132" s="240" t="str">
        <f t="shared" ref="N132:N163" si="77">IF(AND(ISNUMBER(I),ISNUMBER($F$14),ISNUMBER($F$20)),IF($B132=0,I*($J$40/100)*$J$42*1,""),"-")</f>
        <v>-</v>
      </c>
      <c r="O132" s="265" t="str">
        <f t="shared" ref="O132:O163" si="78">IF(ISNUMBER($F$14),IF($F$14&gt;1,IF($B132=0+$F$16,I*($J$40/100)*$J$42*1,""),""),"-")</f>
        <v>-</v>
      </c>
      <c r="P132" s="265" t="str">
        <f t="shared" ref="P132:P163" si="79">IF(ISNUMBER($F$14),IF($F$14&gt;2,IF($B132=0+$F$17,I*($J$40/100)*$J$42*1,""),""),"-")</f>
        <v>-</v>
      </c>
      <c r="Q132" s="266" t="str">
        <f t="shared" ref="Q132:Q163" si="80">IF(AND(ISNUMBER(I),ISNUMBER($F$14),ISNUMBER($F$20)),IF($B132=0,I*(dt/100)*$J$45*1,""),"-")</f>
        <v>-</v>
      </c>
      <c r="R132" s="267" t="str">
        <f t="shared" ref="R132:R163" si="81">IF(ISNUMBER($F$14),IF($F$14&gt;1,IF($B132=0+$F$16,I*(dt/100)*$J$45*1,""),""),"-")</f>
        <v>-</v>
      </c>
      <c r="S132" s="268" t="str">
        <f t="shared" ref="S132:S163" si="82">IF(ISNUMBER($F$14),IF($F$14&gt;2,IF($B132=0+$F$17,I*(dt/100)*$J$45*1,""),""),"-")</f>
        <v>-</v>
      </c>
      <c r="T132" s="269" t="str">
        <f t="shared" si="13"/>
        <v/>
      </c>
      <c r="U132" s="221">
        <f t="shared" si="14"/>
        <v>32</v>
      </c>
      <c r="V132" s="220" t="str">
        <f t="shared" si="42"/>
        <v>-</v>
      </c>
      <c r="W132" s="221" t="str">
        <f t="shared" si="43"/>
        <v>-</v>
      </c>
      <c r="X132" s="221" t="str">
        <f t="shared" si="15"/>
        <v>-</v>
      </c>
      <c r="Y132" s="221" t="str">
        <f t="shared" si="16"/>
        <v>-</v>
      </c>
      <c r="Z132" s="270">
        <f t="shared" si="44"/>
        <v>0.1</v>
      </c>
      <c r="AA132" s="271" t="str">
        <f>IFERROR(IF(V131=1,AA$100*EXP(-(LN(2)/$D$65+0.04)*X131)*EXP(-(LN(2)/$D$65+0.1)*Y131),IF(V131=2,AA$100*EXP(-(LN(2)/$D$65+0.04)*(VLOOKUP(($F$16-$F$15)-1,U$99:Y131,4,FALSE)))*EXP(-(LN(2)/$D$65+0.1)*(VLOOKUP(($F$16-$F$15)-1,U$99:Y131,5,FALSE)))*EXP(-(LN(2)/$D$65+0.04)*X131)*EXP(-(LN(2)/$D$65+0.1)*Y131),IF(V131=3,AA$100*EXP(-(LN(2)/$D$65+0.04)*(VLOOKUP(($F$16-$F$15)-1,U$99:Y131,4,FALSE)))*EXP(-(LN(2)/$D$65+0.1)*(VLOOKUP(($F$16-$F$15)-1,U$99:Y131,5,FALSE)))*EXP(-(LN(2)/$D$65+0.04)*(VLOOKUP(($F$16-$F$15)*2-1,U$99:Y131,4,FALSE)))*EXP(-(LN(2)/$D$65+0.1)*(VLOOKUP(($F$16-$F$15)*2-1,U$99:Y131,5,FALSE)))*EXP(-(LN(2)/$D$65+0.04)*X131)*EXP(-(LN(2)/$D$65+0.1)*Y131),"-"))),"-")</f>
        <v>-</v>
      </c>
      <c r="AB132" s="271" t="str">
        <f>IFERROR(IF(V132=1,AB$100*EXP(-(LN(2)/$D$65+0.04)*X132)*EXP(-(LN(2)/$D$65+0.1)*Y132),IF(V132=2,AB$100*EXP(-(LN(2)/$D$65+0.04)*(VLOOKUP(($F$16-$F$15)-1,U$100:Y132,4,FALSE)))*EXP(-(LN(2)/$D$65+0.1)*(VLOOKUP(($F$16-$F$15)-1,U$100:Y132,5,FALSE)))*EXP(-(LN(2)/$D$65+0.04)*X132)*EXP(-(LN(2)/$D$65+0.1)*Y132),IF(V132=3,AB$100*EXP(-(LN(2)/$D$65+0.04)*(VLOOKUP(($F$16-$F$15)-1,U$100:Y132,4,FALSE)))*EXP(-(LN(2)/$D$65+0.1)*(VLOOKUP(($F$16-$F$15)-1,U$100:Y132,5,FALSE)))*EXP(-(LN(2)/$D$65+0.04)*(VLOOKUP(($F$16-$F$15)*2-1,U$100:Y132,4,FALSE)))*EXP(-(LN(2)/$D$65+0.1)*(VLOOKUP(($F$16-$F$15)*2-1,U$100:Y132,5,FALSE)))*EXP(-(LN(2)/$D$65+0.04)*X132)*EXP(-(LN(2)/$D$65+0.1)*Y132),"-"))),"-")</f>
        <v>-</v>
      </c>
      <c r="AC132" s="224">
        <f t="shared" si="45"/>
        <v>32</v>
      </c>
      <c r="AD132" s="223" t="str">
        <f t="shared" si="18"/>
        <v>-</v>
      </c>
      <c r="AE132" s="224" t="str">
        <f t="shared" si="46"/>
        <v>-</v>
      </c>
      <c r="AF132" s="224" t="str">
        <f t="shared" si="19"/>
        <v>-</v>
      </c>
      <c r="AG132" s="224" t="str">
        <f t="shared" si="20"/>
        <v>-</v>
      </c>
      <c r="AH132" s="272">
        <f t="shared" si="47"/>
        <v>0.1</v>
      </c>
      <c r="AI132" s="271" t="str">
        <f>IFERROR(IF(AD131=1,AI$100*EXP(-(LN(2)/$D$65+0.04)*AF131)*EXP(-(LN(2)/$D$65+0.1)*AG131),IF(AD131=2,AI$100*EXP(-(LN(2)/$D$65+0.04)*(VLOOKUP(($F$16-$F$15)-1,AC$99:AG131,4,FALSE)))*EXP(-(LN(2)/$D$65+0.1)*(VLOOKUP(($F$16-$F$15)-1,AC$99:AG131,5,FALSE)))*EXP(-(LN(2)/$D$65+0.04)*AF131)*EXP(-(LN(2)/$D$65+0.1)*AG131),IF(AD131=3,AI$100*EXP(-(LN(2)/$D$65+0.04)*(VLOOKUP(($F$16-$F$15)-1,AC$99:AG131,4,FALSE)))*EXP(-(LN(2)/$D$65+0.1)*(VLOOKUP(($F$16-$F$15)-1,AC$99:AG131,5,FALSE)))*EXP(-(LN(2)/$D$65+0.04)*(VLOOKUP(($F$16-$F$15)*2-1,AC$99:AG131,4,FALSE)))*EXP(-(LN(2)/$D$65+0.1)*(VLOOKUP(($F$16-$F$15)*2-1,AC$99:AG131,5,FALSE)))*EXP(-(LN(2)/$D$65+0.04)*AF131)*EXP(-(LN(2)/$D$65+0.1)*AG131),"-"))),"-")</f>
        <v>-</v>
      </c>
      <c r="AJ132" s="271" t="str">
        <f>IFERROR(IF(AD132=1,AJ$100*EXP(-(LN(2)/$D$65+0.04)*AF132)*EXP(-(LN(2)/$D$65+0.1)*AG132),IF(AD132=2,AJ$100*EXP(-(LN(2)/$D$65+0.04)*(VLOOKUP(($F$16-$F$15)-1,AC$100:AG132,4,FALSE)))*EXP(-(LN(2)/$D$65+0.1)*(VLOOKUP(($F$16-$F$15)-1,AC$100:AG132,5,FALSE)))*EXP(-(LN(2)/$D$65+0.04)*AF132)*EXP(-(LN(2)/$D$65+0.1)*AG132),IF(AD132=3,AJ$100*EXP(-(LN(2)/$D$65+0.04)*(VLOOKUP(($F$16-$F$15)-1,AC$100:AG132,4,FALSE)))*EXP(-(LN(2)/$D$65+0.1)*(VLOOKUP(($F$16-$F$15)-1,AC$100:AG132,5,FALSE)))*EXP(-(LN(2)/$D$65+0.04)*(VLOOKUP(($F$16-$F$15)*2-1,AC$100:AG132,4,FALSE)))*EXP(-(LN(2)/$D$65+0.1)*(VLOOKUP(($F$16-$F$15)*2-1,AC$100:AG132,5,FALSE)))*EXP(-(LN(2)/$D$65+0.04)*AF132)*EXP(-(LN(2)/$D$65+0.1)*AG132),"-"))),"-")</f>
        <v>-</v>
      </c>
      <c r="AK132" s="227">
        <f t="shared" si="49"/>
        <v>32</v>
      </c>
      <c r="AL132" s="226" t="str">
        <f t="shared" si="22"/>
        <v>-</v>
      </c>
      <c r="AM132" s="227" t="str">
        <f t="shared" si="50"/>
        <v>-</v>
      </c>
      <c r="AN132" s="227" t="str">
        <f t="shared" si="51"/>
        <v>-</v>
      </c>
      <c r="AO132" s="227" t="str">
        <f t="shared" si="23"/>
        <v>-</v>
      </c>
      <c r="AP132" s="273">
        <f t="shared" si="52"/>
        <v>0.1</v>
      </c>
      <c r="AQ132" s="271" t="str">
        <f>IFERROR(IF(AL131=1,AQ$100*EXP(-(LN(2)/$D$65+0.04)*AN131)*EXP(-(LN(2)/$D$65+0.1)*AO131),IF(AL131=2,AQ$100*EXP(-(LN(2)/$D$65+0.04)*(VLOOKUP(($F$16-$F$15)-1,AK$99:AO131,4,FALSE)))*EXP(-(LN(2)/$D$65+0.1)*(VLOOKUP(($F$16-$F$15)-1,AK$99:AO131,5,FALSE)))*EXP(-(LN(2)/$D$65+0.04)*AN131)*EXP(-(LN(2)/$D$65+0.1)*AO131),IF(AL131=3,AQ$100*EXP(-(LN(2)/$D$65+0.04)*(VLOOKUP(($F$16-$F$15)-1,AK$99:AO131,4,FALSE)))*EXP(-(LN(2)/$D$65+0.1)*(VLOOKUP(($F$16-$F$15)-1,AK$99:AO131,5,FALSE)))*EXP(-(LN(2)/$D$65+0.04)*(VLOOKUP(($F$16-$F$15)*2-1,AK$99:AO131,4,FALSE)))*EXP(-(LN(2)/$D$65+0.1)*(VLOOKUP(($F$16-$F$15)*2-1,AK$99:AO131,5,FALSE)))*EXP(-(LN(2)/$D$65+0.04)*AN131)*EXP(-(LN(2)/$D$65+0.1)*AO131),"-"))),"-")</f>
        <v>-</v>
      </c>
      <c r="AR132" s="271" t="str">
        <f>IFERROR(IF(AL132=1,AR$100*EXP(-(LN(2)/$D$65+0.04)*AN132)*EXP(-(LN(2)/$D$65+0.1)*AO132),IF(AL132=2,AR$100*EXP(-(LN(2)/$D$65+0.04)*(VLOOKUP(($F$16-$F$15)-1,AK$100:AO132,4,FALSE)))*EXP(-(LN(2)/$D$65+0.1)*(VLOOKUP(($F$16-$F$15)-1,AK$100:AO132,5,FALSE)))*EXP(-(LN(2)/$D$65+0.04)*AN132)*EXP(-(LN(2)/$D$65+0.1)*AO132),IF(AL132=3,AR$100*EXP(-(LN(2)/$D$65+0.04)*(VLOOKUP(($F$16-$F$15)-1,AK$100:AO132,4,FALSE)))*EXP(-(LN(2)/$D$65+0.1)*(VLOOKUP(($F$16-$F$15)-1,AK$100:AO132,5,FALSE)))*EXP(-(LN(2)/$D$65+0.04)*(VLOOKUP(($F$16-$F$15)*2-1,AK$100:AO132,4,FALSE)))*EXP(-(LN(2)/$D$65+0.1)*(VLOOKUP(($F$16-$F$15)*2-1,AK$100:AO132,5,FALSE)))*EXP(-(LN(2)/$D$65+0.04)*AN132)*EXP(-(LN(2)/$D$65+0.1)*AO132),"-"))),"-")</f>
        <v>-</v>
      </c>
      <c r="AS132" s="274">
        <f t="shared" si="24"/>
        <v>0</v>
      </c>
      <c r="AT132" s="274">
        <f t="shared" si="25"/>
        <v>0</v>
      </c>
      <c r="AU132" s="274">
        <f t="shared" si="26"/>
        <v>0</v>
      </c>
      <c r="AV132" s="190" t="str">
        <f>IF($B132&lt;$F$22,SUM($T$100:$T132),"")</f>
        <v/>
      </c>
      <c r="AW132" s="190" t="str">
        <f t="shared" ref="AW132:AW163" si="83">IF(ISNUMBER(Koc),IF(ISNUMBER(AV132),AV132*(Koc*(Ocse/100)*Pse*Vse)/(Koc*(Ocse/100)*Pse*Vse+1*86400*($B132+1)),""),"-")</f>
        <v>-</v>
      </c>
      <c r="AX132" s="190" t="str">
        <f t="shared" si="56"/>
        <v/>
      </c>
      <c r="AY132"/>
      <c r="AZ132" s="190" t="str">
        <f ca="1">IF(ISNUMBER(OFFSET(AV132,-$F$21,0)),SUM(OFFSET($T$100,$F$21,0):$T132),"")</f>
        <v/>
      </c>
      <c r="BA132" s="190" t="str">
        <f t="shared" ref="BA132:BA163" ca="1" si="84">IF(ISNUMBER(OFFSET(AV132,-$F$21,0)),AZ132*(Koc*(Ocse/100)*Pse*Vse)/(Koc*(Ocse/100)*Pse*Vse+1*86400*($B132+1)),"")</f>
        <v/>
      </c>
      <c r="BB132" s="190" t="str">
        <f t="shared" ca="1" si="70"/>
        <v/>
      </c>
      <c r="BC132" s="190"/>
      <c r="BD132" s="190" t="str">
        <f ca="1">IFERROR(IF(OR(ISNUMBER(I),ISNUMBER($F$14)),IF(AND($B132&gt;=($F$16-$F$15),$B132&lt;$F$22+($F$16-$F$15)),SUM(OFFSET($T$100,($F$16-$F$15),0):$T132),""),""),"")</f>
        <v/>
      </c>
      <c r="BE132" s="190" t="str">
        <f t="shared" ca="1" si="58"/>
        <v/>
      </c>
      <c r="BF132" s="190" t="str">
        <f t="shared" ca="1" si="59"/>
        <v/>
      </c>
      <c r="BG132"/>
      <c r="BH132" s="190" t="str">
        <f ca="1">IF(ISNUMBER(OFFSET(BD132,-$F$21,0)),SUM(OFFSET($T$100,($F$16-$F$15+$F$21),0):$T132),"")</f>
        <v/>
      </c>
      <c r="BI132" s="190" t="str">
        <f t="shared" ref="BI132:BI163" ca="1" si="85">IF(ISNUMBER(OFFSET(BD132,-$F$21,0)),BH132*(Koc*(Ocse/100)*Pse*Vse)/(Koc*(Ocse/100)*Pse*Vse+1*86400*($B132+1)),"")</f>
        <v/>
      </c>
      <c r="BJ132" s="190" t="str">
        <f t="shared" ca="1" si="60"/>
        <v/>
      </c>
      <c r="BK132" s="190"/>
      <c r="BL132" s="190" t="str">
        <f ca="1">IFERROR(IF(OR(ISNUMBER(I),ISNUMBER($F$14)),IF(AND($B132&gt;=($F$17-$F$15),$B132&lt;$F$22+($F$17-$F$15)),SUM(OFFSET($T$100,($F$17-$F$15),0):$T132),""),""),"")</f>
        <v/>
      </c>
      <c r="BM132" s="190" t="str">
        <f t="shared" ref="BM132:BM163" ca="1" si="86">IF(ISNUMBER(BL132),BL132*(Koc*(Ocse/100)*Pse*Vse)/(Koc*(Ocse/100)*Pse*Vse+1*86400*($B132+1)),"")</f>
        <v/>
      </c>
      <c r="BN132" s="190" t="str">
        <f t="shared" ca="1" si="61"/>
        <v/>
      </c>
      <c r="BO132"/>
      <c r="BP132" s="190" t="str">
        <f ca="1">IF(ISNUMBER(OFFSET(BL132,-$F$21,0)),SUM(OFFSET($T$100,($F$17-$F$15+$F$21),0):$T132),"")</f>
        <v/>
      </c>
      <c r="BQ132" s="190" t="str">
        <f t="shared" ref="BQ132:BQ163" ca="1" si="87">IF(ISNUMBER(OFFSET(BL132,-$F$21,0)),BP132*(Koc*(Ocse/100)*Pse*Vse)/(Koc*(Ocse/100)*Pse*Vse+1*86400*($B132+1)),"")</f>
        <v/>
      </c>
      <c r="BR132" s="190" t="str">
        <f t="shared" ca="1" si="63"/>
        <v/>
      </c>
      <c r="BS132" s="190"/>
      <c r="BT132"/>
      <c r="BU132"/>
      <c r="BV132"/>
      <c r="BY132" s="99"/>
      <c r="BZ132" s="99"/>
      <c r="CA132" s="280" t="str">
        <f t="shared" ref="CA132:CA163" si="88">IFERROR(IF($B132&lt;$CA$94,T132*(Koc*(Ocse/100)*Pse*Vse)/(Koc*(Ocse/100)*Pse*Vse+1*86400*$CA$94),""),"-")</f>
        <v/>
      </c>
      <c r="CB132" s="71" t="str">
        <f t="shared" si="31"/>
        <v>-</v>
      </c>
      <c r="CC132" s="33"/>
      <c r="CD132" s="261" t="str">
        <f t="shared" si="33"/>
        <v/>
      </c>
      <c r="CE132" s="280" t="str">
        <f t="shared" ref="CE132:CE163" si="89">IFERROR(IF($B132&lt;$CE$94,T132*(Koc*(Ocse/100)*Pse*Vse)/(Koc*(Ocse/100)*Pse*Vse+1*86400*$CE$94),""),"-")</f>
        <v/>
      </c>
      <c r="CF132" s="71" t="str">
        <f t="shared" ref="CF132:CF163" ca="1" si="90">IFERROR(IF($B132&lt;$CE$94,IF(NOT(ISNUMBER(ffp)),"-",IF($F$70=$AX$87,AX132,IF($F$70=$BB$87,OFFSET(BB132,$F$21,0),IF($F$70=$BF$87,OFFSET(BF132,$F$16,0),IF($F$70=$BJ$87,OFFSET(BJ132,$F$16+$F$21,0),IF($F$70=$BN$87,OFFSET(BN132,$F$17,0),OFFSET(BR132,$F$17+$F$21,0))))))),""),"-")</f>
        <v/>
      </c>
      <c r="CG132" s="33" t="str">
        <f t="shared" si="36"/>
        <v/>
      </c>
      <c r="CH132" s="261" t="str">
        <f t="shared" ca="1" si="37"/>
        <v/>
      </c>
      <c r="CI132" s="202"/>
      <c r="CJ132" s="99"/>
      <c r="CK132" s="99"/>
      <c r="CL132" s="99"/>
      <c r="CM132" s="99"/>
      <c r="CN132" s="99"/>
      <c r="CO132" s="99"/>
    </row>
    <row r="133" spans="2:93" ht="13.5" customHeight="1" x14ac:dyDescent="0.2">
      <c r="B133" s="262">
        <v>33</v>
      </c>
      <c r="C133" s="237" t="str">
        <f t="shared" si="1"/>
        <v/>
      </c>
      <c r="D133" s="237" t="str">
        <f t="shared" si="66"/>
        <v/>
      </c>
      <c r="E133" s="290" t="str">
        <f t="shared" si="38"/>
        <v/>
      </c>
      <c r="F133" s="264" t="str">
        <f t="shared" si="39"/>
        <v/>
      </c>
      <c r="G133" s="291" t="str">
        <f t="shared" si="40"/>
        <v/>
      </c>
      <c r="H133" s="240" t="str">
        <f t="shared" si="71"/>
        <v/>
      </c>
      <c r="I133" s="265" t="str">
        <f t="shared" si="72"/>
        <v/>
      </c>
      <c r="J133" s="265" t="str">
        <f t="shared" si="73"/>
        <v/>
      </c>
      <c r="K133" s="240" t="str">
        <f t="shared" si="74"/>
        <v/>
      </c>
      <c r="L133" s="265" t="str">
        <f t="shared" si="75"/>
        <v/>
      </c>
      <c r="M133" s="265" t="str">
        <f t="shared" si="76"/>
        <v/>
      </c>
      <c r="N133" s="240" t="str">
        <f t="shared" si="77"/>
        <v>-</v>
      </c>
      <c r="O133" s="265" t="str">
        <f t="shared" si="78"/>
        <v>-</v>
      </c>
      <c r="P133" s="265" t="str">
        <f t="shared" si="79"/>
        <v>-</v>
      </c>
      <c r="Q133" s="266" t="str">
        <f t="shared" si="80"/>
        <v>-</v>
      </c>
      <c r="R133" s="267" t="str">
        <f t="shared" si="81"/>
        <v>-</v>
      </c>
      <c r="S133" s="268" t="str">
        <f t="shared" si="82"/>
        <v>-</v>
      </c>
      <c r="T133" s="269" t="str">
        <f t="shared" si="13"/>
        <v/>
      </c>
      <c r="U133" s="221">
        <f t="shared" si="14"/>
        <v>33</v>
      </c>
      <c r="V133" s="220" t="str">
        <f t="shared" si="42"/>
        <v>-</v>
      </c>
      <c r="W133" s="221" t="str">
        <f t="shared" si="43"/>
        <v>-</v>
      </c>
      <c r="X133" s="221" t="str">
        <f t="shared" si="15"/>
        <v>-</v>
      </c>
      <c r="Y133" s="221" t="str">
        <f t="shared" si="16"/>
        <v>-</v>
      </c>
      <c r="Z133" s="270">
        <f t="shared" si="44"/>
        <v>0.1</v>
      </c>
      <c r="AA133" s="271" t="str">
        <f>IFERROR(IF(V132=1,AA$100*EXP(-(LN(2)/$D$65+0.04)*X132)*EXP(-(LN(2)/$D$65+0.1)*Y132),IF(V132=2,AA$100*EXP(-(LN(2)/$D$65+0.04)*(VLOOKUP(($F$16-$F$15)-1,U$99:Y132,4,FALSE)))*EXP(-(LN(2)/$D$65+0.1)*(VLOOKUP(($F$16-$F$15)-1,U$99:Y132,5,FALSE)))*EXP(-(LN(2)/$D$65+0.04)*X132)*EXP(-(LN(2)/$D$65+0.1)*Y132),IF(V132=3,AA$100*EXP(-(LN(2)/$D$65+0.04)*(VLOOKUP(($F$16-$F$15)-1,U$99:Y132,4,FALSE)))*EXP(-(LN(2)/$D$65+0.1)*(VLOOKUP(($F$16-$F$15)-1,U$99:Y132,5,FALSE)))*EXP(-(LN(2)/$D$65+0.04)*(VLOOKUP(($F$16-$F$15)*2-1,U$99:Y132,4,FALSE)))*EXP(-(LN(2)/$D$65+0.1)*(VLOOKUP(($F$16-$F$15)*2-1,U$99:Y132,5,FALSE)))*EXP(-(LN(2)/$D$65+0.04)*X132)*EXP(-(LN(2)/$D$65+0.1)*Y132),"-"))),"-")</f>
        <v>-</v>
      </c>
      <c r="AB133" s="271" t="str">
        <f>IFERROR(IF(V133=1,AB$100*EXP(-(LN(2)/$D$65+0.04)*X133)*EXP(-(LN(2)/$D$65+0.1)*Y133),IF(V133=2,AB$100*EXP(-(LN(2)/$D$65+0.04)*(VLOOKUP(($F$16-$F$15)-1,U$100:Y133,4,FALSE)))*EXP(-(LN(2)/$D$65+0.1)*(VLOOKUP(($F$16-$F$15)-1,U$100:Y133,5,FALSE)))*EXP(-(LN(2)/$D$65+0.04)*X133)*EXP(-(LN(2)/$D$65+0.1)*Y133),IF(V133=3,AB$100*EXP(-(LN(2)/$D$65+0.04)*(VLOOKUP(($F$16-$F$15)-1,U$100:Y133,4,FALSE)))*EXP(-(LN(2)/$D$65+0.1)*(VLOOKUP(($F$16-$F$15)-1,U$100:Y133,5,FALSE)))*EXP(-(LN(2)/$D$65+0.04)*(VLOOKUP(($F$16-$F$15)*2-1,U$100:Y133,4,FALSE)))*EXP(-(LN(2)/$D$65+0.1)*(VLOOKUP(($F$16-$F$15)*2-1,U$100:Y133,5,FALSE)))*EXP(-(LN(2)/$D$65+0.04)*X133)*EXP(-(LN(2)/$D$65+0.1)*Y133),"-"))),"-")</f>
        <v>-</v>
      </c>
      <c r="AC133" s="224">
        <f t="shared" si="45"/>
        <v>33</v>
      </c>
      <c r="AD133" s="223" t="str">
        <f t="shared" si="18"/>
        <v>-</v>
      </c>
      <c r="AE133" s="224" t="str">
        <f t="shared" si="46"/>
        <v>-</v>
      </c>
      <c r="AF133" s="224" t="str">
        <f t="shared" si="19"/>
        <v>-</v>
      </c>
      <c r="AG133" s="224" t="str">
        <f t="shared" si="20"/>
        <v>-</v>
      </c>
      <c r="AH133" s="272">
        <f t="shared" si="47"/>
        <v>0.1</v>
      </c>
      <c r="AI133" s="271" t="str">
        <f>IFERROR(IF(AD132=1,AI$100*EXP(-(LN(2)/$D$65+0.04)*AF132)*EXP(-(LN(2)/$D$65+0.1)*AG132),IF(AD132=2,AI$100*EXP(-(LN(2)/$D$65+0.04)*(VLOOKUP(($F$16-$F$15)-1,AC$99:AG132,4,FALSE)))*EXP(-(LN(2)/$D$65+0.1)*(VLOOKUP(($F$16-$F$15)-1,AC$99:AG132,5,FALSE)))*EXP(-(LN(2)/$D$65+0.04)*AF132)*EXP(-(LN(2)/$D$65+0.1)*AG132),IF(AD132=3,AI$100*EXP(-(LN(2)/$D$65+0.04)*(VLOOKUP(($F$16-$F$15)-1,AC$99:AG132,4,FALSE)))*EXP(-(LN(2)/$D$65+0.1)*(VLOOKUP(($F$16-$F$15)-1,AC$99:AG132,5,FALSE)))*EXP(-(LN(2)/$D$65+0.04)*(VLOOKUP(($F$16-$F$15)*2-1,AC$99:AG132,4,FALSE)))*EXP(-(LN(2)/$D$65+0.1)*(VLOOKUP(($F$16-$F$15)*2-1,AC$99:AG132,5,FALSE)))*EXP(-(LN(2)/$D$65+0.04)*AF132)*EXP(-(LN(2)/$D$65+0.1)*AG132),"-"))),"-")</f>
        <v>-</v>
      </c>
      <c r="AJ133" s="271" t="str">
        <f>IFERROR(IF(AD133=1,AJ$100*EXP(-(LN(2)/$D$65+0.04)*AF133)*EXP(-(LN(2)/$D$65+0.1)*AG133),IF(AD133=2,AJ$100*EXP(-(LN(2)/$D$65+0.04)*(VLOOKUP(($F$16-$F$15)-1,AC$100:AG133,4,FALSE)))*EXP(-(LN(2)/$D$65+0.1)*(VLOOKUP(($F$16-$F$15)-1,AC$100:AG133,5,FALSE)))*EXP(-(LN(2)/$D$65+0.04)*AF133)*EXP(-(LN(2)/$D$65+0.1)*AG133),IF(AD133=3,AJ$100*EXP(-(LN(2)/$D$65+0.04)*(VLOOKUP(($F$16-$F$15)-1,AC$100:AG133,4,FALSE)))*EXP(-(LN(2)/$D$65+0.1)*(VLOOKUP(($F$16-$F$15)-1,AC$100:AG133,5,FALSE)))*EXP(-(LN(2)/$D$65+0.04)*(VLOOKUP(($F$16-$F$15)*2-1,AC$100:AG133,4,FALSE)))*EXP(-(LN(2)/$D$65+0.1)*(VLOOKUP(($F$16-$F$15)*2-1,AC$100:AG133,5,FALSE)))*EXP(-(LN(2)/$D$65+0.04)*AF133)*EXP(-(LN(2)/$D$65+0.1)*AG133),"-"))),"-")</f>
        <v>-</v>
      </c>
      <c r="AK133" s="227">
        <f t="shared" si="49"/>
        <v>33</v>
      </c>
      <c r="AL133" s="226" t="str">
        <f t="shared" si="22"/>
        <v>-</v>
      </c>
      <c r="AM133" s="227" t="str">
        <f t="shared" si="50"/>
        <v>-</v>
      </c>
      <c r="AN133" s="227" t="str">
        <f t="shared" si="51"/>
        <v>-</v>
      </c>
      <c r="AO133" s="227" t="str">
        <f t="shared" si="23"/>
        <v>-</v>
      </c>
      <c r="AP133" s="273">
        <f t="shared" si="52"/>
        <v>0.1</v>
      </c>
      <c r="AQ133" s="271" t="str">
        <f>IFERROR(IF(AL132=1,AQ$100*EXP(-(LN(2)/$D$65+0.04)*AN132)*EXP(-(LN(2)/$D$65+0.1)*AO132),IF(AL132=2,AQ$100*EXP(-(LN(2)/$D$65+0.04)*(VLOOKUP(($F$16-$F$15)-1,AK$99:AO132,4,FALSE)))*EXP(-(LN(2)/$D$65+0.1)*(VLOOKUP(($F$16-$F$15)-1,AK$99:AO132,5,FALSE)))*EXP(-(LN(2)/$D$65+0.04)*AN132)*EXP(-(LN(2)/$D$65+0.1)*AO132),IF(AL132=3,AQ$100*EXP(-(LN(2)/$D$65+0.04)*(VLOOKUP(($F$16-$F$15)-1,AK$99:AO132,4,FALSE)))*EXP(-(LN(2)/$D$65+0.1)*(VLOOKUP(($F$16-$F$15)-1,AK$99:AO132,5,FALSE)))*EXP(-(LN(2)/$D$65+0.04)*(VLOOKUP(($F$16-$F$15)*2-1,AK$99:AO132,4,FALSE)))*EXP(-(LN(2)/$D$65+0.1)*(VLOOKUP(($F$16-$F$15)*2-1,AK$99:AO132,5,FALSE)))*EXP(-(LN(2)/$D$65+0.04)*AN132)*EXP(-(LN(2)/$D$65+0.1)*AO132),"-"))),"-")</f>
        <v>-</v>
      </c>
      <c r="AR133" s="271" t="str">
        <f>IFERROR(IF(AL133=1,AR$100*EXP(-(LN(2)/$D$65+0.04)*AN133)*EXP(-(LN(2)/$D$65+0.1)*AO133),IF(AL133=2,AR$100*EXP(-(LN(2)/$D$65+0.04)*(VLOOKUP(($F$16-$F$15)-1,AK$100:AO133,4,FALSE)))*EXP(-(LN(2)/$D$65+0.1)*(VLOOKUP(($F$16-$F$15)-1,AK$100:AO133,5,FALSE)))*EXP(-(LN(2)/$D$65+0.04)*AN133)*EXP(-(LN(2)/$D$65+0.1)*AO133),IF(AL133=3,AR$100*EXP(-(LN(2)/$D$65+0.04)*(VLOOKUP(($F$16-$F$15)-1,AK$100:AO133,4,FALSE)))*EXP(-(LN(2)/$D$65+0.1)*(VLOOKUP(($F$16-$F$15)-1,AK$100:AO133,5,FALSE)))*EXP(-(LN(2)/$D$65+0.04)*(VLOOKUP(($F$16-$F$15)*2-1,AK$100:AO133,4,FALSE)))*EXP(-(LN(2)/$D$65+0.1)*(VLOOKUP(($F$16-$F$15)*2-1,AK$100:AO133,5,FALSE)))*EXP(-(LN(2)/$D$65+0.04)*AN133)*EXP(-(LN(2)/$D$65+0.1)*AO133),"-"))),"-")</f>
        <v>-</v>
      </c>
      <c r="AS133" s="274">
        <f t="shared" si="24"/>
        <v>0</v>
      </c>
      <c r="AT133" s="274">
        <f t="shared" si="25"/>
        <v>0</v>
      </c>
      <c r="AU133" s="274">
        <f t="shared" si="26"/>
        <v>0</v>
      </c>
      <c r="AV133" s="190" t="str">
        <f>IF($B133&lt;$F$22,SUM($T$100:$T133),"")</f>
        <v/>
      </c>
      <c r="AW133" s="190" t="str">
        <f t="shared" si="83"/>
        <v>-</v>
      </c>
      <c r="AX133" s="190" t="str">
        <f t="shared" si="56"/>
        <v/>
      </c>
      <c r="AY133"/>
      <c r="AZ133" s="190" t="str">
        <f ca="1">IF(ISNUMBER(OFFSET(AV133,-$F$21,0)),SUM(OFFSET($T$100,$F$21,0):$T133),"")</f>
        <v/>
      </c>
      <c r="BA133" s="190" t="str">
        <f t="shared" ca="1" si="84"/>
        <v/>
      </c>
      <c r="BB133" s="190" t="str">
        <f t="shared" ca="1" si="70"/>
        <v/>
      </c>
      <c r="BC133" s="190"/>
      <c r="BD133" s="190" t="str">
        <f ca="1">IFERROR(IF(OR(ISNUMBER(I),ISNUMBER($F$14)),IF(AND($B133&gt;=($F$16-$F$15),$B133&lt;$F$22+($F$16-$F$15)),SUM(OFFSET($T$100,($F$16-$F$15),0):$T133),""),""),"")</f>
        <v/>
      </c>
      <c r="BE133" s="190" t="str">
        <f t="shared" ca="1" si="58"/>
        <v/>
      </c>
      <c r="BF133" s="190" t="str">
        <f t="shared" ca="1" si="59"/>
        <v/>
      </c>
      <c r="BG133"/>
      <c r="BH133" s="190" t="str">
        <f ca="1">IF(ISNUMBER(OFFSET(BD133,-$F$21,0)),SUM(OFFSET($T$100,($F$16-$F$15+$F$21),0):$T133),"")</f>
        <v/>
      </c>
      <c r="BI133" s="190" t="str">
        <f t="shared" ca="1" si="85"/>
        <v/>
      </c>
      <c r="BJ133" s="190" t="str">
        <f t="shared" ca="1" si="60"/>
        <v/>
      </c>
      <c r="BK133" s="190"/>
      <c r="BL133" s="190" t="str">
        <f ca="1">IFERROR(IF(OR(ISNUMBER(I),ISNUMBER($F$14)),IF(AND($B133&gt;=($F$17-$F$15),$B133&lt;$F$22+($F$17-$F$15)),SUM(OFFSET($T$100,($F$17-$F$15),0):$T133),""),""),"")</f>
        <v/>
      </c>
      <c r="BM133" s="190" t="str">
        <f t="shared" ca="1" si="86"/>
        <v/>
      </c>
      <c r="BN133" s="190" t="str">
        <f t="shared" ca="1" si="61"/>
        <v/>
      </c>
      <c r="BO133"/>
      <c r="BP133" s="190" t="str">
        <f ca="1">IF(ISNUMBER(OFFSET(BL133,-$F$21,0)),SUM(OFFSET($T$100,($F$17-$F$15+$F$21),0):$T133),"")</f>
        <v/>
      </c>
      <c r="BQ133" s="190" t="str">
        <f t="shared" ca="1" si="87"/>
        <v/>
      </c>
      <c r="BR133" s="190" t="str">
        <f t="shared" ca="1" si="63"/>
        <v/>
      </c>
      <c r="BS133" s="190"/>
      <c r="BT133"/>
      <c r="BU133"/>
      <c r="BV133"/>
      <c r="BY133" s="99"/>
      <c r="BZ133" s="99"/>
      <c r="CA133" s="280" t="str">
        <f t="shared" si="88"/>
        <v/>
      </c>
      <c r="CB133" s="71" t="str">
        <f t="shared" si="31"/>
        <v>-</v>
      </c>
      <c r="CC133" s="33"/>
      <c r="CD133" s="261" t="str">
        <f t="shared" si="33"/>
        <v/>
      </c>
      <c r="CE133" s="280" t="str">
        <f t="shared" si="89"/>
        <v/>
      </c>
      <c r="CF133" s="71" t="str">
        <f t="shared" ca="1" si="90"/>
        <v/>
      </c>
      <c r="CG133" s="33" t="str">
        <f t="shared" si="36"/>
        <v/>
      </c>
      <c r="CH133" s="261" t="str">
        <f t="shared" ca="1" si="37"/>
        <v/>
      </c>
      <c r="CI133" s="202"/>
      <c r="CJ133" s="99"/>
      <c r="CK133" s="99"/>
      <c r="CL133" s="99"/>
      <c r="CM133" s="99"/>
      <c r="CN133" s="99"/>
      <c r="CO133" s="99"/>
    </row>
    <row r="134" spans="2:93" ht="13.5" customHeight="1" x14ac:dyDescent="0.2">
      <c r="B134" s="262">
        <v>34</v>
      </c>
      <c r="C134" s="237" t="str">
        <f t="shared" si="1"/>
        <v/>
      </c>
      <c r="D134" s="237" t="str">
        <f t="shared" si="66"/>
        <v/>
      </c>
      <c r="E134" s="290" t="str">
        <f t="shared" si="38"/>
        <v/>
      </c>
      <c r="F134" s="264" t="str">
        <f t="shared" si="39"/>
        <v/>
      </c>
      <c r="G134" s="291" t="str">
        <f t="shared" si="40"/>
        <v/>
      </c>
      <c r="H134" s="240" t="str">
        <f t="shared" si="71"/>
        <v/>
      </c>
      <c r="I134" s="265" t="str">
        <f t="shared" si="72"/>
        <v/>
      </c>
      <c r="J134" s="265" t="str">
        <f t="shared" si="73"/>
        <v/>
      </c>
      <c r="K134" s="240" t="str">
        <f t="shared" si="74"/>
        <v/>
      </c>
      <c r="L134" s="265" t="str">
        <f t="shared" si="75"/>
        <v/>
      </c>
      <c r="M134" s="265" t="str">
        <f t="shared" si="76"/>
        <v/>
      </c>
      <c r="N134" s="240" t="str">
        <f t="shared" si="77"/>
        <v>-</v>
      </c>
      <c r="O134" s="265" t="str">
        <f t="shared" si="78"/>
        <v>-</v>
      </c>
      <c r="P134" s="265" t="str">
        <f t="shared" si="79"/>
        <v>-</v>
      </c>
      <c r="Q134" s="266" t="str">
        <f t="shared" si="80"/>
        <v>-</v>
      </c>
      <c r="R134" s="267" t="str">
        <f t="shared" si="81"/>
        <v>-</v>
      </c>
      <c r="S134" s="268" t="str">
        <f t="shared" si="82"/>
        <v>-</v>
      </c>
      <c r="T134" s="269" t="str">
        <f t="shared" si="13"/>
        <v/>
      </c>
      <c r="U134" s="221">
        <f t="shared" si="14"/>
        <v>34</v>
      </c>
      <c r="V134" s="220" t="str">
        <f t="shared" si="42"/>
        <v>-</v>
      </c>
      <c r="W134" s="221" t="str">
        <f t="shared" si="43"/>
        <v>-</v>
      </c>
      <c r="X134" s="221" t="str">
        <f t="shared" si="15"/>
        <v>-</v>
      </c>
      <c r="Y134" s="221" t="str">
        <f t="shared" si="16"/>
        <v>-</v>
      </c>
      <c r="Z134" s="270">
        <f t="shared" si="44"/>
        <v>0.1</v>
      </c>
      <c r="AA134" s="271" t="str">
        <f>IFERROR(IF(V133=1,AA$100*EXP(-(LN(2)/$D$65+0.04)*X133)*EXP(-(LN(2)/$D$65+0.1)*Y133),IF(V133=2,AA$100*EXP(-(LN(2)/$D$65+0.04)*(VLOOKUP(($F$16-$F$15)-1,U$99:Y133,4,FALSE)))*EXP(-(LN(2)/$D$65+0.1)*(VLOOKUP(($F$16-$F$15)-1,U$99:Y133,5,FALSE)))*EXP(-(LN(2)/$D$65+0.04)*X133)*EXP(-(LN(2)/$D$65+0.1)*Y133),IF(V133=3,AA$100*EXP(-(LN(2)/$D$65+0.04)*(VLOOKUP(($F$16-$F$15)-1,U$99:Y133,4,FALSE)))*EXP(-(LN(2)/$D$65+0.1)*(VLOOKUP(($F$16-$F$15)-1,U$99:Y133,5,FALSE)))*EXP(-(LN(2)/$D$65+0.04)*(VLOOKUP(($F$16-$F$15)*2-1,U$99:Y133,4,FALSE)))*EXP(-(LN(2)/$D$65+0.1)*(VLOOKUP(($F$16-$F$15)*2-1,U$99:Y133,5,FALSE)))*EXP(-(LN(2)/$D$65+0.04)*X133)*EXP(-(LN(2)/$D$65+0.1)*Y133),"-"))),"-")</f>
        <v>-</v>
      </c>
      <c r="AB134" s="271" t="str">
        <f>IFERROR(IF(V134=1,AB$100*EXP(-(LN(2)/$D$65+0.04)*X134)*EXP(-(LN(2)/$D$65+0.1)*Y134),IF(V134=2,AB$100*EXP(-(LN(2)/$D$65+0.04)*(VLOOKUP(($F$16-$F$15)-1,U$100:Y134,4,FALSE)))*EXP(-(LN(2)/$D$65+0.1)*(VLOOKUP(($F$16-$F$15)-1,U$100:Y134,5,FALSE)))*EXP(-(LN(2)/$D$65+0.04)*X134)*EXP(-(LN(2)/$D$65+0.1)*Y134),IF(V134=3,AB$100*EXP(-(LN(2)/$D$65+0.04)*(VLOOKUP(($F$16-$F$15)-1,U$100:Y134,4,FALSE)))*EXP(-(LN(2)/$D$65+0.1)*(VLOOKUP(($F$16-$F$15)-1,U$100:Y134,5,FALSE)))*EXP(-(LN(2)/$D$65+0.04)*(VLOOKUP(($F$16-$F$15)*2-1,U$100:Y134,4,FALSE)))*EXP(-(LN(2)/$D$65+0.1)*(VLOOKUP(($F$16-$F$15)*2-1,U$100:Y134,5,FALSE)))*EXP(-(LN(2)/$D$65+0.04)*X134)*EXP(-(LN(2)/$D$65+0.1)*Y134),"-"))),"-")</f>
        <v>-</v>
      </c>
      <c r="AC134" s="224">
        <f t="shared" si="45"/>
        <v>34</v>
      </c>
      <c r="AD134" s="223" t="str">
        <f t="shared" si="18"/>
        <v>-</v>
      </c>
      <c r="AE134" s="224" t="str">
        <f t="shared" si="46"/>
        <v>-</v>
      </c>
      <c r="AF134" s="224" t="str">
        <f t="shared" si="19"/>
        <v>-</v>
      </c>
      <c r="AG134" s="224" t="str">
        <f t="shared" si="20"/>
        <v>-</v>
      </c>
      <c r="AH134" s="272">
        <f t="shared" si="47"/>
        <v>0.1</v>
      </c>
      <c r="AI134" s="271" t="str">
        <f>IFERROR(IF(AD133=1,AI$100*EXP(-(LN(2)/$D$65+0.04)*AF133)*EXP(-(LN(2)/$D$65+0.1)*AG133),IF(AD133=2,AI$100*EXP(-(LN(2)/$D$65+0.04)*(VLOOKUP(($F$16-$F$15)-1,AC$99:AG133,4,FALSE)))*EXP(-(LN(2)/$D$65+0.1)*(VLOOKUP(($F$16-$F$15)-1,AC$99:AG133,5,FALSE)))*EXP(-(LN(2)/$D$65+0.04)*AF133)*EXP(-(LN(2)/$D$65+0.1)*AG133),IF(AD133=3,AI$100*EXP(-(LN(2)/$D$65+0.04)*(VLOOKUP(($F$16-$F$15)-1,AC$99:AG133,4,FALSE)))*EXP(-(LN(2)/$D$65+0.1)*(VLOOKUP(($F$16-$F$15)-1,AC$99:AG133,5,FALSE)))*EXP(-(LN(2)/$D$65+0.04)*(VLOOKUP(($F$16-$F$15)*2-1,AC$99:AG133,4,FALSE)))*EXP(-(LN(2)/$D$65+0.1)*(VLOOKUP(($F$16-$F$15)*2-1,AC$99:AG133,5,FALSE)))*EXP(-(LN(2)/$D$65+0.04)*AF133)*EXP(-(LN(2)/$D$65+0.1)*AG133),"-"))),"-")</f>
        <v>-</v>
      </c>
      <c r="AJ134" s="271" t="str">
        <f>IFERROR(IF(AD134=1,AJ$100*EXP(-(LN(2)/$D$65+0.04)*AF134)*EXP(-(LN(2)/$D$65+0.1)*AG134),IF(AD134=2,AJ$100*EXP(-(LN(2)/$D$65+0.04)*(VLOOKUP(($F$16-$F$15)-1,AC$100:AG134,4,FALSE)))*EXP(-(LN(2)/$D$65+0.1)*(VLOOKUP(($F$16-$F$15)-1,AC$100:AG134,5,FALSE)))*EXP(-(LN(2)/$D$65+0.04)*AF134)*EXP(-(LN(2)/$D$65+0.1)*AG134),IF(AD134=3,AJ$100*EXP(-(LN(2)/$D$65+0.04)*(VLOOKUP(($F$16-$F$15)-1,AC$100:AG134,4,FALSE)))*EXP(-(LN(2)/$D$65+0.1)*(VLOOKUP(($F$16-$F$15)-1,AC$100:AG134,5,FALSE)))*EXP(-(LN(2)/$D$65+0.04)*(VLOOKUP(($F$16-$F$15)*2-1,AC$100:AG134,4,FALSE)))*EXP(-(LN(2)/$D$65+0.1)*(VLOOKUP(($F$16-$F$15)*2-1,AC$100:AG134,5,FALSE)))*EXP(-(LN(2)/$D$65+0.04)*AF134)*EXP(-(LN(2)/$D$65+0.1)*AG134),"-"))),"-")</f>
        <v>-</v>
      </c>
      <c r="AK134" s="227">
        <f t="shared" si="49"/>
        <v>34</v>
      </c>
      <c r="AL134" s="226" t="str">
        <f t="shared" si="22"/>
        <v>-</v>
      </c>
      <c r="AM134" s="227" t="str">
        <f t="shared" si="50"/>
        <v>-</v>
      </c>
      <c r="AN134" s="227" t="str">
        <f t="shared" si="51"/>
        <v>-</v>
      </c>
      <c r="AO134" s="227" t="str">
        <f t="shared" si="23"/>
        <v>-</v>
      </c>
      <c r="AP134" s="273">
        <f t="shared" si="52"/>
        <v>0.1</v>
      </c>
      <c r="AQ134" s="271" t="str">
        <f>IFERROR(IF(AL133=1,AQ$100*EXP(-(LN(2)/$D$65+0.04)*AN133)*EXP(-(LN(2)/$D$65+0.1)*AO133),IF(AL133=2,AQ$100*EXP(-(LN(2)/$D$65+0.04)*(VLOOKUP(($F$16-$F$15)-1,AK$99:AO133,4,FALSE)))*EXP(-(LN(2)/$D$65+0.1)*(VLOOKUP(($F$16-$F$15)-1,AK$99:AO133,5,FALSE)))*EXP(-(LN(2)/$D$65+0.04)*AN133)*EXP(-(LN(2)/$D$65+0.1)*AO133),IF(AL133=3,AQ$100*EXP(-(LN(2)/$D$65+0.04)*(VLOOKUP(($F$16-$F$15)-1,AK$99:AO133,4,FALSE)))*EXP(-(LN(2)/$D$65+0.1)*(VLOOKUP(($F$16-$F$15)-1,AK$99:AO133,5,FALSE)))*EXP(-(LN(2)/$D$65+0.04)*(VLOOKUP(($F$16-$F$15)*2-1,AK$99:AO133,4,FALSE)))*EXP(-(LN(2)/$D$65+0.1)*(VLOOKUP(($F$16-$F$15)*2-1,AK$99:AO133,5,FALSE)))*EXP(-(LN(2)/$D$65+0.04)*AN133)*EXP(-(LN(2)/$D$65+0.1)*AO133),"-"))),"-")</f>
        <v>-</v>
      </c>
      <c r="AR134" s="271" t="str">
        <f>IFERROR(IF(AL134=1,AR$100*EXP(-(LN(2)/$D$65+0.04)*AN134)*EXP(-(LN(2)/$D$65+0.1)*AO134),IF(AL134=2,AR$100*EXP(-(LN(2)/$D$65+0.04)*(VLOOKUP(($F$16-$F$15)-1,AK$100:AO134,4,FALSE)))*EXP(-(LN(2)/$D$65+0.1)*(VLOOKUP(($F$16-$F$15)-1,AK$100:AO134,5,FALSE)))*EXP(-(LN(2)/$D$65+0.04)*AN134)*EXP(-(LN(2)/$D$65+0.1)*AO134),IF(AL134=3,AR$100*EXP(-(LN(2)/$D$65+0.04)*(VLOOKUP(($F$16-$F$15)-1,AK$100:AO134,4,FALSE)))*EXP(-(LN(2)/$D$65+0.1)*(VLOOKUP(($F$16-$F$15)-1,AK$100:AO134,5,FALSE)))*EXP(-(LN(2)/$D$65+0.04)*(VLOOKUP(($F$16-$F$15)*2-1,AK$100:AO134,4,FALSE)))*EXP(-(LN(2)/$D$65+0.1)*(VLOOKUP(($F$16-$F$15)*2-1,AK$100:AO134,5,FALSE)))*EXP(-(LN(2)/$D$65+0.04)*AN134)*EXP(-(LN(2)/$D$65+0.1)*AO134),"-"))),"-")</f>
        <v>-</v>
      </c>
      <c r="AS134" s="274">
        <f t="shared" si="24"/>
        <v>0</v>
      </c>
      <c r="AT134" s="274">
        <f t="shared" si="25"/>
        <v>0</v>
      </c>
      <c r="AU134" s="274">
        <f t="shared" si="26"/>
        <v>0</v>
      </c>
      <c r="AV134" s="190" t="str">
        <f>IF($B134&lt;$F$22,SUM($T$100:$T134),"")</f>
        <v/>
      </c>
      <c r="AW134" s="190" t="str">
        <f t="shared" si="83"/>
        <v>-</v>
      </c>
      <c r="AX134" s="190" t="str">
        <f t="shared" si="56"/>
        <v/>
      </c>
      <c r="AY134"/>
      <c r="AZ134" s="190" t="str">
        <f ca="1">IF(ISNUMBER(OFFSET(AV134,-$F$21,0)),SUM(OFFSET($T$100,$F$21,0):$T134),"")</f>
        <v/>
      </c>
      <c r="BA134" s="190" t="str">
        <f t="shared" ca="1" si="84"/>
        <v/>
      </c>
      <c r="BB134" s="190" t="str">
        <f t="shared" ca="1" si="70"/>
        <v/>
      </c>
      <c r="BC134" s="190"/>
      <c r="BD134" s="190" t="str">
        <f ca="1">IFERROR(IF(OR(ISNUMBER(I),ISNUMBER($F$14)),IF(AND($B134&gt;=($F$16-$F$15),$B134&lt;$F$22+($F$16-$F$15)),SUM(OFFSET($T$100,($F$16-$F$15),0):$T134),""),""),"")</f>
        <v/>
      </c>
      <c r="BE134" s="190" t="str">
        <f t="shared" ca="1" si="58"/>
        <v/>
      </c>
      <c r="BF134" s="190" t="str">
        <f t="shared" ca="1" si="59"/>
        <v/>
      </c>
      <c r="BG134"/>
      <c r="BH134" s="190" t="str">
        <f ca="1">IF(ISNUMBER(OFFSET(BD134,-$F$21,0)),SUM(OFFSET($T$100,($F$16-$F$15+$F$21),0):$T134),"")</f>
        <v/>
      </c>
      <c r="BI134" s="190" t="str">
        <f t="shared" ca="1" si="85"/>
        <v/>
      </c>
      <c r="BJ134" s="190" t="str">
        <f t="shared" ca="1" si="60"/>
        <v/>
      </c>
      <c r="BK134" s="190"/>
      <c r="BL134" s="190" t="str">
        <f ca="1">IFERROR(IF(OR(ISNUMBER(I),ISNUMBER($F$14)),IF(AND($B134&gt;=($F$17-$F$15),$B134&lt;$F$22+($F$17-$F$15)),SUM(OFFSET($T$100,($F$17-$F$15),0):$T134),""),""),"")</f>
        <v/>
      </c>
      <c r="BM134" s="190" t="str">
        <f t="shared" ca="1" si="86"/>
        <v/>
      </c>
      <c r="BN134" s="190" t="str">
        <f t="shared" ca="1" si="61"/>
        <v/>
      </c>
      <c r="BO134"/>
      <c r="BP134" s="190" t="str">
        <f ca="1">IF(ISNUMBER(OFFSET(BL134,-$F$21,0)),SUM(OFFSET($T$100,($F$17-$F$15+$F$21),0):$T134),"")</f>
        <v/>
      </c>
      <c r="BQ134" s="190" t="str">
        <f t="shared" ca="1" si="87"/>
        <v/>
      </c>
      <c r="BR134" s="190" t="str">
        <f t="shared" ca="1" si="63"/>
        <v/>
      </c>
      <c r="BS134" s="190"/>
      <c r="BT134"/>
      <c r="BU134"/>
      <c r="BV134"/>
      <c r="BY134" s="99"/>
      <c r="BZ134" s="99"/>
      <c r="CA134" s="280" t="str">
        <f t="shared" si="88"/>
        <v/>
      </c>
      <c r="CB134" s="71" t="str">
        <f t="shared" si="31"/>
        <v>-</v>
      </c>
      <c r="CC134" s="33"/>
      <c r="CD134" s="261" t="str">
        <f t="shared" si="33"/>
        <v/>
      </c>
      <c r="CE134" s="280" t="str">
        <f t="shared" si="89"/>
        <v/>
      </c>
      <c r="CF134" s="71" t="str">
        <f t="shared" ca="1" si="90"/>
        <v/>
      </c>
      <c r="CG134" s="33" t="str">
        <f t="shared" si="36"/>
        <v/>
      </c>
      <c r="CH134" s="261" t="str">
        <f t="shared" ca="1" si="37"/>
        <v/>
      </c>
      <c r="CI134" s="202"/>
      <c r="CJ134" s="99"/>
      <c r="CK134" s="99"/>
      <c r="CL134" s="99"/>
      <c r="CM134" s="99"/>
      <c r="CN134" s="99"/>
      <c r="CO134" s="99"/>
    </row>
    <row r="135" spans="2:93" ht="13.5" customHeight="1" x14ac:dyDescent="0.2">
      <c r="B135" s="262">
        <v>35</v>
      </c>
      <c r="C135" s="237" t="str">
        <f t="shared" si="1"/>
        <v/>
      </c>
      <c r="D135" s="237" t="str">
        <f t="shared" si="66"/>
        <v/>
      </c>
      <c r="E135" s="290" t="str">
        <f t="shared" si="38"/>
        <v/>
      </c>
      <c r="F135" s="264" t="str">
        <f t="shared" si="39"/>
        <v/>
      </c>
      <c r="G135" s="291" t="str">
        <f t="shared" si="40"/>
        <v/>
      </c>
      <c r="H135" s="240" t="str">
        <f t="shared" si="71"/>
        <v/>
      </c>
      <c r="I135" s="265" t="str">
        <f t="shared" si="72"/>
        <v/>
      </c>
      <c r="J135" s="265" t="str">
        <f t="shared" si="73"/>
        <v/>
      </c>
      <c r="K135" s="240" t="str">
        <f t="shared" si="74"/>
        <v/>
      </c>
      <c r="L135" s="265" t="str">
        <f t="shared" si="75"/>
        <v/>
      </c>
      <c r="M135" s="265" t="str">
        <f t="shared" si="76"/>
        <v/>
      </c>
      <c r="N135" s="240" t="str">
        <f t="shared" si="77"/>
        <v>-</v>
      </c>
      <c r="O135" s="265" t="str">
        <f t="shared" si="78"/>
        <v>-</v>
      </c>
      <c r="P135" s="265" t="str">
        <f t="shared" si="79"/>
        <v>-</v>
      </c>
      <c r="Q135" s="266" t="str">
        <f t="shared" si="80"/>
        <v>-</v>
      </c>
      <c r="R135" s="267" t="str">
        <f t="shared" si="81"/>
        <v>-</v>
      </c>
      <c r="S135" s="268" t="str">
        <f t="shared" si="82"/>
        <v>-</v>
      </c>
      <c r="T135" s="269" t="str">
        <f t="shared" si="13"/>
        <v/>
      </c>
      <c r="U135" s="221">
        <f t="shared" si="14"/>
        <v>35</v>
      </c>
      <c r="V135" s="220" t="str">
        <f t="shared" si="42"/>
        <v>-</v>
      </c>
      <c r="W135" s="221" t="str">
        <f t="shared" si="43"/>
        <v>-</v>
      </c>
      <c r="X135" s="221" t="str">
        <f t="shared" si="15"/>
        <v>-</v>
      </c>
      <c r="Y135" s="221" t="str">
        <f t="shared" si="16"/>
        <v>-</v>
      </c>
      <c r="Z135" s="270">
        <f t="shared" si="44"/>
        <v>0.1</v>
      </c>
      <c r="AA135" s="271" t="str">
        <f>IFERROR(IF(V134=1,AA$100*EXP(-(LN(2)/$D$65+0.04)*X134)*EXP(-(LN(2)/$D$65+0.1)*Y134),IF(V134=2,AA$100*EXP(-(LN(2)/$D$65+0.04)*(VLOOKUP(($F$16-$F$15)-1,U$99:Y134,4,FALSE)))*EXP(-(LN(2)/$D$65+0.1)*(VLOOKUP(($F$16-$F$15)-1,U$99:Y134,5,FALSE)))*EXP(-(LN(2)/$D$65+0.04)*X134)*EXP(-(LN(2)/$D$65+0.1)*Y134),IF(V134=3,AA$100*EXP(-(LN(2)/$D$65+0.04)*(VLOOKUP(($F$16-$F$15)-1,U$99:Y134,4,FALSE)))*EXP(-(LN(2)/$D$65+0.1)*(VLOOKUP(($F$16-$F$15)-1,U$99:Y134,5,FALSE)))*EXP(-(LN(2)/$D$65+0.04)*(VLOOKUP(($F$16-$F$15)*2-1,U$99:Y134,4,FALSE)))*EXP(-(LN(2)/$D$65+0.1)*(VLOOKUP(($F$16-$F$15)*2-1,U$99:Y134,5,FALSE)))*EXP(-(LN(2)/$D$65+0.04)*X134)*EXP(-(LN(2)/$D$65+0.1)*Y134),"-"))),"-")</f>
        <v>-</v>
      </c>
      <c r="AB135" s="271" t="str">
        <f>IFERROR(IF(V135=1,AB$100*EXP(-(LN(2)/$D$65+0.04)*X135)*EXP(-(LN(2)/$D$65+0.1)*Y135),IF(V135=2,AB$100*EXP(-(LN(2)/$D$65+0.04)*(VLOOKUP(($F$16-$F$15)-1,U$100:Y135,4,FALSE)))*EXP(-(LN(2)/$D$65+0.1)*(VLOOKUP(($F$16-$F$15)-1,U$100:Y135,5,FALSE)))*EXP(-(LN(2)/$D$65+0.04)*X135)*EXP(-(LN(2)/$D$65+0.1)*Y135),IF(V135=3,AB$100*EXP(-(LN(2)/$D$65+0.04)*(VLOOKUP(($F$16-$F$15)-1,U$100:Y135,4,FALSE)))*EXP(-(LN(2)/$D$65+0.1)*(VLOOKUP(($F$16-$F$15)-1,U$100:Y135,5,FALSE)))*EXP(-(LN(2)/$D$65+0.04)*(VLOOKUP(($F$16-$F$15)*2-1,U$100:Y135,4,FALSE)))*EXP(-(LN(2)/$D$65+0.1)*(VLOOKUP(($F$16-$F$15)*2-1,U$100:Y135,5,FALSE)))*EXP(-(LN(2)/$D$65+0.04)*X135)*EXP(-(LN(2)/$D$65+0.1)*Y135),"-"))),"-")</f>
        <v>-</v>
      </c>
      <c r="AC135" s="224">
        <f t="shared" si="45"/>
        <v>35</v>
      </c>
      <c r="AD135" s="223" t="str">
        <f t="shared" si="18"/>
        <v>-</v>
      </c>
      <c r="AE135" s="224" t="str">
        <f t="shared" si="46"/>
        <v>-</v>
      </c>
      <c r="AF135" s="224" t="str">
        <f t="shared" si="19"/>
        <v>-</v>
      </c>
      <c r="AG135" s="224" t="str">
        <f t="shared" si="20"/>
        <v>-</v>
      </c>
      <c r="AH135" s="272">
        <f t="shared" si="47"/>
        <v>0.1</v>
      </c>
      <c r="AI135" s="271" t="str">
        <f>IFERROR(IF(AD134=1,AI$100*EXP(-(LN(2)/$D$65+0.04)*AF134)*EXP(-(LN(2)/$D$65+0.1)*AG134),IF(AD134=2,AI$100*EXP(-(LN(2)/$D$65+0.04)*(VLOOKUP(($F$16-$F$15)-1,AC$99:AG134,4,FALSE)))*EXP(-(LN(2)/$D$65+0.1)*(VLOOKUP(($F$16-$F$15)-1,AC$99:AG134,5,FALSE)))*EXP(-(LN(2)/$D$65+0.04)*AF134)*EXP(-(LN(2)/$D$65+0.1)*AG134),IF(AD134=3,AI$100*EXP(-(LN(2)/$D$65+0.04)*(VLOOKUP(($F$16-$F$15)-1,AC$99:AG134,4,FALSE)))*EXP(-(LN(2)/$D$65+0.1)*(VLOOKUP(($F$16-$F$15)-1,AC$99:AG134,5,FALSE)))*EXP(-(LN(2)/$D$65+0.04)*(VLOOKUP(($F$16-$F$15)*2-1,AC$99:AG134,4,FALSE)))*EXP(-(LN(2)/$D$65+0.1)*(VLOOKUP(($F$16-$F$15)*2-1,AC$99:AG134,5,FALSE)))*EXP(-(LN(2)/$D$65+0.04)*AF134)*EXP(-(LN(2)/$D$65+0.1)*AG134),"-"))),"-")</f>
        <v>-</v>
      </c>
      <c r="AJ135" s="271" t="str">
        <f>IFERROR(IF(AD135=1,AJ$100*EXP(-(LN(2)/$D$65+0.04)*AF135)*EXP(-(LN(2)/$D$65+0.1)*AG135),IF(AD135=2,AJ$100*EXP(-(LN(2)/$D$65+0.04)*(VLOOKUP(($F$16-$F$15)-1,AC$100:AG135,4,FALSE)))*EXP(-(LN(2)/$D$65+0.1)*(VLOOKUP(($F$16-$F$15)-1,AC$100:AG135,5,FALSE)))*EXP(-(LN(2)/$D$65+0.04)*AF135)*EXP(-(LN(2)/$D$65+0.1)*AG135),IF(AD135=3,AJ$100*EXP(-(LN(2)/$D$65+0.04)*(VLOOKUP(($F$16-$F$15)-1,AC$100:AG135,4,FALSE)))*EXP(-(LN(2)/$D$65+0.1)*(VLOOKUP(($F$16-$F$15)-1,AC$100:AG135,5,FALSE)))*EXP(-(LN(2)/$D$65+0.04)*(VLOOKUP(($F$16-$F$15)*2-1,AC$100:AG135,4,FALSE)))*EXP(-(LN(2)/$D$65+0.1)*(VLOOKUP(($F$16-$F$15)*2-1,AC$100:AG135,5,FALSE)))*EXP(-(LN(2)/$D$65+0.04)*AF135)*EXP(-(LN(2)/$D$65+0.1)*AG135),"-"))),"-")</f>
        <v>-</v>
      </c>
      <c r="AK135" s="227">
        <f t="shared" si="49"/>
        <v>35</v>
      </c>
      <c r="AL135" s="226" t="str">
        <f t="shared" si="22"/>
        <v>-</v>
      </c>
      <c r="AM135" s="227" t="str">
        <f t="shared" si="50"/>
        <v>-</v>
      </c>
      <c r="AN135" s="227" t="str">
        <f t="shared" si="51"/>
        <v>-</v>
      </c>
      <c r="AO135" s="227" t="str">
        <f t="shared" si="23"/>
        <v>-</v>
      </c>
      <c r="AP135" s="273">
        <f t="shared" si="52"/>
        <v>0.1</v>
      </c>
      <c r="AQ135" s="271" t="str">
        <f>IFERROR(IF(AL134=1,AQ$100*EXP(-(LN(2)/$D$65+0.04)*AN134)*EXP(-(LN(2)/$D$65+0.1)*AO134),IF(AL134=2,AQ$100*EXP(-(LN(2)/$D$65+0.04)*(VLOOKUP(($F$16-$F$15)-1,AK$99:AO134,4,FALSE)))*EXP(-(LN(2)/$D$65+0.1)*(VLOOKUP(($F$16-$F$15)-1,AK$99:AO134,5,FALSE)))*EXP(-(LN(2)/$D$65+0.04)*AN134)*EXP(-(LN(2)/$D$65+0.1)*AO134),IF(AL134=3,AQ$100*EXP(-(LN(2)/$D$65+0.04)*(VLOOKUP(($F$16-$F$15)-1,AK$99:AO134,4,FALSE)))*EXP(-(LN(2)/$D$65+0.1)*(VLOOKUP(($F$16-$F$15)-1,AK$99:AO134,5,FALSE)))*EXP(-(LN(2)/$D$65+0.04)*(VLOOKUP(($F$16-$F$15)*2-1,AK$99:AO134,4,FALSE)))*EXP(-(LN(2)/$D$65+0.1)*(VLOOKUP(($F$16-$F$15)*2-1,AK$99:AO134,5,FALSE)))*EXP(-(LN(2)/$D$65+0.04)*AN134)*EXP(-(LN(2)/$D$65+0.1)*AO134),"-"))),"-")</f>
        <v>-</v>
      </c>
      <c r="AR135" s="271" t="str">
        <f>IFERROR(IF(AL135=1,AR$100*EXP(-(LN(2)/$D$65+0.04)*AN135)*EXP(-(LN(2)/$D$65+0.1)*AO135),IF(AL135=2,AR$100*EXP(-(LN(2)/$D$65+0.04)*(VLOOKUP(($F$16-$F$15)-1,AK$100:AO135,4,FALSE)))*EXP(-(LN(2)/$D$65+0.1)*(VLOOKUP(($F$16-$F$15)-1,AK$100:AO135,5,FALSE)))*EXP(-(LN(2)/$D$65+0.04)*AN135)*EXP(-(LN(2)/$D$65+0.1)*AO135),IF(AL135=3,AR$100*EXP(-(LN(2)/$D$65+0.04)*(VLOOKUP(($F$16-$F$15)-1,AK$100:AO135,4,FALSE)))*EXP(-(LN(2)/$D$65+0.1)*(VLOOKUP(($F$16-$F$15)-1,AK$100:AO135,5,FALSE)))*EXP(-(LN(2)/$D$65+0.04)*(VLOOKUP(($F$16-$F$15)*2-1,AK$100:AO135,4,FALSE)))*EXP(-(LN(2)/$D$65+0.1)*(VLOOKUP(($F$16-$F$15)*2-1,AK$100:AO135,5,FALSE)))*EXP(-(LN(2)/$D$65+0.04)*AN135)*EXP(-(LN(2)/$D$65+0.1)*AO135),"-"))),"-")</f>
        <v>-</v>
      </c>
      <c r="AS135" s="274">
        <f t="shared" si="24"/>
        <v>0</v>
      </c>
      <c r="AT135" s="274">
        <f t="shared" si="25"/>
        <v>0</v>
      </c>
      <c r="AU135" s="274">
        <f t="shared" si="26"/>
        <v>0</v>
      </c>
      <c r="AV135" s="190" t="str">
        <f>IF($B135&lt;$F$22,SUM($T$100:$T135),"")</f>
        <v/>
      </c>
      <c r="AW135" s="190" t="str">
        <f t="shared" si="83"/>
        <v>-</v>
      </c>
      <c r="AX135" s="190" t="str">
        <f t="shared" si="56"/>
        <v/>
      </c>
      <c r="AY135"/>
      <c r="AZ135" s="190" t="str">
        <f ca="1">IF(ISNUMBER(OFFSET(AV135,-$F$21,0)),SUM(OFFSET($T$100,$F$21,0):$T135),"")</f>
        <v/>
      </c>
      <c r="BA135" s="190" t="str">
        <f t="shared" ca="1" si="84"/>
        <v/>
      </c>
      <c r="BB135" s="190" t="str">
        <f t="shared" ca="1" si="70"/>
        <v/>
      </c>
      <c r="BC135" s="190"/>
      <c r="BD135" s="190" t="str">
        <f ca="1">IFERROR(IF(OR(ISNUMBER(I),ISNUMBER($F$14)),IF(AND($B135&gt;=($F$16-$F$15),$B135&lt;$F$22+($F$16-$F$15)),SUM(OFFSET($T$100,($F$16-$F$15),0):$T135),""),""),"")</f>
        <v/>
      </c>
      <c r="BE135" s="190" t="str">
        <f t="shared" ca="1" si="58"/>
        <v/>
      </c>
      <c r="BF135" s="190" t="str">
        <f t="shared" ca="1" si="59"/>
        <v/>
      </c>
      <c r="BG135"/>
      <c r="BH135" s="190" t="str">
        <f ca="1">IF(ISNUMBER(OFFSET(BD135,-$F$21,0)),SUM(OFFSET($T$100,($F$16-$F$15+$F$21),0):$T135),"")</f>
        <v/>
      </c>
      <c r="BI135" s="190" t="str">
        <f t="shared" ca="1" si="85"/>
        <v/>
      </c>
      <c r="BJ135" s="190" t="str">
        <f t="shared" ca="1" si="60"/>
        <v/>
      </c>
      <c r="BK135" s="190"/>
      <c r="BL135" s="190" t="str">
        <f ca="1">IFERROR(IF(OR(ISNUMBER(I),ISNUMBER($F$14)),IF(AND($B135&gt;=($F$17-$F$15),$B135&lt;$F$22+($F$17-$F$15)),SUM(OFFSET($T$100,($F$17-$F$15),0):$T135),""),""),"")</f>
        <v/>
      </c>
      <c r="BM135" s="190" t="str">
        <f t="shared" ca="1" si="86"/>
        <v/>
      </c>
      <c r="BN135" s="190" t="str">
        <f t="shared" ca="1" si="61"/>
        <v/>
      </c>
      <c r="BO135"/>
      <c r="BP135" s="190" t="str">
        <f ca="1">IF(ISNUMBER(OFFSET(BL135,-$F$21,0)),SUM(OFFSET($T$100,($F$17-$F$15+$F$21),0):$T135),"")</f>
        <v/>
      </c>
      <c r="BQ135" s="190" t="str">
        <f t="shared" ca="1" si="87"/>
        <v/>
      </c>
      <c r="BR135" s="190" t="str">
        <f t="shared" ca="1" si="63"/>
        <v/>
      </c>
      <c r="BS135" s="190"/>
      <c r="BT135"/>
      <c r="BU135"/>
      <c r="BV135"/>
      <c r="BY135" s="99"/>
      <c r="BZ135" s="99"/>
      <c r="CA135" s="280" t="str">
        <f t="shared" si="88"/>
        <v/>
      </c>
      <c r="CB135" s="71" t="str">
        <f t="shared" si="31"/>
        <v>-</v>
      </c>
      <c r="CC135" s="33"/>
      <c r="CD135" s="261" t="str">
        <f t="shared" si="33"/>
        <v/>
      </c>
      <c r="CE135" s="280" t="str">
        <f t="shared" si="89"/>
        <v/>
      </c>
      <c r="CF135" s="71" t="str">
        <f t="shared" ca="1" si="90"/>
        <v/>
      </c>
      <c r="CG135" s="33" t="str">
        <f t="shared" si="36"/>
        <v/>
      </c>
      <c r="CH135" s="261" t="str">
        <f t="shared" ca="1" si="37"/>
        <v/>
      </c>
      <c r="CI135" s="202"/>
      <c r="CJ135" s="99"/>
      <c r="CK135" s="99"/>
      <c r="CL135" s="99"/>
      <c r="CM135" s="99"/>
      <c r="CN135" s="99"/>
      <c r="CO135" s="99"/>
    </row>
    <row r="136" spans="2:93" ht="13.5" customHeight="1" x14ac:dyDescent="0.2">
      <c r="B136" s="262">
        <v>36</v>
      </c>
      <c r="C136" s="237" t="str">
        <f t="shared" si="1"/>
        <v/>
      </c>
      <c r="D136" s="237" t="str">
        <f t="shared" si="66"/>
        <v/>
      </c>
      <c r="E136" s="290" t="str">
        <f t="shared" si="38"/>
        <v/>
      </c>
      <c r="F136" s="264" t="str">
        <f t="shared" si="39"/>
        <v/>
      </c>
      <c r="G136" s="291" t="str">
        <f t="shared" si="40"/>
        <v/>
      </c>
      <c r="H136" s="240" t="str">
        <f t="shared" si="71"/>
        <v/>
      </c>
      <c r="I136" s="265" t="str">
        <f t="shared" si="72"/>
        <v/>
      </c>
      <c r="J136" s="265" t="str">
        <f t="shared" si="73"/>
        <v/>
      </c>
      <c r="K136" s="240" t="str">
        <f t="shared" si="74"/>
        <v/>
      </c>
      <c r="L136" s="265" t="str">
        <f t="shared" si="75"/>
        <v/>
      </c>
      <c r="M136" s="265" t="str">
        <f t="shared" si="76"/>
        <v/>
      </c>
      <c r="N136" s="240" t="str">
        <f t="shared" si="77"/>
        <v>-</v>
      </c>
      <c r="O136" s="265" t="str">
        <f t="shared" si="78"/>
        <v>-</v>
      </c>
      <c r="P136" s="265" t="str">
        <f t="shared" si="79"/>
        <v>-</v>
      </c>
      <c r="Q136" s="266" t="str">
        <f t="shared" si="80"/>
        <v>-</v>
      </c>
      <c r="R136" s="267" t="str">
        <f t="shared" si="81"/>
        <v>-</v>
      </c>
      <c r="S136" s="268" t="str">
        <f t="shared" si="82"/>
        <v>-</v>
      </c>
      <c r="T136" s="269" t="str">
        <f t="shared" si="13"/>
        <v/>
      </c>
      <c r="U136" s="221">
        <f t="shared" si="14"/>
        <v>36</v>
      </c>
      <c r="V136" s="220" t="str">
        <f t="shared" si="42"/>
        <v>-</v>
      </c>
      <c r="W136" s="221" t="str">
        <f t="shared" si="43"/>
        <v>-</v>
      </c>
      <c r="X136" s="221" t="str">
        <f t="shared" si="15"/>
        <v>-</v>
      </c>
      <c r="Y136" s="221" t="str">
        <f t="shared" si="16"/>
        <v>-</v>
      </c>
      <c r="Z136" s="270">
        <f t="shared" si="44"/>
        <v>0.1</v>
      </c>
      <c r="AA136" s="271" t="str">
        <f>IFERROR(IF(V135=1,AA$100*EXP(-(LN(2)/$D$65+0.04)*X135)*EXP(-(LN(2)/$D$65+0.1)*Y135),IF(V135=2,AA$100*EXP(-(LN(2)/$D$65+0.04)*(VLOOKUP(($F$16-$F$15)-1,U$99:Y135,4,FALSE)))*EXP(-(LN(2)/$D$65+0.1)*(VLOOKUP(($F$16-$F$15)-1,U$99:Y135,5,FALSE)))*EXP(-(LN(2)/$D$65+0.04)*X135)*EXP(-(LN(2)/$D$65+0.1)*Y135),IF(V135=3,AA$100*EXP(-(LN(2)/$D$65+0.04)*(VLOOKUP(($F$16-$F$15)-1,U$99:Y135,4,FALSE)))*EXP(-(LN(2)/$D$65+0.1)*(VLOOKUP(($F$16-$F$15)-1,U$99:Y135,5,FALSE)))*EXP(-(LN(2)/$D$65+0.04)*(VLOOKUP(($F$16-$F$15)*2-1,U$99:Y135,4,FALSE)))*EXP(-(LN(2)/$D$65+0.1)*(VLOOKUP(($F$16-$F$15)*2-1,U$99:Y135,5,FALSE)))*EXP(-(LN(2)/$D$65+0.04)*X135)*EXP(-(LN(2)/$D$65+0.1)*Y135),"-"))),"-")</f>
        <v>-</v>
      </c>
      <c r="AB136" s="271" t="str">
        <f>IFERROR(IF(V136=1,AB$100*EXP(-(LN(2)/$D$65+0.04)*X136)*EXP(-(LN(2)/$D$65+0.1)*Y136),IF(V136=2,AB$100*EXP(-(LN(2)/$D$65+0.04)*(VLOOKUP(($F$16-$F$15)-1,U$100:Y136,4,FALSE)))*EXP(-(LN(2)/$D$65+0.1)*(VLOOKUP(($F$16-$F$15)-1,U$100:Y136,5,FALSE)))*EXP(-(LN(2)/$D$65+0.04)*X136)*EXP(-(LN(2)/$D$65+0.1)*Y136),IF(V136=3,AB$100*EXP(-(LN(2)/$D$65+0.04)*(VLOOKUP(($F$16-$F$15)-1,U$100:Y136,4,FALSE)))*EXP(-(LN(2)/$D$65+0.1)*(VLOOKUP(($F$16-$F$15)-1,U$100:Y136,5,FALSE)))*EXP(-(LN(2)/$D$65+0.04)*(VLOOKUP(($F$16-$F$15)*2-1,U$100:Y136,4,FALSE)))*EXP(-(LN(2)/$D$65+0.1)*(VLOOKUP(($F$16-$F$15)*2-1,U$100:Y136,5,FALSE)))*EXP(-(LN(2)/$D$65+0.04)*X136)*EXP(-(LN(2)/$D$65+0.1)*Y136),"-"))),"-")</f>
        <v>-</v>
      </c>
      <c r="AC136" s="224">
        <f t="shared" si="45"/>
        <v>36</v>
      </c>
      <c r="AD136" s="223" t="str">
        <f t="shared" si="18"/>
        <v>-</v>
      </c>
      <c r="AE136" s="224" t="str">
        <f t="shared" si="46"/>
        <v>-</v>
      </c>
      <c r="AF136" s="224" t="str">
        <f t="shared" si="19"/>
        <v>-</v>
      </c>
      <c r="AG136" s="224" t="str">
        <f t="shared" si="20"/>
        <v>-</v>
      </c>
      <c r="AH136" s="272">
        <f t="shared" si="47"/>
        <v>0.1</v>
      </c>
      <c r="AI136" s="271" t="str">
        <f>IFERROR(IF(AD135=1,AI$100*EXP(-(LN(2)/$D$65+0.04)*AF135)*EXP(-(LN(2)/$D$65+0.1)*AG135),IF(AD135=2,AI$100*EXP(-(LN(2)/$D$65+0.04)*(VLOOKUP(($F$16-$F$15)-1,AC$99:AG135,4,FALSE)))*EXP(-(LN(2)/$D$65+0.1)*(VLOOKUP(($F$16-$F$15)-1,AC$99:AG135,5,FALSE)))*EXP(-(LN(2)/$D$65+0.04)*AF135)*EXP(-(LN(2)/$D$65+0.1)*AG135),IF(AD135=3,AI$100*EXP(-(LN(2)/$D$65+0.04)*(VLOOKUP(($F$16-$F$15)-1,AC$99:AG135,4,FALSE)))*EXP(-(LN(2)/$D$65+0.1)*(VLOOKUP(($F$16-$F$15)-1,AC$99:AG135,5,FALSE)))*EXP(-(LN(2)/$D$65+0.04)*(VLOOKUP(($F$16-$F$15)*2-1,AC$99:AG135,4,FALSE)))*EXP(-(LN(2)/$D$65+0.1)*(VLOOKUP(($F$16-$F$15)*2-1,AC$99:AG135,5,FALSE)))*EXP(-(LN(2)/$D$65+0.04)*AF135)*EXP(-(LN(2)/$D$65+0.1)*AG135),"-"))),"-")</f>
        <v>-</v>
      </c>
      <c r="AJ136" s="271" t="str">
        <f>IFERROR(IF(AD136=1,AJ$100*EXP(-(LN(2)/$D$65+0.04)*AF136)*EXP(-(LN(2)/$D$65+0.1)*AG136),IF(AD136=2,AJ$100*EXP(-(LN(2)/$D$65+0.04)*(VLOOKUP(($F$16-$F$15)-1,AC$100:AG136,4,FALSE)))*EXP(-(LN(2)/$D$65+0.1)*(VLOOKUP(($F$16-$F$15)-1,AC$100:AG136,5,FALSE)))*EXP(-(LN(2)/$D$65+0.04)*AF136)*EXP(-(LN(2)/$D$65+0.1)*AG136),IF(AD136=3,AJ$100*EXP(-(LN(2)/$D$65+0.04)*(VLOOKUP(($F$16-$F$15)-1,AC$100:AG136,4,FALSE)))*EXP(-(LN(2)/$D$65+0.1)*(VLOOKUP(($F$16-$F$15)-1,AC$100:AG136,5,FALSE)))*EXP(-(LN(2)/$D$65+0.04)*(VLOOKUP(($F$16-$F$15)*2-1,AC$100:AG136,4,FALSE)))*EXP(-(LN(2)/$D$65+0.1)*(VLOOKUP(($F$16-$F$15)*2-1,AC$100:AG136,5,FALSE)))*EXP(-(LN(2)/$D$65+0.04)*AF136)*EXP(-(LN(2)/$D$65+0.1)*AG136),"-"))),"-")</f>
        <v>-</v>
      </c>
      <c r="AK136" s="227">
        <f t="shared" si="49"/>
        <v>36</v>
      </c>
      <c r="AL136" s="226" t="str">
        <f t="shared" si="22"/>
        <v>-</v>
      </c>
      <c r="AM136" s="227" t="str">
        <f t="shared" si="50"/>
        <v>-</v>
      </c>
      <c r="AN136" s="227" t="str">
        <f t="shared" si="51"/>
        <v>-</v>
      </c>
      <c r="AO136" s="227" t="str">
        <f t="shared" si="23"/>
        <v>-</v>
      </c>
      <c r="AP136" s="273">
        <f t="shared" si="52"/>
        <v>0.1</v>
      </c>
      <c r="AQ136" s="271" t="str">
        <f>IFERROR(IF(AL135=1,AQ$100*EXP(-(LN(2)/$D$65+0.04)*AN135)*EXP(-(LN(2)/$D$65+0.1)*AO135),IF(AL135=2,AQ$100*EXP(-(LN(2)/$D$65+0.04)*(VLOOKUP(($F$16-$F$15)-1,AK$99:AO135,4,FALSE)))*EXP(-(LN(2)/$D$65+0.1)*(VLOOKUP(($F$16-$F$15)-1,AK$99:AO135,5,FALSE)))*EXP(-(LN(2)/$D$65+0.04)*AN135)*EXP(-(LN(2)/$D$65+0.1)*AO135),IF(AL135=3,AQ$100*EXP(-(LN(2)/$D$65+0.04)*(VLOOKUP(($F$16-$F$15)-1,AK$99:AO135,4,FALSE)))*EXP(-(LN(2)/$D$65+0.1)*(VLOOKUP(($F$16-$F$15)-1,AK$99:AO135,5,FALSE)))*EXP(-(LN(2)/$D$65+0.04)*(VLOOKUP(($F$16-$F$15)*2-1,AK$99:AO135,4,FALSE)))*EXP(-(LN(2)/$D$65+0.1)*(VLOOKUP(($F$16-$F$15)*2-1,AK$99:AO135,5,FALSE)))*EXP(-(LN(2)/$D$65+0.04)*AN135)*EXP(-(LN(2)/$D$65+0.1)*AO135),"-"))),"-")</f>
        <v>-</v>
      </c>
      <c r="AR136" s="271" t="str">
        <f>IFERROR(IF(AL136=1,AR$100*EXP(-(LN(2)/$D$65+0.04)*AN136)*EXP(-(LN(2)/$D$65+0.1)*AO136),IF(AL136=2,AR$100*EXP(-(LN(2)/$D$65+0.04)*(VLOOKUP(($F$16-$F$15)-1,AK$100:AO136,4,FALSE)))*EXP(-(LN(2)/$D$65+0.1)*(VLOOKUP(($F$16-$F$15)-1,AK$100:AO136,5,FALSE)))*EXP(-(LN(2)/$D$65+0.04)*AN136)*EXP(-(LN(2)/$D$65+0.1)*AO136),IF(AL136=3,AR$100*EXP(-(LN(2)/$D$65+0.04)*(VLOOKUP(($F$16-$F$15)-1,AK$100:AO136,4,FALSE)))*EXP(-(LN(2)/$D$65+0.1)*(VLOOKUP(($F$16-$F$15)-1,AK$100:AO136,5,FALSE)))*EXP(-(LN(2)/$D$65+0.04)*(VLOOKUP(($F$16-$F$15)*2-1,AK$100:AO136,4,FALSE)))*EXP(-(LN(2)/$D$65+0.1)*(VLOOKUP(($F$16-$F$15)*2-1,AK$100:AO136,5,FALSE)))*EXP(-(LN(2)/$D$65+0.04)*AN136)*EXP(-(LN(2)/$D$65+0.1)*AO136),"-"))),"-")</f>
        <v>-</v>
      </c>
      <c r="AS136" s="274">
        <f t="shared" si="24"/>
        <v>0</v>
      </c>
      <c r="AT136" s="274">
        <f t="shared" si="25"/>
        <v>0</v>
      </c>
      <c r="AU136" s="274">
        <f t="shared" si="26"/>
        <v>0</v>
      </c>
      <c r="AV136" s="190" t="str">
        <f>IF($B136&lt;$F$22,SUM($T$100:$T136),"")</f>
        <v/>
      </c>
      <c r="AW136" s="190" t="str">
        <f t="shared" si="83"/>
        <v>-</v>
      </c>
      <c r="AX136" s="190" t="str">
        <f t="shared" si="56"/>
        <v/>
      </c>
      <c r="AY136"/>
      <c r="AZ136" s="190" t="str">
        <f ca="1">IF(ISNUMBER(OFFSET(AV136,-$F$21,0)),SUM(OFFSET($T$100,$F$21,0):$T136),"")</f>
        <v/>
      </c>
      <c r="BA136" s="190" t="str">
        <f t="shared" ca="1" si="84"/>
        <v/>
      </c>
      <c r="BB136" s="190" t="str">
        <f t="shared" ca="1" si="70"/>
        <v/>
      </c>
      <c r="BC136" s="190"/>
      <c r="BD136" s="190" t="str">
        <f ca="1">IFERROR(IF(OR(ISNUMBER(I),ISNUMBER($F$14)),IF(AND($B136&gt;=($F$16-$F$15),$B136&lt;$F$22+($F$16-$F$15)),SUM(OFFSET($T$100,($F$16-$F$15),0):$T136),""),""),"")</f>
        <v/>
      </c>
      <c r="BE136" s="190" t="str">
        <f t="shared" ca="1" si="58"/>
        <v/>
      </c>
      <c r="BF136" s="190" t="str">
        <f t="shared" ca="1" si="59"/>
        <v/>
      </c>
      <c r="BG136"/>
      <c r="BH136" s="190" t="str">
        <f ca="1">IF(ISNUMBER(OFFSET(BD136,-$F$21,0)),SUM(OFFSET($T$100,($F$16-$F$15+$F$21),0):$T136),"")</f>
        <v/>
      </c>
      <c r="BI136" s="190" t="str">
        <f t="shared" ca="1" si="85"/>
        <v/>
      </c>
      <c r="BJ136" s="190" t="str">
        <f t="shared" ca="1" si="60"/>
        <v/>
      </c>
      <c r="BK136" s="190"/>
      <c r="BL136" s="190" t="str">
        <f ca="1">IFERROR(IF(OR(ISNUMBER(I),ISNUMBER($F$14)),IF(AND($B136&gt;=($F$17-$F$15),$B136&lt;$F$22+($F$17-$F$15)),SUM(OFFSET($T$100,($F$17-$F$15),0):$T136),""),""),"")</f>
        <v/>
      </c>
      <c r="BM136" s="190" t="str">
        <f t="shared" ca="1" si="86"/>
        <v/>
      </c>
      <c r="BN136" s="190" t="str">
        <f t="shared" ca="1" si="61"/>
        <v/>
      </c>
      <c r="BO136"/>
      <c r="BP136" s="190" t="str">
        <f ca="1">IF(ISNUMBER(OFFSET(BL136,-$F$21,0)),SUM(OFFSET($T$100,($F$17-$F$15+$F$21),0):$T136),"")</f>
        <v/>
      </c>
      <c r="BQ136" s="190" t="str">
        <f t="shared" ca="1" si="87"/>
        <v/>
      </c>
      <c r="BR136" s="190" t="str">
        <f t="shared" ca="1" si="63"/>
        <v/>
      </c>
      <c r="BS136" s="190"/>
      <c r="BT136"/>
      <c r="BU136"/>
      <c r="BV136"/>
      <c r="BY136" s="99"/>
      <c r="BZ136" s="99"/>
      <c r="CA136" s="280" t="str">
        <f t="shared" si="88"/>
        <v/>
      </c>
      <c r="CB136" s="71" t="str">
        <f t="shared" si="31"/>
        <v>-</v>
      </c>
      <c r="CC136" s="33"/>
      <c r="CD136" s="261" t="str">
        <f t="shared" si="33"/>
        <v/>
      </c>
      <c r="CE136" s="280" t="str">
        <f t="shared" si="89"/>
        <v/>
      </c>
      <c r="CF136" s="71" t="str">
        <f t="shared" ca="1" si="90"/>
        <v/>
      </c>
      <c r="CG136" s="33" t="str">
        <f t="shared" si="36"/>
        <v/>
      </c>
      <c r="CH136" s="261" t="str">
        <f t="shared" ca="1" si="37"/>
        <v/>
      </c>
      <c r="CI136" s="202"/>
      <c r="CJ136" s="99"/>
      <c r="CK136" s="99"/>
      <c r="CL136" s="99"/>
      <c r="CM136" s="99"/>
      <c r="CN136" s="99"/>
      <c r="CO136" s="99"/>
    </row>
    <row r="137" spans="2:93" ht="13.5" customHeight="1" x14ac:dyDescent="0.2">
      <c r="B137" s="262">
        <v>37</v>
      </c>
      <c r="C137" s="237" t="str">
        <f t="shared" si="1"/>
        <v/>
      </c>
      <c r="D137" s="237" t="str">
        <f t="shared" si="66"/>
        <v/>
      </c>
      <c r="E137" s="290" t="str">
        <f t="shared" si="38"/>
        <v/>
      </c>
      <c r="F137" s="264" t="str">
        <f t="shared" si="39"/>
        <v/>
      </c>
      <c r="G137" s="291" t="str">
        <f t="shared" si="40"/>
        <v/>
      </c>
      <c r="H137" s="240" t="str">
        <f t="shared" si="71"/>
        <v/>
      </c>
      <c r="I137" s="265" t="str">
        <f t="shared" si="72"/>
        <v/>
      </c>
      <c r="J137" s="265" t="str">
        <f t="shared" si="73"/>
        <v/>
      </c>
      <c r="K137" s="240" t="str">
        <f t="shared" si="74"/>
        <v/>
      </c>
      <c r="L137" s="265" t="str">
        <f t="shared" si="75"/>
        <v/>
      </c>
      <c r="M137" s="265" t="str">
        <f t="shared" si="76"/>
        <v/>
      </c>
      <c r="N137" s="240" t="str">
        <f t="shared" si="77"/>
        <v>-</v>
      </c>
      <c r="O137" s="265" t="str">
        <f t="shared" si="78"/>
        <v>-</v>
      </c>
      <c r="P137" s="265" t="str">
        <f t="shared" si="79"/>
        <v>-</v>
      </c>
      <c r="Q137" s="266" t="str">
        <f t="shared" si="80"/>
        <v>-</v>
      </c>
      <c r="R137" s="267" t="str">
        <f t="shared" si="81"/>
        <v>-</v>
      </c>
      <c r="S137" s="268" t="str">
        <f t="shared" si="82"/>
        <v>-</v>
      </c>
      <c r="T137" s="269" t="str">
        <f t="shared" si="13"/>
        <v/>
      </c>
      <c r="U137" s="221">
        <f t="shared" si="14"/>
        <v>37</v>
      </c>
      <c r="V137" s="220" t="str">
        <f t="shared" si="42"/>
        <v>-</v>
      </c>
      <c r="W137" s="221" t="str">
        <f t="shared" si="43"/>
        <v>-</v>
      </c>
      <c r="X137" s="221" t="str">
        <f t="shared" si="15"/>
        <v>-</v>
      </c>
      <c r="Y137" s="221" t="str">
        <f t="shared" si="16"/>
        <v>-</v>
      </c>
      <c r="Z137" s="270">
        <f t="shared" si="44"/>
        <v>0.1</v>
      </c>
      <c r="AA137" s="271" t="str">
        <f>IFERROR(IF(V136=1,AA$100*EXP(-(LN(2)/$D$65+0.04)*X136)*EXP(-(LN(2)/$D$65+0.1)*Y136),IF(V136=2,AA$100*EXP(-(LN(2)/$D$65+0.04)*(VLOOKUP(($F$16-$F$15)-1,U$99:Y136,4,FALSE)))*EXP(-(LN(2)/$D$65+0.1)*(VLOOKUP(($F$16-$F$15)-1,U$99:Y136,5,FALSE)))*EXP(-(LN(2)/$D$65+0.04)*X136)*EXP(-(LN(2)/$D$65+0.1)*Y136),IF(V136=3,AA$100*EXP(-(LN(2)/$D$65+0.04)*(VLOOKUP(($F$16-$F$15)-1,U$99:Y136,4,FALSE)))*EXP(-(LN(2)/$D$65+0.1)*(VLOOKUP(($F$16-$F$15)-1,U$99:Y136,5,FALSE)))*EXP(-(LN(2)/$D$65+0.04)*(VLOOKUP(($F$16-$F$15)*2-1,U$99:Y136,4,FALSE)))*EXP(-(LN(2)/$D$65+0.1)*(VLOOKUP(($F$16-$F$15)*2-1,U$99:Y136,5,FALSE)))*EXP(-(LN(2)/$D$65+0.04)*X136)*EXP(-(LN(2)/$D$65+0.1)*Y136),"-"))),"-")</f>
        <v>-</v>
      </c>
      <c r="AB137" s="271" t="str">
        <f>IFERROR(IF(V137=1,AB$100*EXP(-(LN(2)/$D$65+0.04)*X137)*EXP(-(LN(2)/$D$65+0.1)*Y137),IF(V137=2,AB$100*EXP(-(LN(2)/$D$65+0.04)*(VLOOKUP(($F$16-$F$15)-1,U$100:Y137,4,FALSE)))*EXP(-(LN(2)/$D$65+0.1)*(VLOOKUP(($F$16-$F$15)-1,U$100:Y137,5,FALSE)))*EXP(-(LN(2)/$D$65+0.04)*X137)*EXP(-(LN(2)/$D$65+0.1)*Y137),IF(V137=3,AB$100*EXP(-(LN(2)/$D$65+0.04)*(VLOOKUP(($F$16-$F$15)-1,U$100:Y137,4,FALSE)))*EXP(-(LN(2)/$D$65+0.1)*(VLOOKUP(($F$16-$F$15)-1,U$100:Y137,5,FALSE)))*EXP(-(LN(2)/$D$65+0.04)*(VLOOKUP(($F$16-$F$15)*2-1,U$100:Y137,4,FALSE)))*EXP(-(LN(2)/$D$65+0.1)*(VLOOKUP(($F$16-$F$15)*2-1,U$100:Y137,5,FALSE)))*EXP(-(LN(2)/$D$65+0.04)*X137)*EXP(-(LN(2)/$D$65+0.1)*Y137),"-"))),"-")</f>
        <v>-</v>
      </c>
      <c r="AC137" s="224">
        <f t="shared" si="45"/>
        <v>37</v>
      </c>
      <c r="AD137" s="223" t="str">
        <f t="shared" si="18"/>
        <v>-</v>
      </c>
      <c r="AE137" s="224" t="str">
        <f t="shared" si="46"/>
        <v>-</v>
      </c>
      <c r="AF137" s="224" t="str">
        <f t="shared" si="19"/>
        <v>-</v>
      </c>
      <c r="AG137" s="224" t="str">
        <f t="shared" si="20"/>
        <v>-</v>
      </c>
      <c r="AH137" s="272">
        <f t="shared" si="47"/>
        <v>0.1</v>
      </c>
      <c r="AI137" s="271" t="str">
        <f>IFERROR(IF(AD136=1,AI$100*EXP(-(LN(2)/$D$65+0.04)*AF136)*EXP(-(LN(2)/$D$65+0.1)*AG136),IF(AD136=2,AI$100*EXP(-(LN(2)/$D$65+0.04)*(VLOOKUP(($F$16-$F$15)-1,AC$99:AG136,4,FALSE)))*EXP(-(LN(2)/$D$65+0.1)*(VLOOKUP(($F$16-$F$15)-1,AC$99:AG136,5,FALSE)))*EXP(-(LN(2)/$D$65+0.04)*AF136)*EXP(-(LN(2)/$D$65+0.1)*AG136),IF(AD136=3,AI$100*EXP(-(LN(2)/$D$65+0.04)*(VLOOKUP(($F$16-$F$15)-1,AC$99:AG136,4,FALSE)))*EXP(-(LN(2)/$D$65+0.1)*(VLOOKUP(($F$16-$F$15)-1,AC$99:AG136,5,FALSE)))*EXP(-(LN(2)/$D$65+0.04)*(VLOOKUP(($F$16-$F$15)*2-1,AC$99:AG136,4,FALSE)))*EXP(-(LN(2)/$D$65+0.1)*(VLOOKUP(($F$16-$F$15)*2-1,AC$99:AG136,5,FALSE)))*EXP(-(LN(2)/$D$65+0.04)*AF136)*EXP(-(LN(2)/$D$65+0.1)*AG136),"-"))),"-")</f>
        <v>-</v>
      </c>
      <c r="AJ137" s="271" t="str">
        <f>IFERROR(IF(AD137=1,AJ$100*EXP(-(LN(2)/$D$65+0.04)*AF137)*EXP(-(LN(2)/$D$65+0.1)*AG137),IF(AD137=2,AJ$100*EXP(-(LN(2)/$D$65+0.04)*(VLOOKUP(($F$16-$F$15)-1,AC$100:AG137,4,FALSE)))*EXP(-(LN(2)/$D$65+0.1)*(VLOOKUP(($F$16-$F$15)-1,AC$100:AG137,5,FALSE)))*EXP(-(LN(2)/$D$65+0.04)*AF137)*EXP(-(LN(2)/$D$65+0.1)*AG137),IF(AD137=3,AJ$100*EXP(-(LN(2)/$D$65+0.04)*(VLOOKUP(($F$16-$F$15)-1,AC$100:AG137,4,FALSE)))*EXP(-(LN(2)/$D$65+0.1)*(VLOOKUP(($F$16-$F$15)-1,AC$100:AG137,5,FALSE)))*EXP(-(LN(2)/$D$65+0.04)*(VLOOKUP(($F$16-$F$15)*2-1,AC$100:AG137,4,FALSE)))*EXP(-(LN(2)/$D$65+0.1)*(VLOOKUP(($F$16-$F$15)*2-1,AC$100:AG137,5,FALSE)))*EXP(-(LN(2)/$D$65+0.04)*AF137)*EXP(-(LN(2)/$D$65+0.1)*AG137),"-"))),"-")</f>
        <v>-</v>
      </c>
      <c r="AK137" s="227">
        <f t="shared" si="49"/>
        <v>37</v>
      </c>
      <c r="AL137" s="226" t="str">
        <f t="shared" si="22"/>
        <v>-</v>
      </c>
      <c r="AM137" s="227" t="str">
        <f t="shared" si="50"/>
        <v>-</v>
      </c>
      <c r="AN137" s="227" t="str">
        <f t="shared" si="51"/>
        <v>-</v>
      </c>
      <c r="AO137" s="227" t="str">
        <f t="shared" si="23"/>
        <v>-</v>
      </c>
      <c r="AP137" s="273">
        <f t="shared" si="52"/>
        <v>0.1</v>
      </c>
      <c r="AQ137" s="271" t="str">
        <f>IFERROR(IF(AL136=1,AQ$100*EXP(-(LN(2)/$D$65+0.04)*AN136)*EXP(-(LN(2)/$D$65+0.1)*AO136),IF(AL136=2,AQ$100*EXP(-(LN(2)/$D$65+0.04)*(VLOOKUP(($F$16-$F$15)-1,AK$99:AO136,4,FALSE)))*EXP(-(LN(2)/$D$65+0.1)*(VLOOKUP(($F$16-$F$15)-1,AK$99:AO136,5,FALSE)))*EXP(-(LN(2)/$D$65+0.04)*AN136)*EXP(-(LN(2)/$D$65+0.1)*AO136),IF(AL136=3,AQ$100*EXP(-(LN(2)/$D$65+0.04)*(VLOOKUP(($F$16-$F$15)-1,AK$99:AO136,4,FALSE)))*EXP(-(LN(2)/$D$65+0.1)*(VLOOKUP(($F$16-$F$15)-1,AK$99:AO136,5,FALSE)))*EXP(-(LN(2)/$D$65+0.04)*(VLOOKUP(($F$16-$F$15)*2-1,AK$99:AO136,4,FALSE)))*EXP(-(LN(2)/$D$65+0.1)*(VLOOKUP(($F$16-$F$15)*2-1,AK$99:AO136,5,FALSE)))*EXP(-(LN(2)/$D$65+0.04)*AN136)*EXP(-(LN(2)/$D$65+0.1)*AO136),"-"))),"-")</f>
        <v>-</v>
      </c>
      <c r="AR137" s="271" t="str">
        <f>IFERROR(IF(AL137=1,AR$100*EXP(-(LN(2)/$D$65+0.04)*AN137)*EXP(-(LN(2)/$D$65+0.1)*AO137),IF(AL137=2,AR$100*EXP(-(LN(2)/$D$65+0.04)*(VLOOKUP(($F$16-$F$15)-1,AK$100:AO137,4,FALSE)))*EXP(-(LN(2)/$D$65+0.1)*(VLOOKUP(($F$16-$F$15)-1,AK$100:AO137,5,FALSE)))*EXP(-(LN(2)/$D$65+0.04)*AN137)*EXP(-(LN(2)/$D$65+0.1)*AO137),IF(AL137=3,AR$100*EXP(-(LN(2)/$D$65+0.04)*(VLOOKUP(($F$16-$F$15)-1,AK$100:AO137,4,FALSE)))*EXP(-(LN(2)/$D$65+0.1)*(VLOOKUP(($F$16-$F$15)-1,AK$100:AO137,5,FALSE)))*EXP(-(LN(2)/$D$65+0.04)*(VLOOKUP(($F$16-$F$15)*2-1,AK$100:AO137,4,FALSE)))*EXP(-(LN(2)/$D$65+0.1)*(VLOOKUP(($F$16-$F$15)*2-1,AK$100:AO137,5,FALSE)))*EXP(-(LN(2)/$D$65+0.04)*AN137)*EXP(-(LN(2)/$D$65+0.1)*AO137),"-"))),"-")</f>
        <v>-</v>
      </c>
      <c r="AS137" s="274">
        <f t="shared" si="24"/>
        <v>0</v>
      </c>
      <c r="AT137" s="274">
        <f t="shared" si="25"/>
        <v>0</v>
      </c>
      <c r="AU137" s="274">
        <f t="shared" si="26"/>
        <v>0</v>
      </c>
      <c r="AV137" s="190" t="str">
        <f>IF($B137&lt;$F$22,SUM($T$100:$T137),"")</f>
        <v/>
      </c>
      <c r="AW137" s="190" t="str">
        <f t="shared" si="83"/>
        <v>-</v>
      </c>
      <c r="AX137" s="190" t="str">
        <f t="shared" si="56"/>
        <v/>
      </c>
      <c r="AY137"/>
      <c r="AZ137" s="190" t="str">
        <f ca="1">IF(ISNUMBER(OFFSET(AV137,-$F$21,0)),SUM(OFFSET($T$100,$F$21,0):$T137),"")</f>
        <v/>
      </c>
      <c r="BA137" s="190" t="str">
        <f t="shared" ca="1" si="84"/>
        <v/>
      </c>
      <c r="BB137" s="190" t="str">
        <f t="shared" ca="1" si="70"/>
        <v/>
      </c>
      <c r="BC137" s="190"/>
      <c r="BD137" s="190" t="str">
        <f ca="1">IFERROR(IF(OR(ISNUMBER(I),ISNUMBER($F$14)),IF(AND($B137&gt;=($F$16-$F$15),$B137&lt;$F$22+($F$16-$F$15)),SUM(OFFSET($T$100,($F$16-$F$15),0):$T137),""),""),"")</f>
        <v/>
      </c>
      <c r="BE137" s="190" t="str">
        <f t="shared" ca="1" si="58"/>
        <v/>
      </c>
      <c r="BF137" s="190" t="str">
        <f t="shared" ca="1" si="59"/>
        <v/>
      </c>
      <c r="BG137"/>
      <c r="BH137" s="190" t="str">
        <f ca="1">IF(ISNUMBER(OFFSET(BD137,-$F$21,0)),SUM(OFFSET($T$100,($F$16-$F$15+$F$21),0):$T137),"")</f>
        <v/>
      </c>
      <c r="BI137" s="190" t="str">
        <f t="shared" ca="1" si="85"/>
        <v/>
      </c>
      <c r="BJ137" s="190" t="str">
        <f t="shared" ca="1" si="60"/>
        <v/>
      </c>
      <c r="BK137" s="190"/>
      <c r="BL137" s="190" t="str">
        <f ca="1">IFERROR(IF(OR(ISNUMBER(I),ISNUMBER($F$14)),IF(AND($B137&gt;=($F$17-$F$15),$B137&lt;$F$22+($F$17-$F$15)),SUM(OFFSET($T$100,($F$17-$F$15),0):$T137),""),""),"")</f>
        <v/>
      </c>
      <c r="BM137" s="190" t="str">
        <f t="shared" ca="1" si="86"/>
        <v/>
      </c>
      <c r="BN137" s="190" t="str">
        <f t="shared" ca="1" si="61"/>
        <v/>
      </c>
      <c r="BO137"/>
      <c r="BP137" s="190" t="str">
        <f ca="1">IF(ISNUMBER(OFFSET(BL137,-$F$21,0)),SUM(OFFSET($T$100,($F$17-$F$15+$F$21),0):$T137),"")</f>
        <v/>
      </c>
      <c r="BQ137" s="190" t="str">
        <f t="shared" ca="1" si="87"/>
        <v/>
      </c>
      <c r="BR137" s="190" t="str">
        <f t="shared" ca="1" si="63"/>
        <v/>
      </c>
      <c r="BS137" s="190"/>
      <c r="BT137"/>
      <c r="BU137"/>
      <c r="BV137"/>
      <c r="BY137" s="99"/>
      <c r="BZ137" s="99"/>
      <c r="CA137" s="280" t="str">
        <f t="shared" si="88"/>
        <v/>
      </c>
      <c r="CB137" s="71" t="str">
        <f t="shared" si="31"/>
        <v>-</v>
      </c>
      <c r="CC137" s="33"/>
      <c r="CD137" s="261" t="str">
        <f t="shared" si="33"/>
        <v/>
      </c>
      <c r="CE137" s="280" t="str">
        <f t="shared" si="89"/>
        <v/>
      </c>
      <c r="CF137" s="71" t="str">
        <f t="shared" ca="1" si="90"/>
        <v/>
      </c>
      <c r="CG137" s="33" t="str">
        <f t="shared" si="36"/>
        <v/>
      </c>
      <c r="CH137" s="261" t="str">
        <f t="shared" ca="1" si="37"/>
        <v/>
      </c>
      <c r="CI137" s="202"/>
      <c r="CJ137" s="99"/>
      <c r="CK137" s="99"/>
      <c r="CL137" s="99"/>
      <c r="CM137" s="99"/>
      <c r="CN137" s="99"/>
      <c r="CO137" s="99"/>
    </row>
    <row r="138" spans="2:93" ht="13.5" customHeight="1" x14ac:dyDescent="0.2">
      <c r="B138" s="262">
        <v>38</v>
      </c>
      <c r="C138" s="237" t="str">
        <f t="shared" si="1"/>
        <v/>
      </c>
      <c r="D138" s="237" t="str">
        <f t="shared" si="66"/>
        <v/>
      </c>
      <c r="E138" s="290" t="str">
        <f t="shared" si="38"/>
        <v/>
      </c>
      <c r="F138" s="264" t="str">
        <f t="shared" si="39"/>
        <v/>
      </c>
      <c r="G138" s="291" t="str">
        <f t="shared" si="40"/>
        <v/>
      </c>
      <c r="H138" s="240" t="str">
        <f t="shared" si="71"/>
        <v/>
      </c>
      <c r="I138" s="265" t="str">
        <f t="shared" si="72"/>
        <v/>
      </c>
      <c r="J138" s="265" t="str">
        <f t="shared" si="73"/>
        <v/>
      </c>
      <c r="K138" s="240" t="str">
        <f t="shared" si="74"/>
        <v/>
      </c>
      <c r="L138" s="265" t="str">
        <f t="shared" si="75"/>
        <v/>
      </c>
      <c r="M138" s="265" t="str">
        <f t="shared" si="76"/>
        <v/>
      </c>
      <c r="N138" s="240" t="str">
        <f t="shared" si="77"/>
        <v>-</v>
      </c>
      <c r="O138" s="265" t="str">
        <f t="shared" si="78"/>
        <v>-</v>
      </c>
      <c r="P138" s="265" t="str">
        <f t="shared" si="79"/>
        <v>-</v>
      </c>
      <c r="Q138" s="266" t="str">
        <f t="shared" si="80"/>
        <v>-</v>
      </c>
      <c r="R138" s="267" t="str">
        <f t="shared" si="81"/>
        <v>-</v>
      </c>
      <c r="S138" s="268" t="str">
        <f t="shared" si="82"/>
        <v>-</v>
      </c>
      <c r="T138" s="269" t="str">
        <f t="shared" si="13"/>
        <v/>
      </c>
      <c r="U138" s="221">
        <f t="shared" si="14"/>
        <v>38</v>
      </c>
      <c r="V138" s="220" t="str">
        <f t="shared" si="42"/>
        <v>-</v>
      </c>
      <c r="W138" s="221" t="str">
        <f t="shared" si="43"/>
        <v>-</v>
      </c>
      <c r="X138" s="221" t="str">
        <f t="shared" si="15"/>
        <v>-</v>
      </c>
      <c r="Y138" s="221" t="str">
        <f t="shared" si="16"/>
        <v>-</v>
      </c>
      <c r="Z138" s="270">
        <f t="shared" si="44"/>
        <v>0.1</v>
      </c>
      <c r="AA138" s="271" t="str">
        <f>IFERROR(IF(V137=1,AA$100*EXP(-(LN(2)/$D$65+0.04)*X137)*EXP(-(LN(2)/$D$65+0.1)*Y137),IF(V137=2,AA$100*EXP(-(LN(2)/$D$65+0.04)*(VLOOKUP(($F$16-$F$15)-1,U$99:Y137,4,FALSE)))*EXP(-(LN(2)/$D$65+0.1)*(VLOOKUP(($F$16-$F$15)-1,U$99:Y137,5,FALSE)))*EXP(-(LN(2)/$D$65+0.04)*X137)*EXP(-(LN(2)/$D$65+0.1)*Y137),IF(V137=3,AA$100*EXP(-(LN(2)/$D$65+0.04)*(VLOOKUP(($F$16-$F$15)-1,U$99:Y137,4,FALSE)))*EXP(-(LN(2)/$D$65+0.1)*(VLOOKUP(($F$16-$F$15)-1,U$99:Y137,5,FALSE)))*EXP(-(LN(2)/$D$65+0.04)*(VLOOKUP(($F$16-$F$15)*2-1,U$99:Y137,4,FALSE)))*EXP(-(LN(2)/$D$65+0.1)*(VLOOKUP(($F$16-$F$15)*2-1,U$99:Y137,5,FALSE)))*EXP(-(LN(2)/$D$65+0.04)*X137)*EXP(-(LN(2)/$D$65+0.1)*Y137),"-"))),"-")</f>
        <v>-</v>
      </c>
      <c r="AB138" s="271" t="str">
        <f>IFERROR(IF(V138=1,AB$100*EXP(-(LN(2)/$D$65+0.04)*X138)*EXP(-(LN(2)/$D$65+0.1)*Y138),IF(V138=2,AB$100*EXP(-(LN(2)/$D$65+0.04)*(VLOOKUP(($F$16-$F$15)-1,U$100:Y138,4,FALSE)))*EXP(-(LN(2)/$D$65+0.1)*(VLOOKUP(($F$16-$F$15)-1,U$100:Y138,5,FALSE)))*EXP(-(LN(2)/$D$65+0.04)*X138)*EXP(-(LN(2)/$D$65+0.1)*Y138),IF(V138=3,AB$100*EXP(-(LN(2)/$D$65+0.04)*(VLOOKUP(($F$16-$F$15)-1,U$100:Y138,4,FALSE)))*EXP(-(LN(2)/$D$65+0.1)*(VLOOKUP(($F$16-$F$15)-1,U$100:Y138,5,FALSE)))*EXP(-(LN(2)/$D$65+0.04)*(VLOOKUP(($F$16-$F$15)*2-1,U$100:Y138,4,FALSE)))*EXP(-(LN(2)/$D$65+0.1)*(VLOOKUP(($F$16-$F$15)*2-1,U$100:Y138,5,FALSE)))*EXP(-(LN(2)/$D$65+0.04)*X138)*EXP(-(LN(2)/$D$65+0.1)*Y138),"-"))),"-")</f>
        <v>-</v>
      </c>
      <c r="AC138" s="224">
        <f t="shared" si="45"/>
        <v>38</v>
      </c>
      <c r="AD138" s="223" t="str">
        <f t="shared" si="18"/>
        <v>-</v>
      </c>
      <c r="AE138" s="224" t="str">
        <f t="shared" si="46"/>
        <v>-</v>
      </c>
      <c r="AF138" s="224" t="str">
        <f t="shared" si="19"/>
        <v>-</v>
      </c>
      <c r="AG138" s="224" t="str">
        <f t="shared" si="20"/>
        <v>-</v>
      </c>
      <c r="AH138" s="272">
        <f t="shared" si="47"/>
        <v>0.1</v>
      </c>
      <c r="AI138" s="271" t="str">
        <f>IFERROR(IF(AD137=1,AI$100*EXP(-(LN(2)/$D$65+0.04)*AF137)*EXP(-(LN(2)/$D$65+0.1)*AG137),IF(AD137=2,AI$100*EXP(-(LN(2)/$D$65+0.04)*(VLOOKUP(($F$16-$F$15)-1,AC$99:AG137,4,FALSE)))*EXP(-(LN(2)/$D$65+0.1)*(VLOOKUP(($F$16-$F$15)-1,AC$99:AG137,5,FALSE)))*EXP(-(LN(2)/$D$65+0.04)*AF137)*EXP(-(LN(2)/$D$65+0.1)*AG137),IF(AD137=3,AI$100*EXP(-(LN(2)/$D$65+0.04)*(VLOOKUP(($F$16-$F$15)-1,AC$99:AG137,4,FALSE)))*EXP(-(LN(2)/$D$65+0.1)*(VLOOKUP(($F$16-$F$15)-1,AC$99:AG137,5,FALSE)))*EXP(-(LN(2)/$D$65+0.04)*(VLOOKUP(($F$16-$F$15)*2-1,AC$99:AG137,4,FALSE)))*EXP(-(LN(2)/$D$65+0.1)*(VLOOKUP(($F$16-$F$15)*2-1,AC$99:AG137,5,FALSE)))*EXP(-(LN(2)/$D$65+0.04)*AF137)*EXP(-(LN(2)/$D$65+0.1)*AG137),"-"))),"-")</f>
        <v>-</v>
      </c>
      <c r="AJ138" s="271" t="str">
        <f>IFERROR(IF(AD138=1,AJ$100*EXP(-(LN(2)/$D$65+0.04)*AF138)*EXP(-(LN(2)/$D$65+0.1)*AG138),IF(AD138=2,AJ$100*EXP(-(LN(2)/$D$65+0.04)*(VLOOKUP(($F$16-$F$15)-1,AC$100:AG138,4,FALSE)))*EXP(-(LN(2)/$D$65+0.1)*(VLOOKUP(($F$16-$F$15)-1,AC$100:AG138,5,FALSE)))*EXP(-(LN(2)/$D$65+0.04)*AF138)*EXP(-(LN(2)/$D$65+0.1)*AG138),IF(AD138=3,AJ$100*EXP(-(LN(2)/$D$65+0.04)*(VLOOKUP(($F$16-$F$15)-1,AC$100:AG138,4,FALSE)))*EXP(-(LN(2)/$D$65+0.1)*(VLOOKUP(($F$16-$F$15)-1,AC$100:AG138,5,FALSE)))*EXP(-(LN(2)/$D$65+0.04)*(VLOOKUP(($F$16-$F$15)*2-1,AC$100:AG138,4,FALSE)))*EXP(-(LN(2)/$D$65+0.1)*(VLOOKUP(($F$16-$F$15)*2-1,AC$100:AG138,5,FALSE)))*EXP(-(LN(2)/$D$65+0.04)*AF138)*EXP(-(LN(2)/$D$65+0.1)*AG138),"-"))),"-")</f>
        <v>-</v>
      </c>
      <c r="AK138" s="227">
        <f t="shared" si="49"/>
        <v>38</v>
      </c>
      <c r="AL138" s="226" t="str">
        <f t="shared" si="22"/>
        <v>-</v>
      </c>
      <c r="AM138" s="227" t="str">
        <f t="shared" si="50"/>
        <v>-</v>
      </c>
      <c r="AN138" s="227" t="str">
        <f t="shared" si="51"/>
        <v>-</v>
      </c>
      <c r="AO138" s="227" t="str">
        <f t="shared" si="23"/>
        <v>-</v>
      </c>
      <c r="AP138" s="273">
        <f t="shared" si="52"/>
        <v>0.1</v>
      </c>
      <c r="AQ138" s="271" t="str">
        <f>IFERROR(IF(AL137=1,AQ$100*EXP(-(LN(2)/$D$65+0.04)*AN137)*EXP(-(LN(2)/$D$65+0.1)*AO137),IF(AL137=2,AQ$100*EXP(-(LN(2)/$D$65+0.04)*(VLOOKUP(($F$16-$F$15)-1,AK$99:AO137,4,FALSE)))*EXP(-(LN(2)/$D$65+0.1)*(VLOOKUP(($F$16-$F$15)-1,AK$99:AO137,5,FALSE)))*EXP(-(LN(2)/$D$65+0.04)*AN137)*EXP(-(LN(2)/$D$65+0.1)*AO137),IF(AL137=3,AQ$100*EXP(-(LN(2)/$D$65+0.04)*(VLOOKUP(($F$16-$F$15)-1,AK$99:AO137,4,FALSE)))*EXP(-(LN(2)/$D$65+0.1)*(VLOOKUP(($F$16-$F$15)-1,AK$99:AO137,5,FALSE)))*EXP(-(LN(2)/$D$65+0.04)*(VLOOKUP(($F$16-$F$15)*2-1,AK$99:AO137,4,FALSE)))*EXP(-(LN(2)/$D$65+0.1)*(VLOOKUP(($F$16-$F$15)*2-1,AK$99:AO137,5,FALSE)))*EXP(-(LN(2)/$D$65+0.04)*AN137)*EXP(-(LN(2)/$D$65+0.1)*AO137),"-"))),"-")</f>
        <v>-</v>
      </c>
      <c r="AR138" s="271" t="str">
        <f>IFERROR(IF(AL138=1,AR$100*EXP(-(LN(2)/$D$65+0.04)*AN138)*EXP(-(LN(2)/$D$65+0.1)*AO138),IF(AL138=2,AR$100*EXP(-(LN(2)/$D$65+0.04)*(VLOOKUP(($F$16-$F$15)-1,AK$100:AO138,4,FALSE)))*EXP(-(LN(2)/$D$65+0.1)*(VLOOKUP(($F$16-$F$15)-1,AK$100:AO138,5,FALSE)))*EXP(-(LN(2)/$D$65+0.04)*AN138)*EXP(-(LN(2)/$D$65+0.1)*AO138),IF(AL138=3,AR$100*EXP(-(LN(2)/$D$65+0.04)*(VLOOKUP(($F$16-$F$15)-1,AK$100:AO138,4,FALSE)))*EXP(-(LN(2)/$D$65+0.1)*(VLOOKUP(($F$16-$F$15)-1,AK$100:AO138,5,FALSE)))*EXP(-(LN(2)/$D$65+0.04)*(VLOOKUP(($F$16-$F$15)*2-1,AK$100:AO138,4,FALSE)))*EXP(-(LN(2)/$D$65+0.1)*(VLOOKUP(($F$16-$F$15)*2-1,AK$100:AO138,5,FALSE)))*EXP(-(LN(2)/$D$65+0.04)*AN138)*EXP(-(LN(2)/$D$65+0.1)*AO138),"-"))),"-")</f>
        <v>-</v>
      </c>
      <c r="AS138" s="274">
        <f t="shared" si="24"/>
        <v>0</v>
      </c>
      <c r="AT138" s="274">
        <f t="shared" si="25"/>
        <v>0</v>
      </c>
      <c r="AU138" s="274">
        <f t="shared" si="26"/>
        <v>0</v>
      </c>
      <c r="AV138" s="190" t="str">
        <f>IF($B138&lt;$F$22,SUM($T$100:$T138),"")</f>
        <v/>
      </c>
      <c r="AW138" s="190" t="str">
        <f t="shared" si="83"/>
        <v>-</v>
      </c>
      <c r="AX138" s="190" t="str">
        <f t="shared" si="56"/>
        <v/>
      </c>
      <c r="AY138"/>
      <c r="AZ138" s="190" t="str">
        <f ca="1">IF(ISNUMBER(OFFSET(AV138,-$F$21,0)),SUM(OFFSET($T$100,$F$21,0):$T138),"")</f>
        <v/>
      </c>
      <c r="BA138" s="190" t="str">
        <f t="shared" ca="1" si="84"/>
        <v/>
      </c>
      <c r="BB138" s="190" t="str">
        <f t="shared" ca="1" si="70"/>
        <v/>
      </c>
      <c r="BC138" s="190"/>
      <c r="BD138" s="190" t="str">
        <f ca="1">IFERROR(IF(OR(ISNUMBER(I),ISNUMBER($F$14)),IF(AND($B138&gt;=($F$16-$F$15),$B138&lt;$F$22+($F$16-$F$15)),SUM(OFFSET($T$100,($F$16-$F$15),0):$T138),""),""),"")</f>
        <v/>
      </c>
      <c r="BE138" s="190" t="str">
        <f t="shared" ca="1" si="58"/>
        <v/>
      </c>
      <c r="BF138" s="190" t="str">
        <f t="shared" ca="1" si="59"/>
        <v/>
      </c>
      <c r="BG138"/>
      <c r="BH138" s="190" t="str">
        <f ca="1">IF(ISNUMBER(OFFSET(BD138,-$F$21,0)),SUM(OFFSET($T$100,($F$16-$F$15+$F$21),0):$T138),"")</f>
        <v/>
      </c>
      <c r="BI138" s="190" t="str">
        <f t="shared" ca="1" si="85"/>
        <v/>
      </c>
      <c r="BJ138" s="190" t="str">
        <f t="shared" ca="1" si="60"/>
        <v/>
      </c>
      <c r="BK138" s="190"/>
      <c r="BL138" s="190" t="str">
        <f ca="1">IFERROR(IF(OR(ISNUMBER(I),ISNUMBER($F$14)),IF(AND($B138&gt;=($F$17-$F$15),$B138&lt;$F$22+($F$17-$F$15)),SUM(OFFSET($T$100,($F$17-$F$15),0):$T138),""),""),"")</f>
        <v/>
      </c>
      <c r="BM138" s="190" t="str">
        <f t="shared" ca="1" si="86"/>
        <v/>
      </c>
      <c r="BN138" s="190" t="str">
        <f t="shared" ca="1" si="61"/>
        <v/>
      </c>
      <c r="BO138"/>
      <c r="BP138" s="190" t="str">
        <f ca="1">IF(ISNUMBER(OFFSET(BL138,-$F$21,0)),SUM(OFFSET($T$100,($F$17-$F$15+$F$21),0):$T138),"")</f>
        <v/>
      </c>
      <c r="BQ138" s="190" t="str">
        <f t="shared" ca="1" si="87"/>
        <v/>
      </c>
      <c r="BR138" s="190" t="str">
        <f t="shared" ca="1" si="63"/>
        <v/>
      </c>
      <c r="BS138" s="190"/>
      <c r="BT138"/>
      <c r="BU138"/>
      <c r="BV138"/>
      <c r="BY138" s="99"/>
      <c r="BZ138" s="99"/>
      <c r="CA138" s="280" t="str">
        <f t="shared" si="88"/>
        <v/>
      </c>
      <c r="CB138" s="71" t="str">
        <f t="shared" si="31"/>
        <v>-</v>
      </c>
      <c r="CC138" s="33"/>
      <c r="CD138" s="261" t="str">
        <f t="shared" si="33"/>
        <v/>
      </c>
      <c r="CE138" s="280" t="str">
        <f t="shared" si="89"/>
        <v/>
      </c>
      <c r="CF138" s="71" t="str">
        <f t="shared" ca="1" si="90"/>
        <v/>
      </c>
      <c r="CG138" s="33" t="str">
        <f t="shared" si="36"/>
        <v/>
      </c>
      <c r="CH138" s="261" t="str">
        <f t="shared" ca="1" si="37"/>
        <v/>
      </c>
      <c r="CI138" s="202"/>
      <c r="CJ138" s="99"/>
      <c r="CK138" s="99"/>
      <c r="CL138" s="99"/>
      <c r="CM138" s="99"/>
      <c r="CN138" s="99"/>
      <c r="CO138" s="99"/>
    </row>
    <row r="139" spans="2:93" ht="13.5" customHeight="1" x14ac:dyDescent="0.2">
      <c r="B139" s="262">
        <v>39</v>
      </c>
      <c r="C139" s="237" t="str">
        <f t="shared" si="1"/>
        <v/>
      </c>
      <c r="D139" s="237" t="str">
        <f t="shared" si="66"/>
        <v/>
      </c>
      <c r="E139" s="290" t="str">
        <f t="shared" si="38"/>
        <v/>
      </c>
      <c r="F139" s="264" t="str">
        <f t="shared" si="39"/>
        <v/>
      </c>
      <c r="G139" s="291" t="str">
        <f t="shared" si="40"/>
        <v/>
      </c>
      <c r="H139" s="240" t="str">
        <f t="shared" si="71"/>
        <v/>
      </c>
      <c r="I139" s="265" t="str">
        <f t="shared" si="72"/>
        <v/>
      </c>
      <c r="J139" s="265" t="str">
        <f t="shared" si="73"/>
        <v/>
      </c>
      <c r="K139" s="240" t="str">
        <f t="shared" si="74"/>
        <v/>
      </c>
      <c r="L139" s="265" t="str">
        <f t="shared" si="75"/>
        <v/>
      </c>
      <c r="M139" s="265" t="str">
        <f t="shared" si="76"/>
        <v/>
      </c>
      <c r="N139" s="240" t="str">
        <f t="shared" si="77"/>
        <v>-</v>
      </c>
      <c r="O139" s="265" t="str">
        <f t="shared" si="78"/>
        <v>-</v>
      </c>
      <c r="P139" s="265" t="str">
        <f t="shared" si="79"/>
        <v>-</v>
      </c>
      <c r="Q139" s="266" t="str">
        <f t="shared" si="80"/>
        <v>-</v>
      </c>
      <c r="R139" s="267" t="str">
        <f t="shared" si="81"/>
        <v>-</v>
      </c>
      <c r="S139" s="268" t="str">
        <f t="shared" si="82"/>
        <v>-</v>
      </c>
      <c r="T139" s="269" t="str">
        <f t="shared" si="13"/>
        <v/>
      </c>
      <c r="U139" s="221">
        <f t="shared" si="14"/>
        <v>39</v>
      </c>
      <c r="V139" s="220" t="str">
        <f t="shared" si="42"/>
        <v>-</v>
      </c>
      <c r="W139" s="221" t="str">
        <f t="shared" si="43"/>
        <v>-</v>
      </c>
      <c r="X139" s="221" t="str">
        <f t="shared" si="15"/>
        <v>-</v>
      </c>
      <c r="Y139" s="221" t="str">
        <f t="shared" si="16"/>
        <v>-</v>
      </c>
      <c r="Z139" s="270">
        <f t="shared" si="44"/>
        <v>0.1</v>
      </c>
      <c r="AA139" s="271" t="str">
        <f>IFERROR(IF(V138=1,AA$100*EXP(-(LN(2)/$D$65+0.04)*X138)*EXP(-(LN(2)/$D$65+0.1)*Y138),IF(V138=2,AA$100*EXP(-(LN(2)/$D$65+0.04)*(VLOOKUP(($F$16-$F$15)-1,U$99:Y138,4,FALSE)))*EXP(-(LN(2)/$D$65+0.1)*(VLOOKUP(($F$16-$F$15)-1,U$99:Y138,5,FALSE)))*EXP(-(LN(2)/$D$65+0.04)*X138)*EXP(-(LN(2)/$D$65+0.1)*Y138),IF(V138=3,AA$100*EXP(-(LN(2)/$D$65+0.04)*(VLOOKUP(($F$16-$F$15)-1,U$99:Y138,4,FALSE)))*EXP(-(LN(2)/$D$65+0.1)*(VLOOKUP(($F$16-$F$15)-1,U$99:Y138,5,FALSE)))*EXP(-(LN(2)/$D$65+0.04)*(VLOOKUP(($F$16-$F$15)*2-1,U$99:Y138,4,FALSE)))*EXP(-(LN(2)/$D$65+0.1)*(VLOOKUP(($F$16-$F$15)*2-1,U$99:Y138,5,FALSE)))*EXP(-(LN(2)/$D$65+0.04)*X138)*EXP(-(LN(2)/$D$65+0.1)*Y138),"-"))),"-")</f>
        <v>-</v>
      </c>
      <c r="AB139" s="271" t="str">
        <f>IFERROR(IF(V139=1,AB$100*EXP(-(LN(2)/$D$65+0.04)*X139)*EXP(-(LN(2)/$D$65+0.1)*Y139),IF(V139=2,AB$100*EXP(-(LN(2)/$D$65+0.04)*(VLOOKUP(($F$16-$F$15)-1,U$100:Y139,4,FALSE)))*EXP(-(LN(2)/$D$65+0.1)*(VLOOKUP(($F$16-$F$15)-1,U$100:Y139,5,FALSE)))*EXP(-(LN(2)/$D$65+0.04)*X139)*EXP(-(LN(2)/$D$65+0.1)*Y139),IF(V139=3,AB$100*EXP(-(LN(2)/$D$65+0.04)*(VLOOKUP(($F$16-$F$15)-1,U$100:Y139,4,FALSE)))*EXP(-(LN(2)/$D$65+0.1)*(VLOOKUP(($F$16-$F$15)-1,U$100:Y139,5,FALSE)))*EXP(-(LN(2)/$D$65+0.04)*(VLOOKUP(($F$16-$F$15)*2-1,U$100:Y139,4,FALSE)))*EXP(-(LN(2)/$D$65+0.1)*(VLOOKUP(($F$16-$F$15)*2-1,U$100:Y139,5,FALSE)))*EXP(-(LN(2)/$D$65+0.04)*X139)*EXP(-(LN(2)/$D$65+0.1)*Y139),"-"))),"-")</f>
        <v>-</v>
      </c>
      <c r="AC139" s="224">
        <f t="shared" si="45"/>
        <v>39</v>
      </c>
      <c r="AD139" s="223" t="str">
        <f t="shared" si="18"/>
        <v>-</v>
      </c>
      <c r="AE139" s="224" t="str">
        <f t="shared" si="46"/>
        <v>-</v>
      </c>
      <c r="AF139" s="224" t="str">
        <f t="shared" si="19"/>
        <v>-</v>
      </c>
      <c r="AG139" s="224" t="str">
        <f t="shared" si="20"/>
        <v>-</v>
      </c>
      <c r="AH139" s="272">
        <f t="shared" si="47"/>
        <v>0.1</v>
      </c>
      <c r="AI139" s="271" t="str">
        <f>IFERROR(IF(AD138=1,AI$100*EXP(-(LN(2)/$D$65+0.04)*AF138)*EXP(-(LN(2)/$D$65+0.1)*AG138),IF(AD138=2,AI$100*EXP(-(LN(2)/$D$65+0.04)*(VLOOKUP(($F$16-$F$15)-1,AC$99:AG138,4,FALSE)))*EXP(-(LN(2)/$D$65+0.1)*(VLOOKUP(($F$16-$F$15)-1,AC$99:AG138,5,FALSE)))*EXP(-(LN(2)/$D$65+0.04)*AF138)*EXP(-(LN(2)/$D$65+0.1)*AG138),IF(AD138=3,AI$100*EXP(-(LN(2)/$D$65+0.04)*(VLOOKUP(($F$16-$F$15)-1,AC$99:AG138,4,FALSE)))*EXP(-(LN(2)/$D$65+0.1)*(VLOOKUP(($F$16-$F$15)-1,AC$99:AG138,5,FALSE)))*EXP(-(LN(2)/$D$65+0.04)*(VLOOKUP(($F$16-$F$15)*2-1,AC$99:AG138,4,FALSE)))*EXP(-(LN(2)/$D$65+0.1)*(VLOOKUP(($F$16-$F$15)*2-1,AC$99:AG138,5,FALSE)))*EXP(-(LN(2)/$D$65+0.04)*AF138)*EXP(-(LN(2)/$D$65+0.1)*AG138),"-"))),"-")</f>
        <v>-</v>
      </c>
      <c r="AJ139" s="271" t="str">
        <f>IFERROR(IF(AD139=1,AJ$100*EXP(-(LN(2)/$D$65+0.04)*AF139)*EXP(-(LN(2)/$D$65+0.1)*AG139),IF(AD139=2,AJ$100*EXP(-(LN(2)/$D$65+0.04)*(VLOOKUP(($F$16-$F$15)-1,AC$100:AG139,4,FALSE)))*EXP(-(LN(2)/$D$65+0.1)*(VLOOKUP(($F$16-$F$15)-1,AC$100:AG139,5,FALSE)))*EXP(-(LN(2)/$D$65+0.04)*AF139)*EXP(-(LN(2)/$D$65+0.1)*AG139),IF(AD139=3,AJ$100*EXP(-(LN(2)/$D$65+0.04)*(VLOOKUP(($F$16-$F$15)-1,AC$100:AG139,4,FALSE)))*EXP(-(LN(2)/$D$65+0.1)*(VLOOKUP(($F$16-$F$15)-1,AC$100:AG139,5,FALSE)))*EXP(-(LN(2)/$D$65+0.04)*(VLOOKUP(($F$16-$F$15)*2-1,AC$100:AG139,4,FALSE)))*EXP(-(LN(2)/$D$65+0.1)*(VLOOKUP(($F$16-$F$15)*2-1,AC$100:AG139,5,FALSE)))*EXP(-(LN(2)/$D$65+0.04)*AF139)*EXP(-(LN(2)/$D$65+0.1)*AG139),"-"))),"-")</f>
        <v>-</v>
      </c>
      <c r="AK139" s="227">
        <f t="shared" si="49"/>
        <v>39</v>
      </c>
      <c r="AL139" s="226" t="str">
        <f t="shared" si="22"/>
        <v>-</v>
      </c>
      <c r="AM139" s="227" t="str">
        <f t="shared" si="50"/>
        <v>-</v>
      </c>
      <c r="AN139" s="227" t="str">
        <f t="shared" si="51"/>
        <v>-</v>
      </c>
      <c r="AO139" s="227" t="str">
        <f t="shared" si="23"/>
        <v>-</v>
      </c>
      <c r="AP139" s="273">
        <f t="shared" si="52"/>
        <v>0.1</v>
      </c>
      <c r="AQ139" s="271" t="str">
        <f>IFERROR(IF(AL138=1,AQ$100*EXP(-(LN(2)/$D$65+0.04)*AN138)*EXP(-(LN(2)/$D$65+0.1)*AO138),IF(AL138=2,AQ$100*EXP(-(LN(2)/$D$65+0.04)*(VLOOKUP(($F$16-$F$15)-1,AK$99:AO138,4,FALSE)))*EXP(-(LN(2)/$D$65+0.1)*(VLOOKUP(($F$16-$F$15)-1,AK$99:AO138,5,FALSE)))*EXP(-(LN(2)/$D$65+0.04)*AN138)*EXP(-(LN(2)/$D$65+0.1)*AO138),IF(AL138=3,AQ$100*EXP(-(LN(2)/$D$65+0.04)*(VLOOKUP(($F$16-$F$15)-1,AK$99:AO138,4,FALSE)))*EXP(-(LN(2)/$D$65+0.1)*(VLOOKUP(($F$16-$F$15)-1,AK$99:AO138,5,FALSE)))*EXP(-(LN(2)/$D$65+0.04)*(VLOOKUP(($F$16-$F$15)*2-1,AK$99:AO138,4,FALSE)))*EXP(-(LN(2)/$D$65+0.1)*(VLOOKUP(($F$16-$F$15)*2-1,AK$99:AO138,5,FALSE)))*EXP(-(LN(2)/$D$65+0.04)*AN138)*EXP(-(LN(2)/$D$65+0.1)*AO138),"-"))),"-")</f>
        <v>-</v>
      </c>
      <c r="AR139" s="271" t="str">
        <f>IFERROR(IF(AL139=1,AR$100*EXP(-(LN(2)/$D$65+0.04)*AN139)*EXP(-(LN(2)/$D$65+0.1)*AO139),IF(AL139=2,AR$100*EXP(-(LN(2)/$D$65+0.04)*(VLOOKUP(($F$16-$F$15)-1,AK$100:AO139,4,FALSE)))*EXP(-(LN(2)/$D$65+0.1)*(VLOOKUP(($F$16-$F$15)-1,AK$100:AO139,5,FALSE)))*EXP(-(LN(2)/$D$65+0.04)*AN139)*EXP(-(LN(2)/$D$65+0.1)*AO139),IF(AL139=3,AR$100*EXP(-(LN(2)/$D$65+0.04)*(VLOOKUP(($F$16-$F$15)-1,AK$100:AO139,4,FALSE)))*EXP(-(LN(2)/$D$65+0.1)*(VLOOKUP(($F$16-$F$15)-1,AK$100:AO139,5,FALSE)))*EXP(-(LN(2)/$D$65+0.04)*(VLOOKUP(($F$16-$F$15)*2-1,AK$100:AO139,4,FALSE)))*EXP(-(LN(2)/$D$65+0.1)*(VLOOKUP(($F$16-$F$15)*2-1,AK$100:AO139,5,FALSE)))*EXP(-(LN(2)/$D$65+0.04)*AN139)*EXP(-(LN(2)/$D$65+0.1)*AO139),"-"))),"-")</f>
        <v>-</v>
      </c>
      <c r="AS139" s="274">
        <f t="shared" si="24"/>
        <v>0</v>
      </c>
      <c r="AT139" s="274">
        <f t="shared" si="25"/>
        <v>0</v>
      </c>
      <c r="AU139" s="274">
        <f t="shared" si="26"/>
        <v>0</v>
      </c>
      <c r="AV139" s="190" t="str">
        <f>IF($B139&lt;$F$22,SUM($T$100:$T139),"")</f>
        <v/>
      </c>
      <c r="AW139" s="190" t="str">
        <f t="shared" si="83"/>
        <v>-</v>
      </c>
      <c r="AX139" s="190" t="str">
        <f t="shared" si="56"/>
        <v/>
      </c>
      <c r="AY139"/>
      <c r="AZ139" s="190" t="str">
        <f ca="1">IF(ISNUMBER(OFFSET(AV139,-$F$21,0)),SUM(OFFSET($T$100,$F$21,0):$T139),"")</f>
        <v/>
      </c>
      <c r="BA139" s="190" t="str">
        <f t="shared" ca="1" si="84"/>
        <v/>
      </c>
      <c r="BB139" s="190" t="str">
        <f t="shared" ca="1" si="70"/>
        <v/>
      </c>
      <c r="BC139" s="190"/>
      <c r="BD139" s="190" t="str">
        <f ca="1">IFERROR(IF(OR(ISNUMBER(I),ISNUMBER($F$14)),IF(AND($B139&gt;=($F$16-$F$15),$B139&lt;$F$22+($F$16-$F$15)),SUM(OFFSET($T$100,($F$16-$F$15),0):$T139),""),""),"")</f>
        <v/>
      </c>
      <c r="BE139" s="190" t="str">
        <f t="shared" ca="1" si="58"/>
        <v/>
      </c>
      <c r="BF139" s="190" t="str">
        <f t="shared" ca="1" si="59"/>
        <v/>
      </c>
      <c r="BG139"/>
      <c r="BH139" s="190" t="str">
        <f ca="1">IF(ISNUMBER(OFFSET(BD139,-$F$21,0)),SUM(OFFSET($T$100,($F$16-$F$15+$F$21),0):$T139),"")</f>
        <v/>
      </c>
      <c r="BI139" s="190" t="str">
        <f t="shared" ca="1" si="85"/>
        <v/>
      </c>
      <c r="BJ139" s="190" t="str">
        <f t="shared" ca="1" si="60"/>
        <v/>
      </c>
      <c r="BK139" s="190"/>
      <c r="BL139" s="190" t="str">
        <f ca="1">IFERROR(IF(OR(ISNUMBER(I),ISNUMBER($F$14)),IF(AND($B139&gt;=($F$17-$F$15),$B139&lt;$F$22+($F$17-$F$15)),SUM(OFFSET($T$100,($F$17-$F$15),0):$T139),""),""),"")</f>
        <v/>
      </c>
      <c r="BM139" s="190" t="str">
        <f t="shared" ca="1" si="86"/>
        <v/>
      </c>
      <c r="BN139" s="190" t="str">
        <f t="shared" ca="1" si="61"/>
        <v/>
      </c>
      <c r="BO139"/>
      <c r="BP139" s="190" t="str">
        <f ca="1">IF(ISNUMBER(OFFSET(BL139,-$F$21,0)),SUM(OFFSET($T$100,($F$17-$F$15+$F$21),0):$T139),"")</f>
        <v/>
      </c>
      <c r="BQ139" s="190" t="str">
        <f t="shared" ca="1" si="87"/>
        <v/>
      </c>
      <c r="BR139" s="190" t="str">
        <f t="shared" ca="1" si="63"/>
        <v/>
      </c>
      <c r="BS139" s="190"/>
      <c r="BT139"/>
      <c r="BU139"/>
      <c r="BV139"/>
      <c r="BY139" s="99"/>
      <c r="BZ139" s="99"/>
      <c r="CA139" s="280" t="str">
        <f t="shared" si="88"/>
        <v/>
      </c>
      <c r="CB139" s="71" t="str">
        <f t="shared" si="31"/>
        <v>-</v>
      </c>
      <c r="CC139" s="33"/>
      <c r="CD139" s="261" t="str">
        <f t="shared" si="33"/>
        <v/>
      </c>
      <c r="CE139" s="280" t="str">
        <f t="shared" si="89"/>
        <v/>
      </c>
      <c r="CF139" s="71" t="str">
        <f t="shared" ca="1" si="90"/>
        <v/>
      </c>
      <c r="CG139" s="33" t="str">
        <f t="shared" si="36"/>
        <v/>
      </c>
      <c r="CH139" s="261" t="str">
        <f t="shared" ca="1" si="37"/>
        <v/>
      </c>
      <c r="CI139" s="202"/>
      <c r="CJ139" s="99"/>
      <c r="CK139" s="99"/>
      <c r="CL139" s="99"/>
      <c r="CM139" s="99"/>
      <c r="CN139" s="99"/>
      <c r="CO139" s="99"/>
    </row>
    <row r="140" spans="2:93" ht="13.5" customHeight="1" x14ac:dyDescent="0.2">
      <c r="B140" s="262">
        <v>40</v>
      </c>
      <c r="C140" s="237" t="str">
        <f t="shared" si="1"/>
        <v/>
      </c>
      <c r="D140" s="237" t="str">
        <f t="shared" si="66"/>
        <v/>
      </c>
      <c r="E140" s="290" t="str">
        <f t="shared" si="38"/>
        <v/>
      </c>
      <c r="F140" s="264" t="str">
        <f t="shared" si="39"/>
        <v/>
      </c>
      <c r="G140" s="291" t="str">
        <f t="shared" si="40"/>
        <v/>
      </c>
      <c r="H140" s="240" t="str">
        <f t="shared" si="71"/>
        <v/>
      </c>
      <c r="I140" s="265" t="str">
        <f t="shared" si="72"/>
        <v/>
      </c>
      <c r="J140" s="265" t="str">
        <f t="shared" si="73"/>
        <v/>
      </c>
      <c r="K140" s="240" t="str">
        <f t="shared" si="74"/>
        <v/>
      </c>
      <c r="L140" s="265" t="str">
        <f t="shared" si="75"/>
        <v/>
      </c>
      <c r="M140" s="265" t="str">
        <f t="shared" si="76"/>
        <v/>
      </c>
      <c r="N140" s="240" t="str">
        <f t="shared" si="77"/>
        <v>-</v>
      </c>
      <c r="O140" s="265" t="str">
        <f t="shared" si="78"/>
        <v>-</v>
      </c>
      <c r="P140" s="265" t="str">
        <f t="shared" si="79"/>
        <v>-</v>
      </c>
      <c r="Q140" s="266" t="str">
        <f t="shared" si="80"/>
        <v>-</v>
      </c>
      <c r="R140" s="267" t="str">
        <f t="shared" si="81"/>
        <v>-</v>
      </c>
      <c r="S140" s="268" t="str">
        <f t="shared" si="82"/>
        <v>-</v>
      </c>
      <c r="T140" s="269" t="str">
        <f t="shared" si="13"/>
        <v/>
      </c>
      <c r="U140" s="221">
        <f t="shared" si="14"/>
        <v>40</v>
      </c>
      <c r="V140" s="220" t="str">
        <f t="shared" si="42"/>
        <v>-</v>
      </c>
      <c r="W140" s="221" t="str">
        <f t="shared" si="43"/>
        <v>-</v>
      </c>
      <c r="X140" s="221" t="str">
        <f t="shared" si="15"/>
        <v>-</v>
      </c>
      <c r="Y140" s="221" t="str">
        <f t="shared" si="16"/>
        <v>-</v>
      </c>
      <c r="Z140" s="270">
        <f t="shared" si="44"/>
        <v>0.1</v>
      </c>
      <c r="AA140" s="271" t="str">
        <f>IFERROR(IF(V139=1,AA$100*EXP(-(LN(2)/$D$65+0.04)*X139)*EXP(-(LN(2)/$D$65+0.1)*Y139),IF(V139=2,AA$100*EXP(-(LN(2)/$D$65+0.04)*(VLOOKUP(($F$16-$F$15)-1,U$99:Y139,4,FALSE)))*EXP(-(LN(2)/$D$65+0.1)*(VLOOKUP(($F$16-$F$15)-1,U$99:Y139,5,FALSE)))*EXP(-(LN(2)/$D$65+0.04)*X139)*EXP(-(LN(2)/$D$65+0.1)*Y139),IF(V139=3,AA$100*EXP(-(LN(2)/$D$65+0.04)*(VLOOKUP(($F$16-$F$15)-1,U$99:Y139,4,FALSE)))*EXP(-(LN(2)/$D$65+0.1)*(VLOOKUP(($F$16-$F$15)-1,U$99:Y139,5,FALSE)))*EXP(-(LN(2)/$D$65+0.04)*(VLOOKUP(($F$16-$F$15)*2-1,U$99:Y139,4,FALSE)))*EXP(-(LN(2)/$D$65+0.1)*(VLOOKUP(($F$16-$F$15)*2-1,U$99:Y139,5,FALSE)))*EXP(-(LN(2)/$D$65+0.04)*X139)*EXP(-(LN(2)/$D$65+0.1)*Y139),"-"))),"-")</f>
        <v>-</v>
      </c>
      <c r="AB140" s="271" t="str">
        <f>IFERROR(IF(V140=1,AB$100*EXP(-(LN(2)/$D$65+0.04)*X140)*EXP(-(LN(2)/$D$65+0.1)*Y140),IF(V140=2,AB$100*EXP(-(LN(2)/$D$65+0.04)*(VLOOKUP(($F$16-$F$15)-1,U$100:Y140,4,FALSE)))*EXP(-(LN(2)/$D$65+0.1)*(VLOOKUP(($F$16-$F$15)-1,U$100:Y140,5,FALSE)))*EXP(-(LN(2)/$D$65+0.04)*X140)*EXP(-(LN(2)/$D$65+0.1)*Y140),IF(V140=3,AB$100*EXP(-(LN(2)/$D$65+0.04)*(VLOOKUP(($F$16-$F$15)-1,U$100:Y140,4,FALSE)))*EXP(-(LN(2)/$D$65+0.1)*(VLOOKUP(($F$16-$F$15)-1,U$100:Y140,5,FALSE)))*EXP(-(LN(2)/$D$65+0.04)*(VLOOKUP(($F$16-$F$15)*2-1,U$100:Y140,4,FALSE)))*EXP(-(LN(2)/$D$65+0.1)*(VLOOKUP(($F$16-$F$15)*2-1,U$100:Y140,5,FALSE)))*EXP(-(LN(2)/$D$65+0.04)*X140)*EXP(-(LN(2)/$D$65+0.1)*Y140),"-"))),"-")</f>
        <v>-</v>
      </c>
      <c r="AC140" s="224">
        <f t="shared" si="45"/>
        <v>40</v>
      </c>
      <c r="AD140" s="223" t="str">
        <f t="shared" si="18"/>
        <v>-</v>
      </c>
      <c r="AE140" s="224" t="str">
        <f t="shared" si="46"/>
        <v>-</v>
      </c>
      <c r="AF140" s="224" t="str">
        <f t="shared" si="19"/>
        <v>-</v>
      </c>
      <c r="AG140" s="224" t="str">
        <f t="shared" si="20"/>
        <v>-</v>
      </c>
      <c r="AH140" s="272">
        <f t="shared" si="47"/>
        <v>0.1</v>
      </c>
      <c r="AI140" s="271" t="str">
        <f>IFERROR(IF(AD139=1,AI$100*EXP(-(LN(2)/$D$65+0.04)*AF139)*EXP(-(LN(2)/$D$65+0.1)*AG139),IF(AD139=2,AI$100*EXP(-(LN(2)/$D$65+0.04)*(VLOOKUP(($F$16-$F$15)-1,AC$99:AG139,4,FALSE)))*EXP(-(LN(2)/$D$65+0.1)*(VLOOKUP(($F$16-$F$15)-1,AC$99:AG139,5,FALSE)))*EXP(-(LN(2)/$D$65+0.04)*AF139)*EXP(-(LN(2)/$D$65+0.1)*AG139),IF(AD139=3,AI$100*EXP(-(LN(2)/$D$65+0.04)*(VLOOKUP(($F$16-$F$15)-1,AC$99:AG139,4,FALSE)))*EXP(-(LN(2)/$D$65+0.1)*(VLOOKUP(($F$16-$F$15)-1,AC$99:AG139,5,FALSE)))*EXP(-(LN(2)/$D$65+0.04)*(VLOOKUP(($F$16-$F$15)*2-1,AC$99:AG139,4,FALSE)))*EXP(-(LN(2)/$D$65+0.1)*(VLOOKUP(($F$16-$F$15)*2-1,AC$99:AG139,5,FALSE)))*EXP(-(LN(2)/$D$65+0.04)*AF139)*EXP(-(LN(2)/$D$65+0.1)*AG139),"-"))),"-")</f>
        <v>-</v>
      </c>
      <c r="AJ140" s="271" t="str">
        <f>IFERROR(IF(AD140=1,AJ$100*EXP(-(LN(2)/$D$65+0.04)*AF140)*EXP(-(LN(2)/$D$65+0.1)*AG140),IF(AD140=2,AJ$100*EXP(-(LN(2)/$D$65+0.04)*(VLOOKUP(($F$16-$F$15)-1,AC$100:AG140,4,FALSE)))*EXP(-(LN(2)/$D$65+0.1)*(VLOOKUP(($F$16-$F$15)-1,AC$100:AG140,5,FALSE)))*EXP(-(LN(2)/$D$65+0.04)*AF140)*EXP(-(LN(2)/$D$65+0.1)*AG140),IF(AD140=3,AJ$100*EXP(-(LN(2)/$D$65+0.04)*(VLOOKUP(($F$16-$F$15)-1,AC$100:AG140,4,FALSE)))*EXP(-(LN(2)/$D$65+0.1)*(VLOOKUP(($F$16-$F$15)-1,AC$100:AG140,5,FALSE)))*EXP(-(LN(2)/$D$65+0.04)*(VLOOKUP(($F$16-$F$15)*2-1,AC$100:AG140,4,FALSE)))*EXP(-(LN(2)/$D$65+0.1)*(VLOOKUP(($F$16-$F$15)*2-1,AC$100:AG140,5,FALSE)))*EXP(-(LN(2)/$D$65+0.04)*AF140)*EXP(-(LN(2)/$D$65+0.1)*AG140),"-"))),"-")</f>
        <v>-</v>
      </c>
      <c r="AK140" s="227">
        <f t="shared" si="49"/>
        <v>40</v>
      </c>
      <c r="AL140" s="226" t="str">
        <f t="shared" si="22"/>
        <v>-</v>
      </c>
      <c r="AM140" s="227" t="str">
        <f t="shared" si="50"/>
        <v>-</v>
      </c>
      <c r="AN140" s="227" t="str">
        <f t="shared" si="51"/>
        <v>-</v>
      </c>
      <c r="AO140" s="227" t="str">
        <f t="shared" si="23"/>
        <v>-</v>
      </c>
      <c r="AP140" s="273">
        <f t="shared" si="52"/>
        <v>0.1</v>
      </c>
      <c r="AQ140" s="271" t="str">
        <f>IFERROR(IF(AL139=1,AQ$100*EXP(-(LN(2)/$D$65+0.04)*AN139)*EXP(-(LN(2)/$D$65+0.1)*AO139),IF(AL139=2,AQ$100*EXP(-(LN(2)/$D$65+0.04)*(VLOOKUP(($F$16-$F$15)-1,AK$99:AO139,4,FALSE)))*EXP(-(LN(2)/$D$65+0.1)*(VLOOKUP(($F$16-$F$15)-1,AK$99:AO139,5,FALSE)))*EXP(-(LN(2)/$D$65+0.04)*AN139)*EXP(-(LN(2)/$D$65+0.1)*AO139),IF(AL139=3,AQ$100*EXP(-(LN(2)/$D$65+0.04)*(VLOOKUP(($F$16-$F$15)-1,AK$99:AO139,4,FALSE)))*EXP(-(LN(2)/$D$65+0.1)*(VLOOKUP(($F$16-$F$15)-1,AK$99:AO139,5,FALSE)))*EXP(-(LN(2)/$D$65+0.04)*(VLOOKUP(($F$16-$F$15)*2-1,AK$99:AO139,4,FALSE)))*EXP(-(LN(2)/$D$65+0.1)*(VLOOKUP(($F$16-$F$15)*2-1,AK$99:AO139,5,FALSE)))*EXP(-(LN(2)/$D$65+0.04)*AN139)*EXP(-(LN(2)/$D$65+0.1)*AO139),"-"))),"-")</f>
        <v>-</v>
      </c>
      <c r="AR140" s="271" t="str">
        <f>IFERROR(IF(AL140=1,AR$100*EXP(-(LN(2)/$D$65+0.04)*AN140)*EXP(-(LN(2)/$D$65+0.1)*AO140),IF(AL140=2,AR$100*EXP(-(LN(2)/$D$65+0.04)*(VLOOKUP(($F$16-$F$15)-1,AK$100:AO140,4,FALSE)))*EXP(-(LN(2)/$D$65+0.1)*(VLOOKUP(($F$16-$F$15)-1,AK$100:AO140,5,FALSE)))*EXP(-(LN(2)/$D$65+0.04)*AN140)*EXP(-(LN(2)/$D$65+0.1)*AO140),IF(AL140=3,AR$100*EXP(-(LN(2)/$D$65+0.04)*(VLOOKUP(($F$16-$F$15)-1,AK$100:AO140,4,FALSE)))*EXP(-(LN(2)/$D$65+0.1)*(VLOOKUP(($F$16-$F$15)-1,AK$100:AO140,5,FALSE)))*EXP(-(LN(2)/$D$65+0.04)*(VLOOKUP(($F$16-$F$15)*2-1,AK$100:AO140,4,FALSE)))*EXP(-(LN(2)/$D$65+0.1)*(VLOOKUP(($F$16-$F$15)*2-1,AK$100:AO140,5,FALSE)))*EXP(-(LN(2)/$D$65+0.04)*AN140)*EXP(-(LN(2)/$D$65+0.1)*AO140),"-"))),"-")</f>
        <v>-</v>
      </c>
      <c r="AS140" s="274">
        <f t="shared" si="24"/>
        <v>0</v>
      </c>
      <c r="AT140" s="274">
        <f t="shared" si="25"/>
        <v>0</v>
      </c>
      <c r="AU140" s="274">
        <f t="shared" si="26"/>
        <v>0</v>
      </c>
      <c r="AV140" s="190" t="str">
        <f>IF($B140&lt;$F$22,SUM($T$100:$T140),"")</f>
        <v/>
      </c>
      <c r="AW140" s="190" t="str">
        <f t="shared" si="83"/>
        <v>-</v>
      </c>
      <c r="AX140" s="190" t="str">
        <f t="shared" si="56"/>
        <v/>
      </c>
      <c r="AY140"/>
      <c r="AZ140" s="190" t="str">
        <f ca="1">IF(ISNUMBER(OFFSET(AV140,-$F$21,0)),SUM(OFFSET($T$100,$F$21,0):$T140),"")</f>
        <v/>
      </c>
      <c r="BA140" s="190" t="str">
        <f t="shared" ca="1" si="84"/>
        <v/>
      </c>
      <c r="BB140" s="190" t="str">
        <f t="shared" ca="1" si="70"/>
        <v/>
      </c>
      <c r="BC140" s="190"/>
      <c r="BD140" s="190" t="str">
        <f ca="1">IFERROR(IF(OR(ISNUMBER(I),ISNUMBER($F$14)),IF(AND($B140&gt;=($F$16-$F$15),$B140&lt;$F$22+($F$16-$F$15)),SUM(OFFSET($T$100,($F$16-$F$15),0):$T140),""),""),"")</f>
        <v/>
      </c>
      <c r="BE140" s="190" t="str">
        <f t="shared" ca="1" si="58"/>
        <v/>
      </c>
      <c r="BF140" s="190" t="str">
        <f t="shared" ca="1" si="59"/>
        <v/>
      </c>
      <c r="BG140"/>
      <c r="BH140" s="190" t="str">
        <f ca="1">IF(ISNUMBER(OFFSET(BD140,-$F$21,0)),SUM(OFFSET($T$100,($F$16-$F$15+$F$21),0):$T140),"")</f>
        <v/>
      </c>
      <c r="BI140" s="190" t="str">
        <f t="shared" ca="1" si="85"/>
        <v/>
      </c>
      <c r="BJ140" s="190" t="str">
        <f t="shared" ca="1" si="60"/>
        <v/>
      </c>
      <c r="BK140" s="190"/>
      <c r="BL140" s="190" t="str">
        <f ca="1">IFERROR(IF(OR(ISNUMBER(I),ISNUMBER($F$14)),IF(AND($B140&gt;=($F$17-$F$15),$B140&lt;$F$22+($F$17-$F$15)),SUM(OFFSET($T$100,($F$17-$F$15),0):$T140),""),""),"")</f>
        <v/>
      </c>
      <c r="BM140" s="190" t="str">
        <f t="shared" ca="1" si="86"/>
        <v/>
      </c>
      <c r="BN140" s="190" t="str">
        <f t="shared" ca="1" si="61"/>
        <v/>
      </c>
      <c r="BO140"/>
      <c r="BP140" s="190" t="str">
        <f ca="1">IF(ISNUMBER(OFFSET(BL140,-$F$21,0)),SUM(OFFSET($T$100,($F$17-$F$15+$F$21),0):$T140),"")</f>
        <v/>
      </c>
      <c r="BQ140" s="190" t="str">
        <f t="shared" ca="1" si="87"/>
        <v/>
      </c>
      <c r="BR140" s="190" t="str">
        <f t="shared" ca="1" si="63"/>
        <v/>
      </c>
      <c r="BS140" s="190"/>
      <c r="BT140"/>
      <c r="BU140"/>
      <c r="BV140"/>
      <c r="BY140" s="99"/>
      <c r="BZ140" s="99"/>
      <c r="CA140" s="280" t="str">
        <f t="shared" si="88"/>
        <v/>
      </c>
      <c r="CB140" s="71" t="str">
        <f t="shared" si="31"/>
        <v>-</v>
      </c>
      <c r="CC140" s="33"/>
      <c r="CD140" s="261" t="str">
        <f t="shared" si="33"/>
        <v/>
      </c>
      <c r="CE140" s="280" t="str">
        <f t="shared" si="89"/>
        <v/>
      </c>
      <c r="CF140" s="71" t="str">
        <f t="shared" ca="1" si="90"/>
        <v/>
      </c>
      <c r="CG140" s="33" t="str">
        <f t="shared" si="36"/>
        <v/>
      </c>
      <c r="CH140" s="261" t="str">
        <f t="shared" ca="1" si="37"/>
        <v/>
      </c>
      <c r="CI140" s="202"/>
      <c r="CJ140" s="99"/>
      <c r="CK140" s="99"/>
      <c r="CL140" s="99"/>
      <c r="CM140" s="99"/>
      <c r="CN140" s="99"/>
      <c r="CO140" s="99"/>
    </row>
    <row r="141" spans="2:93" ht="13.5" customHeight="1" x14ac:dyDescent="0.2">
      <c r="B141" s="262">
        <v>41</v>
      </c>
      <c r="C141" s="237" t="str">
        <f t="shared" si="1"/>
        <v/>
      </c>
      <c r="D141" s="237" t="str">
        <f t="shared" si="66"/>
        <v/>
      </c>
      <c r="E141" s="290" t="str">
        <f t="shared" si="38"/>
        <v/>
      </c>
      <c r="F141" s="264" t="str">
        <f t="shared" si="39"/>
        <v/>
      </c>
      <c r="G141" s="291" t="str">
        <f t="shared" si="40"/>
        <v/>
      </c>
      <c r="H141" s="240" t="str">
        <f t="shared" si="71"/>
        <v/>
      </c>
      <c r="I141" s="265" t="str">
        <f t="shared" si="72"/>
        <v/>
      </c>
      <c r="J141" s="265" t="str">
        <f t="shared" si="73"/>
        <v/>
      </c>
      <c r="K141" s="240" t="str">
        <f t="shared" si="74"/>
        <v/>
      </c>
      <c r="L141" s="265" t="str">
        <f t="shared" si="75"/>
        <v/>
      </c>
      <c r="M141" s="265" t="str">
        <f t="shared" si="76"/>
        <v/>
      </c>
      <c r="N141" s="240" t="str">
        <f t="shared" si="77"/>
        <v>-</v>
      </c>
      <c r="O141" s="265" t="str">
        <f t="shared" si="78"/>
        <v>-</v>
      </c>
      <c r="P141" s="265" t="str">
        <f t="shared" si="79"/>
        <v>-</v>
      </c>
      <c r="Q141" s="266" t="str">
        <f t="shared" si="80"/>
        <v>-</v>
      </c>
      <c r="R141" s="267" t="str">
        <f t="shared" si="81"/>
        <v>-</v>
      </c>
      <c r="S141" s="268" t="str">
        <f t="shared" si="82"/>
        <v>-</v>
      </c>
      <c r="T141" s="269" t="str">
        <f t="shared" si="13"/>
        <v/>
      </c>
      <c r="U141" s="221">
        <f t="shared" si="14"/>
        <v>41</v>
      </c>
      <c r="V141" s="220" t="str">
        <f t="shared" si="42"/>
        <v>-</v>
      </c>
      <c r="W141" s="221" t="str">
        <f t="shared" si="43"/>
        <v>-</v>
      </c>
      <c r="X141" s="221" t="str">
        <f t="shared" si="15"/>
        <v>-</v>
      </c>
      <c r="Y141" s="221" t="str">
        <f t="shared" si="16"/>
        <v>-</v>
      </c>
      <c r="Z141" s="270">
        <f t="shared" si="44"/>
        <v>0.1</v>
      </c>
      <c r="AA141" s="271" t="str">
        <f>IFERROR(IF(V140=1,AA$100*EXP(-(LN(2)/$D$65+0.04)*X140)*EXP(-(LN(2)/$D$65+0.1)*Y140),IF(V140=2,AA$100*EXP(-(LN(2)/$D$65+0.04)*(VLOOKUP(($F$16-$F$15)-1,U$99:Y140,4,FALSE)))*EXP(-(LN(2)/$D$65+0.1)*(VLOOKUP(($F$16-$F$15)-1,U$99:Y140,5,FALSE)))*EXP(-(LN(2)/$D$65+0.04)*X140)*EXP(-(LN(2)/$D$65+0.1)*Y140),IF(V140=3,AA$100*EXP(-(LN(2)/$D$65+0.04)*(VLOOKUP(($F$16-$F$15)-1,U$99:Y140,4,FALSE)))*EXP(-(LN(2)/$D$65+0.1)*(VLOOKUP(($F$16-$F$15)-1,U$99:Y140,5,FALSE)))*EXP(-(LN(2)/$D$65+0.04)*(VLOOKUP(($F$16-$F$15)*2-1,U$99:Y140,4,FALSE)))*EXP(-(LN(2)/$D$65+0.1)*(VLOOKUP(($F$16-$F$15)*2-1,U$99:Y140,5,FALSE)))*EXP(-(LN(2)/$D$65+0.04)*X140)*EXP(-(LN(2)/$D$65+0.1)*Y140),"-"))),"-")</f>
        <v>-</v>
      </c>
      <c r="AB141" s="271" t="str">
        <f>IFERROR(IF(V141=1,AB$100*EXP(-(LN(2)/$D$65+0.04)*X141)*EXP(-(LN(2)/$D$65+0.1)*Y141),IF(V141=2,AB$100*EXP(-(LN(2)/$D$65+0.04)*(VLOOKUP(($F$16-$F$15)-1,U$100:Y141,4,FALSE)))*EXP(-(LN(2)/$D$65+0.1)*(VLOOKUP(($F$16-$F$15)-1,U$100:Y141,5,FALSE)))*EXP(-(LN(2)/$D$65+0.04)*X141)*EXP(-(LN(2)/$D$65+0.1)*Y141),IF(V141=3,AB$100*EXP(-(LN(2)/$D$65+0.04)*(VLOOKUP(($F$16-$F$15)-1,U$100:Y141,4,FALSE)))*EXP(-(LN(2)/$D$65+0.1)*(VLOOKUP(($F$16-$F$15)-1,U$100:Y141,5,FALSE)))*EXP(-(LN(2)/$D$65+0.04)*(VLOOKUP(($F$16-$F$15)*2-1,U$100:Y141,4,FALSE)))*EXP(-(LN(2)/$D$65+0.1)*(VLOOKUP(($F$16-$F$15)*2-1,U$100:Y141,5,FALSE)))*EXP(-(LN(2)/$D$65+0.04)*X141)*EXP(-(LN(2)/$D$65+0.1)*Y141),"-"))),"-")</f>
        <v>-</v>
      </c>
      <c r="AC141" s="224">
        <f t="shared" si="45"/>
        <v>41</v>
      </c>
      <c r="AD141" s="223" t="str">
        <f t="shared" si="18"/>
        <v>-</v>
      </c>
      <c r="AE141" s="224" t="str">
        <f t="shared" si="46"/>
        <v>-</v>
      </c>
      <c r="AF141" s="224" t="str">
        <f t="shared" si="19"/>
        <v>-</v>
      </c>
      <c r="AG141" s="224" t="str">
        <f t="shared" si="20"/>
        <v>-</v>
      </c>
      <c r="AH141" s="272">
        <f t="shared" si="47"/>
        <v>0.1</v>
      </c>
      <c r="AI141" s="271" t="str">
        <f>IFERROR(IF(AD140=1,AI$100*EXP(-(LN(2)/$D$65+0.04)*AF140)*EXP(-(LN(2)/$D$65+0.1)*AG140),IF(AD140=2,AI$100*EXP(-(LN(2)/$D$65+0.04)*(VLOOKUP(($F$16-$F$15)-1,AC$99:AG140,4,FALSE)))*EXP(-(LN(2)/$D$65+0.1)*(VLOOKUP(($F$16-$F$15)-1,AC$99:AG140,5,FALSE)))*EXP(-(LN(2)/$D$65+0.04)*AF140)*EXP(-(LN(2)/$D$65+0.1)*AG140),IF(AD140=3,AI$100*EXP(-(LN(2)/$D$65+0.04)*(VLOOKUP(($F$16-$F$15)-1,AC$99:AG140,4,FALSE)))*EXP(-(LN(2)/$D$65+0.1)*(VLOOKUP(($F$16-$F$15)-1,AC$99:AG140,5,FALSE)))*EXP(-(LN(2)/$D$65+0.04)*(VLOOKUP(($F$16-$F$15)*2-1,AC$99:AG140,4,FALSE)))*EXP(-(LN(2)/$D$65+0.1)*(VLOOKUP(($F$16-$F$15)*2-1,AC$99:AG140,5,FALSE)))*EXP(-(LN(2)/$D$65+0.04)*AF140)*EXP(-(LN(2)/$D$65+0.1)*AG140),"-"))),"-")</f>
        <v>-</v>
      </c>
      <c r="AJ141" s="271" t="str">
        <f>IFERROR(IF(AD141=1,AJ$100*EXP(-(LN(2)/$D$65+0.04)*AF141)*EXP(-(LN(2)/$D$65+0.1)*AG141),IF(AD141=2,AJ$100*EXP(-(LN(2)/$D$65+0.04)*(VLOOKUP(($F$16-$F$15)-1,AC$100:AG141,4,FALSE)))*EXP(-(LN(2)/$D$65+0.1)*(VLOOKUP(($F$16-$F$15)-1,AC$100:AG141,5,FALSE)))*EXP(-(LN(2)/$D$65+0.04)*AF141)*EXP(-(LN(2)/$D$65+0.1)*AG141),IF(AD141=3,AJ$100*EXP(-(LN(2)/$D$65+0.04)*(VLOOKUP(($F$16-$F$15)-1,AC$100:AG141,4,FALSE)))*EXP(-(LN(2)/$D$65+0.1)*(VLOOKUP(($F$16-$F$15)-1,AC$100:AG141,5,FALSE)))*EXP(-(LN(2)/$D$65+0.04)*(VLOOKUP(($F$16-$F$15)*2-1,AC$100:AG141,4,FALSE)))*EXP(-(LN(2)/$D$65+0.1)*(VLOOKUP(($F$16-$F$15)*2-1,AC$100:AG141,5,FALSE)))*EXP(-(LN(2)/$D$65+0.04)*AF141)*EXP(-(LN(2)/$D$65+0.1)*AG141),"-"))),"-")</f>
        <v>-</v>
      </c>
      <c r="AK141" s="227">
        <f t="shared" si="49"/>
        <v>41</v>
      </c>
      <c r="AL141" s="226" t="str">
        <f t="shared" si="22"/>
        <v>-</v>
      </c>
      <c r="AM141" s="227" t="str">
        <f t="shared" si="50"/>
        <v>-</v>
      </c>
      <c r="AN141" s="227" t="str">
        <f t="shared" si="51"/>
        <v>-</v>
      </c>
      <c r="AO141" s="227" t="str">
        <f t="shared" si="23"/>
        <v>-</v>
      </c>
      <c r="AP141" s="273">
        <f t="shared" si="52"/>
        <v>0.1</v>
      </c>
      <c r="AQ141" s="271" t="str">
        <f>IFERROR(IF(AL140=1,AQ$100*EXP(-(LN(2)/$D$65+0.04)*AN140)*EXP(-(LN(2)/$D$65+0.1)*AO140),IF(AL140=2,AQ$100*EXP(-(LN(2)/$D$65+0.04)*(VLOOKUP(($F$16-$F$15)-1,AK$99:AO140,4,FALSE)))*EXP(-(LN(2)/$D$65+0.1)*(VLOOKUP(($F$16-$F$15)-1,AK$99:AO140,5,FALSE)))*EXP(-(LN(2)/$D$65+0.04)*AN140)*EXP(-(LN(2)/$D$65+0.1)*AO140),IF(AL140=3,AQ$100*EXP(-(LN(2)/$D$65+0.04)*(VLOOKUP(($F$16-$F$15)-1,AK$99:AO140,4,FALSE)))*EXP(-(LN(2)/$D$65+0.1)*(VLOOKUP(($F$16-$F$15)-1,AK$99:AO140,5,FALSE)))*EXP(-(LN(2)/$D$65+0.04)*(VLOOKUP(($F$16-$F$15)*2-1,AK$99:AO140,4,FALSE)))*EXP(-(LN(2)/$D$65+0.1)*(VLOOKUP(($F$16-$F$15)*2-1,AK$99:AO140,5,FALSE)))*EXP(-(LN(2)/$D$65+0.04)*AN140)*EXP(-(LN(2)/$D$65+0.1)*AO140),"-"))),"-")</f>
        <v>-</v>
      </c>
      <c r="AR141" s="271" t="str">
        <f>IFERROR(IF(AL141=1,AR$100*EXP(-(LN(2)/$D$65+0.04)*AN141)*EXP(-(LN(2)/$D$65+0.1)*AO141),IF(AL141=2,AR$100*EXP(-(LN(2)/$D$65+0.04)*(VLOOKUP(($F$16-$F$15)-1,AK$100:AO141,4,FALSE)))*EXP(-(LN(2)/$D$65+0.1)*(VLOOKUP(($F$16-$F$15)-1,AK$100:AO141,5,FALSE)))*EXP(-(LN(2)/$D$65+0.04)*AN141)*EXP(-(LN(2)/$D$65+0.1)*AO141),IF(AL141=3,AR$100*EXP(-(LN(2)/$D$65+0.04)*(VLOOKUP(($F$16-$F$15)-1,AK$100:AO141,4,FALSE)))*EXP(-(LN(2)/$D$65+0.1)*(VLOOKUP(($F$16-$F$15)-1,AK$100:AO141,5,FALSE)))*EXP(-(LN(2)/$D$65+0.04)*(VLOOKUP(($F$16-$F$15)*2-1,AK$100:AO141,4,FALSE)))*EXP(-(LN(2)/$D$65+0.1)*(VLOOKUP(($F$16-$F$15)*2-1,AK$100:AO141,5,FALSE)))*EXP(-(LN(2)/$D$65+0.04)*AN141)*EXP(-(LN(2)/$D$65+0.1)*AO141),"-"))),"-")</f>
        <v>-</v>
      </c>
      <c r="AS141" s="274">
        <f t="shared" si="24"/>
        <v>0</v>
      </c>
      <c r="AT141" s="274">
        <f t="shared" si="25"/>
        <v>0</v>
      </c>
      <c r="AU141" s="274">
        <f t="shared" si="26"/>
        <v>0</v>
      </c>
      <c r="AV141" s="190" t="str">
        <f>IF($B141&lt;$F$22,SUM($T$100:$T141),"")</f>
        <v/>
      </c>
      <c r="AW141" s="190" t="str">
        <f t="shared" si="83"/>
        <v>-</v>
      </c>
      <c r="AX141" s="190" t="str">
        <f t="shared" si="56"/>
        <v/>
      </c>
      <c r="AY141"/>
      <c r="AZ141" s="190" t="str">
        <f ca="1">IF(ISNUMBER(OFFSET(AV141,-$F$21,0)),SUM(OFFSET($T$100,$F$21,0):$T141),"")</f>
        <v/>
      </c>
      <c r="BA141" s="190" t="str">
        <f t="shared" ca="1" si="84"/>
        <v/>
      </c>
      <c r="BB141" s="190" t="str">
        <f t="shared" ca="1" si="70"/>
        <v/>
      </c>
      <c r="BC141" s="190"/>
      <c r="BD141" s="190" t="str">
        <f ca="1">IFERROR(IF(OR(ISNUMBER(I),ISNUMBER($F$14)),IF(AND($B141&gt;=($F$16-$F$15),$B141&lt;$F$22+($F$16-$F$15)),SUM(OFFSET($T$100,($F$16-$F$15),0):$T141),""),""),"")</f>
        <v/>
      </c>
      <c r="BE141" s="190" t="str">
        <f t="shared" ca="1" si="58"/>
        <v/>
      </c>
      <c r="BF141" s="190" t="str">
        <f t="shared" ca="1" si="59"/>
        <v/>
      </c>
      <c r="BG141"/>
      <c r="BH141" s="190" t="str">
        <f ca="1">IF(ISNUMBER(OFFSET(BD141,-$F$21,0)),SUM(OFFSET($T$100,($F$16-$F$15+$F$21),0):$T141),"")</f>
        <v/>
      </c>
      <c r="BI141" s="190" t="str">
        <f t="shared" ca="1" si="85"/>
        <v/>
      </c>
      <c r="BJ141" s="190" t="str">
        <f t="shared" ca="1" si="60"/>
        <v/>
      </c>
      <c r="BK141" s="190"/>
      <c r="BL141" s="190" t="str">
        <f ca="1">IFERROR(IF(OR(ISNUMBER(I),ISNUMBER($F$14)),IF(AND($B141&gt;=($F$17-$F$15),$B141&lt;$F$22+($F$17-$F$15)),SUM(OFFSET($T$100,($F$17-$F$15),0):$T141),""),""),"")</f>
        <v/>
      </c>
      <c r="BM141" s="190" t="str">
        <f t="shared" ca="1" si="86"/>
        <v/>
      </c>
      <c r="BN141" s="190" t="str">
        <f t="shared" ca="1" si="61"/>
        <v/>
      </c>
      <c r="BO141"/>
      <c r="BP141" s="190" t="str">
        <f ca="1">IF(ISNUMBER(OFFSET(BL141,-$F$21,0)),SUM(OFFSET($T$100,($F$17-$F$15+$F$21),0):$T141),"")</f>
        <v/>
      </c>
      <c r="BQ141" s="190" t="str">
        <f t="shared" ca="1" si="87"/>
        <v/>
      </c>
      <c r="BR141" s="190" t="str">
        <f t="shared" ca="1" si="63"/>
        <v/>
      </c>
      <c r="BS141" s="190"/>
      <c r="BT141"/>
      <c r="BU141"/>
      <c r="BV141"/>
      <c r="BY141" s="99"/>
      <c r="BZ141" s="99"/>
      <c r="CA141" s="280" t="str">
        <f t="shared" si="88"/>
        <v/>
      </c>
      <c r="CB141" s="71" t="str">
        <f t="shared" si="31"/>
        <v>-</v>
      </c>
      <c r="CC141" s="33"/>
      <c r="CD141" s="261" t="str">
        <f t="shared" si="33"/>
        <v/>
      </c>
      <c r="CE141" s="280" t="str">
        <f t="shared" si="89"/>
        <v/>
      </c>
      <c r="CF141" s="71" t="str">
        <f t="shared" ca="1" si="90"/>
        <v/>
      </c>
      <c r="CG141" s="33" t="str">
        <f t="shared" si="36"/>
        <v/>
      </c>
      <c r="CH141" s="261" t="str">
        <f t="shared" ca="1" si="37"/>
        <v/>
      </c>
      <c r="CI141" s="202"/>
      <c r="CJ141" s="99"/>
      <c r="CK141" s="99"/>
      <c r="CL141" s="99"/>
      <c r="CM141" s="99"/>
      <c r="CN141" s="99"/>
      <c r="CO141" s="99"/>
    </row>
    <row r="142" spans="2:93" ht="13.5" customHeight="1" x14ac:dyDescent="0.2">
      <c r="B142" s="262">
        <v>42</v>
      </c>
      <c r="C142" s="237" t="str">
        <f t="shared" si="1"/>
        <v/>
      </c>
      <c r="D142" s="237" t="str">
        <f t="shared" si="66"/>
        <v/>
      </c>
      <c r="E142" s="290" t="str">
        <f t="shared" si="38"/>
        <v/>
      </c>
      <c r="F142" s="264" t="str">
        <f t="shared" si="39"/>
        <v/>
      </c>
      <c r="G142" s="291" t="str">
        <f t="shared" si="40"/>
        <v/>
      </c>
      <c r="H142" s="240" t="str">
        <f t="shared" si="71"/>
        <v/>
      </c>
      <c r="I142" s="265" t="str">
        <f t="shared" si="72"/>
        <v/>
      </c>
      <c r="J142" s="265" t="str">
        <f t="shared" si="73"/>
        <v/>
      </c>
      <c r="K142" s="240" t="str">
        <f t="shared" si="74"/>
        <v/>
      </c>
      <c r="L142" s="265" t="str">
        <f t="shared" si="75"/>
        <v/>
      </c>
      <c r="M142" s="265" t="str">
        <f t="shared" si="76"/>
        <v/>
      </c>
      <c r="N142" s="240" t="str">
        <f t="shared" si="77"/>
        <v>-</v>
      </c>
      <c r="O142" s="265" t="str">
        <f t="shared" si="78"/>
        <v>-</v>
      </c>
      <c r="P142" s="265" t="str">
        <f t="shared" si="79"/>
        <v>-</v>
      </c>
      <c r="Q142" s="266" t="str">
        <f t="shared" si="80"/>
        <v>-</v>
      </c>
      <c r="R142" s="267" t="str">
        <f t="shared" si="81"/>
        <v>-</v>
      </c>
      <c r="S142" s="268" t="str">
        <f t="shared" si="82"/>
        <v>-</v>
      </c>
      <c r="T142" s="269" t="str">
        <f t="shared" si="13"/>
        <v/>
      </c>
      <c r="U142" s="221">
        <f t="shared" si="14"/>
        <v>42</v>
      </c>
      <c r="V142" s="220" t="str">
        <f t="shared" si="42"/>
        <v>-</v>
      </c>
      <c r="W142" s="221" t="str">
        <f t="shared" si="43"/>
        <v>-</v>
      </c>
      <c r="X142" s="221" t="str">
        <f t="shared" si="15"/>
        <v>-</v>
      </c>
      <c r="Y142" s="221" t="str">
        <f t="shared" si="16"/>
        <v>-</v>
      </c>
      <c r="Z142" s="270">
        <f t="shared" si="44"/>
        <v>0.1</v>
      </c>
      <c r="AA142" s="271" t="str">
        <f>IFERROR(IF(V141=1,AA$100*EXP(-(LN(2)/$D$65+0.04)*X141)*EXP(-(LN(2)/$D$65+0.1)*Y141),IF(V141=2,AA$100*EXP(-(LN(2)/$D$65+0.04)*(VLOOKUP(($F$16-$F$15)-1,U$99:Y141,4,FALSE)))*EXP(-(LN(2)/$D$65+0.1)*(VLOOKUP(($F$16-$F$15)-1,U$99:Y141,5,FALSE)))*EXP(-(LN(2)/$D$65+0.04)*X141)*EXP(-(LN(2)/$D$65+0.1)*Y141),IF(V141=3,AA$100*EXP(-(LN(2)/$D$65+0.04)*(VLOOKUP(($F$16-$F$15)-1,U$99:Y141,4,FALSE)))*EXP(-(LN(2)/$D$65+0.1)*(VLOOKUP(($F$16-$F$15)-1,U$99:Y141,5,FALSE)))*EXP(-(LN(2)/$D$65+0.04)*(VLOOKUP(($F$16-$F$15)*2-1,U$99:Y141,4,FALSE)))*EXP(-(LN(2)/$D$65+0.1)*(VLOOKUP(($F$16-$F$15)*2-1,U$99:Y141,5,FALSE)))*EXP(-(LN(2)/$D$65+0.04)*X141)*EXP(-(LN(2)/$D$65+0.1)*Y141),"-"))),"-")</f>
        <v>-</v>
      </c>
      <c r="AB142" s="271" t="str">
        <f>IFERROR(IF(V142=1,AB$100*EXP(-(LN(2)/$D$65+0.04)*X142)*EXP(-(LN(2)/$D$65+0.1)*Y142),IF(V142=2,AB$100*EXP(-(LN(2)/$D$65+0.04)*(VLOOKUP(($F$16-$F$15)-1,U$100:Y142,4,FALSE)))*EXP(-(LN(2)/$D$65+0.1)*(VLOOKUP(($F$16-$F$15)-1,U$100:Y142,5,FALSE)))*EXP(-(LN(2)/$D$65+0.04)*X142)*EXP(-(LN(2)/$D$65+0.1)*Y142),IF(V142=3,AB$100*EXP(-(LN(2)/$D$65+0.04)*(VLOOKUP(($F$16-$F$15)-1,U$100:Y142,4,FALSE)))*EXP(-(LN(2)/$D$65+0.1)*(VLOOKUP(($F$16-$F$15)-1,U$100:Y142,5,FALSE)))*EXP(-(LN(2)/$D$65+0.04)*(VLOOKUP(($F$16-$F$15)*2-1,U$100:Y142,4,FALSE)))*EXP(-(LN(2)/$D$65+0.1)*(VLOOKUP(($F$16-$F$15)*2-1,U$100:Y142,5,FALSE)))*EXP(-(LN(2)/$D$65+0.04)*X142)*EXP(-(LN(2)/$D$65+0.1)*Y142),"-"))),"-")</f>
        <v>-</v>
      </c>
      <c r="AC142" s="224">
        <f t="shared" si="45"/>
        <v>42</v>
      </c>
      <c r="AD142" s="223" t="str">
        <f t="shared" si="18"/>
        <v>-</v>
      </c>
      <c r="AE142" s="224" t="str">
        <f t="shared" si="46"/>
        <v>-</v>
      </c>
      <c r="AF142" s="224" t="str">
        <f t="shared" si="19"/>
        <v>-</v>
      </c>
      <c r="AG142" s="224" t="str">
        <f t="shared" si="20"/>
        <v>-</v>
      </c>
      <c r="AH142" s="272">
        <f t="shared" si="47"/>
        <v>0.1</v>
      </c>
      <c r="AI142" s="271" t="str">
        <f>IFERROR(IF(AD141=1,AI$100*EXP(-(LN(2)/$D$65+0.04)*AF141)*EXP(-(LN(2)/$D$65+0.1)*AG141),IF(AD141=2,AI$100*EXP(-(LN(2)/$D$65+0.04)*(VLOOKUP(($F$16-$F$15)-1,AC$99:AG141,4,FALSE)))*EXP(-(LN(2)/$D$65+0.1)*(VLOOKUP(($F$16-$F$15)-1,AC$99:AG141,5,FALSE)))*EXP(-(LN(2)/$D$65+0.04)*AF141)*EXP(-(LN(2)/$D$65+0.1)*AG141),IF(AD141=3,AI$100*EXP(-(LN(2)/$D$65+0.04)*(VLOOKUP(($F$16-$F$15)-1,AC$99:AG141,4,FALSE)))*EXP(-(LN(2)/$D$65+0.1)*(VLOOKUP(($F$16-$F$15)-1,AC$99:AG141,5,FALSE)))*EXP(-(LN(2)/$D$65+0.04)*(VLOOKUP(($F$16-$F$15)*2-1,AC$99:AG141,4,FALSE)))*EXP(-(LN(2)/$D$65+0.1)*(VLOOKUP(($F$16-$F$15)*2-1,AC$99:AG141,5,FALSE)))*EXP(-(LN(2)/$D$65+0.04)*AF141)*EXP(-(LN(2)/$D$65+0.1)*AG141),"-"))),"-")</f>
        <v>-</v>
      </c>
      <c r="AJ142" s="271" t="str">
        <f>IFERROR(IF(AD142=1,AJ$100*EXP(-(LN(2)/$D$65+0.04)*AF142)*EXP(-(LN(2)/$D$65+0.1)*AG142),IF(AD142=2,AJ$100*EXP(-(LN(2)/$D$65+0.04)*(VLOOKUP(($F$16-$F$15)-1,AC$100:AG142,4,FALSE)))*EXP(-(LN(2)/$D$65+0.1)*(VLOOKUP(($F$16-$F$15)-1,AC$100:AG142,5,FALSE)))*EXP(-(LN(2)/$D$65+0.04)*AF142)*EXP(-(LN(2)/$D$65+0.1)*AG142),IF(AD142=3,AJ$100*EXP(-(LN(2)/$D$65+0.04)*(VLOOKUP(($F$16-$F$15)-1,AC$100:AG142,4,FALSE)))*EXP(-(LN(2)/$D$65+0.1)*(VLOOKUP(($F$16-$F$15)-1,AC$100:AG142,5,FALSE)))*EXP(-(LN(2)/$D$65+0.04)*(VLOOKUP(($F$16-$F$15)*2-1,AC$100:AG142,4,FALSE)))*EXP(-(LN(2)/$D$65+0.1)*(VLOOKUP(($F$16-$F$15)*2-1,AC$100:AG142,5,FALSE)))*EXP(-(LN(2)/$D$65+0.04)*AF142)*EXP(-(LN(2)/$D$65+0.1)*AG142),"-"))),"-")</f>
        <v>-</v>
      </c>
      <c r="AK142" s="227">
        <f t="shared" si="49"/>
        <v>42</v>
      </c>
      <c r="AL142" s="226" t="str">
        <f t="shared" si="22"/>
        <v>-</v>
      </c>
      <c r="AM142" s="227" t="str">
        <f t="shared" si="50"/>
        <v>-</v>
      </c>
      <c r="AN142" s="227" t="str">
        <f t="shared" si="51"/>
        <v>-</v>
      </c>
      <c r="AO142" s="227" t="str">
        <f t="shared" si="23"/>
        <v>-</v>
      </c>
      <c r="AP142" s="273">
        <f t="shared" si="52"/>
        <v>0.1</v>
      </c>
      <c r="AQ142" s="271" t="str">
        <f>IFERROR(IF(AL141=1,AQ$100*EXP(-(LN(2)/$D$65+0.04)*AN141)*EXP(-(LN(2)/$D$65+0.1)*AO141),IF(AL141=2,AQ$100*EXP(-(LN(2)/$D$65+0.04)*(VLOOKUP(($F$16-$F$15)-1,AK$99:AO141,4,FALSE)))*EXP(-(LN(2)/$D$65+0.1)*(VLOOKUP(($F$16-$F$15)-1,AK$99:AO141,5,FALSE)))*EXP(-(LN(2)/$D$65+0.04)*AN141)*EXP(-(LN(2)/$D$65+0.1)*AO141),IF(AL141=3,AQ$100*EXP(-(LN(2)/$D$65+0.04)*(VLOOKUP(($F$16-$F$15)-1,AK$99:AO141,4,FALSE)))*EXP(-(LN(2)/$D$65+0.1)*(VLOOKUP(($F$16-$F$15)-1,AK$99:AO141,5,FALSE)))*EXP(-(LN(2)/$D$65+0.04)*(VLOOKUP(($F$16-$F$15)*2-1,AK$99:AO141,4,FALSE)))*EXP(-(LN(2)/$D$65+0.1)*(VLOOKUP(($F$16-$F$15)*2-1,AK$99:AO141,5,FALSE)))*EXP(-(LN(2)/$D$65+0.04)*AN141)*EXP(-(LN(2)/$D$65+0.1)*AO141),"-"))),"-")</f>
        <v>-</v>
      </c>
      <c r="AR142" s="271" t="str">
        <f>IFERROR(IF(AL142=1,AR$100*EXP(-(LN(2)/$D$65+0.04)*AN142)*EXP(-(LN(2)/$D$65+0.1)*AO142),IF(AL142=2,AR$100*EXP(-(LN(2)/$D$65+0.04)*(VLOOKUP(($F$16-$F$15)-1,AK$100:AO142,4,FALSE)))*EXP(-(LN(2)/$D$65+0.1)*(VLOOKUP(($F$16-$F$15)-1,AK$100:AO142,5,FALSE)))*EXP(-(LN(2)/$D$65+0.04)*AN142)*EXP(-(LN(2)/$D$65+0.1)*AO142),IF(AL142=3,AR$100*EXP(-(LN(2)/$D$65+0.04)*(VLOOKUP(($F$16-$F$15)-1,AK$100:AO142,4,FALSE)))*EXP(-(LN(2)/$D$65+0.1)*(VLOOKUP(($F$16-$F$15)-1,AK$100:AO142,5,FALSE)))*EXP(-(LN(2)/$D$65+0.04)*(VLOOKUP(($F$16-$F$15)*2-1,AK$100:AO142,4,FALSE)))*EXP(-(LN(2)/$D$65+0.1)*(VLOOKUP(($F$16-$F$15)*2-1,AK$100:AO142,5,FALSE)))*EXP(-(LN(2)/$D$65+0.04)*AN142)*EXP(-(LN(2)/$D$65+0.1)*AO142),"-"))),"-")</f>
        <v>-</v>
      </c>
      <c r="AS142" s="274">
        <f t="shared" si="24"/>
        <v>0</v>
      </c>
      <c r="AT142" s="274">
        <f t="shared" si="25"/>
        <v>0</v>
      </c>
      <c r="AU142" s="274">
        <f t="shared" si="26"/>
        <v>0</v>
      </c>
      <c r="AV142" s="190" t="str">
        <f>IF($B142&lt;$F$22,SUM($T$100:$T142),"")</f>
        <v/>
      </c>
      <c r="AW142" s="190" t="str">
        <f t="shared" si="83"/>
        <v>-</v>
      </c>
      <c r="AX142" s="190" t="str">
        <f t="shared" si="56"/>
        <v/>
      </c>
      <c r="AY142"/>
      <c r="AZ142" s="190" t="str">
        <f ca="1">IF(ISNUMBER(OFFSET(AV142,-$F$21,0)),SUM(OFFSET($T$100,$F$21,0):$T142),"")</f>
        <v/>
      </c>
      <c r="BA142" s="190" t="str">
        <f t="shared" ca="1" si="84"/>
        <v/>
      </c>
      <c r="BB142" s="190" t="str">
        <f t="shared" ca="1" si="70"/>
        <v/>
      </c>
      <c r="BC142" s="190"/>
      <c r="BD142" s="190" t="str">
        <f ca="1">IFERROR(IF(OR(ISNUMBER(I),ISNUMBER($F$14)),IF(AND($B142&gt;=($F$16-$F$15),$B142&lt;$F$22+($F$16-$F$15)),SUM(OFFSET($T$100,($F$16-$F$15),0):$T142),""),""),"")</f>
        <v/>
      </c>
      <c r="BE142" s="190" t="str">
        <f t="shared" ca="1" si="58"/>
        <v/>
      </c>
      <c r="BF142" s="190" t="str">
        <f t="shared" ca="1" si="59"/>
        <v/>
      </c>
      <c r="BG142"/>
      <c r="BH142" s="190" t="str">
        <f ca="1">IF(ISNUMBER(OFFSET(BD142,-$F$21,0)),SUM(OFFSET($T$100,($F$16-$F$15+$F$21),0):$T142),"")</f>
        <v/>
      </c>
      <c r="BI142" s="190" t="str">
        <f t="shared" ca="1" si="85"/>
        <v/>
      </c>
      <c r="BJ142" s="190" t="str">
        <f t="shared" ca="1" si="60"/>
        <v/>
      </c>
      <c r="BK142" s="190"/>
      <c r="BL142" s="190" t="str">
        <f ca="1">IFERROR(IF(OR(ISNUMBER(I),ISNUMBER($F$14)),IF(AND($B142&gt;=($F$17-$F$15),$B142&lt;$F$22+($F$17-$F$15)),SUM(OFFSET($T$100,($F$17-$F$15),0):$T142),""),""),"")</f>
        <v/>
      </c>
      <c r="BM142" s="190" t="str">
        <f t="shared" ca="1" si="86"/>
        <v/>
      </c>
      <c r="BN142" s="190" t="str">
        <f t="shared" ca="1" si="61"/>
        <v/>
      </c>
      <c r="BO142"/>
      <c r="BP142" s="190" t="str">
        <f ca="1">IF(ISNUMBER(OFFSET(BL142,-$F$21,0)),SUM(OFFSET($T$100,($F$17-$F$15+$F$21),0):$T142),"")</f>
        <v/>
      </c>
      <c r="BQ142" s="190" t="str">
        <f t="shared" ca="1" si="87"/>
        <v/>
      </c>
      <c r="BR142" s="190" t="str">
        <f t="shared" ca="1" si="63"/>
        <v/>
      </c>
      <c r="BS142" s="190"/>
      <c r="BT142"/>
      <c r="BU142"/>
      <c r="BV142"/>
      <c r="BY142" s="99"/>
      <c r="BZ142" s="99"/>
      <c r="CA142" s="280" t="str">
        <f t="shared" si="88"/>
        <v/>
      </c>
      <c r="CB142" s="71" t="str">
        <f t="shared" si="31"/>
        <v>-</v>
      </c>
      <c r="CC142" s="33"/>
      <c r="CD142" s="261" t="str">
        <f t="shared" si="33"/>
        <v/>
      </c>
      <c r="CE142" s="280" t="str">
        <f t="shared" si="89"/>
        <v/>
      </c>
      <c r="CF142" s="71" t="str">
        <f t="shared" ca="1" si="90"/>
        <v/>
      </c>
      <c r="CG142" s="33" t="str">
        <f t="shared" si="36"/>
        <v/>
      </c>
      <c r="CH142" s="261" t="str">
        <f t="shared" ca="1" si="37"/>
        <v/>
      </c>
      <c r="CI142" s="202"/>
      <c r="CJ142" s="99"/>
      <c r="CK142" s="99"/>
      <c r="CL142" s="99"/>
      <c r="CM142" s="99"/>
      <c r="CN142" s="99"/>
      <c r="CO142" s="99"/>
    </row>
    <row r="143" spans="2:93" ht="13.5" customHeight="1" x14ac:dyDescent="0.2">
      <c r="B143" s="262">
        <v>43</v>
      </c>
      <c r="C143" s="237" t="str">
        <f t="shared" si="1"/>
        <v/>
      </c>
      <c r="D143" s="237" t="str">
        <f t="shared" si="66"/>
        <v/>
      </c>
      <c r="E143" s="290" t="str">
        <f t="shared" si="38"/>
        <v/>
      </c>
      <c r="F143" s="264" t="str">
        <f t="shared" si="39"/>
        <v/>
      </c>
      <c r="G143" s="291" t="str">
        <f t="shared" si="40"/>
        <v/>
      </c>
      <c r="H143" s="240" t="str">
        <f t="shared" si="71"/>
        <v/>
      </c>
      <c r="I143" s="265" t="str">
        <f t="shared" si="72"/>
        <v/>
      </c>
      <c r="J143" s="265" t="str">
        <f t="shared" si="73"/>
        <v/>
      </c>
      <c r="K143" s="240" t="str">
        <f t="shared" si="74"/>
        <v/>
      </c>
      <c r="L143" s="265" t="str">
        <f t="shared" si="75"/>
        <v/>
      </c>
      <c r="M143" s="265" t="str">
        <f t="shared" si="76"/>
        <v/>
      </c>
      <c r="N143" s="240" t="str">
        <f t="shared" si="77"/>
        <v>-</v>
      </c>
      <c r="O143" s="265" t="str">
        <f t="shared" si="78"/>
        <v>-</v>
      </c>
      <c r="P143" s="265" t="str">
        <f t="shared" si="79"/>
        <v>-</v>
      </c>
      <c r="Q143" s="266" t="str">
        <f t="shared" si="80"/>
        <v>-</v>
      </c>
      <c r="R143" s="267" t="str">
        <f t="shared" si="81"/>
        <v>-</v>
      </c>
      <c r="S143" s="268" t="str">
        <f t="shared" si="82"/>
        <v>-</v>
      </c>
      <c r="T143" s="269" t="str">
        <f t="shared" si="13"/>
        <v/>
      </c>
      <c r="U143" s="221">
        <f t="shared" si="14"/>
        <v>43</v>
      </c>
      <c r="V143" s="220" t="str">
        <f t="shared" si="42"/>
        <v>-</v>
      </c>
      <c r="W143" s="221" t="str">
        <f t="shared" si="43"/>
        <v>-</v>
      </c>
      <c r="X143" s="221" t="str">
        <f t="shared" si="15"/>
        <v>-</v>
      </c>
      <c r="Y143" s="221" t="str">
        <f t="shared" si="16"/>
        <v>-</v>
      </c>
      <c r="Z143" s="270">
        <f t="shared" si="44"/>
        <v>0.1</v>
      </c>
      <c r="AA143" s="271" t="str">
        <f>IFERROR(IF(V142=1,AA$100*EXP(-(LN(2)/$D$65+0.04)*X142)*EXP(-(LN(2)/$D$65+0.1)*Y142),IF(V142=2,AA$100*EXP(-(LN(2)/$D$65+0.04)*(VLOOKUP(($F$16-$F$15)-1,U$99:Y142,4,FALSE)))*EXP(-(LN(2)/$D$65+0.1)*(VLOOKUP(($F$16-$F$15)-1,U$99:Y142,5,FALSE)))*EXP(-(LN(2)/$D$65+0.04)*X142)*EXP(-(LN(2)/$D$65+0.1)*Y142),IF(V142=3,AA$100*EXP(-(LN(2)/$D$65+0.04)*(VLOOKUP(($F$16-$F$15)-1,U$99:Y142,4,FALSE)))*EXP(-(LN(2)/$D$65+0.1)*(VLOOKUP(($F$16-$F$15)-1,U$99:Y142,5,FALSE)))*EXP(-(LN(2)/$D$65+0.04)*(VLOOKUP(($F$16-$F$15)*2-1,U$99:Y142,4,FALSE)))*EXP(-(LN(2)/$D$65+0.1)*(VLOOKUP(($F$16-$F$15)*2-1,U$99:Y142,5,FALSE)))*EXP(-(LN(2)/$D$65+0.04)*X142)*EXP(-(LN(2)/$D$65+0.1)*Y142),"-"))),"-")</f>
        <v>-</v>
      </c>
      <c r="AB143" s="271" t="str">
        <f>IFERROR(IF(V143=1,AB$100*EXP(-(LN(2)/$D$65+0.04)*X143)*EXP(-(LN(2)/$D$65+0.1)*Y143),IF(V143=2,AB$100*EXP(-(LN(2)/$D$65+0.04)*(VLOOKUP(($F$16-$F$15)-1,U$100:Y143,4,FALSE)))*EXP(-(LN(2)/$D$65+0.1)*(VLOOKUP(($F$16-$F$15)-1,U$100:Y143,5,FALSE)))*EXP(-(LN(2)/$D$65+0.04)*X143)*EXP(-(LN(2)/$D$65+0.1)*Y143),IF(V143=3,AB$100*EXP(-(LN(2)/$D$65+0.04)*(VLOOKUP(($F$16-$F$15)-1,U$100:Y143,4,FALSE)))*EXP(-(LN(2)/$D$65+0.1)*(VLOOKUP(($F$16-$F$15)-1,U$100:Y143,5,FALSE)))*EXP(-(LN(2)/$D$65+0.04)*(VLOOKUP(($F$16-$F$15)*2-1,U$100:Y143,4,FALSE)))*EXP(-(LN(2)/$D$65+0.1)*(VLOOKUP(($F$16-$F$15)*2-1,U$100:Y143,5,FALSE)))*EXP(-(LN(2)/$D$65+0.04)*X143)*EXP(-(LN(2)/$D$65+0.1)*Y143),"-"))),"-")</f>
        <v>-</v>
      </c>
      <c r="AC143" s="224">
        <f t="shared" si="45"/>
        <v>43</v>
      </c>
      <c r="AD143" s="223" t="str">
        <f t="shared" si="18"/>
        <v>-</v>
      </c>
      <c r="AE143" s="224" t="str">
        <f t="shared" si="46"/>
        <v>-</v>
      </c>
      <c r="AF143" s="224" t="str">
        <f t="shared" si="19"/>
        <v>-</v>
      </c>
      <c r="AG143" s="224" t="str">
        <f t="shared" si="20"/>
        <v>-</v>
      </c>
      <c r="AH143" s="272">
        <f t="shared" si="47"/>
        <v>0.1</v>
      </c>
      <c r="AI143" s="271" t="str">
        <f>IFERROR(IF(AD142=1,AI$100*EXP(-(LN(2)/$D$65+0.04)*AF142)*EXP(-(LN(2)/$D$65+0.1)*AG142),IF(AD142=2,AI$100*EXP(-(LN(2)/$D$65+0.04)*(VLOOKUP(($F$16-$F$15)-1,AC$99:AG142,4,FALSE)))*EXP(-(LN(2)/$D$65+0.1)*(VLOOKUP(($F$16-$F$15)-1,AC$99:AG142,5,FALSE)))*EXP(-(LN(2)/$D$65+0.04)*AF142)*EXP(-(LN(2)/$D$65+0.1)*AG142),IF(AD142=3,AI$100*EXP(-(LN(2)/$D$65+0.04)*(VLOOKUP(($F$16-$F$15)-1,AC$99:AG142,4,FALSE)))*EXP(-(LN(2)/$D$65+0.1)*(VLOOKUP(($F$16-$F$15)-1,AC$99:AG142,5,FALSE)))*EXP(-(LN(2)/$D$65+0.04)*(VLOOKUP(($F$16-$F$15)*2-1,AC$99:AG142,4,FALSE)))*EXP(-(LN(2)/$D$65+0.1)*(VLOOKUP(($F$16-$F$15)*2-1,AC$99:AG142,5,FALSE)))*EXP(-(LN(2)/$D$65+0.04)*AF142)*EXP(-(LN(2)/$D$65+0.1)*AG142),"-"))),"-")</f>
        <v>-</v>
      </c>
      <c r="AJ143" s="271" t="str">
        <f>IFERROR(IF(AD143=1,AJ$100*EXP(-(LN(2)/$D$65+0.04)*AF143)*EXP(-(LN(2)/$D$65+0.1)*AG143),IF(AD143=2,AJ$100*EXP(-(LN(2)/$D$65+0.04)*(VLOOKUP(($F$16-$F$15)-1,AC$100:AG143,4,FALSE)))*EXP(-(LN(2)/$D$65+0.1)*(VLOOKUP(($F$16-$F$15)-1,AC$100:AG143,5,FALSE)))*EXP(-(LN(2)/$D$65+0.04)*AF143)*EXP(-(LN(2)/$D$65+0.1)*AG143),IF(AD143=3,AJ$100*EXP(-(LN(2)/$D$65+0.04)*(VLOOKUP(($F$16-$F$15)-1,AC$100:AG143,4,FALSE)))*EXP(-(LN(2)/$D$65+0.1)*(VLOOKUP(($F$16-$F$15)-1,AC$100:AG143,5,FALSE)))*EXP(-(LN(2)/$D$65+0.04)*(VLOOKUP(($F$16-$F$15)*2-1,AC$100:AG143,4,FALSE)))*EXP(-(LN(2)/$D$65+0.1)*(VLOOKUP(($F$16-$F$15)*2-1,AC$100:AG143,5,FALSE)))*EXP(-(LN(2)/$D$65+0.04)*AF143)*EXP(-(LN(2)/$D$65+0.1)*AG143),"-"))),"-")</f>
        <v>-</v>
      </c>
      <c r="AK143" s="227">
        <f t="shared" si="49"/>
        <v>43</v>
      </c>
      <c r="AL143" s="226" t="str">
        <f t="shared" si="22"/>
        <v>-</v>
      </c>
      <c r="AM143" s="227" t="str">
        <f t="shared" si="50"/>
        <v>-</v>
      </c>
      <c r="AN143" s="227" t="str">
        <f t="shared" si="51"/>
        <v>-</v>
      </c>
      <c r="AO143" s="227" t="str">
        <f t="shared" si="23"/>
        <v>-</v>
      </c>
      <c r="AP143" s="273">
        <f t="shared" si="52"/>
        <v>0.1</v>
      </c>
      <c r="AQ143" s="271" t="str">
        <f>IFERROR(IF(AL142=1,AQ$100*EXP(-(LN(2)/$D$65+0.04)*AN142)*EXP(-(LN(2)/$D$65+0.1)*AO142),IF(AL142=2,AQ$100*EXP(-(LN(2)/$D$65+0.04)*(VLOOKUP(($F$16-$F$15)-1,AK$99:AO142,4,FALSE)))*EXP(-(LN(2)/$D$65+0.1)*(VLOOKUP(($F$16-$F$15)-1,AK$99:AO142,5,FALSE)))*EXP(-(LN(2)/$D$65+0.04)*AN142)*EXP(-(LN(2)/$D$65+0.1)*AO142),IF(AL142=3,AQ$100*EXP(-(LN(2)/$D$65+0.04)*(VLOOKUP(($F$16-$F$15)-1,AK$99:AO142,4,FALSE)))*EXP(-(LN(2)/$D$65+0.1)*(VLOOKUP(($F$16-$F$15)-1,AK$99:AO142,5,FALSE)))*EXP(-(LN(2)/$D$65+0.04)*(VLOOKUP(($F$16-$F$15)*2-1,AK$99:AO142,4,FALSE)))*EXP(-(LN(2)/$D$65+0.1)*(VLOOKUP(($F$16-$F$15)*2-1,AK$99:AO142,5,FALSE)))*EXP(-(LN(2)/$D$65+0.04)*AN142)*EXP(-(LN(2)/$D$65+0.1)*AO142),"-"))),"-")</f>
        <v>-</v>
      </c>
      <c r="AR143" s="271" t="str">
        <f>IFERROR(IF(AL143=1,AR$100*EXP(-(LN(2)/$D$65+0.04)*AN143)*EXP(-(LN(2)/$D$65+0.1)*AO143),IF(AL143=2,AR$100*EXP(-(LN(2)/$D$65+0.04)*(VLOOKUP(($F$16-$F$15)-1,AK$100:AO143,4,FALSE)))*EXP(-(LN(2)/$D$65+0.1)*(VLOOKUP(($F$16-$F$15)-1,AK$100:AO143,5,FALSE)))*EXP(-(LN(2)/$D$65+0.04)*AN143)*EXP(-(LN(2)/$D$65+0.1)*AO143),IF(AL143=3,AR$100*EXP(-(LN(2)/$D$65+0.04)*(VLOOKUP(($F$16-$F$15)-1,AK$100:AO143,4,FALSE)))*EXP(-(LN(2)/$D$65+0.1)*(VLOOKUP(($F$16-$F$15)-1,AK$100:AO143,5,FALSE)))*EXP(-(LN(2)/$D$65+0.04)*(VLOOKUP(($F$16-$F$15)*2-1,AK$100:AO143,4,FALSE)))*EXP(-(LN(2)/$D$65+0.1)*(VLOOKUP(($F$16-$F$15)*2-1,AK$100:AO143,5,FALSE)))*EXP(-(LN(2)/$D$65+0.04)*AN143)*EXP(-(LN(2)/$D$65+0.1)*AO143),"-"))),"-")</f>
        <v>-</v>
      </c>
      <c r="AS143" s="274">
        <f t="shared" si="24"/>
        <v>0</v>
      </c>
      <c r="AT143" s="274">
        <f t="shared" si="25"/>
        <v>0</v>
      </c>
      <c r="AU143" s="274">
        <f t="shared" si="26"/>
        <v>0</v>
      </c>
      <c r="AV143" s="190" t="str">
        <f>IF($B143&lt;$F$22,SUM($T$100:$T143),"")</f>
        <v/>
      </c>
      <c r="AW143" s="190" t="str">
        <f t="shared" si="83"/>
        <v>-</v>
      </c>
      <c r="AX143" s="190" t="str">
        <f t="shared" si="56"/>
        <v/>
      </c>
      <c r="AY143"/>
      <c r="AZ143" s="190" t="str">
        <f ca="1">IF(ISNUMBER(OFFSET(AV143,-$F$21,0)),SUM(OFFSET($T$100,$F$21,0):$T143),"")</f>
        <v/>
      </c>
      <c r="BA143" s="190" t="str">
        <f t="shared" ca="1" si="84"/>
        <v/>
      </c>
      <c r="BB143" s="190" t="str">
        <f t="shared" ca="1" si="70"/>
        <v/>
      </c>
      <c r="BC143" s="190"/>
      <c r="BD143" s="190" t="str">
        <f ca="1">IFERROR(IF(OR(ISNUMBER(I),ISNUMBER($F$14)),IF(AND($B143&gt;=($F$16-$F$15),$B143&lt;$F$22+($F$16-$F$15)),SUM(OFFSET($T$100,($F$16-$F$15),0):$T143),""),""),"")</f>
        <v/>
      </c>
      <c r="BE143" s="190" t="str">
        <f t="shared" ca="1" si="58"/>
        <v/>
      </c>
      <c r="BF143" s="190" t="str">
        <f t="shared" ca="1" si="59"/>
        <v/>
      </c>
      <c r="BG143"/>
      <c r="BH143" s="190" t="str">
        <f ca="1">IF(ISNUMBER(OFFSET(BD143,-$F$21,0)),SUM(OFFSET($T$100,($F$16-$F$15+$F$21),0):$T143),"")</f>
        <v/>
      </c>
      <c r="BI143" s="190" t="str">
        <f t="shared" ca="1" si="85"/>
        <v/>
      </c>
      <c r="BJ143" s="190" t="str">
        <f t="shared" ca="1" si="60"/>
        <v/>
      </c>
      <c r="BK143" s="190"/>
      <c r="BL143" s="190" t="str">
        <f ca="1">IFERROR(IF(OR(ISNUMBER(I),ISNUMBER($F$14)),IF(AND($B143&gt;=($F$17-$F$15),$B143&lt;$F$22+($F$17-$F$15)),SUM(OFFSET($T$100,($F$17-$F$15),0):$T143),""),""),"")</f>
        <v/>
      </c>
      <c r="BM143" s="190" t="str">
        <f t="shared" ca="1" si="86"/>
        <v/>
      </c>
      <c r="BN143" s="190" t="str">
        <f t="shared" ca="1" si="61"/>
        <v/>
      </c>
      <c r="BO143"/>
      <c r="BP143" s="190" t="str">
        <f ca="1">IF(ISNUMBER(OFFSET(BL143,-$F$21,0)),SUM(OFFSET($T$100,($F$17-$F$15+$F$21),0):$T143),"")</f>
        <v/>
      </c>
      <c r="BQ143" s="190" t="str">
        <f t="shared" ca="1" si="87"/>
        <v/>
      </c>
      <c r="BR143" s="190" t="str">
        <f t="shared" ca="1" si="63"/>
        <v/>
      </c>
      <c r="BS143" s="190"/>
      <c r="BT143"/>
      <c r="BU143"/>
      <c r="BV143"/>
      <c r="BY143" s="99"/>
      <c r="BZ143" s="99"/>
      <c r="CA143" s="280" t="str">
        <f t="shared" si="88"/>
        <v/>
      </c>
      <c r="CB143" s="71" t="str">
        <f t="shared" si="31"/>
        <v>-</v>
      </c>
      <c r="CC143" s="33"/>
      <c r="CD143" s="261" t="str">
        <f t="shared" si="33"/>
        <v/>
      </c>
      <c r="CE143" s="280" t="str">
        <f t="shared" si="89"/>
        <v/>
      </c>
      <c r="CF143" s="71" t="str">
        <f t="shared" ca="1" si="90"/>
        <v/>
      </c>
      <c r="CG143" s="33" t="str">
        <f t="shared" si="36"/>
        <v/>
      </c>
      <c r="CH143" s="261" t="str">
        <f t="shared" ca="1" si="37"/>
        <v/>
      </c>
      <c r="CI143" s="202"/>
      <c r="CJ143" s="99"/>
      <c r="CK143" s="99"/>
      <c r="CL143" s="99"/>
      <c r="CM143" s="99"/>
      <c r="CN143" s="99"/>
      <c r="CO143" s="99"/>
    </row>
    <row r="144" spans="2:93" ht="13.5" customHeight="1" x14ac:dyDescent="0.2">
      <c r="B144" s="262">
        <v>44</v>
      </c>
      <c r="C144" s="237" t="str">
        <f t="shared" si="1"/>
        <v/>
      </c>
      <c r="D144" s="237" t="str">
        <f t="shared" si="66"/>
        <v/>
      </c>
      <c r="E144" s="290" t="str">
        <f t="shared" si="38"/>
        <v/>
      </c>
      <c r="F144" s="264" t="str">
        <f t="shared" si="39"/>
        <v/>
      </c>
      <c r="G144" s="291" t="str">
        <f t="shared" si="40"/>
        <v/>
      </c>
      <c r="H144" s="240" t="str">
        <f t="shared" si="71"/>
        <v/>
      </c>
      <c r="I144" s="265" t="str">
        <f t="shared" si="72"/>
        <v/>
      </c>
      <c r="J144" s="265" t="str">
        <f t="shared" si="73"/>
        <v/>
      </c>
      <c r="K144" s="240" t="str">
        <f t="shared" si="74"/>
        <v/>
      </c>
      <c r="L144" s="265" t="str">
        <f t="shared" si="75"/>
        <v/>
      </c>
      <c r="M144" s="265" t="str">
        <f t="shared" si="76"/>
        <v/>
      </c>
      <c r="N144" s="240" t="str">
        <f t="shared" si="77"/>
        <v>-</v>
      </c>
      <c r="O144" s="265" t="str">
        <f t="shared" si="78"/>
        <v>-</v>
      </c>
      <c r="P144" s="265" t="str">
        <f t="shared" si="79"/>
        <v>-</v>
      </c>
      <c r="Q144" s="266" t="str">
        <f t="shared" si="80"/>
        <v>-</v>
      </c>
      <c r="R144" s="267" t="str">
        <f t="shared" si="81"/>
        <v>-</v>
      </c>
      <c r="S144" s="268" t="str">
        <f t="shared" si="82"/>
        <v>-</v>
      </c>
      <c r="T144" s="269" t="str">
        <f t="shared" si="13"/>
        <v/>
      </c>
      <c r="U144" s="221">
        <f t="shared" si="14"/>
        <v>44</v>
      </c>
      <c r="V144" s="220" t="str">
        <f t="shared" si="42"/>
        <v>-</v>
      </c>
      <c r="W144" s="221" t="str">
        <f t="shared" si="43"/>
        <v>-</v>
      </c>
      <c r="X144" s="221" t="str">
        <f t="shared" si="15"/>
        <v>-</v>
      </c>
      <c r="Y144" s="221" t="str">
        <f t="shared" si="16"/>
        <v>-</v>
      </c>
      <c r="Z144" s="270">
        <f t="shared" si="44"/>
        <v>0.1</v>
      </c>
      <c r="AA144" s="271" t="str">
        <f>IFERROR(IF(V143=1,AA$100*EXP(-(LN(2)/$D$65+0.04)*X143)*EXP(-(LN(2)/$D$65+0.1)*Y143),IF(V143=2,AA$100*EXP(-(LN(2)/$D$65+0.04)*(VLOOKUP(($F$16-$F$15)-1,U$99:Y143,4,FALSE)))*EXP(-(LN(2)/$D$65+0.1)*(VLOOKUP(($F$16-$F$15)-1,U$99:Y143,5,FALSE)))*EXP(-(LN(2)/$D$65+0.04)*X143)*EXP(-(LN(2)/$D$65+0.1)*Y143),IF(V143=3,AA$100*EXP(-(LN(2)/$D$65+0.04)*(VLOOKUP(($F$16-$F$15)-1,U$99:Y143,4,FALSE)))*EXP(-(LN(2)/$D$65+0.1)*(VLOOKUP(($F$16-$F$15)-1,U$99:Y143,5,FALSE)))*EXP(-(LN(2)/$D$65+0.04)*(VLOOKUP(($F$16-$F$15)*2-1,U$99:Y143,4,FALSE)))*EXP(-(LN(2)/$D$65+0.1)*(VLOOKUP(($F$16-$F$15)*2-1,U$99:Y143,5,FALSE)))*EXP(-(LN(2)/$D$65+0.04)*X143)*EXP(-(LN(2)/$D$65+0.1)*Y143),"-"))),"-")</f>
        <v>-</v>
      </c>
      <c r="AB144" s="271" t="str">
        <f>IFERROR(IF(V144=1,AB$100*EXP(-(LN(2)/$D$65+0.04)*X144)*EXP(-(LN(2)/$D$65+0.1)*Y144),IF(V144=2,AB$100*EXP(-(LN(2)/$D$65+0.04)*(VLOOKUP(($F$16-$F$15)-1,U$100:Y144,4,FALSE)))*EXP(-(LN(2)/$D$65+0.1)*(VLOOKUP(($F$16-$F$15)-1,U$100:Y144,5,FALSE)))*EXP(-(LN(2)/$D$65+0.04)*X144)*EXP(-(LN(2)/$D$65+0.1)*Y144),IF(V144=3,AB$100*EXP(-(LN(2)/$D$65+0.04)*(VLOOKUP(($F$16-$F$15)-1,U$100:Y144,4,FALSE)))*EXP(-(LN(2)/$D$65+0.1)*(VLOOKUP(($F$16-$F$15)-1,U$100:Y144,5,FALSE)))*EXP(-(LN(2)/$D$65+0.04)*(VLOOKUP(($F$16-$F$15)*2-1,U$100:Y144,4,FALSE)))*EXP(-(LN(2)/$D$65+0.1)*(VLOOKUP(($F$16-$F$15)*2-1,U$100:Y144,5,FALSE)))*EXP(-(LN(2)/$D$65+0.04)*X144)*EXP(-(LN(2)/$D$65+0.1)*Y144),"-"))),"-")</f>
        <v>-</v>
      </c>
      <c r="AC144" s="224">
        <f t="shared" si="45"/>
        <v>44</v>
      </c>
      <c r="AD144" s="223" t="str">
        <f t="shared" si="18"/>
        <v>-</v>
      </c>
      <c r="AE144" s="224" t="str">
        <f t="shared" si="46"/>
        <v>-</v>
      </c>
      <c r="AF144" s="224" t="str">
        <f t="shared" si="19"/>
        <v>-</v>
      </c>
      <c r="AG144" s="224" t="str">
        <f t="shared" si="20"/>
        <v>-</v>
      </c>
      <c r="AH144" s="272">
        <f t="shared" si="47"/>
        <v>0.1</v>
      </c>
      <c r="AI144" s="271" t="str">
        <f>IFERROR(IF(AD143=1,AI$100*EXP(-(LN(2)/$D$65+0.04)*AF143)*EXP(-(LN(2)/$D$65+0.1)*AG143),IF(AD143=2,AI$100*EXP(-(LN(2)/$D$65+0.04)*(VLOOKUP(($F$16-$F$15)-1,AC$99:AG143,4,FALSE)))*EXP(-(LN(2)/$D$65+0.1)*(VLOOKUP(($F$16-$F$15)-1,AC$99:AG143,5,FALSE)))*EXP(-(LN(2)/$D$65+0.04)*AF143)*EXP(-(LN(2)/$D$65+0.1)*AG143),IF(AD143=3,AI$100*EXP(-(LN(2)/$D$65+0.04)*(VLOOKUP(($F$16-$F$15)-1,AC$99:AG143,4,FALSE)))*EXP(-(LN(2)/$D$65+0.1)*(VLOOKUP(($F$16-$F$15)-1,AC$99:AG143,5,FALSE)))*EXP(-(LN(2)/$D$65+0.04)*(VLOOKUP(($F$16-$F$15)*2-1,AC$99:AG143,4,FALSE)))*EXP(-(LN(2)/$D$65+0.1)*(VLOOKUP(($F$16-$F$15)*2-1,AC$99:AG143,5,FALSE)))*EXP(-(LN(2)/$D$65+0.04)*AF143)*EXP(-(LN(2)/$D$65+0.1)*AG143),"-"))),"-")</f>
        <v>-</v>
      </c>
      <c r="AJ144" s="271" t="str">
        <f>IFERROR(IF(AD144=1,AJ$100*EXP(-(LN(2)/$D$65+0.04)*AF144)*EXP(-(LN(2)/$D$65+0.1)*AG144),IF(AD144=2,AJ$100*EXP(-(LN(2)/$D$65+0.04)*(VLOOKUP(($F$16-$F$15)-1,AC$100:AG144,4,FALSE)))*EXP(-(LN(2)/$D$65+0.1)*(VLOOKUP(($F$16-$F$15)-1,AC$100:AG144,5,FALSE)))*EXP(-(LN(2)/$D$65+0.04)*AF144)*EXP(-(LN(2)/$D$65+0.1)*AG144),IF(AD144=3,AJ$100*EXP(-(LN(2)/$D$65+0.04)*(VLOOKUP(($F$16-$F$15)-1,AC$100:AG144,4,FALSE)))*EXP(-(LN(2)/$D$65+0.1)*(VLOOKUP(($F$16-$F$15)-1,AC$100:AG144,5,FALSE)))*EXP(-(LN(2)/$D$65+0.04)*(VLOOKUP(($F$16-$F$15)*2-1,AC$100:AG144,4,FALSE)))*EXP(-(LN(2)/$D$65+0.1)*(VLOOKUP(($F$16-$F$15)*2-1,AC$100:AG144,5,FALSE)))*EXP(-(LN(2)/$D$65+0.04)*AF144)*EXP(-(LN(2)/$D$65+0.1)*AG144),"-"))),"-")</f>
        <v>-</v>
      </c>
      <c r="AK144" s="227">
        <f t="shared" si="49"/>
        <v>44</v>
      </c>
      <c r="AL144" s="226" t="str">
        <f t="shared" si="22"/>
        <v>-</v>
      </c>
      <c r="AM144" s="227" t="str">
        <f t="shared" si="50"/>
        <v>-</v>
      </c>
      <c r="AN144" s="227" t="str">
        <f t="shared" si="51"/>
        <v>-</v>
      </c>
      <c r="AO144" s="227" t="str">
        <f t="shared" si="23"/>
        <v>-</v>
      </c>
      <c r="AP144" s="273">
        <f t="shared" si="52"/>
        <v>0.1</v>
      </c>
      <c r="AQ144" s="271" t="str">
        <f>IFERROR(IF(AL143=1,AQ$100*EXP(-(LN(2)/$D$65+0.04)*AN143)*EXP(-(LN(2)/$D$65+0.1)*AO143),IF(AL143=2,AQ$100*EXP(-(LN(2)/$D$65+0.04)*(VLOOKUP(($F$16-$F$15)-1,AK$99:AO143,4,FALSE)))*EXP(-(LN(2)/$D$65+0.1)*(VLOOKUP(($F$16-$F$15)-1,AK$99:AO143,5,FALSE)))*EXP(-(LN(2)/$D$65+0.04)*AN143)*EXP(-(LN(2)/$D$65+0.1)*AO143),IF(AL143=3,AQ$100*EXP(-(LN(2)/$D$65+0.04)*(VLOOKUP(($F$16-$F$15)-1,AK$99:AO143,4,FALSE)))*EXP(-(LN(2)/$D$65+0.1)*(VLOOKUP(($F$16-$F$15)-1,AK$99:AO143,5,FALSE)))*EXP(-(LN(2)/$D$65+0.04)*(VLOOKUP(($F$16-$F$15)*2-1,AK$99:AO143,4,FALSE)))*EXP(-(LN(2)/$D$65+0.1)*(VLOOKUP(($F$16-$F$15)*2-1,AK$99:AO143,5,FALSE)))*EXP(-(LN(2)/$D$65+0.04)*AN143)*EXP(-(LN(2)/$D$65+0.1)*AO143),"-"))),"-")</f>
        <v>-</v>
      </c>
      <c r="AR144" s="271" t="str">
        <f>IFERROR(IF(AL144=1,AR$100*EXP(-(LN(2)/$D$65+0.04)*AN144)*EXP(-(LN(2)/$D$65+0.1)*AO144),IF(AL144=2,AR$100*EXP(-(LN(2)/$D$65+0.04)*(VLOOKUP(($F$16-$F$15)-1,AK$100:AO144,4,FALSE)))*EXP(-(LN(2)/$D$65+0.1)*(VLOOKUP(($F$16-$F$15)-1,AK$100:AO144,5,FALSE)))*EXP(-(LN(2)/$D$65+0.04)*AN144)*EXP(-(LN(2)/$D$65+0.1)*AO144),IF(AL144=3,AR$100*EXP(-(LN(2)/$D$65+0.04)*(VLOOKUP(($F$16-$F$15)-1,AK$100:AO144,4,FALSE)))*EXP(-(LN(2)/$D$65+0.1)*(VLOOKUP(($F$16-$F$15)-1,AK$100:AO144,5,FALSE)))*EXP(-(LN(2)/$D$65+0.04)*(VLOOKUP(($F$16-$F$15)*2-1,AK$100:AO144,4,FALSE)))*EXP(-(LN(2)/$D$65+0.1)*(VLOOKUP(($F$16-$F$15)*2-1,AK$100:AO144,5,FALSE)))*EXP(-(LN(2)/$D$65+0.04)*AN144)*EXP(-(LN(2)/$D$65+0.1)*AO144),"-"))),"-")</f>
        <v>-</v>
      </c>
      <c r="AS144" s="274">
        <f t="shared" si="24"/>
        <v>0</v>
      </c>
      <c r="AT144" s="274">
        <f t="shared" si="25"/>
        <v>0</v>
      </c>
      <c r="AU144" s="274">
        <f t="shared" si="26"/>
        <v>0</v>
      </c>
      <c r="AV144" s="190" t="str">
        <f>IF($B144&lt;$F$22,SUM($T$100:$T144),"")</f>
        <v/>
      </c>
      <c r="AW144" s="190" t="str">
        <f t="shared" si="83"/>
        <v>-</v>
      </c>
      <c r="AX144" s="190" t="str">
        <f t="shared" si="56"/>
        <v/>
      </c>
      <c r="AY144"/>
      <c r="AZ144" s="190" t="str">
        <f ca="1">IF(ISNUMBER(OFFSET(AV144,-$F$21,0)),SUM(OFFSET($T$100,$F$21,0):$T144),"")</f>
        <v/>
      </c>
      <c r="BA144" s="190" t="str">
        <f t="shared" ca="1" si="84"/>
        <v/>
      </c>
      <c r="BB144" s="190" t="str">
        <f t="shared" ca="1" si="70"/>
        <v/>
      </c>
      <c r="BC144" s="190"/>
      <c r="BD144" s="190" t="str">
        <f ca="1">IFERROR(IF(OR(ISNUMBER(I),ISNUMBER($F$14)),IF(AND($B144&gt;=($F$16-$F$15),$B144&lt;$F$22+($F$16-$F$15)),SUM(OFFSET($T$100,($F$16-$F$15),0):$T144),""),""),"")</f>
        <v/>
      </c>
      <c r="BE144" s="190" t="str">
        <f t="shared" ca="1" si="58"/>
        <v/>
      </c>
      <c r="BF144" s="190" t="str">
        <f t="shared" ca="1" si="59"/>
        <v/>
      </c>
      <c r="BG144"/>
      <c r="BH144" s="190" t="str">
        <f ca="1">IF(ISNUMBER(OFFSET(BD144,-$F$21,0)),SUM(OFFSET($T$100,($F$16-$F$15+$F$21),0):$T144),"")</f>
        <v/>
      </c>
      <c r="BI144" s="190" t="str">
        <f t="shared" ca="1" si="85"/>
        <v/>
      </c>
      <c r="BJ144" s="190" t="str">
        <f t="shared" ca="1" si="60"/>
        <v/>
      </c>
      <c r="BK144" s="190"/>
      <c r="BL144" s="190" t="str">
        <f ca="1">IFERROR(IF(OR(ISNUMBER(I),ISNUMBER($F$14)),IF(AND($B144&gt;=($F$17-$F$15),$B144&lt;$F$22+($F$17-$F$15)),SUM(OFFSET($T$100,($F$17-$F$15),0):$T144),""),""),"")</f>
        <v/>
      </c>
      <c r="BM144" s="190" t="str">
        <f t="shared" ca="1" si="86"/>
        <v/>
      </c>
      <c r="BN144" s="190" t="str">
        <f t="shared" ca="1" si="61"/>
        <v/>
      </c>
      <c r="BO144"/>
      <c r="BP144" s="190" t="str">
        <f ca="1">IF(ISNUMBER(OFFSET(BL144,-$F$21,0)),SUM(OFFSET($T$100,($F$17-$F$15+$F$21),0):$T144),"")</f>
        <v/>
      </c>
      <c r="BQ144" s="190" t="str">
        <f t="shared" ca="1" si="87"/>
        <v/>
      </c>
      <c r="BR144" s="190" t="str">
        <f t="shared" ca="1" si="63"/>
        <v/>
      </c>
      <c r="BS144" s="190"/>
      <c r="BT144"/>
      <c r="BU144"/>
      <c r="BV144"/>
      <c r="BY144" s="99"/>
      <c r="BZ144" s="99"/>
      <c r="CA144" s="280" t="str">
        <f t="shared" si="88"/>
        <v/>
      </c>
      <c r="CB144" s="71" t="str">
        <f t="shared" si="31"/>
        <v>-</v>
      </c>
      <c r="CC144" s="33"/>
      <c r="CD144" s="261" t="str">
        <f t="shared" si="33"/>
        <v/>
      </c>
      <c r="CE144" s="280" t="str">
        <f t="shared" si="89"/>
        <v/>
      </c>
      <c r="CF144" s="71" t="str">
        <f t="shared" ca="1" si="90"/>
        <v/>
      </c>
      <c r="CG144" s="33" t="str">
        <f t="shared" si="36"/>
        <v/>
      </c>
      <c r="CH144" s="261" t="str">
        <f t="shared" ca="1" si="37"/>
        <v/>
      </c>
      <c r="CI144" s="202"/>
      <c r="CJ144" s="99"/>
      <c r="CK144" s="99"/>
      <c r="CL144" s="99"/>
      <c r="CM144" s="99"/>
      <c r="CN144" s="99"/>
      <c r="CO144" s="99"/>
    </row>
    <row r="145" spans="2:93" ht="13.5" customHeight="1" x14ac:dyDescent="0.2">
      <c r="B145" s="262">
        <v>45</v>
      </c>
      <c r="C145" s="237" t="str">
        <f t="shared" si="1"/>
        <v/>
      </c>
      <c r="D145" s="237" t="str">
        <f t="shared" si="66"/>
        <v/>
      </c>
      <c r="E145" s="290" t="str">
        <f t="shared" si="38"/>
        <v/>
      </c>
      <c r="F145" s="264" t="str">
        <f t="shared" si="39"/>
        <v/>
      </c>
      <c r="G145" s="291" t="str">
        <f t="shared" si="40"/>
        <v/>
      </c>
      <c r="H145" s="240" t="str">
        <f t="shared" si="71"/>
        <v/>
      </c>
      <c r="I145" s="265" t="str">
        <f t="shared" si="72"/>
        <v/>
      </c>
      <c r="J145" s="265" t="str">
        <f t="shared" si="73"/>
        <v/>
      </c>
      <c r="K145" s="240" t="str">
        <f t="shared" si="74"/>
        <v/>
      </c>
      <c r="L145" s="265" t="str">
        <f t="shared" si="75"/>
        <v/>
      </c>
      <c r="M145" s="265" t="str">
        <f t="shared" si="76"/>
        <v/>
      </c>
      <c r="N145" s="240" t="str">
        <f t="shared" si="77"/>
        <v>-</v>
      </c>
      <c r="O145" s="265" t="str">
        <f t="shared" si="78"/>
        <v>-</v>
      </c>
      <c r="P145" s="265" t="str">
        <f t="shared" si="79"/>
        <v>-</v>
      </c>
      <c r="Q145" s="266" t="str">
        <f t="shared" si="80"/>
        <v>-</v>
      </c>
      <c r="R145" s="267" t="str">
        <f t="shared" si="81"/>
        <v>-</v>
      </c>
      <c r="S145" s="268" t="str">
        <f t="shared" si="82"/>
        <v>-</v>
      </c>
      <c r="T145" s="269" t="str">
        <f t="shared" si="13"/>
        <v/>
      </c>
      <c r="U145" s="221">
        <f t="shared" si="14"/>
        <v>45</v>
      </c>
      <c r="V145" s="220" t="str">
        <f t="shared" si="42"/>
        <v>-</v>
      </c>
      <c r="W145" s="221" t="str">
        <f t="shared" si="43"/>
        <v>-</v>
      </c>
      <c r="X145" s="221" t="str">
        <f t="shared" si="15"/>
        <v>-</v>
      </c>
      <c r="Y145" s="221" t="str">
        <f t="shared" si="16"/>
        <v>-</v>
      </c>
      <c r="Z145" s="270">
        <f t="shared" si="44"/>
        <v>0.1</v>
      </c>
      <c r="AA145" s="271" t="str">
        <f>IFERROR(IF(V144=1,AA$100*EXP(-(LN(2)/$D$65+0.04)*X144)*EXP(-(LN(2)/$D$65+0.1)*Y144),IF(V144=2,AA$100*EXP(-(LN(2)/$D$65+0.04)*(VLOOKUP(($F$16-$F$15)-1,U$99:Y144,4,FALSE)))*EXP(-(LN(2)/$D$65+0.1)*(VLOOKUP(($F$16-$F$15)-1,U$99:Y144,5,FALSE)))*EXP(-(LN(2)/$D$65+0.04)*X144)*EXP(-(LN(2)/$D$65+0.1)*Y144),IF(V144=3,AA$100*EXP(-(LN(2)/$D$65+0.04)*(VLOOKUP(($F$16-$F$15)-1,U$99:Y144,4,FALSE)))*EXP(-(LN(2)/$D$65+0.1)*(VLOOKUP(($F$16-$F$15)-1,U$99:Y144,5,FALSE)))*EXP(-(LN(2)/$D$65+0.04)*(VLOOKUP(($F$16-$F$15)*2-1,U$99:Y144,4,FALSE)))*EXP(-(LN(2)/$D$65+0.1)*(VLOOKUP(($F$16-$F$15)*2-1,U$99:Y144,5,FALSE)))*EXP(-(LN(2)/$D$65+0.04)*X144)*EXP(-(LN(2)/$D$65+0.1)*Y144),"-"))),"-")</f>
        <v>-</v>
      </c>
      <c r="AB145" s="271" t="str">
        <f>IFERROR(IF(V145=1,AB$100*EXP(-(LN(2)/$D$65+0.04)*X145)*EXP(-(LN(2)/$D$65+0.1)*Y145),IF(V145=2,AB$100*EXP(-(LN(2)/$D$65+0.04)*(VLOOKUP(($F$16-$F$15)-1,U$100:Y145,4,FALSE)))*EXP(-(LN(2)/$D$65+0.1)*(VLOOKUP(($F$16-$F$15)-1,U$100:Y145,5,FALSE)))*EXP(-(LN(2)/$D$65+0.04)*X145)*EXP(-(LN(2)/$D$65+0.1)*Y145),IF(V145=3,AB$100*EXP(-(LN(2)/$D$65+0.04)*(VLOOKUP(($F$16-$F$15)-1,U$100:Y145,4,FALSE)))*EXP(-(LN(2)/$D$65+0.1)*(VLOOKUP(($F$16-$F$15)-1,U$100:Y145,5,FALSE)))*EXP(-(LN(2)/$D$65+0.04)*(VLOOKUP(($F$16-$F$15)*2-1,U$100:Y145,4,FALSE)))*EXP(-(LN(2)/$D$65+0.1)*(VLOOKUP(($F$16-$F$15)*2-1,U$100:Y145,5,FALSE)))*EXP(-(LN(2)/$D$65+0.04)*X145)*EXP(-(LN(2)/$D$65+0.1)*Y145),"-"))),"-")</f>
        <v>-</v>
      </c>
      <c r="AC145" s="224">
        <f t="shared" si="45"/>
        <v>45</v>
      </c>
      <c r="AD145" s="223" t="str">
        <f t="shared" si="18"/>
        <v>-</v>
      </c>
      <c r="AE145" s="224" t="str">
        <f t="shared" si="46"/>
        <v>-</v>
      </c>
      <c r="AF145" s="224" t="str">
        <f t="shared" si="19"/>
        <v>-</v>
      </c>
      <c r="AG145" s="224" t="str">
        <f t="shared" si="20"/>
        <v>-</v>
      </c>
      <c r="AH145" s="272">
        <f t="shared" si="47"/>
        <v>0.1</v>
      </c>
      <c r="AI145" s="271" t="str">
        <f>IFERROR(IF(AD144=1,AI$100*EXP(-(LN(2)/$D$65+0.04)*AF144)*EXP(-(LN(2)/$D$65+0.1)*AG144),IF(AD144=2,AI$100*EXP(-(LN(2)/$D$65+0.04)*(VLOOKUP(($F$16-$F$15)-1,AC$99:AG144,4,FALSE)))*EXP(-(LN(2)/$D$65+0.1)*(VLOOKUP(($F$16-$F$15)-1,AC$99:AG144,5,FALSE)))*EXP(-(LN(2)/$D$65+0.04)*AF144)*EXP(-(LN(2)/$D$65+0.1)*AG144),IF(AD144=3,AI$100*EXP(-(LN(2)/$D$65+0.04)*(VLOOKUP(($F$16-$F$15)-1,AC$99:AG144,4,FALSE)))*EXP(-(LN(2)/$D$65+0.1)*(VLOOKUP(($F$16-$F$15)-1,AC$99:AG144,5,FALSE)))*EXP(-(LN(2)/$D$65+0.04)*(VLOOKUP(($F$16-$F$15)*2-1,AC$99:AG144,4,FALSE)))*EXP(-(LN(2)/$D$65+0.1)*(VLOOKUP(($F$16-$F$15)*2-1,AC$99:AG144,5,FALSE)))*EXP(-(LN(2)/$D$65+0.04)*AF144)*EXP(-(LN(2)/$D$65+0.1)*AG144),"-"))),"-")</f>
        <v>-</v>
      </c>
      <c r="AJ145" s="271" t="str">
        <f>IFERROR(IF(AD145=1,AJ$100*EXP(-(LN(2)/$D$65+0.04)*AF145)*EXP(-(LN(2)/$D$65+0.1)*AG145),IF(AD145=2,AJ$100*EXP(-(LN(2)/$D$65+0.04)*(VLOOKUP(($F$16-$F$15)-1,AC$100:AG145,4,FALSE)))*EXP(-(LN(2)/$D$65+0.1)*(VLOOKUP(($F$16-$F$15)-1,AC$100:AG145,5,FALSE)))*EXP(-(LN(2)/$D$65+0.04)*AF145)*EXP(-(LN(2)/$D$65+0.1)*AG145),IF(AD145=3,AJ$100*EXP(-(LN(2)/$D$65+0.04)*(VLOOKUP(($F$16-$F$15)-1,AC$100:AG145,4,FALSE)))*EXP(-(LN(2)/$D$65+0.1)*(VLOOKUP(($F$16-$F$15)-1,AC$100:AG145,5,FALSE)))*EXP(-(LN(2)/$D$65+0.04)*(VLOOKUP(($F$16-$F$15)*2-1,AC$100:AG145,4,FALSE)))*EXP(-(LN(2)/$D$65+0.1)*(VLOOKUP(($F$16-$F$15)*2-1,AC$100:AG145,5,FALSE)))*EXP(-(LN(2)/$D$65+0.04)*AF145)*EXP(-(LN(2)/$D$65+0.1)*AG145),"-"))),"-")</f>
        <v>-</v>
      </c>
      <c r="AK145" s="227">
        <f t="shared" si="49"/>
        <v>45</v>
      </c>
      <c r="AL145" s="226" t="str">
        <f t="shared" si="22"/>
        <v>-</v>
      </c>
      <c r="AM145" s="227" t="str">
        <f t="shared" si="50"/>
        <v>-</v>
      </c>
      <c r="AN145" s="227" t="str">
        <f t="shared" si="51"/>
        <v>-</v>
      </c>
      <c r="AO145" s="227" t="str">
        <f t="shared" si="23"/>
        <v>-</v>
      </c>
      <c r="AP145" s="273">
        <f t="shared" si="52"/>
        <v>0.1</v>
      </c>
      <c r="AQ145" s="271" t="str">
        <f>IFERROR(IF(AL144=1,AQ$100*EXP(-(LN(2)/$D$65+0.04)*AN144)*EXP(-(LN(2)/$D$65+0.1)*AO144),IF(AL144=2,AQ$100*EXP(-(LN(2)/$D$65+0.04)*(VLOOKUP(($F$16-$F$15)-1,AK$99:AO144,4,FALSE)))*EXP(-(LN(2)/$D$65+0.1)*(VLOOKUP(($F$16-$F$15)-1,AK$99:AO144,5,FALSE)))*EXP(-(LN(2)/$D$65+0.04)*AN144)*EXP(-(LN(2)/$D$65+0.1)*AO144),IF(AL144=3,AQ$100*EXP(-(LN(2)/$D$65+0.04)*(VLOOKUP(($F$16-$F$15)-1,AK$99:AO144,4,FALSE)))*EXP(-(LN(2)/$D$65+0.1)*(VLOOKUP(($F$16-$F$15)-1,AK$99:AO144,5,FALSE)))*EXP(-(LN(2)/$D$65+0.04)*(VLOOKUP(($F$16-$F$15)*2-1,AK$99:AO144,4,FALSE)))*EXP(-(LN(2)/$D$65+0.1)*(VLOOKUP(($F$16-$F$15)*2-1,AK$99:AO144,5,FALSE)))*EXP(-(LN(2)/$D$65+0.04)*AN144)*EXP(-(LN(2)/$D$65+0.1)*AO144),"-"))),"-")</f>
        <v>-</v>
      </c>
      <c r="AR145" s="271" t="str">
        <f>IFERROR(IF(AL145=1,AR$100*EXP(-(LN(2)/$D$65+0.04)*AN145)*EXP(-(LN(2)/$D$65+0.1)*AO145),IF(AL145=2,AR$100*EXP(-(LN(2)/$D$65+0.04)*(VLOOKUP(($F$16-$F$15)-1,AK$100:AO145,4,FALSE)))*EXP(-(LN(2)/$D$65+0.1)*(VLOOKUP(($F$16-$F$15)-1,AK$100:AO145,5,FALSE)))*EXP(-(LN(2)/$D$65+0.04)*AN145)*EXP(-(LN(2)/$D$65+0.1)*AO145),IF(AL145=3,AR$100*EXP(-(LN(2)/$D$65+0.04)*(VLOOKUP(($F$16-$F$15)-1,AK$100:AO145,4,FALSE)))*EXP(-(LN(2)/$D$65+0.1)*(VLOOKUP(($F$16-$F$15)-1,AK$100:AO145,5,FALSE)))*EXP(-(LN(2)/$D$65+0.04)*(VLOOKUP(($F$16-$F$15)*2-1,AK$100:AO145,4,FALSE)))*EXP(-(LN(2)/$D$65+0.1)*(VLOOKUP(($F$16-$F$15)*2-1,AK$100:AO145,5,FALSE)))*EXP(-(LN(2)/$D$65+0.04)*AN145)*EXP(-(LN(2)/$D$65+0.1)*AO145),"-"))),"-")</f>
        <v>-</v>
      </c>
      <c r="AS145" s="274">
        <f t="shared" si="24"/>
        <v>0</v>
      </c>
      <c r="AT145" s="274">
        <f t="shared" si="25"/>
        <v>0</v>
      </c>
      <c r="AU145" s="274">
        <f t="shared" si="26"/>
        <v>0</v>
      </c>
      <c r="AV145" s="190" t="str">
        <f>IF($B145&lt;$F$22,SUM($T$100:$T145),"")</f>
        <v/>
      </c>
      <c r="AW145" s="190" t="str">
        <f t="shared" si="83"/>
        <v>-</v>
      </c>
      <c r="AX145" s="190" t="str">
        <f t="shared" si="56"/>
        <v/>
      </c>
      <c r="AY145"/>
      <c r="AZ145" s="190" t="str">
        <f ca="1">IF(ISNUMBER(OFFSET(AV145,-$F$21,0)),SUM(OFFSET($T$100,$F$21,0):$T145),"")</f>
        <v/>
      </c>
      <c r="BA145" s="190" t="str">
        <f t="shared" ca="1" si="84"/>
        <v/>
      </c>
      <c r="BB145" s="190" t="str">
        <f t="shared" ca="1" si="70"/>
        <v/>
      </c>
      <c r="BC145" s="190"/>
      <c r="BD145" s="190" t="str">
        <f ca="1">IFERROR(IF(OR(ISNUMBER(I),ISNUMBER($F$14)),IF(AND($B145&gt;=($F$16-$F$15),$B145&lt;$F$22+($F$16-$F$15)),SUM(OFFSET($T$100,($F$16-$F$15),0):$T145),""),""),"")</f>
        <v/>
      </c>
      <c r="BE145" s="190" t="str">
        <f t="shared" ca="1" si="58"/>
        <v/>
      </c>
      <c r="BF145" s="190" t="str">
        <f t="shared" ca="1" si="59"/>
        <v/>
      </c>
      <c r="BG145"/>
      <c r="BH145" s="190" t="str">
        <f ca="1">IF(ISNUMBER(OFFSET(BD145,-$F$21,0)),SUM(OFFSET($T$100,($F$16-$F$15+$F$21),0):$T145),"")</f>
        <v/>
      </c>
      <c r="BI145" s="190" t="str">
        <f t="shared" ca="1" si="85"/>
        <v/>
      </c>
      <c r="BJ145" s="190" t="str">
        <f t="shared" ca="1" si="60"/>
        <v/>
      </c>
      <c r="BK145" s="190"/>
      <c r="BL145" s="190" t="str">
        <f ca="1">IFERROR(IF(OR(ISNUMBER(I),ISNUMBER($F$14)),IF(AND($B145&gt;=($F$17-$F$15),$B145&lt;$F$22+($F$17-$F$15)),SUM(OFFSET($T$100,($F$17-$F$15),0):$T145),""),""),"")</f>
        <v/>
      </c>
      <c r="BM145" s="190" t="str">
        <f t="shared" ca="1" si="86"/>
        <v/>
      </c>
      <c r="BN145" s="190" t="str">
        <f t="shared" ca="1" si="61"/>
        <v/>
      </c>
      <c r="BO145"/>
      <c r="BP145" s="190" t="str">
        <f ca="1">IF(ISNUMBER(OFFSET(BL145,-$F$21,0)),SUM(OFFSET($T$100,($F$17-$F$15+$F$21),0):$T145),"")</f>
        <v/>
      </c>
      <c r="BQ145" s="190" t="str">
        <f t="shared" ca="1" si="87"/>
        <v/>
      </c>
      <c r="BR145" s="190" t="str">
        <f t="shared" ca="1" si="63"/>
        <v/>
      </c>
      <c r="BS145" s="190"/>
      <c r="BT145"/>
      <c r="BU145"/>
      <c r="BV145"/>
      <c r="BY145" s="99"/>
      <c r="BZ145" s="99"/>
      <c r="CA145" s="280" t="str">
        <f t="shared" si="88"/>
        <v/>
      </c>
      <c r="CB145" s="71" t="str">
        <f t="shared" si="31"/>
        <v>-</v>
      </c>
      <c r="CC145" s="33"/>
      <c r="CD145" s="261" t="str">
        <f t="shared" si="33"/>
        <v/>
      </c>
      <c r="CE145" s="280" t="str">
        <f t="shared" si="89"/>
        <v/>
      </c>
      <c r="CF145" s="71" t="str">
        <f t="shared" ca="1" si="90"/>
        <v/>
      </c>
      <c r="CG145" s="33" t="str">
        <f t="shared" si="36"/>
        <v/>
      </c>
      <c r="CH145" s="261" t="str">
        <f t="shared" ca="1" si="37"/>
        <v/>
      </c>
      <c r="CI145" s="202"/>
      <c r="CJ145" s="99"/>
      <c r="CK145" s="99"/>
      <c r="CL145" s="99"/>
      <c r="CM145" s="99"/>
      <c r="CN145" s="99"/>
      <c r="CO145" s="99"/>
    </row>
    <row r="146" spans="2:93" ht="13.5" customHeight="1" x14ac:dyDescent="0.2">
      <c r="B146" s="262">
        <v>46</v>
      </c>
      <c r="C146" s="237" t="str">
        <f t="shared" si="1"/>
        <v/>
      </c>
      <c r="D146" s="237" t="str">
        <f t="shared" si="66"/>
        <v/>
      </c>
      <c r="E146" s="290" t="str">
        <f t="shared" si="38"/>
        <v/>
      </c>
      <c r="F146" s="264" t="str">
        <f t="shared" si="39"/>
        <v/>
      </c>
      <c r="G146" s="291" t="str">
        <f t="shared" si="40"/>
        <v/>
      </c>
      <c r="H146" s="240" t="str">
        <f t="shared" si="71"/>
        <v/>
      </c>
      <c r="I146" s="265" t="str">
        <f t="shared" si="72"/>
        <v/>
      </c>
      <c r="J146" s="265" t="str">
        <f t="shared" si="73"/>
        <v/>
      </c>
      <c r="K146" s="240" t="str">
        <f t="shared" si="74"/>
        <v/>
      </c>
      <c r="L146" s="265" t="str">
        <f t="shared" si="75"/>
        <v/>
      </c>
      <c r="M146" s="265" t="str">
        <f t="shared" si="76"/>
        <v/>
      </c>
      <c r="N146" s="240" t="str">
        <f t="shared" si="77"/>
        <v>-</v>
      </c>
      <c r="O146" s="265" t="str">
        <f t="shared" si="78"/>
        <v>-</v>
      </c>
      <c r="P146" s="265" t="str">
        <f t="shared" si="79"/>
        <v>-</v>
      </c>
      <c r="Q146" s="266" t="str">
        <f t="shared" si="80"/>
        <v>-</v>
      </c>
      <c r="R146" s="267" t="str">
        <f t="shared" si="81"/>
        <v>-</v>
      </c>
      <c r="S146" s="268" t="str">
        <f t="shared" si="82"/>
        <v>-</v>
      </c>
      <c r="T146" s="269" t="str">
        <f t="shared" si="13"/>
        <v/>
      </c>
      <c r="U146" s="221">
        <f t="shared" si="14"/>
        <v>46</v>
      </c>
      <c r="V146" s="220" t="str">
        <f t="shared" si="42"/>
        <v>-</v>
      </c>
      <c r="W146" s="221" t="str">
        <f t="shared" si="43"/>
        <v>-</v>
      </c>
      <c r="X146" s="221" t="str">
        <f t="shared" si="15"/>
        <v>-</v>
      </c>
      <c r="Y146" s="221" t="str">
        <f t="shared" si="16"/>
        <v>-</v>
      </c>
      <c r="Z146" s="270">
        <f t="shared" si="44"/>
        <v>0.1</v>
      </c>
      <c r="AA146" s="271" t="str">
        <f>IFERROR(IF(V145=1,AA$100*EXP(-(LN(2)/$D$65+0.04)*X145)*EXP(-(LN(2)/$D$65+0.1)*Y145),IF(V145=2,AA$100*EXP(-(LN(2)/$D$65+0.04)*(VLOOKUP(($F$16-$F$15)-1,U$99:Y145,4,FALSE)))*EXP(-(LN(2)/$D$65+0.1)*(VLOOKUP(($F$16-$F$15)-1,U$99:Y145,5,FALSE)))*EXP(-(LN(2)/$D$65+0.04)*X145)*EXP(-(LN(2)/$D$65+0.1)*Y145),IF(V145=3,AA$100*EXP(-(LN(2)/$D$65+0.04)*(VLOOKUP(($F$16-$F$15)-1,U$99:Y145,4,FALSE)))*EXP(-(LN(2)/$D$65+0.1)*(VLOOKUP(($F$16-$F$15)-1,U$99:Y145,5,FALSE)))*EXP(-(LN(2)/$D$65+0.04)*(VLOOKUP(($F$16-$F$15)*2-1,U$99:Y145,4,FALSE)))*EXP(-(LN(2)/$D$65+0.1)*(VLOOKUP(($F$16-$F$15)*2-1,U$99:Y145,5,FALSE)))*EXP(-(LN(2)/$D$65+0.04)*X145)*EXP(-(LN(2)/$D$65+0.1)*Y145),"-"))),"-")</f>
        <v>-</v>
      </c>
      <c r="AB146" s="271" t="str">
        <f>IFERROR(IF(V146=1,AB$100*EXP(-(LN(2)/$D$65+0.04)*X146)*EXP(-(LN(2)/$D$65+0.1)*Y146),IF(V146=2,AB$100*EXP(-(LN(2)/$D$65+0.04)*(VLOOKUP(($F$16-$F$15)-1,U$100:Y146,4,FALSE)))*EXP(-(LN(2)/$D$65+0.1)*(VLOOKUP(($F$16-$F$15)-1,U$100:Y146,5,FALSE)))*EXP(-(LN(2)/$D$65+0.04)*X146)*EXP(-(LN(2)/$D$65+0.1)*Y146),IF(V146=3,AB$100*EXP(-(LN(2)/$D$65+0.04)*(VLOOKUP(($F$16-$F$15)-1,U$100:Y146,4,FALSE)))*EXP(-(LN(2)/$D$65+0.1)*(VLOOKUP(($F$16-$F$15)-1,U$100:Y146,5,FALSE)))*EXP(-(LN(2)/$D$65+0.04)*(VLOOKUP(($F$16-$F$15)*2-1,U$100:Y146,4,FALSE)))*EXP(-(LN(2)/$D$65+0.1)*(VLOOKUP(($F$16-$F$15)*2-1,U$100:Y146,5,FALSE)))*EXP(-(LN(2)/$D$65+0.04)*X146)*EXP(-(LN(2)/$D$65+0.1)*Y146),"-"))),"-")</f>
        <v>-</v>
      </c>
      <c r="AC146" s="224">
        <f t="shared" si="45"/>
        <v>46</v>
      </c>
      <c r="AD146" s="223" t="str">
        <f t="shared" si="18"/>
        <v>-</v>
      </c>
      <c r="AE146" s="224" t="str">
        <f t="shared" si="46"/>
        <v>-</v>
      </c>
      <c r="AF146" s="224" t="str">
        <f t="shared" si="19"/>
        <v>-</v>
      </c>
      <c r="AG146" s="224" t="str">
        <f t="shared" si="20"/>
        <v>-</v>
      </c>
      <c r="AH146" s="272">
        <f t="shared" si="47"/>
        <v>0.1</v>
      </c>
      <c r="AI146" s="271" t="str">
        <f>IFERROR(IF(AD145=1,AI$100*EXP(-(LN(2)/$D$65+0.04)*AF145)*EXP(-(LN(2)/$D$65+0.1)*AG145),IF(AD145=2,AI$100*EXP(-(LN(2)/$D$65+0.04)*(VLOOKUP(($F$16-$F$15)-1,AC$99:AG145,4,FALSE)))*EXP(-(LN(2)/$D$65+0.1)*(VLOOKUP(($F$16-$F$15)-1,AC$99:AG145,5,FALSE)))*EXP(-(LN(2)/$D$65+0.04)*AF145)*EXP(-(LN(2)/$D$65+0.1)*AG145),IF(AD145=3,AI$100*EXP(-(LN(2)/$D$65+0.04)*(VLOOKUP(($F$16-$F$15)-1,AC$99:AG145,4,FALSE)))*EXP(-(LN(2)/$D$65+0.1)*(VLOOKUP(($F$16-$F$15)-1,AC$99:AG145,5,FALSE)))*EXP(-(LN(2)/$D$65+0.04)*(VLOOKUP(($F$16-$F$15)*2-1,AC$99:AG145,4,FALSE)))*EXP(-(LN(2)/$D$65+0.1)*(VLOOKUP(($F$16-$F$15)*2-1,AC$99:AG145,5,FALSE)))*EXP(-(LN(2)/$D$65+0.04)*AF145)*EXP(-(LN(2)/$D$65+0.1)*AG145),"-"))),"-")</f>
        <v>-</v>
      </c>
      <c r="AJ146" s="271" t="str">
        <f>IFERROR(IF(AD146=1,AJ$100*EXP(-(LN(2)/$D$65+0.04)*AF146)*EXP(-(LN(2)/$D$65+0.1)*AG146),IF(AD146=2,AJ$100*EXP(-(LN(2)/$D$65+0.04)*(VLOOKUP(($F$16-$F$15)-1,AC$100:AG146,4,FALSE)))*EXP(-(LN(2)/$D$65+0.1)*(VLOOKUP(($F$16-$F$15)-1,AC$100:AG146,5,FALSE)))*EXP(-(LN(2)/$D$65+0.04)*AF146)*EXP(-(LN(2)/$D$65+0.1)*AG146),IF(AD146=3,AJ$100*EXP(-(LN(2)/$D$65+0.04)*(VLOOKUP(($F$16-$F$15)-1,AC$100:AG146,4,FALSE)))*EXP(-(LN(2)/$D$65+0.1)*(VLOOKUP(($F$16-$F$15)-1,AC$100:AG146,5,FALSE)))*EXP(-(LN(2)/$D$65+0.04)*(VLOOKUP(($F$16-$F$15)*2-1,AC$100:AG146,4,FALSE)))*EXP(-(LN(2)/$D$65+0.1)*(VLOOKUP(($F$16-$F$15)*2-1,AC$100:AG146,5,FALSE)))*EXP(-(LN(2)/$D$65+0.04)*AF146)*EXP(-(LN(2)/$D$65+0.1)*AG146),"-"))),"-")</f>
        <v>-</v>
      </c>
      <c r="AK146" s="227">
        <f t="shared" si="49"/>
        <v>46</v>
      </c>
      <c r="AL146" s="226" t="str">
        <f t="shared" si="22"/>
        <v>-</v>
      </c>
      <c r="AM146" s="227" t="str">
        <f t="shared" si="50"/>
        <v>-</v>
      </c>
      <c r="AN146" s="227" t="str">
        <f t="shared" si="51"/>
        <v>-</v>
      </c>
      <c r="AO146" s="227" t="str">
        <f t="shared" si="23"/>
        <v>-</v>
      </c>
      <c r="AP146" s="273">
        <f t="shared" si="52"/>
        <v>0.1</v>
      </c>
      <c r="AQ146" s="271" t="str">
        <f>IFERROR(IF(AL145=1,AQ$100*EXP(-(LN(2)/$D$65+0.04)*AN145)*EXP(-(LN(2)/$D$65+0.1)*AO145),IF(AL145=2,AQ$100*EXP(-(LN(2)/$D$65+0.04)*(VLOOKUP(($F$16-$F$15)-1,AK$99:AO145,4,FALSE)))*EXP(-(LN(2)/$D$65+0.1)*(VLOOKUP(($F$16-$F$15)-1,AK$99:AO145,5,FALSE)))*EXP(-(LN(2)/$D$65+0.04)*AN145)*EXP(-(LN(2)/$D$65+0.1)*AO145),IF(AL145=3,AQ$100*EXP(-(LN(2)/$D$65+0.04)*(VLOOKUP(($F$16-$F$15)-1,AK$99:AO145,4,FALSE)))*EXP(-(LN(2)/$D$65+0.1)*(VLOOKUP(($F$16-$F$15)-1,AK$99:AO145,5,FALSE)))*EXP(-(LN(2)/$D$65+0.04)*(VLOOKUP(($F$16-$F$15)*2-1,AK$99:AO145,4,FALSE)))*EXP(-(LN(2)/$D$65+0.1)*(VLOOKUP(($F$16-$F$15)*2-1,AK$99:AO145,5,FALSE)))*EXP(-(LN(2)/$D$65+0.04)*AN145)*EXP(-(LN(2)/$D$65+0.1)*AO145),"-"))),"-")</f>
        <v>-</v>
      </c>
      <c r="AR146" s="271" t="str">
        <f>IFERROR(IF(AL146=1,AR$100*EXP(-(LN(2)/$D$65+0.04)*AN146)*EXP(-(LN(2)/$D$65+0.1)*AO146),IF(AL146=2,AR$100*EXP(-(LN(2)/$D$65+0.04)*(VLOOKUP(($F$16-$F$15)-1,AK$100:AO146,4,FALSE)))*EXP(-(LN(2)/$D$65+0.1)*(VLOOKUP(($F$16-$F$15)-1,AK$100:AO146,5,FALSE)))*EXP(-(LN(2)/$D$65+0.04)*AN146)*EXP(-(LN(2)/$D$65+0.1)*AO146),IF(AL146=3,AR$100*EXP(-(LN(2)/$D$65+0.04)*(VLOOKUP(($F$16-$F$15)-1,AK$100:AO146,4,FALSE)))*EXP(-(LN(2)/$D$65+0.1)*(VLOOKUP(($F$16-$F$15)-1,AK$100:AO146,5,FALSE)))*EXP(-(LN(2)/$D$65+0.04)*(VLOOKUP(($F$16-$F$15)*2-1,AK$100:AO146,4,FALSE)))*EXP(-(LN(2)/$D$65+0.1)*(VLOOKUP(($F$16-$F$15)*2-1,AK$100:AO146,5,FALSE)))*EXP(-(LN(2)/$D$65+0.04)*AN146)*EXP(-(LN(2)/$D$65+0.1)*AO146),"-"))),"-")</f>
        <v>-</v>
      </c>
      <c r="AS146" s="274">
        <f t="shared" si="24"/>
        <v>0</v>
      </c>
      <c r="AT146" s="274">
        <f t="shared" si="25"/>
        <v>0</v>
      </c>
      <c r="AU146" s="274">
        <f t="shared" si="26"/>
        <v>0</v>
      </c>
      <c r="AV146" s="190" t="str">
        <f>IF($B146&lt;$F$22,SUM($T$100:$T146),"")</f>
        <v/>
      </c>
      <c r="AW146" s="190" t="str">
        <f t="shared" si="83"/>
        <v>-</v>
      </c>
      <c r="AX146" s="190" t="str">
        <f t="shared" si="56"/>
        <v/>
      </c>
      <c r="AY146"/>
      <c r="AZ146" s="190" t="str">
        <f ca="1">IF(ISNUMBER(OFFSET(AV146,-$F$21,0)),SUM(OFFSET($T$100,$F$21,0):$T146),"")</f>
        <v/>
      </c>
      <c r="BA146" s="190" t="str">
        <f t="shared" ca="1" si="84"/>
        <v/>
      </c>
      <c r="BB146" s="190" t="str">
        <f t="shared" ca="1" si="70"/>
        <v/>
      </c>
      <c r="BC146" s="190"/>
      <c r="BD146" s="190" t="str">
        <f ca="1">IFERROR(IF(OR(ISNUMBER(I),ISNUMBER($F$14)),IF(AND($B146&gt;=($F$16-$F$15),$B146&lt;$F$22+($F$16-$F$15)),SUM(OFFSET($T$100,($F$16-$F$15),0):$T146),""),""),"")</f>
        <v/>
      </c>
      <c r="BE146" s="190" t="str">
        <f t="shared" ca="1" si="58"/>
        <v/>
      </c>
      <c r="BF146" s="190" t="str">
        <f t="shared" ca="1" si="59"/>
        <v/>
      </c>
      <c r="BG146"/>
      <c r="BH146" s="190" t="str">
        <f ca="1">IF(ISNUMBER(OFFSET(BD146,-$F$21,0)),SUM(OFFSET($T$100,($F$16-$F$15+$F$21),0):$T146),"")</f>
        <v/>
      </c>
      <c r="BI146" s="190" t="str">
        <f t="shared" ca="1" si="85"/>
        <v/>
      </c>
      <c r="BJ146" s="190" t="str">
        <f t="shared" ca="1" si="60"/>
        <v/>
      </c>
      <c r="BK146" s="190"/>
      <c r="BL146" s="190" t="str">
        <f ca="1">IFERROR(IF(OR(ISNUMBER(I),ISNUMBER($F$14)),IF(AND($B146&gt;=($F$17-$F$15),$B146&lt;$F$22+($F$17-$F$15)),SUM(OFFSET($T$100,($F$17-$F$15),0):$T146),""),""),"")</f>
        <v/>
      </c>
      <c r="BM146" s="190" t="str">
        <f t="shared" ca="1" si="86"/>
        <v/>
      </c>
      <c r="BN146" s="190" t="str">
        <f t="shared" ca="1" si="61"/>
        <v/>
      </c>
      <c r="BO146"/>
      <c r="BP146" s="190" t="str">
        <f ca="1">IF(ISNUMBER(OFFSET(BL146,-$F$21,0)),SUM(OFFSET($T$100,($F$17-$F$15+$F$21),0):$T146),"")</f>
        <v/>
      </c>
      <c r="BQ146" s="190" t="str">
        <f t="shared" ca="1" si="87"/>
        <v/>
      </c>
      <c r="BR146" s="190" t="str">
        <f t="shared" ca="1" si="63"/>
        <v/>
      </c>
      <c r="BS146" s="190"/>
      <c r="BT146"/>
      <c r="BU146"/>
      <c r="BV146"/>
      <c r="BY146" s="99"/>
      <c r="BZ146" s="99"/>
      <c r="CA146" s="280" t="str">
        <f t="shared" si="88"/>
        <v/>
      </c>
      <c r="CB146" s="71" t="str">
        <f t="shared" si="31"/>
        <v>-</v>
      </c>
      <c r="CC146" s="33"/>
      <c r="CD146" s="261" t="str">
        <f t="shared" si="33"/>
        <v/>
      </c>
      <c r="CE146" s="280" t="str">
        <f t="shared" si="89"/>
        <v/>
      </c>
      <c r="CF146" s="71" t="str">
        <f t="shared" ca="1" si="90"/>
        <v/>
      </c>
      <c r="CG146" s="33" t="str">
        <f t="shared" si="36"/>
        <v/>
      </c>
      <c r="CH146" s="261" t="str">
        <f t="shared" ca="1" si="37"/>
        <v/>
      </c>
      <c r="CI146" s="202"/>
      <c r="CJ146" s="99"/>
      <c r="CK146" s="99"/>
      <c r="CL146" s="99"/>
      <c r="CM146" s="99"/>
      <c r="CN146" s="99"/>
      <c r="CO146" s="99"/>
    </row>
    <row r="147" spans="2:93" ht="13.5" customHeight="1" x14ac:dyDescent="0.2">
      <c r="B147" s="262">
        <v>47</v>
      </c>
      <c r="C147" s="237" t="str">
        <f t="shared" si="1"/>
        <v/>
      </c>
      <c r="D147" s="237" t="str">
        <f t="shared" si="66"/>
        <v/>
      </c>
      <c r="E147" s="290" t="str">
        <f t="shared" si="38"/>
        <v/>
      </c>
      <c r="F147" s="264" t="str">
        <f t="shared" si="39"/>
        <v/>
      </c>
      <c r="G147" s="291" t="str">
        <f t="shared" si="40"/>
        <v/>
      </c>
      <c r="H147" s="240" t="str">
        <f t="shared" si="71"/>
        <v/>
      </c>
      <c r="I147" s="265" t="str">
        <f t="shared" si="72"/>
        <v/>
      </c>
      <c r="J147" s="265" t="str">
        <f t="shared" si="73"/>
        <v/>
      </c>
      <c r="K147" s="240" t="str">
        <f t="shared" si="74"/>
        <v/>
      </c>
      <c r="L147" s="265" t="str">
        <f t="shared" si="75"/>
        <v/>
      </c>
      <c r="M147" s="265" t="str">
        <f t="shared" si="76"/>
        <v/>
      </c>
      <c r="N147" s="240" t="str">
        <f t="shared" si="77"/>
        <v>-</v>
      </c>
      <c r="O147" s="265" t="str">
        <f t="shared" si="78"/>
        <v>-</v>
      </c>
      <c r="P147" s="265" t="str">
        <f t="shared" si="79"/>
        <v>-</v>
      </c>
      <c r="Q147" s="266" t="str">
        <f t="shared" si="80"/>
        <v>-</v>
      </c>
      <c r="R147" s="267" t="str">
        <f t="shared" si="81"/>
        <v>-</v>
      </c>
      <c r="S147" s="268" t="str">
        <f t="shared" si="82"/>
        <v>-</v>
      </c>
      <c r="T147" s="269" t="str">
        <f t="shared" si="13"/>
        <v/>
      </c>
      <c r="U147" s="221">
        <f t="shared" si="14"/>
        <v>47</v>
      </c>
      <c r="V147" s="220" t="str">
        <f t="shared" si="42"/>
        <v>-</v>
      </c>
      <c r="W147" s="221" t="str">
        <f t="shared" si="43"/>
        <v>-</v>
      </c>
      <c r="X147" s="221" t="str">
        <f t="shared" si="15"/>
        <v>-</v>
      </c>
      <c r="Y147" s="221" t="str">
        <f t="shared" si="16"/>
        <v>-</v>
      </c>
      <c r="Z147" s="270">
        <f t="shared" si="44"/>
        <v>0.1</v>
      </c>
      <c r="AA147" s="271" t="str">
        <f>IFERROR(IF(V146=1,AA$100*EXP(-(LN(2)/$D$65+0.04)*X146)*EXP(-(LN(2)/$D$65+0.1)*Y146),IF(V146=2,AA$100*EXP(-(LN(2)/$D$65+0.04)*(VLOOKUP(($F$16-$F$15)-1,U$99:Y146,4,FALSE)))*EXP(-(LN(2)/$D$65+0.1)*(VLOOKUP(($F$16-$F$15)-1,U$99:Y146,5,FALSE)))*EXP(-(LN(2)/$D$65+0.04)*X146)*EXP(-(LN(2)/$D$65+0.1)*Y146),IF(V146=3,AA$100*EXP(-(LN(2)/$D$65+0.04)*(VLOOKUP(($F$16-$F$15)-1,U$99:Y146,4,FALSE)))*EXP(-(LN(2)/$D$65+0.1)*(VLOOKUP(($F$16-$F$15)-1,U$99:Y146,5,FALSE)))*EXP(-(LN(2)/$D$65+0.04)*(VLOOKUP(($F$16-$F$15)*2-1,U$99:Y146,4,FALSE)))*EXP(-(LN(2)/$D$65+0.1)*(VLOOKUP(($F$16-$F$15)*2-1,U$99:Y146,5,FALSE)))*EXP(-(LN(2)/$D$65+0.04)*X146)*EXP(-(LN(2)/$D$65+0.1)*Y146),"-"))),"-")</f>
        <v>-</v>
      </c>
      <c r="AB147" s="271" t="str">
        <f>IFERROR(IF(V147=1,AB$100*EXP(-(LN(2)/$D$65+0.04)*X147)*EXP(-(LN(2)/$D$65+0.1)*Y147),IF(V147=2,AB$100*EXP(-(LN(2)/$D$65+0.04)*(VLOOKUP(($F$16-$F$15)-1,U$100:Y147,4,FALSE)))*EXP(-(LN(2)/$D$65+0.1)*(VLOOKUP(($F$16-$F$15)-1,U$100:Y147,5,FALSE)))*EXP(-(LN(2)/$D$65+0.04)*X147)*EXP(-(LN(2)/$D$65+0.1)*Y147),IF(V147=3,AB$100*EXP(-(LN(2)/$D$65+0.04)*(VLOOKUP(($F$16-$F$15)-1,U$100:Y147,4,FALSE)))*EXP(-(LN(2)/$D$65+0.1)*(VLOOKUP(($F$16-$F$15)-1,U$100:Y147,5,FALSE)))*EXP(-(LN(2)/$D$65+0.04)*(VLOOKUP(($F$16-$F$15)*2-1,U$100:Y147,4,FALSE)))*EXP(-(LN(2)/$D$65+0.1)*(VLOOKUP(($F$16-$F$15)*2-1,U$100:Y147,5,FALSE)))*EXP(-(LN(2)/$D$65+0.04)*X147)*EXP(-(LN(2)/$D$65+0.1)*Y147),"-"))),"-")</f>
        <v>-</v>
      </c>
      <c r="AC147" s="224">
        <f t="shared" si="45"/>
        <v>47</v>
      </c>
      <c r="AD147" s="223" t="str">
        <f t="shared" si="18"/>
        <v>-</v>
      </c>
      <c r="AE147" s="224" t="str">
        <f t="shared" si="46"/>
        <v>-</v>
      </c>
      <c r="AF147" s="224" t="str">
        <f t="shared" si="19"/>
        <v>-</v>
      </c>
      <c r="AG147" s="224" t="str">
        <f t="shared" si="20"/>
        <v>-</v>
      </c>
      <c r="AH147" s="272">
        <f t="shared" si="47"/>
        <v>0.1</v>
      </c>
      <c r="AI147" s="271" t="str">
        <f>IFERROR(IF(AD146=1,AI$100*EXP(-(LN(2)/$D$65+0.04)*AF146)*EXP(-(LN(2)/$D$65+0.1)*AG146),IF(AD146=2,AI$100*EXP(-(LN(2)/$D$65+0.04)*(VLOOKUP(($F$16-$F$15)-1,AC$99:AG146,4,FALSE)))*EXP(-(LN(2)/$D$65+0.1)*(VLOOKUP(($F$16-$F$15)-1,AC$99:AG146,5,FALSE)))*EXP(-(LN(2)/$D$65+0.04)*AF146)*EXP(-(LN(2)/$D$65+0.1)*AG146),IF(AD146=3,AI$100*EXP(-(LN(2)/$D$65+0.04)*(VLOOKUP(($F$16-$F$15)-1,AC$99:AG146,4,FALSE)))*EXP(-(LN(2)/$D$65+0.1)*(VLOOKUP(($F$16-$F$15)-1,AC$99:AG146,5,FALSE)))*EXP(-(LN(2)/$D$65+0.04)*(VLOOKUP(($F$16-$F$15)*2-1,AC$99:AG146,4,FALSE)))*EXP(-(LN(2)/$D$65+0.1)*(VLOOKUP(($F$16-$F$15)*2-1,AC$99:AG146,5,FALSE)))*EXP(-(LN(2)/$D$65+0.04)*AF146)*EXP(-(LN(2)/$D$65+0.1)*AG146),"-"))),"-")</f>
        <v>-</v>
      </c>
      <c r="AJ147" s="271" t="str">
        <f>IFERROR(IF(AD147=1,AJ$100*EXP(-(LN(2)/$D$65+0.04)*AF147)*EXP(-(LN(2)/$D$65+0.1)*AG147),IF(AD147=2,AJ$100*EXP(-(LN(2)/$D$65+0.04)*(VLOOKUP(($F$16-$F$15)-1,AC$100:AG147,4,FALSE)))*EXP(-(LN(2)/$D$65+0.1)*(VLOOKUP(($F$16-$F$15)-1,AC$100:AG147,5,FALSE)))*EXP(-(LN(2)/$D$65+0.04)*AF147)*EXP(-(LN(2)/$D$65+0.1)*AG147),IF(AD147=3,AJ$100*EXP(-(LN(2)/$D$65+0.04)*(VLOOKUP(($F$16-$F$15)-1,AC$100:AG147,4,FALSE)))*EXP(-(LN(2)/$D$65+0.1)*(VLOOKUP(($F$16-$F$15)-1,AC$100:AG147,5,FALSE)))*EXP(-(LN(2)/$D$65+0.04)*(VLOOKUP(($F$16-$F$15)*2-1,AC$100:AG147,4,FALSE)))*EXP(-(LN(2)/$D$65+0.1)*(VLOOKUP(($F$16-$F$15)*2-1,AC$100:AG147,5,FALSE)))*EXP(-(LN(2)/$D$65+0.04)*AF147)*EXP(-(LN(2)/$D$65+0.1)*AG147),"-"))),"-")</f>
        <v>-</v>
      </c>
      <c r="AK147" s="227">
        <f t="shared" si="49"/>
        <v>47</v>
      </c>
      <c r="AL147" s="226" t="str">
        <f t="shared" si="22"/>
        <v>-</v>
      </c>
      <c r="AM147" s="227" t="str">
        <f t="shared" si="50"/>
        <v>-</v>
      </c>
      <c r="AN147" s="227" t="str">
        <f t="shared" si="51"/>
        <v>-</v>
      </c>
      <c r="AO147" s="227" t="str">
        <f t="shared" si="23"/>
        <v>-</v>
      </c>
      <c r="AP147" s="273">
        <f t="shared" si="52"/>
        <v>0.1</v>
      </c>
      <c r="AQ147" s="271" t="str">
        <f>IFERROR(IF(AL146=1,AQ$100*EXP(-(LN(2)/$D$65+0.04)*AN146)*EXP(-(LN(2)/$D$65+0.1)*AO146),IF(AL146=2,AQ$100*EXP(-(LN(2)/$D$65+0.04)*(VLOOKUP(($F$16-$F$15)-1,AK$99:AO146,4,FALSE)))*EXP(-(LN(2)/$D$65+0.1)*(VLOOKUP(($F$16-$F$15)-1,AK$99:AO146,5,FALSE)))*EXP(-(LN(2)/$D$65+0.04)*AN146)*EXP(-(LN(2)/$D$65+0.1)*AO146),IF(AL146=3,AQ$100*EXP(-(LN(2)/$D$65+0.04)*(VLOOKUP(($F$16-$F$15)-1,AK$99:AO146,4,FALSE)))*EXP(-(LN(2)/$D$65+0.1)*(VLOOKUP(($F$16-$F$15)-1,AK$99:AO146,5,FALSE)))*EXP(-(LN(2)/$D$65+0.04)*(VLOOKUP(($F$16-$F$15)*2-1,AK$99:AO146,4,FALSE)))*EXP(-(LN(2)/$D$65+0.1)*(VLOOKUP(($F$16-$F$15)*2-1,AK$99:AO146,5,FALSE)))*EXP(-(LN(2)/$D$65+0.04)*AN146)*EXP(-(LN(2)/$D$65+0.1)*AO146),"-"))),"-")</f>
        <v>-</v>
      </c>
      <c r="AR147" s="271" t="str">
        <f>IFERROR(IF(AL147=1,AR$100*EXP(-(LN(2)/$D$65+0.04)*AN147)*EXP(-(LN(2)/$D$65+0.1)*AO147),IF(AL147=2,AR$100*EXP(-(LN(2)/$D$65+0.04)*(VLOOKUP(($F$16-$F$15)-1,AK$100:AO147,4,FALSE)))*EXP(-(LN(2)/$D$65+0.1)*(VLOOKUP(($F$16-$F$15)-1,AK$100:AO147,5,FALSE)))*EXP(-(LN(2)/$D$65+0.04)*AN147)*EXP(-(LN(2)/$D$65+0.1)*AO147),IF(AL147=3,AR$100*EXP(-(LN(2)/$D$65+0.04)*(VLOOKUP(($F$16-$F$15)-1,AK$100:AO147,4,FALSE)))*EXP(-(LN(2)/$D$65+0.1)*(VLOOKUP(($F$16-$F$15)-1,AK$100:AO147,5,FALSE)))*EXP(-(LN(2)/$D$65+0.04)*(VLOOKUP(($F$16-$F$15)*2-1,AK$100:AO147,4,FALSE)))*EXP(-(LN(2)/$D$65+0.1)*(VLOOKUP(($F$16-$F$15)*2-1,AK$100:AO147,5,FALSE)))*EXP(-(LN(2)/$D$65+0.04)*AN147)*EXP(-(LN(2)/$D$65+0.1)*AO147),"-"))),"-")</f>
        <v>-</v>
      </c>
      <c r="AS147" s="274">
        <f t="shared" si="24"/>
        <v>0</v>
      </c>
      <c r="AT147" s="274">
        <f t="shared" si="25"/>
        <v>0</v>
      </c>
      <c r="AU147" s="274">
        <f t="shared" si="26"/>
        <v>0</v>
      </c>
      <c r="AV147" s="190" t="str">
        <f>IF($B147&lt;$F$22,SUM($T$100:$T147),"")</f>
        <v/>
      </c>
      <c r="AW147" s="190" t="str">
        <f t="shared" si="83"/>
        <v>-</v>
      </c>
      <c r="AX147" s="190" t="str">
        <f t="shared" si="56"/>
        <v/>
      </c>
      <c r="AY147"/>
      <c r="AZ147" s="190" t="str">
        <f ca="1">IF(ISNUMBER(OFFSET(AV147,-$F$21,0)),SUM(OFFSET($T$100,$F$21,0):$T147),"")</f>
        <v/>
      </c>
      <c r="BA147" s="190" t="str">
        <f t="shared" ca="1" si="84"/>
        <v/>
      </c>
      <c r="BB147" s="190" t="str">
        <f t="shared" ca="1" si="70"/>
        <v/>
      </c>
      <c r="BC147" s="190"/>
      <c r="BD147" s="190" t="str">
        <f ca="1">IFERROR(IF(OR(ISNUMBER(I),ISNUMBER($F$14)),IF(AND($B147&gt;=($F$16-$F$15),$B147&lt;$F$22+($F$16-$F$15)),SUM(OFFSET($T$100,($F$16-$F$15),0):$T147),""),""),"")</f>
        <v/>
      </c>
      <c r="BE147" s="190" t="str">
        <f t="shared" ca="1" si="58"/>
        <v/>
      </c>
      <c r="BF147" s="190" t="str">
        <f t="shared" ca="1" si="59"/>
        <v/>
      </c>
      <c r="BG147"/>
      <c r="BH147" s="190" t="str">
        <f ca="1">IF(ISNUMBER(OFFSET(BD147,-$F$21,0)),SUM(OFFSET($T$100,($F$16-$F$15+$F$21),0):$T147),"")</f>
        <v/>
      </c>
      <c r="BI147" s="190" t="str">
        <f t="shared" ca="1" si="85"/>
        <v/>
      </c>
      <c r="BJ147" s="190" t="str">
        <f t="shared" ca="1" si="60"/>
        <v/>
      </c>
      <c r="BK147" s="190"/>
      <c r="BL147" s="190" t="str">
        <f ca="1">IFERROR(IF(OR(ISNUMBER(I),ISNUMBER($F$14)),IF(AND($B147&gt;=($F$17-$F$15),$B147&lt;$F$22+($F$17-$F$15)),SUM(OFFSET($T$100,($F$17-$F$15),0):$T147),""),""),"")</f>
        <v/>
      </c>
      <c r="BM147" s="190" t="str">
        <f t="shared" ca="1" si="86"/>
        <v/>
      </c>
      <c r="BN147" s="190" t="str">
        <f t="shared" ca="1" si="61"/>
        <v/>
      </c>
      <c r="BO147"/>
      <c r="BP147" s="190" t="str">
        <f ca="1">IF(ISNUMBER(OFFSET(BL147,-$F$21,0)),SUM(OFFSET($T$100,($F$17-$F$15+$F$21),0):$T147),"")</f>
        <v/>
      </c>
      <c r="BQ147" s="190" t="str">
        <f t="shared" ca="1" si="87"/>
        <v/>
      </c>
      <c r="BR147" s="190" t="str">
        <f t="shared" ca="1" si="63"/>
        <v/>
      </c>
      <c r="BS147" s="190"/>
      <c r="BT147"/>
      <c r="BU147"/>
      <c r="BV147"/>
      <c r="BY147" s="99"/>
      <c r="BZ147" s="99"/>
      <c r="CA147" s="280" t="str">
        <f t="shared" si="88"/>
        <v/>
      </c>
      <c r="CB147" s="71" t="str">
        <f t="shared" si="31"/>
        <v>-</v>
      </c>
      <c r="CC147" s="33"/>
      <c r="CD147" s="261" t="str">
        <f t="shared" si="33"/>
        <v/>
      </c>
      <c r="CE147" s="280" t="str">
        <f t="shared" si="89"/>
        <v/>
      </c>
      <c r="CF147" s="71" t="str">
        <f t="shared" ca="1" si="90"/>
        <v/>
      </c>
      <c r="CG147" s="33" t="str">
        <f t="shared" si="36"/>
        <v/>
      </c>
      <c r="CH147" s="261" t="str">
        <f t="shared" ca="1" si="37"/>
        <v/>
      </c>
      <c r="CI147" s="202"/>
      <c r="CJ147" s="99"/>
      <c r="CK147" s="99"/>
      <c r="CL147" s="99"/>
      <c r="CM147" s="99"/>
      <c r="CN147" s="99"/>
      <c r="CO147" s="99"/>
    </row>
    <row r="148" spans="2:93" ht="13.5" customHeight="1" x14ac:dyDescent="0.2">
      <c r="B148" s="262">
        <v>48</v>
      </c>
      <c r="C148" s="237" t="str">
        <f t="shared" si="1"/>
        <v/>
      </c>
      <c r="D148" s="237" t="str">
        <f t="shared" si="66"/>
        <v/>
      </c>
      <c r="E148" s="290" t="str">
        <f t="shared" si="38"/>
        <v/>
      </c>
      <c r="F148" s="264" t="str">
        <f t="shared" si="39"/>
        <v/>
      </c>
      <c r="G148" s="291" t="str">
        <f t="shared" si="40"/>
        <v/>
      </c>
      <c r="H148" s="240" t="str">
        <f t="shared" si="71"/>
        <v/>
      </c>
      <c r="I148" s="265" t="str">
        <f t="shared" si="72"/>
        <v/>
      </c>
      <c r="J148" s="265" t="str">
        <f t="shared" si="73"/>
        <v/>
      </c>
      <c r="K148" s="240" t="str">
        <f t="shared" si="74"/>
        <v/>
      </c>
      <c r="L148" s="265" t="str">
        <f t="shared" si="75"/>
        <v/>
      </c>
      <c r="M148" s="265" t="str">
        <f t="shared" si="76"/>
        <v/>
      </c>
      <c r="N148" s="240" t="str">
        <f t="shared" si="77"/>
        <v>-</v>
      </c>
      <c r="O148" s="265" t="str">
        <f t="shared" si="78"/>
        <v>-</v>
      </c>
      <c r="P148" s="265" t="str">
        <f t="shared" si="79"/>
        <v>-</v>
      </c>
      <c r="Q148" s="266" t="str">
        <f t="shared" si="80"/>
        <v>-</v>
      </c>
      <c r="R148" s="267" t="str">
        <f t="shared" si="81"/>
        <v>-</v>
      </c>
      <c r="S148" s="268" t="str">
        <f t="shared" si="82"/>
        <v>-</v>
      </c>
      <c r="T148" s="269" t="str">
        <f t="shared" si="13"/>
        <v/>
      </c>
      <c r="U148" s="221">
        <f t="shared" si="14"/>
        <v>48</v>
      </c>
      <c r="V148" s="220" t="str">
        <f t="shared" si="42"/>
        <v>-</v>
      </c>
      <c r="W148" s="221" t="str">
        <f t="shared" si="43"/>
        <v>-</v>
      </c>
      <c r="X148" s="221" t="str">
        <f t="shared" si="15"/>
        <v>-</v>
      </c>
      <c r="Y148" s="221" t="str">
        <f t="shared" si="16"/>
        <v>-</v>
      </c>
      <c r="Z148" s="270">
        <f t="shared" si="44"/>
        <v>0.1</v>
      </c>
      <c r="AA148" s="271" t="str">
        <f>IFERROR(IF(V147=1,AA$100*EXP(-(LN(2)/$D$65+0.04)*X147)*EXP(-(LN(2)/$D$65+0.1)*Y147),IF(V147=2,AA$100*EXP(-(LN(2)/$D$65+0.04)*(VLOOKUP(($F$16-$F$15)-1,U$99:Y147,4,FALSE)))*EXP(-(LN(2)/$D$65+0.1)*(VLOOKUP(($F$16-$F$15)-1,U$99:Y147,5,FALSE)))*EXP(-(LN(2)/$D$65+0.04)*X147)*EXP(-(LN(2)/$D$65+0.1)*Y147),IF(V147=3,AA$100*EXP(-(LN(2)/$D$65+0.04)*(VLOOKUP(($F$16-$F$15)-1,U$99:Y147,4,FALSE)))*EXP(-(LN(2)/$D$65+0.1)*(VLOOKUP(($F$16-$F$15)-1,U$99:Y147,5,FALSE)))*EXP(-(LN(2)/$D$65+0.04)*(VLOOKUP(($F$16-$F$15)*2-1,U$99:Y147,4,FALSE)))*EXP(-(LN(2)/$D$65+0.1)*(VLOOKUP(($F$16-$F$15)*2-1,U$99:Y147,5,FALSE)))*EXP(-(LN(2)/$D$65+0.04)*X147)*EXP(-(LN(2)/$D$65+0.1)*Y147),"-"))),"-")</f>
        <v>-</v>
      </c>
      <c r="AB148" s="271" t="str">
        <f>IFERROR(IF(V148=1,AB$100*EXP(-(LN(2)/$D$65+0.04)*X148)*EXP(-(LN(2)/$D$65+0.1)*Y148),IF(V148=2,AB$100*EXP(-(LN(2)/$D$65+0.04)*(VLOOKUP(($F$16-$F$15)-1,U$100:Y148,4,FALSE)))*EXP(-(LN(2)/$D$65+0.1)*(VLOOKUP(($F$16-$F$15)-1,U$100:Y148,5,FALSE)))*EXP(-(LN(2)/$D$65+0.04)*X148)*EXP(-(LN(2)/$D$65+0.1)*Y148),IF(V148=3,AB$100*EXP(-(LN(2)/$D$65+0.04)*(VLOOKUP(($F$16-$F$15)-1,U$100:Y148,4,FALSE)))*EXP(-(LN(2)/$D$65+0.1)*(VLOOKUP(($F$16-$F$15)-1,U$100:Y148,5,FALSE)))*EXP(-(LN(2)/$D$65+0.04)*(VLOOKUP(($F$16-$F$15)*2-1,U$100:Y148,4,FALSE)))*EXP(-(LN(2)/$D$65+0.1)*(VLOOKUP(($F$16-$F$15)*2-1,U$100:Y148,5,FALSE)))*EXP(-(LN(2)/$D$65+0.04)*X148)*EXP(-(LN(2)/$D$65+0.1)*Y148),"-"))),"-")</f>
        <v>-</v>
      </c>
      <c r="AC148" s="224">
        <f t="shared" si="45"/>
        <v>48</v>
      </c>
      <c r="AD148" s="223" t="str">
        <f t="shared" si="18"/>
        <v>-</v>
      </c>
      <c r="AE148" s="224" t="str">
        <f t="shared" si="46"/>
        <v>-</v>
      </c>
      <c r="AF148" s="224" t="str">
        <f t="shared" si="19"/>
        <v>-</v>
      </c>
      <c r="AG148" s="224" t="str">
        <f t="shared" si="20"/>
        <v>-</v>
      </c>
      <c r="AH148" s="272">
        <f t="shared" si="47"/>
        <v>0.1</v>
      </c>
      <c r="AI148" s="271" t="str">
        <f>IFERROR(IF(AD147=1,AI$100*EXP(-(LN(2)/$D$65+0.04)*AF147)*EXP(-(LN(2)/$D$65+0.1)*AG147),IF(AD147=2,AI$100*EXP(-(LN(2)/$D$65+0.04)*(VLOOKUP(($F$16-$F$15)-1,AC$99:AG147,4,FALSE)))*EXP(-(LN(2)/$D$65+0.1)*(VLOOKUP(($F$16-$F$15)-1,AC$99:AG147,5,FALSE)))*EXP(-(LN(2)/$D$65+0.04)*AF147)*EXP(-(LN(2)/$D$65+0.1)*AG147),IF(AD147=3,AI$100*EXP(-(LN(2)/$D$65+0.04)*(VLOOKUP(($F$16-$F$15)-1,AC$99:AG147,4,FALSE)))*EXP(-(LN(2)/$D$65+0.1)*(VLOOKUP(($F$16-$F$15)-1,AC$99:AG147,5,FALSE)))*EXP(-(LN(2)/$D$65+0.04)*(VLOOKUP(($F$16-$F$15)*2-1,AC$99:AG147,4,FALSE)))*EXP(-(LN(2)/$D$65+0.1)*(VLOOKUP(($F$16-$F$15)*2-1,AC$99:AG147,5,FALSE)))*EXP(-(LN(2)/$D$65+0.04)*AF147)*EXP(-(LN(2)/$D$65+0.1)*AG147),"-"))),"-")</f>
        <v>-</v>
      </c>
      <c r="AJ148" s="271" t="str">
        <f>IFERROR(IF(AD148=1,AJ$100*EXP(-(LN(2)/$D$65+0.04)*AF148)*EXP(-(LN(2)/$D$65+0.1)*AG148),IF(AD148=2,AJ$100*EXP(-(LN(2)/$D$65+0.04)*(VLOOKUP(($F$16-$F$15)-1,AC$100:AG148,4,FALSE)))*EXP(-(LN(2)/$D$65+0.1)*(VLOOKUP(($F$16-$F$15)-1,AC$100:AG148,5,FALSE)))*EXP(-(LN(2)/$D$65+0.04)*AF148)*EXP(-(LN(2)/$D$65+0.1)*AG148),IF(AD148=3,AJ$100*EXP(-(LN(2)/$D$65+0.04)*(VLOOKUP(($F$16-$F$15)-1,AC$100:AG148,4,FALSE)))*EXP(-(LN(2)/$D$65+0.1)*(VLOOKUP(($F$16-$F$15)-1,AC$100:AG148,5,FALSE)))*EXP(-(LN(2)/$D$65+0.04)*(VLOOKUP(($F$16-$F$15)*2-1,AC$100:AG148,4,FALSE)))*EXP(-(LN(2)/$D$65+0.1)*(VLOOKUP(($F$16-$F$15)*2-1,AC$100:AG148,5,FALSE)))*EXP(-(LN(2)/$D$65+0.04)*AF148)*EXP(-(LN(2)/$D$65+0.1)*AG148),"-"))),"-")</f>
        <v>-</v>
      </c>
      <c r="AK148" s="227">
        <f t="shared" si="49"/>
        <v>48</v>
      </c>
      <c r="AL148" s="226" t="str">
        <f t="shared" si="22"/>
        <v>-</v>
      </c>
      <c r="AM148" s="227" t="str">
        <f t="shared" si="50"/>
        <v>-</v>
      </c>
      <c r="AN148" s="227" t="str">
        <f t="shared" si="51"/>
        <v>-</v>
      </c>
      <c r="AO148" s="227" t="str">
        <f t="shared" si="23"/>
        <v>-</v>
      </c>
      <c r="AP148" s="273">
        <f t="shared" si="52"/>
        <v>0.1</v>
      </c>
      <c r="AQ148" s="271" t="str">
        <f>IFERROR(IF(AL147=1,AQ$100*EXP(-(LN(2)/$D$65+0.04)*AN147)*EXP(-(LN(2)/$D$65+0.1)*AO147),IF(AL147=2,AQ$100*EXP(-(LN(2)/$D$65+0.04)*(VLOOKUP(($F$16-$F$15)-1,AK$99:AO147,4,FALSE)))*EXP(-(LN(2)/$D$65+0.1)*(VLOOKUP(($F$16-$F$15)-1,AK$99:AO147,5,FALSE)))*EXP(-(LN(2)/$D$65+0.04)*AN147)*EXP(-(LN(2)/$D$65+0.1)*AO147),IF(AL147=3,AQ$100*EXP(-(LN(2)/$D$65+0.04)*(VLOOKUP(($F$16-$F$15)-1,AK$99:AO147,4,FALSE)))*EXP(-(LN(2)/$D$65+0.1)*(VLOOKUP(($F$16-$F$15)-1,AK$99:AO147,5,FALSE)))*EXP(-(LN(2)/$D$65+0.04)*(VLOOKUP(($F$16-$F$15)*2-1,AK$99:AO147,4,FALSE)))*EXP(-(LN(2)/$D$65+0.1)*(VLOOKUP(($F$16-$F$15)*2-1,AK$99:AO147,5,FALSE)))*EXP(-(LN(2)/$D$65+0.04)*AN147)*EXP(-(LN(2)/$D$65+0.1)*AO147),"-"))),"-")</f>
        <v>-</v>
      </c>
      <c r="AR148" s="271" t="str">
        <f>IFERROR(IF(AL148=1,AR$100*EXP(-(LN(2)/$D$65+0.04)*AN148)*EXP(-(LN(2)/$D$65+0.1)*AO148),IF(AL148=2,AR$100*EXP(-(LN(2)/$D$65+0.04)*(VLOOKUP(($F$16-$F$15)-1,AK$100:AO148,4,FALSE)))*EXP(-(LN(2)/$D$65+0.1)*(VLOOKUP(($F$16-$F$15)-1,AK$100:AO148,5,FALSE)))*EXP(-(LN(2)/$D$65+0.04)*AN148)*EXP(-(LN(2)/$D$65+0.1)*AO148),IF(AL148=3,AR$100*EXP(-(LN(2)/$D$65+0.04)*(VLOOKUP(($F$16-$F$15)-1,AK$100:AO148,4,FALSE)))*EXP(-(LN(2)/$D$65+0.1)*(VLOOKUP(($F$16-$F$15)-1,AK$100:AO148,5,FALSE)))*EXP(-(LN(2)/$D$65+0.04)*(VLOOKUP(($F$16-$F$15)*2-1,AK$100:AO148,4,FALSE)))*EXP(-(LN(2)/$D$65+0.1)*(VLOOKUP(($F$16-$F$15)*2-1,AK$100:AO148,5,FALSE)))*EXP(-(LN(2)/$D$65+0.04)*AN148)*EXP(-(LN(2)/$D$65+0.1)*AO148),"-"))),"-")</f>
        <v>-</v>
      </c>
      <c r="AS148" s="274">
        <f t="shared" si="24"/>
        <v>0</v>
      </c>
      <c r="AT148" s="274">
        <f t="shared" si="25"/>
        <v>0</v>
      </c>
      <c r="AU148" s="274">
        <f t="shared" si="26"/>
        <v>0</v>
      </c>
      <c r="AV148" s="190" t="str">
        <f>IF($B148&lt;$F$22,SUM($T$100:$T148),"")</f>
        <v/>
      </c>
      <c r="AW148" s="190" t="str">
        <f t="shared" si="83"/>
        <v>-</v>
      </c>
      <c r="AX148" s="190" t="str">
        <f t="shared" si="56"/>
        <v/>
      </c>
      <c r="AY148"/>
      <c r="AZ148" s="190" t="str">
        <f ca="1">IF(ISNUMBER(OFFSET(AV148,-$F$21,0)),SUM(OFFSET($T$100,$F$21,0):$T148),"")</f>
        <v/>
      </c>
      <c r="BA148" s="190" t="str">
        <f t="shared" ca="1" si="84"/>
        <v/>
      </c>
      <c r="BB148" s="190" t="str">
        <f t="shared" ca="1" si="70"/>
        <v/>
      </c>
      <c r="BC148" s="190"/>
      <c r="BD148" s="190" t="str">
        <f ca="1">IFERROR(IF(OR(ISNUMBER(I),ISNUMBER($F$14)),IF(AND($B148&gt;=($F$16-$F$15),$B148&lt;$F$22+($F$16-$F$15)),SUM(OFFSET($T$100,($F$16-$F$15),0):$T148),""),""),"")</f>
        <v/>
      </c>
      <c r="BE148" s="190" t="str">
        <f t="shared" ca="1" si="58"/>
        <v/>
      </c>
      <c r="BF148" s="190" t="str">
        <f t="shared" ca="1" si="59"/>
        <v/>
      </c>
      <c r="BG148"/>
      <c r="BH148" s="190" t="str">
        <f ca="1">IF(ISNUMBER(OFFSET(BD148,-$F$21,0)),SUM(OFFSET($T$100,($F$16-$F$15+$F$21),0):$T148),"")</f>
        <v/>
      </c>
      <c r="BI148" s="190" t="str">
        <f t="shared" ca="1" si="85"/>
        <v/>
      </c>
      <c r="BJ148" s="190" t="str">
        <f t="shared" ca="1" si="60"/>
        <v/>
      </c>
      <c r="BK148" s="190"/>
      <c r="BL148" s="190" t="str">
        <f ca="1">IFERROR(IF(OR(ISNUMBER(I),ISNUMBER($F$14)),IF(AND($B148&gt;=($F$17-$F$15),$B148&lt;$F$22+($F$17-$F$15)),SUM(OFFSET($T$100,($F$17-$F$15),0):$T148),""),""),"")</f>
        <v/>
      </c>
      <c r="BM148" s="190" t="str">
        <f t="shared" ca="1" si="86"/>
        <v/>
      </c>
      <c r="BN148" s="190" t="str">
        <f t="shared" ca="1" si="61"/>
        <v/>
      </c>
      <c r="BO148"/>
      <c r="BP148" s="190" t="str">
        <f ca="1">IF(ISNUMBER(OFFSET(BL148,-$F$21,0)),SUM(OFFSET($T$100,($F$17-$F$15+$F$21),0):$T148),"")</f>
        <v/>
      </c>
      <c r="BQ148" s="190" t="str">
        <f t="shared" ca="1" si="87"/>
        <v/>
      </c>
      <c r="BR148" s="190" t="str">
        <f t="shared" ca="1" si="63"/>
        <v/>
      </c>
      <c r="BS148" s="190"/>
      <c r="BT148"/>
      <c r="BU148"/>
      <c r="BV148"/>
      <c r="BY148" s="99"/>
      <c r="BZ148" s="99"/>
      <c r="CA148" s="280" t="str">
        <f t="shared" si="88"/>
        <v/>
      </c>
      <c r="CB148" s="71" t="str">
        <f t="shared" si="31"/>
        <v>-</v>
      </c>
      <c r="CC148" s="33"/>
      <c r="CD148" s="261" t="str">
        <f t="shared" si="33"/>
        <v/>
      </c>
      <c r="CE148" s="280" t="str">
        <f t="shared" si="89"/>
        <v/>
      </c>
      <c r="CF148" s="71" t="str">
        <f t="shared" ca="1" si="90"/>
        <v/>
      </c>
      <c r="CG148" s="33" t="str">
        <f t="shared" si="36"/>
        <v/>
      </c>
      <c r="CH148" s="261" t="str">
        <f t="shared" ca="1" si="37"/>
        <v/>
      </c>
      <c r="CI148" s="202"/>
      <c r="CJ148" s="99"/>
      <c r="CK148" s="99"/>
      <c r="CL148" s="99"/>
      <c r="CM148" s="99"/>
      <c r="CN148" s="99"/>
      <c r="CO148" s="99"/>
    </row>
    <row r="149" spans="2:93" ht="13.5" customHeight="1" x14ac:dyDescent="0.2">
      <c r="B149" s="262">
        <v>49</v>
      </c>
      <c r="C149" s="237" t="str">
        <f t="shared" si="1"/>
        <v/>
      </c>
      <c r="D149" s="237" t="str">
        <f t="shared" si="66"/>
        <v/>
      </c>
      <c r="E149" s="290" t="str">
        <f t="shared" si="38"/>
        <v/>
      </c>
      <c r="F149" s="264" t="str">
        <f t="shared" si="39"/>
        <v/>
      </c>
      <c r="G149" s="291" t="str">
        <f t="shared" si="40"/>
        <v/>
      </c>
      <c r="H149" s="240" t="str">
        <f t="shared" si="71"/>
        <v/>
      </c>
      <c r="I149" s="265" t="str">
        <f t="shared" si="72"/>
        <v/>
      </c>
      <c r="J149" s="265" t="str">
        <f t="shared" si="73"/>
        <v/>
      </c>
      <c r="K149" s="240" t="str">
        <f t="shared" si="74"/>
        <v/>
      </c>
      <c r="L149" s="265" t="str">
        <f t="shared" si="75"/>
        <v/>
      </c>
      <c r="M149" s="265" t="str">
        <f t="shared" si="76"/>
        <v/>
      </c>
      <c r="N149" s="240" t="str">
        <f t="shared" si="77"/>
        <v>-</v>
      </c>
      <c r="O149" s="265" t="str">
        <f t="shared" si="78"/>
        <v>-</v>
      </c>
      <c r="P149" s="265" t="str">
        <f t="shared" si="79"/>
        <v>-</v>
      </c>
      <c r="Q149" s="266" t="str">
        <f t="shared" si="80"/>
        <v>-</v>
      </c>
      <c r="R149" s="267" t="str">
        <f t="shared" si="81"/>
        <v>-</v>
      </c>
      <c r="S149" s="268" t="str">
        <f t="shared" si="82"/>
        <v>-</v>
      </c>
      <c r="T149" s="269" t="str">
        <f t="shared" si="13"/>
        <v/>
      </c>
      <c r="U149" s="221">
        <f t="shared" si="14"/>
        <v>49</v>
      </c>
      <c r="V149" s="220" t="str">
        <f t="shared" si="42"/>
        <v>-</v>
      </c>
      <c r="W149" s="221" t="str">
        <f t="shared" si="43"/>
        <v>-</v>
      </c>
      <c r="X149" s="221" t="str">
        <f t="shared" si="15"/>
        <v>-</v>
      </c>
      <c r="Y149" s="221" t="str">
        <f t="shared" si="16"/>
        <v>-</v>
      </c>
      <c r="Z149" s="270">
        <f t="shared" si="44"/>
        <v>0.1</v>
      </c>
      <c r="AA149" s="271" t="str">
        <f>IFERROR(IF(V148=1,AA$100*EXP(-(LN(2)/$D$65+0.04)*X148)*EXP(-(LN(2)/$D$65+0.1)*Y148),IF(V148=2,AA$100*EXP(-(LN(2)/$D$65+0.04)*(VLOOKUP(($F$16-$F$15)-1,U$99:Y148,4,FALSE)))*EXP(-(LN(2)/$D$65+0.1)*(VLOOKUP(($F$16-$F$15)-1,U$99:Y148,5,FALSE)))*EXP(-(LN(2)/$D$65+0.04)*X148)*EXP(-(LN(2)/$D$65+0.1)*Y148),IF(V148=3,AA$100*EXP(-(LN(2)/$D$65+0.04)*(VLOOKUP(($F$16-$F$15)-1,U$99:Y148,4,FALSE)))*EXP(-(LN(2)/$D$65+0.1)*(VLOOKUP(($F$16-$F$15)-1,U$99:Y148,5,FALSE)))*EXP(-(LN(2)/$D$65+0.04)*(VLOOKUP(($F$16-$F$15)*2-1,U$99:Y148,4,FALSE)))*EXP(-(LN(2)/$D$65+0.1)*(VLOOKUP(($F$16-$F$15)*2-1,U$99:Y148,5,FALSE)))*EXP(-(LN(2)/$D$65+0.04)*X148)*EXP(-(LN(2)/$D$65+0.1)*Y148),"-"))),"-")</f>
        <v>-</v>
      </c>
      <c r="AB149" s="271" t="str">
        <f>IFERROR(IF(V149=1,AB$100*EXP(-(LN(2)/$D$65+0.04)*X149)*EXP(-(LN(2)/$D$65+0.1)*Y149),IF(V149=2,AB$100*EXP(-(LN(2)/$D$65+0.04)*(VLOOKUP(($F$16-$F$15)-1,U$100:Y149,4,FALSE)))*EXP(-(LN(2)/$D$65+0.1)*(VLOOKUP(($F$16-$F$15)-1,U$100:Y149,5,FALSE)))*EXP(-(LN(2)/$D$65+0.04)*X149)*EXP(-(LN(2)/$D$65+0.1)*Y149),IF(V149=3,AB$100*EXP(-(LN(2)/$D$65+0.04)*(VLOOKUP(($F$16-$F$15)-1,U$100:Y149,4,FALSE)))*EXP(-(LN(2)/$D$65+0.1)*(VLOOKUP(($F$16-$F$15)-1,U$100:Y149,5,FALSE)))*EXP(-(LN(2)/$D$65+0.04)*(VLOOKUP(($F$16-$F$15)*2-1,U$100:Y149,4,FALSE)))*EXP(-(LN(2)/$D$65+0.1)*(VLOOKUP(($F$16-$F$15)*2-1,U$100:Y149,5,FALSE)))*EXP(-(LN(2)/$D$65+0.04)*X149)*EXP(-(LN(2)/$D$65+0.1)*Y149),"-"))),"-")</f>
        <v>-</v>
      </c>
      <c r="AC149" s="224">
        <f t="shared" si="45"/>
        <v>49</v>
      </c>
      <c r="AD149" s="223" t="str">
        <f t="shared" si="18"/>
        <v>-</v>
      </c>
      <c r="AE149" s="224" t="str">
        <f t="shared" si="46"/>
        <v>-</v>
      </c>
      <c r="AF149" s="224" t="str">
        <f t="shared" si="19"/>
        <v>-</v>
      </c>
      <c r="AG149" s="224" t="str">
        <f t="shared" si="20"/>
        <v>-</v>
      </c>
      <c r="AH149" s="272">
        <f t="shared" si="47"/>
        <v>0.1</v>
      </c>
      <c r="AI149" s="271" t="str">
        <f>IFERROR(IF(AD148=1,AI$100*EXP(-(LN(2)/$D$65+0.04)*AF148)*EXP(-(LN(2)/$D$65+0.1)*AG148),IF(AD148=2,AI$100*EXP(-(LN(2)/$D$65+0.04)*(VLOOKUP(($F$16-$F$15)-1,AC$99:AG148,4,FALSE)))*EXP(-(LN(2)/$D$65+0.1)*(VLOOKUP(($F$16-$F$15)-1,AC$99:AG148,5,FALSE)))*EXP(-(LN(2)/$D$65+0.04)*AF148)*EXP(-(LN(2)/$D$65+0.1)*AG148),IF(AD148=3,AI$100*EXP(-(LN(2)/$D$65+0.04)*(VLOOKUP(($F$16-$F$15)-1,AC$99:AG148,4,FALSE)))*EXP(-(LN(2)/$D$65+0.1)*(VLOOKUP(($F$16-$F$15)-1,AC$99:AG148,5,FALSE)))*EXP(-(LN(2)/$D$65+0.04)*(VLOOKUP(($F$16-$F$15)*2-1,AC$99:AG148,4,FALSE)))*EXP(-(LN(2)/$D$65+0.1)*(VLOOKUP(($F$16-$F$15)*2-1,AC$99:AG148,5,FALSE)))*EXP(-(LN(2)/$D$65+0.04)*AF148)*EXP(-(LN(2)/$D$65+0.1)*AG148),"-"))),"-")</f>
        <v>-</v>
      </c>
      <c r="AJ149" s="271" t="str">
        <f>IFERROR(IF(AD149=1,AJ$100*EXP(-(LN(2)/$D$65+0.04)*AF149)*EXP(-(LN(2)/$D$65+0.1)*AG149),IF(AD149=2,AJ$100*EXP(-(LN(2)/$D$65+0.04)*(VLOOKUP(($F$16-$F$15)-1,AC$100:AG149,4,FALSE)))*EXP(-(LN(2)/$D$65+0.1)*(VLOOKUP(($F$16-$F$15)-1,AC$100:AG149,5,FALSE)))*EXP(-(LN(2)/$D$65+0.04)*AF149)*EXP(-(LN(2)/$D$65+0.1)*AG149),IF(AD149=3,AJ$100*EXP(-(LN(2)/$D$65+0.04)*(VLOOKUP(($F$16-$F$15)-1,AC$100:AG149,4,FALSE)))*EXP(-(LN(2)/$D$65+0.1)*(VLOOKUP(($F$16-$F$15)-1,AC$100:AG149,5,FALSE)))*EXP(-(LN(2)/$D$65+0.04)*(VLOOKUP(($F$16-$F$15)*2-1,AC$100:AG149,4,FALSE)))*EXP(-(LN(2)/$D$65+0.1)*(VLOOKUP(($F$16-$F$15)*2-1,AC$100:AG149,5,FALSE)))*EXP(-(LN(2)/$D$65+0.04)*AF149)*EXP(-(LN(2)/$D$65+0.1)*AG149),"-"))),"-")</f>
        <v>-</v>
      </c>
      <c r="AK149" s="227">
        <f t="shared" si="49"/>
        <v>49</v>
      </c>
      <c r="AL149" s="226" t="str">
        <f t="shared" si="22"/>
        <v>-</v>
      </c>
      <c r="AM149" s="227" t="str">
        <f t="shared" si="50"/>
        <v>-</v>
      </c>
      <c r="AN149" s="227" t="str">
        <f t="shared" si="51"/>
        <v>-</v>
      </c>
      <c r="AO149" s="227" t="str">
        <f t="shared" si="23"/>
        <v>-</v>
      </c>
      <c r="AP149" s="273">
        <f t="shared" si="52"/>
        <v>0.1</v>
      </c>
      <c r="AQ149" s="271" t="str">
        <f>IFERROR(IF(AL148=1,AQ$100*EXP(-(LN(2)/$D$65+0.04)*AN148)*EXP(-(LN(2)/$D$65+0.1)*AO148),IF(AL148=2,AQ$100*EXP(-(LN(2)/$D$65+0.04)*(VLOOKUP(($F$16-$F$15)-1,AK$99:AO148,4,FALSE)))*EXP(-(LN(2)/$D$65+0.1)*(VLOOKUP(($F$16-$F$15)-1,AK$99:AO148,5,FALSE)))*EXP(-(LN(2)/$D$65+0.04)*AN148)*EXP(-(LN(2)/$D$65+0.1)*AO148),IF(AL148=3,AQ$100*EXP(-(LN(2)/$D$65+0.04)*(VLOOKUP(($F$16-$F$15)-1,AK$99:AO148,4,FALSE)))*EXP(-(LN(2)/$D$65+0.1)*(VLOOKUP(($F$16-$F$15)-1,AK$99:AO148,5,FALSE)))*EXP(-(LN(2)/$D$65+0.04)*(VLOOKUP(($F$16-$F$15)*2-1,AK$99:AO148,4,FALSE)))*EXP(-(LN(2)/$D$65+0.1)*(VLOOKUP(($F$16-$F$15)*2-1,AK$99:AO148,5,FALSE)))*EXP(-(LN(2)/$D$65+0.04)*AN148)*EXP(-(LN(2)/$D$65+0.1)*AO148),"-"))),"-")</f>
        <v>-</v>
      </c>
      <c r="AR149" s="271" t="str">
        <f>IFERROR(IF(AL149=1,AR$100*EXP(-(LN(2)/$D$65+0.04)*AN149)*EXP(-(LN(2)/$D$65+0.1)*AO149),IF(AL149=2,AR$100*EXP(-(LN(2)/$D$65+0.04)*(VLOOKUP(($F$16-$F$15)-1,AK$100:AO149,4,FALSE)))*EXP(-(LN(2)/$D$65+0.1)*(VLOOKUP(($F$16-$F$15)-1,AK$100:AO149,5,FALSE)))*EXP(-(LN(2)/$D$65+0.04)*AN149)*EXP(-(LN(2)/$D$65+0.1)*AO149),IF(AL149=3,AR$100*EXP(-(LN(2)/$D$65+0.04)*(VLOOKUP(($F$16-$F$15)-1,AK$100:AO149,4,FALSE)))*EXP(-(LN(2)/$D$65+0.1)*(VLOOKUP(($F$16-$F$15)-1,AK$100:AO149,5,FALSE)))*EXP(-(LN(2)/$D$65+0.04)*(VLOOKUP(($F$16-$F$15)*2-1,AK$100:AO149,4,FALSE)))*EXP(-(LN(2)/$D$65+0.1)*(VLOOKUP(($F$16-$F$15)*2-1,AK$100:AO149,5,FALSE)))*EXP(-(LN(2)/$D$65+0.04)*AN149)*EXP(-(LN(2)/$D$65+0.1)*AO149),"-"))),"-")</f>
        <v>-</v>
      </c>
      <c r="AS149" s="274">
        <f t="shared" si="24"/>
        <v>0</v>
      </c>
      <c r="AT149" s="274">
        <f t="shared" si="25"/>
        <v>0</v>
      </c>
      <c r="AU149" s="274">
        <f t="shared" si="26"/>
        <v>0</v>
      </c>
      <c r="AV149" s="190" t="str">
        <f>IF($B149&lt;$F$22,SUM($T$100:$T149),"")</f>
        <v/>
      </c>
      <c r="AW149" s="190" t="str">
        <f t="shared" si="83"/>
        <v>-</v>
      </c>
      <c r="AX149" s="190" t="str">
        <f t="shared" si="56"/>
        <v/>
      </c>
      <c r="AY149"/>
      <c r="AZ149" s="190" t="str">
        <f ca="1">IF(ISNUMBER(OFFSET(AV149,-$F$21,0)),SUM(OFFSET($T$100,$F$21,0):$T149),"")</f>
        <v/>
      </c>
      <c r="BA149" s="190" t="str">
        <f t="shared" ca="1" si="84"/>
        <v/>
      </c>
      <c r="BB149" s="190" t="str">
        <f t="shared" ca="1" si="70"/>
        <v/>
      </c>
      <c r="BC149" s="190"/>
      <c r="BD149" s="190" t="str">
        <f ca="1">IFERROR(IF(OR(ISNUMBER(I),ISNUMBER($F$14)),IF(AND($B149&gt;=($F$16-$F$15),$B149&lt;$F$22+($F$16-$F$15)),SUM(OFFSET($T$100,($F$16-$F$15),0):$T149),""),""),"")</f>
        <v/>
      </c>
      <c r="BE149" s="190" t="str">
        <f t="shared" ca="1" si="58"/>
        <v/>
      </c>
      <c r="BF149" s="190" t="str">
        <f t="shared" ca="1" si="59"/>
        <v/>
      </c>
      <c r="BG149"/>
      <c r="BH149" s="190" t="str">
        <f ca="1">IF(ISNUMBER(OFFSET(BD149,-$F$21,0)),SUM(OFFSET($T$100,($F$16-$F$15+$F$21),0):$T149),"")</f>
        <v/>
      </c>
      <c r="BI149" s="190" t="str">
        <f t="shared" ca="1" si="85"/>
        <v/>
      </c>
      <c r="BJ149" s="190" t="str">
        <f t="shared" ca="1" si="60"/>
        <v/>
      </c>
      <c r="BK149" s="190"/>
      <c r="BL149" s="190" t="str">
        <f ca="1">IFERROR(IF(OR(ISNUMBER(I),ISNUMBER($F$14)),IF(AND($B149&gt;=($F$17-$F$15),$B149&lt;$F$22+($F$17-$F$15)),SUM(OFFSET($T$100,($F$17-$F$15),0):$T149),""),""),"")</f>
        <v/>
      </c>
      <c r="BM149" s="190" t="str">
        <f t="shared" ca="1" si="86"/>
        <v/>
      </c>
      <c r="BN149" s="190" t="str">
        <f t="shared" ca="1" si="61"/>
        <v/>
      </c>
      <c r="BO149"/>
      <c r="BP149" s="190" t="str">
        <f ca="1">IF(ISNUMBER(OFFSET(BL149,-$F$21,0)),SUM(OFFSET($T$100,($F$17-$F$15+$F$21),0):$T149),"")</f>
        <v/>
      </c>
      <c r="BQ149" s="190" t="str">
        <f t="shared" ca="1" si="87"/>
        <v/>
      </c>
      <c r="BR149" s="190" t="str">
        <f t="shared" ca="1" si="63"/>
        <v/>
      </c>
      <c r="BS149" s="190"/>
      <c r="BT149"/>
      <c r="BU149"/>
      <c r="BV149"/>
      <c r="BY149" s="99"/>
      <c r="BZ149" s="99"/>
      <c r="CA149" s="280" t="str">
        <f t="shared" si="88"/>
        <v/>
      </c>
      <c r="CB149" s="71" t="str">
        <f t="shared" si="31"/>
        <v>-</v>
      </c>
      <c r="CC149" s="33"/>
      <c r="CD149" s="261" t="str">
        <f t="shared" si="33"/>
        <v/>
      </c>
      <c r="CE149" s="280" t="str">
        <f t="shared" si="89"/>
        <v/>
      </c>
      <c r="CF149" s="71" t="str">
        <f t="shared" ca="1" si="90"/>
        <v/>
      </c>
      <c r="CG149" s="33" t="str">
        <f t="shared" si="36"/>
        <v/>
      </c>
      <c r="CH149" s="261" t="str">
        <f t="shared" ca="1" si="37"/>
        <v/>
      </c>
      <c r="CI149" s="202"/>
      <c r="CJ149" s="99"/>
      <c r="CK149" s="99"/>
      <c r="CL149" s="99"/>
      <c r="CM149" s="99"/>
      <c r="CN149" s="99"/>
      <c r="CO149" s="99"/>
    </row>
    <row r="150" spans="2:93" ht="13.5" customHeight="1" x14ac:dyDescent="0.2">
      <c r="B150" s="262">
        <v>50</v>
      </c>
      <c r="C150" s="237" t="str">
        <f t="shared" si="1"/>
        <v/>
      </c>
      <c r="D150" s="237" t="str">
        <f t="shared" si="66"/>
        <v/>
      </c>
      <c r="E150" s="290" t="str">
        <f t="shared" si="38"/>
        <v/>
      </c>
      <c r="F150" s="264" t="str">
        <f t="shared" si="39"/>
        <v/>
      </c>
      <c r="G150" s="291" t="str">
        <f t="shared" si="40"/>
        <v/>
      </c>
      <c r="H150" s="240" t="str">
        <f t="shared" si="71"/>
        <v/>
      </c>
      <c r="I150" s="265" t="str">
        <f t="shared" si="72"/>
        <v/>
      </c>
      <c r="J150" s="265" t="str">
        <f t="shared" si="73"/>
        <v/>
      </c>
      <c r="K150" s="240" t="str">
        <f t="shared" si="74"/>
        <v/>
      </c>
      <c r="L150" s="265" t="str">
        <f t="shared" si="75"/>
        <v/>
      </c>
      <c r="M150" s="265" t="str">
        <f t="shared" si="76"/>
        <v/>
      </c>
      <c r="N150" s="240" t="str">
        <f t="shared" si="77"/>
        <v>-</v>
      </c>
      <c r="O150" s="265" t="str">
        <f t="shared" si="78"/>
        <v>-</v>
      </c>
      <c r="P150" s="265" t="str">
        <f t="shared" si="79"/>
        <v>-</v>
      </c>
      <c r="Q150" s="266" t="str">
        <f t="shared" si="80"/>
        <v>-</v>
      </c>
      <c r="R150" s="267" t="str">
        <f t="shared" si="81"/>
        <v>-</v>
      </c>
      <c r="S150" s="268" t="str">
        <f t="shared" si="82"/>
        <v>-</v>
      </c>
      <c r="T150" s="269" t="str">
        <f t="shared" si="13"/>
        <v/>
      </c>
      <c r="U150" s="221">
        <f t="shared" si="14"/>
        <v>50</v>
      </c>
      <c r="V150" s="220" t="str">
        <f t="shared" si="42"/>
        <v>-</v>
      </c>
      <c r="W150" s="221" t="str">
        <f t="shared" si="43"/>
        <v>-</v>
      </c>
      <c r="X150" s="221" t="str">
        <f t="shared" si="15"/>
        <v>-</v>
      </c>
      <c r="Y150" s="221" t="str">
        <f t="shared" si="16"/>
        <v>-</v>
      </c>
      <c r="Z150" s="270">
        <f t="shared" si="44"/>
        <v>0.1</v>
      </c>
      <c r="AA150" s="271" t="str">
        <f>IFERROR(IF(V149=1,AA$100*EXP(-(LN(2)/$D$65+0.04)*X149)*EXP(-(LN(2)/$D$65+0.1)*Y149),IF(V149=2,AA$100*EXP(-(LN(2)/$D$65+0.04)*(VLOOKUP(($F$16-$F$15)-1,U$99:Y149,4,FALSE)))*EXP(-(LN(2)/$D$65+0.1)*(VLOOKUP(($F$16-$F$15)-1,U$99:Y149,5,FALSE)))*EXP(-(LN(2)/$D$65+0.04)*X149)*EXP(-(LN(2)/$D$65+0.1)*Y149),IF(V149=3,AA$100*EXP(-(LN(2)/$D$65+0.04)*(VLOOKUP(($F$16-$F$15)-1,U$99:Y149,4,FALSE)))*EXP(-(LN(2)/$D$65+0.1)*(VLOOKUP(($F$16-$F$15)-1,U$99:Y149,5,FALSE)))*EXP(-(LN(2)/$D$65+0.04)*(VLOOKUP(($F$16-$F$15)*2-1,U$99:Y149,4,FALSE)))*EXP(-(LN(2)/$D$65+0.1)*(VLOOKUP(($F$16-$F$15)*2-1,U$99:Y149,5,FALSE)))*EXP(-(LN(2)/$D$65+0.04)*X149)*EXP(-(LN(2)/$D$65+0.1)*Y149),"-"))),"-")</f>
        <v>-</v>
      </c>
      <c r="AB150" s="271" t="str">
        <f>IFERROR(IF(V150=1,AB$100*EXP(-(LN(2)/$D$65+0.04)*X150)*EXP(-(LN(2)/$D$65+0.1)*Y150),IF(V150=2,AB$100*EXP(-(LN(2)/$D$65+0.04)*(VLOOKUP(($F$16-$F$15)-1,U$100:Y150,4,FALSE)))*EXP(-(LN(2)/$D$65+0.1)*(VLOOKUP(($F$16-$F$15)-1,U$100:Y150,5,FALSE)))*EXP(-(LN(2)/$D$65+0.04)*X150)*EXP(-(LN(2)/$D$65+0.1)*Y150),IF(V150=3,AB$100*EXP(-(LN(2)/$D$65+0.04)*(VLOOKUP(($F$16-$F$15)-1,U$100:Y150,4,FALSE)))*EXP(-(LN(2)/$D$65+0.1)*(VLOOKUP(($F$16-$F$15)-1,U$100:Y150,5,FALSE)))*EXP(-(LN(2)/$D$65+0.04)*(VLOOKUP(($F$16-$F$15)*2-1,U$100:Y150,4,FALSE)))*EXP(-(LN(2)/$D$65+0.1)*(VLOOKUP(($F$16-$F$15)*2-1,U$100:Y150,5,FALSE)))*EXP(-(LN(2)/$D$65+0.04)*X150)*EXP(-(LN(2)/$D$65+0.1)*Y150),"-"))),"-")</f>
        <v>-</v>
      </c>
      <c r="AC150" s="224">
        <f t="shared" si="45"/>
        <v>50</v>
      </c>
      <c r="AD150" s="223" t="str">
        <f t="shared" si="18"/>
        <v>-</v>
      </c>
      <c r="AE150" s="224" t="str">
        <f t="shared" si="46"/>
        <v>-</v>
      </c>
      <c r="AF150" s="224" t="str">
        <f t="shared" si="19"/>
        <v>-</v>
      </c>
      <c r="AG150" s="224" t="str">
        <f t="shared" si="20"/>
        <v>-</v>
      </c>
      <c r="AH150" s="272">
        <f t="shared" si="47"/>
        <v>0.1</v>
      </c>
      <c r="AI150" s="271" t="str">
        <f>IFERROR(IF(AD149=1,AI$100*EXP(-(LN(2)/$D$65+0.04)*AF149)*EXP(-(LN(2)/$D$65+0.1)*AG149),IF(AD149=2,AI$100*EXP(-(LN(2)/$D$65+0.04)*(VLOOKUP(($F$16-$F$15)-1,AC$99:AG149,4,FALSE)))*EXP(-(LN(2)/$D$65+0.1)*(VLOOKUP(($F$16-$F$15)-1,AC$99:AG149,5,FALSE)))*EXP(-(LN(2)/$D$65+0.04)*AF149)*EXP(-(LN(2)/$D$65+0.1)*AG149),IF(AD149=3,AI$100*EXP(-(LN(2)/$D$65+0.04)*(VLOOKUP(($F$16-$F$15)-1,AC$99:AG149,4,FALSE)))*EXP(-(LN(2)/$D$65+0.1)*(VLOOKUP(($F$16-$F$15)-1,AC$99:AG149,5,FALSE)))*EXP(-(LN(2)/$D$65+0.04)*(VLOOKUP(($F$16-$F$15)*2-1,AC$99:AG149,4,FALSE)))*EXP(-(LN(2)/$D$65+0.1)*(VLOOKUP(($F$16-$F$15)*2-1,AC$99:AG149,5,FALSE)))*EXP(-(LN(2)/$D$65+0.04)*AF149)*EXP(-(LN(2)/$D$65+0.1)*AG149),"-"))),"-")</f>
        <v>-</v>
      </c>
      <c r="AJ150" s="271" t="str">
        <f>IFERROR(IF(AD150=1,AJ$100*EXP(-(LN(2)/$D$65+0.04)*AF150)*EXP(-(LN(2)/$D$65+0.1)*AG150),IF(AD150=2,AJ$100*EXP(-(LN(2)/$D$65+0.04)*(VLOOKUP(($F$16-$F$15)-1,AC$100:AG150,4,FALSE)))*EXP(-(LN(2)/$D$65+0.1)*(VLOOKUP(($F$16-$F$15)-1,AC$100:AG150,5,FALSE)))*EXP(-(LN(2)/$D$65+0.04)*AF150)*EXP(-(LN(2)/$D$65+0.1)*AG150),IF(AD150=3,AJ$100*EXP(-(LN(2)/$D$65+0.04)*(VLOOKUP(($F$16-$F$15)-1,AC$100:AG150,4,FALSE)))*EXP(-(LN(2)/$D$65+0.1)*(VLOOKUP(($F$16-$F$15)-1,AC$100:AG150,5,FALSE)))*EXP(-(LN(2)/$D$65+0.04)*(VLOOKUP(($F$16-$F$15)*2-1,AC$100:AG150,4,FALSE)))*EXP(-(LN(2)/$D$65+0.1)*(VLOOKUP(($F$16-$F$15)*2-1,AC$100:AG150,5,FALSE)))*EXP(-(LN(2)/$D$65+0.04)*AF150)*EXP(-(LN(2)/$D$65+0.1)*AG150),"-"))),"-")</f>
        <v>-</v>
      </c>
      <c r="AK150" s="227">
        <f t="shared" si="49"/>
        <v>50</v>
      </c>
      <c r="AL150" s="226" t="str">
        <f t="shared" si="22"/>
        <v>-</v>
      </c>
      <c r="AM150" s="227" t="str">
        <f t="shared" si="50"/>
        <v>-</v>
      </c>
      <c r="AN150" s="227" t="str">
        <f t="shared" si="51"/>
        <v>-</v>
      </c>
      <c r="AO150" s="227" t="str">
        <f t="shared" si="23"/>
        <v>-</v>
      </c>
      <c r="AP150" s="273">
        <f t="shared" si="52"/>
        <v>0.1</v>
      </c>
      <c r="AQ150" s="271" t="str">
        <f>IFERROR(IF(AL149=1,AQ$100*EXP(-(LN(2)/$D$65+0.04)*AN149)*EXP(-(LN(2)/$D$65+0.1)*AO149),IF(AL149=2,AQ$100*EXP(-(LN(2)/$D$65+0.04)*(VLOOKUP(($F$16-$F$15)-1,AK$99:AO149,4,FALSE)))*EXP(-(LN(2)/$D$65+0.1)*(VLOOKUP(($F$16-$F$15)-1,AK$99:AO149,5,FALSE)))*EXP(-(LN(2)/$D$65+0.04)*AN149)*EXP(-(LN(2)/$D$65+0.1)*AO149),IF(AL149=3,AQ$100*EXP(-(LN(2)/$D$65+0.04)*(VLOOKUP(($F$16-$F$15)-1,AK$99:AO149,4,FALSE)))*EXP(-(LN(2)/$D$65+0.1)*(VLOOKUP(($F$16-$F$15)-1,AK$99:AO149,5,FALSE)))*EXP(-(LN(2)/$D$65+0.04)*(VLOOKUP(($F$16-$F$15)*2-1,AK$99:AO149,4,FALSE)))*EXP(-(LN(2)/$D$65+0.1)*(VLOOKUP(($F$16-$F$15)*2-1,AK$99:AO149,5,FALSE)))*EXP(-(LN(2)/$D$65+0.04)*AN149)*EXP(-(LN(2)/$D$65+0.1)*AO149),"-"))),"-")</f>
        <v>-</v>
      </c>
      <c r="AR150" s="271" t="str">
        <f>IFERROR(IF(AL150=1,AR$100*EXP(-(LN(2)/$D$65+0.04)*AN150)*EXP(-(LN(2)/$D$65+0.1)*AO150),IF(AL150=2,AR$100*EXP(-(LN(2)/$D$65+0.04)*(VLOOKUP(($F$16-$F$15)-1,AK$100:AO150,4,FALSE)))*EXP(-(LN(2)/$D$65+0.1)*(VLOOKUP(($F$16-$F$15)-1,AK$100:AO150,5,FALSE)))*EXP(-(LN(2)/$D$65+0.04)*AN150)*EXP(-(LN(2)/$D$65+0.1)*AO150),IF(AL150=3,AR$100*EXP(-(LN(2)/$D$65+0.04)*(VLOOKUP(($F$16-$F$15)-1,AK$100:AO150,4,FALSE)))*EXP(-(LN(2)/$D$65+0.1)*(VLOOKUP(($F$16-$F$15)-1,AK$100:AO150,5,FALSE)))*EXP(-(LN(2)/$D$65+0.04)*(VLOOKUP(($F$16-$F$15)*2-1,AK$100:AO150,4,FALSE)))*EXP(-(LN(2)/$D$65+0.1)*(VLOOKUP(($F$16-$F$15)*2-1,AK$100:AO150,5,FALSE)))*EXP(-(LN(2)/$D$65+0.04)*AN150)*EXP(-(LN(2)/$D$65+0.1)*AO150),"-"))),"-")</f>
        <v>-</v>
      </c>
      <c r="AS150" s="274">
        <f t="shared" si="24"/>
        <v>0</v>
      </c>
      <c r="AT150" s="274">
        <f t="shared" si="25"/>
        <v>0</v>
      </c>
      <c r="AU150" s="274">
        <f t="shared" si="26"/>
        <v>0</v>
      </c>
      <c r="AV150" s="190" t="str">
        <f>IF($B150&lt;$F$22,SUM($T$100:$T150),"")</f>
        <v/>
      </c>
      <c r="AW150" s="190" t="str">
        <f t="shared" si="83"/>
        <v>-</v>
      </c>
      <c r="AX150" s="190" t="str">
        <f t="shared" si="56"/>
        <v/>
      </c>
      <c r="AY150"/>
      <c r="AZ150" s="190" t="str">
        <f ca="1">IF(ISNUMBER(OFFSET(AV150,-$F$21,0)),SUM(OFFSET($T$100,$F$21,0):$T150),"")</f>
        <v/>
      </c>
      <c r="BA150" s="190" t="str">
        <f t="shared" ca="1" si="84"/>
        <v/>
      </c>
      <c r="BB150" s="190" t="str">
        <f t="shared" ca="1" si="70"/>
        <v/>
      </c>
      <c r="BC150" s="190"/>
      <c r="BD150" s="190" t="str">
        <f ca="1">IFERROR(IF(OR(ISNUMBER(I),ISNUMBER($F$14)),IF(AND($B150&gt;=($F$16-$F$15),$B150&lt;$F$22+($F$16-$F$15)),SUM(OFFSET($T$100,($F$16-$F$15),0):$T150),""),""),"")</f>
        <v/>
      </c>
      <c r="BE150" s="190" t="str">
        <f t="shared" ca="1" si="58"/>
        <v/>
      </c>
      <c r="BF150" s="190" t="str">
        <f t="shared" ca="1" si="59"/>
        <v/>
      </c>
      <c r="BG150"/>
      <c r="BH150" s="190" t="str">
        <f ca="1">IF(ISNUMBER(OFFSET(BD150,-$F$21,0)),SUM(OFFSET($T$100,($F$16-$F$15+$F$21),0):$T150),"")</f>
        <v/>
      </c>
      <c r="BI150" s="190" t="str">
        <f t="shared" ca="1" si="85"/>
        <v/>
      </c>
      <c r="BJ150" s="190" t="str">
        <f t="shared" ca="1" si="60"/>
        <v/>
      </c>
      <c r="BK150" s="190"/>
      <c r="BL150" s="190" t="str">
        <f ca="1">IFERROR(IF(OR(ISNUMBER(I),ISNUMBER($F$14)),IF(AND($B150&gt;=($F$17-$F$15),$B150&lt;$F$22+($F$17-$F$15)),SUM(OFFSET($T$100,($F$17-$F$15),0):$T150),""),""),"")</f>
        <v/>
      </c>
      <c r="BM150" s="190" t="str">
        <f t="shared" ca="1" si="86"/>
        <v/>
      </c>
      <c r="BN150" s="190" t="str">
        <f t="shared" ca="1" si="61"/>
        <v/>
      </c>
      <c r="BO150"/>
      <c r="BP150" s="190" t="str">
        <f ca="1">IF(ISNUMBER(OFFSET(BL150,-$F$21,0)),SUM(OFFSET($T$100,($F$17-$F$15+$F$21),0):$T150),"")</f>
        <v/>
      </c>
      <c r="BQ150" s="190" t="str">
        <f t="shared" ca="1" si="87"/>
        <v/>
      </c>
      <c r="BR150" s="190" t="str">
        <f t="shared" ca="1" si="63"/>
        <v/>
      </c>
      <c r="BS150" s="190"/>
      <c r="BT150"/>
      <c r="BU150"/>
      <c r="BV150"/>
      <c r="BY150" s="99"/>
      <c r="BZ150" s="99"/>
      <c r="CA150" s="280" t="str">
        <f t="shared" si="88"/>
        <v/>
      </c>
      <c r="CB150" s="71" t="str">
        <f t="shared" si="31"/>
        <v>-</v>
      </c>
      <c r="CC150" s="33"/>
      <c r="CD150" s="261" t="str">
        <f t="shared" si="33"/>
        <v/>
      </c>
      <c r="CE150" s="280" t="str">
        <f t="shared" si="89"/>
        <v/>
      </c>
      <c r="CF150" s="71" t="str">
        <f t="shared" ca="1" si="90"/>
        <v/>
      </c>
      <c r="CG150" s="33" t="str">
        <f t="shared" si="36"/>
        <v/>
      </c>
      <c r="CH150" s="261" t="str">
        <f t="shared" ca="1" si="37"/>
        <v/>
      </c>
      <c r="CI150" s="202"/>
      <c r="CJ150" s="99"/>
      <c r="CK150" s="99"/>
      <c r="CL150" s="99"/>
      <c r="CM150" s="99"/>
      <c r="CN150" s="99"/>
      <c r="CO150" s="99"/>
    </row>
    <row r="151" spans="2:93" ht="13.5" customHeight="1" x14ac:dyDescent="0.2">
      <c r="B151" s="262">
        <v>51</v>
      </c>
      <c r="C151" s="237" t="str">
        <f t="shared" si="1"/>
        <v/>
      </c>
      <c r="D151" s="237" t="str">
        <f t="shared" si="66"/>
        <v/>
      </c>
      <c r="E151" s="290" t="str">
        <f t="shared" si="38"/>
        <v/>
      </c>
      <c r="F151" s="264" t="str">
        <f t="shared" si="39"/>
        <v/>
      </c>
      <c r="G151" s="291" t="str">
        <f t="shared" si="40"/>
        <v/>
      </c>
      <c r="H151" s="240" t="str">
        <f t="shared" si="71"/>
        <v/>
      </c>
      <c r="I151" s="265" t="str">
        <f t="shared" si="72"/>
        <v/>
      </c>
      <c r="J151" s="265" t="str">
        <f t="shared" si="73"/>
        <v/>
      </c>
      <c r="K151" s="240" t="str">
        <f t="shared" si="74"/>
        <v/>
      </c>
      <c r="L151" s="265" t="str">
        <f t="shared" si="75"/>
        <v/>
      </c>
      <c r="M151" s="265" t="str">
        <f t="shared" si="76"/>
        <v/>
      </c>
      <c r="N151" s="240" t="str">
        <f t="shared" si="77"/>
        <v>-</v>
      </c>
      <c r="O151" s="265" t="str">
        <f t="shared" si="78"/>
        <v>-</v>
      </c>
      <c r="P151" s="265" t="str">
        <f t="shared" si="79"/>
        <v>-</v>
      </c>
      <c r="Q151" s="266" t="str">
        <f t="shared" si="80"/>
        <v>-</v>
      </c>
      <c r="R151" s="267" t="str">
        <f t="shared" si="81"/>
        <v>-</v>
      </c>
      <c r="S151" s="268" t="str">
        <f t="shared" si="82"/>
        <v>-</v>
      </c>
      <c r="T151" s="269" t="str">
        <f t="shared" si="13"/>
        <v/>
      </c>
      <c r="U151" s="221">
        <f t="shared" si="14"/>
        <v>51</v>
      </c>
      <c r="V151" s="220" t="str">
        <f t="shared" si="42"/>
        <v>-</v>
      </c>
      <c r="W151" s="221" t="str">
        <f t="shared" si="43"/>
        <v>-</v>
      </c>
      <c r="X151" s="221" t="str">
        <f t="shared" si="15"/>
        <v>-</v>
      </c>
      <c r="Y151" s="221" t="str">
        <f t="shared" si="16"/>
        <v>-</v>
      </c>
      <c r="Z151" s="270">
        <f t="shared" si="44"/>
        <v>0.1</v>
      </c>
      <c r="AA151" s="271" t="str">
        <f>IFERROR(IF(V150=1,AA$100*EXP(-(LN(2)/$D$65+0.04)*X150)*EXP(-(LN(2)/$D$65+0.1)*Y150),IF(V150=2,AA$100*EXP(-(LN(2)/$D$65+0.04)*(VLOOKUP(($F$16-$F$15)-1,U$99:Y150,4,FALSE)))*EXP(-(LN(2)/$D$65+0.1)*(VLOOKUP(($F$16-$F$15)-1,U$99:Y150,5,FALSE)))*EXP(-(LN(2)/$D$65+0.04)*X150)*EXP(-(LN(2)/$D$65+0.1)*Y150),IF(V150=3,AA$100*EXP(-(LN(2)/$D$65+0.04)*(VLOOKUP(($F$16-$F$15)-1,U$99:Y150,4,FALSE)))*EXP(-(LN(2)/$D$65+0.1)*(VLOOKUP(($F$16-$F$15)-1,U$99:Y150,5,FALSE)))*EXP(-(LN(2)/$D$65+0.04)*(VLOOKUP(($F$16-$F$15)*2-1,U$99:Y150,4,FALSE)))*EXP(-(LN(2)/$D$65+0.1)*(VLOOKUP(($F$16-$F$15)*2-1,U$99:Y150,5,FALSE)))*EXP(-(LN(2)/$D$65+0.04)*X150)*EXP(-(LN(2)/$D$65+0.1)*Y150),"-"))),"-")</f>
        <v>-</v>
      </c>
      <c r="AB151" s="271" t="str">
        <f>IFERROR(IF(V151=1,AB$100*EXP(-(LN(2)/$D$65+0.04)*X151)*EXP(-(LN(2)/$D$65+0.1)*Y151),IF(V151=2,AB$100*EXP(-(LN(2)/$D$65+0.04)*(VLOOKUP(($F$16-$F$15)-1,U$100:Y151,4,FALSE)))*EXP(-(LN(2)/$D$65+0.1)*(VLOOKUP(($F$16-$F$15)-1,U$100:Y151,5,FALSE)))*EXP(-(LN(2)/$D$65+0.04)*X151)*EXP(-(LN(2)/$D$65+0.1)*Y151),IF(V151=3,AB$100*EXP(-(LN(2)/$D$65+0.04)*(VLOOKUP(($F$16-$F$15)-1,U$100:Y151,4,FALSE)))*EXP(-(LN(2)/$D$65+0.1)*(VLOOKUP(($F$16-$F$15)-1,U$100:Y151,5,FALSE)))*EXP(-(LN(2)/$D$65+0.04)*(VLOOKUP(($F$16-$F$15)*2-1,U$100:Y151,4,FALSE)))*EXP(-(LN(2)/$D$65+0.1)*(VLOOKUP(($F$16-$F$15)*2-1,U$100:Y151,5,FALSE)))*EXP(-(LN(2)/$D$65+0.04)*X151)*EXP(-(LN(2)/$D$65+0.1)*Y151),"-"))),"-")</f>
        <v>-</v>
      </c>
      <c r="AC151" s="224">
        <f t="shared" si="45"/>
        <v>51</v>
      </c>
      <c r="AD151" s="223" t="str">
        <f t="shared" si="18"/>
        <v>-</v>
      </c>
      <c r="AE151" s="224" t="str">
        <f t="shared" si="46"/>
        <v>-</v>
      </c>
      <c r="AF151" s="224" t="str">
        <f t="shared" si="19"/>
        <v>-</v>
      </c>
      <c r="AG151" s="224" t="str">
        <f t="shared" si="20"/>
        <v>-</v>
      </c>
      <c r="AH151" s="272">
        <f t="shared" si="47"/>
        <v>0.1</v>
      </c>
      <c r="AI151" s="271" t="str">
        <f>IFERROR(IF(AD150=1,AI$100*EXP(-(LN(2)/$D$65+0.04)*AF150)*EXP(-(LN(2)/$D$65+0.1)*AG150),IF(AD150=2,AI$100*EXP(-(LN(2)/$D$65+0.04)*(VLOOKUP(($F$16-$F$15)-1,AC$99:AG150,4,FALSE)))*EXP(-(LN(2)/$D$65+0.1)*(VLOOKUP(($F$16-$F$15)-1,AC$99:AG150,5,FALSE)))*EXP(-(LN(2)/$D$65+0.04)*AF150)*EXP(-(LN(2)/$D$65+0.1)*AG150),IF(AD150=3,AI$100*EXP(-(LN(2)/$D$65+0.04)*(VLOOKUP(($F$16-$F$15)-1,AC$99:AG150,4,FALSE)))*EXP(-(LN(2)/$D$65+0.1)*(VLOOKUP(($F$16-$F$15)-1,AC$99:AG150,5,FALSE)))*EXP(-(LN(2)/$D$65+0.04)*(VLOOKUP(($F$16-$F$15)*2-1,AC$99:AG150,4,FALSE)))*EXP(-(LN(2)/$D$65+0.1)*(VLOOKUP(($F$16-$F$15)*2-1,AC$99:AG150,5,FALSE)))*EXP(-(LN(2)/$D$65+0.04)*AF150)*EXP(-(LN(2)/$D$65+0.1)*AG150),"-"))),"-")</f>
        <v>-</v>
      </c>
      <c r="AJ151" s="271" t="str">
        <f>IFERROR(IF(AD151=1,AJ$100*EXP(-(LN(2)/$D$65+0.04)*AF151)*EXP(-(LN(2)/$D$65+0.1)*AG151),IF(AD151=2,AJ$100*EXP(-(LN(2)/$D$65+0.04)*(VLOOKUP(($F$16-$F$15)-1,AC$100:AG151,4,FALSE)))*EXP(-(LN(2)/$D$65+0.1)*(VLOOKUP(($F$16-$F$15)-1,AC$100:AG151,5,FALSE)))*EXP(-(LN(2)/$D$65+0.04)*AF151)*EXP(-(LN(2)/$D$65+0.1)*AG151),IF(AD151=3,AJ$100*EXP(-(LN(2)/$D$65+0.04)*(VLOOKUP(($F$16-$F$15)-1,AC$100:AG151,4,FALSE)))*EXP(-(LN(2)/$D$65+0.1)*(VLOOKUP(($F$16-$F$15)-1,AC$100:AG151,5,FALSE)))*EXP(-(LN(2)/$D$65+0.04)*(VLOOKUP(($F$16-$F$15)*2-1,AC$100:AG151,4,FALSE)))*EXP(-(LN(2)/$D$65+0.1)*(VLOOKUP(($F$16-$F$15)*2-1,AC$100:AG151,5,FALSE)))*EXP(-(LN(2)/$D$65+0.04)*AF151)*EXP(-(LN(2)/$D$65+0.1)*AG151),"-"))),"-")</f>
        <v>-</v>
      </c>
      <c r="AK151" s="227">
        <f t="shared" si="49"/>
        <v>51</v>
      </c>
      <c r="AL151" s="226" t="str">
        <f t="shared" si="22"/>
        <v>-</v>
      </c>
      <c r="AM151" s="227" t="str">
        <f t="shared" si="50"/>
        <v>-</v>
      </c>
      <c r="AN151" s="227" t="str">
        <f t="shared" si="51"/>
        <v>-</v>
      </c>
      <c r="AO151" s="227" t="str">
        <f t="shared" si="23"/>
        <v>-</v>
      </c>
      <c r="AP151" s="273">
        <f t="shared" si="52"/>
        <v>0.1</v>
      </c>
      <c r="AQ151" s="271" t="str">
        <f>IFERROR(IF(AL150=1,AQ$100*EXP(-(LN(2)/$D$65+0.04)*AN150)*EXP(-(LN(2)/$D$65+0.1)*AO150),IF(AL150=2,AQ$100*EXP(-(LN(2)/$D$65+0.04)*(VLOOKUP(($F$16-$F$15)-1,AK$99:AO150,4,FALSE)))*EXP(-(LN(2)/$D$65+0.1)*(VLOOKUP(($F$16-$F$15)-1,AK$99:AO150,5,FALSE)))*EXP(-(LN(2)/$D$65+0.04)*AN150)*EXP(-(LN(2)/$D$65+0.1)*AO150),IF(AL150=3,AQ$100*EXP(-(LN(2)/$D$65+0.04)*(VLOOKUP(($F$16-$F$15)-1,AK$99:AO150,4,FALSE)))*EXP(-(LN(2)/$D$65+0.1)*(VLOOKUP(($F$16-$F$15)-1,AK$99:AO150,5,FALSE)))*EXP(-(LN(2)/$D$65+0.04)*(VLOOKUP(($F$16-$F$15)*2-1,AK$99:AO150,4,FALSE)))*EXP(-(LN(2)/$D$65+0.1)*(VLOOKUP(($F$16-$F$15)*2-1,AK$99:AO150,5,FALSE)))*EXP(-(LN(2)/$D$65+0.04)*AN150)*EXP(-(LN(2)/$D$65+0.1)*AO150),"-"))),"-")</f>
        <v>-</v>
      </c>
      <c r="AR151" s="271" t="str">
        <f>IFERROR(IF(AL151=1,AR$100*EXP(-(LN(2)/$D$65+0.04)*AN151)*EXP(-(LN(2)/$D$65+0.1)*AO151),IF(AL151=2,AR$100*EXP(-(LN(2)/$D$65+0.04)*(VLOOKUP(($F$16-$F$15)-1,AK$100:AO151,4,FALSE)))*EXP(-(LN(2)/$D$65+0.1)*(VLOOKUP(($F$16-$F$15)-1,AK$100:AO151,5,FALSE)))*EXP(-(LN(2)/$D$65+0.04)*AN151)*EXP(-(LN(2)/$D$65+0.1)*AO151),IF(AL151=3,AR$100*EXP(-(LN(2)/$D$65+0.04)*(VLOOKUP(($F$16-$F$15)-1,AK$100:AO151,4,FALSE)))*EXP(-(LN(2)/$D$65+0.1)*(VLOOKUP(($F$16-$F$15)-1,AK$100:AO151,5,FALSE)))*EXP(-(LN(2)/$D$65+0.04)*(VLOOKUP(($F$16-$F$15)*2-1,AK$100:AO151,4,FALSE)))*EXP(-(LN(2)/$D$65+0.1)*(VLOOKUP(($F$16-$F$15)*2-1,AK$100:AO151,5,FALSE)))*EXP(-(LN(2)/$D$65+0.04)*AN151)*EXP(-(LN(2)/$D$65+0.1)*AO151),"-"))),"-")</f>
        <v>-</v>
      </c>
      <c r="AS151" s="274">
        <f t="shared" si="24"/>
        <v>0</v>
      </c>
      <c r="AT151" s="274">
        <f t="shared" si="25"/>
        <v>0</v>
      </c>
      <c r="AU151" s="274">
        <f t="shared" si="26"/>
        <v>0</v>
      </c>
      <c r="AV151" s="190" t="str">
        <f>IF($B151&lt;$F$22,SUM($T$100:$T151),"")</f>
        <v/>
      </c>
      <c r="AW151" s="190" t="str">
        <f t="shared" si="83"/>
        <v>-</v>
      </c>
      <c r="AX151" s="190" t="str">
        <f t="shared" si="56"/>
        <v/>
      </c>
      <c r="AY151"/>
      <c r="AZ151" s="190" t="str">
        <f ca="1">IF(ISNUMBER(OFFSET(AV151,-$F$21,0)),SUM(OFFSET($T$100,$F$21,0):$T151),"")</f>
        <v/>
      </c>
      <c r="BA151" s="190" t="str">
        <f t="shared" ca="1" si="84"/>
        <v/>
      </c>
      <c r="BB151" s="190" t="str">
        <f t="shared" ca="1" si="70"/>
        <v/>
      </c>
      <c r="BC151" s="190"/>
      <c r="BD151" s="190" t="str">
        <f ca="1">IFERROR(IF(OR(ISNUMBER(I),ISNUMBER($F$14)),IF(AND($B151&gt;=($F$16-$F$15),$B151&lt;$F$22+($F$16-$F$15)),SUM(OFFSET($T$100,($F$16-$F$15),0):$T151),""),""),"")</f>
        <v/>
      </c>
      <c r="BE151" s="190" t="str">
        <f t="shared" ca="1" si="58"/>
        <v/>
      </c>
      <c r="BF151" s="190" t="str">
        <f t="shared" ca="1" si="59"/>
        <v/>
      </c>
      <c r="BG151"/>
      <c r="BH151" s="190" t="str">
        <f ca="1">IF(ISNUMBER(OFFSET(BD151,-$F$21,0)),SUM(OFFSET($T$100,($F$16-$F$15+$F$21),0):$T151),"")</f>
        <v/>
      </c>
      <c r="BI151" s="190" t="str">
        <f t="shared" ca="1" si="85"/>
        <v/>
      </c>
      <c r="BJ151" s="190" t="str">
        <f t="shared" ca="1" si="60"/>
        <v/>
      </c>
      <c r="BK151" s="190"/>
      <c r="BL151" s="190" t="str">
        <f ca="1">IFERROR(IF(OR(ISNUMBER(I),ISNUMBER($F$14)),IF(AND($B151&gt;=($F$17-$F$15),$B151&lt;$F$22+($F$17-$F$15)),SUM(OFFSET($T$100,($F$17-$F$15),0):$T151),""),""),"")</f>
        <v/>
      </c>
      <c r="BM151" s="190" t="str">
        <f t="shared" ca="1" si="86"/>
        <v/>
      </c>
      <c r="BN151" s="190" t="str">
        <f t="shared" ca="1" si="61"/>
        <v/>
      </c>
      <c r="BO151"/>
      <c r="BP151" s="190" t="str">
        <f ca="1">IF(ISNUMBER(OFFSET(BL151,-$F$21,0)),SUM(OFFSET($T$100,($F$17-$F$15+$F$21),0):$T151),"")</f>
        <v/>
      </c>
      <c r="BQ151" s="190" t="str">
        <f t="shared" ca="1" si="87"/>
        <v/>
      </c>
      <c r="BR151" s="190" t="str">
        <f t="shared" ca="1" si="63"/>
        <v/>
      </c>
      <c r="BS151" s="190"/>
      <c r="BT151"/>
      <c r="BU151"/>
      <c r="BV151"/>
      <c r="BY151" s="99"/>
      <c r="BZ151" s="99"/>
      <c r="CA151" s="280" t="str">
        <f t="shared" si="88"/>
        <v/>
      </c>
      <c r="CB151" s="71" t="str">
        <f t="shared" si="31"/>
        <v>-</v>
      </c>
      <c r="CC151" s="33"/>
      <c r="CD151" s="261" t="str">
        <f t="shared" si="33"/>
        <v/>
      </c>
      <c r="CE151" s="280" t="str">
        <f t="shared" si="89"/>
        <v/>
      </c>
      <c r="CF151" s="71" t="str">
        <f t="shared" ca="1" si="90"/>
        <v/>
      </c>
      <c r="CG151" s="33" t="str">
        <f t="shared" si="36"/>
        <v/>
      </c>
      <c r="CH151" s="261" t="str">
        <f t="shared" ca="1" si="37"/>
        <v/>
      </c>
      <c r="CI151" s="202"/>
      <c r="CJ151" s="99"/>
      <c r="CK151" s="99"/>
      <c r="CL151" s="99"/>
      <c r="CM151" s="99"/>
      <c r="CN151" s="99"/>
      <c r="CO151" s="99"/>
    </row>
    <row r="152" spans="2:93" ht="13.5" customHeight="1" x14ac:dyDescent="0.2">
      <c r="B152" s="262">
        <v>52</v>
      </c>
      <c r="C152" s="237" t="str">
        <f t="shared" si="1"/>
        <v/>
      </c>
      <c r="D152" s="237" t="str">
        <f t="shared" si="66"/>
        <v/>
      </c>
      <c r="E152" s="290" t="str">
        <f t="shared" si="38"/>
        <v/>
      </c>
      <c r="F152" s="264" t="str">
        <f t="shared" si="39"/>
        <v/>
      </c>
      <c r="G152" s="291" t="str">
        <f t="shared" si="40"/>
        <v/>
      </c>
      <c r="H152" s="240" t="str">
        <f t="shared" si="71"/>
        <v/>
      </c>
      <c r="I152" s="265" t="str">
        <f t="shared" si="72"/>
        <v/>
      </c>
      <c r="J152" s="265" t="str">
        <f t="shared" si="73"/>
        <v/>
      </c>
      <c r="K152" s="240" t="str">
        <f t="shared" si="74"/>
        <v/>
      </c>
      <c r="L152" s="265" t="str">
        <f t="shared" si="75"/>
        <v/>
      </c>
      <c r="M152" s="265" t="str">
        <f t="shared" si="76"/>
        <v/>
      </c>
      <c r="N152" s="240" t="str">
        <f t="shared" si="77"/>
        <v>-</v>
      </c>
      <c r="O152" s="265" t="str">
        <f t="shared" si="78"/>
        <v>-</v>
      </c>
      <c r="P152" s="265" t="str">
        <f t="shared" si="79"/>
        <v>-</v>
      </c>
      <c r="Q152" s="266" t="str">
        <f t="shared" si="80"/>
        <v>-</v>
      </c>
      <c r="R152" s="267" t="str">
        <f t="shared" si="81"/>
        <v>-</v>
      </c>
      <c r="S152" s="268" t="str">
        <f t="shared" si="82"/>
        <v>-</v>
      </c>
      <c r="T152" s="269" t="str">
        <f t="shared" si="13"/>
        <v/>
      </c>
      <c r="U152" s="221">
        <f t="shared" si="14"/>
        <v>52</v>
      </c>
      <c r="V152" s="220" t="str">
        <f t="shared" si="42"/>
        <v>-</v>
      </c>
      <c r="W152" s="221" t="str">
        <f t="shared" si="43"/>
        <v>-</v>
      </c>
      <c r="X152" s="221" t="str">
        <f t="shared" si="15"/>
        <v>-</v>
      </c>
      <c r="Y152" s="221" t="str">
        <f t="shared" si="16"/>
        <v>-</v>
      </c>
      <c r="Z152" s="270">
        <f t="shared" si="44"/>
        <v>0.1</v>
      </c>
      <c r="AA152" s="271" t="str">
        <f>IFERROR(IF(V151=1,AA$100*EXP(-(LN(2)/$D$65+0.04)*X151)*EXP(-(LN(2)/$D$65+0.1)*Y151),IF(V151=2,AA$100*EXP(-(LN(2)/$D$65+0.04)*(VLOOKUP(($F$16-$F$15)-1,U$99:Y151,4,FALSE)))*EXP(-(LN(2)/$D$65+0.1)*(VLOOKUP(($F$16-$F$15)-1,U$99:Y151,5,FALSE)))*EXP(-(LN(2)/$D$65+0.04)*X151)*EXP(-(LN(2)/$D$65+0.1)*Y151),IF(V151=3,AA$100*EXP(-(LN(2)/$D$65+0.04)*(VLOOKUP(($F$16-$F$15)-1,U$99:Y151,4,FALSE)))*EXP(-(LN(2)/$D$65+0.1)*(VLOOKUP(($F$16-$F$15)-1,U$99:Y151,5,FALSE)))*EXP(-(LN(2)/$D$65+0.04)*(VLOOKUP(($F$16-$F$15)*2-1,U$99:Y151,4,FALSE)))*EXP(-(LN(2)/$D$65+0.1)*(VLOOKUP(($F$16-$F$15)*2-1,U$99:Y151,5,FALSE)))*EXP(-(LN(2)/$D$65+0.04)*X151)*EXP(-(LN(2)/$D$65+0.1)*Y151),"-"))),"-")</f>
        <v>-</v>
      </c>
      <c r="AB152" s="271" t="str">
        <f>IFERROR(IF(V152=1,AB$100*EXP(-(LN(2)/$D$65+0.04)*X152)*EXP(-(LN(2)/$D$65+0.1)*Y152),IF(V152=2,AB$100*EXP(-(LN(2)/$D$65+0.04)*(VLOOKUP(($F$16-$F$15)-1,U$100:Y152,4,FALSE)))*EXP(-(LN(2)/$D$65+0.1)*(VLOOKUP(($F$16-$F$15)-1,U$100:Y152,5,FALSE)))*EXP(-(LN(2)/$D$65+0.04)*X152)*EXP(-(LN(2)/$D$65+0.1)*Y152),IF(V152=3,AB$100*EXP(-(LN(2)/$D$65+0.04)*(VLOOKUP(($F$16-$F$15)-1,U$100:Y152,4,FALSE)))*EXP(-(LN(2)/$D$65+0.1)*(VLOOKUP(($F$16-$F$15)-1,U$100:Y152,5,FALSE)))*EXP(-(LN(2)/$D$65+0.04)*(VLOOKUP(($F$16-$F$15)*2-1,U$100:Y152,4,FALSE)))*EXP(-(LN(2)/$D$65+0.1)*(VLOOKUP(($F$16-$F$15)*2-1,U$100:Y152,5,FALSE)))*EXP(-(LN(2)/$D$65+0.04)*X152)*EXP(-(LN(2)/$D$65+0.1)*Y152),"-"))),"-")</f>
        <v>-</v>
      </c>
      <c r="AC152" s="224">
        <f t="shared" si="45"/>
        <v>52</v>
      </c>
      <c r="AD152" s="223" t="str">
        <f t="shared" si="18"/>
        <v>-</v>
      </c>
      <c r="AE152" s="224" t="str">
        <f t="shared" si="46"/>
        <v>-</v>
      </c>
      <c r="AF152" s="224" t="str">
        <f t="shared" si="19"/>
        <v>-</v>
      </c>
      <c r="AG152" s="224" t="str">
        <f t="shared" si="20"/>
        <v>-</v>
      </c>
      <c r="AH152" s="272">
        <f t="shared" si="47"/>
        <v>0.1</v>
      </c>
      <c r="AI152" s="271" t="str">
        <f>IFERROR(IF(AD151=1,AI$100*EXP(-(LN(2)/$D$65+0.04)*AF151)*EXP(-(LN(2)/$D$65+0.1)*AG151),IF(AD151=2,AI$100*EXP(-(LN(2)/$D$65+0.04)*(VLOOKUP(($F$16-$F$15)-1,AC$99:AG151,4,FALSE)))*EXP(-(LN(2)/$D$65+0.1)*(VLOOKUP(($F$16-$F$15)-1,AC$99:AG151,5,FALSE)))*EXP(-(LN(2)/$D$65+0.04)*AF151)*EXP(-(LN(2)/$D$65+0.1)*AG151),IF(AD151=3,AI$100*EXP(-(LN(2)/$D$65+0.04)*(VLOOKUP(($F$16-$F$15)-1,AC$99:AG151,4,FALSE)))*EXP(-(LN(2)/$D$65+0.1)*(VLOOKUP(($F$16-$F$15)-1,AC$99:AG151,5,FALSE)))*EXP(-(LN(2)/$D$65+0.04)*(VLOOKUP(($F$16-$F$15)*2-1,AC$99:AG151,4,FALSE)))*EXP(-(LN(2)/$D$65+0.1)*(VLOOKUP(($F$16-$F$15)*2-1,AC$99:AG151,5,FALSE)))*EXP(-(LN(2)/$D$65+0.04)*AF151)*EXP(-(LN(2)/$D$65+0.1)*AG151),"-"))),"-")</f>
        <v>-</v>
      </c>
      <c r="AJ152" s="271" t="str">
        <f>IFERROR(IF(AD152=1,AJ$100*EXP(-(LN(2)/$D$65+0.04)*AF152)*EXP(-(LN(2)/$D$65+0.1)*AG152),IF(AD152=2,AJ$100*EXP(-(LN(2)/$D$65+0.04)*(VLOOKUP(($F$16-$F$15)-1,AC$100:AG152,4,FALSE)))*EXP(-(LN(2)/$D$65+0.1)*(VLOOKUP(($F$16-$F$15)-1,AC$100:AG152,5,FALSE)))*EXP(-(LN(2)/$D$65+0.04)*AF152)*EXP(-(LN(2)/$D$65+0.1)*AG152),IF(AD152=3,AJ$100*EXP(-(LN(2)/$D$65+0.04)*(VLOOKUP(($F$16-$F$15)-1,AC$100:AG152,4,FALSE)))*EXP(-(LN(2)/$D$65+0.1)*(VLOOKUP(($F$16-$F$15)-1,AC$100:AG152,5,FALSE)))*EXP(-(LN(2)/$D$65+0.04)*(VLOOKUP(($F$16-$F$15)*2-1,AC$100:AG152,4,FALSE)))*EXP(-(LN(2)/$D$65+0.1)*(VLOOKUP(($F$16-$F$15)*2-1,AC$100:AG152,5,FALSE)))*EXP(-(LN(2)/$D$65+0.04)*AF152)*EXP(-(LN(2)/$D$65+0.1)*AG152),"-"))),"-")</f>
        <v>-</v>
      </c>
      <c r="AK152" s="227">
        <f t="shared" si="49"/>
        <v>52</v>
      </c>
      <c r="AL152" s="226" t="str">
        <f t="shared" si="22"/>
        <v>-</v>
      </c>
      <c r="AM152" s="227" t="str">
        <f t="shared" si="50"/>
        <v>-</v>
      </c>
      <c r="AN152" s="227" t="str">
        <f t="shared" si="51"/>
        <v>-</v>
      </c>
      <c r="AO152" s="227" t="str">
        <f t="shared" si="23"/>
        <v>-</v>
      </c>
      <c r="AP152" s="273">
        <f t="shared" si="52"/>
        <v>0.1</v>
      </c>
      <c r="AQ152" s="271" t="str">
        <f>IFERROR(IF(AL151=1,AQ$100*EXP(-(LN(2)/$D$65+0.04)*AN151)*EXP(-(LN(2)/$D$65+0.1)*AO151),IF(AL151=2,AQ$100*EXP(-(LN(2)/$D$65+0.04)*(VLOOKUP(($F$16-$F$15)-1,AK$99:AO151,4,FALSE)))*EXP(-(LN(2)/$D$65+0.1)*(VLOOKUP(($F$16-$F$15)-1,AK$99:AO151,5,FALSE)))*EXP(-(LN(2)/$D$65+0.04)*AN151)*EXP(-(LN(2)/$D$65+0.1)*AO151),IF(AL151=3,AQ$100*EXP(-(LN(2)/$D$65+0.04)*(VLOOKUP(($F$16-$F$15)-1,AK$99:AO151,4,FALSE)))*EXP(-(LN(2)/$D$65+0.1)*(VLOOKUP(($F$16-$F$15)-1,AK$99:AO151,5,FALSE)))*EXP(-(LN(2)/$D$65+0.04)*(VLOOKUP(($F$16-$F$15)*2-1,AK$99:AO151,4,FALSE)))*EXP(-(LN(2)/$D$65+0.1)*(VLOOKUP(($F$16-$F$15)*2-1,AK$99:AO151,5,FALSE)))*EXP(-(LN(2)/$D$65+0.04)*AN151)*EXP(-(LN(2)/$D$65+0.1)*AO151),"-"))),"-")</f>
        <v>-</v>
      </c>
      <c r="AR152" s="271" t="str">
        <f>IFERROR(IF(AL152=1,AR$100*EXP(-(LN(2)/$D$65+0.04)*AN152)*EXP(-(LN(2)/$D$65+0.1)*AO152),IF(AL152=2,AR$100*EXP(-(LN(2)/$D$65+0.04)*(VLOOKUP(($F$16-$F$15)-1,AK$100:AO152,4,FALSE)))*EXP(-(LN(2)/$D$65+0.1)*(VLOOKUP(($F$16-$F$15)-1,AK$100:AO152,5,FALSE)))*EXP(-(LN(2)/$D$65+0.04)*AN152)*EXP(-(LN(2)/$D$65+0.1)*AO152),IF(AL152=3,AR$100*EXP(-(LN(2)/$D$65+0.04)*(VLOOKUP(($F$16-$F$15)-1,AK$100:AO152,4,FALSE)))*EXP(-(LN(2)/$D$65+0.1)*(VLOOKUP(($F$16-$F$15)-1,AK$100:AO152,5,FALSE)))*EXP(-(LN(2)/$D$65+0.04)*(VLOOKUP(($F$16-$F$15)*2-1,AK$100:AO152,4,FALSE)))*EXP(-(LN(2)/$D$65+0.1)*(VLOOKUP(($F$16-$F$15)*2-1,AK$100:AO152,5,FALSE)))*EXP(-(LN(2)/$D$65+0.04)*AN152)*EXP(-(LN(2)/$D$65+0.1)*AO152),"-"))),"-")</f>
        <v>-</v>
      </c>
      <c r="AS152" s="274">
        <f t="shared" si="24"/>
        <v>0</v>
      </c>
      <c r="AT152" s="274">
        <f t="shared" si="25"/>
        <v>0</v>
      </c>
      <c r="AU152" s="274">
        <f t="shared" si="26"/>
        <v>0</v>
      </c>
      <c r="AV152" s="190" t="str">
        <f>IF($B152&lt;$F$22,SUM($T$100:$T152),"")</f>
        <v/>
      </c>
      <c r="AW152" s="190" t="str">
        <f t="shared" si="83"/>
        <v>-</v>
      </c>
      <c r="AX152" s="190" t="str">
        <f t="shared" si="56"/>
        <v/>
      </c>
      <c r="AY152"/>
      <c r="AZ152" s="190" t="str">
        <f ca="1">IF(ISNUMBER(OFFSET(AV152,-$F$21,0)),SUM(OFFSET($T$100,$F$21,0):$T152),"")</f>
        <v/>
      </c>
      <c r="BA152" s="190" t="str">
        <f t="shared" ca="1" si="84"/>
        <v/>
      </c>
      <c r="BB152" s="190" t="str">
        <f t="shared" ca="1" si="70"/>
        <v/>
      </c>
      <c r="BC152" s="190"/>
      <c r="BD152" s="190" t="str">
        <f ca="1">IFERROR(IF(OR(ISNUMBER(I),ISNUMBER($F$14)),IF(AND($B152&gt;=($F$16-$F$15),$B152&lt;$F$22+($F$16-$F$15)),SUM(OFFSET($T$100,($F$16-$F$15),0):$T152),""),""),"")</f>
        <v/>
      </c>
      <c r="BE152" s="190" t="str">
        <f t="shared" ca="1" si="58"/>
        <v/>
      </c>
      <c r="BF152" s="190" t="str">
        <f t="shared" ca="1" si="59"/>
        <v/>
      </c>
      <c r="BG152"/>
      <c r="BH152" s="190" t="str">
        <f ca="1">IF(ISNUMBER(OFFSET(BD152,-$F$21,0)),SUM(OFFSET($T$100,($F$16-$F$15+$F$21),0):$T152),"")</f>
        <v/>
      </c>
      <c r="BI152" s="190" t="str">
        <f t="shared" ca="1" si="85"/>
        <v/>
      </c>
      <c r="BJ152" s="190" t="str">
        <f t="shared" ca="1" si="60"/>
        <v/>
      </c>
      <c r="BK152" s="190"/>
      <c r="BL152" s="190" t="str">
        <f ca="1">IFERROR(IF(OR(ISNUMBER(I),ISNUMBER($F$14)),IF(AND($B152&gt;=($F$17-$F$15),$B152&lt;$F$22+($F$17-$F$15)),SUM(OFFSET($T$100,($F$17-$F$15),0):$T152),""),""),"")</f>
        <v/>
      </c>
      <c r="BM152" s="190" t="str">
        <f t="shared" ca="1" si="86"/>
        <v/>
      </c>
      <c r="BN152" s="190" t="str">
        <f t="shared" ca="1" si="61"/>
        <v/>
      </c>
      <c r="BO152"/>
      <c r="BP152" s="190" t="str">
        <f ca="1">IF(ISNUMBER(OFFSET(BL152,-$F$21,0)),SUM(OFFSET($T$100,($F$17-$F$15+$F$21),0):$T152),"")</f>
        <v/>
      </c>
      <c r="BQ152" s="190" t="str">
        <f t="shared" ca="1" si="87"/>
        <v/>
      </c>
      <c r="BR152" s="190" t="str">
        <f t="shared" ca="1" si="63"/>
        <v/>
      </c>
      <c r="BS152" s="190"/>
      <c r="BT152"/>
      <c r="BU152"/>
      <c r="BV152"/>
      <c r="BY152" s="99"/>
      <c r="BZ152" s="99"/>
      <c r="CA152" s="280" t="str">
        <f t="shared" si="88"/>
        <v/>
      </c>
      <c r="CB152" s="71" t="str">
        <f t="shared" si="31"/>
        <v>-</v>
      </c>
      <c r="CC152" s="33"/>
      <c r="CD152" s="261" t="str">
        <f t="shared" si="33"/>
        <v/>
      </c>
      <c r="CE152" s="280" t="str">
        <f t="shared" si="89"/>
        <v/>
      </c>
      <c r="CF152" s="71" t="str">
        <f t="shared" ca="1" si="90"/>
        <v/>
      </c>
      <c r="CG152" s="33" t="str">
        <f t="shared" si="36"/>
        <v/>
      </c>
      <c r="CH152" s="261" t="str">
        <f t="shared" ca="1" si="37"/>
        <v/>
      </c>
      <c r="CI152" s="202"/>
      <c r="CJ152" s="99"/>
      <c r="CK152" s="99"/>
      <c r="CL152" s="99"/>
      <c r="CM152" s="99"/>
      <c r="CN152" s="99"/>
      <c r="CO152" s="99"/>
    </row>
    <row r="153" spans="2:93" ht="13.5" customHeight="1" x14ac:dyDescent="0.2">
      <c r="B153" s="262">
        <v>53</v>
      </c>
      <c r="C153" s="237" t="str">
        <f t="shared" si="1"/>
        <v/>
      </c>
      <c r="D153" s="237" t="str">
        <f t="shared" si="66"/>
        <v/>
      </c>
      <c r="E153" s="290" t="str">
        <f t="shared" si="38"/>
        <v/>
      </c>
      <c r="F153" s="264" t="str">
        <f t="shared" si="39"/>
        <v/>
      </c>
      <c r="G153" s="291" t="str">
        <f t="shared" si="40"/>
        <v/>
      </c>
      <c r="H153" s="240" t="str">
        <f t="shared" si="71"/>
        <v/>
      </c>
      <c r="I153" s="265" t="str">
        <f t="shared" si="72"/>
        <v/>
      </c>
      <c r="J153" s="265" t="str">
        <f t="shared" si="73"/>
        <v/>
      </c>
      <c r="K153" s="240" t="str">
        <f t="shared" si="74"/>
        <v/>
      </c>
      <c r="L153" s="265" t="str">
        <f t="shared" si="75"/>
        <v/>
      </c>
      <c r="M153" s="265" t="str">
        <f t="shared" si="76"/>
        <v/>
      </c>
      <c r="N153" s="240" t="str">
        <f t="shared" si="77"/>
        <v>-</v>
      </c>
      <c r="O153" s="265" t="str">
        <f t="shared" si="78"/>
        <v>-</v>
      </c>
      <c r="P153" s="265" t="str">
        <f t="shared" si="79"/>
        <v>-</v>
      </c>
      <c r="Q153" s="266" t="str">
        <f t="shared" si="80"/>
        <v>-</v>
      </c>
      <c r="R153" s="267" t="str">
        <f t="shared" si="81"/>
        <v>-</v>
      </c>
      <c r="S153" s="268" t="str">
        <f t="shared" si="82"/>
        <v>-</v>
      </c>
      <c r="T153" s="269" t="str">
        <f t="shared" si="13"/>
        <v/>
      </c>
      <c r="U153" s="221">
        <f t="shared" si="14"/>
        <v>53</v>
      </c>
      <c r="V153" s="220" t="str">
        <f t="shared" si="42"/>
        <v>-</v>
      </c>
      <c r="W153" s="221" t="str">
        <f t="shared" si="43"/>
        <v>-</v>
      </c>
      <c r="X153" s="221" t="str">
        <f t="shared" si="15"/>
        <v>-</v>
      </c>
      <c r="Y153" s="221" t="str">
        <f t="shared" si="16"/>
        <v>-</v>
      </c>
      <c r="Z153" s="270">
        <f t="shared" si="44"/>
        <v>0.1</v>
      </c>
      <c r="AA153" s="271" t="str">
        <f>IFERROR(IF(V152=1,AA$100*EXP(-(LN(2)/$D$65+0.04)*X152)*EXP(-(LN(2)/$D$65+0.1)*Y152),IF(V152=2,AA$100*EXP(-(LN(2)/$D$65+0.04)*(VLOOKUP(($F$16-$F$15)-1,U$99:Y152,4,FALSE)))*EXP(-(LN(2)/$D$65+0.1)*(VLOOKUP(($F$16-$F$15)-1,U$99:Y152,5,FALSE)))*EXP(-(LN(2)/$D$65+0.04)*X152)*EXP(-(LN(2)/$D$65+0.1)*Y152),IF(V152=3,AA$100*EXP(-(LN(2)/$D$65+0.04)*(VLOOKUP(($F$16-$F$15)-1,U$99:Y152,4,FALSE)))*EXP(-(LN(2)/$D$65+0.1)*(VLOOKUP(($F$16-$F$15)-1,U$99:Y152,5,FALSE)))*EXP(-(LN(2)/$D$65+0.04)*(VLOOKUP(($F$16-$F$15)*2-1,U$99:Y152,4,FALSE)))*EXP(-(LN(2)/$D$65+0.1)*(VLOOKUP(($F$16-$F$15)*2-1,U$99:Y152,5,FALSE)))*EXP(-(LN(2)/$D$65+0.04)*X152)*EXP(-(LN(2)/$D$65+0.1)*Y152),"-"))),"-")</f>
        <v>-</v>
      </c>
      <c r="AB153" s="271" t="str">
        <f>IFERROR(IF(V153=1,AB$100*EXP(-(LN(2)/$D$65+0.04)*X153)*EXP(-(LN(2)/$D$65+0.1)*Y153),IF(V153=2,AB$100*EXP(-(LN(2)/$D$65+0.04)*(VLOOKUP(($F$16-$F$15)-1,U$100:Y153,4,FALSE)))*EXP(-(LN(2)/$D$65+0.1)*(VLOOKUP(($F$16-$F$15)-1,U$100:Y153,5,FALSE)))*EXP(-(LN(2)/$D$65+0.04)*X153)*EXP(-(LN(2)/$D$65+0.1)*Y153),IF(V153=3,AB$100*EXP(-(LN(2)/$D$65+0.04)*(VLOOKUP(($F$16-$F$15)-1,U$100:Y153,4,FALSE)))*EXP(-(LN(2)/$D$65+0.1)*(VLOOKUP(($F$16-$F$15)-1,U$100:Y153,5,FALSE)))*EXP(-(LN(2)/$D$65+0.04)*(VLOOKUP(($F$16-$F$15)*2-1,U$100:Y153,4,FALSE)))*EXP(-(LN(2)/$D$65+0.1)*(VLOOKUP(($F$16-$F$15)*2-1,U$100:Y153,5,FALSE)))*EXP(-(LN(2)/$D$65+0.04)*X153)*EXP(-(LN(2)/$D$65+0.1)*Y153),"-"))),"-")</f>
        <v>-</v>
      </c>
      <c r="AC153" s="224">
        <f t="shared" si="45"/>
        <v>53</v>
      </c>
      <c r="AD153" s="223" t="str">
        <f t="shared" si="18"/>
        <v>-</v>
      </c>
      <c r="AE153" s="224" t="str">
        <f t="shared" si="46"/>
        <v>-</v>
      </c>
      <c r="AF153" s="224" t="str">
        <f t="shared" si="19"/>
        <v>-</v>
      </c>
      <c r="AG153" s="224" t="str">
        <f t="shared" si="20"/>
        <v>-</v>
      </c>
      <c r="AH153" s="272">
        <f t="shared" si="47"/>
        <v>0.1</v>
      </c>
      <c r="AI153" s="271" t="str">
        <f>IFERROR(IF(AD152=1,AI$100*EXP(-(LN(2)/$D$65+0.04)*AF152)*EXP(-(LN(2)/$D$65+0.1)*AG152),IF(AD152=2,AI$100*EXP(-(LN(2)/$D$65+0.04)*(VLOOKUP(($F$16-$F$15)-1,AC$99:AG152,4,FALSE)))*EXP(-(LN(2)/$D$65+0.1)*(VLOOKUP(($F$16-$F$15)-1,AC$99:AG152,5,FALSE)))*EXP(-(LN(2)/$D$65+0.04)*AF152)*EXP(-(LN(2)/$D$65+0.1)*AG152),IF(AD152=3,AI$100*EXP(-(LN(2)/$D$65+0.04)*(VLOOKUP(($F$16-$F$15)-1,AC$99:AG152,4,FALSE)))*EXP(-(LN(2)/$D$65+0.1)*(VLOOKUP(($F$16-$F$15)-1,AC$99:AG152,5,FALSE)))*EXP(-(LN(2)/$D$65+0.04)*(VLOOKUP(($F$16-$F$15)*2-1,AC$99:AG152,4,FALSE)))*EXP(-(LN(2)/$D$65+0.1)*(VLOOKUP(($F$16-$F$15)*2-1,AC$99:AG152,5,FALSE)))*EXP(-(LN(2)/$D$65+0.04)*AF152)*EXP(-(LN(2)/$D$65+0.1)*AG152),"-"))),"-")</f>
        <v>-</v>
      </c>
      <c r="AJ153" s="271" t="str">
        <f>IFERROR(IF(AD153=1,AJ$100*EXP(-(LN(2)/$D$65+0.04)*AF153)*EXP(-(LN(2)/$D$65+0.1)*AG153),IF(AD153=2,AJ$100*EXP(-(LN(2)/$D$65+0.04)*(VLOOKUP(($F$16-$F$15)-1,AC$100:AG153,4,FALSE)))*EXP(-(LN(2)/$D$65+0.1)*(VLOOKUP(($F$16-$F$15)-1,AC$100:AG153,5,FALSE)))*EXP(-(LN(2)/$D$65+0.04)*AF153)*EXP(-(LN(2)/$D$65+0.1)*AG153),IF(AD153=3,AJ$100*EXP(-(LN(2)/$D$65+0.04)*(VLOOKUP(($F$16-$F$15)-1,AC$100:AG153,4,FALSE)))*EXP(-(LN(2)/$D$65+0.1)*(VLOOKUP(($F$16-$F$15)-1,AC$100:AG153,5,FALSE)))*EXP(-(LN(2)/$D$65+0.04)*(VLOOKUP(($F$16-$F$15)*2-1,AC$100:AG153,4,FALSE)))*EXP(-(LN(2)/$D$65+0.1)*(VLOOKUP(($F$16-$F$15)*2-1,AC$100:AG153,5,FALSE)))*EXP(-(LN(2)/$D$65+0.04)*AF153)*EXP(-(LN(2)/$D$65+0.1)*AG153),"-"))),"-")</f>
        <v>-</v>
      </c>
      <c r="AK153" s="227">
        <f t="shared" si="49"/>
        <v>53</v>
      </c>
      <c r="AL153" s="226" t="str">
        <f t="shared" si="22"/>
        <v>-</v>
      </c>
      <c r="AM153" s="227" t="str">
        <f t="shared" si="50"/>
        <v>-</v>
      </c>
      <c r="AN153" s="227" t="str">
        <f t="shared" si="51"/>
        <v>-</v>
      </c>
      <c r="AO153" s="227" t="str">
        <f t="shared" si="23"/>
        <v>-</v>
      </c>
      <c r="AP153" s="273">
        <f t="shared" si="52"/>
        <v>0.1</v>
      </c>
      <c r="AQ153" s="271" t="str">
        <f>IFERROR(IF(AL152=1,AQ$100*EXP(-(LN(2)/$D$65+0.04)*AN152)*EXP(-(LN(2)/$D$65+0.1)*AO152),IF(AL152=2,AQ$100*EXP(-(LN(2)/$D$65+0.04)*(VLOOKUP(($F$16-$F$15)-1,AK$99:AO152,4,FALSE)))*EXP(-(LN(2)/$D$65+0.1)*(VLOOKUP(($F$16-$F$15)-1,AK$99:AO152,5,FALSE)))*EXP(-(LN(2)/$D$65+0.04)*AN152)*EXP(-(LN(2)/$D$65+0.1)*AO152),IF(AL152=3,AQ$100*EXP(-(LN(2)/$D$65+0.04)*(VLOOKUP(($F$16-$F$15)-1,AK$99:AO152,4,FALSE)))*EXP(-(LN(2)/$D$65+0.1)*(VLOOKUP(($F$16-$F$15)-1,AK$99:AO152,5,FALSE)))*EXP(-(LN(2)/$D$65+0.04)*(VLOOKUP(($F$16-$F$15)*2-1,AK$99:AO152,4,FALSE)))*EXP(-(LN(2)/$D$65+0.1)*(VLOOKUP(($F$16-$F$15)*2-1,AK$99:AO152,5,FALSE)))*EXP(-(LN(2)/$D$65+0.04)*AN152)*EXP(-(LN(2)/$D$65+0.1)*AO152),"-"))),"-")</f>
        <v>-</v>
      </c>
      <c r="AR153" s="271" t="str">
        <f>IFERROR(IF(AL153=1,AR$100*EXP(-(LN(2)/$D$65+0.04)*AN153)*EXP(-(LN(2)/$D$65+0.1)*AO153),IF(AL153=2,AR$100*EXP(-(LN(2)/$D$65+0.04)*(VLOOKUP(($F$16-$F$15)-1,AK$100:AO153,4,FALSE)))*EXP(-(LN(2)/$D$65+0.1)*(VLOOKUP(($F$16-$F$15)-1,AK$100:AO153,5,FALSE)))*EXP(-(LN(2)/$D$65+0.04)*AN153)*EXP(-(LN(2)/$D$65+0.1)*AO153),IF(AL153=3,AR$100*EXP(-(LN(2)/$D$65+0.04)*(VLOOKUP(($F$16-$F$15)-1,AK$100:AO153,4,FALSE)))*EXP(-(LN(2)/$D$65+0.1)*(VLOOKUP(($F$16-$F$15)-1,AK$100:AO153,5,FALSE)))*EXP(-(LN(2)/$D$65+0.04)*(VLOOKUP(($F$16-$F$15)*2-1,AK$100:AO153,4,FALSE)))*EXP(-(LN(2)/$D$65+0.1)*(VLOOKUP(($F$16-$F$15)*2-1,AK$100:AO153,5,FALSE)))*EXP(-(LN(2)/$D$65+0.04)*AN153)*EXP(-(LN(2)/$D$65+0.1)*AO153),"-"))),"-")</f>
        <v>-</v>
      </c>
      <c r="AS153" s="274">
        <f t="shared" si="24"/>
        <v>0</v>
      </c>
      <c r="AT153" s="274">
        <f t="shared" si="25"/>
        <v>0</v>
      </c>
      <c r="AU153" s="274">
        <f t="shared" si="26"/>
        <v>0</v>
      </c>
      <c r="AV153" s="190" t="str">
        <f>IF($B153&lt;$F$22,SUM($T$100:$T153),"")</f>
        <v/>
      </c>
      <c r="AW153" s="190" t="str">
        <f t="shared" si="83"/>
        <v>-</v>
      </c>
      <c r="AX153" s="190" t="str">
        <f t="shared" si="56"/>
        <v/>
      </c>
      <c r="AY153"/>
      <c r="AZ153" s="190" t="str">
        <f ca="1">IF(ISNUMBER(OFFSET(AV153,-$F$21,0)),SUM(OFFSET($T$100,$F$21,0):$T153),"")</f>
        <v/>
      </c>
      <c r="BA153" s="190" t="str">
        <f t="shared" ca="1" si="84"/>
        <v/>
      </c>
      <c r="BB153" s="190" t="str">
        <f t="shared" ca="1" si="70"/>
        <v/>
      </c>
      <c r="BC153" s="190"/>
      <c r="BD153" s="190" t="str">
        <f ca="1">IFERROR(IF(OR(ISNUMBER(I),ISNUMBER($F$14)),IF(AND($B153&gt;=($F$16-$F$15),$B153&lt;$F$22+($F$16-$F$15)),SUM(OFFSET($T$100,($F$16-$F$15),0):$T153),""),""),"")</f>
        <v/>
      </c>
      <c r="BE153" s="190" t="str">
        <f t="shared" ca="1" si="58"/>
        <v/>
      </c>
      <c r="BF153" s="190" t="str">
        <f t="shared" ca="1" si="59"/>
        <v/>
      </c>
      <c r="BG153"/>
      <c r="BH153" s="190" t="str">
        <f ca="1">IF(ISNUMBER(OFFSET(BD153,-$F$21,0)),SUM(OFFSET($T$100,($F$16-$F$15+$F$21),0):$T153),"")</f>
        <v/>
      </c>
      <c r="BI153" s="190" t="str">
        <f t="shared" ca="1" si="85"/>
        <v/>
      </c>
      <c r="BJ153" s="190" t="str">
        <f t="shared" ca="1" si="60"/>
        <v/>
      </c>
      <c r="BK153" s="190"/>
      <c r="BL153" s="190" t="str">
        <f ca="1">IFERROR(IF(OR(ISNUMBER(I),ISNUMBER($F$14)),IF(AND($B153&gt;=($F$17-$F$15),$B153&lt;$F$22+($F$17-$F$15)),SUM(OFFSET($T$100,($F$17-$F$15),0):$T153),""),""),"")</f>
        <v/>
      </c>
      <c r="BM153" s="190" t="str">
        <f t="shared" ca="1" si="86"/>
        <v/>
      </c>
      <c r="BN153" s="190" t="str">
        <f t="shared" ca="1" si="61"/>
        <v/>
      </c>
      <c r="BO153"/>
      <c r="BP153" s="190" t="str">
        <f ca="1">IF(ISNUMBER(OFFSET(BL153,-$F$21,0)),SUM(OFFSET($T$100,($F$17-$F$15+$F$21),0):$T153),"")</f>
        <v/>
      </c>
      <c r="BQ153" s="190" t="str">
        <f t="shared" ca="1" si="87"/>
        <v/>
      </c>
      <c r="BR153" s="190" t="str">
        <f t="shared" ca="1" si="63"/>
        <v/>
      </c>
      <c r="BS153" s="190"/>
      <c r="BT153"/>
      <c r="BU153"/>
      <c r="BV153"/>
      <c r="BY153" s="99"/>
      <c r="BZ153" s="99"/>
      <c r="CA153" s="280" t="str">
        <f t="shared" si="88"/>
        <v/>
      </c>
      <c r="CB153" s="71" t="str">
        <f t="shared" si="31"/>
        <v>-</v>
      </c>
      <c r="CC153" s="33"/>
      <c r="CD153" s="261" t="str">
        <f t="shared" si="33"/>
        <v/>
      </c>
      <c r="CE153" s="280" t="str">
        <f t="shared" si="89"/>
        <v/>
      </c>
      <c r="CF153" s="71" t="str">
        <f t="shared" ca="1" si="90"/>
        <v/>
      </c>
      <c r="CG153" s="33" t="str">
        <f t="shared" si="36"/>
        <v/>
      </c>
      <c r="CH153" s="261" t="str">
        <f t="shared" ca="1" si="37"/>
        <v/>
      </c>
      <c r="CI153" s="202"/>
      <c r="CJ153" s="99"/>
      <c r="CK153" s="99"/>
      <c r="CL153" s="99"/>
      <c r="CM153" s="99"/>
      <c r="CN153" s="99"/>
      <c r="CO153" s="99"/>
    </row>
    <row r="154" spans="2:93" ht="13.5" customHeight="1" x14ac:dyDescent="0.2">
      <c r="B154" s="262">
        <v>54</v>
      </c>
      <c r="C154" s="237" t="str">
        <f t="shared" si="1"/>
        <v/>
      </c>
      <c r="D154" s="237" t="str">
        <f t="shared" si="66"/>
        <v/>
      </c>
      <c r="E154" s="290" t="str">
        <f t="shared" si="38"/>
        <v/>
      </c>
      <c r="F154" s="264" t="str">
        <f t="shared" si="39"/>
        <v/>
      </c>
      <c r="G154" s="291" t="str">
        <f t="shared" si="40"/>
        <v/>
      </c>
      <c r="H154" s="240" t="str">
        <f t="shared" si="71"/>
        <v/>
      </c>
      <c r="I154" s="265" t="str">
        <f t="shared" si="72"/>
        <v/>
      </c>
      <c r="J154" s="265" t="str">
        <f t="shared" si="73"/>
        <v/>
      </c>
      <c r="K154" s="240" t="str">
        <f t="shared" si="74"/>
        <v/>
      </c>
      <c r="L154" s="265" t="str">
        <f t="shared" si="75"/>
        <v/>
      </c>
      <c r="M154" s="265" t="str">
        <f t="shared" si="76"/>
        <v/>
      </c>
      <c r="N154" s="240" t="str">
        <f t="shared" si="77"/>
        <v>-</v>
      </c>
      <c r="O154" s="265" t="str">
        <f t="shared" si="78"/>
        <v>-</v>
      </c>
      <c r="P154" s="265" t="str">
        <f t="shared" si="79"/>
        <v>-</v>
      </c>
      <c r="Q154" s="266" t="str">
        <f t="shared" si="80"/>
        <v>-</v>
      </c>
      <c r="R154" s="267" t="str">
        <f t="shared" si="81"/>
        <v>-</v>
      </c>
      <c r="S154" s="268" t="str">
        <f t="shared" si="82"/>
        <v>-</v>
      </c>
      <c r="T154" s="269" t="str">
        <f t="shared" si="13"/>
        <v/>
      </c>
      <c r="U154" s="221">
        <f t="shared" si="14"/>
        <v>54</v>
      </c>
      <c r="V154" s="220" t="str">
        <f t="shared" si="42"/>
        <v>-</v>
      </c>
      <c r="W154" s="221" t="str">
        <f t="shared" si="43"/>
        <v>-</v>
      </c>
      <c r="X154" s="221" t="str">
        <f t="shared" si="15"/>
        <v>-</v>
      </c>
      <c r="Y154" s="221" t="str">
        <f t="shared" si="16"/>
        <v>-</v>
      </c>
      <c r="Z154" s="270">
        <f t="shared" si="44"/>
        <v>0.1</v>
      </c>
      <c r="AA154" s="271" t="str">
        <f>IFERROR(IF(V153=1,AA$100*EXP(-(LN(2)/$D$65+0.04)*X153)*EXP(-(LN(2)/$D$65+0.1)*Y153),IF(V153=2,AA$100*EXP(-(LN(2)/$D$65+0.04)*(VLOOKUP(($F$16-$F$15)-1,U$99:Y153,4,FALSE)))*EXP(-(LN(2)/$D$65+0.1)*(VLOOKUP(($F$16-$F$15)-1,U$99:Y153,5,FALSE)))*EXP(-(LN(2)/$D$65+0.04)*X153)*EXP(-(LN(2)/$D$65+0.1)*Y153),IF(V153=3,AA$100*EXP(-(LN(2)/$D$65+0.04)*(VLOOKUP(($F$16-$F$15)-1,U$99:Y153,4,FALSE)))*EXP(-(LN(2)/$D$65+0.1)*(VLOOKUP(($F$16-$F$15)-1,U$99:Y153,5,FALSE)))*EXP(-(LN(2)/$D$65+0.04)*(VLOOKUP(($F$16-$F$15)*2-1,U$99:Y153,4,FALSE)))*EXP(-(LN(2)/$D$65+0.1)*(VLOOKUP(($F$16-$F$15)*2-1,U$99:Y153,5,FALSE)))*EXP(-(LN(2)/$D$65+0.04)*X153)*EXP(-(LN(2)/$D$65+0.1)*Y153),"-"))),"-")</f>
        <v>-</v>
      </c>
      <c r="AB154" s="271" t="str">
        <f>IFERROR(IF(V154=1,AB$100*EXP(-(LN(2)/$D$65+0.04)*X154)*EXP(-(LN(2)/$D$65+0.1)*Y154),IF(V154=2,AB$100*EXP(-(LN(2)/$D$65+0.04)*(VLOOKUP(($F$16-$F$15)-1,U$100:Y154,4,FALSE)))*EXP(-(LN(2)/$D$65+0.1)*(VLOOKUP(($F$16-$F$15)-1,U$100:Y154,5,FALSE)))*EXP(-(LN(2)/$D$65+0.04)*X154)*EXP(-(LN(2)/$D$65+0.1)*Y154),IF(V154=3,AB$100*EXP(-(LN(2)/$D$65+0.04)*(VLOOKUP(($F$16-$F$15)-1,U$100:Y154,4,FALSE)))*EXP(-(LN(2)/$D$65+0.1)*(VLOOKUP(($F$16-$F$15)-1,U$100:Y154,5,FALSE)))*EXP(-(LN(2)/$D$65+0.04)*(VLOOKUP(($F$16-$F$15)*2-1,U$100:Y154,4,FALSE)))*EXP(-(LN(2)/$D$65+0.1)*(VLOOKUP(($F$16-$F$15)*2-1,U$100:Y154,5,FALSE)))*EXP(-(LN(2)/$D$65+0.04)*X154)*EXP(-(LN(2)/$D$65+0.1)*Y154),"-"))),"-")</f>
        <v>-</v>
      </c>
      <c r="AC154" s="224">
        <f t="shared" si="45"/>
        <v>54</v>
      </c>
      <c r="AD154" s="223" t="str">
        <f t="shared" si="18"/>
        <v>-</v>
      </c>
      <c r="AE154" s="224" t="str">
        <f t="shared" si="46"/>
        <v>-</v>
      </c>
      <c r="AF154" s="224" t="str">
        <f t="shared" si="19"/>
        <v>-</v>
      </c>
      <c r="AG154" s="224" t="str">
        <f t="shared" si="20"/>
        <v>-</v>
      </c>
      <c r="AH154" s="272">
        <f t="shared" si="47"/>
        <v>0.1</v>
      </c>
      <c r="AI154" s="271" t="str">
        <f>IFERROR(IF(AD153=1,AI$100*EXP(-(LN(2)/$D$65+0.04)*AF153)*EXP(-(LN(2)/$D$65+0.1)*AG153),IF(AD153=2,AI$100*EXP(-(LN(2)/$D$65+0.04)*(VLOOKUP(($F$16-$F$15)-1,AC$99:AG153,4,FALSE)))*EXP(-(LN(2)/$D$65+0.1)*(VLOOKUP(($F$16-$F$15)-1,AC$99:AG153,5,FALSE)))*EXP(-(LN(2)/$D$65+0.04)*AF153)*EXP(-(LN(2)/$D$65+0.1)*AG153),IF(AD153=3,AI$100*EXP(-(LN(2)/$D$65+0.04)*(VLOOKUP(($F$16-$F$15)-1,AC$99:AG153,4,FALSE)))*EXP(-(LN(2)/$D$65+0.1)*(VLOOKUP(($F$16-$F$15)-1,AC$99:AG153,5,FALSE)))*EXP(-(LN(2)/$D$65+0.04)*(VLOOKUP(($F$16-$F$15)*2-1,AC$99:AG153,4,FALSE)))*EXP(-(LN(2)/$D$65+0.1)*(VLOOKUP(($F$16-$F$15)*2-1,AC$99:AG153,5,FALSE)))*EXP(-(LN(2)/$D$65+0.04)*AF153)*EXP(-(LN(2)/$D$65+0.1)*AG153),"-"))),"-")</f>
        <v>-</v>
      </c>
      <c r="AJ154" s="271" t="str">
        <f>IFERROR(IF(AD154=1,AJ$100*EXP(-(LN(2)/$D$65+0.04)*AF154)*EXP(-(LN(2)/$D$65+0.1)*AG154),IF(AD154=2,AJ$100*EXP(-(LN(2)/$D$65+0.04)*(VLOOKUP(($F$16-$F$15)-1,AC$100:AG154,4,FALSE)))*EXP(-(LN(2)/$D$65+0.1)*(VLOOKUP(($F$16-$F$15)-1,AC$100:AG154,5,FALSE)))*EXP(-(LN(2)/$D$65+0.04)*AF154)*EXP(-(LN(2)/$D$65+0.1)*AG154),IF(AD154=3,AJ$100*EXP(-(LN(2)/$D$65+0.04)*(VLOOKUP(($F$16-$F$15)-1,AC$100:AG154,4,FALSE)))*EXP(-(LN(2)/$D$65+0.1)*(VLOOKUP(($F$16-$F$15)-1,AC$100:AG154,5,FALSE)))*EXP(-(LN(2)/$D$65+0.04)*(VLOOKUP(($F$16-$F$15)*2-1,AC$100:AG154,4,FALSE)))*EXP(-(LN(2)/$D$65+0.1)*(VLOOKUP(($F$16-$F$15)*2-1,AC$100:AG154,5,FALSE)))*EXP(-(LN(2)/$D$65+0.04)*AF154)*EXP(-(LN(2)/$D$65+0.1)*AG154),"-"))),"-")</f>
        <v>-</v>
      </c>
      <c r="AK154" s="227">
        <f t="shared" si="49"/>
        <v>54</v>
      </c>
      <c r="AL154" s="226" t="str">
        <f t="shared" si="22"/>
        <v>-</v>
      </c>
      <c r="AM154" s="227" t="str">
        <f t="shared" si="50"/>
        <v>-</v>
      </c>
      <c r="AN154" s="227" t="str">
        <f t="shared" si="51"/>
        <v>-</v>
      </c>
      <c r="AO154" s="227" t="str">
        <f t="shared" si="23"/>
        <v>-</v>
      </c>
      <c r="AP154" s="273">
        <f t="shared" si="52"/>
        <v>0.1</v>
      </c>
      <c r="AQ154" s="271" t="str">
        <f>IFERROR(IF(AL153=1,AQ$100*EXP(-(LN(2)/$D$65+0.04)*AN153)*EXP(-(LN(2)/$D$65+0.1)*AO153),IF(AL153=2,AQ$100*EXP(-(LN(2)/$D$65+0.04)*(VLOOKUP(($F$16-$F$15)-1,AK$99:AO153,4,FALSE)))*EXP(-(LN(2)/$D$65+0.1)*(VLOOKUP(($F$16-$F$15)-1,AK$99:AO153,5,FALSE)))*EXP(-(LN(2)/$D$65+0.04)*AN153)*EXP(-(LN(2)/$D$65+0.1)*AO153),IF(AL153=3,AQ$100*EXP(-(LN(2)/$D$65+0.04)*(VLOOKUP(($F$16-$F$15)-1,AK$99:AO153,4,FALSE)))*EXP(-(LN(2)/$D$65+0.1)*(VLOOKUP(($F$16-$F$15)-1,AK$99:AO153,5,FALSE)))*EXP(-(LN(2)/$D$65+0.04)*(VLOOKUP(($F$16-$F$15)*2-1,AK$99:AO153,4,FALSE)))*EXP(-(LN(2)/$D$65+0.1)*(VLOOKUP(($F$16-$F$15)*2-1,AK$99:AO153,5,FALSE)))*EXP(-(LN(2)/$D$65+0.04)*AN153)*EXP(-(LN(2)/$D$65+0.1)*AO153),"-"))),"-")</f>
        <v>-</v>
      </c>
      <c r="AR154" s="271" t="str">
        <f>IFERROR(IF(AL154=1,AR$100*EXP(-(LN(2)/$D$65+0.04)*AN154)*EXP(-(LN(2)/$D$65+0.1)*AO154),IF(AL154=2,AR$100*EXP(-(LN(2)/$D$65+0.04)*(VLOOKUP(($F$16-$F$15)-1,AK$100:AO154,4,FALSE)))*EXP(-(LN(2)/$D$65+0.1)*(VLOOKUP(($F$16-$F$15)-1,AK$100:AO154,5,FALSE)))*EXP(-(LN(2)/$D$65+0.04)*AN154)*EXP(-(LN(2)/$D$65+0.1)*AO154),IF(AL154=3,AR$100*EXP(-(LN(2)/$D$65+0.04)*(VLOOKUP(($F$16-$F$15)-1,AK$100:AO154,4,FALSE)))*EXP(-(LN(2)/$D$65+0.1)*(VLOOKUP(($F$16-$F$15)-1,AK$100:AO154,5,FALSE)))*EXP(-(LN(2)/$D$65+0.04)*(VLOOKUP(($F$16-$F$15)*2-1,AK$100:AO154,4,FALSE)))*EXP(-(LN(2)/$D$65+0.1)*(VLOOKUP(($F$16-$F$15)*2-1,AK$100:AO154,5,FALSE)))*EXP(-(LN(2)/$D$65+0.04)*AN154)*EXP(-(LN(2)/$D$65+0.1)*AO154),"-"))),"-")</f>
        <v>-</v>
      </c>
      <c r="AS154" s="274">
        <f t="shared" si="24"/>
        <v>0</v>
      </c>
      <c r="AT154" s="274">
        <f t="shared" si="25"/>
        <v>0</v>
      </c>
      <c r="AU154" s="274">
        <f t="shared" si="26"/>
        <v>0</v>
      </c>
      <c r="AV154" s="190" t="str">
        <f>IF($B154&lt;$F$22,SUM($T$100:$T154),"")</f>
        <v/>
      </c>
      <c r="AW154" s="190" t="str">
        <f t="shared" si="83"/>
        <v>-</v>
      </c>
      <c r="AX154" s="190" t="str">
        <f t="shared" si="56"/>
        <v/>
      </c>
      <c r="AY154"/>
      <c r="AZ154" s="190" t="str">
        <f ca="1">IF(ISNUMBER(OFFSET(AV154,-$F$21,0)),SUM(OFFSET($T$100,$F$21,0):$T154),"")</f>
        <v/>
      </c>
      <c r="BA154" s="190" t="str">
        <f t="shared" ca="1" si="84"/>
        <v/>
      </c>
      <c r="BB154" s="190" t="str">
        <f t="shared" ca="1" si="70"/>
        <v/>
      </c>
      <c r="BC154" s="190"/>
      <c r="BD154" s="190" t="str">
        <f ca="1">IFERROR(IF(OR(ISNUMBER(I),ISNUMBER($F$14)),IF(AND($B154&gt;=($F$16-$F$15),$B154&lt;$F$22+($F$16-$F$15)),SUM(OFFSET($T$100,($F$16-$F$15),0):$T154),""),""),"")</f>
        <v/>
      </c>
      <c r="BE154" s="190" t="str">
        <f t="shared" ca="1" si="58"/>
        <v/>
      </c>
      <c r="BF154" s="190" t="str">
        <f t="shared" ca="1" si="59"/>
        <v/>
      </c>
      <c r="BG154"/>
      <c r="BH154" s="190" t="str">
        <f ca="1">IF(ISNUMBER(OFFSET(BD154,-$F$21,0)),SUM(OFFSET($T$100,($F$16-$F$15+$F$21),0):$T154),"")</f>
        <v/>
      </c>
      <c r="BI154" s="190" t="str">
        <f t="shared" ca="1" si="85"/>
        <v/>
      </c>
      <c r="BJ154" s="190" t="str">
        <f t="shared" ca="1" si="60"/>
        <v/>
      </c>
      <c r="BK154" s="190"/>
      <c r="BL154" s="190" t="str">
        <f ca="1">IFERROR(IF(OR(ISNUMBER(I),ISNUMBER($F$14)),IF(AND($B154&gt;=($F$17-$F$15),$B154&lt;$F$22+($F$17-$F$15)),SUM(OFFSET($T$100,($F$17-$F$15),0):$T154),""),""),"")</f>
        <v/>
      </c>
      <c r="BM154" s="190" t="str">
        <f t="shared" ca="1" si="86"/>
        <v/>
      </c>
      <c r="BN154" s="190" t="str">
        <f t="shared" ca="1" si="61"/>
        <v/>
      </c>
      <c r="BO154"/>
      <c r="BP154" s="190" t="str">
        <f ca="1">IF(ISNUMBER(OFFSET(BL154,-$F$21,0)),SUM(OFFSET($T$100,($F$17-$F$15+$F$21),0):$T154),"")</f>
        <v/>
      </c>
      <c r="BQ154" s="190" t="str">
        <f t="shared" ca="1" si="87"/>
        <v/>
      </c>
      <c r="BR154" s="190" t="str">
        <f t="shared" ca="1" si="63"/>
        <v/>
      </c>
      <c r="BS154" s="190"/>
      <c r="BT154"/>
      <c r="BU154"/>
      <c r="BV154"/>
      <c r="BY154" s="99"/>
      <c r="BZ154" s="99"/>
      <c r="CA154" s="280" t="str">
        <f t="shared" si="88"/>
        <v/>
      </c>
      <c r="CB154" s="71" t="str">
        <f t="shared" si="31"/>
        <v>-</v>
      </c>
      <c r="CC154" s="33"/>
      <c r="CD154" s="261" t="str">
        <f t="shared" si="33"/>
        <v/>
      </c>
      <c r="CE154" s="280" t="str">
        <f t="shared" si="89"/>
        <v/>
      </c>
      <c r="CF154" s="71" t="str">
        <f t="shared" ca="1" si="90"/>
        <v/>
      </c>
      <c r="CG154" s="33" t="str">
        <f t="shared" si="36"/>
        <v/>
      </c>
      <c r="CH154" s="261" t="str">
        <f t="shared" ca="1" si="37"/>
        <v/>
      </c>
      <c r="CI154" s="202"/>
      <c r="CJ154" s="99"/>
      <c r="CK154" s="99"/>
      <c r="CL154" s="99"/>
      <c r="CM154" s="99"/>
      <c r="CN154" s="99"/>
      <c r="CO154" s="99"/>
    </row>
    <row r="155" spans="2:93" ht="13.5" customHeight="1" x14ac:dyDescent="0.2">
      <c r="B155" s="262">
        <v>55</v>
      </c>
      <c r="C155" s="237" t="str">
        <f t="shared" si="1"/>
        <v/>
      </c>
      <c r="D155" s="237" t="str">
        <f t="shared" si="66"/>
        <v/>
      </c>
      <c r="E155" s="290" t="str">
        <f t="shared" si="38"/>
        <v/>
      </c>
      <c r="F155" s="264" t="str">
        <f t="shared" si="39"/>
        <v/>
      </c>
      <c r="G155" s="291" t="str">
        <f t="shared" si="40"/>
        <v/>
      </c>
      <c r="H155" s="240" t="str">
        <f t="shared" si="71"/>
        <v/>
      </c>
      <c r="I155" s="265" t="str">
        <f t="shared" si="72"/>
        <v/>
      </c>
      <c r="J155" s="265" t="str">
        <f t="shared" si="73"/>
        <v/>
      </c>
      <c r="K155" s="240" t="str">
        <f t="shared" si="74"/>
        <v/>
      </c>
      <c r="L155" s="265" t="str">
        <f t="shared" si="75"/>
        <v/>
      </c>
      <c r="M155" s="265" t="str">
        <f t="shared" si="76"/>
        <v/>
      </c>
      <c r="N155" s="240" t="str">
        <f t="shared" si="77"/>
        <v>-</v>
      </c>
      <c r="O155" s="265" t="str">
        <f t="shared" si="78"/>
        <v>-</v>
      </c>
      <c r="P155" s="265" t="str">
        <f t="shared" si="79"/>
        <v>-</v>
      </c>
      <c r="Q155" s="266" t="str">
        <f t="shared" si="80"/>
        <v>-</v>
      </c>
      <c r="R155" s="267" t="str">
        <f t="shared" si="81"/>
        <v>-</v>
      </c>
      <c r="S155" s="268" t="str">
        <f t="shared" si="82"/>
        <v>-</v>
      </c>
      <c r="T155" s="269" t="str">
        <f t="shared" si="13"/>
        <v/>
      </c>
      <c r="U155" s="221">
        <f t="shared" si="14"/>
        <v>55</v>
      </c>
      <c r="V155" s="220" t="str">
        <f t="shared" si="42"/>
        <v>-</v>
      </c>
      <c r="W155" s="221" t="str">
        <f t="shared" si="43"/>
        <v>-</v>
      </c>
      <c r="X155" s="221" t="str">
        <f t="shared" si="15"/>
        <v>-</v>
      </c>
      <c r="Y155" s="221" t="str">
        <f t="shared" si="16"/>
        <v>-</v>
      </c>
      <c r="Z155" s="270">
        <f t="shared" si="44"/>
        <v>0.1</v>
      </c>
      <c r="AA155" s="271" t="str">
        <f>IFERROR(IF(V154=1,AA$100*EXP(-(LN(2)/$D$65+0.04)*X154)*EXP(-(LN(2)/$D$65+0.1)*Y154),IF(V154=2,AA$100*EXP(-(LN(2)/$D$65+0.04)*(VLOOKUP(($F$16-$F$15)-1,U$99:Y154,4,FALSE)))*EXP(-(LN(2)/$D$65+0.1)*(VLOOKUP(($F$16-$F$15)-1,U$99:Y154,5,FALSE)))*EXP(-(LN(2)/$D$65+0.04)*X154)*EXP(-(LN(2)/$D$65+0.1)*Y154),IF(V154=3,AA$100*EXP(-(LN(2)/$D$65+0.04)*(VLOOKUP(($F$16-$F$15)-1,U$99:Y154,4,FALSE)))*EXP(-(LN(2)/$D$65+0.1)*(VLOOKUP(($F$16-$F$15)-1,U$99:Y154,5,FALSE)))*EXP(-(LN(2)/$D$65+0.04)*(VLOOKUP(($F$16-$F$15)*2-1,U$99:Y154,4,FALSE)))*EXP(-(LN(2)/$D$65+0.1)*(VLOOKUP(($F$16-$F$15)*2-1,U$99:Y154,5,FALSE)))*EXP(-(LN(2)/$D$65+0.04)*X154)*EXP(-(LN(2)/$D$65+0.1)*Y154),"-"))),"-")</f>
        <v>-</v>
      </c>
      <c r="AB155" s="271" t="str">
        <f>IFERROR(IF(V155=1,AB$100*EXP(-(LN(2)/$D$65+0.04)*X155)*EXP(-(LN(2)/$D$65+0.1)*Y155),IF(V155=2,AB$100*EXP(-(LN(2)/$D$65+0.04)*(VLOOKUP(($F$16-$F$15)-1,U$100:Y155,4,FALSE)))*EXP(-(LN(2)/$D$65+0.1)*(VLOOKUP(($F$16-$F$15)-1,U$100:Y155,5,FALSE)))*EXP(-(LN(2)/$D$65+0.04)*X155)*EXP(-(LN(2)/$D$65+0.1)*Y155),IF(V155=3,AB$100*EXP(-(LN(2)/$D$65+0.04)*(VLOOKUP(($F$16-$F$15)-1,U$100:Y155,4,FALSE)))*EXP(-(LN(2)/$D$65+0.1)*(VLOOKUP(($F$16-$F$15)-1,U$100:Y155,5,FALSE)))*EXP(-(LN(2)/$D$65+0.04)*(VLOOKUP(($F$16-$F$15)*2-1,U$100:Y155,4,FALSE)))*EXP(-(LN(2)/$D$65+0.1)*(VLOOKUP(($F$16-$F$15)*2-1,U$100:Y155,5,FALSE)))*EXP(-(LN(2)/$D$65+0.04)*X155)*EXP(-(LN(2)/$D$65+0.1)*Y155),"-"))),"-")</f>
        <v>-</v>
      </c>
      <c r="AC155" s="224">
        <f t="shared" si="45"/>
        <v>55</v>
      </c>
      <c r="AD155" s="223" t="str">
        <f t="shared" si="18"/>
        <v>-</v>
      </c>
      <c r="AE155" s="224" t="str">
        <f t="shared" si="46"/>
        <v>-</v>
      </c>
      <c r="AF155" s="224" t="str">
        <f t="shared" si="19"/>
        <v>-</v>
      </c>
      <c r="AG155" s="224" t="str">
        <f t="shared" si="20"/>
        <v>-</v>
      </c>
      <c r="AH155" s="272">
        <f t="shared" si="47"/>
        <v>0.1</v>
      </c>
      <c r="AI155" s="271" t="str">
        <f>IFERROR(IF(AD154=1,AI$100*EXP(-(LN(2)/$D$65+0.04)*AF154)*EXP(-(LN(2)/$D$65+0.1)*AG154),IF(AD154=2,AI$100*EXP(-(LN(2)/$D$65+0.04)*(VLOOKUP(($F$16-$F$15)-1,AC$99:AG154,4,FALSE)))*EXP(-(LN(2)/$D$65+0.1)*(VLOOKUP(($F$16-$F$15)-1,AC$99:AG154,5,FALSE)))*EXP(-(LN(2)/$D$65+0.04)*AF154)*EXP(-(LN(2)/$D$65+0.1)*AG154),IF(AD154=3,AI$100*EXP(-(LN(2)/$D$65+0.04)*(VLOOKUP(($F$16-$F$15)-1,AC$99:AG154,4,FALSE)))*EXP(-(LN(2)/$D$65+0.1)*(VLOOKUP(($F$16-$F$15)-1,AC$99:AG154,5,FALSE)))*EXP(-(LN(2)/$D$65+0.04)*(VLOOKUP(($F$16-$F$15)*2-1,AC$99:AG154,4,FALSE)))*EXP(-(LN(2)/$D$65+0.1)*(VLOOKUP(($F$16-$F$15)*2-1,AC$99:AG154,5,FALSE)))*EXP(-(LN(2)/$D$65+0.04)*AF154)*EXP(-(LN(2)/$D$65+0.1)*AG154),"-"))),"-")</f>
        <v>-</v>
      </c>
      <c r="AJ155" s="271" t="str">
        <f>IFERROR(IF(AD155=1,AJ$100*EXP(-(LN(2)/$D$65+0.04)*AF155)*EXP(-(LN(2)/$D$65+0.1)*AG155),IF(AD155=2,AJ$100*EXP(-(LN(2)/$D$65+0.04)*(VLOOKUP(($F$16-$F$15)-1,AC$100:AG155,4,FALSE)))*EXP(-(LN(2)/$D$65+0.1)*(VLOOKUP(($F$16-$F$15)-1,AC$100:AG155,5,FALSE)))*EXP(-(LN(2)/$D$65+0.04)*AF155)*EXP(-(LN(2)/$D$65+0.1)*AG155),IF(AD155=3,AJ$100*EXP(-(LN(2)/$D$65+0.04)*(VLOOKUP(($F$16-$F$15)-1,AC$100:AG155,4,FALSE)))*EXP(-(LN(2)/$D$65+0.1)*(VLOOKUP(($F$16-$F$15)-1,AC$100:AG155,5,FALSE)))*EXP(-(LN(2)/$D$65+0.04)*(VLOOKUP(($F$16-$F$15)*2-1,AC$100:AG155,4,FALSE)))*EXP(-(LN(2)/$D$65+0.1)*(VLOOKUP(($F$16-$F$15)*2-1,AC$100:AG155,5,FALSE)))*EXP(-(LN(2)/$D$65+0.04)*AF155)*EXP(-(LN(2)/$D$65+0.1)*AG155),"-"))),"-")</f>
        <v>-</v>
      </c>
      <c r="AK155" s="227">
        <f t="shared" si="49"/>
        <v>55</v>
      </c>
      <c r="AL155" s="226" t="str">
        <f t="shared" si="22"/>
        <v>-</v>
      </c>
      <c r="AM155" s="227" t="str">
        <f t="shared" si="50"/>
        <v>-</v>
      </c>
      <c r="AN155" s="227" t="str">
        <f t="shared" si="51"/>
        <v>-</v>
      </c>
      <c r="AO155" s="227" t="str">
        <f t="shared" si="23"/>
        <v>-</v>
      </c>
      <c r="AP155" s="273">
        <f t="shared" si="52"/>
        <v>0.1</v>
      </c>
      <c r="AQ155" s="271" t="str">
        <f>IFERROR(IF(AL154=1,AQ$100*EXP(-(LN(2)/$D$65+0.04)*AN154)*EXP(-(LN(2)/$D$65+0.1)*AO154),IF(AL154=2,AQ$100*EXP(-(LN(2)/$D$65+0.04)*(VLOOKUP(($F$16-$F$15)-1,AK$99:AO154,4,FALSE)))*EXP(-(LN(2)/$D$65+0.1)*(VLOOKUP(($F$16-$F$15)-1,AK$99:AO154,5,FALSE)))*EXP(-(LN(2)/$D$65+0.04)*AN154)*EXP(-(LN(2)/$D$65+0.1)*AO154),IF(AL154=3,AQ$100*EXP(-(LN(2)/$D$65+0.04)*(VLOOKUP(($F$16-$F$15)-1,AK$99:AO154,4,FALSE)))*EXP(-(LN(2)/$D$65+0.1)*(VLOOKUP(($F$16-$F$15)-1,AK$99:AO154,5,FALSE)))*EXP(-(LN(2)/$D$65+0.04)*(VLOOKUP(($F$16-$F$15)*2-1,AK$99:AO154,4,FALSE)))*EXP(-(LN(2)/$D$65+0.1)*(VLOOKUP(($F$16-$F$15)*2-1,AK$99:AO154,5,FALSE)))*EXP(-(LN(2)/$D$65+0.04)*AN154)*EXP(-(LN(2)/$D$65+0.1)*AO154),"-"))),"-")</f>
        <v>-</v>
      </c>
      <c r="AR155" s="271" t="str">
        <f>IFERROR(IF(AL155=1,AR$100*EXP(-(LN(2)/$D$65+0.04)*AN155)*EXP(-(LN(2)/$D$65+0.1)*AO155),IF(AL155=2,AR$100*EXP(-(LN(2)/$D$65+0.04)*(VLOOKUP(($F$16-$F$15)-1,AK$100:AO155,4,FALSE)))*EXP(-(LN(2)/$D$65+0.1)*(VLOOKUP(($F$16-$F$15)-1,AK$100:AO155,5,FALSE)))*EXP(-(LN(2)/$D$65+0.04)*AN155)*EXP(-(LN(2)/$D$65+0.1)*AO155),IF(AL155=3,AR$100*EXP(-(LN(2)/$D$65+0.04)*(VLOOKUP(($F$16-$F$15)-1,AK$100:AO155,4,FALSE)))*EXP(-(LN(2)/$D$65+0.1)*(VLOOKUP(($F$16-$F$15)-1,AK$100:AO155,5,FALSE)))*EXP(-(LN(2)/$D$65+0.04)*(VLOOKUP(($F$16-$F$15)*2-1,AK$100:AO155,4,FALSE)))*EXP(-(LN(2)/$D$65+0.1)*(VLOOKUP(($F$16-$F$15)*2-1,AK$100:AO155,5,FALSE)))*EXP(-(LN(2)/$D$65+0.04)*AN155)*EXP(-(LN(2)/$D$65+0.1)*AO155),"-"))),"-")</f>
        <v>-</v>
      </c>
      <c r="AS155" s="274">
        <f t="shared" si="24"/>
        <v>0</v>
      </c>
      <c r="AT155" s="274">
        <f t="shared" si="25"/>
        <v>0</v>
      </c>
      <c r="AU155" s="274">
        <f t="shared" si="26"/>
        <v>0</v>
      </c>
      <c r="AV155" s="190" t="str">
        <f>IF($B155&lt;$F$22,SUM($T$100:$T155),"")</f>
        <v/>
      </c>
      <c r="AW155" s="190" t="str">
        <f t="shared" si="83"/>
        <v>-</v>
      </c>
      <c r="AX155" s="190" t="str">
        <f t="shared" si="56"/>
        <v/>
      </c>
      <c r="AY155"/>
      <c r="AZ155" s="190" t="str">
        <f ca="1">IF(ISNUMBER(OFFSET(AV155,-$F$21,0)),SUM(OFFSET($T$100,$F$21,0):$T155),"")</f>
        <v/>
      </c>
      <c r="BA155" s="190" t="str">
        <f t="shared" ca="1" si="84"/>
        <v/>
      </c>
      <c r="BB155" s="190" t="str">
        <f t="shared" ca="1" si="70"/>
        <v/>
      </c>
      <c r="BC155" s="190"/>
      <c r="BD155" s="190" t="str">
        <f ca="1">IFERROR(IF(OR(ISNUMBER(I),ISNUMBER($F$14)),IF(AND($B155&gt;=($F$16-$F$15),$B155&lt;$F$22+($F$16-$F$15)),SUM(OFFSET($T$100,($F$16-$F$15),0):$T155),""),""),"")</f>
        <v/>
      </c>
      <c r="BE155" s="190" t="str">
        <f t="shared" ca="1" si="58"/>
        <v/>
      </c>
      <c r="BF155" s="190" t="str">
        <f t="shared" ca="1" si="59"/>
        <v/>
      </c>
      <c r="BG155"/>
      <c r="BH155" s="190" t="str">
        <f ca="1">IF(ISNUMBER(OFFSET(BD155,-$F$21,0)),SUM(OFFSET($T$100,($F$16-$F$15+$F$21),0):$T155),"")</f>
        <v/>
      </c>
      <c r="BI155" s="190" t="str">
        <f t="shared" ca="1" si="85"/>
        <v/>
      </c>
      <c r="BJ155" s="190" t="str">
        <f t="shared" ca="1" si="60"/>
        <v/>
      </c>
      <c r="BK155" s="190"/>
      <c r="BL155" s="190" t="str">
        <f ca="1">IFERROR(IF(OR(ISNUMBER(I),ISNUMBER($F$14)),IF(AND($B155&gt;=($F$17-$F$15),$B155&lt;$F$22+($F$17-$F$15)),SUM(OFFSET($T$100,($F$17-$F$15),0):$T155),""),""),"")</f>
        <v/>
      </c>
      <c r="BM155" s="190" t="str">
        <f t="shared" ca="1" si="86"/>
        <v/>
      </c>
      <c r="BN155" s="190" t="str">
        <f t="shared" ca="1" si="61"/>
        <v/>
      </c>
      <c r="BO155"/>
      <c r="BP155" s="190" t="str">
        <f ca="1">IF(ISNUMBER(OFFSET(BL155,-$F$21,0)),SUM(OFFSET($T$100,($F$17-$F$15+$F$21),0):$T155),"")</f>
        <v/>
      </c>
      <c r="BQ155" s="190" t="str">
        <f t="shared" ca="1" si="87"/>
        <v/>
      </c>
      <c r="BR155" s="190" t="str">
        <f t="shared" ca="1" si="63"/>
        <v/>
      </c>
      <c r="BS155" s="190"/>
      <c r="BT155"/>
      <c r="BU155"/>
      <c r="BV155"/>
      <c r="BY155" s="99"/>
      <c r="BZ155" s="99"/>
      <c r="CA155" s="280" t="str">
        <f t="shared" si="88"/>
        <v/>
      </c>
      <c r="CB155" s="71" t="str">
        <f t="shared" si="31"/>
        <v>-</v>
      </c>
      <c r="CC155" s="33"/>
      <c r="CD155" s="261" t="str">
        <f t="shared" si="33"/>
        <v/>
      </c>
      <c r="CE155" s="280" t="str">
        <f t="shared" si="89"/>
        <v/>
      </c>
      <c r="CF155" s="71" t="str">
        <f t="shared" ca="1" si="90"/>
        <v/>
      </c>
      <c r="CG155" s="33" t="str">
        <f t="shared" si="36"/>
        <v/>
      </c>
      <c r="CH155" s="261" t="str">
        <f t="shared" ca="1" si="37"/>
        <v/>
      </c>
      <c r="CI155" s="202"/>
      <c r="CJ155" s="99"/>
      <c r="CK155" s="99"/>
      <c r="CL155" s="99"/>
      <c r="CM155" s="99"/>
      <c r="CN155" s="99"/>
      <c r="CO155" s="99"/>
    </row>
    <row r="156" spans="2:93" ht="13.5" customHeight="1" x14ac:dyDescent="0.2">
      <c r="B156" s="262">
        <v>56</v>
      </c>
      <c r="C156" s="237" t="str">
        <f t="shared" si="1"/>
        <v/>
      </c>
      <c r="D156" s="237" t="str">
        <f t="shared" si="66"/>
        <v/>
      </c>
      <c r="E156" s="290" t="str">
        <f t="shared" si="38"/>
        <v/>
      </c>
      <c r="F156" s="264" t="str">
        <f t="shared" si="39"/>
        <v/>
      </c>
      <c r="G156" s="291" t="str">
        <f t="shared" si="40"/>
        <v/>
      </c>
      <c r="H156" s="240" t="str">
        <f t="shared" si="71"/>
        <v/>
      </c>
      <c r="I156" s="265" t="str">
        <f t="shared" si="72"/>
        <v/>
      </c>
      <c r="J156" s="265" t="str">
        <f t="shared" si="73"/>
        <v/>
      </c>
      <c r="K156" s="240" t="str">
        <f t="shared" si="74"/>
        <v/>
      </c>
      <c r="L156" s="265" t="str">
        <f t="shared" si="75"/>
        <v/>
      </c>
      <c r="M156" s="265" t="str">
        <f t="shared" si="76"/>
        <v/>
      </c>
      <c r="N156" s="240" t="str">
        <f t="shared" si="77"/>
        <v>-</v>
      </c>
      <c r="O156" s="265" t="str">
        <f t="shared" si="78"/>
        <v>-</v>
      </c>
      <c r="P156" s="265" t="str">
        <f t="shared" si="79"/>
        <v>-</v>
      </c>
      <c r="Q156" s="266" t="str">
        <f t="shared" si="80"/>
        <v>-</v>
      </c>
      <c r="R156" s="267" t="str">
        <f t="shared" si="81"/>
        <v>-</v>
      </c>
      <c r="S156" s="268" t="str">
        <f t="shared" si="82"/>
        <v>-</v>
      </c>
      <c r="T156" s="269" t="str">
        <f t="shared" si="13"/>
        <v/>
      </c>
      <c r="U156" s="221">
        <f t="shared" si="14"/>
        <v>56</v>
      </c>
      <c r="V156" s="220" t="str">
        <f t="shared" si="42"/>
        <v>-</v>
      </c>
      <c r="W156" s="221" t="str">
        <f t="shared" si="43"/>
        <v>-</v>
      </c>
      <c r="X156" s="221" t="str">
        <f t="shared" si="15"/>
        <v>-</v>
      </c>
      <c r="Y156" s="221" t="str">
        <f t="shared" si="16"/>
        <v>-</v>
      </c>
      <c r="Z156" s="270">
        <f t="shared" si="44"/>
        <v>0.1</v>
      </c>
      <c r="AA156" s="271" t="str">
        <f>IFERROR(IF(V155=1,AA$100*EXP(-(LN(2)/$D$65+0.04)*X155)*EXP(-(LN(2)/$D$65+0.1)*Y155),IF(V155=2,AA$100*EXP(-(LN(2)/$D$65+0.04)*(VLOOKUP(($F$16-$F$15)-1,U$99:Y155,4,FALSE)))*EXP(-(LN(2)/$D$65+0.1)*(VLOOKUP(($F$16-$F$15)-1,U$99:Y155,5,FALSE)))*EXP(-(LN(2)/$D$65+0.04)*X155)*EXP(-(LN(2)/$D$65+0.1)*Y155),IF(V155=3,AA$100*EXP(-(LN(2)/$D$65+0.04)*(VLOOKUP(($F$16-$F$15)-1,U$99:Y155,4,FALSE)))*EXP(-(LN(2)/$D$65+0.1)*(VLOOKUP(($F$16-$F$15)-1,U$99:Y155,5,FALSE)))*EXP(-(LN(2)/$D$65+0.04)*(VLOOKUP(($F$16-$F$15)*2-1,U$99:Y155,4,FALSE)))*EXP(-(LN(2)/$D$65+0.1)*(VLOOKUP(($F$16-$F$15)*2-1,U$99:Y155,5,FALSE)))*EXP(-(LN(2)/$D$65+0.04)*X155)*EXP(-(LN(2)/$D$65+0.1)*Y155),"-"))),"-")</f>
        <v>-</v>
      </c>
      <c r="AB156" s="271" t="str">
        <f>IFERROR(IF(V156=1,AB$100*EXP(-(LN(2)/$D$65+0.04)*X156)*EXP(-(LN(2)/$D$65+0.1)*Y156),IF(V156=2,AB$100*EXP(-(LN(2)/$D$65+0.04)*(VLOOKUP(($F$16-$F$15)-1,U$100:Y156,4,FALSE)))*EXP(-(LN(2)/$D$65+0.1)*(VLOOKUP(($F$16-$F$15)-1,U$100:Y156,5,FALSE)))*EXP(-(LN(2)/$D$65+0.04)*X156)*EXP(-(LN(2)/$D$65+0.1)*Y156),IF(V156=3,AB$100*EXP(-(LN(2)/$D$65+0.04)*(VLOOKUP(($F$16-$F$15)-1,U$100:Y156,4,FALSE)))*EXP(-(LN(2)/$D$65+0.1)*(VLOOKUP(($F$16-$F$15)-1,U$100:Y156,5,FALSE)))*EXP(-(LN(2)/$D$65+0.04)*(VLOOKUP(($F$16-$F$15)*2-1,U$100:Y156,4,FALSE)))*EXP(-(LN(2)/$D$65+0.1)*(VLOOKUP(($F$16-$F$15)*2-1,U$100:Y156,5,FALSE)))*EXP(-(LN(2)/$D$65+0.04)*X156)*EXP(-(LN(2)/$D$65+0.1)*Y156),"-"))),"-")</f>
        <v>-</v>
      </c>
      <c r="AC156" s="224">
        <f t="shared" si="45"/>
        <v>56</v>
      </c>
      <c r="AD156" s="223" t="str">
        <f t="shared" si="18"/>
        <v>-</v>
      </c>
      <c r="AE156" s="224" t="str">
        <f t="shared" si="46"/>
        <v>-</v>
      </c>
      <c r="AF156" s="224" t="str">
        <f t="shared" si="19"/>
        <v>-</v>
      </c>
      <c r="AG156" s="224" t="str">
        <f t="shared" si="20"/>
        <v>-</v>
      </c>
      <c r="AH156" s="272">
        <f t="shared" si="47"/>
        <v>0.1</v>
      </c>
      <c r="AI156" s="271" t="str">
        <f>IFERROR(IF(AD155=1,AI$100*EXP(-(LN(2)/$D$65+0.04)*AF155)*EXP(-(LN(2)/$D$65+0.1)*AG155),IF(AD155=2,AI$100*EXP(-(LN(2)/$D$65+0.04)*(VLOOKUP(($F$16-$F$15)-1,AC$99:AG155,4,FALSE)))*EXP(-(LN(2)/$D$65+0.1)*(VLOOKUP(($F$16-$F$15)-1,AC$99:AG155,5,FALSE)))*EXP(-(LN(2)/$D$65+0.04)*AF155)*EXP(-(LN(2)/$D$65+0.1)*AG155),IF(AD155=3,AI$100*EXP(-(LN(2)/$D$65+0.04)*(VLOOKUP(($F$16-$F$15)-1,AC$99:AG155,4,FALSE)))*EXP(-(LN(2)/$D$65+0.1)*(VLOOKUP(($F$16-$F$15)-1,AC$99:AG155,5,FALSE)))*EXP(-(LN(2)/$D$65+0.04)*(VLOOKUP(($F$16-$F$15)*2-1,AC$99:AG155,4,FALSE)))*EXP(-(LN(2)/$D$65+0.1)*(VLOOKUP(($F$16-$F$15)*2-1,AC$99:AG155,5,FALSE)))*EXP(-(LN(2)/$D$65+0.04)*AF155)*EXP(-(LN(2)/$D$65+0.1)*AG155),"-"))),"-")</f>
        <v>-</v>
      </c>
      <c r="AJ156" s="271" t="str">
        <f>IFERROR(IF(AD156=1,AJ$100*EXP(-(LN(2)/$D$65+0.04)*AF156)*EXP(-(LN(2)/$D$65+0.1)*AG156),IF(AD156=2,AJ$100*EXP(-(LN(2)/$D$65+0.04)*(VLOOKUP(($F$16-$F$15)-1,AC$100:AG156,4,FALSE)))*EXP(-(LN(2)/$D$65+0.1)*(VLOOKUP(($F$16-$F$15)-1,AC$100:AG156,5,FALSE)))*EXP(-(LN(2)/$D$65+0.04)*AF156)*EXP(-(LN(2)/$D$65+0.1)*AG156),IF(AD156=3,AJ$100*EXP(-(LN(2)/$D$65+0.04)*(VLOOKUP(($F$16-$F$15)-1,AC$100:AG156,4,FALSE)))*EXP(-(LN(2)/$D$65+0.1)*(VLOOKUP(($F$16-$F$15)-1,AC$100:AG156,5,FALSE)))*EXP(-(LN(2)/$D$65+0.04)*(VLOOKUP(($F$16-$F$15)*2-1,AC$100:AG156,4,FALSE)))*EXP(-(LN(2)/$D$65+0.1)*(VLOOKUP(($F$16-$F$15)*2-1,AC$100:AG156,5,FALSE)))*EXP(-(LN(2)/$D$65+0.04)*AF156)*EXP(-(LN(2)/$D$65+0.1)*AG156),"-"))),"-")</f>
        <v>-</v>
      </c>
      <c r="AK156" s="227">
        <f t="shared" si="49"/>
        <v>56</v>
      </c>
      <c r="AL156" s="226" t="str">
        <f t="shared" si="22"/>
        <v>-</v>
      </c>
      <c r="AM156" s="227" t="str">
        <f t="shared" si="50"/>
        <v>-</v>
      </c>
      <c r="AN156" s="227" t="str">
        <f t="shared" si="51"/>
        <v>-</v>
      </c>
      <c r="AO156" s="227" t="str">
        <f t="shared" si="23"/>
        <v>-</v>
      </c>
      <c r="AP156" s="273">
        <f t="shared" si="52"/>
        <v>0.1</v>
      </c>
      <c r="AQ156" s="271" t="str">
        <f>IFERROR(IF(AL155=1,AQ$100*EXP(-(LN(2)/$D$65+0.04)*AN155)*EXP(-(LN(2)/$D$65+0.1)*AO155),IF(AL155=2,AQ$100*EXP(-(LN(2)/$D$65+0.04)*(VLOOKUP(($F$16-$F$15)-1,AK$99:AO155,4,FALSE)))*EXP(-(LN(2)/$D$65+0.1)*(VLOOKUP(($F$16-$F$15)-1,AK$99:AO155,5,FALSE)))*EXP(-(LN(2)/$D$65+0.04)*AN155)*EXP(-(LN(2)/$D$65+0.1)*AO155),IF(AL155=3,AQ$100*EXP(-(LN(2)/$D$65+0.04)*(VLOOKUP(($F$16-$F$15)-1,AK$99:AO155,4,FALSE)))*EXP(-(LN(2)/$D$65+0.1)*(VLOOKUP(($F$16-$F$15)-1,AK$99:AO155,5,FALSE)))*EXP(-(LN(2)/$D$65+0.04)*(VLOOKUP(($F$16-$F$15)*2-1,AK$99:AO155,4,FALSE)))*EXP(-(LN(2)/$D$65+0.1)*(VLOOKUP(($F$16-$F$15)*2-1,AK$99:AO155,5,FALSE)))*EXP(-(LN(2)/$D$65+0.04)*AN155)*EXP(-(LN(2)/$D$65+0.1)*AO155),"-"))),"-")</f>
        <v>-</v>
      </c>
      <c r="AR156" s="271" t="str">
        <f>IFERROR(IF(AL156=1,AR$100*EXP(-(LN(2)/$D$65+0.04)*AN156)*EXP(-(LN(2)/$D$65+0.1)*AO156),IF(AL156=2,AR$100*EXP(-(LN(2)/$D$65+0.04)*(VLOOKUP(($F$16-$F$15)-1,AK$100:AO156,4,FALSE)))*EXP(-(LN(2)/$D$65+0.1)*(VLOOKUP(($F$16-$F$15)-1,AK$100:AO156,5,FALSE)))*EXP(-(LN(2)/$D$65+0.04)*AN156)*EXP(-(LN(2)/$D$65+0.1)*AO156),IF(AL156=3,AR$100*EXP(-(LN(2)/$D$65+0.04)*(VLOOKUP(($F$16-$F$15)-1,AK$100:AO156,4,FALSE)))*EXP(-(LN(2)/$D$65+0.1)*(VLOOKUP(($F$16-$F$15)-1,AK$100:AO156,5,FALSE)))*EXP(-(LN(2)/$D$65+0.04)*(VLOOKUP(($F$16-$F$15)*2-1,AK$100:AO156,4,FALSE)))*EXP(-(LN(2)/$D$65+0.1)*(VLOOKUP(($F$16-$F$15)*2-1,AK$100:AO156,5,FALSE)))*EXP(-(LN(2)/$D$65+0.04)*AN156)*EXP(-(LN(2)/$D$65+0.1)*AO156),"-"))),"-")</f>
        <v>-</v>
      </c>
      <c r="AS156" s="274">
        <f t="shared" si="24"/>
        <v>0</v>
      </c>
      <c r="AT156" s="274">
        <f t="shared" si="25"/>
        <v>0</v>
      </c>
      <c r="AU156" s="274">
        <f t="shared" si="26"/>
        <v>0</v>
      </c>
      <c r="AV156" s="190" t="str">
        <f>IF($B156&lt;$F$22,SUM($T$100:$T156),"")</f>
        <v/>
      </c>
      <c r="AW156" s="190" t="str">
        <f t="shared" si="83"/>
        <v>-</v>
      </c>
      <c r="AX156" s="190" t="str">
        <f t="shared" si="56"/>
        <v/>
      </c>
      <c r="AY156"/>
      <c r="AZ156" s="190" t="str">
        <f ca="1">IF(ISNUMBER(OFFSET(AV156,-$F$21,0)),SUM(OFFSET($T$100,$F$21,0):$T156),"")</f>
        <v/>
      </c>
      <c r="BA156" s="190" t="str">
        <f t="shared" ca="1" si="84"/>
        <v/>
      </c>
      <c r="BB156" s="190" t="str">
        <f t="shared" ca="1" si="70"/>
        <v/>
      </c>
      <c r="BC156" s="190"/>
      <c r="BD156" s="190" t="str">
        <f ca="1">IFERROR(IF(OR(ISNUMBER(I),ISNUMBER($F$14)),IF(AND($B156&gt;=($F$16-$F$15),$B156&lt;$F$22+($F$16-$F$15)),SUM(OFFSET($T$100,($F$16-$F$15),0):$T156),""),""),"")</f>
        <v/>
      </c>
      <c r="BE156" s="190" t="str">
        <f t="shared" ca="1" si="58"/>
        <v/>
      </c>
      <c r="BF156" s="190" t="str">
        <f t="shared" ca="1" si="59"/>
        <v/>
      </c>
      <c r="BG156"/>
      <c r="BH156" s="190" t="str">
        <f ca="1">IF(ISNUMBER(OFFSET(BD156,-$F$21,0)),SUM(OFFSET($T$100,($F$16-$F$15+$F$21),0):$T156),"")</f>
        <v/>
      </c>
      <c r="BI156" s="190" t="str">
        <f t="shared" ca="1" si="85"/>
        <v/>
      </c>
      <c r="BJ156" s="190" t="str">
        <f t="shared" ca="1" si="60"/>
        <v/>
      </c>
      <c r="BK156" s="190"/>
      <c r="BL156" s="190" t="str">
        <f ca="1">IFERROR(IF(OR(ISNUMBER(I),ISNUMBER($F$14)),IF(AND($B156&gt;=($F$17-$F$15),$B156&lt;$F$22+($F$17-$F$15)),SUM(OFFSET($T$100,($F$17-$F$15),0):$T156),""),""),"")</f>
        <v/>
      </c>
      <c r="BM156" s="190" t="str">
        <f t="shared" ca="1" si="86"/>
        <v/>
      </c>
      <c r="BN156" s="190" t="str">
        <f t="shared" ca="1" si="61"/>
        <v/>
      </c>
      <c r="BO156"/>
      <c r="BP156" s="190" t="str">
        <f ca="1">IF(ISNUMBER(OFFSET(BL156,-$F$21,0)),SUM(OFFSET($T$100,($F$17-$F$15+$F$21),0):$T156),"")</f>
        <v/>
      </c>
      <c r="BQ156" s="190" t="str">
        <f t="shared" ca="1" si="87"/>
        <v/>
      </c>
      <c r="BR156" s="190" t="str">
        <f t="shared" ca="1" si="63"/>
        <v/>
      </c>
      <c r="BS156" s="190"/>
      <c r="BT156"/>
      <c r="BU156"/>
      <c r="BV156"/>
      <c r="BY156" s="99"/>
      <c r="BZ156" s="99"/>
      <c r="CA156" s="280" t="str">
        <f t="shared" si="88"/>
        <v/>
      </c>
      <c r="CB156" s="71" t="str">
        <f t="shared" si="31"/>
        <v>-</v>
      </c>
      <c r="CC156" s="33"/>
      <c r="CD156" s="261" t="str">
        <f t="shared" si="33"/>
        <v/>
      </c>
      <c r="CE156" s="280" t="str">
        <f t="shared" si="89"/>
        <v/>
      </c>
      <c r="CF156" s="71" t="str">
        <f t="shared" ca="1" si="90"/>
        <v/>
      </c>
      <c r="CG156" s="33" t="str">
        <f t="shared" si="36"/>
        <v/>
      </c>
      <c r="CH156" s="261" t="str">
        <f t="shared" ca="1" si="37"/>
        <v/>
      </c>
      <c r="CI156" s="202"/>
      <c r="CJ156" s="99"/>
      <c r="CK156" s="99"/>
      <c r="CL156" s="99"/>
      <c r="CM156" s="99"/>
      <c r="CN156" s="99"/>
      <c r="CO156" s="99"/>
    </row>
    <row r="157" spans="2:93" ht="13.5" customHeight="1" x14ac:dyDescent="0.2">
      <c r="B157" s="262">
        <v>57</v>
      </c>
      <c r="C157" s="237" t="str">
        <f t="shared" si="1"/>
        <v/>
      </c>
      <c r="D157" s="237" t="str">
        <f t="shared" si="66"/>
        <v/>
      </c>
      <c r="E157" s="290" t="str">
        <f t="shared" si="38"/>
        <v/>
      </c>
      <c r="F157" s="264" t="str">
        <f t="shared" si="39"/>
        <v/>
      </c>
      <c r="G157" s="291" t="str">
        <f t="shared" si="40"/>
        <v/>
      </c>
      <c r="H157" s="240" t="str">
        <f t="shared" si="71"/>
        <v/>
      </c>
      <c r="I157" s="265" t="str">
        <f t="shared" si="72"/>
        <v/>
      </c>
      <c r="J157" s="265" t="str">
        <f t="shared" si="73"/>
        <v/>
      </c>
      <c r="K157" s="240" t="str">
        <f t="shared" si="74"/>
        <v/>
      </c>
      <c r="L157" s="265" t="str">
        <f t="shared" si="75"/>
        <v/>
      </c>
      <c r="M157" s="265" t="str">
        <f t="shared" si="76"/>
        <v/>
      </c>
      <c r="N157" s="240" t="str">
        <f t="shared" si="77"/>
        <v>-</v>
      </c>
      <c r="O157" s="265" t="str">
        <f t="shared" si="78"/>
        <v>-</v>
      </c>
      <c r="P157" s="265" t="str">
        <f t="shared" si="79"/>
        <v>-</v>
      </c>
      <c r="Q157" s="266" t="str">
        <f t="shared" si="80"/>
        <v>-</v>
      </c>
      <c r="R157" s="267" t="str">
        <f t="shared" si="81"/>
        <v>-</v>
      </c>
      <c r="S157" s="268" t="str">
        <f t="shared" si="82"/>
        <v>-</v>
      </c>
      <c r="T157" s="269" t="str">
        <f t="shared" si="13"/>
        <v/>
      </c>
      <c r="U157" s="221">
        <f t="shared" si="14"/>
        <v>57</v>
      </c>
      <c r="V157" s="220" t="str">
        <f t="shared" si="42"/>
        <v>-</v>
      </c>
      <c r="W157" s="221" t="str">
        <f t="shared" si="43"/>
        <v>-</v>
      </c>
      <c r="X157" s="221" t="str">
        <f t="shared" si="15"/>
        <v>-</v>
      </c>
      <c r="Y157" s="221" t="str">
        <f t="shared" si="16"/>
        <v>-</v>
      </c>
      <c r="Z157" s="270">
        <f t="shared" si="44"/>
        <v>0.1</v>
      </c>
      <c r="AA157" s="271" t="str">
        <f>IFERROR(IF(V156=1,AA$100*EXP(-(LN(2)/$D$65+0.04)*X156)*EXP(-(LN(2)/$D$65+0.1)*Y156),IF(V156=2,AA$100*EXP(-(LN(2)/$D$65+0.04)*(VLOOKUP(($F$16-$F$15)-1,U$99:Y156,4,FALSE)))*EXP(-(LN(2)/$D$65+0.1)*(VLOOKUP(($F$16-$F$15)-1,U$99:Y156,5,FALSE)))*EXP(-(LN(2)/$D$65+0.04)*X156)*EXP(-(LN(2)/$D$65+0.1)*Y156),IF(V156=3,AA$100*EXP(-(LN(2)/$D$65+0.04)*(VLOOKUP(($F$16-$F$15)-1,U$99:Y156,4,FALSE)))*EXP(-(LN(2)/$D$65+0.1)*(VLOOKUP(($F$16-$F$15)-1,U$99:Y156,5,FALSE)))*EXP(-(LN(2)/$D$65+0.04)*(VLOOKUP(($F$16-$F$15)*2-1,U$99:Y156,4,FALSE)))*EXP(-(LN(2)/$D$65+0.1)*(VLOOKUP(($F$16-$F$15)*2-1,U$99:Y156,5,FALSE)))*EXP(-(LN(2)/$D$65+0.04)*X156)*EXP(-(LN(2)/$D$65+0.1)*Y156),"-"))),"-")</f>
        <v>-</v>
      </c>
      <c r="AB157" s="271" t="str">
        <f>IFERROR(IF(V157=1,AB$100*EXP(-(LN(2)/$D$65+0.04)*X157)*EXP(-(LN(2)/$D$65+0.1)*Y157),IF(V157=2,AB$100*EXP(-(LN(2)/$D$65+0.04)*(VLOOKUP(($F$16-$F$15)-1,U$100:Y157,4,FALSE)))*EXP(-(LN(2)/$D$65+0.1)*(VLOOKUP(($F$16-$F$15)-1,U$100:Y157,5,FALSE)))*EXP(-(LN(2)/$D$65+0.04)*X157)*EXP(-(LN(2)/$D$65+0.1)*Y157),IF(V157=3,AB$100*EXP(-(LN(2)/$D$65+0.04)*(VLOOKUP(($F$16-$F$15)-1,U$100:Y157,4,FALSE)))*EXP(-(LN(2)/$D$65+0.1)*(VLOOKUP(($F$16-$F$15)-1,U$100:Y157,5,FALSE)))*EXP(-(LN(2)/$D$65+0.04)*(VLOOKUP(($F$16-$F$15)*2-1,U$100:Y157,4,FALSE)))*EXP(-(LN(2)/$D$65+0.1)*(VLOOKUP(($F$16-$F$15)*2-1,U$100:Y157,5,FALSE)))*EXP(-(LN(2)/$D$65+0.04)*X157)*EXP(-(LN(2)/$D$65+0.1)*Y157),"-"))),"-")</f>
        <v>-</v>
      </c>
      <c r="AC157" s="224">
        <f t="shared" si="45"/>
        <v>57</v>
      </c>
      <c r="AD157" s="223" t="str">
        <f t="shared" si="18"/>
        <v>-</v>
      </c>
      <c r="AE157" s="224" t="str">
        <f t="shared" si="46"/>
        <v>-</v>
      </c>
      <c r="AF157" s="224" t="str">
        <f t="shared" si="19"/>
        <v>-</v>
      </c>
      <c r="AG157" s="224" t="str">
        <f t="shared" si="20"/>
        <v>-</v>
      </c>
      <c r="AH157" s="272">
        <f t="shared" si="47"/>
        <v>0.1</v>
      </c>
      <c r="AI157" s="271" t="str">
        <f>IFERROR(IF(AD156=1,AI$100*EXP(-(LN(2)/$D$65+0.04)*AF156)*EXP(-(LN(2)/$D$65+0.1)*AG156),IF(AD156=2,AI$100*EXP(-(LN(2)/$D$65+0.04)*(VLOOKUP(($F$16-$F$15)-1,AC$99:AG156,4,FALSE)))*EXP(-(LN(2)/$D$65+0.1)*(VLOOKUP(($F$16-$F$15)-1,AC$99:AG156,5,FALSE)))*EXP(-(LN(2)/$D$65+0.04)*AF156)*EXP(-(LN(2)/$D$65+0.1)*AG156),IF(AD156=3,AI$100*EXP(-(LN(2)/$D$65+0.04)*(VLOOKUP(($F$16-$F$15)-1,AC$99:AG156,4,FALSE)))*EXP(-(LN(2)/$D$65+0.1)*(VLOOKUP(($F$16-$F$15)-1,AC$99:AG156,5,FALSE)))*EXP(-(LN(2)/$D$65+0.04)*(VLOOKUP(($F$16-$F$15)*2-1,AC$99:AG156,4,FALSE)))*EXP(-(LN(2)/$D$65+0.1)*(VLOOKUP(($F$16-$F$15)*2-1,AC$99:AG156,5,FALSE)))*EXP(-(LN(2)/$D$65+0.04)*AF156)*EXP(-(LN(2)/$D$65+0.1)*AG156),"-"))),"-")</f>
        <v>-</v>
      </c>
      <c r="AJ157" s="271" t="str">
        <f>IFERROR(IF(AD157=1,AJ$100*EXP(-(LN(2)/$D$65+0.04)*AF157)*EXP(-(LN(2)/$D$65+0.1)*AG157),IF(AD157=2,AJ$100*EXP(-(LN(2)/$D$65+0.04)*(VLOOKUP(($F$16-$F$15)-1,AC$100:AG157,4,FALSE)))*EXP(-(LN(2)/$D$65+0.1)*(VLOOKUP(($F$16-$F$15)-1,AC$100:AG157,5,FALSE)))*EXP(-(LN(2)/$D$65+0.04)*AF157)*EXP(-(LN(2)/$D$65+0.1)*AG157),IF(AD157=3,AJ$100*EXP(-(LN(2)/$D$65+0.04)*(VLOOKUP(($F$16-$F$15)-1,AC$100:AG157,4,FALSE)))*EXP(-(LN(2)/$D$65+0.1)*(VLOOKUP(($F$16-$F$15)-1,AC$100:AG157,5,FALSE)))*EXP(-(LN(2)/$D$65+0.04)*(VLOOKUP(($F$16-$F$15)*2-1,AC$100:AG157,4,FALSE)))*EXP(-(LN(2)/$D$65+0.1)*(VLOOKUP(($F$16-$F$15)*2-1,AC$100:AG157,5,FALSE)))*EXP(-(LN(2)/$D$65+0.04)*AF157)*EXP(-(LN(2)/$D$65+0.1)*AG157),"-"))),"-")</f>
        <v>-</v>
      </c>
      <c r="AK157" s="227">
        <f t="shared" si="49"/>
        <v>57</v>
      </c>
      <c r="AL157" s="226" t="str">
        <f t="shared" si="22"/>
        <v>-</v>
      </c>
      <c r="AM157" s="227" t="str">
        <f t="shared" si="50"/>
        <v>-</v>
      </c>
      <c r="AN157" s="227" t="str">
        <f t="shared" si="51"/>
        <v>-</v>
      </c>
      <c r="AO157" s="227" t="str">
        <f t="shared" si="23"/>
        <v>-</v>
      </c>
      <c r="AP157" s="273">
        <f t="shared" si="52"/>
        <v>0.1</v>
      </c>
      <c r="AQ157" s="271" t="str">
        <f>IFERROR(IF(AL156=1,AQ$100*EXP(-(LN(2)/$D$65+0.04)*AN156)*EXP(-(LN(2)/$D$65+0.1)*AO156),IF(AL156=2,AQ$100*EXP(-(LN(2)/$D$65+0.04)*(VLOOKUP(($F$16-$F$15)-1,AK$99:AO156,4,FALSE)))*EXP(-(LN(2)/$D$65+0.1)*(VLOOKUP(($F$16-$F$15)-1,AK$99:AO156,5,FALSE)))*EXP(-(LN(2)/$D$65+0.04)*AN156)*EXP(-(LN(2)/$D$65+0.1)*AO156),IF(AL156=3,AQ$100*EXP(-(LN(2)/$D$65+0.04)*(VLOOKUP(($F$16-$F$15)-1,AK$99:AO156,4,FALSE)))*EXP(-(LN(2)/$D$65+0.1)*(VLOOKUP(($F$16-$F$15)-1,AK$99:AO156,5,FALSE)))*EXP(-(LN(2)/$D$65+0.04)*(VLOOKUP(($F$16-$F$15)*2-1,AK$99:AO156,4,FALSE)))*EXP(-(LN(2)/$D$65+0.1)*(VLOOKUP(($F$16-$F$15)*2-1,AK$99:AO156,5,FALSE)))*EXP(-(LN(2)/$D$65+0.04)*AN156)*EXP(-(LN(2)/$D$65+0.1)*AO156),"-"))),"-")</f>
        <v>-</v>
      </c>
      <c r="AR157" s="271" t="str">
        <f>IFERROR(IF(AL157=1,AR$100*EXP(-(LN(2)/$D$65+0.04)*AN157)*EXP(-(LN(2)/$D$65+0.1)*AO157),IF(AL157=2,AR$100*EXP(-(LN(2)/$D$65+0.04)*(VLOOKUP(($F$16-$F$15)-1,AK$100:AO157,4,FALSE)))*EXP(-(LN(2)/$D$65+0.1)*(VLOOKUP(($F$16-$F$15)-1,AK$100:AO157,5,FALSE)))*EXP(-(LN(2)/$D$65+0.04)*AN157)*EXP(-(LN(2)/$D$65+0.1)*AO157),IF(AL157=3,AR$100*EXP(-(LN(2)/$D$65+0.04)*(VLOOKUP(($F$16-$F$15)-1,AK$100:AO157,4,FALSE)))*EXP(-(LN(2)/$D$65+0.1)*(VLOOKUP(($F$16-$F$15)-1,AK$100:AO157,5,FALSE)))*EXP(-(LN(2)/$D$65+0.04)*(VLOOKUP(($F$16-$F$15)*2-1,AK$100:AO157,4,FALSE)))*EXP(-(LN(2)/$D$65+0.1)*(VLOOKUP(($F$16-$F$15)*2-1,AK$100:AO157,5,FALSE)))*EXP(-(LN(2)/$D$65+0.04)*AN157)*EXP(-(LN(2)/$D$65+0.1)*AO157),"-"))),"-")</f>
        <v>-</v>
      </c>
      <c r="AS157" s="274">
        <f t="shared" si="24"/>
        <v>0</v>
      </c>
      <c r="AT157" s="274">
        <f t="shared" si="25"/>
        <v>0</v>
      </c>
      <c r="AU157" s="274">
        <f t="shared" si="26"/>
        <v>0</v>
      </c>
      <c r="AV157" s="190" t="str">
        <f>IF($B157&lt;$F$22,SUM($T$100:$T157),"")</f>
        <v/>
      </c>
      <c r="AW157" s="190" t="str">
        <f t="shared" si="83"/>
        <v>-</v>
      </c>
      <c r="AX157" s="190" t="str">
        <f t="shared" si="56"/>
        <v/>
      </c>
      <c r="AY157"/>
      <c r="AZ157" s="190" t="str">
        <f ca="1">IF(ISNUMBER(OFFSET(AV157,-$F$21,0)),SUM(OFFSET($T$100,$F$21,0):$T157),"")</f>
        <v/>
      </c>
      <c r="BA157" s="190" t="str">
        <f t="shared" ca="1" si="84"/>
        <v/>
      </c>
      <c r="BB157" s="190" t="str">
        <f t="shared" ca="1" si="70"/>
        <v/>
      </c>
      <c r="BC157" s="190"/>
      <c r="BD157" s="190" t="str">
        <f ca="1">IFERROR(IF(OR(ISNUMBER(I),ISNUMBER($F$14)),IF(AND($B157&gt;=($F$16-$F$15),$B157&lt;$F$22+($F$16-$F$15)),SUM(OFFSET($T$100,($F$16-$F$15),0):$T157),""),""),"")</f>
        <v/>
      </c>
      <c r="BE157" s="190" t="str">
        <f t="shared" ca="1" si="58"/>
        <v/>
      </c>
      <c r="BF157" s="190" t="str">
        <f t="shared" ca="1" si="59"/>
        <v/>
      </c>
      <c r="BG157"/>
      <c r="BH157" s="190" t="str">
        <f ca="1">IF(ISNUMBER(OFFSET(BD157,-$F$21,0)),SUM(OFFSET($T$100,($F$16-$F$15+$F$21),0):$T157),"")</f>
        <v/>
      </c>
      <c r="BI157" s="190" t="str">
        <f t="shared" ca="1" si="85"/>
        <v/>
      </c>
      <c r="BJ157" s="190" t="str">
        <f t="shared" ca="1" si="60"/>
        <v/>
      </c>
      <c r="BK157" s="190"/>
      <c r="BL157" s="190" t="str">
        <f ca="1">IFERROR(IF(OR(ISNUMBER(I),ISNUMBER($F$14)),IF(AND($B157&gt;=($F$17-$F$15),$B157&lt;$F$22+($F$17-$F$15)),SUM(OFFSET($T$100,($F$17-$F$15),0):$T157),""),""),"")</f>
        <v/>
      </c>
      <c r="BM157" s="190" t="str">
        <f t="shared" ca="1" si="86"/>
        <v/>
      </c>
      <c r="BN157" s="190" t="str">
        <f t="shared" ca="1" si="61"/>
        <v/>
      </c>
      <c r="BO157"/>
      <c r="BP157" s="190" t="str">
        <f ca="1">IF(ISNUMBER(OFFSET(BL157,-$F$21,0)),SUM(OFFSET($T$100,($F$17-$F$15+$F$21),0):$T157),"")</f>
        <v/>
      </c>
      <c r="BQ157" s="190" t="str">
        <f t="shared" ca="1" si="87"/>
        <v/>
      </c>
      <c r="BR157" s="190" t="str">
        <f t="shared" ca="1" si="63"/>
        <v/>
      </c>
      <c r="BS157" s="190"/>
      <c r="BT157"/>
      <c r="BU157"/>
      <c r="BV157"/>
      <c r="BY157" s="99"/>
      <c r="BZ157" s="99"/>
      <c r="CA157" s="280" t="str">
        <f t="shared" si="88"/>
        <v/>
      </c>
      <c r="CB157" s="71" t="str">
        <f t="shared" si="31"/>
        <v>-</v>
      </c>
      <c r="CC157" s="33"/>
      <c r="CD157" s="261" t="str">
        <f t="shared" si="33"/>
        <v/>
      </c>
      <c r="CE157" s="280" t="str">
        <f t="shared" si="89"/>
        <v/>
      </c>
      <c r="CF157" s="71" t="str">
        <f t="shared" ca="1" si="90"/>
        <v/>
      </c>
      <c r="CG157" s="33" t="str">
        <f t="shared" si="36"/>
        <v/>
      </c>
      <c r="CH157" s="261" t="str">
        <f t="shared" ca="1" si="37"/>
        <v/>
      </c>
      <c r="CI157" s="202"/>
      <c r="CJ157" s="99"/>
      <c r="CK157" s="99"/>
      <c r="CL157" s="99"/>
      <c r="CM157" s="99"/>
      <c r="CN157" s="99"/>
      <c r="CO157" s="99"/>
    </row>
    <row r="158" spans="2:93" ht="13.5" customHeight="1" x14ac:dyDescent="0.2">
      <c r="B158" s="262">
        <v>58</v>
      </c>
      <c r="C158" s="237" t="str">
        <f t="shared" si="1"/>
        <v/>
      </c>
      <c r="D158" s="237" t="str">
        <f t="shared" si="66"/>
        <v/>
      </c>
      <c r="E158" s="290" t="str">
        <f t="shared" si="38"/>
        <v/>
      </c>
      <c r="F158" s="264" t="str">
        <f t="shared" si="39"/>
        <v/>
      </c>
      <c r="G158" s="291" t="str">
        <f t="shared" si="40"/>
        <v/>
      </c>
      <c r="H158" s="240" t="str">
        <f t="shared" si="71"/>
        <v/>
      </c>
      <c r="I158" s="265" t="str">
        <f t="shared" si="72"/>
        <v/>
      </c>
      <c r="J158" s="265" t="str">
        <f t="shared" si="73"/>
        <v/>
      </c>
      <c r="K158" s="240" t="str">
        <f t="shared" si="74"/>
        <v/>
      </c>
      <c r="L158" s="265" t="str">
        <f t="shared" si="75"/>
        <v/>
      </c>
      <c r="M158" s="265" t="str">
        <f t="shared" si="76"/>
        <v/>
      </c>
      <c r="N158" s="240" t="str">
        <f t="shared" si="77"/>
        <v>-</v>
      </c>
      <c r="O158" s="265" t="str">
        <f t="shared" si="78"/>
        <v>-</v>
      </c>
      <c r="P158" s="265" t="str">
        <f t="shared" si="79"/>
        <v>-</v>
      </c>
      <c r="Q158" s="266" t="str">
        <f t="shared" si="80"/>
        <v>-</v>
      </c>
      <c r="R158" s="267" t="str">
        <f t="shared" si="81"/>
        <v>-</v>
      </c>
      <c r="S158" s="268" t="str">
        <f t="shared" si="82"/>
        <v>-</v>
      </c>
      <c r="T158" s="269" t="str">
        <f t="shared" si="13"/>
        <v/>
      </c>
      <c r="U158" s="221">
        <f t="shared" si="14"/>
        <v>58</v>
      </c>
      <c r="V158" s="220" t="str">
        <f t="shared" si="42"/>
        <v>-</v>
      </c>
      <c r="W158" s="221" t="str">
        <f t="shared" si="43"/>
        <v>-</v>
      </c>
      <c r="X158" s="221" t="str">
        <f t="shared" si="15"/>
        <v>-</v>
      </c>
      <c r="Y158" s="221" t="str">
        <f t="shared" si="16"/>
        <v>-</v>
      </c>
      <c r="Z158" s="270">
        <f t="shared" si="44"/>
        <v>0.1</v>
      </c>
      <c r="AA158" s="271" t="str">
        <f>IFERROR(IF(V157=1,AA$100*EXP(-(LN(2)/$D$65+0.04)*X157)*EXP(-(LN(2)/$D$65+0.1)*Y157),IF(V157=2,AA$100*EXP(-(LN(2)/$D$65+0.04)*(VLOOKUP(($F$16-$F$15)-1,U$99:Y157,4,FALSE)))*EXP(-(LN(2)/$D$65+0.1)*(VLOOKUP(($F$16-$F$15)-1,U$99:Y157,5,FALSE)))*EXP(-(LN(2)/$D$65+0.04)*X157)*EXP(-(LN(2)/$D$65+0.1)*Y157),IF(V157=3,AA$100*EXP(-(LN(2)/$D$65+0.04)*(VLOOKUP(($F$16-$F$15)-1,U$99:Y157,4,FALSE)))*EXP(-(LN(2)/$D$65+0.1)*(VLOOKUP(($F$16-$F$15)-1,U$99:Y157,5,FALSE)))*EXP(-(LN(2)/$D$65+0.04)*(VLOOKUP(($F$16-$F$15)*2-1,U$99:Y157,4,FALSE)))*EXP(-(LN(2)/$D$65+0.1)*(VLOOKUP(($F$16-$F$15)*2-1,U$99:Y157,5,FALSE)))*EXP(-(LN(2)/$D$65+0.04)*X157)*EXP(-(LN(2)/$D$65+0.1)*Y157),"-"))),"-")</f>
        <v>-</v>
      </c>
      <c r="AB158" s="271" t="str">
        <f>IFERROR(IF(V158=1,AB$100*EXP(-(LN(2)/$D$65+0.04)*X158)*EXP(-(LN(2)/$D$65+0.1)*Y158),IF(V158=2,AB$100*EXP(-(LN(2)/$D$65+0.04)*(VLOOKUP(($F$16-$F$15)-1,U$100:Y158,4,FALSE)))*EXP(-(LN(2)/$D$65+0.1)*(VLOOKUP(($F$16-$F$15)-1,U$100:Y158,5,FALSE)))*EXP(-(LN(2)/$D$65+0.04)*X158)*EXP(-(LN(2)/$D$65+0.1)*Y158),IF(V158=3,AB$100*EXP(-(LN(2)/$D$65+0.04)*(VLOOKUP(($F$16-$F$15)-1,U$100:Y158,4,FALSE)))*EXP(-(LN(2)/$D$65+0.1)*(VLOOKUP(($F$16-$F$15)-1,U$100:Y158,5,FALSE)))*EXP(-(LN(2)/$D$65+0.04)*(VLOOKUP(($F$16-$F$15)*2-1,U$100:Y158,4,FALSE)))*EXP(-(LN(2)/$D$65+0.1)*(VLOOKUP(($F$16-$F$15)*2-1,U$100:Y158,5,FALSE)))*EXP(-(LN(2)/$D$65+0.04)*X158)*EXP(-(LN(2)/$D$65+0.1)*Y158),"-"))),"-")</f>
        <v>-</v>
      </c>
      <c r="AC158" s="224">
        <f t="shared" si="45"/>
        <v>58</v>
      </c>
      <c r="AD158" s="223" t="str">
        <f t="shared" si="18"/>
        <v>-</v>
      </c>
      <c r="AE158" s="224" t="str">
        <f t="shared" si="46"/>
        <v>-</v>
      </c>
      <c r="AF158" s="224" t="str">
        <f t="shared" si="19"/>
        <v>-</v>
      </c>
      <c r="AG158" s="224" t="str">
        <f t="shared" si="20"/>
        <v>-</v>
      </c>
      <c r="AH158" s="272">
        <f t="shared" si="47"/>
        <v>0.1</v>
      </c>
      <c r="AI158" s="271" t="str">
        <f>IFERROR(IF(AD157=1,AI$100*EXP(-(LN(2)/$D$65+0.04)*AF157)*EXP(-(LN(2)/$D$65+0.1)*AG157),IF(AD157=2,AI$100*EXP(-(LN(2)/$D$65+0.04)*(VLOOKUP(($F$16-$F$15)-1,AC$99:AG157,4,FALSE)))*EXP(-(LN(2)/$D$65+0.1)*(VLOOKUP(($F$16-$F$15)-1,AC$99:AG157,5,FALSE)))*EXP(-(LN(2)/$D$65+0.04)*AF157)*EXP(-(LN(2)/$D$65+0.1)*AG157),IF(AD157=3,AI$100*EXP(-(LN(2)/$D$65+0.04)*(VLOOKUP(($F$16-$F$15)-1,AC$99:AG157,4,FALSE)))*EXP(-(LN(2)/$D$65+0.1)*(VLOOKUP(($F$16-$F$15)-1,AC$99:AG157,5,FALSE)))*EXP(-(LN(2)/$D$65+0.04)*(VLOOKUP(($F$16-$F$15)*2-1,AC$99:AG157,4,FALSE)))*EXP(-(LN(2)/$D$65+0.1)*(VLOOKUP(($F$16-$F$15)*2-1,AC$99:AG157,5,FALSE)))*EXP(-(LN(2)/$D$65+0.04)*AF157)*EXP(-(LN(2)/$D$65+0.1)*AG157),"-"))),"-")</f>
        <v>-</v>
      </c>
      <c r="AJ158" s="271" t="str">
        <f>IFERROR(IF(AD158=1,AJ$100*EXP(-(LN(2)/$D$65+0.04)*AF158)*EXP(-(LN(2)/$D$65+0.1)*AG158),IF(AD158=2,AJ$100*EXP(-(LN(2)/$D$65+0.04)*(VLOOKUP(($F$16-$F$15)-1,AC$100:AG158,4,FALSE)))*EXP(-(LN(2)/$D$65+0.1)*(VLOOKUP(($F$16-$F$15)-1,AC$100:AG158,5,FALSE)))*EXP(-(LN(2)/$D$65+0.04)*AF158)*EXP(-(LN(2)/$D$65+0.1)*AG158),IF(AD158=3,AJ$100*EXP(-(LN(2)/$D$65+0.04)*(VLOOKUP(($F$16-$F$15)-1,AC$100:AG158,4,FALSE)))*EXP(-(LN(2)/$D$65+0.1)*(VLOOKUP(($F$16-$F$15)-1,AC$100:AG158,5,FALSE)))*EXP(-(LN(2)/$D$65+0.04)*(VLOOKUP(($F$16-$F$15)*2-1,AC$100:AG158,4,FALSE)))*EXP(-(LN(2)/$D$65+0.1)*(VLOOKUP(($F$16-$F$15)*2-1,AC$100:AG158,5,FALSE)))*EXP(-(LN(2)/$D$65+0.04)*AF158)*EXP(-(LN(2)/$D$65+0.1)*AG158),"-"))),"-")</f>
        <v>-</v>
      </c>
      <c r="AK158" s="227">
        <f t="shared" si="49"/>
        <v>58</v>
      </c>
      <c r="AL158" s="226" t="str">
        <f t="shared" si="22"/>
        <v>-</v>
      </c>
      <c r="AM158" s="227" t="str">
        <f t="shared" si="50"/>
        <v>-</v>
      </c>
      <c r="AN158" s="227" t="str">
        <f t="shared" si="51"/>
        <v>-</v>
      </c>
      <c r="AO158" s="227" t="str">
        <f t="shared" si="23"/>
        <v>-</v>
      </c>
      <c r="AP158" s="273">
        <f t="shared" si="52"/>
        <v>0.1</v>
      </c>
      <c r="AQ158" s="271" t="str">
        <f>IFERROR(IF(AL157=1,AQ$100*EXP(-(LN(2)/$D$65+0.04)*AN157)*EXP(-(LN(2)/$D$65+0.1)*AO157),IF(AL157=2,AQ$100*EXP(-(LN(2)/$D$65+0.04)*(VLOOKUP(($F$16-$F$15)-1,AK$99:AO157,4,FALSE)))*EXP(-(LN(2)/$D$65+0.1)*(VLOOKUP(($F$16-$F$15)-1,AK$99:AO157,5,FALSE)))*EXP(-(LN(2)/$D$65+0.04)*AN157)*EXP(-(LN(2)/$D$65+0.1)*AO157),IF(AL157=3,AQ$100*EXP(-(LN(2)/$D$65+0.04)*(VLOOKUP(($F$16-$F$15)-1,AK$99:AO157,4,FALSE)))*EXP(-(LN(2)/$D$65+0.1)*(VLOOKUP(($F$16-$F$15)-1,AK$99:AO157,5,FALSE)))*EXP(-(LN(2)/$D$65+0.04)*(VLOOKUP(($F$16-$F$15)*2-1,AK$99:AO157,4,FALSE)))*EXP(-(LN(2)/$D$65+0.1)*(VLOOKUP(($F$16-$F$15)*2-1,AK$99:AO157,5,FALSE)))*EXP(-(LN(2)/$D$65+0.04)*AN157)*EXP(-(LN(2)/$D$65+0.1)*AO157),"-"))),"-")</f>
        <v>-</v>
      </c>
      <c r="AR158" s="271" t="str">
        <f>IFERROR(IF(AL158=1,AR$100*EXP(-(LN(2)/$D$65+0.04)*AN158)*EXP(-(LN(2)/$D$65+0.1)*AO158),IF(AL158=2,AR$100*EXP(-(LN(2)/$D$65+0.04)*(VLOOKUP(($F$16-$F$15)-1,AK$100:AO158,4,FALSE)))*EXP(-(LN(2)/$D$65+0.1)*(VLOOKUP(($F$16-$F$15)-1,AK$100:AO158,5,FALSE)))*EXP(-(LN(2)/$D$65+0.04)*AN158)*EXP(-(LN(2)/$D$65+0.1)*AO158),IF(AL158=3,AR$100*EXP(-(LN(2)/$D$65+0.04)*(VLOOKUP(($F$16-$F$15)-1,AK$100:AO158,4,FALSE)))*EXP(-(LN(2)/$D$65+0.1)*(VLOOKUP(($F$16-$F$15)-1,AK$100:AO158,5,FALSE)))*EXP(-(LN(2)/$D$65+0.04)*(VLOOKUP(($F$16-$F$15)*2-1,AK$100:AO158,4,FALSE)))*EXP(-(LN(2)/$D$65+0.1)*(VLOOKUP(($F$16-$F$15)*2-1,AK$100:AO158,5,FALSE)))*EXP(-(LN(2)/$D$65+0.04)*AN158)*EXP(-(LN(2)/$D$65+0.1)*AO158),"-"))),"-")</f>
        <v>-</v>
      </c>
      <c r="AS158" s="274">
        <f t="shared" si="24"/>
        <v>0</v>
      </c>
      <c r="AT158" s="274">
        <f t="shared" si="25"/>
        <v>0</v>
      </c>
      <c r="AU158" s="274">
        <f t="shared" si="26"/>
        <v>0</v>
      </c>
      <c r="AV158" s="190" t="str">
        <f>IF($B158&lt;$F$22,SUM($T$100:$T158),"")</f>
        <v/>
      </c>
      <c r="AW158" s="190" t="str">
        <f t="shared" si="83"/>
        <v>-</v>
      </c>
      <c r="AX158" s="190" t="str">
        <f t="shared" si="56"/>
        <v/>
      </c>
      <c r="AY158"/>
      <c r="AZ158" s="190" t="str">
        <f ca="1">IF(ISNUMBER(OFFSET(AV158,-$F$21,0)),SUM(OFFSET($T$100,$F$21,0):$T158),"")</f>
        <v/>
      </c>
      <c r="BA158" s="190" t="str">
        <f t="shared" ca="1" si="84"/>
        <v/>
      </c>
      <c r="BB158" s="190" t="str">
        <f t="shared" ca="1" si="70"/>
        <v/>
      </c>
      <c r="BC158" s="190"/>
      <c r="BD158" s="190" t="str">
        <f ca="1">IFERROR(IF(OR(ISNUMBER(I),ISNUMBER($F$14)),IF(AND($B158&gt;=($F$16-$F$15),$B158&lt;$F$22+($F$16-$F$15)),SUM(OFFSET($T$100,($F$16-$F$15),0):$T158),""),""),"")</f>
        <v/>
      </c>
      <c r="BE158" s="190" t="str">
        <f t="shared" ca="1" si="58"/>
        <v/>
      </c>
      <c r="BF158" s="190" t="str">
        <f t="shared" ca="1" si="59"/>
        <v/>
      </c>
      <c r="BG158"/>
      <c r="BH158" s="190" t="str">
        <f ca="1">IF(ISNUMBER(OFFSET(BD158,-$F$21,0)),SUM(OFFSET($T$100,($F$16-$F$15+$F$21),0):$T158),"")</f>
        <v/>
      </c>
      <c r="BI158" s="190" t="str">
        <f t="shared" ca="1" si="85"/>
        <v/>
      </c>
      <c r="BJ158" s="190" t="str">
        <f t="shared" ca="1" si="60"/>
        <v/>
      </c>
      <c r="BK158" s="190"/>
      <c r="BL158" s="190" t="str">
        <f ca="1">IFERROR(IF(OR(ISNUMBER(I),ISNUMBER($F$14)),IF(AND($B158&gt;=($F$17-$F$15),$B158&lt;$F$22+($F$17-$F$15)),SUM(OFFSET($T$100,($F$17-$F$15),0):$T158),""),""),"")</f>
        <v/>
      </c>
      <c r="BM158" s="190" t="str">
        <f t="shared" ca="1" si="86"/>
        <v/>
      </c>
      <c r="BN158" s="190" t="str">
        <f t="shared" ca="1" si="61"/>
        <v/>
      </c>
      <c r="BO158"/>
      <c r="BP158" s="190" t="str">
        <f ca="1">IF(ISNUMBER(OFFSET(BL158,-$F$21,0)),SUM(OFFSET($T$100,($F$17-$F$15+$F$21),0):$T158),"")</f>
        <v/>
      </c>
      <c r="BQ158" s="190" t="str">
        <f t="shared" ca="1" si="87"/>
        <v/>
      </c>
      <c r="BR158" s="190" t="str">
        <f t="shared" ca="1" si="63"/>
        <v/>
      </c>
      <c r="BS158" s="190"/>
      <c r="BT158"/>
      <c r="BU158"/>
      <c r="BV158"/>
      <c r="BY158" s="99"/>
      <c r="BZ158" s="99"/>
      <c r="CA158" s="280" t="str">
        <f t="shared" si="88"/>
        <v/>
      </c>
      <c r="CB158" s="71" t="str">
        <f t="shared" si="31"/>
        <v>-</v>
      </c>
      <c r="CC158" s="33"/>
      <c r="CD158" s="261" t="str">
        <f t="shared" si="33"/>
        <v/>
      </c>
      <c r="CE158" s="280" t="str">
        <f t="shared" si="89"/>
        <v/>
      </c>
      <c r="CF158" s="71" t="str">
        <f t="shared" ca="1" si="90"/>
        <v/>
      </c>
      <c r="CG158" s="33" t="str">
        <f t="shared" si="36"/>
        <v/>
      </c>
      <c r="CH158" s="261" t="str">
        <f t="shared" ca="1" si="37"/>
        <v/>
      </c>
      <c r="CI158" s="202"/>
      <c r="CJ158" s="99"/>
      <c r="CK158" s="99"/>
      <c r="CL158" s="99"/>
      <c r="CM158" s="99"/>
      <c r="CN158" s="99"/>
      <c r="CO158" s="99"/>
    </row>
    <row r="159" spans="2:93" ht="13.5" customHeight="1" x14ac:dyDescent="0.2">
      <c r="B159" s="262">
        <v>59</v>
      </c>
      <c r="C159" s="237" t="str">
        <f t="shared" si="1"/>
        <v/>
      </c>
      <c r="D159" s="237" t="str">
        <f t="shared" si="66"/>
        <v/>
      </c>
      <c r="E159" s="290" t="str">
        <f t="shared" si="38"/>
        <v/>
      </c>
      <c r="F159" s="264" t="str">
        <f t="shared" si="39"/>
        <v/>
      </c>
      <c r="G159" s="291" t="str">
        <f t="shared" si="40"/>
        <v/>
      </c>
      <c r="H159" s="240" t="str">
        <f t="shared" si="71"/>
        <v/>
      </c>
      <c r="I159" s="265" t="str">
        <f t="shared" si="72"/>
        <v/>
      </c>
      <c r="J159" s="265" t="str">
        <f t="shared" si="73"/>
        <v/>
      </c>
      <c r="K159" s="240" t="str">
        <f t="shared" si="74"/>
        <v/>
      </c>
      <c r="L159" s="265" t="str">
        <f t="shared" si="75"/>
        <v/>
      </c>
      <c r="M159" s="265" t="str">
        <f t="shared" si="76"/>
        <v/>
      </c>
      <c r="N159" s="240" t="str">
        <f t="shared" si="77"/>
        <v>-</v>
      </c>
      <c r="O159" s="265" t="str">
        <f t="shared" si="78"/>
        <v>-</v>
      </c>
      <c r="P159" s="265" t="str">
        <f t="shared" si="79"/>
        <v>-</v>
      </c>
      <c r="Q159" s="266" t="str">
        <f t="shared" si="80"/>
        <v>-</v>
      </c>
      <c r="R159" s="267" t="str">
        <f t="shared" si="81"/>
        <v>-</v>
      </c>
      <c r="S159" s="268" t="str">
        <f t="shared" si="82"/>
        <v>-</v>
      </c>
      <c r="T159" s="269" t="str">
        <f t="shared" si="13"/>
        <v/>
      </c>
      <c r="U159" s="221">
        <f t="shared" si="14"/>
        <v>59</v>
      </c>
      <c r="V159" s="220" t="str">
        <f t="shared" si="42"/>
        <v>-</v>
      </c>
      <c r="W159" s="221" t="str">
        <f t="shared" si="43"/>
        <v>-</v>
      </c>
      <c r="X159" s="221" t="str">
        <f t="shared" si="15"/>
        <v>-</v>
      </c>
      <c r="Y159" s="221" t="str">
        <f t="shared" si="16"/>
        <v>-</v>
      </c>
      <c r="Z159" s="270">
        <f t="shared" si="44"/>
        <v>0.1</v>
      </c>
      <c r="AA159" s="271" t="str">
        <f>IFERROR(IF(V158=1,AA$100*EXP(-(LN(2)/$D$65+0.04)*X158)*EXP(-(LN(2)/$D$65+0.1)*Y158),IF(V158=2,AA$100*EXP(-(LN(2)/$D$65+0.04)*(VLOOKUP(($F$16-$F$15)-1,U$99:Y158,4,FALSE)))*EXP(-(LN(2)/$D$65+0.1)*(VLOOKUP(($F$16-$F$15)-1,U$99:Y158,5,FALSE)))*EXP(-(LN(2)/$D$65+0.04)*X158)*EXP(-(LN(2)/$D$65+0.1)*Y158),IF(V158=3,AA$100*EXP(-(LN(2)/$D$65+0.04)*(VLOOKUP(($F$16-$F$15)-1,U$99:Y158,4,FALSE)))*EXP(-(LN(2)/$D$65+0.1)*(VLOOKUP(($F$16-$F$15)-1,U$99:Y158,5,FALSE)))*EXP(-(LN(2)/$D$65+0.04)*(VLOOKUP(($F$16-$F$15)*2-1,U$99:Y158,4,FALSE)))*EXP(-(LN(2)/$D$65+0.1)*(VLOOKUP(($F$16-$F$15)*2-1,U$99:Y158,5,FALSE)))*EXP(-(LN(2)/$D$65+0.04)*X158)*EXP(-(LN(2)/$D$65+0.1)*Y158),"-"))),"-")</f>
        <v>-</v>
      </c>
      <c r="AB159" s="271" t="str">
        <f>IFERROR(IF(V159=1,AB$100*EXP(-(LN(2)/$D$65+0.04)*X159)*EXP(-(LN(2)/$D$65+0.1)*Y159),IF(V159=2,AB$100*EXP(-(LN(2)/$D$65+0.04)*(VLOOKUP(($F$16-$F$15)-1,U$100:Y159,4,FALSE)))*EXP(-(LN(2)/$D$65+0.1)*(VLOOKUP(($F$16-$F$15)-1,U$100:Y159,5,FALSE)))*EXP(-(LN(2)/$D$65+0.04)*X159)*EXP(-(LN(2)/$D$65+0.1)*Y159),IF(V159=3,AB$100*EXP(-(LN(2)/$D$65+0.04)*(VLOOKUP(($F$16-$F$15)-1,U$100:Y159,4,FALSE)))*EXP(-(LN(2)/$D$65+0.1)*(VLOOKUP(($F$16-$F$15)-1,U$100:Y159,5,FALSE)))*EXP(-(LN(2)/$D$65+0.04)*(VLOOKUP(($F$16-$F$15)*2-1,U$100:Y159,4,FALSE)))*EXP(-(LN(2)/$D$65+0.1)*(VLOOKUP(($F$16-$F$15)*2-1,U$100:Y159,5,FALSE)))*EXP(-(LN(2)/$D$65+0.04)*X159)*EXP(-(LN(2)/$D$65+0.1)*Y159),"-"))),"-")</f>
        <v>-</v>
      </c>
      <c r="AC159" s="224">
        <f t="shared" si="45"/>
        <v>59</v>
      </c>
      <c r="AD159" s="223" t="str">
        <f t="shared" si="18"/>
        <v>-</v>
      </c>
      <c r="AE159" s="224" t="str">
        <f t="shared" si="46"/>
        <v>-</v>
      </c>
      <c r="AF159" s="224" t="str">
        <f t="shared" si="19"/>
        <v>-</v>
      </c>
      <c r="AG159" s="224" t="str">
        <f t="shared" si="20"/>
        <v>-</v>
      </c>
      <c r="AH159" s="272">
        <f t="shared" si="47"/>
        <v>0.1</v>
      </c>
      <c r="AI159" s="271" t="str">
        <f>IFERROR(IF(AD158=1,AI$100*EXP(-(LN(2)/$D$65+0.04)*AF158)*EXP(-(LN(2)/$D$65+0.1)*AG158),IF(AD158=2,AI$100*EXP(-(LN(2)/$D$65+0.04)*(VLOOKUP(($F$16-$F$15)-1,AC$99:AG158,4,FALSE)))*EXP(-(LN(2)/$D$65+0.1)*(VLOOKUP(($F$16-$F$15)-1,AC$99:AG158,5,FALSE)))*EXP(-(LN(2)/$D$65+0.04)*AF158)*EXP(-(LN(2)/$D$65+0.1)*AG158),IF(AD158=3,AI$100*EXP(-(LN(2)/$D$65+0.04)*(VLOOKUP(($F$16-$F$15)-1,AC$99:AG158,4,FALSE)))*EXP(-(LN(2)/$D$65+0.1)*(VLOOKUP(($F$16-$F$15)-1,AC$99:AG158,5,FALSE)))*EXP(-(LN(2)/$D$65+0.04)*(VLOOKUP(($F$16-$F$15)*2-1,AC$99:AG158,4,FALSE)))*EXP(-(LN(2)/$D$65+0.1)*(VLOOKUP(($F$16-$F$15)*2-1,AC$99:AG158,5,FALSE)))*EXP(-(LN(2)/$D$65+0.04)*AF158)*EXP(-(LN(2)/$D$65+0.1)*AG158),"-"))),"-")</f>
        <v>-</v>
      </c>
      <c r="AJ159" s="271" t="str">
        <f>IFERROR(IF(AD159=1,AJ$100*EXP(-(LN(2)/$D$65+0.04)*AF159)*EXP(-(LN(2)/$D$65+0.1)*AG159),IF(AD159=2,AJ$100*EXP(-(LN(2)/$D$65+0.04)*(VLOOKUP(($F$16-$F$15)-1,AC$100:AG159,4,FALSE)))*EXP(-(LN(2)/$D$65+0.1)*(VLOOKUP(($F$16-$F$15)-1,AC$100:AG159,5,FALSE)))*EXP(-(LN(2)/$D$65+0.04)*AF159)*EXP(-(LN(2)/$D$65+0.1)*AG159),IF(AD159=3,AJ$100*EXP(-(LN(2)/$D$65+0.04)*(VLOOKUP(($F$16-$F$15)-1,AC$100:AG159,4,FALSE)))*EXP(-(LN(2)/$D$65+0.1)*(VLOOKUP(($F$16-$F$15)-1,AC$100:AG159,5,FALSE)))*EXP(-(LN(2)/$D$65+0.04)*(VLOOKUP(($F$16-$F$15)*2-1,AC$100:AG159,4,FALSE)))*EXP(-(LN(2)/$D$65+0.1)*(VLOOKUP(($F$16-$F$15)*2-1,AC$100:AG159,5,FALSE)))*EXP(-(LN(2)/$D$65+0.04)*AF159)*EXP(-(LN(2)/$D$65+0.1)*AG159),"-"))),"-")</f>
        <v>-</v>
      </c>
      <c r="AK159" s="227">
        <f t="shared" si="49"/>
        <v>59</v>
      </c>
      <c r="AL159" s="226" t="str">
        <f t="shared" si="22"/>
        <v>-</v>
      </c>
      <c r="AM159" s="227" t="str">
        <f t="shared" si="50"/>
        <v>-</v>
      </c>
      <c r="AN159" s="227" t="str">
        <f t="shared" si="51"/>
        <v>-</v>
      </c>
      <c r="AO159" s="227" t="str">
        <f t="shared" si="23"/>
        <v>-</v>
      </c>
      <c r="AP159" s="273">
        <f t="shared" si="52"/>
        <v>0.1</v>
      </c>
      <c r="AQ159" s="271" t="str">
        <f>IFERROR(IF(AL158=1,AQ$100*EXP(-(LN(2)/$D$65+0.04)*AN158)*EXP(-(LN(2)/$D$65+0.1)*AO158),IF(AL158=2,AQ$100*EXP(-(LN(2)/$D$65+0.04)*(VLOOKUP(($F$16-$F$15)-1,AK$99:AO158,4,FALSE)))*EXP(-(LN(2)/$D$65+0.1)*(VLOOKUP(($F$16-$F$15)-1,AK$99:AO158,5,FALSE)))*EXP(-(LN(2)/$D$65+0.04)*AN158)*EXP(-(LN(2)/$D$65+0.1)*AO158),IF(AL158=3,AQ$100*EXP(-(LN(2)/$D$65+0.04)*(VLOOKUP(($F$16-$F$15)-1,AK$99:AO158,4,FALSE)))*EXP(-(LN(2)/$D$65+0.1)*(VLOOKUP(($F$16-$F$15)-1,AK$99:AO158,5,FALSE)))*EXP(-(LN(2)/$D$65+0.04)*(VLOOKUP(($F$16-$F$15)*2-1,AK$99:AO158,4,FALSE)))*EXP(-(LN(2)/$D$65+0.1)*(VLOOKUP(($F$16-$F$15)*2-1,AK$99:AO158,5,FALSE)))*EXP(-(LN(2)/$D$65+0.04)*AN158)*EXP(-(LN(2)/$D$65+0.1)*AO158),"-"))),"-")</f>
        <v>-</v>
      </c>
      <c r="AR159" s="271" t="str">
        <f>IFERROR(IF(AL159=1,AR$100*EXP(-(LN(2)/$D$65+0.04)*AN159)*EXP(-(LN(2)/$D$65+0.1)*AO159),IF(AL159=2,AR$100*EXP(-(LN(2)/$D$65+0.04)*(VLOOKUP(($F$16-$F$15)-1,AK$100:AO159,4,FALSE)))*EXP(-(LN(2)/$D$65+0.1)*(VLOOKUP(($F$16-$F$15)-1,AK$100:AO159,5,FALSE)))*EXP(-(LN(2)/$D$65+0.04)*AN159)*EXP(-(LN(2)/$D$65+0.1)*AO159),IF(AL159=3,AR$100*EXP(-(LN(2)/$D$65+0.04)*(VLOOKUP(($F$16-$F$15)-1,AK$100:AO159,4,FALSE)))*EXP(-(LN(2)/$D$65+0.1)*(VLOOKUP(($F$16-$F$15)-1,AK$100:AO159,5,FALSE)))*EXP(-(LN(2)/$D$65+0.04)*(VLOOKUP(($F$16-$F$15)*2-1,AK$100:AO159,4,FALSE)))*EXP(-(LN(2)/$D$65+0.1)*(VLOOKUP(($F$16-$F$15)*2-1,AK$100:AO159,5,FALSE)))*EXP(-(LN(2)/$D$65+0.04)*AN159)*EXP(-(LN(2)/$D$65+0.1)*AO159),"-"))),"-")</f>
        <v>-</v>
      </c>
      <c r="AS159" s="274">
        <f t="shared" si="24"/>
        <v>0</v>
      </c>
      <c r="AT159" s="274">
        <f t="shared" si="25"/>
        <v>0</v>
      </c>
      <c r="AU159" s="274">
        <f t="shared" si="26"/>
        <v>0</v>
      </c>
      <c r="AV159" s="190" t="str">
        <f>IF($B159&lt;$F$22,SUM($T$100:$T159),"")</f>
        <v/>
      </c>
      <c r="AW159" s="190" t="str">
        <f t="shared" si="83"/>
        <v>-</v>
      </c>
      <c r="AX159" s="190" t="str">
        <f t="shared" si="56"/>
        <v/>
      </c>
      <c r="AY159"/>
      <c r="AZ159" s="190" t="str">
        <f ca="1">IF(ISNUMBER(OFFSET(AV159,-$F$21,0)),SUM(OFFSET($T$100,$F$21,0):$T159),"")</f>
        <v/>
      </c>
      <c r="BA159" s="190" t="str">
        <f t="shared" ca="1" si="84"/>
        <v/>
      </c>
      <c r="BB159" s="190" t="str">
        <f t="shared" ca="1" si="70"/>
        <v/>
      </c>
      <c r="BC159" s="190"/>
      <c r="BD159" s="190" t="str">
        <f ca="1">IFERROR(IF(OR(ISNUMBER(I),ISNUMBER($F$14)),IF(AND($B159&gt;=($F$16-$F$15),$B159&lt;$F$22+($F$16-$F$15)),SUM(OFFSET($T$100,($F$16-$F$15),0):$T159),""),""),"")</f>
        <v/>
      </c>
      <c r="BE159" s="190" t="str">
        <f t="shared" ca="1" si="58"/>
        <v/>
      </c>
      <c r="BF159" s="190" t="str">
        <f t="shared" ca="1" si="59"/>
        <v/>
      </c>
      <c r="BG159"/>
      <c r="BH159" s="190" t="str">
        <f ca="1">IF(ISNUMBER(OFFSET(BD159,-$F$21,0)),SUM(OFFSET($T$100,($F$16-$F$15+$F$21),0):$T159),"")</f>
        <v/>
      </c>
      <c r="BI159" s="190" t="str">
        <f t="shared" ca="1" si="85"/>
        <v/>
      </c>
      <c r="BJ159" s="190" t="str">
        <f t="shared" ca="1" si="60"/>
        <v/>
      </c>
      <c r="BK159" s="190"/>
      <c r="BL159" s="190" t="str">
        <f ca="1">IFERROR(IF(OR(ISNUMBER(I),ISNUMBER($F$14)),IF(AND($B159&gt;=($F$17-$F$15),$B159&lt;$F$22+($F$17-$F$15)),SUM(OFFSET($T$100,($F$17-$F$15),0):$T159),""),""),"")</f>
        <v/>
      </c>
      <c r="BM159" s="190" t="str">
        <f t="shared" ca="1" si="86"/>
        <v/>
      </c>
      <c r="BN159" s="190" t="str">
        <f t="shared" ca="1" si="61"/>
        <v/>
      </c>
      <c r="BO159"/>
      <c r="BP159" s="190" t="str">
        <f ca="1">IF(ISNUMBER(OFFSET(BL159,-$F$21,0)),SUM(OFFSET($T$100,($F$17-$F$15+$F$21),0):$T159),"")</f>
        <v/>
      </c>
      <c r="BQ159" s="190" t="str">
        <f t="shared" ca="1" si="87"/>
        <v/>
      </c>
      <c r="BR159" s="190" t="str">
        <f t="shared" ca="1" si="63"/>
        <v/>
      </c>
      <c r="BS159" s="190"/>
      <c r="BT159"/>
      <c r="BU159"/>
      <c r="BV159"/>
      <c r="BY159" s="99"/>
      <c r="BZ159" s="99"/>
      <c r="CA159" s="280" t="str">
        <f t="shared" si="88"/>
        <v/>
      </c>
      <c r="CB159" s="71" t="str">
        <f t="shared" si="31"/>
        <v>-</v>
      </c>
      <c r="CC159" s="33"/>
      <c r="CD159" s="261" t="str">
        <f t="shared" si="33"/>
        <v/>
      </c>
      <c r="CE159" s="280" t="str">
        <f t="shared" si="89"/>
        <v/>
      </c>
      <c r="CF159" s="71" t="str">
        <f t="shared" ca="1" si="90"/>
        <v/>
      </c>
      <c r="CG159" s="33" t="str">
        <f t="shared" si="36"/>
        <v/>
      </c>
      <c r="CH159" s="261" t="str">
        <f t="shared" ca="1" si="37"/>
        <v/>
      </c>
      <c r="CI159" s="202"/>
      <c r="CJ159" s="99"/>
      <c r="CK159" s="99"/>
      <c r="CL159" s="99"/>
      <c r="CM159" s="99"/>
      <c r="CN159" s="99"/>
      <c r="CO159" s="99"/>
    </row>
    <row r="160" spans="2:93" ht="13.5" customHeight="1" x14ac:dyDescent="0.2">
      <c r="B160" s="262">
        <v>60</v>
      </c>
      <c r="C160" s="237" t="str">
        <f t="shared" si="1"/>
        <v/>
      </c>
      <c r="D160" s="237" t="str">
        <f t="shared" si="66"/>
        <v/>
      </c>
      <c r="E160" s="290" t="str">
        <f t="shared" si="38"/>
        <v/>
      </c>
      <c r="F160" s="264" t="str">
        <f t="shared" si="39"/>
        <v/>
      </c>
      <c r="G160" s="291" t="str">
        <f t="shared" si="40"/>
        <v/>
      </c>
      <c r="H160" s="240" t="str">
        <f t="shared" si="71"/>
        <v/>
      </c>
      <c r="I160" s="265" t="str">
        <f t="shared" si="72"/>
        <v/>
      </c>
      <c r="J160" s="265" t="str">
        <f t="shared" si="73"/>
        <v/>
      </c>
      <c r="K160" s="240" t="str">
        <f t="shared" si="74"/>
        <v/>
      </c>
      <c r="L160" s="265" t="str">
        <f t="shared" si="75"/>
        <v/>
      </c>
      <c r="M160" s="265" t="str">
        <f t="shared" si="76"/>
        <v/>
      </c>
      <c r="N160" s="240" t="str">
        <f t="shared" si="77"/>
        <v>-</v>
      </c>
      <c r="O160" s="265" t="str">
        <f t="shared" si="78"/>
        <v>-</v>
      </c>
      <c r="P160" s="265" t="str">
        <f t="shared" si="79"/>
        <v>-</v>
      </c>
      <c r="Q160" s="266" t="str">
        <f t="shared" si="80"/>
        <v>-</v>
      </c>
      <c r="R160" s="267" t="str">
        <f t="shared" si="81"/>
        <v>-</v>
      </c>
      <c r="S160" s="268" t="str">
        <f t="shared" si="82"/>
        <v>-</v>
      </c>
      <c r="T160" s="269" t="str">
        <f t="shared" si="13"/>
        <v/>
      </c>
      <c r="U160" s="221">
        <f t="shared" si="14"/>
        <v>60</v>
      </c>
      <c r="V160" s="220" t="str">
        <f t="shared" si="42"/>
        <v>-</v>
      </c>
      <c r="W160" s="221" t="str">
        <f t="shared" si="43"/>
        <v>-</v>
      </c>
      <c r="X160" s="221" t="str">
        <f t="shared" si="15"/>
        <v>-</v>
      </c>
      <c r="Y160" s="221" t="str">
        <f t="shared" si="16"/>
        <v>-</v>
      </c>
      <c r="Z160" s="270">
        <f t="shared" si="44"/>
        <v>0.1</v>
      </c>
      <c r="AA160" s="271" t="str">
        <f>IFERROR(IF(V159=1,AA$100*EXP(-(LN(2)/$D$65+0.04)*X159)*EXP(-(LN(2)/$D$65+0.1)*Y159),IF(V159=2,AA$100*EXP(-(LN(2)/$D$65+0.04)*(VLOOKUP(($F$16-$F$15)-1,U$99:Y159,4,FALSE)))*EXP(-(LN(2)/$D$65+0.1)*(VLOOKUP(($F$16-$F$15)-1,U$99:Y159,5,FALSE)))*EXP(-(LN(2)/$D$65+0.04)*X159)*EXP(-(LN(2)/$D$65+0.1)*Y159),IF(V159=3,AA$100*EXP(-(LN(2)/$D$65+0.04)*(VLOOKUP(($F$16-$F$15)-1,U$99:Y159,4,FALSE)))*EXP(-(LN(2)/$D$65+0.1)*(VLOOKUP(($F$16-$F$15)-1,U$99:Y159,5,FALSE)))*EXP(-(LN(2)/$D$65+0.04)*(VLOOKUP(($F$16-$F$15)*2-1,U$99:Y159,4,FALSE)))*EXP(-(LN(2)/$D$65+0.1)*(VLOOKUP(($F$16-$F$15)*2-1,U$99:Y159,5,FALSE)))*EXP(-(LN(2)/$D$65+0.04)*X159)*EXP(-(LN(2)/$D$65+0.1)*Y159),"-"))),"-")</f>
        <v>-</v>
      </c>
      <c r="AB160" s="271" t="str">
        <f>IFERROR(IF(V160=1,AB$100*EXP(-(LN(2)/$D$65+0.04)*X160)*EXP(-(LN(2)/$D$65+0.1)*Y160),IF(V160=2,AB$100*EXP(-(LN(2)/$D$65+0.04)*(VLOOKUP(($F$16-$F$15)-1,U$100:Y160,4,FALSE)))*EXP(-(LN(2)/$D$65+0.1)*(VLOOKUP(($F$16-$F$15)-1,U$100:Y160,5,FALSE)))*EXP(-(LN(2)/$D$65+0.04)*X160)*EXP(-(LN(2)/$D$65+0.1)*Y160),IF(V160=3,AB$100*EXP(-(LN(2)/$D$65+0.04)*(VLOOKUP(($F$16-$F$15)-1,U$100:Y160,4,FALSE)))*EXP(-(LN(2)/$D$65+0.1)*(VLOOKUP(($F$16-$F$15)-1,U$100:Y160,5,FALSE)))*EXP(-(LN(2)/$D$65+0.04)*(VLOOKUP(($F$16-$F$15)*2-1,U$100:Y160,4,FALSE)))*EXP(-(LN(2)/$D$65+0.1)*(VLOOKUP(($F$16-$F$15)*2-1,U$100:Y160,5,FALSE)))*EXP(-(LN(2)/$D$65+0.04)*X160)*EXP(-(LN(2)/$D$65+0.1)*Y160),"-"))),"-")</f>
        <v>-</v>
      </c>
      <c r="AC160" s="224">
        <f t="shared" si="45"/>
        <v>60</v>
      </c>
      <c r="AD160" s="223" t="str">
        <f t="shared" si="18"/>
        <v>-</v>
      </c>
      <c r="AE160" s="224" t="str">
        <f t="shared" si="46"/>
        <v>-</v>
      </c>
      <c r="AF160" s="224" t="str">
        <f t="shared" si="19"/>
        <v>-</v>
      </c>
      <c r="AG160" s="224" t="str">
        <f t="shared" si="20"/>
        <v>-</v>
      </c>
      <c r="AH160" s="272">
        <f t="shared" si="47"/>
        <v>0.1</v>
      </c>
      <c r="AI160" s="271" t="str">
        <f>IFERROR(IF(AD159=1,AI$100*EXP(-(LN(2)/$D$65+0.04)*AF159)*EXP(-(LN(2)/$D$65+0.1)*AG159),IF(AD159=2,AI$100*EXP(-(LN(2)/$D$65+0.04)*(VLOOKUP(($F$16-$F$15)-1,AC$99:AG159,4,FALSE)))*EXP(-(LN(2)/$D$65+0.1)*(VLOOKUP(($F$16-$F$15)-1,AC$99:AG159,5,FALSE)))*EXP(-(LN(2)/$D$65+0.04)*AF159)*EXP(-(LN(2)/$D$65+0.1)*AG159),IF(AD159=3,AI$100*EXP(-(LN(2)/$D$65+0.04)*(VLOOKUP(($F$16-$F$15)-1,AC$99:AG159,4,FALSE)))*EXP(-(LN(2)/$D$65+0.1)*(VLOOKUP(($F$16-$F$15)-1,AC$99:AG159,5,FALSE)))*EXP(-(LN(2)/$D$65+0.04)*(VLOOKUP(($F$16-$F$15)*2-1,AC$99:AG159,4,FALSE)))*EXP(-(LN(2)/$D$65+0.1)*(VLOOKUP(($F$16-$F$15)*2-1,AC$99:AG159,5,FALSE)))*EXP(-(LN(2)/$D$65+0.04)*AF159)*EXP(-(LN(2)/$D$65+0.1)*AG159),"-"))),"-")</f>
        <v>-</v>
      </c>
      <c r="AJ160" s="271" t="str">
        <f>IFERROR(IF(AD160=1,AJ$100*EXP(-(LN(2)/$D$65+0.04)*AF160)*EXP(-(LN(2)/$D$65+0.1)*AG160),IF(AD160=2,AJ$100*EXP(-(LN(2)/$D$65+0.04)*(VLOOKUP(($F$16-$F$15)-1,AC$100:AG160,4,FALSE)))*EXP(-(LN(2)/$D$65+0.1)*(VLOOKUP(($F$16-$F$15)-1,AC$100:AG160,5,FALSE)))*EXP(-(LN(2)/$D$65+0.04)*AF160)*EXP(-(LN(2)/$D$65+0.1)*AG160),IF(AD160=3,AJ$100*EXP(-(LN(2)/$D$65+0.04)*(VLOOKUP(($F$16-$F$15)-1,AC$100:AG160,4,FALSE)))*EXP(-(LN(2)/$D$65+0.1)*(VLOOKUP(($F$16-$F$15)-1,AC$100:AG160,5,FALSE)))*EXP(-(LN(2)/$D$65+0.04)*(VLOOKUP(($F$16-$F$15)*2-1,AC$100:AG160,4,FALSE)))*EXP(-(LN(2)/$D$65+0.1)*(VLOOKUP(($F$16-$F$15)*2-1,AC$100:AG160,5,FALSE)))*EXP(-(LN(2)/$D$65+0.04)*AF160)*EXP(-(LN(2)/$D$65+0.1)*AG160),"-"))),"-")</f>
        <v>-</v>
      </c>
      <c r="AK160" s="227">
        <f t="shared" si="49"/>
        <v>60</v>
      </c>
      <c r="AL160" s="226" t="str">
        <f t="shared" si="22"/>
        <v>-</v>
      </c>
      <c r="AM160" s="227" t="str">
        <f t="shared" si="50"/>
        <v>-</v>
      </c>
      <c r="AN160" s="227" t="str">
        <f t="shared" si="51"/>
        <v>-</v>
      </c>
      <c r="AO160" s="227" t="str">
        <f t="shared" si="23"/>
        <v>-</v>
      </c>
      <c r="AP160" s="273">
        <f t="shared" si="52"/>
        <v>0.1</v>
      </c>
      <c r="AQ160" s="271" t="str">
        <f>IFERROR(IF(AL159=1,AQ$100*EXP(-(LN(2)/$D$65+0.04)*AN159)*EXP(-(LN(2)/$D$65+0.1)*AO159),IF(AL159=2,AQ$100*EXP(-(LN(2)/$D$65+0.04)*(VLOOKUP(($F$16-$F$15)-1,AK$99:AO159,4,FALSE)))*EXP(-(LN(2)/$D$65+0.1)*(VLOOKUP(($F$16-$F$15)-1,AK$99:AO159,5,FALSE)))*EXP(-(LN(2)/$D$65+0.04)*AN159)*EXP(-(LN(2)/$D$65+0.1)*AO159),IF(AL159=3,AQ$100*EXP(-(LN(2)/$D$65+0.04)*(VLOOKUP(($F$16-$F$15)-1,AK$99:AO159,4,FALSE)))*EXP(-(LN(2)/$D$65+0.1)*(VLOOKUP(($F$16-$F$15)-1,AK$99:AO159,5,FALSE)))*EXP(-(LN(2)/$D$65+0.04)*(VLOOKUP(($F$16-$F$15)*2-1,AK$99:AO159,4,FALSE)))*EXP(-(LN(2)/$D$65+0.1)*(VLOOKUP(($F$16-$F$15)*2-1,AK$99:AO159,5,FALSE)))*EXP(-(LN(2)/$D$65+0.04)*AN159)*EXP(-(LN(2)/$D$65+0.1)*AO159),"-"))),"-")</f>
        <v>-</v>
      </c>
      <c r="AR160" s="271" t="str">
        <f>IFERROR(IF(AL160=1,AR$100*EXP(-(LN(2)/$D$65+0.04)*AN160)*EXP(-(LN(2)/$D$65+0.1)*AO160),IF(AL160=2,AR$100*EXP(-(LN(2)/$D$65+0.04)*(VLOOKUP(($F$16-$F$15)-1,AK$100:AO160,4,FALSE)))*EXP(-(LN(2)/$D$65+0.1)*(VLOOKUP(($F$16-$F$15)-1,AK$100:AO160,5,FALSE)))*EXP(-(LN(2)/$D$65+0.04)*AN160)*EXP(-(LN(2)/$D$65+0.1)*AO160),IF(AL160=3,AR$100*EXP(-(LN(2)/$D$65+0.04)*(VLOOKUP(($F$16-$F$15)-1,AK$100:AO160,4,FALSE)))*EXP(-(LN(2)/$D$65+0.1)*(VLOOKUP(($F$16-$F$15)-1,AK$100:AO160,5,FALSE)))*EXP(-(LN(2)/$D$65+0.04)*(VLOOKUP(($F$16-$F$15)*2-1,AK$100:AO160,4,FALSE)))*EXP(-(LN(2)/$D$65+0.1)*(VLOOKUP(($F$16-$F$15)*2-1,AK$100:AO160,5,FALSE)))*EXP(-(LN(2)/$D$65+0.04)*AN160)*EXP(-(LN(2)/$D$65+0.1)*AO160),"-"))),"-")</f>
        <v>-</v>
      </c>
      <c r="AS160" s="274">
        <f t="shared" si="24"/>
        <v>0</v>
      </c>
      <c r="AT160" s="274">
        <f t="shared" si="25"/>
        <v>0</v>
      </c>
      <c r="AU160" s="274">
        <f t="shared" si="26"/>
        <v>0</v>
      </c>
      <c r="AV160" s="190" t="str">
        <f>IF($B160&lt;$F$22,SUM($T$100:$T160),"")</f>
        <v/>
      </c>
      <c r="AW160" s="190" t="str">
        <f t="shared" si="83"/>
        <v>-</v>
      </c>
      <c r="AX160" s="190" t="str">
        <f t="shared" si="56"/>
        <v/>
      </c>
      <c r="AY160"/>
      <c r="AZ160" s="190" t="str">
        <f ca="1">IF(ISNUMBER(OFFSET(AV160,-$F$21,0)),SUM(OFFSET($T$100,$F$21,0):$T160),"")</f>
        <v/>
      </c>
      <c r="BA160" s="190" t="str">
        <f t="shared" ca="1" si="84"/>
        <v/>
      </c>
      <c r="BB160" s="190" t="str">
        <f t="shared" ca="1" si="70"/>
        <v/>
      </c>
      <c r="BC160" s="190"/>
      <c r="BD160" s="190" t="str">
        <f ca="1">IFERROR(IF(OR(ISNUMBER(I),ISNUMBER($F$14)),IF(AND($B160&gt;=($F$16-$F$15),$B160&lt;$F$22+($F$16-$F$15)),SUM(OFFSET($T$100,($F$16-$F$15),0):$T160),""),""),"")</f>
        <v/>
      </c>
      <c r="BE160" s="190" t="str">
        <f t="shared" ca="1" si="58"/>
        <v/>
      </c>
      <c r="BF160" s="190" t="str">
        <f t="shared" ca="1" si="59"/>
        <v/>
      </c>
      <c r="BG160"/>
      <c r="BH160" s="190" t="str">
        <f ca="1">IF(ISNUMBER(OFFSET(BD160,-$F$21,0)),SUM(OFFSET($T$100,($F$16-$F$15+$F$21),0):$T160),"")</f>
        <v/>
      </c>
      <c r="BI160" s="190" t="str">
        <f t="shared" ca="1" si="85"/>
        <v/>
      </c>
      <c r="BJ160" s="190" t="str">
        <f t="shared" ca="1" si="60"/>
        <v/>
      </c>
      <c r="BK160" s="190"/>
      <c r="BL160" s="190" t="str">
        <f ca="1">IFERROR(IF(OR(ISNUMBER(I),ISNUMBER($F$14)),IF(AND($B160&gt;=($F$17-$F$15),$B160&lt;$F$22+($F$17-$F$15)),SUM(OFFSET($T$100,($F$17-$F$15),0):$T160),""),""),"")</f>
        <v/>
      </c>
      <c r="BM160" s="190" t="str">
        <f t="shared" ca="1" si="86"/>
        <v/>
      </c>
      <c r="BN160" s="190" t="str">
        <f t="shared" ca="1" si="61"/>
        <v/>
      </c>
      <c r="BO160"/>
      <c r="BP160" s="190" t="str">
        <f ca="1">IF(ISNUMBER(OFFSET(BL160,-$F$21,0)),SUM(OFFSET($T$100,($F$17-$F$15+$F$21),0):$T160),"")</f>
        <v/>
      </c>
      <c r="BQ160" s="190" t="str">
        <f t="shared" ca="1" si="87"/>
        <v/>
      </c>
      <c r="BR160" s="190" t="str">
        <f t="shared" ca="1" si="63"/>
        <v/>
      </c>
      <c r="BS160" s="190"/>
      <c r="BT160"/>
      <c r="BU160"/>
      <c r="BV160"/>
      <c r="BY160" s="99"/>
      <c r="BZ160" s="99"/>
      <c r="CA160" s="280" t="str">
        <f t="shared" si="88"/>
        <v/>
      </c>
      <c r="CB160" s="71" t="str">
        <f t="shared" si="31"/>
        <v>-</v>
      </c>
      <c r="CC160" s="33"/>
      <c r="CD160" s="261" t="str">
        <f t="shared" si="33"/>
        <v/>
      </c>
      <c r="CE160" s="280" t="str">
        <f t="shared" si="89"/>
        <v/>
      </c>
      <c r="CF160" s="71" t="str">
        <f t="shared" ca="1" si="90"/>
        <v/>
      </c>
      <c r="CG160" s="33" t="str">
        <f t="shared" si="36"/>
        <v/>
      </c>
      <c r="CH160" s="261" t="str">
        <f t="shared" ca="1" si="37"/>
        <v/>
      </c>
      <c r="CI160" s="202"/>
      <c r="CJ160" s="99"/>
      <c r="CK160" s="99"/>
      <c r="CL160" s="99"/>
      <c r="CM160" s="99"/>
      <c r="CN160" s="99"/>
      <c r="CO160" s="99"/>
    </row>
    <row r="161" spans="2:93" ht="13.5" customHeight="1" x14ac:dyDescent="0.2">
      <c r="B161" s="262">
        <v>61</v>
      </c>
      <c r="C161" s="237" t="str">
        <f t="shared" si="1"/>
        <v/>
      </c>
      <c r="D161" s="237" t="str">
        <f t="shared" si="66"/>
        <v/>
      </c>
      <c r="E161" s="290" t="str">
        <f t="shared" si="38"/>
        <v/>
      </c>
      <c r="F161" s="264" t="str">
        <f t="shared" si="39"/>
        <v/>
      </c>
      <c r="G161" s="291" t="str">
        <f t="shared" si="40"/>
        <v/>
      </c>
      <c r="H161" s="240" t="str">
        <f t="shared" si="71"/>
        <v/>
      </c>
      <c r="I161" s="265" t="str">
        <f t="shared" si="72"/>
        <v/>
      </c>
      <c r="J161" s="265" t="str">
        <f t="shared" si="73"/>
        <v/>
      </c>
      <c r="K161" s="240" t="str">
        <f t="shared" si="74"/>
        <v/>
      </c>
      <c r="L161" s="265" t="str">
        <f t="shared" si="75"/>
        <v/>
      </c>
      <c r="M161" s="265" t="str">
        <f t="shared" si="76"/>
        <v/>
      </c>
      <c r="N161" s="240" t="str">
        <f t="shared" si="77"/>
        <v>-</v>
      </c>
      <c r="O161" s="265" t="str">
        <f t="shared" si="78"/>
        <v>-</v>
      </c>
      <c r="P161" s="265" t="str">
        <f t="shared" si="79"/>
        <v>-</v>
      </c>
      <c r="Q161" s="266" t="str">
        <f t="shared" si="80"/>
        <v>-</v>
      </c>
      <c r="R161" s="267" t="str">
        <f t="shared" si="81"/>
        <v>-</v>
      </c>
      <c r="S161" s="268" t="str">
        <f t="shared" si="82"/>
        <v>-</v>
      </c>
      <c r="T161" s="269" t="str">
        <f t="shared" si="13"/>
        <v/>
      </c>
      <c r="U161" s="221">
        <f t="shared" si="14"/>
        <v>61</v>
      </c>
      <c r="V161" s="220" t="str">
        <f t="shared" si="42"/>
        <v>-</v>
      </c>
      <c r="W161" s="221" t="str">
        <f t="shared" si="43"/>
        <v>-</v>
      </c>
      <c r="X161" s="221" t="str">
        <f t="shared" si="15"/>
        <v>-</v>
      </c>
      <c r="Y161" s="221" t="str">
        <f t="shared" si="16"/>
        <v>-</v>
      </c>
      <c r="Z161" s="270">
        <f t="shared" si="44"/>
        <v>0.1</v>
      </c>
      <c r="AA161" s="271" t="str">
        <f>IFERROR(IF(V160=1,AA$100*EXP(-(LN(2)/$D$65+0.04)*X160)*EXP(-(LN(2)/$D$65+0.1)*Y160),IF(V160=2,AA$100*EXP(-(LN(2)/$D$65+0.04)*(VLOOKUP(($F$16-$F$15)-1,U$99:Y160,4,FALSE)))*EXP(-(LN(2)/$D$65+0.1)*(VLOOKUP(($F$16-$F$15)-1,U$99:Y160,5,FALSE)))*EXP(-(LN(2)/$D$65+0.04)*X160)*EXP(-(LN(2)/$D$65+0.1)*Y160),IF(V160=3,AA$100*EXP(-(LN(2)/$D$65+0.04)*(VLOOKUP(($F$16-$F$15)-1,U$99:Y160,4,FALSE)))*EXP(-(LN(2)/$D$65+0.1)*(VLOOKUP(($F$16-$F$15)-1,U$99:Y160,5,FALSE)))*EXP(-(LN(2)/$D$65+0.04)*(VLOOKUP(($F$16-$F$15)*2-1,U$99:Y160,4,FALSE)))*EXP(-(LN(2)/$D$65+0.1)*(VLOOKUP(($F$16-$F$15)*2-1,U$99:Y160,5,FALSE)))*EXP(-(LN(2)/$D$65+0.04)*X160)*EXP(-(LN(2)/$D$65+0.1)*Y160),"-"))),"-")</f>
        <v>-</v>
      </c>
      <c r="AB161" s="271" t="str">
        <f>IFERROR(IF(V161=1,AB$100*EXP(-(LN(2)/$D$65+0.04)*X161)*EXP(-(LN(2)/$D$65+0.1)*Y161),IF(V161=2,AB$100*EXP(-(LN(2)/$D$65+0.04)*(VLOOKUP(($F$16-$F$15)-1,U$100:Y161,4,FALSE)))*EXP(-(LN(2)/$D$65+0.1)*(VLOOKUP(($F$16-$F$15)-1,U$100:Y161,5,FALSE)))*EXP(-(LN(2)/$D$65+0.04)*X161)*EXP(-(LN(2)/$D$65+0.1)*Y161),IF(V161=3,AB$100*EXP(-(LN(2)/$D$65+0.04)*(VLOOKUP(($F$16-$F$15)-1,U$100:Y161,4,FALSE)))*EXP(-(LN(2)/$D$65+0.1)*(VLOOKUP(($F$16-$F$15)-1,U$100:Y161,5,FALSE)))*EXP(-(LN(2)/$D$65+0.04)*(VLOOKUP(($F$16-$F$15)*2-1,U$100:Y161,4,FALSE)))*EXP(-(LN(2)/$D$65+0.1)*(VLOOKUP(($F$16-$F$15)*2-1,U$100:Y161,5,FALSE)))*EXP(-(LN(2)/$D$65+0.04)*X161)*EXP(-(LN(2)/$D$65+0.1)*Y161),"-"))),"-")</f>
        <v>-</v>
      </c>
      <c r="AC161" s="224">
        <f t="shared" si="45"/>
        <v>61</v>
      </c>
      <c r="AD161" s="223" t="str">
        <f t="shared" si="18"/>
        <v>-</v>
      </c>
      <c r="AE161" s="224" t="str">
        <f t="shared" si="46"/>
        <v>-</v>
      </c>
      <c r="AF161" s="224" t="str">
        <f t="shared" si="19"/>
        <v>-</v>
      </c>
      <c r="AG161" s="224" t="str">
        <f t="shared" si="20"/>
        <v>-</v>
      </c>
      <c r="AH161" s="272">
        <f t="shared" si="47"/>
        <v>0.1</v>
      </c>
      <c r="AI161" s="271" t="str">
        <f>IFERROR(IF(AD160=1,AI$100*EXP(-(LN(2)/$D$65+0.04)*AF160)*EXP(-(LN(2)/$D$65+0.1)*AG160),IF(AD160=2,AI$100*EXP(-(LN(2)/$D$65+0.04)*(VLOOKUP(($F$16-$F$15)-1,AC$99:AG160,4,FALSE)))*EXP(-(LN(2)/$D$65+0.1)*(VLOOKUP(($F$16-$F$15)-1,AC$99:AG160,5,FALSE)))*EXP(-(LN(2)/$D$65+0.04)*AF160)*EXP(-(LN(2)/$D$65+0.1)*AG160),IF(AD160=3,AI$100*EXP(-(LN(2)/$D$65+0.04)*(VLOOKUP(($F$16-$F$15)-1,AC$99:AG160,4,FALSE)))*EXP(-(LN(2)/$D$65+0.1)*(VLOOKUP(($F$16-$F$15)-1,AC$99:AG160,5,FALSE)))*EXP(-(LN(2)/$D$65+0.04)*(VLOOKUP(($F$16-$F$15)*2-1,AC$99:AG160,4,FALSE)))*EXP(-(LN(2)/$D$65+0.1)*(VLOOKUP(($F$16-$F$15)*2-1,AC$99:AG160,5,FALSE)))*EXP(-(LN(2)/$D$65+0.04)*AF160)*EXP(-(LN(2)/$D$65+0.1)*AG160),"-"))),"-")</f>
        <v>-</v>
      </c>
      <c r="AJ161" s="271" t="str">
        <f>IFERROR(IF(AD161=1,AJ$100*EXP(-(LN(2)/$D$65+0.04)*AF161)*EXP(-(LN(2)/$D$65+0.1)*AG161),IF(AD161=2,AJ$100*EXP(-(LN(2)/$D$65+0.04)*(VLOOKUP(($F$16-$F$15)-1,AC$100:AG161,4,FALSE)))*EXP(-(LN(2)/$D$65+0.1)*(VLOOKUP(($F$16-$F$15)-1,AC$100:AG161,5,FALSE)))*EXP(-(LN(2)/$D$65+0.04)*AF161)*EXP(-(LN(2)/$D$65+0.1)*AG161),IF(AD161=3,AJ$100*EXP(-(LN(2)/$D$65+0.04)*(VLOOKUP(($F$16-$F$15)-1,AC$100:AG161,4,FALSE)))*EXP(-(LN(2)/$D$65+0.1)*(VLOOKUP(($F$16-$F$15)-1,AC$100:AG161,5,FALSE)))*EXP(-(LN(2)/$D$65+0.04)*(VLOOKUP(($F$16-$F$15)*2-1,AC$100:AG161,4,FALSE)))*EXP(-(LN(2)/$D$65+0.1)*(VLOOKUP(($F$16-$F$15)*2-1,AC$100:AG161,5,FALSE)))*EXP(-(LN(2)/$D$65+0.04)*AF161)*EXP(-(LN(2)/$D$65+0.1)*AG161),"-"))),"-")</f>
        <v>-</v>
      </c>
      <c r="AK161" s="227">
        <f t="shared" si="49"/>
        <v>61</v>
      </c>
      <c r="AL161" s="226" t="str">
        <f t="shared" si="22"/>
        <v>-</v>
      </c>
      <c r="AM161" s="227" t="str">
        <f t="shared" si="50"/>
        <v>-</v>
      </c>
      <c r="AN161" s="227" t="str">
        <f t="shared" si="51"/>
        <v>-</v>
      </c>
      <c r="AO161" s="227" t="str">
        <f t="shared" si="23"/>
        <v>-</v>
      </c>
      <c r="AP161" s="273">
        <f t="shared" si="52"/>
        <v>0.1</v>
      </c>
      <c r="AQ161" s="271" t="str">
        <f>IFERROR(IF(AL160=1,AQ$100*EXP(-(LN(2)/$D$65+0.04)*AN160)*EXP(-(LN(2)/$D$65+0.1)*AO160),IF(AL160=2,AQ$100*EXP(-(LN(2)/$D$65+0.04)*(VLOOKUP(($F$16-$F$15)-1,AK$99:AO160,4,FALSE)))*EXP(-(LN(2)/$D$65+0.1)*(VLOOKUP(($F$16-$F$15)-1,AK$99:AO160,5,FALSE)))*EXP(-(LN(2)/$D$65+0.04)*AN160)*EXP(-(LN(2)/$D$65+0.1)*AO160),IF(AL160=3,AQ$100*EXP(-(LN(2)/$D$65+0.04)*(VLOOKUP(($F$16-$F$15)-1,AK$99:AO160,4,FALSE)))*EXP(-(LN(2)/$D$65+0.1)*(VLOOKUP(($F$16-$F$15)-1,AK$99:AO160,5,FALSE)))*EXP(-(LN(2)/$D$65+0.04)*(VLOOKUP(($F$16-$F$15)*2-1,AK$99:AO160,4,FALSE)))*EXP(-(LN(2)/$D$65+0.1)*(VLOOKUP(($F$16-$F$15)*2-1,AK$99:AO160,5,FALSE)))*EXP(-(LN(2)/$D$65+0.04)*AN160)*EXP(-(LN(2)/$D$65+0.1)*AO160),"-"))),"-")</f>
        <v>-</v>
      </c>
      <c r="AR161" s="271" t="str">
        <f>IFERROR(IF(AL161=1,AR$100*EXP(-(LN(2)/$D$65+0.04)*AN161)*EXP(-(LN(2)/$D$65+0.1)*AO161),IF(AL161=2,AR$100*EXP(-(LN(2)/$D$65+0.04)*(VLOOKUP(($F$16-$F$15)-1,AK$100:AO161,4,FALSE)))*EXP(-(LN(2)/$D$65+0.1)*(VLOOKUP(($F$16-$F$15)-1,AK$100:AO161,5,FALSE)))*EXP(-(LN(2)/$D$65+0.04)*AN161)*EXP(-(LN(2)/$D$65+0.1)*AO161),IF(AL161=3,AR$100*EXP(-(LN(2)/$D$65+0.04)*(VLOOKUP(($F$16-$F$15)-1,AK$100:AO161,4,FALSE)))*EXP(-(LN(2)/$D$65+0.1)*(VLOOKUP(($F$16-$F$15)-1,AK$100:AO161,5,FALSE)))*EXP(-(LN(2)/$D$65+0.04)*(VLOOKUP(($F$16-$F$15)*2-1,AK$100:AO161,4,FALSE)))*EXP(-(LN(2)/$D$65+0.1)*(VLOOKUP(($F$16-$F$15)*2-1,AK$100:AO161,5,FALSE)))*EXP(-(LN(2)/$D$65+0.04)*AN161)*EXP(-(LN(2)/$D$65+0.1)*AO161),"-"))),"-")</f>
        <v>-</v>
      </c>
      <c r="AS161" s="274">
        <f t="shared" si="24"/>
        <v>0</v>
      </c>
      <c r="AT161" s="274">
        <f t="shared" si="25"/>
        <v>0</v>
      </c>
      <c r="AU161" s="274">
        <f t="shared" si="26"/>
        <v>0</v>
      </c>
      <c r="AV161" s="190" t="str">
        <f>IF($B161&lt;$F$22,SUM($T$100:$T161),"")</f>
        <v/>
      </c>
      <c r="AW161" s="190" t="str">
        <f t="shared" si="83"/>
        <v>-</v>
      </c>
      <c r="AX161" s="190" t="str">
        <f t="shared" si="56"/>
        <v/>
      </c>
      <c r="AY161"/>
      <c r="AZ161" s="190" t="str">
        <f ca="1">IF(ISNUMBER(OFFSET(AV161,-$F$21,0)),SUM(OFFSET($T$100,$F$21,0):$T161),"")</f>
        <v/>
      </c>
      <c r="BA161" s="190" t="str">
        <f t="shared" ca="1" si="84"/>
        <v/>
      </c>
      <c r="BB161" s="190" t="str">
        <f t="shared" ca="1" si="70"/>
        <v/>
      </c>
      <c r="BC161" s="190"/>
      <c r="BD161" s="190" t="str">
        <f ca="1">IFERROR(IF(OR(ISNUMBER(I),ISNUMBER($F$14)),IF(AND($B161&gt;=($F$16-$F$15),$B161&lt;$F$22+($F$16-$F$15)),SUM(OFFSET($T$100,($F$16-$F$15),0):$T161),""),""),"")</f>
        <v/>
      </c>
      <c r="BE161" s="190" t="str">
        <f t="shared" ca="1" si="58"/>
        <v/>
      </c>
      <c r="BF161" s="190" t="str">
        <f t="shared" ca="1" si="59"/>
        <v/>
      </c>
      <c r="BG161"/>
      <c r="BH161" s="190" t="str">
        <f ca="1">IF(ISNUMBER(OFFSET(BD161,-$F$21,0)),SUM(OFFSET($T$100,($F$16-$F$15+$F$21),0):$T161),"")</f>
        <v/>
      </c>
      <c r="BI161" s="190" t="str">
        <f t="shared" ca="1" si="85"/>
        <v/>
      </c>
      <c r="BJ161" s="190" t="str">
        <f t="shared" ca="1" si="60"/>
        <v/>
      </c>
      <c r="BK161" s="190"/>
      <c r="BL161" s="190" t="str">
        <f ca="1">IFERROR(IF(OR(ISNUMBER(I),ISNUMBER($F$14)),IF(AND($B161&gt;=($F$17-$F$15),$B161&lt;$F$22+($F$17-$F$15)),SUM(OFFSET($T$100,($F$17-$F$15),0):$T161),""),""),"")</f>
        <v/>
      </c>
      <c r="BM161" s="190" t="str">
        <f t="shared" ca="1" si="86"/>
        <v/>
      </c>
      <c r="BN161" s="190" t="str">
        <f t="shared" ca="1" si="61"/>
        <v/>
      </c>
      <c r="BO161"/>
      <c r="BP161" s="190" t="str">
        <f ca="1">IF(ISNUMBER(OFFSET(BL161,-$F$21,0)),SUM(OFFSET($T$100,($F$17-$F$15+$F$21),0):$T161),"")</f>
        <v/>
      </c>
      <c r="BQ161" s="190" t="str">
        <f t="shared" ca="1" si="87"/>
        <v/>
      </c>
      <c r="BR161" s="190" t="str">
        <f t="shared" ca="1" si="63"/>
        <v/>
      </c>
      <c r="BS161" s="190"/>
      <c r="BT161"/>
      <c r="BU161"/>
      <c r="BV161"/>
      <c r="BY161" s="99"/>
      <c r="BZ161" s="99"/>
      <c r="CA161" s="280" t="str">
        <f t="shared" si="88"/>
        <v/>
      </c>
      <c r="CB161" s="71" t="str">
        <f t="shared" si="31"/>
        <v>-</v>
      </c>
      <c r="CC161" s="33"/>
      <c r="CD161" s="261" t="str">
        <f t="shared" si="33"/>
        <v/>
      </c>
      <c r="CE161" s="280" t="str">
        <f t="shared" si="89"/>
        <v/>
      </c>
      <c r="CF161" s="71" t="str">
        <f t="shared" ca="1" si="90"/>
        <v/>
      </c>
      <c r="CG161" s="33" t="str">
        <f t="shared" si="36"/>
        <v/>
      </c>
      <c r="CH161" s="261" t="str">
        <f t="shared" ca="1" si="37"/>
        <v/>
      </c>
      <c r="CI161" s="202"/>
      <c r="CJ161" s="99"/>
      <c r="CK161" s="99"/>
      <c r="CL161" s="99"/>
      <c r="CM161" s="99"/>
      <c r="CN161" s="99"/>
      <c r="CO161" s="99"/>
    </row>
    <row r="162" spans="2:93" ht="13.5" customHeight="1" x14ac:dyDescent="0.2">
      <c r="B162" s="262">
        <v>62</v>
      </c>
      <c r="C162" s="237" t="str">
        <f t="shared" si="1"/>
        <v/>
      </c>
      <c r="D162" s="237" t="str">
        <f t="shared" si="66"/>
        <v/>
      </c>
      <c r="E162" s="290" t="str">
        <f t="shared" si="38"/>
        <v/>
      </c>
      <c r="F162" s="264" t="str">
        <f t="shared" si="39"/>
        <v/>
      </c>
      <c r="G162" s="291" t="str">
        <f t="shared" si="40"/>
        <v/>
      </c>
      <c r="H162" s="240" t="str">
        <f t="shared" si="71"/>
        <v/>
      </c>
      <c r="I162" s="265" t="str">
        <f t="shared" si="72"/>
        <v/>
      </c>
      <c r="J162" s="265" t="str">
        <f t="shared" si="73"/>
        <v/>
      </c>
      <c r="K162" s="240" t="str">
        <f t="shared" si="74"/>
        <v/>
      </c>
      <c r="L162" s="265" t="str">
        <f t="shared" si="75"/>
        <v/>
      </c>
      <c r="M162" s="265" t="str">
        <f t="shared" si="76"/>
        <v/>
      </c>
      <c r="N162" s="240" t="str">
        <f t="shared" si="77"/>
        <v>-</v>
      </c>
      <c r="O162" s="265" t="str">
        <f t="shared" si="78"/>
        <v>-</v>
      </c>
      <c r="P162" s="265" t="str">
        <f t="shared" si="79"/>
        <v>-</v>
      </c>
      <c r="Q162" s="266" t="str">
        <f t="shared" si="80"/>
        <v>-</v>
      </c>
      <c r="R162" s="267" t="str">
        <f t="shared" si="81"/>
        <v>-</v>
      </c>
      <c r="S162" s="268" t="str">
        <f t="shared" si="82"/>
        <v>-</v>
      </c>
      <c r="T162" s="269" t="str">
        <f t="shared" si="13"/>
        <v/>
      </c>
      <c r="U162" s="221">
        <f t="shared" si="14"/>
        <v>62</v>
      </c>
      <c r="V162" s="220" t="str">
        <f t="shared" si="42"/>
        <v>-</v>
      </c>
      <c r="W162" s="221" t="str">
        <f t="shared" si="43"/>
        <v>-</v>
      </c>
      <c r="X162" s="221" t="str">
        <f t="shared" si="15"/>
        <v>-</v>
      </c>
      <c r="Y162" s="221" t="str">
        <f t="shared" si="16"/>
        <v>-</v>
      </c>
      <c r="Z162" s="270">
        <f t="shared" si="44"/>
        <v>0.1</v>
      </c>
      <c r="AA162" s="271" t="str">
        <f>IFERROR(IF(V161=1,AA$100*EXP(-(LN(2)/$D$65+0.04)*X161)*EXP(-(LN(2)/$D$65+0.1)*Y161),IF(V161=2,AA$100*EXP(-(LN(2)/$D$65+0.04)*(VLOOKUP(($F$16-$F$15)-1,U$99:Y161,4,FALSE)))*EXP(-(LN(2)/$D$65+0.1)*(VLOOKUP(($F$16-$F$15)-1,U$99:Y161,5,FALSE)))*EXP(-(LN(2)/$D$65+0.04)*X161)*EXP(-(LN(2)/$D$65+0.1)*Y161),IF(V161=3,AA$100*EXP(-(LN(2)/$D$65+0.04)*(VLOOKUP(($F$16-$F$15)-1,U$99:Y161,4,FALSE)))*EXP(-(LN(2)/$D$65+0.1)*(VLOOKUP(($F$16-$F$15)-1,U$99:Y161,5,FALSE)))*EXP(-(LN(2)/$D$65+0.04)*(VLOOKUP(($F$16-$F$15)*2-1,U$99:Y161,4,FALSE)))*EXP(-(LN(2)/$D$65+0.1)*(VLOOKUP(($F$16-$F$15)*2-1,U$99:Y161,5,FALSE)))*EXP(-(LN(2)/$D$65+0.04)*X161)*EXP(-(LN(2)/$D$65+0.1)*Y161),"-"))),"-")</f>
        <v>-</v>
      </c>
      <c r="AB162" s="271" t="str">
        <f>IFERROR(IF(V162=1,AB$100*EXP(-(LN(2)/$D$65+0.04)*X162)*EXP(-(LN(2)/$D$65+0.1)*Y162),IF(V162=2,AB$100*EXP(-(LN(2)/$D$65+0.04)*(VLOOKUP(($F$16-$F$15)-1,U$100:Y162,4,FALSE)))*EXP(-(LN(2)/$D$65+0.1)*(VLOOKUP(($F$16-$F$15)-1,U$100:Y162,5,FALSE)))*EXP(-(LN(2)/$D$65+0.04)*X162)*EXP(-(LN(2)/$D$65+0.1)*Y162),IF(V162=3,AB$100*EXP(-(LN(2)/$D$65+0.04)*(VLOOKUP(($F$16-$F$15)-1,U$100:Y162,4,FALSE)))*EXP(-(LN(2)/$D$65+0.1)*(VLOOKUP(($F$16-$F$15)-1,U$100:Y162,5,FALSE)))*EXP(-(LN(2)/$D$65+0.04)*(VLOOKUP(($F$16-$F$15)*2-1,U$100:Y162,4,FALSE)))*EXP(-(LN(2)/$D$65+0.1)*(VLOOKUP(($F$16-$F$15)*2-1,U$100:Y162,5,FALSE)))*EXP(-(LN(2)/$D$65+0.04)*X162)*EXP(-(LN(2)/$D$65+0.1)*Y162),"-"))),"-")</f>
        <v>-</v>
      </c>
      <c r="AC162" s="224">
        <f t="shared" si="45"/>
        <v>62</v>
      </c>
      <c r="AD162" s="223" t="str">
        <f t="shared" si="18"/>
        <v>-</v>
      </c>
      <c r="AE162" s="224" t="str">
        <f t="shared" si="46"/>
        <v>-</v>
      </c>
      <c r="AF162" s="224" t="str">
        <f t="shared" si="19"/>
        <v>-</v>
      </c>
      <c r="AG162" s="224" t="str">
        <f t="shared" si="20"/>
        <v>-</v>
      </c>
      <c r="AH162" s="272">
        <f t="shared" si="47"/>
        <v>0.1</v>
      </c>
      <c r="AI162" s="271" t="str">
        <f>IFERROR(IF(AD161=1,AI$100*EXP(-(LN(2)/$D$65+0.04)*AF161)*EXP(-(LN(2)/$D$65+0.1)*AG161),IF(AD161=2,AI$100*EXP(-(LN(2)/$D$65+0.04)*(VLOOKUP(($F$16-$F$15)-1,AC$99:AG161,4,FALSE)))*EXP(-(LN(2)/$D$65+0.1)*(VLOOKUP(($F$16-$F$15)-1,AC$99:AG161,5,FALSE)))*EXP(-(LN(2)/$D$65+0.04)*AF161)*EXP(-(LN(2)/$D$65+0.1)*AG161),IF(AD161=3,AI$100*EXP(-(LN(2)/$D$65+0.04)*(VLOOKUP(($F$16-$F$15)-1,AC$99:AG161,4,FALSE)))*EXP(-(LN(2)/$D$65+0.1)*(VLOOKUP(($F$16-$F$15)-1,AC$99:AG161,5,FALSE)))*EXP(-(LN(2)/$D$65+0.04)*(VLOOKUP(($F$16-$F$15)*2-1,AC$99:AG161,4,FALSE)))*EXP(-(LN(2)/$D$65+0.1)*(VLOOKUP(($F$16-$F$15)*2-1,AC$99:AG161,5,FALSE)))*EXP(-(LN(2)/$D$65+0.04)*AF161)*EXP(-(LN(2)/$D$65+0.1)*AG161),"-"))),"-")</f>
        <v>-</v>
      </c>
      <c r="AJ162" s="271" t="str">
        <f>IFERROR(IF(AD162=1,AJ$100*EXP(-(LN(2)/$D$65+0.04)*AF162)*EXP(-(LN(2)/$D$65+0.1)*AG162),IF(AD162=2,AJ$100*EXP(-(LN(2)/$D$65+0.04)*(VLOOKUP(($F$16-$F$15)-1,AC$100:AG162,4,FALSE)))*EXP(-(LN(2)/$D$65+0.1)*(VLOOKUP(($F$16-$F$15)-1,AC$100:AG162,5,FALSE)))*EXP(-(LN(2)/$D$65+0.04)*AF162)*EXP(-(LN(2)/$D$65+0.1)*AG162),IF(AD162=3,AJ$100*EXP(-(LN(2)/$D$65+0.04)*(VLOOKUP(($F$16-$F$15)-1,AC$100:AG162,4,FALSE)))*EXP(-(LN(2)/$D$65+0.1)*(VLOOKUP(($F$16-$F$15)-1,AC$100:AG162,5,FALSE)))*EXP(-(LN(2)/$D$65+0.04)*(VLOOKUP(($F$16-$F$15)*2-1,AC$100:AG162,4,FALSE)))*EXP(-(LN(2)/$D$65+0.1)*(VLOOKUP(($F$16-$F$15)*2-1,AC$100:AG162,5,FALSE)))*EXP(-(LN(2)/$D$65+0.04)*AF162)*EXP(-(LN(2)/$D$65+0.1)*AG162),"-"))),"-")</f>
        <v>-</v>
      </c>
      <c r="AK162" s="227">
        <f t="shared" si="49"/>
        <v>62</v>
      </c>
      <c r="AL162" s="226" t="str">
        <f t="shared" si="22"/>
        <v>-</v>
      </c>
      <c r="AM162" s="227" t="str">
        <f t="shared" si="50"/>
        <v>-</v>
      </c>
      <c r="AN162" s="227" t="str">
        <f t="shared" si="51"/>
        <v>-</v>
      </c>
      <c r="AO162" s="227" t="str">
        <f t="shared" si="23"/>
        <v>-</v>
      </c>
      <c r="AP162" s="273">
        <f t="shared" si="52"/>
        <v>0.1</v>
      </c>
      <c r="AQ162" s="271" t="str">
        <f>IFERROR(IF(AL161=1,AQ$100*EXP(-(LN(2)/$D$65+0.04)*AN161)*EXP(-(LN(2)/$D$65+0.1)*AO161),IF(AL161=2,AQ$100*EXP(-(LN(2)/$D$65+0.04)*(VLOOKUP(($F$16-$F$15)-1,AK$99:AO161,4,FALSE)))*EXP(-(LN(2)/$D$65+0.1)*(VLOOKUP(($F$16-$F$15)-1,AK$99:AO161,5,FALSE)))*EXP(-(LN(2)/$D$65+0.04)*AN161)*EXP(-(LN(2)/$D$65+0.1)*AO161),IF(AL161=3,AQ$100*EXP(-(LN(2)/$D$65+0.04)*(VLOOKUP(($F$16-$F$15)-1,AK$99:AO161,4,FALSE)))*EXP(-(LN(2)/$D$65+0.1)*(VLOOKUP(($F$16-$F$15)-1,AK$99:AO161,5,FALSE)))*EXP(-(LN(2)/$D$65+0.04)*(VLOOKUP(($F$16-$F$15)*2-1,AK$99:AO161,4,FALSE)))*EXP(-(LN(2)/$D$65+0.1)*(VLOOKUP(($F$16-$F$15)*2-1,AK$99:AO161,5,FALSE)))*EXP(-(LN(2)/$D$65+0.04)*AN161)*EXP(-(LN(2)/$D$65+0.1)*AO161),"-"))),"-")</f>
        <v>-</v>
      </c>
      <c r="AR162" s="271" t="str">
        <f>IFERROR(IF(AL162=1,AR$100*EXP(-(LN(2)/$D$65+0.04)*AN162)*EXP(-(LN(2)/$D$65+0.1)*AO162),IF(AL162=2,AR$100*EXP(-(LN(2)/$D$65+0.04)*(VLOOKUP(($F$16-$F$15)-1,AK$100:AO162,4,FALSE)))*EXP(-(LN(2)/$D$65+0.1)*(VLOOKUP(($F$16-$F$15)-1,AK$100:AO162,5,FALSE)))*EXP(-(LN(2)/$D$65+0.04)*AN162)*EXP(-(LN(2)/$D$65+0.1)*AO162),IF(AL162=3,AR$100*EXP(-(LN(2)/$D$65+0.04)*(VLOOKUP(($F$16-$F$15)-1,AK$100:AO162,4,FALSE)))*EXP(-(LN(2)/$D$65+0.1)*(VLOOKUP(($F$16-$F$15)-1,AK$100:AO162,5,FALSE)))*EXP(-(LN(2)/$D$65+0.04)*(VLOOKUP(($F$16-$F$15)*2-1,AK$100:AO162,4,FALSE)))*EXP(-(LN(2)/$D$65+0.1)*(VLOOKUP(($F$16-$F$15)*2-1,AK$100:AO162,5,FALSE)))*EXP(-(LN(2)/$D$65+0.04)*AN162)*EXP(-(LN(2)/$D$65+0.1)*AO162),"-"))),"-")</f>
        <v>-</v>
      </c>
      <c r="AS162" s="274">
        <f t="shared" si="24"/>
        <v>0</v>
      </c>
      <c r="AT162" s="274">
        <f t="shared" si="25"/>
        <v>0</v>
      </c>
      <c r="AU162" s="274">
        <f t="shared" si="26"/>
        <v>0</v>
      </c>
      <c r="AV162" s="190" t="str">
        <f>IF($B162&lt;$F$22,SUM($T$100:$T162),"")</f>
        <v/>
      </c>
      <c r="AW162" s="190" t="str">
        <f t="shared" si="83"/>
        <v>-</v>
      </c>
      <c r="AX162" s="190" t="str">
        <f t="shared" si="56"/>
        <v/>
      </c>
      <c r="AY162"/>
      <c r="AZ162" s="190" t="str">
        <f ca="1">IF(ISNUMBER(OFFSET(AV162,-$F$21,0)),SUM(OFFSET($T$100,$F$21,0):$T162),"")</f>
        <v/>
      </c>
      <c r="BA162" s="190" t="str">
        <f t="shared" ca="1" si="84"/>
        <v/>
      </c>
      <c r="BB162" s="190" t="str">
        <f t="shared" ca="1" si="70"/>
        <v/>
      </c>
      <c r="BC162" s="190"/>
      <c r="BD162" s="190" t="str">
        <f ca="1">IFERROR(IF(OR(ISNUMBER(I),ISNUMBER($F$14)),IF(AND($B162&gt;=($F$16-$F$15),$B162&lt;$F$22+($F$16-$F$15)),SUM(OFFSET($T$100,($F$16-$F$15),0):$T162),""),""),"")</f>
        <v/>
      </c>
      <c r="BE162" s="190" t="str">
        <f t="shared" ca="1" si="58"/>
        <v/>
      </c>
      <c r="BF162" s="190" t="str">
        <f t="shared" ca="1" si="59"/>
        <v/>
      </c>
      <c r="BG162"/>
      <c r="BH162" s="190" t="str">
        <f ca="1">IF(ISNUMBER(OFFSET(BD162,-$F$21,0)),SUM(OFFSET($T$100,($F$16-$F$15+$F$21),0):$T162),"")</f>
        <v/>
      </c>
      <c r="BI162" s="190" t="str">
        <f t="shared" ca="1" si="85"/>
        <v/>
      </c>
      <c r="BJ162" s="190" t="str">
        <f t="shared" ca="1" si="60"/>
        <v/>
      </c>
      <c r="BK162" s="190"/>
      <c r="BL162" s="190" t="str">
        <f ca="1">IFERROR(IF(OR(ISNUMBER(I),ISNUMBER($F$14)),IF(AND($B162&gt;=($F$17-$F$15),$B162&lt;$F$22+($F$17-$F$15)),SUM(OFFSET($T$100,($F$17-$F$15),0):$T162),""),""),"")</f>
        <v/>
      </c>
      <c r="BM162" s="190" t="str">
        <f t="shared" ca="1" si="86"/>
        <v/>
      </c>
      <c r="BN162" s="190" t="str">
        <f t="shared" ca="1" si="61"/>
        <v/>
      </c>
      <c r="BO162"/>
      <c r="BP162" s="190" t="str">
        <f ca="1">IF(ISNUMBER(OFFSET(BL162,-$F$21,0)),SUM(OFFSET($T$100,($F$17-$F$15+$F$21),0):$T162),"")</f>
        <v/>
      </c>
      <c r="BQ162" s="190" t="str">
        <f t="shared" ca="1" si="87"/>
        <v/>
      </c>
      <c r="BR162" s="190" t="str">
        <f t="shared" ca="1" si="63"/>
        <v/>
      </c>
      <c r="BS162" s="190"/>
      <c r="BT162"/>
      <c r="BU162"/>
      <c r="BV162"/>
      <c r="BY162" s="99"/>
      <c r="BZ162" s="99"/>
      <c r="CA162" s="280" t="str">
        <f t="shared" si="88"/>
        <v/>
      </c>
      <c r="CB162" s="71" t="str">
        <f t="shared" si="31"/>
        <v>-</v>
      </c>
      <c r="CC162" s="33"/>
      <c r="CD162" s="261" t="str">
        <f t="shared" si="33"/>
        <v/>
      </c>
      <c r="CE162" s="280" t="str">
        <f t="shared" si="89"/>
        <v/>
      </c>
      <c r="CF162" s="71" t="str">
        <f t="shared" ca="1" si="90"/>
        <v/>
      </c>
      <c r="CG162" s="33" t="str">
        <f t="shared" si="36"/>
        <v/>
      </c>
      <c r="CH162" s="261" t="str">
        <f t="shared" ca="1" si="37"/>
        <v/>
      </c>
      <c r="CI162" s="202"/>
      <c r="CJ162" s="99"/>
      <c r="CK162" s="99"/>
      <c r="CL162" s="99"/>
      <c r="CM162" s="99"/>
      <c r="CN162" s="99"/>
      <c r="CO162" s="99"/>
    </row>
    <row r="163" spans="2:93" ht="13.5" customHeight="1" x14ac:dyDescent="0.2">
      <c r="B163" s="262">
        <v>63</v>
      </c>
      <c r="C163" s="237" t="str">
        <f t="shared" si="1"/>
        <v/>
      </c>
      <c r="D163" s="237" t="str">
        <f t="shared" si="66"/>
        <v/>
      </c>
      <c r="E163" s="290" t="str">
        <f t="shared" si="38"/>
        <v/>
      </c>
      <c r="F163" s="264" t="str">
        <f t="shared" si="39"/>
        <v/>
      </c>
      <c r="G163" s="291" t="str">
        <f t="shared" si="40"/>
        <v/>
      </c>
      <c r="H163" s="240" t="str">
        <f t="shared" si="71"/>
        <v/>
      </c>
      <c r="I163" s="265" t="str">
        <f t="shared" si="72"/>
        <v/>
      </c>
      <c r="J163" s="265" t="str">
        <f t="shared" si="73"/>
        <v/>
      </c>
      <c r="K163" s="240" t="str">
        <f t="shared" si="74"/>
        <v/>
      </c>
      <c r="L163" s="265" t="str">
        <f t="shared" si="75"/>
        <v/>
      </c>
      <c r="M163" s="265" t="str">
        <f t="shared" si="76"/>
        <v/>
      </c>
      <c r="N163" s="240" t="str">
        <f t="shared" si="77"/>
        <v>-</v>
      </c>
      <c r="O163" s="265" t="str">
        <f t="shared" si="78"/>
        <v>-</v>
      </c>
      <c r="P163" s="265" t="str">
        <f t="shared" si="79"/>
        <v>-</v>
      </c>
      <c r="Q163" s="266" t="str">
        <f t="shared" si="80"/>
        <v>-</v>
      </c>
      <c r="R163" s="267" t="str">
        <f t="shared" si="81"/>
        <v>-</v>
      </c>
      <c r="S163" s="268" t="str">
        <f t="shared" si="82"/>
        <v>-</v>
      </c>
      <c r="T163" s="269" t="str">
        <f t="shared" si="13"/>
        <v/>
      </c>
      <c r="U163" s="221">
        <f t="shared" si="14"/>
        <v>63</v>
      </c>
      <c r="V163" s="220" t="str">
        <f t="shared" si="42"/>
        <v>-</v>
      </c>
      <c r="W163" s="221" t="str">
        <f t="shared" si="43"/>
        <v>-</v>
      </c>
      <c r="X163" s="221" t="str">
        <f t="shared" si="15"/>
        <v>-</v>
      </c>
      <c r="Y163" s="221" t="str">
        <f t="shared" si="16"/>
        <v>-</v>
      </c>
      <c r="Z163" s="270">
        <f t="shared" si="44"/>
        <v>0.1</v>
      </c>
      <c r="AA163" s="271" t="str">
        <f>IFERROR(IF(V162=1,AA$100*EXP(-(LN(2)/$D$65+0.04)*X162)*EXP(-(LN(2)/$D$65+0.1)*Y162),IF(V162=2,AA$100*EXP(-(LN(2)/$D$65+0.04)*(VLOOKUP(($F$16-$F$15)-1,U$99:Y162,4,FALSE)))*EXP(-(LN(2)/$D$65+0.1)*(VLOOKUP(($F$16-$F$15)-1,U$99:Y162,5,FALSE)))*EXP(-(LN(2)/$D$65+0.04)*X162)*EXP(-(LN(2)/$D$65+0.1)*Y162),IF(V162=3,AA$100*EXP(-(LN(2)/$D$65+0.04)*(VLOOKUP(($F$16-$F$15)-1,U$99:Y162,4,FALSE)))*EXP(-(LN(2)/$D$65+0.1)*(VLOOKUP(($F$16-$F$15)-1,U$99:Y162,5,FALSE)))*EXP(-(LN(2)/$D$65+0.04)*(VLOOKUP(($F$16-$F$15)*2-1,U$99:Y162,4,FALSE)))*EXP(-(LN(2)/$D$65+0.1)*(VLOOKUP(($F$16-$F$15)*2-1,U$99:Y162,5,FALSE)))*EXP(-(LN(2)/$D$65+0.04)*X162)*EXP(-(LN(2)/$D$65+0.1)*Y162),"-"))),"-")</f>
        <v>-</v>
      </c>
      <c r="AB163" s="271" t="str">
        <f>IFERROR(IF(V163=1,AB$100*EXP(-(LN(2)/$D$65+0.04)*X163)*EXP(-(LN(2)/$D$65+0.1)*Y163),IF(V163=2,AB$100*EXP(-(LN(2)/$D$65+0.04)*(VLOOKUP(($F$16-$F$15)-1,U$100:Y163,4,FALSE)))*EXP(-(LN(2)/$D$65+0.1)*(VLOOKUP(($F$16-$F$15)-1,U$100:Y163,5,FALSE)))*EXP(-(LN(2)/$D$65+0.04)*X163)*EXP(-(LN(2)/$D$65+0.1)*Y163),IF(V163=3,AB$100*EXP(-(LN(2)/$D$65+0.04)*(VLOOKUP(($F$16-$F$15)-1,U$100:Y163,4,FALSE)))*EXP(-(LN(2)/$D$65+0.1)*(VLOOKUP(($F$16-$F$15)-1,U$100:Y163,5,FALSE)))*EXP(-(LN(2)/$D$65+0.04)*(VLOOKUP(($F$16-$F$15)*2-1,U$100:Y163,4,FALSE)))*EXP(-(LN(2)/$D$65+0.1)*(VLOOKUP(($F$16-$F$15)*2-1,U$100:Y163,5,FALSE)))*EXP(-(LN(2)/$D$65+0.04)*X163)*EXP(-(LN(2)/$D$65+0.1)*Y163),"-"))),"-")</f>
        <v>-</v>
      </c>
      <c r="AC163" s="224">
        <f t="shared" si="45"/>
        <v>63</v>
      </c>
      <c r="AD163" s="223" t="str">
        <f t="shared" si="18"/>
        <v>-</v>
      </c>
      <c r="AE163" s="224" t="str">
        <f t="shared" si="46"/>
        <v>-</v>
      </c>
      <c r="AF163" s="224" t="str">
        <f t="shared" si="19"/>
        <v>-</v>
      </c>
      <c r="AG163" s="224" t="str">
        <f t="shared" si="20"/>
        <v>-</v>
      </c>
      <c r="AH163" s="272">
        <f t="shared" si="47"/>
        <v>0.1</v>
      </c>
      <c r="AI163" s="271" t="str">
        <f>IFERROR(IF(AD162=1,AI$100*EXP(-(LN(2)/$D$65+0.04)*AF162)*EXP(-(LN(2)/$D$65+0.1)*AG162),IF(AD162=2,AI$100*EXP(-(LN(2)/$D$65+0.04)*(VLOOKUP(($F$16-$F$15)-1,AC$99:AG162,4,FALSE)))*EXP(-(LN(2)/$D$65+0.1)*(VLOOKUP(($F$16-$F$15)-1,AC$99:AG162,5,FALSE)))*EXP(-(LN(2)/$D$65+0.04)*AF162)*EXP(-(LN(2)/$D$65+0.1)*AG162),IF(AD162=3,AI$100*EXP(-(LN(2)/$D$65+0.04)*(VLOOKUP(($F$16-$F$15)-1,AC$99:AG162,4,FALSE)))*EXP(-(LN(2)/$D$65+0.1)*(VLOOKUP(($F$16-$F$15)-1,AC$99:AG162,5,FALSE)))*EXP(-(LN(2)/$D$65+0.04)*(VLOOKUP(($F$16-$F$15)*2-1,AC$99:AG162,4,FALSE)))*EXP(-(LN(2)/$D$65+0.1)*(VLOOKUP(($F$16-$F$15)*2-1,AC$99:AG162,5,FALSE)))*EXP(-(LN(2)/$D$65+0.04)*AF162)*EXP(-(LN(2)/$D$65+0.1)*AG162),"-"))),"-")</f>
        <v>-</v>
      </c>
      <c r="AJ163" s="271" t="str">
        <f>IFERROR(IF(AD163=1,AJ$100*EXP(-(LN(2)/$D$65+0.04)*AF163)*EXP(-(LN(2)/$D$65+0.1)*AG163),IF(AD163=2,AJ$100*EXP(-(LN(2)/$D$65+0.04)*(VLOOKUP(($F$16-$F$15)-1,AC$100:AG163,4,FALSE)))*EXP(-(LN(2)/$D$65+0.1)*(VLOOKUP(($F$16-$F$15)-1,AC$100:AG163,5,FALSE)))*EXP(-(LN(2)/$D$65+0.04)*AF163)*EXP(-(LN(2)/$D$65+0.1)*AG163),IF(AD163=3,AJ$100*EXP(-(LN(2)/$D$65+0.04)*(VLOOKUP(($F$16-$F$15)-1,AC$100:AG163,4,FALSE)))*EXP(-(LN(2)/$D$65+0.1)*(VLOOKUP(($F$16-$F$15)-1,AC$100:AG163,5,FALSE)))*EXP(-(LN(2)/$D$65+0.04)*(VLOOKUP(($F$16-$F$15)*2-1,AC$100:AG163,4,FALSE)))*EXP(-(LN(2)/$D$65+0.1)*(VLOOKUP(($F$16-$F$15)*2-1,AC$100:AG163,5,FALSE)))*EXP(-(LN(2)/$D$65+0.04)*AF163)*EXP(-(LN(2)/$D$65+0.1)*AG163),"-"))),"-")</f>
        <v>-</v>
      </c>
      <c r="AK163" s="227">
        <f t="shared" si="49"/>
        <v>63</v>
      </c>
      <c r="AL163" s="226" t="str">
        <f t="shared" si="22"/>
        <v>-</v>
      </c>
      <c r="AM163" s="227" t="str">
        <f t="shared" si="50"/>
        <v>-</v>
      </c>
      <c r="AN163" s="227" t="str">
        <f t="shared" si="51"/>
        <v>-</v>
      </c>
      <c r="AO163" s="227" t="str">
        <f t="shared" si="23"/>
        <v>-</v>
      </c>
      <c r="AP163" s="273">
        <f t="shared" si="52"/>
        <v>0.1</v>
      </c>
      <c r="AQ163" s="271" t="str">
        <f>IFERROR(IF(AL162=1,AQ$100*EXP(-(LN(2)/$D$65+0.04)*AN162)*EXP(-(LN(2)/$D$65+0.1)*AO162),IF(AL162=2,AQ$100*EXP(-(LN(2)/$D$65+0.04)*(VLOOKUP(($F$16-$F$15)-1,AK$99:AO162,4,FALSE)))*EXP(-(LN(2)/$D$65+0.1)*(VLOOKUP(($F$16-$F$15)-1,AK$99:AO162,5,FALSE)))*EXP(-(LN(2)/$D$65+0.04)*AN162)*EXP(-(LN(2)/$D$65+0.1)*AO162),IF(AL162=3,AQ$100*EXP(-(LN(2)/$D$65+0.04)*(VLOOKUP(($F$16-$F$15)-1,AK$99:AO162,4,FALSE)))*EXP(-(LN(2)/$D$65+0.1)*(VLOOKUP(($F$16-$F$15)-1,AK$99:AO162,5,FALSE)))*EXP(-(LN(2)/$D$65+0.04)*(VLOOKUP(($F$16-$F$15)*2-1,AK$99:AO162,4,FALSE)))*EXP(-(LN(2)/$D$65+0.1)*(VLOOKUP(($F$16-$F$15)*2-1,AK$99:AO162,5,FALSE)))*EXP(-(LN(2)/$D$65+0.04)*AN162)*EXP(-(LN(2)/$D$65+0.1)*AO162),"-"))),"-")</f>
        <v>-</v>
      </c>
      <c r="AR163" s="271" t="str">
        <f>IFERROR(IF(AL163=1,AR$100*EXP(-(LN(2)/$D$65+0.04)*AN163)*EXP(-(LN(2)/$D$65+0.1)*AO163),IF(AL163=2,AR$100*EXP(-(LN(2)/$D$65+0.04)*(VLOOKUP(($F$16-$F$15)-1,AK$100:AO163,4,FALSE)))*EXP(-(LN(2)/$D$65+0.1)*(VLOOKUP(($F$16-$F$15)-1,AK$100:AO163,5,FALSE)))*EXP(-(LN(2)/$D$65+0.04)*AN163)*EXP(-(LN(2)/$D$65+0.1)*AO163),IF(AL163=3,AR$100*EXP(-(LN(2)/$D$65+0.04)*(VLOOKUP(($F$16-$F$15)-1,AK$100:AO163,4,FALSE)))*EXP(-(LN(2)/$D$65+0.1)*(VLOOKUP(($F$16-$F$15)-1,AK$100:AO163,5,FALSE)))*EXP(-(LN(2)/$D$65+0.04)*(VLOOKUP(($F$16-$F$15)*2-1,AK$100:AO163,4,FALSE)))*EXP(-(LN(2)/$D$65+0.1)*(VLOOKUP(($F$16-$F$15)*2-1,AK$100:AO163,5,FALSE)))*EXP(-(LN(2)/$D$65+0.04)*AN163)*EXP(-(LN(2)/$D$65+0.1)*AO163),"-"))),"-")</f>
        <v>-</v>
      </c>
      <c r="AS163" s="274">
        <f t="shared" si="24"/>
        <v>0</v>
      </c>
      <c r="AT163" s="274">
        <f t="shared" si="25"/>
        <v>0</v>
      </c>
      <c r="AU163" s="274">
        <f t="shared" si="26"/>
        <v>0</v>
      </c>
      <c r="AV163" s="190" t="str">
        <f>IF($B163&lt;$F$22,SUM($T$100:$T163),"")</f>
        <v/>
      </c>
      <c r="AW163" s="190" t="str">
        <f t="shared" si="83"/>
        <v>-</v>
      </c>
      <c r="AX163" s="190" t="str">
        <f t="shared" si="56"/>
        <v/>
      </c>
      <c r="AY163"/>
      <c r="AZ163" s="190" t="str">
        <f ca="1">IF(ISNUMBER(OFFSET(AV163,-$F$21,0)),SUM(OFFSET($T$100,$F$21,0):$T163),"")</f>
        <v/>
      </c>
      <c r="BA163" s="190" t="str">
        <f t="shared" ca="1" si="84"/>
        <v/>
      </c>
      <c r="BB163" s="190" t="str">
        <f t="shared" ca="1" si="70"/>
        <v/>
      </c>
      <c r="BC163" s="190"/>
      <c r="BD163" s="190" t="str">
        <f ca="1">IFERROR(IF(OR(ISNUMBER(I),ISNUMBER($F$14)),IF(AND($B163&gt;=($F$16-$F$15),$B163&lt;$F$22+($F$16-$F$15)),SUM(OFFSET($T$100,($F$16-$F$15),0):$T163),""),""),"")</f>
        <v/>
      </c>
      <c r="BE163" s="190" t="str">
        <f t="shared" ca="1" si="58"/>
        <v/>
      </c>
      <c r="BF163" s="190" t="str">
        <f t="shared" ca="1" si="59"/>
        <v/>
      </c>
      <c r="BG163"/>
      <c r="BH163" s="190" t="str">
        <f ca="1">IF(ISNUMBER(OFFSET(BD163,-$F$21,0)),SUM(OFFSET($T$100,($F$16-$F$15+$F$21),0):$T163),"")</f>
        <v/>
      </c>
      <c r="BI163" s="190" t="str">
        <f t="shared" ca="1" si="85"/>
        <v/>
      </c>
      <c r="BJ163" s="190" t="str">
        <f t="shared" ca="1" si="60"/>
        <v/>
      </c>
      <c r="BK163" s="190"/>
      <c r="BL163" s="190" t="str">
        <f ca="1">IFERROR(IF(OR(ISNUMBER(I),ISNUMBER($F$14)),IF(AND($B163&gt;=($F$17-$F$15),$B163&lt;$F$22+($F$17-$F$15)),SUM(OFFSET($T$100,($F$17-$F$15),0):$T163),""),""),"")</f>
        <v/>
      </c>
      <c r="BM163" s="190" t="str">
        <f t="shared" ca="1" si="86"/>
        <v/>
      </c>
      <c r="BN163" s="190" t="str">
        <f t="shared" ca="1" si="61"/>
        <v/>
      </c>
      <c r="BO163"/>
      <c r="BP163" s="190" t="str">
        <f ca="1">IF(ISNUMBER(OFFSET(BL163,-$F$21,0)),SUM(OFFSET($T$100,($F$17-$F$15+$F$21),0):$T163),"")</f>
        <v/>
      </c>
      <c r="BQ163" s="190" t="str">
        <f t="shared" ca="1" si="87"/>
        <v/>
      </c>
      <c r="BR163" s="190" t="str">
        <f t="shared" ca="1" si="63"/>
        <v/>
      </c>
      <c r="BS163" s="190"/>
      <c r="BT163"/>
      <c r="BU163"/>
      <c r="BV163"/>
      <c r="BY163" s="99"/>
      <c r="BZ163" s="99"/>
      <c r="CA163" s="280" t="str">
        <f t="shared" si="88"/>
        <v/>
      </c>
      <c r="CB163" s="71" t="str">
        <f t="shared" si="31"/>
        <v>-</v>
      </c>
      <c r="CC163" s="33"/>
      <c r="CD163" s="261" t="str">
        <f t="shared" si="33"/>
        <v/>
      </c>
      <c r="CE163" s="280" t="str">
        <f t="shared" si="89"/>
        <v/>
      </c>
      <c r="CF163" s="71" t="str">
        <f t="shared" ca="1" si="90"/>
        <v/>
      </c>
      <c r="CG163" s="33" t="str">
        <f t="shared" si="36"/>
        <v/>
      </c>
      <c r="CH163" s="261" t="str">
        <f t="shared" ca="1" si="37"/>
        <v/>
      </c>
      <c r="CI163" s="202"/>
      <c r="CJ163" s="99"/>
      <c r="CK163" s="99"/>
      <c r="CL163" s="99"/>
      <c r="CM163" s="99"/>
      <c r="CN163" s="99"/>
      <c r="CO163" s="99"/>
    </row>
    <row r="164" spans="2:93" ht="13.5" customHeight="1" x14ac:dyDescent="0.2">
      <c r="B164" s="262">
        <v>64</v>
      </c>
      <c r="C164" s="237" t="str">
        <f t="shared" ref="C164:C227" si="91">IF(ISERROR(VLOOKUP(B164,$B$39:$C$73,2,0)),"",VLOOKUP(B164,$B$39:$C$73,2,0))</f>
        <v/>
      </c>
      <c r="D164" s="237" t="str">
        <f t="shared" si="66"/>
        <v/>
      </c>
      <c r="E164" s="290" t="str">
        <f t="shared" si="38"/>
        <v/>
      </c>
      <c r="F164" s="264" t="str">
        <f t="shared" si="39"/>
        <v/>
      </c>
      <c r="G164" s="291" t="str">
        <f t="shared" si="40"/>
        <v/>
      </c>
      <c r="H164" s="240" t="str">
        <f t="shared" ref="H164:H195" si="92">IF(E164&lt;&gt;"",IF($B164&lt;$F$21,"",IF(ISNUMBER(F164),IF(ISNUMBER(I164),(E164*30*50*ffp),""),(E164*30*50*ffp))),"")</f>
        <v/>
      </c>
      <c r="I164" s="265" t="str">
        <f t="shared" ref="I164:I195" si="93">IFERROR(IF(F164&lt;&gt;"",IF($B164&lt;$F$21+$F$16,"",IF(ISNUMBER(G164),IF(ISNUMBER(J164),(F164*30*50*ffp),""),(F164*30*50*ffp))),""),"")</f>
        <v/>
      </c>
      <c r="J164" s="265" t="str">
        <f t="shared" ref="J164:J195" si="94">IFERROR(IF(G164&lt;&gt;"",IF($B164&lt;$F$21+$F$17,"",(G164*30*50*ffp)),""),"")</f>
        <v/>
      </c>
      <c r="K164" s="240" t="str">
        <f t="shared" ref="K164:K195" si="95">IF(E164&lt;&gt;"",((E164*20*50*ffp)/Klevee),"")</f>
        <v/>
      </c>
      <c r="L164" s="265" t="str">
        <f t="shared" ref="L164:L195" si="96">IF(ISNUMBER(F164),((F164*20*50*ffp)/Klevee),"")</f>
        <v/>
      </c>
      <c r="M164" s="265" t="str">
        <f t="shared" ref="M164:M195" si="97">IF(ISNUMBER(G164),((G164*20*50*ffp)/Klevee),"")</f>
        <v/>
      </c>
      <c r="N164" s="240" t="str">
        <f t="shared" ref="N164:N195" si="98">IF(AND(ISNUMBER(I),ISNUMBER($F$14),ISNUMBER($F$20)),IF($B164=0,I*($J$40/100)*$J$42*1,""),"-")</f>
        <v>-</v>
      </c>
      <c r="O164" s="265" t="str">
        <f t="shared" ref="O164:O195" si="99">IF(ISNUMBER($F$14),IF($F$14&gt;1,IF($B164=0+$F$16,I*($J$40/100)*$J$42*1,""),""),"-")</f>
        <v>-</v>
      </c>
      <c r="P164" s="265" t="str">
        <f t="shared" ref="P164:P195" si="100">IF(ISNUMBER($F$14),IF($F$14&gt;2,IF($B164=0+$F$17,I*($J$40/100)*$J$42*1,""),""),"-")</f>
        <v>-</v>
      </c>
      <c r="Q164" s="266" t="str">
        <f t="shared" ref="Q164:Q195" si="101">IF(AND(ISNUMBER(I),ISNUMBER($F$14),ISNUMBER($F$20)),IF($B164=0,I*(dt/100)*$J$45*1,""),"-")</f>
        <v>-</v>
      </c>
      <c r="R164" s="267" t="str">
        <f t="shared" ref="R164:R195" si="102">IF(ISNUMBER($F$14),IF($F$14&gt;1,IF($B164=0+$F$16,I*(dt/100)*$J$45*1,""),""),"-")</f>
        <v>-</v>
      </c>
      <c r="S164" s="268" t="str">
        <f t="shared" ref="S164:S195" si="103">IF(ISNUMBER($F$14),IF($F$14&gt;2,IF($B164=0+$F$17,I*(dt/100)*$J$45*1,""),""),"-")</f>
        <v>-</v>
      </c>
      <c r="T164" s="269" t="str">
        <f t="shared" ref="T164:T227" si="104">IF(SUM(H164:S164)=0,"",SUM(H164:S164))</f>
        <v/>
      </c>
      <c r="U164" s="221">
        <f t="shared" ref="U164:U227" si="105">B164</f>
        <v>64</v>
      </c>
      <c r="V164" s="220" t="str">
        <f t="shared" si="42"/>
        <v>-</v>
      </c>
      <c r="W164" s="221" t="str">
        <f t="shared" si="43"/>
        <v>-</v>
      </c>
      <c r="X164" s="221" t="str">
        <f t="shared" ref="X164:X227" si="106">IFERROR(IF($F$21=0,0,IF(V164=V163,IF(B164-(V164-1)*($F$16-$F$15)&lt;$F$21,X163+1,X163),1)),"-")</f>
        <v>-</v>
      </c>
      <c r="Y164" s="221" t="str">
        <f t="shared" ref="Y164:Y227" si="107">IFERROR(W164-X164,"-")</f>
        <v>-</v>
      </c>
      <c r="Z164" s="270">
        <f t="shared" si="44"/>
        <v>0.1</v>
      </c>
      <c r="AA164" s="271" t="str">
        <f>IFERROR(IF(V163=1,AA$100*EXP(-(LN(2)/$D$65+0.04)*X163)*EXP(-(LN(2)/$D$65+0.1)*Y163),IF(V163=2,AA$100*EXP(-(LN(2)/$D$65+0.04)*(VLOOKUP(($F$16-$F$15)-1,U$99:Y163,4,FALSE)))*EXP(-(LN(2)/$D$65+0.1)*(VLOOKUP(($F$16-$F$15)-1,U$99:Y163,5,FALSE)))*EXP(-(LN(2)/$D$65+0.04)*X163)*EXP(-(LN(2)/$D$65+0.1)*Y163),IF(V163=3,AA$100*EXP(-(LN(2)/$D$65+0.04)*(VLOOKUP(($F$16-$F$15)-1,U$99:Y163,4,FALSE)))*EXP(-(LN(2)/$D$65+0.1)*(VLOOKUP(($F$16-$F$15)-1,U$99:Y163,5,FALSE)))*EXP(-(LN(2)/$D$65+0.04)*(VLOOKUP(($F$16-$F$15)*2-1,U$99:Y163,4,FALSE)))*EXP(-(LN(2)/$D$65+0.1)*(VLOOKUP(($F$16-$F$15)*2-1,U$99:Y163,5,FALSE)))*EXP(-(LN(2)/$D$65+0.04)*X163)*EXP(-(LN(2)/$D$65+0.1)*Y163),"-"))),"-")</f>
        <v>-</v>
      </c>
      <c r="AB164" s="271" t="str">
        <f>IFERROR(IF(V164=1,AB$100*EXP(-(LN(2)/$D$65+0.04)*X164)*EXP(-(LN(2)/$D$65+0.1)*Y164),IF(V164=2,AB$100*EXP(-(LN(2)/$D$65+0.04)*(VLOOKUP(($F$16-$F$15)-1,U$100:Y164,4,FALSE)))*EXP(-(LN(2)/$D$65+0.1)*(VLOOKUP(($F$16-$F$15)-1,U$100:Y164,5,FALSE)))*EXP(-(LN(2)/$D$65+0.04)*X164)*EXP(-(LN(2)/$D$65+0.1)*Y164),IF(V164=3,AB$100*EXP(-(LN(2)/$D$65+0.04)*(VLOOKUP(($F$16-$F$15)-1,U$100:Y164,4,FALSE)))*EXP(-(LN(2)/$D$65+0.1)*(VLOOKUP(($F$16-$F$15)-1,U$100:Y164,5,FALSE)))*EXP(-(LN(2)/$D$65+0.04)*(VLOOKUP(($F$16-$F$15)*2-1,U$100:Y164,4,FALSE)))*EXP(-(LN(2)/$D$65+0.1)*(VLOOKUP(($F$16-$F$15)*2-1,U$100:Y164,5,FALSE)))*EXP(-(LN(2)/$D$65+0.04)*X164)*EXP(-(LN(2)/$D$65+0.1)*Y164),"-"))),"-")</f>
        <v>-</v>
      </c>
      <c r="AC164" s="224">
        <f t="shared" si="45"/>
        <v>64</v>
      </c>
      <c r="AD164" s="223" t="str">
        <f t="shared" ref="AD164:AD227" si="108">IFERROR(IF($F$14-1&gt;0,IF(B164&lt;($F$16-$F$15)*($F$14-1),INT(B164/($F$16-$F$15))+1,AD162),"-"),"-")</f>
        <v>-</v>
      </c>
      <c r="AE164" s="224" t="str">
        <f t="shared" si="46"/>
        <v>-</v>
      </c>
      <c r="AF164" s="224" t="str">
        <f t="shared" ref="AF164:AF227" si="109">IFERROR(IF($F$21=0,0,IF(AD164=AD163,IF(B164-(AD164-1)*($F$16-$F$15)&lt;$F$21,AF163+1,AF163),1)),"-")</f>
        <v>-</v>
      </c>
      <c r="AG164" s="224" t="str">
        <f t="shared" ref="AG164:AG227" si="110">IFERROR(AE164-AF164,"-")</f>
        <v>-</v>
      </c>
      <c r="AH164" s="272">
        <f t="shared" si="47"/>
        <v>0.1</v>
      </c>
      <c r="AI164" s="271" t="str">
        <f>IFERROR(IF(AD163=1,AI$100*EXP(-(LN(2)/$D$65+0.04)*AF163)*EXP(-(LN(2)/$D$65+0.1)*AG163),IF(AD163=2,AI$100*EXP(-(LN(2)/$D$65+0.04)*(VLOOKUP(($F$16-$F$15)-1,AC$99:AG163,4,FALSE)))*EXP(-(LN(2)/$D$65+0.1)*(VLOOKUP(($F$16-$F$15)-1,AC$99:AG163,5,FALSE)))*EXP(-(LN(2)/$D$65+0.04)*AF163)*EXP(-(LN(2)/$D$65+0.1)*AG163),IF(AD163=3,AI$100*EXP(-(LN(2)/$D$65+0.04)*(VLOOKUP(($F$16-$F$15)-1,AC$99:AG163,4,FALSE)))*EXP(-(LN(2)/$D$65+0.1)*(VLOOKUP(($F$16-$F$15)-1,AC$99:AG163,5,FALSE)))*EXP(-(LN(2)/$D$65+0.04)*(VLOOKUP(($F$16-$F$15)*2-1,AC$99:AG163,4,FALSE)))*EXP(-(LN(2)/$D$65+0.1)*(VLOOKUP(($F$16-$F$15)*2-1,AC$99:AG163,5,FALSE)))*EXP(-(LN(2)/$D$65+0.04)*AF163)*EXP(-(LN(2)/$D$65+0.1)*AG163),"-"))),"-")</f>
        <v>-</v>
      </c>
      <c r="AJ164" s="271" t="str">
        <f>IFERROR(IF(AD164=1,AJ$100*EXP(-(LN(2)/$D$65+0.04)*AF164)*EXP(-(LN(2)/$D$65+0.1)*AG164),IF(AD164=2,AJ$100*EXP(-(LN(2)/$D$65+0.04)*(VLOOKUP(($F$16-$F$15)-1,AC$100:AG164,4,FALSE)))*EXP(-(LN(2)/$D$65+0.1)*(VLOOKUP(($F$16-$F$15)-1,AC$100:AG164,5,FALSE)))*EXP(-(LN(2)/$D$65+0.04)*AF164)*EXP(-(LN(2)/$D$65+0.1)*AG164),IF(AD164=3,AJ$100*EXP(-(LN(2)/$D$65+0.04)*(VLOOKUP(($F$16-$F$15)-1,AC$100:AG164,4,FALSE)))*EXP(-(LN(2)/$D$65+0.1)*(VLOOKUP(($F$16-$F$15)-1,AC$100:AG164,5,FALSE)))*EXP(-(LN(2)/$D$65+0.04)*(VLOOKUP(($F$16-$F$15)*2-1,AC$100:AG164,4,FALSE)))*EXP(-(LN(2)/$D$65+0.1)*(VLOOKUP(($F$16-$F$15)*2-1,AC$100:AG164,5,FALSE)))*EXP(-(LN(2)/$D$65+0.04)*AF164)*EXP(-(LN(2)/$D$65+0.1)*AG164),"-"))),"-")</f>
        <v>-</v>
      </c>
      <c r="AK164" s="227">
        <f t="shared" si="49"/>
        <v>64</v>
      </c>
      <c r="AL164" s="226" t="str">
        <f t="shared" ref="AL164:AL227" si="111">IFERROR(IF($F$14-2&gt;0,IF(B164&lt;($F$16-$F$15)*($F$14-2),INT(B164/($F$16-$F$15))+1,AL162),"-"),"-")</f>
        <v>-</v>
      </c>
      <c r="AM164" s="227" t="str">
        <f t="shared" si="50"/>
        <v>-</v>
      </c>
      <c r="AN164" s="227" t="str">
        <f t="shared" si="51"/>
        <v>-</v>
      </c>
      <c r="AO164" s="227" t="str">
        <f t="shared" ref="AO164:AO227" si="112">IFERROR(AM164-AN164,"-")</f>
        <v>-</v>
      </c>
      <c r="AP164" s="273">
        <f t="shared" si="52"/>
        <v>0.1</v>
      </c>
      <c r="AQ164" s="271" t="str">
        <f>IFERROR(IF(AL163=1,AQ$100*EXP(-(LN(2)/$D$65+0.04)*AN163)*EXP(-(LN(2)/$D$65+0.1)*AO163),IF(AL163=2,AQ$100*EXP(-(LN(2)/$D$65+0.04)*(VLOOKUP(($F$16-$F$15)-1,AK$99:AO163,4,FALSE)))*EXP(-(LN(2)/$D$65+0.1)*(VLOOKUP(($F$16-$F$15)-1,AK$99:AO163,5,FALSE)))*EXP(-(LN(2)/$D$65+0.04)*AN163)*EXP(-(LN(2)/$D$65+0.1)*AO163),IF(AL163=3,AQ$100*EXP(-(LN(2)/$D$65+0.04)*(VLOOKUP(($F$16-$F$15)-1,AK$99:AO163,4,FALSE)))*EXP(-(LN(2)/$D$65+0.1)*(VLOOKUP(($F$16-$F$15)-1,AK$99:AO163,5,FALSE)))*EXP(-(LN(2)/$D$65+0.04)*(VLOOKUP(($F$16-$F$15)*2-1,AK$99:AO163,4,FALSE)))*EXP(-(LN(2)/$D$65+0.1)*(VLOOKUP(($F$16-$F$15)*2-1,AK$99:AO163,5,FALSE)))*EXP(-(LN(2)/$D$65+0.04)*AN163)*EXP(-(LN(2)/$D$65+0.1)*AO163),"-"))),"-")</f>
        <v>-</v>
      </c>
      <c r="AR164" s="271" t="str">
        <f>IFERROR(IF(AL164=1,AR$100*EXP(-(LN(2)/$D$65+0.04)*AN164)*EXP(-(LN(2)/$D$65+0.1)*AO164),IF(AL164=2,AR$100*EXP(-(LN(2)/$D$65+0.04)*(VLOOKUP(($F$16-$F$15)-1,AK$100:AO164,4,FALSE)))*EXP(-(LN(2)/$D$65+0.1)*(VLOOKUP(($F$16-$F$15)-1,AK$100:AO164,5,FALSE)))*EXP(-(LN(2)/$D$65+0.04)*AN164)*EXP(-(LN(2)/$D$65+0.1)*AO164),IF(AL164=3,AR$100*EXP(-(LN(2)/$D$65+0.04)*(VLOOKUP(($F$16-$F$15)-1,AK$100:AO164,4,FALSE)))*EXP(-(LN(2)/$D$65+0.1)*(VLOOKUP(($F$16-$F$15)-1,AK$100:AO164,5,FALSE)))*EXP(-(LN(2)/$D$65+0.04)*(VLOOKUP(($F$16-$F$15)*2-1,AK$100:AO164,4,FALSE)))*EXP(-(LN(2)/$D$65+0.1)*(VLOOKUP(($F$16-$F$15)*2-1,AK$100:AO164,5,FALSE)))*EXP(-(LN(2)/$D$65+0.04)*AN164)*EXP(-(LN(2)/$D$65+0.1)*AO164),"-"))),"-")</f>
        <v>-</v>
      </c>
      <c r="AS164" s="274">
        <f t="shared" ref="AS164:AS227" si="113">SUM(H164:J164)</f>
        <v>0</v>
      </c>
      <c r="AT164" s="274">
        <f t="shared" ref="AT164:AT227" si="114">SUM(K164:M164)</f>
        <v>0</v>
      </c>
      <c r="AU164" s="274">
        <f t="shared" ref="AU164:AU227" si="115">SUM(N164:S164)</f>
        <v>0</v>
      </c>
      <c r="AV164" s="190" t="str">
        <f>IF($B164&lt;$F$22,SUM($T$100:$T164),"")</f>
        <v/>
      </c>
      <c r="AW164" s="190" t="str">
        <f t="shared" ref="AW164:AW195" si="116">IF(ISNUMBER(Koc),IF(ISNUMBER(AV164),AV164*(Koc*(Ocse/100)*Pse*Vse)/(Koc*(Ocse/100)*Pse*Vse+1*86400*($B164+1)),""),"-")</f>
        <v>-</v>
      </c>
      <c r="AX164" s="190" t="str">
        <f t="shared" si="56"/>
        <v/>
      </c>
      <c r="AY164"/>
      <c r="AZ164" s="190" t="str">
        <f ca="1">IF(ISNUMBER(OFFSET(AV164,-$F$21,0)),SUM(OFFSET($T$100,$F$21,0):$T164),"")</f>
        <v/>
      </c>
      <c r="BA164" s="190" t="str">
        <f t="shared" ref="BA164:BA195" ca="1" si="117">IF(ISNUMBER(OFFSET(AV164,-$F$21,0)),AZ164*(Koc*(Ocse/100)*Pse*Vse)/(Koc*(Ocse/100)*Pse*Vse+1*86400*($B164+1)),"")</f>
        <v/>
      </c>
      <c r="BB164" s="190" t="str">
        <f t="shared" ca="1" si="70"/>
        <v/>
      </c>
      <c r="BC164" s="190"/>
      <c r="BD164" s="190" t="str">
        <f ca="1">IFERROR(IF(OR(ISNUMBER(I),ISNUMBER($F$14)),IF(AND($B164&gt;=($F$16-$F$15),$B164&lt;$F$22+($F$16-$F$15)),SUM(OFFSET($T$100,($F$16-$F$15),0):$T164),""),""),"")</f>
        <v/>
      </c>
      <c r="BE164" s="190" t="str">
        <f t="shared" ca="1" si="58"/>
        <v/>
      </c>
      <c r="BF164" s="190" t="str">
        <f t="shared" ca="1" si="59"/>
        <v/>
      </c>
      <c r="BG164"/>
      <c r="BH164" s="190" t="str">
        <f ca="1">IF(ISNUMBER(OFFSET(BD164,-$F$21,0)),SUM(OFFSET($T$100,($F$16-$F$15+$F$21),0):$T164),"")</f>
        <v/>
      </c>
      <c r="BI164" s="190" t="str">
        <f t="shared" ref="BI164:BI195" ca="1" si="118">IF(ISNUMBER(OFFSET(BD164,-$F$21,0)),BH164*(Koc*(Ocse/100)*Pse*Vse)/(Koc*(Ocse/100)*Pse*Vse+1*86400*($B164+1)),"")</f>
        <v/>
      </c>
      <c r="BJ164" s="190" t="str">
        <f t="shared" ca="1" si="60"/>
        <v/>
      </c>
      <c r="BK164" s="190"/>
      <c r="BL164" s="190" t="str">
        <f ca="1">IFERROR(IF(OR(ISNUMBER(I),ISNUMBER($F$14)),IF(AND($B164&gt;=($F$17-$F$15),$B164&lt;$F$22+($F$17-$F$15)),SUM(OFFSET($T$100,($F$17-$F$15),0):$T164),""),""),"")</f>
        <v/>
      </c>
      <c r="BM164" s="190" t="str">
        <f t="shared" ref="BM164:BM195" ca="1" si="119">IF(ISNUMBER(BL164),BL164*(Koc*(Ocse/100)*Pse*Vse)/(Koc*(Ocse/100)*Pse*Vse+1*86400*($B164+1)),"")</f>
        <v/>
      </c>
      <c r="BN164" s="190" t="str">
        <f t="shared" ca="1" si="61"/>
        <v/>
      </c>
      <c r="BO164"/>
      <c r="BP164" s="190" t="str">
        <f ca="1">IF(ISNUMBER(OFFSET(BL164,-$F$21,0)),SUM(OFFSET($T$100,($F$17-$F$15+$F$21),0):$T164),"")</f>
        <v/>
      </c>
      <c r="BQ164" s="190" t="str">
        <f t="shared" ref="BQ164:BQ195" ca="1" si="120">IF(ISNUMBER(OFFSET(BL164,-$F$21,0)),BP164*(Koc*(Ocse/100)*Pse*Vse)/(Koc*(Ocse/100)*Pse*Vse+1*86400*($B164+1)),"")</f>
        <v/>
      </c>
      <c r="BR164" s="190" t="str">
        <f t="shared" ca="1" si="63"/>
        <v/>
      </c>
      <c r="BS164" s="190"/>
      <c r="BT164"/>
      <c r="BU164"/>
      <c r="BV164"/>
      <c r="BY164" s="99"/>
      <c r="BZ164" s="99"/>
      <c r="CA164" s="280" t="str">
        <f t="shared" ref="CA164:CA195" si="121">IFERROR(IF($B164&lt;$CA$94,T164*(Koc*(Ocse/100)*Pse*Vse)/(Koc*(Ocse/100)*Pse*Vse+1*86400*$CA$94),""),"-")</f>
        <v/>
      </c>
      <c r="CB164" s="71" t="str">
        <f t="shared" ref="CB164:CB227" si="122">IF(ISNUMBER(T164),IF($B164&lt;$CA$94,(T164-CA164)/(3*86400)*1000,""),"-")</f>
        <v>-</v>
      </c>
      <c r="CC164" s="33"/>
      <c r="CD164" s="261" t="str">
        <f t="shared" ref="CD164:CD227" si="123">IF(CC164=CA$96,CB$96,"")</f>
        <v/>
      </c>
      <c r="CE164" s="280" t="str">
        <f t="shared" ref="CE164:CE195" si="124">IFERROR(IF($B164&lt;$CE$94,T164*(Koc*(Ocse/100)*Pse*Vse)/(Koc*(Ocse/100)*Pse*Vse+1*86400*$CE$94),""),"-")</f>
        <v/>
      </c>
      <c r="CF164" s="71" t="str">
        <f t="shared" ref="CF164:CF195" ca="1" si="125">IFERROR(IF($B164&lt;$CE$94,IF(NOT(ISNUMBER(ffp)),"-",IF($F$70=$AX$87,AX164,IF($F$70=$BB$87,OFFSET(BB164,$F$21,0),IF($F$70=$BF$87,OFFSET(BF164,$F$16,0),IF($F$70=$BJ$87,OFFSET(BJ164,$F$16+$F$21,0),IF($F$70=$BN$87,OFFSET(BN164,$F$17,0),OFFSET(BR164,$F$17+$F$21,0))))))),""),"-")</f>
        <v/>
      </c>
      <c r="CG164" s="33" t="str">
        <f t="shared" ref="CG164:CG227" si="126">IF($B164&lt;$CE$94,$B164&amp;"-"&amp;$B164+1,"")</f>
        <v/>
      </c>
      <c r="CH164" s="261" t="str">
        <f t="shared" ref="CH164:CH227" ca="1" si="127">IF(CG164=CE$96,CF$96,"")</f>
        <v/>
      </c>
      <c r="CI164" s="202"/>
      <c r="CJ164" s="99"/>
      <c r="CK164" s="99"/>
      <c r="CL164" s="99"/>
      <c r="CM164" s="99"/>
      <c r="CN164" s="99"/>
      <c r="CO164" s="99"/>
    </row>
    <row r="165" spans="2:93" ht="13.5" customHeight="1" x14ac:dyDescent="0.2">
      <c r="B165" s="262">
        <v>65</v>
      </c>
      <c r="C165" s="237" t="str">
        <f t="shared" si="91"/>
        <v/>
      </c>
      <c r="D165" s="237" t="str">
        <f t="shared" si="66"/>
        <v/>
      </c>
      <c r="E165" s="290" t="str">
        <f t="shared" ref="E165:E228" si="128">IF(ISNUMBER($F$14),IF(ISNUMBER(AA165),AA165,""),"")</f>
        <v/>
      </c>
      <c r="F165" s="264" t="str">
        <f t="shared" ref="F165:F228" si="129">IF(OR($F$14=2,$F$14=3),IF(($F$16-$F$15)&gt;B165," ",VLOOKUP((B165-($F$16-$F$15)),$AC$100:$AI$250,7,FALSE)),"")</f>
        <v/>
      </c>
      <c r="G165" s="291" t="str">
        <f t="shared" ref="G165:G228" si="130">IF($F$14=3,IF(($F$16-$F$15)*2&gt;B165," ",VLOOKUP((B165-($F$16-$F$15)*2),$AK$100:$AQ$250,7,FALSE)),"")</f>
        <v/>
      </c>
      <c r="H165" s="240" t="str">
        <f t="shared" si="92"/>
        <v/>
      </c>
      <c r="I165" s="265" t="str">
        <f t="shared" si="93"/>
        <v/>
      </c>
      <c r="J165" s="265" t="str">
        <f t="shared" si="94"/>
        <v/>
      </c>
      <c r="K165" s="240" t="str">
        <f t="shared" si="95"/>
        <v/>
      </c>
      <c r="L165" s="265" t="str">
        <f t="shared" si="96"/>
        <v/>
      </c>
      <c r="M165" s="265" t="str">
        <f t="shared" si="97"/>
        <v/>
      </c>
      <c r="N165" s="240" t="str">
        <f t="shared" si="98"/>
        <v>-</v>
      </c>
      <c r="O165" s="265" t="str">
        <f t="shared" si="99"/>
        <v>-</v>
      </c>
      <c r="P165" s="265" t="str">
        <f t="shared" si="100"/>
        <v>-</v>
      </c>
      <c r="Q165" s="266" t="str">
        <f t="shared" si="101"/>
        <v>-</v>
      </c>
      <c r="R165" s="267" t="str">
        <f t="shared" si="102"/>
        <v>-</v>
      </c>
      <c r="S165" s="268" t="str">
        <f t="shared" si="103"/>
        <v>-</v>
      </c>
      <c r="T165" s="269" t="str">
        <f t="shared" si="104"/>
        <v/>
      </c>
      <c r="U165" s="221">
        <f t="shared" si="105"/>
        <v>65</v>
      </c>
      <c r="V165" s="220" t="str">
        <f t="shared" ref="V165:V228" si="131">IF(ISNUMBER($F$14),IF(B165&lt;($F$16-$F$15)*$F$14,INT(B165/($F$16-$F$15))+1,V163),"-")</f>
        <v>-</v>
      </c>
      <c r="W165" s="221" t="str">
        <f t="shared" ref="W165:W228" si="132">IF(ISNUMBER($F$14),IF(B165&lt;$F$14*($F$16-$F$15),B165-INT(B165/($F$16-$F$15))*($F$16-$F$15)+1,W164+1),"-")</f>
        <v>-</v>
      </c>
      <c r="X165" s="221" t="str">
        <f t="shared" si="106"/>
        <v>-</v>
      </c>
      <c r="Y165" s="221" t="str">
        <f t="shared" si="107"/>
        <v>-</v>
      </c>
      <c r="Z165" s="270">
        <f t="shared" ref="Z165:Z228" si="133">IF(Y165&gt;0,0.1,0.04)</f>
        <v>0.1</v>
      </c>
      <c r="AA165" s="271" t="str">
        <f>IFERROR(IF(V164=1,AA$100*EXP(-(LN(2)/$D$65+0.04)*X164)*EXP(-(LN(2)/$D$65+0.1)*Y164),IF(V164=2,AA$100*EXP(-(LN(2)/$D$65+0.04)*(VLOOKUP(($F$16-$F$15)-1,U$99:Y164,4,FALSE)))*EXP(-(LN(2)/$D$65+0.1)*(VLOOKUP(($F$16-$F$15)-1,U$99:Y164,5,FALSE)))*EXP(-(LN(2)/$D$65+0.04)*X164)*EXP(-(LN(2)/$D$65+0.1)*Y164),IF(V164=3,AA$100*EXP(-(LN(2)/$D$65+0.04)*(VLOOKUP(($F$16-$F$15)-1,U$99:Y164,4,FALSE)))*EXP(-(LN(2)/$D$65+0.1)*(VLOOKUP(($F$16-$F$15)-1,U$99:Y164,5,FALSE)))*EXP(-(LN(2)/$D$65+0.04)*(VLOOKUP(($F$16-$F$15)*2-1,U$99:Y164,4,FALSE)))*EXP(-(LN(2)/$D$65+0.1)*(VLOOKUP(($F$16-$F$15)*2-1,U$99:Y164,5,FALSE)))*EXP(-(LN(2)/$D$65+0.04)*X164)*EXP(-(LN(2)/$D$65+0.1)*Y164),"-"))),"-")</f>
        <v>-</v>
      </c>
      <c r="AB165" s="271" t="str">
        <f>IFERROR(IF(V165=1,AB$100*EXP(-(LN(2)/$D$65+0.04)*X165)*EXP(-(LN(2)/$D$65+0.1)*Y165),IF(V165=2,AB$100*EXP(-(LN(2)/$D$65+0.04)*(VLOOKUP(($F$16-$F$15)-1,U$100:Y165,4,FALSE)))*EXP(-(LN(2)/$D$65+0.1)*(VLOOKUP(($F$16-$F$15)-1,U$100:Y165,5,FALSE)))*EXP(-(LN(2)/$D$65+0.04)*X165)*EXP(-(LN(2)/$D$65+0.1)*Y165),IF(V165=3,AB$100*EXP(-(LN(2)/$D$65+0.04)*(VLOOKUP(($F$16-$F$15)-1,U$100:Y165,4,FALSE)))*EXP(-(LN(2)/$D$65+0.1)*(VLOOKUP(($F$16-$F$15)-1,U$100:Y165,5,FALSE)))*EXP(-(LN(2)/$D$65+0.04)*(VLOOKUP(($F$16-$F$15)*2-1,U$100:Y165,4,FALSE)))*EXP(-(LN(2)/$D$65+0.1)*(VLOOKUP(($F$16-$F$15)*2-1,U$100:Y165,5,FALSE)))*EXP(-(LN(2)/$D$65+0.04)*X165)*EXP(-(LN(2)/$D$65+0.1)*Y165),"-"))),"-")</f>
        <v>-</v>
      </c>
      <c r="AC165" s="224">
        <f t="shared" ref="AC165:AC228" si="134">B165</f>
        <v>65</v>
      </c>
      <c r="AD165" s="223" t="str">
        <f t="shared" si="108"/>
        <v>-</v>
      </c>
      <c r="AE165" s="224" t="str">
        <f t="shared" ref="AE165:AE228" si="135">IFERROR(IF($F$14-1&gt;0,IF(B165&lt;($F$14-1)*($F$16-$F$15),B165-INT(B165/($F$16-$F$15))*($F$16-$F$15)+1,AE164+1),"-"),"-")</f>
        <v>-</v>
      </c>
      <c r="AF165" s="224" t="str">
        <f t="shared" si="109"/>
        <v>-</v>
      </c>
      <c r="AG165" s="224" t="str">
        <f t="shared" si="110"/>
        <v>-</v>
      </c>
      <c r="AH165" s="272">
        <f t="shared" ref="AH165:AH228" si="136">IF(AG165&gt;0,0.1,0.04)</f>
        <v>0.1</v>
      </c>
      <c r="AI165" s="271" t="str">
        <f>IFERROR(IF(AD164=1,AI$100*EXP(-(LN(2)/$D$65+0.04)*AF164)*EXP(-(LN(2)/$D$65+0.1)*AG164),IF(AD164=2,AI$100*EXP(-(LN(2)/$D$65+0.04)*(VLOOKUP(($F$16-$F$15)-1,AC$99:AG164,4,FALSE)))*EXP(-(LN(2)/$D$65+0.1)*(VLOOKUP(($F$16-$F$15)-1,AC$99:AG164,5,FALSE)))*EXP(-(LN(2)/$D$65+0.04)*AF164)*EXP(-(LN(2)/$D$65+0.1)*AG164),IF(AD164=3,AI$100*EXP(-(LN(2)/$D$65+0.04)*(VLOOKUP(($F$16-$F$15)-1,AC$99:AG164,4,FALSE)))*EXP(-(LN(2)/$D$65+0.1)*(VLOOKUP(($F$16-$F$15)-1,AC$99:AG164,5,FALSE)))*EXP(-(LN(2)/$D$65+0.04)*(VLOOKUP(($F$16-$F$15)*2-1,AC$99:AG164,4,FALSE)))*EXP(-(LN(2)/$D$65+0.1)*(VLOOKUP(($F$16-$F$15)*2-1,AC$99:AG164,5,FALSE)))*EXP(-(LN(2)/$D$65+0.04)*AF164)*EXP(-(LN(2)/$D$65+0.1)*AG164),"-"))),"-")</f>
        <v>-</v>
      </c>
      <c r="AJ165" s="271" t="str">
        <f>IFERROR(IF(AD165=1,AJ$100*EXP(-(LN(2)/$D$65+0.04)*AF165)*EXP(-(LN(2)/$D$65+0.1)*AG165),IF(AD165=2,AJ$100*EXP(-(LN(2)/$D$65+0.04)*(VLOOKUP(($F$16-$F$15)-1,AC$100:AG165,4,FALSE)))*EXP(-(LN(2)/$D$65+0.1)*(VLOOKUP(($F$16-$F$15)-1,AC$100:AG165,5,FALSE)))*EXP(-(LN(2)/$D$65+0.04)*AF165)*EXP(-(LN(2)/$D$65+0.1)*AG165),IF(AD165=3,AJ$100*EXP(-(LN(2)/$D$65+0.04)*(VLOOKUP(($F$16-$F$15)-1,AC$100:AG165,4,FALSE)))*EXP(-(LN(2)/$D$65+0.1)*(VLOOKUP(($F$16-$F$15)-1,AC$100:AG165,5,FALSE)))*EXP(-(LN(2)/$D$65+0.04)*(VLOOKUP(($F$16-$F$15)*2-1,AC$100:AG165,4,FALSE)))*EXP(-(LN(2)/$D$65+0.1)*(VLOOKUP(($F$16-$F$15)*2-1,AC$100:AG165,5,FALSE)))*EXP(-(LN(2)/$D$65+0.04)*AF165)*EXP(-(LN(2)/$D$65+0.1)*AG165),"-"))),"-")</f>
        <v>-</v>
      </c>
      <c r="AK165" s="227">
        <f t="shared" ref="AK165:AK228" si="137">B165</f>
        <v>65</v>
      </c>
      <c r="AL165" s="226" t="str">
        <f t="shared" si="111"/>
        <v>-</v>
      </c>
      <c r="AM165" s="227" t="str">
        <f t="shared" ref="AM165:AM228" si="138">IFERROR(IF($F$14-2&gt;0,IF(B165&lt;($F$14-2)*($F$16-$F$15),B165-INT(B165/($F$16-$F$15))*($F$16-$F$15)+1,AM164+1),"-"),"-")</f>
        <v>-</v>
      </c>
      <c r="AN165" s="227" t="str">
        <f t="shared" ref="AN165:AN228" si="139">IFERROR(IF($F$21=0,0,IF(AL165=AL164,IF(B165-(AL165-1)*($F$16-$F$15)&lt;$F$21,AN164+1,AN164),1)),"-")</f>
        <v>-</v>
      </c>
      <c r="AO165" s="227" t="str">
        <f t="shared" si="112"/>
        <v>-</v>
      </c>
      <c r="AP165" s="273">
        <f t="shared" ref="AP165:AP228" si="140">IF(AO165&gt;0,0.1,0.04)</f>
        <v>0.1</v>
      </c>
      <c r="AQ165" s="271" t="str">
        <f>IFERROR(IF(AL164=1,AQ$100*EXP(-(LN(2)/$D$65+0.04)*AN164)*EXP(-(LN(2)/$D$65+0.1)*AO164),IF(AL164=2,AQ$100*EXP(-(LN(2)/$D$65+0.04)*(VLOOKUP(($F$16-$F$15)-1,AK$99:AO164,4,FALSE)))*EXP(-(LN(2)/$D$65+0.1)*(VLOOKUP(($F$16-$F$15)-1,AK$99:AO164,5,FALSE)))*EXP(-(LN(2)/$D$65+0.04)*AN164)*EXP(-(LN(2)/$D$65+0.1)*AO164),IF(AL164=3,AQ$100*EXP(-(LN(2)/$D$65+0.04)*(VLOOKUP(($F$16-$F$15)-1,AK$99:AO164,4,FALSE)))*EXP(-(LN(2)/$D$65+0.1)*(VLOOKUP(($F$16-$F$15)-1,AK$99:AO164,5,FALSE)))*EXP(-(LN(2)/$D$65+0.04)*(VLOOKUP(($F$16-$F$15)*2-1,AK$99:AO164,4,FALSE)))*EXP(-(LN(2)/$D$65+0.1)*(VLOOKUP(($F$16-$F$15)*2-1,AK$99:AO164,5,FALSE)))*EXP(-(LN(2)/$D$65+0.04)*AN164)*EXP(-(LN(2)/$D$65+0.1)*AO164),"-"))),"-")</f>
        <v>-</v>
      </c>
      <c r="AR165" s="271" t="str">
        <f>IFERROR(IF(AL165=1,AR$100*EXP(-(LN(2)/$D$65+0.04)*AN165)*EXP(-(LN(2)/$D$65+0.1)*AO165),IF(AL165=2,AR$100*EXP(-(LN(2)/$D$65+0.04)*(VLOOKUP(($F$16-$F$15)-1,AK$100:AO165,4,FALSE)))*EXP(-(LN(2)/$D$65+0.1)*(VLOOKUP(($F$16-$F$15)-1,AK$100:AO165,5,FALSE)))*EXP(-(LN(2)/$D$65+0.04)*AN165)*EXP(-(LN(2)/$D$65+0.1)*AO165),IF(AL165=3,AR$100*EXP(-(LN(2)/$D$65+0.04)*(VLOOKUP(($F$16-$F$15)-1,AK$100:AO165,4,FALSE)))*EXP(-(LN(2)/$D$65+0.1)*(VLOOKUP(($F$16-$F$15)-1,AK$100:AO165,5,FALSE)))*EXP(-(LN(2)/$D$65+0.04)*(VLOOKUP(($F$16-$F$15)*2-1,AK$100:AO165,4,FALSE)))*EXP(-(LN(2)/$D$65+0.1)*(VLOOKUP(($F$16-$F$15)*2-1,AK$100:AO165,5,FALSE)))*EXP(-(LN(2)/$D$65+0.04)*AN165)*EXP(-(LN(2)/$D$65+0.1)*AO165),"-"))),"-")</f>
        <v>-</v>
      </c>
      <c r="AS165" s="274">
        <f t="shared" si="113"/>
        <v>0</v>
      </c>
      <c r="AT165" s="274">
        <f t="shared" si="114"/>
        <v>0</v>
      </c>
      <c r="AU165" s="274">
        <f t="shared" si="115"/>
        <v>0</v>
      </c>
      <c r="AV165" s="190" t="str">
        <f>IF($B165&lt;$F$22,SUM($T$100:$T165),"")</f>
        <v/>
      </c>
      <c r="AW165" s="190" t="str">
        <f t="shared" si="116"/>
        <v>-</v>
      </c>
      <c r="AX165" s="190" t="str">
        <f t="shared" ref="AX165:AX228" si="141">IF(ISNUMBER(AW165),IF(ISNUMBER(AV165),(AV165-AW165)/(3*86400*($B165+1))*1000,""),"")</f>
        <v/>
      </c>
      <c r="AY165"/>
      <c r="AZ165" s="190" t="str">
        <f ca="1">IF(ISNUMBER(OFFSET(AV165,-$F$21,0)),SUM(OFFSET($T$100,$F$21,0):$T165),"")</f>
        <v/>
      </c>
      <c r="BA165" s="190" t="str">
        <f t="shared" ca="1" si="117"/>
        <v/>
      </c>
      <c r="BB165" s="190" t="str">
        <f t="shared" ca="1" si="70"/>
        <v/>
      </c>
      <c r="BC165" s="190"/>
      <c r="BD165" s="190" t="str">
        <f ca="1">IFERROR(IF(OR(ISNUMBER(I),ISNUMBER($F$14)),IF(AND($B165&gt;=($F$16-$F$15),$B165&lt;$F$22+($F$16-$F$15)),SUM(OFFSET($T$100,($F$16-$F$15),0):$T165),""),""),"")</f>
        <v/>
      </c>
      <c r="BE165" s="190" t="str">
        <f t="shared" ref="BE165:BE228" ca="1" si="142">IF(ISNUMBER(BD165),BD165*(Koc*(Ocse/100)*Pse*Vse)/(Koc*(Ocse/100)*Pse*Vse+1*86400*($B165+1)),"")</f>
        <v/>
      </c>
      <c r="BF165" s="190" t="str">
        <f t="shared" ref="BF165:BF228" ca="1" si="143">IF(ISNUMBER(BD165),(BD165-BE165)/(3*86400*($B165-($F$16-$F$15)+1))*1000,"")</f>
        <v/>
      </c>
      <c r="BG165"/>
      <c r="BH165" s="190" t="str">
        <f ca="1">IF(ISNUMBER(OFFSET(BD165,-$F$21,0)),SUM(OFFSET($T$100,($F$16-$F$15+$F$21),0):$T165),"")</f>
        <v/>
      </c>
      <c r="BI165" s="190" t="str">
        <f t="shared" ca="1" si="118"/>
        <v/>
      </c>
      <c r="BJ165" s="190" t="str">
        <f t="shared" ref="BJ165:BJ228" ca="1" si="144">IF(ISNUMBER(BH165),(BH165-BI165)/(3*86400*((OFFSET($B165,-$F$21,0)-($F$16-$F$15)+1)))*1000,"")</f>
        <v/>
      </c>
      <c r="BK165" s="190"/>
      <c r="BL165" s="190" t="str">
        <f ca="1">IFERROR(IF(OR(ISNUMBER(I),ISNUMBER($F$14)),IF(AND($B165&gt;=($F$17-$F$15),$B165&lt;$F$22+($F$17-$F$15)),SUM(OFFSET($T$100,($F$17-$F$15),0):$T165),""),""),"")</f>
        <v/>
      </c>
      <c r="BM165" s="190" t="str">
        <f t="shared" ca="1" si="119"/>
        <v/>
      </c>
      <c r="BN165" s="190" t="str">
        <f t="shared" ref="BN165:BN228" ca="1" si="145">IF(ISNUMBER(BL165),(BL165-BM165)/(3*86400*($B165-($F$17-$F$15)+1))*1000,"")</f>
        <v/>
      </c>
      <c r="BO165"/>
      <c r="BP165" s="190" t="str">
        <f ca="1">IF(ISNUMBER(OFFSET(BL165,-$F$21,0)),SUM(OFFSET($T$100,($F$17-$F$15+$F$21),0):$T165),"")</f>
        <v/>
      </c>
      <c r="BQ165" s="190" t="str">
        <f t="shared" ca="1" si="120"/>
        <v/>
      </c>
      <c r="BR165" s="190" t="str">
        <f t="shared" ref="BR165:BR228" ca="1" si="146">IF(ISNUMBER(BP165),(BP165-BQ165)/(3*86400*(OFFSET($B165,-$F$21,0)-($F$17-$F$15)+1))*1000,"")</f>
        <v/>
      </c>
      <c r="BS165" s="190"/>
      <c r="BT165"/>
      <c r="BU165"/>
      <c r="BV165"/>
      <c r="BY165" s="99"/>
      <c r="BZ165" s="99"/>
      <c r="CA165" s="280" t="str">
        <f t="shared" si="121"/>
        <v/>
      </c>
      <c r="CB165" s="71" t="str">
        <f t="shared" si="122"/>
        <v>-</v>
      </c>
      <c r="CC165" s="33"/>
      <c r="CD165" s="261" t="str">
        <f t="shared" si="123"/>
        <v/>
      </c>
      <c r="CE165" s="280" t="str">
        <f t="shared" si="124"/>
        <v/>
      </c>
      <c r="CF165" s="71" t="str">
        <f t="shared" ca="1" si="125"/>
        <v/>
      </c>
      <c r="CG165" s="33" t="str">
        <f t="shared" si="126"/>
        <v/>
      </c>
      <c r="CH165" s="261" t="str">
        <f t="shared" ca="1" si="127"/>
        <v/>
      </c>
      <c r="CI165" s="202"/>
      <c r="CJ165" s="99"/>
      <c r="CK165" s="99"/>
      <c r="CL165" s="99"/>
      <c r="CM165" s="99"/>
      <c r="CN165" s="99"/>
      <c r="CO165" s="99"/>
    </row>
    <row r="166" spans="2:93" ht="13.5" customHeight="1" x14ac:dyDescent="0.2">
      <c r="B166" s="262">
        <v>66</v>
      </c>
      <c r="C166" s="237" t="str">
        <f t="shared" si="91"/>
        <v/>
      </c>
      <c r="D166" s="237" t="str">
        <f t="shared" ref="D166:D229" si="147">IFERROR(IF(B166&lt;$F$22,IF(ISNUMBER($D$65),IF(MAX($BU$101:$BU$120)&lt;B166, "", IF(B166=VLOOKUP(B166, $BU$101:$BU$120,1,1), C166,D165-INDEX($BY$101:$BY$120, MATCH(VLOOKUP(B166, $BU$101:$BU$120,1,1), $BU$101:$BU$120)+1, 1))),D165-VLOOKUP(MAX($BU$101:$BU$120),$BU$101:$BY$120,5)),""),"-")</f>
        <v/>
      </c>
      <c r="E166" s="290" t="str">
        <f t="shared" si="128"/>
        <v/>
      </c>
      <c r="F166" s="264" t="str">
        <f t="shared" si="129"/>
        <v/>
      </c>
      <c r="G166" s="291" t="str">
        <f t="shared" si="130"/>
        <v/>
      </c>
      <c r="H166" s="240" t="str">
        <f t="shared" si="92"/>
        <v/>
      </c>
      <c r="I166" s="265" t="str">
        <f t="shared" si="93"/>
        <v/>
      </c>
      <c r="J166" s="265" t="str">
        <f t="shared" si="94"/>
        <v/>
      </c>
      <c r="K166" s="240" t="str">
        <f t="shared" si="95"/>
        <v/>
      </c>
      <c r="L166" s="265" t="str">
        <f t="shared" si="96"/>
        <v/>
      </c>
      <c r="M166" s="265" t="str">
        <f t="shared" si="97"/>
        <v/>
      </c>
      <c r="N166" s="240" t="str">
        <f t="shared" si="98"/>
        <v>-</v>
      </c>
      <c r="O166" s="265" t="str">
        <f t="shared" si="99"/>
        <v>-</v>
      </c>
      <c r="P166" s="265" t="str">
        <f t="shared" si="100"/>
        <v>-</v>
      </c>
      <c r="Q166" s="266" t="str">
        <f t="shared" si="101"/>
        <v>-</v>
      </c>
      <c r="R166" s="267" t="str">
        <f t="shared" si="102"/>
        <v>-</v>
      </c>
      <c r="S166" s="268" t="str">
        <f t="shared" si="103"/>
        <v>-</v>
      </c>
      <c r="T166" s="269" t="str">
        <f t="shared" si="104"/>
        <v/>
      </c>
      <c r="U166" s="221">
        <f t="shared" si="105"/>
        <v>66</v>
      </c>
      <c r="V166" s="220" t="str">
        <f t="shared" si="131"/>
        <v>-</v>
      </c>
      <c r="W166" s="221" t="str">
        <f t="shared" si="132"/>
        <v>-</v>
      </c>
      <c r="X166" s="221" t="str">
        <f t="shared" si="106"/>
        <v>-</v>
      </c>
      <c r="Y166" s="221" t="str">
        <f t="shared" si="107"/>
        <v>-</v>
      </c>
      <c r="Z166" s="270">
        <f t="shared" si="133"/>
        <v>0.1</v>
      </c>
      <c r="AA166" s="271" t="str">
        <f>IFERROR(IF(V165=1,AA$100*EXP(-(LN(2)/$D$65+0.04)*X165)*EXP(-(LN(2)/$D$65+0.1)*Y165),IF(V165=2,AA$100*EXP(-(LN(2)/$D$65+0.04)*(VLOOKUP(($F$16-$F$15)-1,U$99:Y165,4,FALSE)))*EXP(-(LN(2)/$D$65+0.1)*(VLOOKUP(($F$16-$F$15)-1,U$99:Y165,5,FALSE)))*EXP(-(LN(2)/$D$65+0.04)*X165)*EXP(-(LN(2)/$D$65+0.1)*Y165),IF(V165=3,AA$100*EXP(-(LN(2)/$D$65+0.04)*(VLOOKUP(($F$16-$F$15)-1,U$99:Y165,4,FALSE)))*EXP(-(LN(2)/$D$65+0.1)*(VLOOKUP(($F$16-$F$15)-1,U$99:Y165,5,FALSE)))*EXP(-(LN(2)/$D$65+0.04)*(VLOOKUP(($F$16-$F$15)*2-1,U$99:Y165,4,FALSE)))*EXP(-(LN(2)/$D$65+0.1)*(VLOOKUP(($F$16-$F$15)*2-1,U$99:Y165,5,FALSE)))*EXP(-(LN(2)/$D$65+0.04)*X165)*EXP(-(LN(2)/$D$65+0.1)*Y165),"-"))),"-")</f>
        <v>-</v>
      </c>
      <c r="AB166" s="271" t="str">
        <f>IFERROR(IF(V166=1,AB$100*EXP(-(LN(2)/$D$65+0.04)*X166)*EXP(-(LN(2)/$D$65+0.1)*Y166),IF(V166=2,AB$100*EXP(-(LN(2)/$D$65+0.04)*(VLOOKUP(($F$16-$F$15)-1,U$100:Y166,4,FALSE)))*EXP(-(LN(2)/$D$65+0.1)*(VLOOKUP(($F$16-$F$15)-1,U$100:Y166,5,FALSE)))*EXP(-(LN(2)/$D$65+0.04)*X166)*EXP(-(LN(2)/$D$65+0.1)*Y166),IF(V166=3,AB$100*EXP(-(LN(2)/$D$65+0.04)*(VLOOKUP(($F$16-$F$15)-1,U$100:Y166,4,FALSE)))*EXP(-(LN(2)/$D$65+0.1)*(VLOOKUP(($F$16-$F$15)-1,U$100:Y166,5,FALSE)))*EXP(-(LN(2)/$D$65+0.04)*(VLOOKUP(($F$16-$F$15)*2-1,U$100:Y166,4,FALSE)))*EXP(-(LN(2)/$D$65+0.1)*(VLOOKUP(($F$16-$F$15)*2-1,U$100:Y166,5,FALSE)))*EXP(-(LN(2)/$D$65+0.04)*X166)*EXP(-(LN(2)/$D$65+0.1)*Y166),"-"))),"-")</f>
        <v>-</v>
      </c>
      <c r="AC166" s="224">
        <f t="shared" si="134"/>
        <v>66</v>
      </c>
      <c r="AD166" s="223" t="str">
        <f t="shared" si="108"/>
        <v>-</v>
      </c>
      <c r="AE166" s="224" t="str">
        <f t="shared" si="135"/>
        <v>-</v>
      </c>
      <c r="AF166" s="224" t="str">
        <f t="shared" si="109"/>
        <v>-</v>
      </c>
      <c r="AG166" s="224" t="str">
        <f t="shared" si="110"/>
        <v>-</v>
      </c>
      <c r="AH166" s="272">
        <f t="shared" si="136"/>
        <v>0.1</v>
      </c>
      <c r="AI166" s="271" t="str">
        <f>IFERROR(IF(AD165=1,AI$100*EXP(-(LN(2)/$D$65+0.04)*AF165)*EXP(-(LN(2)/$D$65+0.1)*AG165),IF(AD165=2,AI$100*EXP(-(LN(2)/$D$65+0.04)*(VLOOKUP(($F$16-$F$15)-1,AC$99:AG165,4,FALSE)))*EXP(-(LN(2)/$D$65+0.1)*(VLOOKUP(($F$16-$F$15)-1,AC$99:AG165,5,FALSE)))*EXP(-(LN(2)/$D$65+0.04)*AF165)*EXP(-(LN(2)/$D$65+0.1)*AG165),IF(AD165=3,AI$100*EXP(-(LN(2)/$D$65+0.04)*(VLOOKUP(($F$16-$F$15)-1,AC$99:AG165,4,FALSE)))*EXP(-(LN(2)/$D$65+0.1)*(VLOOKUP(($F$16-$F$15)-1,AC$99:AG165,5,FALSE)))*EXP(-(LN(2)/$D$65+0.04)*(VLOOKUP(($F$16-$F$15)*2-1,AC$99:AG165,4,FALSE)))*EXP(-(LN(2)/$D$65+0.1)*(VLOOKUP(($F$16-$F$15)*2-1,AC$99:AG165,5,FALSE)))*EXP(-(LN(2)/$D$65+0.04)*AF165)*EXP(-(LN(2)/$D$65+0.1)*AG165),"-"))),"-")</f>
        <v>-</v>
      </c>
      <c r="AJ166" s="271" t="str">
        <f>IFERROR(IF(AD166=1,AJ$100*EXP(-(LN(2)/$D$65+0.04)*AF166)*EXP(-(LN(2)/$D$65+0.1)*AG166),IF(AD166=2,AJ$100*EXP(-(LN(2)/$D$65+0.04)*(VLOOKUP(($F$16-$F$15)-1,AC$100:AG166,4,FALSE)))*EXP(-(LN(2)/$D$65+0.1)*(VLOOKUP(($F$16-$F$15)-1,AC$100:AG166,5,FALSE)))*EXP(-(LN(2)/$D$65+0.04)*AF166)*EXP(-(LN(2)/$D$65+0.1)*AG166),IF(AD166=3,AJ$100*EXP(-(LN(2)/$D$65+0.04)*(VLOOKUP(($F$16-$F$15)-1,AC$100:AG166,4,FALSE)))*EXP(-(LN(2)/$D$65+0.1)*(VLOOKUP(($F$16-$F$15)-1,AC$100:AG166,5,FALSE)))*EXP(-(LN(2)/$D$65+0.04)*(VLOOKUP(($F$16-$F$15)*2-1,AC$100:AG166,4,FALSE)))*EXP(-(LN(2)/$D$65+0.1)*(VLOOKUP(($F$16-$F$15)*2-1,AC$100:AG166,5,FALSE)))*EXP(-(LN(2)/$D$65+0.04)*AF166)*EXP(-(LN(2)/$D$65+0.1)*AG166),"-"))),"-")</f>
        <v>-</v>
      </c>
      <c r="AK166" s="227">
        <f t="shared" si="137"/>
        <v>66</v>
      </c>
      <c r="AL166" s="226" t="str">
        <f t="shared" si="111"/>
        <v>-</v>
      </c>
      <c r="AM166" s="227" t="str">
        <f t="shared" si="138"/>
        <v>-</v>
      </c>
      <c r="AN166" s="227" t="str">
        <f t="shared" si="139"/>
        <v>-</v>
      </c>
      <c r="AO166" s="227" t="str">
        <f t="shared" si="112"/>
        <v>-</v>
      </c>
      <c r="AP166" s="273">
        <f t="shared" si="140"/>
        <v>0.1</v>
      </c>
      <c r="AQ166" s="271" t="str">
        <f>IFERROR(IF(AL165=1,AQ$100*EXP(-(LN(2)/$D$65+0.04)*AN165)*EXP(-(LN(2)/$D$65+0.1)*AO165),IF(AL165=2,AQ$100*EXP(-(LN(2)/$D$65+0.04)*(VLOOKUP(($F$16-$F$15)-1,AK$99:AO165,4,FALSE)))*EXP(-(LN(2)/$D$65+0.1)*(VLOOKUP(($F$16-$F$15)-1,AK$99:AO165,5,FALSE)))*EXP(-(LN(2)/$D$65+0.04)*AN165)*EXP(-(LN(2)/$D$65+0.1)*AO165),IF(AL165=3,AQ$100*EXP(-(LN(2)/$D$65+0.04)*(VLOOKUP(($F$16-$F$15)-1,AK$99:AO165,4,FALSE)))*EXP(-(LN(2)/$D$65+0.1)*(VLOOKUP(($F$16-$F$15)-1,AK$99:AO165,5,FALSE)))*EXP(-(LN(2)/$D$65+0.04)*(VLOOKUP(($F$16-$F$15)*2-1,AK$99:AO165,4,FALSE)))*EXP(-(LN(2)/$D$65+0.1)*(VLOOKUP(($F$16-$F$15)*2-1,AK$99:AO165,5,FALSE)))*EXP(-(LN(2)/$D$65+0.04)*AN165)*EXP(-(LN(2)/$D$65+0.1)*AO165),"-"))),"-")</f>
        <v>-</v>
      </c>
      <c r="AR166" s="271" t="str">
        <f>IFERROR(IF(AL166=1,AR$100*EXP(-(LN(2)/$D$65+0.04)*AN166)*EXP(-(LN(2)/$D$65+0.1)*AO166),IF(AL166=2,AR$100*EXP(-(LN(2)/$D$65+0.04)*(VLOOKUP(($F$16-$F$15)-1,AK$100:AO166,4,FALSE)))*EXP(-(LN(2)/$D$65+0.1)*(VLOOKUP(($F$16-$F$15)-1,AK$100:AO166,5,FALSE)))*EXP(-(LN(2)/$D$65+0.04)*AN166)*EXP(-(LN(2)/$D$65+0.1)*AO166),IF(AL166=3,AR$100*EXP(-(LN(2)/$D$65+0.04)*(VLOOKUP(($F$16-$F$15)-1,AK$100:AO166,4,FALSE)))*EXP(-(LN(2)/$D$65+0.1)*(VLOOKUP(($F$16-$F$15)-1,AK$100:AO166,5,FALSE)))*EXP(-(LN(2)/$D$65+0.04)*(VLOOKUP(($F$16-$F$15)*2-1,AK$100:AO166,4,FALSE)))*EXP(-(LN(2)/$D$65+0.1)*(VLOOKUP(($F$16-$F$15)*2-1,AK$100:AO166,5,FALSE)))*EXP(-(LN(2)/$D$65+0.04)*AN166)*EXP(-(LN(2)/$D$65+0.1)*AO166),"-"))),"-")</f>
        <v>-</v>
      </c>
      <c r="AS166" s="274">
        <f t="shared" si="113"/>
        <v>0</v>
      </c>
      <c r="AT166" s="274">
        <f t="shared" si="114"/>
        <v>0</v>
      </c>
      <c r="AU166" s="274">
        <f t="shared" si="115"/>
        <v>0</v>
      </c>
      <c r="AV166" s="190" t="str">
        <f>IF($B166&lt;$F$22,SUM($T$100:$T166),"")</f>
        <v/>
      </c>
      <c r="AW166" s="190" t="str">
        <f t="shared" si="116"/>
        <v>-</v>
      </c>
      <c r="AX166" s="190" t="str">
        <f t="shared" si="141"/>
        <v/>
      </c>
      <c r="AY166"/>
      <c r="AZ166" s="190" t="str">
        <f ca="1">IF(ISNUMBER(OFFSET(AV166,-$F$21,0)),SUM(OFFSET($T$100,$F$21,0):$T166),"")</f>
        <v/>
      </c>
      <c r="BA166" s="190" t="str">
        <f t="shared" ca="1" si="117"/>
        <v/>
      </c>
      <c r="BB166" s="190" t="str">
        <f t="shared" ca="1" si="70"/>
        <v/>
      </c>
      <c r="BC166" s="190"/>
      <c r="BD166" s="190" t="str">
        <f ca="1">IFERROR(IF(OR(ISNUMBER(I),ISNUMBER($F$14)),IF(AND($B166&gt;=($F$16-$F$15),$B166&lt;$F$22+($F$16-$F$15)),SUM(OFFSET($T$100,($F$16-$F$15),0):$T166),""),""),"")</f>
        <v/>
      </c>
      <c r="BE166" s="190" t="str">
        <f t="shared" ca="1" si="142"/>
        <v/>
      </c>
      <c r="BF166" s="190" t="str">
        <f t="shared" ca="1" si="143"/>
        <v/>
      </c>
      <c r="BG166"/>
      <c r="BH166" s="190" t="str">
        <f ca="1">IF(ISNUMBER(OFFSET(BD166,-$F$21,0)),SUM(OFFSET($T$100,($F$16-$F$15+$F$21),0):$T166),"")</f>
        <v/>
      </c>
      <c r="BI166" s="190" t="str">
        <f t="shared" ca="1" si="118"/>
        <v/>
      </c>
      <c r="BJ166" s="190" t="str">
        <f t="shared" ca="1" si="144"/>
        <v/>
      </c>
      <c r="BK166" s="190"/>
      <c r="BL166" s="190" t="str">
        <f ca="1">IFERROR(IF(OR(ISNUMBER(I),ISNUMBER($F$14)),IF(AND($B166&gt;=($F$17-$F$15),$B166&lt;$F$22+($F$17-$F$15)),SUM(OFFSET($T$100,($F$17-$F$15),0):$T166),""),""),"")</f>
        <v/>
      </c>
      <c r="BM166" s="190" t="str">
        <f t="shared" ca="1" si="119"/>
        <v/>
      </c>
      <c r="BN166" s="190" t="str">
        <f t="shared" ca="1" si="145"/>
        <v/>
      </c>
      <c r="BO166"/>
      <c r="BP166" s="190" t="str">
        <f ca="1">IF(ISNUMBER(OFFSET(BL166,-$F$21,0)),SUM(OFFSET($T$100,($F$17-$F$15+$F$21),0):$T166),"")</f>
        <v/>
      </c>
      <c r="BQ166" s="190" t="str">
        <f t="shared" ca="1" si="120"/>
        <v/>
      </c>
      <c r="BR166" s="190" t="str">
        <f t="shared" ca="1" si="146"/>
        <v/>
      </c>
      <c r="BS166" s="190"/>
      <c r="BT166"/>
      <c r="BU166"/>
      <c r="BV166"/>
      <c r="BY166" s="99"/>
      <c r="BZ166" s="99"/>
      <c r="CA166" s="280" t="str">
        <f t="shared" si="121"/>
        <v/>
      </c>
      <c r="CB166" s="71" t="str">
        <f t="shared" si="122"/>
        <v>-</v>
      </c>
      <c r="CC166" s="33"/>
      <c r="CD166" s="261" t="str">
        <f t="shared" si="123"/>
        <v/>
      </c>
      <c r="CE166" s="280" t="str">
        <f t="shared" si="124"/>
        <v/>
      </c>
      <c r="CF166" s="71" t="str">
        <f t="shared" ca="1" si="125"/>
        <v/>
      </c>
      <c r="CG166" s="33" t="str">
        <f t="shared" si="126"/>
        <v/>
      </c>
      <c r="CH166" s="261" t="str">
        <f t="shared" ca="1" si="127"/>
        <v/>
      </c>
      <c r="CI166" s="202"/>
      <c r="CJ166" s="99"/>
      <c r="CK166" s="99"/>
      <c r="CL166" s="99"/>
      <c r="CM166" s="99"/>
      <c r="CN166" s="99"/>
      <c r="CO166" s="99"/>
    </row>
    <row r="167" spans="2:93" ht="13.5" customHeight="1" x14ac:dyDescent="0.2">
      <c r="B167" s="262">
        <v>67</v>
      </c>
      <c r="C167" s="237" t="str">
        <f t="shared" si="91"/>
        <v/>
      </c>
      <c r="D167" s="237" t="str">
        <f t="shared" si="147"/>
        <v/>
      </c>
      <c r="E167" s="290" t="str">
        <f t="shared" si="128"/>
        <v/>
      </c>
      <c r="F167" s="264" t="str">
        <f t="shared" si="129"/>
        <v/>
      </c>
      <c r="G167" s="291" t="str">
        <f t="shared" si="130"/>
        <v/>
      </c>
      <c r="H167" s="240" t="str">
        <f t="shared" si="92"/>
        <v/>
      </c>
      <c r="I167" s="265" t="str">
        <f t="shared" si="93"/>
        <v/>
      </c>
      <c r="J167" s="265" t="str">
        <f t="shared" si="94"/>
        <v/>
      </c>
      <c r="K167" s="240" t="str">
        <f t="shared" si="95"/>
        <v/>
      </c>
      <c r="L167" s="265" t="str">
        <f t="shared" si="96"/>
        <v/>
      </c>
      <c r="M167" s="265" t="str">
        <f t="shared" si="97"/>
        <v/>
      </c>
      <c r="N167" s="240" t="str">
        <f t="shared" si="98"/>
        <v>-</v>
      </c>
      <c r="O167" s="265" t="str">
        <f t="shared" si="99"/>
        <v>-</v>
      </c>
      <c r="P167" s="265" t="str">
        <f t="shared" si="100"/>
        <v>-</v>
      </c>
      <c r="Q167" s="266" t="str">
        <f t="shared" si="101"/>
        <v>-</v>
      </c>
      <c r="R167" s="267" t="str">
        <f t="shared" si="102"/>
        <v>-</v>
      </c>
      <c r="S167" s="268" t="str">
        <f t="shared" si="103"/>
        <v>-</v>
      </c>
      <c r="T167" s="269" t="str">
        <f t="shared" si="104"/>
        <v/>
      </c>
      <c r="U167" s="221">
        <f t="shared" si="105"/>
        <v>67</v>
      </c>
      <c r="V167" s="220" t="str">
        <f t="shared" si="131"/>
        <v>-</v>
      </c>
      <c r="W167" s="221" t="str">
        <f t="shared" si="132"/>
        <v>-</v>
      </c>
      <c r="X167" s="221" t="str">
        <f t="shared" si="106"/>
        <v>-</v>
      </c>
      <c r="Y167" s="221" t="str">
        <f t="shared" si="107"/>
        <v>-</v>
      </c>
      <c r="Z167" s="270">
        <f t="shared" si="133"/>
        <v>0.1</v>
      </c>
      <c r="AA167" s="271" t="str">
        <f>IFERROR(IF(V166=1,AA$100*EXP(-(LN(2)/$D$65+0.04)*X166)*EXP(-(LN(2)/$D$65+0.1)*Y166),IF(V166=2,AA$100*EXP(-(LN(2)/$D$65+0.04)*(VLOOKUP(($F$16-$F$15)-1,U$99:Y166,4,FALSE)))*EXP(-(LN(2)/$D$65+0.1)*(VLOOKUP(($F$16-$F$15)-1,U$99:Y166,5,FALSE)))*EXP(-(LN(2)/$D$65+0.04)*X166)*EXP(-(LN(2)/$D$65+0.1)*Y166),IF(V166=3,AA$100*EXP(-(LN(2)/$D$65+0.04)*(VLOOKUP(($F$16-$F$15)-1,U$99:Y166,4,FALSE)))*EXP(-(LN(2)/$D$65+0.1)*(VLOOKUP(($F$16-$F$15)-1,U$99:Y166,5,FALSE)))*EXP(-(LN(2)/$D$65+0.04)*(VLOOKUP(($F$16-$F$15)*2-1,U$99:Y166,4,FALSE)))*EXP(-(LN(2)/$D$65+0.1)*(VLOOKUP(($F$16-$F$15)*2-1,U$99:Y166,5,FALSE)))*EXP(-(LN(2)/$D$65+0.04)*X166)*EXP(-(LN(2)/$D$65+0.1)*Y166),"-"))),"-")</f>
        <v>-</v>
      </c>
      <c r="AB167" s="271" t="str">
        <f>IFERROR(IF(V167=1,AB$100*EXP(-(LN(2)/$D$65+0.04)*X167)*EXP(-(LN(2)/$D$65+0.1)*Y167),IF(V167=2,AB$100*EXP(-(LN(2)/$D$65+0.04)*(VLOOKUP(($F$16-$F$15)-1,U$100:Y167,4,FALSE)))*EXP(-(LN(2)/$D$65+0.1)*(VLOOKUP(($F$16-$F$15)-1,U$100:Y167,5,FALSE)))*EXP(-(LN(2)/$D$65+0.04)*X167)*EXP(-(LN(2)/$D$65+0.1)*Y167),IF(V167=3,AB$100*EXP(-(LN(2)/$D$65+0.04)*(VLOOKUP(($F$16-$F$15)-1,U$100:Y167,4,FALSE)))*EXP(-(LN(2)/$D$65+0.1)*(VLOOKUP(($F$16-$F$15)-1,U$100:Y167,5,FALSE)))*EXP(-(LN(2)/$D$65+0.04)*(VLOOKUP(($F$16-$F$15)*2-1,U$100:Y167,4,FALSE)))*EXP(-(LN(2)/$D$65+0.1)*(VLOOKUP(($F$16-$F$15)*2-1,U$100:Y167,5,FALSE)))*EXP(-(LN(2)/$D$65+0.04)*X167)*EXP(-(LN(2)/$D$65+0.1)*Y167),"-"))),"-")</f>
        <v>-</v>
      </c>
      <c r="AC167" s="224">
        <f t="shared" si="134"/>
        <v>67</v>
      </c>
      <c r="AD167" s="223" t="str">
        <f t="shared" si="108"/>
        <v>-</v>
      </c>
      <c r="AE167" s="224" t="str">
        <f t="shared" si="135"/>
        <v>-</v>
      </c>
      <c r="AF167" s="224" t="str">
        <f t="shared" si="109"/>
        <v>-</v>
      </c>
      <c r="AG167" s="224" t="str">
        <f t="shared" si="110"/>
        <v>-</v>
      </c>
      <c r="AH167" s="272">
        <f t="shared" si="136"/>
        <v>0.1</v>
      </c>
      <c r="AI167" s="271" t="str">
        <f>IFERROR(IF(AD166=1,AI$100*EXP(-(LN(2)/$D$65+0.04)*AF166)*EXP(-(LN(2)/$D$65+0.1)*AG166),IF(AD166=2,AI$100*EXP(-(LN(2)/$D$65+0.04)*(VLOOKUP(($F$16-$F$15)-1,AC$99:AG166,4,FALSE)))*EXP(-(LN(2)/$D$65+0.1)*(VLOOKUP(($F$16-$F$15)-1,AC$99:AG166,5,FALSE)))*EXP(-(LN(2)/$D$65+0.04)*AF166)*EXP(-(LN(2)/$D$65+0.1)*AG166),IF(AD166=3,AI$100*EXP(-(LN(2)/$D$65+0.04)*(VLOOKUP(($F$16-$F$15)-1,AC$99:AG166,4,FALSE)))*EXP(-(LN(2)/$D$65+0.1)*(VLOOKUP(($F$16-$F$15)-1,AC$99:AG166,5,FALSE)))*EXP(-(LN(2)/$D$65+0.04)*(VLOOKUP(($F$16-$F$15)*2-1,AC$99:AG166,4,FALSE)))*EXP(-(LN(2)/$D$65+0.1)*(VLOOKUP(($F$16-$F$15)*2-1,AC$99:AG166,5,FALSE)))*EXP(-(LN(2)/$D$65+0.04)*AF166)*EXP(-(LN(2)/$D$65+0.1)*AG166),"-"))),"-")</f>
        <v>-</v>
      </c>
      <c r="AJ167" s="271" t="str">
        <f>IFERROR(IF(AD167=1,AJ$100*EXP(-(LN(2)/$D$65+0.04)*AF167)*EXP(-(LN(2)/$D$65+0.1)*AG167),IF(AD167=2,AJ$100*EXP(-(LN(2)/$D$65+0.04)*(VLOOKUP(($F$16-$F$15)-1,AC$100:AG167,4,FALSE)))*EXP(-(LN(2)/$D$65+0.1)*(VLOOKUP(($F$16-$F$15)-1,AC$100:AG167,5,FALSE)))*EXP(-(LN(2)/$D$65+0.04)*AF167)*EXP(-(LN(2)/$D$65+0.1)*AG167),IF(AD167=3,AJ$100*EXP(-(LN(2)/$D$65+0.04)*(VLOOKUP(($F$16-$F$15)-1,AC$100:AG167,4,FALSE)))*EXP(-(LN(2)/$D$65+0.1)*(VLOOKUP(($F$16-$F$15)-1,AC$100:AG167,5,FALSE)))*EXP(-(LN(2)/$D$65+0.04)*(VLOOKUP(($F$16-$F$15)*2-1,AC$100:AG167,4,FALSE)))*EXP(-(LN(2)/$D$65+0.1)*(VLOOKUP(($F$16-$F$15)*2-1,AC$100:AG167,5,FALSE)))*EXP(-(LN(2)/$D$65+0.04)*AF167)*EXP(-(LN(2)/$D$65+0.1)*AG167),"-"))),"-")</f>
        <v>-</v>
      </c>
      <c r="AK167" s="227">
        <f t="shared" si="137"/>
        <v>67</v>
      </c>
      <c r="AL167" s="226" t="str">
        <f t="shared" si="111"/>
        <v>-</v>
      </c>
      <c r="AM167" s="227" t="str">
        <f t="shared" si="138"/>
        <v>-</v>
      </c>
      <c r="AN167" s="227" t="str">
        <f t="shared" si="139"/>
        <v>-</v>
      </c>
      <c r="AO167" s="227" t="str">
        <f t="shared" si="112"/>
        <v>-</v>
      </c>
      <c r="AP167" s="273">
        <f t="shared" si="140"/>
        <v>0.1</v>
      </c>
      <c r="AQ167" s="271" t="str">
        <f>IFERROR(IF(AL166=1,AQ$100*EXP(-(LN(2)/$D$65+0.04)*AN166)*EXP(-(LN(2)/$D$65+0.1)*AO166),IF(AL166=2,AQ$100*EXP(-(LN(2)/$D$65+0.04)*(VLOOKUP(($F$16-$F$15)-1,AK$99:AO166,4,FALSE)))*EXP(-(LN(2)/$D$65+0.1)*(VLOOKUP(($F$16-$F$15)-1,AK$99:AO166,5,FALSE)))*EXP(-(LN(2)/$D$65+0.04)*AN166)*EXP(-(LN(2)/$D$65+0.1)*AO166),IF(AL166=3,AQ$100*EXP(-(LN(2)/$D$65+0.04)*(VLOOKUP(($F$16-$F$15)-1,AK$99:AO166,4,FALSE)))*EXP(-(LN(2)/$D$65+0.1)*(VLOOKUP(($F$16-$F$15)-1,AK$99:AO166,5,FALSE)))*EXP(-(LN(2)/$D$65+0.04)*(VLOOKUP(($F$16-$F$15)*2-1,AK$99:AO166,4,FALSE)))*EXP(-(LN(2)/$D$65+0.1)*(VLOOKUP(($F$16-$F$15)*2-1,AK$99:AO166,5,FALSE)))*EXP(-(LN(2)/$D$65+0.04)*AN166)*EXP(-(LN(2)/$D$65+0.1)*AO166),"-"))),"-")</f>
        <v>-</v>
      </c>
      <c r="AR167" s="271" t="str">
        <f>IFERROR(IF(AL167=1,AR$100*EXP(-(LN(2)/$D$65+0.04)*AN167)*EXP(-(LN(2)/$D$65+0.1)*AO167),IF(AL167=2,AR$100*EXP(-(LN(2)/$D$65+0.04)*(VLOOKUP(($F$16-$F$15)-1,AK$100:AO167,4,FALSE)))*EXP(-(LN(2)/$D$65+0.1)*(VLOOKUP(($F$16-$F$15)-1,AK$100:AO167,5,FALSE)))*EXP(-(LN(2)/$D$65+0.04)*AN167)*EXP(-(LN(2)/$D$65+0.1)*AO167),IF(AL167=3,AR$100*EXP(-(LN(2)/$D$65+0.04)*(VLOOKUP(($F$16-$F$15)-1,AK$100:AO167,4,FALSE)))*EXP(-(LN(2)/$D$65+0.1)*(VLOOKUP(($F$16-$F$15)-1,AK$100:AO167,5,FALSE)))*EXP(-(LN(2)/$D$65+0.04)*(VLOOKUP(($F$16-$F$15)*2-1,AK$100:AO167,4,FALSE)))*EXP(-(LN(2)/$D$65+0.1)*(VLOOKUP(($F$16-$F$15)*2-1,AK$100:AO167,5,FALSE)))*EXP(-(LN(2)/$D$65+0.04)*AN167)*EXP(-(LN(2)/$D$65+0.1)*AO167),"-"))),"-")</f>
        <v>-</v>
      </c>
      <c r="AS167" s="274">
        <f t="shared" si="113"/>
        <v>0</v>
      </c>
      <c r="AT167" s="274">
        <f t="shared" si="114"/>
        <v>0</v>
      </c>
      <c r="AU167" s="274">
        <f t="shared" si="115"/>
        <v>0</v>
      </c>
      <c r="AV167" s="190" t="str">
        <f>IF($B167&lt;$F$22,SUM($T$100:$T167),"")</f>
        <v/>
      </c>
      <c r="AW167" s="190" t="str">
        <f t="shared" si="116"/>
        <v>-</v>
      </c>
      <c r="AX167" s="190" t="str">
        <f t="shared" si="141"/>
        <v/>
      </c>
      <c r="AY167"/>
      <c r="AZ167" s="190" t="str">
        <f ca="1">IF(ISNUMBER(OFFSET(AV167,-$F$21,0)),SUM(OFFSET($T$100,$F$21,0):$T167),"")</f>
        <v/>
      </c>
      <c r="BA167" s="190" t="str">
        <f t="shared" ca="1" si="117"/>
        <v/>
      </c>
      <c r="BB167" s="190" t="str">
        <f t="shared" ca="1" si="70"/>
        <v/>
      </c>
      <c r="BC167" s="190"/>
      <c r="BD167" s="190" t="str">
        <f ca="1">IFERROR(IF(OR(ISNUMBER(I),ISNUMBER($F$14)),IF(AND($B167&gt;=($F$16-$F$15),$B167&lt;$F$22+($F$16-$F$15)),SUM(OFFSET($T$100,($F$16-$F$15),0):$T167),""),""),"")</f>
        <v/>
      </c>
      <c r="BE167" s="190" t="str">
        <f t="shared" ca="1" si="142"/>
        <v/>
      </c>
      <c r="BF167" s="190" t="str">
        <f t="shared" ca="1" si="143"/>
        <v/>
      </c>
      <c r="BG167"/>
      <c r="BH167" s="190" t="str">
        <f ca="1">IF(ISNUMBER(OFFSET(BD167,-$F$21,0)),SUM(OFFSET($T$100,($F$16-$F$15+$F$21),0):$T167),"")</f>
        <v/>
      </c>
      <c r="BI167" s="190" t="str">
        <f t="shared" ca="1" si="118"/>
        <v/>
      </c>
      <c r="BJ167" s="190" t="str">
        <f t="shared" ca="1" si="144"/>
        <v/>
      </c>
      <c r="BK167" s="190"/>
      <c r="BL167" s="190" t="str">
        <f ca="1">IFERROR(IF(OR(ISNUMBER(I),ISNUMBER($F$14)),IF(AND($B167&gt;=($F$17-$F$15),$B167&lt;$F$22+($F$17-$F$15)),SUM(OFFSET($T$100,($F$17-$F$15),0):$T167),""),""),"")</f>
        <v/>
      </c>
      <c r="BM167" s="190" t="str">
        <f t="shared" ca="1" si="119"/>
        <v/>
      </c>
      <c r="BN167" s="190" t="str">
        <f t="shared" ca="1" si="145"/>
        <v/>
      </c>
      <c r="BO167"/>
      <c r="BP167" s="190" t="str">
        <f ca="1">IF(ISNUMBER(OFFSET(BL167,-$F$21,0)),SUM(OFFSET($T$100,($F$17-$F$15+$F$21),0):$T167),"")</f>
        <v/>
      </c>
      <c r="BQ167" s="190" t="str">
        <f t="shared" ca="1" si="120"/>
        <v/>
      </c>
      <c r="BR167" s="190" t="str">
        <f t="shared" ca="1" si="146"/>
        <v/>
      </c>
      <c r="BS167" s="190"/>
      <c r="BT167"/>
      <c r="BU167"/>
      <c r="BV167"/>
      <c r="BY167" s="99"/>
      <c r="BZ167" s="99"/>
      <c r="CA167" s="280" t="str">
        <f t="shared" si="121"/>
        <v/>
      </c>
      <c r="CB167" s="71" t="str">
        <f t="shared" si="122"/>
        <v>-</v>
      </c>
      <c r="CC167" s="33"/>
      <c r="CD167" s="261" t="str">
        <f t="shared" si="123"/>
        <v/>
      </c>
      <c r="CE167" s="280" t="str">
        <f t="shared" si="124"/>
        <v/>
      </c>
      <c r="CF167" s="71" t="str">
        <f t="shared" ca="1" si="125"/>
        <v/>
      </c>
      <c r="CG167" s="33" t="str">
        <f t="shared" si="126"/>
        <v/>
      </c>
      <c r="CH167" s="261" t="str">
        <f t="shared" ca="1" si="127"/>
        <v/>
      </c>
      <c r="CI167" s="202"/>
      <c r="CJ167" s="99"/>
      <c r="CK167" s="99"/>
      <c r="CL167" s="99"/>
      <c r="CM167" s="99"/>
      <c r="CN167" s="99"/>
      <c r="CO167" s="99"/>
    </row>
    <row r="168" spans="2:93" ht="13.5" customHeight="1" x14ac:dyDescent="0.2">
      <c r="B168" s="262">
        <v>68</v>
      </c>
      <c r="C168" s="237" t="str">
        <f t="shared" si="91"/>
        <v/>
      </c>
      <c r="D168" s="237" t="str">
        <f t="shared" si="147"/>
        <v/>
      </c>
      <c r="E168" s="290" t="str">
        <f t="shared" si="128"/>
        <v/>
      </c>
      <c r="F168" s="264" t="str">
        <f t="shared" si="129"/>
        <v/>
      </c>
      <c r="G168" s="291" t="str">
        <f t="shared" si="130"/>
        <v/>
      </c>
      <c r="H168" s="240" t="str">
        <f t="shared" si="92"/>
        <v/>
      </c>
      <c r="I168" s="265" t="str">
        <f t="shared" si="93"/>
        <v/>
      </c>
      <c r="J168" s="265" t="str">
        <f t="shared" si="94"/>
        <v/>
      </c>
      <c r="K168" s="240" t="str">
        <f t="shared" si="95"/>
        <v/>
      </c>
      <c r="L168" s="265" t="str">
        <f t="shared" si="96"/>
        <v/>
      </c>
      <c r="M168" s="265" t="str">
        <f t="shared" si="97"/>
        <v/>
      </c>
      <c r="N168" s="240" t="str">
        <f t="shared" si="98"/>
        <v>-</v>
      </c>
      <c r="O168" s="265" t="str">
        <f t="shared" si="99"/>
        <v>-</v>
      </c>
      <c r="P168" s="265" t="str">
        <f t="shared" si="100"/>
        <v>-</v>
      </c>
      <c r="Q168" s="266" t="str">
        <f t="shared" si="101"/>
        <v>-</v>
      </c>
      <c r="R168" s="267" t="str">
        <f t="shared" si="102"/>
        <v>-</v>
      </c>
      <c r="S168" s="268" t="str">
        <f t="shared" si="103"/>
        <v>-</v>
      </c>
      <c r="T168" s="269" t="str">
        <f t="shared" si="104"/>
        <v/>
      </c>
      <c r="U168" s="221">
        <f t="shared" si="105"/>
        <v>68</v>
      </c>
      <c r="V168" s="220" t="str">
        <f t="shared" si="131"/>
        <v>-</v>
      </c>
      <c r="W168" s="221" t="str">
        <f t="shared" si="132"/>
        <v>-</v>
      </c>
      <c r="X168" s="221" t="str">
        <f t="shared" si="106"/>
        <v>-</v>
      </c>
      <c r="Y168" s="221" t="str">
        <f t="shared" si="107"/>
        <v>-</v>
      </c>
      <c r="Z168" s="270">
        <f t="shared" si="133"/>
        <v>0.1</v>
      </c>
      <c r="AA168" s="271" t="str">
        <f>IFERROR(IF(V167=1,AA$100*EXP(-(LN(2)/$D$65+0.04)*X167)*EXP(-(LN(2)/$D$65+0.1)*Y167),IF(V167=2,AA$100*EXP(-(LN(2)/$D$65+0.04)*(VLOOKUP(($F$16-$F$15)-1,U$99:Y167,4,FALSE)))*EXP(-(LN(2)/$D$65+0.1)*(VLOOKUP(($F$16-$F$15)-1,U$99:Y167,5,FALSE)))*EXP(-(LN(2)/$D$65+0.04)*X167)*EXP(-(LN(2)/$D$65+0.1)*Y167),IF(V167=3,AA$100*EXP(-(LN(2)/$D$65+0.04)*(VLOOKUP(($F$16-$F$15)-1,U$99:Y167,4,FALSE)))*EXP(-(LN(2)/$D$65+0.1)*(VLOOKUP(($F$16-$F$15)-1,U$99:Y167,5,FALSE)))*EXP(-(LN(2)/$D$65+0.04)*(VLOOKUP(($F$16-$F$15)*2-1,U$99:Y167,4,FALSE)))*EXP(-(LN(2)/$D$65+0.1)*(VLOOKUP(($F$16-$F$15)*2-1,U$99:Y167,5,FALSE)))*EXP(-(LN(2)/$D$65+0.04)*X167)*EXP(-(LN(2)/$D$65+0.1)*Y167),"-"))),"-")</f>
        <v>-</v>
      </c>
      <c r="AB168" s="271" t="str">
        <f>IFERROR(IF(V168=1,AB$100*EXP(-(LN(2)/$D$65+0.04)*X168)*EXP(-(LN(2)/$D$65+0.1)*Y168),IF(V168=2,AB$100*EXP(-(LN(2)/$D$65+0.04)*(VLOOKUP(($F$16-$F$15)-1,U$100:Y168,4,FALSE)))*EXP(-(LN(2)/$D$65+0.1)*(VLOOKUP(($F$16-$F$15)-1,U$100:Y168,5,FALSE)))*EXP(-(LN(2)/$D$65+0.04)*X168)*EXP(-(LN(2)/$D$65+0.1)*Y168),IF(V168=3,AB$100*EXP(-(LN(2)/$D$65+0.04)*(VLOOKUP(($F$16-$F$15)-1,U$100:Y168,4,FALSE)))*EXP(-(LN(2)/$D$65+0.1)*(VLOOKUP(($F$16-$F$15)-1,U$100:Y168,5,FALSE)))*EXP(-(LN(2)/$D$65+0.04)*(VLOOKUP(($F$16-$F$15)*2-1,U$100:Y168,4,FALSE)))*EXP(-(LN(2)/$D$65+0.1)*(VLOOKUP(($F$16-$F$15)*2-1,U$100:Y168,5,FALSE)))*EXP(-(LN(2)/$D$65+0.04)*X168)*EXP(-(LN(2)/$D$65+0.1)*Y168),"-"))),"-")</f>
        <v>-</v>
      </c>
      <c r="AC168" s="224">
        <f t="shared" si="134"/>
        <v>68</v>
      </c>
      <c r="AD168" s="223" t="str">
        <f t="shared" si="108"/>
        <v>-</v>
      </c>
      <c r="AE168" s="224" t="str">
        <f t="shared" si="135"/>
        <v>-</v>
      </c>
      <c r="AF168" s="224" t="str">
        <f t="shared" si="109"/>
        <v>-</v>
      </c>
      <c r="AG168" s="224" t="str">
        <f t="shared" si="110"/>
        <v>-</v>
      </c>
      <c r="AH168" s="272">
        <f t="shared" si="136"/>
        <v>0.1</v>
      </c>
      <c r="AI168" s="271" t="str">
        <f>IFERROR(IF(AD167=1,AI$100*EXP(-(LN(2)/$D$65+0.04)*AF167)*EXP(-(LN(2)/$D$65+0.1)*AG167),IF(AD167=2,AI$100*EXP(-(LN(2)/$D$65+0.04)*(VLOOKUP(($F$16-$F$15)-1,AC$99:AG167,4,FALSE)))*EXP(-(LN(2)/$D$65+0.1)*(VLOOKUP(($F$16-$F$15)-1,AC$99:AG167,5,FALSE)))*EXP(-(LN(2)/$D$65+0.04)*AF167)*EXP(-(LN(2)/$D$65+0.1)*AG167),IF(AD167=3,AI$100*EXP(-(LN(2)/$D$65+0.04)*(VLOOKUP(($F$16-$F$15)-1,AC$99:AG167,4,FALSE)))*EXP(-(LN(2)/$D$65+0.1)*(VLOOKUP(($F$16-$F$15)-1,AC$99:AG167,5,FALSE)))*EXP(-(LN(2)/$D$65+0.04)*(VLOOKUP(($F$16-$F$15)*2-1,AC$99:AG167,4,FALSE)))*EXP(-(LN(2)/$D$65+0.1)*(VLOOKUP(($F$16-$F$15)*2-1,AC$99:AG167,5,FALSE)))*EXP(-(LN(2)/$D$65+0.04)*AF167)*EXP(-(LN(2)/$D$65+0.1)*AG167),"-"))),"-")</f>
        <v>-</v>
      </c>
      <c r="AJ168" s="271" t="str">
        <f>IFERROR(IF(AD168=1,AJ$100*EXP(-(LN(2)/$D$65+0.04)*AF168)*EXP(-(LN(2)/$D$65+0.1)*AG168),IF(AD168=2,AJ$100*EXP(-(LN(2)/$D$65+0.04)*(VLOOKUP(($F$16-$F$15)-1,AC$100:AG168,4,FALSE)))*EXP(-(LN(2)/$D$65+0.1)*(VLOOKUP(($F$16-$F$15)-1,AC$100:AG168,5,FALSE)))*EXP(-(LN(2)/$D$65+0.04)*AF168)*EXP(-(LN(2)/$D$65+0.1)*AG168),IF(AD168=3,AJ$100*EXP(-(LN(2)/$D$65+0.04)*(VLOOKUP(($F$16-$F$15)-1,AC$100:AG168,4,FALSE)))*EXP(-(LN(2)/$D$65+0.1)*(VLOOKUP(($F$16-$F$15)-1,AC$100:AG168,5,FALSE)))*EXP(-(LN(2)/$D$65+0.04)*(VLOOKUP(($F$16-$F$15)*2-1,AC$100:AG168,4,FALSE)))*EXP(-(LN(2)/$D$65+0.1)*(VLOOKUP(($F$16-$F$15)*2-1,AC$100:AG168,5,FALSE)))*EXP(-(LN(2)/$D$65+0.04)*AF168)*EXP(-(LN(2)/$D$65+0.1)*AG168),"-"))),"-")</f>
        <v>-</v>
      </c>
      <c r="AK168" s="227">
        <f t="shared" si="137"/>
        <v>68</v>
      </c>
      <c r="AL168" s="226" t="str">
        <f t="shared" si="111"/>
        <v>-</v>
      </c>
      <c r="AM168" s="227" t="str">
        <f t="shared" si="138"/>
        <v>-</v>
      </c>
      <c r="AN168" s="227" t="str">
        <f t="shared" si="139"/>
        <v>-</v>
      </c>
      <c r="AO168" s="227" t="str">
        <f t="shared" si="112"/>
        <v>-</v>
      </c>
      <c r="AP168" s="273">
        <f t="shared" si="140"/>
        <v>0.1</v>
      </c>
      <c r="AQ168" s="271" t="str">
        <f>IFERROR(IF(AL167=1,AQ$100*EXP(-(LN(2)/$D$65+0.04)*AN167)*EXP(-(LN(2)/$D$65+0.1)*AO167),IF(AL167=2,AQ$100*EXP(-(LN(2)/$D$65+0.04)*(VLOOKUP(($F$16-$F$15)-1,AK$99:AO167,4,FALSE)))*EXP(-(LN(2)/$D$65+0.1)*(VLOOKUP(($F$16-$F$15)-1,AK$99:AO167,5,FALSE)))*EXP(-(LN(2)/$D$65+0.04)*AN167)*EXP(-(LN(2)/$D$65+0.1)*AO167),IF(AL167=3,AQ$100*EXP(-(LN(2)/$D$65+0.04)*(VLOOKUP(($F$16-$F$15)-1,AK$99:AO167,4,FALSE)))*EXP(-(LN(2)/$D$65+0.1)*(VLOOKUP(($F$16-$F$15)-1,AK$99:AO167,5,FALSE)))*EXP(-(LN(2)/$D$65+0.04)*(VLOOKUP(($F$16-$F$15)*2-1,AK$99:AO167,4,FALSE)))*EXP(-(LN(2)/$D$65+0.1)*(VLOOKUP(($F$16-$F$15)*2-1,AK$99:AO167,5,FALSE)))*EXP(-(LN(2)/$D$65+0.04)*AN167)*EXP(-(LN(2)/$D$65+0.1)*AO167),"-"))),"-")</f>
        <v>-</v>
      </c>
      <c r="AR168" s="271" t="str">
        <f>IFERROR(IF(AL168=1,AR$100*EXP(-(LN(2)/$D$65+0.04)*AN168)*EXP(-(LN(2)/$D$65+0.1)*AO168),IF(AL168=2,AR$100*EXP(-(LN(2)/$D$65+0.04)*(VLOOKUP(($F$16-$F$15)-1,AK$100:AO168,4,FALSE)))*EXP(-(LN(2)/$D$65+0.1)*(VLOOKUP(($F$16-$F$15)-1,AK$100:AO168,5,FALSE)))*EXP(-(LN(2)/$D$65+0.04)*AN168)*EXP(-(LN(2)/$D$65+0.1)*AO168),IF(AL168=3,AR$100*EXP(-(LN(2)/$D$65+0.04)*(VLOOKUP(($F$16-$F$15)-1,AK$100:AO168,4,FALSE)))*EXP(-(LN(2)/$D$65+0.1)*(VLOOKUP(($F$16-$F$15)-1,AK$100:AO168,5,FALSE)))*EXP(-(LN(2)/$D$65+0.04)*(VLOOKUP(($F$16-$F$15)*2-1,AK$100:AO168,4,FALSE)))*EXP(-(LN(2)/$D$65+0.1)*(VLOOKUP(($F$16-$F$15)*2-1,AK$100:AO168,5,FALSE)))*EXP(-(LN(2)/$D$65+0.04)*AN168)*EXP(-(LN(2)/$D$65+0.1)*AO168),"-"))),"-")</f>
        <v>-</v>
      </c>
      <c r="AS168" s="274">
        <f t="shared" si="113"/>
        <v>0</v>
      </c>
      <c r="AT168" s="274">
        <f t="shared" si="114"/>
        <v>0</v>
      </c>
      <c r="AU168" s="274">
        <f t="shared" si="115"/>
        <v>0</v>
      </c>
      <c r="AV168" s="190" t="str">
        <f>IF($B168&lt;$F$22,SUM($T$100:$T168),"")</f>
        <v/>
      </c>
      <c r="AW168" s="190" t="str">
        <f t="shared" si="116"/>
        <v>-</v>
      </c>
      <c r="AX168" s="190" t="str">
        <f t="shared" si="141"/>
        <v/>
      </c>
      <c r="AY168"/>
      <c r="AZ168" s="190" t="str">
        <f ca="1">IF(ISNUMBER(OFFSET(AV168,-$F$21,0)),SUM(OFFSET($T$100,$F$21,0):$T168),"")</f>
        <v/>
      </c>
      <c r="BA168" s="190" t="str">
        <f t="shared" ca="1" si="117"/>
        <v/>
      </c>
      <c r="BB168" s="190" t="str">
        <f t="shared" ca="1" si="70"/>
        <v/>
      </c>
      <c r="BC168" s="190"/>
      <c r="BD168" s="190" t="str">
        <f ca="1">IFERROR(IF(OR(ISNUMBER(I),ISNUMBER($F$14)),IF(AND($B168&gt;=($F$16-$F$15),$B168&lt;$F$22+($F$16-$F$15)),SUM(OFFSET($T$100,($F$16-$F$15),0):$T168),""),""),"")</f>
        <v/>
      </c>
      <c r="BE168" s="190" t="str">
        <f t="shared" ca="1" si="142"/>
        <v/>
      </c>
      <c r="BF168" s="190" t="str">
        <f t="shared" ca="1" si="143"/>
        <v/>
      </c>
      <c r="BG168"/>
      <c r="BH168" s="190" t="str">
        <f ca="1">IF(ISNUMBER(OFFSET(BD168,-$F$21,0)),SUM(OFFSET($T$100,($F$16-$F$15+$F$21),0):$T168),"")</f>
        <v/>
      </c>
      <c r="BI168" s="190" t="str">
        <f t="shared" ca="1" si="118"/>
        <v/>
      </c>
      <c r="BJ168" s="190" t="str">
        <f t="shared" ca="1" si="144"/>
        <v/>
      </c>
      <c r="BK168" s="190"/>
      <c r="BL168" s="190" t="str">
        <f ca="1">IFERROR(IF(OR(ISNUMBER(I),ISNUMBER($F$14)),IF(AND($B168&gt;=($F$17-$F$15),$B168&lt;$F$22+($F$17-$F$15)),SUM(OFFSET($T$100,($F$17-$F$15),0):$T168),""),""),"")</f>
        <v/>
      </c>
      <c r="BM168" s="190" t="str">
        <f t="shared" ca="1" si="119"/>
        <v/>
      </c>
      <c r="BN168" s="190" t="str">
        <f t="shared" ca="1" si="145"/>
        <v/>
      </c>
      <c r="BO168"/>
      <c r="BP168" s="190" t="str">
        <f ca="1">IF(ISNUMBER(OFFSET(BL168,-$F$21,0)),SUM(OFFSET($T$100,($F$17-$F$15+$F$21),0):$T168),"")</f>
        <v/>
      </c>
      <c r="BQ168" s="190" t="str">
        <f t="shared" ca="1" si="120"/>
        <v/>
      </c>
      <c r="BR168" s="190" t="str">
        <f t="shared" ca="1" si="146"/>
        <v/>
      </c>
      <c r="BS168" s="190"/>
      <c r="BT168"/>
      <c r="BU168"/>
      <c r="BV168"/>
      <c r="BY168" s="99"/>
      <c r="BZ168" s="99"/>
      <c r="CA168" s="280" t="str">
        <f t="shared" si="121"/>
        <v/>
      </c>
      <c r="CB168" s="71" t="str">
        <f t="shared" si="122"/>
        <v>-</v>
      </c>
      <c r="CC168" s="33"/>
      <c r="CD168" s="261" t="str">
        <f t="shared" si="123"/>
        <v/>
      </c>
      <c r="CE168" s="280" t="str">
        <f t="shared" si="124"/>
        <v/>
      </c>
      <c r="CF168" s="71" t="str">
        <f t="shared" ca="1" si="125"/>
        <v/>
      </c>
      <c r="CG168" s="33" t="str">
        <f t="shared" si="126"/>
        <v/>
      </c>
      <c r="CH168" s="261" t="str">
        <f t="shared" ca="1" si="127"/>
        <v/>
      </c>
      <c r="CI168" s="202"/>
      <c r="CJ168" s="99"/>
      <c r="CK168" s="99"/>
      <c r="CL168" s="99"/>
      <c r="CM168" s="99"/>
      <c r="CN168" s="99"/>
      <c r="CO168" s="99"/>
    </row>
    <row r="169" spans="2:93" ht="13.5" customHeight="1" x14ac:dyDescent="0.2">
      <c r="B169" s="262">
        <v>69</v>
      </c>
      <c r="C169" s="237" t="str">
        <f t="shared" si="91"/>
        <v/>
      </c>
      <c r="D169" s="237" t="str">
        <f t="shared" si="147"/>
        <v/>
      </c>
      <c r="E169" s="290" t="str">
        <f t="shared" si="128"/>
        <v/>
      </c>
      <c r="F169" s="264" t="str">
        <f t="shared" si="129"/>
        <v/>
      </c>
      <c r="G169" s="291" t="str">
        <f t="shared" si="130"/>
        <v/>
      </c>
      <c r="H169" s="240" t="str">
        <f t="shared" si="92"/>
        <v/>
      </c>
      <c r="I169" s="265" t="str">
        <f t="shared" si="93"/>
        <v/>
      </c>
      <c r="J169" s="265" t="str">
        <f t="shared" si="94"/>
        <v/>
      </c>
      <c r="K169" s="240" t="str">
        <f t="shared" si="95"/>
        <v/>
      </c>
      <c r="L169" s="265" t="str">
        <f t="shared" si="96"/>
        <v/>
      </c>
      <c r="M169" s="265" t="str">
        <f t="shared" si="97"/>
        <v/>
      </c>
      <c r="N169" s="240" t="str">
        <f t="shared" si="98"/>
        <v>-</v>
      </c>
      <c r="O169" s="265" t="str">
        <f t="shared" si="99"/>
        <v>-</v>
      </c>
      <c r="P169" s="265" t="str">
        <f t="shared" si="100"/>
        <v>-</v>
      </c>
      <c r="Q169" s="266" t="str">
        <f t="shared" si="101"/>
        <v>-</v>
      </c>
      <c r="R169" s="267" t="str">
        <f t="shared" si="102"/>
        <v>-</v>
      </c>
      <c r="S169" s="268" t="str">
        <f t="shared" si="103"/>
        <v>-</v>
      </c>
      <c r="T169" s="269" t="str">
        <f t="shared" si="104"/>
        <v/>
      </c>
      <c r="U169" s="221">
        <f t="shared" si="105"/>
        <v>69</v>
      </c>
      <c r="V169" s="220" t="str">
        <f t="shared" si="131"/>
        <v>-</v>
      </c>
      <c r="W169" s="221" t="str">
        <f t="shared" si="132"/>
        <v>-</v>
      </c>
      <c r="X169" s="221" t="str">
        <f t="shared" si="106"/>
        <v>-</v>
      </c>
      <c r="Y169" s="221" t="str">
        <f t="shared" si="107"/>
        <v>-</v>
      </c>
      <c r="Z169" s="270">
        <f t="shared" si="133"/>
        <v>0.1</v>
      </c>
      <c r="AA169" s="271" t="str">
        <f>IFERROR(IF(V168=1,AA$100*EXP(-(LN(2)/$D$65+0.04)*X168)*EXP(-(LN(2)/$D$65+0.1)*Y168),IF(V168=2,AA$100*EXP(-(LN(2)/$D$65+0.04)*(VLOOKUP(($F$16-$F$15)-1,U$99:Y168,4,FALSE)))*EXP(-(LN(2)/$D$65+0.1)*(VLOOKUP(($F$16-$F$15)-1,U$99:Y168,5,FALSE)))*EXP(-(LN(2)/$D$65+0.04)*X168)*EXP(-(LN(2)/$D$65+0.1)*Y168),IF(V168=3,AA$100*EXP(-(LN(2)/$D$65+0.04)*(VLOOKUP(($F$16-$F$15)-1,U$99:Y168,4,FALSE)))*EXP(-(LN(2)/$D$65+0.1)*(VLOOKUP(($F$16-$F$15)-1,U$99:Y168,5,FALSE)))*EXP(-(LN(2)/$D$65+0.04)*(VLOOKUP(($F$16-$F$15)*2-1,U$99:Y168,4,FALSE)))*EXP(-(LN(2)/$D$65+0.1)*(VLOOKUP(($F$16-$F$15)*2-1,U$99:Y168,5,FALSE)))*EXP(-(LN(2)/$D$65+0.04)*X168)*EXP(-(LN(2)/$D$65+0.1)*Y168),"-"))),"-")</f>
        <v>-</v>
      </c>
      <c r="AB169" s="271" t="str">
        <f>IFERROR(IF(V169=1,AB$100*EXP(-(LN(2)/$D$65+0.04)*X169)*EXP(-(LN(2)/$D$65+0.1)*Y169),IF(V169=2,AB$100*EXP(-(LN(2)/$D$65+0.04)*(VLOOKUP(($F$16-$F$15)-1,U$100:Y169,4,FALSE)))*EXP(-(LN(2)/$D$65+0.1)*(VLOOKUP(($F$16-$F$15)-1,U$100:Y169,5,FALSE)))*EXP(-(LN(2)/$D$65+0.04)*X169)*EXP(-(LN(2)/$D$65+0.1)*Y169),IF(V169=3,AB$100*EXP(-(LN(2)/$D$65+0.04)*(VLOOKUP(($F$16-$F$15)-1,U$100:Y169,4,FALSE)))*EXP(-(LN(2)/$D$65+0.1)*(VLOOKUP(($F$16-$F$15)-1,U$100:Y169,5,FALSE)))*EXP(-(LN(2)/$D$65+0.04)*(VLOOKUP(($F$16-$F$15)*2-1,U$100:Y169,4,FALSE)))*EXP(-(LN(2)/$D$65+0.1)*(VLOOKUP(($F$16-$F$15)*2-1,U$100:Y169,5,FALSE)))*EXP(-(LN(2)/$D$65+0.04)*X169)*EXP(-(LN(2)/$D$65+0.1)*Y169),"-"))),"-")</f>
        <v>-</v>
      </c>
      <c r="AC169" s="224">
        <f t="shared" si="134"/>
        <v>69</v>
      </c>
      <c r="AD169" s="223" t="str">
        <f t="shared" si="108"/>
        <v>-</v>
      </c>
      <c r="AE169" s="224" t="str">
        <f t="shared" si="135"/>
        <v>-</v>
      </c>
      <c r="AF169" s="224" t="str">
        <f t="shared" si="109"/>
        <v>-</v>
      </c>
      <c r="AG169" s="224" t="str">
        <f t="shared" si="110"/>
        <v>-</v>
      </c>
      <c r="AH169" s="272">
        <f t="shared" si="136"/>
        <v>0.1</v>
      </c>
      <c r="AI169" s="271" t="str">
        <f>IFERROR(IF(AD168=1,AI$100*EXP(-(LN(2)/$D$65+0.04)*AF168)*EXP(-(LN(2)/$D$65+0.1)*AG168),IF(AD168=2,AI$100*EXP(-(LN(2)/$D$65+0.04)*(VLOOKUP(($F$16-$F$15)-1,AC$99:AG168,4,FALSE)))*EXP(-(LN(2)/$D$65+0.1)*(VLOOKUP(($F$16-$F$15)-1,AC$99:AG168,5,FALSE)))*EXP(-(LN(2)/$D$65+0.04)*AF168)*EXP(-(LN(2)/$D$65+0.1)*AG168),IF(AD168=3,AI$100*EXP(-(LN(2)/$D$65+0.04)*(VLOOKUP(($F$16-$F$15)-1,AC$99:AG168,4,FALSE)))*EXP(-(LN(2)/$D$65+0.1)*(VLOOKUP(($F$16-$F$15)-1,AC$99:AG168,5,FALSE)))*EXP(-(LN(2)/$D$65+0.04)*(VLOOKUP(($F$16-$F$15)*2-1,AC$99:AG168,4,FALSE)))*EXP(-(LN(2)/$D$65+0.1)*(VLOOKUP(($F$16-$F$15)*2-1,AC$99:AG168,5,FALSE)))*EXP(-(LN(2)/$D$65+0.04)*AF168)*EXP(-(LN(2)/$D$65+0.1)*AG168),"-"))),"-")</f>
        <v>-</v>
      </c>
      <c r="AJ169" s="271" t="str">
        <f>IFERROR(IF(AD169=1,AJ$100*EXP(-(LN(2)/$D$65+0.04)*AF169)*EXP(-(LN(2)/$D$65+0.1)*AG169),IF(AD169=2,AJ$100*EXP(-(LN(2)/$D$65+0.04)*(VLOOKUP(($F$16-$F$15)-1,AC$100:AG169,4,FALSE)))*EXP(-(LN(2)/$D$65+0.1)*(VLOOKUP(($F$16-$F$15)-1,AC$100:AG169,5,FALSE)))*EXP(-(LN(2)/$D$65+0.04)*AF169)*EXP(-(LN(2)/$D$65+0.1)*AG169),IF(AD169=3,AJ$100*EXP(-(LN(2)/$D$65+0.04)*(VLOOKUP(($F$16-$F$15)-1,AC$100:AG169,4,FALSE)))*EXP(-(LN(2)/$D$65+0.1)*(VLOOKUP(($F$16-$F$15)-1,AC$100:AG169,5,FALSE)))*EXP(-(LN(2)/$D$65+0.04)*(VLOOKUP(($F$16-$F$15)*2-1,AC$100:AG169,4,FALSE)))*EXP(-(LN(2)/$D$65+0.1)*(VLOOKUP(($F$16-$F$15)*2-1,AC$100:AG169,5,FALSE)))*EXP(-(LN(2)/$D$65+0.04)*AF169)*EXP(-(LN(2)/$D$65+0.1)*AG169),"-"))),"-")</f>
        <v>-</v>
      </c>
      <c r="AK169" s="227">
        <f t="shared" si="137"/>
        <v>69</v>
      </c>
      <c r="AL169" s="226" t="str">
        <f t="shared" si="111"/>
        <v>-</v>
      </c>
      <c r="AM169" s="227" t="str">
        <f t="shared" si="138"/>
        <v>-</v>
      </c>
      <c r="AN169" s="227" t="str">
        <f t="shared" si="139"/>
        <v>-</v>
      </c>
      <c r="AO169" s="227" t="str">
        <f t="shared" si="112"/>
        <v>-</v>
      </c>
      <c r="AP169" s="273">
        <f t="shared" si="140"/>
        <v>0.1</v>
      </c>
      <c r="AQ169" s="271" t="str">
        <f>IFERROR(IF(AL168=1,AQ$100*EXP(-(LN(2)/$D$65+0.04)*AN168)*EXP(-(LN(2)/$D$65+0.1)*AO168),IF(AL168=2,AQ$100*EXP(-(LN(2)/$D$65+0.04)*(VLOOKUP(($F$16-$F$15)-1,AK$99:AO168,4,FALSE)))*EXP(-(LN(2)/$D$65+0.1)*(VLOOKUP(($F$16-$F$15)-1,AK$99:AO168,5,FALSE)))*EXP(-(LN(2)/$D$65+0.04)*AN168)*EXP(-(LN(2)/$D$65+0.1)*AO168),IF(AL168=3,AQ$100*EXP(-(LN(2)/$D$65+0.04)*(VLOOKUP(($F$16-$F$15)-1,AK$99:AO168,4,FALSE)))*EXP(-(LN(2)/$D$65+0.1)*(VLOOKUP(($F$16-$F$15)-1,AK$99:AO168,5,FALSE)))*EXP(-(LN(2)/$D$65+0.04)*(VLOOKUP(($F$16-$F$15)*2-1,AK$99:AO168,4,FALSE)))*EXP(-(LN(2)/$D$65+0.1)*(VLOOKUP(($F$16-$F$15)*2-1,AK$99:AO168,5,FALSE)))*EXP(-(LN(2)/$D$65+0.04)*AN168)*EXP(-(LN(2)/$D$65+0.1)*AO168),"-"))),"-")</f>
        <v>-</v>
      </c>
      <c r="AR169" s="271" t="str">
        <f>IFERROR(IF(AL169=1,AR$100*EXP(-(LN(2)/$D$65+0.04)*AN169)*EXP(-(LN(2)/$D$65+0.1)*AO169),IF(AL169=2,AR$100*EXP(-(LN(2)/$D$65+0.04)*(VLOOKUP(($F$16-$F$15)-1,AK$100:AO169,4,FALSE)))*EXP(-(LN(2)/$D$65+0.1)*(VLOOKUP(($F$16-$F$15)-1,AK$100:AO169,5,FALSE)))*EXP(-(LN(2)/$D$65+0.04)*AN169)*EXP(-(LN(2)/$D$65+0.1)*AO169),IF(AL169=3,AR$100*EXP(-(LN(2)/$D$65+0.04)*(VLOOKUP(($F$16-$F$15)-1,AK$100:AO169,4,FALSE)))*EXP(-(LN(2)/$D$65+0.1)*(VLOOKUP(($F$16-$F$15)-1,AK$100:AO169,5,FALSE)))*EXP(-(LN(2)/$D$65+0.04)*(VLOOKUP(($F$16-$F$15)*2-1,AK$100:AO169,4,FALSE)))*EXP(-(LN(2)/$D$65+0.1)*(VLOOKUP(($F$16-$F$15)*2-1,AK$100:AO169,5,FALSE)))*EXP(-(LN(2)/$D$65+0.04)*AN169)*EXP(-(LN(2)/$D$65+0.1)*AO169),"-"))),"-")</f>
        <v>-</v>
      </c>
      <c r="AS169" s="274">
        <f t="shared" si="113"/>
        <v>0</v>
      </c>
      <c r="AT169" s="274">
        <f t="shared" si="114"/>
        <v>0</v>
      </c>
      <c r="AU169" s="274">
        <f t="shared" si="115"/>
        <v>0</v>
      </c>
      <c r="AV169" s="190" t="str">
        <f>IF($B169&lt;$F$22,SUM($T$100:$T169),"")</f>
        <v/>
      </c>
      <c r="AW169" s="190" t="str">
        <f t="shared" si="116"/>
        <v>-</v>
      </c>
      <c r="AX169" s="190" t="str">
        <f t="shared" si="141"/>
        <v/>
      </c>
      <c r="AY169"/>
      <c r="AZ169" s="190" t="str">
        <f ca="1">IF(ISNUMBER(OFFSET(AV169,-$F$21,0)),SUM(OFFSET($T$100,$F$21,0):$T169),"")</f>
        <v/>
      </c>
      <c r="BA169" s="190" t="str">
        <f t="shared" ca="1" si="117"/>
        <v/>
      </c>
      <c r="BB169" s="190" t="str">
        <f t="shared" ca="1" si="70"/>
        <v/>
      </c>
      <c r="BC169" s="190"/>
      <c r="BD169" s="190" t="str">
        <f ca="1">IFERROR(IF(OR(ISNUMBER(I),ISNUMBER($F$14)),IF(AND($B169&gt;=($F$16-$F$15),$B169&lt;$F$22+($F$16-$F$15)),SUM(OFFSET($T$100,($F$16-$F$15),0):$T169),""),""),"")</f>
        <v/>
      </c>
      <c r="BE169" s="190" t="str">
        <f t="shared" ca="1" si="142"/>
        <v/>
      </c>
      <c r="BF169" s="190" t="str">
        <f t="shared" ca="1" si="143"/>
        <v/>
      </c>
      <c r="BG169"/>
      <c r="BH169" s="190" t="str">
        <f ca="1">IF(ISNUMBER(OFFSET(BD169,-$F$21,0)),SUM(OFFSET($T$100,($F$16-$F$15+$F$21),0):$T169),"")</f>
        <v/>
      </c>
      <c r="BI169" s="190" t="str">
        <f t="shared" ca="1" si="118"/>
        <v/>
      </c>
      <c r="BJ169" s="190" t="str">
        <f t="shared" ca="1" si="144"/>
        <v/>
      </c>
      <c r="BK169" s="190"/>
      <c r="BL169" s="190" t="str">
        <f ca="1">IFERROR(IF(OR(ISNUMBER(I),ISNUMBER($F$14)),IF(AND($B169&gt;=($F$17-$F$15),$B169&lt;$F$22+($F$17-$F$15)),SUM(OFFSET($T$100,($F$17-$F$15),0):$T169),""),""),"")</f>
        <v/>
      </c>
      <c r="BM169" s="190" t="str">
        <f t="shared" ca="1" si="119"/>
        <v/>
      </c>
      <c r="BN169" s="190" t="str">
        <f t="shared" ca="1" si="145"/>
        <v/>
      </c>
      <c r="BO169"/>
      <c r="BP169" s="190" t="str">
        <f ca="1">IF(ISNUMBER(OFFSET(BL169,-$F$21,0)),SUM(OFFSET($T$100,($F$17-$F$15+$F$21),0):$T169),"")</f>
        <v/>
      </c>
      <c r="BQ169" s="190" t="str">
        <f t="shared" ca="1" si="120"/>
        <v/>
      </c>
      <c r="BR169" s="190" t="str">
        <f t="shared" ca="1" si="146"/>
        <v/>
      </c>
      <c r="BS169" s="190"/>
      <c r="BT169"/>
      <c r="BU169"/>
      <c r="BV169"/>
      <c r="BY169" s="99"/>
      <c r="BZ169" s="99"/>
      <c r="CA169" s="280" t="str">
        <f t="shared" si="121"/>
        <v/>
      </c>
      <c r="CB169" s="71" t="str">
        <f t="shared" si="122"/>
        <v>-</v>
      </c>
      <c r="CC169" s="33"/>
      <c r="CD169" s="261" t="str">
        <f t="shared" si="123"/>
        <v/>
      </c>
      <c r="CE169" s="280" t="str">
        <f t="shared" si="124"/>
        <v/>
      </c>
      <c r="CF169" s="71" t="str">
        <f t="shared" ca="1" si="125"/>
        <v/>
      </c>
      <c r="CG169" s="33" t="str">
        <f t="shared" si="126"/>
        <v/>
      </c>
      <c r="CH169" s="261" t="str">
        <f t="shared" ca="1" si="127"/>
        <v/>
      </c>
      <c r="CI169" s="202"/>
      <c r="CJ169" s="99"/>
      <c r="CK169" s="99"/>
      <c r="CL169" s="99"/>
      <c r="CM169" s="99"/>
      <c r="CN169" s="99"/>
      <c r="CO169" s="99"/>
    </row>
    <row r="170" spans="2:93" ht="13.5" customHeight="1" x14ac:dyDescent="0.2">
      <c r="B170" s="262">
        <v>70</v>
      </c>
      <c r="C170" s="237" t="str">
        <f t="shared" si="91"/>
        <v/>
      </c>
      <c r="D170" s="237" t="str">
        <f t="shared" si="147"/>
        <v/>
      </c>
      <c r="E170" s="290" t="str">
        <f t="shared" si="128"/>
        <v/>
      </c>
      <c r="F170" s="264" t="str">
        <f t="shared" si="129"/>
        <v/>
      </c>
      <c r="G170" s="291" t="str">
        <f t="shared" si="130"/>
        <v/>
      </c>
      <c r="H170" s="240" t="str">
        <f t="shared" si="92"/>
        <v/>
      </c>
      <c r="I170" s="265" t="str">
        <f t="shared" si="93"/>
        <v/>
      </c>
      <c r="J170" s="265" t="str">
        <f t="shared" si="94"/>
        <v/>
      </c>
      <c r="K170" s="240" t="str">
        <f t="shared" si="95"/>
        <v/>
      </c>
      <c r="L170" s="265" t="str">
        <f t="shared" si="96"/>
        <v/>
      </c>
      <c r="M170" s="265" t="str">
        <f t="shared" si="97"/>
        <v/>
      </c>
      <c r="N170" s="240" t="str">
        <f t="shared" si="98"/>
        <v>-</v>
      </c>
      <c r="O170" s="265" t="str">
        <f t="shared" si="99"/>
        <v>-</v>
      </c>
      <c r="P170" s="265" t="str">
        <f t="shared" si="100"/>
        <v>-</v>
      </c>
      <c r="Q170" s="266" t="str">
        <f t="shared" si="101"/>
        <v>-</v>
      </c>
      <c r="R170" s="267" t="str">
        <f t="shared" si="102"/>
        <v>-</v>
      </c>
      <c r="S170" s="268" t="str">
        <f t="shared" si="103"/>
        <v>-</v>
      </c>
      <c r="T170" s="269" t="str">
        <f t="shared" si="104"/>
        <v/>
      </c>
      <c r="U170" s="221">
        <f t="shared" si="105"/>
        <v>70</v>
      </c>
      <c r="V170" s="220" t="str">
        <f t="shared" si="131"/>
        <v>-</v>
      </c>
      <c r="W170" s="221" t="str">
        <f t="shared" si="132"/>
        <v>-</v>
      </c>
      <c r="X170" s="221" t="str">
        <f t="shared" si="106"/>
        <v>-</v>
      </c>
      <c r="Y170" s="221" t="str">
        <f t="shared" si="107"/>
        <v>-</v>
      </c>
      <c r="Z170" s="270">
        <f t="shared" si="133"/>
        <v>0.1</v>
      </c>
      <c r="AA170" s="271" t="str">
        <f>IFERROR(IF(V169=1,AA$100*EXP(-(LN(2)/$D$65+0.04)*X169)*EXP(-(LN(2)/$D$65+0.1)*Y169),IF(V169=2,AA$100*EXP(-(LN(2)/$D$65+0.04)*(VLOOKUP(($F$16-$F$15)-1,U$99:Y169,4,FALSE)))*EXP(-(LN(2)/$D$65+0.1)*(VLOOKUP(($F$16-$F$15)-1,U$99:Y169,5,FALSE)))*EXP(-(LN(2)/$D$65+0.04)*X169)*EXP(-(LN(2)/$D$65+0.1)*Y169),IF(V169=3,AA$100*EXP(-(LN(2)/$D$65+0.04)*(VLOOKUP(($F$16-$F$15)-1,U$99:Y169,4,FALSE)))*EXP(-(LN(2)/$D$65+0.1)*(VLOOKUP(($F$16-$F$15)-1,U$99:Y169,5,FALSE)))*EXP(-(LN(2)/$D$65+0.04)*(VLOOKUP(($F$16-$F$15)*2-1,U$99:Y169,4,FALSE)))*EXP(-(LN(2)/$D$65+0.1)*(VLOOKUP(($F$16-$F$15)*2-1,U$99:Y169,5,FALSE)))*EXP(-(LN(2)/$D$65+0.04)*X169)*EXP(-(LN(2)/$D$65+0.1)*Y169),"-"))),"-")</f>
        <v>-</v>
      </c>
      <c r="AB170" s="271" t="str">
        <f>IFERROR(IF(V170=1,AB$100*EXP(-(LN(2)/$D$65+0.04)*X170)*EXP(-(LN(2)/$D$65+0.1)*Y170),IF(V170=2,AB$100*EXP(-(LN(2)/$D$65+0.04)*(VLOOKUP(($F$16-$F$15)-1,U$100:Y170,4,FALSE)))*EXP(-(LN(2)/$D$65+0.1)*(VLOOKUP(($F$16-$F$15)-1,U$100:Y170,5,FALSE)))*EXP(-(LN(2)/$D$65+0.04)*X170)*EXP(-(LN(2)/$D$65+0.1)*Y170),IF(V170=3,AB$100*EXP(-(LN(2)/$D$65+0.04)*(VLOOKUP(($F$16-$F$15)-1,U$100:Y170,4,FALSE)))*EXP(-(LN(2)/$D$65+0.1)*(VLOOKUP(($F$16-$F$15)-1,U$100:Y170,5,FALSE)))*EXP(-(LN(2)/$D$65+0.04)*(VLOOKUP(($F$16-$F$15)*2-1,U$100:Y170,4,FALSE)))*EXP(-(LN(2)/$D$65+0.1)*(VLOOKUP(($F$16-$F$15)*2-1,U$100:Y170,5,FALSE)))*EXP(-(LN(2)/$D$65+0.04)*X170)*EXP(-(LN(2)/$D$65+0.1)*Y170),"-"))),"-")</f>
        <v>-</v>
      </c>
      <c r="AC170" s="224">
        <f t="shared" si="134"/>
        <v>70</v>
      </c>
      <c r="AD170" s="223" t="str">
        <f t="shared" si="108"/>
        <v>-</v>
      </c>
      <c r="AE170" s="224" t="str">
        <f t="shared" si="135"/>
        <v>-</v>
      </c>
      <c r="AF170" s="224" t="str">
        <f t="shared" si="109"/>
        <v>-</v>
      </c>
      <c r="AG170" s="224" t="str">
        <f t="shared" si="110"/>
        <v>-</v>
      </c>
      <c r="AH170" s="272">
        <f t="shared" si="136"/>
        <v>0.1</v>
      </c>
      <c r="AI170" s="271" t="str">
        <f>IFERROR(IF(AD169=1,AI$100*EXP(-(LN(2)/$D$65+0.04)*AF169)*EXP(-(LN(2)/$D$65+0.1)*AG169),IF(AD169=2,AI$100*EXP(-(LN(2)/$D$65+0.04)*(VLOOKUP(($F$16-$F$15)-1,AC$99:AG169,4,FALSE)))*EXP(-(LN(2)/$D$65+0.1)*(VLOOKUP(($F$16-$F$15)-1,AC$99:AG169,5,FALSE)))*EXP(-(LN(2)/$D$65+0.04)*AF169)*EXP(-(LN(2)/$D$65+0.1)*AG169),IF(AD169=3,AI$100*EXP(-(LN(2)/$D$65+0.04)*(VLOOKUP(($F$16-$F$15)-1,AC$99:AG169,4,FALSE)))*EXP(-(LN(2)/$D$65+0.1)*(VLOOKUP(($F$16-$F$15)-1,AC$99:AG169,5,FALSE)))*EXP(-(LN(2)/$D$65+0.04)*(VLOOKUP(($F$16-$F$15)*2-1,AC$99:AG169,4,FALSE)))*EXP(-(LN(2)/$D$65+0.1)*(VLOOKUP(($F$16-$F$15)*2-1,AC$99:AG169,5,FALSE)))*EXP(-(LN(2)/$D$65+0.04)*AF169)*EXP(-(LN(2)/$D$65+0.1)*AG169),"-"))),"-")</f>
        <v>-</v>
      </c>
      <c r="AJ170" s="271" t="str">
        <f>IFERROR(IF(AD170=1,AJ$100*EXP(-(LN(2)/$D$65+0.04)*AF170)*EXP(-(LN(2)/$D$65+0.1)*AG170),IF(AD170=2,AJ$100*EXP(-(LN(2)/$D$65+0.04)*(VLOOKUP(($F$16-$F$15)-1,AC$100:AG170,4,FALSE)))*EXP(-(LN(2)/$D$65+0.1)*(VLOOKUP(($F$16-$F$15)-1,AC$100:AG170,5,FALSE)))*EXP(-(LN(2)/$D$65+0.04)*AF170)*EXP(-(LN(2)/$D$65+0.1)*AG170),IF(AD170=3,AJ$100*EXP(-(LN(2)/$D$65+0.04)*(VLOOKUP(($F$16-$F$15)-1,AC$100:AG170,4,FALSE)))*EXP(-(LN(2)/$D$65+0.1)*(VLOOKUP(($F$16-$F$15)-1,AC$100:AG170,5,FALSE)))*EXP(-(LN(2)/$D$65+0.04)*(VLOOKUP(($F$16-$F$15)*2-1,AC$100:AG170,4,FALSE)))*EXP(-(LN(2)/$D$65+0.1)*(VLOOKUP(($F$16-$F$15)*2-1,AC$100:AG170,5,FALSE)))*EXP(-(LN(2)/$D$65+0.04)*AF170)*EXP(-(LN(2)/$D$65+0.1)*AG170),"-"))),"-")</f>
        <v>-</v>
      </c>
      <c r="AK170" s="227">
        <f t="shared" si="137"/>
        <v>70</v>
      </c>
      <c r="AL170" s="226" t="str">
        <f t="shared" si="111"/>
        <v>-</v>
      </c>
      <c r="AM170" s="227" t="str">
        <f t="shared" si="138"/>
        <v>-</v>
      </c>
      <c r="AN170" s="227" t="str">
        <f t="shared" si="139"/>
        <v>-</v>
      </c>
      <c r="AO170" s="227" t="str">
        <f t="shared" si="112"/>
        <v>-</v>
      </c>
      <c r="AP170" s="273">
        <f t="shared" si="140"/>
        <v>0.1</v>
      </c>
      <c r="AQ170" s="271" t="str">
        <f>IFERROR(IF(AL169=1,AQ$100*EXP(-(LN(2)/$D$65+0.04)*AN169)*EXP(-(LN(2)/$D$65+0.1)*AO169),IF(AL169=2,AQ$100*EXP(-(LN(2)/$D$65+0.04)*(VLOOKUP(($F$16-$F$15)-1,AK$99:AO169,4,FALSE)))*EXP(-(LN(2)/$D$65+0.1)*(VLOOKUP(($F$16-$F$15)-1,AK$99:AO169,5,FALSE)))*EXP(-(LN(2)/$D$65+0.04)*AN169)*EXP(-(LN(2)/$D$65+0.1)*AO169),IF(AL169=3,AQ$100*EXP(-(LN(2)/$D$65+0.04)*(VLOOKUP(($F$16-$F$15)-1,AK$99:AO169,4,FALSE)))*EXP(-(LN(2)/$D$65+0.1)*(VLOOKUP(($F$16-$F$15)-1,AK$99:AO169,5,FALSE)))*EXP(-(LN(2)/$D$65+0.04)*(VLOOKUP(($F$16-$F$15)*2-1,AK$99:AO169,4,FALSE)))*EXP(-(LN(2)/$D$65+0.1)*(VLOOKUP(($F$16-$F$15)*2-1,AK$99:AO169,5,FALSE)))*EXP(-(LN(2)/$D$65+0.04)*AN169)*EXP(-(LN(2)/$D$65+0.1)*AO169),"-"))),"-")</f>
        <v>-</v>
      </c>
      <c r="AR170" s="271" t="str">
        <f>IFERROR(IF(AL170=1,AR$100*EXP(-(LN(2)/$D$65+0.04)*AN170)*EXP(-(LN(2)/$D$65+0.1)*AO170),IF(AL170=2,AR$100*EXP(-(LN(2)/$D$65+0.04)*(VLOOKUP(($F$16-$F$15)-1,AK$100:AO170,4,FALSE)))*EXP(-(LN(2)/$D$65+0.1)*(VLOOKUP(($F$16-$F$15)-1,AK$100:AO170,5,FALSE)))*EXP(-(LN(2)/$D$65+0.04)*AN170)*EXP(-(LN(2)/$D$65+0.1)*AO170),IF(AL170=3,AR$100*EXP(-(LN(2)/$D$65+0.04)*(VLOOKUP(($F$16-$F$15)-1,AK$100:AO170,4,FALSE)))*EXP(-(LN(2)/$D$65+0.1)*(VLOOKUP(($F$16-$F$15)-1,AK$100:AO170,5,FALSE)))*EXP(-(LN(2)/$D$65+0.04)*(VLOOKUP(($F$16-$F$15)*2-1,AK$100:AO170,4,FALSE)))*EXP(-(LN(2)/$D$65+0.1)*(VLOOKUP(($F$16-$F$15)*2-1,AK$100:AO170,5,FALSE)))*EXP(-(LN(2)/$D$65+0.04)*AN170)*EXP(-(LN(2)/$D$65+0.1)*AO170),"-"))),"-")</f>
        <v>-</v>
      </c>
      <c r="AS170" s="274">
        <f t="shared" si="113"/>
        <v>0</v>
      </c>
      <c r="AT170" s="274">
        <f t="shared" si="114"/>
        <v>0</v>
      </c>
      <c r="AU170" s="274">
        <f t="shared" si="115"/>
        <v>0</v>
      </c>
      <c r="AV170" s="190" t="str">
        <f>IF($B170&lt;$F$22,SUM($T$100:$T170),"")</f>
        <v/>
      </c>
      <c r="AW170" s="190" t="str">
        <f t="shared" si="116"/>
        <v>-</v>
      </c>
      <c r="AX170" s="190" t="str">
        <f t="shared" si="141"/>
        <v/>
      </c>
      <c r="AY170"/>
      <c r="AZ170" s="190" t="str">
        <f ca="1">IF(ISNUMBER(OFFSET(AV170,-$F$21,0)),SUM(OFFSET($T$100,$F$21,0):$T170),"")</f>
        <v/>
      </c>
      <c r="BA170" s="190" t="str">
        <f t="shared" ca="1" si="117"/>
        <v/>
      </c>
      <c r="BB170" s="190" t="str">
        <f t="shared" ca="1" si="70"/>
        <v/>
      </c>
      <c r="BC170" s="190"/>
      <c r="BD170" s="190" t="str">
        <f ca="1">IFERROR(IF(OR(ISNUMBER(I),ISNUMBER($F$14)),IF(AND($B170&gt;=($F$16-$F$15),$B170&lt;$F$22+($F$16-$F$15)),SUM(OFFSET($T$100,($F$16-$F$15),0):$T170),""),""),"")</f>
        <v/>
      </c>
      <c r="BE170" s="190" t="str">
        <f t="shared" ca="1" si="142"/>
        <v/>
      </c>
      <c r="BF170" s="190" t="str">
        <f t="shared" ca="1" si="143"/>
        <v/>
      </c>
      <c r="BG170"/>
      <c r="BH170" s="190" t="str">
        <f ca="1">IF(ISNUMBER(OFFSET(BD170,-$F$21,0)),SUM(OFFSET($T$100,($F$16-$F$15+$F$21),0):$T170),"")</f>
        <v/>
      </c>
      <c r="BI170" s="190" t="str">
        <f t="shared" ca="1" si="118"/>
        <v/>
      </c>
      <c r="BJ170" s="190" t="str">
        <f t="shared" ca="1" si="144"/>
        <v/>
      </c>
      <c r="BK170" s="190"/>
      <c r="BL170" s="190" t="str">
        <f ca="1">IFERROR(IF(OR(ISNUMBER(I),ISNUMBER($F$14)),IF(AND($B170&gt;=($F$17-$F$15),$B170&lt;$F$22+($F$17-$F$15)),SUM(OFFSET($T$100,($F$17-$F$15),0):$T170),""),""),"")</f>
        <v/>
      </c>
      <c r="BM170" s="190" t="str">
        <f t="shared" ca="1" si="119"/>
        <v/>
      </c>
      <c r="BN170" s="190" t="str">
        <f t="shared" ca="1" si="145"/>
        <v/>
      </c>
      <c r="BO170"/>
      <c r="BP170" s="190" t="str">
        <f ca="1">IF(ISNUMBER(OFFSET(BL170,-$F$21,0)),SUM(OFFSET($T$100,($F$17-$F$15+$F$21),0):$T170),"")</f>
        <v/>
      </c>
      <c r="BQ170" s="190" t="str">
        <f t="shared" ca="1" si="120"/>
        <v/>
      </c>
      <c r="BR170" s="190" t="str">
        <f t="shared" ca="1" si="146"/>
        <v/>
      </c>
      <c r="BS170" s="190"/>
      <c r="BT170"/>
      <c r="BU170"/>
      <c r="BV170"/>
      <c r="BY170" s="99"/>
      <c r="BZ170" s="99"/>
      <c r="CA170" s="280" t="str">
        <f t="shared" si="121"/>
        <v/>
      </c>
      <c r="CB170" s="71" t="str">
        <f t="shared" si="122"/>
        <v>-</v>
      </c>
      <c r="CC170" s="33"/>
      <c r="CD170" s="261" t="str">
        <f t="shared" si="123"/>
        <v/>
      </c>
      <c r="CE170" s="280" t="str">
        <f t="shared" si="124"/>
        <v/>
      </c>
      <c r="CF170" s="71" t="str">
        <f t="shared" ca="1" si="125"/>
        <v/>
      </c>
      <c r="CG170" s="33" t="str">
        <f t="shared" si="126"/>
        <v/>
      </c>
      <c r="CH170" s="261" t="str">
        <f t="shared" ca="1" si="127"/>
        <v/>
      </c>
      <c r="CI170" s="202"/>
      <c r="CJ170" s="99"/>
      <c r="CK170" s="99"/>
      <c r="CL170" s="99"/>
      <c r="CM170" s="99"/>
      <c r="CN170" s="99"/>
      <c r="CO170" s="99"/>
    </row>
    <row r="171" spans="2:93" ht="13.5" customHeight="1" x14ac:dyDescent="0.2">
      <c r="B171" s="262">
        <v>71</v>
      </c>
      <c r="C171" s="237" t="str">
        <f t="shared" si="91"/>
        <v/>
      </c>
      <c r="D171" s="237" t="str">
        <f t="shared" si="147"/>
        <v/>
      </c>
      <c r="E171" s="290" t="str">
        <f t="shared" si="128"/>
        <v/>
      </c>
      <c r="F171" s="264" t="str">
        <f t="shared" si="129"/>
        <v/>
      </c>
      <c r="G171" s="291" t="str">
        <f t="shared" si="130"/>
        <v/>
      </c>
      <c r="H171" s="240" t="str">
        <f t="shared" si="92"/>
        <v/>
      </c>
      <c r="I171" s="265" t="str">
        <f t="shared" si="93"/>
        <v/>
      </c>
      <c r="J171" s="265" t="str">
        <f t="shared" si="94"/>
        <v/>
      </c>
      <c r="K171" s="240" t="str">
        <f t="shared" si="95"/>
        <v/>
      </c>
      <c r="L171" s="265" t="str">
        <f t="shared" si="96"/>
        <v/>
      </c>
      <c r="M171" s="265" t="str">
        <f t="shared" si="97"/>
        <v/>
      </c>
      <c r="N171" s="240" t="str">
        <f t="shared" si="98"/>
        <v>-</v>
      </c>
      <c r="O171" s="265" t="str">
        <f t="shared" si="99"/>
        <v>-</v>
      </c>
      <c r="P171" s="265" t="str">
        <f t="shared" si="100"/>
        <v>-</v>
      </c>
      <c r="Q171" s="266" t="str">
        <f t="shared" si="101"/>
        <v>-</v>
      </c>
      <c r="R171" s="267" t="str">
        <f t="shared" si="102"/>
        <v>-</v>
      </c>
      <c r="S171" s="268" t="str">
        <f t="shared" si="103"/>
        <v>-</v>
      </c>
      <c r="T171" s="269" t="str">
        <f t="shared" si="104"/>
        <v/>
      </c>
      <c r="U171" s="221">
        <f t="shared" si="105"/>
        <v>71</v>
      </c>
      <c r="V171" s="220" t="str">
        <f t="shared" si="131"/>
        <v>-</v>
      </c>
      <c r="W171" s="221" t="str">
        <f t="shared" si="132"/>
        <v>-</v>
      </c>
      <c r="X171" s="221" t="str">
        <f t="shared" si="106"/>
        <v>-</v>
      </c>
      <c r="Y171" s="221" t="str">
        <f t="shared" si="107"/>
        <v>-</v>
      </c>
      <c r="Z171" s="270">
        <f t="shared" si="133"/>
        <v>0.1</v>
      </c>
      <c r="AA171" s="271" t="str">
        <f>IFERROR(IF(V170=1,AA$100*EXP(-(LN(2)/$D$65+0.04)*X170)*EXP(-(LN(2)/$D$65+0.1)*Y170),IF(V170=2,AA$100*EXP(-(LN(2)/$D$65+0.04)*(VLOOKUP(($F$16-$F$15)-1,U$99:Y170,4,FALSE)))*EXP(-(LN(2)/$D$65+0.1)*(VLOOKUP(($F$16-$F$15)-1,U$99:Y170,5,FALSE)))*EXP(-(LN(2)/$D$65+0.04)*X170)*EXP(-(LN(2)/$D$65+0.1)*Y170),IF(V170=3,AA$100*EXP(-(LN(2)/$D$65+0.04)*(VLOOKUP(($F$16-$F$15)-1,U$99:Y170,4,FALSE)))*EXP(-(LN(2)/$D$65+0.1)*(VLOOKUP(($F$16-$F$15)-1,U$99:Y170,5,FALSE)))*EXP(-(LN(2)/$D$65+0.04)*(VLOOKUP(($F$16-$F$15)*2-1,U$99:Y170,4,FALSE)))*EXP(-(LN(2)/$D$65+0.1)*(VLOOKUP(($F$16-$F$15)*2-1,U$99:Y170,5,FALSE)))*EXP(-(LN(2)/$D$65+0.04)*X170)*EXP(-(LN(2)/$D$65+0.1)*Y170),"-"))),"-")</f>
        <v>-</v>
      </c>
      <c r="AB171" s="271" t="str">
        <f>IFERROR(IF(V171=1,AB$100*EXP(-(LN(2)/$D$65+0.04)*X171)*EXP(-(LN(2)/$D$65+0.1)*Y171),IF(V171=2,AB$100*EXP(-(LN(2)/$D$65+0.04)*(VLOOKUP(($F$16-$F$15)-1,U$100:Y171,4,FALSE)))*EXP(-(LN(2)/$D$65+0.1)*(VLOOKUP(($F$16-$F$15)-1,U$100:Y171,5,FALSE)))*EXP(-(LN(2)/$D$65+0.04)*X171)*EXP(-(LN(2)/$D$65+0.1)*Y171),IF(V171=3,AB$100*EXP(-(LN(2)/$D$65+0.04)*(VLOOKUP(($F$16-$F$15)-1,U$100:Y171,4,FALSE)))*EXP(-(LN(2)/$D$65+0.1)*(VLOOKUP(($F$16-$F$15)-1,U$100:Y171,5,FALSE)))*EXP(-(LN(2)/$D$65+0.04)*(VLOOKUP(($F$16-$F$15)*2-1,U$100:Y171,4,FALSE)))*EXP(-(LN(2)/$D$65+0.1)*(VLOOKUP(($F$16-$F$15)*2-1,U$100:Y171,5,FALSE)))*EXP(-(LN(2)/$D$65+0.04)*X171)*EXP(-(LN(2)/$D$65+0.1)*Y171),"-"))),"-")</f>
        <v>-</v>
      </c>
      <c r="AC171" s="224">
        <f t="shared" si="134"/>
        <v>71</v>
      </c>
      <c r="AD171" s="223" t="str">
        <f t="shared" si="108"/>
        <v>-</v>
      </c>
      <c r="AE171" s="224" t="str">
        <f t="shared" si="135"/>
        <v>-</v>
      </c>
      <c r="AF171" s="224" t="str">
        <f t="shared" si="109"/>
        <v>-</v>
      </c>
      <c r="AG171" s="224" t="str">
        <f t="shared" si="110"/>
        <v>-</v>
      </c>
      <c r="AH171" s="272">
        <f t="shared" si="136"/>
        <v>0.1</v>
      </c>
      <c r="AI171" s="271" t="str">
        <f>IFERROR(IF(AD170=1,AI$100*EXP(-(LN(2)/$D$65+0.04)*AF170)*EXP(-(LN(2)/$D$65+0.1)*AG170),IF(AD170=2,AI$100*EXP(-(LN(2)/$D$65+0.04)*(VLOOKUP(($F$16-$F$15)-1,AC$99:AG170,4,FALSE)))*EXP(-(LN(2)/$D$65+0.1)*(VLOOKUP(($F$16-$F$15)-1,AC$99:AG170,5,FALSE)))*EXP(-(LN(2)/$D$65+0.04)*AF170)*EXP(-(LN(2)/$D$65+0.1)*AG170),IF(AD170=3,AI$100*EXP(-(LN(2)/$D$65+0.04)*(VLOOKUP(($F$16-$F$15)-1,AC$99:AG170,4,FALSE)))*EXP(-(LN(2)/$D$65+0.1)*(VLOOKUP(($F$16-$F$15)-1,AC$99:AG170,5,FALSE)))*EXP(-(LN(2)/$D$65+0.04)*(VLOOKUP(($F$16-$F$15)*2-1,AC$99:AG170,4,FALSE)))*EXP(-(LN(2)/$D$65+0.1)*(VLOOKUP(($F$16-$F$15)*2-1,AC$99:AG170,5,FALSE)))*EXP(-(LN(2)/$D$65+0.04)*AF170)*EXP(-(LN(2)/$D$65+0.1)*AG170),"-"))),"-")</f>
        <v>-</v>
      </c>
      <c r="AJ171" s="271" t="str">
        <f>IFERROR(IF(AD171=1,AJ$100*EXP(-(LN(2)/$D$65+0.04)*AF171)*EXP(-(LN(2)/$D$65+0.1)*AG171),IF(AD171=2,AJ$100*EXP(-(LN(2)/$D$65+0.04)*(VLOOKUP(($F$16-$F$15)-1,AC$100:AG171,4,FALSE)))*EXP(-(LN(2)/$D$65+0.1)*(VLOOKUP(($F$16-$F$15)-1,AC$100:AG171,5,FALSE)))*EXP(-(LN(2)/$D$65+0.04)*AF171)*EXP(-(LN(2)/$D$65+0.1)*AG171),IF(AD171=3,AJ$100*EXP(-(LN(2)/$D$65+0.04)*(VLOOKUP(($F$16-$F$15)-1,AC$100:AG171,4,FALSE)))*EXP(-(LN(2)/$D$65+0.1)*(VLOOKUP(($F$16-$F$15)-1,AC$100:AG171,5,FALSE)))*EXP(-(LN(2)/$D$65+0.04)*(VLOOKUP(($F$16-$F$15)*2-1,AC$100:AG171,4,FALSE)))*EXP(-(LN(2)/$D$65+0.1)*(VLOOKUP(($F$16-$F$15)*2-1,AC$100:AG171,5,FALSE)))*EXP(-(LN(2)/$D$65+0.04)*AF171)*EXP(-(LN(2)/$D$65+0.1)*AG171),"-"))),"-")</f>
        <v>-</v>
      </c>
      <c r="AK171" s="227">
        <f t="shared" si="137"/>
        <v>71</v>
      </c>
      <c r="AL171" s="226" t="str">
        <f t="shared" si="111"/>
        <v>-</v>
      </c>
      <c r="AM171" s="227" t="str">
        <f t="shared" si="138"/>
        <v>-</v>
      </c>
      <c r="AN171" s="227" t="str">
        <f t="shared" si="139"/>
        <v>-</v>
      </c>
      <c r="AO171" s="227" t="str">
        <f t="shared" si="112"/>
        <v>-</v>
      </c>
      <c r="AP171" s="273">
        <f t="shared" si="140"/>
        <v>0.1</v>
      </c>
      <c r="AQ171" s="271" t="str">
        <f>IFERROR(IF(AL170=1,AQ$100*EXP(-(LN(2)/$D$65+0.04)*AN170)*EXP(-(LN(2)/$D$65+0.1)*AO170),IF(AL170=2,AQ$100*EXP(-(LN(2)/$D$65+0.04)*(VLOOKUP(($F$16-$F$15)-1,AK$99:AO170,4,FALSE)))*EXP(-(LN(2)/$D$65+0.1)*(VLOOKUP(($F$16-$F$15)-1,AK$99:AO170,5,FALSE)))*EXP(-(LN(2)/$D$65+0.04)*AN170)*EXP(-(LN(2)/$D$65+0.1)*AO170),IF(AL170=3,AQ$100*EXP(-(LN(2)/$D$65+0.04)*(VLOOKUP(($F$16-$F$15)-1,AK$99:AO170,4,FALSE)))*EXP(-(LN(2)/$D$65+0.1)*(VLOOKUP(($F$16-$F$15)-1,AK$99:AO170,5,FALSE)))*EXP(-(LN(2)/$D$65+0.04)*(VLOOKUP(($F$16-$F$15)*2-1,AK$99:AO170,4,FALSE)))*EXP(-(LN(2)/$D$65+0.1)*(VLOOKUP(($F$16-$F$15)*2-1,AK$99:AO170,5,FALSE)))*EXP(-(LN(2)/$D$65+0.04)*AN170)*EXP(-(LN(2)/$D$65+0.1)*AO170),"-"))),"-")</f>
        <v>-</v>
      </c>
      <c r="AR171" s="271" t="str">
        <f>IFERROR(IF(AL171=1,AR$100*EXP(-(LN(2)/$D$65+0.04)*AN171)*EXP(-(LN(2)/$D$65+0.1)*AO171),IF(AL171=2,AR$100*EXP(-(LN(2)/$D$65+0.04)*(VLOOKUP(($F$16-$F$15)-1,AK$100:AO171,4,FALSE)))*EXP(-(LN(2)/$D$65+0.1)*(VLOOKUP(($F$16-$F$15)-1,AK$100:AO171,5,FALSE)))*EXP(-(LN(2)/$D$65+0.04)*AN171)*EXP(-(LN(2)/$D$65+0.1)*AO171),IF(AL171=3,AR$100*EXP(-(LN(2)/$D$65+0.04)*(VLOOKUP(($F$16-$F$15)-1,AK$100:AO171,4,FALSE)))*EXP(-(LN(2)/$D$65+0.1)*(VLOOKUP(($F$16-$F$15)-1,AK$100:AO171,5,FALSE)))*EXP(-(LN(2)/$D$65+0.04)*(VLOOKUP(($F$16-$F$15)*2-1,AK$100:AO171,4,FALSE)))*EXP(-(LN(2)/$D$65+0.1)*(VLOOKUP(($F$16-$F$15)*2-1,AK$100:AO171,5,FALSE)))*EXP(-(LN(2)/$D$65+0.04)*AN171)*EXP(-(LN(2)/$D$65+0.1)*AO171),"-"))),"-")</f>
        <v>-</v>
      </c>
      <c r="AS171" s="274">
        <f t="shared" si="113"/>
        <v>0</v>
      </c>
      <c r="AT171" s="274">
        <f t="shared" si="114"/>
        <v>0</v>
      </c>
      <c r="AU171" s="274">
        <f t="shared" si="115"/>
        <v>0</v>
      </c>
      <c r="AV171" s="190" t="str">
        <f>IF($B171&lt;$F$22,SUM($T$100:$T171),"")</f>
        <v/>
      </c>
      <c r="AW171" s="190" t="str">
        <f t="shared" si="116"/>
        <v>-</v>
      </c>
      <c r="AX171" s="190" t="str">
        <f t="shared" si="141"/>
        <v/>
      </c>
      <c r="AY171"/>
      <c r="AZ171" s="190" t="str">
        <f ca="1">IF(ISNUMBER(OFFSET(AV171,-$F$21,0)),SUM(OFFSET($T$100,$F$21,0):$T171),"")</f>
        <v/>
      </c>
      <c r="BA171" s="190" t="str">
        <f t="shared" ca="1" si="117"/>
        <v/>
      </c>
      <c r="BB171" s="190" t="str">
        <f t="shared" ca="1" si="70"/>
        <v/>
      </c>
      <c r="BC171" s="190"/>
      <c r="BD171" s="190" t="str">
        <f ca="1">IFERROR(IF(OR(ISNUMBER(I),ISNUMBER($F$14)),IF(AND($B171&gt;=($F$16-$F$15),$B171&lt;$F$22+($F$16-$F$15)),SUM(OFFSET($T$100,($F$16-$F$15),0):$T171),""),""),"")</f>
        <v/>
      </c>
      <c r="BE171" s="190" t="str">
        <f t="shared" ca="1" si="142"/>
        <v/>
      </c>
      <c r="BF171" s="190" t="str">
        <f t="shared" ca="1" si="143"/>
        <v/>
      </c>
      <c r="BG171"/>
      <c r="BH171" s="190" t="str">
        <f ca="1">IF(ISNUMBER(OFFSET(BD171,-$F$21,0)),SUM(OFFSET($T$100,($F$16-$F$15+$F$21),0):$T171),"")</f>
        <v/>
      </c>
      <c r="BI171" s="190" t="str">
        <f t="shared" ca="1" si="118"/>
        <v/>
      </c>
      <c r="BJ171" s="190" t="str">
        <f t="shared" ca="1" si="144"/>
        <v/>
      </c>
      <c r="BK171" s="190"/>
      <c r="BL171" s="190" t="str">
        <f ca="1">IFERROR(IF(OR(ISNUMBER(I),ISNUMBER($F$14)),IF(AND($B171&gt;=($F$17-$F$15),$B171&lt;$F$22+($F$17-$F$15)),SUM(OFFSET($T$100,($F$17-$F$15),0):$T171),""),""),"")</f>
        <v/>
      </c>
      <c r="BM171" s="190" t="str">
        <f t="shared" ca="1" si="119"/>
        <v/>
      </c>
      <c r="BN171" s="190" t="str">
        <f t="shared" ca="1" si="145"/>
        <v/>
      </c>
      <c r="BO171"/>
      <c r="BP171" s="190" t="str">
        <f ca="1">IF(ISNUMBER(OFFSET(BL171,-$F$21,0)),SUM(OFFSET($T$100,($F$17-$F$15+$F$21),0):$T171),"")</f>
        <v/>
      </c>
      <c r="BQ171" s="190" t="str">
        <f t="shared" ca="1" si="120"/>
        <v/>
      </c>
      <c r="BR171" s="190" t="str">
        <f t="shared" ca="1" si="146"/>
        <v/>
      </c>
      <c r="BS171" s="190"/>
      <c r="BT171"/>
      <c r="BU171"/>
      <c r="BV171"/>
      <c r="BY171" s="99"/>
      <c r="BZ171" s="99"/>
      <c r="CA171" s="280" t="str">
        <f t="shared" si="121"/>
        <v/>
      </c>
      <c r="CB171" s="71" t="str">
        <f t="shared" si="122"/>
        <v>-</v>
      </c>
      <c r="CC171" s="33"/>
      <c r="CD171" s="261" t="str">
        <f t="shared" si="123"/>
        <v/>
      </c>
      <c r="CE171" s="280" t="str">
        <f t="shared" si="124"/>
        <v/>
      </c>
      <c r="CF171" s="71" t="str">
        <f t="shared" ca="1" si="125"/>
        <v/>
      </c>
      <c r="CG171" s="33" t="str">
        <f t="shared" si="126"/>
        <v/>
      </c>
      <c r="CH171" s="261" t="str">
        <f t="shared" ca="1" si="127"/>
        <v/>
      </c>
      <c r="CI171" s="202"/>
      <c r="CJ171" s="99"/>
      <c r="CK171" s="99"/>
      <c r="CL171" s="99"/>
      <c r="CM171" s="99"/>
      <c r="CN171" s="99"/>
      <c r="CO171" s="99"/>
    </row>
    <row r="172" spans="2:93" ht="13.5" customHeight="1" x14ac:dyDescent="0.2">
      <c r="B172" s="262">
        <v>72</v>
      </c>
      <c r="C172" s="237" t="str">
        <f t="shared" si="91"/>
        <v/>
      </c>
      <c r="D172" s="237" t="str">
        <f t="shared" si="147"/>
        <v/>
      </c>
      <c r="E172" s="290" t="str">
        <f t="shared" si="128"/>
        <v/>
      </c>
      <c r="F172" s="264" t="str">
        <f t="shared" si="129"/>
        <v/>
      </c>
      <c r="G172" s="291" t="str">
        <f t="shared" si="130"/>
        <v/>
      </c>
      <c r="H172" s="240" t="str">
        <f t="shared" si="92"/>
        <v/>
      </c>
      <c r="I172" s="265" t="str">
        <f t="shared" si="93"/>
        <v/>
      </c>
      <c r="J172" s="265" t="str">
        <f t="shared" si="94"/>
        <v/>
      </c>
      <c r="K172" s="240" t="str">
        <f t="shared" si="95"/>
        <v/>
      </c>
      <c r="L172" s="265" t="str">
        <f t="shared" si="96"/>
        <v/>
      </c>
      <c r="M172" s="265" t="str">
        <f t="shared" si="97"/>
        <v/>
      </c>
      <c r="N172" s="240" t="str">
        <f t="shared" si="98"/>
        <v>-</v>
      </c>
      <c r="O172" s="265" t="str">
        <f t="shared" si="99"/>
        <v>-</v>
      </c>
      <c r="P172" s="265" t="str">
        <f t="shared" si="100"/>
        <v>-</v>
      </c>
      <c r="Q172" s="266" t="str">
        <f t="shared" si="101"/>
        <v>-</v>
      </c>
      <c r="R172" s="267" t="str">
        <f t="shared" si="102"/>
        <v>-</v>
      </c>
      <c r="S172" s="268" t="str">
        <f t="shared" si="103"/>
        <v>-</v>
      </c>
      <c r="T172" s="269" t="str">
        <f t="shared" si="104"/>
        <v/>
      </c>
      <c r="U172" s="221">
        <f t="shared" si="105"/>
        <v>72</v>
      </c>
      <c r="V172" s="220" t="str">
        <f t="shared" si="131"/>
        <v>-</v>
      </c>
      <c r="W172" s="221" t="str">
        <f t="shared" si="132"/>
        <v>-</v>
      </c>
      <c r="X172" s="221" t="str">
        <f t="shared" si="106"/>
        <v>-</v>
      </c>
      <c r="Y172" s="221" t="str">
        <f t="shared" si="107"/>
        <v>-</v>
      </c>
      <c r="Z172" s="270">
        <f t="shared" si="133"/>
        <v>0.1</v>
      </c>
      <c r="AA172" s="271" t="str">
        <f>IFERROR(IF(V171=1,AA$100*EXP(-(LN(2)/$D$65+0.04)*X171)*EXP(-(LN(2)/$D$65+0.1)*Y171),IF(V171=2,AA$100*EXP(-(LN(2)/$D$65+0.04)*(VLOOKUP(($F$16-$F$15)-1,U$99:Y171,4,FALSE)))*EXP(-(LN(2)/$D$65+0.1)*(VLOOKUP(($F$16-$F$15)-1,U$99:Y171,5,FALSE)))*EXP(-(LN(2)/$D$65+0.04)*X171)*EXP(-(LN(2)/$D$65+0.1)*Y171),IF(V171=3,AA$100*EXP(-(LN(2)/$D$65+0.04)*(VLOOKUP(($F$16-$F$15)-1,U$99:Y171,4,FALSE)))*EXP(-(LN(2)/$D$65+0.1)*(VLOOKUP(($F$16-$F$15)-1,U$99:Y171,5,FALSE)))*EXP(-(LN(2)/$D$65+0.04)*(VLOOKUP(($F$16-$F$15)*2-1,U$99:Y171,4,FALSE)))*EXP(-(LN(2)/$D$65+0.1)*(VLOOKUP(($F$16-$F$15)*2-1,U$99:Y171,5,FALSE)))*EXP(-(LN(2)/$D$65+0.04)*X171)*EXP(-(LN(2)/$D$65+0.1)*Y171),"-"))),"-")</f>
        <v>-</v>
      </c>
      <c r="AB172" s="271" t="str">
        <f>IFERROR(IF(V172=1,AB$100*EXP(-(LN(2)/$D$65+0.04)*X172)*EXP(-(LN(2)/$D$65+0.1)*Y172),IF(V172=2,AB$100*EXP(-(LN(2)/$D$65+0.04)*(VLOOKUP(($F$16-$F$15)-1,U$100:Y172,4,FALSE)))*EXP(-(LN(2)/$D$65+0.1)*(VLOOKUP(($F$16-$F$15)-1,U$100:Y172,5,FALSE)))*EXP(-(LN(2)/$D$65+0.04)*X172)*EXP(-(LN(2)/$D$65+0.1)*Y172),IF(V172=3,AB$100*EXP(-(LN(2)/$D$65+0.04)*(VLOOKUP(($F$16-$F$15)-1,U$100:Y172,4,FALSE)))*EXP(-(LN(2)/$D$65+0.1)*(VLOOKUP(($F$16-$F$15)-1,U$100:Y172,5,FALSE)))*EXP(-(LN(2)/$D$65+0.04)*(VLOOKUP(($F$16-$F$15)*2-1,U$100:Y172,4,FALSE)))*EXP(-(LN(2)/$D$65+0.1)*(VLOOKUP(($F$16-$F$15)*2-1,U$100:Y172,5,FALSE)))*EXP(-(LN(2)/$D$65+0.04)*X172)*EXP(-(LN(2)/$D$65+0.1)*Y172),"-"))),"-")</f>
        <v>-</v>
      </c>
      <c r="AC172" s="224">
        <f t="shared" si="134"/>
        <v>72</v>
      </c>
      <c r="AD172" s="223" t="str">
        <f t="shared" si="108"/>
        <v>-</v>
      </c>
      <c r="AE172" s="224" t="str">
        <f t="shared" si="135"/>
        <v>-</v>
      </c>
      <c r="AF172" s="224" t="str">
        <f t="shared" si="109"/>
        <v>-</v>
      </c>
      <c r="AG172" s="224" t="str">
        <f t="shared" si="110"/>
        <v>-</v>
      </c>
      <c r="AH172" s="272">
        <f t="shared" si="136"/>
        <v>0.1</v>
      </c>
      <c r="AI172" s="271" t="str">
        <f>IFERROR(IF(AD171=1,AI$100*EXP(-(LN(2)/$D$65+0.04)*AF171)*EXP(-(LN(2)/$D$65+0.1)*AG171),IF(AD171=2,AI$100*EXP(-(LN(2)/$D$65+0.04)*(VLOOKUP(($F$16-$F$15)-1,AC$99:AG171,4,FALSE)))*EXP(-(LN(2)/$D$65+0.1)*(VLOOKUP(($F$16-$F$15)-1,AC$99:AG171,5,FALSE)))*EXP(-(LN(2)/$D$65+0.04)*AF171)*EXP(-(LN(2)/$D$65+0.1)*AG171),IF(AD171=3,AI$100*EXP(-(LN(2)/$D$65+0.04)*(VLOOKUP(($F$16-$F$15)-1,AC$99:AG171,4,FALSE)))*EXP(-(LN(2)/$D$65+0.1)*(VLOOKUP(($F$16-$F$15)-1,AC$99:AG171,5,FALSE)))*EXP(-(LN(2)/$D$65+0.04)*(VLOOKUP(($F$16-$F$15)*2-1,AC$99:AG171,4,FALSE)))*EXP(-(LN(2)/$D$65+0.1)*(VLOOKUP(($F$16-$F$15)*2-1,AC$99:AG171,5,FALSE)))*EXP(-(LN(2)/$D$65+0.04)*AF171)*EXP(-(LN(2)/$D$65+0.1)*AG171),"-"))),"-")</f>
        <v>-</v>
      </c>
      <c r="AJ172" s="271" t="str">
        <f>IFERROR(IF(AD172=1,AJ$100*EXP(-(LN(2)/$D$65+0.04)*AF172)*EXP(-(LN(2)/$D$65+0.1)*AG172),IF(AD172=2,AJ$100*EXP(-(LN(2)/$D$65+0.04)*(VLOOKUP(($F$16-$F$15)-1,AC$100:AG172,4,FALSE)))*EXP(-(LN(2)/$D$65+0.1)*(VLOOKUP(($F$16-$F$15)-1,AC$100:AG172,5,FALSE)))*EXP(-(LN(2)/$D$65+0.04)*AF172)*EXP(-(LN(2)/$D$65+0.1)*AG172),IF(AD172=3,AJ$100*EXP(-(LN(2)/$D$65+0.04)*(VLOOKUP(($F$16-$F$15)-1,AC$100:AG172,4,FALSE)))*EXP(-(LN(2)/$D$65+0.1)*(VLOOKUP(($F$16-$F$15)-1,AC$100:AG172,5,FALSE)))*EXP(-(LN(2)/$D$65+0.04)*(VLOOKUP(($F$16-$F$15)*2-1,AC$100:AG172,4,FALSE)))*EXP(-(LN(2)/$D$65+0.1)*(VLOOKUP(($F$16-$F$15)*2-1,AC$100:AG172,5,FALSE)))*EXP(-(LN(2)/$D$65+0.04)*AF172)*EXP(-(LN(2)/$D$65+0.1)*AG172),"-"))),"-")</f>
        <v>-</v>
      </c>
      <c r="AK172" s="227">
        <f t="shared" si="137"/>
        <v>72</v>
      </c>
      <c r="AL172" s="226" t="str">
        <f t="shared" si="111"/>
        <v>-</v>
      </c>
      <c r="AM172" s="227" t="str">
        <f t="shared" si="138"/>
        <v>-</v>
      </c>
      <c r="AN172" s="227" t="str">
        <f t="shared" si="139"/>
        <v>-</v>
      </c>
      <c r="AO172" s="227" t="str">
        <f t="shared" si="112"/>
        <v>-</v>
      </c>
      <c r="AP172" s="273">
        <f t="shared" si="140"/>
        <v>0.1</v>
      </c>
      <c r="AQ172" s="271" t="str">
        <f>IFERROR(IF(AL171=1,AQ$100*EXP(-(LN(2)/$D$65+0.04)*AN171)*EXP(-(LN(2)/$D$65+0.1)*AO171),IF(AL171=2,AQ$100*EXP(-(LN(2)/$D$65+0.04)*(VLOOKUP(($F$16-$F$15)-1,AK$99:AO171,4,FALSE)))*EXP(-(LN(2)/$D$65+0.1)*(VLOOKUP(($F$16-$F$15)-1,AK$99:AO171,5,FALSE)))*EXP(-(LN(2)/$D$65+0.04)*AN171)*EXP(-(LN(2)/$D$65+0.1)*AO171),IF(AL171=3,AQ$100*EXP(-(LN(2)/$D$65+0.04)*(VLOOKUP(($F$16-$F$15)-1,AK$99:AO171,4,FALSE)))*EXP(-(LN(2)/$D$65+0.1)*(VLOOKUP(($F$16-$F$15)-1,AK$99:AO171,5,FALSE)))*EXP(-(LN(2)/$D$65+0.04)*(VLOOKUP(($F$16-$F$15)*2-1,AK$99:AO171,4,FALSE)))*EXP(-(LN(2)/$D$65+0.1)*(VLOOKUP(($F$16-$F$15)*2-1,AK$99:AO171,5,FALSE)))*EXP(-(LN(2)/$D$65+0.04)*AN171)*EXP(-(LN(2)/$D$65+0.1)*AO171),"-"))),"-")</f>
        <v>-</v>
      </c>
      <c r="AR172" s="271" t="str">
        <f>IFERROR(IF(AL172=1,AR$100*EXP(-(LN(2)/$D$65+0.04)*AN172)*EXP(-(LN(2)/$D$65+0.1)*AO172),IF(AL172=2,AR$100*EXP(-(LN(2)/$D$65+0.04)*(VLOOKUP(($F$16-$F$15)-1,AK$100:AO172,4,FALSE)))*EXP(-(LN(2)/$D$65+0.1)*(VLOOKUP(($F$16-$F$15)-1,AK$100:AO172,5,FALSE)))*EXP(-(LN(2)/$D$65+0.04)*AN172)*EXP(-(LN(2)/$D$65+0.1)*AO172),IF(AL172=3,AR$100*EXP(-(LN(2)/$D$65+0.04)*(VLOOKUP(($F$16-$F$15)-1,AK$100:AO172,4,FALSE)))*EXP(-(LN(2)/$D$65+0.1)*(VLOOKUP(($F$16-$F$15)-1,AK$100:AO172,5,FALSE)))*EXP(-(LN(2)/$D$65+0.04)*(VLOOKUP(($F$16-$F$15)*2-1,AK$100:AO172,4,FALSE)))*EXP(-(LN(2)/$D$65+0.1)*(VLOOKUP(($F$16-$F$15)*2-1,AK$100:AO172,5,FALSE)))*EXP(-(LN(2)/$D$65+0.04)*AN172)*EXP(-(LN(2)/$D$65+0.1)*AO172),"-"))),"-")</f>
        <v>-</v>
      </c>
      <c r="AS172" s="274">
        <f t="shared" si="113"/>
        <v>0</v>
      </c>
      <c r="AT172" s="274">
        <f t="shared" si="114"/>
        <v>0</v>
      </c>
      <c r="AU172" s="274">
        <f t="shared" si="115"/>
        <v>0</v>
      </c>
      <c r="AV172" s="190" t="str">
        <f>IF($B172&lt;$F$22,SUM($T$100:$T172),"")</f>
        <v/>
      </c>
      <c r="AW172" s="190" t="str">
        <f t="shared" si="116"/>
        <v>-</v>
      </c>
      <c r="AX172" s="190" t="str">
        <f t="shared" si="141"/>
        <v/>
      </c>
      <c r="AY172"/>
      <c r="AZ172" s="190" t="str">
        <f ca="1">IF(ISNUMBER(OFFSET(AV172,-$F$21,0)),SUM(OFFSET($T$100,$F$21,0):$T172),"")</f>
        <v/>
      </c>
      <c r="BA172" s="190" t="str">
        <f t="shared" ca="1" si="117"/>
        <v/>
      </c>
      <c r="BB172" s="190" t="str">
        <f t="shared" ca="1" si="70"/>
        <v/>
      </c>
      <c r="BC172" s="190"/>
      <c r="BD172" s="190" t="str">
        <f ca="1">IFERROR(IF(OR(ISNUMBER(I),ISNUMBER($F$14)),IF(AND($B172&gt;=($F$16-$F$15),$B172&lt;$F$22+($F$16-$F$15)),SUM(OFFSET($T$100,($F$16-$F$15),0):$T172),""),""),"")</f>
        <v/>
      </c>
      <c r="BE172" s="190" t="str">
        <f t="shared" ca="1" si="142"/>
        <v/>
      </c>
      <c r="BF172" s="190" t="str">
        <f t="shared" ca="1" si="143"/>
        <v/>
      </c>
      <c r="BG172"/>
      <c r="BH172" s="190" t="str">
        <f ca="1">IF(ISNUMBER(OFFSET(BD172,-$F$21,0)),SUM(OFFSET($T$100,($F$16-$F$15+$F$21),0):$T172),"")</f>
        <v/>
      </c>
      <c r="BI172" s="190" t="str">
        <f t="shared" ca="1" si="118"/>
        <v/>
      </c>
      <c r="BJ172" s="190" t="str">
        <f t="shared" ca="1" si="144"/>
        <v/>
      </c>
      <c r="BK172" s="190"/>
      <c r="BL172" s="190" t="str">
        <f ca="1">IFERROR(IF(OR(ISNUMBER(I),ISNUMBER($F$14)),IF(AND($B172&gt;=($F$17-$F$15),$B172&lt;$F$22+($F$17-$F$15)),SUM(OFFSET($T$100,($F$17-$F$15),0):$T172),""),""),"")</f>
        <v/>
      </c>
      <c r="BM172" s="190" t="str">
        <f t="shared" ca="1" si="119"/>
        <v/>
      </c>
      <c r="BN172" s="190" t="str">
        <f t="shared" ca="1" si="145"/>
        <v/>
      </c>
      <c r="BO172"/>
      <c r="BP172" s="190" t="str">
        <f ca="1">IF(ISNUMBER(OFFSET(BL172,-$F$21,0)),SUM(OFFSET($T$100,($F$17-$F$15+$F$21),0):$T172),"")</f>
        <v/>
      </c>
      <c r="BQ172" s="190" t="str">
        <f t="shared" ca="1" si="120"/>
        <v/>
      </c>
      <c r="BR172" s="190" t="str">
        <f t="shared" ca="1" si="146"/>
        <v/>
      </c>
      <c r="BS172" s="190"/>
      <c r="BT172"/>
      <c r="BU172"/>
      <c r="BV172"/>
      <c r="BY172" s="99"/>
      <c r="BZ172" s="99"/>
      <c r="CA172" s="280" t="str">
        <f t="shared" si="121"/>
        <v/>
      </c>
      <c r="CB172" s="71" t="str">
        <f t="shared" si="122"/>
        <v>-</v>
      </c>
      <c r="CC172" s="33"/>
      <c r="CD172" s="261" t="str">
        <f t="shared" si="123"/>
        <v/>
      </c>
      <c r="CE172" s="280" t="str">
        <f t="shared" si="124"/>
        <v/>
      </c>
      <c r="CF172" s="71" t="str">
        <f t="shared" ca="1" si="125"/>
        <v/>
      </c>
      <c r="CG172" s="33" t="str">
        <f t="shared" si="126"/>
        <v/>
      </c>
      <c r="CH172" s="261" t="str">
        <f t="shared" ca="1" si="127"/>
        <v/>
      </c>
      <c r="CI172" s="202"/>
      <c r="CJ172" s="99"/>
      <c r="CK172" s="99"/>
      <c r="CL172" s="99"/>
      <c r="CM172" s="99"/>
      <c r="CN172" s="99"/>
      <c r="CO172" s="99"/>
    </row>
    <row r="173" spans="2:93" ht="13.5" customHeight="1" x14ac:dyDescent="0.2">
      <c r="B173" s="262">
        <v>73</v>
      </c>
      <c r="C173" s="237" t="str">
        <f t="shared" si="91"/>
        <v/>
      </c>
      <c r="D173" s="237" t="str">
        <f t="shared" si="147"/>
        <v/>
      </c>
      <c r="E173" s="290" t="str">
        <f t="shared" si="128"/>
        <v/>
      </c>
      <c r="F173" s="264" t="str">
        <f t="shared" si="129"/>
        <v/>
      </c>
      <c r="G173" s="291" t="str">
        <f t="shared" si="130"/>
        <v/>
      </c>
      <c r="H173" s="240" t="str">
        <f t="shared" si="92"/>
        <v/>
      </c>
      <c r="I173" s="265" t="str">
        <f t="shared" si="93"/>
        <v/>
      </c>
      <c r="J173" s="265" t="str">
        <f t="shared" si="94"/>
        <v/>
      </c>
      <c r="K173" s="240" t="str">
        <f t="shared" si="95"/>
        <v/>
      </c>
      <c r="L173" s="265" t="str">
        <f t="shared" si="96"/>
        <v/>
      </c>
      <c r="M173" s="265" t="str">
        <f t="shared" si="97"/>
        <v/>
      </c>
      <c r="N173" s="240" t="str">
        <f t="shared" si="98"/>
        <v>-</v>
      </c>
      <c r="O173" s="265" t="str">
        <f t="shared" si="99"/>
        <v>-</v>
      </c>
      <c r="P173" s="265" t="str">
        <f t="shared" si="100"/>
        <v>-</v>
      </c>
      <c r="Q173" s="266" t="str">
        <f t="shared" si="101"/>
        <v>-</v>
      </c>
      <c r="R173" s="267" t="str">
        <f t="shared" si="102"/>
        <v>-</v>
      </c>
      <c r="S173" s="268" t="str">
        <f t="shared" si="103"/>
        <v>-</v>
      </c>
      <c r="T173" s="269" t="str">
        <f t="shared" si="104"/>
        <v/>
      </c>
      <c r="U173" s="221">
        <f t="shared" si="105"/>
        <v>73</v>
      </c>
      <c r="V173" s="220" t="str">
        <f t="shared" si="131"/>
        <v>-</v>
      </c>
      <c r="W173" s="221" t="str">
        <f t="shared" si="132"/>
        <v>-</v>
      </c>
      <c r="X173" s="221" t="str">
        <f t="shared" si="106"/>
        <v>-</v>
      </c>
      <c r="Y173" s="221" t="str">
        <f t="shared" si="107"/>
        <v>-</v>
      </c>
      <c r="Z173" s="270">
        <f t="shared" si="133"/>
        <v>0.1</v>
      </c>
      <c r="AA173" s="271" t="str">
        <f>IFERROR(IF(V172=1,AA$100*EXP(-(LN(2)/$D$65+0.04)*X172)*EXP(-(LN(2)/$D$65+0.1)*Y172),IF(V172=2,AA$100*EXP(-(LN(2)/$D$65+0.04)*(VLOOKUP(($F$16-$F$15)-1,U$99:Y172,4,FALSE)))*EXP(-(LN(2)/$D$65+0.1)*(VLOOKUP(($F$16-$F$15)-1,U$99:Y172,5,FALSE)))*EXP(-(LN(2)/$D$65+0.04)*X172)*EXP(-(LN(2)/$D$65+0.1)*Y172),IF(V172=3,AA$100*EXP(-(LN(2)/$D$65+0.04)*(VLOOKUP(($F$16-$F$15)-1,U$99:Y172,4,FALSE)))*EXP(-(LN(2)/$D$65+0.1)*(VLOOKUP(($F$16-$F$15)-1,U$99:Y172,5,FALSE)))*EXP(-(LN(2)/$D$65+0.04)*(VLOOKUP(($F$16-$F$15)*2-1,U$99:Y172,4,FALSE)))*EXP(-(LN(2)/$D$65+0.1)*(VLOOKUP(($F$16-$F$15)*2-1,U$99:Y172,5,FALSE)))*EXP(-(LN(2)/$D$65+0.04)*X172)*EXP(-(LN(2)/$D$65+0.1)*Y172),"-"))),"-")</f>
        <v>-</v>
      </c>
      <c r="AB173" s="271" t="str">
        <f>IFERROR(IF(V173=1,AB$100*EXP(-(LN(2)/$D$65+0.04)*X173)*EXP(-(LN(2)/$D$65+0.1)*Y173),IF(V173=2,AB$100*EXP(-(LN(2)/$D$65+0.04)*(VLOOKUP(($F$16-$F$15)-1,U$100:Y173,4,FALSE)))*EXP(-(LN(2)/$D$65+0.1)*(VLOOKUP(($F$16-$F$15)-1,U$100:Y173,5,FALSE)))*EXP(-(LN(2)/$D$65+0.04)*X173)*EXP(-(LN(2)/$D$65+0.1)*Y173),IF(V173=3,AB$100*EXP(-(LN(2)/$D$65+0.04)*(VLOOKUP(($F$16-$F$15)-1,U$100:Y173,4,FALSE)))*EXP(-(LN(2)/$D$65+0.1)*(VLOOKUP(($F$16-$F$15)-1,U$100:Y173,5,FALSE)))*EXP(-(LN(2)/$D$65+0.04)*(VLOOKUP(($F$16-$F$15)*2-1,U$100:Y173,4,FALSE)))*EXP(-(LN(2)/$D$65+0.1)*(VLOOKUP(($F$16-$F$15)*2-1,U$100:Y173,5,FALSE)))*EXP(-(LN(2)/$D$65+0.04)*X173)*EXP(-(LN(2)/$D$65+0.1)*Y173),"-"))),"-")</f>
        <v>-</v>
      </c>
      <c r="AC173" s="224">
        <f t="shared" si="134"/>
        <v>73</v>
      </c>
      <c r="AD173" s="223" t="str">
        <f t="shared" si="108"/>
        <v>-</v>
      </c>
      <c r="AE173" s="224" t="str">
        <f t="shared" si="135"/>
        <v>-</v>
      </c>
      <c r="AF173" s="224" t="str">
        <f t="shared" si="109"/>
        <v>-</v>
      </c>
      <c r="AG173" s="224" t="str">
        <f t="shared" si="110"/>
        <v>-</v>
      </c>
      <c r="AH173" s="272">
        <f t="shared" si="136"/>
        <v>0.1</v>
      </c>
      <c r="AI173" s="271" t="str">
        <f>IFERROR(IF(AD172=1,AI$100*EXP(-(LN(2)/$D$65+0.04)*AF172)*EXP(-(LN(2)/$D$65+0.1)*AG172),IF(AD172=2,AI$100*EXP(-(LN(2)/$D$65+0.04)*(VLOOKUP(($F$16-$F$15)-1,AC$99:AG172,4,FALSE)))*EXP(-(LN(2)/$D$65+0.1)*(VLOOKUP(($F$16-$F$15)-1,AC$99:AG172,5,FALSE)))*EXP(-(LN(2)/$D$65+0.04)*AF172)*EXP(-(LN(2)/$D$65+0.1)*AG172),IF(AD172=3,AI$100*EXP(-(LN(2)/$D$65+0.04)*(VLOOKUP(($F$16-$F$15)-1,AC$99:AG172,4,FALSE)))*EXP(-(LN(2)/$D$65+0.1)*(VLOOKUP(($F$16-$F$15)-1,AC$99:AG172,5,FALSE)))*EXP(-(LN(2)/$D$65+0.04)*(VLOOKUP(($F$16-$F$15)*2-1,AC$99:AG172,4,FALSE)))*EXP(-(LN(2)/$D$65+0.1)*(VLOOKUP(($F$16-$F$15)*2-1,AC$99:AG172,5,FALSE)))*EXP(-(LN(2)/$D$65+0.04)*AF172)*EXP(-(LN(2)/$D$65+0.1)*AG172),"-"))),"-")</f>
        <v>-</v>
      </c>
      <c r="AJ173" s="271" t="str">
        <f>IFERROR(IF(AD173=1,AJ$100*EXP(-(LN(2)/$D$65+0.04)*AF173)*EXP(-(LN(2)/$D$65+0.1)*AG173),IF(AD173=2,AJ$100*EXP(-(LN(2)/$D$65+0.04)*(VLOOKUP(($F$16-$F$15)-1,AC$100:AG173,4,FALSE)))*EXP(-(LN(2)/$D$65+0.1)*(VLOOKUP(($F$16-$F$15)-1,AC$100:AG173,5,FALSE)))*EXP(-(LN(2)/$D$65+0.04)*AF173)*EXP(-(LN(2)/$D$65+0.1)*AG173),IF(AD173=3,AJ$100*EXP(-(LN(2)/$D$65+0.04)*(VLOOKUP(($F$16-$F$15)-1,AC$100:AG173,4,FALSE)))*EXP(-(LN(2)/$D$65+0.1)*(VLOOKUP(($F$16-$F$15)-1,AC$100:AG173,5,FALSE)))*EXP(-(LN(2)/$D$65+0.04)*(VLOOKUP(($F$16-$F$15)*2-1,AC$100:AG173,4,FALSE)))*EXP(-(LN(2)/$D$65+0.1)*(VLOOKUP(($F$16-$F$15)*2-1,AC$100:AG173,5,FALSE)))*EXP(-(LN(2)/$D$65+0.04)*AF173)*EXP(-(LN(2)/$D$65+0.1)*AG173),"-"))),"-")</f>
        <v>-</v>
      </c>
      <c r="AK173" s="227">
        <f t="shared" si="137"/>
        <v>73</v>
      </c>
      <c r="AL173" s="226" t="str">
        <f t="shared" si="111"/>
        <v>-</v>
      </c>
      <c r="AM173" s="227" t="str">
        <f t="shared" si="138"/>
        <v>-</v>
      </c>
      <c r="AN173" s="227" t="str">
        <f t="shared" si="139"/>
        <v>-</v>
      </c>
      <c r="AO173" s="227" t="str">
        <f t="shared" si="112"/>
        <v>-</v>
      </c>
      <c r="AP173" s="273">
        <f t="shared" si="140"/>
        <v>0.1</v>
      </c>
      <c r="AQ173" s="271" t="str">
        <f>IFERROR(IF(AL172=1,AQ$100*EXP(-(LN(2)/$D$65+0.04)*AN172)*EXP(-(LN(2)/$D$65+0.1)*AO172),IF(AL172=2,AQ$100*EXP(-(LN(2)/$D$65+0.04)*(VLOOKUP(($F$16-$F$15)-1,AK$99:AO172,4,FALSE)))*EXP(-(LN(2)/$D$65+0.1)*(VLOOKUP(($F$16-$F$15)-1,AK$99:AO172,5,FALSE)))*EXP(-(LN(2)/$D$65+0.04)*AN172)*EXP(-(LN(2)/$D$65+0.1)*AO172),IF(AL172=3,AQ$100*EXP(-(LN(2)/$D$65+0.04)*(VLOOKUP(($F$16-$F$15)-1,AK$99:AO172,4,FALSE)))*EXP(-(LN(2)/$D$65+0.1)*(VLOOKUP(($F$16-$F$15)-1,AK$99:AO172,5,FALSE)))*EXP(-(LN(2)/$D$65+0.04)*(VLOOKUP(($F$16-$F$15)*2-1,AK$99:AO172,4,FALSE)))*EXP(-(LN(2)/$D$65+0.1)*(VLOOKUP(($F$16-$F$15)*2-1,AK$99:AO172,5,FALSE)))*EXP(-(LN(2)/$D$65+0.04)*AN172)*EXP(-(LN(2)/$D$65+0.1)*AO172),"-"))),"-")</f>
        <v>-</v>
      </c>
      <c r="AR173" s="271" t="str">
        <f>IFERROR(IF(AL173=1,AR$100*EXP(-(LN(2)/$D$65+0.04)*AN173)*EXP(-(LN(2)/$D$65+0.1)*AO173),IF(AL173=2,AR$100*EXP(-(LN(2)/$D$65+0.04)*(VLOOKUP(($F$16-$F$15)-1,AK$100:AO173,4,FALSE)))*EXP(-(LN(2)/$D$65+0.1)*(VLOOKUP(($F$16-$F$15)-1,AK$100:AO173,5,FALSE)))*EXP(-(LN(2)/$D$65+0.04)*AN173)*EXP(-(LN(2)/$D$65+0.1)*AO173),IF(AL173=3,AR$100*EXP(-(LN(2)/$D$65+0.04)*(VLOOKUP(($F$16-$F$15)-1,AK$100:AO173,4,FALSE)))*EXP(-(LN(2)/$D$65+0.1)*(VLOOKUP(($F$16-$F$15)-1,AK$100:AO173,5,FALSE)))*EXP(-(LN(2)/$D$65+0.04)*(VLOOKUP(($F$16-$F$15)*2-1,AK$100:AO173,4,FALSE)))*EXP(-(LN(2)/$D$65+0.1)*(VLOOKUP(($F$16-$F$15)*2-1,AK$100:AO173,5,FALSE)))*EXP(-(LN(2)/$D$65+0.04)*AN173)*EXP(-(LN(2)/$D$65+0.1)*AO173),"-"))),"-")</f>
        <v>-</v>
      </c>
      <c r="AS173" s="274">
        <f t="shared" si="113"/>
        <v>0</v>
      </c>
      <c r="AT173" s="274">
        <f t="shared" si="114"/>
        <v>0</v>
      </c>
      <c r="AU173" s="274">
        <f t="shared" si="115"/>
        <v>0</v>
      </c>
      <c r="AV173" s="190" t="str">
        <f>IF($B173&lt;$F$22,SUM($T$100:$T173),"")</f>
        <v/>
      </c>
      <c r="AW173" s="190" t="str">
        <f t="shared" si="116"/>
        <v>-</v>
      </c>
      <c r="AX173" s="190" t="str">
        <f t="shared" si="141"/>
        <v/>
      </c>
      <c r="AY173"/>
      <c r="AZ173" s="190" t="str">
        <f ca="1">IF(ISNUMBER(OFFSET(AV173,-$F$21,0)),SUM(OFFSET($T$100,$F$21,0):$T173),"")</f>
        <v/>
      </c>
      <c r="BA173" s="190" t="str">
        <f t="shared" ca="1" si="117"/>
        <v/>
      </c>
      <c r="BB173" s="190" t="str">
        <f t="shared" ca="1" si="70"/>
        <v/>
      </c>
      <c r="BC173" s="190"/>
      <c r="BD173" s="190" t="str">
        <f ca="1">IFERROR(IF(OR(ISNUMBER(I),ISNUMBER($F$14)),IF(AND($B173&gt;=($F$16-$F$15),$B173&lt;$F$22+($F$16-$F$15)),SUM(OFFSET($T$100,($F$16-$F$15),0):$T173),""),""),"")</f>
        <v/>
      </c>
      <c r="BE173" s="190" t="str">
        <f t="shared" ca="1" si="142"/>
        <v/>
      </c>
      <c r="BF173" s="190" t="str">
        <f t="shared" ca="1" si="143"/>
        <v/>
      </c>
      <c r="BG173"/>
      <c r="BH173" s="190" t="str">
        <f ca="1">IF(ISNUMBER(OFFSET(BD173,-$F$21,0)),SUM(OFFSET($T$100,($F$16-$F$15+$F$21),0):$T173),"")</f>
        <v/>
      </c>
      <c r="BI173" s="190" t="str">
        <f t="shared" ca="1" si="118"/>
        <v/>
      </c>
      <c r="BJ173" s="190" t="str">
        <f t="shared" ca="1" si="144"/>
        <v/>
      </c>
      <c r="BK173" s="190"/>
      <c r="BL173" s="190" t="str">
        <f ca="1">IFERROR(IF(OR(ISNUMBER(I),ISNUMBER($F$14)),IF(AND($B173&gt;=($F$17-$F$15),$B173&lt;$F$22+($F$17-$F$15)),SUM(OFFSET($T$100,($F$17-$F$15),0):$T173),""),""),"")</f>
        <v/>
      </c>
      <c r="BM173" s="190" t="str">
        <f t="shared" ca="1" si="119"/>
        <v/>
      </c>
      <c r="BN173" s="190" t="str">
        <f t="shared" ca="1" si="145"/>
        <v/>
      </c>
      <c r="BO173"/>
      <c r="BP173" s="190" t="str">
        <f ca="1">IF(ISNUMBER(OFFSET(BL173,-$F$21,0)),SUM(OFFSET($T$100,($F$17-$F$15+$F$21),0):$T173),"")</f>
        <v/>
      </c>
      <c r="BQ173" s="190" t="str">
        <f t="shared" ca="1" si="120"/>
        <v/>
      </c>
      <c r="BR173" s="190" t="str">
        <f t="shared" ca="1" si="146"/>
        <v/>
      </c>
      <c r="BS173" s="190"/>
      <c r="BT173"/>
      <c r="BU173"/>
      <c r="BV173"/>
      <c r="BY173" s="99"/>
      <c r="BZ173" s="99"/>
      <c r="CA173" s="280" t="str">
        <f t="shared" si="121"/>
        <v/>
      </c>
      <c r="CB173" s="71" t="str">
        <f t="shared" si="122"/>
        <v>-</v>
      </c>
      <c r="CC173" s="33"/>
      <c r="CD173" s="261" t="str">
        <f t="shared" si="123"/>
        <v/>
      </c>
      <c r="CE173" s="280" t="str">
        <f t="shared" si="124"/>
        <v/>
      </c>
      <c r="CF173" s="71" t="str">
        <f t="shared" ca="1" si="125"/>
        <v/>
      </c>
      <c r="CG173" s="33" t="str">
        <f t="shared" si="126"/>
        <v/>
      </c>
      <c r="CH173" s="261" t="str">
        <f t="shared" ca="1" si="127"/>
        <v/>
      </c>
      <c r="CI173" s="202"/>
      <c r="CJ173" s="99"/>
      <c r="CK173" s="99"/>
      <c r="CL173" s="99"/>
      <c r="CM173" s="99"/>
      <c r="CN173" s="99"/>
      <c r="CO173" s="99"/>
    </row>
    <row r="174" spans="2:93" ht="13.5" customHeight="1" x14ac:dyDescent="0.2">
      <c r="B174" s="262">
        <v>74</v>
      </c>
      <c r="C174" s="237" t="str">
        <f t="shared" si="91"/>
        <v/>
      </c>
      <c r="D174" s="237" t="str">
        <f t="shared" si="147"/>
        <v/>
      </c>
      <c r="E174" s="290" t="str">
        <f t="shared" si="128"/>
        <v/>
      </c>
      <c r="F174" s="264" t="str">
        <f t="shared" si="129"/>
        <v/>
      </c>
      <c r="G174" s="291" t="str">
        <f t="shared" si="130"/>
        <v/>
      </c>
      <c r="H174" s="240" t="str">
        <f t="shared" si="92"/>
        <v/>
      </c>
      <c r="I174" s="265" t="str">
        <f t="shared" si="93"/>
        <v/>
      </c>
      <c r="J174" s="265" t="str">
        <f t="shared" si="94"/>
        <v/>
      </c>
      <c r="K174" s="240" t="str">
        <f t="shared" si="95"/>
        <v/>
      </c>
      <c r="L174" s="265" t="str">
        <f t="shared" si="96"/>
        <v/>
      </c>
      <c r="M174" s="265" t="str">
        <f t="shared" si="97"/>
        <v/>
      </c>
      <c r="N174" s="240" t="str">
        <f t="shared" si="98"/>
        <v>-</v>
      </c>
      <c r="O174" s="265" t="str">
        <f t="shared" si="99"/>
        <v>-</v>
      </c>
      <c r="P174" s="265" t="str">
        <f t="shared" si="100"/>
        <v>-</v>
      </c>
      <c r="Q174" s="266" t="str">
        <f t="shared" si="101"/>
        <v>-</v>
      </c>
      <c r="R174" s="267" t="str">
        <f t="shared" si="102"/>
        <v>-</v>
      </c>
      <c r="S174" s="268" t="str">
        <f t="shared" si="103"/>
        <v>-</v>
      </c>
      <c r="T174" s="269" t="str">
        <f t="shared" si="104"/>
        <v/>
      </c>
      <c r="U174" s="221">
        <f t="shared" si="105"/>
        <v>74</v>
      </c>
      <c r="V174" s="220" t="str">
        <f t="shared" si="131"/>
        <v>-</v>
      </c>
      <c r="W174" s="221" t="str">
        <f t="shared" si="132"/>
        <v>-</v>
      </c>
      <c r="X174" s="221" t="str">
        <f t="shared" si="106"/>
        <v>-</v>
      </c>
      <c r="Y174" s="221" t="str">
        <f t="shared" si="107"/>
        <v>-</v>
      </c>
      <c r="Z174" s="270">
        <f t="shared" si="133"/>
        <v>0.1</v>
      </c>
      <c r="AA174" s="271" t="str">
        <f>IFERROR(IF(V173=1,AA$100*EXP(-(LN(2)/$D$65+0.04)*X173)*EXP(-(LN(2)/$D$65+0.1)*Y173),IF(V173=2,AA$100*EXP(-(LN(2)/$D$65+0.04)*(VLOOKUP(($F$16-$F$15)-1,U$99:Y173,4,FALSE)))*EXP(-(LN(2)/$D$65+0.1)*(VLOOKUP(($F$16-$F$15)-1,U$99:Y173,5,FALSE)))*EXP(-(LN(2)/$D$65+0.04)*X173)*EXP(-(LN(2)/$D$65+0.1)*Y173),IF(V173=3,AA$100*EXP(-(LN(2)/$D$65+0.04)*(VLOOKUP(($F$16-$F$15)-1,U$99:Y173,4,FALSE)))*EXP(-(LN(2)/$D$65+0.1)*(VLOOKUP(($F$16-$F$15)-1,U$99:Y173,5,FALSE)))*EXP(-(LN(2)/$D$65+0.04)*(VLOOKUP(($F$16-$F$15)*2-1,U$99:Y173,4,FALSE)))*EXP(-(LN(2)/$D$65+0.1)*(VLOOKUP(($F$16-$F$15)*2-1,U$99:Y173,5,FALSE)))*EXP(-(LN(2)/$D$65+0.04)*X173)*EXP(-(LN(2)/$D$65+0.1)*Y173),"-"))),"-")</f>
        <v>-</v>
      </c>
      <c r="AB174" s="271" t="str">
        <f>IFERROR(IF(V174=1,AB$100*EXP(-(LN(2)/$D$65+0.04)*X174)*EXP(-(LN(2)/$D$65+0.1)*Y174),IF(V174=2,AB$100*EXP(-(LN(2)/$D$65+0.04)*(VLOOKUP(($F$16-$F$15)-1,U$100:Y174,4,FALSE)))*EXP(-(LN(2)/$D$65+0.1)*(VLOOKUP(($F$16-$F$15)-1,U$100:Y174,5,FALSE)))*EXP(-(LN(2)/$D$65+0.04)*X174)*EXP(-(LN(2)/$D$65+0.1)*Y174),IF(V174=3,AB$100*EXP(-(LN(2)/$D$65+0.04)*(VLOOKUP(($F$16-$F$15)-1,U$100:Y174,4,FALSE)))*EXP(-(LN(2)/$D$65+0.1)*(VLOOKUP(($F$16-$F$15)-1,U$100:Y174,5,FALSE)))*EXP(-(LN(2)/$D$65+0.04)*(VLOOKUP(($F$16-$F$15)*2-1,U$100:Y174,4,FALSE)))*EXP(-(LN(2)/$D$65+0.1)*(VLOOKUP(($F$16-$F$15)*2-1,U$100:Y174,5,FALSE)))*EXP(-(LN(2)/$D$65+0.04)*X174)*EXP(-(LN(2)/$D$65+0.1)*Y174),"-"))),"-")</f>
        <v>-</v>
      </c>
      <c r="AC174" s="224">
        <f t="shared" si="134"/>
        <v>74</v>
      </c>
      <c r="AD174" s="223" t="str">
        <f t="shared" si="108"/>
        <v>-</v>
      </c>
      <c r="AE174" s="224" t="str">
        <f t="shared" si="135"/>
        <v>-</v>
      </c>
      <c r="AF174" s="224" t="str">
        <f t="shared" si="109"/>
        <v>-</v>
      </c>
      <c r="AG174" s="224" t="str">
        <f t="shared" si="110"/>
        <v>-</v>
      </c>
      <c r="AH174" s="272">
        <f t="shared" si="136"/>
        <v>0.1</v>
      </c>
      <c r="AI174" s="271" t="str">
        <f>IFERROR(IF(AD173=1,AI$100*EXP(-(LN(2)/$D$65+0.04)*AF173)*EXP(-(LN(2)/$D$65+0.1)*AG173),IF(AD173=2,AI$100*EXP(-(LN(2)/$D$65+0.04)*(VLOOKUP(($F$16-$F$15)-1,AC$99:AG173,4,FALSE)))*EXP(-(LN(2)/$D$65+0.1)*(VLOOKUP(($F$16-$F$15)-1,AC$99:AG173,5,FALSE)))*EXP(-(LN(2)/$D$65+0.04)*AF173)*EXP(-(LN(2)/$D$65+0.1)*AG173),IF(AD173=3,AI$100*EXP(-(LN(2)/$D$65+0.04)*(VLOOKUP(($F$16-$F$15)-1,AC$99:AG173,4,FALSE)))*EXP(-(LN(2)/$D$65+0.1)*(VLOOKUP(($F$16-$F$15)-1,AC$99:AG173,5,FALSE)))*EXP(-(LN(2)/$D$65+0.04)*(VLOOKUP(($F$16-$F$15)*2-1,AC$99:AG173,4,FALSE)))*EXP(-(LN(2)/$D$65+0.1)*(VLOOKUP(($F$16-$F$15)*2-1,AC$99:AG173,5,FALSE)))*EXP(-(LN(2)/$D$65+0.04)*AF173)*EXP(-(LN(2)/$D$65+0.1)*AG173),"-"))),"-")</f>
        <v>-</v>
      </c>
      <c r="AJ174" s="271" t="str">
        <f>IFERROR(IF(AD174=1,AJ$100*EXP(-(LN(2)/$D$65+0.04)*AF174)*EXP(-(LN(2)/$D$65+0.1)*AG174),IF(AD174=2,AJ$100*EXP(-(LN(2)/$D$65+0.04)*(VLOOKUP(($F$16-$F$15)-1,AC$100:AG174,4,FALSE)))*EXP(-(LN(2)/$D$65+0.1)*(VLOOKUP(($F$16-$F$15)-1,AC$100:AG174,5,FALSE)))*EXP(-(LN(2)/$D$65+0.04)*AF174)*EXP(-(LN(2)/$D$65+0.1)*AG174),IF(AD174=3,AJ$100*EXP(-(LN(2)/$D$65+0.04)*(VLOOKUP(($F$16-$F$15)-1,AC$100:AG174,4,FALSE)))*EXP(-(LN(2)/$D$65+0.1)*(VLOOKUP(($F$16-$F$15)-1,AC$100:AG174,5,FALSE)))*EXP(-(LN(2)/$D$65+0.04)*(VLOOKUP(($F$16-$F$15)*2-1,AC$100:AG174,4,FALSE)))*EXP(-(LN(2)/$D$65+0.1)*(VLOOKUP(($F$16-$F$15)*2-1,AC$100:AG174,5,FALSE)))*EXP(-(LN(2)/$D$65+0.04)*AF174)*EXP(-(LN(2)/$D$65+0.1)*AG174),"-"))),"-")</f>
        <v>-</v>
      </c>
      <c r="AK174" s="227">
        <f t="shared" si="137"/>
        <v>74</v>
      </c>
      <c r="AL174" s="226" t="str">
        <f t="shared" si="111"/>
        <v>-</v>
      </c>
      <c r="AM174" s="227" t="str">
        <f t="shared" si="138"/>
        <v>-</v>
      </c>
      <c r="AN174" s="227" t="str">
        <f t="shared" si="139"/>
        <v>-</v>
      </c>
      <c r="AO174" s="227" t="str">
        <f t="shared" si="112"/>
        <v>-</v>
      </c>
      <c r="AP174" s="273">
        <f t="shared" si="140"/>
        <v>0.1</v>
      </c>
      <c r="AQ174" s="271" t="str">
        <f>IFERROR(IF(AL173=1,AQ$100*EXP(-(LN(2)/$D$65+0.04)*AN173)*EXP(-(LN(2)/$D$65+0.1)*AO173),IF(AL173=2,AQ$100*EXP(-(LN(2)/$D$65+0.04)*(VLOOKUP(($F$16-$F$15)-1,AK$99:AO173,4,FALSE)))*EXP(-(LN(2)/$D$65+0.1)*(VLOOKUP(($F$16-$F$15)-1,AK$99:AO173,5,FALSE)))*EXP(-(LN(2)/$D$65+0.04)*AN173)*EXP(-(LN(2)/$D$65+0.1)*AO173),IF(AL173=3,AQ$100*EXP(-(LN(2)/$D$65+0.04)*(VLOOKUP(($F$16-$F$15)-1,AK$99:AO173,4,FALSE)))*EXP(-(LN(2)/$D$65+0.1)*(VLOOKUP(($F$16-$F$15)-1,AK$99:AO173,5,FALSE)))*EXP(-(LN(2)/$D$65+0.04)*(VLOOKUP(($F$16-$F$15)*2-1,AK$99:AO173,4,FALSE)))*EXP(-(LN(2)/$D$65+0.1)*(VLOOKUP(($F$16-$F$15)*2-1,AK$99:AO173,5,FALSE)))*EXP(-(LN(2)/$D$65+0.04)*AN173)*EXP(-(LN(2)/$D$65+0.1)*AO173),"-"))),"-")</f>
        <v>-</v>
      </c>
      <c r="AR174" s="271" t="str">
        <f>IFERROR(IF(AL174=1,AR$100*EXP(-(LN(2)/$D$65+0.04)*AN174)*EXP(-(LN(2)/$D$65+0.1)*AO174),IF(AL174=2,AR$100*EXP(-(LN(2)/$D$65+0.04)*(VLOOKUP(($F$16-$F$15)-1,AK$100:AO174,4,FALSE)))*EXP(-(LN(2)/$D$65+0.1)*(VLOOKUP(($F$16-$F$15)-1,AK$100:AO174,5,FALSE)))*EXP(-(LN(2)/$D$65+0.04)*AN174)*EXP(-(LN(2)/$D$65+0.1)*AO174),IF(AL174=3,AR$100*EXP(-(LN(2)/$D$65+0.04)*(VLOOKUP(($F$16-$F$15)-1,AK$100:AO174,4,FALSE)))*EXP(-(LN(2)/$D$65+0.1)*(VLOOKUP(($F$16-$F$15)-1,AK$100:AO174,5,FALSE)))*EXP(-(LN(2)/$D$65+0.04)*(VLOOKUP(($F$16-$F$15)*2-1,AK$100:AO174,4,FALSE)))*EXP(-(LN(2)/$D$65+0.1)*(VLOOKUP(($F$16-$F$15)*2-1,AK$100:AO174,5,FALSE)))*EXP(-(LN(2)/$D$65+0.04)*AN174)*EXP(-(LN(2)/$D$65+0.1)*AO174),"-"))),"-")</f>
        <v>-</v>
      </c>
      <c r="AS174" s="274">
        <f t="shared" si="113"/>
        <v>0</v>
      </c>
      <c r="AT174" s="274">
        <f t="shared" si="114"/>
        <v>0</v>
      </c>
      <c r="AU174" s="274">
        <f t="shared" si="115"/>
        <v>0</v>
      </c>
      <c r="AV174" s="190" t="str">
        <f>IF($B174&lt;$F$22,SUM($T$100:$T174),"")</f>
        <v/>
      </c>
      <c r="AW174" s="190" t="str">
        <f t="shared" si="116"/>
        <v>-</v>
      </c>
      <c r="AX174" s="190" t="str">
        <f t="shared" si="141"/>
        <v/>
      </c>
      <c r="AY174"/>
      <c r="AZ174" s="190" t="str">
        <f ca="1">IF(ISNUMBER(OFFSET(AV174,-$F$21,0)),SUM(OFFSET($T$100,$F$21,0):$T174),"")</f>
        <v/>
      </c>
      <c r="BA174" s="190" t="str">
        <f t="shared" ca="1" si="117"/>
        <v/>
      </c>
      <c r="BB174" s="190" t="str">
        <f t="shared" ca="1" si="70"/>
        <v/>
      </c>
      <c r="BC174" s="190"/>
      <c r="BD174" s="190" t="str">
        <f ca="1">IFERROR(IF(OR(ISNUMBER(I),ISNUMBER($F$14)),IF(AND($B174&gt;=($F$16-$F$15),$B174&lt;$F$22+($F$16-$F$15)),SUM(OFFSET($T$100,($F$16-$F$15),0):$T174),""),""),"")</f>
        <v/>
      </c>
      <c r="BE174" s="190" t="str">
        <f t="shared" ca="1" si="142"/>
        <v/>
      </c>
      <c r="BF174" s="190" t="str">
        <f t="shared" ca="1" si="143"/>
        <v/>
      </c>
      <c r="BG174"/>
      <c r="BH174" s="190" t="str">
        <f ca="1">IF(ISNUMBER(OFFSET(BD174,-$F$21,0)),SUM(OFFSET($T$100,($F$16-$F$15+$F$21),0):$T174),"")</f>
        <v/>
      </c>
      <c r="BI174" s="190" t="str">
        <f t="shared" ca="1" si="118"/>
        <v/>
      </c>
      <c r="BJ174" s="190" t="str">
        <f t="shared" ca="1" si="144"/>
        <v/>
      </c>
      <c r="BK174" s="190"/>
      <c r="BL174" s="190" t="str">
        <f ca="1">IFERROR(IF(OR(ISNUMBER(I),ISNUMBER($F$14)),IF(AND($B174&gt;=($F$17-$F$15),$B174&lt;$F$22+($F$17-$F$15)),SUM(OFFSET($T$100,($F$17-$F$15),0):$T174),""),""),"")</f>
        <v/>
      </c>
      <c r="BM174" s="190" t="str">
        <f t="shared" ca="1" si="119"/>
        <v/>
      </c>
      <c r="BN174" s="190" t="str">
        <f t="shared" ca="1" si="145"/>
        <v/>
      </c>
      <c r="BO174"/>
      <c r="BP174" s="190" t="str">
        <f ca="1">IF(ISNUMBER(OFFSET(BL174,-$F$21,0)),SUM(OFFSET($T$100,($F$17-$F$15+$F$21),0):$T174),"")</f>
        <v/>
      </c>
      <c r="BQ174" s="190" t="str">
        <f t="shared" ca="1" si="120"/>
        <v/>
      </c>
      <c r="BR174" s="190" t="str">
        <f t="shared" ca="1" si="146"/>
        <v/>
      </c>
      <c r="BS174" s="190"/>
      <c r="BT174"/>
      <c r="BU174"/>
      <c r="BV174"/>
      <c r="BY174" s="99"/>
      <c r="BZ174" s="99"/>
      <c r="CA174" s="280" t="str">
        <f t="shared" si="121"/>
        <v/>
      </c>
      <c r="CB174" s="71" t="str">
        <f t="shared" si="122"/>
        <v>-</v>
      </c>
      <c r="CC174" s="33"/>
      <c r="CD174" s="261" t="str">
        <f t="shared" si="123"/>
        <v/>
      </c>
      <c r="CE174" s="280" t="str">
        <f t="shared" si="124"/>
        <v/>
      </c>
      <c r="CF174" s="71" t="str">
        <f t="shared" ca="1" si="125"/>
        <v/>
      </c>
      <c r="CG174" s="33" t="str">
        <f t="shared" si="126"/>
        <v/>
      </c>
      <c r="CH174" s="261" t="str">
        <f t="shared" ca="1" si="127"/>
        <v/>
      </c>
      <c r="CI174" s="202"/>
      <c r="CJ174" s="99"/>
      <c r="CK174" s="99"/>
      <c r="CL174" s="99"/>
      <c r="CM174" s="99"/>
      <c r="CN174" s="99"/>
      <c r="CO174" s="99"/>
    </row>
    <row r="175" spans="2:93" ht="13.5" customHeight="1" x14ac:dyDescent="0.2">
      <c r="B175" s="262">
        <v>75</v>
      </c>
      <c r="C175" s="237" t="str">
        <f t="shared" si="91"/>
        <v/>
      </c>
      <c r="D175" s="237" t="str">
        <f t="shared" si="147"/>
        <v/>
      </c>
      <c r="E175" s="290" t="str">
        <f t="shared" si="128"/>
        <v/>
      </c>
      <c r="F175" s="264" t="str">
        <f t="shared" si="129"/>
        <v/>
      </c>
      <c r="G175" s="291" t="str">
        <f t="shared" si="130"/>
        <v/>
      </c>
      <c r="H175" s="240" t="str">
        <f t="shared" si="92"/>
        <v/>
      </c>
      <c r="I175" s="265" t="str">
        <f t="shared" si="93"/>
        <v/>
      </c>
      <c r="J175" s="265" t="str">
        <f t="shared" si="94"/>
        <v/>
      </c>
      <c r="K175" s="240" t="str">
        <f t="shared" si="95"/>
        <v/>
      </c>
      <c r="L175" s="265" t="str">
        <f t="shared" si="96"/>
        <v/>
      </c>
      <c r="M175" s="265" t="str">
        <f t="shared" si="97"/>
        <v/>
      </c>
      <c r="N175" s="240" t="str">
        <f t="shared" si="98"/>
        <v>-</v>
      </c>
      <c r="O175" s="265" t="str">
        <f t="shared" si="99"/>
        <v>-</v>
      </c>
      <c r="P175" s="265" t="str">
        <f t="shared" si="100"/>
        <v>-</v>
      </c>
      <c r="Q175" s="266" t="str">
        <f t="shared" si="101"/>
        <v>-</v>
      </c>
      <c r="R175" s="267" t="str">
        <f t="shared" si="102"/>
        <v>-</v>
      </c>
      <c r="S175" s="268" t="str">
        <f t="shared" si="103"/>
        <v>-</v>
      </c>
      <c r="T175" s="269" t="str">
        <f t="shared" si="104"/>
        <v/>
      </c>
      <c r="U175" s="221">
        <f t="shared" si="105"/>
        <v>75</v>
      </c>
      <c r="V175" s="220" t="str">
        <f t="shared" si="131"/>
        <v>-</v>
      </c>
      <c r="W175" s="221" t="str">
        <f t="shared" si="132"/>
        <v>-</v>
      </c>
      <c r="X175" s="221" t="str">
        <f t="shared" si="106"/>
        <v>-</v>
      </c>
      <c r="Y175" s="221" t="str">
        <f t="shared" si="107"/>
        <v>-</v>
      </c>
      <c r="Z175" s="270">
        <f t="shared" si="133"/>
        <v>0.1</v>
      </c>
      <c r="AA175" s="271" t="str">
        <f>IFERROR(IF(V174=1,AA$100*EXP(-(LN(2)/$D$65+0.04)*X174)*EXP(-(LN(2)/$D$65+0.1)*Y174),IF(V174=2,AA$100*EXP(-(LN(2)/$D$65+0.04)*(VLOOKUP(($F$16-$F$15)-1,U$99:Y174,4,FALSE)))*EXP(-(LN(2)/$D$65+0.1)*(VLOOKUP(($F$16-$F$15)-1,U$99:Y174,5,FALSE)))*EXP(-(LN(2)/$D$65+0.04)*X174)*EXP(-(LN(2)/$D$65+0.1)*Y174),IF(V174=3,AA$100*EXP(-(LN(2)/$D$65+0.04)*(VLOOKUP(($F$16-$F$15)-1,U$99:Y174,4,FALSE)))*EXP(-(LN(2)/$D$65+0.1)*(VLOOKUP(($F$16-$F$15)-1,U$99:Y174,5,FALSE)))*EXP(-(LN(2)/$D$65+0.04)*(VLOOKUP(($F$16-$F$15)*2-1,U$99:Y174,4,FALSE)))*EXP(-(LN(2)/$D$65+0.1)*(VLOOKUP(($F$16-$F$15)*2-1,U$99:Y174,5,FALSE)))*EXP(-(LN(2)/$D$65+0.04)*X174)*EXP(-(LN(2)/$D$65+0.1)*Y174),"-"))),"-")</f>
        <v>-</v>
      </c>
      <c r="AB175" s="271" t="str">
        <f>IFERROR(IF(V175=1,AB$100*EXP(-(LN(2)/$D$65+0.04)*X175)*EXP(-(LN(2)/$D$65+0.1)*Y175),IF(V175=2,AB$100*EXP(-(LN(2)/$D$65+0.04)*(VLOOKUP(($F$16-$F$15)-1,U$100:Y175,4,FALSE)))*EXP(-(LN(2)/$D$65+0.1)*(VLOOKUP(($F$16-$F$15)-1,U$100:Y175,5,FALSE)))*EXP(-(LN(2)/$D$65+0.04)*X175)*EXP(-(LN(2)/$D$65+0.1)*Y175),IF(V175=3,AB$100*EXP(-(LN(2)/$D$65+0.04)*(VLOOKUP(($F$16-$F$15)-1,U$100:Y175,4,FALSE)))*EXP(-(LN(2)/$D$65+0.1)*(VLOOKUP(($F$16-$F$15)-1,U$100:Y175,5,FALSE)))*EXP(-(LN(2)/$D$65+0.04)*(VLOOKUP(($F$16-$F$15)*2-1,U$100:Y175,4,FALSE)))*EXP(-(LN(2)/$D$65+0.1)*(VLOOKUP(($F$16-$F$15)*2-1,U$100:Y175,5,FALSE)))*EXP(-(LN(2)/$D$65+0.04)*X175)*EXP(-(LN(2)/$D$65+0.1)*Y175),"-"))),"-")</f>
        <v>-</v>
      </c>
      <c r="AC175" s="224">
        <f t="shared" si="134"/>
        <v>75</v>
      </c>
      <c r="AD175" s="223" t="str">
        <f t="shared" si="108"/>
        <v>-</v>
      </c>
      <c r="AE175" s="224" t="str">
        <f t="shared" si="135"/>
        <v>-</v>
      </c>
      <c r="AF175" s="224" t="str">
        <f t="shared" si="109"/>
        <v>-</v>
      </c>
      <c r="AG175" s="224" t="str">
        <f t="shared" si="110"/>
        <v>-</v>
      </c>
      <c r="AH175" s="272">
        <f t="shared" si="136"/>
        <v>0.1</v>
      </c>
      <c r="AI175" s="271" t="str">
        <f>IFERROR(IF(AD174=1,AI$100*EXP(-(LN(2)/$D$65+0.04)*AF174)*EXP(-(LN(2)/$D$65+0.1)*AG174),IF(AD174=2,AI$100*EXP(-(LN(2)/$D$65+0.04)*(VLOOKUP(($F$16-$F$15)-1,AC$99:AG174,4,FALSE)))*EXP(-(LN(2)/$D$65+0.1)*(VLOOKUP(($F$16-$F$15)-1,AC$99:AG174,5,FALSE)))*EXP(-(LN(2)/$D$65+0.04)*AF174)*EXP(-(LN(2)/$D$65+0.1)*AG174),IF(AD174=3,AI$100*EXP(-(LN(2)/$D$65+0.04)*(VLOOKUP(($F$16-$F$15)-1,AC$99:AG174,4,FALSE)))*EXP(-(LN(2)/$D$65+0.1)*(VLOOKUP(($F$16-$F$15)-1,AC$99:AG174,5,FALSE)))*EXP(-(LN(2)/$D$65+0.04)*(VLOOKUP(($F$16-$F$15)*2-1,AC$99:AG174,4,FALSE)))*EXP(-(LN(2)/$D$65+0.1)*(VLOOKUP(($F$16-$F$15)*2-1,AC$99:AG174,5,FALSE)))*EXP(-(LN(2)/$D$65+0.04)*AF174)*EXP(-(LN(2)/$D$65+0.1)*AG174),"-"))),"-")</f>
        <v>-</v>
      </c>
      <c r="AJ175" s="271" t="str">
        <f>IFERROR(IF(AD175=1,AJ$100*EXP(-(LN(2)/$D$65+0.04)*AF175)*EXP(-(LN(2)/$D$65+0.1)*AG175),IF(AD175=2,AJ$100*EXP(-(LN(2)/$D$65+0.04)*(VLOOKUP(($F$16-$F$15)-1,AC$100:AG175,4,FALSE)))*EXP(-(LN(2)/$D$65+0.1)*(VLOOKUP(($F$16-$F$15)-1,AC$100:AG175,5,FALSE)))*EXP(-(LN(2)/$D$65+0.04)*AF175)*EXP(-(LN(2)/$D$65+0.1)*AG175),IF(AD175=3,AJ$100*EXP(-(LN(2)/$D$65+0.04)*(VLOOKUP(($F$16-$F$15)-1,AC$100:AG175,4,FALSE)))*EXP(-(LN(2)/$D$65+0.1)*(VLOOKUP(($F$16-$F$15)-1,AC$100:AG175,5,FALSE)))*EXP(-(LN(2)/$D$65+0.04)*(VLOOKUP(($F$16-$F$15)*2-1,AC$100:AG175,4,FALSE)))*EXP(-(LN(2)/$D$65+0.1)*(VLOOKUP(($F$16-$F$15)*2-1,AC$100:AG175,5,FALSE)))*EXP(-(LN(2)/$D$65+0.04)*AF175)*EXP(-(LN(2)/$D$65+0.1)*AG175),"-"))),"-")</f>
        <v>-</v>
      </c>
      <c r="AK175" s="227">
        <f t="shared" si="137"/>
        <v>75</v>
      </c>
      <c r="AL175" s="226" t="str">
        <f t="shared" si="111"/>
        <v>-</v>
      </c>
      <c r="AM175" s="227" t="str">
        <f t="shared" si="138"/>
        <v>-</v>
      </c>
      <c r="AN175" s="227" t="str">
        <f t="shared" si="139"/>
        <v>-</v>
      </c>
      <c r="AO175" s="227" t="str">
        <f t="shared" si="112"/>
        <v>-</v>
      </c>
      <c r="AP175" s="273">
        <f t="shared" si="140"/>
        <v>0.1</v>
      </c>
      <c r="AQ175" s="271" t="str">
        <f>IFERROR(IF(AL174=1,AQ$100*EXP(-(LN(2)/$D$65+0.04)*AN174)*EXP(-(LN(2)/$D$65+0.1)*AO174),IF(AL174=2,AQ$100*EXP(-(LN(2)/$D$65+0.04)*(VLOOKUP(($F$16-$F$15)-1,AK$99:AO174,4,FALSE)))*EXP(-(LN(2)/$D$65+0.1)*(VLOOKUP(($F$16-$F$15)-1,AK$99:AO174,5,FALSE)))*EXP(-(LN(2)/$D$65+0.04)*AN174)*EXP(-(LN(2)/$D$65+0.1)*AO174),IF(AL174=3,AQ$100*EXP(-(LN(2)/$D$65+0.04)*(VLOOKUP(($F$16-$F$15)-1,AK$99:AO174,4,FALSE)))*EXP(-(LN(2)/$D$65+0.1)*(VLOOKUP(($F$16-$F$15)-1,AK$99:AO174,5,FALSE)))*EXP(-(LN(2)/$D$65+0.04)*(VLOOKUP(($F$16-$F$15)*2-1,AK$99:AO174,4,FALSE)))*EXP(-(LN(2)/$D$65+0.1)*(VLOOKUP(($F$16-$F$15)*2-1,AK$99:AO174,5,FALSE)))*EXP(-(LN(2)/$D$65+0.04)*AN174)*EXP(-(LN(2)/$D$65+0.1)*AO174),"-"))),"-")</f>
        <v>-</v>
      </c>
      <c r="AR175" s="271" t="str">
        <f>IFERROR(IF(AL175=1,AR$100*EXP(-(LN(2)/$D$65+0.04)*AN175)*EXP(-(LN(2)/$D$65+0.1)*AO175),IF(AL175=2,AR$100*EXP(-(LN(2)/$D$65+0.04)*(VLOOKUP(($F$16-$F$15)-1,AK$100:AO175,4,FALSE)))*EXP(-(LN(2)/$D$65+0.1)*(VLOOKUP(($F$16-$F$15)-1,AK$100:AO175,5,FALSE)))*EXP(-(LN(2)/$D$65+0.04)*AN175)*EXP(-(LN(2)/$D$65+0.1)*AO175),IF(AL175=3,AR$100*EXP(-(LN(2)/$D$65+0.04)*(VLOOKUP(($F$16-$F$15)-1,AK$100:AO175,4,FALSE)))*EXP(-(LN(2)/$D$65+0.1)*(VLOOKUP(($F$16-$F$15)-1,AK$100:AO175,5,FALSE)))*EXP(-(LN(2)/$D$65+0.04)*(VLOOKUP(($F$16-$F$15)*2-1,AK$100:AO175,4,FALSE)))*EXP(-(LN(2)/$D$65+0.1)*(VLOOKUP(($F$16-$F$15)*2-1,AK$100:AO175,5,FALSE)))*EXP(-(LN(2)/$D$65+0.04)*AN175)*EXP(-(LN(2)/$D$65+0.1)*AO175),"-"))),"-")</f>
        <v>-</v>
      </c>
      <c r="AS175" s="274">
        <f t="shared" si="113"/>
        <v>0</v>
      </c>
      <c r="AT175" s="274">
        <f t="shared" si="114"/>
        <v>0</v>
      </c>
      <c r="AU175" s="274">
        <f t="shared" si="115"/>
        <v>0</v>
      </c>
      <c r="AV175" s="190" t="str">
        <f>IF($B175&lt;$F$22,SUM($T$100:$T175),"")</f>
        <v/>
      </c>
      <c r="AW175" s="190" t="str">
        <f t="shared" si="116"/>
        <v>-</v>
      </c>
      <c r="AX175" s="190" t="str">
        <f t="shared" si="141"/>
        <v/>
      </c>
      <c r="AY175"/>
      <c r="AZ175" s="190" t="str">
        <f ca="1">IF(ISNUMBER(OFFSET(AV175,-$F$21,0)),SUM(OFFSET($T$100,$F$21,0):$T175),"")</f>
        <v/>
      </c>
      <c r="BA175" s="190" t="str">
        <f t="shared" ca="1" si="117"/>
        <v/>
      </c>
      <c r="BB175" s="190" t="str">
        <f t="shared" ca="1" si="70"/>
        <v/>
      </c>
      <c r="BC175" s="190"/>
      <c r="BD175" s="190" t="str">
        <f ca="1">IFERROR(IF(OR(ISNUMBER(I),ISNUMBER($F$14)),IF(AND($B175&gt;=($F$16-$F$15),$B175&lt;$F$22+($F$16-$F$15)),SUM(OFFSET($T$100,($F$16-$F$15),0):$T175),""),""),"")</f>
        <v/>
      </c>
      <c r="BE175" s="190" t="str">
        <f t="shared" ca="1" si="142"/>
        <v/>
      </c>
      <c r="BF175" s="190" t="str">
        <f t="shared" ca="1" si="143"/>
        <v/>
      </c>
      <c r="BG175"/>
      <c r="BH175" s="190" t="str">
        <f ca="1">IF(ISNUMBER(OFFSET(BD175,-$F$21,0)),SUM(OFFSET($T$100,($F$16-$F$15+$F$21),0):$T175),"")</f>
        <v/>
      </c>
      <c r="BI175" s="190" t="str">
        <f t="shared" ca="1" si="118"/>
        <v/>
      </c>
      <c r="BJ175" s="190" t="str">
        <f t="shared" ca="1" si="144"/>
        <v/>
      </c>
      <c r="BK175" s="190"/>
      <c r="BL175" s="190" t="str">
        <f ca="1">IFERROR(IF(OR(ISNUMBER(I),ISNUMBER($F$14)),IF(AND($B175&gt;=($F$17-$F$15),$B175&lt;$F$22+($F$17-$F$15)),SUM(OFFSET($T$100,($F$17-$F$15),0):$T175),""),""),"")</f>
        <v/>
      </c>
      <c r="BM175" s="190" t="str">
        <f t="shared" ca="1" si="119"/>
        <v/>
      </c>
      <c r="BN175" s="190" t="str">
        <f t="shared" ca="1" si="145"/>
        <v/>
      </c>
      <c r="BO175"/>
      <c r="BP175" s="190" t="str">
        <f ca="1">IF(ISNUMBER(OFFSET(BL175,-$F$21,0)),SUM(OFFSET($T$100,($F$17-$F$15+$F$21),0):$T175),"")</f>
        <v/>
      </c>
      <c r="BQ175" s="190" t="str">
        <f t="shared" ca="1" si="120"/>
        <v/>
      </c>
      <c r="BR175" s="190" t="str">
        <f t="shared" ca="1" si="146"/>
        <v/>
      </c>
      <c r="BS175" s="190"/>
      <c r="BT175"/>
      <c r="BU175"/>
      <c r="BV175"/>
      <c r="BY175" s="99"/>
      <c r="BZ175" s="99"/>
      <c r="CA175" s="280" t="str">
        <f t="shared" si="121"/>
        <v/>
      </c>
      <c r="CB175" s="71" t="str">
        <f t="shared" si="122"/>
        <v>-</v>
      </c>
      <c r="CC175" s="33"/>
      <c r="CD175" s="261" t="str">
        <f t="shared" si="123"/>
        <v/>
      </c>
      <c r="CE175" s="280" t="str">
        <f t="shared" si="124"/>
        <v/>
      </c>
      <c r="CF175" s="71" t="str">
        <f t="shared" ca="1" si="125"/>
        <v/>
      </c>
      <c r="CG175" s="33" t="str">
        <f t="shared" si="126"/>
        <v/>
      </c>
      <c r="CH175" s="261" t="str">
        <f t="shared" ca="1" si="127"/>
        <v/>
      </c>
      <c r="CI175" s="202"/>
      <c r="CJ175" s="99"/>
      <c r="CK175" s="99"/>
      <c r="CL175" s="99"/>
      <c r="CM175" s="99"/>
      <c r="CN175" s="99"/>
      <c r="CO175" s="99"/>
    </row>
    <row r="176" spans="2:93" ht="13.5" customHeight="1" x14ac:dyDescent="0.2">
      <c r="B176" s="262">
        <v>76</v>
      </c>
      <c r="C176" s="237" t="str">
        <f t="shared" si="91"/>
        <v/>
      </c>
      <c r="D176" s="237" t="str">
        <f t="shared" si="147"/>
        <v/>
      </c>
      <c r="E176" s="290" t="str">
        <f t="shared" si="128"/>
        <v/>
      </c>
      <c r="F176" s="264" t="str">
        <f t="shared" si="129"/>
        <v/>
      </c>
      <c r="G176" s="291" t="str">
        <f t="shared" si="130"/>
        <v/>
      </c>
      <c r="H176" s="240" t="str">
        <f t="shared" si="92"/>
        <v/>
      </c>
      <c r="I176" s="265" t="str">
        <f t="shared" si="93"/>
        <v/>
      </c>
      <c r="J176" s="265" t="str">
        <f t="shared" si="94"/>
        <v/>
      </c>
      <c r="K176" s="240" t="str">
        <f t="shared" si="95"/>
        <v/>
      </c>
      <c r="L176" s="265" t="str">
        <f t="shared" si="96"/>
        <v/>
      </c>
      <c r="M176" s="265" t="str">
        <f t="shared" si="97"/>
        <v/>
      </c>
      <c r="N176" s="240" t="str">
        <f t="shared" si="98"/>
        <v>-</v>
      </c>
      <c r="O176" s="265" t="str">
        <f t="shared" si="99"/>
        <v>-</v>
      </c>
      <c r="P176" s="265" t="str">
        <f t="shared" si="100"/>
        <v>-</v>
      </c>
      <c r="Q176" s="266" t="str">
        <f t="shared" si="101"/>
        <v>-</v>
      </c>
      <c r="R176" s="267" t="str">
        <f t="shared" si="102"/>
        <v>-</v>
      </c>
      <c r="S176" s="268" t="str">
        <f t="shared" si="103"/>
        <v>-</v>
      </c>
      <c r="T176" s="269" t="str">
        <f t="shared" si="104"/>
        <v/>
      </c>
      <c r="U176" s="221">
        <f t="shared" si="105"/>
        <v>76</v>
      </c>
      <c r="V176" s="220" t="str">
        <f t="shared" si="131"/>
        <v>-</v>
      </c>
      <c r="W176" s="221" t="str">
        <f t="shared" si="132"/>
        <v>-</v>
      </c>
      <c r="X176" s="221" t="str">
        <f t="shared" si="106"/>
        <v>-</v>
      </c>
      <c r="Y176" s="221" t="str">
        <f t="shared" si="107"/>
        <v>-</v>
      </c>
      <c r="Z176" s="270">
        <f t="shared" si="133"/>
        <v>0.1</v>
      </c>
      <c r="AA176" s="271" t="str">
        <f>IFERROR(IF(V175=1,AA$100*EXP(-(LN(2)/$D$65+0.04)*X175)*EXP(-(LN(2)/$D$65+0.1)*Y175),IF(V175=2,AA$100*EXP(-(LN(2)/$D$65+0.04)*(VLOOKUP(($F$16-$F$15)-1,U$99:Y175,4,FALSE)))*EXP(-(LN(2)/$D$65+0.1)*(VLOOKUP(($F$16-$F$15)-1,U$99:Y175,5,FALSE)))*EXP(-(LN(2)/$D$65+0.04)*X175)*EXP(-(LN(2)/$D$65+0.1)*Y175),IF(V175=3,AA$100*EXP(-(LN(2)/$D$65+0.04)*(VLOOKUP(($F$16-$F$15)-1,U$99:Y175,4,FALSE)))*EXP(-(LN(2)/$D$65+0.1)*(VLOOKUP(($F$16-$F$15)-1,U$99:Y175,5,FALSE)))*EXP(-(LN(2)/$D$65+0.04)*(VLOOKUP(($F$16-$F$15)*2-1,U$99:Y175,4,FALSE)))*EXP(-(LN(2)/$D$65+0.1)*(VLOOKUP(($F$16-$F$15)*2-1,U$99:Y175,5,FALSE)))*EXP(-(LN(2)/$D$65+0.04)*X175)*EXP(-(LN(2)/$D$65+0.1)*Y175),"-"))),"-")</f>
        <v>-</v>
      </c>
      <c r="AB176" s="271" t="str">
        <f>IFERROR(IF(V176=1,AB$100*EXP(-(LN(2)/$D$65+0.04)*X176)*EXP(-(LN(2)/$D$65+0.1)*Y176),IF(V176=2,AB$100*EXP(-(LN(2)/$D$65+0.04)*(VLOOKUP(($F$16-$F$15)-1,U$100:Y176,4,FALSE)))*EXP(-(LN(2)/$D$65+0.1)*(VLOOKUP(($F$16-$F$15)-1,U$100:Y176,5,FALSE)))*EXP(-(LN(2)/$D$65+0.04)*X176)*EXP(-(LN(2)/$D$65+0.1)*Y176),IF(V176=3,AB$100*EXP(-(LN(2)/$D$65+0.04)*(VLOOKUP(($F$16-$F$15)-1,U$100:Y176,4,FALSE)))*EXP(-(LN(2)/$D$65+0.1)*(VLOOKUP(($F$16-$F$15)-1,U$100:Y176,5,FALSE)))*EXP(-(LN(2)/$D$65+0.04)*(VLOOKUP(($F$16-$F$15)*2-1,U$100:Y176,4,FALSE)))*EXP(-(LN(2)/$D$65+0.1)*(VLOOKUP(($F$16-$F$15)*2-1,U$100:Y176,5,FALSE)))*EXP(-(LN(2)/$D$65+0.04)*X176)*EXP(-(LN(2)/$D$65+0.1)*Y176),"-"))),"-")</f>
        <v>-</v>
      </c>
      <c r="AC176" s="224">
        <f t="shared" si="134"/>
        <v>76</v>
      </c>
      <c r="AD176" s="223" t="str">
        <f t="shared" si="108"/>
        <v>-</v>
      </c>
      <c r="AE176" s="224" t="str">
        <f t="shared" si="135"/>
        <v>-</v>
      </c>
      <c r="AF176" s="224" t="str">
        <f t="shared" si="109"/>
        <v>-</v>
      </c>
      <c r="AG176" s="224" t="str">
        <f t="shared" si="110"/>
        <v>-</v>
      </c>
      <c r="AH176" s="272">
        <f t="shared" si="136"/>
        <v>0.1</v>
      </c>
      <c r="AI176" s="271" t="str">
        <f>IFERROR(IF(AD175=1,AI$100*EXP(-(LN(2)/$D$65+0.04)*AF175)*EXP(-(LN(2)/$D$65+0.1)*AG175),IF(AD175=2,AI$100*EXP(-(LN(2)/$D$65+0.04)*(VLOOKUP(($F$16-$F$15)-1,AC$99:AG175,4,FALSE)))*EXP(-(LN(2)/$D$65+0.1)*(VLOOKUP(($F$16-$F$15)-1,AC$99:AG175,5,FALSE)))*EXP(-(LN(2)/$D$65+0.04)*AF175)*EXP(-(LN(2)/$D$65+0.1)*AG175),IF(AD175=3,AI$100*EXP(-(LN(2)/$D$65+0.04)*(VLOOKUP(($F$16-$F$15)-1,AC$99:AG175,4,FALSE)))*EXP(-(LN(2)/$D$65+0.1)*(VLOOKUP(($F$16-$F$15)-1,AC$99:AG175,5,FALSE)))*EXP(-(LN(2)/$D$65+0.04)*(VLOOKUP(($F$16-$F$15)*2-1,AC$99:AG175,4,FALSE)))*EXP(-(LN(2)/$D$65+0.1)*(VLOOKUP(($F$16-$F$15)*2-1,AC$99:AG175,5,FALSE)))*EXP(-(LN(2)/$D$65+0.04)*AF175)*EXP(-(LN(2)/$D$65+0.1)*AG175),"-"))),"-")</f>
        <v>-</v>
      </c>
      <c r="AJ176" s="271" t="str">
        <f>IFERROR(IF(AD176=1,AJ$100*EXP(-(LN(2)/$D$65+0.04)*AF176)*EXP(-(LN(2)/$D$65+0.1)*AG176),IF(AD176=2,AJ$100*EXP(-(LN(2)/$D$65+0.04)*(VLOOKUP(($F$16-$F$15)-1,AC$100:AG176,4,FALSE)))*EXP(-(LN(2)/$D$65+0.1)*(VLOOKUP(($F$16-$F$15)-1,AC$100:AG176,5,FALSE)))*EXP(-(LN(2)/$D$65+0.04)*AF176)*EXP(-(LN(2)/$D$65+0.1)*AG176),IF(AD176=3,AJ$100*EXP(-(LN(2)/$D$65+0.04)*(VLOOKUP(($F$16-$F$15)-1,AC$100:AG176,4,FALSE)))*EXP(-(LN(2)/$D$65+0.1)*(VLOOKUP(($F$16-$F$15)-1,AC$100:AG176,5,FALSE)))*EXP(-(LN(2)/$D$65+0.04)*(VLOOKUP(($F$16-$F$15)*2-1,AC$100:AG176,4,FALSE)))*EXP(-(LN(2)/$D$65+0.1)*(VLOOKUP(($F$16-$F$15)*2-1,AC$100:AG176,5,FALSE)))*EXP(-(LN(2)/$D$65+0.04)*AF176)*EXP(-(LN(2)/$D$65+0.1)*AG176),"-"))),"-")</f>
        <v>-</v>
      </c>
      <c r="AK176" s="227">
        <f t="shared" si="137"/>
        <v>76</v>
      </c>
      <c r="AL176" s="226" t="str">
        <f t="shared" si="111"/>
        <v>-</v>
      </c>
      <c r="AM176" s="227" t="str">
        <f t="shared" si="138"/>
        <v>-</v>
      </c>
      <c r="AN176" s="227" t="str">
        <f t="shared" si="139"/>
        <v>-</v>
      </c>
      <c r="AO176" s="227" t="str">
        <f t="shared" si="112"/>
        <v>-</v>
      </c>
      <c r="AP176" s="273">
        <f t="shared" si="140"/>
        <v>0.1</v>
      </c>
      <c r="AQ176" s="271" t="str">
        <f>IFERROR(IF(AL175=1,AQ$100*EXP(-(LN(2)/$D$65+0.04)*AN175)*EXP(-(LN(2)/$D$65+0.1)*AO175),IF(AL175=2,AQ$100*EXP(-(LN(2)/$D$65+0.04)*(VLOOKUP(($F$16-$F$15)-1,AK$99:AO175,4,FALSE)))*EXP(-(LN(2)/$D$65+0.1)*(VLOOKUP(($F$16-$F$15)-1,AK$99:AO175,5,FALSE)))*EXP(-(LN(2)/$D$65+0.04)*AN175)*EXP(-(LN(2)/$D$65+0.1)*AO175),IF(AL175=3,AQ$100*EXP(-(LN(2)/$D$65+0.04)*(VLOOKUP(($F$16-$F$15)-1,AK$99:AO175,4,FALSE)))*EXP(-(LN(2)/$D$65+0.1)*(VLOOKUP(($F$16-$F$15)-1,AK$99:AO175,5,FALSE)))*EXP(-(LN(2)/$D$65+0.04)*(VLOOKUP(($F$16-$F$15)*2-1,AK$99:AO175,4,FALSE)))*EXP(-(LN(2)/$D$65+0.1)*(VLOOKUP(($F$16-$F$15)*2-1,AK$99:AO175,5,FALSE)))*EXP(-(LN(2)/$D$65+0.04)*AN175)*EXP(-(LN(2)/$D$65+0.1)*AO175),"-"))),"-")</f>
        <v>-</v>
      </c>
      <c r="AR176" s="271" t="str">
        <f>IFERROR(IF(AL176=1,AR$100*EXP(-(LN(2)/$D$65+0.04)*AN176)*EXP(-(LN(2)/$D$65+0.1)*AO176),IF(AL176=2,AR$100*EXP(-(LN(2)/$D$65+0.04)*(VLOOKUP(($F$16-$F$15)-1,AK$100:AO176,4,FALSE)))*EXP(-(LN(2)/$D$65+0.1)*(VLOOKUP(($F$16-$F$15)-1,AK$100:AO176,5,FALSE)))*EXP(-(LN(2)/$D$65+0.04)*AN176)*EXP(-(LN(2)/$D$65+0.1)*AO176),IF(AL176=3,AR$100*EXP(-(LN(2)/$D$65+0.04)*(VLOOKUP(($F$16-$F$15)-1,AK$100:AO176,4,FALSE)))*EXP(-(LN(2)/$D$65+0.1)*(VLOOKUP(($F$16-$F$15)-1,AK$100:AO176,5,FALSE)))*EXP(-(LN(2)/$D$65+0.04)*(VLOOKUP(($F$16-$F$15)*2-1,AK$100:AO176,4,FALSE)))*EXP(-(LN(2)/$D$65+0.1)*(VLOOKUP(($F$16-$F$15)*2-1,AK$100:AO176,5,FALSE)))*EXP(-(LN(2)/$D$65+0.04)*AN176)*EXP(-(LN(2)/$D$65+0.1)*AO176),"-"))),"-")</f>
        <v>-</v>
      </c>
      <c r="AS176" s="274">
        <f t="shared" si="113"/>
        <v>0</v>
      </c>
      <c r="AT176" s="274">
        <f t="shared" si="114"/>
        <v>0</v>
      </c>
      <c r="AU176" s="274">
        <f t="shared" si="115"/>
        <v>0</v>
      </c>
      <c r="AV176" s="190" t="str">
        <f>IF($B176&lt;$F$22,SUM($T$100:$T176),"")</f>
        <v/>
      </c>
      <c r="AW176" s="190" t="str">
        <f t="shared" si="116"/>
        <v>-</v>
      </c>
      <c r="AX176" s="190" t="str">
        <f t="shared" si="141"/>
        <v/>
      </c>
      <c r="AY176"/>
      <c r="AZ176" s="190" t="str">
        <f ca="1">IF(ISNUMBER(OFFSET(AV176,-$F$21,0)),SUM(OFFSET($T$100,$F$21,0):$T176),"")</f>
        <v/>
      </c>
      <c r="BA176" s="190" t="str">
        <f t="shared" ca="1" si="117"/>
        <v/>
      </c>
      <c r="BB176" s="190" t="str">
        <f t="shared" ca="1" si="70"/>
        <v/>
      </c>
      <c r="BC176" s="190"/>
      <c r="BD176" s="190" t="str">
        <f ca="1">IFERROR(IF(OR(ISNUMBER(I),ISNUMBER($F$14)),IF(AND($B176&gt;=($F$16-$F$15),$B176&lt;$F$22+($F$16-$F$15)),SUM(OFFSET($T$100,($F$16-$F$15),0):$T176),""),""),"")</f>
        <v/>
      </c>
      <c r="BE176" s="190" t="str">
        <f t="shared" ca="1" si="142"/>
        <v/>
      </c>
      <c r="BF176" s="190" t="str">
        <f t="shared" ca="1" si="143"/>
        <v/>
      </c>
      <c r="BG176"/>
      <c r="BH176" s="190" t="str">
        <f ca="1">IF(ISNUMBER(OFFSET(BD176,-$F$21,0)),SUM(OFFSET($T$100,($F$16-$F$15+$F$21),0):$T176),"")</f>
        <v/>
      </c>
      <c r="BI176" s="190" t="str">
        <f t="shared" ca="1" si="118"/>
        <v/>
      </c>
      <c r="BJ176" s="190" t="str">
        <f t="shared" ca="1" si="144"/>
        <v/>
      </c>
      <c r="BK176" s="190"/>
      <c r="BL176" s="190" t="str">
        <f ca="1">IFERROR(IF(OR(ISNUMBER(I),ISNUMBER($F$14)),IF(AND($B176&gt;=($F$17-$F$15),$B176&lt;$F$22+($F$17-$F$15)),SUM(OFFSET($T$100,($F$17-$F$15),0):$T176),""),""),"")</f>
        <v/>
      </c>
      <c r="BM176" s="190" t="str">
        <f t="shared" ca="1" si="119"/>
        <v/>
      </c>
      <c r="BN176" s="190" t="str">
        <f t="shared" ca="1" si="145"/>
        <v/>
      </c>
      <c r="BO176"/>
      <c r="BP176" s="190" t="str">
        <f ca="1">IF(ISNUMBER(OFFSET(BL176,-$F$21,0)),SUM(OFFSET($T$100,($F$17-$F$15+$F$21),0):$T176),"")</f>
        <v/>
      </c>
      <c r="BQ176" s="190" t="str">
        <f t="shared" ca="1" si="120"/>
        <v/>
      </c>
      <c r="BR176" s="190" t="str">
        <f t="shared" ca="1" si="146"/>
        <v/>
      </c>
      <c r="BS176" s="190"/>
      <c r="BT176"/>
      <c r="BU176"/>
      <c r="BV176"/>
      <c r="BY176" s="99"/>
      <c r="BZ176" s="99"/>
      <c r="CA176" s="280" t="str">
        <f t="shared" si="121"/>
        <v/>
      </c>
      <c r="CB176" s="71" t="str">
        <f t="shared" si="122"/>
        <v>-</v>
      </c>
      <c r="CC176" s="33"/>
      <c r="CD176" s="261" t="str">
        <f t="shared" si="123"/>
        <v/>
      </c>
      <c r="CE176" s="280" t="str">
        <f t="shared" si="124"/>
        <v/>
      </c>
      <c r="CF176" s="71" t="str">
        <f t="shared" ca="1" si="125"/>
        <v/>
      </c>
      <c r="CG176" s="33" t="str">
        <f t="shared" si="126"/>
        <v/>
      </c>
      <c r="CH176" s="261" t="str">
        <f t="shared" ca="1" si="127"/>
        <v/>
      </c>
      <c r="CI176" s="202"/>
      <c r="CJ176" s="99"/>
      <c r="CK176" s="99"/>
      <c r="CL176" s="99"/>
      <c r="CM176" s="99"/>
      <c r="CN176" s="99"/>
      <c r="CO176" s="99"/>
    </row>
    <row r="177" spans="2:93" ht="13.5" customHeight="1" x14ac:dyDescent="0.2">
      <c r="B177" s="262">
        <v>77</v>
      </c>
      <c r="C177" s="237" t="str">
        <f t="shared" si="91"/>
        <v/>
      </c>
      <c r="D177" s="237" t="str">
        <f t="shared" si="147"/>
        <v/>
      </c>
      <c r="E177" s="290" t="str">
        <f t="shared" si="128"/>
        <v/>
      </c>
      <c r="F177" s="264" t="str">
        <f t="shared" si="129"/>
        <v/>
      </c>
      <c r="G177" s="291" t="str">
        <f t="shared" si="130"/>
        <v/>
      </c>
      <c r="H177" s="240" t="str">
        <f t="shared" si="92"/>
        <v/>
      </c>
      <c r="I177" s="265" t="str">
        <f t="shared" si="93"/>
        <v/>
      </c>
      <c r="J177" s="265" t="str">
        <f t="shared" si="94"/>
        <v/>
      </c>
      <c r="K177" s="240" t="str">
        <f t="shared" si="95"/>
        <v/>
      </c>
      <c r="L177" s="265" t="str">
        <f t="shared" si="96"/>
        <v/>
      </c>
      <c r="M177" s="265" t="str">
        <f t="shared" si="97"/>
        <v/>
      </c>
      <c r="N177" s="240" t="str">
        <f t="shared" si="98"/>
        <v>-</v>
      </c>
      <c r="O177" s="265" t="str">
        <f t="shared" si="99"/>
        <v>-</v>
      </c>
      <c r="P177" s="265" t="str">
        <f t="shared" si="100"/>
        <v>-</v>
      </c>
      <c r="Q177" s="266" t="str">
        <f t="shared" si="101"/>
        <v>-</v>
      </c>
      <c r="R177" s="267" t="str">
        <f t="shared" si="102"/>
        <v>-</v>
      </c>
      <c r="S177" s="268" t="str">
        <f t="shared" si="103"/>
        <v>-</v>
      </c>
      <c r="T177" s="269" t="str">
        <f t="shared" si="104"/>
        <v/>
      </c>
      <c r="U177" s="221">
        <f t="shared" si="105"/>
        <v>77</v>
      </c>
      <c r="V177" s="220" t="str">
        <f t="shared" si="131"/>
        <v>-</v>
      </c>
      <c r="W177" s="221" t="str">
        <f t="shared" si="132"/>
        <v>-</v>
      </c>
      <c r="X177" s="221" t="str">
        <f t="shared" si="106"/>
        <v>-</v>
      </c>
      <c r="Y177" s="221" t="str">
        <f t="shared" si="107"/>
        <v>-</v>
      </c>
      <c r="Z177" s="270">
        <f t="shared" si="133"/>
        <v>0.1</v>
      </c>
      <c r="AA177" s="271" t="str">
        <f>IFERROR(IF(V176=1,AA$100*EXP(-(LN(2)/$D$65+0.04)*X176)*EXP(-(LN(2)/$D$65+0.1)*Y176),IF(V176=2,AA$100*EXP(-(LN(2)/$D$65+0.04)*(VLOOKUP(($F$16-$F$15)-1,U$99:Y176,4,FALSE)))*EXP(-(LN(2)/$D$65+0.1)*(VLOOKUP(($F$16-$F$15)-1,U$99:Y176,5,FALSE)))*EXP(-(LN(2)/$D$65+0.04)*X176)*EXP(-(LN(2)/$D$65+0.1)*Y176),IF(V176=3,AA$100*EXP(-(LN(2)/$D$65+0.04)*(VLOOKUP(($F$16-$F$15)-1,U$99:Y176,4,FALSE)))*EXP(-(LN(2)/$D$65+0.1)*(VLOOKUP(($F$16-$F$15)-1,U$99:Y176,5,FALSE)))*EXP(-(LN(2)/$D$65+0.04)*(VLOOKUP(($F$16-$F$15)*2-1,U$99:Y176,4,FALSE)))*EXP(-(LN(2)/$D$65+0.1)*(VLOOKUP(($F$16-$F$15)*2-1,U$99:Y176,5,FALSE)))*EXP(-(LN(2)/$D$65+0.04)*X176)*EXP(-(LN(2)/$D$65+0.1)*Y176),"-"))),"-")</f>
        <v>-</v>
      </c>
      <c r="AB177" s="271" t="str">
        <f>IFERROR(IF(V177=1,AB$100*EXP(-(LN(2)/$D$65+0.04)*X177)*EXP(-(LN(2)/$D$65+0.1)*Y177),IF(V177=2,AB$100*EXP(-(LN(2)/$D$65+0.04)*(VLOOKUP(($F$16-$F$15)-1,U$100:Y177,4,FALSE)))*EXP(-(LN(2)/$D$65+0.1)*(VLOOKUP(($F$16-$F$15)-1,U$100:Y177,5,FALSE)))*EXP(-(LN(2)/$D$65+0.04)*X177)*EXP(-(LN(2)/$D$65+0.1)*Y177),IF(V177=3,AB$100*EXP(-(LN(2)/$D$65+0.04)*(VLOOKUP(($F$16-$F$15)-1,U$100:Y177,4,FALSE)))*EXP(-(LN(2)/$D$65+0.1)*(VLOOKUP(($F$16-$F$15)-1,U$100:Y177,5,FALSE)))*EXP(-(LN(2)/$D$65+0.04)*(VLOOKUP(($F$16-$F$15)*2-1,U$100:Y177,4,FALSE)))*EXP(-(LN(2)/$D$65+0.1)*(VLOOKUP(($F$16-$F$15)*2-1,U$100:Y177,5,FALSE)))*EXP(-(LN(2)/$D$65+0.04)*X177)*EXP(-(LN(2)/$D$65+0.1)*Y177),"-"))),"-")</f>
        <v>-</v>
      </c>
      <c r="AC177" s="224">
        <f t="shared" si="134"/>
        <v>77</v>
      </c>
      <c r="AD177" s="223" t="str">
        <f t="shared" si="108"/>
        <v>-</v>
      </c>
      <c r="AE177" s="224" t="str">
        <f t="shared" si="135"/>
        <v>-</v>
      </c>
      <c r="AF177" s="224" t="str">
        <f t="shared" si="109"/>
        <v>-</v>
      </c>
      <c r="AG177" s="224" t="str">
        <f t="shared" si="110"/>
        <v>-</v>
      </c>
      <c r="AH177" s="272">
        <f t="shared" si="136"/>
        <v>0.1</v>
      </c>
      <c r="AI177" s="271" t="str">
        <f>IFERROR(IF(AD176=1,AI$100*EXP(-(LN(2)/$D$65+0.04)*AF176)*EXP(-(LN(2)/$D$65+0.1)*AG176),IF(AD176=2,AI$100*EXP(-(LN(2)/$D$65+0.04)*(VLOOKUP(($F$16-$F$15)-1,AC$99:AG176,4,FALSE)))*EXP(-(LN(2)/$D$65+0.1)*(VLOOKUP(($F$16-$F$15)-1,AC$99:AG176,5,FALSE)))*EXP(-(LN(2)/$D$65+0.04)*AF176)*EXP(-(LN(2)/$D$65+0.1)*AG176),IF(AD176=3,AI$100*EXP(-(LN(2)/$D$65+0.04)*(VLOOKUP(($F$16-$F$15)-1,AC$99:AG176,4,FALSE)))*EXP(-(LN(2)/$D$65+0.1)*(VLOOKUP(($F$16-$F$15)-1,AC$99:AG176,5,FALSE)))*EXP(-(LN(2)/$D$65+0.04)*(VLOOKUP(($F$16-$F$15)*2-1,AC$99:AG176,4,FALSE)))*EXP(-(LN(2)/$D$65+0.1)*(VLOOKUP(($F$16-$F$15)*2-1,AC$99:AG176,5,FALSE)))*EXP(-(LN(2)/$D$65+0.04)*AF176)*EXP(-(LN(2)/$D$65+0.1)*AG176),"-"))),"-")</f>
        <v>-</v>
      </c>
      <c r="AJ177" s="271" t="str">
        <f>IFERROR(IF(AD177=1,AJ$100*EXP(-(LN(2)/$D$65+0.04)*AF177)*EXP(-(LN(2)/$D$65+0.1)*AG177),IF(AD177=2,AJ$100*EXP(-(LN(2)/$D$65+0.04)*(VLOOKUP(($F$16-$F$15)-1,AC$100:AG177,4,FALSE)))*EXP(-(LN(2)/$D$65+0.1)*(VLOOKUP(($F$16-$F$15)-1,AC$100:AG177,5,FALSE)))*EXP(-(LN(2)/$D$65+0.04)*AF177)*EXP(-(LN(2)/$D$65+0.1)*AG177),IF(AD177=3,AJ$100*EXP(-(LN(2)/$D$65+0.04)*(VLOOKUP(($F$16-$F$15)-1,AC$100:AG177,4,FALSE)))*EXP(-(LN(2)/$D$65+0.1)*(VLOOKUP(($F$16-$F$15)-1,AC$100:AG177,5,FALSE)))*EXP(-(LN(2)/$D$65+0.04)*(VLOOKUP(($F$16-$F$15)*2-1,AC$100:AG177,4,FALSE)))*EXP(-(LN(2)/$D$65+0.1)*(VLOOKUP(($F$16-$F$15)*2-1,AC$100:AG177,5,FALSE)))*EXP(-(LN(2)/$D$65+0.04)*AF177)*EXP(-(LN(2)/$D$65+0.1)*AG177),"-"))),"-")</f>
        <v>-</v>
      </c>
      <c r="AK177" s="227">
        <f t="shared" si="137"/>
        <v>77</v>
      </c>
      <c r="AL177" s="226" t="str">
        <f t="shared" si="111"/>
        <v>-</v>
      </c>
      <c r="AM177" s="227" t="str">
        <f t="shared" si="138"/>
        <v>-</v>
      </c>
      <c r="AN177" s="227" t="str">
        <f t="shared" si="139"/>
        <v>-</v>
      </c>
      <c r="AO177" s="227" t="str">
        <f t="shared" si="112"/>
        <v>-</v>
      </c>
      <c r="AP177" s="273">
        <f t="shared" si="140"/>
        <v>0.1</v>
      </c>
      <c r="AQ177" s="271" t="str">
        <f>IFERROR(IF(AL176=1,AQ$100*EXP(-(LN(2)/$D$65+0.04)*AN176)*EXP(-(LN(2)/$D$65+0.1)*AO176),IF(AL176=2,AQ$100*EXP(-(LN(2)/$D$65+0.04)*(VLOOKUP(($F$16-$F$15)-1,AK$99:AO176,4,FALSE)))*EXP(-(LN(2)/$D$65+0.1)*(VLOOKUP(($F$16-$F$15)-1,AK$99:AO176,5,FALSE)))*EXP(-(LN(2)/$D$65+0.04)*AN176)*EXP(-(LN(2)/$D$65+0.1)*AO176),IF(AL176=3,AQ$100*EXP(-(LN(2)/$D$65+0.04)*(VLOOKUP(($F$16-$F$15)-1,AK$99:AO176,4,FALSE)))*EXP(-(LN(2)/$D$65+0.1)*(VLOOKUP(($F$16-$F$15)-1,AK$99:AO176,5,FALSE)))*EXP(-(LN(2)/$D$65+0.04)*(VLOOKUP(($F$16-$F$15)*2-1,AK$99:AO176,4,FALSE)))*EXP(-(LN(2)/$D$65+0.1)*(VLOOKUP(($F$16-$F$15)*2-1,AK$99:AO176,5,FALSE)))*EXP(-(LN(2)/$D$65+0.04)*AN176)*EXP(-(LN(2)/$D$65+0.1)*AO176),"-"))),"-")</f>
        <v>-</v>
      </c>
      <c r="AR177" s="271" t="str">
        <f>IFERROR(IF(AL177=1,AR$100*EXP(-(LN(2)/$D$65+0.04)*AN177)*EXP(-(LN(2)/$D$65+0.1)*AO177),IF(AL177=2,AR$100*EXP(-(LN(2)/$D$65+0.04)*(VLOOKUP(($F$16-$F$15)-1,AK$100:AO177,4,FALSE)))*EXP(-(LN(2)/$D$65+0.1)*(VLOOKUP(($F$16-$F$15)-1,AK$100:AO177,5,FALSE)))*EXP(-(LN(2)/$D$65+0.04)*AN177)*EXP(-(LN(2)/$D$65+0.1)*AO177),IF(AL177=3,AR$100*EXP(-(LN(2)/$D$65+0.04)*(VLOOKUP(($F$16-$F$15)-1,AK$100:AO177,4,FALSE)))*EXP(-(LN(2)/$D$65+0.1)*(VLOOKUP(($F$16-$F$15)-1,AK$100:AO177,5,FALSE)))*EXP(-(LN(2)/$D$65+0.04)*(VLOOKUP(($F$16-$F$15)*2-1,AK$100:AO177,4,FALSE)))*EXP(-(LN(2)/$D$65+0.1)*(VLOOKUP(($F$16-$F$15)*2-1,AK$100:AO177,5,FALSE)))*EXP(-(LN(2)/$D$65+0.04)*AN177)*EXP(-(LN(2)/$D$65+0.1)*AO177),"-"))),"-")</f>
        <v>-</v>
      </c>
      <c r="AS177" s="274">
        <f t="shared" si="113"/>
        <v>0</v>
      </c>
      <c r="AT177" s="274">
        <f t="shared" si="114"/>
        <v>0</v>
      </c>
      <c r="AU177" s="274">
        <f t="shared" si="115"/>
        <v>0</v>
      </c>
      <c r="AV177" s="190" t="str">
        <f>IF($B177&lt;$F$22,SUM($T$100:$T177),"")</f>
        <v/>
      </c>
      <c r="AW177" s="190" t="str">
        <f t="shared" si="116"/>
        <v>-</v>
      </c>
      <c r="AX177" s="190" t="str">
        <f t="shared" si="141"/>
        <v/>
      </c>
      <c r="AY177"/>
      <c r="AZ177" s="190" t="str">
        <f ca="1">IF(ISNUMBER(OFFSET(AV177,-$F$21,0)),SUM(OFFSET($T$100,$F$21,0):$T177),"")</f>
        <v/>
      </c>
      <c r="BA177" s="190" t="str">
        <f t="shared" ca="1" si="117"/>
        <v/>
      </c>
      <c r="BB177" s="190" t="str">
        <f t="shared" ca="1" si="70"/>
        <v/>
      </c>
      <c r="BC177" s="190"/>
      <c r="BD177" s="190" t="str">
        <f ca="1">IFERROR(IF(OR(ISNUMBER(I),ISNUMBER($F$14)),IF(AND($B177&gt;=($F$16-$F$15),$B177&lt;$F$22+($F$16-$F$15)),SUM(OFFSET($T$100,($F$16-$F$15),0):$T177),""),""),"")</f>
        <v/>
      </c>
      <c r="BE177" s="190" t="str">
        <f t="shared" ca="1" si="142"/>
        <v/>
      </c>
      <c r="BF177" s="190" t="str">
        <f t="shared" ca="1" si="143"/>
        <v/>
      </c>
      <c r="BG177"/>
      <c r="BH177" s="190" t="str">
        <f ca="1">IF(ISNUMBER(OFFSET(BD177,-$F$21,0)),SUM(OFFSET($T$100,($F$16-$F$15+$F$21),0):$T177),"")</f>
        <v/>
      </c>
      <c r="BI177" s="190" t="str">
        <f t="shared" ca="1" si="118"/>
        <v/>
      </c>
      <c r="BJ177" s="190" t="str">
        <f t="shared" ca="1" si="144"/>
        <v/>
      </c>
      <c r="BK177" s="190"/>
      <c r="BL177" s="190" t="str">
        <f ca="1">IFERROR(IF(OR(ISNUMBER(I),ISNUMBER($F$14)),IF(AND($B177&gt;=($F$17-$F$15),$B177&lt;$F$22+($F$17-$F$15)),SUM(OFFSET($T$100,($F$17-$F$15),0):$T177),""),""),"")</f>
        <v/>
      </c>
      <c r="BM177" s="190" t="str">
        <f t="shared" ca="1" si="119"/>
        <v/>
      </c>
      <c r="BN177" s="190" t="str">
        <f t="shared" ca="1" si="145"/>
        <v/>
      </c>
      <c r="BO177"/>
      <c r="BP177" s="190" t="str">
        <f ca="1">IF(ISNUMBER(OFFSET(BL177,-$F$21,0)),SUM(OFFSET($T$100,($F$17-$F$15+$F$21),0):$T177),"")</f>
        <v/>
      </c>
      <c r="BQ177" s="190" t="str">
        <f t="shared" ca="1" si="120"/>
        <v/>
      </c>
      <c r="BR177" s="190" t="str">
        <f t="shared" ca="1" si="146"/>
        <v/>
      </c>
      <c r="BS177" s="190"/>
      <c r="BT177"/>
      <c r="BU177"/>
      <c r="BV177"/>
      <c r="BY177" s="99"/>
      <c r="BZ177" s="99"/>
      <c r="CA177" s="280" t="str">
        <f t="shared" si="121"/>
        <v/>
      </c>
      <c r="CB177" s="71" t="str">
        <f t="shared" si="122"/>
        <v>-</v>
      </c>
      <c r="CC177" s="33"/>
      <c r="CD177" s="261" t="str">
        <f t="shared" si="123"/>
        <v/>
      </c>
      <c r="CE177" s="280" t="str">
        <f t="shared" si="124"/>
        <v/>
      </c>
      <c r="CF177" s="71" t="str">
        <f t="shared" ca="1" si="125"/>
        <v/>
      </c>
      <c r="CG177" s="33" t="str">
        <f t="shared" si="126"/>
        <v/>
      </c>
      <c r="CH177" s="261" t="str">
        <f t="shared" ca="1" si="127"/>
        <v/>
      </c>
      <c r="CI177" s="202"/>
      <c r="CJ177" s="99"/>
      <c r="CK177" s="99"/>
      <c r="CL177" s="99"/>
      <c r="CM177" s="99"/>
      <c r="CN177" s="99"/>
      <c r="CO177" s="99"/>
    </row>
    <row r="178" spans="2:93" ht="13.5" customHeight="1" x14ac:dyDescent="0.2">
      <c r="B178" s="262">
        <v>78</v>
      </c>
      <c r="C178" s="237" t="str">
        <f t="shared" si="91"/>
        <v/>
      </c>
      <c r="D178" s="237" t="str">
        <f t="shared" si="147"/>
        <v/>
      </c>
      <c r="E178" s="290" t="str">
        <f t="shared" si="128"/>
        <v/>
      </c>
      <c r="F178" s="264" t="str">
        <f t="shared" si="129"/>
        <v/>
      </c>
      <c r="G178" s="291" t="str">
        <f t="shared" si="130"/>
        <v/>
      </c>
      <c r="H178" s="240" t="str">
        <f t="shared" si="92"/>
        <v/>
      </c>
      <c r="I178" s="265" t="str">
        <f t="shared" si="93"/>
        <v/>
      </c>
      <c r="J178" s="265" t="str">
        <f t="shared" si="94"/>
        <v/>
      </c>
      <c r="K178" s="240" t="str">
        <f t="shared" si="95"/>
        <v/>
      </c>
      <c r="L178" s="265" t="str">
        <f t="shared" si="96"/>
        <v/>
      </c>
      <c r="M178" s="265" t="str">
        <f t="shared" si="97"/>
        <v/>
      </c>
      <c r="N178" s="240" t="str">
        <f t="shared" si="98"/>
        <v>-</v>
      </c>
      <c r="O178" s="265" t="str">
        <f t="shared" si="99"/>
        <v>-</v>
      </c>
      <c r="P178" s="265" t="str">
        <f t="shared" si="100"/>
        <v>-</v>
      </c>
      <c r="Q178" s="266" t="str">
        <f t="shared" si="101"/>
        <v>-</v>
      </c>
      <c r="R178" s="267" t="str">
        <f t="shared" si="102"/>
        <v>-</v>
      </c>
      <c r="S178" s="268" t="str">
        <f t="shared" si="103"/>
        <v>-</v>
      </c>
      <c r="T178" s="269" t="str">
        <f t="shared" si="104"/>
        <v/>
      </c>
      <c r="U178" s="221">
        <f t="shared" si="105"/>
        <v>78</v>
      </c>
      <c r="V178" s="220" t="str">
        <f t="shared" si="131"/>
        <v>-</v>
      </c>
      <c r="W178" s="221" t="str">
        <f t="shared" si="132"/>
        <v>-</v>
      </c>
      <c r="X178" s="221" t="str">
        <f t="shared" si="106"/>
        <v>-</v>
      </c>
      <c r="Y178" s="221" t="str">
        <f t="shared" si="107"/>
        <v>-</v>
      </c>
      <c r="Z178" s="270">
        <f t="shared" si="133"/>
        <v>0.1</v>
      </c>
      <c r="AA178" s="271" t="str">
        <f>IFERROR(IF(V177=1,AA$100*EXP(-(LN(2)/$D$65+0.04)*X177)*EXP(-(LN(2)/$D$65+0.1)*Y177),IF(V177=2,AA$100*EXP(-(LN(2)/$D$65+0.04)*(VLOOKUP(($F$16-$F$15)-1,U$99:Y177,4,FALSE)))*EXP(-(LN(2)/$D$65+0.1)*(VLOOKUP(($F$16-$F$15)-1,U$99:Y177,5,FALSE)))*EXP(-(LN(2)/$D$65+0.04)*X177)*EXP(-(LN(2)/$D$65+0.1)*Y177),IF(V177=3,AA$100*EXP(-(LN(2)/$D$65+0.04)*(VLOOKUP(($F$16-$F$15)-1,U$99:Y177,4,FALSE)))*EXP(-(LN(2)/$D$65+0.1)*(VLOOKUP(($F$16-$F$15)-1,U$99:Y177,5,FALSE)))*EXP(-(LN(2)/$D$65+0.04)*(VLOOKUP(($F$16-$F$15)*2-1,U$99:Y177,4,FALSE)))*EXP(-(LN(2)/$D$65+0.1)*(VLOOKUP(($F$16-$F$15)*2-1,U$99:Y177,5,FALSE)))*EXP(-(LN(2)/$D$65+0.04)*X177)*EXP(-(LN(2)/$D$65+0.1)*Y177),"-"))),"-")</f>
        <v>-</v>
      </c>
      <c r="AB178" s="271" t="str">
        <f>IFERROR(IF(V178=1,AB$100*EXP(-(LN(2)/$D$65+0.04)*X178)*EXP(-(LN(2)/$D$65+0.1)*Y178),IF(V178=2,AB$100*EXP(-(LN(2)/$D$65+0.04)*(VLOOKUP(($F$16-$F$15)-1,U$100:Y178,4,FALSE)))*EXP(-(LN(2)/$D$65+0.1)*(VLOOKUP(($F$16-$F$15)-1,U$100:Y178,5,FALSE)))*EXP(-(LN(2)/$D$65+0.04)*X178)*EXP(-(LN(2)/$D$65+0.1)*Y178),IF(V178=3,AB$100*EXP(-(LN(2)/$D$65+0.04)*(VLOOKUP(($F$16-$F$15)-1,U$100:Y178,4,FALSE)))*EXP(-(LN(2)/$D$65+0.1)*(VLOOKUP(($F$16-$F$15)-1,U$100:Y178,5,FALSE)))*EXP(-(LN(2)/$D$65+0.04)*(VLOOKUP(($F$16-$F$15)*2-1,U$100:Y178,4,FALSE)))*EXP(-(LN(2)/$D$65+0.1)*(VLOOKUP(($F$16-$F$15)*2-1,U$100:Y178,5,FALSE)))*EXP(-(LN(2)/$D$65+0.04)*X178)*EXP(-(LN(2)/$D$65+0.1)*Y178),"-"))),"-")</f>
        <v>-</v>
      </c>
      <c r="AC178" s="224">
        <f t="shared" si="134"/>
        <v>78</v>
      </c>
      <c r="AD178" s="223" t="str">
        <f t="shared" si="108"/>
        <v>-</v>
      </c>
      <c r="AE178" s="224" t="str">
        <f t="shared" si="135"/>
        <v>-</v>
      </c>
      <c r="AF178" s="224" t="str">
        <f t="shared" si="109"/>
        <v>-</v>
      </c>
      <c r="AG178" s="224" t="str">
        <f t="shared" si="110"/>
        <v>-</v>
      </c>
      <c r="AH178" s="272">
        <f t="shared" si="136"/>
        <v>0.1</v>
      </c>
      <c r="AI178" s="271" t="str">
        <f>IFERROR(IF(AD177=1,AI$100*EXP(-(LN(2)/$D$65+0.04)*AF177)*EXP(-(LN(2)/$D$65+0.1)*AG177),IF(AD177=2,AI$100*EXP(-(LN(2)/$D$65+0.04)*(VLOOKUP(($F$16-$F$15)-1,AC$99:AG177,4,FALSE)))*EXP(-(LN(2)/$D$65+0.1)*(VLOOKUP(($F$16-$F$15)-1,AC$99:AG177,5,FALSE)))*EXP(-(LN(2)/$D$65+0.04)*AF177)*EXP(-(LN(2)/$D$65+0.1)*AG177),IF(AD177=3,AI$100*EXP(-(LN(2)/$D$65+0.04)*(VLOOKUP(($F$16-$F$15)-1,AC$99:AG177,4,FALSE)))*EXP(-(LN(2)/$D$65+0.1)*(VLOOKUP(($F$16-$F$15)-1,AC$99:AG177,5,FALSE)))*EXP(-(LN(2)/$D$65+0.04)*(VLOOKUP(($F$16-$F$15)*2-1,AC$99:AG177,4,FALSE)))*EXP(-(LN(2)/$D$65+0.1)*(VLOOKUP(($F$16-$F$15)*2-1,AC$99:AG177,5,FALSE)))*EXP(-(LN(2)/$D$65+0.04)*AF177)*EXP(-(LN(2)/$D$65+0.1)*AG177),"-"))),"-")</f>
        <v>-</v>
      </c>
      <c r="AJ178" s="271" t="str">
        <f>IFERROR(IF(AD178=1,AJ$100*EXP(-(LN(2)/$D$65+0.04)*AF178)*EXP(-(LN(2)/$D$65+0.1)*AG178),IF(AD178=2,AJ$100*EXP(-(LN(2)/$D$65+0.04)*(VLOOKUP(($F$16-$F$15)-1,AC$100:AG178,4,FALSE)))*EXP(-(LN(2)/$D$65+0.1)*(VLOOKUP(($F$16-$F$15)-1,AC$100:AG178,5,FALSE)))*EXP(-(LN(2)/$D$65+0.04)*AF178)*EXP(-(LN(2)/$D$65+0.1)*AG178),IF(AD178=3,AJ$100*EXP(-(LN(2)/$D$65+0.04)*(VLOOKUP(($F$16-$F$15)-1,AC$100:AG178,4,FALSE)))*EXP(-(LN(2)/$D$65+0.1)*(VLOOKUP(($F$16-$F$15)-1,AC$100:AG178,5,FALSE)))*EXP(-(LN(2)/$D$65+0.04)*(VLOOKUP(($F$16-$F$15)*2-1,AC$100:AG178,4,FALSE)))*EXP(-(LN(2)/$D$65+0.1)*(VLOOKUP(($F$16-$F$15)*2-1,AC$100:AG178,5,FALSE)))*EXP(-(LN(2)/$D$65+0.04)*AF178)*EXP(-(LN(2)/$D$65+0.1)*AG178),"-"))),"-")</f>
        <v>-</v>
      </c>
      <c r="AK178" s="227">
        <f t="shared" si="137"/>
        <v>78</v>
      </c>
      <c r="AL178" s="226" t="str">
        <f t="shared" si="111"/>
        <v>-</v>
      </c>
      <c r="AM178" s="227" t="str">
        <f t="shared" si="138"/>
        <v>-</v>
      </c>
      <c r="AN178" s="227" t="str">
        <f t="shared" si="139"/>
        <v>-</v>
      </c>
      <c r="AO178" s="227" t="str">
        <f t="shared" si="112"/>
        <v>-</v>
      </c>
      <c r="AP178" s="273">
        <f t="shared" si="140"/>
        <v>0.1</v>
      </c>
      <c r="AQ178" s="271" t="str">
        <f>IFERROR(IF(AL177=1,AQ$100*EXP(-(LN(2)/$D$65+0.04)*AN177)*EXP(-(LN(2)/$D$65+0.1)*AO177),IF(AL177=2,AQ$100*EXP(-(LN(2)/$D$65+0.04)*(VLOOKUP(($F$16-$F$15)-1,AK$99:AO177,4,FALSE)))*EXP(-(LN(2)/$D$65+0.1)*(VLOOKUP(($F$16-$F$15)-1,AK$99:AO177,5,FALSE)))*EXP(-(LN(2)/$D$65+0.04)*AN177)*EXP(-(LN(2)/$D$65+0.1)*AO177),IF(AL177=3,AQ$100*EXP(-(LN(2)/$D$65+0.04)*(VLOOKUP(($F$16-$F$15)-1,AK$99:AO177,4,FALSE)))*EXP(-(LN(2)/$D$65+0.1)*(VLOOKUP(($F$16-$F$15)-1,AK$99:AO177,5,FALSE)))*EXP(-(LN(2)/$D$65+0.04)*(VLOOKUP(($F$16-$F$15)*2-1,AK$99:AO177,4,FALSE)))*EXP(-(LN(2)/$D$65+0.1)*(VLOOKUP(($F$16-$F$15)*2-1,AK$99:AO177,5,FALSE)))*EXP(-(LN(2)/$D$65+0.04)*AN177)*EXP(-(LN(2)/$D$65+0.1)*AO177),"-"))),"-")</f>
        <v>-</v>
      </c>
      <c r="AR178" s="271" t="str">
        <f>IFERROR(IF(AL178=1,AR$100*EXP(-(LN(2)/$D$65+0.04)*AN178)*EXP(-(LN(2)/$D$65+0.1)*AO178),IF(AL178=2,AR$100*EXP(-(LN(2)/$D$65+0.04)*(VLOOKUP(($F$16-$F$15)-1,AK$100:AO178,4,FALSE)))*EXP(-(LN(2)/$D$65+0.1)*(VLOOKUP(($F$16-$F$15)-1,AK$100:AO178,5,FALSE)))*EXP(-(LN(2)/$D$65+0.04)*AN178)*EXP(-(LN(2)/$D$65+0.1)*AO178),IF(AL178=3,AR$100*EXP(-(LN(2)/$D$65+0.04)*(VLOOKUP(($F$16-$F$15)-1,AK$100:AO178,4,FALSE)))*EXP(-(LN(2)/$D$65+0.1)*(VLOOKUP(($F$16-$F$15)-1,AK$100:AO178,5,FALSE)))*EXP(-(LN(2)/$D$65+0.04)*(VLOOKUP(($F$16-$F$15)*2-1,AK$100:AO178,4,FALSE)))*EXP(-(LN(2)/$D$65+0.1)*(VLOOKUP(($F$16-$F$15)*2-1,AK$100:AO178,5,FALSE)))*EXP(-(LN(2)/$D$65+0.04)*AN178)*EXP(-(LN(2)/$D$65+0.1)*AO178),"-"))),"-")</f>
        <v>-</v>
      </c>
      <c r="AS178" s="274">
        <f t="shared" si="113"/>
        <v>0</v>
      </c>
      <c r="AT178" s="274">
        <f t="shared" si="114"/>
        <v>0</v>
      </c>
      <c r="AU178" s="274">
        <f t="shared" si="115"/>
        <v>0</v>
      </c>
      <c r="AV178" s="190" t="str">
        <f>IF($B178&lt;$F$22,SUM($T$100:$T178),"")</f>
        <v/>
      </c>
      <c r="AW178" s="190" t="str">
        <f t="shared" si="116"/>
        <v>-</v>
      </c>
      <c r="AX178" s="190" t="str">
        <f t="shared" si="141"/>
        <v/>
      </c>
      <c r="AY178"/>
      <c r="AZ178" s="190" t="str">
        <f ca="1">IF(ISNUMBER(OFFSET(AV178,-$F$21,0)),SUM(OFFSET($T$100,$F$21,0):$T178),"")</f>
        <v/>
      </c>
      <c r="BA178" s="190" t="str">
        <f t="shared" ca="1" si="117"/>
        <v/>
      </c>
      <c r="BB178" s="190" t="str">
        <f t="shared" ca="1" si="70"/>
        <v/>
      </c>
      <c r="BC178" s="190"/>
      <c r="BD178" s="190" t="str">
        <f ca="1">IFERROR(IF(OR(ISNUMBER(I),ISNUMBER($F$14)),IF(AND($B178&gt;=($F$16-$F$15),$B178&lt;$F$22+($F$16-$F$15)),SUM(OFFSET($T$100,($F$16-$F$15),0):$T178),""),""),"")</f>
        <v/>
      </c>
      <c r="BE178" s="190" t="str">
        <f t="shared" ca="1" si="142"/>
        <v/>
      </c>
      <c r="BF178" s="190" t="str">
        <f t="shared" ca="1" si="143"/>
        <v/>
      </c>
      <c r="BG178"/>
      <c r="BH178" s="190" t="str">
        <f ca="1">IF(ISNUMBER(OFFSET(BD178,-$F$21,0)),SUM(OFFSET($T$100,($F$16-$F$15+$F$21),0):$T178),"")</f>
        <v/>
      </c>
      <c r="BI178" s="190" t="str">
        <f t="shared" ca="1" si="118"/>
        <v/>
      </c>
      <c r="BJ178" s="190" t="str">
        <f t="shared" ca="1" si="144"/>
        <v/>
      </c>
      <c r="BK178" s="190"/>
      <c r="BL178" s="190" t="str">
        <f ca="1">IFERROR(IF(OR(ISNUMBER(I),ISNUMBER($F$14)),IF(AND($B178&gt;=($F$17-$F$15),$B178&lt;$F$22+($F$17-$F$15)),SUM(OFFSET($T$100,($F$17-$F$15),0):$T178),""),""),"")</f>
        <v/>
      </c>
      <c r="BM178" s="190" t="str">
        <f t="shared" ca="1" si="119"/>
        <v/>
      </c>
      <c r="BN178" s="190" t="str">
        <f t="shared" ca="1" si="145"/>
        <v/>
      </c>
      <c r="BO178"/>
      <c r="BP178" s="190" t="str">
        <f ca="1">IF(ISNUMBER(OFFSET(BL178,-$F$21,0)),SUM(OFFSET($T$100,($F$17-$F$15+$F$21),0):$T178),"")</f>
        <v/>
      </c>
      <c r="BQ178" s="190" t="str">
        <f t="shared" ca="1" si="120"/>
        <v/>
      </c>
      <c r="BR178" s="190" t="str">
        <f t="shared" ca="1" si="146"/>
        <v/>
      </c>
      <c r="BS178" s="190"/>
      <c r="BT178"/>
      <c r="BU178"/>
      <c r="BV178"/>
      <c r="BY178" s="99"/>
      <c r="BZ178" s="99"/>
      <c r="CA178" s="280" t="str">
        <f t="shared" si="121"/>
        <v/>
      </c>
      <c r="CB178" s="71" t="str">
        <f t="shared" si="122"/>
        <v>-</v>
      </c>
      <c r="CC178" s="33"/>
      <c r="CD178" s="261" t="str">
        <f t="shared" si="123"/>
        <v/>
      </c>
      <c r="CE178" s="280" t="str">
        <f t="shared" si="124"/>
        <v/>
      </c>
      <c r="CF178" s="71" t="str">
        <f t="shared" ca="1" si="125"/>
        <v/>
      </c>
      <c r="CG178" s="33" t="str">
        <f t="shared" si="126"/>
        <v/>
      </c>
      <c r="CH178" s="261" t="str">
        <f t="shared" ca="1" si="127"/>
        <v/>
      </c>
      <c r="CI178" s="202"/>
      <c r="CJ178" s="99"/>
      <c r="CK178" s="99"/>
      <c r="CL178" s="99"/>
      <c r="CM178" s="99"/>
      <c r="CN178" s="99"/>
      <c r="CO178" s="99"/>
    </row>
    <row r="179" spans="2:93" ht="13.5" customHeight="1" x14ac:dyDescent="0.2">
      <c r="B179" s="262">
        <v>79</v>
      </c>
      <c r="C179" s="237" t="str">
        <f t="shared" si="91"/>
        <v/>
      </c>
      <c r="D179" s="237" t="str">
        <f t="shared" si="147"/>
        <v/>
      </c>
      <c r="E179" s="290" t="str">
        <f t="shared" si="128"/>
        <v/>
      </c>
      <c r="F179" s="264" t="str">
        <f t="shared" si="129"/>
        <v/>
      </c>
      <c r="G179" s="291" t="str">
        <f t="shared" si="130"/>
        <v/>
      </c>
      <c r="H179" s="240" t="str">
        <f t="shared" si="92"/>
        <v/>
      </c>
      <c r="I179" s="265" t="str">
        <f t="shared" si="93"/>
        <v/>
      </c>
      <c r="J179" s="265" t="str">
        <f t="shared" si="94"/>
        <v/>
      </c>
      <c r="K179" s="240" t="str">
        <f t="shared" si="95"/>
        <v/>
      </c>
      <c r="L179" s="265" t="str">
        <f t="shared" si="96"/>
        <v/>
      </c>
      <c r="M179" s="265" t="str">
        <f t="shared" si="97"/>
        <v/>
      </c>
      <c r="N179" s="240" t="str">
        <f t="shared" si="98"/>
        <v>-</v>
      </c>
      <c r="O179" s="265" t="str">
        <f t="shared" si="99"/>
        <v>-</v>
      </c>
      <c r="P179" s="265" t="str">
        <f t="shared" si="100"/>
        <v>-</v>
      </c>
      <c r="Q179" s="266" t="str">
        <f t="shared" si="101"/>
        <v>-</v>
      </c>
      <c r="R179" s="267" t="str">
        <f t="shared" si="102"/>
        <v>-</v>
      </c>
      <c r="S179" s="268" t="str">
        <f t="shared" si="103"/>
        <v>-</v>
      </c>
      <c r="T179" s="269" t="str">
        <f t="shared" si="104"/>
        <v/>
      </c>
      <c r="U179" s="221">
        <f t="shared" si="105"/>
        <v>79</v>
      </c>
      <c r="V179" s="220" t="str">
        <f t="shared" si="131"/>
        <v>-</v>
      </c>
      <c r="W179" s="221" t="str">
        <f t="shared" si="132"/>
        <v>-</v>
      </c>
      <c r="X179" s="221" t="str">
        <f t="shared" si="106"/>
        <v>-</v>
      </c>
      <c r="Y179" s="221" t="str">
        <f t="shared" si="107"/>
        <v>-</v>
      </c>
      <c r="Z179" s="270">
        <f t="shared" si="133"/>
        <v>0.1</v>
      </c>
      <c r="AA179" s="271" t="str">
        <f>IFERROR(IF(V178=1,AA$100*EXP(-(LN(2)/$D$65+0.04)*X178)*EXP(-(LN(2)/$D$65+0.1)*Y178),IF(V178=2,AA$100*EXP(-(LN(2)/$D$65+0.04)*(VLOOKUP(($F$16-$F$15)-1,U$99:Y178,4,FALSE)))*EXP(-(LN(2)/$D$65+0.1)*(VLOOKUP(($F$16-$F$15)-1,U$99:Y178,5,FALSE)))*EXP(-(LN(2)/$D$65+0.04)*X178)*EXP(-(LN(2)/$D$65+0.1)*Y178),IF(V178=3,AA$100*EXP(-(LN(2)/$D$65+0.04)*(VLOOKUP(($F$16-$F$15)-1,U$99:Y178,4,FALSE)))*EXP(-(LN(2)/$D$65+0.1)*(VLOOKUP(($F$16-$F$15)-1,U$99:Y178,5,FALSE)))*EXP(-(LN(2)/$D$65+0.04)*(VLOOKUP(($F$16-$F$15)*2-1,U$99:Y178,4,FALSE)))*EXP(-(LN(2)/$D$65+0.1)*(VLOOKUP(($F$16-$F$15)*2-1,U$99:Y178,5,FALSE)))*EXP(-(LN(2)/$D$65+0.04)*X178)*EXP(-(LN(2)/$D$65+0.1)*Y178),"-"))),"-")</f>
        <v>-</v>
      </c>
      <c r="AB179" s="271" t="str">
        <f>IFERROR(IF(V179=1,AB$100*EXP(-(LN(2)/$D$65+0.04)*X179)*EXP(-(LN(2)/$D$65+0.1)*Y179),IF(V179=2,AB$100*EXP(-(LN(2)/$D$65+0.04)*(VLOOKUP(($F$16-$F$15)-1,U$100:Y179,4,FALSE)))*EXP(-(LN(2)/$D$65+0.1)*(VLOOKUP(($F$16-$F$15)-1,U$100:Y179,5,FALSE)))*EXP(-(LN(2)/$D$65+0.04)*X179)*EXP(-(LN(2)/$D$65+0.1)*Y179),IF(V179=3,AB$100*EXP(-(LN(2)/$D$65+0.04)*(VLOOKUP(($F$16-$F$15)-1,U$100:Y179,4,FALSE)))*EXP(-(LN(2)/$D$65+0.1)*(VLOOKUP(($F$16-$F$15)-1,U$100:Y179,5,FALSE)))*EXP(-(LN(2)/$D$65+0.04)*(VLOOKUP(($F$16-$F$15)*2-1,U$100:Y179,4,FALSE)))*EXP(-(LN(2)/$D$65+0.1)*(VLOOKUP(($F$16-$F$15)*2-1,U$100:Y179,5,FALSE)))*EXP(-(LN(2)/$D$65+0.04)*X179)*EXP(-(LN(2)/$D$65+0.1)*Y179),"-"))),"-")</f>
        <v>-</v>
      </c>
      <c r="AC179" s="224">
        <f t="shared" si="134"/>
        <v>79</v>
      </c>
      <c r="AD179" s="223" t="str">
        <f t="shared" si="108"/>
        <v>-</v>
      </c>
      <c r="AE179" s="224" t="str">
        <f t="shared" si="135"/>
        <v>-</v>
      </c>
      <c r="AF179" s="224" t="str">
        <f t="shared" si="109"/>
        <v>-</v>
      </c>
      <c r="AG179" s="224" t="str">
        <f t="shared" si="110"/>
        <v>-</v>
      </c>
      <c r="AH179" s="272">
        <f t="shared" si="136"/>
        <v>0.1</v>
      </c>
      <c r="AI179" s="271" t="str">
        <f>IFERROR(IF(AD178=1,AI$100*EXP(-(LN(2)/$D$65+0.04)*AF178)*EXP(-(LN(2)/$D$65+0.1)*AG178),IF(AD178=2,AI$100*EXP(-(LN(2)/$D$65+0.04)*(VLOOKUP(($F$16-$F$15)-1,AC$99:AG178,4,FALSE)))*EXP(-(LN(2)/$D$65+0.1)*(VLOOKUP(($F$16-$F$15)-1,AC$99:AG178,5,FALSE)))*EXP(-(LN(2)/$D$65+0.04)*AF178)*EXP(-(LN(2)/$D$65+0.1)*AG178),IF(AD178=3,AI$100*EXP(-(LN(2)/$D$65+0.04)*(VLOOKUP(($F$16-$F$15)-1,AC$99:AG178,4,FALSE)))*EXP(-(LN(2)/$D$65+0.1)*(VLOOKUP(($F$16-$F$15)-1,AC$99:AG178,5,FALSE)))*EXP(-(LN(2)/$D$65+0.04)*(VLOOKUP(($F$16-$F$15)*2-1,AC$99:AG178,4,FALSE)))*EXP(-(LN(2)/$D$65+0.1)*(VLOOKUP(($F$16-$F$15)*2-1,AC$99:AG178,5,FALSE)))*EXP(-(LN(2)/$D$65+0.04)*AF178)*EXP(-(LN(2)/$D$65+0.1)*AG178),"-"))),"-")</f>
        <v>-</v>
      </c>
      <c r="AJ179" s="271" t="str">
        <f>IFERROR(IF(AD179=1,AJ$100*EXP(-(LN(2)/$D$65+0.04)*AF179)*EXP(-(LN(2)/$D$65+0.1)*AG179),IF(AD179=2,AJ$100*EXP(-(LN(2)/$D$65+0.04)*(VLOOKUP(($F$16-$F$15)-1,AC$100:AG179,4,FALSE)))*EXP(-(LN(2)/$D$65+0.1)*(VLOOKUP(($F$16-$F$15)-1,AC$100:AG179,5,FALSE)))*EXP(-(LN(2)/$D$65+0.04)*AF179)*EXP(-(LN(2)/$D$65+0.1)*AG179),IF(AD179=3,AJ$100*EXP(-(LN(2)/$D$65+0.04)*(VLOOKUP(($F$16-$F$15)-1,AC$100:AG179,4,FALSE)))*EXP(-(LN(2)/$D$65+0.1)*(VLOOKUP(($F$16-$F$15)-1,AC$100:AG179,5,FALSE)))*EXP(-(LN(2)/$D$65+0.04)*(VLOOKUP(($F$16-$F$15)*2-1,AC$100:AG179,4,FALSE)))*EXP(-(LN(2)/$D$65+0.1)*(VLOOKUP(($F$16-$F$15)*2-1,AC$100:AG179,5,FALSE)))*EXP(-(LN(2)/$D$65+0.04)*AF179)*EXP(-(LN(2)/$D$65+0.1)*AG179),"-"))),"-")</f>
        <v>-</v>
      </c>
      <c r="AK179" s="227">
        <f t="shared" si="137"/>
        <v>79</v>
      </c>
      <c r="AL179" s="226" t="str">
        <f t="shared" si="111"/>
        <v>-</v>
      </c>
      <c r="AM179" s="227" t="str">
        <f t="shared" si="138"/>
        <v>-</v>
      </c>
      <c r="AN179" s="227" t="str">
        <f t="shared" si="139"/>
        <v>-</v>
      </c>
      <c r="AO179" s="227" t="str">
        <f t="shared" si="112"/>
        <v>-</v>
      </c>
      <c r="AP179" s="273">
        <f t="shared" si="140"/>
        <v>0.1</v>
      </c>
      <c r="AQ179" s="271" t="str">
        <f>IFERROR(IF(AL178=1,AQ$100*EXP(-(LN(2)/$D$65+0.04)*AN178)*EXP(-(LN(2)/$D$65+0.1)*AO178),IF(AL178=2,AQ$100*EXP(-(LN(2)/$D$65+0.04)*(VLOOKUP(($F$16-$F$15)-1,AK$99:AO178,4,FALSE)))*EXP(-(LN(2)/$D$65+0.1)*(VLOOKUP(($F$16-$F$15)-1,AK$99:AO178,5,FALSE)))*EXP(-(LN(2)/$D$65+0.04)*AN178)*EXP(-(LN(2)/$D$65+0.1)*AO178),IF(AL178=3,AQ$100*EXP(-(LN(2)/$D$65+0.04)*(VLOOKUP(($F$16-$F$15)-1,AK$99:AO178,4,FALSE)))*EXP(-(LN(2)/$D$65+0.1)*(VLOOKUP(($F$16-$F$15)-1,AK$99:AO178,5,FALSE)))*EXP(-(LN(2)/$D$65+0.04)*(VLOOKUP(($F$16-$F$15)*2-1,AK$99:AO178,4,FALSE)))*EXP(-(LN(2)/$D$65+0.1)*(VLOOKUP(($F$16-$F$15)*2-1,AK$99:AO178,5,FALSE)))*EXP(-(LN(2)/$D$65+0.04)*AN178)*EXP(-(LN(2)/$D$65+0.1)*AO178),"-"))),"-")</f>
        <v>-</v>
      </c>
      <c r="AR179" s="271" t="str">
        <f>IFERROR(IF(AL179=1,AR$100*EXP(-(LN(2)/$D$65+0.04)*AN179)*EXP(-(LN(2)/$D$65+0.1)*AO179),IF(AL179=2,AR$100*EXP(-(LN(2)/$D$65+0.04)*(VLOOKUP(($F$16-$F$15)-1,AK$100:AO179,4,FALSE)))*EXP(-(LN(2)/$D$65+0.1)*(VLOOKUP(($F$16-$F$15)-1,AK$100:AO179,5,FALSE)))*EXP(-(LN(2)/$D$65+0.04)*AN179)*EXP(-(LN(2)/$D$65+0.1)*AO179),IF(AL179=3,AR$100*EXP(-(LN(2)/$D$65+0.04)*(VLOOKUP(($F$16-$F$15)-1,AK$100:AO179,4,FALSE)))*EXP(-(LN(2)/$D$65+0.1)*(VLOOKUP(($F$16-$F$15)-1,AK$100:AO179,5,FALSE)))*EXP(-(LN(2)/$D$65+0.04)*(VLOOKUP(($F$16-$F$15)*2-1,AK$100:AO179,4,FALSE)))*EXP(-(LN(2)/$D$65+0.1)*(VLOOKUP(($F$16-$F$15)*2-1,AK$100:AO179,5,FALSE)))*EXP(-(LN(2)/$D$65+0.04)*AN179)*EXP(-(LN(2)/$D$65+0.1)*AO179),"-"))),"-")</f>
        <v>-</v>
      </c>
      <c r="AS179" s="274">
        <f t="shared" si="113"/>
        <v>0</v>
      </c>
      <c r="AT179" s="274">
        <f t="shared" si="114"/>
        <v>0</v>
      </c>
      <c r="AU179" s="274">
        <f t="shared" si="115"/>
        <v>0</v>
      </c>
      <c r="AV179" s="190" t="str">
        <f>IF($B179&lt;$F$22,SUM($T$100:$T179),"")</f>
        <v/>
      </c>
      <c r="AW179" s="190" t="str">
        <f t="shared" si="116"/>
        <v>-</v>
      </c>
      <c r="AX179" s="190" t="str">
        <f t="shared" si="141"/>
        <v/>
      </c>
      <c r="AY179"/>
      <c r="AZ179" s="190" t="str">
        <f ca="1">IF(ISNUMBER(OFFSET(AV179,-$F$21,0)),SUM(OFFSET($T$100,$F$21,0):$T179),"")</f>
        <v/>
      </c>
      <c r="BA179" s="190" t="str">
        <f t="shared" ca="1" si="117"/>
        <v/>
      </c>
      <c r="BB179" s="190" t="str">
        <f t="shared" ca="1" si="70"/>
        <v/>
      </c>
      <c r="BC179" s="190"/>
      <c r="BD179" s="190" t="str">
        <f ca="1">IFERROR(IF(OR(ISNUMBER(I),ISNUMBER($F$14)),IF(AND($B179&gt;=($F$16-$F$15),$B179&lt;$F$22+($F$16-$F$15)),SUM(OFFSET($T$100,($F$16-$F$15),0):$T179),""),""),"")</f>
        <v/>
      </c>
      <c r="BE179" s="190" t="str">
        <f t="shared" ca="1" si="142"/>
        <v/>
      </c>
      <c r="BF179" s="190" t="str">
        <f t="shared" ca="1" si="143"/>
        <v/>
      </c>
      <c r="BG179"/>
      <c r="BH179" s="190" t="str">
        <f ca="1">IF(ISNUMBER(OFFSET(BD179,-$F$21,0)),SUM(OFFSET($T$100,($F$16-$F$15+$F$21),0):$T179),"")</f>
        <v/>
      </c>
      <c r="BI179" s="190" t="str">
        <f t="shared" ca="1" si="118"/>
        <v/>
      </c>
      <c r="BJ179" s="190" t="str">
        <f t="shared" ca="1" si="144"/>
        <v/>
      </c>
      <c r="BK179" s="190"/>
      <c r="BL179" s="190" t="str">
        <f ca="1">IFERROR(IF(OR(ISNUMBER(I),ISNUMBER($F$14)),IF(AND($B179&gt;=($F$17-$F$15),$B179&lt;$F$22+($F$17-$F$15)),SUM(OFFSET($T$100,($F$17-$F$15),0):$T179),""),""),"")</f>
        <v/>
      </c>
      <c r="BM179" s="190" t="str">
        <f t="shared" ca="1" si="119"/>
        <v/>
      </c>
      <c r="BN179" s="190" t="str">
        <f t="shared" ca="1" si="145"/>
        <v/>
      </c>
      <c r="BO179"/>
      <c r="BP179" s="190" t="str">
        <f ca="1">IF(ISNUMBER(OFFSET(BL179,-$F$21,0)),SUM(OFFSET($T$100,($F$17-$F$15+$F$21),0):$T179),"")</f>
        <v/>
      </c>
      <c r="BQ179" s="190" t="str">
        <f t="shared" ca="1" si="120"/>
        <v/>
      </c>
      <c r="BR179" s="190" t="str">
        <f t="shared" ca="1" si="146"/>
        <v/>
      </c>
      <c r="BS179" s="190"/>
      <c r="BT179"/>
      <c r="BU179"/>
      <c r="BV179"/>
      <c r="BY179" s="99"/>
      <c r="BZ179" s="99"/>
      <c r="CA179" s="280" t="str">
        <f t="shared" si="121"/>
        <v/>
      </c>
      <c r="CB179" s="71" t="str">
        <f t="shared" si="122"/>
        <v>-</v>
      </c>
      <c r="CC179" s="33"/>
      <c r="CD179" s="261" t="str">
        <f t="shared" si="123"/>
        <v/>
      </c>
      <c r="CE179" s="280" t="str">
        <f t="shared" si="124"/>
        <v/>
      </c>
      <c r="CF179" s="71" t="str">
        <f t="shared" ca="1" si="125"/>
        <v/>
      </c>
      <c r="CG179" s="33" t="str">
        <f t="shared" si="126"/>
        <v/>
      </c>
      <c r="CH179" s="261" t="str">
        <f t="shared" ca="1" si="127"/>
        <v/>
      </c>
      <c r="CI179" s="202"/>
      <c r="CJ179" s="99"/>
      <c r="CK179" s="99"/>
      <c r="CL179" s="99"/>
      <c r="CM179" s="99"/>
      <c r="CN179" s="99"/>
      <c r="CO179" s="99"/>
    </row>
    <row r="180" spans="2:93" ht="13.5" customHeight="1" x14ac:dyDescent="0.2">
      <c r="B180" s="262">
        <v>80</v>
      </c>
      <c r="C180" s="237" t="str">
        <f t="shared" si="91"/>
        <v/>
      </c>
      <c r="D180" s="237" t="str">
        <f t="shared" si="147"/>
        <v/>
      </c>
      <c r="E180" s="263" t="str">
        <f t="shared" si="128"/>
        <v/>
      </c>
      <c r="F180" s="264" t="str">
        <f t="shared" si="129"/>
        <v/>
      </c>
      <c r="G180" s="306" t="str">
        <f t="shared" si="130"/>
        <v/>
      </c>
      <c r="H180" s="240" t="str">
        <f t="shared" si="92"/>
        <v/>
      </c>
      <c r="I180" s="265" t="str">
        <f t="shared" si="93"/>
        <v/>
      </c>
      <c r="J180" s="265" t="str">
        <f t="shared" si="94"/>
        <v/>
      </c>
      <c r="K180" s="240" t="str">
        <f t="shared" si="95"/>
        <v/>
      </c>
      <c r="L180" s="265" t="str">
        <f t="shared" si="96"/>
        <v/>
      </c>
      <c r="M180" s="265" t="str">
        <f t="shared" si="97"/>
        <v/>
      </c>
      <c r="N180" s="240" t="str">
        <f t="shared" si="98"/>
        <v>-</v>
      </c>
      <c r="O180" s="265" t="str">
        <f t="shared" si="99"/>
        <v>-</v>
      </c>
      <c r="P180" s="265" t="str">
        <f t="shared" si="100"/>
        <v>-</v>
      </c>
      <c r="Q180" s="266" t="str">
        <f t="shared" si="101"/>
        <v>-</v>
      </c>
      <c r="R180" s="267" t="str">
        <f t="shared" si="102"/>
        <v>-</v>
      </c>
      <c r="S180" s="268" t="str">
        <f t="shared" si="103"/>
        <v>-</v>
      </c>
      <c r="T180" s="269" t="str">
        <f t="shared" si="104"/>
        <v/>
      </c>
      <c r="U180" s="221">
        <f t="shared" si="105"/>
        <v>80</v>
      </c>
      <c r="V180" s="220" t="str">
        <f t="shared" si="131"/>
        <v>-</v>
      </c>
      <c r="W180" s="221" t="str">
        <f t="shared" si="132"/>
        <v>-</v>
      </c>
      <c r="X180" s="221" t="str">
        <f t="shared" si="106"/>
        <v>-</v>
      </c>
      <c r="Y180" s="221" t="str">
        <f t="shared" si="107"/>
        <v>-</v>
      </c>
      <c r="Z180" s="270">
        <f t="shared" si="133"/>
        <v>0.1</v>
      </c>
      <c r="AA180" s="271" t="str">
        <f>IFERROR(IF(V179=1,AA$100*EXP(-(LN(2)/$D$65+0.04)*X179)*EXP(-(LN(2)/$D$65+0.1)*Y179),IF(V179=2,AA$100*EXP(-(LN(2)/$D$65+0.04)*(VLOOKUP(($F$16-$F$15)-1,U$99:Y179,4,FALSE)))*EXP(-(LN(2)/$D$65+0.1)*(VLOOKUP(($F$16-$F$15)-1,U$99:Y179,5,FALSE)))*EXP(-(LN(2)/$D$65+0.04)*X179)*EXP(-(LN(2)/$D$65+0.1)*Y179),IF(V179=3,AA$100*EXP(-(LN(2)/$D$65+0.04)*(VLOOKUP(($F$16-$F$15)-1,U$99:Y179,4,FALSE)))*EXP(-(LN(2)/$D$65+0.1)*(VLOOKUP(($F$16-$F$15)-1,U$99:Y179,5,FALSE)))*EXP(-(LN(2)/$D$65+0.04)*(VLOOKUP(($F$16-$F$15)*2-1,U$99:Y179,4,FALSE)))*EXP(-(LN(2)/$D$65+0.1)*(VLOOKUP(($F$16-$F$15)*2-1,U$99:Y179,5,FALSE)))*EXP(-(LN(2)/$D$65+0.04)*X179)*EXP(-(LN(2)/$D$65+0.1)*Y179),"-"))),"-")</f>
        <v>-</v>
      </c>
      <c r="AB180" s="271" t="str">
        <f>IFERROR(IF(V180=1,AB$100*EXP(-(LN(2)/$D$65+0.04)*X180)*EXP(-(LN(2)/$D$65+0.1)*Y180),IF(V180=2,AB$100*EXP(-(LN(2)/$D$65+0.04)*(VLOOKUP(($F$16-$F$15)-1,U$100:Y180,4,FALSE)))*EXP(-(LN(2)/$D$65+0.1)*(VLOOKUP(($F$16-$F$15)-1,U$100:Y180,5,FALSE)))*EXP(-(LN(2)/$D$65+0.04)*X180)*EXP(-(LN(2)/$D$65+0.1)*Y180),IF(V180=3,AB$100*EXP(-(LN(2)/$D$65+0.04)*(VLOOKUP(($F$16-$F$15)-1,U$100:Y180,4,FALSE)))*EXP(-(LN(2)/$D$65+0.1)*(VLOOKUP(($F$16-$F$15)-1,U$100:Y180,5,FALSE)))*EXP(-(LN(2)/$D$65+0.04)*(VLOOKUP(($F$16-$F$15)*2-1,U$100:Y180,4,FALSE)))*EXP(-(LN(2)/$D$65+0.1)*(VLOOKUP(($F$16-$F$15)*2-1,U$100:Y180,5,FALSE)))*EXP(-(LN(2)/$D$65+0.04)*X180)*EXP(-(LN(2)/$D$65+0.1)*Y180),"-"))),"-")</f>
        <v>-</v>
      </c>
      <c r="AC180" s="224">
        <f t="shared" si="134"/>
        <v>80</v>
      </c>
      <c r="AD180" s="223" t="str">
        <f t="shared" si="108"/>
        <v>-</v>
      </c>
      <c r="AE180" s="224" t="str">
        <f t="shared" si="135"/>
        <v>-</v>
      </c>
      <c r="AF180" s="224" t="str">
        <f t="shared" si="109"/>
        <v>-</v>
      </c>
      <c r="AG180" s="224" t="str">
        <f t="shared" si="110"/>
        <v>-</v>
      </c>
      <c r="AH180" s="272">
        <f t="shared" si="136"/>
        <v>0.1</v>
      </c>
      <c r="AI180" s="271" t="str">
        <f>IFERROR(IF(AD179=1,AI$100*EXP(-(LN(2)/$D$65+0.04)*AF179)*EXP(-(LN(2)/$D$65+0.1)*AG179),IF(AD179=2,AI$100*EXP(-(LN(2)/$D$65+0.04)*(VLOOKUP(($F$16-$F$15)-1,AC$99:AG179,4,FALSE)))*EXP(-(LN(2)/$D$65+0.1)*(VLOOKUP(($F$16-$F$15)-1,AC$99:AG179,5,FALSE)))*EXP(-(LN(2)/$D$65+0.04)*AF179)*EXP(-(LN(2)/$D$65+0.1)*AG179),IF(AD179=3,AI$100*EXP(-(LN(2)/$D$65+0.04)*(VLOOKUP(($F$16-$F$15)-1,AC$99:AG179,4,FALSE)))*EXP(-(LN(2)/$D$65+0.1)*(VLOOKUP(($F$16-$F$15)-1,AC$99:AG179,5,FALSE)))*EXP(-(LN(2)/$D$65+0.04)*(VLOOKUP(($F$16-$F$15)*2-1,AC$99:AG179,4,FALSE)))*EXP(-(LN(2)/$D$65+0.1)*(VLOOKUP(($F$16-$F$15)*2-1,AC$99:AG179,5,FALSE)))*EXP(-(LN(2)/$D$65+0.04)*AF179)*EXP(-(LN(2)/$D$65+0.1)*AG179),"-"))),"-")</f>
        <v>-</v>
      </c>
      <c r="AJ180" s="271" t="str">
        <f>IFERROR(IF(AD180=1,AJ$100*EXP(-(LN(2)/$D$65+0.04)*AF180)*EXP(-(LN(2)/$D$65+0.1)*AG180),IF(AD180=2,AJ$100*EXP(-(LN(2)/$D$65+0.04)*(VLOOKUP(($F$16-$F$15)-1,AC$100:AG180,4,FALSE)))*EXP(-(LN(2)/$D$65+0.1)*(VLOOKUP(($F$16-$F$15)-1,AC$100:AG180,5,FALSE)))*EXP(-(LN(2)/$D$65+0.04)*AF180)*EXP(-(LN(2)/$D$65+0.1)*AG180),IF(AD180=3,AJ$100*EXP(-(LN(2)/$D$65+0.04)*(VLOOKUP(($F$16-$F$15)-1,AC$100:AG180,4,FALSE)))*EXP(-(LN(2)/$D$65+0.1)*(VLOOKUP(($F$16-$F$15)-1,AC$100:AG180,5,FALSE)))*EXP(-(LN(2)/$D$65+0.04)*(VLOOKUP(($F$16-$F$15)*2-1,AC$100:AG180,4,FALSE)))*EXP(-(LN(2)/$D$65+0.1)*(VLOOKUP(($F$16-$F$15)*2-1,AC$100:AG180,5,FALSE)))*EXP(-(LN(2)/$D$65+0.04)*AF180)*EXP(-(LN(2)/$D$65+0.1)*AG180),"-"))),"-")</f>
        <v>-</v>
      </c>
      <c r="AK180" s="227">
        <f t="shared" si="137"/>
        <v>80</v>
      </c>
      <c r="AL180" s="226" t="str">
        <f t="shared" si="111"/>
        <v>-</v>
      </c>
      <c r="AM180" s="227" t="str">
        <f t="shared" si="138"/>
        <v>-</v>
      </c>
      <c r="AN180" s="227" t="str">
        <f t="shared" si="139"/>
        <v>-</v>
      </c>
      <c r="AO180" s="227" t="str">
        <f t="shared" si="112"/>
        <v>-</v>
      </c>
      <c r="AP180" s="273">
        <f t="shared" si="140"/>
        <v>0.1</v>
      </c>
      <c r="AQ180" s="271" t="str">
        <f>IFERROR(IF(AL179=1,AQ$100*EXP(-(LN(2)/$D$65+0.04)*AN179)*EXP(-(LN(2)/$D$65+0.1)*AO179),IF(AL179=2,AQ$100*EXP(-(LN(2)/$D$65+0.04)*(VLOOKUP(($F$16-$F$15)-1,AK$99:AO179,4,FALSE)))*EXP(-(LN(2)/$D$65+0.1)*(VLOOKUP(($F$16-$F$15)-1,AK$99:AO179,5,FALSE)))*EXP(-(LN(2)/$D$65+0.04)*AN179)*EXP(-(LN(2)/$D$65+0.1)*AO179),IF(AL179=3,AQ$100*EXP(-(LN(2)/$D$65+0.04)*(VLOOKUP(($F$16-$F$15)-1,AK$99:AO179,4,FALSE)))*EXP(-(LN(2)/$D$65+0.1)*(VLOOKUP(($F$16-$F$15)-1,AK$99:AO179,5,FALSE)))*EXP(-(LN(2)/$D$65+0.04)*(VLOOKUP(($F$16-$F$15)*2-1,AK$99:AO179,4,FALSE)))*EXP(-(LN(2)/$D$65+0.1)*(VLOOKUP(($F$16-$F$15)*2-1,AK$99:AO179,5,FALSE)))*EXP(-(LN(2)/$D$65+0.04)*AN179)*EXP(-(LN(2)/$D$65+0.1)*AO179),"-"))),"-")</f>
        <v>-</v>
      </c>
      <c r="AR180" s="271" t="str">
        <f>IFERROR(IF(AL180=1,AR$100*EXP(-(LN(2)/$D$65+0.04)*AN180)*EXP(-(LN(2)/$D$65+0.1)*AO180),IF(AL180=2,AR$100*EXP(-(LN(2)/$D$65+0.04)*(VLOOKUP(($F$16-$F$15)-1,AK$100:AO180,4,FALSE)))*EXP(-(LN(2)/$D$65+0.1)*(VLOOKUP(($F$16-$F$15)-1,AK$100:AO180,5,FALSE)))*EXP(-(LN(2)/$D$65+0.04)*AN180)*EXP(-(LN(2)/$D$65+0.1)*AO180),IF(AL180=3,AR$100*EXP(-(LN(2)/$D$65+0.04)*(VLOOKUP(($F$16-$F$15)-1,AK$100:AO180,4,FALSE)))*EXP(-(LN(2)/$D$65+0.1)*(VLOOKUP(($F$16-$F$15)-1,AK$100:AO180,5,FALSE)))*EXP(-(LN(2)/$D$65+0.04)*(VLOOKUP(($F$16-$F$15)*2-1,AK$100:AO180,4,FALSE)))*EXP(-(LN(2)/$D$65+0.1)*(VLOOKUP(($F$16-$F$15)*2-1,AK$100:AO180,5,FALSE)))*EXP(-(LN(2)/$D$65+0.04)*AN180)*EXP(-(LN(2)/$D$65+0.1)*AO180),"-"))),"-")</f>
        <v>-</v>
      </c>
      <c r="AS180" s="274">
        <f t="shared" si="113"/>
        <v>0</v>
      </c>
      <c r="AT180" s="274">
        <f t="shared" si="114"/>
        <v>0</v>
      </c>
      <c r="AU180" s="274">
        <f t="shared" si="115"/>
        <v>0</v>
      </c>
      <c r="AV180" s="190" t="str">
        <f>IF($B180&lt;$F$22,SUM($T$100:$T180),"")</f>
        <v/>
      </c>
      <c r="AW180" s="190" t="str">
        <f t="shared" si="116"/>
        <v>-</v>
      </c>
      <c r="AX180" s="190" t="str">
        <f t="shared" si="141"/>
        <v/>
      </c>
      <c r="AY180"/>
      <c r="AZ180" s="190" t="str">
        <f ca="1">IF(ISNUMBER(OFFSET(AV180,-$F$21,0)),SUM(OFFSET($T$100,$F$21,0):$T180),"")</f>
        <v/>
      </c>
      <c r="BA180" s="190" t="str">
        <f t="shared" ca="1" si="117"/>
        <v/>
      </c>
      <c r="BB180" s="190" t="str">
        <f t="shared" ca="1" si="70"/>
        <v/>
      </c>
      <c r="BC180" s="190"/>
      <c r="BD180" s="190" t="str">
        <f ca="1">IFERROR(IF(OR(ISNUMBER(I),ISNUMBER($F$14)),IF(AND($B180&gt;=($F$16-$F$15),$B180&lt;$F$22+($F$16-$F$15)),SUM(OFFSET($T$100,($F$16-$F$15),0):$T180),""),""),"")</f>
        <v/>
      </c>
      <c r="BE180" s="190" t="str">
        <f t="shared" ca="1" si="142"/>
        <v/>
      </c>
      <c r="BF180" s="190" t="str">
        <f t="shared" ca="1" si="143"/>
        <v/>
      </c>
      <c r="BG180"/>
      <c r="BH180" s="190" t="str">
        <f ca="1">IF(ISNUMBER(OFFSET(BD180,-$F$21,0)),SUM(OFFSET($T$100,($F$16-$F$15+$F$21),0):$T180),"")</f>
        <v/>
      </c>
      <c r="BI180" s="190" t="str">
        <f t="shared" ca="1" si="118"/>
        <v/>
      </c>
      <c r="BJ180" s="190" t="str">
        <f t="shared" ca="1" si="144"/>
        <v/>
      </c>
      <c r="BK180" s="190"/>
      <c r="BL180" s="190" t="str">
        <f ca="1">IFERROR(IF(OR(ISNUMBER(I),ISNUMBER($F$14)),IF(AND($B180&gt;=($F$17-$F$15),$B180&lt;$F$22+($F$17-$F$15)),SUM(OFFSET($T$100,($F$17-$F$15),0):$T180),""),""),"")</f>
        <v/>
      </c>
      <c r="BM180" s="190" t="str">
        <f t="shared" ca="1" si="119"/>
        <v/>
      </c>
      <c r="BN180" s="190" t="str">
        <f t="shared" ca="1" si="145"/>
        <v/>
      </c>
      <c r="BO180"/>
      <c r="BP180" s="190" t="str">
        <f ca="1">IF(ISNUMBER(OFFSET(BL180,-$F$21,0)),SUM(OFFSET($T$100,($F$17-$F$15+$F$21),0):$T180),"")</f>
        <v/>
      </c>
      <c r="BQ180" s="190" t="str">
        <f t="shared" ca="1" si="120"/>
        <v/>
      </c>
      <c r="BR180" s="190" t="str">
        <f t="shared" ca="1" si="146"/>
        <v/>
      </c>
      <c r="BS180" s="190"/>
      <c r="BT180"/>
      <c r="BU180"/>
      <c r="BV180"/>
      <c r="BY180" s="99"/>
      <c r="BZ180" s="99"/>
      <c r="CA180" s="280" t="str">
        <f t="shared" si="121"/>
        <v/>
      </c>
      <c r="CB180" s="71" t="str">
        <f t="shared" si="122"/>
        <v>-</v>
      </c>
      <c r="CC180" s="33"/>
      <c r="CD180" s="261" t="str">
        <f t="shared" si="123"/>
        <v/>
      </c>
      <c r="CE180" s="280" t="str">
        <f t="shared" si="124"/>
        <v/>
      </c>
      <c r="CF180" s="71" t="str">
        <f t="shared" ca="1" si="125"/>
        <v/>
      </c>
      <c r="CG180" s="33" t="str">
        <f t="shared" si="126"/>
        <v/>
      </c>
      <c r="CH180" s="261" t="str">
        <f t="shared" ca="1" si="127"/>
        <v/>
      </c>
      <c r="CI180" s="202"/>
      <c r="CJ180" s="99"/>
      <c r="CK180" s="99"/>
      <c r="CL180" s="99"/>
      <c r="CM180" s="99"/>
      <c r="CN180" s="99"/>
      <c r="CO180" s="99"/>
    </row>
    <row r="181" spans="2:93" ht="13.5" customHeight="1" x14ac:dyDescent="0.2">
      <c r="B181" s="262">
        <v>81</v>
      </c>
      <c r="C181" s="237" t="str">
        <f t="shared" si="91"/>
        <v/>
      </c>
      <c r="D181" s="237" t="str">
        <f t="shared" si="147"/>
        <v/>
      </c>
      <c r="E181" s="263" t="str">
        <f t="shared" si="128"/>
        <v/>
      </c>
      <c r="F181" s="264" t="str">
        <f t="shared" si="129"/>
        <v/>
      </c>
      <c r="G181" s="306" t="str">
        <f t="shared" si="130"/>
        <v/>
      </c>
      <c r="H181" s="240" t="str">
        <f t="shared" si="92"/>
        <v/>
      </c>
      <c r="I181" s="265" t="str">
        <f t="shared" si="93"/>
        <v/>
      </c>
      <c r="J181" s="265" t="str">
        <f t="shared" si="94"/>
        <v/>
      </c>
      <c r="K181" s="240" t="str">
        <f t="shared" si="95"/>
        <v/>
      </c>
      <c r="L181" s="265" t="str">
        <f t="shared" si="96"/>
        <v/>
      </c>
      <c r="M181" s="265" t="str">
        <f t="shared" si="97"/>
        <v/>
      </c>
      <c r="N181" s="240" t="str">
        <f t="shared" si="98"/>
        <v>-</v>
      </c>
      <c r="O181" s="265" t="str">
        <f t="shared" si="99"/>
        <v>-</v>
      </c>
      <c r="P181" s="265" t="str">
        <f t="shared" si="100"/>
        <v>-</v>
      </c>
      <c r="Q181" s="266" t="str">
        <f t="shared" si="101"/>
        <v>-</v>
      </c>
      <c r="R181" s="267" t="str">
        <f t="shared" si="102"/>
        <v>-</v>
      </c>
      <c r="S181" s="268" t="str">
        <f t="shared" si="103"/>
        <v>-</v>
      </c>
      <c r="T181" s="269" t="str">
        <f t="shared" si="104"/>
        <v/>
      </c>
      <c r="U181" s="221">
        <f t="shared" si="105"/>
        <v>81</v>
      </c>
      <c r="V181" s="220" t="str">
        <f t="shared" si="131"/>
        <v>-</v>
      </c>
      <c r="W181" s="221" t="str">
        <f t="shared" si="132"/>
        <v>-</v>
      </c>
      <c r="X181" s="221" t="str">
        <f t="shared" si="106"/>
        <v>-</v>
      </c>
      <c r="Y181" s="221" t="str">
        <f t="shared" si="107"/>
        <v>-</v>
      </c>
      <c r="Z181" s="270">
        <f t="shared" si="133"/>
        <v>0.1</v>
      </c>
      <c r="AA181" s="271" t="str">
        <f>IFERROR(IF(V180=1,AA$100*EXP(-(LN(2)/$D$65+0.04)*X180)*EXP(-(LN(2)/$D$65+0.1)*Y180),IF(V180=2,AA$100*EXP(-(LN(2)/$D$65+0.04)*(VLOOKUP(($F$16-$F$15)-1,U$99:Y180,4,FALSE)))*EXP(-(LN(2)/$D$65+0.1)*(VLOOKUP(($F$16-$F$15)-1,U$99:Y180,5,FALSE)))*EXP(-(LN(2)/$D$65+0.04)*X180)*EXP(-(LN(2)/$D$65+0.1)*Y180),IF(V180=3,AA$100*EXP(-(LN(2)/$D$65+0.04)*(VLOOKUP(($F$16-$F$15)-1,U$99:Y180,4,FALSE)))*EXP(-(LN(2)/$D$65+0.1)*(VLOOKUP(($F$16-$F$15)-1,U$99:Y180,5,FALSE)))*EXP(-(LN(2)/$D$65+0.04)*(VLOOKUP(($F$16-$F$15)*2-1,U$99:Y180,4,FALSE)))*EXP(-(LN(2)/$D$65+0.1)*(VLOOKUP(($F$16-$F$15)*2-1,U$99:Y180,5,FALSE)))*EXP(-(LN(2)/$D$65+0.04)*X180)*EXP(-(LN(2)/$D$65+0.1)*Y180),"-"))),"-")</f>
        <v>-</v>
      </c>
      <c r="AB181" s="271" t="str">
        <f>IFERROR(IF(V181=1,AB$100*EXP(-(LN(2)/$D$65+0.04)*X181)*EXP(-(LN(2)/$D$65+0.1)*Y181),IF(V181=2,AB$100*EXP(-(LN(2)/$D$65+0.04)*(VLOOKUP(($F$16-$F$15)-1,U$100:Y181,4,FALSE)))*EXP(-(LN(2)/$D$65+0.1)*(VLOOKUP(($F$16-$F$15)-1,U$100:Y181,5,FALSE)))*EXP(-(LN(2)/$D$65+0.04)*X181)*EXP(-(LN(2)/$D$65+0.1)*Y181),IF(V181=3,AB$100*EXP(-(LN(2)/$D$65+0.04)*(VLOOKUP(($F$16-$F$15)-1,U$100:Y181,4,FALSE)))*EXP(-(LN(2)/$D$65+0.1)*(VLOOKUP(($F$16-$F$15)-1,U$100:Y181,5,FALSE)))*EXP(-(LN(2)/$D$65+0.04)*(VLOOKUP(($F$16-$F$15)*2-1,U$100:Y181,4,FALSE)))*EXP(-(LN(2)/$D$65+0.1)*(VLOOKUP(($F$16-$F$15)*2-1,U$100:Y181,5,FALSE)))*EXP(-(LN(2)/$D$65+0.04)*X181)*EXP(-(LN(2)/$D$65+0.1)*Y181),"-"))),"-")</f>
        <v>-</v>
      </c>
      <c r="AC181" s="224">
        <f t="shared" si="134"/>
        <v>81</v>
      </c>
      <c r="AD181" s="223" t="str">
        <f t="shared" si="108"/>
        <v>-</v>
      </c>
      <c r="AE181" s="224" t="str">
        <f t="shared" si="135"/>
        <v>-</v>
      </c>
      <c r="AF181" s="224" t="str">
        <f t="shared" si="109"/>
        <v>-</v>
      </c>
      <c r="AG181" s="224" t="str">
        <f t="shared" si="110"/>
        <v>-</v>
      </c>
      <c r="AH181" s="272">
        <f t="shared" si="136"/>
        <v>0.1</v>
      </c>
      <c r="AI181" s="271" t="str">
        <f>IFERROR(IF(AD180=1,AI$100*EXP(-(LN(2)/$D$65+0.04)*AF180)*EXP(-(LN(2)/$D$65+0.1)*AG180),IF(AD180=2,AI$100*EXP(-(LN(2)/$D$65+0.04)*(VLOOKUP(($F$16-$F$15)-1,AC$99:AG180,4,FALSE)))*EXP(-(LN(2)/$D$65+0.1)*(VLOOKUP(($F$16-$F$15)-1,AC$99:AG180,5,FALSE)))*EXP(-(LN(2)/$D$65+0.04)*AF180)*EXP(-(LN(2)/$D$65+0.1)*AG180),IF(AD180=3,AI$100*EXP(-(LN(2)/$D$65+0.04)*(VLOOKUP(($F$16-$F$15)-1,AC$99:AG180,4,FALSE)))*EXP(-(LN(2)/$D$65+0.1)*(VLOOKUP(($F$16-$F$15)-1,AC$99:AG180,5,FALSE)))*EXP(-(LN(2)/$D$65+0.04)*(VLOOKUP(($F$16-$F$15)*2-1,AC$99:AG180,4,FALSE)))*EXP(-(LN(2)/$D$65+0.1)*(VLOOKUP(($F$16-$F$15)*2-1,AC$99:AG180,5,FALSE)))*EXP(-(LN(2)/$D$65+0.04)*AF180)*EXP(-(LN(2)/$D$65+0.1)*AG180),"-"))),"-")</f>
        <v>-</v>
      </c>
      <c r="AJ181" s="271" t="str">
        <f>IFERROR(IF(AD181=1,AJ$100*EXP(-(LN(2)/$D$65+0.04)*AF181)*EXP(-(LN(2)/$D$65+0.1)*AG181),IF(AD181=2,AJ$100*EXP(-(LN(2)/$D$65+0.04)*(VLOOKUP(($F$16-$F$15)-1,AC$100:AG181,4,FALSE)))*EXP(-(LN(2)/$D$65+0.1)*(VLOOKUP(($F$16-$F$15)-1,AC$100:AG181,5,FALSE)))*EXP(-(LN(2)/$D$65+0.04)*AF181)*EXP(-(LN(2)/$D$65+0.1)*AG181),IF(AD181=3,AJ$100*EXP(-(LN(2)/$D$65+0.04)*(VLOOKUP(($F$16-$F$15)-1,AC$100:AG181,4,FALSE)))*EXP(-(LN(2)/$D$65+0.1)*(VLOOKUP(($F$16-$F$15)-1,AC$100:AG181,5,FALSE)))*EXP(-(LN(2)/$D$65+0.04)*(VLOOKUP(($F$16-$F$15)*2-1,AC$100:AG181,4,FALSE)))*EXP(-(LN(2)/$D$65+0.1)*(VLOOKUP(($F$16-$F$15)*2-1,AC$100:AG181,5,FALSE)))*EXP(-(LN(2)/$D$65+0.04)*AF181)*EXP(-(LN(2)/$D$65+0.1)*AG181),"-"))),"-")</f>
        <v>-</v>
      </c>
      <c r="AK181" s="227">
        <f t="shared" si="137"/>
        <v>81</v>
      </c>
      <c r="AL181" s="226" t="str">
        <f t="shared" si="111"/>
        <v>-</v>
      </c>
      <c r="AM181" s="227" t="str">
        <f t="shared" si="138"/>
        <v>-</v>
      </c>
      <c r="AN181" s="227" t="str">
        <f t="shared" si="139"/>
        <v>-</v>
      </c>
      <c r="AO181" s="227" t="str">
        <f t="shared" si="112"/>
        <v>-</v>
      </c>
      <c r="AP181" s="273">
        <f t="shared" si="140"/>
        <v>0.1</v>
      </c>
      <c r="AQ181" s="271" t="str">
        <f>IFERROR(IF(AL180=1,AQ$100*EXP(-(LN(2)/$D$65+0.04)*AN180)*EXP(-(LN(2)/$D$65+0.1)*AO180),IF(AL180=2,AQ$100*EXP(-(LN(2)/$D$65+0.04)*(VLOOKUP(($F$16-$F$15)-1,AK$99:AO180,4,FALSE)))*EXP(-(LN(2)/$D$65+0.1)*(VLOOKUP(($F$16-$F$15)-1,AK$99:AO180,5,FALSE)))*EXP(-(LN(2)/$D$65+0.04)*AN180)*EXP(-(LN(2)/$D$65+0.1)*AO180),IF(AL180=3,AQ$100*EXP(-(LN(2)/$D$65+0.04)*(VLOOKUP(($F$16-$F$15)-1,AK$99:AO180,4,FALSE)))*EXP(-(LN(2)/$D$65+0.1)*(VLOOKUP(($F$16-$F$15)-1,AK$99:AO180,5,FALSE)))*EXP(-(LN(2)/$D$65+0.04)*(VLOOKUP(($F$16-$F$15)*2-1,AK$99:AO180,4,FALSE)))*EXP(-(LN(2)/$D$65+0.1)*(VLOOKUP(($F$16-$F$15)*2-1,AK$99:AO180,5,FALSE)))*EXP(-(LN(2)/$D$65+0.04)*AN180)*EXP(-(LN(2)/$D$65+0.1)*AO180),"-"))),"-")</f>
        <v>-</v>
      </c>
      <c r="AR181" s="271" t="str">
        <f>IFERROR(IF(AL181=1,AR$100*EXP(-(LN(2)/$D$65+0.04)*AN181)*EXP(-(LN(2)/$D$65+0.1)*AO181),IF(AL181=2,AR$100*EXP(-(LN(2)/$D$65+0.04)*(VLOOKUP(($F$16-$F$15)-1,AK$100:AO181,4,FALSE)))*EXP(-(LN(2)/$D$65+0.1)*(VLOOKUP(($F$16-$F$15)-1,AK$100:AO181,5,FALSE)))*EXP(-(LN(2)/$D$65+0.04)*AN181)*EXP(-(LN(2)/$D$65+0.1)*AO181),IF(AL181=3,AR$100*EXP(-(LN(2)/$D$65+0.04)*(VLOOKUP(($F$16-$F$15)-1,AK$100:AO181,4,FALSE)))*EXP(-(LN(2)/$D$65+0.1)*(VLOOKUP(($F$16-$F$15)-1,AK$100:AO181,5,FALSE)))*EXP(-(LN(2)/$D$65+0.04)*(VLOOKUP(($F$16-$F$15)*2-1,AK$100:AO181,4,FALSE)))*EXP(-(LN(2)/$D$65+0.1)*(VLOOKUP(($F$16-$F$15)*2-1,AK$100:AO181,5,FALSE)))*EXP(-(LN(2)/$D$65+0.04)*AN181)*EXP(-(LN(2)/$D$65+0.1)*AO181),"-"))),"-")</f>
        <v>-</v>
      </c>
      <c r="AS181" s="274">
        <f t="shared" si="113"/>
        <v>0</v>
      </c>
      <c r="AT181" s="274">
        <f t="shared" si="114"/>
        <v>0</v>
      </c>
      <c r="AU181" s="274">
        <f t="shared" si="115"/>
        <v>0</v>
      </c>
      <c r="AV181" s="190" t="str">
        <f>IF($B181&lt;$F$22,SUM($T$100:$T181),"")</f>
        <v/>
      </c>
      <c r="AW181" s="190" t="str">
        <f t="shared" si="116"/>
        <v>-</v>
      </c>
      <c r="AX181" s="190" t="str">
        <f t="shared" si="141"/>
        <v/>
      </c>
      <c r="AY181"/>
      <c r="AZ181" s="190" t="str">
        <f ca="1">IF(ISNUMBER(OFFSET(AV181,-$F$21,0)),SUM(OFFSET($T$100,$F$21,0):$T181),"")</f>
        <v/>
      </c>
      <c r="BA181" s="190" t="str">
        <f t="shared" ca="1" si="117"/>
        <v/>
      </c>
      <c r="BB181" s="190" t="str">
        <f t="shared" ca="1" si="70"/>
        <v/>
      </c>
      <c r="BC181" s="190"/>
      <c r="BD181" s="190" t="str">
        <f ca="1">IFERROR(IF(OR(ISNUMBER(I),ISNUMBER($F$14)),IF(AND($B181&gt;=($F$16-$F$15),$B181&lt;$F$22+($F$16-$F$15)),SUM(OFFSET($T$100,($F$16-$F$15),0):$T181),""),""),"")</f>
        <v/>
      </c>
      <c r="BE181" s="190" t="str">
        <f t="shared" ca="1" si="142"/>
        <v/>
      </c>
      <c r="BF181" s="190" t="str">
        <f t="shared" ca="1" si="143"/>
        <v/>
      </c>
      <c r="BG181"/>
      <c r="BH181" s="190" t="str">
        <f ca="1">IF(ISNUMBER(OFFSET(BD181,-$F$21,0)),SUM(OFFSET($T$100,($F$16-$F$15+$F$21),0):$T181),"")</f>
        <v/>
      </c>
      <c r="BI181" s="190" t="str">
        <f t="shared" ca="1" si="118"/>
        <v/>
      </c>
      <c r="BJ181" s="190" t="str">
        <f t="shared" ca="1" si="144"/>
        <v/>
      </c>
      <c r="BK181" s="190"/>
      <c r="BL181" s="190" t="str">
        <f ca="1">IFERROR(IF(OR(ISNUMBER(I),ISNUMBER($F$14)),IF(AND($B181&gt;=($F$17-$F$15),$B181&lt;$F$22+($F$17-$F$15)),SUM(OFFSET($T$100,($F$17-$F$15),0):$T181),""),""),"")</f>
        <v/>
      </c>
      <c r="BM181" s="190" t="str">
        <f t="shared" ca="1" si="119"/>
        <v/>
      </c>
      <c r="BN181" s="190" t="str">
        <f t="shared" ca="1" si="145"/>
        <v/>
      </c>
      <c r="BO181"/>
      <c r="BP181" s="190" t="str">
        <f ca="1">IF(ISNUMBER(OFFSET(BL181,-$F$21,0)),SUM(OFFSET($T$100,($F$17-$F$15+$F$21),0):$T181),"")</f>
        <v/>
      </c>
      <c r="BQ181" s="190" t="str">
        <f t="shared" ca="1" si="120"/>
        <v/>
      </c>
      <c r="BR181" s="190" t="str">
        <f t="shared" ca="1" si="146"/>
        <v/>
      </c>
      <c r="BS181" s="190"/>
      <c r="BT181"/>
      <c r="BU181"/>
      <c r="BV181"/>
      <c r="BY181" s="99"/>
      <c r="BZ181" s="99"/>
      <c r="CA181" s="280" t="str">
        <f t="shared" si="121"/>
        <v/>
      </c>
      <c r="CB181" s="71" t="str">
        <f t="shared" si="122"/>
        <v>-</v>
      </c>
      <c r="CC181" s="33"/>
      <c r="CD181" s="261" t="str">
        <f t="shared" si="123"/>
        <v/>
      </c>
      <c r="CE181" s="280" t="str">
        <f t="shared" si="124"/>
        <v/>
      </c>
      <c r="CF181" s="71" t="str">
        <f t="shared" ca="1" si="125"/>
        <v/>
      </c>
      <c r="CG181" s="33" t="str">
        <f t="shared" si="126"/>
        <v/>
      </c>
      <c r="CH181" s="261" t="str">
        <f t="shared" ca="1" si="127"/>
        <v/>
      </c>
      <c r="CI181" s="202"/>
      <c r="CJ181" s="99"/>
      <c r="CK181" s="99"/>
      <c r="CL181" s="99"/>
      <c r="CM181" s="99"/>
      <c r="CN181" s="99"/>
      <c r="CO181" s="99"/>
    </row>
    <row r="182" spans="2:93" ht="13.5" customHeight="1" x14ac:dyDescent="0.2">
      <c r="B182" s="262">
        <v>82</v>
      </c>
      <c r="C182" s="237" t="str">
        <f t="shared" si="91"/>
        <v/>
      </c>
      <c r="D182" s="237" t="str">
        <f t="shared" si="147"/>
        <v/>
      </c>
      <c r="E182" s="263" t="str">
        <f t="shared" si="128"/>
        <v/>
      </c>
      <c r="F182" s="264" t="str">
        <f t="shared" si="129"/>
        <v/>
      </c>
      <c r="G182" s="306" t="str">
        <f t="shared" si="130"/>
        <v/>
      </c>
      <c r="H182" s="240" t="str">
        <f t="shared" si="92"/>
        <v/>
      </c>
      <c r="I182" s="265" t="str">
        <f t="shared" si="93"/>
        <v/>
      </c>
      <c r="J182" s="265" t="str">
        <f t="shared" si="94"/>
        <v/>
      </c>
      <c r="K182" s="240" t="str">
        <f t="shared" si="95"/>
        <v/>
      </c>
      <c r="L182" s="265" t="str">
        <f t="shared" si="96"/>
        <v/>
      </c>
      <c r="M182" s="265" t="str">
        <f t="shared" si="97"/>
        <v/>
      </c>
      <c r="N182" s="240" t="str">
        <f t="shared" si="98"/>
        <v>-</v>
      </c>
      <c r="O182" s="265" t="str">
        <f t="shared" si="99"/>
        <v>-</v>
      </c>
      <c r="P182" s="265" t="str">
        <f t="shared" si="100"/>
        <v>-</v>
      </c>
      <c r="Q182" s="266" t="str">
        <f t="shared" si="101"/>
        <v>-</v>
      </c>
      <c r="R182" s="267" t="str">
        <f t="shared" si="102"/>
        <v>-</v>
      </c>
      <c r="S182" s="268" t="str">
        <f t="shared" si="103"/>
        <v>-</v>
      </c>
      <c r="T182" s="269" t="str">
        <f t="shared" si="104"/>
        <v/>
      </c>
      <c r="U182" s="221">
        <f t="shared" si="105"/>
        <v>82</v>
      </c>
      <c r="V182" s="220" t="str">
        <f t="shared" si="131"/>
        <v>-</v>
      </c>
      <c r="W182" s="221" t="str">
        <f t="shared" si="132"/>
        <v>-</v>
      </c>
      <c r="X182" s="221" t="str">
        <f t="shared" si="106"/>
        <v>-</v>
      </c>
      <c r="Y182" s="221" t="str">
        <f t="shared" si="107"/>
        <v>-</v>
      </c>
      <c r="Z182" s="270">
        <f t="shared" si="133"/>
        <v>0.1</v>
      </c>
      <c r="AA182" s="271" t="str">
        <f>IFERROR(IF(V181=1,AA$100*EXP(-(LN(2)/$D$65+0.04)*X181)*EXP(-(LN(2)/$D$65+0.1)*Y181),IF(V181=2,AA$100*EXP(-(LN(2)/$D$65+0.04)*(VLOOKUP(($F$16-$F$15)-1,U$99:Y181,4,FALSE)))*EXP(-(LN(2)/$D$65+0.1)*(VLOOKUP(($F$16-$F$15)-1,U$99:Y181,5,FALSE)))*EXP(-(LN(2)/$D$65+0.04)*X181)*EXP(-(LN(2)/$D$65+0.1)*Y181),IF(V181=3,AA$100*EXP(-(LN(2)/$D$65+0.04)*(VLOOKUP(($F$16-$F$15)-1,U$99:Y181,4,FALSE)))*EXP(-(LN(2)/$D$65+0.1)*(VLOOKUP(($F$16-$F$15)-1,U$99:Y181,5,FALSE)))*EXP(-(LN(2)/$D$65+0.04)*(VLOOKUP(($F$16-$F$15)*2-1,U$99:Y181,4,FALSE)))*EXP(-(LN(2)/$D$65+0.1)*(VLOOKUP(($F$16-$F$15)*2-1,U$99:Y181,5,FALSE)))*EXP(-(LN(2)/$D$65+0.04)*X181)*EXP(-(LN(2)/$D$65+0.1)*Y181),"-"))),"-")</f>
        <v>-</v>
      </c>
      <c r="AB182" s="271" t="str">
        <f>IFERROR(IF(V182=1,AB$100*EXP(-(LN(2)/$D$65+0.04)*X182)*EXP(-(LN(2)/$D$65+0.1)*Y182),IF(V182=2,AB$100*EXP(-(LN(2)/$D$65+0.04)*(VLOOKUP(($F$16-$F$15)-1,U$100:Y182,4,FALSE)))*EXP(-(LN(2)/$D$65+0.1)*(VLOOKUP(($F$16-$F$15)-1,U$100:Y182,5,FALSE)))*EXP(-(LN(2)/$D$65+0.04)*X182)*EXP(-(LN(2)/$D$65+0.1)*Y182),IF(V182=3,AB$100*EXP(-(LN(2)/$D$65+0.04)*(VLOOKUP(($F$16-$F$15)-1,U$100:Y182,4,FALSE)))*EXP(-(LN(2)/$D$65+0.1)*(VLOOKUP(($F$16-$F$15)-1,U$100:Y182,5,FALSE)))*EXP(-(LN(2)/$D$65+0.04)*(VLOOKUP(($F$16-$F$15)*2-1,U$100:Y182,4,FALSE)))*EXP(-(LN(2)/$D$65+0.1)*(VLOOKUP(($F$16-$F$15)*2-1,U$100:Y182,5,FALSE)))*EXP(-(LN(2)/$D$65+0.04)*X182)*EXP(-(LN(2)/$D$65+0.1)*Y182),"-"))),"-")</f>
        <v>-</v>
      </c>
      <c r="AC182" s="224">
        <f t="shared" si="134"/>
        <v>82</v>
      </c>
      <c r="AD182" s="223" t="str">
        <f t="shared" si="108"/>
        <v>-</v>
      </c>
      <c r="AE182" s="224" t="str">
        <f t="shared" si="135"/>
        <v>-</v>
      </c>
      <c r="AF182" s="224" t="str">
        <f t="shared" si="109"/>
        <v>-</v>
      </c>
      <c r="AG182" s="224" t="str">
        <f t="shared" si="110"/>
        <v>-</v>
      </c>
      <c r="AH182" s="272">
        <f t="shared" si="136"/>
        <v>0.1</v>
      </c>
      <c r="AI182" s="271" t="str">
        <f>IFERROR(IF(AD181=1,AI$100*EXP(-(LN(2)/$D$65+0.04)*AF181)*EXP(-(LN(2)/$D$65+0.1)*AG181),IF(AD181=2,AI$100*EXP(-(LN(2)/$D$65+0.04)*(VLOOKUP(($F$16-$F$15)-1,AC$99:AG181,4,FALSE)))*EXP(-(LN(2)/$D$65+0.1)*(VLOOKUP(($F$16-$F$15)-1,AC$99:AG181,5,FALSE)))*EXP(-(LN(2)/$D$65+0.04)*AF181)*EXP(-(LN(2)/$D$65+0.1)*AG181),IF(AD181=3,AI$100*EXP(-(LN(2)/$D$65+0.04)*(VLOOKUP(($F$16-$F$15)-1,AC$99:AG181,4,FALSE)))*EXP(-(LN(2)/$D$65+0.1)*(VLOOKUP(($F$16-$F$15)-1,AC$99:AG181,5,FALSE)))*EXP(-(LN(2)/$D$65+0.04)*(VLOOKUP(($F$16-$F$15)*2-1,AC$99:AG181,4,FALSE)))*EXP(-(LN(2)/$D$65+0.1)*(VLOOKUP(($F$16-$F$15)*2-1,AC$99:AG181,5,FALSE)))*EXP(-(LN(2)/$D$65+0.04)*AF181)*EXP(-(LN(2)/$D$65+0.1)*AG181),"-"))),"-")</f>
        <v>-</v>
      </c>
      <c r="AJ182" s="271" t="str">
        <f>IFERROR(IF(AD182=1,AJ$100*EXP(-(LN(2)/$D$65+0.04)*AF182)*EXP(-(LN(2)/$D$65+0.1)*AG182),IF(AD182=2,AJ$100*EXP(-(LN(2)/$D$65+0.04)*(VLOOKUP(($F$16-$F$15)-1,AC$100:AG182,4,FALSE)))*EXP(-(LN(2)/$D$65+0.1)*(VLOOKUP(($F$16-$F$15)-1,AC$100:AG182,5,FALSE)))*EXP(-(LN(2)/$D$65+0.04)*AF182)*EXP(-(LN(2)/$D$65+0.1)*AG182),IF(AD182=3,AJ$100*EXP(-(LN(2)/$D$65+0.04)*(VLOOKUP(($F$16-$F$15)-1,AC$100:AG182,4,FALSE)))*EXP(-(LN(2)/$D$65+0.1)*(VLOOKUP(($F$16-$F$15)-1,AC$100:AG182,5,FALSE)))*EXP(-(LN(2)/$D$65+0.04)*(VLOOKUP(($F$16-$F$15)*2-1,AC$100:AG182,4,FALSE)))*EXP(-(LN(2)/$D$65+0.1)*(VLOOKUP(($F$16-$F$15)*2-1,AC$100:AG182,5,FALSE)))*EXP(-(LN(2)/$D$65+0.04)*AF182)*EXP(-(LN(2)/$D$65+0.1)*AG182),"-"))),"-")</f>
        <v>-</v>
      </c>
      <c r="AK182" s="227">
        <f t="shared" si="137"/>
        <v>82</v>
      </c>
      <c r="AL182" s="226" t="str">
        <f t="shared" si="111"/>
        <v>-</v>
      </c>
      <c r="AM182" s="227" t="str">
        <f t="shared" si="138"/>
        <v>-</v>
      </c>
      <c r="AN182" s="227" t="str">
        <f t="shared" si="139"/>
        <v>-</v>
      </c>
      <c r="AO182" s="227" t="str">
        <f t="shared" si="112"/>
        <v>-</v>
      </c>
      <c r="AP182" s="273">
        <f t="shared" si="140"/>
        <v>0.1</v>
      </c>
      <c r="AQ182" s="271" t="str">
        <f>IFERROR(IF(AL181=1,AQ$100*EXP(-(LN(2)/$D$65+0.04)*AN181)*EXP(-(LN(2)/$D$65+0.1)*AO181),IF(AL181=2,AQ$100*EXP(-(LN(2)/$D$65+0.04)*(VLOOKUP(($F$16-$F$15)-1,AK$99:AO181,4,FALSE)))*EXP(-(LN(2)/$D$65+0.1)*(VLOOKUP(($F$16-$F$15)-1,AK$99:AO181,5,FALSE)))*EXP(-(LN(2)/$D$65+0.04)*AN181)*EXP(-(LN(2)/$D$65+0.1)*AO181),IF(AL181=3,AQ$100*EXP(-(LN(2)/$D$65+0.04)*(VLOOKUP(($F$16-$F$15)-1,AK$99:AO181,4,FALSE)))*EXP(-(LN(2)/$D$65+0.1)*(VLOOKUP(($F$16-$F$15)-1,AK$99:AO181,5,FALSE)))*EXP(-(LN(2)/$D$65+0.04)*(VLOOKUP(($F$16-$F$15)*2-1,AK$99:AO181,4,FALSE)))*EXP(-(LN(2)/$D$65+0.1)*(VLOOKUP(($F$16-$F$15)*2-1,AK$99:AO181,5,FALSE)))*EXP(-(LN(2)/$D$65+0.04)*AN181)*EXP(-(LN(2)/$D$65+0.1)*AO181),"-"))),"-")</f>
        <v>-</v>
      </c>
      <c r="AR182" s="271" t="str">
        <f>IFERROR(IF(AL182=1,AR$100*EXP(-(LN(2)/$D$65+0.04)*AN182)*EXP(-(LN(2)/$D$65+0.1)*AO182),IF(AL182=2,AR$100*EXP(-(LN(2)/$D$65+0.04)*(VLOOKUP(($F$16-$F$15)-1,AK$100:AO182,4,FALSE)))*EXP(-(LN(2)/$D$65+0.1)*(VLOOKUP(($F$16-$F$15)-1,AK$100:AO182,5,FALSE)))*EXP(-(LN(2)/$D$65+0.04)*AN182)*EXP(-(LN(2)/$D$65+0.1)*AO182),IF(AL182=3,AR$100*EXP(-(LN(2)/$D$65+0.04)*(VLOOKUP(($F$16-$F$15)-1,AK$100:AO182,4,FALSE)))*EXP(-(LN(2)/$D$65+0.1)*(VLOOKUP(($F$16-$F$15)-1,AK$100:AO182,5,FALSE)))*EXP(-(LN(2)/$D$65+0.04)*(VLOOKUP(($F$16-$F$15)*2-1,AK$100:AO182,4,FALSE)))*EXP(-(LN(2)/$D$65+0.1)*(VLOOKUP(($F$16-$F$15)*2-1,AK$100:AO182,5,FALSE)))*EXP(-(LN(2)/$D$65+0.04)*AN182)*EXP(-(LN(2)/$D$65+0.1)*AO182),"-"))),"-")</f>
        <v>-</v>
      </c>
      <c r="AS182" s="274">
        <f t="shared" si="113"/>
        <v>0</v>
      </c>
      <c r="AT182" s="274">
        <f t="shared" si="114"/>
        <v>0</v>
      </c>
      <c r="AU182" s="274">
        <f t="shared" si="115"/>
        <v>0</v>
      </c>
      <c r="AV182" s="190" t="str">
        <f>IF($B182&lt;$F$22,SUM($T$100:$T182),"")</f>
        <v/>
      </c>
      <c r="AW182" s="190" t="str">
        <f t="shared" si="116"/>
        <v>-</v>
      </c>
      <c r="AX182" s="190" t="str">
        <f t="shared" si="141"/>
        <v/>
      </c>
      <c r="AY182"/>
      <c r="AZ182" s="190" t="str">
        <f ca="1">IF(ISNUMBER(OFFSET(AV182,-$F$21,0)),SUM(OFFSET($T$100,$F$21,0):$T182),"")</f>
        <v/>
      </c>
      <c r="BA182" s="190" t="str">
        <f t="shared" ca="1" si="117"/>
        <v/>
      </c>
      <c r="BB182" s="190" t="str">
        <f t="shared" ca="1" si="70"/>
        <v/>
      </c>
      <c r="BC182" s="190"/>
      <c r="BD182" s="190" t="str">
        <f ca="1">IFERROR(IF(OR(ISNUMBER(I),ISNUMBER($F$14)),IF(AND($B182&gt;=($F$16-$F$15),$B182&lt;$F$22+($F$16-$F$15)),SUM(OFFSET($T$100,($F$16-$F$15),0):$T182),""),""),"")</f>
        <v/>
      </c>
      <c r="BE182" s="190" t="str">
        <f t="shared" ca="1" si="142"/>
        <v/>
      </c>
      <c r="BF182" s="190" t="str">
        <f t="shared" ca="1" si="143"/>
        <v/>
      </c>
      <c r="BG182"/>
      <c r="BH182" s="190" t="str">
        <f ca="1">IF(ISNUMBER(OFFSET(BD182,-$F$21,0)),SUM(OFFSET($T$100,($F$16-$F$15+$F$21),0):$T182),"")</f>
        <v/>
      </c>
      <c r="BI182" s="190" t="str">
        <f t="shared" ca="1" si="118"/>
        <v/>
      </c>
      <c r="BJ182" s="190" t="str">
        <f t="shared" ca="1" si="144"/>
        <v/>
      </c>
      <c r="BK182" s="190"/>
      <c r="BL182" s="190" t="str">
        <f ca="1">IFERROR(IF(OR(ISNUMBER(I),ISNUMBER($F$14)),IF(AND($B182&gt;=($F$17-$F$15),$B182&lt;$F$22+($F$17-$F$15)),SUM(OFFSET($T$100,($F$17-$F$15),0):$T182),""),""),"")</f>
        <v/>
      </c>
      <c r="BM182" s="190" t="str">
        <f t="shared" ca="1" si="119"/>
        <v/>
      </c>
      <c r="BN182" s="190" t="str">
        <f t="shared" ca="1" si="145"/>
        <v/>
      </c>
      <c r="BO182"/>
      <c r="BP182" s="190" t="str">
        <f ca="1">IF(ISNUMBER(OFFSET(BL182,-$F$21,0)),SUM(OFFSET($T$100,($F$17-$F$15+$F$21),0):$T182),"")</f>
        <v/>
      </c>
      <c r="BQ182" s="190" t="str">
        <f t="shared" ca="1" si="120"/>
        <v/>
      </c>
      <c r="BR182" s="190" t="str">
        <f t="shared" ca="1" si="146"/>
        <v/>
      </c>
      <c r="BS182" s="190"/>
      <c r="BT182"/>
      <c r="BU182"/>
      <c r="BV182"/>
      <c r="BY182" s="99"/>
      <c r="BZ182" s="99"/>
      <c r="CA182" s="280" t="str">
        <f t="shared" si="121"/>
        <v/>
      </c>
      <c r="CB182" s="71" t="str">
        <f t="shared" si="122"/>
        <v>-</v>
      </c>
      <c r="CC182" s="33"/>
      <c r="CD182" s="261" t="str">
        <f t="shared" si="123"/>
        <v/>
      </c>
      <c r="CE182" s="280" t="str">
        <f t="shared" si="124"/>
        <v/>
      </c>
      <c r="CF182" s="71" t="str">
        <f t="shared" ca="1" si="125"/>
        <v/>
      </c>
      <c r="CG182" s="33" t="str">
        <f t="shared" si="126"/>
        <v/>
      </c>
      <c r="CH182" s="261" t="str">
        <f t="shared" ca="1" si="127"/>
        <v/>
      </c>
      <c r="CI182" s="202"/>
      <c r="CJ182" s="99"/>
      <c r="CK182" s="99"/>
      <c r="CL182" s="99"/>
      <c r="CM182" s="99"/>
      <c r="CN182" s="99"/>
      <c r="CO182" s="99"/>
    </row>
    <row r="183" spans="2:93" ht="13.5" customHeight="1" x14ac:dyDescent="0.2">
      <c r="B183" s="262">
        <v>83</v>
      </c>
      <c r="C183" s="237" t="str">
        <f t="shared" si="91"/>
        <v/>
      </c>
      <c r="D183" s="237" t="str">
        <f t="shared" si="147"/>
        <v/>
      </c>
      <c r="E183" s="263" t="str">
        <f t="shared" si="128"/>
        <v/>
      </c>
      <c r="F183" s="264" t="str">
        <f t="shared" si="129"/>
        <v/>
      </c>
      <c r="G183" s="306" t="str">
        <f t="shared" si="130"/>
        <v/>
      </c>
      <c r="H183" s="240" t="str">
        <f t="shared" si="92"/>
        <v/>
      </c>
      <c r="I183" s="265" t="str">
        <f t="shared" si="93"/>
        <v/>
      </c>
      <c r="J183" s="265" t="str">
        <f t="shared" si="94"/>
        <v/>
      </c>
      <c r="K183" s="240" t="str">
        <f t="shared" si="95"/>
        <v/>
      </c>
      <c r="L183" s="265" t="str">
        <f t="shared" si="96"/>
        <v/>
      </c>
      <c r="M183" s="265" t="str">
        <f t="shared" si="97"/>
        <v/>
      </c>
      <c r="N183" s="240" t="str">
        <f t="shared" si="98"/>
        <v>-</v>
      </c>
      <c r="O183" s="265" t="str">
        <f t="shared" si="99"/>
        <v>-</v>
      </c>
      <c r="P183" s="265" t="str">
        <f t="shared" si="100"/>
        <v>-</v>
      </c>
      <c r="Q183" s="266" t="str">
        <f t="shared" si="101"/>
        <v>-</v>
      </c>
      <c r="R183" s="267" t="str">
        <f t="shared" si="102"/>
        <v>-</v>
      </c>
      <c r="S183" s="268" t="str">
        <f t="shared" si="103"/>
        <v>-</v>
      </c>
      <c r="T183" s="269" t="str">
        <f t="shared" si="104"/>
        <v/>
      </c>
      <c r="U183" s="221">
        <f t="shared" si="105"/>
        <v>83</v>
      </c>
      <c r="V183" s="220" t="str">
        <f t="shared" si="131"/>
        <v>-</v>
      </c>
      <c r="W183" s="221" t="str">
        <f t="shared" si="132"/>
        <v>-</v>
      </c>
      <c r="X183" s="221" t="str">
        <f t="shared" si="106"/>
        <v>-</v>
      </c>
      <c r="Y183" s="221" t="str">
        <f t="shared" si="107"/>
        <v>-</v>
      </c>
      <c r="Z183" s="270">
        <f t="shared" si="133"/>
        <v>0.1</v>
      </c>
      <c r="AA183" s="271" t="str">
        <f>IFERROR(IF(V182=1,AA$100*EXP(-(LN(2)/$D$65+0.04)*X182)*EXP(-(LN(2)/$D$65+0.1)*Y182),IF(V182=2,AA$100*EXP(-(LN(2)/$D$65+0.04)*(VLOOKUP(($F$16-$F$15)-1,U$99:Y182,4,FALSE)))*EXP(-(LN(2)/$D$65+0.1)*(VLOOKUP(($F$16-$F$15)-1,U$99:Y182,5,FALSE)))*EXP(-(LN(2)/$D$65+0.04)*X182)*EXP(-(LN(2)/$D$65+0.1)*Y182),IF(V182=3,AA$100*EXP(-(LN(2)/$D$65+0.04)*(VLOOKUP(($F$16-$F$15)-1,U$99:Y182,4,FALSE)))*EXP(-(LN(2)/$D$65+0.1)*(VLOOKUP(($F$16-$F$15)-1,U$99:Y182,5,FALSE)))*EXP(-(LN(2)/$D$65+0.04)*(VLOOKUP(($F$16-$F$15)*2-1,U$99:Y182,4,FALSE)))*EXP(-(LN(2)/$D$65+0.1)*(VLOOKUP(($F$16-$F$15)*2-1,U$99:Y182,5,FALSE)))*EXP(-(LN(2)/$D$65+0.04)*X182)*EXP(-(LN(2)/$D$65+0.1)*Y182),"-"))),"-")</f>
        <v>-</v>
      </c>
      <c r="AB183" s="271" t="str">
        <f>IFERROR(IF(V183=1,AB$100*EXP(-(LN(2)/$D$65+0.04)*X183)*EXP(-(LN(2)/$D$65+0.1)*Y183),IF(V183=2,AB$100*EXP(-(LN(2)/$D$65+0.04)*(VLOOKUP(($F$16-$F$15)-1,U$100:Y183,4,FALSE)))*EXP(-(LN(2)/$D$65+0.1)*(VLOOKUP(($F$16-$F$15)-1,U$100:Y183,5,FALSE)))*EXP(-(LN(2)/$D$65+0.04)*X183)*EXP(-(LN(2)/$D$65+0.1)*Y183),IF(V183=3,AB$100*EXP(-(LN(2)/$D$65+0.04)*(VLOOKUP(($F$16-$F$15)-1,U$100:Y183,4,FALSE)))*EXP(-(LN(2)/$D$65+0.1)*(VLOOKUP(($F$16-$F$15)-1,U$100:Y183,5,FALSE)))*EXP(-(LN(2)/$D$65+0.04)*(VLOOKUP(($F$16-$F$15)*2-1,U$100:Y183,4,FALSE)))*EXP(-(LN(2)/$D$65+0.1)*(VLOOKUP(($F$16-$F$15)*2-1,U$100:Y183,5,FALSE)))*EXP(-(LN(2)/$D$65+0.04)*X183)*EXP(-(LN(2)/$D$65+0.1)*Y183),"-"))),"-")</f>
        <v>-</v>
      </c>
      <c r="AC183" s="224">
        <f t="shared" si="134"/>
        <v>83</v>
      </c>
      <c r="AD183" s="223" t="str">
        <f t="shared" si="108"/>
        <v>-</v>
      </c>
      <c r="AE183" s="224" t="str">
        <f t="shared" si="135"/>
        <v>-</v>
      </c>
      <c r="AF183" s="224" t="str">
        <f t="shared" si="109"/>
        <v>-</v>
      </c>
      <c r="AG183" s="224" t="str">
        <f t="shared" si="110"/>
        <v>-</v>
      </c>
      <c r="AH183" s="272">
        <f t="shared" si="136"/>
        <v>0.1</v>
      </c>
      <c r="AI183" s="271" t="str">
        <f>IFERROR(IF(AD182=1,AI$100*EXP(-(LN(2)/$D$65+0.04)*AF182)*EXP(-(LN(2)/$D$65+0.1)*AG182),IF(AD182=2,AI$100*EXP(-(LN(2)/$D$65+0.04)*(VLOOKUP(($F$16-$F$15)-1,AC$99:AG182,4,FALSE)))*EXP(-(LN(2)/$D$65+0.1)*(VLOOKUP(($F$16-$F$15)-1,AC$99:AG182,5,FALSE)))*EXP(-(LN(2)/$D$65+0.04)*AF182)*EXP(-(LN(2)/$D$65+0.1)*AG182),IF(AD182=3,AI$100*EXP(-(LN(2)/$D$65+0.04)*(VLOOKUP(($F$16-$F$15)-1,AC$99:AG182,4,FALSE)))*EXP(-(LN(2)/$D$65+0.1)*(VLOOKUP(($F$16-$F$15)-1,AC$99:AG182,5,FALSE)))*EXP(-(LN(2)/$D$65+0.04)*(VLOOKUP(($F$16-$F$15)*2-1,AC$99:AG182,4,FALSE)))*EXP(-(LN(2)/$D$65+0.1)*(VLOOKUP(($F$16-$F$15)*2-1,AC$99:AG182,5,FALSE)))*EXP(-(LN(2)/$D$65+0.04)*AF182)*EXP(-(LN(2)/$D$65+0.1)*AG182),"-"))),"-")</f>
        <v>-</v>
      </c>
      <c r="AJ183" s="271" t="str">
        <f>IFERROR(IF(AD183=1,AJ$100*EXP(-(LN(2)/$D$65+0.04)*AF183)*EXP(-(LN(2)/$D$65+0.1)*AG183),IF(AD183=2,AJ$100*EXP(-(LN(2)/$D$65+0.04)*(VLOOKUP(($F$16-$F$15)-1,AC$100:AG183,4,FALSE)))*EXP(-(LN(2)/$D$65+0.1)*(VLOOKUP(($F$16-$F$15)-1,AC$100:AG183,5,FALSE)))*EXP(-(LN(2)/$D$65+0.04)*AF183)*EXP(-(LN(2)/$D$65+0.1)*AG183),IF(AD183=3,AJ$100*EXP(-(LN(2)/$D$65+0.04)*(VLOOKUP(($F$16-$F$15)-1,AC$100:AG183,4,FALSE)))*EXP(-(LN(2)/$D$65+0.1)*(VLOOKUP(($F$16-$F$15)-1,AC$100:AG183,5,FALSE)))*EXP(-(LN(2)/$D$65+0.04)*(VLOOKUP(($F$16-$F$15)*2-1,AC$100:AG183,4,FALSE)))*EXP(-(LN(2)/$D$65+0.1)*(VLOOKUP(($F$16-$F$15)*2-1,AC$100:AG183,5,FALSE)))*EXP(-(LN(2)/$D$65+0.04)*AF183)*EXP(-(LN(2)/$D$65+0.1)*AG183),"-"))),"-")</f>
        <v>-</v>
      </c>
      <c r="AK183" s="227">
        <f t="shared" si="137"/>
        <v>83</v>
      </c>
      <c r="AL183" s="226" t="str">
        <f t="shared" si="111"/>
        <v>-</v>
      </c>
      <c r="AM183" s="227" t="str">
        <f t="shared" si="138"/>
        <v>-</v>
      </c>
      <c r="AN183" s="227" t="str">
        <f t="shared" si="139"/>
        <v>-</v>
      </c>
      <c r="AO183" s="227" t="str">
        <f t="shared" si="112"/>
        <v>-</v>
      </c>
      <c r="AP183" s="273">
        <f t="shared" si="140"/>
        <v>0.1</v>
      </c>
      <c r="AQ183" s="271" t="str">
        <f>IFERROR(IF(AL182=1,AQ$100*EXP(-(LN(2)/$D$65+0.04)*AN182)*EXP(-(LN(2)/$D$65+0.1)*AO182),IF(AL182=2,AQ$100*EXP(-(LN(2)/$D$65+0.04)*(VLOOKUP(($F$16-$F$15)-1,AK$99:AO182,4,FALSE)))*EXP(-(LN(2)/$D$65+0.1)*(VLOOKUP(($F$16-$F$15)-1,AK$99:AO182,5,FALSE)))*EXP(-(LN(2)/$D$65+0.04)*AN182)*EXP(-(LN(2)/$D$65+0.1)*AO182),IF(AL182=3,AQ$100*EXP(-(LN(2)/$D$65+0.04)*(VLOOKUP(($F$16-$F$15)-1,AK$99:AO182,4,FALSE)))*EXP(-(LN(2)/$D$65+0.1)*(VLOOKUP(($F$16-$F$15)-1,AK$99:AO182,5,FALSE)))*EXP(-(LN(2)/$D$65+0.04)*(VLOOKUP(($F$16-$F$15)*2-1,AK$99:AO182,4,FALSE)))*EXP(-(LN(2)/$D$65+0.1)*(VLOOKUP(($F$16-$F$15)*2-1,AK$99:AO182,5,FALSE)))*EXP(-(LN(2)/$D$65+0.04)*AN182)*EXP(-(LN(2)/$D$65+0.1)*AO182),"-"))),"-")</f>
        <v>-</v>
      </c>
      <c r="AR183" s="271" t="str">
        <f>IFERROR(IF(AL183=1,AR$100*EXP(-(LN(2)/$D$65+0.04)*AN183)*EXP(-(LN(2)/$D$65+0.1)*AO183),IF(AL183=2,AR$100*EXP(-(LN(2)/$D$65+0.04)*(VLOOKUP(($F$16-$F$15)-1,AK$100:AO183,4,FALSE)))*EXP(-(LN(2)/$D$65+0.1)*(VLOOKUP(($F$16-$F$15)-1,AK$100:AO183,5,FALSE)))*EXP(-(LN(2)/$D$65+0.04)*AN183)*EXP(-(LN(2)/$D$65+0.1)*AO183),IF(AL183=3,AR$100*EXP(-(LN(2)/$D$65+0.04)*(VLOOKUP(($F$16-$F$15)-1,AK$100:AO183,4,FALSE)))*EXP(-(LN(2)/$D$65+0.1)*(VLOOKUP(($F$16-$F$15)-1,AK$100:AO183,5,FALSE)))*EXP(-(LN(2)/$D$65+0.04)*(VLOOKUP(($F$16-$F$15)*2-1,AK$100:AO183,4,FALSE)))*EXP(-(LN(2)/$D$65+0.1)*(VLOOKUP(($F$16-$F$15)*2-1,AK$100:AO183,5,FALSE)))*EXP(-(LN(2)/$D$65+0.04)*AN183)*EXP(-(LN(2)/$D$65+0.1)*AO183),"-"))),"-")</f>
        <v>-</v>
      </c>
      <c r="AS183" s="274">
        <f t="shared" si="113"/>
        <v>0</v>
      </c>
      <c r="AT183" s="274">
        <f t="shared" si="114"/>
        <v>0</v>
      </c>
      <c r="AU183" s="274">
        <f t="shared" si="115"/>
        <v>0</v>
      </c>
      <c r="AV183" s="190" t="str">
        <f>IF($B183&lt;$F$22,SUM($T$100:$T183),"")</f>
        <v/>
      </c>
      <c r="AW183" s="190" t="str">
        <f t="shared" si="116"/>
        <v>-</v>
      </c>
      <c r="AX183" s="190" t="str">
        <f t="shared" si="141"/>
        <v/>
      </c>
      <c r="AY183"/>
      <c r="AZ183" s="190" t="str">
        <f ca="1">IF(ISNUMBER(OFFSET(AV183,-$F$21,0)),SUM(OFFSET($T$100,$F$21,0):$T183),"")</f>
        <v/>
      </c>
      <c r="BA183" s="190" t="str">
        <f t="shared" ca="1" si="117"/>
        <v/>
      </c>
      <c r="BB183" s="190" t="str">
        <f t="shared" ca="1" si="70"/>
        <v/>
      </c>
      <c r="BC183" s="190"/>
      <c r="BD183" s="190" t="str">
        <f ca="1">IFERROR(IF(OR(ISNUMBER(I),ISNUMBER($F$14)),IF(AND($B183&gt;=($F$16-$F$15),$B183&lt;$F$22+($F$16-$F$15)),SUM(OFFSET($T$100,($F$16-$F$15),0):$T183),""),""),"")</f>
        <v/>
      </c>
      <c r="BE183" s="190" t="str">
        <f t="shared" ca="1" si="142"/>
        <v/>
      </c>
      <c r="BF183" s="190" t="str">
        <f t="shared" ca="1" si="143"/>
        <v/>
      </c>
      <c r="BG183"/>
      <c r="BH183" s="190" t="str">
        <f ca="1">IF(ISNUMBER(OFFSET(BD183,-$F$21,0)),SUM(OFFSET($T$100,($F$16-$F$15+$F$21),0):$T183),"")</f>
        <v/>
      </c>
      <c r="BI183" s="190" t="str">
        <f t="shared" ca="1" si="118"/>
        <v/>
      </c>
      <c r="BJ183" s="190" t="str">
        <f t="shared" ca="1" si="144"/>
        <v/>
      </c>
      <c r="BK183" s="190"/>
      <c r="BL183" s="190" t="str">
        <f ca="1">IFERROR(IF(OR(ISNUMBER(I),ISNUMBER($F$14)),IF(AND($B183&gt;=($F$17-$F$15),$B183&lt;$F$22+($F$17-$F$15)),SUM(OFFSET($T$100,($F$17-$F$15),0):$T183),""),""),"")</f>
        <v/>
      </c>
      <c r="BM183" s="190" t="str">
        <f t="shared" ca="1" si="119"/>
        <v/>
      </c>
      <c r="BN183" s="190" t="str">
        <f t="shared" ca="1" si="145"/>
        <v/>
      </c>
      <c r="BO183"/>
      <c r="BP183" s="190" t="str">
        <f ca="1">IF(ISNUMBER(OFFSET(BL183,-$F$21,0)),SUM(OFFSET($T$100,($F$17-$F$15+$F$21),0):$T183),"")</f>
        <v/>
      </c>
      <c r="BQ183" s="190" t="str">
        <f t="shared" ca="1" si="120"/>
        <v/>
      </c>
      <c r="BR183" s="190" t="str">
        <f t="shared" ca="1" si="146"/>
        <v/>
      </c>
      <c r="BS183" s="190"/>
      <c r="BT183"/>
      <c r="BU183"/>
      <c r="BV183"/>
      <c r="BY183" s="99"/>
      <c r="BZ183" s="99"/>
      <c r="CA183" s="280" t="str">
        <f t="shared" si="121"/>
        <v/>
      </c>
      <c r="CB183" s="71" t="str">
        <f t="shared" si="122"/>
        <v>-</v>
      </c>
      <c r="CC183" s="33"/>
      <c r="CD183" s="261" t="str">
        <f t="shared" si="123"/>
        <v/>
      </c>
      <c r="CE183" s="280" t="str">
        <f t="shared" si="124"/>
        <v/>
      </c>
      <c r="CF183" s="71" t="str">
        <f t="shared" ca="1" si="125"/>
        <v/>
      </c>
      <c r="CG183" s="33" t="str">
        <f t="shared" si="126"/>
        <v/>
      </c>
      <c r="CH183" s="261" t="str">
        <f t="shared" ca="1" si="127"/>
        <v/>
      </c>
      <c r="CI183" s="202"/>
      <c r="CJ183" s="99"/>
      <c r="CK183" s="99"/>
      <c r="CL183" s="99"/>
      <c r="CM183" s="99"/>
      <c r="CN183" s="99"/>
      <c r="CO183" s="99"/>
    </row>
    <row r="184" spans="2:93" ht="13.5" customHeight="1" x14ac:dyDescent="0.2">
      <c r="B184" s="262">
        <v>84</v>
      </c>
      <c r="C184" s="237" t="str">
        <f t="shared" si="91"/>
        <v/>
      </c>
      <c r="D184" s="237" t="str">
        <f t="shared" si="147"/>
        <v/>
      </c>
      <c r="E184" s="263" t="str">
        <f t="shared" si="128"/>
        <v/>
      </c>
      <c r="F184" s="264" t="str">
        <f t="shared" si="129"/>
        <v/>
      </c>
      <c r="G184" s="306" t="str">
        <f t="shared" si="130"/>
        <v/>
      </c>
      <c r="H184" s="240" t="str">
        <f t="shared" si="92"/>
        <v/>
      </c>
      <c r="I184" s="265" t="str">
        <f t="shared" si="93"/>
        <v/>
      </c>
      <c r="J184" s="265" t="str">
        <f t="shared" si="94"/>
        <v/>
      </c>
      <c r="K184" s="240" t="str">
        <f t="shared" si="95"/>
        <v/>
      </c>
      <c r="L184" s="265" t="str">
        <f t="shared" si="96"/>
        <v/>
      </c>
      <c r="M184" s="265" t="str">
        <f t="shared" si="97"/>
        <v/>
      </c>
      <c r="N184" s="240" t="str">
        <f t="shared" si="98"/>
        <v>-</v>
      </c>
      <c r="O184" s="265" t="str">
        <f t="shared" si="99"/>
        <v>-</v>
      </c>
      <c r="P184" s="265" t="str">
        <f t="shared" si="100"/>
        <v>-</v>
      </c>
      <c r="Q184" s="266" t="str">
        <f t="shared" si="101"/>
        <v>-</v>
      </c>
      <c r="R184" s="267" t="str">
        <f t="shared" si="102"/>
        <v>-</v>
      </c>
      <c r="S184" s="268" t="str">
        <f t="shared" si="103"/>
        <v>-</v>
      </c>
      <c r="T184" s="269" t="str">
        <f t="shared" si="104"/>
        <v/>
      </c>
      <c r="U184" s="221">
        <f t="shared" si="105"/>
        <v>84</v>
      </c>
      <c r="V184" s="220" t="str">
        <f t="shared" si="131"/>
        <v>-</v>
      </c>
      <c r="W184" s="221" t="str">
        <f t="shared" si="132"/>
        <v>-</v>
      </c>
      <c r="X184" s="221" t="str">
        <f t="shared" si="106"/>
        <v>-</v>
      </c>
      <c r="Y184" s="221" t="str">
        <f t="shared" si="107"/>
        <v>-</v>
      </c>
      <c r="Z184" s="270">
        <f t="shared" si="133"/>
        <v>0.1</v>
      </c>
      <c r="AA184" s="271" t="str">
        <f>IFERROR(IF(V183=1,AA$100*EXP(-(LN(2)/$D$65+0.04)*X183)*EXP(-(LN(2)/$D$65+0.1)*Y183),IF(V183=2,AA$100*EXP(-(LN(2)/$D$65+0.04)*(VLOOKUP(($F$16-$F$15)-1,U$99:Y183,4,FALSE)))*EXP(-(LN(2)/$D$65+0.1)*(VLOOKUP(($F$16-$F$15)-1,U$99:Y183,5,FALSE)))*EXP(-(LN(2)/$D$65+0.04)*X183)*EXP(-(LN(2)/$D$65+0.1)*Y183),IF(V183=3,AA$100*EXP(-(LN(2)/$D$65+0.04)*(VLOOKUP(($F$16-$F$15)-1,U$99:Y183,4,FALSE)))*EXP(-(LN(2)/$D$65+0.1)*(VLOOKUP(($F$16-$F$15)-1,U$99:Y183,5,FALSE)))*EXP(-(LN(2)/$D$65+0.04)*(VLOOKUP(($F$16-$F$15)*2-1,U$99:Y183,4,FALSE)))*EXP(-(LN(2)/$D$65+0.1)*(VLOOKUP(($F$16-$F$15)*2-1,U$99:Y183,5,FALSE)))*EXP(-(LN(2)/$D$65+0.04)*X183)*EXP(-(LN(2)/$D$65+0.1)*Y183),"-"))),"-")</f>
        <v>-</v>
      </c>
      <c r="AB184" s="271" t="str">
        <f>IFERROR(IF(V184=1,AB$100*EXP(-(LN(2)/$D$65+0.04)*X184)*EXP(-(LN(2)/$D$65+0.1)*Y184),IF(V184=2,AB$100*EXP(-(LN(2)/$D$65+0.04)*(VLOOKUP(($F$16-$F$15)-1,U$100:Y184,4,FALSE)))*EXP(-(LN(2)/$D$65+0.1)*(VLOOKUP(($F$16-$F$15)-1,U$100:Y184,5,FALSE)))*EXP(-(LN(2)/$D$65+0.04)*X184)*EXP(-(LN(2)/$D$65+0.1)*Y184),IF(V184=3,AB$100*EXP(-(LN(2)/$D$65+0.04)*(VLOOKUP(($F$16-$F$15)-1,U$100:Y184,4,FALSE)))*EXP(-(LN(2)/$D$65+0.1)*(VLOOKUP(($F$16-$F$15)-1,U$100:Y184,5,FALSE)))*EXP(-(LN(2)/$D$65+0.04)*(VLOOKUP(($F$16-$F$15)*2-1,U$100:Y184,4,FALSE)))*EXP(-(LN(2)/$D$65+0.1)*(VLOOKUP(($F$16-$F$15)*2-1,U$100:Y184,5,FALSE)))*EXP(-(LN(2)/$D$65+0.04)*X184)*EXP(-(LN(2)/$D$65+0.1)*Y184),"-"))),"-")</f>
        <v>-</v>
      </c>
      <c r="AC184" s="224">
        <f t="shared" si="134"/>
        <v>84</v>
      </c>
      <c r="AD184" s="223" t="str">
        <f t="shared" si="108"/>
        <v>-</v>
      </c>
      <c r="AE184" s="224" t="str">
        <f t="shared" si="135"/>
        <v>-</v>
      </c>
      <c r="AF184" s="224" t="str">
        <f t="shared" si="109"/>
        <v>-</v>
      </c>
      <c r="AG184" s="224" t="str">
        <f t="shared" si="110"/>
        <v>-</v>
      </c>
      <c r="AH184" s="272">
        <f t="shared" si="136"/>
        <v>0.1</v>
      </c>
      <c r="AI184" s="271" t="str">
        <f>IFERROR(IF(AD183=1,AI$100*EXP(-(LN(2)/$D$65+0.04)*AF183)*EXP(-(LN(2)/$D$65+0.1)*AG183),IF(AD183=2,AI$100*EXP(-(LN(2)/$D$65+0.04)*(VLOOKUP(($F$16-$F$15)-1,AC$99:AG183,4,FALSE)))*EXP(-(LN(2)/$D$65+0.1)*(VLOOKUP(($F$16-$F$15)-1,AC$99:AG183,5,FALSE)))*EXP(-(LN(2)/$D$65+0.04)*AF183)*EXP(-(LN(2)/$D$65+0.1)*AG183),IF(AD183=3,AI$100*EXP(-(LN(2)/$D$65+0.04)*(VLOOKUP(($F$16-$F$15)-1,AC$99:AG183,4,FALSE)))*EXP(-(LN(2)/$D$65+0.1)*(VLOOKUP(($F$16-$F$15)-1,AC$99:AG183,5,FALSE)))*EXP(-(LN(2)/$D$65+0.04)*(VLOOKUP(($F$16-$F$15)*2-1,AC$99:AG183,4,FALSE)))*EXP(-(LN(2)/$D$65+0.1)*(VLOOKUP(($F$16-$F$15)*2-1,AC$99:AG183,5,FALSE)))*EXP(-(LN(2)/$D$65+0.04)*AF183)*EXP(-(LN(2)/$D$65+0.1)*AG183),"-"))),"-")</f>
        <v>-</v>
      </c>
      <c r="AJ184" s="271" t="str">
        <f>IFERROR(IF(AD184=1,AJ$100*EXP(-(LN(2)/$D$65+0.04)*AF184)*EXP(-(LN(2)/$D$65+0.1)*AG184),IF(AD184=2,AJ$100*EXP(-(LN(2)/$D$65+0.04)*(VLOOKUP(($F$16-$F$15)-1,AC$100:AG184,4,FALSE)))*EXP(-(LN(2)/$D$65+0.1)*(VLOOKUP(($F$16-$F$15)-1,AC$100:AG184,5,FALSE)))*EXP(-(LN(2)/$D$65+0.04)*AF184)*EXP(-(LN(2)/$D$65+0.1)*AG184),IF(AD184=3,AJ$100*EXP(-(LN(2)/$D$65+0.04)*(VLOOKUP(($F$16-$F$15)-1,AC$100:AG184,4,FALSE)))*EXP(-(LN(2)/$D$65+0.1)*(VLOOKUP(($F$16-$F$15)-1,AC$100:AG184,5,FALSE)))*EXP(-(LN(2)/$D$65+0.04)*(VLOOKUP(($F$16-$F$15)*2-1,AC$100:AG184,4,FALSE)))*EXP(-(LN(2)/$D$65+0.1)*(VLOOKUP(($F$16-$F$15)*2-1,AC$100:AG184,5,FALSE)))*EXP(-(LN(2)/$D$65+0.04)*AF184)*EXP(-(LN(2)/$D$65+0.1)*AG184),"-"))),"-")</f>
        <v>-</v>
      </c>
      <c r="AK184" s="227">
        <f t="shared" si="137"/>
        <v>84</v>
      </c>
      <c r="AL184" s="226" t="str">
        <f t="shared" si="111"/>
        <v>-</v>
      </c>
      <c r="AM184" s="227" t="str">
        <f t="shared" si="138"/>
        <v>-</v>
      </c>
      <c r="AN184" s="227" t="str">
        <f t="shared" si="139"/>
        <v>-</v>
      </c>
      <c r="AO184" s="227" t="str">
        <f t="shared" si="112"/>
        <v>-</v>
      </c>
      <c r="AP184" s="273">
        <f t="shared" si="140"/>
        <v>0.1</v>
      </c>
      <c r="AQ184" s="271" t="str">
        <f>IFERROR(IF(AL183=1,AQ$100*EXP(-(LN(2)/$D$65+0.04)*AN183)*EXP(-(LN(2)/$D$65+0.1)*AO183),IF(AL183=2,AQ$100*EXP(-(LN(2)/$D$65+0.04)*(VLOOKUP(($F$16-$F$15)-1,AK$99:AO183,4,FALSE)))*EXP(-(LN(2)/$D$65+0.1)*(VLOOKUP(($F$16-$F$15)-1,AK$99:AO183,5,FALSE)))*EXP(-(LN(2)/$D$65+0.04)*AN183)*EXP(-(LN(2)/$D$65+0.1)*AO183),IF(AL183=3,AQ$100*EXP(-(LN(2)/$D$65+0.04)*(VLOOKUP(($F$16-$F$15)-1,AK$99:AO183,4,FALSE)))*EXP(-(LN(2)/$D$65+0.1)*(VLOOKUP(($F$16-$F$15)-1,AK$99:AO183,5,FALSE)))*EXP(-(LN(2)/$D$65+0.04)*(VLOOKUP(($F$16-$F$15)*2-1,AK$99:AO183,4,FALSE)))*EXP(-(LN(2)/$D$65+0.1)*(VLOOKUP(($F$16-$F$15)*2-1,AK$99:AO183,5,FALSE)))*EXP(-(LN(2)/$D$65+0.04)*AN183)*EXP(-(LN(2)/$D$65+0.1)*AO183),"-"))),"-")</f>
        <v>-</v>
      </c>
      <c r="AR184" s="271" t="str">
        <f>IFERROR(IF(AL184=1,AR$100*EXP(-(LN(2)/$D$65+0.04)*AN184)*EXP(-(LN(2)/$D$65+0.1)*AO184),IF(AL184=2,AR$100*EXP(-(LN(2)/$D$65+0.04)*(VLOOKUP(($F$16-$F$15)-1,AK$100:AO184,4,FALSE)))*EXP(-(LN(2)/$D$65+0.1)*(VLOOKUP(($F$16-$F$15)-1,AK$100:AO184,5,FALSE)))*EXP(-(LN(2)/$D$65+0.04)*AN184)*EXP(-(LN(2)/$D$65+0.1)*AO184),IF(AL184=3,AR$100*EXP(-(LN(2)/$D$65+0.04)*(VLOOKUP(($F$16-$F$15)-1,AK$100:AO184,4,FALSE)))*EXP(-(LN(2)/$D$65+0.1)*(VLOOKUP(($F$16-$F$15)-1,AK$100:AO184,5,FALSE)))*EXP(-(LN(2)/$D$65+0.04)*(VLOOKUP(($F$16-$F$15)*2-1,AK$100:AO184,4,FALSE)))*EXP(-(LN(2)/$D$65+0.1)*(VLOOKUP(($F$16-$F$15)*2-1,AK$100:AO184,5,FALSE)))*EXP(-(LN(2)/$D$65+0.04)*AN184)*EXP(-(LN(2)/$D$65+0.1)*AO184),"-"))),"-")</f>
        <v>-</v>
      </c>
      <c r="AS184" s="274">
        <f t="shared" si="113"/>
        <v>0</v>
      </c>
      <c r="AT184" s="274">
        <f t="shared" si="114"/>
        <v>0</v>
      </c>
      <c r="AU184" s="274">
        <f t="shared" si="115"/>
        <v>0</v>
      </c>
      <c r="AV184" s="190" t="str">
        <f>IF($B184&lt;$F$22,SUM($T$100:$T184),"")</f>
        <v/>
      </c>
      <c r="AW184" s="190" t="str">
        <f t="shared" si="116"/>
        <v>-</v>
      </c>
      <c r="AX184" s="190" t="str">
        <f t="shared" si="141"/>
        <v/>
      </c>
      <c r="AY184"/>
      <c r="AZ184" s="190" t="str">
        <f ca="1">IF(ISNUMBER(OFFSET(AV184,-$F$21,0)),SUM(OFFSET($T$100,$F$21,0):$T184),"")</f>
        <v/>
      </c>
      <c r="BA184" s="190" t="str">
        <f t="shared" ca="1" si="117"/>
        <v/>
      </c>
      <c r="BB184" s="190" t="str">
        <f t="shared" ca="1" si="70"/>
        <v/>
      </c>
      <c r="BC184" s="190"/>
      <c r="BD184" s="190" t="str">
        <f ca="1">IFERROR(IF(OR(ISNUMBER(I),ISNUMBER($F$14)),IF(AND($B184&gt;=($F$16-$F$15),$B184&lt;$F$22+($F$16-$F$15)),SUM(OFFSET($T$100,($F$16-$F$15),0):$T184),""),""),"")</f>
        <v/>
      </c>
      <c r="BE184" s="190" t="str">
        <f t="shared" ca="1" si="142"/>
        <v/>
      </c>
      <c r="BF184" s="190" t="str">
        <f t="shared" ca="1" si="143"/>
        <v/>
      </c>
      <c r="BG184"/>
      <c r="BH184" s="190" t="str">
        <f ca="1">IF(ISNUMBER(OFFSET(BD184,-$F$21,0)),SUM(OFFSET($T$100,($F$16-$F$15+$F$21),0):$T184),"")</f>
        <v/>
      </c>
      <c r="BI184" s="190" t="str">
        <f t="shared" ca="1" si="118"/>
        <v/>
      </c>
      <c r="BJ184" s="190" t="str">
        <f t="shared" ca="1" si="144"/>
        <v/>
      </c>
      <c r="BK184" s="190"/>
      <c r="BL184" s="190" t="str">
        <f ca="1">IFERROR(IF(OR(ISNUMBER(I),ISNUMBER($F$14)),IF(AND($B184&gt;=($F$17-$F$15),$B184&lt;$F$22+($F$17-$F$15)),SUM(OFFSET($T$100,($F$17-$F$15),0):$T184),""),""),"")</f>
        <v/>
      </c>
      <c r="BM184" s="190" t="str">
        <f t="shared" ca="1" si="119"/>
        <v/>
      </c>
      <c r="BN184" s="190" t="str">
        <f t="shared" ca="1" si="145"/>
        <v/>
      </c>
      <c r="BO184"/>
      <c r="BP184" s="190" t="str">
        <f ca="1">IF(ISNUMBER(OFFSET(BL184,-$F$21,0)),SUM(OFFSET($T$100,($F$17-$F$15+$F$21),0):$T184),"")</f>
        <v/>
      </c>
      <c r="BQ184" s="190" t="str">
        <f t="shared" ca="1" si="120"/>
        <v/>
      </c>
      <c r="BR184" s="190" t="str">
        <f t="shared" ca="1" si="146"/>
        <v/>
      </c>
      <c r="BS184" s="190"/>
      <c r="BT184"/>
      <c r="BU184"/>
      <c r="BV184"/>
      <c r="BY184" s="99"/>
      <c r="BZ184" s="99"/>
      <c r="CA184" s="280" t="str">
        <f t="shared" si="121"/>
        <v/>
      </c>
      <c r="CB184" s="71" t="str">
        <f t="shared" si="122"/>
        <v>-</v>
      </c>
      <c r="CC184" s="33"/>
      <c r="CD184" s="261" t="str">
        <f t="shared" si="123"/>
        <v/>
      </c>
      <c r="CE184" s="280" t="str">
        <f t="shared" si="124"/>
        <v/>
      </c>
      <c r="CF184" s="71" t="str">
        <f t="shared" ca="1" si="125"/>
        <v/>
      </c>
      <c r="CG184" s="33" t="str">
        <f t="shared" si="126"/>
        <v/>
      </c>
      <c r="CH184" s="261" t="str">
        <f t="shared" ca="1" si="127"/>
        <v/>
      </c>
      <c r="CI184" s="202"/>
      <c r="CJ184" s="99"/>
      <c r="CK184" s="99"/>
      <c r="CL184" s="99"/>
      <c r="CM184" s="99"/>
      <c r="CN184" s="99"/>
      <c r="CO184" s="99"/>
    </row>
    <row r="185" spans="2:93" ht="13.5" customHeight="1" x14ac:dyDescent="0.2">
      <c r="B185" s="262">
        <v>85</v>
      </c>
      <c r="C185" s="237" t="str">
        <f t="shared" si="91"/>
        <v/>
      </c>
      <c r="D185" s="237" t="str">
        <f t="shared" si="147"/>
        <v/>
      </c>
      <c r="E185" s="263" t="str">
        <f t="shared" si="128"/>
        <v/>
      </c>
      <c r="F185" s="264" t="str">
        <f t="shared" si="129"/>
        <v/>
      </c>
      <c r="G185" s="306" t="str">
        <f t="shared" si="130"/>
        <v/>
      </c>
      <c r="H185" s="240" t="str">
        <f t="shared" si="92"/>
        <v/>
      </c>
      <c r="I185" s="265" t="str">
        <f t="shared" si="93"/>
        <v/>
      </c>
      <c r="J185" s="265" t="str">
        <f t="shared" si="94"/>
        <v/>
      </c>
      <c r="K185" s="240" t="str">
        <f t="shared" si="95"/>
        <v/>
      </c>
      <c r="L185" s="265" t="str">
        <f t="shared" si="96"/>
        <v/>
      </c>
      <c r="M185" s="265" t="str">
        <f t="shared" si="97"/>
        <v/>
      </c>
      <c r="N185" s="240" t="str">
        <f t="shared" si="98"/>
        <v>-</v>
      </c>
      <c r="O185" s="265" t="str">
        <f t="shared" si="99"/>
        <v>-</v>
      </c>
      <c r="P185" s="265" t="str">
        <f t="shared" si="100"/>
        <v>-</v>
      </c>
      <c r="Q185" s="266" t="str">
        <f t="shared" si="101"/>
        <v>-</v>
      </c>
      <c r="R185" s="267" t="str">
        <f t="shared" si="102"/>
        <v>-</v>
      </c>
      <c r="S185" s="268" t="str">
        <f t="shared" si="103"/>
        <v>-</v>
      </c>
      <c r="T185" s="269" t="str">
        <f t="shared" si="104"/>
        <v/>
      </c>
      <c r="U185" s="221">
        <f t="shared" si="105"/>
        <v>85</v>
      </c>
      <c r="V185" s="220" t="str">
        <f t="shared" si="131"/>
        <v>-</v>
      </c>
      <c r="W185" s="221" t="str">
        <f t="shared" si="132"/>
        <v>-</v>
      </c>
      <c r="X185" s="221" t="str">
        <f t="shared" si="106"/>
        <v>-</v>
      </c>
      <c r="Y185" s="221" t="str">
        <f t="shared" si="107"/>
        <v>-</v>
      </c>
      <c r="Z185" s="270">
        <f t="shared" si="133"/>
        <v>0.1</v>
      </c>
      <c r="AA185" s="271" t="str">
        <f>IFERROR(IF(V184=1,AA$100*EXP(-(LN(2)/$D$65+0.04)*X184)*EXP(-(LN(2)/$D$65+0.1)*Y184),IF(V184=2,AA$100*EXP(-(LN(2)/$D$65+0.04)*(VLOOKUP(($F$16-$F$15)-1,U$99:Y184,4,FALSE)))*EXP(-(LN(2)/$D$65+0.1)*(VLOOKUP(($F$16-$F$15)-1,U$99:Y184,5,FALSE)))*EXP(-(LN(2)/$D$65+0.04)*X184)*EXP(-(LN(2)/$D$65+0.1)*Y184),IF(V184=3,AA$100*EXP(-(LN(2)/$D$65+0.04)*(VLOOKUP(($F$16-$F$15)-1,U$99:Y184,4,FALSE)))*EXP(-(LN(2)/$D$65+0.1)*(VLOOKUP(($F$16-$F$15)-1,U$99:Y184,5,FALSE)))*EXP(-(LN(2)/$D$65+0.04)*(VLOOKUP(($F$16-$F$15)*2-1,U$99:Y184,4,FALSE)))*EXP(-(LN(2)/$D$65+0.1)*(VLOOKUP(($F$16-$F$15)*2-1,U$99:Y184,5,FALSE)))*EXP(-(LN(2)/$D$65+0.04)*X184)*EXP(-(LN(2)/$D$65+0.1)*Y184),"-"))),"-")</f>
        <v>-</v>
      </c>
      <c r="AB185" s="271" t="str">
        <f>IFERROR(IF(V185=1,AB$100*EXP(-(LN(2)/$D$65+0.04)*X185)*EXP(-(LN(2)/$D$65+0.1)*Y185),IF(V185=2,AB$100*EXP(-(LN(2)/$D$65+0.04)*(VLOOKUP(($F$16-$F$15)-1,U$100:Y185,4,FALSE)))*EXP(-(LN(2)/$D$65+0.1)*(VLOOKUP(($F$16-$F$15)-1,U$100:Y185,5,FALSE)))*EXP(-(LN(2)/$D$65+0.04)*X185)*EXP(-(LN(2)/$D$65+0.1)*Y185),IF(V185=3,AB$100*EXP(-(LN(2)/$D$65+0.04)*(VLOOKUP(($F$16-$F$15)-1,U$100:Y185,4,FALSE)))*EXP(-(LN(2)/$D$65+0.1)*(VLOOKUP(($F$16-$F$15)-1,U$100:Y185,5,FALSE)))*EXP(-(LN(2)/$D$65+0.04)*(VLOOKUP(($F$16-$F$15)*2-1,U$100:Y185,4,FALSE)))*EXP(-(LN(2)/$D$65+0.1)*(VLOOKUP(($F$16-$F$15)*2-1,U$100:Y185,5,FALSE)))*EXP(-(LN(2)/$D$65+0.04)*X185)*EXP(-(LN(2)/$D$65+0.1)*Y185),"-"))),"-")</f>
        <v>-</v>
      </c>
      <c r="AC185" s="224">
        <f t="shared" si="134"/>
        <v>85</v>
      </c>
      <c r="AD185" s="223" t="str">
        <f t="shared" si="108"/>
        <v>-</v>
      </c>
      <c r="AE185" s="224" t="str">
        <f t="shared" si="135"/>
        <v>-</v>
      </c>
      <c r="AF185" s="224" t="str">
        <f t="shared" si="109"/>
        <v>-</v>
      </c>
      <c r="AG185" s="224" t="str">
        <f t="shared" si="110"/>
        <v>-</v>
      </c>
      <c r="AH185" s="272">
        <f t="shared" si="136"/>
        <v>0.1</v>
      </c>
      <c r="AI185" s="271" t="str">
        <f>IFERROR(IF(AD184=1,AI$100*EXP(-(LN(2)/$D$65+0.04)*AF184)*EXP(-(LN(2)/$D$65+0.1)*AG184),IF(AD184=2,AI$100*EXP(-(LN(2)/$D$65+0.04)*(VLOOKUP(($F$16-$F$15)-1,AC$99:AG184,4,FALSE)))*EXP(-(LN(2)/$D$65+0.1)*(VLOOKUP(($F$16-$F$15)-1,AC$99:AG184,5,FALSE)))*EXP(-(LN(2)/$D$65+0.04)*AF184)*EXP(-(LN(2)/$D$65+0.1)*AG184),IF(AD184=3,AI$100*EXP(-(LN(2)/$D$65+0.04)*(VLOOKUP(($F$16-$F$15)-1,AC$99:AG184,4,FALSE)))*EXP(-(LN(2)/$D$65+0.1)*(VLOOKUP(($F$16-$F$15)-1,AC$99:AG184,5,FALSE)))*EXP(-(LN(2)/$D$65+0.04)*(VLOOKUP(($F$16-$F$15)*2-1,AC$99:AG184,4,FALSE)))*EXP(-(LN(2)/$D$65+0.1)*(VLOOKUP(($F$16-$F$15)*2-1,AC$99:AG184,5,FALSE)))*EXP(-(LN(2)/$D$65+0.04)*AF184)*EXP(-(LN(2)/$D$65+0.1)*AG184),"-"))),"-")</f>
        <v>-</v>
      </c>
      <c r="AJ185" s="271" t="str">
        <f>IFERROR(IF(AD185=1,AJ$100*EXP(-(LN(2)/$D$65+0.04)*AF185)*EXP(-(LN(2)/$D$65+0.1)*AG185),IF(AD185=2,AJ$100*EXP(-(LN(2)/$D$65+0.04)*(VLOOKUP(($F$16-$F$15)-1,AC$100:AG185,4,FALSE)))*EXP(-(LN(2)/$D$65+0.1)*(VLOOKUP(($F$16-$F$15)-1,AC$100:AG185,5,FALSE)))*EXP(-(LN(2)/$D$65+0.04)*AF185)*EXP(-(LN(2)/$D$65+0.1)*AG185),IF(AD185=3,AJ$100*EXP(-(LN(2)/$D$65+0.04)*(VLOOKUP(($F$16-$F$15)-1,AC$100:AG185,4,FALSE)))*EXP(-(LN(2)/$D$65+0.1)*(VLOOKUP(($F$16-$F$15)-1,AC$100:AG185,5,FALSE)))*EXP(-(LN(2)/$D$65+0.04)*(VLOOKUP(($F$16-$F$15)*2-1,AC$100:AG185,4,FALSE)))*EXP(-(LN(2)/$D$65+0.1)*(VLOOKUP(($F$16-$F$15)*2-1,AC$100:AG185,5,FALSE)))*EXP(-(LN(2)/$D$65+0.04)*AF185)*EXP(-(LN(2)/$D$65+0.1)*AG185),"-"))),"-")</f>
        <v>-</v>
      </c>
      <c r="AK185" s="227">
        <f t="shared" si="137"/>
        <v>85</v>
      </c>
      <c r="AL185" s="226" t="str">
        <f t="shared" si="111"/>
        <v>-</v>
      </c>
      <c r="AM185" s="227" t="str">
        <f t="shared" si="138"/>
        <v>-</v>
      </c>
      <c r="AN185" s="227" t="str">
        <f t="shared" si="139"/>
        <v>-</v>
      </c>
      <c r="AO185" s="227" t="str">
        <f t="shared" si="112"/>
        <v>-</v>
      </c>
      <c r="AP185" s="273">
        <f t="shared" si="140"/>
        <v>0.1</v>
      </c>
      <c r="AQ185" s="271" t="str">
        <f>IFERROR(IF(AL184=1,AQ$100*EXP(-(LN(2)/$D$65+0.04)*AN184)*EXP(-(LN(2)/$D$65+0.1)*AO184),IF(AL184=2,AQ$100*EXP(-(LN(2)/$D$65+0.04)*(VLOOKUP(($F$16-$F$15)-1,AK$99:AO184,4,FALSE)))*EXP(-(LN(2)/$D$65+0.1)*(VLOOKUP(($F$16-$F$15)-1,AK$99:AO184,5,FALSE)))*EXP(-(LN(2)/$D$65+0.04)*AN184)*EXP(-(LN(2)/$D$65+0.1)*AO184),IF(AL184=3,AQ$100*EXP(-(LN(2)/$D$65+0.04)*(VLOOKUP(($F$16-$F$15)-1,AK$99:AO184,4,FALSE)))*EXP(-(LN(2)/$D$65+0.1)*(VLOOKUP(($F$16-$F$15)-1,AK$99:AO184,5,FALSE)))*EXP(-(LN(2)/$D$65+0.04)*(VLOOKUP(($F$16-$F$15)*2-1,AK$99:AO184,4,FALSE)))*EXP(-(LN(2)/$D$65+0.1)*(VLOOKUP(($F$16-$F$15)*2-1,AK$99:AO184,5,FALSE)))*EXP(-(LN(2)/$D$65+0.04)*AN184)*EXP(-(LN(2)/$D$65+0.1)*AO184),"-"))),"-")</f>
        <v>-</v>
      </c>
      <c r="AR185" s="271" t="str">
        <f>IFERROR(IF(AL185=1,AR$100*EXP(-(LN(2)/$D$65+0.04)*AN185)*EXP(-(LN(2)/$D$65+0.1)*AO185),IF(AL185=2,AR$100*EXP(-(LN(2)/$D$65+0.04)*(VLOOKUP(($F$16-$F$15)-1,AK$100:AO185,4,FALSE)))*EXP(-(LN(2)/$D$65+0.1)*(VLOOKUP(($F$16-$F$15)-1,AK$100:AO185,5,FALSE)))*EXP(-(LN(2)/$D$65+0.04)*AN185)*EXP(-(LN(2)/$D$65+0.1)*AO185),IF(AL185=3,AR$100*EXP(-(LN(2)/$D$65+0.04)*(VLOOKUP(($F$16-$F$15)-1,AK$100:AO185,4,FALSE)))*EXP(-(LN(2)/$D$65+0.1)*(VLOOKUP(($F$16-$F$15)-1,AK$100:AO185,5,FALSE)))*EXP(-(LN(2)/$D$65+0.04)*(VLOOKUP(($F$16-$F$15)*2-1,AK$100:AO185,4,FALSE)))*EXP(-(LN(2)/$D$65+0.1)*(VLOOKUP(($F$16-$F$15)*2-1,AK$100:AO185,5,FALSE)))*EXP(-(LN(2)/$D$65+0.04)*AN185)*EXP(-(LN(2)/$D$65+0.1)*AO185),"-"))),"-")</f>
        <v>-</v>
      </c>
      <c r="AS185" s="274">
        <f t="shared" si="113"/>
        <v>0</v>
      </c>
      <c r="AT185" s="274">
        <f t="shared" si="114"/>
        <v>0</v>
      </c>
      <c r="AU185" s="274">
        <f t="shared" si="115"/>
        <v>0</v>
      </c>
      <c r="AV185" s="190" t="str">
        <f>IF($B185&lt;$F$22,SUM($T$100:$T185),"")</f>
        <v/>
      </c>
      <c r="AW185" s="190" t="str">
        <f t="shared" si="116"/>
        <v>-</v>
      </c>
      <c r="AX185" s="190" t="str">
        <f t="shared" si="141"/>
        <v/>
      </c>
      <c r="AY185"/>
      <c r="AZ185" s="190" t="str">
        <f ca="1">IF(ISNUMBER(OFFSET(AV185,-$F$21,0)),SUM(OFFSET($T$100,$F$21,0):$T185),"")</f>
        <v/>
      </c>
      <c r="BA185" s="190" t="str">
        <f t="shared" ca="1" si="117"/>
        <v/>
      </c>
      <c r="BB185" s="190" t="str">
        <f t="shared" ref="BB185:BB248" ca="1" si="148">IF(ISNUMBER(AZ185),(AZ185-BA185)/(3*86400*(OFFSET($B185,-$F$21,0)+1))*1000,"")</f>
        <v/>
      </c>
      <c r="BC185" s="190"/>
      <c r="BD185" s="190" t="str">
        <f ca="1">IFERROR(IF(OR(ISNUMBER(I),ISNUMBER($F$14)),IF(AND($B185&gt;=($F$16-$F$15),$B185&lt;$F$22+($F$16-$F$15)),SUM(OFFSET($T$100,($F$16-$F$15),0):$T185),""),""),"")</f>
        <v/>
      </c>
      <c r="BE185" s="190" t="str">
        <f t="shared" ca="1" si="142"/>
        <v/>
      </c>
      <c r="BF185" s="190" t="str">
        <f t="shared" ca="1" si="143"/>
        <v/>
      </c>
      <c r="BG185"/>
      <c r="BH185" s="190" t="str">
        <f ca="1">IF(ISNUMBER(OFFSET(BD185,-$F$21,0)),SUM(OFFSET($T$100,($F$16-$F$15+$F$21),0):$T185),"")</f>
        <v/>
      </c>
      <c r="BI185" s="190" t="str">
        <f t="shared" ca="1" si="118"/>
        <v/>
      </c>
      <c r="BJ185" s="190" t="str">
        <f t="shared" ca="1" si="144"/>
        <v/>
      </c>
      <c r="BK185" s="190"/>
      <c r="BL185" s="190" t="str">
        <f ca="1">IFERROR(IF(OR(ISNUMBER(I),ISNUMBER($F$14)),IF(AND($B185&gt;=($F$17-$F$15),$B185&lt;$F$22+($F$17-$F$15)),SUM(OFFSET($T$100,($F$17-$F$15),0):$T185),""),""),"")</f>
        <v/>
      </c>
      <c r="BM185" s="190" t="str">
        <f t="shared" ca="1" si="119"/>
        <v/>
      </c>
      <c r="BN185" s="190" t="str">
        <f t="shared" ca="1" si="145"/>
        <v/>
      </c>
      <c r="BO185"/>
      <c r="BP185" s="190" t="str">
        <f ca="1">IF(ISNUMBER(OFFSET(BL185,-$F$21,0)),SUM(OFFSET($T$100,($F$17-$F$15+$F$21),0):$T185),"")</f>
        <v/>
      </c>
      <c r="BQ185" s="190" t="str">
        <f t="shared" ca="1" si="120"/>
        <v/>
      </c>
      <c r="BR185" s="190" t="str">
        <f t="shared" ca="1" si="146"/>
        <v/>
      </c>
      <c r="BS185" s="190"/>
      <c r="BT185"/>
      <c r="BU185"/>
      <c r="BV185"/>
      <c r="BY185" s="99"/>
      <c r="BZ185" s="99"/>
      <c r="CA185" s="280" t="str">
        <f t="shared" si="121"/>
        <v/>
      </c>
      <c r="CB185" s="71" t="str">
        <f t="shared" si="122"/>
        <v>-</v>
      </c>
      <c r="CC185" s="33"/>
      <c r="CD185" s="261" t="str">
        <f t="shared" si="123"/>
        <v/>
      </c>
      <c r="CE185" s="280" t="str">
        <f t="shared" si="124"/>
        <v/>
      </c>
      <c r="CF185" s="71" t="str">
        <f t="shared" ca="1" si="125"/>
        <v/>
      </c>
      <c r="CG185" s="33" t="str">
        <f t="shared" si="126"/>
        <v/>
      </c>
      <c r="CH185" s="261" t="str">
        <f t="shared" ca="1" si="127"/>
        <v/>
      </c>
      <c r="CI185" s="202"/>
      <c r="CJ185" s="99"/>
      <c r="CK185" s="99"/>
      <c r="CL185" s="99"/>
      <c r="CM185" s="99"/>
      <c r="CN185" s="99"/>
      <c r="CO185" s="99"/>
    </row>
    <row r="186" spans="2:93" ht="13.5" customHeight="1" x14ac:dyDescent="0.2">
      <c r="B186" s="262">
        <v>86</v>
      </c>
      <c r="C186" s="237" t="str">
        <f t="shared" si="91"/>
        <v/>
      </c>
      <c r="D186" s="237" t="str">
        <f t="shared" si="147"/>
        <v/>
      </c>
      <c r="E186" s="263" t="str">
        <f t="shared" si="128"/>
        <v/>
      </c>
      <c r="F186" s="264" t="str">
        <f t="shared" si="129"/>
        <v/>
      </c>
      <c r="G186" s="264" t="str">
        <f t="shared" si="130"/>
        <v/>
      </c>
      <c r="H186" s="240" t="str">
        <f t="shared" si="92"/>
        <v/>
      </c>
      <c r="I186" s="265" t="str">
        <f t="shared" si="93"/>
        <v/>
      </c>
      <c r="J186" s="265" t="str">
        <f t="shared" si="94"/>
        <v/>
      </c>
      <c r="K186" s="240" t="str">
        <f t="shared" si="95"/>
        <v/>
      </c>
      <c r="L186" s="265" t="str">
        <f t="shared" si="96"/>
        <v/>
      </c>
      <c r="M186" s="265" t="str">
        <f t="shared" si="97"/>
        <v/>
      </c>
      <c r="N186" s="240" t="str">
        <f t="shared" si="98"/>
        <v>-</v>
      </c>
      <c r="O186" s="265" t="str">
        <f t="shared" si="99"/>
        <v>-</v>
      </c>
      <c r="P186" s="265" t="str">
        <f t="shared" si="100"/>
        <v>-</v>
      </c>
      <c r="Q186" s="266" t="str">
        <f t="shared" si="101"/>
        <v>-</v>
      </c>
      <c r="R186" s="267" t="str">
        <f t="shared" si="102"/>
        <v>-</v>
      </c>
      <c r="S186" s="268" t="str">
        <f t="shared" si="103"/>
        <v>-</v>
      </c>
      <c r="T186" s="269" t="str">
        <f t="shared" si="104"/>
        <v/>
      </c>
      <c r="U186" s="221">
        <f t="shared" si="105"/>
        <v>86</v>
      </c>
      <c r="V186" s="220" t="str">
        <f t="shared" si="131"/>
        <v>-</v>
      </c>
      <c r="W186" s="221" t="str">
        <f t="shared" si="132"/>
        <v>-</v>
      </c>
      <c r="X186" s="221" t="str">
        <f t="shared" si="106"/>
        <v>-</v>
      </c>
      <c r="Y186" s="221" t="str">
        <f t="shared" si="107"/>
        <v>-</v>
      </c>
      <c r="Z186" s="270">
        <f t="shared" si="133"/>
        <v>0.1</v>
      </c>
      <c r="AA186" s="271" t="str">
        <f>IFERROR(IF(V185=1,AA$100*EXP(-(LN(2)/$D$65+0.04)*X185)*EXP(-(LN(2)/$D$65+0.1)*Y185),IF(V185=2,AA$100*EXP(-(LN(2)/$D$65+0.04)*(VLOOKUP(($F$16-$F$15)-1,U$99:Y185,4,FALSE)))*EXP(-(LN(2)/$D$65+0.1)*(VLOOKUP(($F$16-$F$15)-1,U$99:Y185,5,FALSE)))*EXP(-(LN(2)/$D$65+0.04)*X185)*EXP(-(LN(2)/$D$65+0.1)*Y185),IF(V185=3,AA$100*EXP(-(LN(2)/$D$65+0.04)*(VLOOKUP(($F$16-$F$15)-1,U$99:Y185,4,FALSE)))*EXP(-(LN(2)/$D$65+0.1)*(VLOOKUP(($F$16-$F$15)-1,U$99:Y185,5,FALSE)))*EXP(-(LN(2)/$D$65+0.04)*(VLOOKUP(($F$16-$F$15)*2-1,U$99:Y185,4,FALSE)))*EXP(-(LN(2)/$D$65+0.1)*(VLOOKUP(($F$16-$F$15)*2-1,U$99:Y185,5,FALSE)))*EXP(-(LN(2)/$D$65+0.04)*X185)*EXP(-(LN(2)/$D$65+0.1)*Y185),"-"))),"-")</f>
        <v>-</v>
      </c>
      <c r="AB186" s="271" t="str">
        <f>IFERROR(IF(V186=1,AB$100*EXP(-(LN(2)/$D$65+0.04)*X186)*EXP(-(LN(2)/$D$65+0.1)*Y186),IF(V186=2,AB$100*EXP(-(LN(2)/$D$65+0.04)*(VLOOKUP(($F$16-$F$15)-1,U$100:Y186,4,FALSE)))*EXP(-(LN(2)/$D$65+0.1)*(VLOOKUP(($F$16-$F$15)-1,U$100:Y186,5,FALSE)))*EXP(-(LN(2)/$D$65+0.04)*X186)*EXP(-(LN(2)/$D$65+0.1)*Y186),IF(V186=3,AB$100*EXP(-(LN(2)/$D$65+0.04)*(VLOOKUP(($F$16-$F$15)-1,U$100:Y186,4,FALSE)))*EXP(-(LN(2)/$D$65+0.1)*(VLOOKUP(($F$16-$F$15)-1,U$100:Y186,5,FALSE)))*EXP(-(LN(2)/$D$65+0.04)*(VLOOKUP(($F$16-$F$15)*2-1,U$100:Y186,4,FALSE)))*EXP(-(LN(2)/$D$65+0.1)*(VLOOKUP(($F$16-$F$15)*2-1,U$100:Y186,5,FALSE)))*EXP(-(LN(2)/$D$65+0.04)*X186)*EXP(-(LN(2)/$D$65+0.1)*Y186),"-"))),"-")</f>
        <v>-</v>
      </c>
      <c r="AC186" s="224">
        <f t="shared" si="134"/>
        <v>86</v>
      </c>
      <c r="AD186" s="223" t="str">
        <f t="shared" si="108"/>
        <v>-</v>
      </c>
      <c r="AE186" s="224" t="str">
        <f t="shared" si="135"/>
        <v>-</v>
      </c>
      <c r="AF186" s="224" t="str">
        <f t="shared" si="109"/>
        <v>-</v>
      </c>
      <c r="AG186" s="224" t="str">
        <f t="shared" si="110"/>
        <v>-</v>
      </c>
      <c r="AH186" s="272">
        <f t="shared" si="136"/>
        <v>0.1</v>
      </c>
      <c r="AI186" s="271" t="str">
        <f>IFERROR(IF(AD185=1,AI$100*EXP(-(LN(2)/$D$65+0.04)*AF185)*EXP(-(LN(2)/$D$65+0.1)*AG185),IF(AD185=2,AI$100*EXP(-(LN(2)/$D$65+0.04)*(VLOOKUP(($F$16-$F$15)-1,AC$99:AG185,4,FALSE)))*EXP(-(LN(2)/$D$65+0.1)*(VLOOKUP(($F$16-$F$15)-1,AC$99:AG185,5,FALSE)))*EXP(-(LN(2)/$D$65+0.04)*AF185)*EXP(-(LN(2)/$D$65+0.1)*AG185),IF(AD185=3,AI$100*EXP(-(LN(2)/$D$65+0.04)*(VLOOKUP(($F$16-$F$15)-1,AC$99:AG185,4,FALSE)))*EXP(-(LN(2)/$D$65+0.1)*(VLOOKUP(($F$16-$F$15)-1,AC$99:AG185,5,FALSE)))*EXP(-(LN(2)/$D$65+0.04)*(VLOOKUP(($F$16-$F$15)*2-1,AC$99:AG185,4,FALSE)))*EXP(-(LN(2)/$D$65+0.1)*(VLOOKUP(($F$16-$F$15)*2-1,AC$99:AG185,5,FALSE)))*EXP(-(LN(2)/$D$65+0.04)*AF185)*EXP(-(LN(2)/$D$65+0.1)*AG185),"-"))),"-")</f>
        <v>-</v>
      </c>
      <c r="AJ186" s="271" t="str">
        <f>IFERROR(IF(AD186=1,AJ$100*EXP(-(LN(2)/$D$65+0.04)*AF186)*EXP(-(LN(2)/$D$65+0.1)*AG186),IF(AD186=2,AJ$100*EXP(-(LN(2)/$D$65+0.04)*(VLOOKUP(($F$16-$F$15)-1,AC$100:AG186,4,FALSE)))*EXP(-(LN(2)/$D$65+0.1)*(VLOOKUP(($F$16-$F$15)-1,AC$100:AG186,5,FALSE)))*EXP(-(LN(2)/$D$65+0.04)*AF186)*EXP(-(LN(2)/$D$65+0.1)*AG186),IF(AD186=3,AJ$100*EXP(-(LN(2)/$D$65+0.04)*(VLOOKUP(($F$16-$F$15)-1,AC$100:AG186,4,FALSE)))*EXP(-(LN(2)/$D$65+0.1)*(VLOOKUP(($F$16-$F$15)-1,AC$100:AG186,5,FALSE)))*EXP(-(LN(2)/$D$65+0.04)*(VLOOKUP(($F$16-$F$15)*2-1,AC$100:AG186,4,FALSE)))*EXP(-(LN(2)/$D$65+0.1)*(VLOOKUP(($F$16-$F$15)*2-1,AC$100:AG186,5,FALSE)))*EXP(-(LN(2)/$D$65+0.04)*AF186)*EXP(-(LN(2)/$D$65+0.1)*AG186),"-"))),"-")</f>
        <v>-</v>
      </c>
      <c r="AK186" s="227">
        <f t="shared" si="137"/>
        <v>86</v>
      </c>
      <c r="AL186" s="226" t="str">
        <f t="shared" si="111"/>
        <v>-</v>
      </c>
      <c r="AM186" s="227" t="str">
        <f t="shared" si="138"/>
        <v>-</v>
      </c>
      <c r="AN186" s="227" t="str">
        <f t="shared" si="139"/>
        <v>-</v>
      </c>
      <c r="AO186" s="227" t="str">
        <f t="shared" si="112"/>
        <v>-</v>
      </c>
      <c r="AP186" s="273">
        <f t="shared" si="140"/>
        <v>0.1</v>
      </c>
      <c r="AQ186" s="271" t="str">
        <f>IFERROR(IF(AL185=1,AQ$100*EXP(-(LN(2)/$D$65+0.04)*AN185)*EXP(-(LN(2)/$D$65+0.1)*AO185),IF(AL185=2,AQ$100*EXP(-(LN(2)/$D$65+0.04)*(VLOOKUP(($F$16-$F$15)-1,AK$99:AO185,4,FALSE)))*EXP(-(LN(2)/$D$65+0.1)*(VLOOKUP(($F$16-$F$15)-1,AK$99:AO185,5,FALSE)))*EXP(-(LN(2)/$D$65+0.04)*AN185)*EXP(-(LN(2)/$D$65+0.1)*AO185),IF(AL185=3,AQ$100*EXP(-(LN(2)/$D$65+0.04)*(VLOOKUP(($F$16-$F$15)-1,AK$99:AO185,4,FALSE)))*EXP(-(LN(2)/$D$65+0.1)*(VLOOKUP(($F$16-$F$15)-1,AK$99:AO185,5,FALSE)))*EXP(-(LN(2)/$D$65+0.04)*(VLOOKUP(($F$16-$F$15)*2-1,AK$99:AO185,4,FALSE)))*EXP(-(LN(2)/$D$65+0.1)*(VLOOKUP(($F$16-$F$15)*2-1,AK$99:AO185,5,FALSE)))*EXP(-(LN(2)/$D$65+0.04)*AN185)*EXP(-(LN(2)/$D$65+0.1)*AO185),"-"))),"-")</f>
        <v>-</v>
      </c>
      <c r="AR186" s="271" t="str">
        <f>IFERROR(IF(AL186=1,AR$100*EXP(-(LN(2)/$D$65+0.04)*AN186)*EXP(-(LN(2)/$D$65+0.1)*AO186),IF(AL186=2,AR$100*EXP(-(LN(2)/$D$65+0.04)*(VLOOKUP(($F$16-$F$15)-1,AK$100:AO186,4,FALSE)))*EXP(-(LN(2)/$D$65+0.1)*(VLOOKUP(($F$16-$F$15)-1,AK$100:AO186,5,FALSE)))*EXP(-(LN(2)/$D$65+0.04)*AN186)*EXP(-(LN(2)/$D$65+0.1)*AO186),IF(AL186=3,AR$100*EXP(-(LN(2)/$D$65+0.04)*(VLOOKUP(($F$16-$F$15)-1,AK$100:AO186,4,FALSE)))*EXP(-(LN(2)/$D$65+0.1)*(VLOOKUP(($F$16-$F$15)-1,AK$100:AO186,5,FALSE)))*EXP(-(LN(2)/$D$65+0.04)*(VLOOKUP(($F$16-$F$15)*2-1,AK$100:AO186,4,FALSE)))*EXP(-(LN(2)/$D$65+0.1)*(VLOOKUP(($F$16-$F$15)*2-1,AK$100:AO186,5,FALSE)))*EXP(-(LN(2)/$D$65+0.04)*AN186)*EXP(-(LN(2)/$D$65+0.1)*AO186),"-"))),"-")</f>
        <v>-</v>
      </c>
      <c r="AS186" s="274">
        <f t="shared" si="113"/>
        <v>0</v>
      </c>
      <c r="AT186" s="274">
        <f t="shared" si="114"/>
        <v>0</v>
      </c>
      <c r="AU186" s="274">
        <f t="shared" si="115"/>
        <v>0</v>
      </c>
      <c r="AV186" s="190" t="str">
        <f>IF($B186&lt;$F$22,SUM($T$100:$T186),"")</f>
        <v/>
      </c>
      <c r="AW186" s="190" t="str">
        <f t="shared" si="116"/>
        <v>-</v>
      </c>
      <c r="AX186" s="190" t="str">
        <f t="shared" si="141"/>
        <v/>
      </c>
      <c r="AY186"/>
      <c r="AZ186" s="190" t="str">
        <f ca="1">IF(ISNUMBER(OFFSET(AV186,-$F$21,0)),SUM(OFFSET($T$100,$F$21,0):$T186),"")</f>
        <v/>
      </c>
      <c r="BA186" s="190" t="str">
        <f t="shared" ca="1" si="117"/>
        <v/>
      </c>
      <c r="BB186" s="190" t="str">
        <f t="shared" ca="1" si="148"/>
        <v/>
      </c>
      <c r="BC186" s="190"/>
      <c r="BD186" s="190" t="str">
        <f ca="1">IFERROR(IF(OR(ISNUMBER(I),ISNUMBER($F$14)),IF(AND($B186&gt;=($F$16-$F$15),$B186&lt;$F$22+($F$16-$F$15)),SUM(OFFSET($T$100,($F$16-$F$15),0):$T186),""),""),"")</f>
        <v/>
      </c>
      <c r="BE186" s="190" t="str">
        <f t="shared" ca="1" si="142"/>
        <v/>
      </c>
      <c r="BF186" s="190" t="str">
        <f t="shared" ca="1" si="143"/>
        <v/>
      </c>
      <c r="BG186"/>
      <c r="BH186" s="190" t="str">
        <f ca="1">IF(ISNUMBER(OFFSET(BD186,-$F$21,0)),SUM(OFFSET($T$100,($F$16-$F$15+$F$21),0):$T186),"")</f>
        <v/>
      </c>
      <c r="BI186" s="190" t="str">
        <f t="shared" ca="1" si="118"/>
        <v/>
      </c>
      <c r="BJ186" s="190" t="str">
        <f t="shared" ca="1" si="144"/>
        <v/>
      </c>
      <c r="BK186" s="190"/>
      <c r="BL186" s="190" t="str">
        <f ca="1">IFERROR(IF(OR(ISNUMBER(I),ISNUMBER($F$14)),IF(AND($B186&gt;=($F$17-$F$15),$B186&lt;$F$22+($F$17-$F$15)),SUM(OFFSET($T$100,($F$17-$F$15),0):$T186),""),""),"")</f>
        <v/>
      </c>
      <c r="BM186" s="190" t="str">
        <f t="shared" ca="1" si="119"/>
        <v/>
      </c>
      <c r="BN186" s="190" t="str">
        <f t="shared" ca="1" si="145"/>
        <v/>
      </c>
      <c r="BO186"/>
      <c r="BP186" s="190" t="str">
        <f ca="1">IF(ISNUMBER(OFFSET(BL186,-$F$21,0)),SUM(OFFSET($T$100,($F$17-$F$15+$F$21),0):$T186),"")</f>
        <v/>
      </c>
      <c r="BQ186" s="190" t="str">
        <f t="shared" ca="1" si="120"/>
        <v/>
      </c>
      <c r="BR186" s="190" t="str">
        <f t="shared" ca="1" si="146"/>
        <v/>
      </c>
      <c r="BS186" s="190"/>
      <c r="BT186"/>
      <c r="BU186"/>
      <c r="BV186"/>
      <c r="BY186" s="99"/>
      <c r="BZ186" s="99"/>
      <c r="CA186" s="280" t="str">
        <f t="shared" si="121"/>
        <v/>
      </c>
      <c r="CB186" s="71" t="str">
        <f t="shared" si="122"/>
        <v>-</v>
      </c>
      <c r="CC186" s="33"/>
      <c r="CD186" s="261" t="str">
        <f t="shared" si="123"/>
        <v/>
      </c>
      <c r="CE186" s="280" t="str">
        <f t="shared" si="124"/>
        <v/>
      </c>
      <c r="CF186" s="71" t="str">
        <f t="shared" ca="1" si="125"/>
        <v/>
      </c>
      <c r="CG186" s="33" t="str">
        <f t="shared" si="126"/>
        <v/>
      </c>
      <c r="CH186" s="261" t="str">
        <f t="shared" ca="1" si="127"/>
        <v/>
      </c>
      <c r="CI186" s="202"/>
      <c r="CJ186" s="99"/>
      <c r="CK186" s="99"/>
      <c r="CL186" s="99"/>
      <c r="CM186" s="99"/>
      <c r="CN186" s="99"/>
      <c r="CO186" s="99"/>
    </row>
    <row r="187" spans="2:93" ht="13.5" customHeight="1" x14ac:dyDescent="0.2">
      <c r="B187" s="262">
        <v>87</v>
      </c>
      <c r="C187" s="237" t="str">
        <f t="shared" si="91"/>
        <v/>
      </c>
      <c r="D187" s="237" t="str">
        <f t="shared" si="147"/>
        <v/>
      </c>
      <c r="E187" s="263" t="str">
        <f t="shared" si="128"/>
        <v/>
      </c>
      <c r="F187" s="264" t="str">
        <f t="shared" si="129"/>
        <v/>
      </c>
      <c r="G187" s="264" t="str">
        <f t="shared" si="130"/>
        <v/>
      </c>
      <c r="H187" s="240" t="str">
        <f t="shared" si="92"/>
        <v/>
      </c>
      <c r="I187" s="265" t="str">
        <f t="shared" si="93"/>
        <v/>
      </c>
      <c r="J187" s="265" t="str">
        <f t="shared" si="94"/>
        <v/>
      </c>
      <c r="K187" s="240" t="str">
        <f t="shared" si="95"/>
        <v/>
      </c>
      <c r="L187" s="265" t="str">
        <f t="shared" si="96"/>
        <v/>
      </c>
      <c r="M187" s="265" t="str">
        <f t="shared" si="97"/>
        <v/>
      </c>
      <c r="N187" s="240" t="str">
        <f t="shared" si="98"/>
        <v>-</v>
      </c>
      <c r="O187" s="265" t="str">
        <f t="shared" si="99"/>
        <v>-</v>
      </c>
      <c r="P187" s="265" t="str">
        <f t="shared" si="100"/>
        <v>-</v>
      </c>
      <c r="Q187" s="266" t="str">
        <f t="shared" si="101"/>
        <v>-</v>
      </c>
      <c r="R187" s="267" t="str">
        <f t="shared" si="102"/>
        <v>-</v>
      </c>
      <c r="S187" s="268" t="str">
        <f t="shared" si="103"/>
        <v>-</v>
      </c>
      <c r="T187" s="269" t="str">
        <f t="shared" si="104"/>
        <v/>
      </c>
      <c r="U187" s="221">
        <f t="shared" si="105"/>
        <v>87</v>
      </c>
      <c r="V187" s="220" t="str">
        <f t="shared" si="131"/>
        <v>-</v>
      </c>
      <c r="W187" s="221" t="str">
        <f t="shared" si="132"/>
        <v>-</v>
      </c>
      <c r="X187" s="221" t="str">
        <f t="shared" si="106"/>
        <v>-</v>
      </c>
      <c r="Y187" s="221" t="str">
        <f t="shared" si="107"/>
        <v>-</v>
      </c>
      <c r="Z187" s="270">
        <f t="shared" si="133"/>
        <v>0.1</v>
      </c>
      <c r="AA187" s="271" t="str">
        <f>IFERROR(IF(V186=1,AA$100*EXP(-(LN(2)/$D$65+0.04)*X186)*EXP(-(LN(2)/$D$65+0.1)*Y186),IF(V186=2,AA$100*EXP(-(LN(2)/$D$65+0.04)*(VLOOKUP(($F$16-$F$15)-1,U$99:Y186,4,FALSE)))*EXP(-(LN(2)/$D$65+0.1)*(VLOOKUP(($F$16-$F$15)-1,U$99:Y186,5,FALSE)))*EXP(-(LN(2)/$D$65+0.04)*X186)*EXP(-(LN(2)/$D$65+0.1)*Y186),IF(V186=3,AA$100*EXP(-(LN(2)/$D$65+0.04)*(VLOOKUP(($F$16-$F$15)-1,U$99:Y186,4,FALSE)))*EXP(-(LN(2)/$D$65+0.1)*(VLOOKUP(($F$16-$F$15)-1,U$99:Y186,5,FALSE)))*EXP(-(LN(2)/$D$65+0.04)*(VLOOKUP(($F$16-$F$15)*2-1,U$99:Y186,4,FALSE)))*EXP(-(LN(2)/$D$65+0.1)*(VLOOKUP(($F$16-$F$15)*2-1,U$99:Y186,5,FALSE)))*EXP(-(LN(2)/$D$65+0.04)*X186)*EXP(-(LN(2)/$D$65+0.1)*Y186),"-"))),"-")</f>
        <v>-</v>
      </c>
      <c r="AB187" s="271" t="str">
        <f>IFERROR(IF(V187=1,AB$100*EXP(-(LN(2)/$D$65+0.04)*X187)*EXP(-(LN(2)/$D$65+0.1)*Y187),IF(V187=2,AB$100*EXP(-(LN(2)/$D$65+0.04)*(VLOOKUP(($F$16-$F$15)-1,U$100:Y187,4,FALSE)))*EXP(-(LN(2)/$D$65+0.1)*(VLOOKUP(($F$16-$F$15)-1,U$100:Y187,5,FALSE)))*EXP(-(LN(2)/$D$65+0.04)*X187)*EXP(-(LN(2)/$D$65+0.1)*Y187),IF(V187=3,AB$100*EXP(-(LN(2)/$D$65+0.04)*(VLOOKUP(($F$16-$F$15)-1,U$100:Y187,4,FALSE)))*EXP(-(LN(2)/$D$65+0.1)*(VLOOKUP(($F$16-$F$15)-1,U$100:Y187,5,FALSE)))*EXP(-(LN(2)/$D$65+0.04)*(VLOOKUP(($F$16-$F$15)*2-1,U$100:Y187,4,FALSE)))*EXP(-(LN(2)/$D$65+0.1)*(VLOOKUP(($F$16-$F$15)*2-1,U$100:Y187,5,FALSE)))*EXP(-(LN(2)/$D$65+0.04)*X187)*EXP(-(LN(2)/$D$65+0.1)*Y187),"-"))),"-")</f>
        <v>-</v>
      </c>
      <c r="AC187" s="224">
        <f t="shared" si="134"/>
        <v>87</v>
      </c>
      <c r="AD187" s="223" t="str">
        <f t="shared" si="108"/>
        <v>-</v>
      </c>
      <c r="AE187" s="224" t="str">
        <f t="shared" si="135"/>
        <v>-</v>
      </c>
      <c r="AF187" s="224" t="str">
        <f t="shared" si="109"/>
        <v>-</v>
      </c>
      <c r="AG187" s="224" t="str">
        <f t="shared" si="110"/>
        <v>-</v>
      </c>
      <c r="AH187" s="272">
        <f t="shared" si="136"/>
        <v>0.1</v>
      </c>
      <c r="AI187" s="271" t="str">
        <f>IFERROR(IF(AD186=1,AI$100*EXP(-(LN(2)/$D$65+0.04)*AF186)*EXP(-(LN(2)/$D$65+0.1)*AG186),IF(AD186=2,AI$100*EXP(-(LN(2)/$D$65+0.04)*(VLOOKUP(($F$16-$F$15)-1,AC$99:AG186,4,FALSE)))*EXP(-(LN(2)/$D$65+0.1)*(VLOOKUP(($F$16-$F$15)-1,AC$99:AG186,5,FALSE)))*EXP(-(LN(2)/$D$65+0.04)*AF186)*EXP(-(LN(2)/$D$65+0.1)*AG186),IF(AD186=3,AI$100*EXP(-(LN(2)/$D$65+0.04)*(VLOOKUP(($F$16-$F$15)-1,AC$99:AG186,4,FALSE)))*EXP(-(LN(2)/$D$65+0.1)*(VLOOKUP(($F$16-$F$15)-1,AC$99:AG186,5,FALSE)))*EXP(-(LN(2)/$D$65+0.04)*(VLOOKUP(($F$16-$F$15)*2-1,AC$99:AG186,4,FALSE)))*EXP(-(LN(2)/$D$65+0.1)*(VLOOKUP(($F$16-$F$15)*2-1,AC$99:AG186,5,FALSE)))*EXP(-(LN(2)/$D$65+0.04)*AF186)*EXP(-(LN(2)/$D$65+0.1)*AG186),"-"))),"-")</f>
        <v>-</v>
      </c>
      <c r="AJ187" s="271" t="str">
        <f>IFERROR(IF(AD187=1,AJ$100*EXP(-(LN(2)/$D$65+0.04)*AF187)*EXP(-(LN(2)/$D$65+0.1)*AG187),IF(AD187=2,AJ$100*EXP(-(LN(2)/$D$65+0.04)*(VLOOKUP(($F$16-$F$15)-1,AC$100:AG187,4,FALSE)))*EXP(-(LN(2)/$D$65+0.1)*(VLOOKUP(($F$16-$F$15)-1,AC$100:AG187,5,FALSE)))*EXP(-(LN(2)/$D$65+0.04)*AF187)*EXP(-(LN(2)/$D$65+0.1)*AG187),IF(AD187=3,AJ$100*EXP(-(LN(2)/$D$65+0.04)*(VLOOKUP(($F$16-$F$15)-1,AC$100:AG187,4,FALSE)))*EXP(-(LN(2)/$D$65+0.1)*(VLOOKUP(($F$16-$F$15)-1,AC$100:AG187,5,FALSE)))*EXP(-(LN(2)/$D$65+0.04)*(VLOOKUP(($F$16-$F$15)*2-1,AC$100:AG187,4,FALSE)))*EXP(-(LN(2)/$D$65+0.1)*(VLOOKUP(($F$16-$F$15)*2-1,AC$100:AG187,5,FALSE)))*EXP(-(LN(2)/$D$65+0.04)*AF187)*EXP(-(LN(2)/$D$65+0.1)*AG187),"-"))),"-")</f>
        <v>-</v>
      </c>
      <c r="AK187" s="227">
        <f t="shared" si="137"/>
        <v>87</v>
      </c>
      <c r="AL187" s="226" t="str">
        <f t="shared" si="111"/>
        <v>-</v>
      </c>
      <c r="AM187" s="227" t="str">
        <f t="shared" si="138"/>
        <v>-</v>
      </c>
      <c r="AN187" s="227" t="str">
        <f t="shared" si="139"/>
        <v>-</v>
      </c>
      <c r="AO187" s="227" t="str">
        <f t="shared" si="112"/>
        <v>-</v>
      </c>
      <c r="AP187" s="273">
        <f t="shared" si="140"/>
        <v>0.1</v>
      </c>
      <c r="AQ187" s="271" t="str">
        <f>IFERROR(IF(AL186=1,AQ$100*EXP(-(LN(2)/$D$65+0.04)*AN186)*EXP(-(LN(2)/$D$65+0.1)*AO186),IF(AL186=2,AQ$100*EXP(-(LN(2)/$D$65+0.04)*(VLOOKUP(($F$16-$F$15)-1,AK$99:AO186,4,FALSE)))*EXP(-(LN(2)/$D$65+0.1)*(VLOOKUP(($F$16-$F$15)-1,AK$99:AO186,5,FALSE)))*EXP(-(LN(2)/$D$65+0.04)*AN186)*EXP(-(LN(2)/$D$65+0.1)*AO186),IF(AL186=3,AQ$100*EXP(-(LN(2)/$D$65+0.04)*(VLOOKUP(($F$16-$F$15)-1,AK$99:AO186,4,FALSE)))*EXP(-(LN(2)/$D$65+0.1)*(VLOOKUP(($F$16-$F$15)-1,AK$99:AO186,5,FALSE)))*EXP(-(LN(2)/$D$65+0.04)*(VLOOKUP(($F$16-$F$15)*2-1,AK$99:AO186,4,FALSE)))*EXP(-(LN(2)/$D$65+0.1)*(VLOOKUP(($F$16-$F$15)*2-1,AK$99:AO186,5,FALSE)))*EXP(-(LN(2)/$D$65+0.04)*AN186)*EXP(-(LN(2)/$D$65+0.1)*AO186),"-"))),"-")</f>
        <v>-</v>
      </c>
      <c r="AR187" s="271" t="str">
        <f>IFERROR(IF(AL187=1,AR$100*EXP(-(LN(2)/$D$65+0.04)*AN187)*EXP(-(LN(2)/$D$65+0.1)*AO187),IF(AL187=2,AR$100*EXP(-(LN(2)/$D$65+0.04)*(VLOOKUP(($F$16-$F$15)-1,AK$100:AO187,4,FALSE)))*EXP(-(LN(2)/$D$65+0.1)*(VLOOKUP(($F$16-$F$15)-1,AK$100:AO187,5,FALSE)))*EXP(-(LN(2)/$D$65+0.04)*AN187)*EXP(-(LN(2)/$D$65+0.1)*AO187),IF(AL187=3,AR$100*EXP(-(LN(2)/$D$65+0.04)*(VLOOKUP(($F$16-$F$15)-1,AK$100:AO187,4,FALSE)))*EXP(-(LN(2)/$D$65+0.1)*(VLOOKUP(($F$16-$F$15)-1,AK$100:AO187,5,FALSE)))*EXP(-(LN(2)/$D$65+0.04)*(VLOOKUP(($F$16-$F$15)*2-1,AK$100:AO187,4,FALSE)))*EXP(-(LN(2)/$D$65+0.1)*(VLOOKUP(($F$16-$F$15)*2-1,AK$100:AO187,5,FALSE)))*EXP(-(LN(2)/$D$65+0.04)*AN187)*EXP(-(LN(2)/$D$65+0.1)*AO187),"-"))),"-")</f>
        <v>-</v>
      </c>
      <c r="AS187" s="274">
        <f t="shared" si="113"/>
        <v>0</v>
      </c>
      <c r="AT187" s="274">
        <f t="shared" si="114"/>
        <v>0</v>
      </c>
      <c r="AU187" s="274">
        <f t="shared" si="115"/>
        <v>0</v>
      </c>
      <c r="AV187" s="190" t="str">
        <f>IF($B187&lt;$F$22,SUM($T$100:$T187),"")</f>
        <v/>
      </c>
      <c r="AW187" s="190" t="str">
        <f t="shared" si="116"/>
        <v>-</v>
      </c>
      <c r="AX187" s="190" t="str">
        <f t="shared" si="141"/>
        <v/>
      </c>
      <c r="AY187"/>
      <c r="AZ187" s="190" t="str">
        <f ca="1">IF(ISNUMBER(OFFSET(AV187,-$F$21,0)),SUM(OFFSET($T$100,$F$21,0):$T187),"")</f>
        <v/>
      </c>
      <c r="BA187" s="190" t="str">
        <f t="shared" ca="1" si="117"/>
        <v/>
      </c>
      <c r="BB187" s="190" t="str">
        <f t="shared" ca="1" si="148"/>
        <v/>
      </c>
      <c r="BC187" s="190"/>
      <c r="BD187" s="190" t="str">
        <f ca="1">IFERROR(IF(OR(ISNUMBER(I),ISNUMBER($F$14)),IF(AND($B187&gt;=($F$16-$F$15),$B187&lt;$F$22+($F$16-$F$15)),SUM(OFFSET($T$100,($F$16-$F$15),0):$T187),""),""),"")</f>
        <v/>
      </c>
      <c r="BE187" s="190" t="str">
        <f t="shared" ca="1" si="142"/>
        <v/>
      </c>
      <c r="BF187" s="190" t="str">
        <f t="shared" ca="1" si="143"/>
        <v/>
      </c>
      <c r="BG187"/>
      <c r="BH187" s="190" t="str">
        <f ca="1">IF(ISNUMBER(OFFSET(BD187,-$F$21,0)),SUM(OFFSET($T$100,($F$16-$F$15+$F$21),0):$T187),"")</f>
        <v/>
      </c>
      <c r="BI187" s="190" t="str">
        <f t="shared" ca="1" si="118"/>
        <v/>
      </c>
      <c r="BJ187" s="190" t="str">
        <f t="shared" ca="1" si="144"/>
        <v/>
      </c>
      <c r="BK187" s="190"/>
      <c r="BL187" s="190" t="str">
        <f ca="1">IFERROR(IF(OR(ISNUMBER(I),ISNUMBER($F$14)),IF(AND($B187&gt;=($F$17-$F$15),$B187&lt;$F$22+($F$17-$F$15)),SUM(OFFSET($T$100,($F$17-$F$15),0):$T187),""),""),"")</f>
        <v/>
      </c>
      <c r="BM187" s="190" t="str">
        <f t="shared" ca="1" si="119"/>
        <v/>
      </c>
      <c r="BN187" s="190" t="str">
        <f t="shared" ca="1" si="145"/>
        <v/>
      </c>
      <c r="BO187"/>
      <c r="BP187" s="190" t="str">
        <f ca="1">IF(ISNUMBER(OFFSET(BL187,-$F$21,0)),SUM(OFFSET($T$100,($F$17-$F$15+$F$21),0):$T187),"")</f>
        <v/>
      </c>
      <c r="BQ187" s="190" t="str">
        <f t="shared" ca="1" si="120"/>
        <v/>
      </c>
      <c r="BR187" s="190" t="str">
        <f t="shared" ca="1" si="146"/>
        <v/>
      </c>
      <c r="BS187" s="190"/>
      <c r="BT187"/>
      <c r="BU187"/>
      <c r="BV187"/>
      <c r="BY187" s="99"/>
      <c r="BZ187" s="99"/>
      <c r="CA187" s="280" t="str">
        <f t="shared" si="121"/>
        <v/>
      </c>
      <c r="CB187" s="71" t="str">
        <f t="shared" si="122"/>
        <v>-</v>
      </c>
      <c r="CC187" s="33"/>
      <c r="CD187" s="261" t="str">
        <f t="shared" si="123"/>
        <v/>
      </c>
      <c r="CE187" s="280" t="str">
        <f t="shared" si="124"/>
        <v/>
      </c>
      <c r="CF187" s="71" t="str">
        <f t="shared" ca="1" si="125"/>
        <v/>
      </c>
      <c r="CG187" s="33" t="str">
        <f t="shared" si="126"/>
        <v/>
      </c>
      <c r="CH187" s="261" t="str">
        <f t="shared" ca="1" si="127"/>
        <v/>
      </c>
      <c r="CI187" s="202"/>
      <c r="CJ187" s="99"/>
      <c r="CK187" s="99"/>
      <c r="CL187" s="99"/>
      <c r="CM187" s="99"/>
      <c r="CN187" s="99"/>
      <c r="CO187" s="99"/>
    </row>
    <row r="188" spans="2:93" ht="13.5" customHeight="1" x14ac:dyDescent="0.2">
      <c r="B188" s="262">
        <v>88</v>
      </c>
      <c r="C188" s="237" t="str">
        <f t="shared" si="91"/>
        <v/>
      </c>
      <c r="D188" s="237" t="str">
        <f t="shared" si="147"/>
        <v/>
      </c>
      <c r="E188" s="263" t="str">
        <f t="shared" si="128"/>
        <v/>
      </c>
      <c r="F188" s="264" t="str">
        <f t="shared" si="129"/>
        <v/>
      </c>
      <c r="G188" s="264" t="str">
        <f t="shared" si="130"/>
        <v/>
      </c>
      <c r="H188" s="240" t="str">
        <f t="shared" si="92"/>
        <v/>
      </c>
      <c r="I188" s="265" t="str">
        <f t="shared" si="93"/>
        <v/>
      </c>
      <c r="J188" s="265" t="str">
        <f t="shared" si="94"/>
        <v/>
      </c>
      <c r="K188" s="240" t="str">
        <f t="shared" si="95"/>
        <v/>
      </c>
      <c r="L188" s="265" t="str">
        <f t="shared" si="96"/>
        <v/>
      </c>
      <c r="M188" s="265" t="str">
        <f t="shared" si="97"/>
        <v/>
      </c>
      <c r="N188" s="240" t="str">
        <f t="shared" si="98"/>
        <v>-</v>
      </c>
      <c r="O188" s="265" t="str">
        <f t="shared" si="99"/>
        <v>-</v>
      </c>
      <c r="P188" s="265" t="str">
        <f t="shared" si="100"/>
        <v>-</v>
      </c>
      <c r="Q188" s="266" t="str">
        <f t="shared" si="101"/>
        <v>-</v>
      </c>
      <c r="R188" s="267" t="str">
        <f t="shared" si="102"/>
        <v>-</v>
      </c>
      <c r="S188" s="268" t="str">
        <f t="shared" si="103"/>
        <v>-</v>
      </c>
      <c r="T188" s="269" t="str">
        <f t="shared" si="104"/>
        <v/>
      </c>
      <c r="U188" s="221">
        <f t="shared" si="105"/>
        <v>88</v>
      </c>
      <c r="V188" s="220" t="str">
        <f t="shared" si="131"/>
        <v>-</v>
      </c>
      <c r="W188" s="221" t="str">
        <f t="shared" si="132"/>
        <v>-</v>
      </c>
      <c r="X188" s="221" t="str">
        <f t="shared" si="106"/>
        <v>-</v>
      </c>
      <c r="Y188" s="221" t="str">
        <f t="shared" si="107"/>
        <v>-</v>
      </c>
      <c r="Z188" s="270">
        <f t="shared" si="133"/>
        <v>0.1</v>
      </c>
      <c r="AA188" s="271" t="str">
        <f>IFERROR(IF(V187=1,AA$100*EXP(-(LN(2)/$D$65+0.04)*X187)*EXP(-(LN(2)/$D$65+0.1)*Y187),IF(V187=2,AA$100*EXP(-(LN(2)/$D$65+0.04)*(VLOOKUP(($F$16-$F$15)-1,U$99:Y187,4,FALSE)))*EXP(-(LN(2)/$D$65+0.1)*(VLOOKUP(($F$16-$F$15)-1,U$99:Y187,5,FALSE)))*EXP(-(LN(2)/$D$65+0.04)*X187)*EXP(-(LN(2)/$D$65+0.1)*Y187),IF(V187=3,AA$100*EXP(-(LN(2)/$D$65+0.04)*(VLOOKUP(($F$16-$F$15)-1,U$99:Y187,4,FALSE)))*EXP(-(LN(2)/$D$65+0.1)*(VLOOKUP(($F$16-$F$15)-1,U$99:Y187,5,FALSE)))*EXP(-(LN(2)/$D$65+0.04)*(VLOOKUP(($F$16-$F$15)*2-1,U$99:Y187,4,FALSE)))*EXP(-(LN(2)/$D$65+0.1)*(VLOOKUP(($F$16-$F$15)*2-1,U$99:Y187,5,FALSE)))*EXP(-(LN(2)/$D$65+0.04)*X187)*EXP(-(LN(2)/$D$65+0.1)*Y187),"-"))),"-")</f>
        <v>-</v>
      </c>
      <c r="AB188" s="271" t="str">
        <f>IFERROR(IF(V188=1,AB$100*EXP(-(LN(2)/$D$65+0.04)*X188)*EXP(-(LN(2)/$D$65+0.1)*Y188),IF(V188=2,AB$100*EXP(-(LN(2)/$D$65+0.04)*(VLOOKUP(($F$16-$F$15)-1,U$100:Y188,4,FALSE)))*EXP(-(LN(2)/$D$65+0.1)*(VLOOKUP(($F$16-$F$15)-1,U$100:Y188,5,FALSE)))*EXP(-(LN(2)/$D$65+0.04)*X188)*EXP(-(LN(2)/$D$65+0.1)*Y188),IF(V188=3,AB$100*EXP(-(LN(2)/$D$65+0.04)*(VLOOKUP(($F$16-$F$15)-1,U$100:Y188,4,FALSE)))*EXP(-(LN(2)/$D$65+0.1)*(VLOOKUP(($F$16-$F$15)-1,U$100:Y188,5,FALSE)))*EXP(-(LN(2)/$D$65+0.04)*(VLOOKUP(($F$16-$F$15)*2-1,U$100:Y188,4,FALSE)))*EXP(-(LN(2)/$D$65+0.1)*(VLOOKUP(($F$16-$F$15)*2-1,U$100:Y188,5,FALSE)))*EXP(-(LN(2)/$D$65+0.04)*X188)*EXP(-(LN(2)/$D$65+0.1)*Y188),"-"))),"-")</f>
        <v>-</v>
      </c>
      <c r="AC188" s="224">
        <f t="shared" si="134"/>
        <v>88</v>
      </c>
      <c r="AD188" s="223" t="str">
        <f t="shared" si="108"/>
        <v>-</v>
      </c>
      <c r="AE188" s="224" t="str">
        <f t="shared" si="135"/>
        <v>-</v>
      </c>
      <c r="AF188" s="224" t="str">
        <f t="shared" si="109"/>
        <v>-</v>
      </c>
      <c r="AG188" s="224" t="str">
        <f t="shared" si="110"/>
        <v>-</v>
      </c>
      <c r="AH188" s="272">
        <f t="shared" si="136"/>
        <v>0.1</v>
      </c>
      <c r="AI188" s="271" t="str">
        <f>IFERROR(IF(AD187=1,AI$100*EXP(-(LN(2)/$D$65+0.04)*AF187)*EXP(-(LN(2)/$D$65+0.1)*AG187),IF(AD187=2,AI$100*EXP(-(LN(2)/$D$65+0.04)*(VLOOKUP(($F$16-$F$15)-1,AC$99:AG187,4,FALSE)))*EXP(-(LN(2)/$D$65+0.1)*(VLOOKUP(($F$16-$F$15)-1,AC$99:AG187,5,FALSE)))*EXP(-(LN(2)/$D$65+0.04)*AF187)*EXP(-(LN(2)/$D$65+0.1)*AG187),IF(AD187=3,AI$100*EXP(-(LN(2)/$D$65+0.04)*(VLOOKUP(($F$16-$F$15)-1,AC$99:AG187,4,FALSE)))*EXP(-(LN(2)/$D$65+0.1)*(VLOOKUP(($F$16-$F$15)-1,AC$99:AG187,5,FALSE)))*EXP(-(LN(2)/$D$65+0.04)*(VLOOKUP(($F$16-$F$15)*2-1,AC$99:AG187,4,FALSE)))*EXP(-(LN(2)/$D$65+0.1)*(VLOOKUP(($F$16-$F$15)*2-1,AC$99:AG187,5,FALSE)))*EXP(-(LN(2)/$D$65+0.04)*AF187)*EXP(-(LN(2)/$D$65+0.1)*AG187),"-"))),"-")</f>
        <v>-</v>
      </c>
      <c r="AJ188" s="271" t="str">
        <f>IFERROR(IF(AD188=1,AJ$100*EXP(-(LN(2)/$D$65+0.04)*AF188)*EXP(-(LN(2)/$D$65+0.1)*AG188),IF(AD188=2,AJ$100*EXP(-(LN(2)/$D$65+0.04)*(VLOOKUP(($F$16-$F$15)-1,AC$100:AG188,4,FALSE)))*EXP(-(LN(2)/$D$65+0.1)*(VLOOKUP(($F$16-$F$15)-1,AC$100:AG188,5,FALSE)))*EXP(-(LN(2)/$D$65+0.04)*AF188)*EXP(-(LN(2)/$D$65+0.1)*AG188),IF(AD188=3,AJ$100*EXP(-(LN(2)/$D$65+0.04)*(VLOOKUP(($F$16-$F$15)-1,AC$100:AG188,4,FALSE)))*EXP(-(LN(2)/$D$65+0.1)*(VLOOKUP(($F$16-$F$15)-1,AC$100:AG188,5,FALSE)))*EXP(-(LN(2)/$D$65+0.04)*(VLOOKUP(($F$16-$F$15)*2-1,AC$100:AG188,4,FALSE)))*EXP(-(LN(2)/$D$65+0.1)*(VLOOKUP(($F$16-$F$15)*2-1,AC$100:AG188,5,FALSE)))*EXP(-(LN(2)/$D$65+0.04)*AF188)*EXP(-(LN(2)/$D$65+0.1)*AG188),"-"))),"-")</f>
        <v>-</v>
      </c>
      <c r="AK188" s="227">
        <f t="shared" si="137"/>
        <v>88</v>
      </c>
      <c r="AL188" s="226" t="str">
        <f t="shared" si="111"/>
        <v>-</v>
      </c>
      <c r="AM188" s="227" t="str">
        <f t="shared" si="138"/>
        <v>-</v>
      </c>
      <c r="AN188" s="227" t="str">
        <f t="shared" si="139"/>
        <v>-</v>
      </c>
      <c r="AO188" s="227" t="str">
        <f t="shared" si="112"/>
        <v>-</v>
      </c>
      <c r="AP188" s="273">
        <f t="shared" si="140"/>
        <v>0.1</v>
      </c>
      <c r="AQ188" s="271" t="str">
        <f>IFERROR(IF(AL187=1,AQ$100*EXP(-(LN(2)/$D$65+0.04)*AN187)*EXP(-(LN(2)/$D$65+0.1)*AO187),IF(AL187=2,AQ$100*EXP(-(LN(2)/$D$65+0.04)*(VLOOKUP(($F$16-$F$15)-1,AK$99:AO187,4,FALSE)))*EXP(-(LN(2)/$D$65+0.1)*(VLOOKUP(($F$16-$F$15)-1,AK$99:AO187,5,FALSE)))*EXP(-(LN(2)/$D$65+0.04)*AN187)*EXP(-(LN(2)/$D$65+0.1)*AO187),IF(AL187=3,AQ$100*EXP(-(LN(2)/$D$65+0.04)*(VLOOKUP(($F$16-$F$15)-1,AK$99:AO187,4,FALSE)))*EXP(-(LN(2)/$D$65+0.1)*(VLOOKUP(($F$16-$F$15)-1,AK$99:AO187,5,FALSE)))*EXP(-(LN(2)/$D$65+0.04)*(VLOOKUP(($F$16-$F$15)*2-1,AK$99:AO187,4,FALSE)))*EXP(-(LN(2)/$D$65+0.1)*(VLOOKUP(($F$16-$F$15)*2-1,AK$99:AO187,5,FALSE)))*EXP(-(LN(2)/$D$65+0.04)*AN187)*EXP(-(LN(2)/$D$65+0.1)*AO187),"-"))),"-")</f>
        <v>-</v>
      </c>
      <c r="AR188" s="271" t="str">
        <f>IFERROR(IF(AL188=1,AR$100*EXP(-(LN(2)/$D$65+0.04)*AN188)*EXP(-(LN(2)/$D$65+0.1)*AO188),IF(AL188=2,AR$100*EXP(-(LN(2)/$D$65+0.04)*(VLOOKUP(($F$16-$F$15)-1,AK$100:AO188,4,FALSE)))*EXP(-(LN(2)/$D$65+0.1)*(VLOOKUP(($F$16-$F$15)-1,AK$100:AO188,5,FALSE)))*EXP(-(LN(2)/$D$65+0.04)*AN188)*EXP(-(LN(2)/$D$65+0.1)*AO188),IF(AL188=3,AR$100*EXP(-(LN(2)/$D$65+0.04)*(VLOOKUP(($F$16-$F$15)-1,AK$100:AO188,4,FALSE)))*EXP(-(LN(2)/$D$65+0.1)*(VLOOKUP(($F$16-$F$15)-1,AK$100:AO188,5,FALSE)))*EXP(-(LN(2)/$D$65+0.04)*(VLOOKUP(($F$16-$F$15)*2-1,AK$100:AO188,4,FALSE)))*EXP(-(LN(2)/$D$65+0.1)*(VLOOKUP(($F$16-$F$15)*2-1,AK$100:AO188,5,FALSE)))*EXP(-(LN(2)/$D$65+0.04)*AN188)*EXP(-(LN(2)/$D$65+0.1)*AO188),"-"))),"-")</f>
        <v>-</v>
      </c>
      <c r="AS188" s="274">
        <f t="shared" si="113"/>
        <v>0</v>
      </c>
      <c r="AT188" s="274">
        <f t="shared" si="114"/>
        <v>0</v>
      </c>
      <c r="AU188" s="274">
        <f t="shared" si="115"/>
        <v>0</v>
      </c>
      <c r="AV188" s="190" t="str">
        <f>IF($B188&lt;$F$22,SUM($T$100:$T188),"")</f>
        <v/>
      </c>
      <c r="AW188" s="190" t="str">
        <f t="shared" si="116"/>
        <v>-</v>
      </c>
      <c r="AX188" s="190" t="str">
        <f t="shared" si="141"/>
        <v/>
      </c>
      <c r="AY188"/>
      <c r="AZ188" s="190" t="str">
        <f ca="1">IF(ISNUMBER(OFFSET(AV188,-$F$21,0)),SUM(OFFSET($T$100,$F$21,0):$T188),"")</f>
        <v/>
      </c>
      <c r="BA188" s="190" t="str">
        <f t="shared" ca="1" si="117"/>
        <v/>
      </c>
      <c r="BB188" s="190" t="str">
        <f t="shared" ca="1" si="148"/>
        <v/>
      </c>
      <c r="BC188" s="190"/>
      <c r="BD188" s="190" t="str">
        <f ca="1">IFERROR(IF(OR(ISNUMBER(I),ISNUMBER($F$14)),IF(AND($B188&gt;=($F$16-$F$15),$B188&lt;$F$22+($F$16-$F$15)),SUM(OFFSET($T$100,($F$16-$F$15),0):$T188),""),""),"")</f>
        <v/>
      </c>
      <c r="BE188" s="190" t="str">
        <f t="shared" ca="1" si="142"/>
        <v/>
      </c>
      <c r="BF188" s="190" t="str">
        <f t="shared" ca="1" si="143"/>
        <v/>
      </c>
      <c r="BG188"/>
      <c r="BH188" s="190" t="str">
        <f ca="1">IF(ISNUMBER(OFFSET(BD188,-$F$21,0)),SUM(OFFSET($T$100,($F$16-$F$15+$F$21),0):$T188),"")</f>
        <v/>
      </c>
      <c r="BI188" s="190" t="str">
        <f t="shared" ca="1" si="118"/>
        <v/>
      </c>
      <c r="BJ188" s="190" t="str">
        <f t="shared" ca="1" si="144"/>
        <v/>
      </c>
      <c r="BK188" s="190"/>
      <c r="BL188" s="190" t="str">
        <f ca="1">IFERROR(IF(OR(ISNUMBER(I),ISNUMBER($F$14)),IF(AND($B188&gt;=($F$17-$F$15),$B188&lt;$F$22+($F$17-$F$15)),SUM(OFFSET($T$100,($F$17-$F$15),0):$T188),""),""),"")</f>
        <v/>
      </c>
      <c r="BM188" s="190" t="str">
        <f t="shared" ca="1" si="119"/>
        <v/>
      </c>
      <c r="BN188" s="190" t="str">
        <f t="shared" ca="1" si="145"/>
        <v/>
      </c>
      <c r="BO188"/>
      <c r="BP188" s="190" t="str">
        <f ca="1">IF(ISNUMBER(OFFSET(BL188,-$F$21,0)),SUM(OFFSET($T$100,($F$17-$F$15+$F$21),0):$T188),"")</f>
        <v/>
      </c>
      <c r="BQ188" s="190" t="str">
        <f t="shared" ca="1" si="120"/>
        <v/>
      </c>
      <c r="BR188" s="190" t="str">
        <f t="shared" ca="1" si="146"/>
        <v/>
      </c>
      <c r="BS188" s="190"/>
      <c r="BT188"/>
      <c r="BU188"/>
      <c r="BV188"/>
      <c r="BY188" s="99"/>
      <c r="BZ188" s="99"/>
      <c r="CA188" s="280" t="str">
        <f t="shared" si="121"/>
        <v/>
      </c>
      <c r="CB188" s="71" t="str">
        <f t="shared" si="122"/>
        <v>-</v>
      </c>
      <c r="CC188" s="33"/>
      <c r="CD188" s="261" t="str">
        <f t="shared" si="123"/>
        <v/>
      </c>
      <c r="CE188" s="280" t="str">
        <f t="shared" si="124"/>
        <v/>
      </c>
      <c r="CF188" s="71" t="str">
        <f t="shared" ca="1" si="125"/>
        <v/>
      </c>
      <c r="CG188" s="33" t="str">
        <f t="shared" si="126"/>
        <v/>
      </c>
      <c r="CH188" s="261" t="str">
        <f t="shared" ca="1" si="127"/>
        <v/>
      </c>
      <c r="CJ188" s="99"/>
      <c r="CK188" s="99"/>
      <c r="CL188" s="99"/>
      <c r="CM188" s="99"/>
      <c r="CN188" s="99"/>
      <c r="CO188" s="99"/>
    </row>
    <row r="189" spans="2:93" ht="13.5" customHeight="1" x14ac:dyDescent="0.2">
      <c r="B189" s="262">
        <v>89</v>
      </c>
      <c r="C189" s="237" t="str">
        <f t="shared" si="91"/>
        <v/>
      </c>
      <c r="D189" s="237" t="str">
        <f t="shared" si="147"/>
        <v/>
      </c>
      <c r="E189" s="263" t="str">
        <f t="shared" si="128"/>
        <v/>
      </c>
      <c r="F189" s="264" t="str">
        <f t="shared" si="129"/>
        <v/>
      </c>
      <c r="G189" s="264" t="str">
        <f t="shared" si="130"/>
        <v/>
      </c>
      <c r="H189" s="240" t="str">
        <f t="shared" si="92"/>
        <v/>
      </c>
      <c r="I189" s="265" t="str">
        <f t="shared" si="93"/>
        <v/>
      </c>
      <c r="J189" s="265" t="str">
        <f t="shared" si="94"/>
        <v/>
      </c>
      <c r="K189" s="240" t="str">
        <f t="shared" si="95"/>
        <v/>
      </c>
      <c r="L189" s="265" t="str">
        <f t="shared" si="96"/>
        <v/>
      </c>
      <c r="M189" s="265" t="str">
        <f t="shared" si="97"/>
        <v/>
      </c>
      <c r="N189" s="240" t="str">
        <f t="shared" si="98"/>
        <v>-</v>
      </c>
      <c r="O189" s="265" t="str">
        <f t="shared" si="99"/>
        <v>-</v>
      </c>
      <c r="P189" s="265" t="str">
        <f t="shared" si="100"/>
        <v>-</v>
      </c>
      <c r="Q189" s="266" t="str">
        <f t="shared" si="101"/>
        <v>-</v>
      </c>
      <c r="R189" s="267" t="str">
        <f t="shared" si="102"/>
        <v>-</v>
      </c>
      <c r="S189" s="268" t="str">
        <f t="shared" si="103"/>
        <v>-</v>
      </c>
      <c r="T189" s="269" t="str">
        <f t="shared" si="104"/>
        <v/>
      </c>
      <c r="U189" s="221">
        <f t="shared" si="105"/>
        <v>89</v>
      </c>
      <c r="V189" s="220" t="str">
        <f t="shared" si="131"/>
        <v>-</v>
      </c>
      <c r="W189" s="221" t="str">
        <f t="shared" si="132"/>
        <v>-</v>
      </c>
      <c r="X189" s="221" t="str">
        <f t="shared" si="106"/>
        <v>-</v>
      </c>
      <c r="Y189" s="221" t="str">
        <f t="shared" si="107"/>
        <v>-</v>
      </c>
      <c r="Z189" s="270">
        <f t="shared" si="133"/>
        <v>0.1</v>
      </c>
      <c r="AA189" s="271" t="str">
        <f>IFERROR(IF(V188=1,AA$100*EXP(-(LN(2)/$D$65+0.04)*X188)*EXP(-(LN(2)/$D$65+0.1)*Y188),IF(V188=2,AA$100*EXP(-(LN(2)/$D$65+0.04)*(VLOOKUP(($F$16-$F$15)-1,U$99:Y188,4,FALSE)))*EXP(-(LN(2)/$D$65+0.1)*(VLOOKUP(($F$16-$F$15)-1,U$99:Y188,5,FALSE)))*EXP(-(LN(2)/$D$65+0.04)*X188)*EXP(-(LN(2)/$D$65+0.1)*Y188),IF(V188=3,AA$100*EXP(-(LN(2)/$D$65+0.04)*(VLOOKUP(($F$16-$F$15)-1,U$99:Y188,4,FALSE)))*EXP(-(LN(2)/$D$65+0.1)*(VLOOKUP(($F$16-$F$15)-1,U$99:Y188,5,FALSE)))*EXP(-(LN(2)/$D$65+0.04)*(VLOOKUP(($F$16-$F$15)*2-1,U$99:Y188,4,FALSE)))*EXP(-(LN(2)/$D$65+0.1)*(VLOOKUP(($F$16-$F$15)*2-1,U$99:Y188,5,FALSE)))*EXP(-(LN(2)/$D$65+0.04)*X188)*EXP(-(LN(2)/$D$65+0.1)*Y188),"-"))),"-")</f>
        <v>-</v>
      </c>
      <c r="AB189" s="271" t="str">
        <f>IFERROR(IF(V189=1,AB$100*EXP(-(LN(2)/$D$65+0.04)*X189)*EXP(-(LN(2)/$D$65+0.1)*Y189),IF(V189=2,AB$100*EXP(-(LN(2)/$D$65+0.04)*(VLOOKUP(($F$16-$F$15)-1,U$100:Y189,4,FALSE)))*EXP(-(LN(2)/$D$65+0.1)*(VLOOKUP(($F$16-$F$15)-1,U$100:Y189,5,FALSE)))*EXP(-(LN(2)/$D$65+0.04)*X189)*EXP(-(LN(2)/$D$65+0.1)*Y189),IF(V189=3,AB$100*EXP(-(LN(2)/$D$65+0.04)*(VLOOKUP(($F$16-$F$15)-1,U$100:Y189,4,FALSE)))*EXP(-(LN(2)/$D$65+0.1)*(VLOOKUP(($F$16-$F$15)-1,U$100:Y189,5,FALSE)))*EXP(-(LN(2)/$D$65+0.04)*(VLOOKUP(($F$16-$F$15)*2-1,U$100:Y189,4,FALSE)))*EXP(-(LN(2)/$D$65+0.1)*(VLOOKUP(($F$16-$F$15)*2-1,U$100:Y189,5,FALSE)))*EXP(-(LN(2)/$D$65+0.04)*X189)*EXP(-(LN(2)/$D$65+0.1)*Y189),"-"))),"-")</f>
        <v>-</v>
      </c>
      <c r="AC189" s="224">
        <f t="shared" si="134"/>
        <v>89</v>
      </c>
      <c r="AD189" s="223" t="str">
        <f t="shared" si="108"/>
        <v>-</v>
      </c>
      <c r="AE189" s="224" t="str">
        <f t="shared" si="135"/>
        <v>-</v>
      </c>
      <c r="AF189" s="224" t="str">
        <f t="shared" si="109"/>
        <v>-</v>
      </c>
      <c r="AG189" s="224" t="str">
        <f t="shared" si="110"/>
        <v>-</v>
      </c>
      <c r="AH189" s="272">
        <f t="shared" si="136"/>
        <v>0.1</v>
      </c>
      <c r="AI189" s="271" t="str">
        <f>IFERROR(IF(AD188=1,AI$100*EXP(-(LN(2)/$D$65+0.04)*AF188)*EXP(-(LN(2)/$D$65+0.1)*AG188),IF(AD188=2,AI$100*EXP(-(LN(2)/$D$65+0.04)*(VLOOKUP(($F$16-$F$15)-1,AC$99:AG188,4,FALSE)))*EXP(-(LN(2)/$D$65+0.1)*(VLOOKUP(($F$16-$F$15)-1,AC$99:AG188,5,FALSE)))*EXP(-(LN(2)/$D$65+0.04)*AF188)*EXP(-(LN(2)/$D$65+0.1)*AG188),IF(AD188=3,AI$100*EXP(-(LN(2)/$D$65+0.04)*(VLOOKUP(($F$16-$F$15)-1,AC$99:AG188,4,FALSE)))*EXP(-(LN(2)/$D$65+0.1)*(VLOOKUP(($F$16-$F$15)-1,AC$99:AG188,5,FALSE)))*EXP(-(LN(2)/$D$65+0.04)*(VLOOKUP(($F$16-$F$15)*2-1,AC$99:AG188,4,FALSE)))*EXP(-(LN(2)/$D$65+0.1)*(VLOOKUP(($F$16-$F$15)*2-1,AC$99:AG188,5,FALSE)))*EXP(-(LN(2)/$D$65+0.04)*AF188)*EXP(-(LN(2)/$D$65+0.1)*AG188),"-"))),"-")</f>
        <v>-</v>
      </c>
      <c r="AJ189" s="271" t="str">
        <f>IFERROR(IF(AD189=1,AJ$100*EXP(-(LN(2)/$D$65+0.04)*AF189)*EXP(-(LN(2)/$D$65+0.1)*AG189),IF(AD189=2,AJ$100*EXP(-(LN(2)/$D$65+0.04)*(VLOOKUP(($F$16-$F$15)-1,AC$100:AG189,4,FALSE)))*EXP(-(LN(2)/$D$65+0.1)*(VLOOKUP(($F$16-$F$15)-1,AC$100:AG189,5,FALSE)))*EXP(-(LN(2)/$D$65+0.04)*AF189)*EXP(-(LN(2)/$D$65+0.1)*AG189),IF(AD189=3,AJ$100*EXP(-(LN(2)/$D$65+0.04)*(VLOOKUP(($F$16-$F$15)-1,AC$100:AG189,4,FALSE)))*EXP(-(LN(2)/$D$65+0.1)*(VLOOKUP(($F$16-$F$15)-1,AC$100:AG189,5,FALSE)))*EXP(-(LN(2)/$D$65+0.04)*(VLOOKUP(($F$16-$F$15)*2-1,AC$100:AG189,4,FALSE)))*EXP(-(LN(2)/$D$65+0.1)*(VLOOKUP(($F$16-$F$15)*2-1,AC$100:AG189,5,FALSE)))*EXP(-(LN(2)/$D$65+0.04)*AF189)*EXP(-(LN(2)/$D$65+0.1)*AG189),"-"))),"-")</f>
        <v>-</v>
      </c>
      <c r="AK189" s="227">
        <f t="shared" si="137"/>
        <v>89</v>
      </c>
      <c r="AL189" s="226" t="str">
        <f t="shared" si="111"/>
        <v>-</v>
      </c>
      <c r="AM189" s="227" t="str">
        <f t="shared" si="138"/>
        <v>-</v>
      </c>
      <c r="AN189" s="227" t="str">
        <f t="shared" si="139"/>
        <v>-</v>
      </c>
      <c r="AO189" s="227" t="str">
        <f t="shared" si="112"/>
        <v>-</v>
      </c>
      <c r="AP189" s="273">
        <f t="shared" si="140"/>
        <v>0.1</v>
      </c>
      <c r="AQ189" s="271" t="str">
        <f>IFERROR(IF(AL188=1,AQ$100*EXP(-(LN(2)/$D$65+0.04)*AN188)*EXP(-(LN(2)/$D$65+0.1)*AO188),IF(AL188=2,AQ$100*EXP(-(LN(2)/$D$65+0.04)*(VLOOKUP(($F$16-$F$15)-1,AK$99:AO188,4,FALSE)))*EXP(-(LN(2)/$D$65+0.1)*(VLOOKUP(($F$16-$F$15)-1,AK$99:AO188,5,FALSE)))*EXP(-(LN(2)/$D$65+0.04)*AN188)*EXP(-(LN(2)/$D$65+0.1)*AO188),IF(AL188=3,AQ$100*EXP(-(LN(2)/$D$65+0.04)*(VLOOKUP(($F$16-$F$15)-1,AK$99:AO188,4,FALSE)))*EXP(-(LN(2)/$D$65+0.1)*(VLOOKUP(($F$16-$F$15)-1,AK$99:AO188,5,FALSE)))*EXP(-(LN(2)/$D$65+0.04)*(VLOOKUP(($F$16-$F$15)*2-1,AK$99:AO188,4,FALSE)))*EXP(-(LN(2)/$D$65+0.1)*(VLOOKUP(($F$16-$F$15)*2-1,AK$99:AO188,5,FALSE)))*EXP(-(LN(2)/$D$65+0.04)*AN188)*EXP(-(LN(2)/$D$65+0.1)*AO188),"-"))),"-")</f>
        <v>-</v>
      </c>
      <c r="AR189" s="271" t="str">
        <f>IFERROR(IF(AL189=1,AR$100*EXP(-(LN(2)/$D$65+0.04)*AN189)*EXP(-(LN(2)/$D$65+0.1)*AO189),IF(AL189=2,AR$100*EXP(-(LN(2)/$D$65+0.04)*(VLOOKUP(($F$16-$F$15)-1,AK$100:AO189,4,FALSE)))*EXP(-(LN(2)/$D$65+0.1)*(VLOOKUP(($F$16-$F$15)-1,AK$100:AO189,5,FALSE)))*EXP(-(LN(2)/$D$65+0.04)*AN189)*EXP(-(LN(2)/$D$65+0.1)*AO189),IF(AL189=3,AR$100*EXP(-(LN(2)/$D$65+0.04)*(VLOOKUP(($F$16-$F$15)-1,AK$100:AO189,4,FALSE)))*EXP(-(LN(2)/$D$65+0.1)*(VLOOKUP(($F$16-$F$15)-1,AK$100:AO189,5,FALSE)))*EXP(-(LN(2)/$D$65+0.04)*(VLOOKUP(($F$16-$F$15)*2-1,AK$100:AO189,4,FALSE)))*EXP(-(LN(2)/$D$65+0.1)*(VLOOKUP(($F$16-$F$15)*2-1,AK$100:AO189,5,FALSE)))*EXP(-(LN(2)/$D$65+0.04)*AN189)*EXP(-(LN(2)/$D$65+0.1)*AO189),"-"))),"-")</f>
        <v>-</v>
      </c>
      <c r="AS189" s="274">
        <f t="shared" si="113"/>
        <v>0</v>
      </c>
      <c r="AT189" s="274">
        <f t="shared" si="114"/>
        <v>0</v>
      </c>
      <c r="AU189" s="274">
        <f t="shared" si="115"/>
        <v>0</v>
      </c>
      <c r="AV189" s="190" t="str">
        <f>IF($B189&lt;$F$22,SUM($T$100:$T189),"")</f>
        <v/>
      </c>
      <c r="AW189" s="190" t="str">
        <f t="shared" si="116"/>
        <v>-</v>
      </c>
      <c r="AX189" s="190" t="str">
        <f t="shared" si="141"/>
        <v/>
      </c>
      <c r="AY189"/>
      <c r="AZ189" s="190" t="str">
        <f ca="1">IF(ISNUMBER(OFFSET(AV189,-$F$21,0)),SUM(OFFSET($T$100,$F$21,0):$T189),"")</f>
        <v/>
      </c>
      <c r="BA189" s="190" t="str">
        <f t="shared" ca="1" si="117"/>
        <v/>
      </c>
      <c r="BB189" s="190" t="str">
        <f t="shared" ca="1" si="148"/>
        <v/>
      </c>
      <c r="BC189" s="190"/>
      <c r="BD189" s="190" t="str">
        <f ca="1">IFERROR(IF(OR(ISNUMBER(I),ISNUMBER($F$14)),IF(AND($B189&gt;=($F$16-$F$15),$B189&lt;$F$22+($F$16-$F$15)),SUM(OFFSET($T$100,($F$16-$F$15),0):$T189),""),""),"")</f>
        <v/>
      </c>
      <c r="BE189" s="190" t="str">
        <f t="shared" ca="1" si="142"/>
        <v/>
      </c>
      <c r="BF189" s="190" t="str">
        <f t="shared" ca="1" si="143"/>
        <v/>
      </c>
      <c r="BG189"/>
      <c r="BH189" s="190" t="str">
        <f ca="1">IF(ISNUMBER(OFFSET(BD189,-$F$21,0)),SUM(OFFSET($T$100,($F$16-$F$15+$F$21),0):$T189),"")</f>
        <v/>
      </c>
      <c r="BI189" s="190" t="str">
        <f t="shared" ca="1" si="118"/>
        <v/>
      </c>
      <c r="BJ189" s="190" t="str">
        <f t="shared" ca="1" si="144"/>
        <v/>
      </c>
      <c r="BK189" s="190"/>
      <c r="BL189" s="190" t="str">
        <f ca="1">IFERROR(IF(OR(ISNUMBER(I),ISNUMBER($F$14)),IF(AND($B189&gt;=($F$17-$F$15),$B189&lt;$F$22+($F$17-$F$15)),SUM(OFFSET($T$100,($F$17-$F$15),0):$T189),""),""),"")</f>
        <v/>
      </c>
      <c r="BM189" s="190" t="str">
        <f t="shared" ca="1" si="119"/>
        <v/>
      </c>
      <c r="BN189" s="190" t="str">
        <f t="shared" ca="1" si="145"/>
        <v/>
      </c>
      <c r="BO189"/>
      <c r="BP189" s="190" t="str">
        <f ca="1">IF(ISNUMBER(OFFSET(BL189,-$F$21,0)),SUM(OFFSET($T$100,($F$17-$F$15+$F$21),0):$T189),"")</f>
        <v/>
      </c>
      <c r="BQ189" s="190" t="str">
        <f t="shared" ca="1" si="120"/>
        <v/>
      </c>
      <c r="BR189" s="190" t="str">
        <f t="shared" ca="1" si="146"/>
        <v/>
      </c>
      <c r="BS189" s="190"/>
      <c r="BT189"/>
      <c r="BU189"/>
      <c r="BV189"/>
      <c r="BY189" s="99"/>
      <c r="BZ189" s="99"/>
      <c r="CA189" s="280" t="str">
        <f t="shared" si="121"/>
        <v/>
      </c>
      <c r="CB189" s="71" t="str">
        <f t="shared" si="122"/>
        <v>-</v>
      </c>
      <c r="CC189" s="33"/>
      <c r="CD189" s="261" t="str">
        <f t="shared" si="123"/>
        <v/>
      </c>
      <c r="CE189" s="280" t="str">
        <f t="shared" si="124"/>
        <v/>
      </c>
      <c r="CF189" s="71" t="str">
        <f t="shared" ca="1" si="125"/>
        <v/>
      </c>
      <c r="CG189" s="33" t="str">
        <f t="shared" si="126"/>
        <v/>
      </c>
      <c r="CH189" s="261" t="str">
        <f t="shared" ca="1" si="127"/>
        <v/>
      </c>
    </row>
    <row r="190" spans="2:93" ht="13.5" customHeight="1" x14ac:dyDescent="0.2">
      <c r="B190" s="262">
        <v>90</v>
      </c>
      <c r="C190" s="237" t="str">
        <f t="shared" si="91"/>
        <v/>
      </c>
      <c r="D190" s="237" t="str">
        <f t="shared" si="147"/>
        <v/>
      </c>
      <c r="E190" s="263" t="str">
        <f t="shared" si="128"/>
        <v/>
      </c>
      <c r="F190" s="264" t="str">
        <f t="shared" si="129"/>
        <v/>
      </c>
      <c r="G190" s="264" t="str">
        <f t="shared" si="130"/>
        <v/>
      </c>
      <c r="H190" s="240" t="str">
        <f t="shared" si="92"/>
        <v/>
      </c>
      <c r="I190" s="265" t="str">
        <f t="shared" si="93"/>
        <v/>
      </c>
      <c r="J190" s="265" t="str">
        <f t="shared" si="94"/>
        <v/>
      </c>
      <c r="K190" s="240" t="str">
        <f t="shared" si="95"/>
        <v/>
      </c>
      <c r="L190" s="265" t="str">
        <f t="shared" si="96"/>
        <v/>
      </c>
      <c r="M190" s="265" t="str">
        <f t="shared" si="97"/>
        <v/>
      </c>
      <c r="N190" s="240" t="str">
        <f t="shared" si="98"/>
        <v>-</v>
      </c>
      <c r="O190" s="265" t="str">
        <f t="shared" si="99"/>
        <v>-</v>
      </c>
      <c r="P190" s="265" t="str">
        <f t="shared" si="100"/>
        <v>-</v>
      </c>
      <c r="Q190" s="266" t="str">
        <f t="shared" si="101"/>
        <v>-</v>
      </c>
      <c r="R190" s="267" t="str">
        <f t="shared" si="102"/>
        <v>-</v>
      </c>
      <c r="S190" s="268" t="str">
        <f t="shared" si="103"/>
        <v>-</v>
      </c>
      <c r="T190" s="269" t="str">
        <f t="shared" si="104"/>
        <v/>
      </c>
      <c r="U190" s="221">
        <f t="shared" si="105"/>
        <v>90</v>
      </c>
      <c r="V190" s="220" t="str">
        <f t="shared" si="131"/>
        <v>-</v>
      </c>
      <c r="W190" s="221" t="str">
        <f t="shared" si="132"/>
        <v>-</v>
      </c>
      <c r="X190" s="221" t="str">
        <f t="shared" si="106"/>
        <v>-</v>
      </c>
      <c r="Y190" s="221" t="str">
        <f t="shared" si="107"/>
        <v>-</v>
      </c>
      <c r="Z190" s="270">
        <f t="shared" si="133"/>
        <v>0.1</v>
      </c>
      <c r="AA190" s="271" t="str">
        <f>IFERROR(IF(V189=1,AA$100*EXP(-(LN(2)/$D$65+0.04)*X189)*EXP(-(LN(2)/$D$65+0.1)*Y189),IF(V189=2,AA$100*EXP(-(LN(2)/$D$65+0.04)*(VLOOKUP(($F$16-$F$15)-1,U$99:Y189,4,FALSE)))*EXP(-(LN(2)/$D$65+0.1)*(VLOOKUP(($F$16-$F$15)-1,U$99:Y189,5,FALSE)))*EXP(-(LN(2)/$D$65+0.04)*X189)*EXP(-(LN(2)/$D$65+0.1)*Y189),IF(V189=3,AA$100*EXP(-(LN(2)/$D$65+0.04)*(VLOOKUP(($F$16-$F$15)-1,U$99:Y189,4,FALSE)))*EXP(-(LN(2)/$D$65+0.1)*(VLOOKUP(($F$16-$F$15)-1,U$99:Y189,5,FALSE)))*EXP(-(LN(2)/$D$65+0.04)*(VLOOKUP(($F$16-$F$15)*2-1,U$99:Y189,4,FALSE)))*EXP(-(LN(2)/$D$65+0.1)*(VLOOKUP(($F$16-$F$15)*2-1,U$99:Y189,5,FALSE)))*EXP(-(LN(2)/$D$65+0.04)*X189)*EXP(-(LN(2)/$D$65+0.1)*Y189),"-"))),"-")</f>
        <v>-</v>
      </c>
      <c r="AB190" s="271" t="str">
        <f>IFERROR(IF(V190=1,AB$100*EXP(-(LN(2)/$D$65+0.04)*X190)*EXP(-(LN(2)/$D$65+0.1)*Y190),IF(V190=2,AB$100*EXP(-(LN(2)/$D$65+0.04)*(VLOOKUP(($F$16-$F$15)-1,U$100:Y190,4,FALSE)))*EXP(-(LN(2)/$D$65+0.1)*(VLOOKUP(($F$16-$F$15)-1,U$100:Y190,5,FALSE)))*EXP(-(LN(2)/$D$65+0.04)*X190)*EXP(-(LN(2)/$D$65+0.1)*Y190),IF(V190=3,AB$100*EXP(-(LN(2)/$D$65+0.04)*(VLOOKUP(($F$16-$F$15)-1,U$100:Y190,4,FALSE)))*EXP(-(LN(2)/$D$65+0.1)*(VLOOKUP(($F$16-$F$15)-1,U$100:Y190,5,FALSE)))*EXP(-(LN(2)/$D$65+0.04)*(VLOOKUP(($F$16-$F$15)*2-1,U$100:Y190,4,FALSE)))*EXP(-(LN(2)/$D$65+0.1)*(VLOOKUP(($F$16-$F$15)*2-1,U$100:Y190,5,FALSE)))*EXP(-(LN(2)/$D$65+0.04)*X190)*EXP(-(LN(2)/$D$65+0.1)*Y190),"-"))),"-")</f>
        <v>-</v>
      </c>
      <c r="AC190" s="224">
        <f t="shared" si="134"/>
        <v>90</v>
      </c>
      <c r="AD190" s="223" t="str">
        <f t="shared" si="108"/>
        <v>-</v>
      </c>
      <c r="AE190" s="224" t="str">
        <f t="shared" si="135"/>
        <v>-</v>
      </c>
      <c r="AF190" s="224" t="str">
        <f t="shared" si="109"/>
        <v>-</v>
      </c>
      <c r="AG190" s="224" t="str">
        <f t="shared" si="110"/>
        <v>-</v>
      </c>
      <c r="AH190" s="272">
        <f t="shared" si="136"/>
        <v>0.1</v>
      </c>
      <c r="AI190" s="271" t="str">
        <f>IFERROR(IF(AD189=1,AI$100*EXP(-(LN(2)/$D$65+0.04)*AF189)*EXP(-(LN(2)/$D$65+0.1)*AG189),IF(AD189=2,AI$100*EXP(-(LN(2)/$D$65+0.04)*(VLOOKUP(($F$16-$F$15)-1,AC$99:AG189,4,FALSE)))*EXP(-(LN(2)/$D$65+0.1)*(VLOOKUP(($F$16-$F$15)-1,AC$99:AG189,5,FALSE)))*EXP(-(LN(2)/$D$65+0.04)*AF189)*EXP(-(LN(2)/$D$65+0.1)*AG189),IF(AD189=3,AI$100*EXP(-(LN(2)/$D$65+0.04)*(VLOOKUP(($F$16-$F$15)-1,AC$99:AG189,4,FALSE)))*EXP(-(LN(2)/$D$65+0.1)*(VLOOKUP(($F$16-$F$15)-1,AC$99:AG189,5,FALSE)))*EXP(-(LN(2)/$D$65+0.04)*(VLOOKUP(($F$16-$F$15)*2-1,AC$99:AG189,4,FALSE)))*EXP(-(LN(2)/$D$65+0.1)*(VLOOKUP(($F$16-$F$15)*2-1,AC$99:AG189,5,FALSE)))*EXP(-(LN(2)/$D$65+0.04)*AF189)*EXP(-(LN(2)/$D$65+0.1)*AG189),"-"))),"-")</f>
        <v>-</v>
      </c>
      <c r="AJ190" s="271" t="str">
        <f>IFERROR(IF(AD190=1,AJ$100*EXP(-(LN(2)/$D$65+0.04)*AF190)*EXP(-(LN(2)/$D$65+0.1)*AG190),IF(AD190=2,AJ$100*EXP(-(LN(2)/$D$65+0.04)*(VLOOKUP(($F$16-$F$15)-1,AC$100:AG190,4,FALSE)))*EXP(-(LN(2)/$D$65+0.1)*(VLOOKUP(($F$16-$F$15)-1,AC$100:AG190,5,FALSE)))*EXP(-(LN(2)/$D$65+0.04)*AF190)*EXP(-(LN(2)/$D$65+0.1)*AG190),IF(AD190=3,AJ$100*EXP(-(LN(2)/$D$65+0.04)*(VLOOKUP(($F$16-$F$15)-1,AC$100:AG190,4,FALSE)))*EXP(-(LN(2)/$D$65+0.1)*(VLOOKUP(($F$16-$F$15)-1,AC$100:AG190,5,FALSE)))*EXP(-(LN(2)/$D$65+0.04)*(VLOOKUP(($F$16-$F$15)*2-1,AC$100:AG190,4,FALSE)))*EXP(-(LN(2)/$D$65+0.1)*(VLOOKUP(($F$16-$F$15)*2-1,AC$100:AG190,5,FALSE)))*EXP(-(LN(2)/$D$65+0.04)*AF190)*EXP(-(LN(2)/$D$65+0.1)*AG190),"-"))),"-")</f>
        <v>-</v>
      </c>
      <c r="AK190" s="227">
        <f t="shared" si="137"/>
        <v>90</v>
      </c>
      <c r="AL190" s="226" t="str">
        <f t="shared" si="111"/>
        <v>-</v>
      </c>
      <c r="AM190" s="227" t="str">
        <f t="shared" si="138"/>
        <v>-</v>
      </c>
      <c r="AN190" s="227" t="str">
        <f t="shared" si="139"/>
        <v>-</v>
      </c>
      <c r="AO190" s="227" t="str">
        <f t="shared" si="112"/>
        <v>-</v>
      </c>
      <c r="AP190" s="273">
        <f t="shared" si="140"/>
        <v>0.1</v>
      </c>
      <c r="AQ190" s="271" t="str">
        <f>IFERROR(IF(AL189=1,AQ$100*EXP(-(LN(2)/$D$65+0.04)*AN189)*EXP(-(LN(2)/$D$65+0.1)*AO189),IF(AL189=2,AQ$100*EXP(-(LN(2)/$D$65+0.04)*(VLOOKUP(($F$16-$F$15)-1,AK$99:AO189,4,FALSE)))*EXP(-(LN(2)/$D$65+0.1)*(VLOOKUP(($F$16-$F$15)-1,AK$99:AO189,5,FALSE)))*EXP(-(LN(2)/$D$65+0.04)*AN189)*EXP(-(LN(2)/$D$65+0.1)*AO189),IF(AL189=3,AQ$100*EXP(-(LN(2)/$D$65+0.04)*(VLOOKUP(($F$16-$F$15)-1,AK$99:AO189,4,FALSE)))*EXP(-(LN(2)/$D$65+0.1)*(VLOOKUP(($F$16-$F$15)-1,AK$99:AO189,5,FALSE)))*EXP(-(LN(2)/$D$65+0.04)*(VLOOKUP(($F$16-$F$15)*2-1,AK$99:AO189,4,FALSE)))*EXP(-(LN(2)/$D$65+0.1)*(VLOOKUP(($F$16-$F$15)*2-1,AK$99:AO189,5,FALSE)))*EXP(-(LN(2)/$D$65+0.04)*AN189)*EXP(-(LN(2)/$D$65+0.1)*AO189),"-"))),"-")</f>
        <v>-</v>
      </c>
      <c r="AR190" s="271" t="str">
        <f>IFERROR(IF(AL190=1,AR$100*EXP(-(LN(2)/$D$65+0.04)*AN190)*EXP(-(LN(2)/$D$65+0.1)*AO190),IF(AL190=2,AR$100*EXP(-(LN(2)/$D$65+0.04)*(VLOOKUP(($F$16-$F$15)-1,AK$100:AO190,4,FALSE)))*EXP(-(LN(2)/$D$65+0.1)*(VLOOKUP(($F$16-$F$15)-1,AK$100:AO190,5,FALSE)))*EXP(-(LN(2)/$D$65+0.04)*AN190)*EXP(-(LN(2)/$D$65+0.1)*AO190),IF(AL190=3,AR$100*EXP(-(LN(2)/$D$65+0.04)*(VLOOKUP(($F$16-$F$15)-1,AK$100:AO190,4,FALSE)))*EXP(-(LN(2)/$D$65+0.1)*(VLOOKUP(($F$16-$F$15)-1,AK$100:AO190,5,FALSE)))*EXP(-(LN(2)/$D$65+0.04)*(VLOOKUP(($F$16-$F$15)*2-1,AK$100:AO190,4,FALSE)))*EXP(-(LN(2)/$D$65+0.1)*(VLOOKUP(($F$16-$F$15)*2-1,AK$100:AO190,5,FALSE)))*EXP(-(LN(2)/$D$65+0.04)*AN190)*EXP(-(LN(2)/$D$65+0.1)*AO190),"-"))),"-")</f>
        <v>-</v>
      </c>
      <c r="AS190" s="274">
        <f t="shared" si="113"/>
        <v>0</v>
      </c>
      <c r="AT190" s="274">
        <f t="shared" si="114"/>
        <v>0</v>
      </c>
      <c r="AU190" s="274">
        <f t="shared" si="115"/>
        <v>0</v>
      </c>
      <c r="AV190" s="190" t="str">
        <f>IF($B190&lt;$F$22,SUM($T$100:$T190),"")</f>
        <v/>
      </c>
      <c r="AW190" s="190" t="str">
        <f t="shared" si="116"/>
        <v>-</v>
      </c>
      <c r="AX190" s="190" t="str">
        <f t="shared" si="141"/>
        <v/>
      </c>
      <c r="AY190"/>
      <c r="AZ190" s="190" t="str">
        <f ca="1">IF(ISNUMBER(OFFSET(AV190,-$F$21,0)),SUM(OFFSET($T$100,$F$21,0):$T190),"")</f>
        <v/>
      </c>
      <c r="BA190" s="190" t="str">
        <f t="shared" ca="1" si="117"/>
        <v/>
      </c>
      <c r="BB190" s="190" t="str">
        <f t="shared" ca="1" si="148"/>
        <v/>
      </c>
      <c r="BC190" s="190"/>
      <c r="BD190" s="190" t="str">
        <f ca="1">IFERROR(IF(OR(ISNUMBER(I),ISNUMBER($F$14)),IF(AND($B190&gt;=($F$16-$F$15),$B190&lt;$F$22+($F$16-$F$15)),SUM(OFFSET($T$100,($F$16-$F$15),0):$T190),""),""),"")</f>
        <v/>
      </c>
      <c r="BE190" s="190" t="str">
        <f t="shared" ca="1" si="142"/>
        <v/>
      </c>
      <c r="BF190" s="190" t="str">
        <f t="shared" ca="1" si="143"/>
        <v/>
      </c>
      <c r="BG190"/>
      <c r="BH190" s="190" t="str">
        <f ca="1">IF(ISNUMBER(OFFSET(BD190,-$F$21,0)),SUM(OFFSET($T$100,($F$16-$F$15+$F$21),0):$T190),"")</f>
        <v/>
      </c>
      <c r="BI190" s="190" t="str">
        <f t="shared" ca="1" si="118"/>
        <v/>
      </c>
      <c r="BJ190" s="190" t="str">
        <f t="shared" ca="1" si="144"/>
        <v/>
      </c>
      <c r="BK190" s="190"/>
      <c r="BL190" s="190" t="str">
        <f ca="1">IFERROR(IF(OR(ISNUMBER(I),ISNUMBER($F$14)),IF(AND($B190&gt;=($F$17-$F$15),$B190&lt;$F$22+($F$17-$F$15)),SUM(OFFSET($T$100,($F$17-$F$15),0):$T190),""),""),"")</f>
        <v/>
      </c>
      <c r="BM190" s="190" t="str">
        <f t="shared" ca="1" si="119"/>
        <v/>
      </c>
      <c r="BN190" s="190" t="str">
        <f t="shared" ca="1" si="145"/>
        <v/>
      </c>
      <c r="BO190"/>
      <c r="BP190" s="190" t="str">
        <f ca="1">IF(ISNUMBER(OFFSET(BL190,-$F$21,0)),SUM(OFFSET($T$100,($F$17-$F$15+$F$21),0):$T190),"")</f>
        <v/>
      </c>
      <c r="BQ190" s="190" t="str">
        <f t="shared" ca="1" si="120"/>
        <v/>
      </c>
      <c r="BR190" s="190" t="str">
        <f t="shared" ca="1" si="146"/>
        <v/>
      </c>
      <c r="BS190" s="190"/>
      <c r="BT190"/>
      <c r="BU190"/>
      <c r="BV190"/>
      <c r="BY190" s="99"/>
      <c r="BZ190" s="99"/>
      <c r="CA190" s="280" t="str">
        <f t="shared" si="121"/>
        <v/>
      </c>
      <c r="CB190" s="71" t="str">
        <f t="shared" si="122"/>
        <v>-</v>
      </c>
      <c r="CC190" s="33"/>
      <c r="CD190" s="261" t="str">
        <f t="shared" si="123"/>
        <v/>
      </c>
      <c r="CE190" s="280" t="str">
        <f t="shared" si="124"/>
        <v/>
      </c>
      <c r="CF190" s="71" t="str">
        <f t="shared" ca="1" si="125"/>
        <v/>
      </c>
      <c r="CG190" s="33" t="str">
        <f t="shared" si="126"/>
        <v/>
      </c>
      <c r="CH190" s="261" t="str">
        <f t="shared" ca="1" si="127"/>
        <v/>
      </c>
    </row>
    <row r="191" spans="2:93" ht="13.5" customHeight="1" x14ac:dyDescent="0.2">
      <c r="B191" s="262">
        <v>91</v>
      </c>
      <c r="C191" s="237" t="str">
        <f t="shared" si="91"/>
        <v/>
      </c>
      <c r="D191" s="237" t="str">
        <f t="shared" si="147"/>
        <v/>
      </c>
      <c r="E191" s="263" t="str">
        <f t="shared" si="128"/>
        <v/>
      </c>
      <c r="F191" s="264" t="str">
        <f t="shared" si="129"/>
        <v/>
      </c>
      <c r="G191" s="264" t="str">
        <f t="shared" si="130"/>
        <v/>
      </c>
      <c r="H191" s="240" t="str">
        <f t="shared" si="92"/>
        <v/>
      </c>
      <c r="I191" s="265" t="str">
        <f t="shared" si="93"/>
        <v/>
      </c>
      <c r="J191" s="265" t="str">
        <f t="shared" si="94"/>
        <v/>
      </c>
      <c r="K191" s="240" t="str">
        <f t="shared" si="95"/>
        <v/>
      </c>
      <c r="L191" s="265" t="str">
        <f t="shared" si="96"/>
        <v/>
      </c>
      <c r="M191" s="265" t="str">
        <f t="shared" si="97"/>
        <v/>
      </c>
      <c r="N191" s="240" t="str">
        <f t="shared" si="98"/>
        <v>-</v>
      </c>
      <c r="O191" s="265" t="str">
        <f t="shared" si="99"/>
        <v>-</v>
      </c>
      <c r="P191" s="265" t="str">
        <f t="shared" si="100"/>
        <v>-</v>
      </c>
      <c r="Q191" s="266" t="str">
        <f t="shared" si="101"/>
        <v>-</v>
      </c>
      <c r="R191" s="267" t="str">
        <f t="shared" si="102"/>
        <v>-</v>
      </c>
      <c r="S191" s="268" t="str">
        <f t="shared" si="103"/>
        <v>-</v>
      </c>
      <c r="T191" s="269" t="str">
        <f t="shared" si="104"/>
        <v/>
      </c>
      <c r="U191" s="221">
        <f t="shared" si="105"/>
        <v>91</v>
      </c>
      <c r="V191" s="220" t="str">
        <f t="shared" si="131"/>
        <v>-</v>
      </c>
      <c r="W191" s="221" t="str">
        <f t="shared" si="132"/>
        <v>-</v>
      </c>
      <c r="X191" s="221" t="str">
        <f t="shared" si="106"/>
        <v>-</v>
      </c>
      <c r="Y191" s="221" t="str">
        <f t="shared" si="107"/>
        <v>-</v>
      </c>
      <c r="Z191" s="270">
        <f t="shared" si="133"/>
        <v>0.1</v>
      </c>
      <c r="AA191" s="271" t="str">
        <f>IFERROR(IF(V190=1,AA$100*EXP(-(LN(2)/$D$65+0.04)*X190)*EXP(-(LN(2)/$D$65+0.1)*Y190),IF(V190=2,AA$100*EXP(-(LN(2)/$D$65+0.04)*(VLOOKUP(($F$16-$F$15)-1,U$99:Y190,4,FALSE)))*EXP(-(LN(2)/$D$65+0.1)*(VLOOKUP(($F$16-$F$15)-1,U$99:Y190,5,FALSE)))*EXP(-(LN(2)/$D$65+0.04)*X190)*EXP(-(LN(2)/$D$65+0.1)*Y190),IF(V190=3,AA$100*EXP(-(LN(2)/$D$65+0.04)*(VLOOKUP(($F$16-$F$15)-1,U$99:Y190,4,FALSE)))*EXP(-(LN(2)/$D$65+0.1)*(VLOOKUP(($F$16-$F$15)-1,U$99:Y190,5,FALSE)))*EXP(-(LN(2)/$D$65+0.04)*(VLOOKUP(($F$16-$F$15)*2-1,U$99:Y190,4,FALSE)))*EXP(-(LN(2)/$D$65+0.1)*(VLOOKUP(($F$16-$F$15)*2-1,U$99:Y190,5,FALSE)))*EXP(-(LN(2)/$D$65+0.04)*X190)*EXP(-(LN(2)/$D$65+0.1)*Y190),"-"))),"-")</f>
        <v>-</v>
      </c>
      <c r="AB191" s="271" t="str">
        <f>IFERROR(IF(V191=1,AB$100*EXP(-(LN(2)/$D$65+0.04)*X191)*EXP(-(LN(2)/$D$65+0.1)*Y191),IF(V191=2,AB$100*EXP(-(LN(2)/$D$65+0.04)*(VLOOKUP(($F$16-$F$15)-1,U$100:Y191,4,FALSE)))*EXP(-(LN(2)/$D$65+0.1)*(VLOOKUP(($F$16-$F$15)-1,U$100:Y191,5,FALSE)))*EXP(-(LN(2)/$D$65+0.04)*X191)*EXP(-(LN(2)/$D$65+0.1)*Y191),IF(V191=3,AB$100*EXP(-(LN(2)/$D$65+0.04)*(VLOOKUP(($F$16-$F$15)-1,U$100:Y191,4,FALSE)))*EXP(-(LN(2)/$D$65+0.1)*(VLOOKUP(($F$16-$F$15)-1,U$100:Y191,5,FALSE)))*EXP(-(LN(2)/$D$65+0.04)*(VLOOKUP(($F$16-$F$15)*2-1,U$100:Y191,4,FALSE)))*EXP(-(LN(2)/$D$65+0.1)*(VLOOKUP(($F$16-$F$15)*2-1,U$100:Y191,5,FALSE)))*EXP(-(LN(2)/$D$65+0.04)*X191)*EXP(-(LN(2)/$D$65+0.1)*Y191),"-"))),"-")</f>
        <v>-</v>
      </c>
      <c r="AC191" s="224">
        <f t="shared" si="134"/>
        <v>91</v>
      </c>
      <c r="AD191" s="223" t="str">
        <f t="shared" si="108"/>
        <v>-</v>
      </c>
      <c r="AE191" s="224" t="str">
        <f t="shared" si="135"/>
        <v>-</v>
      </c>
      <c r="AF191" s="224" t="str">
        <f t="shared" si="109"/>
        <v>-</v>
      </c>
      <c r="AG191" s="224" t="str">
        <f t="shared" si="110"/>
        <v>-</v>
      </c>
      <c r="AH191" s="272">
        <f t="shared" si="136"/>
        <v>0.1</v>
      </c>
      <c r="AI191" s="271" t="str">
        <f>IFERROR(IF(AD190=1,AI$100*EXP(-(LN(2)/$D$65+0.04)*AF190)*EXP(-(LN(2)/$D$65+0.1)*AG190),IF(AD190=2,AI$100*EXP(-(LN(2)/$D$65+0.04)*(VLOOKUP(($F$16-$F$15)-1,AC$99:AG190,4,FALSE)))*EXP(-(LN(2)/$D$65+0.1)*(VLOOKUP(($F$16-$F$15)-1,AC$99:AG190,5,FALSE)))*EXP(-(LN(2)/$D$65+0.04)*AF190)*EXP(-(LN(2)/$D$65+0.1)*AG190),IF(AD190=3,AI$100*EXP(-(LN(2)/$D$65+0.04)*(VLOOKUP(($F$16-$F$15)-1,AC$99:AG190,4,FALSE)))*EXP(-(LN(2)/$D$65+0.1)*(VLOOKUP(($F$16-$F$15)-1,AC$99:AG190,5,FALSE)))*EXP(-(LN(2)/$D$65+0.04)*(VLOOKUP(($F$16-$F$15)*2-1,AC$99:AG190,4,FALSE)))*EXP(-(LN(2)/$D$65+0.1)*(VLOOKUP(($F$16-$F$15)*2-1,AC$99:AG190,5,FALSE)))*EXP(-(LN(2)/$D$65+0.04)*AF190)*EXP(-(LN(2)/$D$65+0.1)*AG190),"-"))),"-")</f>
        <v>-</v>
      </c>
      <c r="AJ191" s="271" t="str">
        <f>IFERROR(IF(AD191=1,AJ$100*EXP(-(LN(2)/$D$65+0.04)*AF191)*EXP(-(LN(2)/$D$65+0.1)*AG191),IF(AD191=2,AJ$100*EXP(-(LN(2)/$D$65+0.04)*(VLOOKUP(($F$16-$F$15)-1,AC$100:AG191,4,FALSE)))*EXP(-(LN(2)/$D$65+0.1)*(VLOOKUP(($F$16-$F$15)-1,AC$100:AG191,5,FALSE)))*EXP(-(LN(2)/$D$65+0.04)*AF191)*EXP(-(LN(2)/$D$65+0.1)*AG191),IF(AD191=3,AJ$100*EXP(-(LN(2)/$D$65+0.04)*(VLOOKUP(($F$16-$F$15)-1,AC$100:AG191,4,FALSE)))*EXP(-(LN(2)/$D$65+0.1)*(VLOOKUP(($F$16-$F$15)-1,AC$100:AG191,5,FALSE)))*EXP(-(LN(2)/$D$65+0.04)*(VLOOKUP(($F$16-$F$15)*2-1,AC$100:AG191,4,FALSE)))*EXP(-(LN(2)/$D$65+0.1)*(VLOOKUP(($F$16-$F$15)*2-1,AC$100:AG191,5,FALSE)))*EXP(-(LN(2)/$D$65+0.04)*AF191)*EXP(-(LN(2)/$D$65+0.1)*AG191),"-"))),"-")</f>
        <v>-</v>
      </c>
      <c r="AK191" s="227">
        <f t="shared" si="137"/>
        <v>91</v>
      </c>
      <c r="AL191" s="226" t="str">
        <f t="shared" si="111"/>
        <v>-</v>
      </c>
      <c r="AM191" s="227" t="str">
        <f t="shared" si="138"/>
        <v>-</v>
      </c>
      <c r="AN191" s="227" t="str">
        <f t="shared" si="139"/>
        <v>-</v>
      </c>
      <c r="AO191" s="227" t="str">
        <f t="shared" si="112"/>
        <v>-</v>
      </c>
      <c r="AP191" s="273">
        <f t="shared" si="140"/>
        <v>0.1</v>
      </c>
      <c r="AQ191" s="271" t="str">
        <f>IFERROR(IF(AL190=1,AQ$100*EXP(-(LN(2)/$D$65+0.04)*AN190)*EXP(-(LN(2)/$D$65+0.1)*AO190),IF(AL190=2,AQ$100*EXP(-(LN(2)/$D$65+0.04)*(VLOOKUP(($F$16-$F$15)-1,AK$99:AO190,4,FALSE)))*EXP(-(LN(2)/$D$65+0.1)*(VLOOKUP(($F$16-$F$15)-1,AK$99:AO190,5,FALSE)))*EXP(-(LN(2)/$D$65+0.04)*AN190)*EXP(-(LN(2)/$D$65+0.1)*AO190),IF(AL190=3,AQ$100*EXP(-(LN(2)/$D$65+0.04)*(VLOOKUP(($F$16-$F$15)-1,AK$99:AO190,4,FALSE)))*EXP(-(LN(2)/$D$65+0.1)*(VLOOKUP(($F$16-$F$15)-1,AK$99:AO190,5,FALSE)))*EXP(-(LN(2)/$D$65+0.04)*(VLOOKUP(($F$16-$F$15)*2-1,AK$99:AO190,4,FALSE)))*EXP(-(LN(2)/$D$65+0.1)*(VLOOKUP(($F$16-$F$15)*2-1,AK$99:AO190,5,FALSE)))*EXP(-(LN(2)/$D$65+0.04)*AN190)*EXP(-(LN(2)/$D$65+0.1)*AO190),"-"))),"-")</f>
        <v>-</v>
      </c>
      <c r="AR191" s="271" t="str">
        <f>IFERROR(IF(AL191=1,AR$100*EXP(-(LN(2)/$D$65+0.04)*AN191)*EXP(-(LN(2)/$D$65+0.1)*AO191),IF(AL191=2,AR$100*EXP(-(LN(2)/$D$65+0.04)*(VLOOKUP(($F$16-$F$15)-1,AK$100:AO191,4,FALSE)))*EXP(-(LN(2)/$D$65+0.1)*(VLOOKUP(($F$16-$F$15)-1,AK$100:AO191,5,FALSE)))*EXP(-(LN(2)/$D$65+0.04)*AN191)*EXP(-(LN(2)/$D$65+0.1)*AO191),IF(AL191=3,AR$100*EXP(-(LN(2)/$D$65+0.04)*(VLOOKUP(($F$16-$F$15)-1,AK$100:AO191,4,FALSE)))*EXP(-(LN(2)/$D$65+0.1)*(VLOOKUP(($F$16-$F$15)-1,AK$100:AO191,5,FALSE)))*EXP(-(LN(2)/$D$65+0.04)*(VLOOKUP(($F$16-$F$15)*2-1,AK$100:AO191,4,FALSE)))*EXP(-(LN(2)/$D$65+0.1)*(VLOOKUP(($F$16-$F$15)*2-1,AK$100:AO191,5,FALSE)))*EXP(-(LN(2)/$D$65+0.04)*AN191)*EXP(-(LN(2)/$D$65+0.1)*AO191),"-"))),"-")</f>
        <v>-</v>
      </c>
      <c r="AS191" s="274">
        <f t="shared" si="113"/>
        <v>0</v>
      </c>
      <c r="AT191" s="274">
        <f t="shared" si="114"/>
        <v>0</v>
      </c>
      <c r="AU191" s="274">
        <f t="shared" si="115"/>
        <v>0</v>
      </c>
      <c r="AV191" s="190" t="str">
        <f>IF($B191&lt;$F$22,SUM($T$100:$T191),"")</f>
        <v/>
      </c>
      <c r="AW191" s="190" t="str">
        <f t="shared" si="116"/>
        <v>-</v>
      </c>
      <c r="AX191" s="190" t="str">
        <f t="shared" si="141"/>
        <v/>
      </c>
      <c r="AY191"/>
      <c r="AZ191" s="190" t="str">
        <f ca="1">IF(ISNUMBER(OFFSET(AV191,-$F$21,0)),SUM(OFFSET($T$100,$F$21,0):$T191),"")</f>
        <v/>
      </c>
      <c r="BA191" s="190" t="str">
        <f t="shared" ca="1" si="117"/>
        <v/>
      </c>
      <c r="BB191" s="190" t="str">
        <f t="shared" ca="1" si="148"/>
        <v/>
      </c>
      <c r="BC191" s="190"/>
      <c r="BD191" s="190" t="str">
        <f ca="1">IFERROR(IF(OR(ISNUMBER(I),ISNUMBER($F$14)),IF(AND($B191&gt;=($F$16-$F$15),$B191&lt;$F$22+($F$16-$F$15)),SUM(OFFSET($T$100,($F$16-$F$15),0):$T191),""),""),"")</f>
        <v/>
      </c>
      <c r="BE191" s="190" t="str">
        <f t="shared" ca="1" si="142"/>
        <v/>
      </c>
      <c r="BF191" s="190" t="str">
        <f t="shared" ca="1" si="143"/>
        <v/>
      </c>
      <c r="BG191"/>
      <c r="BH191" s="190" t="str">
        <f ca="1">IF(ISNUMBER(OFFSET(BD191,-$F$21,0)),SUM(OFFSET($T$100,($F$16-$F$15+$F$21),0):$T191),"")</f>
        <v/>
      </c>
      <c r="BI191" s="190" t="str">
        <f t="shared" ca="1" si="118"/>
        <v/>
      </c>
      <c r="BJ191" s="190" t="str">
        <f t="shared" ca="1" si="144"/>
        <v/>
      </c>
      <c r="BK191" s="190"/>
      <c r="BL191" s="190" t="str">
        <f ca="1">IFERROR(IF(OR(ISNUMBER(I),ISNUMBER($F$14)),IF(AND($B191&gt;=($F$17-$F$15),$B191&lt;$F$22+($F$17-$F$15)),SUM(OFFSET($T$100,($F$17-$F$15),0):$T191),""),""),"")</f>
        <v/>
      </c>
      <c r="BM191" s="190" t="str">
        <f t="shared" ca="1" si="119"/>
        <v/>
      </c>
      <c r="BN191" s="190" t="str">
        <f t="shared" ca="1" si="145"/>
        <v/>
      </c>
      <c r="BO191"/>
      <c r="BP191" s="190" t="str">
        <f ca="1">IF(ISNUMBER(OFFSET(BL191,-$F$21,0)),SUM(OFFSET($T$100,($F$17-$F$15+$F$21),0):$T191),"")</f>
        <v/>
      </c>
      <c r="BQ191" s="190" t="str">
        <f t="shared" ca="1" si="120"/>
        <v/>
      </c>
      <c r="BR191" s="190" t="str">
        <f t="shared" ca="1" si="146"/>
        <v/>
      </c>
      <c r="BS191" s="190"/>
      <c r="BT191"/>
      <c r="BU191"/>
      <c r="BV191"/>
      <c r="BY191" s="99"/>
      <c r="BZ191" s="99"/>
      <c r="CA191" s="280" t="str">
        <f t="shared" si="121"/>
        <v/>
      </c>
      <c r="CB191" s="71" t="str">
        <f t="shared" si="122"/>
        <v>-</v>
      </c>
      <c r="CC191" s="33"/>
      <c r="CD191" s="261" t="str">
        <f t="shared" si="123"/>
        <v/>
      </c>
      <c r="CE191" s="280" t="str">
        <f t="shared" si="124"/>
        <v/>
      </c>
      <c r="CF191" s="71" t="str">
        <f t="shared" ca="1" si="125"/>
        <v/>
      </c>
      <c r="CG191" s="33" t="str">
        <f t="shared" si="126"/>
        <v/>
      </c>
      <c r="CH191" s="261" t="str">
        <f t="shared" ca="1" si="127"/>
        <v/>
      </c>
    </row>
    <row r="192" spans="2:93" ht="13.5" customHeight="1" x14ac:dyDescent="0.2">
      <c r="B192" s="262">
        <v>92</v>
      </c>
      <c r="C192" s="237" t="str">
        <f t="shared" si="91"/>
        <v/>
      </c>
      <c r="D192" s="237" t="str">
        <f t="shared" si="147"/>
        <v/>
      </c>
      <c r="E192" s="263" t="str">
        <f t="shared" si="128"/>
        <v/>
      </c>
      <c r="F192" s="264" t="str">
        <f t="shared" si="129"/>
        <v/>
      </c>
      <c r="G192" s="264" t="str">
        <f t="shared" si="130"/>
        <v/>
      </c>
      <c r="H192" s="240" t="str">
        <f t="shared" si="92"/>
        <v/>
      </c>
      <c r="I192" s="265" t="str">
        <f t="shared" si="93"/>
        <v/>
      </c>
      <c r="J192" s="265" t="str">
        <f t="shared" si="94"/>
        <v/>
      </c>
      <c r="K192" s="240" t="str">
        <f t="shared" si="95"/>
        <v/>
      </c>
      <c r="L192" s="265" t="str">
        <f t="shared" si="96"/>
        <v/>
      </c>
      <c r="M192" s="265" t="str">
        <f t="shared" si="97"/>
        <v/>
      </c>
      <c r="N192" s="240" t="str">
        <f t="shared" si="98"/>
        <v>-</v>
      </c>
      <c r="O192" s="265" t="str">
        <f t="shared" si="99"/>
        <v>-</v>
      </c>
      <c r="P192" s="265" t="str">
        <f t="shared" si="100"/>
        <v>-</v>
      </c>
      <c r="Q192" s="266" t="str">
        <f t="shared" si="101"/>
        <v>-</v>
      </c>
      <c r="R192" s="267" t="str">
        <f t="shared" si="102"/>
        <v>-</v>
      </c>
      <c r="S192" s="268" t="str">
        <f t="shared" si="103"/>
        <v>-</v>
      </c>
      <c r="T192" s="269" t="str">
        <f t="shared" si="104"/>
        <v/>
      </c>
      <c r="U192" s="221">
        <f t="shared" si="105"/>
        <v>92</v>
      </c>
      <c r="V192" s="220" t="str">
        <f t="shared" si="131"/>
        <v>-</v>
      </c>
      <c r="W192" s="221" t="str">
        <f t="shared" si="132"/>
        <v>-</v>
      </c>
      <c r="X192" s="221" t="str">
        <f t="shared" si="106"/>
        <v>-</v>
      </c>
      <c r="Y192" s="221" t="str">
        <f t="shared" si="107"/>
        <v>-</v>
      </c>
      <c r="Z192" s="270">
        <f t="shared" si="133"/>
        <v>0.1</v>
      </c>
      <c r="AA192" s="271" t="str">
        <f>IFERROR(IF(V191=1,AA$100*EXP(-(LN(2)/$D$65+0.04)*X191)*EXP(-(LN(2)/$D$65+0.1)*Y191),IF(V191=2,AA$100*EXP(-(LN(2)/$D$65+0.04)*(VLOOKUP(($F$16-$F$15)-1,U$99:Y191,4,FALSE)))*EXP(-(LN(2)/$D$65+0.1)*(VLOOKUP(($F$16-$F$15)-1,U$99:Y191,5,FALSE)))*EXP(-(LN(2)/$D$65+0.04)*X191)*EXP(-(LN(2)/$D$65+0.1)*Y191),IF(V191=3,AA$100*EXP(-(LN(2)/$D$65+0.04)*(VLOOKUP(($F$16-$F$15)-1,U$99:Y191,4,FALSE)))*EXP(-(LN(2)/$D$65+0.1)*(VLOOKUP(($F$16-$F$15)-1,U$99:Y191,5,FALSE)))*EXP(-(LN(2)/$D$65+0.04)*(VLOOKUP(($F$16-$F$15)*2-1,U$99:Y191,4,FALSE)))*EXP(-(LN(2)/$D$65+0.1)*(VLOOKUP(($F$16-$F$15)*2-1,U$99:Y191,5,FALSE)))*EXP(-(LN(2)/$D$65+0.04)*X191)*EXP(-(LN(2)/$D$65+0.1)*Y191),"-"))),"-")</f>
        <v>-</v>
      </c>
      <c r="AB192" s="271" t="str">
        <f>IFERROR(IF(V192=1,AB$100*EXP(-(LN(2)/$D$65+0.04)*X192)*EXP(-(LN(2)/$D$65+0.1)*Y192),IF(V192=2,AB$100*EXP(-(LN(2)/$D$65+0.04)*(VLOOKUP(($F$16-$F$15)-1,U$100:Y192,4,FALSE)))*EXP(-(LN(2)/$D$65+0.1)*(VLOOKUP(($F$16-$F$15)-1,U$100:Y192,5,FALSE)))*EXP(-(LN(2)/$D$65+0.04)*X192)*EXP(-(LN(2)/$D$65+0.1)*Y192),IF(V192=3,AB$100*EXP(-(LN(2)/$D$65+0.04)*(VLOOKUP(($F$16-$F$15)-1,U$100:Y192,4,FALSE)))*EXP(-(LN(2)/$D$65+0.1)*(VLOOKUP(($F$16-$F$15)-1,U$100:Y192,5,FALSE)))*EXP(-(LN(2)/$D$65+0.04)*(VLOOKUP(($F$16-$F$15)*2-1,U$100:Y192,4,FALSE)))*EXP(-(LN(2)/$D$65+0.1)*(VLOOKUP(($F$16-$F$15)*2-1,U$100:Y192,5,FALSE)))*EXP(-(LN(2)/$D$65+0.04)*X192)*EXP(-(LN(2)/$D$65+0.1)*Y192),"-"))),"-")</f>
        <v>-</v>
      </c>
      <c r="AC192" s="224">
        <f t="shared" si="134"/>
        <v>92</v>
      </c>
      <c r="AD192" s="223" t="str">
        <f t="shared" si="108"/>
        <v>-</v>
      </c>
      <c r="AE192" s="224" t="str">
        <f t="shared" si="135"/>
        <v>-</v>
      </c>
      <c r="AF192" s="224" t="str">
        <f t="shared" si="109"/>
        <v>-</v>
      </c>
      <c r="AG192" s="224" t="str">
        <f t="shared" si="110"/>
        <v>-</v>
      </c>
      <c r="AH192" s="272">
        <f t="shared" si="136"/>
        <v>0.1</v>
      </c>
      <c r="AI192" s="271" t="str">
        <f>IFERROR(IF(AD191=1,AI$100*EXP(-(LN(2)/$D$65+0.04)*AF191)*EXP(-(LN(2)/$D$65+0.1)*AG191),IF(AD191=2,AI$100*EXP(-(LN(2)/$D$65+0.04)*(VLOOKUP(($F$16-$F$15)-1,AC$99:AG191,4,FALSE)))*EXP(-(LN(2)/$D$65+0.1)*(VLOOKUP(($F$16-$F$15)-1,AC$99:AG191,5,FALSE)))*EXP(-(LN(2)/$D$65+0.04)*AF191)*EXP(-(LN(2)/$D$65+0.1)*AG191),IF(AD191=3,AI$100*EXP(-(LN(2)/$D$65+0.04)*(VLOOKUP(($F$16-$F$15)-1,AC$99:AG191,4,FALSE)))*EXP(-(LN(2)/$D$65+0.1)*(VLOOKUP(($F$16-$F$15)-1,AC$99:AG191,5,FALSE)))*EXP(-(LN(2)/$D$65+0.04)*(VLOOKUP(($F$16-$F$15)*2-1,AC$99:AG191,4,FALSE)))*EXP(-(LN(2)/$D$65+0.1)*(VLOOKUP(($F$16-$F$15)*2-1,AC$99:AG191,5,FALSE)))*EXP(-(LN(2)/$D$65+0.04)*AF191)*EXP(-(LN(2)/$D$65+0.1)*AG191),"-"))),"-")</f>
        <v>-</v>
      </c>
      <c r="AJ192" s="271" t="str">
        <f>IFERROR(IF(AD192=1,AJ$100*EXP(-(LN(2)/$D$65+0.04)*AF192)*EXP(-(LN(2)/$D$65+0.1)*AG192),IF(AD192=2,AJ$100*EXP(-(LN(2)/$D$65+0.04)*(VLOOKUP(($F$16-$F$15)-1,AC$100:AG192,4,FALSE)))*EXP(-(LN(2)/$D$65+0.1)*(VLOOKUP(($F$16-$F$15)-1,AC$100:AG192,5,FALSE)))*EXP(-(LN(2)/$D$65+0.04)*AF192)*EXP(-(LN(2)/$D$65+0.1)*AG192),IF(AD192=3,AJ$100*EXP(-(LN(2)/$D$65+0.04)*(VLOOKUP(($F$16-$F$15)-1,AC$100:AG192,4,FALSE)))*EXP(-(LN(2)/$D$65+0.1)*(VLOOKUP(($F$16-$F$15)-1,AC$100:AG192,5,FALSE)))*EXP(-(LN(2)/$D$65+0.04)*(VLOOKUP(($F$16-$F$15)*2-1,AC$100:AG192,4,FALSE)))*EXP(-(LN(2)/$D$65+0.1)*(VLOOKUP(($F$16-$F$15)*2-1,AC$100:AG192,5,FALSE)))*EXP(-(LN(2)/$D$65+0.04)*AF192)*EXP(-(LN(2)/$D$65+0.1)*AG192),"-"))),"-")</f>
        <v>-</v>
      </c>
      <c r="AK192" s="227">
        <f t="shared" si="137"/>
        <v>92</v>
      </c>
      <c r="AL192" s="226" t="str">
        <f t="shared" si="111"/>
        <v>-</v>
      </c>
      <c r="AM192" s="227" t="str">
        <f t="shared" si="138"/>
        <v>-</v>
      </c>
      <c r="AN192" s="227" t="str">
        <f t="shared" si="139"/>
        <v>-</v>
      </c>
      <c r="AO192" s="227" t="str">
        <f t="shared" si="112"/>
        <v>-</v>
      </c>
      <c r="AP192" s="273">
        <f t="shared" si="140"/>
        <v>0.1</v>
      </c>
      <c r="AQ192" s="271" t="str">
        <f>IFERROR(IF(AL191=1,AQ$100*EXP(-(LN(2)/$D$65+0.04)*AN191)*EXP(-(LN(2)/$D$65+0.1)*AO191),IF(AL191=2,AQ$100*EXP(-(LN(2)/$D$65+0.04)*(VLOOKUP(($F$16-$F$15)-1,AK$99:AO191,4,FALSE)))*EXP(-(LN(2)/$D$65+0.1)*(VLOOKUP(($F$16-$F$15)-1,AK$99:AO191,5,FALSE)))*EXP(-(LN(2)/$D$65+0.04)*AN191)*EXP(-(LN(2)/$D$65+0.1)*AO191),IF(AL191=3,AQ$100*EXP(-(LN(2)/$D$65+0.04)*(VLOOKUP(($F$16-$F$15)-1,AK$99:AO191,4,FALSE)))*EXP(-(LN(2)/$D$65+0.1)*(VLOOKUP(($F$16-$F$15)-1,AK$99:AO191,5,FALSE)))*EXP(-(LN(2)/$D$65+0.04)*(VLOOKUP(($F$16-$F$15)*2-1,AK$99:AO191,4,FALSE)))*EXP(-(LN(2)/$D$65+0.1)*(VLOOKUP(($F$16-$F$15)*2-1,AK$99:AO191,5,FALSE)))*EXP(-(LN(2)/$D$65+0.04)*AN191)*EXP(-(LN(2)/$D$65+0.1)*AO191),"-"))),"-")</f>
        <v>-</v>
      </c>
      <c r="AR192" s="271" t="str">
        <f>IFERROR(IF(AL192=1,AR$100*EXP(-(LN(2)/$D$65+0.04)*AN192)*EXP(-(LN(2)/$D$65+0.1)*AO192),IF(AL192=2,AR$100*EXP(-(LN(2)/$D$65+0.04)*(VLOOKUP(($F$16-$F$15)-1,AK$100:AO192,4,FALSE)))*EXP(-(LN(2)/$D$65+0.1)*(VLOOKUP(($F$16-$F$15)-1,AK$100:AO192,5,FALSE)))*EXP(-(LN(2)/$D$65+0.04)*AN192)*EXP(-(LN(2)/$D$65+0.1)*AO192),IF(AL192=3,AR$100*EXP(-(LN(2)/$D$65+0.04)*(VLOOKUP(($F$16-$F$15)-1,AK$100:AO192,4,FALSE)))*EXP(-(LN(2)/$D$65+0.1)*(VLOOKUP(($F$16-$F$15)-1,AK$100:AO192,5,FALSE)))*EXP(-(LN(2)/$D$65+0.04)*(VLOOKUP(($F$16-$F$15)*2-1,AK$100:AO192,4,FALSE)))*EXP(-(LN(2)/$D$65+0.1)*(VLOOKUP(($F$16-$F$15)*2-1,AK$100:AO192,5,FALSE)))*EXP(-(LN(2)/$D$65+0.04)*AN192)*EXP(-(LN(2)/$D$65+0.1)*AO192),"-"))),"-")</f>
        <v>-</v>
      </c>
      <c r="AS192" s="274">
        <f t="shared" si="113"/>
        <v>0</v>
      </c>
      <c r="AT192" s="274">
        <f t="shared" si="114"/>
        <v>0</v>
      </c>
      <c r="AU192" s="274">
        <f t="shared" si="115"/>
        <v>0</v>
      </c>
      <c r="AV192" s="190" t="str">
        <f>IF($B192&lt;$F$22,SUM($T$100:$T192),"")</f>
        <v/>
      </c>
      <c r="AW192" s="190" t="str">
        <f t="shared" si="116"/>
        <v>-</v>
      </c>
      <c r="AX192" s="190" t="str">
        <f t="shared" si="141"/>
        <v/>
      </c>
      <c r="AY192"/>
      <c r="AZ192" s="190" t="str">
        <f ca="1">IF(ISNUMBER(OFFSET(AV192,-$F$21,0)),SUM(OFFSET($T$100,$F$21,0):$T192),"")</f>
        <v/>
      </c>
      <c r="BA192" s="190" t="str">
        <f t="shared" ca="1" si="117"/>
        <v/>
      </c>
      <c r="BB192" s="190" t="str">
        <f t="shared" ca="1" si="148"/>
        <v/>
      </c>
      <c r="BC192" s="190"/>
      <c r="BD192" s="190" t="str">
        <f ca="1">IFERROR(IF(OR(ISNUMBER(I),ISNUMBER($F$14)),IF(AND($B192&gt;=($F$16-$F$15),$B192&lt;$F$22+($F$16-$F$15)),SUM(OFFSET($T$100,($F$16-$F$15),0):$T192),""),""),"")</f>
        <v/>
      </c>
      <c r="BE192" s="190" t="str">
        <f t="shared" ca="1" si="142"/>
        <v/>
      </c>
      <c r="BF192" s="190" t="str">
        <f t="shared" ca="1" si="143"/>
        <v/>
      </c>
      <c r="BG192"/>
      <c r="BH192" s="190" t="str">
        <f ca="1">IF(ISNUMBER(OFFSET(BD192,-$F$21,0)),SUM(OFFSET($T$100,($F$16-$F$15+$F$21),0):$T192),"")</f>
        <v/>
      </c>
      <c r="BI192" s="190" t="str">
        <f t="shared" ca="1" si="118"/>
        <v/>
      </c>
      <c r="BJ192" s="190" t="str">
        <f t="shared" ca="1" si="144"/>
        <v/>
      </c>
      <c r="BK192" s="190"/>
      <c r="BL192" s="190" t="str">
        <f ca="1">IFERROR(IF(OR(ISNUMBER(I),ISNUMBER($F$14)),IF(AND($B192&gt;=($F$17-$F$15),$B192&lt;$F$22+($F$17-$F$15)),SUM(OFFSET($T$100,($F$17-$F$15),0):$T192),""),""),"")</f>
        <v/>
      </c>
      <c r="BM192" s="190" t="str">
        <f t="shared" ca="1" si="119"/>
        <v/>
      </c>
      <c r="BN192" s="190" t="str">
        <f t="shared" ca="1" si="145"/>
        <v/>
      </c>
      <c r="BO192"/>
      <c r="BP192" s="190" t="str">
        <f ca="1">IF(ISNUMBER(OFFSET(BL192,-$F$21,0)),SUM(OFFSET($T$100,($F$17-$F$15+$F$21),0):$T192),"")</f>
        <v/>
      </c>
      <c r="BQ192" s="190" t="str">
        <f t="shared" ca="1" si="120"/>
        <v/>
      </c>
      <c r="BR192" s="190" t="str">
        <f t="shared" ca="1" si="146"/>
        <v/>
      </c>
      <c r="BS192" s="190"/>
      <c r="BT192"/>
      <c r="BU192"/>
      <c r="BV192"/>
      <c r="BY192" s="99"/>
      <c r="BZ192" s="99"/>
      <c r="CA192" s="280" t="str">
        <f t="shared" si="121"/>
        <v/>
      </c>
      <c r="CB192" s="71" t="str">
        <f t="shared" si="122"/>
        <v>-</v>
      </c>
      <c r="CC192" s="33"/>
      <c r="CD192" s="261" t="str">
        <f t="shared" si="123"/>
        <v/>
      </c>
      <c r="CE192" s="280" t="str">
        <f t="shared" si="124"/>
        <v/>
      </c>
      <c r="CF192" s="71" t="str">
        <f t="shared" ca="1" si="125"/>
        <v/>
      </c>
      <c r="CG192" s="33" t="str">
        <f t="shared" si="126"/>
        <v/>
      </c>
      <c r="CH192" s="261" t="str">
        <f t="shared" ca="1" si="127"/>
        <v/>
      </c>
    </row>
    <row r="193" spans="2:86" ht="13.5" customHeight="1" x14ac:dyDescent="0.2">
      <c r="B193" s="262">
        <v>93</v>
      </c>
      <c r="C193" s="237" t="str">
        <f t="shared" si="91"/>
        <v/>
      </c>
      <c r="D193" s="237" t="str">
        <f t="shared" si="147"/>
        <v/>
      </c>
      <c r="E193" s="263" t="str">
        <f t="shared" si="128"/>
        <v/>
      </c>
      <c r="F193" s="264" t="str">
        <f t="shared" si="129"/>
        <v/>
      </c>
      <c r="G193" s="264" t="str">
        <f t="shared" si="130"/>
        <v/>
      </c>
      <c r="H193" s="240" t="str">
        <f t="shared" si="92"/>
        <v/>
      </c>
      <c r="I193" s="265" t="str">
        <f t="shared" si="93"/>
        <v/>
      </c>
      <c r="J193" s="265" t="str">
        <f t="shared" si="94"/>
        <v/>
      </c>
      <c r="K193" s="240" t="str">
        <f t="shared" si="95"/>
        <v/>
      </c>
      <c r="L193" s="265" t="str">
        <f t="shared" si="96"/>
        <v/>
      </c>
      <c r="M193" s="265" t="str">
        <f t="shared" si="97"/>
        <v/>
      </c>
      <c r="N193" s="240" t="str">
        <f t="shared" si="98"/>
        <v>-</v>
      </c>
      <c r="O193" s="265" t="str">
        <f t="shared" si="99"/>
        <v>-</v>
      </c>
      <c r="P193" s="265" t="str">
        <f t="shared" si="100"/>
        <v>-</v>
      </c>
      <c r="Q193" s="266" t="str">
        <f t="shared" si="101"/>
        <v>-</v>
      </c>
      <c r="R193" s="267" t="str">
        <f t="shared" si="102"/>
        <v>-</v>
      </c>
      <c r="S193" s="268" t="str">
        <f t="shared" si="103"/>
        <v>-</v>
      </c>
      <c r="T193" s="269" t="str">
        <f t="shared" si="104"/>
        <v/>
      </c>
      <c r="U193" s="221">
        <f t="shared" si="105"/>
        <v>93</v>
      </c>
      <c r="V193" s="220" t="str">
        <f t="shared" si="131"/>
        <v>-</v>
      </c>
      <c r="W193" s="221" t="str">
        <f t="shared" si="132"/>
        <v>-</v>
      </c>
      <c r="X193" s="221" t="str">
        <f t="shared" si="106"/>
        <v>-</v>
      </c>
      <c r="Y193" s="221" t="str">
        <f t="shared" si="107"/>
        <v>-</v>
      </c>
      <c r="Z193" s="270">
        <f t="shared" si="133"/>
        <v>0.1</v>
      </c>
      <c r="AA193" s="271" t="str">
        <f>IFERROR(IF(V192=1,AA$100*EXP(-(LN(2)/$D$65+0.04)*X192)*EXP(-(LN(2)/$D$65+0.1)*Y192),IF(V192=2,AA$100*EXP(-(LN(2)/$D$65+0.04)*(VLOOKUP(($F$16-$F$15)-1,U$99:Y192,4,FALSE)))*EXP(-(LN(2)/$D$65+0.1)*(VLOOKUP(($F$16-$F$15)-1,U$99:Y192,5,FALSE)))*EXP(-(LN(2)/$D$65+0.04)*X192)*EXP(-(LN(2)/$D$65+0.1)*Y192),IF(V192=3,AA$100*EXP(-(LN(2)/$D$65+0.04)*(VLOOKUP(($F$16-$F$15)-1,U$99:Y192,4,FALSE)))*EXP(-(LN(2)/$D$65+0.1)*(VLOOKUP(($F$16-$F$15)-1,U$99:Y192,5,FALSE)))*EXP(-(LN(2)/$D$65+0.04)*(VLOOKUP(($F$16-$F$15)*2-1,U$99:Y192,4,FALSE)))*EXP(-(LN(2)/$D$65+0.1)*(VLOOKUP(($F$16-$F$15)*2-1,U$99:Y192,5,FALSE)))*EXP(-(LN(2)/$D$65+0.04)*X192)*EXP(-(LN(2)/$D$65+0.1)*Y192),"-"))),"-")</f>
        <v>-</v>
      </c>
      <c r="AB193" s="271" t="str">
        <f>IFERROR(IF(V193=1,AB$100*EXP(-(LN(2)/$D$65+0.04)*X193)*EXP(-(LN(2)/$D$65+0.1)*Y193),IF(V193=2,AB$100*EXP(-(LN(2)/$D$65+0.04)*(VLOOKUP(($F$16-$F$15)-1,U$100:Y193,4,FALSE)))*EXP(-(LN(2)/$D$65+0.1)*(VLOOKUP(($F$16-$F$15)-1,U$100:Y193,5,FALSE)))*EXP(-(LN(2)/$D$65+0.04)*X193)*EXP(-(LN(2)/$D$65+0.1)*Y193),IF(V193=3,AB$100*EXP(-(LN(2)/$D$65+0.04)*(VLOOKUP(($F$16-$F$15)-1,U$100:Y193,4,FALSE)))*EXP(-(LN(2)/$D$65+0.1)*(VLOOKUP(($F$16-$F$15)-1,U$100:Y193,5,FALSE)))*EXP(-(LN(2)/$D$65+0.04)*(VLOOKUP(($F$16-$F$15)*2-1,U$100:Y193,4,FALSE)))*EXP(-(LN(2)/$D$65+0.1)*(VLOOKUP(($F$16-$F$15)*2-1,U$100:Y193,5,FALSE)))*EXP(-(LN(2)/$D$65+0.04)*X193)*EXP(-(LN(2)/$D$65+0.1)*Y193),"-"))),"-")</f>
        <v>-</v>
      </c>
      <c r="AC193" s="224">
        <f t="shared" si="134"/>
        <v>93</v>
      </c>
      <c r="AD193" s="223" t="str">
        <f t="shared" si="108"/>
        <v>-</v>
      </c>
      <c r="AE193" s="224" t="str">
        <f t="shared" si="135"/>
        <v>-</v>
      </c>
      <c r="AF193" s="224" t="str">
        <f t="shared" si="109"/>
        <v>-</v>
      </c>
      <c r="AG193" s="224" t="str">
        <f t="shared" si="110"/>
        <v>-</v>
      </c>
      <c r="AH193" s="272">
        <f t="shared" si="136"/>
        <v>0.1</v>
      </c>
      <c r="AI193" s="271" t="str">
        <f>IFERROR(IF(AD192=1,AI$100*EXP(-(LN(2)/$D$65+0.04)*AF192)*EXP(-(LN(2)/$D$65+0.1)*AG192),IF(AD192=2,AI$100*EXP(-(LN(2)/$D$65+0.04)*(VLOOKUP(($F$16-$F$15)-1,AC$99:AG192,4,FALSE)))*EXP(-(LN(2)/$D$65+0.1)*(VLOOKUP(($F$16-$F$15)-1,AC$99:AG192,5,FALSE)))*EXP(-(LN(2)/$D$65+0.04)*AF192)*EXP(-(LN(2)/$D$65+0.1)*AG192),IF(AD192=3,AI$100*EXP(-(LN(2)/$D$65+0.04)*(VLOOKUP(($F$16-$F$15)-1,AC$99:AG192,4,FALSE)))*EXP(-(LN(2)/$D$65+0.1)*(VLOOKUP(($F$16-$F$15)-1,AC$99:AG192,5,FALSE)))*EXP(-(LN(2)/$D$65+0.04)*(VLOOKUP(($F$16-$F$15)*2-1,AC$99:AG192,4,FALSE)))*EXP(-(LN(2)/$D$65+0.1)*(VLOOKUP(($F$16-$F$15)*2-1,AC$99:AG192,5,FALSE)))*EXP(-(LN(2)/$D$65+0.04)*AF192)*EXP(-(LN(2)/$D$65+0.1)*AG192),"-"))),"-")</f>
        <v>-</v>
      </c>
      <c r="AJ193" s="271" t="str">
        <f>IFERROR(IF(AD193=1,AJ$100*EXP(-(LN(2)/$D$65+0.04)*AF193)*EXP(-(LN(2)/$D$65+0.1)*AG193),IF(AD193=2,AJ$100*EXP(-(LN(2)/$D$65+0.04)*(VLOOKUP(($F$16-$F$15)-1,AC$100:AG193,4,FALSE)))*EXP(-(LN(2)/$D$65+0.1)*(VLOOKUP(($F$16-$F$15)-1,AC$100:AG193,5,FALSE)))*EXP(-(LN(2)/$D$65+0.04)*AF193)*EXP(-(LN(2)/$D$65+0.1)*AG193),IF(AD193=3,AJ$100*EXP(-(LN(2)/$D$65+0.04)*(VLOOKUP(($F$16-$F$15)-1,AC$100:AG193,4,FALSE)))*EXP(-(LN(2)/$D$65+0.1)*(VLOOKUP(($F$16-$F$15)-1,AC$100:AG193,5,FALSE)))*EXP(-(LN(2)/$D$65+0.04)*(VLOOKUP(($F$16-$F$15)*2-1,AC$100:AG193,4,FALSE)))*EXP(-(LN(2)/$D$65+0.1)*(VLOOKUP(($F$16-$F$15)*2-1,AC$100:AG193,5,FALSE)))*EXP(-(LN(2)/$D$65+0.04)*AF193)*EXP(-(LN(2)/$D$65+0.1)*AG193),"-"))),"-")</f>
        <v>-</v>
      </c>
      <c r="AK193" s="227">
        <f t="shared" si="137"/>
        <v>93</v>
      </c>
      <c r="AL193" s="226" t="str">
        <f t="shared" si="111"/>
        <v>-</v>
      </c>
      <c r="AM193" s="227" t="str">
        <f t="shared" si="138"/>
        <v>-</v>
      </c>
      <c r="AN193" s="227" t="str">
        <f t="shared" si="139"/>
        <v>-</v>
      </c>
      <c r="AO193" s="227" t="str">
        <f t="shared" si="112"/>
        <v>-</v>
      </c>
      <c r="AP193" s="273">
        <f t="shared" si="140"/>
        <v>0.1</v>
      </c>
      <c r="AQ193" s="271" t="str">
        <f>IFERROR(IF(AL192=1,AQ$100*EXP(-(LN(2)/$D$65+0.04)*AN192)*EXP(-(LN(2)/$D$65+0.1)*AO192),IF(AL192=2,AQ$100*EXP(-(LN(2)/$D$65+0.04)*(VLOOKUP(($F$16-$F$15)-1,AK$99:AO192,4,FALSE)))*EXP(-(LN(2)/$D$65+0.1)*(VLOOKUP(($F$16-$F$15)-1,AK$99:AO192,5,FALSE)))*EXP(-(LN(2)/$D$65+0.04)*AN192)*EXP(-(LN(2)/$D$65+0.1)*AO192),IF(AL192=3,AQ$100*EXP(-(LN(2)/$D$65+0.04)*(VLOOKUP(($F$16-$F$15)-1,AK$99:AO192,4,FALSE)))*EXP(-(LN(2)/$D$65+0.1)*(VLOOKUP(($F$16-$F$15)-1,AK$99:AO192,5,FALSE)))*EXP(-(LN(2)/$D$65+0.04)*(VLOOKUP(($F$16-$F$15)*2-1,AK$99:AO192,4,FALSE)))*EXP(-(LN(2)/$D$65+0.1)*(VLOOKUP(($F$16-$F$15)*2-1,AK$99:AO192,5,FALSE)))*EXP(-(LN(2)/$D$65+0.04)*AN192)*EXP(-(LN(2)/$D$65+0.1)*AO192),"-"))),"-")</f>
        <v>-</v>
      </c>
      <c r="AR193" s="271" t="str">
        <f>IFERROR(IF(AL193=1,AR$100*EXP(-(LN(2)/$D$65+0.04)*AN193)*EXP(-(LN(2)/$D$65+0.1)*AO193),IF(AL193=2,AR$100*EXP(-(LN(2)/$D$65+0.04)*(VLOOKUP(($F$16-$F$15)-1,AK$100:AO193,4,FALSE)))*EXP(-(LN(2)/$D$65+0.1)*(VLOOKUP(($F$16-$F$15)-1,AK$100:AO193,5,FALSE)))*EXP(-(LN(2)/$D$65+0.04)*AN193)*EXP(-(LN(2)/$D$65+0.1)*AO193),IF(AL193=3,AR$100*EXP(-(LN(2)/$D$65+0.04)*(VLOOKUP(($F$16-$F$15)-1,AK$100:AO193,4,FALSE)))*EXP(-(LN(2)/$D$65+0.1)*(VLOOKUP(($F$16-$F$15)-1,AK$100:AO193,5,FALSE)))*EXP(-(LN(2)/$D$65+0.04)*(VLOOKUP(($F$16-$F$15)*2-1,AK$100:AO193,4,FALSE)))*EXP(-(LN(2)/$D$65+0.1)*(VLOOKUP(($F$16-$F$15)*2-1,AK$100:AO193,5,FALSE)))*EXP(-(LN(2)/$D$65+0.04)*AN193)*EXP(-(LN(2)/$D$65+0.1)*AO193),"-"))),"-")</f>
        <v>-</v>
      </c>
      <c r="AS193" s="274">
        <f t="shared" si="113"/>
        <v>0</v>
      </c>
      <c r="AT193" s="274">
        <f t="shared" si="114"/>
        <v>0</v>
      </c>
      <c r="AU193" s="274">
        <f t="shared" si="115"/>
        <v>0</v>
      </c>
      <c r="AV193" s="190" t="str">
        <f>IF($B193&lt;$F$22,SUM($T$100:$T193),"")</f>
        <v/>
      </c>
      <c r="AW193" s="190" t="str">
        <f t="shared" si="116"/>
        <v>-</v>
      </c>
      <c r="AX193" s="190" t="str">
        <f t="shared" si="141"/>
        <v/>
      </c>
      <c r="AY193"/>
      <c r="AZ193" s="190" t="str">
        <f ca="1">IF(ISNUMBER(OFFSET(AV193,-$F$21,0)),SUM(OFFSET($T$100,$F$21,0):$T193),"")</f>
        <v/>
      </c>
      <c r="BA193" s="190" t="str">
        <f t="shared" ca="1" si="117"/>
        <v/>
      </c>
      <c r="BB193" s="190" t="str">
        <f t="shared" ca="1" si="148"/>
        <v/>
      </c>
      <c r="BC193" s="190"/>
      <c r="BD193" s="190" t="str">
        <f ca="1">IFERROR(IF(OR(ISNUMBER(I),ISNUMBER($F$14)),IF(AND($B193&gt;=($F$16-$F$15),$B193&lt;$F$22+($F$16-$F$15)),SUM(OFFSET($T$100,($F$16-$F$15),0):$T193),""),""),"")</f>
        <v/>
      </c>
      <c r="BE193" s="190" t="str">
        <f t="shared" ca="1" si="142"/>
        <v/>
      </c>
      <c r="BF193" s="190" t="str">
        <f t="shared" ca="1" si="143"/>
        <v/>
      </c>
      <c r="BG193"/>
      <c r="BH193" s="190" t="str">
        <f ca="1">IF(ISNUMBER(OFFSET(BD193,-$F$21,0)),SUM(OFFSET($T$100,($F$16-$F$15+$F$21),0):$T193),"")</f>
        <v/>
      </c>
      <c r="BI193" s="190" t="str">
        <f t="shared" ca="1" si="118"/>
        <v/>
      </c>
      <c r="BJ193" s="190" t="str">
        <f t="shared" ca="1" si="144"/>
        <v/>
      </c>
      <c r="BK193" s="190"/>
      <c r="BL193" s="190" t="str">
        <f ca="1">IFERROR(IF(OR(ISNUMBER(I),ISNUMBER($F$14)),IF(AND($B193&gt;=($F$17-$F$15),$B193&lt;$F$22+($F$17-$F$15)),SUM(OFFSET($T$100,($F$17-$F$15),0):$T193),""),""),"")</f>
        <v/>
      </c>
      <c r="BM193" s="190" t="str">
        <f t="shared" ca="1" si="119"/>
        <v/>
      </c>
      <c r="BN193" s="190" t="str">
        <f t="shared" ca="1" si="145"/>
        <v/>
      </c>
      <c r="BO193"/>
      <c r="BP193" s="190" t="str">
        <f ca="1">IF(ISNUMBER(OFFSET(BL193,-$F$21,0)),SUM(OFFSET($T$100,($F$17-$F$15+$F$21),0):$T193),"")</f>
        <v/>
      </c>
      <c r="BQ193" s="190" t="str">
        <f t="shared" ca="1" si="120"/>
        <v/>
      </c>
      <c r="BR193" s="190" t="str">
        <f t="shared" ca="1" si="146"/>
        <v/>
      </c>
      <c r="BS193" s="190"/>
      <c r="BT193"/>
      <c r="BU193"/>
      <c r="BV193"/>
      <c r="BY193" s="99"/>
      <c r="BZ193" s="99"/>
      <c r="CA193" s="280" t="str">
        <f t="shared" si="121"/>
        <v/>
      </c>
      <c r="CB193" s="71" t="str">
        <f t="shared" si="122"/>
        <v>-</v>
      </c>
      <c r="CC193" s="33"/>
      <c r="CD193" s="261" t="str">
        <f t="shared" si="123"/>
        <v/>
      </c>
      <c r="CE193" s="280" t="str">
        <f t="shared" si="124"/>
        <v/>
      </c>
      <c r="CF193" s="71" t="str">
        <f t="shared" ca="1" si="125"/>
        <v/>
      </c>
      <c r="CG193" s="33" t="str">
        <f t="shared" si="126"/>
        <v/>
      </c>
      <c r="CH193" s="261" t="str">
        <f t="shared" ca="1" si="127"/>
        <v/>
      </c>
    </row>
    <row r="194" spans="2:86" ht="13.5" customHeight="1" x14ac:dyDescent="0.2">
      <c r="B194" s="262">
        <v>94</v>
      </c>
      <c r="C194" s="237" t="str">
        <f t="shared" si="91"/>
        <v/>
      </c>
      <c r="D194" s="237" t="str">
        <f t="shared" si="147"/>
        <v/>
      </c>
      <c r="E194" s="263" t="str">
        <f t="shared" si="128"/>
        <v/>
      </c>
      <c r="F194" s="264" t="str">
        <f t="shared" si="129"/>
        <v/>
      </c>
      <c r="G194" s="264" t="str">
        <f t="shared" si="130"/>
        <v/>
      </c>
      <c r="H194" s="240" t="str">
        <f t="shared" si="92"/>
        <v/>
      </c>
      <c r="I194" s="265" t="str">
        <f t="shared" si="93"/>
        <v/>
      </c>
      <c r="J194" s="265" t="str">
        <f t="shared" si="94"/>
        <v/>
      </c>
      <c r="K194" s="240" t="str">
        <f t="shared" si="95"/>
        <v/>
      </c>
      <c r="L194" s="265" t="str">
        <f t="shared" si="96"/>
        <v/>
      </c>
      <c r="M194" s="265" t="str">
        <f t="shared" si="97"/>
        <v/>
      </c>
      <c r="N194" s="240" t="str">
        <f t="shared" si="98"/>
        <v>-</v>
      </c>
      <c r="O194" s="265" t="str">
        <f t="shared" si="99"/>
        <v>-</v>
      </c>
      <c r="P194" s="265" t="str">
        <f t="shared" si="100"/>
        <v>-</v>
      </c>
      <c r="Q194" s="266" t="str">
        <f t="shared" si="101"/>
        <v>-</v>
      </c>
      <c r="R194" s="267" t="str">
        <f t="shared" si="102"/>
        <v>-</v>
      </c>
      <c r="S194" s="268" t="str">
        <f t="shared" si="103"/>
        <v>-</v>
      </c>
      <c r="T194" s="269" t="str">
        <f t="shared" si="104"/>
        <v/>
      </c>
      <c r="U194" s="221">
        <f t="shared" si="105"/>
        <v>94</v>
      </c>
      <c r="V194" s="220" t="str">
        <f t="shared" si="131"/>
        <v>-</v>
      </c>
      <c r="W194" s="221" t="str">
        <f t="shared" si="132"/>
        <v>-</v>
      </c>
      <c r="X194" s="221" t="str">
        <f t="shared" si="106"/>
        <v>-</v>
      </c>
      <c r="Y194" s="221" t="str">
        <f t="shared" si="107"/>
        <v>-</v>
      </c>
      <c r="Z194" s="270">
        <f t="shared" si="133"/>
        <v>0.1</v>
      </c>
      <c r="AA194" s="271" t="str">
        <f>IFERROR(IF(V193=1,AA$100*EXP(-(LN(2)/$D$65+0.04)*X193)*EXP(-(LN(2)/$D$65+0.1)*Y193),IF(V193=2,AA$100*EXP(-(LN(2)/$D$65+0.04)*(VLOOKUP(($F$16-$F$15)-1,U$99:Y193,4,FALSE)))*EXP(-(LN(2)/$D$65+0.1)*(VLOOKUP(($F$16-$F$15)-1,U$99:Y193,5,FALSE)))*EXP(-(LN(2)/$D$65+0.04)*X193)*EXP(-(LN(2)/$D$65+0.1)*Y193),IF(V193=3,AA$100*EXP(-(LN(2)/$D$65+0.04)*(VLOOKUP(($F$16-$F$15)-1,U$99:Y193,4,FALSE)))*EXP(-(LN(2)/$D$65+0.1)*(VLOOKUP(($F$16-$F$15)-1,U$99:Y193,5,FALSE)))*EXP(-(LN(2)/$D$65+0.04)*(VLOOKUP(($F$16-$F$15)*2-1,U$99:Y193,4,FALSE)))*EXP(-(LN(2)/$D$65+0.1)*(VLOOKUP(($F$16-$F$15)*2-1,U$99:Y193,5,FALSE)))*EXP(-(LN(2)/$D$65+0.04)*X193)*EXP(-(LN(2)/$D$65+0.1)*Y193),"-"))),"-")</f>
        <v>-</v>
      </c>
      <c r="AB194" s="271" t="str">
        <f>IFERROR(IF(V194=1,AB$100*EXP(-(LN(2)/$D$65+0.04)*X194)*EXP(-(LN(2)/$D$65+0.1)*Y194),IF(V194=2,AB$100*EXP(-(LN(2)/$D$65+0.04)*(VLOOKUP(($F$16-$F$15)-1,U$100:Y194,4,FALSE)))*EXP(-(LN(2)/$D$65+0.1)*(VLOOKUP(($F$16-$F$15)-1,U$100:Y194,5,FALSE)))*EXP(-(LN(2)/$D$65+0.04)*X194)*EXP(-(LN(2)/$D$65+0.1)*Y194),IF(V194=3,AB$100*EXP(-(LN(2)/$D$65+0.04)*(VLOOKUP(($F$16-$F$15)-1,U$100:Y194,4,FALSE)))*EXP(-(LN(2)/$D$65+0.1)*(VLOOKUP(($F$16-$F$15)-1,U$100:Y194,5,FALSE)))*EXP(-(LN(2)/$D$65+0.04)*(VLOOKUP(($F$16-$F$15)*2-1,U$100:Y194,4,FALSE)))*EXP(-(LN(2)/$D$65+0.1)*(VLOOKUP(($F$16-$F$15)*2-1,U$100:Y194,5,FALSE)))*EXP(-(LN(2)/$D$65+0.04)*X194)*EXP(-(LN(2)/$D$65+0.1)*Y194),"-"))),"-")</f>
        <v>-</v>
      </c>
      <c r="AC194" s="224">
        <f t="shared" si="134"/>
        <v>94</v>
      </c>
      <c r="AD194" s="223" t="str">
        <f t="shared" si="108"/>
        <v>-</v>
      </c>
      <c r="AE194" s="224" t="str">
        <f t="shared" si="135"/>
        <v>-</v>
      </c>
      <c r="AF194" s="224" t="str">
        <f t="shared" si="109"/>
        <v>-</v>
      </c>
      <c r="AG194" s="224" t="str">
        <f t="shared" si="110"/>
        <v>-</v>
      </c>
      <c r="AH194" s="272">
        <f t="shared" si="136"/>
        <v>0.1</v>
      </c>
      <c r="AI194" s="271" t="str">
        <f>IFERROR(IF(AD193=1,AI$100*EXP(-(LN(2)/$D$65+0.04)*AF193)*EXP(-(LN(2)/$D$65+0.1)*AG193),IF(AD193=2,AI$100*EXP(-(LN(2)/$D$65+0.04)*(VLOOKUP(($F$16-$F$15)-1,AC$99:AG193,4,FALSE)))*EXP(-(LN(2)/$D$65+0.1)*(VLOOKUP(($F$16-$F$15)-1,AC$99:AG193,5,FALSE)))*EXP(-(LN(2)/$D$65+0.04)*AF193)*EXP(-(LN(2)/$D$65+0.1)*AG193),IF(AD193=3,AI$100*EXP(-(LN(2)/$D$65+0.04)*(VLOOKUP(($F$16-$F$15)-1,AC$99:AG193,4,FALSE)))*EXP(-(LN(2)/$D$65+0.1)*(VLOOKUP(($F$16-$F$15)-1,AC$99:AG193,5,FALSE)))*EXP(-(LN(2)/$D$65+0.04)*(VLOOKUP(($F$16-$F$15)*2-1,AC$99:AG193,4,FALSE)))*EXP(-(LN(2)/$D$65+0.1)*(VLOOKUP(($F$16-$F$15)*2-1,AC$99:AG193,5,FALSE)))*EXP(-(LN(2)/$D$65+0.04)*AF193)*EXP(-(LN(2)/$D$65+0.1)*AG193),"-"))),"-")</f>
        <v>-</v>
      </c>
      <c r="AJ194" s="271" t="str">
        <f>IFERROR(IF(AD194=1,AJ$100*EXP(-(LN(2)/$D$65+0.04)*AF194)*EXP(-(LN(2)/$D$65+0.1)*AG194),IF(AD194=2,AJ$100*EXP(-(LN(2)/$D$65+0.04)*(VLOOKUP(($F$16-$F$15)-1,AC$100:AG194,4,FALSE)))*EXP(-(LN(2)/$D$65+0.1)*(VLOOKUP(($F$16-$F$15)-1,AC$100:AG194,5,FALSE)))*EXP(-(LN(2)/$D$65+0.04)*AF194)*EXP(-(LN(2)/$D$65+0.1)*AG194),IF(AD194=3,AJ$100*EXP(-(LN(2)/$D$65+0.04)*(VLOOKUP(($F$16-$F$15)-1,AC$100:AG194,4,FALSE)))*EXP(-(LN(2)/$D$65+0.1)*(VLOOKUP(($F$16-$F$15)-1,AC$100:AG194,5,FALSE)))*EXP(-(LN(2)/$D$65+0.04)*(VLOOKUP(($F$16-$F$15)*2-1,AC$100:AG194,4,FALSE)))*EXP(-(LN(2)/$D$65+0.1)*(VLOOKUP(($F$16-$F$15)*2-1,AC$100:AG194,5,FALSE)))*EXP(-(LN(2)/$D$65+0.04)*AF194)*EXP(-(LN(2)/$D$65+0.1)*AG194),"-"))),"-")</f>
        <v>-</v>
      </c>
      <c r="AK194" s="227">
        <f t="shared" si="137"/>
        <v>94</v>
      </c>
      <c r="AL194" s="226" t="str">
        <f t="shared" si="111"/>
        <v>-</v>
      </c>
      <c r="AM194" s="227" t="str">
        <f t="shared" si="138"/>
        <v>-</v>
      </c>
      <c r="AN194" s="227" t="str">
        <f t="shared" si="139"/>
        <v>-</v>
      </c>
      <c r="AO194" s="227" t="str">
        <f t="shared" si="112"/>
        <v>-</v>
      </c>
      <c r="AP194" s="273">
        <f t="shared" si="140"/>
        <v>0.1</v>
      </c>
      <c r="AQ194" s="271" t="str">
        <f>IFERROR(IF(AL193=1,AQ$100*EXP(-(LN(2)/$D$65+0.04)*AN193)*EXP(-(LN(2)/$D$65+0.1)*AO193),IF(AL193=2,AQ$100*EXP(-(LN(2)/$D$65+0.04)*(VLOOKUP(($F$16-$F$15)-1,AK$99:AO193,4,FALSE)))*EXP(-(LN(2)/$D$65+0.1)*(VLOOKUP(($F$16-$F$15)-1,AK$99:AO193,5,FALSE)))*EXP(-(LN(2)/$D$65+0.04)*AN193)*EXP(-(LN(2)/$D$65+0.1)*AO193),IF(AL193=3,AQ$100*EXP(-(LN(2)/$D$65+0.04)*(VLOOKUP(($F$16-$F$15)-1,AK$99:AO193,4,FALSE)))*EXP(-(LN(2)/$D$65+0.1)*(VLOOKUP(($F$16-$F$15)-1,AK$99:AO193,5,FALSE)))*EXP(-(LN(2)/$D$65+0.04)*(VLOOKUP(($F$16-$F$15)*2-1,AK$99:AO193,4,FALSE)))*EXP(-(LN(2)/$D$65+0.1)*(VLOOKUP(($F$16-$F$15)*2-1,AK$99:AO193,5,FALSE)))*EXP(-(LN(2)/$D$65+0.04)*AN193)*EXP(-(LN(2)/$D$65+0.1)*AO193),"-"))),"-")</f>
        <v>-</v>
      </c>
      <c r="AR194" s="271" t="str">
        <f>IFERROR(IF(AL194=1,AR$100*EXP(-(LN(2)/$D$65+0.04)*AN194)*EXP(-(LN(2)/$D$65+0.1)*AO194),IF(AL194=2,AR$100*EXP(-(LN(2)/$D$65+0.04)*(VLOOKUP(($F$16-$F$15)-1,AK$100:AO194,4,FALSE)))*EXP(-(LN(2)/$D$65+0.1)*(VLOOKUP(($F$16-$F$15)-1,AK$100:AO194,5,FALSE)))*EXP(-(LN(2)/$D$65+0.04)*AN194)*EXP(-(LN(2)/$D$65+0.1)*AO194),IF(AL194=3,AR$100*EXP(-(LN(2)/$D$65+0.04)*(VLOOKUP(($F$16-$F$15)-1,AK$100:AO194,4,FALSE)))*EXP(-(LN(2)/$D$65+0.1)*(VLOOKUP(($F$16-$F$15)-1,AK$100:AO194,5,FALSE)))*EXP(-(LN(2)/$D$65+0.04)*(VLOOKUP(($F$16-$F$15)*2-1,AK$100:AO194,4,FALSE)))*EXP(-(LN(2)/$D$65+0.1)*(VLOOKUP(($F$16-$F$15)*2-1,AK$100:AO194,5,FALSE)))*EXP(-(LN(2)/$D$65+0.04)*AN194)*EXP(-(LN(2)/$D$65+0.1)*AO194),"-"))),"-")</f>
        <v>-</v>
      </c>
      <c r="AS194" s="274">
        <f t="shared" si="113"/>
        <v>0</v>
      </c>
      <c r="AT194" s="274">
        <f t="shared" si="114"/>
        <v>0</v>
      </c>
      <c r="AU194" s="274">
        <f t="shared" si="115"/>
        <v>0</v>
      </c>
      <c r="AV194" s="190" t="str">
        <f>IF($B194&lt;$F$22,SUM($T$100:$T194),"")</f>
        <v/>
      </c>
      <c r="AW194" s="190" t="str">
        <f t="shared" si="116"/>
        <v>-</v>
      </c>
      <c r="AX194" s="190" t="str">
        <f t="shared" si="141"/>
        <v/>
      </c>
      <c r="AY194"/>
      <c r="AZ194" s="190" t="str">
        <f ca="1">IF(ISNUMBER(OFFSET(AV194,-$F$21,0)),SUM(OFFSET($T$100,$F$21,0):$T194),"")</f>
        <v/>
      </c>
      <c r="BA194" s="190" t="str">
        <f t="shared" ca="1" si="117"/>
        <v/>
      </c>
      <c r="BB194" s="190" t="str">
        <f t="shared" ca="1" si="148"/>
        <v/>
      </c>
      <c r="BC194" s="190"/>
      <c r="BD194" s="190" t="str">
        <f ca="1">IFERROR(IF(OR(ISNUMBER(I),ISNUMBER($F$14)),IF(AND($B194&gt;=($F$16-$F$15),$B194&lt;$F$22+($F$16-$F$15)),SUM(OFFSET($T$100,($F$16-$F$15),0):$T194),""),""),"")</f>
        <v/>
      </c>
      <c r="BE194" s="190" t="str">
        <f t="shared" ca="1" si="142"/>
        <v/>
      </c>
      <c r="BF194" s="190" t="str">
        <f t="shared" ca="1" si="143"/>
        <v/>
      </c>
      <c r="BG194"/>
      <c r="BH194" s="190" t="str">
        <f ca="1">IF(ISNUMBER(OFFSET(BD194,-$F$21,0)),SUM(OFFSET($T$100,($F$16-$F$15+$F$21),0):$T194),"")</f>
        <v/>
      </c>
      <c r="BI194" s="190" t="str">
        <f t="shared" ca="1" si="118"/>
        <v/>
      </c>
      <c r="BJ194" s="190" t="str">
        <f t="shared" ca="1" si="144"/>
        <v/>
      </c>
      <c r="BK194" s="190"/>
      <c r="BL194" s="190" t="str">
        <f ca="1">IFERROR(IF(OR(ISNUMBER(I),ISNUMBER($F$14)),IF(AND($B194&gt;=($F$17-$F$15),$B194&lt;$F$22+($F$17-$F$15)),SUM(OFFSET($T$100,($F$17-$F$15),0):$T194),""),""),"")</f>
        <v/>
      </c>
      <c r="BM194" s="190" t="str">
        <f t="shared" ca="1" si="119"/>
        <v/>
      </c>
      <c r="BN194" s="190" t="str">
        <f t="shared" ca="1" si="145"/>
        <v/>
      </c>
      <c r="BO194"/>
      <c r="BP194" s="190" t="str">
        <f ca="1">IF(ISNUMBER(OFFSET(BL194,-$F$21,0)),SUM(OFFSET($T$100,($F$17-$F$15+$F$21),0):$T194),"")</f>
        <v/>
      </c>
      <c r="BQ194" s="190" t="str">
        <f t="shared" ca="1" si="120"/>
        <v/>
      </c>
      <c r="BR194" s="190" t="str">
        <f t="shared" ca="1" si="146"/>
        <v/>
      </c>
      <c r="BS194" s="190"/>
      <c r="BT194"/>
      <c r="BU194"/>
      <c r="BV194"/>
      <c r="BY194" s="99"/>
      <c r="BZ194" s="99"/>
      <c r="CA194" s="280" t="str">
        <f t="shared" si="121"/>
        <v/>
      </c>
      <c r="CB194" s="71" t="str">
        <f t="shared" si="122"/>
        <v>-</v>
      </c>
      <c r="CC194" s="33"/>
      <c r="CD194" s="261" t="str">
        <f t="shared" si="123"/>
        <v/>
      </c>
      <c r="CE194" s="280" t="str">
        <f t="shared" si="124"/>
        <v/>
      </c>
      <c r="CF194" s="71" t="str">
        <f t="shared" ca="1" si="125"/>
        <v/>
      </c>
      <c r="CG194" s="33" t="str">
        <f t="shared" si="126"/>
        <v/>
      </c>
      <c r="CH194" s="261" t="str">
        <f t="shared" ca="1" si="127"/>
        <v/>
      </c>
    </row>
    <row r="195" spans="2:86" ht="13.5" customHeight="1" x14ac:dyDescent="0.2">
      <c r="B195" s="262">
        <v>95</v>
      </c>
      <c r="C195" s="237" t="str">
        <f t="shared" si="91"/>
        <v/>
      </c>
      <c r="D195" s="237" t="str">
        <f t="shared" si="147"/>
        <v/>
      </c>
      <c r="E195" s="263" t="str">
        <f t="shared" si="128"/>
        <v/>
      </c>
      <c r="F195" s="264" t="str">
        <f t="shared" si="129"/>
        <v/>
      </c>
      <c r="G195" s="264" t="str">
        <f t="shared" si="130"/>
        <v/>
      </c>
      <c r="H195" s="240" t="str">
        <f t="shared" si="92"/>
        <v/>
      </c>
      <c r="I195" s="265" t="str">
        <f t="shared" si="93"/>
        <v/>
      </c>
      <c r="J195" s="265" t="str">
        <f t="shared" si="94"/>
        <v/>
      </c>
      <c r="K195" s="240" t="str">
        <f t="shared" si="95"/>
        <v/>
      </c>
      <c r="L195" s="265" t="str">
        <f t="shared" si="96"/>
        <v/>
      </c>
      <c r="M195" s="265" t="str">
        <f t="shared" si="97"/>
        <v/>
      </c>
      <c r="N195" s="240" t="str">
        <f t="shared" si="98"/>
        <v>-</v>
      </c>
      <c r="O195" s="265" t="str">
        <f t="shared" si="99"/>
        <v>-</v>
      </c>
      <c r="P195" s="265" t="str">
        <f t="shared" si="100"/>
        <v>-</v>
      </c>
      <c r="Q195" s="266" t="str">
        <f t="shared" si="101"/>
        <v>-</v>
      </c>
      <c r="R195" s="267" t="str">
        <f t="shared" si="102"/>
        <v>-</v>
      </c>
      <c r="S195" s="268" t="str">
        <f t="shared" si="103"/>
        <v>-</v>
      </c>
      <c r="T195" s="269" t="str">
        <f t="shared" si="104"/>
        <v/>
      </c>
      <c r="U195" s="221">
        <f t="shared" si="105"/>
        <v>95</v>
      </c>
      <c r="V195" s="220" t="str">
        <f t="shared" si="131"/>
        <v>-</v>
      </c>
      <c r="W195" s="221" t="str">
        <f t="shared" si="132"/>
        <v>-</v>
      </c>
      <c r="X195" s="221" t="str">
        <f t="shared" si="106"/>
        <v>-</v>
      </c>
      <c r="Y195" s="221" t="str">
        <f t="shared" si="107"/>
        <v>-</v>
      </c>
      <c r="Z195" s="270">
        <f t="shared" si="133"/>
        <v>0.1</v>
      </c>
      <c r="AA195" s="271" t="str">
        <f>IFERROR(IF(V194=1,AA$100*EXP(-(LN(2)/$D$65+0.04)*X194)*EXP(-(LN(2)/$D$65+0.1)*Y194),IF(V194=2,AA$100*EXP(-(LN(2)/$D$65+0.04)*(VLOOKUP(($F$16-$F$15)-1,U$99:Y194,4,FALSE)))*EXP(-(LN(2)/$D$65+0.1)*(VLOOKUP(($F$16-$F$15)-1,U$99:Y194,5,FALSE)))*EXP(-(LN(2)/$D$65+0.04)*X194)*EXP(-(LN(2)/$D$65+0.1)*Y194),IF(V194=3,AA$100*EXP(-(LN(2)/$D$65+0.04)*(VLOOKUP(($F$16-$F$15)-1,U$99:Y194,4,FALSE)))*EXP(-(LN(2)/$D$65+0.1)*(VLOOKUP(($F$16-$F$15)-1,U$99:Y194,5,FALSE)))*EXP(-(LN(2)/$D$65+0.04)*(VLOOKUP(($F$16-$F$15)*2-1,U$99:Y194,4,FALSE)))*EXP(-(LN(2)/$D$65+0.1)*(VLOOKUP(($F$16-$F$15)*2-1,U$99:Y194,5,FALSE)))*EXP(-(LN(2)/$D$65+0.04)*X194)*EXP(-(LN(2)/$D$65+0.1)*Y194),"-"))),"-")</f>
        <v>-</v>
      </c>
      <c r="AB195" s="271" t="str">
        <f>IFERROR(IF(V195=1,AB$100*EXP(-(LN(2)/$D$65+0.04)*X195)*EXP(-(LN(2)/$D$65+0.1)*Y195),IF(V195=2,AB$100*EXP(-(LN(2)/$D$65+0.04)*(VLOOKUP(($F$16-$F$15)-1,U$100:Y195,4,FALSE)))*EXP(-(LN(2)/$D$65+0.1)*(VLOOKUP(($F$16-$F$15)-1,U$100:Y195,5,FALSE)))*EXP(-(LN(2)/$D$65+0.04)*X195)*EXP(-(LN(2)/$D$65+0.1)*Y195),IF(V195=3,AB$100*EXP(-(LN(2)/$D$65+0.04)*(VLOOKUP(($F$16-$F$15)-1,U$100:Y195,4,FALSE)))*EXP(-(LN(2)/$D$65+0.1)*(VLOOKUP(($F$16-$F$15)-1,U$100:Y195,5,FALSE)))*EXP(-(LN(2)/$D$65+0.04)*(VLOOKUP(($F$16-$F$15)*2-1,U$100:Y195,4,FALSE)))*EXP(-(LN(2)/$D$65+0.1)*(VLOOKUP(($F$16-$F$15)*2-1,U$100:Y195,5,FALSE)))*EXP(-(LN(2)/$D$65+0.04)*X195)*EXP(-(LN(2)/$D$65+0.1)*Y195),"-"))),"-")</f>
        <v>-</v>
      </c>
      <c r="AC195" s="224">
        <f t="shared" si="134"/>
        <v>95</v>
      </c>
      <c r="AD195" s="223" t="str">
        <f t="shared" si="108"/>
        <v>-</v>
      </c>
      <c r="AE195" s="224" t="str">
        <f t="shared" si="135"/>
        <v>-</v>
      </c>
      <c r="AF195" s="224" t="str">
        <f t="shared" si="109"/>
        <v>-</v>
      </c>
      <c r="AG195" s="224" t="str">
        <f t="shared" si="110"/>
        <v>-</v>
      </c>
      <c r="AH195" s="272">
        <f t="shared" si="136"/>
        <v>0.1</v>
      </c>
      <c r="AI195" s="271" t="str">
        <f>IFERROR(IF(AD194=1,AI$100*EXP(-(LN(2)/$D$65+0.04)*AF194)*EXP(-(LN(2)/$D$65+0.1)*AG194),IF(AD194=2,AI$100*EXP(-(LN(2)/$D$65+0.04)*(VLOOKUP(($F$16-$F$15)-1,AC$99:AG194,4,FALSE)))*EXP(-(LN(2)/$D$65+0.1)*(VLOOKUP(($F$16-$F$15)-1,AC$99:AG194,5,FALSE)))*EXP(-(LN(2)/$D$65+0.04)*AF194)*EXP(-(LN(2)/$D$65+0.1)*AG194),IF(AD194=3,AI$100*EXP(-(LN(2)/$D$65+0.04)*(VLOOKUP(($F$16-$F$15)-1,AC$99:AG194,4,FALSE)))*EXP(-(LN(2)/$D$65+0.1)*(VLOOKUP(($F$16-$F$15)-1,AC$99:AG194,5,FALSE)))*EXP(-(LN(2)/$D$65+0.04)*(VLOOKUP(($F$16-$F$15)*2-1,AC$99:AG194,4,FALSE)))*EXP(-(LN(2)/$D$65+0.1)*(VLOOKUP(($F$16-$F$15)*2-1,AC$99:AG194,5,FALSE)))*EXP(-(LN(2)/$D$65+0.04)*AF194)*EXP(-(LN(2)/$D$65+0.1)*AG194),"-"))),"-")</f>
        <v>-</v>
      </c>
      <c r="AJ195" s="271" t="str">
        <f>IFERROR(IF(AD195=1,AJ$100*EXP(-(LN(2)/$D$65+0.04)*AF195)*EXP(-(LN(2)/$D$65+0.1)*AG195),IF(AD195=2,AJ$100*EXP(-(LN(2)/$D$65+0.04)*(VLOOKUP(($F$16-$F$15)-1,AC$100:AG195,4,FALSE)))*EXP(-(LN(2)/$D$65+0.1)*(VLOOKUP(($F$16-$F$15)-1,AC$100:AG195,5,FALSE)))*EXP(-(LN(2)/$D$65+0.04)*AF195)*EXP(-(LN(2)/$D$65+0.1)*AG195),IF(AD195=3,AJ$100*EXP(-(LN(2)/$D$65+0.04)*(VLOOKUP(($F$16-$F$15)-1,AC$100:AG195,4,FALSE)))*EXP(-(LN(2)/$D$65+0.1)*(VLOOKUP(($F$16-$F$15)-1,AC$100:AG195,5,FALSE)))*EXP(-(LN(2)/$D$65+0.04)*(VLOOKUP(($F$16-$F$15)*2-1,AC$100:AG195,4,FALSE)))*EXP(-(LN(2)/$D$65+0.1)*(VLOOKUP(($F$16-$F$15)*2-1,AC$100:AG195,5,FALSE)))*EXP(-(LN(2)/$D$65+0.04)*AF195)*EXP(-(LN(2)/$D$65+0.1)*AG195),"-"))),"-")</f>
        <v>-</v>
      </c>
      <c r="AK195" s="227">
        <f t="shared" si="137"/>
        <v>95</v>
      </c>
      <c r="AL195" s="226" t="str">
        <f t="shared" si="111"/>
        <v>-</v>
      </c>
      <c r="AM195" s="227" t="str">
        <f t="shared" si="138"/>
        <v>-</v>
      </c>
      <c r="AN195" s="227" t="str">
        <f t="shared" si="139"/>
        <v>-</v>
      </c>
      <c r="AO195" s="227" t="str">
        <f t="shared" si="112"/>
        <v>-</v>
      </c>
      <c r="AP195" s="273">
        <f t="shared" si="140"/>
        <v>0.1</v>
      </c>
      <c r="AQ195" s="271" t="str">
        <f>IFERROR(IF(AL194=1,AQ$100*EXP(-(LN(2)/$D$65+0.04)*AN194)*EXP(-(LN(2)/$D$65+0.1)*AO194),IF(AL194=2,AQ$100*EXP(-(LN(2)/$D$65+0.04)*(VLOOKUP(($F$16-$F$15)-1,AK$99:AO194,4,FALSE)))*EXP(-(LN(2)/$D$65+0.1)*(VLOOKUP(($F$16-$F$15)-1,AK$99:AO194,5,FALSE)))*EXP(-(LN(2)/$D$65+0.04)*AN194)*EXP(-(LN(2)/$D$65+0.1)*AO194),IF(AL194=3,AQ$100*EXP(-(LN(2)/$D$65+0.04)*(VLOOKUP(($F$16-$F$15)-1,AK$99:AO194,4,FALSE)))*EXP(-(LN(2)/$D$65+0.1)*(VLOOKUP(($F$16-$F$15)-1,AK$99:AO194,5,FALSE)))*EXP(-(LN(2)/$D$65+0.04)*(VLOOKUP(($F$16-$F$15)*2-1,AK$99:AO194,4,FALSE)))*EXP(-(LN(2)/$D$65+0.1)*(VLOOKUP(($F$16-$F$15)*2-1,AK$99:AO194,5,FALSE)))*EXP(-(LN(2)/$D$65+0.04)*AN194)*EXP(-(LN(2)/$D$65+0.1)*AO194),"-"))),"-")</f>
        <v>-</v>
      </c>
      <c r="AR195" s="271" t="str">
        <f>IFERROR(IF(AL195=1,AR$100*EXP(-(LN(2)/$D$65+0.04)*AN195)*EXP(-(LN(2)/$D$65+0.1)*AO195),IF(AL195=2,AR$100*EXP(-(LN(2)/$D$65+0.04)*(VLOOKUP(($F$16-$F$15)-1,AK$100:AO195,4,FALSE)))*EXP(-(LN(2)/$D$65+0.1)*(VLOOKUP(($F$16-$F$15)-1,AK$100:AO195,5,FALSE)))*EXP(-(LN(2)/$D$65+0.04)*AN195)*EXP(-(LN(2)/$D$65+0.1)*AO195),IF(AL195=3,AR$100*EXP(-(LN(2)/$D$65+0.04)*(VLOOKUP(($F$16-$F$15)-1,AK$100:AO195,4,FALSE)))*EXP(-(LN(2)/$D$65+0.1)*(VLOOKUP(($F$16-$F$15)-1,AK$100:AO195,5,FALSE)))*EXP(-(LN(2)/$D$65+0.04)*(VLOOKUP(($F$16-$F$15)*2-1,AK$100:AO195,4,FALSE)))*EXP(-(LN(2)/$D$65+0.1)*(VLOOKUP(($F$16-$F$15)*2-1,AK$100:AO195,5,FALSE)))*EXP(-(LN(2)/$D$65+0.04)*AN195)*EXP(-(LN(2)/$D$65+0.1)*AO195),"-"))),"-")</f>
        <v>-</v>
      </c>
      <c r="AS195" s="274">
        <f t="shared" si="113"/>
        <v>0</v>
      </c>
      <c r="AT195" s="274">
        <f t="shared" si="114"/>
        <v>0</v>
      </c>
      <c r="AU195" s="274">
        <f t="shared" si="115"/>
        <v>0</v>
      </c>
      <c r="AV195" s="190" t="str">
        <f>IF($B195&lt;$F$22,SUM($T$100:$T195),"")</f>
        <v/>
      </c>
      <c r="AW195" s="190" t="str">
        <f t="shared" si="116"/>
        <v>-</v>
      </c>
      <c r="AX195" s="190" t="str">
        <f t="shared" si="141"/>
        <v/>
      </c>
      <c r="AY195"/>
      <c r="AZ195" s="190" t="str">
        <f ca="1">IF(ISNUMBER(OFFSET(AV195,-$F$21,0)),SUM(OFFSET($T$100,$F$21,0):$T195),"")</f>
        <v/>
      </c>
      <c r="BA195" s="190" t="str">
        <f t="shared" ca="1" si="117"/>
        <v/>
      </c>
      <c r="BB195" s="190" t="str">
        <f t="shared" ca="1" si="148"/>
        <v/>
      </c>
      <c r="BC195" s="190"/>
      <c r="BD195" s="190" t="str">
        <f ca="1">IFERROR(IF(OR(ISNUMBER(I),ISNUMBER($F$14)),IF(AND($B195&gt;=($F$16-$F$15),$B195&lt;$F$22+($F$16-$F$15)),SUM(OFFSET($T$100,($F$16-$F$15),0):$T195),""),""),"")</f>
        <v/>
      </c>
      <c r="BE195" s="190" t="str">
        <f t="shared" ca="1" si="142"/>
        <v/>
      </c>
      <c r="BF195" s="190" t="str">
        <f t="shared" ca="1" si="143"/>
        <v/>
      </c>
      <c r="BG195"/>
      <c r="BH195" s="190" t="str">
        <f ca="1">IF(ISNUMBER(OFFSET(BD195,-$F$21,0)),SUM(OFFSET($T$100,($F$16-$F$15+$F$21),0):$T195),"")</f>
        <v/>
      </c>
      <c r="BI195" s="190" t="str">
        <f t="shared" ca="1" si="118"/>
        <v/>
      </c>
      <c r="BJ195" s="190" t="str">
        <f t="shared" ca="1" si="144"/>
        <v/>
      </c>
      <c r="BK195" s="190"/>
      <c r="BL195" s="190" t="str">
        <f ca="1">IFERROR(IF(OR(ISNUMBER(I),ISNUMBER($F$14)),IF(AND($B195&gt;=($F$17-$F$15),$B195&lt;$F$22+($F$17-$F$15)),SUM(OFFSET($T$100,($F$17-$F$15),0):$T195),""),""),"")</f>
        <v/>
      </c>
      <c r="BM195" s="190" t="str">
        <f t="shared" ca="1" si="119"/>
        <v/>
      </c>
      <c r="BN195" s="190" t="str">
        <f t="shared" ca="1" si="145"/>
        <v/>
      </c>
      <c r="BO195"/>
      <c r="BP195" s="190" t="str">
        <f ca="1">IF(ISNUMBER(OFFSET(BL195,-$F$21,0)),SUM(OFFSET($T$100,($F$17-$F$15+$F$21),0):$T195),"")</f>
        <v/>
      </c>
      <c r="BQ195" s="190" t="str">
        <f t="shared" ca="1" si="120"/>
        <v/>
      </c>
      <c r="BR195" s="190" t="str">
        <f t="shared" ca="1" si="146"/>
        <v/>
      </c>
      <c r="BS195" s="190"/>
      <c r="BT195"/>
      <c r="BU195"/>
      <c r="BV195"/>
      <c r="BY195" s="99"/>
      <c r="BZ195" s="99"/>
      <c r="CA195" s="280" t="str">
        <f t="shared" si="121"/>
        <v/>
      </c>
      <c r="CB195" s="71" t="str">
        <f t="shared" si="122"/>
        <v>-</v>
      </c>
      <c r="CC195" s="33"/>
      <c r="CD195" s="261" t="str">
        <f t="shared" si="123"/>
        <v/>
      </c>
      <c r="CE195" s="280" t="str">
        <f t="shared" si="124"/>
        <v/>
      </c>
      <c r="CF195" s="71" t="str">
        <f t="shared" ca="1" si="125"/>
        <v/>
      </c>
      <c r="CG195" s="33" t="str">
        <f t="shared" si="126"/>
        <v/>
      </c>
      <c r="CH195" s="261" t="str">
        <f t="shared" ca="1" si="127"/>
        <v/>
      </c>
    </row>
    <row r="196" spans="2:86" ht="13.5" customHeight="1" x14ac:dyDescent="0.2">
      <c r="B196" s="262">
        <v>96</v>
      </c>
      <c r="C196" s="237" t="str">
        <f t="shared" si="91"/>
        <v/>
      </c>
      <c r="D196" s="237" t="str">
        <f t="shared" si="147"/>
        <v/>
      </c>
      <c r="E196" s="263" t="str">
        <f t="shared" si="128"/>
        <v/>
      </c>
      <c r="F196" s="264" t="str">
        <f t="shared" si="129"/>
        <v/>
      </c>
      <c r="G196" s="264" t="str">
        <f t="shared" si="130"/>
        <v/>
      </c>
      <c r="H196" s="240" t="str">
        <f t="shared" ref="H196:H227" si="149">IF(E196&lt;&gt;"",IF($B196&lt;$F$21,"",IF(ISNUMBER(F196),IF(ISNUMBER(I196),(E196*30*50*ffp),""),(E196*30*50*ffp))),"")</f>
        <v/>
      </c>
      <c r="I196" s="265" t="str">
        <f t="shared" ref="I196:I227" si="150">IFERROR(IF(F196&lt;&gt;"",IF($B196&lt;$F$21+$F$16,"",IF(ISNUMBER(G196),IF(ISNUMBER(J196),(F196*30*50*ffp),""),(F196*30*50*ffp))),""),"")</f>
        <v/>
      </c>
      <c r="J196" s="265" t="str">
        <f t="shared" ref="J196:J227" si="151">IFERROR(IF(G196&lt;&gt;"",IF($B196&lt;$F$21+$F$17,"",(G196*30*50*ffp)),""),"")</f>
        <v/>
      </c>
      <c r="K196" s="240" t="str">
        <f t="shared" ref="K196:K227" si="152">IF(E196&lt;&gt;"",((E196*20*50*ffp)/Klevee),"")</f>
        <v/>
      </c>
      <c r="L196" s="265" t="str">
        <f t="shared" ref="L196:L227" si="153">IF(ISNUMBER(F196),((F196*20*50*ffp)/Klevee),"")</f>
        <v/>
      </c>
      <c r="M196" s="265" t="str">
        <f t="shared" ref="M196:M227" si="154">IF(ISNUMBER(G196),((G196*20*50*ffp)/Klevee),"")</f>
        <v/>
      </c>
      <c r="N196" s="240" t="str">
        <f t="shared" ref="N196:N227" si="155">IF(AND(ISNUMBER(I),ISNUMBER($F$14),ISNUMBER($F$20)),IF($B196=0,I*($J$40/100)*$J$42*1,""),"-")</f>
        <v>-</v>
      </c>
      <c r="O196" s="265" t="str">
        <f t="shared" ref="O196:O227" si="156">IF(ISNUMBER($F$14),IF($F$14&gt;1,IF($B196=0+$F$16,I*($J$40/100)*$J$42*1,""),""),"-")</f>
        <v>-</v>
      </c>
      <c r="P196" s="265" t="str">
        <f t="shared" ref="P196:P227" si="157">IF(ISNUMBER($F$14),IF($F$14&gt;2,IF($B196=0+$F$17,I*($J$40/100)*$J$42*1,""),""),"-")</f>
        <v>-</v>
      </c>
      <c r="Q196" s="266" t="str">
        <f t="shared" ref="Q196:Q227" si="158">IF(AND(ISNUMBER(I),ISNUMBER($F$14),ISNUMBER($F$20)),IF($B196=0,I*(dt/100)*$J$45*1,""),"-")</f>
        <v>-</v>
      </c>
      <c r="R196" s="267" t="str">
        <f t="shared" ref="R196:R227" si="159">IF(ISNUMBER($F$14),IF($F$14&gt;1,IF($B196=0+$F$16,I*(dt/100)*$J$45*1,""),""),"-")</f>
        <v>-</v>
      </c>
      <c r="S196" s="268" t="str">
        <f t="shared" ref="S196:S227" si="160">IF(ISNUMBER($F$14),IF($F$14&gt;2,IF($B196=0+$F$17,I*(dt/100)*$J$45*1,""),""),"-")</f>
        <v>-</v>
      </c>
      <c r="T196" s="269" t="str">
        <f t="shared" si="104"/>
        <v/>
      </c>
      <c r="U196" s="221">
        <f t="shared" si="105"/>
        <v>96</v>
      </c>
      <c r="V196" s="220" t="str">
        <f t="shared" si="131"/>
        <v>-</v>
      </c>
      <c r="W196" s="221" t="str">
        <f t="shared" si="132"/>
        <v>-</v>
      </c>
      <c r="X196" s="221" t="str">
        <f t="shared" si="106"/>
        <v>-</v>
      </c>
      <c r="Y196" s="221" t="str">
        <f t="shared" si="107"/>
        <v>-</v>
      </c>
      <c r="Z196" s="270">
        <f t="shared" si="133"/>
        <v>0.1</v>
      </c>
      <c r="AA196" s="271" t="str">
        <f>IFERROR(IF(V195=1,AA$100*EXP(-(LN(2)/$D$65+0.04)*X195)*EXP(-(LN(2)/$D$65+0.1)*Y195),IF(V195=2,AA$100*EXP(-(LN(2)/$D$65+0.04)*(VLOOKUP(($F$16-$F$15)-1,U$99:Y195,4,FALSE)))*EXP(-(LN(2)/$D$65+0.1)*(VLOOKUP(($F$16-$F$15)-1,U$99:Y195,5,FALSE)))*EXP(-(LN(2)/$D$65+0.04)*X195)*EXP(-(LN(2)/$D$65+0.1)*Y195),IF(V195=3,AA$100*EXP(-(LN(2)/$D$65+0.04)*(VLOOKUP(($F$16-$F$15)-1,U$99:Y195,4,FALSE)))*EXP(-(LN(2)/$D$65+0.1)*(VLOOKUP(($F$16-$F$15)-1,U$99:Y195,5,FALSE)))*EXP(-(LN(2)/$D$65+0.04)*(VLOOKUP(($F$16-$F$15)*2-1,U$99:Y195,4,FALSE)))*EXP(-(LN(2)/$D$65+0.1)*(VLOOKUP(($F$16-$F$15)*2-1,U$99:Y195,5,FALSE)))*EXP(-(LN(2)/$D$65+0.04)*X195)*EXP(-(LN(2)/$D$65+0.1)*Y195),"-"))),"-")</f>
        <v>-</v>
      </c>
      <c r="AB196" s="271" t="str">
        <f>IFERROR(IF(V196=1,AB$100*EXP(-(LN(2)/$D$65+0.04)*X196)*EXP(-(LN(2)/$D$65+0.1)*Y196),IF(V196=2,AB$100*EXP(-(LN(2)/$D$65+0.04)*(VLOOKUP(($F$16-$F$15)-1,U$100:Y196,4,FALSE)))*EXP(-(LN(2)/$D$65+0.1)*(VLOOKUP(($F$16-$F$15)-1,U$100:Y196,5,FALSE)))*EXP(-(LN(2)/$D$65+0.04)*X196)*EXP(-(LN(2)/$D$65+0.1)*Y196),IF(V196=3,AB$100*EXP(-(LN(2)/$D$65+0.04)*(VLOOKUP(($F$16-$F$15)-1,U$100:Y196,4,FALSE)))*EXP(-(LN(2)/$D$65+0.1)*(VLOOKUP(($F$16-$F$15)-1,U$100:Y196,5,FALSE)))*EXP(-(LN(2)/$D$65+0.04)*(VLOOKUP(($F$16-$F$15)*2-1,U$100:Y196,4,FALSE)))*EXP(-(LN(2)/$D$65+0.1)*(VLOOKUP(($F$16-$F$15)*2-1,U$100:Y196,5,FALSE)))*EXP(-(LN(2)/$D$65+0.04)*X196)*EXP(-(LN(2)/$D$65+0.1)*Y196),"-"))),"-")</f>
        <v>-</v>
      </c>
      <c r="AC196" s="224">
        <f t="shared" si="134"/>
        <v>96</v>
      </c>
      <c r="AD196" s="223" t="str">
        <f t="shared" si="108"/>
        <v>-</v>
      </c>
      <c r="AE196" s="224" t="str">
        <f t="shared" si="135"/>
        <v>-</v>
      </c>
      <c r="AF196" s="224" t="str">
        <f t="shared" si="109"/>
        <v>-</v>
      </c>
      <c r="AG196" s="224" t="str">
        <f t="shared" si="110"/>
        <v>-</v>
      </c>
      <c r="AH196" s="272">
        <f t="shared" si="136"/>
        <v>0.1</v>
      </c>
      <c r="AI196" s="271" t="str">
        <f>IFERROR(IF(AD195=1,AI$100*EXP(-(LN(2)/$D$65+0.04)*AF195)*EXP(-(LN(2)/$D$65+0.1)*AG195),IF(AD195=2,AI$100*EXP(-(LN(2)/$D$65+0.04)*(VLOOKUP(($F$16-$F$15)-1,AC$99:AG195,4,FALSE)))*EXP(-(LN(2)/$D$65+0.1)*(VLOOKUP(($F$16-$F$15)-1,AC$99:AG195,5,FALSE)))*EXP(-(LN(2)/$D$65+0.04)*AF195)*EXP(-(LN(2)/$D$65+0.1)*AG195),IF(AD195=3,AI$100*EXP(-(LN(2)/$D$65+0.04)*(VLOOKUP(($F$16-$F$15)-1,AC$99:AG195,4,FALSE)))*EXP(-(LN(2)/$D$65+0.1)*(VLOOKUP(($F$16-$F$15)-1,AC$99:AG195,5,FALSE)))*EXP(-(LN(2)/$D$65+0.04)*(VLOOKUP(($F$16-$F$15)*2-1,AC$99:AG195,4,FALSE)))*EXP(-(LN(2)/$D$65+0.1)*(VLOOKUP(($F$16-$F$15)*2-1,AC$99:AG195,5,FALSE)))*EXP(-(LN(2)/$D$65+0.04)*AF195)*EXP(-(LN(2)/$D$65+0.1)*AG195),"-"))),"-")</f>
        <v>-</v>
      </c>
      <c r="AJ196" s="271" t="str">
        <f>IFERROR(IF(AD196=1,AJ$100*EXP(-(LN(2)/$D$65+0.04)*AF196)*EXP(-(LN(2)/$D$65+0.1)*AG196),IF(AD196=2,AJ$100*EXP(-(LN(2)/$D$65+0.04)*(VLOOKUP(($F$16-$F$15)-1,AC$100:AG196,4,FALSE)))*EXP(-(LN(2)/$D$65+0.1)*(VLOOKUP(($F$16-$F$15)-1,AC$100:AG196,5,FALSE)))*EXP(-(LN(2)/$D$65+0.04)*AF196)*EXP(-(LN(2)/$D$65+0.1)*AG196),IF(AD196=3,AJ$100*EXP(-(LN(2)/$D$65+0.04)*(VLOOKUP(($F$16-$F$15)-1,AC$100:AG196,4,FALSE)))*EXP(-(LN(2)/$D$65+0.1)*(VLOOKUP(($F$16-$F$15)-1,AC$100:AG196,5,FALSE)))*EXP(-(LN(2)/$D$65+0.04)*(VLOOKUP(($F$16-$F$15)*2-1,AC$100:AG196,4,FALSE)))*EXP(-(LN(2)/$D$65+0.1)*(VLOOKUP(($F$16-$F$15)*2-1,AC$100:AG196,5,FALSE)))*EXP(-(LN(2)/$D$65+0.04)*AF196)*EXP(-(LN(2)/$D$65+0.1)*AG196),"-"))),"-")</f>
        <v>-</v>
      </c>
      <c r="AK196" s="227">
        <f t="shared" si="137"/>
        <v>96</v>
      </c>
      <c r="AL196" s="226" t="str">
        <f t="shared" si="111"/>
        <v>-</v>
      </c>
      <c r="AM196" s="227" t="str">
        <f t="shared" si="138"/>
        <v>-</v>
      </c>
      <c r="AN196" s="227" t="str">
        <f t="shared" si="139"/>
        <v>-</v>
      </c>
      <c r="AO196" s="227" t="str">
        <f t="shared" si="112"/>
        <v>-</v>
      </c>
      <c r="AP196" s="273">
        <f t="shared" si="140"/>
        <v>0.1</v>
      </c>
      <c r="AQ196" s="271" t="str">
        <f>IFERROR(IF(AL195=1,AQ$100*EXP(-(LN(2)/$D$65+0.04)*AN195)*EXP(-(LN(2)/$D$65+0.1)*AO195),IF(AL195=2,AQ$100*EXP(-(LN(2)/$D$65+0.04)*(VLOOKUP(($F$16-$F$15)-1,AK$99:AO195,4,FALSE)))*EXP(-(LN(2)/$D$65+0.1)*(VLOOKUP(($F$16-$F$15)-1,AK$99:AO195,5,FALSE)))*EXP(-(LN(2)/$D$65+0.04)*AN195)*EXP(-(LN(2)/$D$65+0.1)*AO195),IF(AL195=3,AQ$100*EXP(-(LN(2)/$D$65+0.04)*(VLOOKUP(($F$16-$F$15)-1,AK$99:AO195,4,FALSE)))*EXP(-(LN(2)/$D$65+0.1)*(VLOOKUP(($F$16-$F$15)-1,AK$99:AO195,5,FALSE)))*EXP(-(LN(2)/$D$65+0.04)*(VLOOKUP(($F$16-$F$15)*2-1,AK$99:AO195,4,FALSE)))*EXP(-(LN(2)/$D$65+0.1)*(VLOOKUP(($F$16-$F$15)*2-1,AK$99:AO195,5,FALSE)))*EXP(-(LN(2)/$D$65+0.04)*AN195)*EXP(-(LN(2)/$D$65+0.1)*AO195),"-"))),"-")</f>
        <v>-</v>
      </c>
      <c r="AR196" s="271" t="str">
        <f>IFERROR(IF(AL196=1,AR$100*EXP(-(LN(2)/$D$65+0.04)*AN196)*EXP(-(LN(2)/$D$65+0.1)*AO196),IF(AL196=2,AR$100*EXP(-(LN(2)/$D$65+0.04)*(VLOOKUP(($F$16-$F$15)-1,AK$100:AO196,4,FALSE)))*EXP(-(LN(2)/$D$65+0.1)*(VLOOKUP(($F$16-$F$15)-1,AK$100:AO196,5,FALSE)))*EXP(-(LN(2)/$D$65+0.04)*AN196)*EXP(-(LN(2)/$D$65+0.1)*AO196),IF(AL196=3,AR$100*EXP(-(LN(2)/$D$65+0.04)*(VLOOKUP(($F$16-$F$15)-1,AK$100:AO196,4,FALSE)))*EXP(-(LN(2)/$D$65+0.1)*(VLOOKUP(($F$16-$F$15)-1,AK$100:AO196,5,FALSE)))*EXP(-(LN(2)/$D$65+0.04)*(VLOOKUP(($F$16-$F$15)*2-1,AK$100:AO196,4,FALSE)))*EXP(-(LN(2)/$D$65+0.1)*(VLOOKUP(($F$16-$F$15)*2-1,AK$100:AO196,5,FALSE)))*EXP(-(LN(2)/$D$65+0.04)*AN196)*EXP(-(LN(2)/$D$65+0.1)*AO196),"-"))),"-")</f>
        <v>-</v>
      </c>
      <c r="AS196" s="274">
        <f t="shared" si="113"/>
        <v>0</v>
      </c>
      <c r="AT196" s="274">
        <f t="shared" si="114"/>
        <v>0</v>
      </c>
      <c r="AU196" s="274">
        <f t="shared" si="115"/>
        <v>0</v>
      </c>
      <c r="AV196" s="190" t="str">
        <f>IF($B196&lt;$F$22,SUM($T$100:$T196),"")</f>
        <v/>
      </c>
      <c r="AW196" s="190" t="str">
        <f t="shared" ref="AW196:AW227" si="161">IF(ISNUMBER(Koc),IF(ISNUMBER(AV196),AV196*(Koc*(Ocse/100)*Pse*Vse)/(Koc*(Ocse/100)*Pse*Vse+1*86400*($B196+1)),""),"-")</f>
        <v>-</v>
      </c>
      <c r="AX196" s="190" t="str">
        <f t="shared" si="141"/>
        <v/>
      </c>
      <c r="AY196"/>
      <c r="AZ196" s="190" t="str">
        <f ca="1">IF(ISNUMBER(OFFSET(AV196,-$F$21,0)),SUM(OFFSET($T$100,$F$21,0):$T196),"")</f>
        <v/>
      </c>
      <c r="BA196" s="190" t="str">
        <f t="shared" ref="BA196:BA227" ca="1" si="162">IF(ISNUMBER(OFFSET(AV196,-$F$21,0)),AZ196*(Koc*(Ocse/100)*Pse*Vse)/(Koc*(Ocse/100)*Pse*Vse+1*86400*($B196+1)),"")</f>
        <v/>
      </c>
      <c r="BB196" s="190" t="str">
        <f t="shared" ca="1" si="148"/>
        <v/>
      </c>
      <c r="BC196" s="190"/>
      <c r="BD196" s="190" t="str">
        <f ca="1">IFERROR(IF(OR(ISNUMBER(I),ISNUMBER($F$14)),IF(AND($B196&gt;=($F$16-$F$15),$B196&lt;$F$22+($F$16-$F$15)),SUM(OFFSET($T$100,($F$16-$F$15),0):$T196),""),""),"")</f>
        <v/>
      </c>
      <c r="BE196" s="190" t="str">
        <f t="shared" ca="1" si="142"/>
        <v/>
      </c>
      <c r="BF196" s="190" t="str">
        <f t="shared" ca="1" si="143"/>
        <v/>
      </c>
      <c r="BG196"/>
      <c r="BH196" s="190" t="str">
        <f ca="1">IF(ISNUMBER(OFFSET(BD196,-$F$21,0)),SUM(OFFSET($T$100,($F$16-$F$15+$F$21),0):$T196),"")</f>
        <v/>
      </c>
      <c r="BI196" s="190" t="str">
        <f t="shared" ref="BI196:BI227" ca="1" si="163">IF(ISNUMBER(OFFSET(BD196,-$F$21,0)),BH196*(Koc*(Ocse/100)*Pse*Vse)/(Koc*(Ocse/100)*Pse*Vse+1*86400*($B196+1)),"")</f>
        <v/>
      </c>
      <c r="BJ196" s="190" t="str">
        <f t="shared" ca="1" si="144"/>
        <v/>
      </c>
      <c r="BK196" s="190"/>
      <c r="BL196" s="190" t="str">
        <f ca="1">IFERROR(IF(OR(ISNUMBER(I),ISNUMBER($F$14)),IF(AND($B196&gt;=($F$17-$F$15),$B196&lt;$F$22+($F$17-$F$15)),SUM(OFFSET($T$100,($F$17-$F$15),0):$T196),""),""),"")</f>
        <v/>
      </c>
      <c r="BM196" s="190" t="str">
        <f t="shared" ref="BM196:BM227" ca="1" si="164">IF(ISNUMBER(BL196),BL196*(Koc*(Ocse/100)*Pse*Vse)/(Koc*(Ocse/100)*Pse*Vse+1*86400*($B196+1)),"")</f>
        <v/>
      </c>
      <c r="BN196" s="190" t="str">
        <f t="shared" ca="1" si="145"/>
        <v/>
      </c>
      <c r="BO196"/>
      <c r="BP196" s="190" t="str">
        <f ca="1">IF(ISNUMBER(OFFSET(BL196,-$F$21,0)),SUM(OFFSET($T$100,($F$17-$F$15+$F$21),0):$T196),"")</f>
        <v/>
      </c>
      <c r="BQ196" s="190" t="str">
        <f t="shared" ref="BQ196:BQ227" ca="1" si="165">IF(ISNUMBER(OFFSET(BL196,-$F$21,0)),BP196*(Koc*(Ocse/100)*Pse*Vse)/(Koc*(Ocse/100)*Pse*Vse+1*86400*($B196+1)),"")</f>
        <v/>
      </c>
      <c r="BR196" s="190" t="str">
        <f t="shared" ca="1" si="146"/>
        <v/>
      </c>
      <c r="BS196" s="190"/>
      <c r="BT196"/>
      <c r="BU196"/>
      <c r="BV196"/>
      <c r="BY196" s="99"/>
      <c r="BZ196" s="99"/>
      <c r="CA196" s="280" t="str">
        <f t="shared" ref="CA196:CA227" si="166">IFERROR(IF($B196&lt;$CA$94,T196*(Koc*(Ocse/100)*Pse*Vse)/(Koc*(Ocse/100)*Pse*Vse+1*86400*$CA$94),""),"-")</f>
        <v/>
      </c>
      <c r="CB196" s="71" t="str">
        <f t="shared" si="122"/>
        <v>-</v>
      </c>
      <c r="CC196" s="33"/>
      <c r="CD196" s="261" t="str">
        <f t="shared" si="123"/>
        <v/>
      </c>
      <c r="CE196" s="280" t="str">
        <f t="shared" ref="CE196:CE227" si="167">IFERROR(IF($B196&lt;$CE$94,T196*(Koc*(Ocse/100)*Pse*Vse)/(Koc*(Ocse/100)*Pse*Vse+1*86400*$CE$94),""),"-")</f>
        <v/>
      </c>
      <c r="CF196" s="71" t="str">
        <f t="shared" ref="CF196:CF227" ca="1" si="168">IFERROR(IF($B196&lt;$CE$94,IF(NOT(ISNUMBER(ffp)),"-",IF($F$70=$AX$87,AX196,IF($F$70=$BB$87,OFFSET(BB196,$F$21,0),IF($F$70=$BF$87,OFFSET(BF196,$F$16,0),IF($F$70=$BJ$87,OFFSET(BJ196,$F$16+$F$21,0),IF($F$70=$BN$87,OFFSET(BN196,$F$17,0),OFFSET(BR196,$F$17+$F$21,0))))))),""),"-")</f>
        <v/>
      </c>
      <c r="CG196" s="33" t="str">
        <f t="shared" si="126"/>
        <v/>
      </c>
      <c r="CH196" s="261" t="str">
        <f t="shared" ca="1" si="127"/>
        <v/>
      </c>
    </row>
    <row r="197" spans="2:86" ht="13.5" customHeight="1" x14ac:dyDescent="0.2">
      <c r="B197" s="262">
        <v>97</v>
      </c>
      <c r="C197" s="237" t="str">
        <f t="shared" si="91"/>
        <v/>
      </c>
      <c r="D197" s="237" t="str">
        <f t="shared" si="147"/>
        <v/>
      </c>
      <c r="E197" s="263" t="str">
        <f t="shared" si="128"/>
        <v/>
      </c>
      <c r="F197" s="264" t="str">
        <f t="shared" si="129"/>
        <v/>
      </c>
      <c r="G197" s="264" t="str">
        <f t="shared" si="130"/>
        <v/>
      </c>
      <c r="H197" s="240" t="str">
        <f t="shared" si="149"/>
        <v/>
      </c>
      <c r="I197" s="265" t="str">
        <f t="shared" si="150"/>
        <v/>
      </c>
      <c r="J197" s="265" t="str">
        <f t="shared" si="151"/>
        <v/>
      </c>
      <c r="K197" s="240" t="str">
        <f t="shared" si="152"/>
        <v/>
      </c>
      <c r="L197" s="265" t="str">
        <f t="shared" si="153"/>
        <v/>
      </c>
      <c r="M197" s="265" t="str">
        <f t="shared" si="154"/>
        <v/>
      </c>
      <c r="N197" s="240" t="str">
        <f t="shared" si="155"/>
        <v>-</v>
      </c>
      <c r="O197" s="265" t="str">
        <f t="shared" si="156"/>
        <v>-</v>
      </c>
      <c r="P197" s="265" t="str">
        <f t="shared" si="157"/>
        <v>-</v>
      </c>
      <c r="Q197" s="266" t="str">
        <f t="shared" si="158"/>
        <v>-</v>
      </c>
      <c r="R197" s="267" t="str">
        <f t="shared" si="159"/>
        <v>-</v>
      </c>
      <c r="S197" s="268" t="str">
        <f t="shared" si="160"/>
        <v>-</v>
      </c>
      <c r="T197" s="269" t="str">
        <f t="shared" si="104"/>
        <v/>
      </c>
      <c r="U197" s="221">
        <f t="shared" si="105"/>
        <v>97</v>
      </c>
      <c r="V197" s="220" t="str">
        <f t="shared" si="131"/>
        <v>-</v>
      </c>
      <c r="W197" s="221" t="str">
        <f t="shared" si="132"/>
        <v>-</v>
      </c>
      <c r="X197" s="221" t="str">
        <f t="shared" si="106"/>
        <v>-</v>
      </c>
      <c r="Y197" s="221" t="str">
        <f t="shared" si="107"/>
        <v>-</v>
      </c>
      <c r="Z197" s="270">
        <f t="shared" si="133"/>
        <v>0.1</v>
      </c>
      <c r="AA197" s="271" t="str">
        <f>IFERROR(IF(V196=1,AA$100*EXP(-(LN(2)/$D$65+0.04)*X196)*EXP(-(LN(2)/$D$65+0.1)*Y196),IF(V196=2,AA$100*EXP(-(LN(2)/$D$65+0.04)*(VLOOKUP(($F$16-$F$15)-1,U$99:Y196,4,FALSE)))*EXP(-(LN(2)/$D$65+0.1)*(VLOOKUP(($F$16-$F$15)-1,U$99:Y196,5,FALSE)))*EXP(-(LN(2)/$D$65+0.04)*X196)*EXP(-(LN(2)/$D$65+0.1)*Y196),IF(V196=3,AA$100*EXP(-(LN(2)/$D$65+0.04)*(VLOOKUP(($F$16-$F$15)-1,U$99:Y196,4,FALSE)))*EXP(-(LN(2)/$D$65+0.1)*(VLOOKUP(($F$16-$F$15)-1,U$99:Y196,5,FALSE)))*EXP(-(LN(2)/$D$65+0.04)*(VLOOKUP(($F$16-$F$15)*2-1,U$99:Y196,4,FALSE)))*EXP(-(LN(2)/$D$65+0.1)*(VLOOKUP(($F$16-$F$15)*2-1,U$99:Y196,5,FALSE)))*EXP(-(LN(2)/$D$65+0.04)*X196)*EXP(-(LN(2)/$D$65+0.1)*Y196),"-"))),"-")</f>
        <v>-</v>
      </c>
      <c r="AB197" s="271" t="str">
        <f>IFERROR(IF(V197=1,AB$100*EXP(-(LN(2)/$D$65+0.04)*X197)*EXP(-(LN(2)/$D$65+0.1)*Y197),IF(V197=2,AB$100*EXP(-(LN(2)/$D$65+0.04)*(VLOOKUP(($F$16-$F$15)-1,U$100:Y197,4,FALSE)))*EXP(-(LN(2)/$D$65+0.1)*(VLOOKUP(($F$16-$F$15)-1,U$100:Y197,5,FALSE)))*EXP(-(LN(2)/$D$65+0.04)*X197)*EXP(-(LN(2)/$D$65+0.1)*Y197),IF(V197=3,AB$100*EXP(-(LN(2)/$D$65+0.04)*(VLOOKUP(($F$16-$F$15)-1,U$100:Y197,4,FALSE)))*EXP(-(LN(2)/$D$65+0.1)*(VLOOKUP(($F$16-$F$15)-1,U$100:Y197,5,FALSE)))*EXP(-(LN(2)/$D$65+0.04)*(VLOOKUP(($F$16-$F$15)*2-1,U$100:Y197,4,FALSE)))*EXP(-(LN(2)/$D$65+0.1)*(VLOOKUP(($F$16-$F$15)*2-1,U$100:Y197,5,FALSE)))*EXP(-(LN(2)/$D$65+0.04)*X197)*EXP(-(LN(2)/$D$65+0.1)*Y197),"-"))),"-")</f>
        <v>-</v>
      </c>
      <c r="AC197" s="224">
        <f t="shared" si="134"/>
        <v>97</v>
      </c>
      <c r="AD197" s="223" t="str">
        <f t="shared" si="108"/>
        <v>-</v>
      </c>
      <c r="AE197" s="224" t="str">
        <f t="shared" si="135"/>
        <v>-</v>
      </c>
      <c r="AF197" s="224" t="str">
        <f t="shared" si="109"/>
        <v>-</v>
      </c>
      <c r="AG197" s="224" t="str">
        <f t="shared" si="110"/>
        <v>-</v>
      </c>
      <c r="AH197" s="272">
        <f t="shared" si="136"/>
        <v>0.1</v>
      </c>
      <c r="AI197" s="271" t="str">
        <f>IFERROR(IF(AD196=1,AI$100*EXP(-(LN(2)/$D$65+0.04)*AF196)*EXP(-(LN(2)/$D$65+0.1)*AG196),IF(AD196=2,AI$100*EXP(-(LN(2)/$D$65+0.04)*(VLOOKUP(($F$16-$F$15)-1,AC$99:AG196,4,FALSE)))*EXP(-(LN(2)/$D$65+0.1)*(VLOOKUP(($F$16-$F$15)-1,AC$99:AG196,5,FALSE)))*EXP(-(LN(2)/$D$65+0.04)*AF196)*EXP(-(LN(2)/$D$65+0.1)*AG196),IF(AD196=3,AI$100*EXP(-(LN(2)/$D$65+0.04)*(VLOOKUP(($F$16-$F$15)-1,AC$99:AG196,4,FALSE)))*EXP(-(LN(2)/$D$65+0.1)*(VLOOKUP(($F$16-$F$15)-1,AC$99:AG196,5,FALSE)))*EXP(-(LN(2)/$D$65+0.04)*(VLOOKUP(($F$16-$F$15)*2-1,AC$99:AG196,4,FALSE)))*EXP(-(LN(2)/$D$65+0.1)*(VLOOKUP(($F$16-$F$15)*2-1,AC$99:AG196,5,FALSE)))*EXP(-(LN(2)/$D$65+0.04)*AF196)*EXP(-(LN(2)/$D$65+0.1)*AG196),"-"))),"-")</f>
        <v>-</v>
      </c>
      <c r="AJ197" s="271" t="str">
        <f>IFERROR(IF(AD197=1,AJ$100*EXP(-(LN(2)/$D$65+0.04)*AF197)*EXP(-(LN(2)/$D$65+0.1)*AG197),IF(AD197=2,AJ$100*EXP(-(LN(2)/$D$65+0.04)*(VLOOKUP(($F$16-$F$15)-1,AC$100:AG197,4,FALSE)))*EXP(-(LN(2)/$D$65+0.1)*(VLOOKUP(($F$16-$F$15)-1,AC$100:AG197,5,FALSE)))*EXP(-(LN(2)/$D$65+0.04)*AF197)*EXP(-(LN(2)/$D$65+0.1)*AG197),IF(AD197=3,AJ$100*EXP(-(LN(2)/$D$65+0.04)*(VLOOKUP(($F$16-$F$15)-1,AC$100:AG197,4,FALSE)))*EXP(-(LN(2)/$D$65+0.1)*(VLOOKUP(($F$16-$F$15)-1,AC$100:AG197,5,FALSE)))*EXP(-(LN(2)/$D$65+0.04)*(VLOOKUP(($F$16-$F$15)*2-1,AC$100:AG197,4,FALSE)))*EXP(-(LN(2)/$D$65+0.1)*(VLOOKUP(($F$16-$F$15)*2-1,AC$100:AG197,5,FALSE)))*EXP(-(LN(2)/$D$65+0.04)*AF197)*EXP(-(LN(2)/$D$65+0.1)*AG197),"-"))),"-")</f>
        <v>-</v>
      </c>
      <c r="AK197" s="227">
        <f t="shared" si="137"/>
        <v>97</v>
      </c>
      <c r="AL197" s="226" t="str">
        <f t="shared" si="111"/>
        <v>-</v>
      </c>
      <c r="AM197" s="227" t="str">
        <f t="shared" si="138"/>
        <v>-</v>
      </c>
      <c r="AN197" s="227" t="str">
        <f t="shared" si="139"/>
        <v>-</v>
      </c>
      <c r="AO197" s="227" t="str">
        <f t="shared" si="112"/>
        <v>-</v>
      </c>
      <c r="AP197" s="273">
        <f t="shared" si="140"/>
        <v>0.1</v>
      </c>
      <c r="AQ197" s="271" t="str">
        <f>IFERROR(IF(AL196=1,AQ$100*EXP(-(LN(2)/$D$65+0.04)*AN196)*EXP(-(LN(2)/$D$65+0.1)*AO196),IF(AL196=2,AQ$100*EXP(-(LN(2)/$D$65+0.04)*(VLOOKUP(($F$16-$F$15)-1,AK$99:AO196,4,FALSE)))*EXP(-(LN(2)/$D$65+0.1)*(VLOOKUP(($F$16-$F$15)-1,AK$99:AO196,5,FALSE)))*EXP(-(LN(2)/$D$65+0.04)*AN196)*EXP(-(LN(2)/$D$65+0.1)*AO196),IF(AL196=3,AQ$100*EXP(-(LN(2)/$D$65+0.04)*(VLOOKUP(($F$16-$F$15)-1,AK$99:AO196,4,FALSE)))*EXP(-(LN(2)/$D$65+0.1)*(VLOOKUP(($F$16-$F$15)-1,AK$99:AO196,5,FALSE)))*EXP(-(LN(2)/$D$65+0.04)*(VLOOKUP(($F$16-$F$15)*2-1,AK$99:AO196,4,FALSE)))*EXP(-(LN(2)/$D$65+0.1)*(VLOOKUP(($F$16-$F$15)*2-1,AK$99:AO196,5,FALSE)))*EXP(-(LN(2)/$D$65+0.04)*AN196)*EXP(-(LN(2)/$D$65+0.1)*AO196),"-"))),"-")</f>
        <v>-</v>
      </c>
      <c r="AR197" s="271" t="str">
        <f>IFERROR(IF(AL197=1,AR$100*EXP(-(LN(2)/$D$65+0.04)*AN197)*EXP(-(LN(2)/$D$65+0.1)*AO197),IF(AL197=2,AR$100*EXP(-(LN(2)/$D$65+0.04)*(VLOOKUP(($F$16-$F$15)-1,AK$100:AO197,4,FALSE)))*EXP(-(LN(2)/$D$65+0.1)*(VLOOKUP(($F$16-$F$15)-1,AK$100:AO197,5,FALSE)))*EXP(-(LN(2)/$D$65+0.04)*AN197)*EXP(-(LN(2)/$D$65+0.1)*AO197),IF(AL197=3,AR$100*EXP(-(LN(2)/$D$65+0.04)*(VLOOKUP(($F$16-$F$15)-1,AK$100:AO197,4,FALSE)))*EXP(-(LN(2)/$D$65+0.1)*(VLOOKUP(($F$16-$F$15)-1,AK$100:AO197,5,FALSE)))*EXP(-(LN(2)/$D$65+0.04)*(VLOOKUP(($F$16-$F$15)*2-1,AK$100:AO197,4,FALSE)))*EXP(-(LN(2)/$D$65+0.1)*(VLOOKUP(($F$16-$F$15)*2-1,AK$100:AO197,5,FALSE)))*EXP(-(LN(2)/$D$65+0.04)*AN197)*EXP(-(LN(2)/$D$65+0.1)*AO197),"-"))),"-")</f>
        <v>-</v>
      </c>
      <c r="AS197" s="274">
        <f t="shared" si="113"/>
        <v>0</v>
      </c>
      <c r="AT197" s="274">
        <f t="shared" si="114"/>
        <v>0</v>
      </c>
      <c r="AU197" s="274">
        <f t="shared" si="115"/>
        <v>0</v>
      </c>
      <c r="AV197" s="190" t="str">
        <f>IF($B197&lt;$F$22,SUM($T$100:$T197),"")</f>
        <v/>
      </c>
      <c r="AW197" s="190" t="str">
        <f t="shared" si="161"/>
        <v>-</v>
      </c>
      <c r="AX197" s="190" t="str">
        <f t="shared" si="141"/>
        <v/>
      </c>
      <c r="AY197"/>
      <c r="AZ197" s="190" t="str">
        <f ca="1">IF(ISNUMBER(OFFSET(AV197,-$F$21,0)),SUM(OFFSET($T$100,$F$21,0):$T197),"")</f>
        <v/>
      </c>
      <c r="BA197" s="190" t="str">
        <f t="shared" ca="1" si="162"/>
        <v/>
      </c>
      <c r="BB197" s="190" t="str">
        <f t="shared" ca="1" si="148"/>
        <v/>
      </c>
      <c r="BC197" s="190"/>
      <c r="BD197" s="190" t="str">
        <f ca="1">IFERROR(IF(OR(ISNUMBER(I),ISNUMBER($F$14)),IF(AND($B197&gt;=($F$16-$F$15),$B197&lt;$F$22+($F$16-$F$15)),SUM(OFFSET($T$100,($F$16-$F$15),0):$T197),""),""),"")</f>
        <v/>
      </c>
      <c r="BE197" s="190" t="str">
        <f t="shared" ca="1" si="142"/>
        <v/>
      </c>
      <c r="BF197" s="190" t="str">
        <f t="shared" ca="1" si="143"/>
        <v/>
      </c>
      <c r="BG197"/>
      <c r="BH197" s="190" t="str">
        <f ca="1">IF(ISNUMBER(OFFSET(BD197,-$F$21,0)),SUM(OFFSET($T$100,($F$16-$F$15+$F$21),0):$T197),"")</f>
        <v/>
      </c>
      <c r="BI197" s="190" t="str">
        <f t="shared" ca="1" si="163"/>
        <v/>
      </c>
      <c r="BJ197" s="190" t="str">
        <f t="shared" ca="1" si="144"/>
        <v/>
      </c>
      <c r="BK197" s="190"/>
      <c r="BL197" s="190" t="str">
        <f ca="1">IFERROR(IF(OR(ISNUMBER(I),ISNUMBER($F$14)),IF(AND($B197&gt;=($F$17-$F$15),$B197&lt;$F$22+($F$17-$F$15)),SUM(OFFSET($T$100,($F$17-$F$15),0):$T197),""),""),"")</f>
        <v/>
      </c>
      <c r="BM197" s="190" t="str">
        <f t="shared" ca="1" si="164"/>
        <v/>
      </c>
      <c r="BN197" s="190" t="str">
        <f t="shared" ca="1" si="145"/>
        <v/>
      </c>
      <c r="BO197"/>
      <c r="BP197" s="190" t="str">
        <f ca="1">IF(ISNUMBER(OFFSET(BL197,-$F$21,0)),SUM(OFFSET($T$100,($F$17-$F$15+$F$21),0):$T197),"")</f>
        <v/>
      </c>
      <c r="BQ197" s="190" t="str">
        <f t="shared" ca="1" si="165"/>
        <v/>
      </c>
      <c r="BR197" s="190" t="str">
        <f t="shared" ca="1" si="146"/>
        <v/>
      </c>
      <c r="BS197" s="190"/>
      <c r="BT197"/>
      <c r="BU197"/>
      <c r="BV197"/>
      <c r="BY197" s="99"/>
      <c r="BZ197" s="99"/>
      <c r="CA197" s="280" t="str">
        <f t="shared" si="166"/>
        <v/>
      </c>
      <c r="CB197" s="71" t="str">
        <f t="shared" si="122"/>
        <v>-</v>
      </c>
      <c r="CC197" s="33"/>
      <c r="CD197" s="261" t="str">
        <f t="shared" si="123"/>
        <v/>
      </c>
      <c r="CE197" s="280" t="str">
        <f t="shared" si="167"/>
        <v/>
      </c>
      <c r="CF197" s="71" t="str">
        <f t="shared" ca="1" si="168"/>
        <v/>
      </c>
      <c r="CG197" s="33" t="str">
        <f t="shared" si="126"/>
        <v/>
      </c>
      <c r="CH197" s="261" t="str">
        <f t="shared" ca="1" si="127"/>
        <v/>
      </c>
    </row>
    <row r="198" spans="2:86" ht="13.5" customHeight="1" x14ac:dyDescent="0.2">
      <c r="B198" s="262">
        <v>98</v>
      </c>
      <c r="C198" s="237" t="str">
        <f t="shared" si="91"/>
        <v/>
      </c>
      <c r="D198" s="237" t="str">
        <f t="shared" si="147"/>
        <v/>
      </c>
      <c r="E198" s="263" t="str">
        <f t="shared" si="128"/>
        <v/>
      </c>
      <c r="F198" s="264" t="str">
        <f t="shared" si="129"/>
        <v/>
      </c>
      <c r="G198" s="264" t="str">
        <f t="shared" si="130"/>
        <v/>
      </c>
      <c r="H198" s="240" t="str">
        <f t="shared" si="149"/>
        <v/>
      </c>
      <c r="I198" s="265" t="str">
        <f t="shared" si="150"/>
        <v/>
      </c>
      <c r="J198" s="265" t="str">
        <f t="shared" si="151"/>
        <v/>
      </c>
      <c r="K198" s="240" t="str">
        <f t="shared" si="152"/>
        <v/>
      </c>
      <c r="L198" s="265" t="str">
        <f t="shared" si="153"/>
        <v/>
      </c>
      <c r="M198" s="265" t="str">
        <f t="shared" si="154"/>
        <v/>
      </c>
      <c r="N198" s="240" t="str">
        <f t="shared" si="155"/>
        <v>-</v>
      </c>
      <c r="O198" s="265" t="str">
        <f t="shared" si="156"/>
        <v>-</v>
      </c>
      <c r="P198" s="265" t="str">
        <f t="shared" si="157"/>
        <v>-</v>
      </c>
      <c r="Q198" s="266" t="str">
        <f t="shared" si="158"/>
        <v>-</v>
      </c>
      <c r="R198" s="267" t="str">
        <f t="shared" si="159"/>
        <v>-</v>
      </c>
      <c r="S198" s="268" t="str">
        <f t="shared" si="160"/>
        <v>-</v>
      </c>
      <c r="T198" s="269" t="str">
        <f t="shared" si="104"/>
        <v/>
      </c>
      <c r="U198" s="221">
        <f t="shared" si="105"/>
        <v>98</v>
      </c>
      <c r="V198" s="220" t="str">
        <f t="shared" si="131"/>
        <v>-</v>
      </c>
      <c r="W198" s="221" t="str">
        <f t="shared" si="132"/>
        <v>-</v>
      </c>
      <c r="X198" s="221" t="str">
        <f t="shared" si="106"/>
        <v>-</v>
      </c>
      <c r="Y198" s="221" t="str">
        <f t="shared" si="107"/>
        <v>-</v>
      </c>
      <c r="Z198" s="270">
        <f t="shared" si="133"/>
        <v>0.1</v>
      </c>
      <c r="AA198" s="271" t="str">
        <f>IFERROR(IF(V197=1,AA$100*EXP(-(LN(2)/$D$65+0.04)*X197)*EXP(-(LN(2)/$D$65+0.1)*Y197),IF(V197=2,AA$100*EXP(-(LN(2)/$D$65+0.04)*(VLOOKUP(($F$16-$F$15)-1,U$99:Y197,4,FALSE)))*EXP(-(LN(2)/$D$65+0.1)*(VLOOKUP(($F$16-$F$15)-1,U$99:Y197,5,FALSE)))*EXP(-(LN(2)/$D$65+0.04)*X197)*EXP(-(LN(2)/$D$65+0.1)*Y197),IF(V197=3,AA$100*EXP(-(LN(2)/$D$65+0.04)*(VLOOKUP(($F$16-$F$15)-1,U$99:Y197,4,FALSE)))*EXP(-(LN(2)/$D$65+0.1)*(VLOOKUP(($F$16-$F$15)-1,U$99:Y197,5,FALSE)))*EXP(-(LN(2)/$D$65+0.04)*(VLOOKUP(($F$16-$F$15)*2-1,U$99:Y197,4,FALSE)))*EXP(-(LN(2)/$D$65+0.1)*(VLOOKUP(($F$16-$F$15)*2-1,U$99:Y197,5,FALSE)))*EXP(-(LN(2)/$D$65+0.04)*X197)*EXP(-(LN(2)/$D$65+0.1)*Y197),"-"))),"-")</f>
        <v>-</v>
      </c>
      <c r="AB198" s="271" t="str">
        <f>IFERROR(IF(V198=1,AB$100*EXP(-(LN(2)/$D$65+0.04)*X198)*EXP(-(LN(2)/$D$65+0.1)*Y198),IF(V198=2,AB$100*EXP(-(LN(2)/$D$65+0.04)*(VLOOKUP(($F$16-$F$15)-1,U$100:Y198,4,FALSE)))*EXP(-(LN(2)/$D$65+0.1)*(VLOOKUP(($F$16-$F$15)-1,U$100:Y198,5,FALSE)))*EXP(-(LN(2)/$D$65+0.04)*X198)*EXP(-(LN(2)/$D$65+0.1)*Y198),IF(V198=3,AB$100*EXP(-(LN(2)/$D$65+0.04)*(VLOOKUP(($F$16-$F$15)-1,U$100:Y198,4,FALSE)))*EXP(-(LN(2)/$D$65+0.1)*(VLOOKUP(($F$16-$F$15)-1,U$100:Y198,5,FALSE)))*EXP(-(LN(2)/$D$65+0.04)*(VLOOKUP(($F$16-$F$15)*2-1,U$100:Y198,4,FALSE)))*EXP(-(LN(2)/$D$65+0.1)*(VLOOKUP(($F$16-$F$15)*2-1,U$100:Y198,5,FALSE)))*EXP(-(LN(2)/$D$65+0.04)*X198)*EXP(-(LN(2)/$D$65+0.1)*Y198),"-"))),"-")</f>
        <v>-</v>
      </c>
      <c r="AC198" s="224">
        <f t="shared" si="134"/>
        <v>98</v>
      </c>
      <c r="AD198" s="223" t="str">
        <f t="shared" si="108"/>
        <v>-</v>
      </c>
      <c r="AE198" s="224" t="str">
        <f t="shared" si="135"/>
        <v>-</v>
      </c>
      <c r="AF198" s="224" t="str">
        <f t="shared" si="109"/>
        <v>-</v>
      </c>
      <c r="AG198" s="224" t="str">
        <f t="shared" si="110"/>
        <v>-</v>
      </c>
      <c r="AH198" s="272">
        <f t="shared" si="136"/>
        <v>0.1</v>
      </c>
      <c r="AI198" s="271" t="str">
        <f>IFERROR(IF(AD197=1,AI$100*EXP(-(LN(2)/$D$65+0.04)*AF197)*EXP(-(LN(2)/$D$65+0.1)*AG197),IF(AD197=2,AI$100*EXP(-(LN(2)/$D$65+0.04)*(VLOOKUP(($F$16-$F$15)-1,AC$99:AG197,4,FALSE)))*EXP(-(LN(2)/$D$65+0.1)*(VLOOKUP(($F$16-$F$15)-1,AC$99:AG197,5,FALSE)))*EXP(-(LN(2)/$D$65+0.04)*AF197)*EXP(-(LN(2)/$D$65+0.1)*AG197),IF(AD197=3,AI$100*EXP(-(LN(2)/$D$65+0.04)*(VLOOKUP(($F$16-$F$15)-1,AC$99:AG197,4,FALSE)))*EXP(-(LN(2)/$D$65+0.1)*(VLOOKUP(($F$16-$F$15)-1,AC$99:AG197,5,FALSE)))*EXP(-(LN(2)/$D$65+0.04)*(VLOOKUP(($F$16-$F$15)*2-1,AC$99:AG197,4,FALSE)))*EXP(-(LN(2)/$D$65+0.1)*(VLOOKUP(($F$16-$F$15)*2-1,AC$99:AG197,5,FALSE)))*EXP(-(LN(2)/$D$65+0.04)*AF197)*EXP(-(LN(2)/$D$65+0.1)*AG197),"-"))),"-")</f>
        <v>-</v>
      </c>
      <c r="AJ198" s="271" t="str">
        <f>IFERROR(IF(AD198=1,AJ$100*EXP(-(LN(2)/$D$65+0.04)*AF198)*EXP(-(LN(2)/$D$65+0.1)*AG198),IF(AD198=2,AJ$100*EXP(-(LN(2)/$D$65+0.04)*(VLOOKUP(($F$16-$F$15)-1,AC$100:AG198,4,FALSE)))*EXP(-(LN(2)/$D$65+0.1)*(VLOOKUP(($F$16-$F$15)-1,AC$100:AG198,5,FALSE)))*EXP(-(LN(2)/$D$65+0.04)*AF198)*EXP(-(LN(2)/$D$65+0.1)*AG198),IF(AD198=3,AJ$100*EXP(-(LN(2)/$D$65+0.04)*(VLOOKUP(($F$16-$F$15)-1,AC$100:AG198,4,FALSE)))*EXP(-(LN(2)/$D$65+0.1)*(VLOOKUP(($F$16-$F$15)-1,AC$100:AG198,5,FALSE)))*EXP(-(LN(2)/$D$65+0.04)*(VLOOKUP(($F$16-$F$15)*2-1,AC$100:AG198,4,FALSE)))*EXP(-(LN(2)/$D$65+0.1)*(VLOOKUP(($F$16-$F$15)*2-1,AC$100:AG198,5,FALSE)))*EXP(-(LN(2)/$D$65+0.04)*AF198)*EXP(-(LN(2)/$D$65+0.1)*AG198),"-"))),"-")</f>
        <v>-</v>
      </c>
      <c r="AK198" s="227">
        <f t="shared" si="137"/>
        <v>98</v>
      </c>
      <c r="AL198" s="226" t="str">
        <f t="shared" si="111"/>
        <v>-</v>
      </c>
      <c r="AM198" s="227" t="str">
        <f t="shared" si="138"/>
        <v>-</v>
      </c>
      <c r="AN198" s="227" t="str">
        <f t="shared" si="139"/>
        <v>-</v>
      </c>
      <c r="AO198" s="227" t="str">
        <f t="shared" si="112"/>
        <v>-</v>
      </c>
      <c r="AP198" s="273">
        <f t="shared" si="140"/>
        <v>0.1</v>
      </c>
      <c r="AQ198" s="271" t="str">
        <f>IFERROR(IF(AL197=1,AQ$100*EXP(-(LN(2)/$D$65+0.04)*AN197)*EXP(-(LN(2)/$D$65+0.1)*AO197),IF(AL197=2,AQ$100*EXP(-(LN(2)/$D$65+0.04)*(VLOOKUP(($F$16-$F$15)-1,AK$99:AO197,4,FALSE)))*EXP(-(LN(2)/$D$65+0.1)*(VLOOKUP(($F$16-$F$15)-1,AK$99:AO197,5,FALSE)))*EXP(-(LN(2)/$D$65+0.04)*AN197)*EXP(-(LN(2)/$D$65+0.1)*AO197),IF(AL197=3,AQ$100*EXP(-(LN(2)/$D$65+0.04)*(VLOOKUP(($F$16-$F$15)-1,AK$99:AO197,4,FALSE)))*EXP(-(LN(2)/$D$65+0.1)*(VLOOKUP(($F$16-$F$15)-1,AK$99:AO197,5,FALSE)))*EXP(-(LN(2)/$D$65+0.04)*(VLOOKUP(($F$16-$F$15)*2-1,AK$99:AO197,4,FALSE)))*EXP(-(LN(2)/$D$65+0.1)*(VLOOKUP(($F$16-$F$15)*2-1,AK$99:AO197,5,FALSE)))*EXP(-(LN(2)/$D$65+0.04)*AN197)*EXP(-(LN(2)/$D$65+0.1)*AO197),"-"))),"-")</f>
        <v>-</v>
      </c>
      <c r="AR198" s="271" t="str">
        <f>IFERROR(IF(AL198=1,AR$100*EXP(-(LN(2)/$D$65+0.04)*AN198)*EXP(-(LN(2)/$D$65+0.1)*AO198),IF(AL198=2,AR$100*EXP(-(LN(2)/$D$65+0.04)*(VLOOKUP(($F$16-$F$15)-1,AK$100:AO198,4,FALSE)))*EXP(-(LN(2)/$D$65+0.1)*(VLOOKUP(($F$16-$F$15)-1,AK$100:AO198,5,FALSE)))*EXP(-(LN(2)/$D$65+0.04)*AN198)*EXP(-(LN(2)/$D$65+0.1)*AO198),IF(AL198=3,AR$100*EXP(-(LN(2)/$D$65+0.04)*(VLOOKUP(($F$16-$F$15)-1,AK$100:AO198,4,FALSE)))*EXP(-(LN(2)/$D$65+0.1)*(VLOOKUP(($F$16-$F$15)-1,AK$100:AO198,5,FALSE)))*EXP(-(LN(2)/$D$65+0.04)*(VLOOKUP(($F$16-$F$15)*2-1,AK$100:AO198,4,FALSE)))*EXP(-(LN(2)/$D$65+0.1)*(VLOOKUP(($F$16-$F$15)*2-1,AK$100:AO198,5,FALSE)))*EXP(-(LN(2)/$D$65+0.04)*AN198)*EXP(-(LN(2)/$D$65+0.1)*AO198),"-"))),"-")</f>
        <v>-</v>
      </c>
      <c r="AS198" s="274">
        <f t="shared" si="113"/>
        <v>0</v>
      </c>
      <c r="AT198" s="274">
        <f t="shared" si="114"/>
        <v>0</v>
      </c>
      <c r="AU198" s="274">
        <f t="shared" si="115"/>
        <v>0</v>
      </c>
      <c r="AV198" s="190" t="str">
        <f>IF($B198&lt;$F$22,SUM($T$100:$T198),"")</f>
        <v/>
      </c>
      <c r="AW198" s="190" t="str">
        <f t="shared" si="161"/>
        <v>-</v>
      </c>
      <c r="AX198" s="190" t="str">
        <f t="shared" si="141"/>
        <v/>
      </c>
      <c r="AY198"/>
      <c r="AZ198" s="190" t="str">
        <f ca="1">IF(ISNUMBER(OFFSET(AV198,-$F$21,0)),SUM(OFFSET($T$100,$F$21,0):$T198),"")</f>
        <v/>
      </c>
      <c r="BA198" s="190" t="str">
        <f t="shared" ca="1" si="162"/>
        <v/>
      </c>
      <c r="BB198" s="190" t="str">
        <f t="shared" ca="1" si="148"/>
        <v/>
      </c>
      <c r="BC198" s="190"/>
      <c r="BD198" s="190" t="str">
        <f ca="1">IFERROR(IF(OR(ISNUMBER(I),ISNUMBER($F$14)),IF(AND($B198&gt;=($F$16-$F$15),$B198&lt;$F$22+($F$16-$F$15)),SUM(OFFSET($T$100,($F$16-$F$15),0):$T198),""),""),"")</f>
        <v/>
      </c>
      <c r="BE198" s="190" t="str">
        <f t="shared" ca="1" si="142"/>
        <v/>
      </c>
      <c r="BF198" s="190" t="str">
        <f t="shared" ca="1" si="143"/>
        <v/>
      </c>
      <c r="BG198"/>
      <c r="BH198" s="190" t="str">
        <f ca="1">IF(ISNUMBER(OFFSET(BD198,-$F$21,0)),SUM(OFFSET($T$100,($F$16-$F$15+$F$21),0):$T198),"")</f>
        <v/>
      </c>
      <c r="BI198" s="190" t="str">
        <f t="shared" ca="1" si="163"/>
        <v/>
      </c>
      <c r="BJ198" s="190" t="str">
        <f t="shared" ca="1" si="144"/>
        <v/>
      </c>
      <c r="BK198" s="190"/>
      <c r="BL198" s="190" t="str">
        <f ca="1">IFERROR(IF(OR(ISNUMBER(I),ISNUMBER($F$14)),IF(AND($B198&gt;=($F$17-$F$15),$B198&lt;$F$22+($F$17-$F$15)),SUM(OFFSET($T$100,($F$17-$F$15),0):$T198),""),""),"")</f>
        <v/>
      </c>
      <c r="BM198" s="190" t="str">
        <f t="shared" ca="1" si="164"/>
        <v/>
      </c>
      <c r="BN198" s="190" t="str">
        <f t="shared" ca="1" si="145"/>
        <v/>
      </c>
      <c r="BO198"/>
      <c r="BP198" s="190" t="str">
        <f ca="1">IF(ISNUMBER(OFFSET(BL198,-$F$21,0)),SUM(OFFSET($T$100,($F$17-$F$15+$F$21),0):$T198),"")</f>
        <v/>
      </c>
      <c r="BQ198" s="190" t="str">
        <f t="shared" ca="1" si="165"/>
        <v/>
      </c>
      <c r="BR198" s="190" t="str">
        <f t="shared" ca="1" si="146"/>
        <v/>
      </c>
      <c r="BS198" s="190"/>
      <c r="BT198"/>
      <c r="BU198"/>
      <c r="BV198"/>
      <c r="BY198" s="99"/>
      <c r="BZ198" s="99"/>
      <c r="CA198" s="280" t="str">
        <f t="shared" si="166"/>
        <v/>
      </c>
      <c r="CB198" s="71" t="str">
        <f t="shared" si="122"/>
        <v>-</v>
      </c>
      <c r="CC198" s="33"/>
      <c r="CD198" s="261" t="str">
        <f t="shared" si="123"/>
        <v/>
      </c>
      <c r="CE198" s="280" t="str">
        <f t="shared" si="167"/>
        <v/>
      </c>
      <c r="CF198" s="71" t="str">
        <f t="shared" ca="1" si="168"/>
        <v/>
      </c>
      <c r="CG198" s="33" t="str">
        <f t="shared" si="126"/>
        <v/>
      </c>
      <c r="CH198" s="261" t="str">
        <f t="shared" ca="1" si="127"/>
        <v/>
      </c>
    </row>
    <row r="199" spans="2:86" ht="13.5" customHeight="1" x14ac:dyDescent="0.2">
      <c r="B199" s="262">
        <v>99</v>
      </c>
      <c r="C199" s="237" t="str">
        <f t="shared" si="91"/>
        <v/>
      </c>
      <c r="D199" s="237" t="str">
        <f t="shared" si="147"/>
        <v/>
      </c>
      <c r="E199" s="263" t="str">
        <f t="shared" si="128"/>
        <v/>
      </c>
      <c r="F199" s="264" t="str">
        <f t="shared" si="129"/>
        <v/>
      </c>
      <c r="G199" s="264" t="str">
        <f t="shared" si="130"/>
        <v/>
      </c>
      <c r="H199" s="240" t="str">
        <f t="shared" si="149"/>
        <v/>
      </c>
      <c r="I199" s="265" t="str">
        <f t="shared" si="150"/>
        <v/>
      </c>
      <c r="J199" s="265" t="str">
        <f t="shared" si="151"/>
        <v/>
      </c>
      <c r="K199" s="240" t="str">
        <f t="shared" si="152"/>
        <v/>
      </c>
      <c r="L199" s="265" t="str">
        <f t="shared" si="153"/>
        <v/>
      </c>
      <c r="M199" s="265" t="str">
        <f t="shared" si="154"/>
        <v/>
      </c>
      <c r="N199" s="240" t="str">
        <f t="shared" si="155"/>
        <v>-</v>
      </c>
      <c r="O199" s="265" t="str">
        <f t="shared" si="156"/>
        <v>-</v>
      </c>
      <c r="P199" s="265" t="str">
        <f t="shared" si="157"/>
        <v>-</v>
      </c>
      <c r="Q199" s="266" t="str">
        <f t="shared" si="158"/>
        <v>-</v>
      </c>
      <c r="R199" s="267" t="str">
        <f t="shared" si="159"/>
        <v>-</v>
      </c>
      <c r="S199" s="268" t="str">
        <f t="shared" si="160"/>
        <v>-</v>
      </c>
      <c r="T199" s="269" t="str">
        <f t="shared" si="104"/>
        <v/>
      </c>
      <c r="U199" s="221">
        <f t="shared" si="105"/>
        <v>99</v>
      </c>
      <c r="V199" s="220" t="str">
        <f t="shared" si="131"/>
        <v>-</v>
      </c>
      <c r="W199" s="221" t="str">
        <f t="shared" si="132"/>
        <v>-</v>
      </c>
      <c r="X199" s="221" t="str">
        <f t="shared" si="106"/>
        <v>-</v>
      </c>
      <c r="Y199" s="221" t="str">
        <f t="shared" si="107"/>
        <v>-</v>
      </c>
      <c r="Z199" s="270">
        <f t="shared" si="133"/>
        <v>0.1</v>
      </c>
      <c r="AA199" s="271" t="str">
        <f>IFERROR(IF(V198=1,AA$100*EXP(-(LN(2)/$D$65+0.04)*X198)*EXP(-(LN(2)/$D$65+0.1)*Y198),IF(V198=2,AA$100*EXP(-(LN(2)/$D$65+0.04)*(VLOOKUP(($F$16-$F$15)-1,U$99:Y198,4,FALSE)))*EXP(-(LN(2)/$D$65+0.1)*(VLOOKUP(($F$16-$F$15)-1,U$99:Y198,5,FALSE)))*EXP(-(LN(2)/$D$65+0.04)*X198)*EXP(-(LN(2)/$D$65+0.1)*Y198),IF(V198=3,AA$100*EXP(-(LN(2)/$D$65+0.04)*(VLOOKUP(($F$16-$F$15)-1,U$99:Y198,4,FALSE)))*EXP(-(LN(2)/$D$65+0.1)*(VLOOKUP(($F$16-$F$15)-1,U$99:Y198,5,FALSE)))*EXP(-(LN(2)/$D$65+0.04)*(VLOOKUP(($F$16-$F$15)*2-1,U$99:Y198,4,FALSE)))*EXP(-(LN(2)/$D$65+0.1)*(VLOOKUP(($F$16-$F$15)*2-1,U$99:Y198,5,FALSE)))*EXP(-(LN(2)/$D$65+0.04)*X198)*EXP(-(LN(2)/$D$65+0.1)*Y198),"-"))),"-")</f>
        <v>-</v>
      </c>
      <c r="AB199" s="271" t="str">
        <f>IFERROR(IF(V199=1,AB$100*EXP(-(LN(2)/$D$65+0.04)*X199)*EXP(-(LN(2)/$D$65+0.1)*Y199),IF(V199=2,AB$100*EXP(-(LN(2)/$D$65+0.04)*(VLOOKUP(($F$16-$F$15)-1,U$100:Y199,4,FALSE)))*EXP(-(LN(2)/$D$65+0.1)*(VLOOKUP(($F$16-$F$15)-1,U$100:Y199,5,FALSE)))*EXP(-(LN(2)/$D$65+0.04)*X199)*EXP(-(LN(2)/$D$65+0.1)*Y199),IF(V199=3,AB$100*EXP(-(LN(2)/$D$65+0.04)*(VLOOKUP(($F$16-$F$15)-1,U$100:Y199,4,FALSE)))*EXP(-(LN(2)/$D$65+0.1)*(VLOOKUP(($F$16-$F$15)-1,U$100:Y199,5,FALSE)))*EXP(-(LN(2)/$D$65+0.04)*(VLOOKUP(($F$16-$F$15)*2-1,U$100:Y199,4,FALSE)))*EXP(-(LN(2)/$D$65+0.1)*(VLOOKUP(($F$16-$F$15)*2-1,U$100:Y199,5,FALSE)))*EXP(-(LN(2)/$D$65+0.04)*X199)*EXP(-(LN(2)/$D$65+0.1)*Y199),"-"))),"-")</f>
        <v>-</v>
      </c>
      <c r="AC199" s="224">
        <f t="shared" si="134"/>
        <v>99</v>
      </c>
      <c r="AD199" s="223" t="str">
        <f t="shared" si="108"/>
        <v>-</v>
      </c>
      <c r="AE199" s="224" t="str">
        <f t="shared" si="135"/>
        <v>-</v>
      </c>
      <c r="AF199" s="224" t="str">
        <f t="shared" si="109"/>
        <v>-</v>
      </c>
      <c r="AG199" s="224" t="str">
        <f t="shared" si="110"/>
        <v>-</v>
      </c>
      <c r="AH199" s="272">
        <f t="shared" si="136"/>
        <v>0.1</v>
      </c>
      <c r="AI199" s="271" t="str">
        <f>IFERROR(IF(AD198=1,AI$100*EXP(-(LN(2)/$D$65+0.04)*AF198)*EXP(-(LN(2)/$D$65+0.1)*AG198),IF(AD198=2,AI$100*EXP(-(LN(2)/$D$65+0.04)*(VLOOKUP(($F$16-$F$15)-1,AC$99:AG198,4,FALSE)))*EXP(-(LN(2)/$D$65+0.1)*(VLOOKUP(($F$16-$F$15)-1,AC$99:AG198,5,FALSE)))*EXP(-(LN(2)/$D$65+0.04)*AF198)*EXP(-(LN(2)/$D$65+0.1)*AG198),IF(AD198=3,AI$100*EXP(-(LN(2)/$D$65+0.04)*(VLOOKUP(($F$16-$F$15)-1,AC$99:AG198,4,FALSE)))*EXP(-(LN(2)/$D$65+0.1)*(VLOOKUP(($F$16-$F$15)-1,AC$99:AG198,5,FALSE)))*EXP(-(LN(2)/$D$65+0.04)*(VLOOKUP(($F$16-$F$15)*2-1,AC$99:AG198,4,FALSE)))*EXP(-(LN(2)/$D$65+0.1)*(VLOOKUP(($F$16-$F$15)*2-1,AC$99:AG198,5,FALSE)))*EXP(-(LN(2)/$D$65+0.04)*AF198)*EXP(-(LN(2)/$D$65+0.1)*AG198),"-"))),"-")</f>
        <v>-</v>
      </c>
      <c r="AJ199" s="271" t="str">
        <f>IFERROR(IF(AD199=1,AJ$100*EXP(-(LN(2)/$D$65+0.04)*AF199)*EXP(-(LN(2)/$D$65+0.1)*AG199),IF(AD199=2,AJ$100*EXP(-(LN(2)/$D$65+0.04)*(VLOOKUP(($F$16-$F$15)-1,AC$100:AG199,4,FALSE)))*EXP(-(LN(2)/$D$65+0.1)*(VLOOKUP(($F$16-$F$15)-1,AC$100:AG199,5,FALSE)))*EXP(-(LN(2)/$D$65+0.04)*AF199)*EXP(-(LN(2)/$D$65+0.1)*AG199),IF(AD199=3,AJ$100*EXP(-(LN(2)/$D$65+0.04)*(VLOOKUP(($F$16-$F$15)-1,AC$100:AG199,4,FALSE)))*EXP(-(LN(2)/$D$65+0.1)*(VLOOKUP(($F$16-$F$15)-1,AC$100:AG199,5,FALSE)))*EXP(-(LN(2)/$D$65+0.04)*(VLOOKUP(($F$16-$F$15)*2-1,AC$100:AG199,4,FALSE)))*EXP(-(LN(2)/$D$65+0.1)*(VLOOKUP(($F$16-$F$15)*2-1,AC$100:AG199,5,FALSE)))*EXP(-(LN(2)/$D$65+0.04)*AF199)*EXP(-(LN(2)/$D$65+0.1)*AG199),"-"))),"-")</f>
        <v>-</v>
      </c>
      <c r="AK199" s="227">
        <f t="shared" si="137"/>
        <v>99</v>
      </c>
      <c r="AL199" s="226" t="str">
        <f t="shared" si="111"/>
        <v>-</v>
      </c>
      <c r="AM199" s="227" t="str">
        <f t="shared" si="138"/>
        <v>-</v>
      </c>
      <c r="AN199" s="227" t="str">
        <f t="shared" si="139"/>
        <v>-</v>
      </c>
      <c r="AO199" s="227" t="str">
        <f t="shared" si="112"/>
        <v>-</v>
      </c>
      <c r="AP199" s="273">
        <f t="shared" si="140"/>
        <v>0.1</v>
      </c>
      <c r="AQ199" s="271" t="str">
        <f>IFERROR(IF(AL198=1,AQ$100*EXP(-(LN(2)/$D$65+0.04)*AN198)*EXP(-(LN(2)/$D$65+0.1)*AO198),IF(AL198=2,AQ$100*EXP(-(LN(2)/$D$65+0.04)*(VLOOKUP(($F$16-$F$15)-1,AK$99:AO198,4,FALSE)))*EXP(-(LN(2)/$D$65+0.1)*(VLOOKUP(($F$16-$F$15)-1,AK$99:AO198,5,FALSE)))*EXP(-(LN(2)/$D$65+0.04)*AN198)*EXP(-(LN(2)/$D$65+0.1)*AO198),IF(AL198=3,AQ$100*EXP(-(LN(2)/$D$65+0.04)*(VLOOKUP(($F$16-$F$15)-1,AK$99:AO198,4,FALSE)))*EXP(-(LN(2)/$D$65+0.1)*(VLOOKUP(($F$16-$F$15)-1,AK$99:AO198,5,FALSE)))*EXP(-(LN(2)/$D$65+0.04)*(VLOOKUP(($F$16-$F$15)*2-1,AK$99:AO198,4,FALSE)))*EXP(-(LN(2)/$D$65+0.1)*(VLOOKUP(($F$16-$F$15)*2-1,AK$99:AO198,5,FALSE)))*EXP(-(LN(2)/$D$65+0.04)*AN198)*EXP(-(LN(2)/$D$65+0.1)*AO198),"-"))),"-")</f>
        <v>-</v>
      </c>
      <c r="AR199" s="271" t="str">
        <f>IFERROR(IF(AL199=1,AR$100*EXP(-(LN(2)/$D$65+0.04)*AN199)*EXP(-(LN(2)/$D$65+0.1)*AO199),IF(AL199=2,AR$100*EXP(-(LN(2)/$D$65+0.04)*(VLOOKUP(($F$16-$F$15)-1,AK$100:AO199,4,FALSE)))*EXP(-(LN(2)/$D$65+0.1)*(VLOOKUP(($F$16-$F$15)-1,AK$100:AO199,5,FALSE)))*EXP(-(LN(2)/$D$65+0.04)*AN199)*EXP(-(LN(2)/$D$65+0.1)*AO199),IF(AL199=3,AR$100*EXP(-(LN(2)/$D$65+0.04)*(VLOOKUP(($F$16-$F$15)-1,AK$100:AO199,4,FALSE)))*EXP(-(LN(2)/$D$65+0.1)*(VLOOKUP(($F$16-$F$15)-1,AK$100:AO199,5,FALSE)))*EXP(-(LN(2)/$D$65+0.04)*(VLOOKUP(($F$16-$F$15)*2-1,AK$100:AO199,4,FALSE)))*EXP(-(LN(2)/$D$65+0.1)*(VLOOKUP(($F$16-$F$15)*2-1,AK$100:AO199,5,FALSE)))*EXP(-(LN(2)/$D$65+0.04)*AN199)*EXP(-(LN(2)/$D$65+0.1)*AO199),"-"))),"-")</f>
        <v>-</v>
      </c>
      <c r="AS199" s="274">
        <f t="shared" si="113"/>
        <v>0</v>
      </c>
      <c r="AT199" s="274">
        <f t="shared" si="114"/>
        <v>0</v>
      </c>
      <c r="AU199" s="274">
        <f t="shared" si="115"/>
        <v>0</v>
      </c>
      <c r="AV199" s="190" t="str">
        <f>IF($B199&lt;$F$22,SUM($T$100:$T199),"")</f>
        <v/>
      </c>
      <c r="AW199" s="190" t="str">
        <f t="shared" si="161"/>
        <v>-</v>
      </c>
      <c r="AX199" s="190" t="str">
        <f t="shared" si="141"/>
        <v/>
      </c>
      <c r="AY199"/>
      <c r="AZ199" s="190" t="str">
        <f ca="1">IF(ISNUMBER(OFFSET(AV199,-$F$21,0)),SUM(OFFSET($T$100,$F$21,0):$T199),"")</f>
        <v/>
      </c>
      <c r="BA199" s="190" t="str">
        <f t="shared" ca="1" si="162"/>
        <v/>
      </c>
      <c r="BB199" s="190" t="str">
        <f t="shared" ca="1" si="148"/>
        <v/>
      </c>
      <c r="BC199" s="190"/>
      <c r="BD199" s="190" t="str">
        <f ca="1">IFERROR(IF(OR(ISNUMBER(I),ISNUMBER($F$14)),IF(AND($B199&gt;=($F$16-$F$15),$B199&lt;$F$22+($F$16-$F$15)),SUM(OFFSET($T$100,($F$16-$F$15),0):$T199),""),""),"")</f>
        <v/>
      </c>
      <c r="BE199" s="190" t="str">
        <f t="shared" ca="1" si="142"/>
        <v/>
      </c>
      <c r="BF199" s="190" t="str">
        <f t="shared" ca="1" si="143"/>
        <v/>
      </c>
      <c r="BG199"/>
      <c r="BH199" s="190" t="str">
        <f ca="1">IF(ISNUMBER(OFFSET(BD199,-$F$21,0)),SUM(OFFSET($T$100,($F$16-$F$15+$F$21),0):$T199),"")</f>
        <v/>
      </c>
      <c r="BI199" s="190" t="str">
        <f t="shared" ca="1" si="163"/>
        <v/>
      </c>
      <c r="BJ199" s="190" t="str">
        <f t="shared" ca="1" si="144"/>
        <v/>
      </c>
      <c r="BK199" s="190"/>
      <c r="BL199" s="190" t="str">
        <f ca="1">IFERROR(IF(OR(ISNUMBER(I),ISNUMBER($F$14)),IF(AND($B199&gt;=($F$17-$F$15),$B199&lt;$F$22+($F$17-$F$15)),SUM(OFFSET($T$100,($F$17-$F$15),0):$T199),""),""),"")</f>
        <v/>
      </c>
      <c r="BM199" s="190" t="str">
        <f t="shared" ca="1" si="164"/>
        <v/>
      </c>
      <c r="BN199" s="190" t="str">
        <f t="shared" ca="1" si="145"/>
        <v/>
      </c>
      <c r="BO199"/>
      <c r="BP199" s="190" t="str">
        <f ca="1">IF(ISNUMBER(OFFSET(BL199,-$F$21,0)),SUM(OFFSET($T$100,($F$17-$F$15+$F$21),0):$T199),"")</f>
        <v/>
      </c>
      <c r="BQ199" s="190" t="str">
        <f t="shared" ca="1" si="165"/>
        <v/>
      </c>
      <c r="BR199" s="190" t="str">
        <f t="shared" ca="1" si="146"/>
        <v/>
      </c>
      <c r="BS199" s="190"/>
      <c r="BT199"/>
      <c r="BU199"/>
      <c r="BV199"/>
      <c r="BY199" s="99"/>
      <c r="BZ199" s="99"/>
      <c r="CA199" s="280" t="str">
        <f t="shared" si="166"/>
        <v/>
      </c>
      <c r="CB199" s="71" t="str">
        <f t="shared" si="122"/>
        <v>-</v>
      </c>
      <c r="CC199" s="33"/>
      <c r="CD199" s="261" t="str">
        <f t="shared" si="123"/>
        <v/>
      </c>
      <c r="CE199" s="280" t="str">
        <f t="shared" si="167"/>
        <v/>
      </c>
      <c r="CF199" s="71" t="str">
        <f t="shared" ca="1" si="168"/>
        <v/>
      </c>
      <c r="CG199" s="33" t="str">
        <f t="shared" si="126"/>
        <v/>
      </c>
      <c r="CH199" s="261" t="str">
        <f t="shared" ca="1" si="127"/>
        <v/>
      </c>
    </row>
    <row r="200" spans="2:86" ht="13.5" customHeight="1" x14ac:dyDescent="0.2">
      <c r="B200" s="262">
        <v>100</v>
      </c>
      <c r="C200" s="237" t="str">
        <f t="shared" si="91"/>
        <v/>
      </c>
      <c r="D200" s="237" t="str">
        <f t="shared" si="147"/>
        <v/>
      </c>
      <c r="E200" s="263" t="str">
        <f t="shared" si="128"/>
        <v/>
      </c>
      <c r="F200" s="264" t="str">
        <f t="shared" si="129"/>
        <v/>
      </c>
      <c r="G200" s="264" t="str">
        <f t="shared" si="130"/>
        <v/>
      </c>
      <c r="H200" s="240" t="str">
        <f t="shared" si="149"/>
        <v/>
      </c>
      <c r="I200" s="265" t="str">
        <f t="shared" si="150"/>
        <v/>
      </c>
      <c r="J200" s="265" t="str">
        <f t="shared" si="151"/>
        <v/>
      </c>
      <c r="K200" s="240" t="str">
        <f t="shared" si="152"/>
        <v/>
      </c>
      <c r="L200" s="265" t="str">
        <f t="shared" si="153"/>
        <v/>
      </c>
      <c r="M200" s="265" t="str">
        <f t="shared" si="154"/>
        <v/>
      </c>
      <c r="N200" s="240" t="str">
        <f t="shared" si="155"/>
        <v>-</v>
      </c>
      <c r="O200" s="265" t="str">
        <f t="shared" si="156"/>
        <v>-</v>
      </c>
      <c r="P200" s="265" t="str">
        <f t="shared" si="157"/>
        <v>-</v>
      </c>
      <c r="Q200" s="266" t="str">
        <f t="shared" si="158"/>
        <v>-</v>
      </c>
      <c r="R200" s="267" t="str">
        <f t="shared" si="159"/>
        <v>-</v>
      </c>
      <c r="S200" s="268" t="str">
        <f t="shared" si="160"/>
        <v>-</v>
      </c>
      <c r="T200" s="269" t="str">
        <f t="shared" si="104"/>
        <v/>
      </c>
      <c r="U200" s="221">
        <f t="shared" si="105"/>
        <v>100</v>
      </c>
      <c r="V200" s="220" t="str">
        <f t="shared" si="131"/>
        <v>-</v>
      </c>
      <c r="W200" s="221" t="str">
        <f t="shared" si="132"/>
        <v>-</v>
      </c>
      <c r="X200" s="221" t="str">
        <f t="shared" si="106"/>
        <v>-</v>
      </c>
      <c r="Y200" s="221" t="str">
        <f t="shared" si="107"/>
        <v>-</v>
      </c>
      <c r="Z200" s="270">
        <f t="shared" si="133"/>
        <v>0.1</v>
      </c>
      <c r="AA200" s="271" t="str">
        <f>IFERROR(IF(V199=1,AA$100*EXP(-(LN(2)/$D$65+0.04)*X199)*EXP(-(LN(2)/$D$65+0.1)*Y199),IF(V199=2,AA$100*EXP(-(LN(2)/$D$65+0.04)*(VLOOKUP(($F$16-$F$15)-1,U$99:Y199,4,FALSE)))*EXP(-(LN(2)/$D$65+0.1)*(VLOOKUP(($F$16-$F$15)-1,U$99:Y199,5,FALSE)))*EXP(-(LN(2)/$D$65+0.04)*X199)*EXP(-(LN(2)/$D$65+0.1)*Y199),IF(V199=3,AA$100*EXP(-(LN(2)/$D$65+0.04)*(VLOOKUP(($F$16-$F$15)-1,U$99:Y199,4,FALSE)))*EXP(-(LN(2)/$D$65+0.1)*(VLOOKUP(($F$16-$F$15)-1,U$99:Y199,5,FALSE)))*EXP(-(LN(2)/$D$65+0.04)*(VLOOKUP(($F$16-$F$15)*2-1,U$99:Y199,4,FALSE)))*EXP(-(LN(2)/$D$65+0.1)*(VLOOKUP(($F$16-$F$15)*2-1,U$99:Y199,5,FALSE)))*EXP(-(LN(2)/$D$65+0.04)*X199)*EXP(-(LN(2)/$D$65+0.1)*Y199),"-"))),"-")</f>
        <v>-</v>
      </c>
      <c r="AB200" s="271" t="str">
        <f>IFERROR(IF(V200=1,AB$100*EXP(-(LN(2)/$D$65+0.04)*X200)*EXP(-(LN(2)/$D$65+0.1)*Y200),IF(V200=2,AB$100*EXP(-(LN(2)/$D$65+0.04)*(VLOOKUP(($F$16-$F$15)-1,U$100:Y200,4,FALSE)))*EXP(-(LN(2)/$D$65+0.1)*(VLOOKUP(($F$16-$F$15)-1,U$100:Y200,5,FALSE)))*EXP(-(LN(2)/$D$65+0.04)*X200)*EXP(-(LN(2)/$D$65+0.1)*Y200),IF(V200=3,AB$100*EXP(-(LN(2)/$D$65+0.04)*(VLOOKUP(($F$16-$F$15)-1,U$100:Y200,4,FALSE)))*EXP(-(LN(2)/$D$65+0.1)*(VLOOKUP(($F$16-$F$15)-1,U$100:Y200,5,FALSE)))*EXP(-(LN(2)/$D$65+0.04)*(VLOOKUP(($F$16-$F$15)*2-1,U$100:Y200,4,FALSE)))*EXP(-(LN(2)/$D$65+0.1)*(VLOOKUP(($F$16-$F$15)*2-1,U$100:Y200,5,FALSE)))*EXP(-(LN(2)/$D$65+0.04)*X200)*EXP(-(LN(2)/$D$65+0.1)*Y200),"-"))),"-")</f>
        <v>-</v>
      </c>
      <c r="AC200" s="224">
        <f t="shared" si="134"/>
        <v>100</v>
      </c>
      <c r="AD200" s="223" t="str">
        <f t="shared" si="108"/>
        <v>-</v>
      </c>
      <c r="AE200" s="224" t="str">
        <f t="shared" si="135"/>
        <v>-</v>
      </c>
      <c r="AF200" s="224" t="str">
        <f t="shared" si="109"/>
        <v>-</v>
      </c>
      <c r="AG200" s="224" t="str">
        <f t="shared" si="110"/>
        <v>-</v>
      </c>
      <c r="AH200" s="272">
        <f t="shared" si="136"/>
        <v>0.1</v>
      </c>
      <c r="AI200" s="271" t="str">
        <f>IFERROR(IF(AD199=1,AI$100*EXP(-(LN(2)/$D$65+0.04)*AF199)*EXP(-(LN(2)/$D$65+0.1)*AG199),IF(AD199=2,AI$100*EXP(-(LN(2)/$D$65+0.04)*(VLOOKUP(($F$16-$F$15)-1,AC$99:AG199,4,FALSE)))*EXP(-(LN(2)/$D$65+0.1)*(VLOOKUP(($F$16-$F$15)-1,AC$99:AG199,5,FALSE)))*EXP(-(LN(2)/$D$65+0.04)*AF199)*EXP(-(LN(2)/$D$65+0.1)*AG199),IF(AD199=3,AI$100*EXP(-(LN(2)/$D$65+0.04)*(VLOOKUP(($F$16-$F$15)-1,AC$99:AG199,4,FALSE)))*EXP(-(LN(2)/$D$65+0.1)*(VLOOKUP(($F$16-$F$15)-1,AC$99:AG199,5,FALSE)))*EXP(-(LN(2)/$D$65+0.04)*(VLOOKUP(($F$16-$F$15)*2-1,AC$99:AG199,4,FALSE)))*EXP(-(LN(2)/$D$65+0.1)*(VLOOKUP(($F$16-$F$15)*2-1,AC$99:AG199,5,FALSE)))*EXP(-(LN(2)/$D$65+0.04)*AF199)*EXP(-(LN(2)/$D$65+0.1)*AG199),"-"))),"-")</f>
        <v>-</v>
      </c>
      <c r="AJ200" s="271" t="str">
        <f>IFERROR(IF(AD200=1,AJ$100*EXP(-(LN(2)/$D$65+0.04)*AF200)*EXP(-(LN(2)/$D$65+0.1)*AG200),IF(AD200=2,AJ$100*EXP(-(LN(2)/$D$65+0.04)*(VLOOKUP(($F$16-$F$15)-1,AC$100:AG200,4,FALSE)))*EXP(-(LN(2)/$D$65+0.1)*(VLOOKUP(($F$16-$F$15)-1,AC$100:AG200,5,FALSE)))*EXP(-(LN(2)/$D$65+0.04)*AF200)*EXP(-(LN(2)/$D$65+0.1)*AG200),IF(AD200=3,AJ$100*EXP(-(LN(2)/$D$65+0.04)*(VLOOKUP(($F$16-$F$15)-1,AC$100:AG200,4,FALSE)))*EXP(-(LN(2)/$D$65+0.1)*(VLOOKUP(($F$16-$F$15)-1,AC$100:AG200,5,FALSE)))*EXP(-(LN(2)/$D$65+0.04)*(VLOOKUP(($F$16-$F$15)*2-1,AC$100:AG200,4,FALSE)))*EXP(-(LN(2)/$D$65+0.1)*(VLOOKUP(($F$16-$F$15)*2-1,AC$100:AG200,5,FALSE)))*EXP(-(LN(2)/$D$65+0.04)*AF200)*EXP(-(LN(2)/$D$65+0.1)*AG200),"-"))),"-")</f>
        <v>-</v>
      </c>
      <c r="AK200" s="227">
        <f t="shared" si="137"/>
        <v>100</v>
      </c>
      <c r="AL200" s="226" t="str">
        <f t="shared" si="111"/>
        <v>-</v>
      </c>
      <c r="AM200" s="227" t="str">
        <f t="shared" si="138"/>
        <v>-</v>
      </c>
      <c r="AN200" s="227" t="str">
        <f t="shared" si="139"/>
        <v>-</v>
      </c>
      <c r="AO200" s="227" t="str">
        <f t="shared" si="112"/>
        <v>-</v>
      </c>
      <c r="AP200" s="273">
        <f t="shared" si="140"/>
        <v>0.1</v>
      </c>
      <c r="AQ200" s="271" t="str">
        <f>IFERROR(IF(AL199=1,AQ$100*EXP(-(LN(2)/$D$65+0.04)*AN199)*EXP(-(LN(2)/$D$65+0.1)*AO199),IF(AL199=2,AQ$100*EXP(-(LN(2)/$D$65+0.04)*(VLOOKUP(($F$16-$F$15)-1,AK$99:AO199,4,FALSE)))*EXP(-(LN(2)/$D$65+0.1)*(VLOOKUP(($F$16-$F$15)-1,AK$99:AO199,5,FALSE)))*EXP(-(LN(2)/$D$65+0.04)*AN199)*EXP(-(LN(2)/$D$65+0.1)*AO199),IF(AL199=3,AQ$100*EXP(-(LN(2)/$D$65+0.04)*(VLOOKUP(($F$16-$F$15)-1,AK$99:AO199,4,FALSE)))*EXP(-(LN(2)/$D$65+0.1)*(VLOOKUP(($F$16-$F$15)-1,AK$99:AO199,5,FALSE)))*EXP(-(LN(2)/$D$65+0.04)*(VLOOKUP(($F$16-$F$15)*2-1,AK$99:AO199,4,FALSE)))*EXP(-(LN(2)/$D$65+0.1)*(VLOOKUP(($F$16-$F$15)*2-1,AK$99:AO199,5,FALSE)))*EXP(-(LN(2)/$D$65+0.04)*AN199)*EXP(-(LN(2)/$D$65+0.1)*AO199),"-"))),"-")</f>
        <v>-</v>
      </c>
      <c r="AR200" s="271" t="str">
        <f>IFERROR(IF(AL200=1,AR$100*EXP(-(LN(2)/$D$65+0.04)*AN200)*EXP(-(LN(2)/$D$65+0.1)*AO200),IF(AL200=2,AR$100*EXP(-(LN(2)/$D$65+0.04)*(VLOOKUP(($F$16-$F$15)-1,AK$100:AO200,4,FALSE)))*EXP(-(LN(2)/$D$65+0.1)*(VLOOKUP(($F$16-$F$15)-1,AK$100:AO200,5,FALSE)))*EXP(-(LN(2)/$D$65+0.04)*AN200)*EXP(-(LN(2)/$D$65+0.1)*AO200),IF(AL200=3,AR$100*EXP(-(LN(2)/$D$65+0.04)*(VLOOKUP(($F$16-$F$15)-1,AK$100:AO200,4,FALSE)))*EXP(-(LN(2)/$D$65+0.1)*(VLOOKUP(($F$16-$F$15)-1,AK$100:AO200,5,FALSE)))*EXP(-(LN(2)/$D$65+0.04)*(VLOOKUP(($F$16-$F$15)*2-1,AK$100:AO200,4,FALSE)))*EXP(-(LN(2)/$D$65+0.1)*(VLOOKUP(($F$16-$F$15)*2-1,AK$100:AO200,5,FALSE)))*EXP(-(LN(2)/$D$65+0.04)*AN200)*EXP(-(LN(2)/$D$65+0.1)*AO200),"-"))),"-")</f>
        <v>-</v>
      </c>
      <c r="AS200" s="274">
        <f t="shared" si="113"/>
        <v>0</v>
      </c>
      <c r="AT200" s="274">
        <f t="shared" si="114"/>
        <v>0</v>
      </c>
      <c r="AU200" s="274">
        <f t="shared" si="115"/>
        <v>0</v>
      </c>
      <c r="AV200" s="190" t="str">
        <f>IF($B200&lt;$F$22,SUM($T$100:$T200),"")</f>
        <v/>
      </c>
      <c r="AW200" s="190" t="str">
        <f t="shared" si="161"/>
        <v>-</v>
      </c>
      <c r="AX200" s="190" t="str">
        <f t="shared" si="141"/>
        <v/>
      </c>
      <c r="AY200"/>
      <c r="AZ200" s="190" t="str">
        <f ca="1">IF(ISNUMBER(OFFSET(AV200,-$F$21,0)),SUM(OFFSET($T$100,$F$21,0):$T200),"")</f>
        <v/>
      </c>
      <c r="BA200" s="190" t="str">
        <f t="shared" ca="1" si="162"/>
        <v/>
      </c>
      <c r="BB200" s="190" t="str">
        <f t="shared" ca="1" si="148"/>
        <v/>
      </c>
      <c r="BC200" s="190"/>
      <c r="BD200" s="190" t="str">
        <f ca="1">IFERROR(IF(OR(ISNUMBER(I),ISNUMBER($F$14)),IF(AND($B200&gt;=($F$16-$F$15),$B200&lt;$F$22+($F$16-$F$15)),SUM(OFFSET($T$100,($F$16-$F$15),0):$T200),""),""),"")</f>
        <v/>
      </c>
      <c r="BE200" s="190" t="str">
        <f t="shared" ca="1" si="142"/>
        <v/>
      </c>
      <c r="BF200" s="190" t="str">
        <f t="shared" ca="1" si="143"/>
        <v/>
      </c>
      <c r="BG200"/>
      <c r="BH200" s="190" t="str">
        <f ca="1">IF(ISNUMBER(OFFSET(BD200,-$F$21,0)),SUM(OFFSET($T$100,($F$16-$F$15+$F$21),0):$T200),"")</f>
        <v/>
      </c>
      <c r="BI200" s="190" t="str">
        <f t="shared" ca="1" si="163"/>
        <v/>
      </c>
      <c r="BJ200" s="190" t="str">
        <f t="shared" ca="1" si="144"/>
        <v/>
      </c>
      <c r="BK200" s="190"/>
      <c r="BL200" s="190" t="str">
        <f ca="1">IFERROR(IF(OR(ISNUMBER(I),ISNUMBER($F$14)),IF(AND($B200&gt;=($F$17-$F$15),$B200&lt;$F$22+($F$17-$F$15)),SUM(OFFSET($T$100,($F$17-$F$15),0):$T200),""),""),"")</f>
        <v/>
      </c>
      <c r="BM200" s="190" t="str">
        <f t="shared" ca="1" si="164"/>
        <v/>
      </c>
      <c r="BN200" s="190" t="str">
        <f t="shared" ca="1" si="145"/>
        <v/>
      </c>
      <c r="BO200"/>
      <c r="BP200" s="190" t="str">
        <f ca="1">IF(ISNUMBER(OFFSET(BL200,-$F$21,0)),SUM(OFFSET($T$100,($F$17-$F$15+$F$21),0):$T200),"")</f>
        <v/>
      </c>
      <c r="BQ200" s="190" t="str">
        <f t="shared" ca="1" si="165"/>
        <v/>
      </c>
      <c r="BR200" s="190" t="str">
        <f t="shared" ca="1" si="146"/>
        <v/>
      </c>
      <c r="BS200" s="190"/>
      <c r="BT200"/>
      <c r="BU200"/>
      <c r="BV200"/>
      <c r="BY200" s="99"/>
      <c r="BZ200" s="99"/>
      <c r="CA200" s="280" t="str">
        <f t="shared" si="166"/>
        <v/>
      </c>
      <c r="CB200" s="71" t="str">
        <f t="shared" si="122"/>
        <v>-</v>
      </c>
      <c r="CC200" s="33"/>
      <c r="CD200" s="261" t="str">
        <f t="shared" si="123"/>
        <v/>
      </c>
      <c r="CE200" s="280" t="str">
        <f t="shared" si="167"/>
        <v/>
      </c>
      <c r="CF200" s="71" t="str">
        <f t="shared" ca="1" si="168"/>
        <v/>
      </c>
      <c r="CG200" s="33" t="str">
        <f t="shared" si="126"/>
        <v/>
      </c>
      <c r="CH200" s="261" t="str">
        <f t="shared" ca="1" si="127"/>
        <v/>
      </c>
    </row>
    <row r="201" spans="2:86" ht="13.5" customHeight="1" x14ac:dyDescent="0.2">
      <c r="B201" s="262">
        <v>101</v>
      </c>
      <c r="C201" s="237" t="str">
        <f t="shared" si="91"/>
        <v/>
      </c>
      <c r="D201" s="237" t="str">
        <f t="shared" si="147"/>
        <v/>
      </c>
      <c r="E201" s="263" t="str">
        <f t="shared" si="128"/>
        <v/>
      </c>
      <c r="F201" s="264" t="str">
        <f t="shared" si="129"/>
        <v/>
      </c>
      <c r="G201" s="264" t="str">
        <f t="shared" si="130"/>
        <v/>
      </c>
      <c r="H201" s="240" t="str">
        <f t="shared" si="149"/>
        <v/>
      </c>
      <c r="I201" s="265" t="str">
        <f t="shared" si="150"/>
        <v/>
      </c>
      <c r="J201" s="265" t="str">
        <f t="shared" si="151"/>
        <v/>
      </c>
      <c r="K201" s="240" t="str">
        <f t="shared" si="152"/>
        <v/>
      </c>
      <c r="L201" s="265" t="str">
        <f t="shared" si="153"/>
        <v/>
      </c>
      <c r="M201" s="265" t="str">
        <f t="shared" si="154"/>
        <v/>
      </c>
      <c r="N201" s="240" t="str">
        <f t="shared" si="155"/>
        <v>-</v>
      </c>
      <c r="O201" s="265" t="str">
        <f t="shared" si="156"/>
        <v>-</v>
      </c>
      <c r="P201" s="265" t="str">
        <f t="shared" si="157"/>
        <v>-</v>
      </c>
      <c r="Q201" s="266" t="str">
        <f t="shared" si="158"/>
        <v>-</v>
      </c>
      <c r="R201" s="267" t="str">
        <f t="shared" si="159"/>
        <v>-</v>
      </c>
      <c r="S201" s="268" t="str">
        <f t="shared" si="160"/>
        <v>-</v>
      </c>
      <c r="T201" s="269" t="str">
        <f t="shared" si="104"/>
        <v/>
      </c>
      <c r="U201" s="221">
        <f t="shared" si="105"/>
        <v>101</v>
      </c>
      <c r="V201" s="220" t="str">
        <f t="shared" si="131"/>
        <v>-</v>
      </c>
      <c r="W201" s="221" t="str">
        <f t="shared" si="132"/>
        <v>-</v>
      </c>
      <c r="X201" s="221" t="str">
        <f t="shared" si="106"/>
        <v>-</v>
      </c>
      <c r="Y201" s="221" t="str">
        <f t="shared" si="107"/>
        <v>-</v>
      </c>
      <c r="Z201" s="270">
        <f t="shared" si="133"/>
        <v>0.1</v>
      </c>
      <c r="AA201" s="271" t="str">
        <f>IFERROR(IF(V200=1,AA$100*EXP(-(LN(2)/$D$65+0.04)*X200)*EXP(-(LN(2)/$D$65+0.1)*Y200),IF(V200=2,AA$100*EXP(-(LN(2)/$D$65+0.04)*(VLOOKUP(($F$16-$F$15)-1,U$99:Y200,4,FALSE)))*EXP(-(LN(2)/$D$65+0.1)*(VLOOKUP(($F$16-$F$15)-1,U$99:Y200,5,FALSE)))*EXP(-(LN(2)/$D$65+0.04)*X200)*EXP(-(LN(2)/$D$65+0.1)*Y200),IF(V200=3,AA$100*EXP(-(LN(2)/$D$65+0.04)*(VLOOKUP(($F$16-$F$15)-1,U$99:Y200,4,FALSE)))*EXP(-(LN(2)/$D$65+0.1)*(VLOOKUP(($F$16-$F$15)-1,U$99:Y200,5,FALSE)))*EXP(-(LN(2)/$D$65+0.04)*(VLOOKUP(($F$16-$F$15)*2-1,U$99:Y200,4,FALSE)))*EXP(-(LN(2)/$D$65+0.1)*(VLOOKUP(($F$16-$F$15)*2-1,U$99:Y200,5,FALSE)))*EXP(-(LN(2)/$D$65+0.04)*X200)*EXP(-(LN(2)/$D$65+0.1)*Y200),"-"))),"-")</f>
        <v>-</v>
      </c>
      <c r="AB201" s="271" t="str">
        <f>IFERROR(IF(V201=1,AB$100*EXP(-(LN(2)/$D$65+0.04)*X201)*EXP(-(LN(2)/$D$65+0.1)*Y201),IF(V201=2,AB$100*EXP(-(LN(2)/$D$65+0.04)*(VLOOKUP(($F$16-$F$15)-1,U$100:Y201,4,FALSE)))*EXP(-(LN(2)/$D$65+0.1)*(VLOOKUP(($F$16-$F$15)-1,U$100:Y201,5,FALSE)))*EXP(-(LN(2)/$D$65+0.04)*X201)*EXP(-(LN(2)/$D$65+0.1)*Y201),IF(V201=3,AB$100*EXP(-(LN(2)/$D$65+0.04)*(VLOOKUP(($F$16-$F$15)-1,U$100:Y201,4,FALSE)))*EXP(-(LN(2)/$D$65+0.1)*(VLOOKUP(($F$16-$F$15)-1,U$100:Y201,5,FALSE)))*EXP(-(LN(2)/$D$65+0.04)*(VLOOKUP(($F$16-$F$15)*2-1,U$100:Y201,4,FALSE)))*EXP(-(LN(2)/$D$65+0.1)*(VLOOKUP(($F$16-$F$15)*2-1,U$100:Y201,5,FALSE)))*EXP(-(LN(2)/$D$65+0.04)*X201)*EXP(-(LN(2)/$D$65+0.1)*Y201),"-"))),"-")</f>
        <v>-</v>
      </c>
      <c r="AC201" s="224">
        <f t="shared" si="134"/>
        <v>101</v>
      </c>
      <c r="AD201" s="223" t="str">
        <f t="shared" si="108"/>
        <v>-</v>
      </c>
      <c r="AE201" s="224" t="str">
        <f t="shared" si="135"/>
        <v>-</v>
      </c>
      <c r="AF201" s="224" t="str">
        <f t="shared" si="109"/>
        <v>-</v>
      </c>
      <c r="AG201" s="224" t="str">
        <f t="shared" si="110"/>
        <v>-</v>
      </c>
      <c r="AH201" s="272">
        <f t="shared" si="136"/>
        <v>0.1</v>
      </c>
      <c r="AI201" s="271" t="str">
        <f>IFERROR(IF(AD200=1,AI$100*EXP(-(LN(2)/$D$65+0.04)*AF200)*EXP(-(LN(2)/$D$65+0.1)*AG200),IF(AD200=2,AI$100*EXP(-(LN(2)/$D$65+0.04)*(VLOOKUP(($F$16-$F$15)-1,AC$99:AG200,4,FALSE)))*EXP(-(LN(2)/$D$65+0.1)*(VLOOKUP(($F$16-$F$15)-1,AC$99:AG200,5,FALSE)))*EXP(-(LN(2)/$D$65+0.04)*AF200)*EXP(-(LN(2)/$D$65+0.1)*AG200),IF(AD200=3,AI$100*EXP(-(LN(2)/$D$65+0.04)*(VLOOKUP(($F$16-$F$15)-1,AC$99:AG200,4,FALSE)))*EXP(-(LN(2)/$D$65+0.1)*(VLOOKUP(($F$16-$F$15)-1,AC$99:AG200,5,FALSE)))*EXP(-(LN(2)/$D$65+0.04)*(VLOOKUP(($F$16-$F$15)*2-1,AC$99:AG200,4,FALSE)))*EXP(-(LN(2)/$D$65+0.1)*(VLOOKUP(($F$16-$F$15)*2-1,AC$99:AG200,5,FALSE)))*EXP(-(LN(2)/$D$65+0.04)*AF200)*EXP(-(LN(2)/$D$65+0.1)*AG200),"-"))),"-")</f>
        <v>-</v>
      </c>
      <c r="AJ201" s="271" t="str">
        <f>IFERROR(IF(AD201=1,AJ$100*EXP(-(LN(2)/$D$65+0.04)*AF201)*EXP(-(LN(2)/$D$65+0.1)*AG201),IF(AD201=2,AJ$100*EXP(-(LN(2)/$D$65+0.04)*(VLOOKUP(($F$16-$F$15)-1,AC$100:AG201,4,FALSE)))*EXP(-(LN(2)/$D$65+0.1)*(VLOOKUP(($F$16-$F$15)-1,AC$100:AG201,5,FALSE)))*EXP(-(LN(2)/$D$65+0.04)*AF201)*EXP(-(LN(2)/$D$65+0.1)*AG201),IF(AD201=3,AJ$100*EXP(-(LN(2)/$D$65+0.04)*(VLOOKUP(($F$16-$F$15)-1,AC$100:AG201,4,FALSE)))*EXP(-(LN(2)/$D$65+0.1)*(VLOOKUP(($F$16-$F$15)-1,AC$100:AG201,5,FALSE)))*EXP(-(LN(2)/$D$65+0.04)*(VLOOKUP(($F$16-$F$15)*2-1,AC$100:AG201,4,FALSE)))*EXP(-(LN(2)/$D$65+0.1)*(VLOOKUP(($F$16-$F$15)*2-1,AC$100:AG201,5,FALSE)))*EXP(-(LN(2)/$D$65+0.04)*AF201)*EXP(-(LN(2)/$D$65+0.1)*AG201),"-"))),"-")</f>
        <v>-</v>
      </c>
      <c r="AK201" s="227">
        <f t="shared" si="137"/>
        <v>101</v>
      </c>
      <c r="AL201" s="226" t="str">
        <f t="shared" si="111"/>
        <v>-</v>
      </c>
      <c r="AM201" s="227" t="str">
        <f t="shared" si="138"/>
        <v>-</v>
      </c>
      <c r="AN201" s="227" t="str">
        <f t="shared" si="139"/>
        <v>-</v>
      </c>
      <c r="AO201" s="227" t="str">
        <f t="shared" si="112"/>
        <v>-</v>
      </c>
      <c r="AP201" s="273">
        <f t="shared" si="140"/>
        <v>0.1</v>
      </c>
      <c r="AQ201" s="271" t="str">
        <f>IFERROR(IF(AL200=1,AQ$100*EXP(-(LN(2)/$D$65+0.04)*AN200)*EXP(-(LN(2)/$D$65+0.1)*AO200),IF(AL200=2,AQ$100*EXP(-(LN(2)/$D$65+0.04)*(VLOOKUP(($F$16-$F$15)-1,AK$99:AO200,4,FALSE)))*EXP(-(LN(2)/$D$65+0.1)*(VLOOKUP(($F$16-$F$15)-1,AK$99:AO200,5,FALSE)))*EXP(-(LN(2)/$D$65+0.04)*AN200)*EXP(-(LN(2)/$D$65+0.1)*AO200),IF(AL200=3,AQ$100*EXP(-(LN(2)/$D$65+0.04)*(VLOOKUP(($F$16-$F$15)-1,AK$99:AO200,4,FALSE)))*EXP(-(LN(2)/$D$65+0.1)*(VLOOKUP(($F$16-$F$15)-1,AK$99:AO200,5,FALSE)))*EXP(-(LN(2)/$D$65+0.04)*(VLOOKUP(($F$16-$F$15)*2-1,AK$99:AO200,4,FALSE)))*EXP(-(LN(2)/$D$65+0.1)*(VLOOKUP(($F$16-$F$15)*2-1,AK$99:AO200,5,FALSE)))*EXP(-(LN(2)/$D$65+0.04)*AN200)*EXP(-(LN(2)/$D$65+0.1)*AO200),"-"))),"-")</f>
        <v>-</v>
      </c>
      <c r="AR201" s="271" t="str">
        <f>IFERROR(IF(AL201=1,AR$100*EXP(-(LN(2)/$D$65+0.04)*AN201)*EXP(-(LN(2)/$D$65+0.1)*AO201),IF(AL201=2,AR$100*EXP(-(LN(2)/$D$65+0.04)*(VLOOKUP(($F$16-$F$15)-1,AK$100:AO201,4,FALSE)))*EXP(-(LN(2)/$D$65+0.1)*(VLOOKUP(($F$16-$F$15)-1,AK$100:AO201,5,FALSE)))*EXP(-(LN(2)/$D$65+0.04)*AN201)*EXP(-(LN(2)/$D$65+0.1)*AO201),IF(AL201=3,AR$100*EXP(-(LN(2)/$D$65+0.04)*(VLOOKUP(($F$16-$F$15)-1,AK$100:AO201,4,FALSE)))*EXP(-(LN(2)/$D$65+0.1)*(VLOOKUP(($F$16-$F$15)-1,AK$100:AO201,5,FALSE)))*EXP(-(LN(2)/$D$65+0.04)*(VLOOKUP(($F$16-$F$15)*2-1,AK$100:AO201,4,FALSE)))*EXP(-(LN(2)/$D$65+0.1)*(VLOOKUP(($F$16-$F$15)*2-1,AK$100:AO201,5,FALSE)))*EXP(-(LN(2)/$D$65+0.04)*AN201)*EXP(-(LN(2)/$D$65+0.1)*AO201),"-"))),"-")</f>
        <v>-</v>
      </c>
      <c r="AS201" s="274">
        <f t="shared" si="113"/>
        <v>0</v>
      </c>
      <c r="AT201" s="274">
        <f t="shared" si="114"/>
        <v>0</v>
      </c>
      <c r="AU201" s="274">
        <f t="shared" si="115"/>
        <v>0</v>
      </c>
      <c r="AV201" s="190" t="str">
        <f>IF($B201&lt;$F$22,SUM($T$100:$T201),"")</f>
        <v/>
      </c>
      <c r="AW201" s="190" t="str">
        <f t="shared" si="161"/>
        <v>-</v>
      </c>
      <c r="AX201" s="190" t="str">
        <f t="shared" si="141"/>
        <v/>
      </c>
      <c r="AY201"/>
      <c r="AZ201" s="190" t="str">
        <f ca="1">IF(ISNUMBER(OFFSET(AV201,-$F$21,0)),SUM(OFFSET($T$100,$F$21,0):$T201),"")</f>
        <v/>
      </c>
      <c r="BA201" s="190" t="str">
        <f t="shared" ca="1" si="162"/>
        <v/>
      </c>
      <c r="BB201" s="190" t="str">
        <f t="shared" ca="1" si="148"/>
        <v/>
      </c>
      <c r="BC201" s="190"/>
      <c r="BD201" s="190" t="str">
        <f ca="1">IFERROR(IF(OR(ISNUMBER(I),ISNUMBER($F$14)),IF(AND($B201&gt;=($F$16-$F$15),$B201&lt;$F$22+($F$16-$F$15)),SUM(OFFSET($T$100,($F$16-$F$15),0):$T201),""),""),"")</f>
        <v/>
      </c>
      <c r="BE201" s="190" t="str">
        <f t="shared" ca="1" si="142"/>
        <v/>
      </c>
      <c r="BF201" s="190" t="str">
        <f t="shared" ca="1" si="143"/>
        <v/>
      </c>
      <c r="BG201"/>
      <c r="BH201" s="190" t="str">
        <f ca="1">IF(ISNUMBER(OFFSET(BD201,-$F$21,0)),SUM(OFFSET($T$100,($F$16-$F$15+$F$21),0):$T201),"")</f>
        <v/>
      </c>
      <c r="BI201" s="190" t="str">
        <f t="shared" ca="1" si="163"/>
        <v/>
      </c>
      <c r="BJ201" s="190" t="str">
        <f t="shared" ca="1" si="144"/>
        <v/>
      </c>
      <c r="BK201" s="190"/>
      <c r="BL201" s="190" t="str">
        <f ca="1">IFERROR(IF(OR(ISNUMBER(I),ISNUMBER($F$14)),IF(AND($B201&gt;=($F$17-$F$15),$B201&lt;$F$22+($F$17-$F$15)),SUM(OFFSET($T$100,($F$17-$F$15),0):$T201),""),""),"")</f>
        <v/>
      </c>
      <c r="BM201" s="190" t="str">
        <f t="shared" ca="1" si="164"/>
        <v/>
      </c>
      <c r="BN201" s="190" t="str">
        <f t="shared" ca="1" si="145"/>
        <v/>
      </c>
      <c r="BO201"/>
      <c r="BP201" s="190" t="str">
        <f ca="1">IF(ISNUMBER(OFFSET(BL201,-$F$21,0)),SUM(OFFSET($T$100,($F$17-$F$15+$F$21),0):$T201),"")</f>
        <v/>
      </c>
      <c r="BQ201" s="190" t="str">
        <f t="shared" ca="1" si="165"/>
        <v/>
      </c>
      <c r="BR201" s="190" t="str">
        <f t="shared" ca="1" si="146"/>
        <v/>
      </c>
      <c r="BS201" s="190"/>
      <c r="BT201"/>
      <c r="BU201"/>
      <c r="BV201"/>
      <c r="BY201" s="99"/>
      <c r="BZ201" s="99"/>
      <c r="CA201" s="280" t="str">
        <f t="shared" si="166"/>
        <v/>
      </c>
      <c r="CB201" s="71" t="str">
        <f t="shared" si="122"/>
        <v>-</v>
      </c>
      <c r="CC201" s="33"/>
      <c r="CD201" s="261" t="str">
        <f t="shared" si="123"/>
        <v/>
      </c>
      <c r="CE201" s="280" t="str">
        <f t="shared" si="167"/>
        <v/>
      </c>
      <c r="CF201" s="71" t="str">
        <f t="shared" ca="1" si="168"/>
        <v/>
      </c>
      <c r="CG201" s="33" t="str">
        <f t="shared" si="126"/>
        <v/>
      </c>
      <c r="CH201" s="261" t="str">
        <f t="shared" ca="1" si="127"/>
        <v/>
      </c>
    </row>
    <row r="202" spans="2:86" ht="13.5" customHeight="1" x14ac:dyDescent="0.2">
      <c r="B202" s="262">
        <v>102</v>
      </c>
      <c r="C202" s="237" t="str">
        <f t="shared" si="91"/>
        <v/>
      </c>
      <c r="D202" s="237" t="str">
        <f t="shared" si="147"/>
        <v/>
      </c>
      <c r="E202" s="263" t="str">
        <f t="shared" si="128"/>
        <v/>
      </c>
      <c r="F202" s="264" t="str">
        <f t="shared" si="129"/>
        <v/>
      </c>
      <c r="G202" s="264" t="str">
        <f t="shared" si="130"/>
        <v/>
      </c>
      <c r="H202" s="240" t="str">
        <f t="shared" si="149"/>
        <v/>
      </c>
      <c r="I202" s="265" t="str">
        <f t="shared" si="150"/>
        <v/>
      </c>
      <c r="J202" s="265" t="str">
        <f t="shared" si="151"/>
        <v/>
      </c>
      <c r="K202" s="240" t="str">
        <f t="shared" si="152"/>
        <v/>
      </c>
      <c r="L202" s="265" t="str">
        <f t="shared" si="153"/>
        <v/>
      </c>
      <c r="M202" s="265" t="str">
        <f t="shared" si="154"/>
        <v/>
      </c>
      <c r="N202" s="240" t="str">
        <f t="shared" si="155"/>
        <v>-</v>
      </c>
      <c r="O202" s="265" t="str">
        <f t="shared" si="156"/>
        <v>-</v>
      </c>
      <c r="P202" s="265" t="str">
        <f t="shared" si="157"/>
        <v>-</v>
      </c>
      <c r="Q202" s="266" t="str">
        <f t="shared" si="158"/>
        <v>-</v>
      </c>
      <c r="R202" s="267" t="str">
        <f t="shared" si="159"/>
        <v>-</v>
      </c>
      <c r="S202" s="268" t="str">
        <f t="shared" si="160"/>
        <v>-</v>
      </c>
      <c r="T202" s="269" t="str">
        <f t="shared" si="104"/>
        <v/>
      </c>
      <c r="U202" s="221">
        <f t="shared" si="105"/>
        <v>102</v>
      </c>
      <c r="V202" s="220" t="str">
        <f t="shared" si="131"/>
        <v>-</v>
      </c>
      <c r="W202" s="221" t="str">
        <f t="shared" si="132"/>
        <v>-</v>
      </c>
      <c r="X202" s="221" t="str">
        <f t="shared" si="106"/>
        <v>-</v>
      </c>
      <c r="Y202" s="221" t="str">
        <f t="shared" si="107"/>
        <v>-</v>
      </c>
      <c r="Z202" s="270">
        <f t="shared" si="133"/>
        <v>0.1</v>
      </c>
      <c r="AA202" s="271" t="str">
        <f>IFERROR(IF(V201=1,AA$100*EXP(-(LN(2)/$D$65+0.04)*X201)*EXP(-(LN(2)/$D$65+0.1)*Y201),IF(V201=2,AA$100*EXP(-(LN(2)/$D$65+0.04)*(VLOOKUP(($F$16-$F$15)-1,U$99:Y201,4,FALSE)))*EXP(-(LN(2)/$D$65+0.1)*(VLOOKUP(($F$16-$F$15)-1,U$99:Y201,5,FALSE)))*EXP(-(LN(2)/$D$65+0.04)*X201)*EXP(-(LN(2)/$D$65+0.1)*Y201),IF(V201=3,AA$100*EXP(-(LN(2)/$D$65+0.04)*(VLOOKUP(($F$16-$F$15)-1,U$99:Y201,4,FALSE)))*EXP(-(LN(2)/$D$65+0.1)*(VLOOKUP(($F$16-$F$15)-1,U$99:Y201,5,FALSE)))*EXP(-(LN(2)/$D$65+0.04)*(VLOOKUP(($F$16-$F$15)*2-1,U$99:Y201,4,FALSE)))*EXP(-(LN(2)/$D$65+0.1)*(VLOOKUP(($F$16-$F$15)*2-1,U$99:Y201,5,FALSE)))*EXP(-(LN(2)/$D$65+0.04)*X201)*EXP(-(LN(2)/$D$65+0.1)*Y201),"-"))),"-")</f>
        <v>-</v>
      </c>
      <c r="AB202" s="271" t="str">
        <f>IFERROR(IF(V202=1,AB$100*EXP(-(LN(2)/$D$65+0.04)*X202)*EXP(-(LN(2)/$D$65+0.1)*Y202),IF(V202=2,AB$100*EXP(-(LN(2)/$D$65+0.04)*(VLOOKUP(($F$16-$F$15)-1,U$100:Y202,4,FALSE)))*EXP(-(LN(2)/$D$65+0.1)*(VLOOKUP(($F$16-$F$15)-1,U$100:Y202,5,FALSE)))*EXP(-(LN(2)/$D$65+0.04)*X202)*EXP(-(LN(2)/$D$65+0.1)*Y202),IF(V202=3,AB$100*EXP(-(LN(2)/$D$65+0.04)*(VLOOKUP(($F$16-$F$15)-1,U$100:Y202,4,FALSE)))*EXP(-(LN(2)/$D$65+0.1)*(VLOOKUP(($F$16-$F$15)-1,U$100:Y202,5,FALSE)))*EXP(-(LN(2)/$D$65+0.04)*(VLOOKUP(($F$16-$F$15)*2-1,U$100:Y202,4,FALSE)))*EXP(-(LN(2)/$D$65+0.1)*(VLOOKUP(($F$16-$F$15)*2-1,U$100:Y202,5,FALSE)))*EXP(-(LN(2)/$D$65+0.04)*X202)*EXP(-(LN(2)/$D$65+0.1)*Y202),"-"))),"-")</f>
        <v>-</v>
      </c>
      <c r="AC202" s="224">
        <f t="shared" si="134"/>
        <v>102</v>
      </c>
      <c r="AD202" s="223" t="str">
        <f t="shared" si="108"/>
        <v>-</v>
      </c>
      <c r="AE202" s="224" t="str">
        <f t="shared" si="135"/>
        <v>-</v>
      </c>
      <c r="AF202" s="224" t="str">
        <f t="shared" si="109"/>
        <v>-</v>
      </c>
      <c r="AG202" s="224" t="str">
        <f t="shared" si="110"/>
        <v>-</v>
      </c>
      <c r="AH202" s="272">
        <f t="shared" si="136"/>
        <v>0.1</v>
      </c>
      <c r="AI202" s="271" t="str">
        <f>IFERROR(IF(AD201=1,AI$100*EXP(-(LN(2)/$D$65+0.04)*AF201)*EXP(-(LN(2)/$D$65+0.1)*AG201),IF(AD201=2,AI$100*EXP(-(LN(2)/$D$65+0.04)*(VLOOKUP(($F$16-$F$15)-1,AC$99:AG201,4,FALSE)))*EXP(-(LN(2)/$D$65+0.1)*(VLOOKUP(($F$16-$F$15)-1,AC$99:AG201,5,FALSE)))*EXP(-(LN(2)/$D$65+0.04)*AF201)*EXP(-(LN(2)/$D$65+0.1)*AG201),IF(AD201=3,AI$100*EXP(-(LN(2)/$D$65+0.04)*(VLOOKUP(($F$16-$F$15)-1,AC$99:AG201,4,FALSE)))*EXP(-(LN(2)/$D$65+0.1)*(VLOOKUP(($F$16-$F$15)-1,AC$99:AG201,5,FALSE)))*EXP(-(LN(2)/$D$65+0.04)*(VLOOKUP(($F$16-$F$15)*2-1,AC$99:AG201,4,FALSE)))*EXP(-(LN(2)/$D$65+0.1)*(VLOOKUP(($F$16-$F$15)*2-1,AC$99:AG201,5,FALSE)))*EXP(-(LN(2)/$D$65+0.04)*AF201)*EXP(-(LN(2)/$D$65+0.1)*AG201),"-"))),"-")</f>
        <v>-</v>
      </c>
      <c r="AJ202" s="271" t="str">
        <f>IFERROR(IF(AD202=1,AJ$100*EXP(-(LN(2)/$D$65+0.04)*AF202)*EXP(-(LN(2)/$D$65+0.1)*AG202),IF(AD202=2,AJ$100*EXP(-(LN(2)/$D$65+0.04)*(VLOOKUP(($F$16-$F$15)-1,AC$100:AG202,4,FALSE)))*EXP(-(LN(2)/$D$65+0.1)*(VLOOKUP(($F$16-$F$15)-1,AC$100:AG202,5,FALSE)))*EXP(-(LN(2)/$D$65+0.04)*AF202)*EXP(-(LN(2)/$D$65+0.1)*AG202),IF(AD202=3,AJ$100*EXP(-(LN(2)/$D$65+0.04)*(VLOOKUP(($F$16-$F$15)-1,AC$100:AG202,4,FALSE)))*EXP(-(LN(2)/$D$65+0.1)*(VLOOKUP(($F$16-$F$15)-1,AC$100:AG202,5,FALSE)))*EXP(-(LN(2)/$D$65+0.04)*(VLOOKUP(($F$16-$F$15)*2-1,AC$100:AG202,4,FALSE)))*EXP(-(LN(2)/$D$65+0.1)*(VLOOKUP(($F$16-$F$15)*2-1,AC$100:AG202,5,FALSE)))*EXP(-(LN(2)/$D$65+0.04)*AF202)*EXP(-(LN(2)/$D$65+0.1)*AG202),"-"))),"-")</f>
        <v>-</v>
      </c>
      <c r="AK202" s="227">
        <f t="shared" si="137"/>
        <v>102</v>
      </c>
      <c r="AL202" s="226" t="str">
        <f t="shared" si="111"/>
        <v>-</v>
      </c>
      <c r="AM202" s="227" t="str">
        <f t="shared" si="138"/>
        <v>-</v>
      </c>
      <c r="AN202" s="227" t="str">
        <f t="shared" si="139"/>
        <v>-</v>
      </c>
      <c r="AO202" s="227" t="str">
        <f t="shared" si="112"/>
        <v>-</v>
      </c>
      <c r="AP202" s="273">
        <f t="shared" si="140"/>
        <v>0.1</v>
      </c>
      <c r="AQ202" s="271" t="str">
        <f>IFERROR(IF(AL201=1,AQ$100*EXP(-(LN(2)/$D$65+0.04)*AN201)*EXP(-(LN(2)/$D$65+0.1)*AO201),IF(AL201=2,AQ$100*EXP(-(LN(2)/$D$65+0.04)*(VLOOKUP(($F$16-$F$15)-1,AK$99:AO201,4,FALSE)))*EXP(-(LN(2)/$D$65+0.1)*(VLOOKUP(($F$16-$F$15)-1,AK$99:AO201,5,FALSE)))*EXP(-(LN(2)/$D$65+0.04)*AN201)*EXP(-(LN(2)/$D$65+0.1)*AO201),IF(AL201=3,AQ$100*EXP(-(LN(2)/$D$65+0.04)*(VLOOKUP(($F$16-$F$15)-1,AK$99:AO201,4,FALSE)))*EXP(-(LN(2)/$D$65+0.1)*(VLOOKUP(($F$16-$F$15)-1,AK$99:AO201,5,FALSE)))*EXP(-(LN(2)/$D$65+0.04)*(VLOOKUP(($F$16-$F$15)*2-1,AK$99:AO201,4,FALSE)))*EXP(-(LN(2)/$D$65+0.1)*(VLOOKUP(($F$16-$F$15)*2-1,AK$99:AO201,5,FALSE)))*EXP(-(LN(2)/$D$65+0.04)*AN201)*EXP(-(LN(2)/$D$65+0.1)*AO201),"-"))),"-")</f>
        <v>-</v>
      </c>
      <c r="AR202" s="271" t="str">
        <f>IFERROR(IF(AL202=1,AR$100*EXP(-(LN(2)/$D$65+0.04)*AN202)*EXP(-(LN(2)/$D$65+0.1)*AO202),IF(AL202=2,AR$100*EXP(-(LN(2)/$D$65+0.04)*(VLOOKUP(($F$16-$F$15)-1,AK$100:AO202,4,FALSE)))*EXP(-(LN(2)/$D$65+0.1)*(VLOOKUP(($F$16-$F$15)-1,AK$100:AO202,5,FALSE)))*EXP(-(LN(2)/$D$65+0.04)*AN202)*EXP(-(LN(2)/$D$65+0.1)*AO202),IF(AL202=3,AR$100*EXP(-(LN(2)/$D$65+0.04)*(VLOOKUP(($F$16-$F$15)-1,AK$100:AO202,4,FALSE)))*EXP(-(LN(2)/$D$65+0.1)*(VLOOKUP(($F$16-$F$15)-1,AK$100:AO202,5,FALSE)))*EXP(-(LN(2)/$D$65+0.04)*(VLOOKUP(($F$16-$F$15)*2-1,AK$100:AO202,4,FALSE)))*EXP(-(LN(2)/$D$65+0.1)*(VLOOKUP(($F$16-$F$15)*2-1,AK$100:AO202,5,FALSE)))*EXP(-(LN(2)/$D$65+0.04)*AN202)*EXP(-(LN(2)/$D$65+0.1)*AO202),"-"))),"-")</f>
        <v>-</v>
      </c>
      <c r="AS202" s="274">
        <f t="shared" si="113"/>
        <v>0</v>
      </c>
      <c r="AT202" s="274">
        <f t="shared" si="114"/>
        <v>0</v>
      </c>
      <c r="AU202" s="274">
        <f t="shared" si="115"/>
        <v>0</v>
      </c>
      <c r="AV202" s="190" t="str">
        <f>IF($B202&lt;$F$22,SUM($T$100:$T202),"")</f>
        <v/>
      </c>
      <c r="AW202" s="190" t="str">
        <f t="shared" si="161"/>
        <v>-</v>
      </c>
      <c r="AX202" s="190" t="str">
        <f t="shared" si="141"/>
        <v/>
      </c>
      <c r="AY202"/>
      <c r="AZ202" s="190" t="str">
        <f ca="1">IF(ISNUMBER(OFFSET(AV202,-$F$21,0)),SUM(OFFSET($T$100,$F$21,0):$T202),"")</f>
        <v/>
      </c>
      <c r="BA202" s="190" t="str">
        <f t="shared" ca="1" si="162"/>
        <v/>
      </c>
      <c r="BB202" s="190" t="str">
        <f t="shared" ca="1" si="148"/>
        <v/>
      </c>
      <c r="BC202" s="190"/>
      <c r="BD202" s="190" t="str">
        <f ca="1">IFERROR(IF(OR(ISNUMBER(I),ISNUMBER($F$14)),IF(AND($B202&gt;=($F$16-$F$15),$B202&lt;$F$22+($F$16-$F$15)),SUM(OFFSET($T$100,($F$16-$F$15),0):$T202),""),""),"")</f>
        <v/>
      </c>
      <c r="BE202" s="190" t="str">
        <f t="shared" ca="1" si="142"/>
        <v/>
      </c>
      <c r="BF202" s="190" t="str">
        <f t="shared" ca="1" si="143"/>
        <v/>
      </c>
      <c r="BG202"/>
      <c r="BH202" s="190" t="str">
        <f ca="1">IF(ISNUMBER(OFFSET(BD202,-$F$21,0)),SUM(OFFSET($T$100,($F$16-$F$15+$F$21),0):$T202),"")</f>
        <v/>
      </c>
      <c r="BI202" s="190" t="str">
        <f t="shared" ca="1" si="163"/>
        <v/>
      </c>
      <c r="BJ202" s="190" t="str">
        <f t="shared" ca="1" si="144"/>
        <v/>
      </c>
      <c r="BK202" s="190"/>
      <c r="BL202" s="190" t="str">
        <f ca="1">IFERROR(IF(OR(ISNUMBER(I),ISNUMBER($F$14)),IF(AND($B202&gt;=($F$17-$F$15),$B202&lt;$F$22+($F$17-$F$15)),SUM(OFFSET($T$100,($F$17-$F$15),0):$T202),""),""),"")</f>
        <v/>
      </c>
      <c r="BM202" s="190" t="str">
        <f t="shared" ca="1" si="164"/>
        <v/>
      </c>
      <c r="BN202" s="190" t="str">
        <f t="shared" ca="1" si="145"/>
        <v/>
      </c>
      <c r="BO202"/>
      <c r="BP202" s="190" t="str">
        <f ca="1">IF(ISNUMBER(OFFSET(BL202,-$F$21,0)),SUM(OFFSET($T$100,($F$17-$F$15+$F$21),0):$T202),"")</f>
        <v/>
      </c>
      <c r="BQ202" s="190" t="str">
        <f t="shared" ca="1" si="165"/>
        <v/>
      </c>
      <c r="BR202" s="190" t="str">
        <f t="shared" ca="1" si="146"/>
        <v/>
      </c>
      <c r="BS202" s="190"/>
      <c r="BT202"/>
      <c r="BU202"/>
      <c r="BV202"/>
      <c r="BY202" s="99"/>
      <c r="BZ202" s="99"/>
      <c r="CA202" s="280" t="str">
        <f t="shared" si="166"/>
        <v/>
      </c>
      <c r="CB202" s="71" t="str">
        <f t="shared" si="122"/>
        <v>-</v>
      </c>
      <c r="CC202" s="33"/>
      <c r="CD202" s="261" t="str">
        <f t="shared" si="123"/>
        <v/>
      </c>
      <c r="CE202" s="280" t="str">
        <f t="shared" si="167"/>
        <v/>
      </c>
      <c r="CF202" s="71" t="str">
        <f t="shared" ca="1" si="168"/>
        <v/>
      </c>
      <c r="CG202" s="33" t="str">
        <f t="shared" si="126"/>
        <v/>
      </c>
      <c r="CH202" s="261" t="str">
        <f t="shared" ca="1" si="127"/>
        <v/>
      </c>
    </row>
    <row r="203" spans="2:86" ht="13.5" customHeight="1" x14ac:dyDescent="0.2">
      <c r="B203" s="262">
        <v>103</v>
      </c>
      <c r="C203" s="237" t="str">
        <f t="shared" si="91"/>
        <v/>
      </c>
      <c r="D203" s="237" t="str">
        <f t="shared" si="147"/>
        <v/>
      </c>
      <c r="E203" s="263" t="str">
        <f t="shared" si="128"/>
        <v/>
      </c>
      <c r="F203" s="264" t="str">
        <f t="shared" si="129"/>
        <v/>
      </c>
      <c r="G203" s="264" t="str">
        <f t="shared" si="130"/>
        <v/>
      </c>
      <c r="H203" s="240" t="str">
        <f t="shared" si="149"/>
        <v/>
      </c>
      <c r="I203" s="265" t="str">
        <f t="shared" si="150"/>
        <v/>
      </c>
      <c r="J203" s="265" t="str">
        <f t="shared" si="151"/>
        <v/>
      </c>
      <c r="K203" s="240" t="str">
        <f t="shared" si="152"/>
        <v/>
      </c>
      <c r="L203" s="265" t="str">
        <f t="shared" si="153"/>
        <v/>
      </c>
      <c r="M203" s="265" t="str">
        <f t="shared" si="154"/>
        <v/>
      </c>
      <c r="N203" s="240" t="str">
        <f t="shared" si="155"/>
        <v>-</v>
      </c>
      <c r="O203" s="265" t="str">
        <f t="shared" si="156"/>
        <v>-</v>
      </c>
      <c r="P203" s="265" t="str">
        <f t="shared" si="157"/>
        <v>-</v>
      </c>
      <c r="Q203" s="266" t="str">
        <f t="shared" si="158"/>
        <v>-</v>
      </c>
      <c r="R203" s="267" t="str">
        <f t="shared" si="159"/>
        <v>-</v>
      </c>
      <c r="S203" s="268" t="str">
        <f t="shared" si="160"/>
        <v>-</v>
      </c>
      <c r="T203" s="269" t="str">
        <f t="shared" si="104"/>
        <v/>
      </c>
      <c r="U203" s="221">
        <f t="shared" si="105"/>
        <v>103</v>
      </c>
      <c r="V203" s="220" t="str">
        <f t="shared" si="131"/>
        <v>-</v>
      </c>
      <c r="W203" s="221" t="str">
        <f t="shared" si="132"/>
        <v>-</v>
      </c>
      <c r="X203" s="221" t="str">
        <f t="shared" si="106"/>
        <v>-</v>
      </c>
      <c r="Y203" s="221" t="str">
        <f t="shared" si="107"/>
        <v>-</v>
      </c>
      <c r="Z203" s="270">
        <f t="shared" si="133"/>
        <v>0.1</v>
      </c>
      <c r="AA203" s="271" t="str">
        <f>IFERROR(IF(V202=1,AA$100*EXP(-(LN(2)/$D$65+0.04)*X202)*EXP(-(LN(2)/$D$65+0.1)*Y202),IF(V202=2,AA$100*EXP(-(LN(2)/$D$65+0.04)*(VLOOKUP(($F$16-$F$15)-1,U$99:Y202,4,FALSE)))*EXP(-(LN(2)/$D$65+0.1)*(VLOOKUP(($F$16-$F$15)-1,U$99:Y202,5,FALSE)))*EXP(-(LN(2)/$D$65+0.04)*X202)*EXP(-(LN(2)/$D$65+0.1)*Y202),IF(V202=3,AA$100*EXP(-(LN(2)/$D$65+0.04)*(VLOOKUP(($F$16-$F$15)-1,U$99:Y202,4,FALSE)))*EXP(-(LN(2)/$D$65+0.1)*(VLOOKUP(($F$16-$F$15)-1,U$99:Y202,5,FALSE)))*EXP(-(LN(2)/$D$65+0.04)*(VLOOKUP(($F$16-$F$15)*2-1,U$99:Y202,4,FALSE)))*EXP(-(LN(2)/$D$65+0.1)*(VLOOKUP(($F$16-$F$15)*2-1,U$99:Y202,5,FALSE)))*EXP(-(LN(2)/$D$65+0.04)*X202)*EXP(-(LN(2)/$D$65+0.1)*Y202),"-"))),"-")</f>
        <v>-</v>
      </c>
      <c r="AB203" s="271" t="str">
        <f>IFERROR(IF(V203=1,AB$100*EXP(-(LN(2)/$D$65+0.04)*X203)*EXP(-(LN(2)/$D$65+0.1)*Y203),IF(V203=2,AB$100*EXP(-(LN(2)/$D$65+0.04)*(VLOOKUP(($F$16-$F$15)-1,U$100:Y203,4,FALSE)))*EXP(-(LN(2)/$D$65+0.1)*(VLOOKUP(($F$16-$F$15)-1,U$100:Y203,5,FALSE)))*EXP(-(LN(2)/$D$65+0.04)*X203)*EXP(-(LN(2)/$D$65+0.1)*Y203),IF(V203=3,AB$100*EXP(-(LN(2)/$D$65+0.04)*(VLOOKUP(($F$16-$F$15)-1,U$100:Y203,4,FALSE)))*EXP(-(LN(2)/$D$65+0.1)*(VLOOKUP(($F$16-$F$15)-1,U$100:Y203,5,FALSE)))*EXP(-(LN(2)/$D$65+0.04)*(VLOOKUP(($F$16-$F$15)*2-1,U$100:Y203,4,FALSE)))*EXP(-(LN(2)/$D$65+0.1)*(VLOOKUP(($F$16-$F$15)*2-1,U$100:Y203,5,FALSE)))*EXP(-(LN(2)/$D$65+0.04)*X203)*EXP(-(LN(2)/$D$65+0.1)*Y203),"-"))),"-")</f>
        <v>-</v>
      </c>
      <c r="AC203" s="224">
        <f t="shared" si="134"/>
        <v>103</v>
      </c>
      <c r="AD203" s="223" t="str">
        <f t="shared" si="108"/>
        <v>-</v>
      </c>
      <c r="AE203" s="224" t="str">
        <f t="shared" si="135"/>
        <v>-</v>
      </c>
      <c r="AF203" s="224" t="str">
        <f t="shared" si="109"/>
        <v>-</v>
      </c>
      <c r="AG203" s="224" t="str">
        <f t="shared" si="110"/>
        <v>-</v>
      </c>
      <c r="AH203" s="272">
        <f t="shared" si="136"/>
        <v>0.1</v>
      </c>
      <c r="AI203" s="271" t="str">
        <f>IFERROR(IF(AD202=1,AI$100*EXP(-(LN(2)/$D$65+0.04)*AF202)*EXP(-(LN(2)/$D$65+0.1)*AG202),IF(AD202=2,AI$100*EXP(-(LN(2)/$D$65+0.04)*(VLOOKUP(($F$16-$F$15)-1,AC$99:AG202,4,FALSE)))*EXP(-(LN(2)/$D$65+0.1)*(VLOOKUP(($F$16-$F$15)-1,AC$99:AG202,5,FALSE)))*EXP(-(LN(2)/$D$65+0.04)*AF202)*EXP(-(LN(2)/$D$65+0.1)*AG202),IF(AD202=3,AI$100*EXP(-(LN(2)/$D$65+0.04)*(VLOOKUP(($F$16-$F$15)-1,AC$99:AG202,4,FALSE)))*EXP(-(LN(2)/$D$65+0.1)*(VLOOKUP(($F$16-$F$15)-1,AC$99:AG202,5,FALSE)))*EXP(-(LN(2)/$D$65+0.04)*(VLOOKUP(($F$16-$F$15)*2-1,AC$99:AG202,4,FALSE)))*EXP(-(LN(2)/$D$65+0.1)*(VLOOKUP(($F$16-$F$15)*2-1,AC$99:AG202,5,FALSE)))*EXP(-(LN(2)/$D$65+0.04)*AF202)*EXP(-(LN(2)/$D$65+0.1)*AG202),"-"))),"-")</f>
        <v>-</v>
      </c>
      <c r="AJ203" s="271" t="str">
        <f>IFERROR(IF(AD203=1,AJ$100*EXP(-(LN(2)/$D$65+0.04)*AF203)*EXP(-(LN(2)/$D$65+0.1)*AG203),IF(AD203=2,AJ$100*EXP(-(LN(2)/$D$65+0.04)*(VLOOKUP(($F$16-$F$15)-1,AC$100:AG203,4,FALSE)))*EXP(-(LN(2)/$D$65+0.1)*(VLOOKUP(($F$16-$F$15)-1,AC$100:AG203,5,FALSE)))*EXP(-(LN(2)/$D$65+0.04)*AF203)*EXP(-(LN(2)/$D$65+0.1)*AG203),IF(AD203=3,AJ$100*EXP(-(LN(2)/$D$65+0.04)*(VLOOKUP(($F$16-$F$15)-1,AC$100:AG203,4,FALSE)))*EXP(-(LN(2)/$D$65+0.1)*(VLOOKUP(($F$16-$F$15)-1,AC$100:AG203,5,FALSE)))*EXP(-(LN(2)/$D$65+0.04)*(VLOOKUP(($F$16-$F$15)*2-1,AC$100:AG203,4,FALSE)))*EXP(-(LN(2)/$D$65+0.1)*(VLOOKUP(($F$16-$F$15)*2-1,AC$100:AG203,5,FALSE)))*EXP(-(LN(2)/$D$65+0.04)*AF203)*EXP(-(LN(2)/$D$65+0.1)*AG203),"-"))),"-")</f>
        <v>-</v>
      </c>
      <c r="AK203" s="227">
        <f t="shared" si="137"/>
        <v>103</v>
      </c>
      <c r="AL203" s="226" t="str">
        <f t="shared" si="111"/>
        <v>-</v>
      </c>
      <c r="AM203" s="227" t="str">
        <f t="shared" si="138"/>
        <v>-</v>
      </c>
      <c r="AN203" s="227" t="str">
        <f t="shared" si="139"/>
        <v>-</v>
      </c>
      <c r="AO203" s="227" t="str">
        <f t="shared" si="112"/>
        <v>-</v>
      </c>
      <c r="AP203" s="273">
        <f t="shared" si="140"/>
        <v>0.1</v>
      </c>
      <c r="AQ203" s="271" t="str">
        <f>IFERROR(IF(AL202=1,AQ$100*EXP(-(LN(2)/$D$65+0.04)*AN202)*EXP(-(LN(2)/$D$65+0.1)*AO202),IF(AL202=2,AQ$100*EXP(-(LN(2)/$D$65+0.04)*(VLOOKUP(($F$16-$F$15)-1,AK$99:AO202,4,FALSE)))*EXP(-(LN(2)/$D$65+0.1)*(VLOOKUP(($F$16-$F$15)-1,AK$99:AO202,5,FALSE)))*EXP(-(LN(2)/$D$65+0.04)*AN202)*EXP(-(LN(2)/$D$65+0.1)*AO202),IF(AL202=3,AQ$100*EXP(-(LN(2)/$D$65+0.04)*(VLOOKUP(($F$16-$F$15)-1,AK$99:AO202,4,FALSE)))*EXP(-(LN(2)/$D$65+0.1)*(VLOOKUP(($F$16-$F$15)-1,AK$99:AO202,5,FALSE)))*EXP(-(LN(2)/$D$65+0.04)*(VLOOKUP(($F$16-$F$15)*2-1,AK$99:AO202,4,FALSE)))*EXP(-(LN(2)/$D$65+0.1)*(VLOOKUP(($F$16-$F$15)*2-1,AK$99:AO202,5,FALSE)))*EXP(-(LN(2)/$D$65+0.04)*AN202)*EXP(-(LN(2)/$D$65+0.1)*AO202),"-"))),"-")</f>
        <v>-</v>
      </c>
      <c r="AR203" s="271" t="str">
        <f>IFERROR(IF(AL203=1,AR$100*EXP(-(LN(2)/$D$65+0.04)*AN203)*EXP(-(LN(2)/$D$65+0.1)*AO203),IF(AL203=2,AR$100*EXP(-(LN(2)/$D$65+0.04)*(VLOOKUP(($F$16-$F$15)-1,AK$100:AO203,4,FALSE)))*EXP(-(LN(2)/$D$65+0.1)*(VLOOKUP(($F$16-$F$15)-1,AK$100:AO203,5,FALSE)))*EXP(-(LN(2)/$D$65+0.04)*AN203)*EXP(-(LN(2)/$D$65+0.1)*AO203),IF(AL203=3,AR$100*EXP(-(LN(2)/$D$65+0.04)*(VLOOKUP(($F$16-$F$15)-1,AK$100:AO203,4,FALSE)))*EXP(-(LN(2)/$D$65+0.1)*(VLOOKUP(($F$16-$F$15)-1,AK$100:AO203,5,FALSE)))*EXP(-(LN(2)/$D$65+0.04)*(VLOOKUP(($F$16-$F$15)*2-1,AK$100:AO203,4,FALSE)))*EXP(-(LN(2)/$D$65+0.1)*(VLOOKUP(($F$16-$F$15)*2-1,AK$100:AO203,5,FALSE)))*EXP(-(LN(2)/$D$65+0.04)*AN203)*EXP(-(LN(2)/$D$65+0.1)*AO203),"-"))),"-")</f>
        <v>-</v>
      </c>
      <c r="AS203" s="274">
        <f t="shared" si="113"/>
        <v>0</v>
      </c>
      <c r="AT203" s="274">
        <f t="shared" si="114"/>
        <v>0</v>
      </c>
      <c r="AU203" s="274">
        <f t="shared" si="115"/>
        <v>0</v>
      </c>
      <c r="AV203" s="190" t="str">
        <f>IF($B203&lt;$F$22,SUM($T$100:$T203),"")</f>
        <v/>
      </c>
      <c r="AW203" s="190" t="str">
        <f t="shared" si="161"/>
        <v>-</v>
      </c>
      <c r="AX203" s="190" t="str">
        <f t="shared" si="141"/>
        <v/>
      </c>
      <c r="AY203"/>
      <c r="AZ203" s="190" t="str">
        <f ca="1">IF(ISNUMBER(OFFSET(AV203,-$F$21,0)),SUM(OFFSET($T$100,$F$21,0):$T203),"")</f>
        <v/>
      </c>
      <c r="BA203" s="190" t="str">
        <f t="shared" ca="1" si="162"/>
        <v/>
      </c>
      <c r="BB203" s="190" t="str">
        <f t="shared" ca="1" si="148"/>
        <v/>
      </c>
      <c r="BC203" s="190"/>
      <c r="BD203" s="190" t="str">
        <f ca="1">IFERROR(IF(OR(ISNUMBER(I),ISNUMBER($F$14)),IF(AND($B203&gt;=($F$16-$F$15),$B203&lt;$F$22+($F$16-$F$15)),SUM(OFFSET($T$100,($F$16-$F$15),0):$T203),""),""),"")</f>
        <v/>
      </c>
      <c r="BE203" s="190" t="str">
        <f t="shared" ca="1" si="142"/>
        <v/>
      </c>
      <c r="BF203" s="190" t="str">
        <f t="shared" ca="1" si="143"/>
        <v/>
      </c>
      <c r="BG203"/>
      <c r="BH203" s="190" t="str">
        <f ca="1">IF(ISNUMBER(OFFSET(BD203,-$F$21,0)),SUM(OFFSET($T$100,($F$16-$F$15+$F$21),0):$T203),"")</f>
        <v/>
      </c>
      <c r="BI203" s="190" t="str">
        <f t="shared" ca="1" si="163"/>
        <v/>
      </c>
      <c r="BJ203" s="190" t="str">
        <f t="shared" ca="1" si="144"/>
        <v/>
      </c>
      <c r="BK203" s="190"/>
      <c r="BL203" s="190" t="str">
        <f ca="1">IFERROR(IF(OR(ISNUMBER(I),ISNUMBER($F$14)),IF(AND($B203&gt;=($F$17-$F$15),$B203&lt;$F$22+($F$17-$F$15)),SUM(OFFSET($T$100,($F$17-$F$15),0):$T203),""),""),"")</f>
        <v/>
      </c>
      <c r="BM203" s="190" t="str">
        <f t="shared" ca="1" si="164"/>
        <v/>
      </c>
      <c r="BN203" s="190" t="str">
        <f t="shared" ca="1" si="145"/>
        <v/>
      </c>
      <c r="BO203"/>
      <c r="BP203" s="190" t="str">
        <f ca="1">IF(ISNUMBER(OFFSET(BL203,-$F$21,0)),SUM(OFFSET($T$100,($F$17-$F$15+$F$21),0):$T203),"")</f>
        <v/>
      </c>
      <c r="BQ203" s="190" t="str">
        <f t="shared" ca="1" si="165"/>
        <v/>
      </c>
      <c r="BR203" s="190" t="str">
        <f t="shared" ca="1" si="146"/>
        <v/>
      </c>
      <c r="BS203" s="190"/>
      <c r="BT203"/>
      <c r="BU203"/>
      <c r="BV203"/>
      <c r="BY203" s="99"/>
      <c r="BZ203" s="99"/>
      <c r="CA203" s="280" t="str">
        <f t="shared" si="166"/>
        <v/>
      </c>
      <c r="CB203" s="71" t="str">
        <f t="shared" si="122"/>
        <v>-</v>
      </c>
      <c r="CC203" s="33"/>
      <c r="CD203" s="261" t="str">
        <f t="shared" si="123"/>
        <v/>
      </c>
      <c r="CE203" s="280" t="str">
        <f t="shared" si="167"/>
        <v/>
      </c>
      <c r="CF203" s="71" t="str">
        <f t="shared" ca="1" si="168"/>
        <v/>
      </c>
      <c r="CG203" s="33" t="str">
        <f t="shared" si="126"/>
        <v/>
      </c>
      <c r="CH203" s="261" t="str">
        <f t="shared" ca="1" si="127"/>
        <v/>
      </c>
    </row>
    <row r="204" spans="2:86" ht="13.5" customHeight="1" x14ac:dyDescent="0.2">
      <c r="B204" s="262">
        <v>104</v>
      </c>
      <c r="C204" s="237" t="str">
        <f t="shared" si="91"/>
        <v/>
      </c>
      <c r="D204" s="237" t="str">
        <f t="shared" si="147"/>
        <v/>
      </c>
      <c r="E204" s="263" t="str">
        <f t="shared" si="128"/>
        <v/>
      </c>
      <c r="F204" s="264" t="str">
        <f t="shared" si="129"/>
        <v/>
      </c>
      <c r="G204" s="264" t="str">
        <f t="shared" si="130"/>
        <v/>
      </c>
      <c r="H204" s="240" t="str">
        <f t="shared" si="149"/>
        <v/>
      </c>
      <c r="I204" s="265" t="str">
        <f t="shared" si="150"/>
        <v/>
      </c>
      <c r="J204" s="265" t="str">
        <f t="shared" si="151"/>
        <v/>
      </c>
      <c r="K204" s="240" t="str">
        <f t="shared" si="152"/>
        <v/>
      </c>
      <c r="L204" s="265" t="str">
        <f t="shared" si="153"/>
        <v/>
      </c>
      <c r="M204" s="265" t="str">
        <f t="shared" si="154"/>
        <v/>
      </c>
      <c r="N204" s="240" t="str">
        <f t="shared" si="155"/>
        <v>-</v>
      </c>
      <c r="O204" s="265" t="str">
        <f t="shared" si="156"/>
        <v>-</v>
      </c>
      <c r="P204" s="265" t="str">
        <f t="shared" si="157"/>
        <v>-</v>
      </c>
      <c r="Q204" s="266" t="str">
        <f t="shared" si="158"/>
        <v>-</v>
      </c>
      <c r="R204" s="267" t="str">
        <f t="shared" si="159"/>
        <v>-</v>
      </c>
      <c r="S204" s="268" t="str">
        <f t="shared" si="160"/>
        <v>-</v>
      </c>
      <c r="T204" s="269" t="str">
        <f t="shared" si="104"/>
        <v/>
      </c>
      <c r="U204" s="221">
        <f t="shared" si="105"/>
        <v>104</v>
      </c>
      <c r="V204" s="220" t="str">
        <f t="shared" si="131"/>
        <v>-</v>
      </c>
      <c r="W204" s="221" t="str">
        <f t="shared" si="132"/>
        <v>-</v>
      </c>
      <c r="X204" s="221" t="str">
        <f t="shared" si="106"/>
        <v>-</v>
      </c>
      <c r="Y204" s="221" t="str">
        <f t="shared" si="107"/>
        <v>-</v>
      </c>
      <c r="Z204" s="270">
        <f t="shared" si="133"/>
        <v>0.1</v>
      </c>
      <c r="AA204" s="271" t="str">
        <f>IFERROR(IF(V203=1,AA$100*EXP(-(LN(2)/$D$65+0.04)*X203)*EXP(-(LN(2)/$D$65+0.1)*Y203),IF(V203=2,AA$100*EXP(-(LN(2)/$D$65+0.04)*(VLOOKUP(($F$16-$F$15)-1,U$99:Y203,4,FALSE)))*EXP(-(LN(2)/$D$65+0.1)*(VLOOKUP(($F$16-$F$15)-1,U$99:Y203,5,FALSE)))*EXP(-(LN(2)/$D$65+0.04)*X203)*EXP(-(LN(2)/$D$65+0.1)*Y203),IF(V203=3,AA$100*EXP(-(LN(2)/$D$65+0.04)*(VLOOKUP(($F$16-$F$15)-1,U$99:Y203,4,FALSE)))*EXP(-(LN(2)/$D$65+0.1)*(VLOOKUP(($F$16-$F$15)-1,U$99:Y203,5,FALSE)))*EXP(-(LN(2)/$D$65+0.04)*(VLOOKUP(($F$16-$F$15)*2-1,U$99:Y203,4,FALSE)))*EXP(-(LN(2)/$D$65+0.1)*(VLOOKUP(($F$16-$F$15)*2-1,U$99:Y203,5,FALSE)))*EXP(-(LN(2)/$D$65+0.04)*X203)*EXP(-(LN(2)/$D$65+0.1)*Y203),"-"))),"-")</f>
        <v>-</v>
      </c>
      <c r="AB204" s="271" t="str">
        <f>IFERROR(IF(V204=1,AB$100*EXP(-(LN(2)/$D$65+0.04)*X204)*EXP(-(LN(2)/$D$65+0.1)*Y204),IF(V204=2,AB$100*EXP(-(LN(2)/$D$65+0.04)*(VLOOKUP(($F$16-$F$15)-1,U$100:Y204,4,FALSE)))*EXP(-(LN(2)/$D$65+0.1)*(VLOOKUP(($F$16-$F$15)-1,U$100:Y204,5,FALSE)))*EXP(-(LN(2)/$D$65+0.04)*X204)*EXP(-(LN(2)/$D$65+0.1)*Y204),IF(V204=3,AB$100*EXP(-(LN(2)/$D$65+0.04)*(VLOOKUP(($F$16-$F$15)-1,U$100:Y204,4,FALSE)))*EXP(-(LN(2)/$D$65+0.1)*(VLOOKUP(($F$16-$F$15)-1,U$100:Y204,5,FALSE)))*EXP(-(LN(2)/$D$65+0.04)*(VLOOKUP(($F$16-$F$15)*2-1,U$100:Y204,4,FALSE)))*EXP(-(LN(2)/$D$65+0.1)*(VLOOKUP(($F$16-$F$15)*2-1,U$100:Y204,5,FALSE)))*EXP(-(LN(2)/$D$65+0.04)*X204)*EXP(-(LN(2)/$D$65+0.1)*Y204),"-"))),"-")</f>
        <v>-</v>
      </c>
      <c r="AC204" s="224">
        <f t="shared" si="134"/>
        <v>104</v>
      </c>
      <c r="AD204" s="223" t="str">
        <f t="shared" si="108"/>
        <v>-</v>
      </c>
      <c r="AE204" s="224" t="str">
        <f t="shared" si="135"/>
        <v>-</v>
      </c>
      <c r="AF204" s="224" t="str">
        <f t="shared" si="109"/>
        <v>-</v>
      </c>
      <c r="AG204" s="224" t="str">
        <f t="shared" si="110"/>
        <v>-</v>
      </c>
      <c r="AH204" s="272">
        <f t="shared" si="136"/>
        <v>0.1</v>
      </c>
      <c r="AI204" s="271" t="str">
        <f>IFERROR(IF(AD203=1,AI$100*EXP(-(LN(2)/$D$65+0.04)*AF203)*EXP(-(LN(2)/$D$65+0.1)*AG203),IF(AD203=2,AI$100*EXP(-(LN(2)/$D$65+0.04)*(VLOOKUP(($F$16-$F$15)-1,AC$99:AG203,4,FALSE)))*EXP(-(LN(2)/$D$65+0.1)*(VLOOKUP(($F$16-$F$15)-1,AC$99:AG203,5,FALSE)))*EXP(-(LN(2)/$D$65+0.04)*AF203)*EXP(-(LN(2)/$D$65+0.1)*AG203),IF(AD203=3,AI$100*EXP(-(LN(2)/$D$65+0.04)*(VLOOKUP(($F$16-$F$15)-1,AC$99:AG203,4,FALSE)))*EXP(-(LN(2)/$D$65+0.1)*(VLOOKUP(($F$16-$F$15)-1,AC$99:AG203,5,FALSE)))*EXP(-(LN(2)/$D$65+0.04)*(VLOOKUP(($F$16-$F$15)*2-1,AC$99:AG203,4,FALSE)))*EXP(-(LN(2)/$D$65+0.1)*(VLOOKUP(($F$16-$F$15)*2-1,AC$99:AG203,5,FALSE)))*EXP(-(LN(2)/$D$65+0.04)*AF203)*EXP(-(LN(2)/$D$65+0.1)*AG203),"-"))),"-")</f>
        <v>-</v>
      </c>
      <c r="AJ204" s="271" t="str">
        <f>IFERROR(IF(AD204=1,AJ$100*EXP(-(LN(2)/$D$65+0.04)*AF204)*EXP(-(LN(2)/$D$65+0.1)*AG204),IF(AD204=2,AJ$100*EXP(-(LN(2)/$D$65+0.04)*(VLOOKUP(($F$16-$F$15)-1,AC$100:AG204,4,FALSE)))*EXP(-(LN(2)/$D$65+0.1)*(VLOOKUP(($F$16-$F$15)-1,AC$100:AG204,5,FALSE)))*EXP(-(LN(2)/$D$65+0.04)*AF204)*EXP(-(LN(2)/$D$65+0.1)*AG204),IF(AD204=3,AJ$100*EXP(-(LN(2)/$D$65+0.04)*(VLOOKUP(($F$16-$F$15)-1,AC$100:AG204,4,FALSE)))*EXP(-(LN(2)/$D$65+0.1)*(VLOOKUP(($F$16-$F$15)-1,AC$100:AG204,5,FALSE)))*EXP(-(LN(2)/$D$65+0.04)*(VLOOKUP(($F$16-$F$15)*2-1,AC$100:AG204,4,FALSE)))*EXP(-(LN(2)/$D$65+0.1)*(VLOOKUP(($F$16-$F$15)*2-1,AC$100:AG204,5,FALSE)))*EXP(-(LN(2)/$D$65+0.04)*AF204)*EXP(-(LN(2)/$D$65+0.1)*AG204),"-"))),"-")</f>
        <v>-</v>
      </c>
      <c r="AK204" s="227">
        <f t="shared" si="137"/>
        <v>104</v>
      </c>
      <c r="AL204" s="226" t="str">
        <f t="shared" si="111"/>
        <v>-</v>
      </c>
      <c r="AM204" s="227" t="str">
        <f t="shared" si="138"/>
        <v>-</v>
      </c>
      <c r="AN204" s="227" t="str">
        <f t="shared" si="139"/>
        <v>-</v>
      </c>
      <c r="AO204" s="227" t="str">
        <f t="shared" si="112"/>
        <v>-</v>
      </c>
      <c r="AP204" s="273">
        <f t="shared" si="140"/>
        <v>0.1</v>
      </c>
      <c r="AQ204" s="271" t="str">
        <f>IFERROR(IF(AL203=1,AQ$100*EXP(-(LN(2)/$D$65+0.04)*AN203)*EXP(-(LN(2)/$D$65+0.1)*AO203),IF(AL203=2,AQ$100*EXP(-(LN(2)/$D$65+0.04)*(VLOOKUP(($F$16-$F$15)-1,AK$99:AO203,4,FALSE)))*EXP(-(LN(2)/$D$65+0.1)*(VLOOKUP(($F$16-$F$15)-1,AK$99:AO203,5,FALSE)))*EXP(-(LN(2)/$D$65+0.04)*AN203)*EXP(-(LN(2)/$D$65+0.1)*AO203),IF(AL203=3,AQ$100*EXP(-(LN(2)/$D$65+0.04)*(VLOOKUP(($F$16-$F$15)-1,AK$99:AO203,4,FALSE)))*EXP(-(LN(2)/$D$65+0.1)*(VLOOKUP(($F$16-$F$15)-1,AK$99:AO203,5,FALSE)))*EXP(-(LN(2)/$D$65+0.04)*(VLOOKUP(($F$16-$F$15)*2-1,AK$99:AO203,4,FALSE)))*EXP(-(LN(2)/$D$65+0.1)*(VLOOKUP(($F$16-$F$15)*2-1,AK$99:AO203,5,FALSE)))*EXP(-(LN(2)/$D$65+0.04)*AN203)*EXP(-(LN(2)/$D$65+0.1)*AO203),"-"))),"-")</f>
        <v>-</v>
      </c>
      <c r="AR204" s="271" t="str">
        <f>IFERROR(IF(AL204=1,AR$100*EXP(-(LN(2)/$D$65+0.04)*AN204)*EXP(-(LN(2)/$D$65+0.1)*AO204),IF(AL204=2,AR$100*EXP(-(LN(2)/$D$65+0.04)*(VLOOKUP(($F$16-$F$15)-1,AK$100:AO204,4,FALSE)))*EXP(-(LN(2)/$D$65+0.1)*(VLOOKUP(($F$16-$F$15)-1,AK$100:AO204,5,FALSE)))*EXP(-(LN(2)/$D$65+0.04)*AN204)*EXP(-(LN(2)/$D$65+0.1)*AO204),IF(AL204=3,AR$100*EXP(-(LN(2)/$D$65+0.04)*(VLOOKUP(($F$16-$F$15)-1,AK$100:AO204,4,FALSE)))*EXP(-(LN(2)/$D$65+0.1)*(VLOOKUP(($F$16-$F$15)-1,AK$100:AO204,5,FALSE)))*EXP(-(LN(2)/$D$65+0.04)*(VLOOKUP(($F$16-$F$15)*2-1,AK$100:AO204,4,FALSE)))*EXP(-(LN(2)/$D$65+0.1)*(VLOOKUP(($F$16-$F$15)*2-1,AK$100:AO204,5,FALSE)))*EXP(-(LN(2)/$D$65+0.04)*AN204)*EXP(-(LN(2)/$D$65+0.1)*AO204),"-"))),"-")</f>
        <v>-</v>
      </c>
      <c r="AS204" s="274">
        <f t="shared" si="113"/>
        <v>0</v>
      </c>
      <c r="AT204" s="274">
        <f t="shared" si="114"/>
        <v>0</v>
      </c>
      <c r="AU204" s="274">
        <f t="shared" si="115"/>
        <v>0</v>
      </c>
      <c r="AV204" s="190" t="str">
        <f>IF($B204&lt;$F$22,SUM($T$100:$T204),"")</f>
        <v/>
      </c>
      <c r="AW204" s="190" t="str">
        <f t="shared" si="161"/>
        <v>-</v>
      </c>
      <c r="AX204" s="190" t="str">
        <f t="shared" si="141"/>
        <v/>
      </c>
      <c r="AY204"/>
      <c r="AZ204" s="190" t="str">
        <f ca="1">IF(ISNUMBER(OFFSET(AV204,-$F$21,0)),SUM(OFFSET($T$100,$F$21,0):$T204),"")</f>
        <v/>
      </c>
      <c r="BA204" s="190" t="str">
        <f t="shared" ca="1" si="162"/>
        <v/>
      </c>
      <c r="BB204" s="190" t="str">
        <f t="shared" ca="1" si="148"/>
        <v/>
      </c>
      <c r="BC204" s="190"/>
      <c r="BD204" s="190" t="str">
        <f ca="1">IFERROR(IF(OR(ISNUMBER(I),ISNUMBER($F$14)),IF(AND($B204&gt;=($F$16-$F$15),$B204&lt;$F$22+($F$16-$F$15)),SUM(OFFSET($T$100,($F$16-$F$15),0):$T204),""),""),"")</f>
        <v/>
      </c>
      <c r="BE204" s="190" t="str">
        <f t="shared" ca="1" si="142"/>
        <v/>
      </c>
      <c r="BF204" s="190" t="str">
        <f t="shared" ca="1" si="143"/>
        <v/>
      </c>
      <c r="BG204"/>
      <c r="BH204" s="190" t="str">
        <f ca="1">IF(ISNUMBER(OFFSET(BD204,-$F$21,0)),SUM(OFFSET($T$100,($F$16-$F$15+$F$21),0):$T204),"")</f>
        <v/>
      </c>
      <c r="BI204" s="190" t="str">
        <f t="shared" ca="1" si="163"/>
        <v/>
      </c>
      <c r="BJ204" s="190" t="str">
        <f t="shared" ca="1" si="144"/>
        <v/>
      </c>
      <c r="BK204" s="190"/>
      <c r="BL204" s="190" t="str">
        <f ca="1">IFERROR(IF(OR(ISNUMBER(I),ISNUMBER($F$14)),IF(AND($B204&gt;=($F$17-$F$15),$B204&lt;$F$22+($F$17-$F$15)),SUM(OFFSET($T$100,($F$17-$F$15),0):$T204),""),""),"")</f>
        <v/>
      </c>
      <c r="BM204" s="190" t="str">
        <f t="shared" ca="1" si="164"/>
        <v/>
      </c>
      <c r="BN204" s="190" t="str">
        <f t="shared" ca="1" si="145"/>
        <v/>
      </c>
      <c r="BO204"/>
      <c r="BP204" s="190" t="str">
        <f ca="1">IF(ISNUMBER(OFFSET(BL204,-$F$21,0)),SUM(OFFSET($T$100,($F$17-$F$15+$F$21),0):$T204),"")</f>
        <v/>
      </c>
      <c r="BQ204" s="190" t="str">
        <f t="shared" ca="1" si="165"/>
        <v/>
      </c>
      <c r="BR204" s="190" t="str">
        <f t="shared" ca="1" si="146"/>
        <v/>
      </c>
      <c r="BS204" s="190"/>
      <c r="BT204"/>
      <c r="BU204"/>
      <c r="BV204"/>
      <c r="BY204" s="99"/>
      <c r="BZ204" s="99"/>
      <c r="CA204" s="280" t="str">
        <f t="shared" si="166"/>
        <v/>
      </c>
      <c r="CB204" s="71" t="str">
        <f t="shared" si="122"/>
        <v>-</v>
      </c>
      <c r="CC204" s="33"/>
      <c r="CD204" s="261" t="str">
        <f t="shared" si="123"/>
        <v/>
      </c>
      <c r="CE204" s="280" t="str">
        <f t="shared" si="167"/>
        <v/>
      </c>
      <c r="CF204" s="71" t="str">
        <f t="shared" ca="1" si="168"/>
        <v/>
      </c>
      <c r="CG204" s="33" t="str">
        <f t="shared" si="126"/>
        <v/>
      </c>
      <c r="CH204" s="261" t="str">
        <f t="shared" ca="1" si="127"/>
        <v/>
      </c>
    </row>
    <row r="205" spans="2:86" ht="13.5" customHeight="1" x14ac:dyDescent="0.2">
      <c r="B205" s="262">
        <v>105</v>
      </c>
      <c r="C205" s="237" t="str">
        <f t="shared" si="91"/>
        <v/>
      </c>
      <c r="D205" s="237" t="str">
        <f t="shared" si="147"/>
        <v/>
      </c>
      <c r="E205" s="263" t="str">
        <f t="shared" si="128"/>
        <v/>
      </c>
      <c r="F205" s="264" t="str">
        <f t="shared" si="129"/>
        <v/>
      </c>
      <c r="G205" s="264" t="str">
        <f t="shared" si="130"/>
        <v/>
      </c>
      <c r="H205" s="240" t="str">
        <f t="shared" si="149"/>
        <v/>
      </c>
      <c r="I205" s="265" t="str">
        <f t="shared" si="150"/>
        <v/>
      </c>
      <c r="J205" s="265" t="str">
        <f t="shared" si="151"/>
        <v/>
      </c>
      <c r="K205" s="240" t="str">
        <f t="shared" si="152"/>
        <v/>
      </c>
      <c r="L205" s="265" t="str">
        <f t="shared" si="153"/>
        <v/>
      </c>
      <c r="M205" s="265" t="str">
        <f t="shared" si="154"/>
        <v/>
      </c>
      <c r="N205" s="240" t="str">
        <f t="shared" si="155"/>
        <v>-</v>
      </c>
      <c r="O205" s="265" t="str">
        <f t="shared" si="156"/>
        <v>-</v>
      </c>
      <c r="P205" s="265" t="str">
        <f t="shared" si="157"/>
        <v>-</v>
      </c>
      <c r="Q205" s="266" t="str">
        <f t="shared" si="158"/>
        <v>-</v>
      </c>
      <c r="R205" s="267" t="str">
        <f t="shared" si="159"/>
        <v>-</v>
      </c>
      <c r="S205" s="268" t="str">
        <f t="shared" si="160"/>
        <v>-</v>
      </c>
      <c r="T205" s="269" t="str">
        <f t="shared" si="104"/>
        <v/>
      </c>
      <c r="U205" s="221">
        <f t="shared" si="105"/>
        <v>105</v>
      </c>
      <c r="V205" s="220" t="str">
        <f t="shared" si="131"/>
        <v>-</v>
      </c>
      <c r="W205" s="221" t="str">
        <f t="shared" si="132"/>
        <v>-</v>
      </c>
      <c r="X205" s="221" t="str">
        <f t="shared" si="106"/>
        <v>-</v>
      </c>
      <c r="Y205" s="221" t="str">
        <f t="shared" si="107"/>
        <v>-</v>
      </c>
      <c r="Z205" s="270">
        <f t="shared" si="133"/>
        <v>0.1</v>
      </c>
      <c r="AA205" s="271" t="str">
        <f>IFERROR(IF(V204=1,AA$100*EXP(-(LN(2)/$D$65+0.04)*X204)*EXP(-(LN(2)/$D$65+0.1)*Y204),IF(V204=2,AA$100*EXP(-(LN(2)/$D$65+0.04)*(VLOOKUP(($F$16-$F$15)-1,U$99:Y204,4,FALSE)))*EXP(-(LN(2)/$D$65+0.1)*(VLOOKUP(($F$16-$F$15)-1,U$99:Y204,5,FALSE)))*EXP(-(LN(2)/$D$65+0.04)*X204)*EXP(-(LN(2)/$D$65+0.1)*Y204),IF(V204=3,AA$100*EXP(-(LN(2)/$D$65+0.04)*(VLOOKUP(($F$16-$F$15)-1,U$99:Y204,4,FALSE)))*EXP(-(LN(2)/$D$65+0.1)*(VLOOKUP(($F$16-$F$15)-1,U$99:Y204,5,FALSE)))*EXP(-(LN(2)/$D$65+0.04)*(VLOOKUP(($F$16-$F$15)*2-1,U$99:Y204,4,FALSE)))*EXP(-(LN(2)/$D$65+0.1)*(VLOOKUP(($F$16-$F$15)*2-1,U$99:Y204,5,FALSE)))*EXP(-(LN(2)/$D$65+0.04)*X204)*EXP(-(LN(2)/$D$65+0.1)*Y204),"-"))),"-")</f>
        <v>-</v>
      </c>
      <c r="AB205" s="271" t="str">
        <f>IFERROR(IF(V205=1,AB$100*EXP(-(LN(2)/$D$65+0.04)*X205)*EXP(-(LN(2)/$D$65+0.1)*Y205),IF(V205=2,AB$100*EXP(-(LN(2)/$D$65+0.04)*(VLOOKUP(($F$16-$F$15)-1,U$100:Y205,4,FALSE)))*EXP(-(LN(2)/$D$65+0.1)*(VLOOKUP(($F$16-$F$15)-1,U$100:Y205,5,FALSE)))*EXP(-(LN(2)/$D$65+0.04)*X205)*EXP(-(LN(2)/$D$65+0.1)*Y205),IF(V205=3,AB$100*EXP(-(LN(2)/$D$65+0.04)*(VLOOKUP(($F$16-$F$15)-1,U$100:Y205,4,FALSE)))*EXP(-(LN(2)/$D$65+0.1)*(VLOOKUP(($F$16-$F$15)-1,U$100:Y205,5,FALSE)))*EXP(-(LN(2)/$D$65+0.04)*(VLOOKUP(($F$16-$F$15)*2-1,U$100:Y205,4,FALSE)))*EXP(-(LN(2)/$D$65+0.1)*(VLOOKUP(($F$16-$F$15)*2-1,U$100:Y205,5,FALSE)))*EXP(-(LN(2)/$D$65+0.04)*X205)*EXP(-(LN(2)/$D$65+0.1)*Y205),"-"))),"-")</f>
        <v>-</v>
      </c>
      <c r="AC205" s="224">
        <f t="shared" si="134"/>
        <v>105</v>
      </c>
      <c r="AD205" s="223" t="str">
        <f t="shared" si="108"/>
        <v>-</v>
      </c>
      <c r="AE205" s="224" t="str">
        <f t="shared" si="135"/>
        <v>-</v>
      </c>
      <c r="AF205" s="224" t="str">
        <f t="shared" si="109"/>
        <v>-</v>
      </c>
      <c r="AG205" s="224" t="str">
        <f t="shared" si="110"/>
        <v>-</v>
      </c>
      <c r="AH205" s="272">
        <f t="shared" si="136"/>
        <v>0.1</v>
      </c>
      <c r="AI205" s="271" t="str">
        <f>IFERROR(IF(AD204=1,AI$100*EXP(-(LN(2)/$D$65+0.04)*AF204)*EXP(-(LN(2)/$D$65+0.1)*AG204),IF(AD204=2,AI$100*EXP(-(LN(2)/$D$65+0.04)*(VLOOKUP(($F$16-$F$15)-1,AC$99:AG204,4,FALSE)))*EXP(-(LN(2)/$D$65+0.1)*(VLOOKUP(($F$16-$F$15)-1,AC$99:AG204,5,FALSE)))*EXP(-(LN(2)/$D$65+0.04)*AF204)*EXP(-(LN(2)/$D$65+0.1)*AG204),IF(AD204=3,AI$100*EXP(-(LN(2)/$D$65+0.04)*(VLOOKUP(($F$16-$F$15)-1,AC$99:AG204,4,FALSE)))*EXP(-(LN(2)/$D$65+0.1)*(VLOOKUP(($F$16-$F$15)-1,AC$99:AG204,5,FALSE)))*EXP(-(LN(2)/$D$65+0.04)*(VLOOKUP(($F$16-$F$15)*2-1,AC$99:AG204,4,FALSE)))*EXP(-(LN(2)/$D$65+0.1)*(VLOOKUP(($F$16-$F$15)*2-1,AC$99:AG204,5,FALSE)))*EXP(-(LN(2)/$D$65+0.04)*AF204)*EXP(-(LN(2)/$D$65+0.1)*AG204),"-"))),"-")</f>
        <v>-</v>
      </c>
      <c r="AJ205" s="271" t="str">
        <f>IFERROR(IF(AD205=1,AJ$100*EXP(-(LN(2)/$D$65+0.04)*AF205)*EXP(-(LN(2)/$D$65+0.1)*AG205),IF(AD205=2,AJ$100*EXP(-(LN(2)/$D$65+0.04)*(VLOOKUP(($F$16-$F$15)-1,AC$100:AG205,4,FALSE)))*EXP(-(LN(2)/$D$65+0.1)*(VLOOKUP(($F$16-$F$15)-1,AC$100:AG205,5,FALSE)))*EXP(-(LN(2)/$D$65+0.04)*AF205)*EXP(-(LN(2)/$D$65+0.1)*AG205),IF(AD205=3,AJ$100*EXP(-(LN(2)/$D$65+0.04)*(VLOOKUP(($F$16-$F$15)-1,AC$100:AG205,4,FALSE)))*EXP(-(LN(2)/$D$65+0.1)*(VLOOKUP(($F$16-$F$15)-1,AC$100:AG205,5,FALSE)))*EXP(-(LN(2)/$D$65+0.04)*(VLOOKUP(($F$16-$F$15)*2-1,AC$100:AG205,4,FALSE)))*EXP(-(LN(2)/$D$65+0.1)*(VLOOKUP(($F$16-$F$15)*2-1,AC$100:AG205,5,FALSE)))*EXP(-(LN(2)/$D$65+0.04)*AF205)*EXP(-(LN(2)/$D$65+0.1)*AG205),"-"))),"-")</f>
        <v>-</v>
      </c>
      <c r="AK205" s="227">
        <f t="shared" si="137"/>
        <v>105</v>
      </c>
      <c r="AL205" s="226" t="str">
        <f t="shared" si="111"/>
        <v>-</v>
      </c>
      <c r="AM205" s="227" t="str">
        <f t="shared" si="138"/>
        <v>-</v>
      </c>
      <c r="AN205" s="227" t="str">
        <f t="shared" si="139"/>
        <v>-</v>
      </c>
      <c r="AO205" s="227" t="str">
        <f t="shared" si="112"/>
        <v>-</v>
      </c>
      <c r="AP205" s="273">
        <f t="shared" si="140"/>
        <v>0.1</v>
      </c>
      <c r="AQ205" s="271" t="str">
        <f>IFERROR(IF(AL204=1,AQ$100*EXP(-(LN(2)/$D$65+0.04)*AN204)*EXP(-(LN(2)/$D$65+0.1)*AO204),IF(AL204=2,AQ$100*EXP(-(LN(2)/$D$65+0.04)*(VLOOKUP(($F$16-$F$15)-1,AK$99:AO204,4,FALSE)))*EXP(-(LN(2)/$D$65+0.1)*(VLOOKUP(($F$16-$F$15)-1,AK$99:AO204,5,FALSE)))*EXP(-(LN(2)/$D$65+0.04)*AN204)*EXP(-(LN(2)/$D$65+0.1)*AO204),IF(AL204=3,AQ$100*EXP(-(LN(2)/$D$65+0.04)*(VLOOKUP(($F$16-$F$15)-1,AK$99:AO204,4,FALSE)))*EXP(-(LN(2)/$D$65+0.1)*(VLOOKUP(($F$16-$F$15)-1,AK$99:AO204,5,FALSE)))*EXP(-(LN(2)/$D$65+0.04)*(VLOOKUP(($F$16-$F$15)*2-1,AK$99:AO204,4,FALSE)))*EXP(-(LN(2)/$D$65+0.1)*(VLOOKUP(($F$16-$F$15)*2-1,AK$99:AO204,5,FALSE)))*EXP(-(LN(2)/$D$65+0.04)*AN204)*EXP(-(LN(2)/$D$65+0.1)*AO204),"-"))),"-")</f>
        <v>-</v>
      </c>
      <c r="AR205" s="271" t="str">
        <f>IFERROR(IF(AL205=1,AR$100*EXP(-(LN(2)/$D$65+0.04)*AN205)*EXP(-(LN(2)/$D$65+0.1)*AO205),IF(AL205=2,AR$100*EXP(-(LN(2)/$D$65+0.04)*(VLOOKUP(($F$16-$F$15)-1,AK$100:AO205,4,FALSE)))*EXP(-(LN(2)/$D$65+0.1)*(VLOOKUP(($F$16-$F$15)-1,AK$100:AO205,5,FALSE)))*EXP(-(LN(2)/$D$65+0.04)*AN205)*EXP(-(LN(2)/$D$65+0.1)*AO205),IF(AL205=3,AR$100*EXP(-(LN(2)/$D$65+0.04)*(VLOOKUP(($F$16-$F$15)-1,AK$100:AO205,4,FALSE)))*EXP(-(LN(2)/$D$65+0.1)*(VLOOKUP(($F$16-$F$15)-1,AK$100:AO205,5,FALSE)))*EXP(-(LN(2)/$D$65+0.04)*(VLOOKUP(($F$16-$F$15)*2-1,AK$100:AO205,4,FALSE)))*EXP(-(LN(2)/$D$65+0.1)*(VLOOKUP(($F$16-$F$15)*2-1,AK$100:AO205,5,FALSE)))*EXP(-(LN(2)/$D$65+0.04)*AN205)*EXP(-(LN(2)/$D$65+0.1)*AO205),"-"))),"-")</f>
        <v>-</v>
      </c>
      <c r="AS205" s="274">
        <f t="shared" si="113"/>
        <v>0</v>
      </c>
      <c r="AT205" s="274">
        <f t="shared" si="114"/>
        <v>0</v>
      </c>
      <c r="AU205" s="274">
        <f t="shared" si="115"/>
        <v>0</v>
      </c>
      <c r="AV205" s="190" t="str">
        <f>IF($B205&lt;$F$22,SUM($T$100:$T205),"")</f>
        <v/>
      </c>
      <c r="AW205" s="190" t="str">
        <f t="shared" si="161"/>
        <v>-</v>
      </c>
      <c r="AX205" s="190" t="str">
        <f t="shared" si="141"/>
        <v/>
      </c>
      <c r="AY205"/>
      <c r="AZ205" s="190" t="str">
        <f ca="1">IF(ISNUMBER(OFFSET(AV205,-$F$21,0)),SUM(OFFSET($T$100,$F$21,0):$T205),"")</f>
        <v/>
      </c>
      <c r="BA205" s="190" t="str">
        <f t="shared" ca="1" si="162"/>
        <v/>
      </c>
      <c r="BB205" s="190" t="str">
        <f t="shared" ca="1" si="148"/>
        <v/>
      </c>
      <c r="BC205" s="190"/>
      <c r="BD205" s="190" t="str">
        <f ca="1">IFERROR(IF(OR(ISNUMBER(I),ISNUMBER($F$14)),IF(AND($B205&gt;=($F$16-$F$15),$B205&lt;$F$22+($F$16-$F$15)),SUM(OFFSET($T$100,($F$16-$F$15),0):$T205),""),""),"")</f>
        <v/>
      </c>
      <c r="BE205" s="190" t="str">
        <f t="shared" ca="1" si="142"/>
        <v/>
      </c>
      <c r="BF205" s="190" t="str">
        <f t="shared" ca="1" si="143"/>
        <v/>
      </c>
      <c r="BG205"/>
      <c r="BH205" s="190" t="str">
        <f ca="1">IF(ISNUMBER(OFFSET(BD205,-$F$21,0)),SUM(OFFSET($T$100,($F$16-$F$15+$F$21),0):$T205),"")</f>
        <v/>
      </c>
      <c r="BI205" s="190" t="str">
        <f t="shared" ca="1" si="163"/>
        <v/>
      </c>
      <c r="BJ205" s="190" t="str">
        <f t="shared" ca="1" si="144"/>
        <v/>
      </c>
      <c r="BK205" s="190"/>
      <c r="BL205" s="190" t="str">
        <f ca="1">IFERROR(IF(OR(ISNUMBER(I),ISNUMBER($F$14)),IF(AND($B205&gt;=($F$17-$F$15),$B205&lt;$F$22+($F$17-$F$15)),SUM(OFFSET($T$100,($F$17-$F$15),0):$T205),""),""),"")</f>
        <v/>
      </c>
      <c r="BM205" s="190" t="str">
        <f t="shared" ca="1" si="164"/>
        <v/>
      </c>
      <c r="BN205" s="190" t="str">
        <f t="shared" ca="1" si="145"/>
        <v/>
      </c>
      <c r="BO205"/>
      <c r="BP205" s="190" t="str">
        <f ca="1">IF(ISNUMBER(OFFSET(BL205,-$F$21,0)),SUM(OFFSET($T$100,($F$17-$F$15+$F$21),0):$T205),"")</f>
        <v/>
      </c>
      <c r="BQ205" s="190" t="str">
        <f t="shared" ca="1" si="165"/>
        <v/>
      </c>
      <c r="BR205" s="190" t="str">
        <f t="shared" ca="1" si="146"/>
        <v/>
      </c>
      <c r="BS205" s="190"/>
      <c r="BT205"/>
      <c r="BU205"/>
      <c r="BV205"/>
      <c r="BY205" s="99"/>
      <c r="BZ205" s="99"/>
      <c r="CA205" s="280" t="str">
        <f t="shared" si="166"/>
        <v/>
      </c>
      <c r="CB205" s="71" t="str">
        <f t="shared" si="122"/>
        <v>-</v>
      </c>
      <c r="CC205" s="33"/>
      <c r="CD205" s="261" t="str">
        <f t="shared" si="123"/>
        <v/>
      </c>
      <c r="CE205" s="280" t="str">
        <f t="shared" si="167"/>
        <v/>
      </c>
      <c r="CF205" s="71" t="str">
        <f t="shared" ca="1" si="168"/>
        <v/>
      </c>
      <c r="CG205" s="33" t="str">
        <f t="shared" si="126"/>
        <v/>
      </c>
      <c r="CH205" s="261" t="str">
        <f t="shared" ca="1" si="127"/>
        <v/>
      </c>
    </row>
    <row r="206" spans="2:86" ht="13.5" customHeight="1" x14ac:dyDescent="0.2">
      <c r="B206" s="262">
        <v>106</v>
      </c>
      <c r="C206" s="237" t="str">
        <f t="shared" si="91"/>
        <v/>
      </c>
      <c r="D206" s="237" t="str">
        <f t="shared" si="147"/>
        <v/>
      </c>
      <c r="E206" s="263" t="str">
        <f t="shared" si="128"/>
        <v/>
      </c>
      <c r="F206" s="264" t="str">
        <f t="shared" si="129"/>
        <v/>
      </c>
      <c r="G206" s="264" t="str">
        <f t="shared" si="130"/>
        <v/>
      </c>
      <c r="H206" s="240" t="str">
        <f t="shared" si="149"/>
        <v/>
      </c>
      <c r="I206" s="265" t="str">
        <f t="shared" si="150"/>
        <v/>
      </c>
      <c r="J206" s="265" t="str">
        <f t="shared" si="151"/>
        <v/>
      </c>
      <c r="K206" s="240" t="str">
        <f t="shared" si="152"/>
        <v/>
      </c>
      <c r="L206" s="265" t="str">
        <f t="shared" si="153"/>
        <v/>
      </c>
      <c r="M206" s="265" t="str">
        <f t="shared" si="154"/>
        <v/>
      </c>
      <c r="N206" s="240" t="str">
        <f t="shared" si="155"/>
        <v>-</v>
      </c>
      <c r="O206" s="265" t="str">
        <f t="shared" si="156"/>
        <v>-</v>
      </c>
      <c r="P206" s="265" t="str">
        <f t="shared" si="157"/>
        <v>-</v>
      </c>
      <c r="Q206" s="266" t="str">
        <f t="shared" si="158"/>
        <v>-</v>
      </c>
      <c r="R206" s="267" t="str">
        <f t="shared" si="159"/>
        <v>-</v>
      </c>
      <c r="S206" s="268" t="str">
        <f t="shared" si="160"/>
        <v>-</v>
      </c>
      <c r="T206" s="269" t="str">
        <f t="shared" si="104"/>
        <v/>
      </c>
      <c r="U206" s="221">
        <f t="shared" si="105"/>
        <v>106</v>
      </c>
      <c r="V206" s="220" t="str">
        <f t="shared" si="131"/>
        <v>-</v>
      </c>
      <c r="W206" s="221" t="str">
        <f t="shared" si="132"/>
        <v>-</v>
      </c>
      <c r="X206" s="221" t="str">
        <f t="shared" si="106"/>
        <v>-</v>
      </c>
      <c r="Y206" s="221" t="str">
        <f t="shared" si="107"/>
        <v>-</v>
      </c>
      <c r="Z206" s="270">
        <f t="shared" si="133"/>
        <v>0.1</v>
      </c>
      <c r="AA206" s="271" t="str">
        <f>IFERROR(IF(V205=1,AA$100*EXP(-(LN(2)/$D$65+0.04)*X205)*EXP(-(LN(2)/$D$65+0.1)*Y205),IF(V205=2,AA$100*EXP(-(LN(2)/$D$65+0.04)*(VLOOKUP(($F$16-$F$15)-1,U$99:Y205,4,FALSE)))*EXP(-(LN(2)/$D$65+0.1)*(VLOOKUP(($F$16-$F$15)-1,U$99:Y205,5,FALSE)))*EXP(-(LN(2)/$D$65+0.04)*X205)*EXP(-(LN(2)/$D$65+0.1)*Y205),IF(V205=3,AA$100*EXP(-(LN(2)/$D$65+0.04)*(VLOOKUP(($F$16-$F$15)-1,U$99:Y205,4,FALSE)))*EXP(-(LN(2)/$D$65+0.1)*(VLOOKUP(($F$16-$F$15)-1,U$99:Y205,5,FALSE)))*EXP(-(LN(2)/$D$65+0.04)*(VLOOKUP(($F$16-$F$15)*2-1,U$99:Y205,4,FALSE)))*EXP(-(LN(2)/$D$65+0.1)*(VLOOKUP(($F$16-$F$15)*2-1,U$99:Y205,5,FALSE)))*EXP(-(LN(2)/$D$65+0.04)*X205)*EXP(-(LN(2)/$D$65+0.1)*Y205),"-"))),"-")</f>
        <v>-</v>
      </c>
      <c r="AB206" s="271" t="str">
        <f>IFERROR(IF(V206=1,AB$100*EXP(-(LN(2)/$D$65+0.04)*X206)*EXP(-(LN(2)/$D$65+0.1)*Y206),IF(V206=2,AB$100*EXP(-(LN(2)/$D$65+0.04)*(VLOOKUP(($F$16-$F$15)-1,U$100:Y206,4,FALSE)))*EXP(-(LN(2)/$D$65+0.1)*(VLOOKUP(($F$16-$F$15)-1,U$100:Y206,5,FALSE)))*EXP(-(LN(2)/$D$65+0.04)*X206)*EXP(-(LN(2)/$D$65+0.1)*Y206),IF(V206=3,AB$100*EXP(-(LN(2)/$D$65+0.04)*(VLOOKUP(($F$16-$F$15)-1,U$100:Y206,4,FALSE)))*EXP(-(LN(2)/$D$65+0.1)*(VLOOKUP(($F$16-$F$15)-1,U$100:Y206,5,FALSE)))*EXP(-(LN(2)/$D$65+0.04)*(VLOOKUP(($F$16-$F$15)*2-1,U$100:Y206,4,FALSE)))*EXP(-(LN(2)/$D$65+0.1)*(VLOOKUP(($F$16-$F$15)*2-1,U$100:Y206,5,FALSE)))*EXP(-(LN(2)/$D$65+0.04)*X206)*EXP(-(LN(2)/$D$65+0.1)*Y206),"-"))),"-")</f>
        <v>-</v>
      </c>
      <c r="AC206" s="224">
        <f t="shared" si="134"/>
        <v>106</v>
      </c>
      <c r="AD206" s="223" t="str">
        <f t="shared" si="108"/>
        <v>-</v>
      </c>
      <c r="AE206" s="224" t="str">
        <f t="shared" si="135"/>
        <v>-</v>
      </c>
      <c r="AF206" s="224" t="str">
        <f t="shared" si="109"/>
        <v>-</v>
      </c>
      <c r="AG206" s="224" t="str">
        <f t="shared" si="110"/>
        <v>-</v>
      </c>
      <c r="AH206" s="272">
        <f t="shared" si="136"/>
        <v>0.1</v>
      </c>
      <c r="AI206" s="271" t="str">
        <f>IFERROR(IF(AD205=1,AI$100*EXP(-(LN(2)/$D$65+0.04)*AF205)*EXP(-(LN(2)/$D$65+0.1)*AG205),IF(AD205=2,AI$100*EXP(-(LN(2)/$D$65+0.04)*(VLOOKUP(($F$16-$F$15)-1,AC$99:AG205,4,FALSE)))*EXP(-(LN(2)/$D$65+0.1)*(VLOOKUP(($F$16-$F$15)-1,AC$99:AG205,5,FALSE)))*EXP(-(LN(2)/$D$65+0.04)*AF205)*EXP(-(LN(2)/$D$65+0.1)*AG205),IF(AD205=3,AI$100*EXP(-(LN(2)/$D$65+0.04)*(VLOOKUP(($F$16-$F$15)-1,AC$99:AG205,4,FALSE)))*EXP(-(LN(2)/$D$65+0.1)*(VLOOKUP(($F$16-$F$15)-1,AC$99:AG205,5,FALSE)))*EXP(-(LN(2)/$D$65+0.04)*(VLOOKUP(($F$16-$F$15)*2-1,AC$99:AG205,4,FALSE)))*EXP(-(LN(2)/$D$65+0.1)*(VLOOKUP(($F$16-$F$15)*2-1,AC$99:AG205,5,FALSE)))*EXP(-(LN(2)/$D$65+0.04)*AF205)*EXP(-(LN(2)/$D$65+0.1)*AG205),"-"))),"-")</f>
        <v>-</v>
      </c>
      <c r="AJ206" s="271" t="str">
        <f>IFERROR(IF(AD206=1,AJ$100*EXP(-(LN(2)/$D$65+0.04)*AF206)*EXP(-(LN(2)/$D$65+0.1)*AG206),IF(AD206=2,AJ$100*EXP(-(LN(2)/$D$65+0.04)*(VLOOKUP(($F$16-$F$15)-1,AC$100:AG206,4,FALSE)))*EXP(-(LN(2)/$D$65+0.1)*(VLOOKUP(($F$16-$F$15)-1,AC$100:AG206,5,FALSE)))*EXP(-(LN(2)/$D$65+0.04)*AF206)*EXP(-(LN(2)/$D$65+0.1)*AG206),IF(AD206=3,AJ$100*EXP(-(LN(2)/$D$65+0.04)*(VLOOKUP(($F$16-$F$15)-1,AC$100:AG206,4,FALSE)))*EXP(-(LN(2)/$D$65+0.1)*(VLOOKUP(($F$16-$F$15)-1,AC$100:AG206,5,FALSE)))*EXP(-(LN(2)/$D$65+0.04)*(VLOOKUP(($F$16-$F$15)*2-1,AC$100:AG206,4,FALSE)))*EXP(-(LN(2)/$D$65+0.1)*(VLOOKUP(($F$16-$F$15)*2-1,AC$100:AG206,5,FALSE)))*EXP(-(LN(2)/$D$65+0.04)*AF206)*EXP(-(LN(2)/$D$65+0.1)*AG206),"-"))),"-")</f>
        <v>-</v>
      </c>
      <c r="AK206" s="227">
        <f t="shared" si="137"/>
        <v>106</v>
      </c>
      <c r="AL206" s="226" t="str">
        <f t="shared" si="111"/>
        <v>-</v>
      </c>
      <c r="AM206" s="227" t="str">
        <f t="shared" si="138"/>
        <v>-</v>
      </c>
      <c r="AN206" s="227" t="str">
        <f t="shared" si="139"/>
        <v>-</v>
      </c>
      <c r="AO206" s="227" t="str">
        <f t="shared" si="112"/>
        <v>-</v>
      </c>
      <c r="AP206" s="273">
        <f t="shared" si="140"/>
        <v>0.1</v>
      </c>
      <c r="AQ206" s="271" t="str">
        <f>IFERROR(IF(AL205=1,AQ$100*EXP(-(LN(2)/$D$65+0.04)*AN205)*EXP(-(LN(2)/$D$65+0.1)*AO205),IF(AL205=2,AQ$100*EXP(-(LN(2)/$D$65+0.04)*(VLOOKUP(($F$16-$F$15)-1,AK$99:AO205,4,FALSE)))*EXP(-(LN(2)/$D$65+0.1)*(VLOOKUP(($F$16-$F$15)-1,AK$99:AO205,5,FALSE)))*EXP(-(LN(2)/$D$65+0.04)*AN205)*EXP(-(LN(2)/$D$65+0.1)*AO205),IF(AL205=3,AQ$100*EXP(-(LN(2)/$D$65+0.04)*(VLOOKUP(($F$16-$F$15)-1,AK$99:AO205,4,FALSE)))*EXP(-(LN(2)/$D$65+0.1)*(VLOOKUP(($F$16-$F$15)-1,AK$99:AO205,5,FALSE)))*EXP(-(LN(2)/$D$65+0.04)*(VLOOKUP(($F$16-$F$15)*2-1,AK$99:AO205,4,FALSE)))*EXP(-(LN(2)/$D$65+0.1)*(VLOOKUP(($F$16-$F$15)*2-1,AK$99:AO205,5,FALSE)))*EXP(-(LN(2)/$D$65+0.04)*AN205)*EXP(-(LN(2)/$D$65+0.1)*AO205),"-"))),"-")</f>
        <v>-</v>
      </c>
      <c r="AR206" s="271" t="str">
        <f>IFERROR(IF(AL206=1,AR$100*EXP(-(LN(2)/$D$65+0.04)*AN206)*EXP(-(LN(2)/$D$65+0.1)*AO206),IF(AL206=2,AR$100*EXP(-(LN(2)/$D$65+0.04)*(VLOOKUP(($F$16-$F$15)-1,AK$100:AO206,4,FALSE)))*EXP(-(LN(2)/$D$65+0.1)*(VLOOKUP(($F$16-$F$15)-1,AK$100:AO206,5,FALSE)))*EXP(-(LN(2)/$D$65+0.04)*AN206)*EXP(-(LN(2)/$D$65+0.1)*AO206),IF(AL206=3,AR$100*EXP(-(LN(2)/$D$65+0.04)*(VLOOKUP(($F$16-$F$15)-1,AK$100:AO206,4,FALSE)))*EXP(-(LN(2)/$D$65+0.1)*(VLOOKUP(($F$16-$F$15)-1,AK$100:AO206,5,FALSE)))*EXP(-(LN(2)/$D$65+0.04)*(VLOOKUP(($F$16-$F$15)*2-1,AK$100:AO206,4,FALSE)))*EXP(-(LN(2)/$D$65+0.1)*(VLOOKUP(($F$16-$F$15)*2-1,AK$100:AO206,5,FALSE)))*EXP(-(LN(2)/$D$65+0.04)*AN206)*EXP(-(LN(2)/$D$65+0.1)*AO206),"-"))),"-")</f>
        <v>-</v>
      </c>
      <c r="AS206" s="274">
        <f t="shared" si="113"/>
        <v>0</v>
      </c>
      <c r="AT206" s="274">
        <f t="shared" si="114"/>
        <v>0</v>
      </c>
      <c r="AU206" s="274">
        <f t="shared" si="115"/>
        <v>0</v>
      </c>
      <c r="AV206" s="190" t="str">
        <f>IF($B206&lt;$F$22,SUM($T$100:$T206),"")</f>
        <v/>
      </c>
      <c r="AW206" s="190" t="str">
        <f t="shared" si="161"/>
        <v>-</v>
      </c>
      <c r="AX206" s="190" t="str">
        <f t="shared" si="141"/>
        <v/>
      </c>
      <c r="AY206"/>
      <c r="AZ206" s="190" t="str">
        <f ca="1">IF(ISNUMBER(OFFSET(AV206,-$F$21,0)),SUM(OFFSET($T$100,$F$21,0):$T206),"")</f>
        <v/>
      </c>
      <c r="BA206" s="190" t="str">
        <f t="shared" ca="1" si="162"/>
        <v/>
      </c>
      <c r="BB206" s="190" t="str">
        <f t="shared" ca="1" si="148"/>
        <v/>
      </c>
      <c r="BC206" s="190"/>
      <c r="BD206" s="190" t="str">
        <f ca="1">IFERROR(IF(OR(ISNUMBER(I),ISNUMBER($F$14)),IF(AND($B206&gt;=($F$16-$F$15),$B206&lt;$F$22+($F$16-$F$15)),SUM(OFFSET($T$100,($F$16-$F$15),0):$T206),""),""),"")</f>
        <v/>
      </c>
      <c r="BE206" s="190" t="str">
        <f t="shared" ca="1" si="142"/>
        <v/>
      </c>
      <c r="BF206" s="190" t="str">
        <f t="shared" ca="1" si="143"/>
        <v/>
      </c>
      <c r="BG206"/>
      <c r="BH206" s="190" t="str">
        <f ca="1">IF(ISNUMBER(OFFSET(BD206,-$F$21,0)),SUM(OFFSET($T$100,($F$16-$F$15+$F$21),0):$T206),"")</f>
        <v/>
      </c>
      <c r="BI206" s="190" t="str">
        <f t="shared" ca="1" si="163"/>
        <v/>
      </c>
      <c r="BJ206" s="190" t="str">
        <f t="shared" ca="1" si="144"/>
        <v/>
      </c>
      <c r="BK206" s="190"/>
      <c r="BL206" s="190" t="str">
        <f ca="1">IFERROR(IF(OR(ISNUMBER(I),ISNUMBER($F$14)),IF(AND($B206&gt;=($F$17-$F$15),$B206&lt;$F$22+($F$17-$F$15)),SUM(OFFSET($T$100,($F$17-$F$15),0):$T206),""),""),"")</f>
        <v/>
      </c>
      <c r="BM206" s="190" t="str">
        <f t="shared" ca="1" si="164"/>
        <v/>
      </c>
      <c r="BN206" s="190" t="str">
        <f t="shared" ca="1" si="145"/>
        <v/>
      </c>
      <c r="BO206"/>
      <c r="BP206" s="190" t="str">
        <f ca="1">IF(ISNUMBER(OFFSET(BL206,-$F$21,0)),SUM(OFFSET($T$100,($F$17-$F$15+$F$21),0):$T206),"")</f>
        <v/>
      </c>
      <c r="BQ206" s="190" t="str">
        <f t="shared" ca="1" si="165"/>
        <v/>
      </c>
      <c r="BR206" s="190" t="str">
        <f t="shared" ca="1" si="146"/>
        <v/>
      </c>
      <c r="BS206" s="190"/>
      <c r="BT206"/>
      <c r="BU206"/>
      <c r="BV206"/>
      <c r="BY206" s="99"/>
      <c r="BZ206" s="99"/>
      <c r="CA206" s="280" t="str">
        <f t="shared" si="166"/>
        <v/>
      </c>
      <c r="CB206" s="71" t="str">
        <f t="shared" si="122"/>
        <v>-</v>
      </c>
      <c r="CC206" s="33"/>
      <c r="CD206" s="261" t="str">
        <f t="shared" si="123"/>
        <v/>
      </c>
      <c r="CE206" s="280" t="str">
        <f t="shared" si="167"/>
        <v/>
      </c>
      <c r="CF206" s="71" t="str">
        <f t="shared" ca="1" si="168"/>
        <v/>
      </c>
      <c r="CG206" s="33" t="str">
        <f t="shared" si="126"/>
        <v/>
      </c>
      <c r="CH206" s="261" t="str">
        <f t="shared" ca="1" si="127"/>
        <v/>
      </c>
    </row>
    <row r="207" spans="2:86" ht="13.5" customHeight="1" x14ac:dyDescent="0.2">
      <c r="B207" s="262">
        <v>107</v>
      </c>
      <c r="C207" s="237" t="str">
        <f t="shared" si="91"/>
        <v/>
      </c>
      <c r="D207" s="237" t="str">
        <f t="shared" si="147"/>
        <v/>
      </c>
      <c r="E207" s="263" t="str">
        <f t="shared" si="128"/>
        <v/>
      </c>
      <c r="F207" s="264" t="str">
        <f t="shared" si="129"/>
        <v/>
      </c>
      <c r="G207" s="264" t="str">
        <f t="shared" si="130"/>
        <v/>
      </c>
      <c r="H207" s="240" t="str">
        <f t="shared" si="149"/>
        <v/>
      </c>
      <c r="I207" s="265" t="str">
        <f t="shared" si="150"/>
        <v/>
      </c>
      <c r="J207" s="265" t="str">
        <f t="shared" si="151"/>
        <v/>
      </c>
      <c r="K207" s="240" t="str">
        <f t="shared" si="152"/>
        <v/>
      </c>
      <c r="L207" s="265" t="str">
        <f t="shared" si="153"/>
        <v/>
      </c>
      <c r="M207" s="265" t="str">
        <f t="shared" si="154"/>
        <v/>
      </c>
      <c r="N207" s="240" t="str">
        <f t="shared" si="155"/>
        <v>-</v>
      </c>
      <c r="O207" s="265" t="str">
        <f t="shared" si="156"/>
        <v>-</v>
      </c>
      <c r="P207" s="265" t="str">
        <f t="shared" si="157"/>
        <v>-</v>
      </c>
      <c r="Q207" s="266" t="str">
        <f t="shared" si="158"/>
        <v>-</v>
      </c>
      <c r="R207" s="267" t="str">
        <f t="shared" si="159"/>
        <v>-</v>
      </c>
      <c r="S207" s="268" t="str">
        <f t="shared" si="160"/>
        <v>-</v>
      </c>
      <c r="T207" s="269" t="str">
        <f t="shared" si="104"/>
        <v/>
      </c>
      <c r="U207" s="221">
        <f t="shared" si="105"/>
        <v>107</v>
      </c>
      <c r="V207" s="220" t="str">
        <f t="shared" si="131"/>
        <v>-</v>
      </c>
      <c r="W207" s="221" t="str">
        <f t="shared" si="132"/>
        <v>-</v>
      </c>
      <c r="X207" s="221" t="str">
        <f t="shared" si="106"/>
        <v>-</v>
      </c>
      <c r="Y207" s="221" t="str">
        <f t="shared" si="107"/>
        <v>-</v>
      </c>
      <c r="Z207" s="270">
        <f t="shared" si="133"/>
        <v>0.1</v>
      </c>
      <c r="AA207" s="271" t="str">
        <f>IFERROR(IF(V206=1,AA$100*EXP(-(LN(2)/$D$65+0.04)*X206)*EXP(-(LN(2)/$D$65+0.1)*Y206),IF(V206=2,AA$100*EXP(-(LN(2)/$D$65+0.04)*(VLOOKUP(($F$16-$F$15)-1,U$99:Y206,4,FALSE)))*EXP(-(LN(2)/$D$65+0.1)*(VLOOKUP(($F$16-$F$15)-1,U$99:Y206,5,FALSE)))*EXP(-(LN(2)/$D$65+0.04)*X206)*EXP(-(LN(2)/$D$65+0.1)*Y206),IF(V206=3,AA$100*EXP(-(LN(2)/$D$65+0.04)*(VLOOKUP(($F$16-$F$15)-1,U$99:Y206,4,FALSE)))*EXP(-(LN(2)/$D$65+0.1)*(VLOOKUP(($F$16-$F$15)-1,U$99:Y206,5,FALSE)))*EXP(-(LN(2)/$D$65+0.04)*(VLOOKUP(($F$16-$F$15)*2-1,U$99:Y206,4,FALSE)))*EXP(-(LN(2)/$D$65+0.1)*(VLOOKUP(($F$16-$F$15)*2-1,U$99:Y206,5,FALSE)))*EXP(-(LN(2)/$D$65+0.04)*X206)*EXP(-(LN(2)/$D$65+0.1)*Y206),"-"))),"-")</f>
        <v>-</v>
      </c>
      <c r="AB207" s="271" t="str">
        <f>IFERROR(IF(V207=1,AB$100*EXP(-(LN(2)/$D$65+0.04)*X207)*EXP(-(LN(2)/$D$65+0.1)*Y207),IF(V207=2,AB$100*EXP(-(LN(2)/$D$65+0.04)*(VLOOKUP(($F$16-$F$15)-1,U$100:Y207,4,FALSE)))*EXP(-(LN(2)/$D$65+0.1)*(VLOOKUP(($F$16-$F$15)-1,U$100:Y207,5,FALSE)))*EXP(-(LN(2)/$D$65+0.04)*X207)*EXP(-(LN(2)/$D$65+0.1)*Y207),IF(V207=3,AB$100*EXP(-(LN(2)/$D$65+0.04)*(VLOOKUP(($F$16-$F$15)-1,U$100:Y207,4,FALSE)))*EXP(-(LN(2)/$D$65+0.1)*(VLOOKUP(($F$16-$F$15)-1,U$100:Y207,5,FALSE)))*EXP(-(LN(2)/$D$65+0.04)*(VLOOKUP(($F$16-$F$15)*2-1,U$100:Y207,4,FALSE)))*EXP(-(LN(2)/$D$65+0.1)*(VLOOKUP(($F$16-$F$15)*2-1,U$100:Y207,5,FALSE)))*EXP(-(LN(2)/$D$65+0.04)*X207)*EXP(-(LN(2)/$D$65+0.1)*Y207),"-"))),"-")</f>
        <v>-</v>
      </c>
      <c r="AC207" s="224">
        <f t="shared" si="134"/>
        <v>107</v>
      </c>
      <c r="AD207" s="223" t="str">
        <f t="shared" si="108"/>
        <v>-</v>
      </c>
      <c r="AE207" s="224" t="str">
        <f t="shared" si="135"/>
        <v>-</v>
      </c>
      <c r="AF207" s="224" t="str">
        <f t="shared" si="109"/>
        <v>-</v>
      </c>
      <c r="AG207" s="224" t="str">
        <f t="shared" si="110"/>
        <v>-</v>
      </c>
      <c r="AH207" s="272">
        <f t="shared" si="136"/>
        <v>0.1</v>
      </c>
      <c r="AI207" s="271" t="str">
        <f>IFERROR(IF(AD206=1,AI$100*EXP(-(LN(2)/$D$65+0.04)*AF206)*EXP(-(LN(2)/$D$65+0.1)*AG206),IF(AD206=2,AI$100*EXP(-(LN(2)/$D$65+0.04)*(VLOOKUP(($F$16-$F$15)-1,AC$99:AG206,4,FALSE)))*EXP(-(LN(2)/$D$65+0.1)*(VLOOKUP(($F$16-$F$15)-1,AC$99:AG206,5,FALSE)))*EXP(-(LN(2)/$D$65+0.04)*AF206)*EXP(-(LN(2)/$D$65+0.1)*AG206),IF(AD206=3,AI$100*EXP(-(LN(2)/$D$65+0.04)*(VLOOKUP(($F$16-$F$15)-1,AC$99:AG206,4,FALSE)))*EXP(-(LN(2)/$D$65+0.1)*(VLOOKUP(($F$16-$F$15)-1,AC$99:AG206,5,FALSE)))*EXP(-(LN(2)/$D$65+0.04)*(VLOOKUP(($F$16-$F$15)*2-1,AC$99:AG206,4,FALSE)))*EXP(-(LN(2)/$D$65+0.1)*(VLOOKUP(($F$16-$F$15)*2-1,AC$99:AG206,5,FALSE)))*EXP(-(LN(2)/$D$65+0.04)*AF206)*EXP(-(LN(2)/$D$65+0.1)*AG206),"-"))),"-")</f>
        <v>-</v>
      </c>
      <c r="AJ207" s="271" t="str">
        <f>IFERROR(IF(AD207=1,AJ$100*EXP(-(LN(2)/$D$65+0.04)*AF207)*EXP(-(LN(2)/$D$65+0.1)*AG207),IF(AD207=2,AJ$100*EXP(-(LN(2)/$D$65+0.04)*(VLOOKUP(($F$16-$F$15)-1,AC$100:AG207,4,FALSE)))*EXP(-(LN(2)/$D$65+0.1)*(VLOOKUP(($F$16-$F$15)-1,AC$100:AG207,5,FALSE)))*EXP(-(LN(2)/$D$65+0.04)*AF207)*EXP(-(LN(2)/$D$65+0.1)*AG207),IF(AD207=3,AJ$100*EXP(-(LN(2)/$D$65+0.04)*(VLOOKUP(($F$16-$F$15)-1,AC$100:AG207,4,FALSE)))*EXP(-(LN(2)/$D$65+0.1)*(VLOOKUP(($F$16-$F$15)-1,AC$100:AG207,5,FALSE)))*EXP(-(LN(2)/$D$65+0.04)*(VLOOKUP(($F$16-$F$15)*2-1,AC$100:AG207,4,FALSE)))*EXP(-(LN(2)/$D$65+0.1)*(VLOOKUP(($F$16-$F$15)*2-1,AC$100:AG207,5,FALSE)))*EXP(-(LN(2)/$D$65+0.04)*AF207)*EXP(-(LN(2)/$D$65+0.1)*AG207),"-"))),"-")</f>
        <v>-</v>
      </c>
      <c r="AK207" s="227">
        <f t="shared" si="137"/>
        <v>107</v>
      </c>
      <c r="AL207" s="226" t="str">
        <f t="shared" si="111"/>
        <v>-</v>
      </c>
      <c r="AM207" s="227" t="str">
        <f t="shared" si="138"/>
        <v>-</v>
      </c>
      <c r="AN207" s="227" t="str">
        <f t="shared" si="139"/>
        <v>-</v>
      </c>
      <c r="AO207" s="227" t="str">
        <f t="shared" si="112"/>
        <v>-</v>
      </c>
      <c r="AP207" s="273">
        <f t="shared" si="140"/>
        <v>0.1</v>
      </c>
      <c r="AQ207" s="271" t="str">
        <f>IFERROR(IF(AL206=1,AQ$100*EXP(-(LN(2)/$D$65+0.04)*AN206)*EXP(-(LN(2)/$D$65+0.1)*AO206),IF(AL206=2,AQ$100*EXP(-(LN(2)/$D$65+0.04)*(VLOOKUP(($F$16-$F$15)-1,AK$99:AO206,4,FALSE)))*EXP(-(LN(2)/$D$65+0.1)*(VLOOKUP(($F$16-$F$15)-1,AK$99:AO206,5,FALSE)))*EXP(-(LN(2)/$D$65+0.04)*AN206)*EXP(-(LN(2)/$D$65+0.1)*AO206),IF(AL206=3,AQ$100*EXP(-(LN(2)/$D$65+0.04)*(VLOOKUP(($F$16-$F$15)-1,AK$99:AO206,4,FALSE)))*EXP(-(LN(2)/$D$65+0.1)*(VLOOKUP(($F$16-$F$15)-1,AK$99:AO206,5,FALSE)))*EXP(-(LN(2)/$D$65+0.04)*(VLOOKUP(($F$16-$F$15)*2-1,AK$99:AO206,4,FALSE)))*EXP(-(LN(2)/$D$65+0.1)*(VLOOKUP(($F$16-$F$15)*2-1,AK$99:AO206,5,FALSE)))*EXP(-(LN(2)/$D$65+0.04)*AN206)*EXP(-(LN(2)/$D$65+0.1)*AO206),"-"))),"-")</f>
        <v>-</v>
      </c>
      <c r="AR207" s="271" t="str">
        <f>IFERROR(IF(AL207=1,AR$100*EXP(-(LN(2)/$D$65+0.04)*AN207)*EXP(-(LN(2)/$D$65+0.1)*AO207),IF(AL207=2,AR$100*EXP(-(LN(2)/$D$65+0.04)*(VLOOKUP(($F$16-$F$15)-1,AK$100:AO207,4,FALSE)))*EXP(-(LN(2)/$D$65+0.1)*(VLOOKUP(($F$16-$F$15)-1,AK$100:AO207,5,FALSE)))*EXP(-(LN(2)/$D$65+0.04)*AN207)*EXP(-(LN(2)/$D$65+0.1)*AO207),IF(AL207=3,AR$100*EXP(-(LN(2)/$D$65+0.04)*(VLOOKUP(($F$16-$F$15)-1,AK$100:AO207,4,FALSE)))*EXP(-(LN(2)/$D$65+0.1)*(VLOOKUP(($F$16-$F$15)-1,AK$100:AO207,5,FALSE)))*EXP(-(LN(2)/$D$65+0.04)*(VLOOKUP(($F$16-$F$15)*2-1,AK$100:AO207,4,FALSE)))*EXP(-(LN(2)/$D$65+0.1)*(VLOOKUP(($F$16-$F$15)*2-1,AK$100:AO207,5,FALSE)))*EXP(-(LN(2)/$D$65+0.04)*AN207)*EXP(-(LN(2)/$D$65+0.1)*AO207),"-"))),"-")</f>
        <v>-</v>
      </c>
      <c r="AS207" s="274">
        <f t="shared" si="113"/>
        <v>0</v>
      </c>
      <c r="AT207" s="274">
        <f t="shared" si="114"/>
        <v>0</v>
      </c>
      <c r="AU207" s="274">
        <f t="shared" si="115"/>
        <v>0</v>
      </c>
      <c r="AV207" s="190" t="str">
        <f>IF($B207&lt;$F$22,SUM($T$100:$T207),"")</f>
        <v/>
      </c>
      <c r="AW207" s="190" t="str">
        <f t="shared" si="161"/>
        <v>-</v>
      </c>
      <c r="AX207" s="190" t="str">
        <f t="shared" si="141"/>
        <v/>
      </c>
      <c r="AY207"/>
      <c r="AZ207" s="190" t="str">
        <f ca="1">IF(ISNUMBER(OFFSET(AV207,-$F$21,0)),SUM(OFFSET($T$100,$F$21,0):$T207),"")</f>
        <v/>
      </c>
      <c r="BA207" s="190" t="str">
        <f t="shared" ca="1" si="162"/>
        <v/>
      </c>
      <c r="BB207" s="190" t="str">
        <f t="shared" ca="1" si="148"/>
        <v/>
      </c>
      <c r="BC207" s="190"/>
      <c r="BD207" s="190" t="str">
        <f ca="1">IFERROR(IF(OR(ISNUMBER(I),ISNUMBER($F$14)),IF(AND($B207&gt;=($F$16-$F$15),$B207&lt;$F$22+($F$16-$F$15)),SUM(OFFSET($T$100,($F$16-$F$15),0):$T207),""),""),"")</f>
        <v/>
      </c>
      <c r="BE207" s="190" t="str">
        <f t="shared" ca="1" si="142"/>
        <v/>
      </c>
      <c r="BF207" s="190" t="str">
        <f t="shared" ca="1" si="143"/>
        <v/>
      </c>
      <c r="BG207"/>
      <c r="BH207" s="190" t="str">
        <f ca="1">IF(ISNUMBER(OFFSET(BD207,-$F$21,0)),SUM(OFFSET($T$100,($F$16-$F$15+$F$21),0):$T207),"")</f>
        <v/>
      </c>
      <c r="BI207" s="190" t="str">
        <f t="shared" ca="1" si="163"/>
        <v/>
      </c>
      <c r="BJ207" s="190" t="str">
        <f t="shared" ca="1" si="144"/>
        <v/>
      </c>
      <c r="BK207" s="190"/>
      <c r="BL207" s="190" t="str">
        <f ca="1">IFERROR(IF(OR(ISNUMBER(I),ISNUMBER($F$14)),IF(AND($B207&gt;=($F$17-$F$15),$B207&lt;$F$22+($F$17-$F$15)),SUM(OFFSET($T$100,($F$17-$F$15),0):$T207),""),""),"")</f>
        <v/>
      </c>
      <c r="BM207" s="190" t="str">
        <f t="shared" ca="1" si="164"/>
        <v/>
      </c>
      <c r="BN207" s="190" t="str">
        <f t="shared" ca="1" si="145"/>
        <v/>
      </c>
      <c r="BO207"/>
      <c r="BP207" s="190" t="str">
        <f ca="1">IF(ISNUMBER(OFFSET(BL207,-$F$21,0)),SUM(OFFSET($T$100,($F$17-$F$15+$F$21),0):$T207),"")</f>
        <v/>
      </c>
      <c r="BQ207" s="190" t="str">
        <f t="shared" ca="1" si="165"/>
        <v/>
      </c>
      <c r="BR207" s="190" t="str">
        <f t="shared" ca="1" si="146"/>
        <v/>
      </c>
      <c r="BS207" s="190"/>
      <c r="BT207"/>
      <c r="BU207"/>
      <c r="BV207"/>
      <c r="BY207" s="99"/>
      <c r="BZ207" s="99"/>
      <c r="CA207" s="280" t="str">
        <f t="shared" si="166"/>
        <v/>
      </c>
      <c r="CB207" s="71" t="str">
        <f t="shared" si="122"/>
        <v>-</v>
      </c>
      <c r="CC207" s="33"/>
      <c r="CD207" s="261" t="str">
        <f t="shared" si="123"/>
        <v/>
      </c>
      <c r="CE207" s="280" t="str">
        <f t="shared" si="167"/>
        <v/>
      </c>
      <c r="CF207" s="71" t="str">
        <f t="shared" ca="1" si="168"/>
        <v/>
      </c>
      <c r="CG207" s="33" t="str">
        <f t="shared" si="126"/>
        <v/>
      </c>
      <c r="CH207" s="261" t="str">
        <f t="shared" ca="1" si="127"/>
        <v/>
      </c>
    </row>
    <row r="208" spans="2:86" ht="13.5" customHeight="1" x14ac:dyDescent="0.2">
      <c r="B208" s="262">
        <v>108</v>
      </c>
      <c r="C208" s="237" t="str">
        <f t="shared" si="91"/>
        <v/>
      </c>
      <c r="D208" s="237" t="str">
        <f t="shared" si="147"/>
        <v/>
      </c>
      <c r="E208" s="263" t="str">
        <f t="shared" si="128"/>
        <v/>
      </c>
      <c r="F208" s="264" t="str">
        <f t="shared" si="129"/>
        <v/>
      </c>
      <c r="G208" s="264" t="str">
        <f t="shared" si="130"/>
        <v/>
      </c>
      <c r="H208" s="240" t="str">
        <f t="shared" si="149"/>
        <v/>
      </c>
      <c r="I208" s="265" t="str">
        <f t="shared" si="150"/>
        <v/>
      </c>
      <c r="J208" s="265" t="str">
        <f t="shared" si="151"/>
        <v/>
      </c>
      <c r="K208" s="240" t="str">
        <f t="shared" si="152"/>
        <v/>
      </c>
      <c r="L208" s="265" t="str">
        <f t="shared" si="153"/>
        <v/>
      </c>
      <c r="M208" s="265" t="str">
        <f t="shared" si="154"/>
        <v/>
      </c>
      <c r="N208" s="240" t="str">
        <f t="shared" si="155"/>
        <v>-</v>
      </c>
      <c r="O208" s="265" t="str">
        <f t="shared" si="156"/>
        <v>-</v>
      </c>
      <c r="P208" s="265" t="str">
        <f t="shared" si="157"/>
        <v>-</v>
      </c>
      <c r="Q208" s="266" t="str">
        <f t="shared" si="158"/>
        <v>-</v>
      </c>
      <c r="R208" s="267" t="str">
        <f t="shared" si="159"/>
        <v>-</v>
      </c>
      <c r="S208" s="268" t="str">
        <f t="shared" si="160"/>
        <v>-</v>
      </c>
      <c r="T208" s="269" t="str">
        <f t="shared" si="104"/>
        <v/>
      </c>
      <c r="U208" s="221">
        <f t="shared" si="105"/>
        <v>108</v>
      </c>
      <c r="V208" s="220" t="str">
        <f t="shared" si="131"/>
        <v>-</v>
      </c>
      <c r="W208" s="221" t="str">
        <f t="shared" si="132"/>
        <v>-</v>
      </c>
      <c r="X208" s="221" t="str">
        <f t="shared" si="106"/>
        <v>-</v>
      </c>
      <c r="Y208" s="221" t="str">
        <f t="shared" si="107"/>
        <v>-</v>
      </c>
      <c r="Z208" s="270">
        <f t="shared" si="133"/>
        <v>0.1</v>
      </c>
      <c r="AA208" s="271" t="str">
        <f>IFERROR(IF(V207=1,AA$100*EXP(-(LN(2)/$D$65+0.04)*X207)*EXP(-(LN(2)/$D$65+0.1)*Y207),IF(V207=2,AA$100*EXP(-(LN(2)/$D$65+0.04)*(VLOOKUP(($F$16-$F$15)-1,U$99:Y207,4,FALSE)))*EXP(-(LN(2)/$D$65+0.1)*(VLOOKUP(($F$16-$F$15)-1,U$99:Y207,5,FALSE)))*EXP(-(LN(2)/$D$65+0.04)*X207)*EXP(-(LN(2)/$D$65+0.1)*Y207),IF(V207=3,AA$100*EXP(-(LN(2)/$D$65+0.04)*(VLOOKUP(($F$16-$F$15)-1,U$99:Y207,4,FALSE)))*EXP(-(LN(2)/$D$65+0.1)*(VLOOKUP(($F$16-$F$15)-1,U$99:Y207,5,FALSE)))*EXP(-(LN(2)/$D$65+0.04)*(VLOOKUP(($F$16-$F$15)*2-1,U$99:Y207,4,FALSE)))*EXP(-(LN(2)/$D$65+0.1)*(VLOOKUP(($F$16-$F$15)*2-1,U$99:Y207,5,FALSE)))*EXP(-(LN(2)/$D$65+0.04)*X207)*EXP(-(LN(2)/$D$65+0.1)*Y207),"-"))),"-")</f>
        <v>-</v>
      </c>
      <c r="AB208" s="271" t="str">
        <f>IFERROR(IF(V208=1,AB$100*EXP(-(LN(2)/$D$65+0.04)*X208)*EXP(-(LN(2)/$D$65+0.1)*Y208),IF(V208=2,AB$100*EXP(-(LN(2)/$D$65+0.04)*(VLOOKUP(($F$16-$F$15)-1,U$100:Y208,4,FALSE)))*EXP(-(LN(2)/$D$65+0.1)*(VLOOKUP(($F$16-$F$15)-1,U$100:Y208,5,FALSE)))*EXP(-(LN(2)/$D$65+0.04)*X208)*EXP(-(LN(2)/$D$65+0.1)*Y208),IF(V208=3,AB$100*EXP(-(LN(2)/$D$65+0.04)*(VLOOKUP(($F$16-$F$15)-1,U$100:Y208,4,FALSE)))*EXP(-(LN(2)/$D$65+0.1)*(VLOOKUP(($F$16-$F$15)-1,U$100:Y208,5,FALSE)))*EXP(-(LN(2)/$D$65+0.04)*(VLOOKUP(($F$16-$F$15)*2-1,U$100:Y208,4,FALSE)))*EXP(-(LN(2)/$D$65+0.1)*(VLOOKUP(($F$16-$F$15)*2-1,U$100:Y208,5,FALSE)))*EXP(-(LN(2)/$D$65+0.04)*X208)*EXP(-(LN(2)/$D$65+0.1)*Y208),"-"))),"-")</f>
        <v>-</v>
      </c>
      <c r="AC208" s="224">
        <f t="shared" si="134"/>
        <v>108</v>
      </c>
      <c r="AD208" s="223" t="str">
        <f t="shared" si="108"/>
        <v>-</v>
      </c>
      <c r="AE208" s="224" t="str">
        <f t="shared" si="135"/>
        <v>-</v>
      </c>
      <c r="AF208" s="224" t="str">
        <f t="shared" si="109"/>
        <v>-</v>
      </c>
      <c r="AG208" s="224" t="str">
        <f t="shared" si="110"/>
        <v>-</v>
      </c>
      <c r="AH208" s="272">
        <f t="shared" si="136"/>
        <v>0.1</v>
      </c>
      <c r="AI208" s="271" t="str">
        <f>IFERROR(IF(AD207=1,AI$100*EXP(-(LN(2)/$D$65+0.04)*AF207)*EXP(-(LN(2)/$D$65+0.1)*AG207),IF(AD207=2,AI$100*EXP(-(LN(2)/$D$65+0.04)*(VLOOKUP(($F$16-$F$15)-1,AC$99:AG207,4,FALSE)))*EXP(-(LN(2)/$D$65+0.1)*(VLOOKUP(($F$16-$F$15)-1,AC$99:AG207,5,FALSE)))*EXP(-(LN(2)/$D$65+0.04)*AF207)*EXP(-(LN(2)/$D$65+0.1)*AG207),IF(AD207=3,AI$100*EXP(-(LN(2)/$D$65+0.04)*(VLOOKUP(($F$16-$F$15)-1,AC$99:AG207,4,FALSE)))*EXP(-(LN(2)/$D$65+0.1)*(VLOOKUP(($F$16-$F$15)-1,AC$99:AG207,5,FALSE)))*EXP(-(LN(2)/$D$65+0.04)*(VLOOKUP(($F$16-$F$15)*2-1,AC$99:AG207,4,FALSE)))*EXP(-(LN(2)/$D$65+0.1)*(VLOOKUP(($F$16-$F$15)*2-1,AC$99:AG207,5,FALSE)))*EXP(-(LN(2)/$D$65+0.04)*AF207)*EXP(-(LN(2)/$D$65+0.1)*AG207),"-"))),"-")</f>
        <v>-</v>
      </c>
      <c r="AJ208" s="271" t="str">
        <f>IFERROR(IF(AD208=1,AJ$100*EXP(-(LN(2)/$D$65+0.04)*AF208)*EXP(-(LN(2)/$D$65+0.1)*AG208),IF(AD208=2,AJ$100*EXP(-(LN(2)/$D$65+0.04)*(VLOOKUP(($F$16-$F$15)-1,AC$100:AG208,4,FALSE)))*EXP(-(LN(2)/$D$65+0.1)*(VLOOKUP(($F$16-$F$15)-1,AC$100:AG208,5,FALSE)))*EXP(-(LN(2)/$D$65+0.04)*AF208)*EXP(-(LN(2)/$D$65+0.1)*AG208),IF(AD208=3,AJ$100*EXP(-(LN(2)/$D$65+0.04)*(VLOOKUP(($F$16-$F$15)-1,AC$100:AG208,4,FALSE)))*EXP(-(LN(2)/$D$65+0.1)*(VLOOKUP(($F$16-$F$15)-1,AC$100:AG208,5,FALSE)))*EXP(-(LN(2)/$D$65+0.04)*(VLOOKUP(($F$16-$F$15)*2-1,AC$100:AG208,4,FALSE)))*EXP(-(LN(2)/$D$65+0.1)*(VLOOKUP(($F$16-$F$15)*2-1,AC$100:AG208,5,FALSE)))*EXP(-(LN(2)/$D$65+0.04)*AF208)*EXP(-(LN(2)/$D$65+0.1)*AG208),"-"))),"-")</f>
        <v>-</v>
      </c>
      <c r="AK208" s="227">
        <f t="shared" si="137"/>
        <v>108</v>
      </c>
      <c r="AL208" s="226" t="str">
        <f t="shared" si="111"/>
        <v>-</v>
      </c>
      <c r="AM208" s="227" t="str">
        <f t="shared" si="138"/>
        <v>-</v>
      </c>
      <c r="AN208" s="227" t="str">
        <f t="shared" si="139"/>
        <v>-</v>
      </c>
      <c r="AO208" s="227" t="str">
        <f t="shared" si="112"/>
        <v>-</v>
      </c>
      <c r="AP208" s="273">
        <f t="shared" si="140"/>
        <v>0.1</v>
      </c>
      <c r="AQ208" s="271" t="str">
        <f>IFERROR(IF(AL207=1,AQ$100*EXP(-(LN(2)/$D$65+0.04)*AN207)*EXP(-(LN(2)/$D$65+0.1)*AO207),IF(AL207=2,AQ$100*EXP(-(LN(2)/$D$65+0.04)*(VLOOKUP(($F$16-$F$15)-1,AK$99:AO207,4,FALSE)))*EXP(-(LN(2)/$D$65+0.1)*(VLOOKUP(($F$16-$F$15)-1,AK$99:AO207,5,FALSE)))*EXP(-(LN(2)/$D$65+0.04)*AN207)*EXP(-(LN(2)/$D$65+0.1)*AO207),IF(AL207=3,AQ$100*EXP(-(LN(2)/$D$65+0.04)*(VLOOKUP(($F$16-$F$15)-1,AK$99:AO207,4,FALSE)))*EXP(-(LN(2)/$D$65+0.1)*(VLOOKUP(($F$16-$F$15)-1,AK$99:AO207,5,FALSE)))*EXP(-(LN(2)/$D$65+0.04)*(VLOOKUP(($F$16-$F$15)*2-1,AK$99:AO207,4,FALSE)))*EXP(-(LN(2)/$D$65+0.1)*(VLOOKUP(($F$16-$F$15)*2-1,AK$99:AO207,5,FALSE)))*EXP(-(LN(2)/$D$65+0.04)*AN207)*EXP(-(LN(2)/$D$65+0.1)*AO207),"-"))),"-")</f>
        <v>-</v>
      </c>
      <c r="AR208" s="271" t="str">
        <f>IFERROR(IF(AL208=1,AR$100*EXP(-(LN(2)/$D$65+0.04)*AN208)*EXP(-(LN(2)/$D$65+0.1)*AO208),IF(AL208=2,AR$100*EXP(-(LN(2)/$D$65+0.04)*(VLOOKUP(($F$16-$F$15)-1,AK$100:AO208,4,FALSE)))*EXP(-(LN(2)/$D$65+0.1)*(VLOOKUP(($F$16-$F$15)-1,AK$100:AO208,5,FALSE)))*EXP(-(LN(2)/$D$65+0.04)*AN208)*EXP(-(LN(2)/$D$65+0.1)*AO208),IF(AL208=3,AR$100*EXP(-(LN(2)/$D$65+0.04)*(VLOOKUP(($F$16-$F$15)-1,AK$100:AO208,4,FALSE)))*EXP(-(LN(2)/$D$65+0.1)*(VLOOKUP(($F$16-$F$15)-1,AK$100:AO208,5,FALSE)))*EXP(-(LN(2)/$D$65+0.04)*(VLOOKUP(($F$16-$F$15)*2-1,AK$100:AO208,4,FALSE)))*EXP(-(LN(2)/$D$65+0.1)*(VLOOKUP(($F$16-$F$15)*2-1,AK$100:AO208,5,FALSE)))*EXP(-(LN(2)/$D$65+0.04)*AN208)*EXP(-(LN(2)/$D$65+0.1)*AO208),"-"))),"-")</f>
        <v>-</v>
      </c>
      <c r="AS208" s="274">
        <f t="shared" si="113"/>
        <v>0</v>
      </c>
      <c r="AT208" s="274">
        <f t="shared" si="114"/>
        <v>0</v>
      </c>
      <c r="AU208" s="274">
        <f t="shared" si="115"/>
        <v>0</v>
      </c>
      <c r="AV208" s="190" t="str">
        <f>IF($B208&lt;$F$22,SUM($T$100:$T208),"")</f>
        <v/>
      </c>
      <c r="AW208" s="190" t="str">
        <f t="shared" si="161"/>
        <v>-</v>
      </c>
      <c r="AX208" s="190" t="str">
        <f t="shared" si="141"/>
        <v/>
      </c>
      <c r="AY208"/>
      <c r="AZ208" s="190" t="str">
        <f ca="1">IF(ISNUMBER(OFFSET(AV208,-$F$21,0)),SUM(OFFSET($T$100,$F$21,0):$T208),"")</f>
        <v/>
      </c>
      <c r="BA208" s="190" t="str">
        <f t="shared" ca="1" si="162"/>
        <v/>
      </c>
      <c r="BB208" s="190" t="str">
        <f t="shared" ca="1" si="148"/>
        <v/>
      </c>
      <c r="BC208" s="190"/>
      <c r="BD208" s="190" t="str">
        <f ca="1">IFERROR(IF(OR(ISNUMBER(I),ISNUMBER($F$14)),IF(AND($B208&gt;=($F$16-$F$15),$B208&lt;$F$22+($F$16-$F$15)),SUM(OFFSET($T$100,($F$16-$F$15),0):$T208),""),""),"")</f>
        <v/>
      </c>
      <c r="BE208" s="190" t="str">
        <f t="shared" ca="1" si="142"/>
        <v/>
      </c>
      <c r="BF208" s="190" t="str">
        <f t="shared" ca="1" si="143"/>
        <v/>
      </c>
      <c r="BG208"/>
      <c r="BH208" s="190" t="str">
        <f ca="1">IF(ISNUMBER(OFFSET(BD208,-$F$21,0)),SUM(OFFSET($T$100,($F$16-$F$15+$F$21),0):$T208),"")</f>
        <v/>
      </c>
      <c r="BI208" s="190" t="str">
        <f t="shared" ca="1" si="163"/>
        <v/>
      </c>
      <c r="BJ208" s="190" t="str">
        <f t="shared" ca="1" si="144"/>
        <v/>
      </c>
      <c r="BK208" s="190"/>
      <c r="BL208" s="190" t="str">
        <f ca="1">IFERROR(IF(OR(ISNUMBER(I),ISNUMBER($F$14)),IF(AND($B208&gt;=($F$17-$F$15),$B208&lt;$F$22+($F$17-$F$15)),SUM(OFFSET($T$100,($F$17-$F$15),0):$T208),""),""),"")</f>
        <v/>
      </c>
      <c r="BM208" s="190" t="str">
        <f t="shared" ca="1" si="164"/>
        <v/>
      </c>
      <c r="BN208" s="190" t="str">
        <f t="shared" ca="1" si="145"/>
        <v/>
      </c>
      <c r="BO208"/>
      <c r="BP208" s="190" t="str">
        <f ca="1">IF(ISNUMBER(OFFSET(BL208,-$F$21,0)),SUM(OFFSET($T$100,($F$17-$F$15+$F$21),0):$T208),"")</f>
        <v/>
      </c>
      <c r="BQ208" s="190" t="str">
        <f t="shared" ca="1" si="165"/>
        <v/>
      </c>
      <c r="BR208" s="190" t="str">
        <f t="shared" ca="1" si="146"/>
        <v/>
      </c>
      <c r="BS208" s="190"/>
      <c r="BT208"/>
      <c r="BU208"/>
      <c r="BV208"/>
      <c r="BY208" s="99"/>
      <c r="BZ208" s="99"/>
      <c r="CA208" s="280" t="str">
        <f t="shared" si="166"/>
        <v/>
      </c>
      <c r="CB208" s="71" t="str">
        <f t="shared" si="122"/>
        <v>-</v>
      </c>
      <c r="CC208" s="33"/>
      <c r="CD208" s="261" t="str">
        <f t="shared" si="123"/>
        <v/>
      </c>
      <c r="CE208" s="280" t="str">
        <f t="shared" si="167"/>
        <v/>
      </c>
      <c r="CF208" s="71" t="str">
        <f t="shared" ca="1" si="168"/>
        <v/>
      </c>
      <c r="CG208" s="33" t="str">
        <f t="shared" si="126"/>
        <v/>
      </c>
      <c r="CH208" s="261" t="str">
        <f t="shared" ca="1" si="127"/>
        <v/>
      </c>
    </row>
    <row r="209" spans="2:86" ht="13.5" customHeight="1" x14ac:dyDescent="0.2">
      <c r="B209" s="262">
        <v>109</v>
      </c>
      <c r="C209" s="237" t="str">
        <f t="shared" si="91"/>
        <v/>
      </c>
      <c r="D209" s="237" t="str">
        <f t="shared" si="147"/>
        <v/>
      </c>
      <c r="E209" s="263" t="str">
        <f t="shared" si="128"/>
        <v/>
      </c>
      <c r="F209" s="264" t="str">
        <f t="shared" si="129"/>
        <v/>
      </c>
      <c r="G209" s="264" t="str">
        <f t="shared" si="130"/>
        <v/>
      </c>
      <c r="H209" s="240" t="str">
        <f t="shared" si="149"/>
        <v/>
      </c>
      <c r="I209" s="265" t="str">
        <f t="shared" si="150"/>
        <v/>
      </c>
      <c r="J209" s="265" t="str">
        <f t="shared" si="151"/>
        <v/>
      </c>
      <c r="K209" s="240" t="str">
        <f t="shared" si="152"/>
        <v/>
      </c>
      <c r="L209" s="265" t="str">
        <f t="shared" si="153"/>
        <v/>
      </c>
      <c r="M209" s="265" t="str">
        <f t="shared" si="154"/>
        <v/>
      </c>
      <c r="N209" s="240" t="str">
        <f t="shared" si="155"/>
        <v>-</v>
      </c>
      <c r="O209" s="265" t="str">
        <f t="shared" si="156"/>
        <v>-</v>
      </c>
      <c r="P209" s="265" t="str">
        <f t="shared" si="157"/>
        <v>-</v>
      </c>
      <c r="Q209" s="266" t="str">
        <f t="shared" si="158"/>
        <v>-</v>
      </c>
      <c r="R209" s="267" t="str">
        <f t="shared" si="159"/>
        <v>-</v>
      </c>
      <c r="S209" s="268" t="str">
        <f t="shared" si="160"/>
        <v>-</v>
      </c>
      <c r="T209" s="269" t="str">
        <f t="shared" si="104"/>
        <v/>
      </c>
      <c r="U209" s="221">
        <f t="shared" si="105"/>
        <v>109</v>
      </c>
      <c r="V209" s="220" t="str">
        <f t="shared" si="131"/>
        <v>-</v>
      </c>
      <c r="W209" s="221" t="str">
        <f t="shared" si="132"/>
        <v>-</v>
      </c>
      <c r="X209" s="221" t="str">
        <f t="shared" si="106"/>
        <v>-</v>
      </c>
      <c r="Y209" s="221" t="str">
        <f t="shared" si="107"/>
        <v>-</v>
      </c>
      <c r="Z209" s="270">
        <f t="shared" si="133"/>
        <v>0.1</v>
      </c>
      <c r="AA209" s="271" t="str">
        <f>IFERROR(IF(V208=1,AA$100*EXP(-(LN(2)/$D$65+0.04)*X208)*EXP(-(LN(2)/$D$65+0.1)*Y208),IF(V208=2,AA$100*EXP(-(LN(2)/$D$65+0.04)*(VLOOKUP(($F$16-$F$15)-1,U$99:Y208,4,FALSE)))*EXP(-(LN(2)/$D$65+0.1)*(VLOOKUP(($F$16-$F$15)-1,U$99:Y208,5,FALSE)))*EXP(-(LN(2)/$D$65+0.04)*X208)*EXP(-(LN(2)/$D$65+0.1)*Y208),IF(V208=3,AA$100*EXP(-(LN(2)/$D$65+0.04)*(VLOOKUP(($F$16-$F$15)-1,U$99:Y208,4,FALSE)))*EXP(-(LN(2)/$D$65+0.1)*(VLOOKUP(($F$16-$F$15)-1,U$99:Y208,5,FALSE)))*EXP(-(LN(2)/$D$65+0.04)*(VLOOKUP(($F$16-$F$15)*2-1,U$99:Y208,4,FALSE)))*EXP(-(LN(2)/$D$65+0.1)*(VLOOKUP(($F$16-$F$15)*2-1,U$99:Y208,5,FALSE)))*EXP(-(LN(2)/$D$65+0.04)*X208)*EXP(-(LN(2)/$D$65+0.1)*Y208),"-"))),"-")</f>
        <v>-</v>
      </c>
      <c r="AB209" s="271" t="str">
        <f>IFERROR(IF(V209=1,AB$100*EXP(-(LN(2)/$D$65+0.04)*X209)*EXP(-(LN(2)/$D$65+0.1)*Y209),IF(V209=2,AB$100*EXP(-(LN(2)/$D$65+0.04)*(VLOOKUP(($F$16-$F$15)-1,U$100:Y209,4,FALSE)))*EXP(-(LN(2)/$D$65+0.1)*(VLOOKUP(($F$16-$F$15)-1,U$100:Y209,5,FALSE)))*EXP(-(LN(2)/$D$65+0.04)*X209)*EXP(-(LN(2)/$D$65+0.1)*Y209),IF(V209=3,AB$100*EXP(-(LN(2)/$D$65+0.04)*(VLOOKUP(($F$16-$F$15)-1,U$100:Y209,4,FALSE)))*EXP(-(LN(2)/$D$65+0.1)*(VLOOKUP(($F$16-$F$15)-1,U$100:Y209,5,FALSE)))*EXP(-(LN(2)/$D$65+0.04)*(VLOOKUP(($F$16-$F$15)*2-1,U$100:Y209,4,FALSE)))*EXP(-(LN(2)/$D$65+0.1)*(VLOOKUP(($F$16-$F$15)*2-1,U$100:Y209,5,FALSE)))*EXP(-(LN(2)/$D$65+0.04)*X209)*EXP(-(LN(2)/$D$65+0.1)*Y209),"-"))),"-")</f>
        <v>-</v>
      </c>
      <c r="AC209" s="224">
        <f t="shared" si="134"/>
        <v>109</v>
      </c>
      <c r="AD209" s="223" t="str">
        <f t="shared" si="108"/>
        <v>-</v>
      </c>
      <c r="AE209" s="224" t="str">
        <f t="shared" si="135"/>
        <v>-</v>
      </c>
      <c r="AF209" s="224" t="str">
        <f t="shared" si="109"/>
        <v>-</v>
      </c>
      <c r="AG209" s="224" t="str">
        <f t="shared" si="110"/>
        <v>-</v>
      </c>
      <c r="AH209" s="272">
        <f t="shared" si="136"/>
        <v>0.1</v>
      </c>
      <c r="AI209" s="271" t="str">
        <f>IFERROR(IF(AD208=1,AI$100*EXP(-(LN(2)/$D$65+0.04)*AF208)*EXP(-(LN(2)/$D$65+0.1)*AG208),IF(AD208=2,AI$100*EXP(-(LN(2)/$D$65+0.04)*(VLOOKUP(($F$16-$F$15)-1,AC$99:AG208,4,FALSE)))*EXP(-(LN(2)/$D$65+0.1)*(VLOOKUP(($F$16-$F$15)-1,AC$99:AG208,5,FALSE)))*EXP(-(LN(2)/$D$65+0.04)*AF208)*EXP(-(LN(2)/$D$65+0.1)*AG208),IF(AD208=3,AI$100*EXP(-(LN(2)/$D$65+0.04)*(VLOOKUP(($F$16-$F$15)-1,AC$99:AG208,4,FALSE)))*EXP(-(LN(2)/$D$65+0.1)*(VLOOKUP(($F$16-$F$15)-1,AC$99:AG208,5,FALSE)))*EXP(-(LN(2)/$D$65+0.04)*(VLOOKUP(($F$16-$F$15)*2-1,AC$99:AG208,4,FALSE)))*EXP(-(LN(2)/$D$65+0.1)*(VLOOKUP(($F$16-$F$15)*2-1,AC$99:AG208,5,FALSE)))*EXP(-(LN(2)/$D$65+0.04)*AF208)*EXP(-(LN(2)/$D$65+0.1)*AG208),"-"))),"-")</f>
        <v>-</v>
      </c>
      <c r="AJ209" s="271" t="str">
        <f>IFERROR(IF(AD209=1,AJ$100*EXP(-(LN(2)/$D$65+0.04)*AF209)*EXP(-(LN(2)/$D$65+0.1)*AG209),IF(AD209=2,AJ$100*EXP(-(LN(2)/$D$65+0.04)*(VLOOKUP(($F$16-$F$15)-1,AC$100:AG209,4,FALSE)))*EXP(-(LN(2)/$D$65+0.1)*(VLOOKUP(($F$16-$F$15)-1,AC$100:AG209,5,FALSE)))*EXP(-(LN(2)/$D$65+0.04)*AF209)*EXP(-(LN(2)/$D$65+0.1)*AG209),IF(AD209=3,AJ$100*EXP(-(LN(2)/$D$65+0.04)*(VLOOKUP(($F$16-$F$15)-1,AC$100:AG209,4,FALSE)))*EXP(-(LN(2)/$D$65+0.1)*(VLOOKUP(($F$16-$F$15)-1,AC$100:AG209,5,FALSE)))*EXP(-(LN(2)/$D$65+0.04)*(VLOOKUP(($F$16-$F$15)*2-1,AC$100:AG209,4,FALSE)))*EXP(-(LN(2)/$D$65+0.1)*(VLOOKUP(($F$16-$F$15)*2-1,AC$100:AG209,5,FALSE)))*EXP(-(LN(2)/$D$65+0.04)*AF209)*EXP(-(LN(2)/$D$65+0.1)*AG209),"-"))),"-")</f>
        <v>-</v>
      </c>
      <c r="AK209" s="227">
        <f t="shared" si="137"/>
        <v>109</v>
      </c>
      <c r="AL209" s="226" t="str">
        <f t="shared" si="111"/>
        <v>-</v>
      </c>
      <c r="AM209" s="227" t="str">
        <f t="shared" si="138"/>
        <v>-</v>
      </c>
      <c r="AN209" s="227" t="str">
        <f t="shared" si="139"/>
        <v>-</v>
      </c>
      <c r="AO209" s="227" t="str">
        <f t="shared" si="112"/>
        <v>-</v>
      </c>
      <c r="AP209" s="273">
        <f t="shared" si="140"/>
        <v>0.1</v>
      </c>
      <c r="AQ209" s="271" t="str">
        <f>IFERROR(IF(AL208=1,AQ$100*EXP(-(LN(2)/$D$65+0.04)*AN208)*EXP(-(LN(2)/$D$65+0.1)*AO208),IF(AL208=2,AQ$100*EXP(-(LN(2)/$D$65+0.04)*(VLOOKUP(($F$16-$F$15)-1,AK$99:AO208,4,FALSE)))*EXP(-(LN(2)/$D$65+0.1)*(VLOOKUP(($F$16-$F$15)-1,AK$99:AO208,5,FALSE)))*EXP(-(LN(2)/$D$65+0.04)*AN208)*EXP(-(LN(2)/$D$65+0.1)*AO208),IF(AL208=3,AQ$100*EXP(-(LN(2)/$D$65+0.04)*(VLOOKUP(($F$16-$F$15)-1,AK$99:AO208,4,FALSE)))*EXP(-(LN(2)/$D$65+0.1)*(VLOOKUP(($F$16-$F$15)-1,AK$99:AO208,5,FALSE)))*EXP(-(LN(2)/$D$65+0.04)*(VLOOKUP(($F$16-$F$15)*2-1,AK$99:AO208,4,FALSE)))*EXP(-(LN(2)/$D$65+0.1)*(VLOOKUP(($F$16-$F$15)*2-1,AK$99:AO208,5,FALSE)))*EXP(-(LN(2)/$D$65+0.04)*AN208)*EXP(-(LN(2)/$D$65+0.1)*AO208),"-"))),"-")</f>
        <v>-</v>
      </c>
      <c r="AR209" s="271" t="str">
        <f>IFERROR(IF(AL209=1,AR$100*EXP(-(LN(2)/$D$65+0.04)*AN209)*EXP(-(LN(2)/$D$65+0.1)*AO209),IF(AL209=2,AR$100*EXP(-(LN(2)/$D$65+0.04)*(VLOOKUP(($F$16-$F$15)-1,AK$100:AO209,4,FALSE)))*EXP(-(LN(2)/$D$65+0.1)*(VLOOKUP(($F$16-$F$15)-1,AK$100:AO209,5,FALSE)))*EXP(-(LN(2)/$D$65+0.04)*AN209)*EXP(-(LN(2)/$D$65+0.1)*AO209),IF(AL209=3,AR$100*EXP(-(LN(2)/$D$65+0.04)*(VLOOKUP(($F$16-$F$15)-1,AK$100:AO209,4,FALSE)))*EXP(-(LN(2)/$D$65+0.1)*(VLOOKUP(($F$16-$F$15)-1,AK$100:AO209,5,FALSE)))*EXP(-(LN(2)/$D$65+0.04)*(VLOOKUP(($F$16-$F$15)*2-1,AK$100:AO209,4,FALSE)))*EXP(-(LN(2)/$D$65+0.1)*(VLOOKUP(($F$16-$F$15)*2-1,AK$100:AO209,5,FALSE)))*EXP(-(LN(2)/$D$65+0.04)*AN209)*EXP(-(LN(2)/$D$65+0.1)*AO209),"-"))),"-")</f>
        <v>-</v>
      </c>
      <c r="AS209" s="274">
        <f t="shared" si="113"/>
        <v>0</v>
      </c>
      <c r="AT209" s="274">
        <f t="shared" si="114"/>
        <v>0</v>
      </c>
      <c r="AU209" s="274">
        <f t="shared" si="115"/>
        <v>0</v>
      </c>
      <c r="AV209" s="190" t="str">
        <f>IF($B209&lt;$F$22,SUM($T$100:$T209),"")</f>
        <v/>
      </c>
      <c r="AW209" s="190" t="str">
        <f t="shared" si="161"/>
        <v>-</v>
      </c>
      <c r="AX209" s="190" t="str">
        <f t="shared" si="141"/>
        <v/>
      </c>
      <c r="AY209"/>
      <c r="AZ209" s="190" t="str">
        <f ca="1">IF(ISNUMBER(OFFSET(AV209,-$F$21,0)),SUM(OFFSET($T$100,$F$21,0):$T209),"")</f>
        <v/>
      </c>
      <c r="BA209" s="190" t="str">
        <f t="shared" ca="1" si="162"/>
        <v/>
      </c>
      <c r="BB209" s="190" t="str">
        <f t="shared" ca="1" si="148"/>
        <v/>
      </c>
      <c r="BC209" s="190"/>
      <c r="BD209" s="190" t="str">
        <f ca="1">IFERROR(IF(OR(ISNUMBER(I),ISNUMBER($F$14)),IF(AND($B209&gt;=($F$16-$F$15),$B209&lt;$F$22+($F$16-$F$15)),SUM(OFFSET($T$100,($F$16-$F$15),0):$T209),""),""),"")</f>
        <v/>
      </c>
      <c r="BE209" s="190" t="str">
        <f t="shared" ca="1" si="142"/>
        <v/>
      </c>
      <c r="BF209" s="190" t="str">
        <f t="shared" ca="1" si="143"/>
        <v/>
      </c>
      <c r="BG209"/>
      <c r="BH209" s="190" t="str">
        <f ca="1">IF(ISNUMBER(OFFSET(BD209,-$F$21,0)),SUM(OFFSET($T$100,($F$16-$F$15+$F$21),0):$T209),"")</f>
        <v/>
      </c>
      <c r="BI209" s="190" t="str">
        <f t="shared" ca="1" si="163"/>
        <v/>
      </c>
      <c r="BJ209" s="190" t="str">
        <f t="shared" ca="1" si="144"/>
        <v/>
      </c>
      <c r="BK209" s="190"/>
      <c r="BL209" s="190" t="str">
        <f ca="1">IFERROR(IF(OR(ISNUMBER(I),ISNUMBER($F$14)),IF(AND($B209&gt;=($F$17-$F$15),$B209&lt;$F$22+($F$17-$F$15)),SUM(OFFSET($T$100,($F$17-$F$15),0):$T209),""),""),"")</f>
        <v/>
      </c>
      <c r="BM209" s="190" t="str">
        <f t="shared" ca="1" si="164"/>
        <v/>
      </c>
      <c r="BN209" s="190" t="str">
        <f t="shared" ca="1" si="145"/>
        <v/>
      </c>
      <c r="BO209"/>
      <c r="BP209" s="190" t="str">
        <f ca="1">IF(ISNUMBER(OFFSET(BL209,-$F$21,0)),SUM(OFFSET($T$100,($F$17-$F$15+$F$21),0):$T209),"")</f>
        <v/>
      </c>
      <c r="BQ209" s="190" t="str">
        <f t="shared" ca="1" si="165"/>
        <v/>
      </c>
      <c r="BR209" s="190" t="str">
        <f t="shared" ca="1" si="146"/>
        <v/>
      </c>
      <c r="BS209" s="190"/>
      <c r="BT209"/>
      <c r="BU209"/>
      <c r="BV209"/>
      <c r="BY209" s="99"/>
      <c r="BZ209" s="99"/>
      <c r="CA209" s="280" t="str">
        <f t="shared" si="166"/>
        <v/>
      </c>
      <c r="CB209" s="71" t="str">
        <f t="shared" si="122"/>
        <v>-</v>
      </c>
      <c r="CC209" s="33"/>
      <c r="CD209" s="261" t="str">
        <f t="shared" si="123"/>
        <v/>
      </c>
      <c r="CE209" s="280" t="str">
        <f t="shared" si="167"/>
        <v/>
      </c>
      <c r="CF209" s="71" t="str">
        <f t="shared" ca="1" si="168"/>
        <v/>
      </c>
      <c r="CG209" s="33" t="str">
        <f t="shared" si="126"/>
        <v/>
      </c>
      <c r="CH209" s="261" t="str">
        <f t="shared" ca="1" si="127"/>
        <v/>
      </c>
    </row>
    <row r="210" spans="2:86" ht="13.5" customHeight="1" x14ac:dyDescent="0.2">
      <c r="B210" s="262">
        <v>110</v>
      </c>
      <c r="C210" s="237" t="str">
        <f t="shared" si="91"/>
        <v/>
      </c>
      <c r="D210" s="237" t="str">
        <f t="shared" si="147"/>
        <v/>
      </c>
      <c r="E210" s="263" t="str">
        <f t="shared" si="128"/>
        <v/>
      </c>
      <c r="F210" s="264" t="str">
        <f t="shared" si="129"/>
        <v/>
      </c>
      <c r="G210" s="264" t="str">
        <f t="shared" si="130"/>
        <v/>
      </c>
      <c r="H210" s="240" t="str">
        <f t="shared" si="149"/>
        <v/>
      </c>
      <c r="I210" s="265" t="str">
        <f t="shared" si="150"/>
        <v/>
      </c>
      <c r="J210" s="265" t="str">
        <f t="shared" si="151"/>
        <v/>
      </c>
      <c r="K210" s="240" t="str">
        <f t="shared" si="152"/>
        <v/>
      </c>
      <c r="L210" s="265" t="str">
        <f t="shared" si="153"/>
        <v/>
      </c>
      <c r="M210" s="265" t="str">
        <f t="shared" si="154"/>
        <v/>
      </c>
      <c r="N210" s="240" t="str">
        <f t="shared" si="155"/>
        <v>-</v>
      </c>
      <c r="O210" s="265" t="str">
        <f t="shared" si="156"/>
        <v>-</v>
      </c>
      <c r="P210" s="265" t="str">
        <f t="shared" si="157"/>
        <v>-</v>
      </c>
      <c r="Q210" s="266" t="str">
        <f t="shared" si="158"/>
        <v>-</v>
      </c>
      <c r="R210" s="267" t="str">
        <f t="shared" si="159"/>
        <v>-</v>
      </c>
      <c r="S210" s="268" t="str">
        <f t="shared" si="160"/>
        <v>-</v>
      </c>
      <c r="T210" s="269" t="str">
        <f t="shared" si="104"/>
        <v/>
      </c>
      <c r="U210" s="221">
        <f t="shared" si="105"/>
        <v>110</v>
      </c>
      <c r="V210" s="220" t="str">
        <f t="shared" si="131"/>
        <v>-</v>
      </c>
      <c r="W210" s="221" t="str">
        <f t="shared" si="132"/>
        <v>-</v>
      </c>
      <c r="X210" s="221" t="str">
        <f t="shared" si="106"/>
        <v>-</v>
      </c>
      <c r="Y210" s="221" t="str">
        <f t="shared" si="107"/>
        <v>-</v>
      </c>
      <c r="Z210" s="270">
        <f t="shared" si="133"/>
        <v>0.1</v>
      </c>
      <c r="AA210" s="271" t="str">
        <f>IFERROR(IF(V209=1,AA$100*EXP(-(LN(2)/$D$65+0.04)*X209)*EXP(-(LN(2)/$D$65+0.1)*Y209),IF(V209=2,AA$100*EXP(-(LN(2)/$D$65+0.04)*(VLOOKUP(($F$16-$F$15)-1,U$99:Y209,4,FALSE)))*EXP(-(LN(2)/$D$65+0.1)*(VLOOKUP(($F$16-$F$15)-1,U$99:Y209,5,FALSE)))*EXP(-(LN(2)/$D$65+0.04)*X209)*EXP(-(LN(2)/$D$65+0.1)*Y209),IF(V209=3,AA$100*EXP(-(LN(2)/$D$65+0.04)*(VLOOKUP(($F$16-$F$15)-1,U$99:Y209,4,FALSE)))*EXP(-(LN(2)/$D$65+0.1)*(VLOOKUP(($F$16-$F$15)-1,U$99:Y209,5,FALSE)))*EXP(-(LN(2)/$D$65+0.04)*(VLOOKUP(($F$16-$F$15)*2-1,U$99:Y209,4,FALSE)))*EXP(-(LN(2)/$D$65+0.1)*(VLOOKUP(($F$16-$F$15)*2-1,U$99:Y209,5,FALSE)))*EXP(-(LN(2)/$D$65+0.04)*X209)*EXP(-(LN(2)/$D$65+0.1)*Y209),"-"))),"-")</f>
        <v>-</v>
      </c>
      <c r="AB210" s="271" t="str">
        <f>IFERROR(IF(V210=1,AB$100*EXP(-(LN(2)/$D$65+0.04)*X210)*EXP(-(LN(2)/$D$65+0.1)*Y210),IF(V210=2,AB$100*EXP(-(LN(2)/$D$65+0.04)*(VLOOKUP(($F$16-$F$15)-1,U$100:Y210,4,FALSE)))*EXP(-(LN(2)/$D$65+0.1)*(VLOOKUP(($F$16-$F$15)-1,U$100:Y210,5,FALSE)))*EXP(-(LN(2)/$D$65+0.04)*X210)*EXP(-(LN(2)/$D$65+0.1)*Y210),IF(V210=3,AB$100*EXP(-(LN(2)/$D$65+0.04)*(VLOOKUP(($F$16-$F$15)-1,U$100:Y210,4,FALSE)))*EXP(-(LN(2)/$D$65+0.1)*(VLOOKUP(($F$16-$F$15)-1,U$100:Y210,5,FALSE)))*EXP(-(LN(2)/$D$65+0.04)*(VLOOKUP(($F$16-$F$15)*2-1,U$100:Y210,4,FALSE)))*EXP(-(LN(2)/$D$65+0.1)*(VLOOKUP(($F$16-$F$15)*2-1,U$100:Y210,5,FALSE)))*EXP(-(LN(2)/$D$65+0.04)*X210)*EXP(-(LN(2)/$D$65+0.1)*Y210),"-"))),"-")</f>
        <v>-</v>
      </c>
      <c r="AC210" s="224">
        <f t="shared" si="134"/>
        <v>110</v>
      </c>
      <c r="AD210" s="223" t="str">
        <f t="shared" si="108"/>
        <v>-</v>
      </c>
      <c r="AE210" s="224" t="str">
        <f t="shared" si="135"/>
        <v>-</v>
      </c>
      <c r="AF210" s="224" t="str">
        <f t="shared" si="109"/>
        <v>-</v>
      </c>
      <c r="AG210" s="224" t="str">
        <f t="shared" si="110"/>
        <v>-</v>
      </c>
      <c r="AH210" s="272">
        <f t="shared" si="136"/>
        <v>0.1</v>
      </c>
      <c r="AI210" s="271" t="str">
        <f>IFERROR(IF(AD209=1,AI$100*EXP(-(LN(2)/$D$65+0.04)*AF209)*EXP(-(LN(2)/$D$65+0.1)*AG209),IF(AD209=2,AI$100*EXP(-(LN(2)/$D$65+0.04)*(VLOOKUP(($F$16-$F$15)-1,AC$99:AG209,4,FALSE)))*EXP(-(LN(2)/$D$65+0.1)*(VLOOKUP(($F$16-$F$15)-1,AC$99:AG209,5,FALSE)))*EXP(-(LN(2)/$D$65+0.04)*AF209)*EXP(-(LN(2)/$D$65+0.1)*AG209),IF(AD209=3,AI$100*EXP(-(LN(2)/$D$65+0.04)*(VLOOKUP(($F$16-$F$15)-1,AC$99:AG209,4,FALSE)))*EXP(-(LN(2)/$D$65+0.1)*(VLOOKUP(($F$16-$F$15)-1,AC$99:AG209,5,FALSE)))*EXP(-(LN(2)/$D$65+0.04)*(VLOOKUP(($F$16-$F$15)*2-1,AC$99:AG209,4,FALSE)))*EXP(-(LN(2)/$D$65+0.1)*(VLOOKUP(($F$16-$F$15)*2-1,AC$99:AG209,5,FALSE)))*EXP(-(LN(2)/$D$65+0.04)*AF209)*EXP(-(LN(2)/$D$65+0.1)*AG209),"-"))),"-")</f>
        <v>-</v>
      </c>
      <c r="AJ210" s="271" t="str">
        <f>IFERROR(IF(AD210=1,AJ$100*EXP(-(LN(2)/$D$65+0.04)*AF210)*EXP(-(LN(2)/$D$65+0.1)*AG210),IF(AD210=2,AJ$100*EXP(-(LN(2)/$D$65+0.04)*(VLOOKUP(($F$16-$F$15)-1,AC$100:AG210,4,FALSE)))*EXP(-(LN(2)/$D$65+0.1)*(VLOOKUP(($F$16-$F$15)-1,AC$100:AG210,5,FALSE)))*EXP(-(LN(2)/$D$65+0.04)*AF210)*EXP(-(LN(2)/$D$65+0.1)*AG210),IF(AD210=3,AJ$100*EXP(-(LN(2)/$D$65+0.04)*(VLOOKUP(($F$16-$F$15)-1,AC$100:AG210,4,FALSE)))*EXP(-(LN(2)/$D$65+0.1)*(VLOOKUP(($F$16-$F$15)-1,AC$100:AG210,5,FALSE)))*EXP(-(LN(2)/$D$65+0.04)*(VLOOKUP(($F$16-$F$15)*2-1,AC$100:AG210,4,FALSE)))*EXP(-(LN(2)/$D$65+0.1)*(VLOOKUP(($F$16-$F$15)*2-1,AC$100:AG210,5,FALSE)))*EXP(-(LN(2)/$D$65+0.04)*AF210)*EXP(-(LN(2)/$D$65+0.1)*AG210),"-"))),"-")</f>
        <v>-</v>
      </c>
      <c r="AK210" s="227">
        <f t="shared" si="137"/>
        <v>110</v>
      </c>
      <c r="AL210" s="226" t="str">
        <f t="shared" si="111"/>
        <v>-</v>
      </c>
      <c r="AM210" s="227" t="str">
        <f t="shared" si="138"/>
        <v>-</v>
      </c>
      <c r="AN210" s="227" t="str">
        <f t="shared" si="139"/>
        <v>-</v>
      </c>
      <c r="AO210" s="227" t="str">
        <f t="shared" si="112"/>
        <v>-</v>
      </c>
      <c r="AP210" s="273">
        <f t="shared" si="140"/>
        <v>0.1</v>
      </c>
      <c r="AQ210" s="271" t="str">
        <f>IFERROR(IF(AL209=1,AQ$100*EXP(-(LN(2)/$D$65+0.04)*AN209)*EXP(-(LN(2)/$D$65+0.1)*AO209),IF(AL209=2,AQ$100*EXP(-(LN(2)/$D$65+0.04)*(VLOOKUP(($F$16-$F$15)-1,AK$99:AO209,4,FALSE)))*EXP(-(LN(2)/$D$65+0.1)*(VLOOKUP(($F$16-$F$15)-1,AK$99:AO209,5,FALSE)))*EXP(-(LN(2)/$D$65+0.04)*AN209)*EXP(-(LN(2)/$D$65+0.1)*AO209),IF(AL209=3,AQ$100*EXP(-(LN(2)/$D$65+0.04)*(VLOOKUP(($F$16-$F$15)-1,AK$99:AO209,4,FALSE)))*EXP(-(LN(2)/$D$65+0.1)*(VLOOKUP(($F$16-$F$15)-1,AK$99:AO209,5,FALSE)))*EXP(-(LN(2)/$D$65+0.04)*(VLOOKUP(($F$16-$F$15)*2-1,AK$99:AO209,4,FALSE)))*EXP(-(LN(2)/$D$65+0.1)*(VLOOKUP(($F$16-$F$15)*2-1,AK$99:AO209,5,FALSE)))*EXP(-(LN(2)/$D$65+0.04)*AN209)*EXP(-(LN(2)/$D$65+0.1)*AO209),"-"))),"-")</f>
        <v>-</v>
      </c>
      <c r="AR210" s="271" t="str">
        <f>IFERROR(IF(AL210=1,AR$100*EXP(-(LN(2)/$D$65+0.04)*AN210)*EXP(-(LN(2)/$D$65+0.1)*AO210),IF(AL210=2,AR$100*EXP(-(LN(2)/$D$65+0.04)*(VLOOKUP(($F$16-$F$15)-1,AK$100:AO210,4,FALSE)))*EXP(-(LN(2)/$D$65+0.1)*(VLOOKUP(($F$16-$F$15)-1,AK$100:AO210,5,FALSE)))*EXP(-(LN(2)/$D$65+0.04)*AN210)*EXP(-(LN(2)/$D$65+0.1)*AO210),IF(AL210=3,AR$100*EXP(-(LN(2)/$D$65+0.04)*(VLOOKUP(($F$16-$F$15)-1,AK$100:AO210,4,FALSE)))*EXP(-(LN(2)/$D$65+0.1)*(VLOOKUP(($F$16-$F$15)-1,AK$100:AO210,5,FALSE)))*EXP(-(LN(2)/$D$65+0.04)*(VLOOKUP(($F$16-$F$15)*2-1,AK$100:AO210,4,FALSE)))*EXP(-(LN(2)/$D$65+0.1)*(VLOOKUP(($F$16-$F$15)*2-1,AK$100:AO210,5,FALSE)))*EXP(-(LN(2)/$D$65+0.04)*AN210)*EXP(-(LN(2)/$D$65+0.1)*AO210),"-"))),"-")</f>
        <v>-</v>
      </c>
      <c r="AS210" s="274">
        <f t="shared" si="113"/>
        <v>0</v>
      </c>
      <c r="AT210" s="274">
        <f t="shared" si="114"/>
        <v>0</v>
      </c>
      <c r="AU210" s="274">
        <f t="shared" si="115"/>
        <v>0</v>
      </c>
      <c r="AV210" s="190" t="str">
        <f>IF($B210&lt;$F$22,SUM($T$100:$T210),"")</f>
        <v/>
      </c>
      <c r="AW210" s="190" t="str">
        <f t="shared" si="161"/>
        <v>-</v>
      </c>
      <c r="AX210" s="190" t="str">
        <f t="shared" si="141"/>
        <v/>
      </c>
      <c r="AY210"/>
      <c r="AZ210" s="190" t="str">
        <f ca="1">IF(ISNUMBER(OFFSET(AV210,-$F$21,0)),SUM(OFFSET($T$100,$F$21,0):$T210),"")</f>
        <v/>
      </c>
      <c r="BA210" s="190" t="str">
        <f t="shared" ca="1" si="162"/>
        <v/>
      </c>
      <c r="BB210" s="190" t="str">
        <f t="shared" ca="1" si="148"/>
        <v/>
      </c>
      <c r="BC210" s="190"/>
      <c r="BD210" s="190" t="str">
        <f ca="1">IFERROR(IF(OR(ISNUMBER(I),ISNUMBER($F$14)),IF(AND($B210&gt;=($F$16-$F$15),$B210&lt;$F$22+($F$16-$F$15)),SUM(OFFSET($T$100,($F$16-$F$15),0):$T210),""),""),"")</f>
        <v/>
      </c>
      <c r="BE210" s="190" t="str">
        <f t="shared" ca="1" si="142"/>
        <v/>
      </c>
      <c r="BF210" s="190" t="str">
        <f t="shared" ca="1" si="143"/>
        <v/>
      </c>
      <c r="BG210"/>
      <c r="BH210" s="190" t="str">
        <f ca="1">IF(ISNUMBER(OFFSET(BD210,-$F$21,0)),SUM(OFFSET($T$100,($F$16-$F$15+$F$21),0):$T210),"")</f>
        <v/>
      </c>
      <c r="BI210" s="190" t="str">
        <f t="shared" ca="1" si="163"/>
        <v/>
      </c>
      <c r="BJ210" s="190" t="str">
        <f t="shared" ca="1" si="144"/>
        <v/>
      </c>
      <c r="BK210" s="190"/>
      <c r="BL210" s="190" t="str">
        <f ca="1">IFERROR(IF(OR(ISNUMBER(I),ISNUMBER($F$14)),IF(AND($B210&gt;=($F$17-$F$15),$B210&lt;$F$22+($F$17-$F$15)),SUM(OFFSET($T$100,($F$17-$F$15),0):$T210),""),""),"")</f>
        <v/>
      </c>
      <c r="BM210" s="190" t="str">
        <f t="shared" ca="1" si="164"/>
        <v/>
      </c>
      <c r="BN210" s="190" t="str">
        <f t="shared" ca="1" si="145"/>
        <v/>
      </c>
      <c r="BO210"/>
      <c r="BP210" s="190" t="str">
        <f ca="1">IF(ISNUMBER(OFFSET(BL210,-$F$21,0)),SUM(OFFSET($T$100,($F$17-$F$15+$F$21),0):$T210),"")</f>
        <v/>
      </c>
      <c r="BQ210" s="190" t="str">
        <f t="shared" ca="1" si="165"/>
        <v/>
      </c>
      <c r="BR210" s="190" t="str">
        <f t="shared" ca="1" si="146"/>
        <v/>
      </c>
      <c r="BS210" s="190"/>
      <c r="BT210"/>
      <c r="BU210"/>
      <c r="BV210"/>
      <c r="BY210" s="99"/>
      <c r="BZ210" s="99"/>
      <c r="CA210" s="280" t="str">
        <f t="shared" si="166"/>
        <v/>
      </c>
      <c r="CB210" s="71" t="str">
        <f t="shared" si="122"/>
        <v>-</v>
      </c>
      <c r="CC210" s="33"/>
      <c r="CD210" s="261" t="str">
        <f t="shared" si="123"/>
        <v/>
      </c>
      <c r="CE210" s="280" t="str">
        <f t="shared" si="167"/>
        <v/>
      </c>
      <c r="CF210" s="71" t="str">
        <f t="shared" ca="1" si="168"/>
        <v/>
      </c>
      <c r="CG210" s="33" t="str">
        <f t="shared" si="126"/>
        <v/>
      </c>
      <c r="CH210" s="261" t="str">
        <f t="shared" ca="1" si="127"/>
        <v/>
      </c>
    </row>
    <row r="211" spans="2:86" ht="13.5" customHeight="1" x14ac:dyDescent="0.2">
      <c r="B211" s="262">
        <v>111</v>
      </c>
      <c r="C211" s="237" t="str">
        <f t="shared" si="91"/>
        <v/>
      </c>
      <c r="D211" s="237" t="str">
        <f t="shared" si="147"/>
        <v/>
      </c>
      <c r="E211" s="263" t="str">
        <f t="shared" si="128"/>
        <v/>
      </c>
      <c r="F211" s="264" t="str">
        <f t="shared" si="129"/>
        <v/>
      </c>
      <c r="G211" s="264" t="str">
        <f t="shared" si="130"/>
        <v/>
      </c>
      <c r="H211" s="240" t="str">
        <f t="shared" si="149"/>
        <v/>
      </c>
      <c r="I211" s="265" t="str">
        <f t="shared" si="150"/>
        <v/>
      </c>
      <c r="J211" s="265" t="str">
        <f t="shared" si="151"/>
        <v/>
      </c>
      <c r="K211" s="240" t="str">
        <f t="shared" si="152"/>
        <v/>
      </c>
      <c r="L211" s="265" t="str">
        <f t="shared" si="153"/>
        <v/>
      </c>
      <c r="M211" s="265" t="str">
        <f t="shared" si="154"/>
        <v/>
      </c>
      <c r="N211" s="240" t="str">
        <f t="shared" si="155"/>
        <v>-</v>
      </c>
      <c r="O211" s="265" t="str">
        <f t="shared" si="156"/>
        <v>-</v>
      </c>
      <c r="P211" s="265" t="str">
        <f t="shared" si="157"/>
        <v>-</v>
      </c>
      <c r="Q211" s="266" t="str">
        <f t="shared" si="158"/>
        <v>-</v>
      </c>
      <c r="R211" s="267" t="str">
        <f t="shared" si="159"/>
        <v>-</v>
      </c>
      <c r="S211" s="268" t="str">
        <f t="shared" si="160"/>
        <v>-</v>
      </c>
      <c r="T211" s="269" t="str">
        <f t="shared" si="104"/>
        <v/>
      </c>
      <c r="U211" s="221">
        <f t="shared" si="105"/>
        <v>111</v>
      </c>
      <c r="V211" s="220" t="str">
        <f t="shared" si="131"/>
        <v>-</v>
      </c>
      <c r="W211" s="221" t="str">
        <f t="shared" si="132"/>
        <v>-</v>
      </c>
      <c r="X211" s="221" t="str">
        <f t="shared" si="106"/>
        <v>-</v>
      </c>
      <c r="Y211" s="221" t="str">
        <f t="shared" si="107"/>
        <v>-</v>
      </c>
      <c r="Z211" s="270">
        <f t="shared" si="133"/>
        <v>0.1</v>
      </c>
      <c r="AA211" s="271" t="str">
        <f>IFERROR(IF(V210=1,AA$100*EXP(-(LN(2)/$D$65+0.04)*X210)*EXP(-(LN(2)/$D$65+0.1)*Y210),IF(V210=2,AA$100*EXP(-(LN(2)/$D$65+0.04)*(VLOOKUP(($F$16-$F$15)-1,U$99:Y210,4,FALSE)))*EXP(-(LN(2)/$D$65+0.1)*(VLOOKUP(($F$16-$F$15)-1,U$99:Y210,5,FALSE)))*EXP(-(LN(2)/$D$65+0.04)*X210)*EXP(-(LN(2)/$D$65+0.1)*Y210),IF(V210=3,AA$100*EXP(-(LN(2)/$D$65+0.04)*(VLOOKUP(($F$16-$F$15)-1,U$99:Y210,4,FALSE)))*EXP(-(LN(2)/$D$65+0.1)*(VLOOKUP(($F$16-$F$15)-1,U$99:Y210,5,FALSE)))*EXP(-(LN(2)/$D$65+0.04)*(VLOOKUP(($F$16-$F$15)*2-1,U$99:Y210,4,FALSE)))*EXP(-(LN(2)/$D$65+0.1)*(VLOOKUP(($F$16-$F$15)*2-1,U$99:Y210,5,FALSE)))*EXP(-(LN(2)/$D$65+0.04)*X210)*EXP(-(LN(2)/$D$65+0.1)*Y210),"-"))),"-")</f>
        <v>-</v>
      </c>
      <c r="AB211" s="271" t="str">
        <f>IFERROR(IF(V211=1,AB$100*EXP(-(LN(2)/$D$65+0.04)*X211)*EXP(-(LN(2)/$D$65+0.1)*Y211),IF(V211=2,AB$100*EXP(-(LN(2)/$D$65+0.04)*(VLOOKUP(($F$16-$F$15)-1,U$100:Y211,4,FALSE)))*EXP(-(LN(2)/$D$65+0.1)*(VLOOKUP(($F$16-$F$15)-1,U$100:Y211,5,FALSE)))*EXP(-(LN(2)/$D$65+0.04)*X211)*EXP(-(LN(2)/$D$65+0.1)*Y211),IF(V211=3,AB$100*EXP(-(LN(2)/$D$65+0.04)*(VLOOKUP(($F$16-$F$15)-1,U$100:Y211,4,FALSE)))*EXP(-(LN(2)/$D$65+0.1)*(VLOOKUP(($F$16-$F$15)-1,U$100:Y211,5,FALSE)))*EXP(-(LN(2)/$D$65+0.04)*(VLOOKUP(($F$16-$F$15)*2-1,U$100:Y211,4,FALSE)))*EXP(-(LN(2)/$D$65+0.1)*(VLOOKUP(($F$16-$F$15)*2-1,U$100:Y211,5,FALSE)))*EXP(-(LN(2)/$D$65+0.04)*X211)*EXP(-(LN(2)/$D$65+0.1)*Y211),"-"))),"-")</f>
        <v>-</v>
      </c>
      <c r="AC211" s="224">
        <f t="shared" si="134"/>
        <v>111</v>
      </c>
      <c r="AD211" s="223" t="str">
        <f t="shared" si="108"/>
        <v>-</v>
      </c>
      <c r="AE211" s="224" t="str">
        <f t="shared" si="135"/>
        <v>-</v>
      </c>
      <c r="AF211" s="224" t="str">
        <f t="shared" si="109"/>
        <v>-</v>
      </c>
      <c r="AG211" s="224" t="str">
        <f t="shared" si="110"/>
        <v>-</v>
      </c>
      <c r="AH211" s="272">
        <f t="shared" si="136"/>
        <v>0.1</v>
      </c>
      <c r="AI211" s="271" t="str">
        <f>IFERROR(IF(AD210=1,AI$100*EXP(-(LN(2)/$D$65+0.04)*AF210)*EXP(-(LN(2)/$D$65+0.1)*AG210),IF(AD210=2,AI$100*EXP(-(LN(2)/$D$65+0.04)*(VLOOKUP(($F$16-$F$15)-1,AC$99:AG210,4,FALSE)))*EXP(-(LN(2)/$D$65+0.1)*(VLOOKUP(($F$16-$F$15)-1,AC$99:AG210,5,FALSE)))*EXP(-(LN(2)/$D$65+0.04)*AF210)*EXP(-(LN(2)/$D$65+0.1)*AG210),IF(AD210=3,AI$100*EXP(-(LN(2)/$D$65+0.04)*(VLOOKUP(($F$16-$F$15)-1,AC$99:AG210,4,FALSE)))*EXP(-(LN(2)/$D$65+0.1)*(VLOOKUP(($F$16-$F$15)-1,AC$99:AG210,5,FALSE)))*EXP(-(LN(2)/$D$65+0.04)*(VLOOKUP(($F$16-$F$15)*2-1,AC$99:AG210,4,FALSE)))*EXP(-(LN(2)/$D$65+0.1)*(VLOOKUP(($F$16-$F$15)*2-1,AC$99:AG210,5,FALSE)))*EXP(-(LN(2)/$D$65+0.04)*AF210)*EXP(-(LN(2)/$D$65+0.1)*AG210),"-"))),"-")</f>
        <v>-</v>
      </c>
      <c r="AJ211" s="271" t="str">
        <f>IFERROR(IF(AD211=1,AJ$100*EXP(-(LN(2)/$D$65+0.04)*AF211)*EXP(-(LN(2)/$D$65+0.1)*AG211),IF(AD211=2,AJ$100*EXP(-(LN(2)/$D$65+0.04)*(VLOOKUP(($F$16-$F$15)-1,AC$100:AG211,4,FALSE)))*EXP(-(LN(2)/$D$65+0.1)*(VLOOKUP(($F$16-$F$15)-1,AC$100:AG211,5,FALSE)))*EXP(-(LN(2)/$D$65+0.04)*AF211)*EXP(-(LN(2)/$D$65+0.1)*AG211),IF(AD211=3,AJ$100*EXP(-(LN(2)/$D$65+0.04)*(VLOOKUP(($F$16-$F$15)-1,AC$100:AG211,4,FALSE)))*EXP(-(LN(2)/$D$65+0.1)*(VLOOKUP(($F$16-$F$15)-1,AC$100:AG211,5,FALSE)))*EXP(-(LN(2)/$D$65+0.04)*(VLOOKUP(($F$16-$F$15)*2-1,AC$100:AG211,4,FALSE)))*EXP(-(LN(2)/$D$65+0.1)*(VLOOKUP(($F$16-$F$15)*2-1,AC$100:AG211,5,FALSE)))*EXP(-(LN(2)/$D$65+0.04)*AF211)*EXP(-(LN(2)/$D$65+0.1)*AG211),"-"))),"-")</f>
        <v>-</v>
      </c>
      <c r="AK211" s="227">
        <f t="shared" si="137"/>
        <v>111</v>
      </c>
      <c r="AL211" s="226" t="str">
        <f t="shared" si="111"/>
        <v>-</v>
      </c>
      <c r="AM211" s="227" t="str">
        <f t="shared" si="138"/>
        <v>-</v>
      </c>
      <c r="AN211" s="227" t="str">
        <f t="shared" si="139"/>
        <v>-</v>
      </c>
      <c r="AO211" s="227" t="str">
        <f t="shared" si="112"/>
        <v>-</v>
      </c>
      <c r="AP211" s="273">
        <f t="shared" si="140"/>
        <v>0.1</v>
      </c>
      <c r="AQ211" s="271" t="str">
        <f>IFERROR(IF(AL210=1,AQ$100*EXP(-(LN(2)/$D$65+0.04)*AN210)*EXP(-(LN(2)/$D$65+0.1)*AO210),IF(AL210=2,AQ$100*EXP(-(LN(2)/$D$65+0.04)*(VLOOKUP(($F$16-$F$15)-1,AK$99:AO210,4,FALSE)))*EXP(-(LN(2)/$D$65+0.1)*(VLOOKUP(($F$16-$F$15)-1,AK$99:AO210,5,FALSE)))*EXP(-(LN(2)/$D$65+0.04)*AN210)*EXP(-(LN(2)/$D$65+0.1)*AO210),IF(AL210=3,AQ$100*EXP(-(LN(2)/$D$65+0.04)*(VLOOKUP(($F$16-$F$15)-1,AK$99:AO210,4,FALSE)))*EXP(-(LN(2)/$D$65+0.1)*(VLOOKUP(($F$16-$F$15)-1,AK$99:AO210,5,FALSE)))*EXP(-(LN(2)/$D$65+0.04)*(VLOOKUP(($F$16-$F$15)*2-1,AK$99:AO210,4,FALSE)))*EXP(-(LN(2)/$D$65+0.1)*(VLOOKUP(($F$16-$F$15)*2-1,AK$99:AO210,5,FALSE)))*EXP(-(LN(2)/$D$65+0.04)*AN210)*EXP(-(LN(2)/$D$65+0.1)*AO210),"-"))),"-")</f>
        <v>-</v>
      </c>
      <c r="AR211" s="271" t="str">
        <f>IFERROR(IF(AL211=1,AR$100*EXP(-(LN(2)/$D$65+0.04)*AN211)*EXP(-(LN(2)/$D$65+0.1)*AO211),IF(AL211=2,AR$100*EXP(-(LN(2)/$D$65+0.04)*(VLOOKUP(($F$16-$F$15)-1,AK$100:AO211,4,FALSE)))*EXP(-(LN(2)/$D$65+0.1)*(VLOOKUP(($F$16-$F$15)-1,AK$100:AO211,5,FALSE)))*EXP(-(LN(2)/$D$65+0.04)*AN211)*EXP(-(LN(2)/$D$65+0.1)*AO211),IF(AL211=3,AR$100*EXP(-(LN(2)/$D$65+0.04)*(VLOOKUP(($F$16-$F$15)-1,AK$100:AO211,4,FALSE)))*EXP(-(LN(2)/$D$65+0.1)*(VLOOKUP(($F$16-$F$15)-1,AK$100:AO211,5,FALSE)))*EXP(-(LN(2)/$D$65+0.04)*(VLOOKUP(($F$16-$F$15)*2-1,AK$100:AO211,4,FALSE)))*EXP(-(LN(2)/$D$65+0.1)*(VLOOKUP(($F$16-$F$15)*2-1,AK$100:AO211,5,FALSE)))*EXP(-(LN(2)/$D$65+0.04)*AN211)*EXP(-(LN(2)/$D$65+0.1)*AO211),"-"))),"-")</f>
        <v>-</v>
      </c>
      <c r="AS211" s="274">
        <f t="shared" si="113"/>
        <v>0</v>
      </c>
      <c r="AT211" s="274">
        <f t="shared" si="114"/>
        <v>0</v>
      </c>
      <c r="AU211" s="274">
        <f t="shared" si="115"/>
        <v>0</v>
      </c>
      <c r="AV211" s="190" t="str">
        <f>IF($B211&lt;$F$22,SUM($T$100:$T211),"")</f>
        <v/>
      </c>
      <c r="AW211" s="190" t="str">
        <f t="shared" si="161"/>
        <v>-</v>
      </c>
      <c r="AX211" s="190" t="str">
        <f t="shared" si="141"/>
        <v/>
      </c>
      <c r="AY211"/>
      <c r="AZ211" s="190" t="str">
        <f ca="1">IF(ISNUMBER(OFFSET(AV211,-$F$21,0)),SUM(OFFSET($T$100,$F$21,0):$T211),"")</f>
        <v/>
      </c>
      <c r="BA211" s="190" t="str">
        <f t="shared" ca="1" si="162"/>
        <v/>
      </c>
      <c r="BB211" s="190" t="str">
        <f t="shared" ca="1" si="148"/>
        <v/>
      </c>
      <c r="BC211" s="190"/>
      <c r="BD211" s="190" t="str">
        <f ca="1">IFERROR(IF(OR(ISNUMBER(I),ISNUMBER($F$14)),IF(AND($B211&gt;=($F$16-$F$15),$B211&lt;$F$22+($F$16-$F$15)),SUM(OFFSET($T$100,($F$16-$F$15),0):$T211),""),""),"")</f>
        <v/>
      </c>
      <c r="BE211" s="190" t="str">
        <f t="shared" ca="1" si="142"/>
        <v/>
      </c>
      <c r="BF211" s="190" t="str">
        <f t="shared" ca="1" si="143"/>
        <v/>
      </c>
      <c r="BG211"/>
      <c r="BH211" s="190" t="str">
        <f ca="1">IF(ISNUMBER(OFFSET(BD211,-$F$21,0)),SUM(OFFSET($T$100,($F$16-$F$15+$F$21),0):$T211),"")</f>
        <v/>
      </c>
      <c r="BI211" s="190" t="str">
        <f t="shared" ca="1" si="163"/>
        <v/>
      </c>
      <c r="BJ211" s="190" t="str">
        <f t="shared" ca="1" si="144"/>
        <v/>
      </c>
      <c r="BK211" s="190"/>
      <c r="BL211" s="190" t="str">
        <f ca="1">IFERROR(IF(OR(ISNUMBER(I),ISNUMBER($F$14)),IF(AND($B211&gt;=($F$17-$F$15),$B211&lt;$F$22+($F$17-$F$15)),SUM(OFFSET($T$100,($F$17-$F$15),0):$T211),""),""),"")</f>
        <v/>
      </c>
      <c r="BM211" s="190" t="str">
        <f t="shared" ca="1" si="164"/>
        <v/>
      </c>
      <c r="BN211" s="190" t="str">
        <f t="shared" ca="1" si="145"/>
        <v/>
      </c>
      <c r="BO211"/>
      <c r="BP211" s="190" t="str">
        <f ca="1">IF(ISNUMBER(OFFSET(BL211,-$F$21,0)),SUM(OFFSET($T$100,($F$17-$F$15+$F$21),0):$T211),"")</f>
        <v/>
      </c>
      <c r="BQ211" s="190" t="str">
        <f t="shared" ca="1" si="165"/>
        <v/>
      </c>
      <c r="BR211" s="190" t="str">
        <f t="shared" ca="1" si="146"/>
        <v/>
      </c>
      <c r="BS211" s="190"/>
      <c r="BT211"/>
      <c r="BU211"/>
      <c r="BV211"/>
      <c r="BY211" s="99"/>
      <c r="BZ211" s="99"/>
      <c r="CA211" s="280" t="str">
        <f t="shared" si="166"/>
        <v/>
      </c>
      <c r="CB211" s="71" t="str">
        <f t="shared" si="122"/>
        <v>-</v>
      </c>
      <c r="CC211" s="33"/>
      <c r="CD211" s="261" t="str">
        <f t="shared" si="123"/>
        <v/>
      </c>
      <c r="CE211" s="280" t="str">
        <f t="shared" si="167"/>
        <v/>
      </c>
      <c r="CF211" s="71" t="str">
        <f t="shared" ca="1" si="168"/>
        <v/>
      </c>
      <c r="CG211" s="33" t="str">
        <f t="shared" si="126"/>
        <v/>
      </c>
      <c r="CH211" s="261" t="str">
        <f t="shared" ca="1" si="127"/>
        <v/>
      </c>
    </row>
    <row r="212" spans="2:86" ht="13.5" customHeight="1" x14ac:dyDescent="0.2">
      <c r="B212" s="262">
        <v>112</v>
      </c>
      <c r="C212" s="237" t="str">
        <f t="shared" si="91"/>
        <v/>
      </c>
      <c r="D212" s="237" t="str">
        <f t="shared" si="147"/>
        <v/>
      </c>
      <c r="E212" s="263" t="str">
        <f t="shared" si="128"/>
        <v/>
      </c>
      <c r="F212" s="264" t="str">
        <f t="shared" si="129"/>
        <v/>
      </c>
      <c r="G212" s="264" t="str">
        <f t="shared" si="130"/>
        <v/>
      </c>
      <c r="H212" s="240" t="str">
        <f t="shared" si="149"/>
        <v/>
      </c>
      <c r="I212" s="265" t="str">
        <f t="shared" si="150"/>
        <v/>
      </c>
      <c r="J212" s="265" t="str">
        <f t="shared" si="151"/>
        <v/>
      </c>
      <c r="K212" s="240" t="str">
        <f t="shared" si="152"/>
        <v/>
      </c>
      <c r="L212" s="265" t="str">
        <f t="shared" si="153"/>
        <v/>
      </c>
      <c r="M212" s="265" t="str">
        <f t="shared" si="154"/>
        <v/>
      </c>
      <c r="N212" s="240" t="str">
        <f t="shared" si="155"/>
        <v>-</v>
      </c>
      <c r="O212" s="265" t="str">
        <f t="shared" si="156"/>
        <v>-</v>
      </c>
      <c r="P212" s="265" t="str">
        <f t="shared" si="157"/>
        <v>-</v>
      </c>
      <c r="Q212" s="266" t="str">
        <f t="shared" si="158"/>
        <v>-</v>
      </c>
      <c r="R212" s="267" t="str">
        <f t="shared" si="159"/>
        <v>-</v>
      </c>
      <c r="S212" s="268" t="str">
        <f t="shared" si="160"/>
        <v>-</v>
      </c>
      <c r="T212" s="269" t="str">
        <f t="shared" si="104"/>
        <v/>
      </c>
      <c r="U212" s="221">
        <f t="shared" si="105"/>
        <v>112</v>
      </c>
      <c r="V212" s="220" t="str">
        <f t="shared" si="131"/>
        <v>-</v>
      </c>
      <c r="W212" s="221" t="str">
        <f t="shared" si="132"/>
        <v>-</v>
      </c>
      <c r="X212" s="221" t="str">
        <f t="shared" si="106"/>
        <v>-</v>
      </c>
      <c r="Y212" s="221" t="str">
        <f t="shared" si="107"/>
        <v>-</v>
      </c>
      <c r="Z212" s="270">
        <f t="shared" si="133"/>
        <v>0.1</v>
      </c>
      <c r="AA212" s="271" t="str">
        <f>IFERROR(IF(V211=1,AA$100*EXP(-(LN(2)/$D$65+0.04)*X211)*EXP(-(LN(2)/$D$65+0.1)*Y211),IF(V211=2,AA$100*EXP(-(LN(2)/$D$65+0.04)*(VLOOKUP(($F$16-$F$15)-1,U$99:Y211,4,FALSE)))*EXP(-(LN(2)/$D$65+0.1)*(VLOOKUP(($F$16-$F$15)-1,U$99:Y211,5,FALSE)))*EXP(-(LN(2)/$D$65+0.04)*X211)*EXP(-(LN(2)/$D$65+0.1)*Y211),IF(V211=3,AA$100*EXP(-(LN(2)/$D$65+0.04)*(VLOOKUP(($F$16-$F$15)-1,U$99:Y211,4,FALSE)))*EXP(-(LN(2)/$D$65+0.1)*(VLOOKUP(($F$16-$F$15)-1,U$99:Y211,5,FALSE)))*EXP(-(LN(2)/$D$65+0.04)*(VLOOKUP(($F$16-$F$15)*2-1,U$99:Y211,4,FALSE)))*EXP(-(LN(2)/$D$65+0.1)*(VLOOKUP(($F$16-$F$15)*2-1,U$99:Y211,5,FALSE)))*EXP(-(LN(2)/$D$65+0.04)*X211)*EXP(-(LN(2)/$D$65+0.1)*Y211),"-"))),"-")</f>
        <v>-</v>
      </c>
      <c r="AB212" s="271" t="str">
        <f>IFERROR(IF(V212=1,AB$100*EXP(-(LN(2)/$D$65+0.04)*X212)*EXP(-(LN(2)/$D$65+0.1)*Y212),IF(V212=2,AB$100*EXP(-(LN(2)/$D$65+0.04)*(VLOOKUP(($F$16-$F$15)-1,U$100:Y212,4,FALSE)))*EXP(-(LN(2)/$D$65+0.1)*(VLOOKUP(($F$16-$F$15)-1,U$100:Y212,5,FALSE)))*EXP(-(LN(2)/$D$65+0.04)*X212)*EXP(-(LN(2)/$D$65+0.1)*Y212),IF(V212=3,AB$100*EXP(-(LN(2)/$D$65+0.04)*(VLOOKUP(($F$16-$F$15)-1,U$100:Y212,4,FALSE)))*EXP(-(LN(2)/$D$65+0.1)*(VLOOKUP(($F$16-$F$15)-1,U$100:Y212,5,FALSE)))*EXP(-(LN(2)/$D$65+0.04)*(VLOOKUP(($F$16-$F$15)*2-1,U$100:Y212,4,FALSE)))*EXP(-(LN(2)/$D$65+0.1)*(VLOOKUP(($F$16-$F$15)*2-1,U$100:Y212,5,FALSE)))*EXP(-(LN(2)/$D$65+0.04)*X212)*EXP(-(LN(2)/$D$65+0.1)*Y212),"-"))),"-")</f>
        <v>-</v>
      </c>
      <c r="AC212" s="224">
        <f t="shared" si="134"/>
        <v>112</v>
      </c>
      <c r="AD212" s="223" t="str">
        <f t="shared" si="108"/>
        <v>-</v>
      </c>
      <c r="AE212" s="224" t="str">
        <f t="shared" si="135"/>
        <v>-</v>
      </c>
      <c r="AF212" s="224" t="str">
        <f t="shared" si="109"/>
        <v>-</v>
      </c>
      <c r="AG212" s="224" t="str">
        <f t="shared" si="110"/>
        <v>-</v>
      </c>
      <c r="AH212" s="272">
        <f t="shared" si="136"/>
        <v>0.1</v>
      </c>
      <c r="AI212" s="271" t="str">
        <f>IFERROR(IF(AD211=1,AI$100*EXP(-(LN(2)/$D$65+0.04)*AF211)*EXP(-(LN(2)/$D$65+0.1)*AG211),IF(AD211=2,AI$100*EXP(-(LN(2)/$D$65+0.04)*(VLOOKUP(($F$16-$F$15)-1,AC$99:AG211,4,FALSE)))*EXP(-(LN(2)/$D$65+0.1)*(VLOOKUP(($F$16-$F$15)-1,AC$99:AG211,5,FALSE)))*EXP(-(LN(2)/$D$65+0.04)*AF211)*EXP(-(LN(2)/$D$65+0.1)*AG211),IF(AD211=3,AI$100*EXP(-(LN(2)/$D$65+0.04)*(VLOOKUP(($F$16-$F$15)-1,AC$99:AG211,4,FALSE)))*EXP(-(LN(2)/$D$65+0.1)*(VLOOKUP(($F$16-$F$15)-1,AC$99:AG211,5,FALSE)))*EXP(-(LN(2)/$D$65+0.04)*(VLOOKUP(($F$16-$F$15)*2-1,AC$99:AG211,4,FALSE)))*EXP(-(LN(2)/$D$65+0.1)*(VLOOKUP(($F$16-$F$15)*2-1,AC$99:AG211,5,FALSE)))*EXP(-(LN(2)/$D$65+0.04)*AF211)*EXP(-(LN(2)/$D$65+0.1)*AG211),"-"))),"-")</f>
        <v>-</v>
      </c>
      <c r="AJ212" s="271" t="str">
        <f>IFERROR(IF(AD212=1,AJ$100*EXP(-(LN(2)/$D$65+0.04)*AF212)*EXP(-(LN(2)/$D$65+0.1)*AG212),IF(AD212=2,AJ$100*EXP(-(LN(2)/$D$65+0.04)*(VLOOKUP(($F$16-$F$15)-1,AC$100:AG212,4,FALSE)))*EXP(-(LN(2)/$D$65+0.1)*(VLOOKUP(($F$16-$F$15)-1,AC$100:AG212,5,FALSE)))*EXP(-(LN(2)/$D$65+0.04)*AF212)*EXP(-(LN(2)/$D$65+0.1)*AG212),IF(AD212=3,AJ$100*EXP(-(LN(2)/$D$65+0.04)*(VLOOKUP(($F$16-$F$15)-1,AC$100:AG212,4,FALSE)))*EXP(-(LN(2)/$D$65+0.1)*(VLOOKUP(($F$16-$F$15)-1,AC$100:AG212,5,FALSE)))*EXP(-(LN(2)/$D$65+0.04)*(VLOOKUP(($F$16-$F$15)*2-1,AC$100:AG212,4,FALSE)))*EXP(-(LN(2)/$D$65+0.1)*(VLOOKUP(($F$16-$F$15)*2-1,AC$100:AG212,5,FALSE)))*EXP(-(LN(2)/$D$65+0.04)*AF212)*EXP(-(LN(2)/$D$65+0.1)*AG212),"-"))),"-")</f>
        <v>-</v>
      </c>
      <c r="AK212" s="227">
        <f t="shared" si="137"/>
        <v>112</v>
      </c>
      <c r="AL212" s="226" t="str">
        <f t="shared" si="111"/>
        <v>-</v>
      </c>
      <c r="AM212" s="227" t="str">
        <f t="shared" si="138"/>
        <v>-</v>
      </c>
      <c r="AN212" s="227" t="str">
        <f t="shared" si="139"/>
        <v>-</v>
      </c>
      <c r="AO212" s="227" t="str">
        <f t="shared" si="112"/>
        <v>-</v>
      </c>
      <c r="AP212" s="273">
        <f t="shared" si="140"/>
        <v>0.1</v>
      </c>
      <c r="AQ212" s="271" t="str">
        <f>IFERROR(IF(AL211=1,AQ$100*EXP(-(LN(2)/$D$65+0.04)*AN211)*EXP(-(LN(2)/$D$65+0.1)*AO211),IF(AL211=2,AQ$100*EXP(-(LN(2)/$D$65+0.04)*(VLOOKUP(($F$16-$F$15)-1,AK$99:AO211,4,FALSE)))*EXP(-(LN(2)/$D$65+0.1)*(VLOOKUP(($F$16-$F$15)-1,AK$99:AO211,5,FALSE)))*EXP(-(LN(2)/$D$65+0.04)*AN211)*EXP(-(LN(2)/$D$65+0.1)*AO211),IF(AL211=3,AQ$100*EXP(-(LN(2)/$D$65+0.04)*(VLOOKUP(($F$16-$F$15)-1,AK$99:AO211,4,FALSE)))*EXP(-(LN(2)/$D$65+0.1)*(VLOOKUP(($F$16-$F$15)-1,AK$99:AO211,5,FALSE)))*EXP(-(LN(2)/$D$65+0.04)*(VLOOKUP(($F$16-$F$15)*2-1,AK$99:AO211,4,FALSE)))*EXP(-(LN(2)/$D$65+0.1)*(VLOOKUP(($F$16-$F$15)*2-1,AK$99:AO211,5,FALSE)))*EXP(-(LN(2)/$D$65+0.04)*AN211)*EXP(-(LN(2)/$D$65+0.1)*AO211),"-"))),"-")</f>
        <v>-</v>
      </c>
      <c r="AR212" s="271" t="str">
        <f>IFERROR(IF(AL212=1,AR$100*EXP(-(LN(2)/$D$65+0.04)*AN212)*EXP(-(LN(2)/$D$65+0.1)*AO212),IF(AL212=2,AR$100*EXP(-(LN(2)/$D$65+0.04)*(VLOOKUP(($F$16-$F$15)-1,AK$100:AO212,4,FALSE)))*EXP(-(LN(2)/$D$65+0.1)*(VLOOKUP(($F$16-$F$15)-1,AK$100:AO212,5,FALSE)))*EXP(-(LN(2)/$D$65+0.04)*AN212)*EXP(-(LN(2)/$D$65+0.1)*AO212),IF(AL212=3,AR$100*EXP(-(LN(2)/$D$65+0.04)*(VLOOKUP(($F$16-$F$15)-1,AK$100:AO212,4,FALSE)))*EXP(-(LN(2)/$D$65+0.1)*(VLOOKUP(($F$16-$F$15)-1,AK$100:AO212,5,FALSE)))*EXP(-(LN(2)/$D$65+0.04)*(VLOOKUP(($F$16-$F$15)*2-1,AK$100:AO212,4,FALSE)))*EXP(-(LN(2)/$D$65+0.1)*(VLOOKUP(($F$16-$F$15)*2-1,AK$100:AO212,5,FALSE)))*EXP(-(LN(2)/$D$65+0.04)*AN212)*EXP(-(LN(2)/$D$65+0.1)*AO212),"-"))),"-")</f>
        <v>-</v>
      </c>
      <c r="AS212" s="274">
        <f t="shared" si="113"/>
        <v>0</v>
      </c>
      <c r="AT212" s="274">
        <f t="shared" si="114"/>
        <v>0</v>
      </c>
      <c r="AU212" s="274">
        <f t="shared" si="115"/>
        <v>0</v>
      </c>
      <c r="AV212" s="190" t="str">
        <f>IF($B212&lt;$F$22,SUM($T$100:$T212),"")</f>
        <v/>
      </c>
      <c r="AW212" s="190" t="str">
        <f t="shared" si="161"/>
        <v>-</v>
      </c>
      <c r="AX212" s="190" t="str">
        <f t="shared" si="141"/>
        <v/>
      </c>
      <c r="AY212"/>
      <c r="AZ212" s="190" t="str">
        <f ca="1">IF(ISNUMBER(OFFSET(AV212,-$F$21,0)),SUM(OFFSET($T$100,$F$21,0):$T212),"")</f>
        <v/>
      </c>
      <c r="BA212" s="190" t="str">
        <f t="shared" ca="1" si="162"/>
        <v/>
      </c>
      <c r="BB212" s="190" t="str">
        <f t="shared" ca="1" si="148"/>
        <v/>
      </c>
      <c r="BC212" s="190"/>
      <c r="BD212" s="190" t="str">
        <f ca="1">IFERROR(IF(OR(ISNUMBER(I),ISNUMBER($F$14)),IF(AND($B212&gt;=($F$16-$F$15),$B212&lt;$F$22+($F$16-$F$15)),SUM(OFFSET($T$100,($F$16-$F$15),0):$T212),""),""),"")</f>
        <v/>
      </c>
      <c r="BE212" s="190" t="str">
        <f t="shared" ca="1" si="142"/>
        <v/>
      </c>
      <c r="BF212" s="190" t="str">
        <f t="shared" ca="1" si="143"/>
        <v/>
      </c>
      <c r="BG212"/>
      <c r="BH212" s="190" t="str">
        <f ca="1">IF(ISNUMBER(OFFSET(BD212,-$F$21,0)),SUM(OFFSET($T$100,($F$16-$F$15+$F$21),0):$T212),"")</f>
        <v/>
      </c>
      <c r="BI212" s="190" t="str">
        <f t="shared" ca="1" si="163"/>
        <v/>
      </c>
      <c r="BJ212" s="190" t="str">
        <f t="shared" ca="1" si="144"/>
        <v/>
      </c>
      <c r="BK212" s="190"/>
      <c r="BL212" s="190" t="str">
        <f ca="1">IFERROR(IF(OR(ISNUMBER(I),ISNUMBER($F$14)),IF(AND($B212&gt;=($F$17-$F$15),$B212&lt;$F$22+($F$17-$F$15)),SUM(OFFSET($T$100,($F$17-$F$15),0):$T212),""),""),"")</f>
        <v/>
      </c>
      <c r="BM212" s="190" t="str">
        <f t="shared" ca="1" si="164"/>
        <v/>
      </c>
      <c r="BN212" s="190" t="str">
        <f t="shared" ca="1" si="145"/>
        <v/>
      </c>
      <c r="BO212"/>
      <c r="BP212" s="190" t="str">
        <f ca="1">IF(ISNUMBER(OFFSET(BL212,-$F$21,0)),SUM(OFFSET($T$100,($F$17-$F$15+$F$21),0):$T212),"")</f>
        <v/>
      </c>
      <c r="BQ212" s="190" t="str">
        <f t="shared" ca="1" si="165"/>
        <v/>
      </c>
      <c r="BR212" s="190" t="str">
        <f t="shared" ca="1" si="146"/>
        <v/>
      </c>
      <c r="BS212" s="190"/>
      <c r="BT212"/>
      <c r="BU212"/>
      <c r="BV212"/>
      <c r="BY212" s="99"/>
      <c r="BZ212" s="99"/>
      <c r="CA212" s="280" t="str">
        <f t="shared" si="166"/>
        <v/>
      </c>
      <c r="CB212" s="71" t="str">
        <f t="shared" si="122"/>
        <v>-</v>
      </c>
      <c r="CC212" s="33"/>
      <c r="CD212" s="261" t="str">
        <f t="shared" si="123"/>
        <v/>
      </c>
      <c r="CE212" s="280" t="str">
        <f t="shared" si="167"/>
        <v/>
      </c>
      <c r="CF212" s="71" t="str">
        <f t="shared" ca="1" si="168"/>
        <v/>
      </c>
      <c r="CG212" s="33" t="str">
        <f t="shared" si="126"/>
        <v/>
      </c>
      <c r="CH212" s="261" t="str">
        <f t="shared" ca="1" si="127"/>
        <v/>
      </c>
    </row>
    <row r="213" spans="2:86" ht="13.5" customHeight="1" x14ac:dyDescent="0.2">
      <c r="B213" s="262">
        <v>113</v>
      </c>
      <c r="C213" s="237" t="str">
        <f t="shared" si="91"/>
        <v/>
      </c>
      <c r="D213" s="237" t="str">
        <f t="shared" si="147"/>
        <v/>
      </c>
      <c r="E213" s="263" t="str">
        <f t="shared" si="128"/>
        <v/>
      </c>
      <c r="F213" s="264" t="str">
        <f t="shared" si="129"/>
        <v/>
      </c>
      <c r="G213" s="264" t="str">
        <f t="shared" si="130"/>
        <v/>
      </c>
      <c r="H213" s="240" t="str">
        <f t="shared" si="149"/>
        <v/>
      </c>
      <c r="I213" s="265" t="str">
        <f t="shared" si="150"/>
        <v/>
      </c>
      <c r="J213" s="265" t="str">
        <f t="shared" si="151"/>
        <v/>
      </c>
      <c r="K213" s="240" t="str">
        <f t="shared" si="152"/>
        <v/>
      </c>
      <c r="L213" s="265" t="str">
        <f t="shared" si="153"/>
        <v/>
      </c>
      <c r="M213" s="265" t="str">
        <f t="shared" si="154"/>
        <v/>
      </c>
      <c r="N213" s="240" t="str">
        <f t="shared" si="155"/>
        <v>-</v>
      </c>
      <c r="O213" s="265" t="str">
        <f t="shared" si="156"/>
        <v>-</v>
      </c>
      <c r="P213" s="265" t="str">
        <f t="shared" si="157"/>
        <v>-</v>
      </c>
      <c r="Q213" s="266" t="str">
        <f t="shared" si="158"/>
        <v>-</v>
      </c>
      <c r="R213" s="267" t="str">
        <f t="shared" si="159"/>
        <v>-</v>
      </c>
      <c r="S213" s="268" t="str">
        <f t="shared" si="160"/>
        <v>-</v>
      </c>
      <c r="T213" s="269" t="str">
        <f t="shared" si="104"/>
        <v/>
      </c>
      <c r="U213" s="221">
        <f t="shared" si="105"/>
        <v>113</v>
      </c>
      <c r="V213" s="220" t="str">
        <f t="shared" si="131"/>
        <v>-</v>
      </c>
      <c r="W213" s="221" t="str">
        <f t="shared" si="132"/>
        <v>-</v>
      </c>
      <c r="X213" s="221" t="str">
        <f t="shared" si="106"/>
        <v>-</v>
      </c>
      <c r="Y213" s="221" t="str">
        <f t="shared" si="107"/>
        <v>-</v>
      </c>
      <c r="Z213" s="270">
        <f t="shared" si="133"/>
        <v>0.1</v>
      </c>
      <c r="AA213" s="271" t="str">
        <f>IFERROR(IF(V212=1,AA$100*EXP(-(LN(2)/$D$65+0.04)*X212)*EXP(-(LN(2)/$D$65+0.1)*Y212),IF(V212=2,AA$100*EXP(-(LN(2)/$D$65+0.04)*(VLOOKUP(($F$16-$F$15)-1,U$99:Y212,4,FALSE)))*EXP(-(LN(2)/$D$65+0.1)*(VLOOKUP(($F$16-$F$15)-1,U$99:Y212,5,FALSE)))*EXP(-(LN(2)/$D$65+0.04)*X212)*EXP(-(LN(2)/$D$65+0.1)*Y212),IF(V212=3,AA$100*EXP(-(LN(2)/$D$65+0.04)*(VLOOKUP(($F$16-$F$15)-1,U$99:Y212,4,FALSE)))*EXP(-(LN(2)/$D$65+0.1)*(VLOOKUP(($F$16-$F$15)-1,U$99:Y212,5,FALSE)))*EXP(-(LN(2)/$D$65+0.04)*(VLOOKUP(($F$16-$F$15)*2-1,U$99:Y212,4,FALSE)))*EXP(-(LN(2)/$D$65+0.1)*(VLOOKUP(($F$16-$F$15)*2-1,U$99:Y212,5,FALSE)))*EXP(-(LN(2)/$D$65+0.04)*X212)*EXP(-(LN(2)/$D$65+0.1)*Y212),"-"))),"-")</f>
        <v>-</v>
      </c>
      <c r="AB213" s="271" t="str">
        <f>IFERROR(IF(V213=1,AB$100*EXP(-(LN(2)/$D$65+0.04)*X213)*EXP(-(LN(2)/$D$65+0.1)*Y213),IF(V213=2,AB$100*EXP(-(LN(2)/$D$65+0.04)*(VLOOKUP(($F$16-$F$15)-1,U$100:Y213,4,FALSE)))*EXP(-(LN(2)/$D$65+0.1)*(VLOOKUP(($F$16-$F$15)-1,U$100:Y213,5,FALSE)))*EXP(-(LN(2)/$D$65+0.04)*X213)*EXP(-(LN(2)/$D$65+0.1)*Y213),IF(V213=3,AB$100*EXP(-(LN(2)/$D$65+0.04)*(VLOOKUP(($F$16-$F$15)-1,U$100:Y213,4,FALSE)))*EXP(-(LN(2)/$D$65+0.1)*(VLOOKUP(($F$16-$F$15)-1,U$100:Y213,5,FALSE)))*EXP(-(LN(2)/$D$65+0.04)*(VLOOKUP(($F$16-$F$15)*2-1,U$100:Y213,4,FALSE)))*EXP(-(LN(2)/$D$65+0.1)*(VLOOKUP(($F$16-$F$15)*2-1,U$100:Y213,5,FALSE)))*EXP(-(LN(2)/$D$65+0.04)*X213)*EXP(-(LN(2)/$D$65+0.1)*Y213),"-"))),"-")</f>
        <v>-</v>
      </c>
      <c r="AC213" s="224">
        <f t="shared" si="134"/>
        <v>113</v>
      </c>
      <c r="AD213" s="223" t="str">
        <f t="shared" si="108"/>
        <v>-</v>
      </c>
      <c r="AE213" s="224" t="str">
        <f t="shared" si="135"/>
        <v>-</v>
      </c>
      <c r="AF213" s="224" t="str">
        <f t="shared" si="109"/>
        <v>-</v>
      </c>
      <c r="AG213" s="224" t="str">
        <f t="shared" si="110"/>
        <v>-</v>
      </c>
      <c r="AH213" s="272">
        <f t="shared" si="136"/>
        <v>0.1</v>
      </c>
      <c r="AI213" s="271" t="str">
        <f>IFERROR(IF(AD212=1,AI$100*EXP(-(LN(2)/$D$65+0.04)*AF212)*EXP(-(LN(2)/$D$65+0.1)*AG212),IF(AD212=2,AI$100*EXP(-(LN(2)/$D$65+0.04)*(VLOOKUP(($F$16-$F$15)-1,AC$99:AG212,4,FALSE)))*EXP(-(LN(2)/$D$65+0.1)*(VLOOKUP(($F$16-$F$15)-1,AC$99:AG212,5,FALSE)))*EXP(-(LN(2)/$D$65+0.04)*AF212)*EXP(-(LN(2)/$D$65+0.1)*AG212),IF(AD212=3,AI$100*EXP(-(LN(2)/$D$65+0.04)*(VLOOKUP(($F$16-$F$15)-1,AC$99:AG212,4,FALSE)))*EXP(-(LN(2)/$D$65+0.1)*(VLOOKUP(($F$16-$F$15)-1,AC$99:AG212,5,FALSE)))*EXP(-(LN(2)/$D$65+0.04)*(VLOOKUP(($F$16-$F$15)*2-1,AC$99:AG212,4,FALSE)))*EXP(-(LN(2)/$D$65+0.1)*(VLOOKUP(($F$16-$F$15)*2-1,AC$99:AG212,5,FALSE)))*EXP(-(LN(2)/$D$65+0.04)*AF212)*EXP(-(LN(2)/$D$65+0.1)*AG212),"-"))),"-")</f>
        <v>-</v>
      </c>
      <c r="AJ213" s="271" t="str">
        <f>IFERROR(IF(AD213=1,AJ$100*EXP(-(LN(2)/$D$65+0.04)*AF213)*EXP(-(LN(2)/$D$65+0.1)*AG213),IF(AD213=2,AJ$100*EXP(-(LN(2)/$D$65+0.04)*(VLOOKUP(($F$16-$F$15)-1,AC$100:AG213,4,FALSE)))*EXP(-(LN(2)/$D$65+0.1)*(VLOOKUP(($F$16-$F$15)-1,AC$100:AG213,5,FALSE)))*EXP(-(LN(2)/$D$65+0.04)*AF213)*EXP(-(LN(2)/$D$65+0.1)*AG213),IF(AD213=3,AJ$100*EXP(-(LN(2)/$D$65+0.04)*(VLOOKUP(($F$16-$F$15)-1,AC$100:AG213,4,FALSE)))*EXP(-(LN(2)/$D$65+0.1)*(VLOOKUP(($F$16-$F$15)-1,AC$100:AG213,5,FALSE)))*EXP(-(LN(2)/$D$65+0.04)*(VLOOKUP(($F$16-$F$15)*2-1,AC$100:AG213,4,FALSE)))*EXP(-(LN(2)/$D$65+0.1)*(VLOOKUP(($F$16-$F$15)*2-1,AC$100:AG213,5,FALSE)))*EXP(-(LN(2)/$D$65+0.04)*AF213)*EXP(-(LN(2)/$D$65+0.1)*AG213),"-"))),"-")</f>
        <v>-</v>
      </c>
      <c r="AK213" s="227">
        <f t="shared" si="137"/>
        <v>113</v>
      </c>
      <c r="AL213" s="226" t="str">
        <f t="shared" si="111"/>
        <v>-</v>
      </c>
      <c r="AM213" s="227" t="str">
        <f t="shared" si="138"/>
        <v>-</v>
      </c>
      <c r="AN213" s="227" t="str">
        <f t="shared" si="139"/>
        <v>-</v>
      </c>
      <c r="AO213" s="227" t="str">
        <f t="shared" si="112"/>
        <v>-</v>
      </c>
      <c r="AP213" s="273">
        <f t="shared" si="140"/>
        <v>0.1</v>
      </c>
      <c r="AQ213" s="271" t="str">
        <f>IFERROR(IF(AL212=1,AQ$100*EXP(-(LN(2)/$D$65+0.04)*AN212)*EXP(-(LN(2)/$D$65+0.1)*AO212),IF(AL212=2,AQ$100*EXP(-(LN(2)/$D$65+0.04)*(VLOOKUP(($F$16-$F$15)-1,AK$99:AO212,4,FALSE)))*EXP(-(LN(2)/$D$65+0.1)*(VLOOKUP(($F$16-$F$15)-1,AK$99:AO212,5,FALSE)))*EXP(-(LN(2)/$D$65+0.04)*AN212)*EXP(-(LN(2)/$D$65+0.1)*AO212),IF(AL212=3,AQ$100*EXP(-(LN(2)/$D$65+0.04)*(VLOOKUP(($F$16-$F$15)-1,AK$99:AO212,4,FALSE)))*EXP(-(LN(2)/$D$65+0.1)*(VLOOKUP(($F$16-$F$15)-1,AK$99:AO212,5,FALSE)))*EXP(-(LN(2)/$D$65+0.04)*(VLOOKUP(($F$16-$F$15)*2-1,AK$99:AO212,4,FALSE)))*EXP(-(LN(2)/$D$65+0.1)*(VLOOKUP(($F$16-$F$15)*2-1,AK$99:AO212,5,FALSE)))*EXP(-(LN(2)/$D$65+0.04)*AN212)*EXP(-(LN(2)/$D$65+0.1)*AO212),"-"))),"-")</f>
        <v>-</v>
      </c>
      <c r="AR213" s="271" t="str">
        <f>IFERROR(IF(AL213=1,AR$100*EXP(-(LN(2)/$D$65+0.04)*AN213)*EXP(-(LN(2)/$D$65+0.1)*AO213),IF(AL213=2,AR$100*EXP(-(LN(2)/$D$65+0.04)*(VLOOKUP(($F$16-$F$15)-1,AK$100:AO213,4,FALSE)))*EXP(-(LN(2)/$D$65+0.1)*(VLOOKUP(($F$16-$F$15)-1,AK$100:AO213,5,FALSE)))*EXP(-(LN(2)/$D$65+0.04)*AN213)*EXP(-(LN(2)/$D$65+0.1)*AO213),IF(AL213=3,AR$100*EXP(-(LN(2)/$D$65+0.04)*(VLOOKUP(($F$16-$F$15)-1,AK$100:AO213,4,FALSE)))*EXP(-(LN(2)/$D$65+0.1)*(VLOOKUP(($F$16-$F$15)-1,AK$100:AO213,5,FALSE)))*EXP(-(LN(2)/$D$65+0.04)*(VLOOKUP(($F$16-$F$15)*2-1,AK$100:AO213,4,FALSE)))*EXP(-(LN(2)/$D$65+0.1)*(VLOOKUP(($F$16-$F$15)*2-1,AK$100:AO213,5,FALSE)))*EXP(-(LN(2)/$D$65+0.04)*AN213)*EXP(-(LN(2)/$D$65+0.1)*AO213),"-"))),"-")</f>
        <v>-</v>
      </c>
      <c r="AS213" s="274">
        <f t="shared" si="113"/>
        <v>0</v>
      </c>
      <c r="AT213" s="274">
        <f t="shared" si="114"/>
        <v>0</v>
      </c>
      <c r="AU213" s="274">
        <f t="shared" si="115"/>
        <v>0</v>
      </c>
      <c r="AV213" s="190" t="str">
        <f>IF($B213&lt;$F$22,SUM($T$100:$T213),"")</f>
        <v/>
      </c>
      <c r="AW213" s="190" t="str">
        <f t="shared" si="161"/>
        <v>-</v>
      </c>
      <c r="AX213" s="190" t="str">
        <f t="shared" si="141"/>
        <v/>
      </c>
      <c r="AY213"/>
      <c r="AZ213" s="190" t="str">
        <f ca="1">IF(ISNUMBER(OFFSET(AV213,-$F$21,0)),SUM(OFFSET($T$100,$F$21,0):$T213),"")</f>
        <v/>
      </c>
      <c r="BA213" s="190" t="str">
        <f t="shared" ca="1" si="162"/>
        <v/>
      </c>
      <c r="BB213" s="190" t="str">
        <f t="shared" ca="1" si="148"/>
        <v/>
      </c>
      <c r="BC213" s="190"/>
      <c r="BD213" s="190" t="str">
        <f ca="1">IFERROR(IF(OR(ISNUMBER(I),ISNUMBER($F$14)),IF(AND($B213&gt;=($F$16-$F$15),$B213&lt;$F$22+($F$16-$F$15)),SUM(OFFSET($T$100,($F$16-$F$15),0):$T213),""),""),"")</f>
        <v/>
      </c>
      <c r="BE213" s="190" t="str">
        <f t="shared" ca="1" si="142"/>
        <v/>
      </c>
      <c r="BF213" s="190" t="str">
        <f t="shared" ca="1" si="143"/>
        <v/>
      </c>
      <c r="BG213"/>
      <c r="BH213" s="190" t="str">
        <f ca="1">IF(ISNUMBER(OFFSET(BD213,-$F$21,0)),SUM(OFFSET($T$100,($F$16-$F$15+$F$21),0):$T213),"")</f>
        <v/>
      </c>
      <c r="BI213" s="190" t="str">
        <f t="shared" ca="1" si="163"/>
        <v/>
      </c>
      <c r="BJ213" s="190" t="str">
        <f t="shared" ca="1" si="144"/>
        <v/>
      </c>
      <c r="BK213" s="190"/>
      <c r="BL213" s="190" t="str">
        <f ca="1">IFERROR(IF(OR(ISNUMBER(I),ISNUMBER($F$14)),IF(AND($B213&gt;=($F$17-$F$15),$B213&lt;$F$22+($F$17-$F$15)),SUM(OFFSET($T$100,($F$17-$F$15),0):$T213),""),""),"")</f>
        <v/>
      </c>
      <c r="BM213" s="190" t="str">
        <f t="shared" ca="1" si="164"/>
        <v/>
      </c>
      <c r="BN213" s="190" t="str">
        <f t="shared" ca="1" si="145"/>
        <v/>
      </c>
      <c r="BO213"/>
      <c r="BP213" s="190" t="str">
        <f ca="1">IF(ISNUMBER(OFFSET(BL213,-$F$21,0)),SUM(OFFSET($T$100,($F$17-$F$15+$F$21),0):$T213),"")</f>
        <v/>
      </c>
      <c r="BQ213" s="190" t="str">
        <f t="shared" ca="1" si="165"/>
        <v/>
      </c>
      <c r="BR213" s="190" t="str">
        <f t="shared" ca="1" si="146"/>
        <v/>
      </c>
      <c r="BS213" s="190"/>
      <c r="BT213"/>
      <c r="BU213"/>
      <c r="BV213"/>
      <c r="BY213" s="99"/>
      <c r="BZ213" s="99"/>
      <c r="CA213" s="280" t="str">
        <f t="shared" si="166"/>
        <v/>
      </c>
      <c r="CB213" s="71" t="str">
        <f t="shared" si="122"/>
        <v>-</v>
      </c>
      <c r="CC213" s="33"/>
      <c r="CD213" s="261" t="str">
        <f t="shared" si="123"/>
        <v/>
      </c>
      <c r="CE213" s="280" t="str">
        <f t="shared" si="167"/>
        <v/>
      </c>
      <c r="CF213" s="71" t="str">
        <f t="shared" ca="1" si="168"/>
        <v/>
      </c>
      <c r="CG213" s="33" t="str">
        <f t="shared" si="126"/>
        <v/>
      </c>
      <c r="CH213" s="261" t="str">
        <f t="shared" ca="1" si="127"/>
        <v/>
      </c>
    </row>
    <row r="214" spans="2:86" ht="13.5" customHeight="1" x14ac:dyDescent="0.2">
      <c r="B214" s="262">
        <v>114</v>
      </c>
      <c r="C214" s="237" t="str">
        <f t="shared" si="91"/>
        <v/>
      </c>
      <c r="D214" s="237" t="str">
        <f t="shared" si="147"/>
        <v/>
      </c>
      <c r="E214" s="263" t="str">
        <f t="shared" si="128"/>
        <v/>
      </c>
      <c r="F214" s="264" t="str">
        <f t="shared" si="129"/>
        <v/>
      </c>
      <c r="G214" s="264" t="str">
        <f t="shared" si="130"/>
        <v/>
      </c>
      <c r="H214" s="240" t="str">
        <f t="shared" si="149"/>
        <v/>
      </c>
      <c r="I214" s="265" t="str">
        <f t="shared" si="150"/>
        <v/>
      </c>
      <c r="J214" s="265" t="str">
        <f t="shared" si="151"/>
        <v/>
      </c>
      <c r="K214" s="240" t="str">
        <f t="shared" si="152"/>
        <v/>
      </c>
      <c r="L214" s="265" t="str">
        <f t="shared" si="153"/>
        <v/>
      </c>
      <c r="M214" s="265" t="str">
        <f t="shared" si="154"/>
        <v/>
      </c>
      <c r="N214" s="240" t="str">
        <f t="shared" si="155"/>
        <v>-</v>
      </c>
      <c r="O214" s="265" t="str">
        <f t="shared" si="156"/>
        <v>-</v>
      </c>
      <c r="P214" s="265" t="str">
        <f t="shared" si="157"/>
        <v>-</v>
      </c>
      <c r="Q214" s="266" t="str">
        <f t="shared" si="158"/>
        <v>-</v>
      </c>
      <c r="R214" s="267" t="str">
        <f t="shared" si="159"/>
        <v>-</v>
      </c>
      <c r="S214" s="268" t="str">
        <f t="shared" si="160"/>
        <v>-</v>
      </c>
      <c r="T214" s="269" t="str">
        <f t="shared" si="104"/>
        <v/>
      </c>
      <c r="U214" s="221">
        <f t="shared" si="105"/>
        <v>114</v>
      </c>
      <c r="V214" s="220" t="str">
        <f t="shared" si="131"/>
        <v>-</v>
      </c>
      <c r="W214" s="221" t="str">
        <f t="shared" si="132"/>
        <v>-</v>
      </c>
      <c r="X214" s="221" t="str">
        <f t="shared" si="106"/>
        <v>-</v>
      </c>
      <c r="Y214" s="221" t="str">
        <f t="shared" si="107"/>
        <v>-</v>
      </c>
      <c r="Z214" s="270">
        <f t="shared" si="133"/>
        <v>0.1</v>
      </c>
      <c r="AA214" s="271" t="str">
        <f>IFERROR(IF(V213=1,AA$100*EXP(-(LN(2)/$D$65+0.04)*X213)*EXP(-(LN(2)/$D$65+0.1)*Y213),IF(V213=2,AA$100*EXP(-(LN(2)/$D$65+0.04)*(VLOOKUP(($F$16-$F$15)-1,U$99:Y213,4,FALSE)))*EXP(-(LN(2)/$D$65+0.1)*(VLOOKUP(($F$16-$F$15)-1,U$99:Y213,5,FALSE)))*EXP(-(LN(2)/$D$65+0.04)*X213)*EXP(-(LN(2)/$D$65+0.1)*Y213),IF(V213=3,AA$100*EXP(-(LN(2)/$D$65+0.04)*(VLOOKUP(($F$16-$F$15)-1,U$99:Y213,4,FALSE)))*EXP(-(LN(2)/$D$65+0.1)*(VLOOKUP(($F$16-$F$15)-1,U$99:Y213,5,FALSE)))*EXP(-(LN(2)/$D$65+0.04)*(VLOOKUP(($F$16-$F$15)*2-1,U$99:Y213,4,FALSE)))*EXP(-(LN(2)/$D$65+0.1)*(VLOOKUP(($F$16-$F$15)*2-1,U$99:Y213,5,FALSE)))*EXP(-(LN(2)/$D$65+0.04)*X213)*EXP(-(LN(2)/$D$65+0.1)*Y213),"-"))),"-")</f>
        <v>-</v>
      </c>
      <c r="AB214" s="271" t="str">
        <f>IFERROR(IF(V214=1,AB$100*EXP(-(LN(2)/$D$65+0.04)*X214)*EXP(-(LN(2)/$D$65+0.1)*Y214),IF(V214=2,AB$100*EXP(-(LN(2)/$D$65+0.04)*(VLOOKUP(($F$16-$F$15)-1,U$100:Y214,4,FALSE)))*EXP(-(LN(2)/$D$65+0.1)*(VLOOKUP(($F$16-$F$15)-1,U$100:Y214,5,FALSE)))*EXP(-(LN(2)/$D$65+0.04)*X214)*EXP(-(LN(2)/$D$65+0.1)*Y214),IF(V214=3,AB$100*EXP(-(LN(2)/$D$65+0.04)*(VLOOKUP(($F$16-$F$15)-1,U$100:Y214,4,FALSE)))*EXP(-(LN(2)/$D$65+0.1)*(VLOOKUP(($F$16-$F$15)-1,U$100:Y214,5,FALSE)))*EXP(-(LN(2)/$D$65+0.04)*(VLOOKUP(($F$16-$F$15)*2-1,U$100:Y214,4,FALSE)))*EXP(-(LN(2)/$D$65+0.1)*(VLOOKUP(($F$16-$F$15)*2-1,U$100:Y214,5,FALSE)))*EXP(-(LN(2)/$D$65+0.04)*X214)*EXP(-(LN(2)/$D$65+0.1)*Y214),"-"))),"-")</f>
        <v>-</v>
      </c>
      <c r="AC214" s="224">
        <f t="shared" si="134"/>
        <v>114</v>
      </c>
      <c r="AD214" s="223" t="str">
        <f t="shared" si="108"/>
        <v>-</v>
      </c>
      <c r="AE214" s="224" t="str">
        <f t="shared" si="135"/>
        <v>-</v>
      </c>
      <c r="AF214" s="224" t="str">
        <f t="shared" si="109"/>
        <v>-</v>
      </c>
      <c r="AG214" s="224" t="str">
        <f t="shared" si="110"/>
        <v>-</v>
      </c>
      <c r="AH214" s="272">
        <f t="shared" si="136"/>
        <v>0.1</v>
      </c>
      <c r="AI214" s="271" t="str">
        <f>IFERROR(IF(AD213=1,AI$100*EXP(-(LN(2)/$D$65+0.04)*AF213)*EXP(-(LN(2)/$D$65+0.1)*AG213),IF(AD213=2,AI$100*EXP(-(LN(2)/$D$65+0.04)*(VLOOKUP(($F$16-$F$15)-1,AC$99:AG213,4,FALSE)))*EXP(-(LN(2)/$D$65+0.1)*(VLOOKUP(($F$16-$F$15)-1,AC$99:AG213,5,FALSE)))*EXP(-(LN(2)/$D$65+0.04)*AF213)*EXP(-(LN(2)/$D$65+0.1)*AG213),IF(AD213=3,AI$100*EXP(-(LN(2)/$D$65+0.04)*(VLOOKUP(($F$16-$F$15)-1,AC$99:AG213,4,FALSE)))*EXP(-(LN(2)/$D$65+0.1)*(VLOOKUP(($F$16-$F$15)-1,AC$99:AG213,5,FALSE)))*EXP(-(LN(2)/$D$65+0.04)*(VLOOKUP(($F$16-$F$15)*2-1,AC$99:AG213,4,FALSE)))*EXP(-(LN(2)/$D$65+0.1)*(VLOOKUP(($F$16-$F$15)*2-1,AC$99:AG213,5,FALSE)))*EXP(-(LN(2)/$D$65+0.04)*AF213)*EXP(-(LN(2)/$D$65+0.1)*AG213),"-"))),"-")</f>
        <v>-</v>
      </c>
      <c r="AJ214" s="271" t="str">
        <f>IFERROR(IF(AD214=1,AJ$100*EXP(-(LN(2)/$D$65+0.04)*AF214)*EXP(-(LN(2)/$D$65+0.1)*AG214),IF(AD214=2,AJ$100*EXP(-(LN(2)/$D$65+0.04)*(VLOOKUP(($F$16-$F$15)-1,AC$100:AG214,4,FALSE)))*EXP(-(LN(2)/$D$65+0.1)*(VLOOKUP(($F$16-$F$15)-1,AC$100:AG214,5,FALSE)))*EXP(-(LN(2)/$D$65+0.04)*AF214)*EXP(-(LN(2)/$D$65+0.1)*AG214),IF(AD214=3,AJ$100*EXP(-(LN(2)/$D$65+0.04)*(VLOOKUP(($F$16-$F$15)-1,AC$100:AG214,4,FALSE)))*EXP(-(LN(2)/$D$65+0.1)*(VLOOKUP(($F$16-$F$15)-1,AC$100:AG214,5,FALSE)))*EXP(-(LN(2)/$D$65+0.04)*(VLOOKUP(($F$16-$F$15)*2-1,AC$100:AG214,4,FALSE)))*EXP(-(LN(2)/$D$65+0.1)*(VLOOKUP(($F$16-$F$15)*2-1,AC$100:AG214,5,FALSE)))*EXP(-(LN(2)/$D$65+0.04)*AF214)*EXP(-(LN(2)/$D$65+0.1)*AG214),"-"))),"-")</f>
        <v>-</v>
      </c>
      <c r="AK214" s="227">
        <f t="shared" si="137"/>
        <v>114</v>
      </c>
      <c r="AL214" s="226" t="str">
        <f t="shared" si="111"/>
        <v>-</v>
      </c>
      <c r="AM214" s="227" t="str">
        <f t="shared" si="138"/>
        <v>-</v>
      </c>
      <c r="AN214" s="227" t="str">
        <f t="shared" si="139"/>
        <v>-</v>
      </c>
      <c r="AO214" s="227" t="str">
        <f t="shared" si="112"/>
        <v>-</v>
      </c>
      <c r="AP214" s="273">
        <f t="shared" si="140"/>
        <v>0.1</v>
      </c>
      <c r="AQ214" s="271" t="str">
        <f>IFERROR(IF(AL213=1,AQ$100*EXP(-(LN(2)/$D$65+0.04)*AN213)*EXP(-(LN(2)/$D$65+0.1)*AO213),IF(AL213=2,AQ$100*EXP(-(LN(2)/$D$65+0.04)*(VLOOKUP(($F$16-$F$15)-1,AK$99:AO213,4,FALSE)))*EXP(-(LN(2)/$D$65+0.1)*(VLOOKUP(($F$16-$F$15)-1,AK$99:AO213,5,FALSE)))*EXP(-(LN(2)/$D$65+0.04)*AN213)*EXP(-(LN(2)/$D$65+0.1)*AO213),IF(AL213=3,AQ$100*EXP(-(LN(2)/$D$65+0.04)*(VLOOKUP(($F$16-$F$15)-1,AK$99:AO213,4,FALSE)))*EXP(-(LN(2)/$D$65+0.1)*(VLOOKUP(($F$16-$F$15)-1,AK$99:AO213,5,FALSE)))*EXP(-(LN(2)/$D$65+0.04)*(VLOOKUP(($F$16-$F$15)*2-1,AK$99:AO213,4,FALSE)))*EXP(-(LN(2)/$D$65+0.1)*(VLOOKUP(($F$16-$F$15)*2-1,AK$99:AO213,5,FALSE)))*EXP(-(LN(2)/$D$65+0.04)*AN213)*EXP(-(LN(2)/$D$65+0.1)*AO213),"-"))),"-")</f>
        <v>-</v>
      </c>
      <c r="AR214" s="271" t="str">
        <f>IFERROR(IF(AL214=1,AR$100*EXP(-(LN(2)/$D$65+0.04)*AN214)*EXP(-(LN(2)/$D$65+0.1)*AO214),IF(AL214=2,AR$100*EXP(-(LN(2)/$D$65+0.04)*(VLOOKUP(($F$16-$F$15)-1,AK$100:AO214,4,FALSE)))*EXP(-(LN(2)/$D$65+0.1)*(VLOOKUP(($F$16-$F$15)-1,AK$100:AO214,5,FALSE)))*EXP(-(LN(2)/$D$65+0.04)*AN214)*EXP(-(LN(2)/$D$65+0.1)*AO214),IF(AL214=3,AR$100*EXP(-(LN(2)/$D$65+0.04)*(VLOOKUP(($F$16-$F$15)-1,AK$100:AO214,4,FALSE)))*EXP(-(LN(2)/$D$65+0.1)*(VLOOKUP(($F$16-$F$15)-1,AK$100:AO214,5,FALSE)))*EXP(-(LN(2)/$D$65+0.04)*(VLOOKUP(($F$16-$F$15)*2-1,AK$100:AO214,4,FALSE)))*EXP(-(LN(2)/$D$65+0.1)*(VLOOKUP(($F$16-$F$15)*2-1,AK$100:AO214,5,FALSE)))*EXP(-(LN(2)/$D$65+0.04)*AN214)*EXP(-(LN(2)/$D$65+0.1)*AO214),"-"))),"-")</f>
        <v>-</v>
      </c>
      <c r="AS214" s="274">
        <f t="shared" si="113"/>
        <v>0</v>
      </c>
      <c r="AT214" s="274">
        <f t="shared" si="114"/>
        <v>0</v>
      </c>
      <c r="AU214" s="274">
        <f t="shared" si="115"/>
        <v>0</v>
      </c>
      <c r="AV214" s="190" t="str">
        <f>IF($B214&lt;$F$22,SUM($T$100:$T214),"")</f>
        <v/>
      </c>
      <c r="AW214" s="190" t="str">
        <f t="shared" si="161"/>
        <v>-</v>
      </c>
      <c r="AX214" s="190" t="str">
        <f t="shared" si="141"/>
        <v/>
      </c>
      <c r="AY214"/>
      <c r="AZ214" s="190" t="str">
        <f ca="1">IF(ISNUMBER(OFFSET(AV214,-$F$21,0)),SUM(OFFSET($T$100,$F$21,0):$T214),"")</f>
        <v/>
      </c>
      <c r="BA214" s="190" t="str">
        <f t="shared" ca="1" si="162"/>
        <v/>
      </c>
      <c r="BB214" s="190" t="str">
        <f t="shared" ca="1" si="148"/>
        <v/>
      </c>
      <c r="BC214" s="190"/>
      <c r="BD214" s="190" t="str">
        <f ca="1">IFERROR(IF(OR(ISNUMBER(I),ISNUMBER($F$14)),IF(AND($B214&gt;=($F$16-$F$15),$B214&lt;$F$22+($F$16-$F$15)),SUM(OFFSET($T$100,($F$16-$F$15),0):$T214),""),""),"")</f>
        <v/>
      </c>
      <c r="BE214" s="190" t="str">
        <f t="shared" ca="1" si="142"/>
        <v/>
      </c>
      <c r="BF214" s="190" t="str">
        <f t="shared" ca="1" si="143"/>
        <v/>
      </c>
      <c r="BG214"/>
      <c r="BH214" s="190" t="str">
        <f ca="1">IF(ISNUMBER(OFFSET(BD214,-$F$21,0)),SUM(OFFSET($T$100,($F$16-$F$15+$F$21),0):$T214),"")</f>
        <v/>
      </c>
      <c r="BI214" s="190" t="str">
        <f t="shared" ca="1" si="163"/>
        <v/>
      </c>
      <c r="BJ214" s="190" t="str">
        <f t="shared" ca="1" si="144"/>
        <v/>
      </c>
      <c r="BK214" s="190"/>
      <c r="BL214" s="190" t="str">
        <f ca="1">IFERROR(IF(OR(ISNUMBER(I),ISNUMBER($F$14)),IF(AND($B214&gt;=($F$17-$F$15),$B214&lt;$F$22+($F$17-$F$15)),SUM(OFFSET($T$100,($F$17-$F$15),0):$T214),""),""),"")</f>
        <v/>
      </c>
      <c r="BM214" s="190" t="str">
        <f t="shared" ca="1" si="164"/>
        <v/>
      </c>
      <c r="BN214" s="190" t="str">
        <f t="shared" ca="1" si="145"/>
        <v/>
      </c>
      <c r="BO214"/>
      <c r="BP214" s="190" t="str">
        <f ca="1">IF(ISNUMBER(OFFSET(BL214,-$F$21,0)),SUM(OFFSET($T$100,($F$17-$F$15+$F$21),0):$T214),"")</f>
        <v/>
      </c>
      <c r="BQ214" s="190" t="str">
        <f t="shared" ca="1" si="165"/>
        <v/>
      </c>
      <c r="BR214" s="190" t="str">
        <f t="shared" ca="1" si="146"/>
        <v/>
      </c>
      <c r="BS214" s="190"/>
      <c r="BT214"/>
      <c r="BU214"/>
      <c r="BV214"/>
      <c r="BY214" s="99"/>
      <c r="BZ214" s="99"/>
      <c r="CA214" s="280" t="str">
        <f t="shared" si="166"/>
        <v/>
      </c>
      <c r="CB214" s="71" t="str">
        <f t="shared" si="122"/>
        <v>-</v>
      </c>
      <c r="CC214" s="33"/>
      <c r="CD214" s="261" t="str">
        <f t="shared" si="123"/>
        <v/>
      </c>
      <c r="CE214" s="280" t="str">
        <f t="shared" si="167"/>
        <v/>
      </c>
      <c r="CF214" s="71" t="str">
        <f t="shared" ca="1" si="168"/>
        <v/>
      </c>
      <c r="CG214" s="33" t="str">
        <f t="shared" si="126"/>
        <v/>
      </c>
      <c r="CH214" s="261" t="str">
        <f t="shared" ca="1" si="127"/>
        <v/>
      </c>
    </row>
    <row r="215" spans="2:86" ht="13.5" customHeight="1" x14ac:dyDescent="0.2">
      <c r="B215" s="262">
        <v>115</v>
      </c>
      <c r="C215" s="237" t="str">
        <f t="shared" si="91"/>
        <v/>
      </c>
      <c r="D215" s="237" t="str">
        <f t="shared" si="147"/>
        <v/>
      </c>
      <c r="E215" s="263" t="str">
        <f t="shared" si="128"/>
        <v/>
      </c>
      <c r="F215" s="264" t="str">
        <f t="shared" si="129"/>
        <v/>
      </c>
      <c r="G215" s="264" t="str">
        <f t="shared" si="130"/>
        <v/>
      </c>
      <c r="H215" s="240" t="str">
        <f t="shared" si="149"/>
        <v/>
      </c>
      <c r="I215" s="265" t="str">
        <f t="shared" si="150"/>
        <v/>
      </c>
      <c r="J215" s="265" t="str">
        <f t="shared" si="151"/>
        <v/>
      </c>
      <c r="K215" s="240" t="str">
        <f t="shared" si="152"/>
        <v/>
      </c>
      <c r="L215" s="265" t="str">
        <f t="shared" si="153"/>
        <v/>
      </c>
      <c r="M215" s="265" t="str">
        <f t="shared" si="154"/>
        <v/>
      </c>
      <c r="N215" s="240" t="str">
        <f t="shared" si="155"/>
        <v>-</v>
      </c>
      <c r="O215" s="265" t="str">
        <f t="shared" si="156"/>
        <v>-</v>
      </c>
      <c r="P215" s="265" t="str">
        <f t="shared" si="157"/>
        <v>-</v>
      </c>
      <c r="Q215" s="266" t="str">
        <f t="shared" si="158"/>
        <v>-</v>
      </c>
      <c r="R215" s="267" t="str">
        <f t="shared" si="159"/>
        <v>-</v>
      </c>
      <c r="S215" s="268" t="str">
        <f t="shared" si="160"/>
        <v>-</v>
      </c>
      <c r="T215" s="269" t="str">
        <f t="shared" si="104"/>
        <v/>
      </c>
      <c r="U215" s="221">
        <f t="shared" si="105"/>
        <v>115</v>
      </c>
      <c r="V215" s="220" t="str">
        <f t="shared" si="131"/>
        <v>-</v>
      </c>
      <c r="W215" s="221" t="str">
        <f t="shared" si="132"/>
        <v>-</v>
      </c>
      <c r="X215" s="221" t="str">
        <f t="shared" si="106"/>
        <v>-</v>
      </c>
      <c r="Y215" s="221" t="str">
        <f t="shared" si="107"/>
        <v>-</v>
      </c>
      <c r="Z215" s="270">
        <f t="shared" si="133"/>
        <v>0.1</v>
      </c>
      <c r="AA215" s="271" t="str">
        <f>IFERROR(IF(V214=1,AA$100*EXP(-(LN(2)/$D$65+0.04)*X214)*EXP(-(LN(2)/$D$65+0.1)*Y214),IF(V214=2,AA$100*EXP(-(LN(2)/$D$65+0.04)*(VLOOKUP(($F$16-$F$15)-1,U$99:Y214,4,FALSE)))*EXP(-(LN(2)/$D$65+0.1)*(VLOOKUP(($F$16-$F$15)-1,U$99:Y214,5,FALSE)))*EXP(-(LN(2)/$D$65+0.04)*X214)*EXP(-(LN(2)/$D$65+0.1)*Y214),IF(V214=3,AA$100*EXP(-(LN(2)/$D$65+0.04)*(VLOOKUP(($F$16-$F$15)-1,U$99:Y214,4,FALSE)))*EXP(-(LN(2)/$D$65+0.1)*(VLOOKUP(($F$16-$F$15)-1,U$99:Y214,5,FALSE)))*EXP(-(LN(2)/$D$65+0.04)*(VLOOKUP(($F$16-$F$15)*2-1,U$99:Y214,4,FALSE)))*EXP(-(LN(2)/$D$65+0.1)*(VLOOKUP(($F$16-$F$15)*2-1,U$99:Y214,5,FALSE)))*EXP(-(LN(2)/$D$65+0.04)*X214)*EXP(-(LN(2)/$D$65+0.1)*Y214),"-"))),"-")</f>
        <v>-</v>
      </c>
      <c r="AB215" s="271" t="str">
        <f>IFERROR(IF(V215=1,AB$100*EXP(-(LN(2)/$D$65+0.04)*X215)*EXP(-(LN(2)/$D$65+0.1)*Y215),IF(V215=2,AB$100*EXP(-(LN(2)/$D$65+0.04)*(VLOOKUP(($F$16-$F$15)-1,U$100:Y215,4,FALSE)))*EXP(-(LN(2)/$D$65+0.1)*(VLOOKUP(($F$16-$F$15)-1,U$100:Y215,5,FALSE)))*EXP(-(LN(2)/$D$65+0.04)*X215)*EXP(-(LN(2)/$D$65+0.1)*Y215),IF(V215=3,AB$100*EXP(-(LN(2)/$D$65+0.04)*(VLOOKUP(($F$16-$F$15)-1,U$100:Y215,4,FALSE)))*EXP(-(LN(2)/$D$65+0.1)*(VLOOKUP(($F$16-$F$15)-1,U$100:Y215,5,FALSE)))*EXP(-(LN(2)/$D$65+0.04)*(VLOOKUP(($F$16-$F$15)*2-1,U$100:Y215,4,FALSE)))*EXP(-(LN(2)/$D$65+0.1)*(VLOOKUP(($F$16-$F$15)*2-1,U$100:Y215,5,FALSE)))*EXP(-(LN(2)/$D$65+0.04)*X215)*EXP(-(LN(2)/$D$65+0.1)*Y215),"-"))),"-")</f>
        <v>-</v>
      </c>
      <c r="AC215" s="224">
        <f t="shared" si="134"/>
        <v>115</v>
      </c>
      <c r="AD215" s="223" t="str">
        <f t="shared" si="108"/>
        <v>-</v>
      </c>
      <c r="AE215" s="224" t="str">
        <f t="shared" si="135"/>
        <v>-</v>
      </c>
      <c r="AF215" s="224" t="str">
        <f t="shared" si="109"/>
        <v>-</v>
      </c>
      <c r="AG215" s="224" t="str">
        <f t="shared" si="110"/>
        <v>-</v>
      </c>
      <c r="AH215" s="272">
        <f t="shared" si="136"/>
        <v>0.1</v>
      </c>
      <c r="AI215" s="271" t="str">
        <f>IFERROR(IF(AD214=1,AI$100*EXP(-(LN(2)/$D$65+0.04)*AF214)*EXP(-(LN(2)/$D$65+0.1)*AG214),IF(AD214=2,AI$100*EXP(-(LN(2)/$D$65+0.04)*(VLOOKUP(($F$16-$F$15)-1,AC$99:AG214,4,FALSE)))*EXP(-(LN(2)/$D$65+0.1)*(VLOOKUP(($F$16-$F$15)-1,AC$99:AG214,5,FALSE)))*EXP(-(LN(2)/$D$65+0.04)*AF214)*EXP(-(LN(2)/$D$65+0.1)*AG214),IF(AD214=3,AI$100*EXP(-(LN(2)/$D$65+0.04)*(VLOOKUP(($F$16-$F$15)-1,AC$99:AG214,4,FALSE)))*EXP(-(LN(2)/$D$65+0.1)*(VLOOKUP(($F$16-$F$15)-1,AC$99:AG214,5,FALSE)))*EXP(-(LN(2)/$D$65+0.04)*(VLOOKUP(($F$16-$F$15)*2-1,AC$99:AG214,4,FALSE)))*EXP(-(LN(2)/$D$65+0.1)*(VLOOKUP(($F$16-$F$15)*2-1,AC$99:AG214,5,FALSE)))*EXP(-(LN(2)/$D$65+0.04)*AF214)*EXP(-(LN(2)/$D$65+0.1)*AG214),"-"))),"-")</f>
        <v>-</v>
      </c>
      <c r="AJ215" s="271" t="str">
        <f>IFERROR(IF(AD215=1,AJ$100*EXP(-(LN(2)/$D$65+0.04)*AF215)*EXP(-(LN(2)/$D$65+0.1)*AG215),IF(AD215=2,AJ$100*EXP(-(LN(2)/$D$65+0.04)*(VLOOKUP(($F$16-$F$15)-1,AC$100:AG215,4,FALSE)))*EXP(-(LN(2)/$D$65+0.1)*(VLOOKUP(($F$16-$F$15)-1,AC$100:AG215,5,FALSE)))*EXP(-(LN(2)/$D$65+0.04)*AF215)*EXP(-(LN(2)/$D$65+0.1)*AG215),IF(AD215=3,AJ$100*EXP(-(LN(2)/$D$65+0.04)*(VLOOKUP(($F$16-$F$15)-1,AC$100:AG215,4,FALSE)))*EXP(-(LN(2)/$D$65+0.1)*(VLOOKUP(($F$16-$F$15)-1,AC$100:AG215,5,FALSE)))*EXP(-(LN(2)/$D$65+0.04)*(VLOOKUP(($F$16-$F$15)*2-1,AC$100:AG215,4,FALSE)))*EXP(-(LN(2)/$D$65+0.1)*(VLOOKUP(($F$16-$F$15)*2-1,AC$100:AG215,5,FALSE)))*EXP(-(LN(2)/$D$65+0.04)*AF215)*EXP(-(LN(2)/$D$65+0.1)*AG215),"-"))),"-")</f>
        <v>-</v>
      </c>
      <c r="AK215" s="227">
        <f t="shared" si="137"/>
        <v>115</v>
      </c>
      <c r="AL215" s="226" t="str">
        <f t="shared" si="111"/>
        <v>-</v>
      </c>
      <c r="AM215" s="227" t="str">
        <f t="shared" si="138"/>
        <v>-</v>
      </c>
      <c r="AN215" s="227" t="str">
        <f t="shared" si="139"/>
        <v>-</v>
      </c>
      <c r="AO215" s="227" t="str">
        <f t="shared" si="112"/>
        <v>-</v>
      </c>
      <c r="AP215" s="273">
        <f t="shared" si="140"/>
        <v>0.1</v>
      </c>
      <c r="AQ215" s="271" t="str">
        <f>IFERROR(IF(AL214=1,AQ$100*EXP(-(LN(2)/$D$65+0.04)*AN214)*EXP(-(LN(2)/$D$65+0.1)*AO214),IF(AL214=2,AQ$100*EXP(-(LN(2)/$D$65+0.04)*(VLOOKUP(($F$16-$F$15)-1,AK$99:AO214,4,FALSE)))*EXP(-(LN(2)/$D$65+0.1)*(VLOOKUP(($F$16-$F$15)-1,AK$99:AO214,5,FALSE)))*EXP(-(LN(2)/$D$65+0.04)*AN214)*EXP(-(LN(2)/$D$65+0.1)*AO214),IF(AL214=3,AQ$100*EXP(-(LN(2)/$D$65+0.04)*(VLOOKUP(($F$16-$F$15)-1,AK$99:AO214,4,FALSE)))*EXP(-(LN(2)/$D$65+0.1)*(VLOOKUP(($F$16-$F$15)-1,AK$99:AO214,5,FALSE)))*EXP(-(LN(2)/$D$65+0.04)*(VLOOKUP(($F$16-$F$15)*2-1,AK$99:AO214,4,FALSE)))*EXP(-(LN(2)/$D$65+0.1)*(VLOOKUP(($F$16-$F$15)*2-1,AK$99:AO214,5,FALSE)))*EXP(-(LN(2)/$D$65+0.04)*AN214)*EXP(-(LN(2)/$D$65+0.1)*AO214),"-"))),"-")</f>
        <v>-</v>
      </c>
      <c r="AR215" s="271" t="str">
        <f>IFERROR(IF(AL215=1,AR$100*EXP(-(LN(2)/$D$65+0.04)*AN215)*EXP(-(LN(2)/$D$65+0.1)*AO215),IF(AL215=2,AR$100*EXP(-(LN(2)/$D$65+0.04)*(VLOOKUP(($F$16-$F$15)-1,AK$100:AO215,4,FALSE)))*EXP(-(LN(2)/$D$65+0.1)*(VLOOKUP(($F$16-$F$15)-1,AK$100:AO215,5,FALSE)))*EXP(-(LN(2)/$D$65+0.04)*AN215)*EXP(-(LN(2)/$D$65+0.1)*AO215),IF(AL215=3,AR$100*EXP(-(LN(2)/$D$65+0.04)*(VLOOKUP(($F$16-$F$15)-1,AK$100:AO215,4,FALSE)))*EXP(-(LN(2)/$D$65+0.1)*(VLOOKUP(($F$16-$F$15)-1,AK$100:AO215,5,FALSE)))*EXP(-(LN(2)/$D$65+0.04)*(VLOOKUP(($F$16-$F$15)*2-1,AK$100:AO215,4,FALSE)))*EXP(-(LN(2)/$D$65+0.1)*(VLOOKUP(($F$16-$F$15)*2-1,AK$100:AO215,5,FALSE)))*EXP(-(LN(2)/$D$65+0.04)*AN215)*EXP(-(LN(2)/$D$65+0.1)*AO215),"-"))),"-")</f>
        <v>-</v>
      </c>
      <c r="AS215" s="274">
        <f t="shared" si="113"/>
        <v>0</v>
      </c>
      <c r="AT215" s="274">
        <f t="shared" si="114"/>
        <v>0</v>
      </c>
      <c r="AU215" s="274">
        <f t="shared" si="115"/>
        <v>0</v>
      </c>
      <c r="AV215" s="190" t="str">
        <f>IF($B215&lt;$F$22,SUM($T$100:$T215),"")</f>
        <v/>
      </c>
      <c r="AW215" s="190" t="str">
        <f t="shared" si="161"/>
        <v>-</v>
      </c>
      <c r="AX215" s="190" t="str">
        <f t="shared" si="141"/>
        <v/>
      </c>
      <c r="AY215"/>
      <c r="AZ215" s="190" t="str">
        <f ca="1">IF(ISNUMBER(OFFSET(AV215,-$F$21,0)),SUM(OFFSET($T$100,$F$21,0):$T215),"")</f>
        <v/>
      </c>
      <c r="BA215" s="190" t="str">
        <f t="shared" ca="1" si="162"/>
        <v/>
      </c>
      <c r="BB215" s="190" t="str">
        <f t="shared" ca="1" si="148"/>
        <v/>
      </c>
      <c r="BC215" s="190"/>
      <c r="BD215" s="190" t="str">
        <f ca="1">IFERROR(IF(OR(ISNUMBER(I),ISNUMBER($F$14)),IF(AND($B215&gt;=($F$16-$F$15),$B215&lt;$F$22+($F$16-$F$15)),SUM(OFFSET($T$100,($F$16-$F$15),0):$T215),""),""),"")</f>
        <v/>
      </c>
      <c r="BE215" s="190" t="str">
        <f t="shared" ca="1" si="142"/>
        <v/>
      </c>
      <c r="BF215" s="190" t="str">
        <f t="shared" ca="1" si="143"/>
        <v/>
      </c>
      <c r="BG215"/>
      <c r="BH215" s="190" t="str">
        <f ca="1">IF(ISNUMBER(OFFSET(BD215,-$F$21,0)),SUM(OFFSET($T$100,($F$16-$F$15+$F$21),0):$T215),"")</f>
        <v/>
      </c>
      <c r="BI215" s="190" t="str">
        <f t="shared" ca="1" si="163"/>
        <v/>
      </c>
      <c r="BJ215" s="190" t="str">
        <f t="shared" ca="1" si="144"/>
        <v/>
      </c>
      <c r="BK215" s="190"/>
      <c r="BL215" s="190" t="str">
        <f ca="1">IFERROR(IF(OR(ISNUMBER(I),ISNUMBER($F$14)),IF(AND($B215&gt;=($F$17-$F$15),$B215&lt;$F$22+($F$17-$F$15)),SUM(OFFSET($T$100,($F$17-$F$15),0):$T215),""),""),"")</f>
        <v/>
      </c>
      <c r="BM215" s="190" t="str">
        <f t="shared" ca="1" si="164"/>
        <v/>
      </c>
      <c r="BN215" s="190" t="str">
        <f t="shared" ca="1" si="145"/>
        <v/>
      </c>
      <c r="BO215"/>
      <c r="BP215" s="190" t="str">
        <f ca="1">IF(ISNUMBER(OFFSET(BL215,-$F$21,0)),SUM(OFFSET($T$100,($F$17-$F$15+$F$21),0):$T215),"")</f>
        <v/>
      </c>
      <c r="BQ215" s="190" t="str">
        <f t="shared" ca="1" si="165"/>
        <v/>
      </c>
      <c r="BR215" s="190" t="str">
        <f t="shared" ca="1" si="146"/>
        <v/>
      </c>
      <c r="BS215" s="190"/>
      <c r="BT215"/>
      <c r="BU215"/>
      <c r="BV215"/>
      <c r="BY215" s="99"/>
      <c r="BZ215" s="99"/>
      <c r="CA215" s="280" t="str">
        <f t="shared" si="166"/>
        <v/>
      </c>
      <c r="CB215" s="71" t="str">
        <f t="shared" si="122"/>
        <v>-</v>
      </c>
      <c r="CC215" s="33"/>
      <c r="CD215" s="261" t="str">
        <f t="shared" si="123"/>
        <v/>
      </c>
      <c r="CE215" s="280" t="str">
        <f t="shared" si="167"/>
        <v/>
      </c>
      <c r="CF215" s="71" t="str">
        <f t="shared" ca="1" si="168"/>
        <v/>
      </c>
      <c r="CG215" s="33" t="str">
        <f t="shared" si="126"/>
        <v/>
      </c>
      <c r="CH215" s="261" t="str">
        <f t="shared" ca="1" si="127"/>
        <v/>
      </c>
    </row>
    <row r="216" spans="2:86" ht="13.5" customHeight="1" x14ac:dyDescent="0.2">
      <c r="B216" s="262">
        <v>116</v>
      </c>
      <c r="C216" s="237" t="str">
        <f t="shared" si="91"/>
        <v/>
      </c>
      <c r="D216" s="237" t="str">
        <f t="shared" si="147"/>
        <v/>
      </c>
      <c r="E216" s="263" t="str">
        <f t="shared" si="128"/>
        <v/>
      </c>
      <c r="F216" s="264" t="str">
        <f t="shared" si="129"/>
        <v/>
      </c>
      <c r="G216" s="264" t="str">
        <f t="shared" si="130"/>
        <v/>
      </c>
      <c r="H216" s="240" t="str">
        <f t="shared" si="149"/>
        <v/>
      </c>
      <c r="I216" s="265" t="str">
        <f t="shared" si="150"/>
        <v/>
      </c>
      <c r="J216" s="265" t="str">
        <f t="shared" si="151"/>
        <v/>
      </c>
      <c r="K216" s="240" t="str">
        <f t="shared" si="152"/>
        <v/>
      </c>
      <c r="L216" s="265" t="str">
        <f t="shared" si="153"/>
        <v/>
      </c>
      <c r="M216" s="265" t="str">
        <f t="shared" si="154"/>
        <v/>
      </c>
      <c r="N216" s="240" t="str">
        <f t="shared" si="155"/>
        <v>-</v>
      </c>
      <c r="O216" s="265" t="str">
        <f t="shared" si="156"/>
        <v>-</v>
      </c>
      <c r="P216" s="265" t="str">
        <f t="shared" si="157"/>
        <v>-</v>
      </c>
      <c r="Q216" s="266" t="str">
        <f t="shared" si="158"/>
        <v>-</v>
      </c>
      <c r="R216" s="267" t="str">
        <f t="shared" si="159"/>
        <v>-</v>
      </c>
      <c r="S216" s="268" t="str">
        <f t="shared" si="160"/>
        <v>-</v>
      </c>
      <c r="T216" s="269" t="str">
        <f t="shared" si="104"/>
        <v/>
      </c>
      <c r="U216" s="221">
        <f t="shared" si="105"/>
        <v>116</v>
      </c>
      <c r="V216" s="220" t="str">
        <f t="shared" si="131"/>
        <v>-</v>
      </c>
      <c r="W216" s="221" t="str">
        <f t="shared" si="132"/>
        <v>-</v>
      </c>
      <c r="X216" s="221" t="str">
        <f t="shared" si="106"/>
        <v>-</v>
      </c>
      <c r="Y216" s="221" t="str">
        <f t="shared" si="107"/>
        <v>-</v>
      </c>
      <c r="Z216" s="270">
        <f t="shared" si="133"/>
        <v>0.1</v>
      </c>
      <c r="AA216" s="271" t="str">
        <f>IFERROR(IF(V215=1,AA$100*EXP(-(LN(2)/$D$65+0.04)*X215)*EXP(-(LN(2)/$D$65+0.1)*Y215),IF(V215=2,AA$100*EXP(-(LN(2)/$D$65+0.04)*(VLOOKUP(($F$16-$F$15)-1,U$99:Y215,4,FALSE)))*EXP(-(LN(2)/$D$65+0.1)*(VLOOKUP(($F$16-$F$15)-1,U$99:Y215,5,FALSE)))*EXP(-(LN(2)/$D$65+0.04)*X215)*EXP(-(LN(2)/$D$65+0.1)*Y215),IF(V215=3,AA$100*EXP(-(LN(2)/$D$65+0.04)*(VLOOKUP(($F$16-$F$15)-1,U$99:Y215,4,FALSE)))*EXP(-(LN(2)/$D$65+0.1)*(VLOOKUP(($F$16-$F$15)-1,U$99:Y215,5,FALSE)))*EXP(-(LN(2)/$D$65+0.04)*(VLOOKUP(($F$16-$F$15)*2-1,U$99:Y215,4,FALSE)))*EXP(-(LN(2)/$D$65+0.1)*(VLOOKUP(($F$16-$F$15)*2-1,U$99:Y215,5,FALSE)))*EXP(-(LN(2)/$D$65+0.04)*X215)*EXP(-(LN(2)/$D$65+0.1)*Y215),"-"))),"-")</f>
        <v>-</v>
      </c>
      <c r="AB216" s="271" t="str">
        <f>IFERROR(IF(V216=1,AB$100*EXP(-(LN(2)/$D$65+0.04)*X216)*EXP(-(LN(2)/$D$65+0.1)*Y216),IF(V216=2,AB$100*EXP(-(LN(2)/$D$65+0.04)*(VLOOKUP(($F$16-$F$15)-1,U$100:Y216,4,FALSE)))*EXP(-(LN(2)/$D$65+0.1)*(VLOOKUP(($F$16-$F$15)-1,U$100:Y216,5,FALSE)))*EXP(-(LN(2)/$D$65+0.04)*X216)*EXP(-(LN(2)/$D$65+0.1)*Y216),IF(V216=3,AB$100*EXP(-(LN(2)/$D$65+0.04)*(VLOOKUP(($F$16-$F$15)-1,U$100:Y216,4,FALSE)))*EXP(-(LN(2)/$D$65+0.1)*(VLOOKUP(($F$16-$F$15)-1,U$100:Y216,5,FALSE)))*EXP(-(LN(2)/$D$65+0.04)*(VLOOKUP(($F$16-$F$15)*2-1,U$100:Y216,4,FALSE)))*EXP(-(LN(2)/$D$65+0.1)*(VLOOKUP(($F$16-$F$15)*2-1,U$100:Y216,5,FALSE)))*EXP(-(LN(2)/$D$65+0.04)*X216)*EXP(-(LN(2)/$D$65+0.1)*Y216),"-"))),"-")</f>
        <v>-</v>
      </c>
      <c r="AC216" s="224">
        <f t="shared" si="134"/>
        <v>116</v>
      </c>
      <c r="AD216" s="223" t="str">
        <f t="shared" si="108"/>
        <v>-</v>
      </c>
      <c r="AE216" s="224" t="str">
        <f t="shared" si="135"/>
        <v>-</v>
      </c>
      <c r="AF216" s="224" t="str">
        <f t="shared" si="109"/>
        <v>-</v>
      </c>
      <c r="AG216" s="224" t="str">
        <f t="shared" si="110"/>
        <v>-</v>
      </c>
      <c r="AH216" s="272">
        <f t="shared" si="136"/>
        <v>0.1</v>
      </c>
      <c r="AI216" s="271" t="str">
        <f>IFERROR(IF(AD215=1,AI$100*EXP(-(LN(2)/$D$65+0.04)*AF215)*EXP(-(LN(2)/$D$65+0.1)*AG215),IF(AD215=2,AI$100*EXP(-(LN(2)/$D$65+0.04)*(VLOOKUP(($F$16-$F$15)-1,AC$99:AG215,4,FALSE)))*EXP(-(LN(2)/$D$65+0.1)*(VLOOKUP(($F$16-$F$15)-1,AC$99:AG215,5,FALSE)))*EXP(-(LN(2)/$D$65+0.04)*AF215)*EXP(-(LN(2)/$D$65+0.1)*AG215),IF(AD215=3,AI$100*EXP(-(LN(2)/$D$65+0.04)*(VLOOKUP(($F$16-$F$15)-1,AC$99:AG215,4,FALSE)))*EXP(-(LN(2)/$D$65+0.1)*(VLOOKUP(($F$16-$F$15)-1,AC$99:AG215,5,FALSE)))*EXP(-(LN(2)/$D$65+0.04)*(VLOOKUP(($F$16-$F$15)*2-1,AC$99:AG215,4,FALSE)))*EXP(-(LN(2)/$D$65+0.1)*(VLOOKUP(($F$16-$F$15)*2-1,AC$99:AG215,5,FALSE)))*EXP(-(LN(2)/$D$65+0.04)*AF215)*EXP(-(LN(2)/$D$65+0.1)*AG215),"-"))),"-")</f>
        <v>-</v>
      </c>
      <c r="AJ216" s="271" t="str">
        <f>IFERROR(IF(AD216=1,AJ$100*EXP(-(LN(2)/$D$65+0.04)*AF216)*EXP(-(LN(2)/$D$65+0.1)*AG216),IF(AD216=2,AJ$100*EXP(-(LN(2)/$D$65+0.04)*(VLOOKUP(($F$16-$F$15)-1,AC$100:AG216,4,FALSE)))*EXP(-(LN(2)/$D$65+0.1)*(VLOOKUP(($F$16-$F$15)-1,AC$100:AG216,5,FALSE)))*EXP(-(LN(2)/$D$65+0.04)*AF216)*EXP(-(LN(2)/$D$65+0.1)*AG216),IF(AD216=3,AJ$100*EXP(-(LN(2)/$D$65+0.04)*(VLOOKUP(($F$16-$F$15)-1,AC$100:AG216,4,FALSE)))*EXP(-(LN(2)/$D$65+0.1)*(VLOOKUP(($F$16-$F$15)-1,AC$100:AG216,5,FALSE)))*EXP(-(LN(2)/$D$65+0.04)*(VLOOKUP(($F$16-$F$15)*2-1,AC$100:AG216,4,FALSE)))*EXP(-(LN(2)/$D$65+0.1)*(VLOOKUP(($F$16-$F$15)*2-1,AC$100:AG216,5,FALSE)))*EXP(-(LN(2)/$D$65+0.04)*AF216)*EXP(-(LN(2)/$D$65+0.1)*AG216),"-"))),"-")</f>
        <v>-</v>
      </c>
      <c r="AK216" s="227">
        <f t="shared" si="137"/>
        <v>116</v>
      </c>
      <c r="AL216" s="226" t="str">
        <f t="shared" si="111"/>
        <v>-</v>
      </c>
      <c r="AM216" s="227" t="str">
        <f t="shared" si="138"/>
        <v>-</v>
      </c>
      <c r="AN216" s="227" t="str">
        <f t="shared" si="139"/>
        <v>-</v>
      </c>
      <c r="AO216" s="227" t="str">
        <f t="shared" si="112"/>
        <v>-</v>
      </c>
      <c r="AP216" s="273">
        <f t="shared" si="140"/>
        <v>0.1</v>
      </c>
      <c r="AQ216" s="271" t="str">
        <f>IFERROR(IF(AL215=1,AQ$100*EXP(-(LN(2)/$D$65+0.04)*AN215)*EXP(-(LN(2)/$D$65+0.1)*AO215),IF(AL215=2,AQ$100*EXP(-(LN(2)/$D$65+0.04)*(VLOOKUP(($F$16-$F$15)-1,AK$99:AO215,4,FALSE)))*EXP(-(LN(2)/$D$65+0.1)*(VLOOKUP(($F$16-$F$15)-1,AK$99:AO215,5,FALSE)))*EXP(-(LN(2)/$D$65+0.04)*AN215)*EXP(-(LN(2)/$D$65+0.1)*AO215),IF(AL215=3,AQ$100*EXP(-(LN(2)/$D$65+0.04)*(VLOOKUP(($F$16-$F$15)-1,AK$99:AO215,4,FALSE)))*EXP(-(LN(2)/$D$65+0.1)*(VLOOKUP(($F$16-$F$15)-1,AK$99:AO215,5,FALSE)))*EXP(-(LN(2)/$D$65+0.04)*(VLOOKUP(($F$16-$F$15)*2-1,AK$99:AO215,4,FALSE)))*EXP(-(LN(2)/$D$65+0.1)*(VLOOKUP(($F$16-$F$15)*2-1,AK$99:AO215,5,FALSE)))*EXP(-(LN(2)/$D$65+0.04)*AN215)*EXP(-(LN(2)/$D$65+0.1)*AO215),"-"))),"-")</f>
        <v>-</v>
      </c>
      <c r="AR216" s="271" t="str">
        <f>IFERROR(IF(AL216=1,AR$100*EXP(-(LN(2)/$D$65+0.04)*AN216)*EXP(-(LN(2)/$D$65+0.1)*AO216),IF(AL216=2,AR$100*EXP(-(LN(2)/$D$65+0.04)*(VLOOKUP(($F$16-$F$15)-1,AK$100:AO216,4,FALSE)))*EXP(-(LN(2)/$D$65+0.1)*(VLOOKUP(($F$16-$F$15)-1,AK$100:AO216,5,FALSE)))*EXP(-(LN(2)/$D$65+0.04)*AN216)*EXP(-(LN(2)/$D$65+0.1)*AO216),IF(AL216=3,AR$100*EXP(-(LN(2)/$D$65+0.04)*(VLOOKUP(($F$16-$F$15)-1,AK$100:AO216,4,FALSE)))*EXP(-(LN(2)/$D$65+0.1)*(VLOOKUP(($F$16-$F$15)-1,AK$100:AO216,5,FALSE)))*EXP(-(LN(2)/$D$65+0.04)*(VLOOKUP(($F$16-$F$15)*2-1,AK$100:AO216,4,FALSE)))*EXP(-(LN(2)/$D$65+0.1)*(VLOOKUP(($F$16-$F$15)*2-1,AK$100:AO216,5,FALSE)))*EXP(-(LN(2)/$D$65+0.04)*AN216)*EXP(-(LN(2)/$D$65+0.1)*AO216),"-"))),"-")</f>
        <v>-</v>
      </c>
      <c r="AS216" s="274">
        <f t="shared" si="113"/>
        <v>0</v>
      </c>
      <c r="AT216" s="274">
        <f t="shared" si="114"/>
        <v>0</v>
      </c>
      <c r="AU216" s="274">
        <f t="shared" si="115"/>
        <v>0</v>
      </c>
      <c r="AV216" s="190" t="str">
        <f>IF($B216&lt;$F$22,SUM($T$100:$T216),"")</f>
        <v/>
      </c>
      <c r="AW216" s="190" t="str">
        <f t="shared" si="161"/>
        <v>-</v>
      </c>
      <c r="AX216" s="190" t="str">
        <f t="shared" si="141"/>
        <v/>
      </c>
      <c r="AY216"/>
      <c r="AZ216" s="190" t="str">
        <f ca="1">IF(ISNUMBER(OFFSET(AV216,-$F$21,0)),SUM(OFFSET($T$100,$F$21,0):$T216),"")</f>
        <v/>
      </c>
      <c r="BA216" s="190" t="str">
        <f t="shared" ca="1" si="162"/>
        <v/>
      </c>
      <c r="BB216" s="190" t="str">
        <f t="shared" ca="1" si="148"/>
        <v/>
      </c>
      <c r="BC216" s="190"/>
      <c r="BD216" s="190" t="str">
        <f ca="1">IFERROR(IF(OR(ISNUMBER(I),ISNUMBER($F$14)),IF(AND($B216&gt;=($F$16-$F$15),$B216&lt;$F$22+($F$16-$F$15)),SUM(OFFSET($T$100,($F$16-$F$15),0):$T216),""),""),"")</f>
        <v/>
      </c>
      <c r="BE216" s="190" t="str">
        <f t="shared" ca="1" si="142"/>
        <v/>
      </c>
      <c r="BF216" s="190" t="str">
        <f t="shared" ca="1" si="143"/>
        <v/>
      </c>
      <c r="BG216"/>
      <c r="BH216" s="190" t="str">
        <f ca="1">IF(ISNUMBER(OFFSET(BD216,-$F$21,0)),SUM(OFFSET($T$100,($F$16-$F$15+$F$21),0):$T216),"")</f>
        <v/>
      </c>
      <c r="BI216" s="190" t="str">
        <f t="shared" ca="1" si="163"/>
        <v/>
      </c>
      <c r="BJ216" s="190" t="str">
        <f t="shared" ca="1" si="144"/>
        <v/>
      </c>
      <c r="BK216" s="190"/>
      <c r="BL216" s="190" t="str">
        <f ca="1">IFERROR(IF(OR(ISNUMBER(I),ISNUMBER($F$14)),IF(AND($B216&gt;=($F$17-$F$15),$B216&lt;$F$22+($F$17-$F$15)),SUM(OFFSET($T$100,($F$17-$F$15),0):$T216),""),""),"")</f>
        <v/>
      </c>
      <c r="BM216" s="190" t="str">
        <f t="shared" ca="1" si="164"/>
        <v/>
      </c>
      <c r="BN216" s="190" t="str">
        <f t="shared" ca="1" si="145"/>
        <v/>
      </c>
      <c r="BO216"/>
      <c r="BP216" s="190" t="str">
        <f ca="1">IF(ISNUMBER(OFFSET(BL216,-$F$21,0)),SUM(OFFSET($T$100,($F$17-$F$15+$F$21),0):$T216),"")</f>
        <v/>
      </c>
      <c r="BQ216" s="190" t="str">
        <f t="shared" ca="1" si="165"/>
        <v/>
      </c>
      <c r="BR216" s="190" t="str">
        <f t="shared" ca="1" si="146"/>
        <v/>
      </c>
      <c r="BS216" s="190"/>
      <c r="BT216"/>
      <c r="BU216"/>
      <c r="BV216"/>
      <c r="BY216" s="99"/>
      <c r="BZ216" s="99"/>
      <c r="CA216" s="280" t="str">
        <f t="shared" si="166"/>
        <v/>
      </c>
      <c r="CB216" s="71" t="str">
        <f t="shared" si="122"/>
        <v>-</v>
      </c>
      <c r="CC216" s="33"/>
      <c r="CD216" s="261" t="str">
        <f t="shared" si="123"/>
        <v/>
      </c>
      <c r="CE216" s="280" t="str">
        <f t="shared" si="167"/>
        <v/>
      </c>
      <c r="CF216" s="71" t="str">
        <f t="shared" ca="1" si="168"/>
        <v/>
      </c>
      <c r="CG216" s="33" t="str">
        <f t="shared" si="126"/>
        <v/>
      </c>
      <c r="CH216" s="261" t="str">
        <f t="shared" ca="1" si="127"/>
        <v/>
      </c>
    </row>
    <row r="217" spans="2:86" ht="13.5" customHeight="1" x14ac:dyDescent="0.2">
      <c r="B217" s="262">
        <v>117</v>
      </c>
      <c r="C217" s="237" t="str">
        <f t="shared" si="91"/>
        <v/>
      </c>
      <c r="D217" s="237" t="str">
        <f t="shared" si="147"/>
        <v/>
      </c>
      <c r="E217" s="263" t="str">
        <f t="shared" si="128"/>
        <v/>
      </c>
      <c r="F217" s="264" t="str">
        <f t="shared" si="129"/>
        <v/>
      </c>
      <c r="G217" s="264" t="str">
        <f t="shared" si="130"/>
        <v/>
      </c>
      <c r="H217" s="240" t="str">
        <f t="shared" si="149"/>
        <v/>
      </c>
      <c r="I217" s="265" t="str">
        <f t="shared" si="150"/>
        <v/>
      </c>
      <c r="J217" s="265" t="str">
        <f t="shared" si="151"/>
        <v/>
      </c>
      <c r="K217" s="240" t="str">
        <f t="shared" si="152"/>
        <v/>
      </c>
      <c r="L217" s="265" t="str">
        <f t="shared" si="153"/>
        <v/>
      </c>
      <c r="M217" s="265" t="str">
        <f t="shared" si="154"/>
        <v/>
      </c>
      <c r="N217" s="240" t="str">
        <f t="shared" si="155"/>
        <v>-</v>
      </c>
      <c r="O217" s="265" t="str">
        <f t="shared" si="156"/>
        <v>-</v>
      </c>
      <c r="P217" s="265" t="str">
        <f t="shared" si="157"/>
        <v>-</v>
      </c>
      <c r="Q217" s="266" t="str">
        <f t="shared" si="158"/>
        <v>-</v>
      </c>
      <c r="R217" s="267" t="str">
        <f t="shared" si="159"/>
        <v>-</v>
      </c>
      <c r="S217" s="268" t="str">
        <f t="shared" si="160"/>
        <v>-</v>
      </c>
      <c r="T217" s="269" t="str">
        <f t="shared" si="104"/>
        <v/>
      </c>
      <c r="U217" s="221">
        <f t="shared" si="105"/>
        <v>117</v>
      </c>
      <c r="V217" s="220" t="str">
        <f t="shared" si="131"/>
        <v>-</v>
      </c>
      <c r="W217" s="221" t="str">
        <f t="shared" si="132"/>
        <v>-</v>
      </c>
      <c r="X217" s="221" t="str">
        <f t="shared" si="106"/>
        <v>-</v>
      </c>
      <c r="Y217" s="221" t="str">
        <f t="shared" si="107"/>
        <v>-</v>
      </c>
      <c r="Z217" s="270">
        <f t="shared" si="133"/>
        <v>0.1</v>
      </c>
      <c r="AA217" s="271" t="str">
        <f>IFERROR(IF(V216=1,AA$100*EXP(-(LN(2)/$D$65+0.04)*X216)*EXP(-(LN(2)/$D$65+0.1)*Y216),IF(V216=2,AA$100*EXP(-(LN(2)/$D$65+0.04)*(VLOOKUP(($F$16-$F$15)-1,U$99:Y216,4,FALSE)))*EXP(-(LN(2)/$D$65+0.1)*(VLOOKUP(($F$16-$F$15)-1,U$99:Y216,5,FALSE)))*EXP(-(LN(2)/$D$65+0.04)*X216)*EXP(-(LN(2)/$D$65+0.1)*Y216),IF(V216=3,AA$100*EXP(-(LN(2)/$D$65+0.04)*(VLOOKUP(($F$16-$F$15)-1,U$99:Y216,4,FALSE)))*EXP(-(LN(2)/$D$65+0.1)*(VLOOKUP(($F$16-$F$15)-1,U$99:Y216,5,FALSE)))*EXP(-(LN(2)/$D$65+0.04)*(VLOOKUP(($F$16-$F$15)*2-1,U$99:Y216,4,FALSE)))*EXP(-(LN(2)/$D$65+0.1)*(VLOOKUP(($F$16-$F$15)*2-1,U$99:Y216,5,FALSE)))*EXP(-(LN(2)/$D$65+0.04)*X216)*EXP(-(LN(2)/$D$65+0.1)*Y216),"-"))),"-")</f>
        <v>-</v>
      </c>
      <c r="AB217" s="271" t="str">
        <f>IFERROR(IF(V217=1,AB$100*EXP(-(LN(2)/$D$65+0.04)*X217)*EXP(-(LN(2)/$D$65+0.1)*Y217),IF(V217=2,AB$100*EXP(-(LN(2)/$D$65+0.04)*(VLOOKUP(($F$16-$F$15)-1,U$100:Y217,4,FALSE)))*EXP(-(LN(2)/$D$65+0.1)*(VLOOKUP(($F$16-$F$15)-1,U$100:Y217,5,FALSE)))*EXP(-(LN(2)/$D$65+0.04)*X217)*EXP(-(LN(2)/$D$65+0.1)*Y217),IF(V217=3,AB$100*EXP(-(LN(2)/$D$65+0.04)*(VLOOKUP(($F$16-$F$15)-1,U$100:Y217,4,FALSE)))*EXP(-(LN(2)/$D$65+0.1)*(VLOOKUP(($F$16-$F$15)-1,U$100:Y217,5,FALSE)))*EXP(-(LN(2)/$D$65+0.04)*(VLOOKUP(($F$16-$F$15)*2-1,U$100:Y217,4,FALSE)))*EXP(-(LN(2)/$D$65+0.1)*(VLOOKUP(($F$16-$F$15)*2-1,U$100:Y217,5,FALSE)))*EXP(-(LN(2)/$D$65+0.04)*X217)*EXP(-(LN(2)/$D$65+0.1)*Y217),"-"))),"-")</f>
        <v>-</v>
      </c>
      <c r="AC217" s="224">
        <f t="shared" si="134"/>
        <v>117</v>
      </c>
      <c r="AD217" s="223" t="str">
        <f t="shared" si="108"/>
        <v>-</v>
      </c>
      <c r="AE217" s="224" t="str">
        <f t="shared" si="135"/>
        <v>-</v>
      </c>
      <c r="AF217" s="224" t="str">
        <f t="shared" si="109"/>
        <v>-</v>
      </c>
      <c r="AG217" s="224" t="str">
        <f t="shared" si="110"/>
        <v>-</v>
      </c>
      <c r="AH217" s="272">
        <f t="shared" si="136"/>
        <v>0.1</v>
      </c>
      <c r="AI217" s="271" t="str">
        <f>IFERROR(IF(AD216=1,AI$100*EXP(-(LN(2)/$D$65+0.04)*AF216)*EXP(-(LN(2)/$D$65+0.1)*AG216),IF(AD216=2,AI$100*EXP(-(LN(2)/$D$65+0.04)*(VLOOKUP(($F$16-$F$15)-1,AC$99:AG216,4,FALSE)))*EXP(-(LN(2)/$D$65+0.1)*(VLOOKUP(($F$16-$F$15)-1,AC$99:AG216,5,FALSE)))*EXP(-(LN(2)/$D$65+0.04)*AF216)*EXP(-(LN(2)/$D$65+0.1)*AG216),IF(AD216=3,AI$100*EXP(-(LN(2)/$D$65+0.04)*(VLOOKUP(($F$16-$F$15)-1,AC$99:AG216,4,FALSE)))*EXP(-(LN(2)/$D$65+0.1)*(VLOOKUP(($F$16-$F$15)-1,AC$99:AG216,5,FALSE)))*EXP(-(LN(2)/$D$65+0.04)*(VLOOKUP(($F$16-$F$15)*2-1,AC$99:AG216,4,FALSE)))*EXP(-(LN(2)/$D$65+0.1)*(VLOOKUP(($F$16-$F$15)*2-1,AC$99:AG216,5,FALSE)))*EXP(-(LN(2)/$D$65+0.04)*AF216)*EXP(-(LN(2)/$D$65+0.1)*AG216),"-"))),"-")</f>
        <v>-</v>
      </c>
      <c r="AJ217" s="271" t="str">
        <f>IFERROR(IF(AD217=1,AJ$100*EXP(-(LN(2)/$D$65+0.04)*AF217)*EXP(-(LN(2)/$D$65+0.1)*AG217),IF(AD217=2,AJ$100*EXP(-(LN(2)/$D$65+0.04)*(VLOOKUP(($F$16-$F$15)-1,AC$100:AG217,4,FALSE)))*EXP(-(LN(2)/$D$65+0.1)*(VLOOKUP(($F$16-$F$15)-1,AC$100:AG217,5,FALSE)))*EXP(-(LN(2)/$D$65+0.04)*AF217)*EXP(-(LN(2)/$D$65+0.1)*AG217),IF(AD217=3,AJ$100*EXP(-(LN(2)/$D$65+0.04)*(VLOOKUP(($F$16-$F$15)-1,AC$100:AG217,4,FALSE)))*EXP(-(LN(2)/$D$65+0.1)*(VLOOKUP(($F$16-$F$15)-1,AC$100:AG217,5,FALSE)))*EXP(-(LN(2)/$D$65+0.04)*(VLOOKUP(($F$16-$F$15)*2-1,AC$100:AG217,4,FALSE)))*EXP(-(LN(2)/$D$65+0.1)*(VLOOKUP(($F$16-$F$15)*2-1,AC$100:AG217,5,FALSE)))*EXP(-(LN(2)/$D$65+0.04)*AF217)*EXP(-(LN(2)/$D$65+0.1)*AG217),"-"))),"-")</f>
        <v>-</v>
      </c>
      <c r="AK217" s="227">
        <f t="shared" si="137"/>
        <v>117</v>
      </c>
      <c r="AL217" s="226" t="str">
        <f t="shared" si="111"/>
        <v>-</v>
      </c>
      <c r="AM217" s="227" t="str">
        <f t="shared" si="138"/>
        <v>-</v>
      </c>
      <c r="AN217" s="227" t="str">
        <f t="shared" si="139"/>
        <v>-</v>
      </c>
      <c r="AO217" s="227" t="str">
        <f t="shared" si="112"/>
        <v>-</v>
      </c>
      <c r="AP217" s="273">
        <f t="shared" si="140"/>
        <v>0.1</v>
      </c>
      <c r="AQ217" s="271" t="str">
        <f>IFERROR(IF(AL216=1,AQ$100*EXP(-(LN(2)/$D$65+0.04)*AN216)*EXP(-(LN(2)/$D$65+0.1)*AO216),IF(AL216=2,AQ$100*EXP(-(LN(2)/$D$65+0.04)*(VLOOKUP(($F$16-$F$15)-1,AK$99:AO216,4,FALSE)))*EXP(-(LN(2)/$D$65+0.1)*(VLOOKUP(($F$16-$F$15)-1,AK$99:AO216,5,FALSE)))*EXP(-(LN(2)/$D$65+0.04)*AN216)*EXP(-(LN(2)/$D$65+0.1)*AO216),IF(AL216=3,AQ$100*EXP(-(LN(2)/$D$65+0.04)*(VLOOKUP(($F$16-$F$15)-1,AK$99:AO216,4,FALSE)))*EXP(-(LN(2)/$D$65+0.1)*(VLOOKUP(($F$16-$F$15)-1,AK$99:AO216,5,FALSE)))*EXP(-(LN(2)/$D$65+0.04)*(VLOOKUP(($F$16-$F$15)*2-1,AK$99:AO216,4,FALSE)))*EXP(-(LN(2)/$D$65+0.1)*(VLOOKUP(($F$16-$F$15)*2-1,AK$99:AO216,5,FALSE)))*EXP(-(LN(2)/$D$65+0.04)*AN216)*EXP(-(LN(2)/$D$65+0.1)*AO216),"-"))),"-")</f>
        <v>-</v>
      </c>
      <c r="AR217" s="271" t="str">
        <f>IFERROR(IF(AL217=1,AR$100*EXP(-(LN(2)/$D$65+0.04)*AN217)*EXP(-(LN(2)/$D$65+0.1)*AO217),IF(AL217=2,AR$100*EXP(-(LN(2)/$D$65+0.04)*(VLOOKUP(($F$16-$F$15)-1,AK$100:AO217,4,FALSE)))*EXP(-(LN(2)/$D$65+0.1)*(VLOOKUP(($F$16-$F$15)-1,AK$100:AO217,5,FALSE)))*EXP(-(LN(2)/$D$65+0.04)*AN217)*EXP(-(LN(2)/$D$65+0.1)*AO217),IF(AL217=3,AR$100*EXP(-(LN(2)/$D$65+0.04)*(VLOOKUP(($F$16-$F$15)-1,AK$100:AO217,4,FALSE)))*EXP(-(LN(2)/$D$65+0.1)*(VLOOKUP(($F$16-$F$15)-1,AK$100:AO217,5,FALSE)))*EXP(-(LN(2)/$D$65+0.04)*(VLOOKUP(($F$16-$F$15)*2-1,AK$100:AO217,4,FALSE)))*EXP(-(LN(2)/$D$65+0.1)*(VLOOKUP(($F$16-$F$15)*2-1,AK$100:AO217,5,FALSE)))*EXP(-(LN(2)/$D$65+0.04)*AN217)*EXP(-(LN(2)/$D$65+0.1)*AO217),"-"))),"-")</f>
        <v>-</v>
      </c>
      <c r="AS217" s="274">
        <f t="shared" si="113"/>
        <v>0</v>
      </c>
      <c r="AT217" s="274">
        <f t="shared" si="114"/>
        <v>0</v>
      </c>
      <c r="AU217" s="274">
        <f t="shared" si="115"/>
        <v>0</v>
      </c>
      <c r="AV217" s="190" t="str">
        <f>IF($B217&lt;$F$22,SUM($T$100:$T217),"")</f>
        <v/>
      </c>
      <c r="AW217" s="190" t="str">
        <f t="shared" si="161"/>
        <v>-</v>
      </c>
      <c r="AX217" s="190" t="str">
        <f t="shared" si="141"/>
        <v/>
      </c>
      <c r="AY217"/>
      <c r="AZ217" s="190" t="str">
        <f ca="1">IF(ISNUMBER(OFFSET(AV217,-$F$21,0)),SUM(OFFSET($T$100,$F$21,0):$T217),"")</f>
        <v/>
      </c>
      <c r="BA217" s="190" t="str">
        <f t="shared" ca="1" si="162"/>
        <v/>
      </c>
      <c r="BB217" s="190" t="str">
        <f t="shared" ca="1" si="148"/>
        <v/>
      </c>
      <c r="BC217" s="190"/>
      <c r="BD217" s="190" t="str">
        <f ca="1">IFERROR(IF(OR(ISNUMBER(I),ISNUMBER($F$14)),IF(AND($B217&gt;=($F$16-$F$15),$B217&lt;$F$22+($F$16-$F$15)),SUM(OFFSET($T$100,($F$16-$F$15),0):$T217),""),""),"")</f>
        <v/>
      </c>
      <c r="BE217" s="190" t="str">
        <f t="shared" ca="1" si="142"/>
        <v/>
      </c>
      <c r="BF217" s="190" t="str">
        <f t="shared" ca="1" si="143"/>
        <v/>
      </c>
      <c r="BG217"/>
      <c r="BH217" s="190" t="str">
        <f ca="1">IF(ISNUMBER(OFFSET(BD217,-$F$21,0)),SUM(OFFSET($T$100,($F$16-$F$15+$F$21),0):$T217),"")</f>
        <v/>
      </c>
      <c r="BI217" s="190" t="str">
        <f t="shared" ca="1" si="163"/>
        <v/>
      </c>
      <c r="BJ217" s="190" t="str">
        <f t="shared" ca="1" si="144"/>
        <v/>
      </c>
      <c r="BK217" s="190"/>
      <c r="BL217" s="190" t="str">
        <f ca="1">IFERROR(IF(OR(ISNUMBER(I),ISNUMBER($F$14)),IF(AND($B217&gt;=($F$17-$F$15),$B217&lt;$F$22+($F$17-$F$15)),SUM(OFFSET($T$100,($F$17-$F$15),0):$T217),""),""),"")</f>
        <v/>
      </c>
      <c r="BM217" s="190" t="str">
        <f t="shared" ca="1" si="164"/>
        <v/>
      </c>
      <c r="BN217" s="190" t="str">
        <f t="shared" ca="1" si="145"/>
        <v/>
      </c>
      <c r="BO217"/>
      <c r="BP217" s="190" t="str">
        <f ca="1">IF(ISNUMBER(OFFSET(BL217,-$F$21,0)),SUM(OFFSET($T$100,($F$17-$F$15+$F$21),0):$T217),"")</f>
        <v/>
      </c>
      <c r="BQ217" s="190" t="str">
        <f t="shared" ca="1" si="165"/>
        <v/>
      </c>
      <c r="BR217" s="190" t="str">
        <f t="shared" ca="1" si="146"/>
        <v/>
      </c>
      <c r="BS217" s="190"/>
      <c r="BT217"/>
      <c r="BU217"/>
      <c r="BV217"/>
      <c r="BY217" s="99"/>
      <c r="BZ217" s="99"/>
      <c r="CA217" s="280" t="str">
        <f t="shared" si="166"/>
        <v/>
      </c>
      <c r="CB217" s="71" t="str">
        <f t="shared" si="122"/>
        <v>-</v>
      </c>
      <c r="CC217" s="33"/>
      <c r="CD217" s="261" t="str">
        <f t="shared" si="123"/>
        <v/>
      </c>
      <c r="CE217" s="280" t="str">
        <f t="shared" si="167"/>
        <v/>
      </c>
      <c r="CF217" s="71" t="str">
        <f t="shared" ca="1" si="168"/>
        <v/>
      </c>
      <c r="CG217" s="33" t="str">
        <f t="shared" si="126"/>
        <v/>
      </c>
      <c r="CH217" s="261" t="str">
        <f t="shared" ca="1" si="127"/>
        <v/>
      </c>
    </row>
    <row r="218" spans="2:86" ht="13.5" customHeight="1" x14ac:dyDescent="0.2">
      <c r="B218" s="262">
        <v>118</v>
      </c>
      <c r="C218" s="237" t="str">
        <f t="shared" si="91"/>
        <v/>
      </c>
      <c r="D218" s="237" t="str">
        <f t="shared" si="147"/>
        <v/>
      </c>
      <c r="E218" s="263" t="str">
        <f t="shared" si="128"/>
        <v/>
      </c>
      <c r="F218" s="264" t="str">
        <f t="shared" si="129"/>
        <v/>
      </c>
      <c r="G218" s="264" t="str">
        <f t="shared" si="130"/>
        <v/>
      </c>
      <c r="H218" s="240" t="str">
        <f t="shared" si="149"/>
        <v/>
      </c>
      <c r="I218" s="265" t="str">
        <f t="shared" si="150"/>
        <v/>
      </c>
      <c r="J218" s="265" t="str">
        <f t="shared" si="151"/>
        <v/>
      </c>
      <c r="K218" s="240" t="str">
        <f t="shared" si="152"/>
        <v/>
      </c>
      <c r="L218" s="265" t="str">
        <f t="shared" si="153"/>
        <v/>
      </c>
      <c r="M218" s="265" t="str">
        <f t="shared" si="154"/>
        <v/>
      </c>
      <c r="N218" s="240" t="str">
        <f t="shared" si="155"/>
        <v>-</v>
      </c>
      <c r="O218" s="265" t="str">
        <f t="shared" si="156"/>
        <v>-</v>
      </c>
      <c r="P218" s="265" t="str">
        <f t="shared" si="157"/>
        <v>-</v>
      </c>
      <c r="Q218" s="266" t="str">
        <f t="shared" si="158"/>
        <v>-</v>
      </c>
      <c r="R218" s="267" t="str">
        <f t="shared" si="159"/>
        <v>-</v>
      </c>
      <c r="S218" s="268" t="str">
        <f t="shared" si="160"/>
        <v>-</v>
      </c>
      <c r="T218" s="269" t="str">
        <f t="shared" si="104"/>
        <v/>
      </c>
      <c r="U218" s="221">
        <f t="shared" si="105"/>
        <v>118</v>
      </c>
      <c r="V218" s="220" t="str">
        <f t="shared" si="131"/>
        <v>-</v>
      </c>
      <c r="W218" s="221" t="str">
        <f t="shared" si="132"/>
        <v>-</v>
      </c>
      <c r="X218" s="221" t="str">
        <f t="shared" si="106"/>
        <v>-</v>
      </c>
      <c r="Y218" s="221" t="str">
        <f t="shared" si="107"/>
        <v>-</v>
      </c>
      <c r="Z218" s="270">
        <f t="shared" si="133"/>
        <v>0.1</v>
      </c>
      <c r="AA218" s="271" t="str">
        <f>IFERROR(IF(V217=1,AA$100*EXP(-(LN(2)/$D$65+0.04)*X217)*EXP(-(LN(2)/$D$65+0.1)*Y217),IF(V217=2,AA$100*EXP(-(LN(2)/$D$65+0.04)*(VLOOKUP(($F$16-$F$15)-1,U$99:Y217,4,FALSE)))*EXP(-(LN(2)/$D$65+0.1)*(VLOOKUP(($F$16-$F$15)-1,U$99:Y217,5,FALSE)))*EXP(-(LN(2)/$D$65+0.04)*X217)*EXP(-(LN(2)/$D$65+0.1)*Y217),IF(V217=3,AA$100*EXP(-(LN(2)/$D$65+0.04)*(VLOOKUP(($F$16-$F$15)-1,U$99:Y217,4,FALSE)))*EXP(-(LN(2)/$D$65+0.1)*(VLOOKUP(($F$16-$F$15)-1,U$99:Y217,5,FALSE)))*EXP(-(LN(2)/$D$65+0.04)*(VLOOKUP(($F$16-$F$15)*2-1,U$99:Y217,4,FALSE)))*EXP(-(LN(2)/$D$65+0.1)*(VLOOKUP(($F$16-$F$15)*2-1,U$99:Y217,5,FALSE)))*EXP(-(LN(2)/$D$65+0.04)*X217)*EXP(-(LN(2)/$D$65+0.1)*Y217),"-"))),"-")</f>
        <v>-</v>
      </c>
      <c r="AB218" s="271" t="str">
        <f>IFERROR(IF(V218=1,AB$100*EXP(-(LN(2)/$D$65+0.04)*X218)*EXP(-(LN(2)/$D$65+0.1)*Y218),IF(V218=2,AB$100*EXP(-(LN(2)/$D$65+0.04)*(VLOOKUP(($F$16-$F$15)-1,U$100:Y218,4,FALSE)))*EXP(-(LN(2)/$D$65+0.1)*(VLOOKUP(($F$16-$F$15)-1,U$100:Y218,5,FALSE)))*EXP(-(LN(2)/$D$65+0.04)*X218)*EXP(-(LN(2)/$D$65+0.1)*Y218),IF(V218=3,AB$100*EXP(-(LN(2)/$D$65+0.04)*(VLOOKUP(($F$16-$F$15)-1,U$100:Y218,4,FALSE)))*EXP(-(LN(2)/$D$65+0.1)*(VLOOKUP(($F$16-$F$15)-1,U$100:Y218,5,FALSE)))*EXP(-(LN(2)/$D$65+0.04)*(VLOOKUP(($F$16-$F$15)*2-1,U$100:Y218,4,FALSE)))*EXP(-(LN(2)/$D$65+0.1)*(VLOOKUP(($F$16-$F$15)*2-1,U$100:Y218,5,FALSE)))*EXP(-(LN(2)/$D$65+0.04)*X218)*EXP(-(LN(2)/$D$65+0.1)*Y218),"-"))),"-")</f>
        <v>-</v>
      </c>
      <c r="AC218" s="224">
        <f t="shared" si="134"/>
        <v>118</v>
      </c>
      <c r="AD218" s="223" t="str">
        <f t="shared" si="108"/>
        <v>-</v>
      </c>
      <c r="AE218" s="224" t="str">
        <f t="shared" si="135"/>
        <v>-</v>
      </c>
      <c r="AF218" s="224" t="str">
        <f t="shared" si="109"/>
        <v>-</v>
      </c>
      <c r="AG218" s="224" t="str">
        <f t="shared" si="110"/>
        <v>-</v>
      </c>
      <c r="AH218" s="272">
        <f t="shared" si="136"/>
        <v>0.1</v>
      </c>
      <c r="AI218" s="271" t="str">
        <f>IFERROR(IF(AD217=1,AI$100*EXP(-(LN(2)/$D$65+0.04)*AF217)*EXP(-(LN(2)/$D$65+0.1)*AG217),IF(AD217=2,AI$100*EXP(-(LN(2)/$D$65+0.04)*(VLOOKUP(($F$16-$F$15)-1,AC$99:AG217,4,FALSE)))*EXP(-(LN(2)/$D$65+0.1)*(VLOOKUP(($F$16-$F$15)-1,AC$99:AG217,5,FALSE)))*EXP(-(LN(2)/$D$65+0.04)*AF217)*EXP(-(LN(2)/$D$65+0.1)*AG217),IF(AD217=3,AI$100*EXP(-(LN(2)/$D$65+0.04)*(VLOOKUP(($F$16-$F$15)-1,AC$99:AG217,4,FALSE)))*EXP(-(LN(2)/$D$65+0.1)*(VLOOKUP(($F$16-$F$15)-1,AC$99:AG217,5,FALSE)))*EXP(-(LN(2)/$D$65+0.04)*(VLOOKUP(($F$16-$F$15)*2-1,AC$99:AG217,4,FALSE)))*EXP(-(LN(2)/$D$65+0.1)*(VLOOKUP(($F$16-$F$15)*2-1,AC$99:AG217,5,FALSE)))*EXP(-(LN(2)/$D$65+0.04)*AF217)*EXP(-(LN(2)/$D$65+0.1)*AG217),"-"))),"-")</f>
        <v>-</v>
      </c>
      <c r="AJ218" s="271" t="str">
        <f>IFERROR(IF(AD218=1,AJ$100*EXP(-(LN(2)/$D$65+0.04)*AF218)*EXP(-(LN(2)/$D$65+0.1)*AG218),IF(AD218=2,AJ$100*EXP(-(LN(2)/$D$65+0.04)*(VLOOKUP(($F$16-$F$15)-1,AC$100:AG218,4,FALSE)))*EXP(-(LN(2)/$D$65+0.1)*(VLOOKUP(($F$16-$F$15)-1,AC$100:AG218,5,FALSE)))*EXP(-(LN(2)/$D$65+0.04)*AF218)*EXP(-(LN(2)/$D$65+0.1)*AG218),IF(AD218=3,AJ$100*EXP(-(LN(2)/$D$65+0.04)*(VLOOKUP(($F$16-$F$15)-1,AC$100:AG218,4,FALSE)))*EXP(-(LN(2)/$D$65+0.1)*(VLOOKUP(($F$16-$F$15)-1,AC$100:AG218,5,FALSE)))*EXP(-(LN(2)/$D$65+0.04)*(VLOOKUP(($F$16-$F$15)*2-1,AC$100:AG218,4,FALSE)))*EXP(-(LN(2)/$D$65+0.1)*(VLOOKUP(($F$16-$F$15)*2-1,AC$100:AG218,5,FALSE)))*EXP(-(LN(2)/$D$65+0.04)*AF218)*EXP(-(LN(2)/$D$65+0.1)*AG218),"-"))),"-")</f>
        <v>-</v>
      </c>
      <c r="AK218" s="227">
        <f t="shared" si="137"/>
        <v>118</v>
      </c>
      <c r="AL218" s="226" t="str">
        <f t="shared" si="111"/>
        <v>-</v>
      </c>
      <c r="AM218" s="227" t="str">
        <f t="shared" si="138"/>
        <v>-</v>
      </c>
      <c r="AN218" s="227" t="str">
        <f t="shared" si="139"/>
        <v>-</v>
      </c>
      <c r="AO218" s="227" t="str">
        <f t="shared" si="112"/>
        <v>-</v>
      </c>
      <c r="AP218" s="273">
        <f t="shared" si="140"/>
        <v>0.1</v>
      </c>
      <c r="AQ218" s="271" t="str">
        <f>IFERROR(IF(AL217=1,AQ$100*EXP(-(LN(2)/$D$65+0.04)*AN217)*EXP(-(LN(2)/$D$65+0.1)*AO217),IF(AL217=2,AQ$100*EXP(-(LN(2)/$D$65+0.04)*(VLOOKUP(($F$16-$F$15)-1,AK$99:AO217,4,FALSE)))*EXP(-(LN(2)/$D$65+0.1)*(VLOOKUP(($F$16-$F$15)-1,AK$99:AO217,5,FALSE)))*EXP(-(LN(2)/$D$65+0.04)*AN217)*EXP(-(LN(2)/$D$65+0.1)*AO217),IF(AL217=3,AQ$100*EXP(-(LN(2)/$D$65+0.04)*(VLOOKUP(($F$16-$F$15)-1,AK$99:AO217,4,FALSE)))*EXP(-(LN(2)/$D$65+0.1)*(VLOOKUP(($F$16-$F$15)-1,AK$99:AO217,5,FALSE)))*EXP(-(LN(2)/$D$65+0.04)*(VLOOKUP(($F$16-$F$15)*2-1,AK$99:AO217,4,FALSE)))*EXP(-(LN(2)/$D$65+0.1)*(VLOOKUP(($F$16-$F$15)*2-1,AK$99:AO217,5,FALSE)))*EXP(-(LN(2)/$D$65+0.04)*AN217)*EXP(-(LN(2)/$D$65+0.1)*AO217),"-"))),"-")</f>
        <v>-</v>
      </c>
      <c r="AR218" s="271" t="str">
        <f>IFERROR(IF(AL218=1,AR$100*EXP(-(LN(2)/$D$65+0.04)*AN218)*EXP(-(LN(2)/$D$65+0.1)*AO218),IF(AL218=2,AR$100*EXP(-(LN(2)/$D$65+0.04)*(VLOOKUP(($F$16-$F$15)-1,AK$100:AO218,4,FALSE)))*EXP(-(LN(2)/$D$65+0.1)*(VLOOKUP(($F$16-$F$15)-1,AK$100:AO218,5,FALSE)))*EXP(-(LN(2)/$D$65+0.04)*AN218)*EXP(-(LN(2)/$D$65+0.1)*AO218),IF(AL218=3,AR$100*EXP(-(LN(2)/$D$65+0.04)*(VLOOKUP(($F$16-$F$15)-1,AK$100:AO218,4,FALSE)))*EXP(-(LN(2)/$D$65+0.1)*(VLOOKUP(($F$16-$F$15)-1,AK$100:AO218,5,FALSE)))*EXP(-(LN(2)/$D$65+0.04)*(VLOOKUP(($F$16-$F$15)*2-1,AK$100:AO218,4,FALSE)))*EXP(-(LN(2)/$D$65+0.1)*(VLOOKUP(($F$16-$F$15)*2-1,AK$100:AO218,5,FALSE)))*EXP(-(LN(2)/$D$65+0.04)*AN218)*EXP(-(LN(2)/$D$65+0.1)*AO218),"-"))),"-")</f>
        <v>-</v>
      </c>
      <c r="AS218" s="274">
        <f t="shared" si="113"/>
        <v>0</v>
      </c>
      <c r="AT218" s="274">
        <f t="shared" si="114"/>
        <v>0</v>
      </c>
      <c r="AU218" s="274">
        <f t="shared" si="115"/>
        <v>0</v>
      </c>
      <c r="AV218" s="190" t="str">
        <f>IF($B218&lt;$F$22,SUM($T$100:$T218),"")</f>
        <v/>
      </c>
      <c r="AW218" s="190" t="str">
        <f t="shared" si="161"/>
        <v>-</v>
      </c>
      <c r="AX218" s="190" t="str">
        <f t="shared" si="141"/>
        <v/>
      </c>
      <c r="AY218"/>
      <c r="AZ218" s="190" t="str">
        <f ca="1">IF(ISNUMBER(OFFSET(AV218,-$F$21,0)),SUM(OFFSET($T$100,$F$21,0):$T218),"")</f>
        <v/>
      </c>
      <c r="BA218" s="190" t="str">
        <f t="shared" ca="1" si="162"/>
        <v/>
      </c>
      <c r="BB218" s="190" t="str">
        <f t="shared" ca="1" si="148"/>
        <v/>
      </c>
      <c r="BC218" s="190"/>
      <c r="BD218" s="190" t="str">
        <f ca="1">IFERROR(IF(OR(ISNUMBER(I),ISNUMBER($F$14)),IF(AND($B218&gt;=($F$16-$F$15),$B218&lt;$F$22+($F$16-$F$15)),SUM(OFFSET($T$100,($F$16-$F$15),0):$T218),""),""),"")</f>
        <v/>
      </c>
      <c r="BE218" s="190" t="str">
        <f t="shared" ca="1" si="142"/>
        <v/>
      </c>
      <c r="BF218" s="190" t="str">
        <f t="shared" ca="1" si="143"/>
        <v/>
      </c>
      <c r="BG218"/>
      <c r="BH218" s="190" t="str">
        <f ca="1">IF(ISNUMBER(OFFSET(BD218,-$F$21,0)),SUM(OFFSET($T$100,($F$16-$F$15+$F$21),0):$T218),"")</f>
        <v/>
      </c>
      <c r="BI218" s="190" t="str">
        <f t="shared" ca="1" si="163"/>
        <v/>
      </c>
      <c r="BJ218" s="190" t="str">
        <f t="shared" ca="1" si="144"/>
        <v/>
      </c>
      <c r="BK218" s="190"/>
      <c r="BL218" s="190" t="str">
        <f ca="1">IFERROR(IF(OR(ISNUMBER(I),ISNUMBER($F$14)),IF(AND($B218&gt;=($F$17-$F$15),$B218&lt;$F$22+($F$17-$F$15)),SUM(OFFSET($T$100,($F$17-$F$15),0):$T218),""),""),"")</f>
        <v/>
      </c>
      <c r="BM218" s="190" t="str">
        <f t="shared" ca="1" si="164"/>
        <v/>
      </c>
      <c r="BN218" s="190" t="str">
        <f t="shared" ca="1" si="145"/>
        <v/>
      </c>
      <c r="BO218"/>
      <c r="BP218" s="190" t="str">
        <f ca="1">IF(ISNUMBER(OFFSET(BL218,-$F$21,0)),SUM(OFFSET($T$100,($F$17-$F$15+$F$21),0):$T218),"")</f>
        <v/>
      </c>
      <c r="BQ218" s="190" t="str">
        <f t="shared" ca="1" si="165"/>
        <v/>
      </c>
      <c r="BR218" s="190" t="str">
        <f t="shared" ca="1" si="146"/>
        <v/>
      </c>
      <c r="BS218" s="190"/>
      <c r="BT218"/>
      <c r="BU218"/>
      <c r="BV218"/>
      <c r="BY218" s="99"/>
      <c r="BZ218" s="99"/>
      <c r="CA218" s="280" t="str">
        <f t="shared" si="166"/>
        <v/>
      </c>
      <c r="CB218" s="71" t="str">
        <f t="shared" si="122"/>
        <v>-</v>
      </c>
      <c r="CC218" s="33"/>
      <c r="CD218" s="261" t="str">
        <f t="shared" si="123"/>
        <v/>
      </c>
      <c r="CE218" s="280" t="str">
        <f t="shared" si="167"/>
        <v/>
      </c>
      <c r="CF218" s="71" t="str">
        <f t="shared" ca="1" si="168"/>
        <v/>
      </c>
      <c r="CG218" s="33" t="str">
        <f t="shared" si="126"/>
        <v/>
      </c>
      <c r="CH218" s="261" t="str">
        <f t="shared" ca="1" si="127"/>
        <v/>
      </c>
    </row>
    <row r="219" spans="2:86" ht="13.5" customHeight="1" x14ac:dyDescent="0.2">
      <c r="B219" s="262">
        <v>119</v>
      </c>
      <c r="C219" s="237" t="str">
        <f t="shared" si="91"/>
        <v/>
      </c>
      <c r="D219" s="237" t="str">
        <f t="shared" si="147"/>
        <v/>
      </c>
      <c r="E219" s="263" t="str">
        <f t="shared" si="128"/>
        <v/>
      </c>
      <c r="F219" s="264" t="str">
        <f t="shared" si="129"/>
        <v/>
      </c>
      <c r="G219" s="264" t="str">
        <f t="shared" si="130"/>
        <v/>
      </c>
      <c r="H219" s="240" t="str">
        <f t="shared" si="149"/>
        <v/>
      </c>
      <c r="I219" s="265" t="str">
        <f t="shared" si="150"/>
        <v/>
      </c>
      <c r="J219" s="265" t="str">
        <f t="shared" si="151"/>
        <v/>
      </c>
      <c r="K219" s="240" t="str">
        <f t="shared" si="152"/>
        <v/>
      </c>
      <c r="L219" s="265" t="str">
        <f t="shared" si="153"/>
        <v/>
      </c>
      <c r="M219" s="265" t="str">
        <f t="shared" si="154"/>
        <v/>
      </c>
      <c r="N219" s="240" t="str">
        <f t="shared" si="155"/>
        <v>-</v>
      </c>
      <c r="O219" s="265" t="str">
        <f t="shared" si="156"/>
        <v>-</v>
      </c>
      <c r="P219" s="265" t="str">
        <f t="shared" si="157"/>
        <v>-</v>
      </c>
      <c r="Q219" s="266" t="str">
        <f t="shared" si="158"/>
        <v>-</v>
      </c>
      <c r="R219" s="267" t="str">
        <f t="shared" si="159"/>
        <v>-</v>
      </c>
      <c r="S219" s="268" t="str">
        <f t="shared" si="160"/>
        <v>-</v>
      </c>
      <c r="T219" s="269" t="str">
        <f t="shared" si="104"/>
        <v/>
      </c>
      <c r="U219" s="221">
        <f t="shared" si="105"/>
        <v>119</v>
      </c>
      <c r="V219" s="220" t="str">
        <f t="shared" si="131"/>
        <v>-</v>
      </c>
      <c r="W219" s="221" t="str">
        <f t="shared" si="132"/>
        <v>-</v>
      </c>
      <c r="X219" s="221" t="str">
        <f t="shared" si="106"/>
        <v>-</v>
      </c>
      <c r="Y219" s="221" t="str">
        <f t="shared" si="107"/>
        <v>-</v>
      </c>
      <c r="Z219" s="270">
        <f t="shared" si="133"/>
        <v>0.1</v>
      </c>
      <c r="AA219" s="271" t="str">
        <f>IFERROR(IF(V218=1,AA$100*EXP(-(LN(2)/$D$65+0.04)*X218)*EXP(-(LN(2)/$D$65+0.1)*Y218),IF(V218=2,AA$100*EXP(-(LN(2)/$D$65+0.04)*(VLOOKUP(($F$16-$F$15)-1,U$99:Y218,4,FALSE)))*EXP(-(LN(2)/$D$65+0.1)*(VLOOKUP(($F$16-$F$15)-1,U$99:Y218,5,FALSE)))*EXP(-(LN(2)/$D$65+0.04)*X218)*EXP(-(LN(2)/$D$65+0.1)*Y218),IF(V218=3,AA$100*EXP(-(LN(2)/$D$65+0.04)*(VLOOKUP(($F$16-$F$15)-1,U$99:Y218,4,FALSE)))*EXP(-(LN(2)/$D$65+0.1)*(VLOOKUP(($F$16-$F$15)-1,U$99:Y218,5,FALSE)))*EXP(-(LN(2)/$D$65+0.04)*(VLOOKUP(($F$16-$F$15)*2-1,U$99:Y218,4,FALSE)))*EXP(-(LN(2)/$D$65+0.1)*(VLOOKUP(($F$16-$F$15)*2-1,U$99:Y218,5,FALSE)))*EXP(-(LN(2)/$D$65+0.04)*X218)*EXP(-(LN(2)/$D$65+0.1)*Y218),"-"))),"-")</f>
        <v>-</v>
      </c>
      <c r="AB219" s="271" t="str">
        <f>IFERROR(IF(V219=1,AB$100*EXP(-(LN(2)/$D$65+0.04)*X219)*EXP(-(LN(2)/$D$65+0.1)*Y219),IF(V219=2,AB$100*EXP(-(LN(2)/$D$65+0.04)*(VLOOKUP(($F$16-$F$15)-1,U$100:Y219,4,FALSE)))*EXP(-(LN(2)/$D$65+0.1)*(VLOOKUP(($F$16-$F$15)-1,U$100:Y219,5,FALSE)))*EXP(-(LN(2)/$D$65+0.04)*X219)*EXP(-(LN(2)/$D$65+0.1)*Y219),IF(V219=3,AB$100*EXP(-(LN(2)/$D$65+0.04)*(VLOOKUP(($F$16-$F$15)-1,U$100:Y219,4,FALSE)))*EXP(-(LN(2)/$D$65+0.1)*(VLOOKUP(($F$16-$F$15)-1,U$100:Y219,5,FALSE)))*EXP(-(LN(2)/$D$65+0.04)*(VLOOKUP(($F$16-$F$15)*2-1,U$100:Y219,4,FALSE)))*EXP(-(LN(2)/$D$65+0.1)*(VLOOKUP(($F$16-$F$15)*2-1,U$100:Y219,5,FALSE)))*EXP(-(LN(2)/$D$65+0.04)*X219)*EXP(-(LN(2)/$D$65+0.1)*Y219),"-"))),"-")</f>
        <v>-</v>
      </c>
      <c r="AC219" s="224">
        <f t="shared" si="134"/>
        <v>119</v>
      </c>
      <c r="AD219" s="223" t="str">
        <f t="shared" si="108"/>
        <v>-</v>
      </c>
      <c r="AE219" s="224" t="str">
        <f t="shared" si="135"/>
        <v>-</v>
      </c>
      <c r="AF219" s="224" t="str">
        <f t="shared" si="109"/>
        <v>-</v>
      </c>
      <c r="AG219" s="224" t="str">
        <f t="shared" si="110"/>
        <v>-</v>
      </c>
      <c r="AH219" s="272">
        <f t="shared" si="136"/>
        <v>0.1</v>
      </c>
      <c r="AI219" s="271" t="str">
        <f>IFERROR(IF(AD218=1,AI$100*EXP(-(LN(2)/$D$65+0.04)*AF218)*EXP(-(LN(2)/$D$65+0.1)*AG218),IF(AD218=2,AI$100*EXP(-(LN(2)/$D$65+0.04)*(VLOOKUP(($F$16-$F$15)-1,AC$99:AG218,4,FALSE)))*EXP(-(LN(2)/$D$65+0.1)*(VLOOKUP(($F$16-$F$15)-1,AC$99:AG218,5,FALSE)))*EXP(-(LN(2)/$D$65+0.04)*AF218)*EXP(-(LN(2)/$D$65+0.1)*AG218),IF(AD218=3,AI$100*EXP(-(LN(2)/$D$65+0.04)*(VLOOKUP(($F$16-$F$15)-1,AC$99:AG218,4,FALSE)))*EXP(-(LN(2)/$D$65+0.1)*(VLOOKUP(($F$16-$F$15)-1,AC$99:AG218,5,FALSE)))*EXP(-(LN(2)/$D$65+0.04)*(VLOOKUP(($F$16-$F$15)*2-1,AC$99:AG218,4,FALSE)))*EXP(-(LN(2)/$D$65+0.1)*(VLOOKUP(($F$16-$F$15)*2-1,AC$99:AG218,5,FALSE)))*EXP(-(LN(2)/$D$65+0.04)*AF218)*EXP(-(LN(2)/$D$65+0.1)*AG218),"-"))),"-")</f>
        <v>-</v>
      </c>
      <c r="AJ219" s="271" t="str">
        <f>IFERROR(IF(AD219=1,AJ$100*EXP(-(LN(2)/$D$65+0.04)*AF219)*EXP(-(LN(2)/$D$65+0.1)*AG219),IF(AD219=2,AJ$100*EXP(-(LN(2)/$D$65+0.04)*(VLOOKUP(($F$16-$F$15)-1,AC$100:AG219,4,FALSE)))*EXP(-(LN(2)/$D$65+0.1)*(VLOOKUP(($F$16-$F$15)-1,AC$100:AG219,5,FALSE)))*EXP(-(LN(2)/$D$65+0.04)*AF219)*EXP(-(LN(2)/$D$65+0.1)*AG219),IF(AD219=3,AJ$100*EXP(-(LN(2)/$D$65+0.04)*(VLOOKUP(($F$16-$F$15)-1,AC$100:AG219,4,FALSE)))*EXP(-(LN(2)/$D$65+0.1)*(VLOOKUP(($F$16-$F$15)-1,AC$100:AG219,5,FALSE)))*EXP(-(LN(2)/$D$65+0.04)*(VLOOKUP(($F$16-$F$15)*2-1,AC$100:AG219,4,FALSE)))*EXP(-(LN(2)/$D$65+0.1)*(VLOOKUP(($F$16-$F$15)*2-1,AC$100:AG219,5,FALSE)))*EXP(-(LN(2)/$D$65+0.04)*AF219)*EXP(-(LN(2)/$D$65+0.1)*AG219),"-"))),"-")</f>
        <v>-</v>
      </c>
      <c r="AK219" s="227">
        <f t="shared" si="137"/>
        <v>119</v>
      </c>
      <c r="AL219" s="226" t="str">
        <f t="shared" si="111"/>
        <v>-</v>
      </c>
      <c r="AM219" s="227" t="str">
        <f t="shared" si="138"/>
        <v>-</v>
      </c>
      <c r="AN219" s="227" t="str">
        <f t="shared" si="139"/>
        <v>-</v>
      </c>
      <c r="AO219" s="227" t="str">
        <f t="shared" si="112"/>
        <v>-</v>
      </c>
      <c r="AP219" s="273">
        <f t="shared" si="140"/>
        <v>0.1</v>
      </c>
      <c r="AQ219" s="271" t="str">
        <f>IFERROR(IF(AL218=1,AQ$100*EXP(-(LN(2)/$D$65+0.04)*AN218)*EXP(-(LN(2)/$D$65+0.1)*AO218),IF(AL218=2,AQ$100*EXP(-(LN(2)/$D$65+0.04)*(VLOOKUP(($F$16-$F$15)-1,AK$99:AO218,4,FALSE)))*EXP(-(LN(2)/$D$65+0.1)*(VLOOKUP(($F$16-$F$15)-1,AK$99:AO218,5,FALSE)))*EXP(-(LN(2)/$D$65+0.04)*AN218)*EXP(-(LN(2)/$D$65+0.1)*AO218),IF(AL218=3,AQ$100*EXP(-(LN(2)/$D$65+0.04)*(VLOOKUP(($F$16-$F$15)-1,AK$99:AO218,4,FALSE)))*EXP(-(LN(2)/$D$65+0.1)*(VLOOKUP(($F$16-$F$15)-1,AK$99:AO218,5,FALSE)))*EXP(-(LN(2)/$D$65+0.04)*(VLOOKUP(($F$16-$F$15)*2-1,AK$99:AO218,4,FALSE)))*EXP(-(LN(2)/$D$65+0.1)*(VLOOKUP(($F$16-$F$15)*2-1,AK$99:AO218,5,FALSE)))*EXP(-(LN(2)/$D$65+0.04)*AN218)*EXP(-(LN(2)/$D$65+0.1)*AO218),"-"))),"-")</f>
        <v>-</v>
      </c>
      <c r="AR219" s="271" t="str">
        <f>IFERROR(IF(AL219=1,AR$100*EXP(-(LN(2)/$D$65+0.04)*AN219)*EXP(-(LN(2)/$D$65+0.1)*AO219),IF(AL219=2,AR$100*EXP(-(LN(2)/$D$65+0.04)*(VLOOKUP(($F$16-$F$15)-1,AK$100:AO219,4,FALSE)))*EXP(-(LN(2)/$D$65+0.1)*(VLOOKUP(($F$16-$F$15)-1,AK$100:AO219,5,FALSE)))*EXP(-(LN(2)/$D$65+0.04)*AN219)*EXP(-(LN(2)/$D$65+0.1)*AO219),IF(AL219=3,AR$100*EXP(-(LN(2)/$D$65+0.04)*(VLOOKUP(($F$16-$F$15)-1,AK$100:AO219,4,FALSE)))*EXP(-(LN(2)/$D$65+0.1)*(VLOOKUP(($F$16-$F$15)-1,AK$100:AO219,5,FALSE)))*EXP(-(LN(2)/$D$65+0.04)*(VLOOKUP(($F$16-$F$15)*2-1,AK$100:AO219,4,FALSE)))*EXP(-(LN(2)/$D$65+0.1)*(VLOOKUP(($F$16-$F$15)*2-1,AK$100:AO219,5,FALSE)))*EXP(-(LN(2)/$D$65+0.04)*AN219)*EXP(-(LN(2)/$D$65+0.1)*AO219),"-"))),"-")</f>
        <v>-</v>
      </c>
      <c r="AS219" s="274">
        <f t="shared" si="113"/>
        <v>0</v>
      </c>
      <c r="AT219" s="274">
        <f t="shared" si="114"/>
        <v>0</v>
      </c>
      <c r="AU219" s="274">
        <f t="shared" si="115"/>
        <v>0</v>
      </c>
      <c r="AV219" s="190" t="str">
        <f>IF($B219&lt;$F$22,SUM($T$100:$T219),"")</f>
        <v/>
      </c>
      <c r="AW219" s="190" t="str">
        <f t="shared" si="161"/>
        <v>-</v>
      </c>
      <c r="AX219" s="190" t="str">
        <f t="shared" si="141"/>
        <v/>
      </c>
      <c r="AY219"/>
      <c r="AZ219" s="190" t="str">
        <f ca="1">IF(ISNUMBER(OFFSET(AV219,-$F$21,0)),SUM(OFFSET($T$100,$F$21,0):$T219),"")</f>
        <v/>
      </c>
      <c r="BA219" s="190" t="str">
        <f t="shared" ca="1" si="162"/>
        <v/>
      </c>
      <c r="BB219" s="190" t="str">
        <f t="shared" ca="1" si="148"/>
        <v/>
      </c>
      <c r="BC219" s="190"/>
      <c r="BD219" s="190" t="str">
        <f ca="1">IFERROR(IF(OR(ISNUMBER(I),ISNUMBER($F$14)),IF(AND($B219&gt;=($F$16-$F$15),$B219&lt;$F$22+($F$16-$F$15)),SUM(OFFSET($T$100,($F$16-$F$15),0):$T219),""),""),"")</f>
        <v/>
      </c>
      <c r="BE219" s="190" t="str">
        <f t="shared" ca="1" si="142"/>
        <v/>
      </c>
      <c r="BF219" s="190" t="str">
        <f t="shared" ca="1" si="143"/>
        <v/>
      </c>
      <c r="BG219"/>
      <c r="BH219" s="190" t="str">
        <f ca="1">IF(ISNUMBER(OFFSET(BD219,-$F$21,0)),SUM(OFFSET($T$100,($F$16-$F$15+$F$21),0):$T219),"")</f>
        <v/>
      </c>
      <c r="BI219" s="190" t="str">
        <f t="shared" ca="1" si="163"/>
        <v/>
      </c>
      <c r="BJ219" s="190" t="str">
        <f t="shared" ca="1" si="144"/>
        <v/>
      </c>
      <c r="BK219" s="190"/>
      <c r="BL219" s="190" t="str">
        <f ca="1">IFERROR(IF(OR(ISNUMBER(I),ISNUMBER($F$14)),IF(AND($B219&gt;=($F$17-$F$15),$B219&lt;$F$22+($F$17-$F$15)),SUM(OFFSET($T$100,($F$17-$F$15),0):$T219),""),""),"")</f>
        <v/>
      </c>
      <c r="BM219" s="190" t="str">
        <f t="shared" ca="1" si="164"/>
        <v/>
      </c>
      <c r="BN219" s="190" t="str">
        <f t="shared" ca="1" si="145"/>
        <v/>
      </c>
      <c r="BO219"/>
      <c r="BP219" s="190" t="str">
        <f ca="1">IF(ISNUMBER(OFFSET(BL219,-$F$21,0)),SUM(OFFSET($T$100,($F$17-$F$15+$F$21),0):$T219),"")</f>
        <v/>
      </c>
      <c r="BQ219" s="190" t="str">
        <f t="shared" ca="1" si="165"/>
        <v/>
      </c>
      <c r="BR219" s="190" t="str">
        <f t="shared" ca="1" si="146"/>
        <v/>
      </c>
      <c r="BS219" s="190"/>
      <c r="BT219"/>
      <c r="BU219"/>
      <c r="BV219"/>
      <c r="BY219" s="99"/>
      <c r="BZ219" s="99"/>
      <c r="CA219" s="280" t="str">
        <f t="shared" si="166"/>
        <v/>
      </c>
      <c r="CB219" s="71" t="str">
        <f t="shared" si="122"/>
        <v>-</v>
      </c>
      <c r="CC219" s="33"/>
      <c r="CD219" s="261" t="str">
        <f t="shared" si="123"/>
        <v/>
      </c>
      <c r="CE219" s="280" t="str">
        <f t="shared" si="167"/>
        <v/>
      </c>
      <c r="CF219" s="71" t="str">
        <f t="shared" ca="1" si="168"/>
        <v/>
      </c>
      <c r="CG219" s="33" t="str">
        <f t="shared" si="126"/>
        <v/>
      </c>
      <c r="CH219" s="261" t="str">
        <f t="shared" ca="1" si="127"/>
        <v/>
      </c>
    </row>
    <row r="220" spans="2:86" ht="13.5" customHeight="1" x14ac:dyDescent="0.2">
      <c r="B220" s="262">
        <v>120</v>
      </c>
      <c r="C220" s="237" t="str">
        <f t="shared" si="91"/>
        <v/>
      </c>
      <c r="D220" s="237" t="str">
        <f t="shared" si="147"/>
        <v/>
      </c>
      <c r="E220" s="263" t="str">
        <f t="shared" si="128"/>
        <v/>
      </c>
      <c r="F220" s="264" t="str">
        <f t="shared" si="129"/>
        <v/>
      </c>
      <c r="G220" s="264" t="str">
        <f t="shared" si="130"/>
        <v/>
      </c>
      <c r="H220" s="240" t="str">
        <f t="shared" si="149"/>
        <v/>
      </c>
      <c r="I220" s="265" t="str">
        <f t="shared" si="150"/>
        <v/>
      </c>
      <c r="J220" s="265" t="str">
        <f t="shared" si="151"/>
        <v/>
      </c>
      <c r="K220" s="240" t="str">
        <f t="shared" si="152"/>
        <v/>
      </c>
      <c r="L220" s="265" t="str">
        <f t="shared" si="153"/>
        <v/>
      </c>
      <c r="M220" s="265" t="str">
        <f t="shared" si="154"/>
        <v/>
      </c>
      <c r="N220" s="240" t="str">
        <f t="shared" si="155"/>
        <v>-</v>
      </c>
      <c r="O220" s="265" t="str">
        <f t="shared" si="156"/>
        <v>-</v>
      </c>
      <c r="P220" s="265" t="str">
        <f t="shared" si="157"/>
        <v>-</v>
      </c>
      <c r="Q220" s="266" t="str">
        <f t="shared" si="158"/>
        <v>-</v>
      </c>
      <c r="R220" s="267" t="str">
        <f t="shared" si="159"/>
        <v>-</v>
      </c>
      <c r="S220" s="268" t="str">
        <f t="shared" si="160"/>
        <v>-</v>
      </c>
      <c r="T220" s="269" t="str">
        <f t="shared" si="104"/>
        <v/>
      </c>
      <c r="U220" s="221">
        <f t="shared" si="105"/>
        <v>120</v>
      </c>
      <c r="V220" s="220" t="str">
        <f t="shared" si="131"/>
        <v>-</v>
      </c>
      <c r="W220" s="221" t="str">
        <f t="shared" si="132"/>
        <v>-</v>
      </c>
      <c r="X220" s="221" t="str">
        <f t="shared" si="106"/>
        <v>-</v>
      </c>
      <c r="Y220" s="221" t="str">
        <f t="shared" si="107"/>
        <v>-</v>
      </c>
      <c r="Z220" s="270">
        <f t="shared" si="133"/>
        <v>0.1</v>
      </c>
      <c r="AA220" s="271" t="str">
        <f>IFERROR(IF(V219=1,AA$100*EXP(-(LN(2)/$D$65+0.04)*X219)*EXP(-(LN(2)/$D$65+0.1)*Y219),IF(V219=2,AA$100*EXP(-(LN(2)/$D$65+0.04)*(VLOOKUP(($F$16-$F$15)-1,U$99:Y219,4,FALSE)))*EXP(-(LN(2)/$D$65+0.1)*(VLOOKUP(($F$16-$F$15)-1,U$99:Y219,5,FALSE)))*EXP(-(LN(2)/$D$65+0.04)*X219)*EXP(-(LN(2)/$D$65+0.1)*Y219),IF(V219=3,AA$100*EXP(-(LN(2)/$D$65+0.04)*(VLOOKUP(($F$16-$F$15)-1,U$99:Y219,4,FALSE)))*EXP(-(LN(2)/$D$65+0.1)*(VLOOKUP(($F$16-$F$15)-1,U$99:Y219,5,FALSE)))*EXP(-(LN(2)/$D$65+0.04)*(VLOOKUP(($F$16-$F$15)*2-1,U$99:Y219,4,FALSE)))*EXP(-(LN(2)/$D$65+0.1)*(VLOOKUP(($F$16-$F$15)*2-1,U$99:Y219,5,FALSE)))*EXP(-(LN(2)/$D$65+0.04)*X219)*EXP(-(LN(2)/$D$65+0.1)*Y219),"-"))),"-")</f>
        <v>-</v>
      </c>
      <c r="AB220" s="271" t="str">
        <f>IFERROR(IF(V220=1,AB$100*EXP(-(LN(2)/$D$65+0.04)*X220)*EXP(-(LN(2)/$D$65+0.1)*Y220),IF(V220=2,AB$100*EXP(-(LN(2)/$D$65+0.04)*(VLOOKUP(($F$16-$F$15)-1,U$100:Y220,4,FALSE)))*EXP(-(LN(2)/$D$65+0.1)*(VLOOKUP(($F$16-$F$15)-1,U$100:Y220,5,FALSE)))*EXP(-(LN(2)/$D$65+0.04)*X220)*EXP(-(LN(2)/$D$65+0.1)*Y220),IF(V220=3,AB$100*EXP(-(LN(2)/$D$65+0.04)*(VLOOKUP(($F$16-$F$15)-1,U$100:Y220,4,FALSE)))*EXP(-(LN(2)/$D$65+0.1)*(VLOOKUP(($F$16-$F$15)-1,U$100:Y220,5,FALSE)))*EXP(-(LN(2)/$D$65+0.04)*(VLOOKUP(($F$16-$F$15)*2-1,U$100:Y220,4,FALSE)))*EXP(-(LN(2)/$D$65+0.1)*(VLOOKUP(($F$16-$F$15)*2-1,U$100:Y220,5,FALSE)))*EXP(-(LN(2)/$D$65+0.04)*X220)*EXP(-(LN(2)/$D$65+0.1)*Y220),"-"))),"-")</f>
        <v>-</v>
      </c>
      <c r="AC220" s="224">
        <f t="shared" si="134"/>
        <v>120</v>
      </c>
      <c r="AD220" s="223" t="str">
        <f t="shared" si="108"/>
        <v>-</v>
      </c>
      <c r="AE220" s="224" t="str">
        <f t="shared" si="135"/>
        <v>-</v>
      </c>
      <c r="AF220" s="224" t="str">
        <f t="shared" si="109"/>
        <v>-</v>
      </c>
      <c r="AG220" s="224" t="str">
        <f t="shared" si="110"/>
        <v>-</v>
      </c>
      <c r="AH220" s="272">
        <f t="shared" si="136"/>
        <v>0.1</v>
      </c>
      <c r="AI220" s="271" t="str">
        <f>IFERROR(IF(AD219=1,AI$100*EXP(-(LN(2)/$D$65+0.04)*AF219)*EXP(-(LN(2)/$D$65+0.1)*AG219),IF(AD219=2,AI$100*EXP(-(LN(2)/$D$65+0.04)*(VLOOKUP(($F$16-$F$15)-1,AC$99:AG219,4,FALSE)))*EXP(-(LN(2)/$D$65+0.1)*(VLOOKUP(($F$16-$F$15)-1,AC$99:AG219,5,FALSE)))*EXP(-(LN(2)/$D$65+0.04)*AF219)*EXP(-(LN(2)/$D$65+0.1)*AG219),IF(AD219=3,AI$100*EXP(-(LN(2)/$D$65+0.04)*(VLOOKUP(($F$16-$F$15)-1,AC$99:AG219,4,FALSE)))*EXP(-(LN(2)/$D$65+0.1)*(VLOOKUP(($F$16-$F$15)-1,AC$99:AG219,5,FALSE)))*EXP(-(LN(2)/$D$65+0.04)*(VLOOKUP(($F$16-$F$15)*2-1,AC$99:AG219,4,FALSE)))*EXP(-(LN(2)/$D$65+0.1)*(VLOOKUP(($F$16-$F$15)*2-1,AC$99:AG219,5,FALSE)))*EXP(-(LN(2)/$D$65+0.04)*AF219)*EXP(-(LN(2)/$D$65+0.1)*AG219),"-"))),"-")</f>
        <v>-</v>
      </c>
      <c r="AJ220" s="271" t="str">
        <f>IFERROR(IF(AD220=1,AJ$100*EXP(-(LN(2)/$D$65+0.04)*AF220)*EXP(-(LN(2)/$D$65+0.1)*AG220),IF(AD220=2,AJ$100*EXP(-(LN(2)/$D$65+0.04)*(VLOOKUP(($F$16-$F$15)-1,AC$100:AG220,4,FALSE)))*EXP(-(LN(2)/$D$65+0.1)*(VLOOKUP(($F$16-$F$15)-1,AC$100:AG220,5,FALSE)))*EXP(-(LN(2)/$D$65+0.04)*AF220)*EXP(-(LN(2)/$D$65+0.1)*AG220),IF(AD220=3,AJ$100*EXP(-(LN(2)/$D$65+0.04)*(VLOOKUP(($F$16-$F$15)-1,AC$100:AG220,4,FALSE)))*EXP(-(LN(2)/$D$65+0.1)*(VLOOKUP(($F$16-$F$15)-1,AC$100:AG220,5,FALSE)))*EXP(-(LN(2)/$D$65+0.04)*(VLOOKUP(($F$16-$F$15)*2-1,AC$100:AG220,4,FALSE)))*EXP(-(LN(2)/$D$65+0.1)*(VLOOKUP(($F$16-$F$15)*2-1,AC$100:AG220,5,FALSE)))*EXP(-(LN(2)/$D$65+0.04)*AF220)*EXP(-(LN(2)/$D$65+0.1)*AG220),"-"))),"-")</f>
        <v>-</v>
      </c>
      <c r="AK220" s="227">
        <f t="shared" si="137"/>
        <v>120</v>
      </c>
      <c r="AL220" s="226" t="str">
        <f t="shared" si="111"/>
        <v>-</v>
      </c>
      <c r="AM220" s="227" t="str">
        <f t="shared" si="138"/>
        <v>-</v>
      </c>
      <c r="AN220" s="227" t="str">
        <f t="shared" si="139"/>
        <v>-</v>
      </c>
      <c r="AO220" s="227" t="str">
        <f t="shared" si="112"/>
        <v>-</v>
      </c>
      <c r="AP220" s="273">
        <f t="shared" si="140"/>
        <v>0.1</v>
      </c>
      <c r="AQ220" s="271" t="str">
        <f>IFERROR(IF(AL219=1,AQ$100*EXP(-(LN(2)/$D$65+0.04)*AN219)*EXP(-(LN(2)/$D$65+0.1)*AO219),IF(AL219=2,AQ$100*EXP(-(LN(2)/$D$65+0.04)*(VLOOKUP(($F$16-$F$15)-1,AK$99:AO219,4,FALSE)))*EXP(-(LN(2)/$D$65+0.1)*(VLOOKUP(($F$16-$F$15)-1,AK$99:AO219,5,FALSE)))*EXP(-(LN(2)/$D$65+0.04)*AN219)*EXP(-(LN(2)/$D$65+0.1)*AO219),IF(AL219=3,AQ$100*EXP(-(LN(2)/$D$65+0.04)*(VLOOKUP(($F$16-$F$15)-1,AK$99:AO219,4,FALSE)))*EXP(-(LN(2)/$D$65+0.1)*(VLOOKUP(($F$16-$F$15)-1,AK$99:AO219,5,FALSE)))*EXP(-(LN(2)/$D$65+0.04)*(VLOOKUP(($F$16-$F$15)*2-1,AK$99:AO219,4,FALSE)))*EXP(-(LN(2)/$D$65+0.1)*(VLOOKUP(($F$16-$F$15)*2-1,AK$99:AO219,5,FALSE)))*EXP(-(LN(2)/$D$65+0.04)*AN219)*EXP(-(LN(2)/$D$65+0.1)*AO219),"-"))),"-")</f>
        <v>-</v>
      </c>
      <c r="AR220" s="271" t="str">
        <f>IFERROR(IF(AL220=1,AR$100*EXP(-(LN(2)/$D$65+0.04)*AN220)*EXP(-(LN(2)/$D$65+0.1)*AO220),IF(AL220=2,AR$100*EXP(-(LN(2)/$D$65+0.04)*(VLOOKUP(($F$16-$F$15)-1,AK$100:AO220,4,FALSE)))*EXP(-(LN(2)/$D$65+0.1)*(VLOOKUP(($F$16-$F$15)-1,AK$100:AO220,5,FALSE)))*EXP(-(LN(2)/$D$65+0.04)*AN220)*EXP(-(LN(2)/$D$65+0.1)*AO220),IF(AL220=3,AR$100*EXP(-(LN(2)/$D$65+0.04)*(VLOOKUP(($F$16-$F$15)-1,AK$100:AO220,4,FALSE)))*EXP(-(LN(2)/$D$65+0.1)*(VLOOKUP(($F$16-$F$15)-1,AK$100:AO220,5,FALSE)))*EXP(-(LN(2)/$D$65+0.04)*(VLOOKUP(($F$16-$F$15)*2-1,AK$100:AO220,4,FALSE)))*EXP(-(LN(2)/$D$65+0.1)*(VLOOKUP(($F$16-$F$15)*2-1,AK$100:AO220,5,FALSE)))*EXP(-(LN(2)/$D$65+0.04)*AN220)*EXP(-(LN(2)/$D$65+0.1)*AO220),"-"))),"-")</f>
        <v>-</v>
      </c>
      <c r="AS220" s="274">
        <f t="shared" si="113"/>
        <v>0</v>
      </c>
      <c r="AT220" s="274">
        <f t="shared" si="114"/>
        <v>0</v>
      </c>
      <c r="AU220" s="274">
        <f t="shared" si="115"/>
        <v>0</v>
      </c>
      <c r="AV220" s="190" t="str">
        <f>IF($B220&lt;$F$22,SUM($T$100:$T220),"")</f>
        <v/>
      </c>
      <c r="AW220" s="190" t="str">
        <f t="shared" si="161"/>
        <v>-</v>
      </c>
      <c r="AX220" s="190" t="str">
        <f t="shared" si="141"/>
        <v/>
      </c>
      <c r="AY220"/>
      <c r="AZ220" s="190" t="str">
        <f ca="1">IF(ISNUMBER(OFFSET(AV220,-$F$21,0)),SUM(OFFSET($T$100,$F$21,0):$T220),"")</f>
        <v/>
      </c>
      <c r="BA220" s="190" t="str">
        <f t="shared" ca="1" si="162"/>
        <v/>
      </c>
      <c r="BB220" s="190" t="str">
        <f t="shared" ca="1" si="148"/>
        <v/>
      </c>
      <c r="BC220" s="190"/>
      <c r="BD220" s="190" t="str">
        <f ca="1">IFERROR(IF(OR(ISNUMBER(I),ISNUMBER($F$14)),IF(AND($B220&gt;=($F$16-$F$15),$B220&lt;$F$22+($F$16-$F$15)),SUM(OFFSET($T$100,($F$16-$F$15),0):$T220),""),""),"")</f>
        <v/>
      </c>
      <c r="BE220" s="190" t="str">
        <f t="shared" ca="1" si="142"/>
        <v/>
      </c>
      <c r="BF220" s="190" t="str">
        <f t="shared" ca="1" si="143"/>
        <v/>
      </c>
      <c r="BG220"/>
      <c r="BH220" s="190" t="str">
        <f ca="1">IF(ISNUMBER(OFFSET(BD220,-$F$21,0)),SUM(OFFSET($T$100,($F$16-$F$15+$F$21),0):$T220),"")</f>
        <v/>
      </c>
      <c r="BI220" s="190" t="str">
        <f t="shared" ca="1" si="163"/>
        <v/>
      </c>
      <c r="BJ220" s="190" t="str">
        <f t="shared" ca="1" si="144"/>
        <v/>
      </c>
      <c r="BK220" s="190"/>
      <c r="BL220" s="190" t="str">
        <f ca="1">IFERROR(IF(OR(ISNUMBER(I),ISNUMBER($F$14)),IF(AND($B220&gt;=($F$17-$F$15),$B220&lt;$F$22+($F$17-$F$15)),SUM(OFFSET($T$100,($F$17-$F$15),0):$T220),""),""),"")</f>
        <v/>
      </c>
      <c r="BM220" s="190" t="str">
        <f t="shared" ca="1" si="164"/>
        <v/>
      </c>
      <c r="BN220" s="190" t="str">
        <f t="shared" ca="1" si="145"/>
        <v/>
      </c>
      <c r="BO220"/>
      <c r="BP220" s="190" t="str">
        <f ca="1">IF(ISNUMBER(OFFSET(BL220,-$F$21,0)),SUM(OFFSET($T$100,($F$17-$F$15+$F$21),0):$T220),"")</f>
        <v/>
      </c>
      <c r="BQ220" s="190" t="str">
        <f t="shared" ca="1" si="165"/>
        <v/>
      </c>
      <c r="BR220" s="190" t="str">
        <f t="shared" ca="1" si="146"/>
        <v/>
      </c>
      <c r="BS220" s="190"/>
      <c r="BT220"/>
      <c r="BU220"/>
      <c r="BV220"/>
      <c r="BY220" s="99"/>
      <c r="BZ220" s="99"/>
      <c r="CA220" s="280" t="str">
        <f t="shared" si="166"/>
        <v/>
      </c>
      <c r="CB220" s="71" t="str">
        <f t="shared" si="122"/>
        <v>-</v>
      </c>
      <c r="CC220" s="33"/>
      <c r="CD220" s="261" t="str">
        <f t="shared" si="123"/>
        <v/>
      </c>
      <c r="CE220" s="280" t="str">
        <f t="shared" si="167"/>
        <v/>
      </c>
      <c r="CF220" s="71" t="str">
        <f t="shared" ca="1" si="168"/>
        <v/>
      </c>
      <c r="CG220" s="33" t="str">
        <f t="shared" si="126"/>
        <v/>
      </c>
      <c r="CH220" s="261" t="str">
        <f t="shared" ca="1" si="127"/>
        <v/>
      </c>
    </row>
    <row r="221" spans="2:86" ht="13.5" customHeight="1" x14ac:dyDescent="0.2">
      <c r="B221" s="262">
        <v>121</v>
      </c>
      <c r="C221" s="237" t="str">
        <f t="shared" si="91"/>
        <v/>
      </c>
      <c r="D221" s="237" t="str">
        <f t="shared" si="147"/>
        <v/>
      </c>
      <c r="E221" s="263" t="str">
        <f t="shared" si="128"/>
        <v/>
      </c>
      <c r="F221" s="264" t="str">
        <f t="shared" si="129"/>
        <v/>
      </c>
      <c r="G221" s="264" t="str">
        <f t="shared" si="130"/>
        <v/>
      </c>
      <c r="H221" s="240" t="str">
        <f t="shared" si="149"/>
        <v/>
      </c>
      <c r="I221" s="265" t="str">
        <f t="shared" si="150"/>
        <v/>
      </c>
      <c r="J221" s="265" t="str">
        <f t="shared" si="151"/>
        <v/>
      </c>
      <c r="K221" s="240" t="str">
        <f t="shared" si="152"/>
        <v/>
      </c>
      <c r="L221" s="265" t="str">
        <f t="shared" si="153"/>
        <v/>
      </c>
      <c r="M221" s="265" t="str">
        <f t="shared" si="154"/>
        <v/>
      </c>
      <c r="N221" s="240" t="str">
        <f t="shared" si="155"/>
        <v>-</v>
      </c>
      <c r="O221" s="265" t="str">
        <f t="shared" si="156"/>
        <v>-</v>
      </c>
      <c r="P221" s="265" t="str">
        <f t="shared" si="157"/>
        <v>-</v>
      </c>
      <c r="Q221" s="266" t="str">
        <f t="shared" si="158"/>
        <v>-</v>
      </c>
      <c r="R221" s="267" t="str">
        <f t="shared" si="159"/>
        <v>-</v>
      </c>
      <c r="S221" s="268" t="str">
        <f t="shared" si="160"/>
        <v>-</v>
      </c>
      <c r="T221" s="269" t="str">
        <f t="shared" si="104"/>
        <v/>
      </c>
      <c r="U221" s="221">
        <f t="shared" si="105"/>
        <v>121</v>
      </c>
      <c r="V221" s="220" t="str">
        <f t="shared" si="131"/>
        <v>-</v>
      </c>
      <c r="W221" s="221" t="str">
        <f t="shared" si="132"/>
        <v>-</v>
      </c>
      <c r="X221" s="221" t="str">
        <f t="shared" si="106"/>
        <v>-</v>
      </c>
      <c r="Y221" s="221" t="str">
        <f t="shared" si="107"/>
        <v>-</v>
      </c>
      <c r="Z221" s="270">
        <f t="shared" si="133"/>
        <v>0.1</v>
      </c>
      <c r="AA221" s="271" t="str">
        <f>IFERROR(IF(V220=1,AA$100*EXP(-(LN(2)/$D$65+0.04)*X220)*EXP(-(LN(2)/$D$65+0.1)*Y220),IF(V220=2,AA$100*EXP(-(LN(2)/$D$65+0.04)*(VLOOKUP(($F$16-$F$15)-1,U$99:Y220,4,FALSE)))*EXP(-(LN(2)/$D$65+0.1)*(VLOOKUP(($F$16-$F$15)-1,U$99:Y220,5,FALSE)))*EXP(-(LN(2)/$D$65+0.04)*X220)*EXP(-(LN(2)/$D$65+0.1)*Y220),IF(V220=3,AA$100*EXP(-(LN(2)/$D$65+0.04)*(VLOOKUP(($F$16-$F$15)-1,U$99:Y220,4,FALSE)))*EXP(-(LN(2)/$D$65+0.1)*(VLOOKUP(($F$16-$F$15)-1,U$99:Y220,5,FALSE)))*EXP(-(LN(2)/$D$65+0.04)*(VLOOKUP(($F$16-$F$15)*2-1,U$99:Y220,4,FALSE)))*EXP(-(LN(2)/$D$65+0.1)*(VLOOKUP(($F$16-$F$15)*2-1,U$99:Y220,5,FALSE)))*EXP(-(LN(2)/$D$65+0.04)*X220)*EXP(-(LN(2)/$D$65+0.1)*Y220),"-"))),"-")</f>
        <v>-</v>
      </c>
      <c r="AB221" s="271" t="str">
        <f>IFERROR(IF(V221=1,AB$100*EXP(-(LN(2)/$D$65+0.04)*X221)*EXP(-(LN(2)/$D$65+0.1)*Y221),IF(V221=2,AB$100*EXP(-(LN(2)/$D$65+0.04)*(VLOOKUP(($F$16-$F$15)-1,U$100:Y221,4,FALSE)))*EXP(-(LN(2)/$D$65+0.1)*(VLOOKUP(($F$16-$F$15)-1,U$100:Y221,5,FALSE)))*EXP(-(LN(2)/$D$65+0.04)*X221)*EXP(-(LN(2)/$D$65+0.1)*Y221),IF(V221=3,AB$100*EXP(-(LN(2)/$D$65+0.04)*(VLOOKUP(($F$16-$F$15)-1,U$100:Y221,4,FALSE)))*EXP(-(LN(2)/$D$65+0.1)*(VLOOKUP(($F$16-$F$15)-1,U$100:Y221,5,FALSE)))*EXP(-(LN(2)/$D$65+0.04)*(VLOOKUP(($F$16-$F$15)*2-1,U$100:Y221,4,FALSE)))*EXP(-(LN(2)/$D$65+0.1)*(VLOOKUP(($F$16-$F$15)*2-1,U$100:Y221,5,FALSE)))*EXP(-(LN(2)/$D$65+0.04)*X221)*EXP(-(LN(2)/$D$65+0.1)*Y221),"-"))),"-")</f>
        <v>-</v>
      </c>
      <c r="AC221" s="224">
        <f t="shared" si="134"/>
        <v>121</v>
      </c>
      <c r="AD221" s="223" t="str">
        <f t="shared" si="108"/>
        <v>-</v>
      </c>
      <c r="AE221" s="224" t="str">
        <f t="shared" si="135"/>
        <v>-</v>
      </c>
      <c r="AF221" s="224" t="str">
        <f t="shared" si="109"/>
        <v>-</v>
      </c>
      <c r="AG221" s="224" t="str">
        <f t="shared" si="110"/>
        <v>-</v>
      </c>
      <c r="AH221" s="272">
        <f t="shared" si="136"/>
        <v>0.1</v>
      </c>
      <c r="AI221" s="271" t="str">
        <f>IFERROR(IF(AD220=1,AI$100*EXP(-(LN(2)/$D$65+0.04)*AF220)*EXP(-(LN(2)/$D$65+0.1)*AG220),IF(AD220=2,AI$100*EXP(-(LN(2)/$D$65+0.04)*(VLOOKUP(($F$16-$F$15)-1,AC$99:AG220,4,FALSE)))*EXP(-(LN(2)/$D$65+0.1)*(VLOOKUP(($F$16-$F$15)-1,AC$99:AG220,5,FALSE)))*EXP(-(LN(2)/$D$65+0.04)*AF220)*EXP(-(LN(2)/$D$65+0.1)*AG220),IF(AD220=3,AI$100*EXP(-(LN(2)/$D$65+0.04)*(VLOOKUP(($F$16-$F$15)-1,AC$99:AG220,4,FALSE)))*EXP(-(LN(2)/$D$65+0.1)*(VLOOKUP(($F$16-$F$15)-1,AC$99:AG220,5,FALSE)))*EXP(-(LN(2)/$D$65+0.04)*(VLOOKUP(($F$16-$F$15)*2-1,AC$99:AG220,4,FALSE)))*EXP(-(LN(2)/$D$65+0.1)*(VLOOKUP(($F$16-$F$15)*2-1,AC$99:AG220,5,FALSE)))*EXP(-(LN(2)/$D$65+0.04)*AF220)*EXP(-(LN(2)/$D$65+0.1)*AG220),"-"))),"-")</f>
        <v>-</v>
      </c>
      <c r="AJ221" s="271" t="str">
        <f>IFERROR(IF(AD221=1,AJ$100*EXP(-(LN(2)/$D$65+0.04)*AF221)*EXP(-(LN(2)/$D$65+0.1)*AG221),IF(AD221=2,AJ$100*EXP(-(LN(2)/$D$65+0.04)*(VLOOKUP(($F$16-$F$15)-1,AC$100:AG221,4,FALSE)))*EXP(-(LN(2)/$D$65+0.1)*(VLOOKUP(($F$16-$F$15)-1,AC$100:AG221,5,FALSE)))*EXP(-(LN(2)/$D$65+0.04)*AF221)*EXP(-(LN(2)/$D$65+0.1)*AG221),IF(AD221=3,AJ$100*EXP(-(LN(2)/$D$65+0.04)*(VLOOKUP(($F$16-$F$15)-1,AC$100:AG221,4,FALSE)))*EXP(-(LN(2)/$D$65+0.1)*(VLOOKUP(($F$16-$F$15)-1,AC$100:AG221,5,FALSE)))*EXP(-(LN(2)/$D$65+0.04)*(VLOOKUP(($F$16-$F$15)*2-1,AC$100:AG221,4,FALSE)))*EXP(-(LN(2)/$D$65+0.1)*(VLOOKUP(($F$16-$F$15)*2-1,AC$100:AG221,5,FALSE)))*EXP(-(LN(2)/$D$65+0.04)*AF221)*EXP(-(LN(2)/$D$65+0.1)*AG221),"-"))),"-")</f>
        <v>-</v>
      </c>
      <c r="AK221" s="227">
        <f t="shared" si="137"/>
        <v>121</v>
      </c>
      <c r="AL221" s="226" t="str">
        <f t="shared" si="111"/>
        <v>-</v>
      </c>
      <c r="AM221" s="227" t="str">
        <f t="shared" si="138"/>
        <v>-</v>
      </c>
      <c r="AN221" s="227" t="str">
        <f t="shared" si="139"/>
        <v>-</v>
      </c>
      <c r="AO221" s="227" t="str">
        <f t="shared" si="112"/>
        <v>-</v>
      </c>
      <c r="AP221" s="273">
        <f t="shared" si="140"/>
        <v>0.1</v>
      </c>
      <c r="AQ221" s="271" t="str">
        <f>IFERROR(IF(AL220=1,AQ$100*EXP(-(LN(2)/$D$65+0.04)*AN220)*EXP(-(LN(2)/$D$65+0.1)*AO220),IF(AL220=2,AQ$100*EXP(-(LN(2)/$D$65+0.04)*(VLOOKUP(($F$16-$F$15)-1,AK$99:AO220,4,FALSE)))*EXP(-(LN(2)/$D$65+0.1)*(VLOOKUP(($F$16-$F$15)-1,AK$99:AO220,5,FALSE)))*EXP(-(LN(2)/$D$65+0.04)*AN220)*EXP(-(LN(2)/$D$65+0.1)*AO220),IF(AL220=3,AQ$100*EXP(-(LN(2)/$D$65+0.04)*(VLOOKUP(($F$16-$F$15)-1,AK$99:AO220,4,FALSE)))*EXP(-(LN(2)/$D$65+0.1)*(VLOOKUP(($F$16-$F$15)-1,AK$99:AO220,5,FALSE)))*EXP(-(LN(2)/$D$65+0.04)*(VLOOKUP(($F$16-$F$15)*2-1,AK$99:AO220,4,FALSE)))*EXP(-(LN(2)/$D$65+0.1)*(VLOOKUP(($F$16-$F$15)*2-1,AK$99:AO220,5,FALSE)))*EXP(-(LN(2)/$D$65+0.04)*AN220)*EXP(-(LN(2)/$D$65+0.1)*AO220),"-"))),"-")</f>
        <v>-</v>
      </c>
      <c r="AR221" s="271" t="str">
        <f>IFERROR(IF(AL221=1,AR$100*EXP(-(LN(2)/$D$65+0.04)*AN221)*EXP(-(LN(2)/$D$65+0.1)*AO221),IF(AL221=2,AR$100*EXP(-(LN(2)/$D$65+0.04)*(VLOOKUP(($F$16-$F$15)-1,AK$100:AO221,4,FALSE)))*EXP(-(LN(2)/$D$65+0.1)*(VLOOKUP(($F$16-$F$15)-1,AK$100:AO221,5,FALSE)))*EXP(-(LN(2)/$D$65+0.04)*AN221)*EXP(-(LN(2)/$D$65+0.1)*AO221),IF(AL221=3,AR$100*EXP(-(LN(2)/$D$65+0.04)*(VLOOKUP(($F$16-$F$15)-1,AK$100:AO221,4,FALSE)))*EXP(-(LN(2)/$D$65+0.1)*(VLOOKUP(($F$16-$F$15)-1,AK$100:AO221,5,FALSE)))*EXP(-(LN(2)/$D$65+0.04)*(VLOOKUP(($F$16-$F$15)*2-1,AK$100:AO221,4,FALSE)))*EXP(-(LN(2)/$D$65+0.1)*(VLOOKUP(($F$16-$F$15)*2-1,AK$100:AO221,5,FALSE)))*EXP(-(LN(2)/$D$65+0.04)*AN221)*EXP(-(LN(2)/$D$65+0.1)*AO221),"-"))),"-")</f>
        <v>-</v>
      </c>
      <c r="AS221" s="274">
        <f t="shared" si="113"/>
        <v>0</v>
      </c>
      <c r="AT221" s="274">
        <f t="shared" si="114"/>
        <v>0</v>
      </c>
      <c r="AU221" s="274">
        <f t="shared" si="115"/>
        <v>0</v>
      </c>
      <c r="AV221" s="190" t="str">
        <f>IF($B221&lt;$F$22,SUM($T$100:$T221),"")</f>
        <v/>
      </c>
      <c r="AW221" s="190" t="str">
        <f t="shared" si="161"/>
        <v>-</v>
      </c>
      <c r="AX221" s="190" t="str">
        <f t="shared" si="141"/>
        <v/>
      </c>
      <c r="AY221"/>
      <c r="AZ221" s="190" t="str">
        <f ca="1">IF(ISNUMBER(OFFSET(AV221,-$F$21,0)),SUM(OFFSET($T$100,$F$21,0):$T221),"")</f>
        <v/>
      </c>
      <c r="BA221" s="190" t="str">
        <f t="shared" ca="1" si="162"/>
        <v/>
      </c>
      <c r="BB221" s="190" t="str">
        <f t="shared" ca="1" si="148"/>
        <v/>
      </c>
      <c r="BC221" s="190"/>
      <c r="BD221" s="190" t="str">
        <f ca="1">IFERROR(IF(OR(ISNUMBER(I),ISNUMBER($F$14)),IF(AND($B221&gt;=($F$16-$F$15),$B221&lt;$F$22+($F$16-$F$15)),SUM(OFFSET($T$100,($F$16-$F$15),0):$T221),""),""),"")</f>
        <v/>
      </c>
      <c r="BE221" s="190" t="str">
        <f t="shared" ca="1" si="142"/>
        <v/>
      </c>
      <c r="BF221" s="190" t="str">
        <f t="shared" ca="1" si="143"/>
        <v/>
      </c>
      <c r="BG221"/>
      <c r="BH221" s="190" t="str">
        <f ca="1">IF(ISNUMBER(OFFSET(BD221,-$F$21,0)),SUM(OFFSET($T$100,($F$16-$F$15+$F$21),0):$T221),"")</f>
        <v/>
      </c>
      <c r="BI221" s="190" t="str">
        <f t="shared" ca="1" si="163"/>
        <v/>
      </c>
      <c r="BJ221" s="190" t="str">
        <f t="shared" ca="1" si="144"/>
        <v/>
      </c>
      <c r="BK221" s="190"/>
      <c r="BL221" s="190" t="str">
        <f ca="1">IFERROR(IF(OR(ISNUMBER(I),ISNUMBER($F$14)),IF(AND($B221&gt;=($F$17-$F$15),$B221&lt;$F$22+($F$17-$F$15)),SUM(OFFSET($T$100,($F$17-$F$15),0):$T221),""),""),"")</f>
        <v/>
      </c>
      <c r="BM221" s="190" t="str">
        <f t="shared" ca="1" si="164"/>
        <v/>
      </c>
      <c r="BN221" s="190" t="str">
        <f t="shared" ca="1" si="145"/>
        <v/>
      </c>
      <c r="BO221"/>
      <c r="BP221" s="190" t="str">
        <f ca="1">IF(ISNUMBER(OFFSET(BL221,-$F$21,0)),SUM(OFFSET($T$100,($F$17-$F$15+$F$21),0):$T221),"")</f>
        <v/>
      </c>
      <c r="BQ221" s="190" t="str">
        <f t="shared" ca="1" si="165"/>
        <v/>
      </c>
      <c r="BR221" s="190" t="str">
        <f t="shared" ca="1" si="146"/>
        <v/>
      </c>
      <c r="BS221" s="190"/>
      <c r="BT221"/>
      <c r="BU221"/>
      <c r="BV221"/>
      <c r="BY221" s="99"/>
      <c r="BZ221" s="99"/>
      <c r="CA221" s="280" t="str">
        <f t="shared" si="166"/>
        <v/>
      </c>
      <c r="CB221" s="71" t="str">
        <f t="shared" si="122"/>
        <v>-</v>
      </c>
      <c r="CC221" s="33"/>
      <c r="CD221" s="261" t="str">
        <f t="shared" si="123"/>
        <v/>
      </c>
      <c r="CE221" s="280" t="str">
        <f t="shared" si="167"/>
        <v/>
      </c>
      <c r="CF221" s="71" t="str">
        <f t="shared" ca="1" si="168"/>
        <v/>
      </c>
      <c r="CG221" s="33" t="str">
        <f t="shared" si="126"/>
        <v/>
      </c>
      <c r="CH221" s="261" t="str">
        <f t="shared" ca="1" si="127"/>
        <v/>
      </c>
    </row>
    <row r="222" spans="2:86" ht="13.5" customHeight="1" x14ac:dyDescent="0.2">
      <c r="B222" s="262">
        <v>122</v>
      </c>
      <c r="C222" s="237" t="str">
        <f t="shared" si="91"/>
        <v/>
      </c>
      <c r="D222" s="237" t="str">
        <f t="shared" si="147"/>
        <v/>
      </c>
      <c r="E222" s="263" t="str">
        <f t="shared" si="128"/>
        <v/>
      </c>
      <c r="F222" s="264" t="str">
        <f t="shared" si="129"/>
        <v/>
      </c>
      <c r="G222" s="264" t="str">
        <f t="shared" si="130"/>
        <v/>
      </c>
      <c r="H222" s="240" t="str">
        <f t="shared" si="149"/>
        <v/>
      </c>
      <c r="I222" s="265" t="str">
        <f t="shared" si="150"/>
        <v/>
      </c>
      <c r="J222" s="265" t="str">
        <f t="shared" si="151"/>
        <v/>
      </c>
      <c r="K222" s="240" t="str">
        <f t="shared" si="152"/>
        <v/>
      </c>
      <c r="L222" s="265" t="str">
        <f t="shared" si="153"/>
        <v/>
      </c>
      <c r="M222" s="265" t="str">
        <f t="shared" si="154"/>
        <v/>
      </c>
      <c r="N222" s="240" t="str">
        <f t="shared" si="155"/>
        <v>-</v>
      </c>
      <c r="O222" s="265" t="str">
        <f t="shared" si="156"/>
        <v>-</v>
      </c>
      <c r="P222" s="265" t="str">
        <f t="shared" si="157"/>
        <v>-</v>
      </c>
      <c r="Q222" s="266" t="str">
        <f t="shared" si="158"/>
        <v>-</v>
      </c>
      <c r="R222" s="267" t="str">
        <f t="shared" si="159"/>
        <v>-</v>
      </c>
      <c r="S222" s="268" t="str">
        <f t="shared" si="160"/>
        <v>-</v>
      </c>
      <c r="T222" s="269" t="str">
        <f t="shared" si="104"/>
        <v/>
      </c>
      <c r="U222" s="221">
        <f t="shared" si="105"/>
        <v>122</v>
      </c>
      <c r="V222" s="220" t="str">
        <f t="shared" si="131"/>
        <v>-</v>
      </c>
      <c r="W222" s="221" t="str">
        <f t="shared" si="132"/>
        <v>-</v>
      </c>
      <c r="X222" s="221" t="str">
        <f t="shared" si="106"/>
        <v>-</v>
      </c>
      <c r="Y222" s="221" t="str">
        <f t="shared" si="107"/>
        <v>-</v>
      </c>
      <c r="Z222" s="270">
        <f t="shared" si="133"/>
        <v>0.1</v>
      </c>
      <c r="AA222" s="271" t="str">
        <f>IFERROR(IF(V221=1,AA$100*EXP(-(LN(2)/$D$65+0.04)*X221)*EXP(-(LN(2)/$D$65+0.1)*Y221),IF(V221=2,AA$100*EXP(-(LN(2)/$D$65+0.04)*(VLOOKUP(($F$16-$F$15)-1,U$99:Y221,4,FALSE)))*EXP(-(LN(2)/$D$65+0.1)*(VLOOKUP(($F$16-$F$15)-1,U$99:Y221,5,FALSE)))*EXP(-(LN(2)/$D$65+0.04)*X221)*EXP(-(LN(2)/$D$65+0.1)*Y221),IF(V221=3,AA$100*EXP(-(LN(2)/$D$65+0.04)*(VLOOKUP(($F$16-$F$15)-1,U$99:Y221,4,FALSE)))*EXP(-(LN(2)/$D$65+0.1)*(VLOOKUP(($F$16-$F$15)-1,U$99:Y221,5,FALSE)))*EXP(-(LN(2)/$D$65+0.04)*(VLOOKUP(($F$16-$F$15)*2-1,U$99:Y221,4,FALSE)))*EXP(-(LN(2)/$D$65+0.1)*(VLOOKUP(($F$16-$F$15)*2-1,U$99:Y221,5,FALSE)))*EXP(-(LN(2)/$D$65+0.04)*X221)*EXP(-(LN(2)/$D$65+0.1)*Y221),"-"))),"-")</f>
        <v>-</v>
      </c>
      <c r="AB222" s="271" t="str">
        <f>IFERROR(IF(V222=1,AB$100*EXP(-(LN(2)/$D$65+0.04)*X222)*EXP(-(LN(2)/$D$65+0.1)*Y222),IF(V222=2,AB$100*EXP(-(LN(2)/$D$65+0.04)*(VLOOKUP(($F$16-$F$15)-1,U$100:Y222,4,FALSE)))*EXP(-(LN(2)/$D$65+0.1)*(VLOOKUP(($F$16-$F$15)-1,U$100:Y222,5,FALSE)))*EXP(-(LN(2)/$D$65+0.04)*X222)*EXP(-(LN(2)/$D$65+0.1)*Y222),IF(V222=3,AB$100*EXP(-(LN(2)/$D$65+0.04)*(VLOOKUP(($F$16-$F$15)-1,U$100:Y222,4,FALSE)))*EXP(-(LN(2)/$D$65+0.1)*(VLOOKUP(($F$16-$F$15)-1,U$100:Y222,5,FALSE)))*EXP(-(LN(2)/$D$65+0.04)*(VLOOKUP(($F$16-$F$15)*2-1,U$100:Y222,4,FALSE)))*EXP(-(LN(2)/$D$65+0.1)*(VLOOKUP(($F$16-$F$15)*2-1,U$100:Y222,5,FALSE)))*EXP(-(LN(2)/$D$65+0.04)*X222)*EXP(-(LN(2)/$D$65+0.1)*Y222),"-"))),"-")</f>
        <v>-</v>
      </c>
      <c r="AC222" s="224">
        <f t="shared" si="134"/>
        <v>122</v>
      </c>
      <c r="AD222" s="223" t="str">
        <f t="shared" si="108"/>
        <v>-</v>
      </c>
      <c r="AE222" s="224" t="str">
        <f t="shared" si="135"/>
        <v>-</v>
      </c>
      <c r="AF222" s="224" t="str">
        <f t="shared" si="109"/>
        <v>-</v>
      </c>
      <c r="AG222" s="224" t="str">
        <f t="shared" si="110"/>
        <v>-</v>
      </c>
      <c r="AH222" s="272">
        <f t="shared" si="136"/>
        <v>0.1</v>
      </c>
      <c r="AI222" s="271" t="str">
        <f>IFERROR(IF(AD221=1,AI$100*EXP(-(LN(2)/$D$65+0.04)*AF221)*EXP(-(LN(2)/$D$65+0.1)*AG221),IF(AD221=2,AI$100*EXP(-(LN(2)/$D$65+0.04)*(VLOOKUP(($F$16-$F$15)-1,AC$99:AG221,4,FALSE)))*EXP(-(LN(2)/$D$65+0.1)*(VLOOKUP(($F$16-$F$15)-1,AC$99:AG221,5,FALSE)))*EXP(-(LN(2)/$D$65+0.04)*AF221)*EXP(-(LN(2)/$D$65+0.1)*AG221),IF(AD221=3,AI$100*EXP(-(LN(2)/$D$65+0.04)*(VLOOKUP(($F$16-$F$15)-1,AC$99:AG221,4,FALSE)))*EXP(-(LN(2)/$D$65+0.1)*(VLOOKUP(($F$16-$F$15)-1,AC$99:AG221,5,FALSE)))*EXP(-(LN(2)/$D$65+0.04)*(VLOOKUP(($F$16-$F$15)*2-1,AC$99:AG221,4,FALSE)))*EXP(-(LN(2)/$D$65+0.1)*(VLOOKUP(($F$16-$F$15)*2-1,AC$99:AG221,5,FALSE)))*EXP(-(LN(2)/$D$65+0.04)*AF221)*EXP(-(LN(2)/$D$65+0.1)*AG221),"-"))),"-")</f>
        <v>-</v>
      </c>
      <c r="AJ222" s="271" t="str">
        <f>IFERROR(IF(AD222=1,AJ$100*EXP(-(LN(2)/$D$65+0.04)*AF222)*EXP(-(LN(2)/$D$65+0.1)*AG222),IF(AD222=2,AJ$100*EXP(-(LN(2)/$D$65+0.04)*(VLOOKUP(($F$16-$F$15)-1,AC$100:AG222,4,FALSE)))*EXP(-(LN(2)/$D$65+0.1)*(VLOOKUP(($F$16-$F$15)-1,AC$100:AG222,5,FALSE)))*EXP(-(LN(2)/$D$65+0.04)*AF222)*EXP(-(LN(2)/$D$65+0.1)*AG222),IF(AD222=3,AJ$100*EXP(-(LN(2)/$D$65+0.04)*(VLOOKUP(($F$16-$F$15)-1,AC$100:AG222,4,FALSE)))*EXP(-(LN(2)/$D$65+0.1)*(VLOOKUP(($F$16-$F$15)-1,AC$100:AG222,5,FALSE)))*EXP(-(LN(2)/$D$65+0.04)*(VLOOKUP(($F$16-$F$15)*2-1,AC$100:AG222,4,FALSE)))*EXP(-(LN(2)/$D$65+0.1)*(VLOOKUP(($F$16-$F$15)*2-1,AC$100:AG222,5,FALSE)))*EXP(-(LN(2)/$D$65+0.04)*AF222)*EXP(-(LN(2)/$D$65+0.1)*AG222),"-"))),"-")</f>
        <v>-</v>
      </c>
      <c r="AK222" s="227">
        <f t="shared" si="137"/>
        <v>122</v>
      </c>
      <c r="AL222" s="226" t="str">
        <f t="shared" si="111"/>
        <v>-</v>
      </c>
      <c r="AM222" s="227" t="str">
        <f t="shared" si="138"/>
        <v>-</v>
      </c>
      <c r="AN222" s="227" t="str">
        <f t="shared" si="139"/>
        <v>-</v>
      </c>
      <c r="AO222" s="227" t="str">
        <f t="shared" si="112"/>
        <v>-</v>
      </c>
      <c r="AP222" s="273">
        <f t="shared" si="140"/>
        <v>0.1</v>
      </c>
      <c r="AQ222" s="271" t="str">
        <f>IFERROR(IF(AL221=1,AQ$100*EXP(-(LN(2)/$D$65+0.04)*AN221)*EXP(-(LN(2)/$D$65+0.1)*AO221),IF(AL221=2,AQ$100*EXP(-(LN(2)/$D$65+0.04)*(VLOOKUP(($F$16-$F$15)-1,AK$99:AO221,4,FALSE)))*EXP(-(LN(2)/$D$65+0.1)*(VLOOKUP(($F$16-$F$15)-1,AK$99:AO221,5,FALSE)))*EXP(-(LN(2)/$D$65+0.04)*AN221)*EXP(-(LN(2)/$D$65+0.1)*AO221),IF(AL221=3,AQ$100*EXP(-(LN(2)/$D$65+0.04)*(VLOOKUP(($F$16-$F$15)-1,AK$99:AO221,4,FALSE)))*EXP(-(LN(2)/$D$65+0.1)*(VLOOKUP(($F$16-$F$15)-1,AK$99:AO221,5,FALSE)))*EXP(-(LN(2)/$D$65+0.04)*(VLOOKUP(($F$16-$F$15)*2-1,AK$99:AO221,4,FALSE)))*EXP(-(LN(2)/$D$65+0.1)*(VLOOKUP(($F$16-$F$15)*2-1,AK$99:AO221,5,FALSE)))*EXP(-(LN(2)/$D$65+0.04)*AN221)*EXP(-(LN(2)/$D$65+0.1)*AO221),"-"))),"-")</f>
        <v>-</v>
      </c>
      <c r="AR222" s="271" t="str">
        <f>IFERROR(IF(AL222=1,AR$100*EXP(-(LN(2)/$D$65+0.04)*AN222)*EXP(-(LN(2)/$D$65+0.1)*AO222),IF(AL222=2,AR$100*EXP(-(LN(2)/$D$65+0.04)*(VLOOKUP(($F$16-$F$15)-1,AK$100:AO222,4,FALSE)))*EXP(-(LN(2)/$D$65+0.1)*(VLOOKUP(($F$16-$F$15)-1,AK$100:AO222,5,FALSE)))*EXP(-(LN(2)/$D$65+0.04)*AN222)*EXP(-(LN(2)/$D$65+0.1)*AO222),IF(AL222=3,AR$100*EXP(-(LN(2)/$D$65+0.04)*(VLOOKUP(($F$16-$F$15)-1,AK$100:AO222,4,FALSE)))*EXP(-(LN(2)/$D$65+0.1)*(VLOOKUP(($F$16-$F$15)-1,AK$100:AO222,5,FALSE)))*EXP(-(LN(2)/$D$65+0.04)*(VLOOKUP(($F$16-$F$15)*2-1,AK$100:AO222,4,FALSE)))*EXP(-(LN(2)/$D$65+0.1)*(VLOOKUP(($F$16-$F$15)*2-1,AK$100:AO222,5,FALSE)))*EXP(-(LN(2)/$D$65+0.04)*AN222)*EXP(-(LN(2)/$D$65+0.1)*AO222),"-"))),"-")</f>
        <v>-</v>
      </c>
      <c r="AS222" s="274">
        <f t="shared" si="113"/>
        <v>0</v>
      </c>
      <c r="AT222" s="274">
        <f t="shared" si="114"/>
        <v>0</v>
      </c>
      <c r="AU222" s="274">
        <f t="shared" si="115"/>
        <v>0</v>
      </c>
      <c r="AV222" s="190" t="str">
        <f>IF($B222&lt;$F$22,SUM($T$100:$T222),"")</f>
        <v/>
      </c>
      <c r="AW222" s="190" t="str">
        <f t="shared" si="161"/>
        <v>-</v>
      </c>
      <c r="AX222" s="190" t="str">
        <f t="shared" si="141"/>
        <v/>
      </c>
      <c r="AY222"/>
      <c r="AZ222" s="190" t="str">
        <f ca="1">IF(ISNUMBER(OFFSET(AV222,-$F$21,0)),SUM(OFFSET($T$100,$F$21,0):$T222),"")</f>
        <v/>
      </c>
      <c r="BA222" s="190" t="str">
        <f t="shared" ca="1" si="162"/>
        <v/>
      </c>
      <c r="BB222" s="190" t="str">
        <f t="shared" ca="1" si="148"/>
        <v/>
      </c>
      <c r="BC222" s="190"/>
      <c r="BD222" s="190" t="str">
        <f ca="1">IFERROR(IF(OR(ISNUMBER(I),ISNUMBER($F$14)),IF(AND($B222&gt;=($F$16-$F$15),$B222&lt;$F$22+($F$16-$F$15)),SUM(OFFSET($T$100,($F$16-$F$15),0):$T222),""),""),"")</f>
        <v/>
      </c>
      <c r="BE222" s="190" t="str">
        <f t="shared" ca="1" si="142"/>
        <v/>
      </c>
      <c r="BF222" s="190" t="str">
        <f t="shared" ca="1" si="143"/>
        <v/>
      </c>
      <c r="BG222"/>
      <c r="BH222" s="190" t="str">
        <f ca="1">IF(ISNUMBER(OFFSET(BD222,-$F$21,0)),SUM(OFFSET($T$100,($F$16-$F$15+$F$21),0):$T222),"")</f>
        <v/>
      </c>
      <c r="BI222" s="190" t="str">
        <f t="shared" ca="1" si="163"/>
        <v/>
      </c>
      <c r="BJ222" s="190" t="str">
        <f t="shared" ca="1" si="144"/>
        <v/>
      </c>
      <c r="BK222" s="190"/>
      <c r="BL222" s="190" t="str">
        <f ca="1">IFERROR(IF(OR(ISNUMBER(I),ISNUMBER($F$14)),IF(AND($B222&gt;=($F$17-$F$15),$B222&lt;$F$22+($F$17-$F$15)),SUM(OFFSET($T$100,($F$17-$F$15),0):$T222),""),""),"")</f>
        <v/>
      </c>
      <c r="BM222" s="190" t="str">
        <f t="shared" ca="1" si="164"/>
        <v/>
      </c>
      <c r="BN222" s="190" t="str">
        <f t="shared" ca="1" si="145"/>
        <v/>
      </c>
      <c r="BO222"/>
      <c r="BP222" s="190" t="str">
        <f ca="1">IF(ISNUMBER(OFFSET(BL222,-$F$21,0)),SUM(OFFSET($T$100,($F$17-$F$15+$F$21),0):$T222),"")</f>
        <v/>
      </c>
      <c r="BQ222" s="190" t="str">
        <f t="shared" ca="1" si="165"/>
        <v/>
      </c>
      <c r="BR222" s="190" t="str">
        <f t="shared" ca="1" si="146"/>
        <v/>
      </c>
      <c r="BS222" s="190"/>
      <c r="BT222"/>
      <c r="BU222"/>
      <c r="BV222"/>
      <c r="BY222" s="99"/>
      <c r="BZ222" s="99"/>
      <c r="CA222" s="280" t="str">
        <f t="shared" si="166"/>
        <v/>
      </c>
      <c r="CB222" s="71" t="str">
        <f t="shared" si="122"/>
        <v>-</v>
      </c>
      <c r="CC222" s="33"/>
      <c r="CD222" s="261" t="str">
        <f t="shared" si="123"/>
        <v/>
      </c>
      <c r="CE222" s="280" t="str">
        <f t="shared" si="167"/>
        <v/>
      </c>
      <c r="CF222" s="71" t="str">
        <f t="shared" ca="1" si="168"/>
        <v/>
      </c>
      <c r="CG222" s="33" t="str">
        <f t="shared" si="126"/>
        <v/>
      </c>
      <c r="CH222" s="261" t="str">
        <f t="shared" ca="1" si="127"/>
        <v/>
      </c>
    </row>
    <row r="223" spans="2:86" ht="13.5" customHeight="1" x14ac:dyDescent="0.2">
      <c r="B223" s="262">
        <v>123</v>
      </c>
      <c r="C223" s="237" t="str">
        <f t="shared" si="91"/>
        <v/>
      </c>
      <c r="D223" s="237" t="str">
        <f t="shared" si="147"/>
        <v/>
      </c>
      <c r="E223" s="263" t="str">
        <f t="shared" si="128"/>
        <v/>
      </c>
      <c r="F223" s="264" t="str">
        <f t="shared" si="129"/>
        <v/>
      </c>
      <c r="G223" s="264" t="str">
        <f t="shared" si="130"/>
        <v/>
      </c>
      <c r="H223" s="240" t="str">
        <f t="shared" si="149"/>
        <v/>
      </c>
      <c r="I223" s="265" t="str">
        <f t="shared" si="150"/>
        <v/>
      </c>
      <c r="J223" s="265" t="str">
        <f t="shared" si="151"/>
        <v/>
      </c>
      <c r="K223" s="240" t="str">
        <f t="shared" si="152"/>
        <v/>
      </c>
      <c r="L223" s="265" t="str">
        <f t="shared" si="153"/>
        <v/>
      </c>
      <c r="M223" s="265" t="str">
        <f t="shared" si="154"/>
        <v/>
      </c>
      <c r="N223" s="240" t="str">
        <f t="shared" si="155"/>
        <v>-</v>
      </c>
      <c r="O223" s="265" t="str">
        <f t="shared" si="156"/>
        <v>-</v>
      </c>
      <c r="P223" s="265" t="str">
        <f t="shared" si="157"/>
        <v>-</v>
      </c>
      <c r="Q223" s="266" t="str">
        <f t="shared" si="158"/>
        <v>-</v>
      </c>
      <c r="R223" s="267" t="str">
        <f t="shared" si="159"/>
        <v>-</v>
      </c>
      <c r="S223" s="268" t="str">
        <f t="shared" si="160"/>
        <v>-</v>
      </c>
      <c r="T223" s="269" t="str">
        <f t="shared" si="104"/>
        <v/>
      </c>
      <c r="U223" s="221">
        <f t="shared" si="105"/>
        <v>123</v>
      </c>
      <c r="V223" s="220" t="str">
        <f t="shared" si="131"/>
        <v>-</v>
      </c>
      <c r="W223" s="221" t="str">
        <f t="shared" si="132"/>
        <v>-</v>
      </c>
      <c r="X223" s="221" t="str">
        <f t="shared" si="106"/>
        <v>-</v>
      </c>
      <c r="Y223" s="221" t="str">
        <f t="shared" si="107"/>
        <v>-</v>
      </c>
      <c r="Z223" s="270">
        <f t="shared" si="133"/>
        <v>0.1</v>
      </c>
      <c r="AA223" s="271" t="str">
        <f>IFERROR(IF(V222=1,AA$100*EXP(-(LN(2)/$D$65+0.04)*X222)*EXP(-(LN(2)/$D$65+0.1)*Y222),IF(V222=2,AA$100*EXP(-(LN(2)/$D$65+0.04)*(VLOOKUP(($F$16-$F$15)-1,U$99:Y222,4,FALSE)))*EXP(-(LN(2)/$D$65+0.1)*(VLOOKUP(($F$16-$F$15)-1,U$99:Y222,5,FALSE)))*EXP(-(LN(2)/$D$65+0.04)*X222)*EXP(-(LN(2)/$D$65+0.1)*Y222),IF(V222=3,AA$100*EXP(-(LN(2)/$D$65+0.04)*(VLOOKUP(($F$16-$F$15)-1,U$99:Y222,4,FALSE)))*EXP(-(LN(2)/$D$65+0.1)*(VLOOKUP(($F$16-$F$15)-1,U$99:Y222,5,FALSE)))*EXP(-(LN(2)/$D$65+0.04)*(VLOOKUP(($F$16-$F$15)*2-1,U$99:Y222,4,FALSE)))*EXP(-(LN(2)/$D$65+0.1)*(VLOOKUP(($F$16-$F$15)*2-1,U$99:Y222,5,FALSE)))*EXP(-(LN(2)/$D$65+0.04)*X222)*EXP(-(LN(2)/$D$65+0.1)*Y222),"-"))),"-")</f>
        <v>-</v>
      </c>
      <c r="AB223" s="271" t="str">
        <f>IFERROR(IF(V223=1,AB$100*EXP(-(LN(2)/$D$65+0.04)*X223)*EXP(-(LN(2)/$D$65+0.1)*Y223),IF(V223=2,AB$100*EXP(-(LN(2)/$D$65+0.04)*(VLOOKUP(($F$16-$F$15)-1,U$100:Y223,4,FALSE)))*EXP(-(LN(2)/$D$65+0.1)*(VLOOKUP(($F$16-$F$15)-1,U$100:Y223,5,FALSE)))*EXP(-(LN(2)/$D$65+0.04)*X223)*EXP(-(LN(2)/$D$65+0.1)*Y223),IF(V223=3,AB$100*EXP(-(LN(2)/$D$65+0.04)*(VLOOKUP(($F$16-$F$15)-1,U$100:Y223,4,FALSE)))*EXP(-(LN(2)/$D$65+0.1)*(VLOOKUP(($F$16-$F$15)-1,U$100:Y223,5,FALSE)))*EXP(-(LN(2)/$D$65+0.04)*(VLOOKUP(($F$16-$F$15)*2-1,U$100:Y223,4,FALSE)))*EXP(-(LN(2)/$D$65+0.1)*(VLOOKUP(($F$16-$F$15)*2-1,U$100:Y223,5,FALSE)))*EXP(-(LN(2)/$D$65+0.04)*X223)*EXP(-(LN(2)/$D$65+0.1)*Y223),"-"))),"-")</f>
        <v>-</v>
      </c>
      <c r="AC223" s="224">
        <f t="shared" si="134"/>
        <v>123</v>
      </c>
      <c r="AD223" s="223" t="str">
        <f t="shared" si="108"/>
        <v>-</v>
      </c>
      <c r="AE223" s="224" t="str">
        <f t="shared" si="135"/>
        <v>-</v>
      </c>
      <c r="AF223" s="224" t="str">
        <f t="shared" si="109"/>
        <v>-</v>
      </c>
      <c r="AG223" s="224" t="str">
        <f t="shared" si="110"/>
        <v>-</v>
      </c>
      <c r="AH223" s="272">
        <f t="shared" si="136"/>
        <v>0.1</v>
      </c>
      <c r="AI223" s="271" t="str">
        <f>IFERROR(IF(AD222=1,AI$100*EXP(-(LN(2)/$D$65+0.04)*AF222)*EXP(-(LN(2)/$D$65+0.1)*AG222),IF(AD222=2,AI$100*EXP(-(LN(2)/$D$65+0.04)*(VLOOKUP(($F$16-$F$15)-1,AC$99:AG222,4,FALSE)))*EXP(-(LN(2)/$D$65+0.1)*(VLOOKUP(($F$16-$F$15)-1,AC$99:AG222,5,FALSE)))*EXP(-(LN(2)/$D$65+0.04)*AF222)*EXP(-(LN(2)/$D$65+0.1)*AG222),IF(AD222=3,AI$100*EXP(-(LN(2)/$D$65+0.04)*(VLOOKUP(($F$16-$F$15)-1,AC$99:AG222,4,FALSE)))*EXP(-(LN(2)/$D$65+0.1)*(VLOOKUP(($F$16-$F$15)-1,AC$99:AG222,5,FALSE)))*EXP(-(LN(2)/$D$65+0.04)*(VLOOKUP(($F$16-$F$15)*2-1,AC$99:AG222,4,FALSE)))*EXP(-(LN(2)/$D$65+0.1)*(VLOOKUP(($F$16-$F$15)*2-1,AC$99:AG222,5,FALSE)))*EXP(-(LN(2)/$D$65+0.04)*AF222)*EXP(-(LN(2)/$D$65+0.1)*AG222),"-"))),"-")</f>
        <v>-</v>
      </c>
      <c r="AJ223" s="271" t="str">
        <f>IFERROR(IF(AD223=1,AJ$100*EXP(-(LN(2)/$D$65+0.04)*AF223)*EXP(-(LN(2)/$D$65+0.1)*AG223),IF(AD223=2,AJ$100*EXP(-(LN(2)/$D$65+0.04)*(VLOOKUP(($F$16-$F$15)-1,AC$100:AG223,4,FALSE)))*EXP(-(LN(2)/$D$65+0.1)*(VLOOKUP(($F$16-$F$15)-1,AC$100:AG223,5,FALSE)))*EXP(-(LN(2)/$D$65+0.04)*AF223)*EXP(-(LN(2)/$D$65+0.1)*AG223),IF(AD223=3,AJ$100*EXP(-(LN(2)/$D$65+0.04)*(VLOOKUP(($F$16-$F$15)-1,AC$100:AG223,4,FALSE)))*EXP(-(LN(2)/$D$65+0.1)*(VLOOKUP(($F$16-$F$15)-1,AC$100:AG223,5,FALSE)))*EXP(-(LN(2)/$D$65+0.04)*(VLOOKUP(($F$16-$F$15)*2-1,AC$100:AG223,4,FALSE)))*EXP(-(LN(2)/$D$65+0.1)*(VLOOKUP(($F$16-$F$15)*2-1,AC$100:AG223,5,FALSE)))*EXP(-(LN(2)/$D$65+0.04)*AF223)*EXP(-(LN(2)/$D$65+0.1)*AG223),"-"))),"-")</f>
        <v>-</v>
      </c>
      <c r="AK223" s="227">
        <f t="shared" si="137"/>
        <v>123</v>
      </c>
      <c r="AL223" s="226" t="str">
        <f t="shared" si="111"/>
        <v>-</v>
      </c>
      <c r="AM223" s="227" t="str">
        <f t="shared" si="138"/>
        <v>-</v>
      </c>
      <c r="AN223" s="227" t="str">
        <f t="shared" si="139"/>
        <v>-</v>
      </c>
      <c r="AO223" s="227" t="str">
        <f t="shared" si="112"/>
        <v>-</v>
      </c>
      <c r="AP223" s="273">
        <f t="shared" si="140"/>
        <v>0.1</v>
      </c>
      <c r="AQ223" s="271" t="str">
        <f>IFERROR(IF(AL222=1,AQ$100*EXP(-(LN(2)/$D$65+0.04)*AN222)*EXP(-(LN(2)/$D$65+0.1)*AO222),IF(AL222=2,AQ$100*EXP(-(LN(2)/$D$65+0.04)*(VLOOKUP(($F$16-$F$15)-1,AK$99:AO222,4,FALSE)))*EXP(-(LN(2)/$D$65+0.1)*(VLOOKUP(($F$16-$F$15)-1,AK$99:AO222,5,FALSE)))*EXP(-(LN(2)/$D$65+0.04)*AN222)*EXP(-(LN(2)/$D$65+0.1)*AO222),IF(AL222=3,AQ$100*EXP(-(LN(2)/$D$65+0.04)*(VLOOKUP(($F$16-$F$15)-1,AK$99:AO222,4,FALSE)))*EXP(-(LN(2)/$D$65+0.1)*(VLOOKUP(($F$16-$F$15)-1,AK$99:AO222,5,FALSE)))*EXP(-(LN(2)/$D$65+0.04)*(VLOOKUP(($F$16-$F$15)*2-1,AK$99:AO222,4,FALSE)))*EXP(-(LN(2)/$D$65+0.1)*(VLOOKUP(($F$16-$F$15)*2-1,AK$99:AO222,5,FALSE)))*EXP(-(LN(2)/$D$65+0.04)*AN222)*EXP(-(LN(2)/$D$65+0.1)*AO222),"-"))),"-")</f>
        <v>-</v>
      </c>
      <c r="AR223" s="271" t="str">
        <f>IFERROR(IF(AL223=1,AR$100*EXP(-(LN(2)/$D$65+0.04)*AN223)*EXP(-(LN(2)/$D$65+0.1)*AO223),IF(AL223=2,AR$100*EXP(-(LN(2)/$D$65+0.04)*(VLOOKUP(($F$16-$F$15)-1,AK$100:AO223,4,FALSE)))*EXP(-(LN(2)/$D$65+0.1)*(VLOOKUP(($F$16-$F$15)-1,AK$100:AO223,5,FALSE)))*EXP(-(LN(2)/$D$65+0.04)*AN223)*EXP(-(LN(2)/$D$65+0.1)*AO223),IF(AL223=3,AR$100*EXP(-(LN(2)/$D$65+0.04)*(VLOOKUP(($F$16-$F$15)-1,AK$100:AO223,4,FALSE)))*EXP(-(LN(2)/$D$65+0.1)*(VLOOKUP(($F$16-$F$15)-1,AK$100:AO223,5,FALSE)))*EXP(-(LN(2)/$D$65+0.04)*(VLOOKUP(($F$16-$F$15)*2-1,AK$100:AO223,4,FALSE)))*EXP(-(LN(2)/$D$65+0.1)*(VLOOKUP(($F$16-$F$15)*2-1,AK$100:AO223,5,FALSE)))*EXP(-(LN(2)/$D$65+0.04)*AN223)*EXP(-(LN(2)/$D$65+0.1)*AO223),"-"))),"-")</f>
        <v>-</v>
      </c>
      <c r="AS223" s="274">
        <f t="shared" si="113"/>
        <v>0</v>
      </c>
      <c r="AT223" s="274">
        <f t="shared" si="114"/>
        <v>0</v>
      </c>
      <c r="AU223" s="274">
        <f t="shared" si="115"/>
        <v>0</v>
      </c>
      <c r="AV223" s="190" t="str">
        <f>IF($B223&lt;$F$22,SUM($T$100:$T223),"")</f>
        <v/>
      </c>
      <c r="AW223" s="190" t="str">
        <f t="shared" si="161"/>
        <v>-</v>
      </c>
      <c r="AX223" s="190" t="str">
        <f t="shared" si="141"/>
        <v/>
      </c>
      <c r="AY223"/>
      <c r="AZ223" s="190" t="str">
        <f ca="1">IF(ISNUMBER(OFFSET(AV223,-$F$21,0)),SUM(OFFSET($T$100,$F$21,0):$T223),"")</f>
        <v/>
      </c>
      <c r="BA223" s="190" t="str">
        <f t="shared" ca="1" si="162"/>
        <v/>
      </c>
      <c r="BB223" s="190" t="str">
        <f t="shared" ca="1" si="148"/>
        <v/>
      </c>
      <c r="BC223" s="190"/>
      <c r="BD223" s="190" t="str">
        <f ca="1">IFERROR(IF(OR(ISNUMBER(I),ISNUMBER($F$14)),IF(AND($B223&gt;=($F$16-$F$15),$B223&lt;$F$22+($F$16-$F$15)),SUM(OFFSET($T$100,($F$16-$F$15),0):$T223),""),""),"")</f>
        <v/>
      </c>
      <c r="BE223" s="190" t="str">
        <f t="shared" ca="1" si="142"/>
        <v/>
      </c>
      <c r="BF223" s="190" t="str">
        <f t="shared" ca="1" si="143"/>
        <v/>
      </c>
      <c r="BG223"/>
      <c r="BH223" s="190" t="str">
        <f ca="1">IF(ISNUMBER(OFFSET(BD223,-$F$21,0)),SUM(OFFSET($T$100,($F$16-$F$15+$F$21),0):$T223),"")</f>
        <v/>
      </c>
      <c r="BI223" s="190" t="str">
        <f t="shared" ca="1" si="163"/>
        <v/>
      </c>
      <c r="BJ223" s="190" t="str">
        <f t="shared" ca="1" si="144"/>
        <v/>
      </c>
      <c r="BK223" s="190"/>
      <c r="BL223" s="190" t="str">
        <f ca="1">IFERROR(IF(OR(ISNUMBER(I),ISNUMBER($F$14)),IF(AND($B223&gt;=($F$17-$F$15),$B223&lt;$F$22+($F$17-$F$15)),SUM(OFFSET($T$100,($F$17-$F$15),0):$T223),""),""),"")</f>
        <v/>
      </c>
      <c r="BM223" s="190" t="str">
        <f t="shared" ca="1" si="164"/>
        <v/>
      </c>
      <c r="BN223" s="190" t="str">
        <f t="shared" ca="1" si="145"/>
        <v/>
      </c>
      <c r="BO223"/>
      <c r="BP223" s="190" t="str">
        <f ca="1">IF(ISNUMBER(OFFSET(BL223,-$F$21,0)),SUM(OFFSET($T$100,($F$17-$F$15+$F$21),0):$T223),"")</f>
        <v/>
      </c>
      <c r="BQ223" s="190" t="str">
        <f t="shared" ca="1" si="165"/>
        <v/>
      </c>
      <c r="BR223" s="190" t="str">
        <f t="shared" ca="1" si="146"/>
        <v/>
      </c>
      <c r="BS223" s="190"/>
      <c r="BT223"/>
      <c r="BU223"/>
      <c r="BV223"/>
      <c r="BY223" s="99"/>
      <c r="BZ223" s="99"/>
      <c r="CA223" s="280" t="str">
        <f t="shared" si="166"/>
        <v/>
      </c>
      <c r="CB223" s="71" t="str">
        <f t="shared" si="122"/>
        <v>-</v>
      </c>
      <c r="CC223" s="33"/>
      <c r="CD223" s="261" t="str">
        <f t="shared" si="123"/>
        <v/>
      </c>
      <c r="CE223" s="280" t="str">
        <f t="shared" si="167"/>
        <v/>
      </c>
      <c r="CF223" s="71" t="str">
        <f t="shared" ca="1" si="168"/>
        <v/>
      </c>
      <c r="CG223" s="33" t="str">
        <f t="shared" si="126"/>
        <v/>
      </c>
      <c r="CH223" s="261" t="str">
        <f t="shared" ca="1" si="127"/>
        <v/>
      </c>
    </row>
    <row r="224" spans="2:86" ht="13.5" customHeight="1" x14ac:dyDescent="0.2">
      <c r="B224" s="262">
        <v>124</v>
      </c>
      <c r="C224" s="237" t="str">
        <f t="shared" si="91"/>
        <v/>
      </c>
      <c r="D224" s="237" t="str">
        <f t="shared" si="147"/>
        <v/>
      </c>
      <c r="E224" s="263" t="str">
        <f t="shared" si="128"/>
        <v/>
      </c>
      <c r="F224" s="264" t="str">
        <f t="shared" si="129"/>
        <v/>
      </c>
      <c r="G224" s="264" t="str">
        <f t="shared" si="130"/>
        <v/>
      </c>
      <c r="H224" s="240" t="str">
        <f t="shared" si="149"/>
        <v/>
      </c>
      <c r="I224" s="265" t="str">
        <f t="shared" si="150"/>
        <v/>
      </c>
      <c r="J224" s="265" t="str">
        <f t="shared" si="151"/>
        <v/>
      </c>
      <c r="K224" s="240" t="str">
        <f t="shared" si="152"/>
        <v/>
      </c>
      <c r="L224" s="265" t="str">
        <f t="shared" si="153"/>
        <v/>
      </c>
      <c r="M224" s="265" t="str">
        <f t="shared" si="154"/>
        <v/>
      </c>
      <c r="N224" s="240" t="str">
        <f t="shared" si="155"/>
        <v>-</v>
      </c>
      <c r="O224" s="265" t="str">
        <f t="shared" si="156"/>
        <v>-</v>
      </c>
      <c r="P224" s="265" t="str">
        <f t="shared" si="157"/>
        <v>-</v>
      </c>
      <c r="Q224" s="266" t="str">
        <f t="shared" si="158"/>
        <v>-</v>
      </c>
      <c r="R224" s="267" t="str">
        <f t="shared" si="159"/>
        <v>-</v>
      </c>
      <c r="S224" s="268" t="str">
        <f t="shared" si="160"/>
        <v>-</v>
      </c>
      <c r="T224" s="269" t="str">
        <f t="shared" si="104"/>
        <v/>
      </c>
      <c r="U224" s="221">
        <f t="shared" si="105"/>
        <v>124</v>
      </c>
      <c r="V224" s="220" t="str">
        <f t="shared" si="131"/>
        <v>-</v>
      </c>
      <c r="W224" s="221" t="str">
        <f t="shared" si="132"/>
        <v>-</v>
      </c>
      <c r="X224" s="221" t="str">
        <f t="shared" si="106"/>
        <v>-</v>
      </c>
      <c r="Y224" s="221" t="str">
        <f t="shared" si="107"/>
        <v>-</v>
      </c>
      <c r="Z224" s="270">
        <f t="shared" si="133"/>
        <v>0.1</v>
      </c>
      <c r="AA224" s="271" t="str">
        <f>IFERROR(IF(V223=1,AA$100*EXP(-(LN(2)/$D$65+0.04)*X223)*EXP(-(LN(2)/$D$65+0.1)*Y223),IF(V223=2,AA$100*EXP(-(LN(2)/$D$65+0.04)*(VLOOKUP(($F$16-$F$15)-1,U$99:Y223,4,FALSE)))*EXP(-(LN(2)/$D$65+0.1)*(VLOOKUP(($F$16-$F$15)-1,U$99:Y223,5,FALSE)))*EXP(-(LN(2)/$D$65+0.04)*X223)*EXP(-(LN(2)/$D$65+0.1)*Y223),IF(V223=3,AA$100*EXP(-(LN(2)/$D$65+0.04)*(VLOOKUP(($F$16-$F$15)-1,U$99:Y223,4,FALSE)))*EXP(-(LN(2)/$D$65+0.1)*(VLOOKUP(($F$16-$F$15)-1,U$99:Y223,5,FALSE)))*EXP(-(LN(2)/$D$65+0.04)*(VLOOKUP(($F$16-$F$15)*2-1,U$99:Y223,4,FALSE)))*EXP(-(LN(2)/$D$65+0.1)*(VLOOKUP(($F$16-$F$15)*2-1,U$99:Y223,5,FALSE)))*EXP(-(LN(2)/$D$65+0.04)*X223)*EXP(-(LN(2)/$D$65+0.1)*Y223),"-"))),"-")</f>
        <v>-</v>
      </c>
      <c r="AB224" s="271" t="str">
        <f>IFERROR(IF(V224=1,AB$100*EXP(-(LN(2)/$D$65+0.04)*X224)*EXP(-(LN(2)/$D$65+0.1)*Y224),IF(V224=2,AB$100*EXP(-(LN(2)/$D$65+0.04)*(VLOOKUP(($F$16-$F$15)-1,U$100:Y224,4,FALSE)))*EXP(-(LN(2)/$D$65+0.1)*(VLOOKUP(($F$16-$F$15)-1,U$100:Y224,5,FALSE)))*EXP(-(LN(2)/$D$65+0.04)*X224)*EXP(-(LN(2)/$D$65+0.1)*Y224),IF(V224=3,AB$100*EXP(-(LN(2)/$D$65+0.04)*(VLOOKUP(($F$16-$F$15)-1,U$100:Y224,4,FALSE)))*EXP(-(LN(2)/$D$65+0.1)*(VLOOKUP(($F$16-$F$15)-1,U$100:Y224,5,FALSE)))*EXP(-(LN(2)/$D$65+0.04)*(VLOOKUP(($F$16-$F$15)*2-1,U$100:Y224,4,FALSE)))*EXP(-(LN(2)/$D$65+0.1)*(VLOOKUP(($F$16-$F$15)*2-1,U$100:Y224,5,FALSE)))*EXP(-(LN(2)/$D$65+0.04)*X224)*EXP(-(LN(2)/$D$65+0.1)*Y224),"-"))),"-")</f>
        <v>-</v>
      </c>
      <c r="AC224" s="224">
        <f t="shared" si="134"/>
        <v>124</v>
      </c>
      <c r="AD224" s="223" t="str">
        <f t="shared" si="108"/>
        <v>-</v>
      </c>
      <c r="AE224" s="224" t="str">
        <f t="shared" si="135"/>
        <v>-</v>
      </c>
      <c r="AF224" s="224" t="str">
        <f t="shared" si="109"/>
        <v>-</v>
      </c>
      <c r="AG224" s="224" t="str">
        <f t="shared" si="110"/>
        <v>-</v>
      </c>
      <c r="AH224" s="272">
        <f t="shared" si="136"/>
        <v>0.1</v>
      </c>
      <c r="AI224" s="271" t="str">
        <f>IFERROR(IF(AD223=1,AI$100*EXP(-(LN(2)/$D$65+0.04)*AF223)*EXP(-(LN(2)/$D$65+0.1)*AG223),IF(AD223=2,AI$100*EXP(-(LN(2)/$D$65+0.04)*(VLOOKUP(($F$16-$F$15)-1,AC$99:AG223,4,FALSE)))*EXP(-(LN(2)/$D$65+0.1)*(VLOOKUP(($F$16-$F$15)-1,AC$99:AG223,5,FALSE)))*EXP(-(LN(2)/$D$65+0.04)*AF223)*EXP(-(LN(2)/$D$65+0.1)*AG223),IF(AD223=3,AI$100*EXP(-(LN(2)/$D$65+0.04)*(VLOOKUP(($F$16-$F$15)-1,AC$99:AG223,4,FALSE)))*EXP(-(LN(2)/$D$65+0.1)*(VLOOKUP(($F$16-$F$15)-1,AC$99:AG223,5,FALSE)))*EXP(-(LN(2)/$D$65+0.04)*(VLOOKUP(($F$16-$F$15)*2-1,AC$99:AG223,4,FALSE)))*EXP(-(LN(2)/$D$65+0.1)*(VLOOKUP(($F$16-$F$15)*2-1,AC$99:AG223,5,FALSE)))*EXP(-(LN(2)/$D$65+0.04)*AF223)*EXP(-(LN(2)/$D$65+0.1)*AG223),"-"))),"-")</f>
        <v>-</v>
      </c>
      <c r="AJ224" s="271" t="str">
        <f>IFERROR(IF(AD224=1,AJ$100*EXP(-(LN(2)/$D$65+0.04)*AF224)*EXP(-(LN(2)/$D$65+0.1)*AG224),IF(AD224=2,AJ$100*EXP(-(LN(2)/$D$65+0.04)*(VLOOKUP(($F$16-$F$15)-1,AC$100:AG224,4,FALSE)))*EXP(-(LN(2)/$D$65+0.1)*(VLOOKUP(($F$16-$F$15)-1,AC$100:AG224,5,FALSE)))*EXP(-(LN(2)/$D$65+0.04)*AF224)*EXP(-(LN(2)/$D$65+0.1)*AG224),IF(AD224=3,AJ$100*EXP(-(LN(2)/$D$65+0.04)*(VLOOKUP(($F$16-$F$15)-1,AC$100:AG224,4,FALSE)))*EXP(-(LN(2)/$D$65+0.1)*(VLOOKUP(($F$16-$F$15)-1,AC$100:AG224,5,FALSE)))*EXP(-(LN(2)/$D$65+0.04)*(VLOOKUP(($F$16-$F$15)*2-1,AC$100:AG224,4,FALSE)))*EXP(-(LN(2)/$D$65+0.1)*(VLOOKUP(($F$16-$F$15)*2-1,AC$100:AG224,5,FALSE)))*EXP(-(LN(2)/$D$65+0.04)*AF224)*EXP(-(LN(2)/$D$65+0.1)*AG224),"-"))),"-")</f>
        <v>-</v>
      </c>
      <c r="AK224" s="227">
        <f t="shared" si="137"/>
        <v>124</v>
      </c>
      <c r="AL224" s="226" t="str">
        <f t="shared" si="111"/>
        <v>-</v>
      </c>
      <c r="AM224" s="227" t="str">
        <f t="shared" si="138"/>
        <v>-</v>
      </c>
      <c r="AN224" s="227" t="str">
        <f t="shared" si="139"/>
        <v>-</v>
      </c>
      <c r="AO224" s="227" t="str">
        <f t="shared" si="112"/>
        <v>-</v>
      </c>
      <c r="AP224" s="273">
        <f t="shared" si="140"/>
        <v>0.1</v>
      </c>
      <c r="AQ224" s="271" t="str">
        <f>IFERROR(IF(AL223=1,AQ$100*EXP(-(LN(2)/$D$65+0.04)*AN223)*EXP(-(LN(2)/$D$65+0.1)*AO223),IF(AL223=2,AQ$100*EXP(-(LN(2)/$D$65+0.04)*(VLOOKUP(($F$16-$F$15)-1,AK$99:AO223,4,FALSE)))*EXP(-(LN(2)/$D$65+0.1)*(VLOOKUP(($F$16-$F$15)-1,AK$99:AO223,5,FALSE)))*EXP(-(LN(2)/$D$65+0.04)*AN223)*EXP(-(LN(2)/$D$65+0.1)*AO223),IF(AL223=3,AQ$100*EXP(-(LN(2)/$D$65+0.04)*(VLOOKUP(($F$16-$F$15)-1,AK$99:AO223,4,FALSE)))*EXP(-(LN(2)/$D$65+0.1)*(VLOOKUP(($F$16-$F$15)-1,AK$99:AO223,5,FALSE)))*EXP(-(LN(2)/$D$65+0.04)*(VLOOKUP(($F$16-$F$15)*2-1,AK$99:AO223,4,FALSE)))*EXP(-(LN(2)/$D$65+0.1)*(VLOOKUP(($F$16-$F$15)*2-1,AK$99:AO223,5,FALSE)))*EXP(-(LN(2)/$D$65+0.04)*AN223)*EXP(-(LN(2)/$D$65+0.1)*AO223),"-"))),"-")</f>
        <v>-</v>
      </c>
      <c r="AR224" s="271" t="str">
        <f>IFERROR(IF(AL224=1,AR$100*EXP(-(LN(2)/$D$65+0.04)*AN224)*EXP(-(LN(2)/$D$65+0.1)*AO224),IF(AL224=2,AR$100*EXP(-(LN(2)/$D$65+0.04)*(VLOOKUP(($F$16-$F$15)-1,AK$100:AO224,4,FALSE)))*EXP(-(LN(2)/$D$65+0.1)*(VLOOKUP(($F$16-$F$15)-1,AK$100:AO224,5,FALSE)))*EXP(-(LN(2)/$D$65+0.04)*AN224)*EXP(-(LN(2)/$D$65+0.1)*AO224),IF(AL224=3,AR$100*EXP(-(LN(2)/$D$65+0.04)*(VLOOKUP(($F$16-$F$15)-1,AK$100:AO224,4,FALSE)))*EXP(-(LN(2)/$D$65+0.1)*(VLOOKUP(($F$16-$F$15)-1,AK$100:AO224,5,FALSE)))*EXP(-(LN(2)/$D$65+0.04)*(VLOOKUP(($F$16-$F$15)*2-1,AK$100:AO224,4,FALSE)))*EXP(-(LN(2)/$D$65+0.1)*(VLOOKUP(($F$16-$F$15)*2-1,AK$100:AO224,5,FALSE)))*EXP(-(LN(2)/$D$65+0.04)*AN224)*EXP(-(LN(2)/$D$65+0.1)*AO224),"-"))),"-")</f>
        <v>-</v>
      </c>
      <c r="AS224" s="274">
        <f t="shared" si="113"/>
        <v>0</v>
      </c>
      <c r="AT224" s="274">
        <f t="shared" si="114"/>
        <v>0</v>
      </c>
      <c r="AU224" s="274">
        <f t="shared" si="115"/>
        <v>0</v>
      </c>
      <c r="AV224" s="190" t="str">
        <f>IF($B224&lt;$F$22,SUM($T$100:$T224),"")</f>
        <v/>
      </c>
      <c r="AW224" s="190" t="str">
        <f t="shared" si="161"/>
        <v>-</v>
      </c>
      <c r="AX224" s="190" t="str">
        <f t="shared" si="141"/>
        <v/>
      </c>
      <c r="AY224"/>
      <c r="AZ224" s="190" t="str">
        <f ca="1">IF(ISNUMBER(OFFSET(AV224,-$F$21,0)),SUM(OFFSET($T$100,$F$21,0):$T224),"")</f>
        <v/>
      </c>
      <c r="BA224" s="190" t="str">
        <f t="shared" ca="1" si="162"/>
        <v/>
      </c>
      <c r="BB224" s="190" t="str">
        <f t="shared" ca="1" si="148"/>
        <v/>
      </c>
      <c r="BC224" s="190"/>
      <c r="BD224" s="190" t="str">
        <f ca="1">IFERROR(IF(OR(ISNUMBER(I),ISNUMBER($F$14)),IF(AND($B224&gt;=($F$16-$F$15),$B224&lt;$F$22+($F$16-$F$15)),SUM(OFFSET($T$100,($F$16-$F$15),0):$T224),""),""),"")</f>
        <v/>
      </c>
      <c r="BE224" s="190" t="str">
        <f t="shared" ca="1" si="142"/>
        <v/>
      </c>
      <c r="BF224" s="190" t="str">
        <f t="shared" ca="1" si="143"/>
        <v/>
      </c>
      <c r="BG224"/>
      <c r="BH224" s="190" t="str">
        <f ca="1">IF(ISNUMBER(OFFSET(BD224,-$F$21,0)),SUM(OFFSET($T$100,($F$16-$F$15+$F$21),0):$T224),"")</f>
        <v/>
      </c>
      <c r="BI224" s="190" t="str">
        <f t="shared" ca="1" si="163"/>
        <v/>
      </c>
      <c r="BJ224" s="190" t="str">
        <f t="shared" ca="1" si="144"/>
        <v/>
      </c>
      <c r="BK224" s="190"/>
      <c r="BL224" s="190" t="str">
        <f ca="1">IFERROR(IF(OR(ISNUMBER(I),ISNUMBER($F$14)),IF(AND($B224&gt;=($F$17-$F$15),$B224&lt;$F$22+($F$17-$F$15)),SUM(OFFSET($T$100,($F$17-$F$15),0):$T224),""),""),"")</f>
        <v/>
      </c>
      <c r="BM224" s="190" t="str">
        <f t="shared" ca="1" si="164"/>
        <v/>
      </c>
      <c r="BN224" s="190" t="str">
        <f t="shared" ca="1" si="145"/>
        <v/>
      </c>
      <c r="BO224"/>
      <c r="BP224" s="190" t="str">
        <f ca="1">IF(ISNUMBER(OFFSET(BL224,-$F$21,0)),SUM(OFFSET($T$100,($F$17-$F$15+$F$21),0):$T224),"")</f>
        <v/>
      </c>
      <c r="BQ224" s="190" t="str">
        <f t="shared" ca="1" si="165"/>
        <v/>
      </c>
      <c r="BR224" s="190" t="str">
        <f t="shared" ca="1" si="146"/>
        <v/>
      </c>
      <c r="BS224" s="190"/>
      <c r="BT224"/>
      <c r="BU224"/>
      <c r="BV224"/>
      <c r="BY224" s="99"/>
      <c r="BZ224" s="99"/>
      <c r="CA224" s="280" t="str">
        <f t="shared" si="166"/>
        <v/>
      </c>
      <c r="CB224" s="71" t="str">
        <f t="shared" si="122"/>
        <v>-</v>
      </c>
      <c r="CC224" s="33"/>
      <c r="CD224" s="261" t="str">
        <f t="shared" si="123"/>
        <v/>
      </c>
      <c r="CE224" s="280" t="str">
        <f t="shared" si="167"/>
        <v/>
      </c>
      <c r="CF224" s="71" t="str">
        <f t="shared" ca="1" si="168"/>
        <v/>
      </c>
      <c r="CG224" s="33" t="str">
        <f t="shared" si="126"/>
        <v/>
      </c>
      <c r="CH224" s="261" t="str">
        <f t="shared" ca="1" si="127"/>
        <v/>
      </c>
    </row>
    <row r="225" spans="2:86" ht="13.5" customHeight="1" x14ac:dyDescent="0.2">
      <c r="B225" s="262">
        <v>125</v>
      </c>
      <c r="C225" s="237" t="str">
        <f t="shared" si="91"/>
        <v/>
      </c>
      <c r="D225" s="237" t="str">
        <f t="shared" si="147"/>
        <v/>
      </c>
      <c r="E225" s="263" t="str">
        <f t="shared" si="128"/>
        <v/>
      </c>
      <c r="F225" s="264" t="str">
        <f t="shared" si="129"/>
        <v/>
      </c>
      <c r="G225" s="264" t="str">
        <f t="shared" si="130"/>
        <v/>
      </c>
      <c r="H225" s="240" t="str">
        <f t="shared" si="149"/>
        <v/>
      </c>
      <c r="I225" s="265" t="str">
        <f t="shared" si="150"/>
        <v/>
      </c>
      <c r="J225" s="265" t="str">
        <f t="shared" si="151"/>
        <v/>
      </c>
      <c r="K225" s="240" t="str">
        <f t="shared" si="152"/>
        <v/>
      </c>
      <c r="L225" s="265" t="str">
        <f t="shared" si="153"/>
        <v/>
      </c>
      <c r="M225" s="265" t="str">
        <f t="shared" si="154"/>
        <v/>
      </c>
      <c r="N225" s="240" t="str">
        <f t="shared" si="155"/>
        <v>-</v>
      </c>
      <c r="O225" s="265" t="str">
        <f t="shared" si="156"/>
        <v>-</v>
      </c>
      <c r="P225" s="265" t="str">
        <f t="shared" si="157"/>
        <v>-</v>
      </c>
      <c r="Q225" s="266" t="str">
        <f t="shared" si="158"/>
        <v>-</v>
      </c>
      <c r="R225" s="267" t="str">
        <f t="shared" si="159"/>
        <v>-</v>
      </c>
      <c r="S225" s="268" t="str">
        <f t="shared" si="160"/>
        <v>-</v>
      </c>
      <c r="T225" s="269" t="str">
        <f t="shared" si="104"/>
        <v/>
      </c>
      <c r="U225" s="221">
        <f t="shared" si="105"/>
        <v>125</v>
      </c>
      <c r="V225" s="220" t="str">
        <f t="shared" si="131"/>
        <v>-</v>
      </c>
      <c r="W225" s="221" t="str">
        <f t="shared" si="132"/>
        <v>-</v>
      </c>
      <c r="X225" s="221" t="str">
        <f t="shared" si="106"/>
        <v>-</v>
      </c>
      <c r="Y225" s="221" t="str">
        <f t="shared" si="107"/>
        <v>-</v>
      </c>
      <c r="Z225" s="270">
        <f t="shared" si="133"/>
        <v>0.1</v>
      </c>
      <c r="AA225" s="271" t="str">
        <f>IFERROR(IF(V224=1,AA$100*EXP(-(LN(2)/$D$65+0.04)*X224)*EXP(-(LN(2)/$D$65+0.1)*Y224),IF(V224=2,AA$100*EXP(-(LN(2)/$D$65+0.04)*(VLOOKUP(($F$16-$F$15)-1,U$99:Y224,4,FALSE)))*EXP(-(LN(2)/$D$65+0.1)*(VLOOKUP(($F$16-$F$15)-1,U$99:Y224,5,FALSE)))*EXP(-(LN(2)/$D$65+0.04)*X224)*EXP(-(LN(2)/$D$65+0.1)*Y224),IF(V224=3,AA$100*EXP(-(LN(2)/$D$65+0.04)*(VLOOKUP(($F$16-$F$15)-1,U$99:Y224,4,FALSE)))*EXP(-(LN(2)/$D$65+0.1)*(VLOOKUP(($F$16-$F$15)-1,U$99:Y224,5,FALSE)))*EXP(-(LN(2)/$D$65+0.04)*(VLOOKUP(($F$16-$F$15)*2-1,U$99:Y224,4,FALSE)))*EXP(-(LN(2)/$D$65+0.1)*(VLOOKUP(($F$16-$F$15)*2-1,U$99:Y224,5,FALSE)))*EXP(-(LN(2)/$D$65+0.04)*X224)*EXP(-(LN(2)/$D$65+0.1)*Y224),"-"))),"-")</f>
        <v>-</v>
      </c>
      <c r="AB225" s="271" t="str">
        <f>IFERROR(IF(V225=1,AB$100*EXP(-(LN(2)/$D$65+0.04)*X225)*EXP(-(LN(2)/$D$65+0.1)*Y225),IF(V225=2,AB$100*EXP(-(LN(2)/$D$65+0.04)*(VLOOKUP(($F$16-$F$15)-1,U$100:Y225,4,FALSE)))*EXP(-(LN(2)/$D$65+0.1)*(VLOOKUP(($F$16-$F$15)-1,U$100:Y225,5,FALSE)))*EXP(-(LN(2)/$D$65+0.04)*X225)*EXP(-(LN(2)/$D$65+0.1)*Y225),IF(V225=3,AB$100*EXP(-(LN(2)/$D$65+0.04)*(VLOOKUP(($F$16-$F$15)-1,U$100:Y225,4,FALSE)))*EXP(-(LN(2)/$D$65+0.1)*(VLOOKUP(($F$16-$F$15)-1,U$100:Y225,5,FALSE)))*EXP(-(LN(2)/$D$65+0.04)*(VLOOKUP(($F$16-$F$15)*2-1,U$100:Y225,4,FALSE)))*EXP(-(LN(2)/$D$65+0.1)*(VLOOKUP(($F$16-$F$15)*2-1,U$100:Y225,5,FALSE)))*EXP(-(LN(2)/$D$65+0.04)*X225)*EXP(-(LN(2)/$D$65+0.1)*Y225),"-"))),"-")</f>
        <v>-</v>
      </c>
      <c r="AC225" s="224">
        <f t="shared" si="134"/>
        <v>125</v>
      </c>
      <c r="AD225" s="223" t="str">
        <f t="shared" si="108"/>
        <v>-</v>
      </c>
      <c r="AE225" s="224" t="str">
        <f t="shared" si="135"/>
        <v>-</v>
      </c>
      <c r="AF225" s="224" t="str">
        <f t="shared" si="109"/>
        <v>-</v>
      </c>
      <c r="AG225" s="224" t="str">
        <f t="shared" si="110"/>
        <v>-</v>
      </c>
      <c r="AH225" s="272">
        <f t="shared" si="136"/>
        <v>0.1</v>
      </c>
      <c r="AI225" s="271" t="str">
        <f>IFERROR(IF(AD224=1,AI$100*EXP(-(LN(2)/$D$65+0.04)*AF224)*EXP(-(LN(2)/$D$65+0.1)*AG224),IF(AD224=2,AI$100*EXP(-(LN(2)/$D$65+0.04)*(VLOOKUP(($F$16-$F$15)-1,AC$99:AG224,4,FALSE)))*EXP(-(LN(2)/$D$65+0.1)*(VLOOKUP(($F$16-$F$15)-1,AC$99:AG224,5,FALSE)))*EXP(-(LN(2)/$D$65+0.04)*AF224)*EXP(-(LN(2)/$D$65+0.1)*AG224),IF(AD224=3,AI$100*EXP(-(LN(2)/$D$65+0.04)*(VLOOKUP(($F$16-$F$15)-1,AC$99:AG224,4,FALSE)))*EXP(-(LN(2)/$D$65+0.1)*(VLOOKUP(($F$16-$F$15)-1,AC$99:AG224,5,FALSE)))*EXP(-(LN(2)/$D$65+0.04)*(VLOOKUP(($F$16-$F$15)*2-1,AC$99:AG224,4,FALSE)))*EXP(-(LN(2)/$D$65+0.1)*(VLOOKUP(($F$16-$F$15)*2-1,AC$99:AG224,5,FALSE)))*EXP(-(LN(2)/$D$65+0.04)*AF224)*EXP(-(LN(2)/$D$65+0.1)*AG224),"-"))),"-")</f>
        <v>-</v>
      </c>
      <c r="AJ225" s="271" t="str">
        <f>IFERROR(IF(AD225=1,AJ$100*EXP(-(LN(2)/$D$65+0.04)*AF225)*EXP(-(LN(2)/$D$65+0.1)*AG225),IF(AD225=2,AJ$100*EXP(-(LN(2)/$D$65+0.04)*(VLOOKUP(($F$16-$F$15)-1,AC$100:AG225,4,FALSE)))*EXP(-(LN(2)/$D$65+0.1)*(VLOOKUP(($F$16-$F$15)-1,AC$100:AG225,5,FALSE)))*EXP(-(LN(2)/$D$65+0.04)*AF225)*EXP(-(LN(2)/$D$65+0.1)*AG225),IF(AD225=3,AJ$100*EXP(-(LN(2)/$D$65+0.04)*(VLOOKUP(($F$16-$F$15)-1,AC$100:AG225,4,FALSE)))*EXP(-(LN(2)/$D$65+0.1)*(VLOOKUP(($F$16-$F$15)-1,AC$100:AG225,5,FALSE)))*EXP(-(LN(2)/$D$65+0.04)*(VLOOKUP(($F$16-$F$15)*2-1,AC$100:AG225,4,FALSE)))*EXP(-(LN(2)/$D$65+0.1)*(VLOOKUP(($F$16-$F$15)*2-1,AC$100:AG225,5,FALSE)))*EXP(-(LN(2)/$D$65+0.04)*AF225)*EXP(-(LN(2)/$D$65+0.1)*AG225),"-"))),"-")</f>
        <v>-</v>
      </c>
      <c r="AK225" s="227">
        <f t="shared" si="137"/>
        <v>125</v>
      </c>
      <c r="AL225" s="226" t="str">
        <f t="shared" si="111"/>
        <v>-</v>
      </c>
      <c r="AM225" s="227" t="str">
        <f t="shared" si="138"/>
        <v>-</v>
      </c>
      <c r="AN225" s="227" t="str">
        <f t="shared" si="139"/>
        <v>-</v>
      </c>
      <c r="AO225" s="227" t="str">
        <f t="shared" si="112"/>
        <v>-</v>
      </c>
      <c r="AP225" s="273">
        <f t="shared" si="140"/>
        <v>0.1</v>
      </c>
      <c r="AQ225" s="271" t="str">
        <f>IFERROR(IF(AL224=1,AQ$100*EXP(-(LN(2)/$D$65+0.04)*AN224)*EXP(-(LN(2)/$D$65+0.1)*AO224),IF(AL224=2,AQ$100*EXP(-(LN(2)/$D$65+0.04)*(VLOOKUP(($F$16-$F$15)-1,AK$99:AO224,4,FALSE)))*EXP(-(LN(2)/$D$65+0.1)*(VLOOKUP(($F$16-$F$15)-1,AK$99:AO224,5,FALSE)))*EXP(-(LN(2)/$D$65+0.04)*AN224)*EXP(-(LN(2)/$D$65+0.1)*AO224),IF(AL224=3,AQ$100*EXP(-(LN(2)/$D$65+0.04)*(VLOOKUP(($F$16-$F$15)-1,AK$99:AO224,4,FALSE)))*EXP(-(LN(2)/$D$65+0.1)*(VLOOKUP(($F$16-$F$15)-1,AK$99:AO224,5,FALSE)))*EXP(-(LN(2)/$D$65+0.04)*(VLOOKUP(($F$16-$F$15)*2-1,AK$99:AO224,4,FALSE)))*EXP(-(LN(2)/$D$65+0.1)*(VLOOKUP(($F$16-$F$15)*2-1,AK$99:AO224,5,FALSE)))*EXP(-(LN(2)/$D$65+0.04)*AN224)*EXP(-(LN(2)/$D$65+0.1)*AO224),"-"))),"-")</f>
        <v>-</v>
      </c>
      <c r="AR225" s="271" t="str">
        <f>IFERROR(IF(AL225=1,AR$100*EXP(-(LN(2)/$D$65+0.04)*AN225)*EXP(-(LN(2)/$D$65+0.1)*AO225),IF(AL225=2,AR$100*EXP(-(LN(2)/$D$65+0.04)*(VLOOKUP(($F$16-$F$15)-1,AK$100:AO225,4,FALSE)))*EXP(-(LN(2)/$D$65+0.1)*(VLOOKUP(($F$16-$F$15)-1,AK$100:AO225,5,FALSE)))*EXP(-(LN(2)/$D$65+0.04)*AN225)*EXP(-(LN(2)/$D$65+0.1)*AO225),IF(AL225=3,AR$100*EXP(-(LN(2)/$D$65+0.04)*(VLOOKUP(($F$16-$F$15)-1,AK$100:AO225,4,FALSE)))*EXP(-(LN(2)/$D$65+0.1)*(VLOOKUP(($F$16-$F$15)-1,AK$100:AO225,5,FALSE)))*EXP(-(LN(2)/$D$65+0.04)*(VLOOKUP(($F$16-$F$15)*2-1,AK$100:AO225,4,FALSE)))*EXP(-(LN(2)/$D$65+0.1)*(VLOOKUP(($F$16-$F$15)*2-1,AK$100:AO225,5,FALSE)))*EXP(-(LN(2)/$D$65+0.04)*AN225)*EXP(-(LN(2)/$D$65+0.1)*AO225),"-"))),"-")</f>
        <v>-</v>
      </c>
      <c r="AS225" s="274">
        <f t="shared" si="113"/>
        <v>0</v>
      </c>
      <c r="AT225" s="274">
        <f t="shared" si="114"/>
        <v>0</v>
      </c>
      <c r="AU225" s="274">
        <f t="shared" si="115"/>
        <v>0</v>
      </c>
      <c r="AV225" s="190" t="str">
        <f>IF($B225&lt;$F$22,SUM($T$100:$T225),"")</f>
        <v/>
      </c>
      <c r="AW225" s="190" t="str">
        <f t="shared" si="161"/>
        <v>-</v>
      </c>
      <c r="AX225" s="190" t="str">
        <f t="shared" si="141"/>
        <v/>
      </c>
      <c r="AY225"/>
      <c r="AZ225" s="190" t="str">
        <f ca="1">IF(ISNUMBER(OFFSET(AV225,-$F$21,0)),SUM(OFFSET($T$100,$F$21,0):$T225),"")</f>
        <v/>
      </c>
      <c r="BA225" s="190" t="str">
        <f t="shared" ca="1" si="162"/>
        <v/>
      </c>
      <c r="BB225" s="190" t="str">
        <f t="shared" ca="1" si="148"/>
        <v/>
      </c>
      <c r="BC225" s="190"/>
      <c r="BD225" s="190" t="str">
        <f ca="1">IFERROR(IF(OR(ISNUMBER(I),ISNUMBER($F$14)),IF(AND($B225&gt;=($F$16-$F$15),$B225&lt;$F$22+($F$16-$F$15)),SUM(OFFSET($T$100,($F$16-$F$15),0):$T225),""),""),"")</f>
        <v/>
      </c>
      <c r="BE225" s="190" t="str">
        <f t="shared" ca="1" si="142"/>
        <v/>
      </c>
      <c r="BF225" s="190" t="str">
        <f t="shared" ca="1" si="143"/>
        <v/>
      </c>
      <c r="BG225"/>
      <c r="BH225" s="190" t="str">
        <f ca="1">IF(ISNUMBER(OFFSET(BD225,-$F$21,0)),SUM(OFFSET($T$100,($F$16-$F$15+$F$21),0):$T225),"")</f>
        <v/>
      </c>
      <c r="BI225" s="190" t="str">
        <f t="shared" ca="1" si="163"/>
        <v/>
      </c>
      <c r="BJ225" s="190" t="str">
        <f t="shared" ca="1" si="144"/>
        <v/>
      </c>
      <c r="BK225" s="190"/>
      <c r="BL225" s="190" t="str">
        <f ca="1">IFERROR(IF(OR(ISNUMBER(I),ISNUMBER($F$14)),IF(AND($B225&gt;=($F$17-$F$15),$B225&lt;$F$22+($F$17-$F$15)),SUM(OFFSET($T$100,($F$17-$F$15),0):$T225),""),""),"")</f>
        <v/>
      </c>
      <c r="BM225" s="190" t="str">
        <f t="shared" ca="1" si="164"/>
        <v/>
      </c>
      <c r="BN225" s="190" t="str">
        <f t="shared" ca="1" si="145"/>
        <v/>
      </c>
      <c r="BO225"/>
      <c r="BP225" s="190" t="str">
        <f ca="1">IF(ISNUMBER(OFFSET(BL225,-$F$21,0)),SUM(OFFSET($T$100,($F$17-$F$15+$F$21),0):$T225),"")</f>
        <v/>
      </c>
      <c r="BQ225" s="190" t="str">
        <f t="shared" ca="1" si="165"/>
        <v/>
      </c>
      <c r="BR225" s="190" t="str">
        <f t="shared" ca="1" si="146"/>
        <v/>
      </c>
      <c r="BS225" s="190"/>
      <c r="BT225"/>
      <c r="BU225"/>
      <c r="BV225"/>
      <c r="BY225" s="99"/>
      <c r="BZ225" s="99"/>
      <c r="CA225" s="280" t="str">
        <f t="shared" si="166"/>
        <v/>
      </c>
      <c r="CB225" s="71" t="str">
        <f t="shared" si="122"/>
        <v>-</v>
      </c>
      <c r="CC225" s="33"/>
      <c r="CD225" s="261" t="str">
        <f t="shared" si="123"/>
        <v/>
      </c>
      <c r="CE225" s="280" t="str">
        <f t="shared" si="167"/>
        <v/>
      </c>
      <c r="CF225" s="71" t="str">
        <f t="shared" ca="1" si="168"/>
        <v/>
      </c>
      <c r="CG225" s="33" t="str">
        <f t="shared" si="126"/>
        <v/>
      </c>
      <c r="CH225" s="261" t="str">
        <f t="shared" ca="1" si="127"/>
        <v/>
      </c>
    </row>
    <row r="226" spans="2:86" ht="13.5" customHeight="1" x14ac:dyDescent="0.2">
      <c r="B226" s="262">
        <v>126</v>
      </c>
      <c r="C226" s="237" t="str">
        <f t="shared" si="91"/>
        <v/>
      </c>
      <c r="D226" s="237" t="str">
        <f t="shared" si="147"/>
        <v/>
      </c>
      <c r="E226" s="263" t="str">
        <f t="shared" si="128"/>
        <v/>
      </c>
      <c r="F226" s="264" t="str">
        <f t="shared" si="129"/>
        <v/>
      </c>
      <c r="G226" s="264" t="str">
        <f t="shared" si="130"/>
        <v/>
      </c>
      <c r="H226" s="240" t="str">
        <f t="shared" si="149"/>
        <v/>
      </c>
      <c r="I226" s="265" t="str">
        <f t="shared" si="150"/>
        <v/>
      </c>
      <c r="J226" s="265" t="str">
        <f t="shared" si="151"/>
        <v/>
      </c>
      <c r="K226" s="240" t="str">
        <f t="shared" si="152"/>
        <v/>
      </c>
      <c r="L226" s="265" t="str">
        <f t="shared" si="153"/>
        <v/>
      </c>
      <c r="M226" s="265" t="str">
        <f t="shared" si="154"/>
        <v/>
      </c>
      <c r="N226" s="240" t="str">
        <f t="shared" si="155"/>
        <v>-</v>
      </c>
      <c r="O226" s="265" t="str">
        <f t="shared" si="156"/>
        <v>-</v>
      </c>
      <c r="P226" s="265" t="str">
        <f t="shared" si="157"/>
        <v>-</v>
      </c>
      <c r="Q226" s="266" t="str">
        <f t="shared" si="158"/>
        <v>-</v>
      </c>
      <c r="R226" s="267" t="str">
        <f t="shared" si="159"/>
        <v>-</v>
      </c>
      <c r="S226" s="268" t="str">
        <f t="shared" si="160"/>
        <v>-</v>
      </c>
      <c r="T226" s="269" t="str">
        <f t="shared" si="104"/>
        <v/>
      </c>
      <c r="U226" s="221">
        <f t="shared" si="105"/>
        <v>126</v>
      </c>
      <c r="V226" s="220" t="str">
        <f t="shared" si="131"/>
        <v>-</v>
      </c>
      <c r="W226" s="221" t="str">
        <f t="shared" si="132"/>
        <v>-</v>
      </c>
      <c r="X226" s="221" t="str">
        <f t="shared" si="106"/>
        <v>-</v>
      </c>
      <c r="Y226" s="221" t="str">
        <f t="shared" si="107"/>
        <v>-</v>
      </c>
      <c r="Z226" s="270">
        <f t="shared" si="133"/>
        <v>0.1</v>
      </c>
      <c r="AA226" s="271" t="str">
        <f>IFERROR(IF(V225=1,AA$100*EXP(-(LN(2)/$D$65+0.04)*X225)*EXP(-(LN(2)/$D$65+0.1)*Y225),IF(V225=2,AA$100*EXP(-(LN(2)/$D$65+0.04)*(VLOOKUP(($F$16-$F$15)-1,U$99:Y225,4,FALSE)))*EXP(-(LN(2)/$D$65+0.1)*(VLOOKUP(($F$16-$F$15)-1,U$99:Y225,5,FALSE)))*EXP(-(LN(2)/$D$65+0.04)*X225)*EXP(-(LN(2)/$D$65+0.1)*Y225),IF(V225=3,AA$100*EXP(-(LN(2)/$D$65+0.04)*(VLOOKUP(($F$16-$F$15)-1,U$99:Y225,4,FALSE)))*EXP(-(LN(2)/$D$65+0.1)*(VLOOKUP(($F$16-$F$15)-1,U$99:Y225,5,FALSE)))*EXP(-(LN(2)/$D$65+0.04)*(VLOOKUP(($F$16-$F$15)*2-1,U$99:Y225,4,FALSE)))*EXP(-(LN(2)/$D$65+0.1)*(VLOOKUP(($F$16-$F$15)*2-1,U$99:Y225,5,FALSE)))*EXP(-(LN(2)/$D$65+0.04)*X225)*EXP(-(LN(2)/$D$65+0.1)*Y225),"-"))),"-")</f>
        <v>-</v>
      </c>
      <c r="AB226" s="271" t="str">
        <f>IFERROR(IF(V226=1,AB$100*EXP(-(LN(2)/$D$65+0.04)*X226)*EXP(-(LN(2)/$D$65+0.1)*Y226),IF(V226=2,AB$100*EXP(-(LN(2)/$D$65+0.04)*(VLOOKUP(($F$16-$F$15)-1,U$100:Y226,4,FALSE)))*EXP(-(LN(2)/$D$65+0.1)*(VLOOKUP(($F$16-$F$15)-1,U$100:Y226,5,FALSE)))*EXP(-(LN(2)/$D$65+0.04)*X226)*EXP(-(LN(2)/$D$65+0.1)*Y226),IF(V226=3,AB$100*EXP(-(LN(2)/$D$65+0.04)*(VLOOKUP(($F$16-$F$15)-1,U$100:Y226,4,FALSE)))*EXP(-(LN(2)/$D$65+0.1)*(VLOOKUP(($F$16-$F$15)-1,U$100:Y226,5,FALSE)))*EXP(-(LN(2)/$D$65+0.04)*(VLOOKUP(($F$16-$F$15)*2-1,U$100:Y226,4,FALSE)))*EXP(-(LN(2)/$D$65+0.1)*(VLOOKUP(($F$16-$F$15)*2-1,U$100:Y226,5,FALSE)))*EXP(-(LN(2)/$D$65+0.04)*X226)*EXP(-(LN(2)/$D$65+0.1)*Y226),"-"))),"-")</f>
        <v>-</v>
      </c>
      <c r="AC226" s="224">
        <f t="shared" si="134"/>
        <v>126</v>
      </c>
      <c r="AD226" s="223" t="str">
        <f t="shared" si="108"/>
        <v>-</v>
      </c>
      <c r="AE226" s="224" t="str">
        <f t="shared" si="135"/>
        <v>-</v>
      </c>
      <c r="AF226" s="224" t="str">
        <f t="shared" si="109"/>
        <v>-</v>
      </c>
      <c r="AG226" s="224" t="str">
        <f t="shared" si="110"/>
        <v>-</v>
      </c>
      <c r="AH226" s="272">
        <f t="shared" si="136"/>
        <v>0.1</v>
      </c>
      <c r="AI226" s="271" t="str">
        <f>IFERROR(IF(AD225=1,AI$100*EXP(-(LN(2)/$D$65+0.04)*AF225)*EXP(-(LN(2)/$D$65+0.1)*AG225),IF(AD225=2,AI$100*EXP(-(LN(2)/$D$65+0.04)*(VLOOKUP(($F$16-$F$15)-1,AC$99:AG225,4,FALSE)))*EXP(-(LN(2)/$D$65+0.1)*(VLOOKUP(($F$16-$F$15)-1,AC$99:AG225,5,FALSE)))*EXP(-(LN(2)/$D$65+0.04)*AF225)*EXP(-(LN(2)/$D$65+0.1)*AG225),IF(AD225=3,AI$100*EXP(-(LN(2)/$D$65+0.04)*(VLOOKUP(($F$16-$F$15)-1,AC$99:AG225,4,FALSE)))*EXP(-(LN(2)/$D$65+0.1)*(VLOOKUP(($F$16-$F$15)-1,AC$99:AG225,5,FALSE)))*EXP(-(LN(2)/$D$65+0.04)*(VLOOKUP(($F$16-$F$15)*2-1,AC$99:AG225,4,FALSE)))*EXP(-(LN(2)/$D$65+0.1)*(VLOOKUP(($F$16-$F$15)*2-1,AC$99:AG225,5,FALSE)))*EXP(-(LN(2)/$D$65+0.04)*AF225)*EXP(-(LN(2)/$D$65+0.1)*AG225),"-"))),"-")</f>
        <v>-</v>
      </c>
      <c r="AJ226" s="271" t="str">
        <f>IFERROR(IF(AD226=1,AJ$100*EXP(-(LN(2)/$D$65+0.04)*AF226)*EXP(-(LN(2)/$D$65+0.1)*AG226),IF(AD226=2,AJ$100*EXP(-(LN(2)/$D$65+0.04)*(VLOOKUP(($F$16-$F$15)-1,AC$100:AG226,4,FALSE)))*EXP(-(LN(2)/$D$65+0.1)*(VLOOKUP(($F$16-$F$15)-1,AC$100:AG226,5,FALSE)))*EXP(-(LN(2)/$D$65+0.04)*AF226)*EXP(-(LN(2)/$D$65+0.1)*AG226),IF(AD226=3,AJ$100*EXP(-(LN(2)/$D$65+0.04)*(VLOOKUP(($F$16-$F$15)-1,AC$100:AG226,4,FALSE)))*EXP(-(LN(2)/$D$65+0.1)*(VLOOKUP(($F$16-$F$15)-1,AC$100:AG226,5,FALSE)))*EXP(-(LN(2)/$D$65+0.04)*(VLOOKUP(($F$16-$F$15)*2-1,AC$100:AG226,4,FALSE)))*EXP(-(LN(2)/$D$65+0.1)*(VLOOKUP(($F$16-$F$15)*2-1,AC$100:AG226,5,FALSE)))*EXP(-(LN(2)/$D$65+0.04)*AF226)*EXP(-(LN(2)/$D$65+0.1)*AG226),"-"))),"-")</f>
        <v>-</v>
      </c>
      <c r="AK226" s="227">
        <f t="shared" si="137"/>
        <v>126</v>
      </c>
      <c r="AL226" s="226" t="str">
        <f t="shared" si="111"/>
        <v>-</v>
      </c>
      <c r="AM226" s="227" t="str">
        <f t="shared" si="138"/>
        <v>-</v>
      </c>
      <c r="AN226" s="227" t="str">
        <f t="shared" si="139"/>
        <v>-</v>
      </c>
      <c r="AO226" s="227" t="str">
        <f t="shared" si="112"/>
        <v>-</v>
      </c>
      <c r="AP226" s="273">
        <f t="shared" si="140"/>
        <v>0.1</v>
      </c>
      <c r="AQ226" s="271" t="str">
        <f>IFERROR(IF(AL225=1,AQ$100*EXP(-(LN(2)/$D$65+0.04)*AN225)*EXP(-(LN(2)/$D$65+0.1)*AO225),IF(AL225=2,AQ$100*EXP(-(LN(2)/$D$65+0.04)*(VLOOKUP(($F$16-$F$15)-1,AK$99:AO225,4,FALSE)))*EXP(-(LN(2)/$D$65+0.1)*(VLOOKUP(($F$16-$F$15)-1,AK$99:AO225,5,FALSE)))*EXP(-(LN(2)/$D$65+0.04)*AN225)*EXP(-(LN(2)/$D$65+0.1)*AO225),IF(AL225=3,AQ$100*EXP(-(LN(2)/$D$65+0.04)*(VLOOKUP(($F$16-$F$15)-1,AK$99:AO225,4,FALSE)))*EXP(-(LN(2)/$D$65+0.1)*(VLOOKUP(($F$16-$F$15)-1,AK$99:AO225,5,FALSE)))*EXP(-(LN(2)/$D$65+0.04)*(VLOOKUP(($F$16-$F$15)*2-1,AK$99:AO225,4,FALSE)))*EXP(-(LN(2)/$D$65+0.1)*(VLOOKUP(($F$16-$F$15)*2-1,AK$99:AO225,5,FALSE)))*EXP(-(LN(2)/$D$65+0.04)*AN225)*EXP(-(LN(2)/$D$65+0.1)*AO225),"-"))),"-")</f>
        <v>-</v>
      </c>
      <c r="AR226" s="271" t="str">
        <f>IFERROR(IF(AL226=1,AR$100*EXP(-(LN(2)/$D$65+0.04)*AN226)*EXP(-(LN(2)/$D$65+0.1)*AO226),IF(AL226=2,AR$100*EXP(-(LN(2)/$D$65+0.04)*(VLOOKUP(($F$16-$F$15)-1,AK$100:AO226,4,FALSE)))*EXP(-(LN(2)/$D$65+0.1)*(VLOOKUP(($F$16-$F$15)-1,AK$100:AO226,5,FALSE)))*EXP(-(LN(2)/$D$65+0.04)*AN226)*EXP(-(LN(2)/$D$65+0.1)*AO226),IF(AL226=3,AR$100*EXP(-(LN(2)/$D$65+0.04)*(VLOOKUP(($F$16-$F$15)-1,AK$100:AO226,4,FALSE)))*EXP(-(LN(2)/$D$65+0.1)*(VLOOKUP(($F$16-$F$15)-1,AK$100:AO226,5,FALSE)))*EXP(-(LN(2)/$D$65+0.04)*(VLOOKUP(($F$16-$F$15)*2-1,AK$100:AO226,4,FALSE)))*EXP(-(LN(2)/$D$65+0.1)*(VLOOKUP(($F$16-$F$15)*2-1,AK$100:AO226,5,FALSE)))*EXP(-(LN(2)/$D$65+0.04)*AN226)*EXP(-(LN(2)/$D$65+0.1)*AO226),"-"))),"-")</f>
        <v>-</v>
      </c>
      <c r="AS226" s="274">
        <f t="shared" si="113"/>
        <v>0</v>
      </c>
      <c r="AT226" s="274">
        <f t="shared" si="114"/>
        <v>0</v>
      </c>
      <c r="AU226" s="274">
        <f t="shared" si="115"/>
        <v>0</v>
      </c>
      <c r="AV226" s="190" t="str">
        <f>IF($B226&lt;$F$22,SUM($T$100:$T226),"")</f>
        <v/>
      </c>
      <c r="AW226" s="190" t="str">
        <f t="shared" si="161"/>
        <v>-</v>
      </c>
      <c r="AX226" s="190" t="str">
        <f t="shared" si="141"/>
        <v/>
      </c>
      <c r="AY226"/>
      <c r="AZ226" s="190" t="str">
        <f ca="1">IF(ISNUMBER(OFFSET(AV226,-$F$21,0)),SUM(OFFSET($T$100,$F$21,0):$T226),"")</f>
        <v/>
      </c>
      <c r="BA226" s="190" t="str">
        <f t="shared" ca="1" si="162"/>
        <v/>
      </c>
      <c r="BB226" s="190" t="str">
        <f t="shared" ca="1" si="148"/>
        <v/>
      </c>
      <c r="BC226" s="190"/>
      <c r="BD226" s="190" t="str">
        <f ca="1">IFERROR(IF(OR(ISNUMBER(I),ISNUMBER($F$14)),IF(AND($B226&gt;=($F$16-$F$15),$B226&lt;$F$22+($F$16-$F$15)),SUM(OFFSET($T$100,($F$16-$F$15),0):$T226),""),""),"")</f>
        <v/>
      </c>
      <c r="BE226" s="190" t="str">
        <f t="shared" ca="1" si="142"/>
        <v/>
      </c>
      <c r="BF226" s="190" t="str">
        <f t="shared" ca="1" si="143"/>
        <v/>
      </c>
      <c r="BG226"/>
      <c r="BH226" s="190" t="str">
        <f ca="1">IF(ISNUMBER(OFFSET(BD226,-$F$21,0)),SUM(OFFSET($T$100,($F$16-$F$15+$F$21),0):$T226),"")</f>
        <v/>
      </c>
      <c r="BI226" s="190" t="str">
        <f t="shared" ca="1" si="163"/>
        <v/>
      </c>
      <c r="BJ226" s="190" t="str">
        <f t="shared" ca="1" si="144"/>
        <v/>
      </c>
      <c r="BK226" s="190"/>
      <c r="BL226" s="190" t="str">
        <f ca="1">IFERROR(IF(OR(ISNUMBER(I),ISNUMBER($F$14)),IF(AND($B226&gt;=($F$17-$F$15),$B226&lt;$F$22+($F$17-$F$15)),SUM(OFFSET($T$100,($F$17-$F$15),0):$T226),""),""),"")</f>
        <v/>
      </c>
      <c r="BM226" s="190" t="str">
        <f t="shared" ca="1" si="164"/>
        <v/>
      </c>
      <c r="BN226" s="190" t="str">
        <f t="shared" ca="1" si="145"/>
        <v/>
      </c>
      <c r="BO226"/>
      <c r="BP226" s="190" t="str">
        <f ca="1">IF(ISNUMBER(OFFSET(BL226,-$F$21,0)),SUM(OFFSET($T$100,($F$17-$F$15+$F$21),0):$T226),"")</f>
        <v/>
      </c>
      <c r="BQ226" s="190" t="str">
        <f t="shared" ca="1" si="165"/>
        <v/>
      </c>
      <c r="BR226" s="190" t="str">
        <f t="shared" ca="1" si="146"/>
        <v/>
      </c>
      <c r="BS226" s="190"/>
      <c r="BT226"/>
      <c r="BU226"/>
      <c r="BV226"/>
      <c r="BY226" s="99"/>
      <c r="BZ226" s="99"/>
      <c r="CA226" s="280" t="str">
        <f t="shared" si="166"/>
        <v/>
      </c>
      <c r="CB226" s="71" t="str">
        <f t="shared" si="122"/>
        <v>-</v>
      </c>
      <c r="CC226" s="33"/>
      <c r="CD226" s="261" t="str">
        <f t="shared" si="123"/>
        <v/>
      </c>
      <c r="CE226" s="280" t="str">
        <f t="shared" si="167"/>
        <v/>
      </c>
      <c r="CF226" s="71" t="str">
        <f t="shared" ca="1" si="168"/>
        <v/>
      </c>
      <c r="CG226" s="33" t="str">
        <f t="shared" si="126"/>
        <v/>
      </c>
      <c r="CH226" s="261" t="str">
        <f t="shared" ca="1" si="127"/>
        <v/>
      </c>
    </row>
    <row r="227" spans="2:86" ht="13.5" customHeight="1" x14ac:dyDescent="0.2">
      <c r="B227" s="262">
        <v>127</v>
      </c>
      <c r="C227" s="237" t="str">
        <f t="shared" si="91"/>
        <v/>
      </c>
      <c r="D227" s="237" t="str">
        <f t="shared" si="147"/>
        <v/>
      </c>
      <c r="E227" s="263" t="str">
        <f t="shared" si="128"/>
        <v/>
      </c>
      <c r="F227" s="264" t="str">
        <f t="shared" si="129"/>
        <v/>
      </c>
      <c r="G227" s="264" t="str">
        <f t="shared" si="130"/>
        <v/>
      </c>
      <c r="H227" s="240" t="str">
        <f t="shared" si="149"/>
        <v/>
      </c>
      <c r="I227" s="265" t="str">
        <f t="shared" si="150"/>
        <v/>
      </c>
      <c r="J227" s="265" t="str">
        <f t="shared" si="151"/>
        <v/>
      </c>
      <c r="K227" s="240" t="str">
        <f t="shared" si="152"/>
        <v/>
      </c>
      <c r="L227" s="265" t="str">
        <f t="shared" si="153"/>
        <v/>
      </c>
      <c r="M227" s="265" t="str">
        <f t="shared" si="154"/>
        <v/>
      </c>
      <c r="N227" s="240" t="str">
        <f t="shared" si="155"/>
        <v>-</v>
      </c>
      <c r="O227" s="265" t="str">
        <f t="shared" si="156"/>
        <v>-</v>
      </c>
      <c r="P227" s="265" t="str">
        <f t="shared" si="157"/>
        <v>-</v>
      </c>
      <c r="Q227" s="266" t="str">
        <f t="shared" si="158"/>
        <v>-</v>
      </c>
      <c r="R227" s="267" t="str">
        <f t="shared" si="159"/>
        <v>-</v>
      </c>
      <c r="S227" s="268" t="str">
        <f t="shared" si="160"/>
        <v>-</v>
      </c>
      <c r="T227" s="269" t="str">
        <f t="shared" si="104"/>
        <v/>
      </c>
      <c r="U227" s="221">
        <f t="shared" si="105"/>
        <v>127</v>
      </c>
      <c r="V227" s="220" t="str">
        <f t="shared" si="131"/>
        <v>-</v>
      </c>
      <c r="W227" s="221" t="str">
        <f t="shared" si="132"/>
        <v>-</v>
      </c>
      <c r="X227" s="221" t="str">
        <f t="shared" si="106"/>
        <v>-</v>
      </c>
      <c r="Y227" s="221" t="str">
        <f t="shared" si="107"/>
        <v>-</v>
      </c>
      <c r="Z227" s="270">
        <f t="shared" si="133"/>
        <v>0.1</v>
      </c>
      <c r="AA227" s="271" t="str">
        <f>IFERROR(IF(V226=1,AA$100*EXP(-(LN(2)/$D$65+0.04)*X226)*EXP(-(LN(2)/$D$65+0.1)*Y226),IF(V226=2,AA$100*EXP(-(LN(2)/$D$65+0.04)*(VLOOKUP(($F$16-$F$15)-1,U$99:Y226,4,FALSE)))*EXP(-(LN(2)/$D$65+0.1)*(VLOOKUP(($F$16-$F$15)-1,U$99:Y226,5,FALSE)))*EXP(-(LN(2)/$D$65+0.04)*X226)*EXP(-(LN(2)/$D$65+0.1)*Y226),IF(V226=3,AA$100*EXP(-(LN(2)/$D$65+0.04)*(VLOOKUP(($F$16-$F$15)-1,U$99:Y226,4,FALSE)))*EXP(-(LN(2)/$D$65+0.1)*(VLOOKUP(($F$16-$F$15)-1,U$99:Y226,5,FALSE)))*EXP(-(LN(2)/$D$65+0.04)*(VLOOKUP(($F$16-$F$15)*2-1,U$99:Y226,4,FALSE)))*EXP(-(LN(2)/$D$65+0.1)*(VLOOKUP(($F$16-$F$15)*2-1,U$99:Y226,5,FALSE)))*EXP(-(LN(2)/$D$65+0.04)*X226)*EXP(-(LN(2)/$D$65+0.1)*Y226),"-"))),"-")</f>
        <v>-</v>
      </c>
      <c r="AB227" s="271" t="str">
        <f>IFERROR(IF(V227=1,AB$100*EXP(-(LN(2)/$D$65+0.04)*X227)*EXP(-(LN(2)/$D$65+0.1)*Y227),IF(V227=2,AB$100*EXP(-(LN(2)/$D$65+0.04)*(VLOOKUP(($F$16-$F$15)-1,U$100:Y227,4,FALSE)))*EXP(-(LN(2)/$D$65+0.1)*(VLOOKUP(($F$16-$F$15)-1,U$100:Y227,5,FALSE)))*EXP(-(LN(2)/$D$65+0.04)*X227)*EXP(-(LN(2)/$D$65+0.1)*Y227),IF(V227=3,AB$100*EXP(-(LN(2)/$D$65+0.04)*(VLOOKUP(($F$16-$F$15)-1,U$100:Y227,4,FALSE)))*EXP(-(LN(2)/$D$65+0.1)*(VLOOKUP(($F$16-$F$15)-1,U$100:Y227,5,FALSE)))*EXP(-(LN(2)/$D$65+0.04)*(VLOOKUP(($F$16-$F$15)*2-1,U$100:Y227,4,FALSE)))*EXP(-(LN(2)/$D$65+0.1)*(VLOOKUP(($F$16-$F$15)*2-1,U$100:Y227,5,FALSE)))*EXP(-(LN(2)/$D$65+0.04)*X227)*EXP(-(LN(2)/$D$65+0.1)*Y227),"-"))),"-")</f>
        <v>-</v>
      </c>
      <c r="AC227" s="224">
        <f t="shared" si="134"/>
        <v>127</v>
      </c>
      <c r="AD227" s="223" t="str">
        <f t="shared" si="108"/>
        <v>-</v>
      </c>
      <c r="AE227" s="224" t="str">
        <f t="shared" si="135"/>
        <v>-</v>
      </c>
      <c r="AF227" s="224" t="str">
        <f t="shared" si="109"/>
        <v>-</v>
      </c>
      <c r="AG227" s="224" t="str">
        <f t="shared" si="110"/>
        <v>-</v>
      </c>
      <c r="AH227" s="272">
        <f t="shared" si="136"/>
        <v>0.1</v>
      </c>
      <c r="AI227" s="271" t="str">
        <f>IFERROR(IF(AD226=1,AI$100*EXP(-(LN(2)/$D$65+0.04)*AF226)*EXP(-(LN(2)/$D$65+0.1)*AG226),IF(AD226=2,AI$100*EXP(-(LN(2)/$D$65+0.04)*(VLOOKUP(($F$16-$F$15)-1,AC$99:AG226,4,FALSE)))*EXP(-(LN(2)/$D$65+0.1)*(VLOOKUP(($F$16-$F$15)-1,AC$99:AG226,5,FALSE)))*EXP(-(LN(2)/$D$65+0.04)*AF226)*EXP(-(LN(2)/$D$65+0.1)*AG226),IF(AD226=3,AI$100*EXP(-(LN(2)/$D$65+0.04)*(VLOOKUP(($F$16-$F$15)-1,AC$99:AG226,4,FALSE)))*EXP(-(LN(2)/$D$65+0.1)*(VLOOKUP(($F$16-$F$15)-1,AC$99:AG226,5,FALSE)))*EXP(-(LN(2)/$D$65+0.04)*(VLOOKUP(($F$16-$F$15)*2-1,AC$99:AG226,4,FALSE)))*EXP(-(LN(2)/$D$65+0.1)*(VLOOKUP(($F$16-$F$15)*2-1,AC$99:AG226,5,FALSE)))*EXP(-(LN(2)/$D$65+0.04)*AF226)*EXP(-(LN(2)/$D$65+0.1)*AG226),"-"))),"-")</f>
        <v>-</v>
      </c>
      <c r="AJ227" s="271" t="str">
        <f>IFERROR(IF(AD227=1,AJ$100*EXP(-(LN(2)/$D$65+0.04)*AF227)*EXP(-(LN(2)/$D$65+0.1)*AG227),IF(AD227=2,AJ$100*EXP(-(LN(2)/$D$65+0.04)*(VLOOKUP(($F$16-$F$15)-1,AC$100:AG227,4,FALSE)))*EXP(-(LN(2)/$D$65+0.1)*(VLOOKUP(($F$16-$F$15)-1,AC$100:AG227,5,FALSE)))*EXP(-(LN(2)/$D$65+0.04)*AF227)*EXP(-(LN(2)/$D$65+0.1)*AG227),IF(AD227=3,AJ$100*EXP(-(LN(2)/$D$65+0.04)*(VLOOKUP(($F$16-$F$15)-1,AC$100:AG227,4,FALSE)))*EXP(-(LN(2)/$D$65+0.1)*(VLOOKUP(($F$16-$F$15)-1,AC$100:AG227,5,FALSE)))*EXP(-(LN(2)/$D$65+0.04)*(VLOOKUP(($F$16-$F$15)*2-1,AC$100:AG227,4,FALSE)))*EXP(-(LN(2)/$D$65+0.1)*(VLOOKUP(($F$16-$F$15)*2-1,AC$100:AG227,5,FALSE)))*EXP(-(LN(2)/$D$65+0.04)*AF227)*EXP(-(LN(2)/$D$65+0.1)*AG227),"-"))),"-")</f>
        <v>-</v>
      </c>
      <c r="AK227" s="227">
        <f t="shared" si="137"/>
        <v>127</v>
      </c>
      <c r="AL227" s="226" t="str">
        <f t="shared" si="111"/>
        <v>-</v>
      </c>
      <c r="AM227" s="227" t="str">
        <f t="shared" si="138"/>
        <v>-</v>
      </c>
      <c r="AN227" s="227" t="str">
        <f t="shared" si="139"/>
        <v>-</v>
      </c>
      <c r="AO227" s="227" t="str">
        <f t="shared" si="112"/>
        <v>-</v>
      </c>
      <c r="AP227" s="273">
        <f t="shared" si="140"/>
        <v>0.1</v>
      </c>
      <c r="AQ227" s="271" t="str">
        <f>IFERROR(IF(AL226=1,AQ$100*EXP(-(LN(2)/$D$65+0.04)*AN226)*EXP(-(LN(2)/$D$65+0.1)*AO226),IF(AL226=2,AQ$100*EXP(-(LN(2)/$D$65+0.04)*(VLOOKUP(($F$16-$F$15)-1,AK$99:AO226,4,FALSE)))*EXP(-(LN(2)/$D$65+0.1)*(VLOOKUP(($F$16-$F$15)-1,AK$99:AO226,5,FALSE)))*EXP(-(LN(2)/$D$65+0.04)*AN226)*EXP(-(LN(2)/$D$65+0.1)*AO226),IF(AL226=3,AQ$100*EXP(-(LN(2)/$D$65+0.04)*(VLOOKUP(($F$16-$F$15)-1,AK$99:AO226,4,FALSE)))*EXP(-(LN(2)/$D$65+0.1)*(VLOOKUP(($F$16-$F$15)-1,AK$99:AO226,5,FALSE)))*EXP(-(LN(2)/$D$65+0.04)*(VLOOKUP(($F$16-$F$15)*2-1,AK$99:AO226,4,FALSE)))*EXP(-(LN(2)/$D$65+0.1)*(VLOOKUP(($F$16-$F$15)*2-1,AK$99:AO226,5,FALSE)))*EXP(-(LN(2)/$D$65+0.04)*AN226)*EXP(-(LN(2)/$D$65+0.1)*AO226),"-"))),"-")</f>
        <v>-</v>
      </c>
      <c r="AR227" s="271" t="str">
        <f>IFERROR(IF(AL227=1,AR$100*EXP(-(LN(2)/$D$65+0.04)*AN227)*EXP(-(LN(2)/$D$65+0.1)*AO227),IF(AL227=2,AR$100*EXP(-(LN(2)/$D$65+0.04)*(VLOOKUP(($F$16-$F$15)-1,AK$100:AO227,4,FALSE)))*EXP(-(LN(2)/$D$65+0.1)*(VLOOKUP(($F$16-$F$15)-1,AK$100:AO227,5,FALSE)))*EXP(-(LN(2)/$D$65+0.04)*AN227)*EXP(-(LN(2)/$D$65+0.1)*AO227),IF(AL227=3,AR$100*EXP(-(LN(2)/$D$65+0.04)*(VLOOKUP(($F$16-$F$15)-1,AK$100:AO227,4,FALSE)))*EXP(-(LN(2)/$D$65+0.1)*(VLOOKUP(($F$16-$F$15)-1,AK$100:AO227,5,FALSE)))*EXP(-(LN(2)/$D$65+0.04)*(VLOOKUP(($F$16-$F$15)*2-1,AK$100:AO227,4,FALSE)))*EXP(-(LN(2)/$D$65+0.1)*(VLOOKUP(($F$16-$F$15)*2-1,AK$100:AO227,5,FALSE)))*EXP(-(LN(2)/$D$65+0.04)*AN227)*EXP(-(LN(2)/$D$65+0.1)*AO227),"-"))),"-")</f>
        <v>-</v>
      </c>
      <c r="AS227" s="274">
        <f t="shared" si="113"/>
        <v>0</v>
      </c>
      <c r="AT227" s="274">
        <f t="shared" si="114"/>
        <v>0</v>
      </c>
      <c r="AU227" s="274">
        <f t="shared" si="115"/>
        <v>0</v>
      </c>
      <c r="AV227" s="190" t="str">
        <f>IF($B227&lt;$F$22,SUM($T$100:$T227),"")</f>
        <v/>
      </c>
      <c r="AW227" s="190" t="str">
        <f t="shared" si="161"/>
        <v>-</v>
      </c>
      <c r="AX227" s="190" t="str">
        <f t="shared" si="141"/>
        <v/>
      </c>
      <c r="AY227"/>
      <c r="AZ227" s="190" t="str">
        <f ca="1">IF(ISNUMBER(OFFSET(AV227,-$F$21,0)),SUM(OFFSET($T$100,$F$21,0):$T227),"")</f>
        <v/>
      </c>
      <c r="BA227" s="190" t="str">
        <f t="shared" ca="1" si="162"/>
        <v/>
      </c>
      <c r="BB227" s="190" t="str">
        <f t="shared" ca="1" si="148"/>
        <v/>
      </c>
      <c r="BC227" s="190"/>
      <c r="BD227" s="190" t="str">
        <f ca="1">IFERROR(IF(OR(ISNUMBER(I),ISNUMBER($F$14)),IF(AND($B227&gt;=($F$16-$F$15),$B227&lt;$F$22+($F$16-$F$15)),SUM(OFFSET($T$100,($F$16-$F$15),0):$T227),""),""),"")</f>
        <v/>
      </c>
      <c r="BE227" s="190" t="str">
        <f t="shared" ca="1" si="142"/>
        <v/>
      </c>
      <c r="BF227" s="190" t="str">
        <f t="shared" ca="1" si="143"/>
        <v/>
      </c>
      <c r="BG227"/>
      <c r="BH227" s="190" t="str">
        <f ca="1">IF(ISNUMBER(OFFSET(BD227,-$F$21,0)),SUM(OFFSET($T$100,($F$16-$F$15+$F$21),0):$T227),"")</f>
        <v/>
      </c>
      <c r="BI227" s="190" t="str">
        <f t="shared" ca="1" si="163"/>
        <v/>
      </c>
      <c r="BJ227" s="190" t="str">
        <f t="shared" ca="1" si="144"/>
        <v/>
      </c>
      <c r="BK227" s="190"/>
      <c r="BL227" s="190" t="str">
        <f ca="1">IFERROR(IF(OR(ISNUMBER(I),ISNUMBER($F$14)),IF(AND($B227&gt;=($F$17-$F$15),$B227&lt;$F$22+($F$17-$F$15)),SUM(OFFSET($T$100,($F$17-$F$15),0):$T227),""),""),"")</f>
        <v/>
      </c>
      <c r="BM227" s="190" t="str">
        <f t="shared" ca="1" si="164"/>
        <v/>
      </c>
      <c r="BN227" s="190" t="str">
        <f t="shared" ca="1" si="145"/>
        <v/>
      </c>
      <c r="BO227"/>
      <c r="BP227" s="190" t="str">
        <f ca="1">IF(ISNUMBER(OFFSET(BL227,-$F$21,0)),SUM(OFFSET($T$100,($F$17-$F$15+$F$21),0):$T227),"")</f>
        <v/>
      </c>
      <c r="BQ227" s="190" t="str">
        <f t="shared" ca="1" si="165"/>
        <v/>
      </c>
      <c r="BR227" s="190" t="str">
        <f t="shared" ca="1" si="146"/>
        <v/>
      </c>
      <c r="BS227" s="190"/>
      <c r="BT227"/>
      <c r="BU227"/>
      <c r="BV227"/>
      <c r="BY227" s="99"/>
      <c r="BZ227" s="99"/>
      <c r="CA227" s="280" t="str">
        <f t="shared" si="166"/>
        <v/>
      </c>
      <c r="CB227" s="71" t="str">
        <f t="shared" si="122"/>
        <v>-</v>
      </c>
      <c r="CC227" s="33"/>
      <c r="CD227" s="261" t="str">
        <f t="shared" si="123"/>
        <v/>
      </c>
      <c r="CE227" s="280" t="str">
        <f t="shared" si="167"/>
        <v/>
      </c>
      <c r="CF227" s="71" t="str">
        <f t="shared" ca="1" si="168"/>
        <v/>
      </c>
      <c r="CG227" s="33" t="str">
        <f t="shared" si="126"/>
        <v/>
      </c>
      <c r="CH227" s="261" t="str">
        <f t="shared" ca="1" si="127"/>
        <v/>
      </c>
    </row>
    <row r="228" spans="2:86" ht="13.5" customHeight="1" x14ac:dyDescent="0.2">
      <c r="B228" s="262">
        <v>128</v>
      </c>
      <c r="C228" s="237" t="str">
        <f t="shared" ref="C228:C250" si="169">IF(ISERROR(VLOOKUP(B228,$B$39:$C$73,2,0)),"",VLOOKUP(B228,$B$39:$C$73,2,0))</f>
        <v/>
      </c>
      <c r="D228" s="237" t="str">
        <f t="shared" si="147"/>
        <v/>
      </c>
      <c r="E228" s="263" t="str">
        <f t="shared" si="128"/>
        <v/>
      </c>
      <c r="F228" s="264" t="str">
        <f t="shared" si="129"/>
        <v/>
      </c>
      <c r="G228" s="264" t="str">
        <f t="shared" si="130"/>
        <v/>
      </c>
      <c r="H228" s="240" t="str">
        <f t="shared" ref="H228:H250" si="170">IF(E228&lt;&gt;"",IF($B228&lt;$F$21,"",IF(ISNUMBER(F228),IF(ISNUMBER(I228),(E228*30*50*ffp),""),(E228*30*50*ffp))),"")</f>
        <v/>
      </c>
      <c r="I228" s="265" t="str">
        <f t="shared" ref="I228:I250" si="171">IFERROR(IF(F228&lt;&gt;"",IF($B228&lt;$F$21+$F$16,"",IF(ISNUMBER(G228),IF(ISNUMBER(J228),(F228*30*50*ffp),""),(F228*30*50*ffp))),""),"")</f>
        <v/>
      </c>
      <c r="J228" s="265" t="str">
        <f t="shared" ref="J228:J250" si="172">IFERROR(IF(G228&lt;&gt;"",IF($B228&lt;$F$21+$F$17,"",(G228*30*50*ffp)),""),"")</f>
        <v/>
      </c>
      <c r="K228" s="240" t="str">
        <f t="shared" ref="K228:K250" si="173">IF(E228&lt;&gt;"",((E228*20*50*ffp)/Klevee),"")</f>
        <v/>
      </c>
      <c r="L228" s="265" t="str">
        <f t="shared" ref="L228:L250" si="174">IF(ISNUMBER(F228),((F228*20*50*ffp)/Klevee),"")</f>
        <v/>
      </c>
      <c r="M228" s="265" t="str">
        <f t="shared" ref="M228:M250" si="175">IF(ISNUMBER(G228),((G228*20*50*ffp)/Klevee),"")</f>
        <v/>
      </c>
      <c r="N228" s="240" t="str">
        <f t="shared" ref="N228:N250" si="176">IF(AND(ISNUMBER(I),ISNUMBER($F$14),ISNUMBER($F$20)),IF($B228=0,I*($J$40/100)*$J$42*1,""),"-")</f>
        <v>-</v>
      </c>
      <c r="O228" s="265" t="str">
        <f t="shared" ref="O228:O250" si="177">IF(ISNUMBER($F$14),IF($F$14&gt;1,IF($B228=0+$F$16,I*($J$40/100)*$J$42*1,""),""),"-")</f>
        <v>-</v>
      </c>
      <c r="P228" s="265" t="str">
        <f t="shared" ref="P228:P250" si="178">IF(ISNUMBER($F$14),IF($F$14&gt;2,IF($B228=0+$F$17,I*($J$40/100)*$J$42*1,""),""),"-")</f>
        <v>-</v>
      </c>
      <c r="Q228" s="266" t="str">
        <f t="shared" ref="Q228:Q250" si="179">IF(AND(ISNUMBER(I),ISNUMBER($F$14),ISNUMBER($F$20)),IF($B228=0,I*(dt/100)*$J$45*1,""),"-")</f>
        <v>-</v>
      </c>
      <c r="R228" s="267" t="str">
        <f t="shared" ref="R228:R250" si="180">IF(ISNUMBER($F$14),IF($F$14&gt;1,IF($B228=0+$F$16,I*(dt/100)*$J$45*1,""),""),"-")</f>
        <v>-</v>
      </c>
      <c r="S228" s="268" t="str">
        <f t="shared" ref="S228:S250" si="181">IF(ISNUMBER($F$14),IF($F$14&gt;2,IF($B228=0+$F$17,I*(dt/100)*$J$45*1,""),""),"-")</f>
        <v>-</v>
      </c>
      <c r="T228" s="269" t="str">
        <f t="shared" ref="T228:T250" si="182">IF(SUM(H228:S228)=0,"",SUM(H228:S228))</f>
        <v/>
      </c>
      <c r="U228" s="221">
        <f t="shared" ref="U228:U250" si="183">B228</f>
        <v>128</v>
      </c>
      <c r="V228" s="220" t="str">
        <f t="shared" si="131"/>
        <v>-</v>
      </c>
      <c r="W228" s="221" t="str">
        <f t="shared" si="132"/>
        <v>-</v>
      </c>
      <c r="X228" s="221" t="str">
        <f t="shared" ref="X228:X250" si="184">IFERROR(IF($F$21=0,0,IF(V228=V227,IF(B228-(V228-1)*($F$16-$F$15)&lt;$F$21,X227+1,X227),1)),"-")</f>
        <v>-</v>
      </c>
      <c r="Y228" s="221" t="str">
        <f t="shared" ref="Y228:Y250" si="185">IFERROR(W228-X228,"-")</f>
        <v>-</v>
      </c>
      <c r="Z228" s="270">
        <f t="shared" si="133"/>
        <v>0.1</v>
      </c>
      <c r="AA228" s="271" t="str">
        <f>IFERROR(IF(V227=1,AA$100*EXP(-(LN(2)/$D$65+0.04)*X227)*EXP(-(LN(2)/$D$65+0.1)*Y227),IF(V227=2,AA$100*EXP(-(LN(2)/$D$65+0.04)*(VLOOKUP(($F$16-$F$15)-1,U$99:Y227,4,FALSE)))*EXP(-(LN(2)/$D$65+0.1)*(VLOOKUP(($F$16-$F$15)-1,U$99:Y227,5,FALSE)))*EXP(-(LN(2)/$D$65+0.04)*X227)*EXP(-(LN(2)/$D$65+0.1)*Y227),IF(V227=3,AA$100*EXP(-(LN(2)/$D$65+0.04)*(VLOOKUP(($F$16-$F$15)-1,U$99:Y227,4,FALSE)))*EXP(-(LN(2)/$D$65+0.1)*(VLOOKUP(($F$16-$F$15)-1,U$99:Y227,5,FALSE)))*EXP(-(LN(2)/$D$65+0.04)*(VLOOKUP(($F$16-$F$15)*2-1,U$99:Y227,4,FALSE)))*EXP(-(LN(2)/$D$65+0.1)*(VLOOKUP(($F$16-$F$15)*2-1,U$99:Y227,5,FALSE)))*EXP(-(LN(2)/$D$65+0.04)*X227)*EXP(-(LN(2)/$D$65+0.1)*Y227),"-"))),"-")</f>
        <v>-</v>
      </c>
      <c r="AB228" s="271" t="str">
        <f>IFERROR(IF(V228=1,AB$100*EXP(-(LN(2)/$D$65+0.04)*X228)*EXP(-(LN(2)/$D$65+0.1)*Y228),IF(V228=2,AB$100*EXP(-(LN(2)/$D$65+0.04)*(VLOOKUP(($F$16-$F$15)-1,U$100:Y228,4,FALSE)))*EXP(-(LN(2)/$D$65+0.1)*(VLOOKUP(($F$16-$F$15)-1,U$100:Y228,5,FALSE)))*EXP(-(LN(2)/$D$65+0.04)*X228)*EXP(-(LN(2)/$D$65+0.1)*Y228),IF(V228=3,AB$100*EXP(-(LN(2)/$D$65+0.04)*(VLOOKUP(($F$16-$F$15)-1,U$100:Y228,4,FALSE)))*EXP(-(LN(2)/$D$65+0.1)*(VLOOKUP(($F$16-$F$15)-1,U$100:Y228,5,FALSE)))*EXP(-(LN(2)/$D$65+0.04)*(VLOOKUP(($F$16-$F$15)*2-1,U$100:Y228,4,FALSE)))*EXP(-(LN(2)/$D$65+0.1)*(VLOOKUP(($F$16-$F$15)*2-1,U$100:Y228,5,FALSE)))*EXP(-(LN(2)/$D$65+0.04)*X228)*EXP(-(LN(2)/$D$65+0.1)*Y228),"-"))),"-")</f>
        <v>-</v>
      </c>
      <c r="AC228" s="224">
        <f t="shared" si="134"/>
        <v>128</v>
      </c>
      <c r="AD228" s="223" t="str">
        <f t="shared" ref="AD228:AD250" si="186">IFERROR(IF($F$14-1&gt;0,IF(B228&lt;($F$16-$F$15)*($F$14-1),INT(B228/($F$16-$F$15))+1,AD226),"-"),"-")</f>
        <v>-</v>
      </c>
      <c r="AE228" s="224" t="str">
        <f t="shared" si="135"/>
        <v>-</v>
      </c>
      <c r="AF228" s="224" t="str">
        <f t="shared" ref="AF228:AF250" si="187">IFERROR(IF($F$21=0,0,IF(AD228=AD227,IF(B228-(AD228-1)*($F$16-$F$15)&lt;$F$21,AF227+1,AF227),1)),"-")</f>
        <v>-</v>
      </c>
      <c r="AG228" s="224" t="str">
        <f t="shared" ref="AG228:AG250" si="188">IFERROR(AE228-AF228,"-")</f>
        <v>-</v>
      </c>
      <c r="AH228" s="272">
        <f t="shared" si="136"/>
        <v>0.1</v>
      </c>
      <c r="AI228" s="271" t="str">
        <f>IFERROR(IF(AD227=1,AI$100*EXP(-(LN(2)/$D$65+0.04)*AF227)*EXP(-(LN(2)/$D$65+0.1)*AG227),IF(AD227=2,AI$100*EXP(-(LN(2)/$D$65+0.04)*(VLOOKUP(($F$16-$F$15)-1,AC$99:AG227,4,FALSE)))*EXP(-(LN(2)/$D$65+0.1)*(VLOOKUP(($F$16-$F$15)-1,AC$99:AG227,5,FALSE)))*EXP(-(LN(2)/$D$65+0.04)*AF227)*EXP(-(LN(2)/$D$65+0.1)*AG227),IF(AD227=3,AI$100*EXP(-(LN(2)/$D$65+0.04)*(VLOOKUP(($F$16-$F$15)-1,AC$99:AG227,4,FALSE)))*EXP(-(LN(2)/$D$65+0.1)*(VLOOKUP(($F$16-$F$15)-1,AC$99:AG227,5,FALSE)))*EXP(-(LN(2)/$D$65+0.04)*(VLOOKUP(($F$16-$F$15)*2-1,AC$99:AG227,4,FALSE)))*EXP(-(LN(2)/$D$65+0.1)*(VLOOKUP(($F$16-$F$15)*2-1,AC$99:AG227,5,FALSE)))*EXP(-(LN(2)/$D$65+0.04)*AF227)*EXP(-(LN(2)/$D$65+0.1)*AG227),"-"))),"-")</f>
        <v>-</v>
      </c>
      <c r="AJ228" s="271" t="str">
        <f>IFERROR(IF(AD228=1,AJ$100*EXP(-(LN(2)/$D$65+0.04)*AF228)*EXP(-(LN(2)/$D$65+0.1)*AG228),IF(AD228=2,AJ$100*EXP(-(LN(2)/$D$65+0.04)*(VLOOKUP(($F$16-$F$15)-1,AC$100:AG228,4,FALSE)))*EXP(-(LN(2)/$D$65+0.1)*(VLOOKUP(($F$16-$F$15)-1,AC$100:AG228,5,FALSE)))*EXP(-(LN(2)/$D$65+0.04)*AF228)*EXP(-(LN(2)/$D$65+0.1)*AG228),IF(AD228=3,AJ$100*EXP(-(LN(2)/$D$65+0.04)*(VLOOKUP(($F$16-$F$15)-1,AC$100:AG228,4,FALSE)))*EXP(-(LN(2)/$D$65+0.1)*(VLOOKUP(($F$16-$F$15)-1,AC$100:AG228,5,FALSE)))*EXP(-(LN(2)/$D$65+0.04)*(VLOOKUP(($F$16-$F$15)*2-1,AC$100:AG228,4,FALSE)))*EXP(-(LN(2)/$D$65+0.1)*(VLOOKUP(($F$16-$F$15)*2-1,AC$100:AG228,5,FALSE)))*EXP(-(LN(2)/$D$65+0.04)*AF228)*EXP(-(LN(2)/$D$65+0.1)*AG228),"-"))),"-")</f>
        <v>-</v>
      </c>
      <c r="AK228" s="227">
        <f t="shared" si="137"/>
        <v>128</v>
      </c>
      <c r="AL228" s="226" t="str">
        <f t="shared" ref="AL228:AL250" si="189">IFERROR(IF($F$14-2&gt;0,IF(B228&lt;($F$16-$F$15)*($F$14-2),INT(B228/($F$16-$F$15))+1,AL226),"-"),"-")</f>
        <v>-</v>
      </c>
      <c r="AM228" s="227" t="str">
        <f t="shared" si="138"/>
        <v>-</v>
      </c>
      <c r="AN228" s="227" t="str">
        <f t="shared" si="139"/>
        <v>-</v>
      </c>
      <c r="AO228" s="227" t="str">
        <f t="shared" ref="AO228:AO250" si="190">IFERROR(AM228-AN228,"-")</f>
        <v>-</v>
      </c>
      <c r="AP228" s="273">
        <f t="shared" si="140"/>
        <v>0.1</v>
      </c>
      <c r="AQ228" s="271" t="str">
        <f>IFERROR(IF(AL227=1,AQ$100*EXP(-(LN(2)/$D$65+0.04)*AN227)*EXP(-(LN(2)/$D$65+0.1)*AO227),IF(AL227=2,AQ$100*EXP(-(LN(2)/$D$65+0.04)*(VLOOKUP(($F$16-$F$15)-1,AK$99:AO227,4,FALSE)))*EXP(-(LN(2)/$D$65+0.1)*(VLOOKUP(($F$16-$F$15)-1,AK$99:AO227,5,FALSE)))*EXP(-(LN(2)/$D$65+0.04)*AN227)*EXP(-(LN(2)/$D$65+0.1)*AO227),IF(AL227=3,AQ$100*EXP(-(LN(2)/$D$65+0.04)*(VLOOKUP(($F$16-$F$15)-1,AK$99:AO227,4,FALSE)))*EXP(-(LN(2)/$D$65+0.1)*(VLOOKUP(($F$16-$F$15)-1,AK$99:AO227,5,FALSE)))*EXP(-(LN(2)/$D$65+0.04)*(VLOOKUP(($F$16-$F$15)*2-1,AK$99:AO227,4,FALSE)))*EXP(-(LN(2)/$D$65+0.1)*(VLOOKUP(($F$16-$F$15)*2-1,AK$99:AO227,5,FALSE)))*EXP(-(LN(2)/$D$65+0.04)*AN227)*EXP(-(LN(2)/$D$65+0.1)*AO227),"-"))),"-")</f>
        <v>-</v>
      </c>
      <c r="AR228" s="271" t="str">
        <f>IFERROR(IF(AL228=1,AR$100*EXP(-(LN(2)/$D$65+0.04)*AN228)*EXP(-(LN(2)/$D$65+0.1)*AO228),IF(AL228=2,AR$100*EXP(-(LN(2)/$D$65+0.04)*(VLOOKUP(($F$16-$F$15)-1,AK$100:AO228,4,FALSE)))*EXP(-(LN(2)/$D$65+0.1)*(VLOOKUP(($F$16-$F$15)-1,AK$100:AO228,5,FALSE)))*EXP(-(LN(2)/$D$65+0.04)*AN228)*EXP(-(LN(2)/$D$65+0.1)*AO228),IF(AL228=3,AR$100*EXP(-(LN(2)/$D$65+0.04)*(VLOOKUP(($F$16-$F$15)-1,AK$100:AO228,4,FALSE)))*EXP(-(LN(2)/$D$65+0.1)*(VLOOKUP(($F$16-$F$15)-1,AK$100:AO228,5,FALSE)))*EXP(-(LN(2)/$D$65+0.04)*(VLOOKUP(($F$16-$F$15)*2-1,AK$100:AO228,4,FALSE)))*EXP(-(LN(2)/$D$65+0.1)*(VLOOKUP(($F$16-$F$15)*2-1,AK$100:AO228,5,FALSE)))*EXP(-(LN(2)/$D$65+0.04)*AN228)*EXP(-(LN(2)/$D$65+0.1)*AO228),"-"))),"-")</f>
        <v>-</v>
      </c>
      <c r="AS228" s="274">
        <f t="shared" ref="AS228:AS250" si="191">SUM(H228:J228)</f>
        <v>0</v>
      </c>
      <c r="AT228" s="274">
        <f t="shared" ref="AT228:AT250" si="192">SUM(K228:M228)</f>
        <v>0</v>
      </c>
      <c r="AU228" s="274">
        <f t="shared" ref="AU228:AU250" si="193">SUM(N228:S228)</f>
        <v>0</v>
      </c>
      <c r="AV228" s="190" t="str">
        <f>IF($B228&lt;$F$22,SUM($T$100:$T228),"")</f>
        <v/>
      </c>
      <c r="AW228" s="190" t="str">
        <f t="shared" ref="AW228:AW250" si="194">IF(ISNUMBER(Koc),IF(ISNUMBER(AV228),AV228*(Koc*(Ocse/100)*Pse*Vse)/(Koc*(Ocse/100)*Pse*Vse+1*86400*($B228+1)),""),"-")</f>
        <v>-</v>
      </c>
      <c r="AX228" s="190" t="str">
        <f t="shared" si="141"/>
        <v/>
      </c>
      <c r="AY228"/>
      <c r="AZ228" s="190" t="str">
        <f ca="1">IF(ISNUMBER(OFFSET(AV228,-$F$21,0)),SUM(OFFSET($T$100,$F$21,0):$T228),"")</f>
        <v/>
      </c>
      <c r="BA228" s="190" t="str">
        <f t="shared" ref="BA228:BA250" ca="1" si="195">IF(ISNUMBER(OFFSET(AV228,-$F$21,0)),AZ228*(Koc*(Ocse/100)*Pse*Vse)/(Koc*(Ocse/100)*Pse*Vse+1*86400*($B228+1)),"")</f>
        <v/>
      </c>
      <c r="BB228" s="190" t="str">
        <f t="shared" ca="1" si="148"/>
        <v/>
      </c>
      <c r="BC228" s="190"/>
      <c r="BD228" s="190" t="str">
        <f ca="1">IFERROR(IF(OR(ISNUMBER(I),ISNUMBER($F$14)),IF(AND($B228&gt;=($F$16-$F$15),$B228&lt;$F$22+($F$16-$F$15)),SUM(OFFSET($T$100,($F$16-$F$15),0):$T228),""),""),"")</f>
        <v/>
      </c>
      <c r="BE228" s="190" t="str">
        <f t="shared" ca="1" si="142"/>
        <v/>
      </c>
      <c r="BF228" s="190" t="str">
        <f t="shared" ca="1" si="143"/>
        <v/>
      </c>
      <c r="BG228"/>
      <c r="BH228" s="190" t="str">
        <f ca="1">IF(ISNUMBER(OFFSET(BD228,-$F$21,0)),SUM(OFFSET($T$100,($F$16-$F$15+$F$21),0):$T228),"")</f>
        <v/>
      </c>
      <c r="BI228" s="190" t="str">
        <f t="shared" ref="BI228:BI250" ca="1" si="196">IF(ISNUMBER(OFFSET(BD228,-$F$21,0)),BH228*(Koc*(Ocse/100)*Pse*Vse)/(Koc*(Ocse/100)*Pse*Vse+1*86400*($B228+1)),"")</f>
        <v/>
      </c>
      <c r="BJ228" s="190" t="str">
        <f t="shared" ca="1" si="144"/>
        <v/>
      </c>
      <c r="BK228" s="190"/>
      <c r="BL228" s="190" t="str">
        <f ca="1">IFERROR(IF(OR(ISNUMBER(I),ISNUMBER($F$14)),IF(AND($B228&gt;=($F$17-$F$15),$B228&lt;$F$22+($F$17-$F$15)),SUM(OFFSET($T$100,($F$17-$F$15),0):$T228),""),""),"")</f>
        <v/>
      </c>
      <c r="BM228" s="190" t="str">
        <f t="shared" ref="BM228:BM250" ca="1" si="197">IF(ISNUMBER(BL228),BL228*(Koc*(Ocse/100)*Pse*Vse)/(Koc*(Ocse/100)*Pse*Vse+1*86400*($B228+1)),"")</f>
        <v/>
      </c>
      <c r="BN228" s="190" t="str">
        <f t="shared" ca="1" si="145"/>
        <v/>
      </c>
      <c r="BO228"/>
      <c r="BP228" s="190" t="str">
        <f ca="1">IF(ISNUMBER(OFFSET(BL228,-$F$21,0)),SUM(OFFSET($T$100,($F$17-$F$15+$F$21),0):$T228),"")</f>
        <v/>
      </c>
      <c r="BQ228" s="190" t="str">
        <f t="shared" ref="BQ228:BQ250" ca="1" si="198">IF(ISNUMBER(OFFSET(BL228,-$F$21,0)),BP228*(Koc*(Ocse/100)*Pse*Vse)/(Koc*(Ocse/100)*Pse*Vse+1*86400*($B228+1)),"")</f>
        <v/>
      </c>
      <c r="BR228" s="190" t="str">
        <f t="shared" ca="1" si="146"/>
        <v/>
      </c>
      <c r="BS228" s="190"/>
      <c r="BT228"/>
      <c r="BU228"/>
      <c r="BV228"/>
      <c r="BY228" s="99"/>
      <c r="BZ228" s="99"/>
      <c r="CA228" s="280" t="str">
        <f t="shared" ref="CA228:CA250" si="199">IFERROR(IF($B228&lt;$CA$94,T228*(Koc*(Ocse/100)*Pse*Vse)/(Koc*(Ocse/100)*Pse*Vse+1*86400*$CA$94),""),"-")</f>
        <v/>
      </c>
      <c r="CB228" s="71" t="str">
        <f t="shared" ref="CB228:CB250" si="200">IF(ISNUMBER(T228),IF($B228&lt;$CA$94,(T228-CA228)/(3*86400)*1000,""),"-")</f>
        <v>-</v>
      </c>
      <c r="CC228" s="33"/>
      <c r="CD228" s="261" t="str">
        <f t="shared" ref="CD228:CD250" si="201">IF(CC228=CA$96,CB$96,"")</f>
        <v/>
      </c>
      <c r="CE228" s="280" t="str">
        <f t="shared" ref="CE228:CE250" si="202">IFERROR(IF($B228&lt;$CE$94,T228*(Koc*(Ocse/100)*Pse*Vse)/(Koc*(Ocse/100)*Pse*Vse+1*86400*$CE$94),""),"-")</f>
        <v/>
      </c>
      <c r="CF228" s="71" t="str">
        <f t="shared" ref="CF228:CF250" ca="1" si="203">IFERROR(IF($B228&lt;$CE$94,IF(NOT(ISNUMBER(ffp)),"-",IF($F$70=$AX$87,AX228,IF($F$70=$BB$87,OFFSET(BB228,$F$21,0),IF($F$70=$BF$87,OFFSET(BF228,$F$16,0),IF($F$70=$BJ$87,OFFSET(BJ228,$F$16+$F$21,0),IF($F$70=$BN$87,OFFSET(BN228,$F$17,0),OFFSET(BR228,$F$17+$F$21,0))))))),""),"-")</f>
        <v/>
      </c>
      <c r="CG228" s="33" t="str">
        <f t="shared" ref="CG228:CG250" si="204">IF($B228&lt;$CE$94,$B228&amp;"-"&amp;$B228+1,"")</f>
        <v/>
      </c>
      <c r="CH228" s="261" t="str">
        <f t="shared" ref="CH228:CH250" ca="1" si="205">IF(CG228=CE$96,CF$96,"")</f>
        <v/>
      </c>
    </row>
    <row r="229" spans="2:86" ht="13.5" customHeight="1" x14ac:dyDescent="0.2">
      <c r="B229" s="262">
        <v>129</v>
      </c>
      <c r="C229" s="237" t="str">
        <f t="shared" si="169"/>
        <v/>
      </c>
      <c r="D229" s="237" t="str">
        <f t="shared" si="147"/>
        <v/>
      </c>
      <c r="E229" s="263" t="str">
        <f t="shared" ref="E229:E250" si="206">IF(ISNUMBER($F$14),IF(ISNUMBER(AA229),AA229,""),"")</f>
        <v/>
      </c>
      <c r="F229" s="264" t="str">
        <f t="shared" ref="F229:F250" si="207">IF(OR($F$14=2,$F$14=3),IF(($F$16-$F$15)&gt;B229," ",VLOOKUP((B229-($F$16-$F$15)),$AC$100:$AI$250,7,FALSE)),"")</f>
        <v/>
      </c>
      <c r="G229" s="264" t="str">
        <f t="shared" ref="G229:G250" si="208">IF($F$14=3,IF(($F$16-$F$15)*2&gt;B229," ",VLOOKUP((B229-($F$16-$F$15)*2),$AK$100:$AQ$250,7,FALSE)),"")</f>
        <v/>
      </c>
      <c r="H229" s="240" t="str">
        <f t="shared" si="170"/>
        <v/>
      </c>
      <c r="I229" s="265" t="str">
        <f t="shared" si="171"/>
        <v/>
      </c>
      <c r="J229" s="265" t="str">
        <f t="shared" si="172"/>
        <v/>
      </c>
      <c r="K229" s="240" t="str">
        <f t="shared" si="173"/>
        <v/>
      </c>
      <c r="L229" s="265" t="str">
        <f t="shared" si="174"/>
        <v/>
      </c>
      <c r="M229" s="265" t="str">
        <f t="shared" si="175"/>
        <v/>
      </c>
      <c r="N229" s="240" t="str">
        <f t="shared" si="176"/>
        <v>-</v>
      </c>
      <c r="O229" s="265" t="str">
        <f t="shared" si="177"/>
        <v>-</v>
      </c>
      <c r="P229" s="265" t="str">
        <f t="shared" si="178"/>
        <v>-</v>
      </c>
      <c r="Q229" s="266" t="str">
        <f t="shared" si="179"/>
        <v>-</v>
      </c>
      <c r="R229" s="267" t="str">
        <f t="shared" si="180"/>
        <v>-</v>
      </c>
      <c r="S229" s="268" t="str">
        <f t="shared" si="181"/>
        <v>-</v>
      </c>
      <c r="T229" s="269" t="str">
        <f t="shared" si="182"/>
        <v/>
      </c>
      <c r="U229" s="221">
        <f t="shared" si="183"/>
        <v>129</v>
      </c>
      <c r="V229" s="220" t="str">
        <f t="shared" ref="V229:V250" si="209">IF(ISNUMBER($F$14),IF(B229&lt;($F$16-$F$15)*$F$14,INT(B229/($F$16-$F$15))+1,V227),"-")</f>
        <v>-</v>
      </c>
      <c r="W229" s="221" t="str">
        <f t="shared" ref="W229:W250" si="210">IF(ISNUMBER($F$14),IF(B229&lt;$F$14*($F$16-$F$15),B229-INT(B229/($F$16-$F$15))*($F$16-$F$15)+1,W228+1),"-")</f>
        <v>-</v>
      </c>
      <c r="X229" s="221" t="str">
        <f t="shared" si="184"/>
        <v>-</v>
      </c>
      <c r="Y229" s="221" t="str">
        <f t="shared" si="185"/>
        <v>-</v>
      </c>
      <c r="Z229" s="270">
        <f t="shared" ref="Z229:Z250" si="211">IF(Y229&gt;0,0.1,0.04)</f>
        <v>0.1</v>
      </c>
      <c r="AA229" s="271" t="str">
        <f>IFERROR(IF(V228=1,AA$100*EXP(-(LN(2)/$D$65+0.04)*X228)*EXP(-(LN(2)/$D$65+0.1)*Y228),IF(V228=2,AA$100*EXP(-(LN(2)/$D$65+0.04)*(VLOOKUP(($F$16-$F$15)-1,U$99:Y228,4,FALSE)))*EXP(-(LN(2)/$D$65+0.1)*(VLOOKUP(($F$16-$F$15)-1,U$99:Y228,5,FALSE)))*EXP(-(LN(2)/$D$65+0.04)*X228)*EXP(-(LN(2)/$D$65+0.1)*Y228),IF(V228=3,AA$100*EXP(-(LN(2)/$D$65+0.04)*(VLOOKUP(($F$16-$F$15)-1,U$99:Y228,4,FALSE)))*EXP(-(LN(2)/$D$65+0.1)*(VLOOKUP(($F$16-$F$15)-1,U$99:Y228,5,FALSE)))*EXP(-(LN(2)/$D$65+0.04)*(VLOOKUP(($F$16-$F$15)*2-1,U$99:Y228,4,FALSE)))*EXP(-(LN(2)/$D$65+0.1)*(VLOOKUP(($F$16-$F$15)*2-1,U$99:Y228,5,FALSE)))*EXP(-(LN(2)/$D$65+0.04)*X228)*EXP(-(LN(2)/$D$65+0.1)*Y228),"-"))),"-")</f>
        <v>-</v>
      </c>
      <c r="AB229" s="271" t="str">
        <f>IFERROR(IF(V229=1,AB$100*EXP(-(LN(2)/$D$65+0.04)*X229)*EXP(-(LN(2)/$D$65+0.1)*Y229),IF(V229=2,AB$100*EXP(-(LN(2)/$D$65+0.04)*(VLOOKUP(($F$16-$F$15)-1,U$100:Y229,4,FALSE)))*EXP(-(LN(2)/$D$65+0.1)*(VLOOKUP(($F$16-$F$15)-1,U$100:Y229,5,FALSE)))*EXP(-(LN(2)/$D$65+0.04)*X229)*EXP(-(LN(2)/$D$65+0.1)*Y229),IF(V229=3,AB$100*EXP(-(LN(2)/$D$65+0.04)*(VLOOKUP(($F$16-$F$15)-1,U$100:Y229,4,FALSE)))*EXP(-(LN(2)/$D$65+0.1)*(VLOOKUP(($F$16-$F$15)-1,U$100:Y229,5,FALSE)))*EXP(-(LN(2)/$D$65+0.04)*(VLOOKUP(($F$16-$F$15)*2-1,U$100:Y229,4,FALSE)))*EXP(-(LN(2)/$D$65+0.1)*(VLOOKUP(($F$16-$F$15)*2-1,U$100:Y229,5,FALSE)))*EXP(-(LN(2)/$D$65+0.04)*X229)*EXP(-(LN(2)/$D$65+0.1)*Y229),"-"))),"-")</f>
        <v>-</v>
      </c>
      <c r="AC229" s="224">
        <f t="shared" ref="AC229:AC240" si="212">B229</f>
        <v>129</v>
      </c>
      <c r="AD229" s="223" t="str">
        <f t="shared" si="186"/>
        <v>-</v>
      </c>
      <c r="AE229" s="224" t="str">
        <f t="shared" ref="AE229:AE250" si="213">IFERROR(IF($F$14-1&gt;0,IF(B229&lt;($F$14-1)*($F$16-$F$15),B229-INT(B229/($F$16-$F$15))*($F$16-$F$15)+1,AE228+1),"-"),"-")</f>
        <v>-</v>
      </c>
      <c r="AF229" s="224" t="str">
        <f t="shared" si="187"/>
        <v>-</v>
      </c>
      <c r="AG229" s="224" t="str">
        <f t="shared" si="188"/>
        <v>-</v>
      </c>
      <c r="AH229" s="272">
        <f t="shared" ref="AH229:AH250" si="214">IF(AG229&gt;0,0.1,0.04)</f>
        <v>0.1</v>
      </c>
      <c r="AI229" s="271" t="str">
        <f>IFERROR(IF(AD228=1,AI$100*EXP(-(LN(2)/$D$65+0.04)*AF228)*EXP(-(LN(2)/$D$65+0.1)*AG228),IF(AD228=2,AI$100*EXP(-(LN(2)/$D$65+0.04)*(VLOOKUP(($F$16-$F$15)-1,AC$99:AG228,4,FALSE)))*EXP(-(LN(2)/$D$65+0.1)*(VLOOKUP(($F$16-$F$15)-1,AC$99:AG228,5,FALSE)))*EXP(-(LN(2)/$D$65+0.04)*AF228)*EXP(-(LN(2)/$D$65+0.1)*AG228),IF(AD228=3,AI$100*EXP(-(LN(2)/$D$65+0.04)*(VLOOKUP(($F$16-$F$15)-1,AC$99:AG228,4,FALSE)))*EXP(-(LN(2)/$D$65+0.1)*(VLOOKUP(($F$16-$F$15)-1,AC$99:AG228,5,FALSE)))*EXP(-(LN(2)/$D$65+0.04)*(VLOOKUP(($F$16-$F$15)*2-1,AC$99:AG228,4,FALSE)))*EXP(-(LN(2)/$D$65+0.1)*(VLOOKUP(($F$16-$F$15)*2-1,AC$99:AG228,5,FALSE)))*EXP(-(LN(2)/$D$65+0.04)*AF228)*EXP(-(LN(2)/$D$65+0.1)*AG228),"-"))),"-")</f>
        <v>-</v>
      </c>
      <c r="AJ229" s="271" t="str">
        <f>IFERROR(IF(AD229=1,AJ$100*EXP(-(LN(2)/$D$65+0.04)*AF229)*EXP(-(LN(2)/$D$65+0.1)*AG229),IF(AD229=2,AJ$100*EXP(-(LN(2)/$D$65+0.04)*(VLOOKUP(($F$16-$F$15)-1,AC$100:AG229,4,FALSE)))*EXP(-(LN(2)/$D$65+0.1)*(VLOOKUP(($F$16-$F$15)-1,AC$100:AG229,5,FALSE)))*EXP(-(LN(2)/$D$65+0.04)*AF229)*EXP(-(LN(2)/$D$65+0.1)*AG229),IF(AD229=3,AJ$100*EXP(-(LN(2)/$D$65+0.04)*(VLOOKUP(($F$16-$F$15)-1,AC$100:AG229,4,FALSE)))*EXP(-(LN(2)/$D$65+0.1)*(VLOOKUP(($F$16-$F$15)-1,AC$100:AG229,5,FALSE)))*EXP(-(LN(2)/$D$65+0.04)*(VLOOKUP(($F$16-$F$15)*2-1,AC$100:AG229,4,FALSE)))*EXP(-(LN(2)/$D$65+0.1)*(VLOOKUP(($F$16-$F$15)*2-1,AC$100:AG229,5,FALSE)))*EXP(-(LN(2)/$D$65+0.04)*AF229)*EXP(-(LN(2)/$D$65+0.1)*AG229),"-"))),"-")</f>
        <v>-</v>
      </c>
      <c r="AK229" s="227">
        <f t="shared" ref="AK229:AK250" si="215">B229</f>
        <v>129</v>
      </c>
      <c r="AL229" s="226" t="str">
        <f t="shared" si="189"/>
        <v>-</v>
      </c>
      <c r="AM229" s="227" t="str">
        <f t="shared" ref="AM229:AM250" si="216">IFERROR(IF($F$14-2&gt;0,IF(B229&lt;($F$14-2)*($F$16-$F$15),B229-INT(B229/($F$16-$F$15))*($F$16-$F$15)+1,AM228+1),"-"),"-")</f>
        <v>-</v>
      </c>
      <c r="AN229" s="227" t="str">
        <f t="shared" ref="AN229:AN250" si="217">IFERROR(IF($F$21=0,0,IF(AL229=AL228,IF(B229-(AL229-1)*($F$16-$F$15)&lt;$F$21,AN228+1,AN228),1)),"-")</f>
        <v>-</v>
      </c>
      <c r="AO229" s="227" t="str">
        <f t="shared" si="190"/>
        <v>-</v>
      </c>
      <c r="AP229" s="273">
        <f t="shared" ref="AP229:AP250" si="218">IF(AO229&gt;0,0.1,0.04)</f>
        <v>0.1</v>
      </c>
      <c r="AQ229" s="271" t="str">
        <f>IFERROR(IF(AL228=1,AQ$100*EXP(-(LN(2)/$D$65+0.04)*AN228)*EXP(-(LN(2)/$D$65+0.1)*AO228),IF(AL228=2,AQ$100*EXP(-(LN(2)/$D$65+0.04)*(VLOOKUP(($F$16-$F$15)-1,AK$99:AO228,4,FALSE)))*EXP(-(LN(2)/$D$65+0.1)*(VLOOKUP(($F$16-$F$15)-1,AK$99:AO228,5,FALSE)))*EXP(-(LN(2)/$D$65+0.04)*AN228)*EXP(-(LN(2)/$D$65+0.1)*AO228),IF(AL228=3,AQ$100*EXP(-(LN(2)/$D$65+0.04)*(VLOOKUP(($F$16-$F$15)-1,AK$99:AO228,4,FALSE)))*EXP(-(LN(2)/$D$65+0.1)*(VLOOKUP(($F$16-$F$15)-1,AK$99:AO228,5,FALSE)))*EXP(-(LN(2)/$D$65+0.04)*(VLOOKUP(($F$16-$F$15)*2-1,AK$99:AO228,4,FALSE)))*EXP(-(LN(2)/$D$65+0.1)*(VLOOKUP(($F$16-$F$15)*2-1,AK$99:AO228,5,FALSE)))*EXP(-(LN(2)/$D$65+0.04)*AN228)*EXP(-(LN(2)/$D$65+0.1)*AO228),"-"))),"-")</f>
        <v>-</v>
      </c>
      <c r="AR229" s="271" t="str">
        <f>IFERROR(IF(AL229=1,AR$100*EXP(-(LN(2)/$D$65+0.04)*AN229)*EXP(-(LN(2)/$D$65+0.1)*AO229),IF(AL229=2,AR$100*EXP(-(LN(2)/$D$65+0.04)*(VLOOKUP(($F$16-$F$15)-1,AK$100:AO229,4,FALSE)))*EXP(-(LN(2)/$D$65+0.1)*(VLOOKUP(($F$16-$F$15)-1,AK$100:AO229,5,FALSE)))*EXP(-(LN(2)/$D$65+0.04)*AN229)*EXP(-(LN(2)/$D$65+0.1)*AO229),IF(AL229=3,AR$100*EXP(-(LN(2)/$D$65+0.04)*(VLOOKUP(($F$16-$F$15)-1,AK$100:AO229,4,FALSE)))*EXP(-(LN(2)/$D$65+0.1)*(VLOOKUP(($F$16-$F$15)-1,AK$100:AO229,5,FALSE)))*EXP(-(LN(2)/$D$65+0.04)*(VLOOKUP(($F$16-$F$15)*2-1,AK$100:AO229,4,FALSE)))*EXP(-(LN(2)/$D$65+0.1)*(VLOOKUP(($F$16-$F$15)*2-1,AK$100:AO229,5,FALSE)))*EXP(-(LN(2)/$D$65+0.04)*AN229)*EXP(-(LN(2)/$D$65+0.1)*AO229),"-"))),"-")</f>
        <v>-</v>
      </c>
      <c r="AS229" s="274">
        <f t="shared" si="191"/>
        <v>0</v>
      </c>
      <c r="AT229" s="274">
        <f t="shared" si="192"/>
        <v>0</v>
      </c>
      <c r="AU229" s="274">
        <f t="shared" si="193"/>
        <v>0</v>
      </c>
      <c r="AV229" s="190" t="str">
        <f>IF($B229&lt;$F$22,SUM($T$100:$T229),"")</f>
        <v/>
      </c>
      <c r="AW229" s="190" t="str">
        <f t="shared" si="194"/>
        <v>-</v>
      </c>
      <c r="AX229" s="190" t="str">
        <f t="shared" ref="AX229:AX250" si="219">IF(ISNUMBER(AW229),IF(ISNUMBER(AV229),(AV229-AW229)/(3*86400*($B229+1))*1000,""),"")</f>
        <v/>
      </c>
      <c r="AY229"/>
      <c r="AZ229" s="190" t="str">
        <f ca="1">IF(ISNUMBER(OFFSET(AV229,-$F$21,0)),SUM(OFFSET($T$100,$F$21,0):$T229),"")</f>
        <v/>
      </c>
      <c r="BA229" s="190" t="str">
        <f t="shared" ca="1" si="195"/>
        <v/>
      </c>
      <c r="BB229" s="190" t="str">
        <f t="shared" ca="1" si="148"/>
        <v/>
      </c>
      <c r="BC229" s="190"/>
      <c r="BD229" s="190" t="str">
        <f ca="1">IFERROR(IF(OR(ISNUMBER(I),ISNUMBER($F$14)),IF(AND($B229&gt;=($F$16-$F$15),$B229&lt;$F$22+($F$16-$F$15)),SUM(OFFSET($T$100,($F$16-$F$15),0):$T229),""),""),"")</f>
        <v/>
      </c>
      <c r="BE229" s="190" t="str">
        <f t="shared" ref="BE229:BE250" ca="1" si="220">IF(ISNUMBER(BD229),BD229*(Koc*(Ocse/100)*Pse*Vse)/(Koc*(Ocse/100)*Pse*Vse+1*86400*($B229+1)),"")</f>
        <v/>
      </c>
      <c r="BF229" s="190" t="str">
        <f t="shared" ref="BF229:BF250" ca="1" si="221">IF(ISNUMBER(BD229),(BD229-BE229)/(3*86400*($B229-($F$16-$F$15)+1))*1000,"")</f>
        <v/>
      </c>
      <c r="BG229"/>
      <c r="BH229" s="190" t="str">
        <f ca="1">IF(ISNUMBER(OFFSET(BD229,-$F$21,0)),SUM(OFFSET($T$100,($F$16-$F$15+$F$21),0):$T229),"")</f>
        <v/>
      </c>
      <c r="BI229" s="190" t="str">
        <f t="shared" ca="1" si="196"/>
        <v/>
      </c>
      <c r="BJ229" s="190" t="str">
        <f t="shared" ref="BJ229:BJ250" ca="1" si="222">IF(ISNUMBER(BH229),(BH229-BI229)/(3*86400*((OFFSET($B229,-$F$21,0)-($F$16-$F$15)+1)))*1000,"")</f>
        <v/>
      </c>
      <c r="BK229" s="190"/>
      <c r="BL229" s="190" t="str">
        <f ca="1">IFERROR(IF(OR(ISNUMBER(I),ISNUMBER($F$14)),IF(AND($B229&gt;=($F$17-$F$15),$B229&lt;$F$22+($F$17-$F$15)),SUM(OFFSET($T$100,($F$17-$F$15),0):$T229),""),""),"")</f>
        <v/>
      </c>
      <c r="BM229" s="190" t="str">
        <f t="shared" ca="1" si="197"/>
        <v/>
      </c>
      <c r="BN229" s="190" t="str">
        <f t="shared" ref="BN229:BN250" ca="1" si="223">IF(ISNUMBER(BL229),(BL229-BM229)/(3*86400*($B229-($F$17-$F$15)+1))*1000,"")</f>
        <v/>
      </c>
      <c r="BO229"/>
      <c r="BP229" s="190" t="str">
        <f ca="1">IF(ISNUMBER(OFFSET(BL229,-$F$21,0)),SUM(OFFSET($T$100,($F$17-$F$15+$F$21),0):$T229),"")</f>
        <v/>
      </c>
      <c r="BQ229" s="190" t="str">
        <f t="shared" ca="1" si="198"/>
        <v/>
      </c>
      <c r="BR229" s="190" t="str">
        <f t="shared" ref="BR229:BR250" ca="1" si="224">IF(ISNUMBER(BP229),(BP229-BQ229)/(3*86400*(OFFSET($B229,-$F$21,0)-($F$17-$F$15)+1))*1000,"")</f>
        <v/>
      </c>
      <c r="BS229" s="190"/>
      <c r="BT229"/>
      <c r="BU229"/>
      <c r="BV229"/>
      <c r="BY229" s="99"/>
      <c r="BZ229" s="99"/>
      <c r="CA229" s="280" t="str">
        <f t="shared" si="199"/>
        <v/>
      </c>
      <c r="CB229" s="71" t="str">
        <f t="shared" si="200"/>
        <v>-</v>
      </c>
      <c r="CC229" s="33"/>
      <c r="CD229" s="261" t="str">
        <f t="shared" si="201"/>
        <v/>
      </c>
      <c r="CE229" s="280" t="str">
        <f t="shared" si="202"/>
        <v/>
      </c>
      <c r="CF229" s="71" t="str">
        <f t="shared" ca="1" si="203"/>
        <v/>
      </c>
      <c r="CG229" s="33" t="str">
        <f t="shared" si="204"/>
        <v/>
      </c>
      <c r="CH229" s="261" t="str">
        <f t="shared" ca="1" si="205"/>
        <v/>
      </c>
    </row>
    <row r="230" spans="2:86" ht="13.5" customHeight="1" x14ac:dyDescent="0.2">
      <c r="B230" s="262">
        <v>130</v>
      </c>
      <c r="C230" s="237" t="str">
        <f t="shared" si="169"/>
        <v/>
      </c>
      <c r="D230" s="237" t="str">
        <f t="shared" ref="D230:D250" si="225">IFERROR(IF(B230&lt;$F$22,IF(ISNUMBER($D$65),IF(MAX($BU$101:$BU$120)&lt;B230, "", IF(B230=VLOOKUP(B230, $BU$101:$BU$120,1,1), C230,D229-INDEX($BY$101:$BY$120, MATCH(VLOOKUP(B230, $BU$101:$BU$120,1,1), $BU$101:$BU$120)+1, 1))),D229-VLOOKUP(MAX($BU$101:$BU$120),$BU$101:$BY$120,5)),""),"-")</f>
        <v/>
      </c>
      <c r="E230" s="263" t="str">
        <f t="shared" si="206"/>
        <v/>
      </c>
      <c r="F230" s="264" t="str">
        <f t="shared" si="207"/>
        <v/>
      </c>
      <c r="G230" s="264" t="str">
        <f t="shared" si="208"/>
        <v/>
      </c>
      <c r="H230" s="240" t="str">
        <f t="shared" si="170"/>
        <v/>
      </c>
      <c r="I230" s="265" t="str">
        <f t="shared" si="171"/>
        <v/>
      </c>
      <c r="J230" s="265" t="str">
        <f t="shared" si="172"/>
        <v/>
      </c>
      <c r="K230" s="240" t="str">
        <f t="shared" si="173"/>
        <v/>
      </c>
      <c r="L230" s="265" t="str">
        <f t="shared" si="174"/>
        <v/>
      </c>
      <c r="M230" s="265" t="str">
        <f t="shared" si="175"/>
        <v/>
      </c>
      <c r="N230" s="240" t="str">
        <f t="shared" si="176"/>
        <v>-</v>
      </c>
      <c r="O230" s="265" t="str">
        <f t="shared" si="177"/>
        <v>-</v>
      </c>
      <c r="P230" s="265" t="str">
        <f t="shared" si="178"/>
        <v>-</v>
      </c>
      <c r="Q230" s="266" t="str">
        <f t="shared" si="179"/>
        <v>-</v>
      </c>
      <c r="R230" s="267" t="str">
        <f t="shared" si="180"/>
        <v>-</v>
      </c>
      <c r="S230" s="268" t="str">
        <f t="shared" si="181"/>
        <v>-</v>
      </c>
      <c r="T230" s="269" t="str">
        <f t="shared" si="182"/>
        <v/>
      </c>
      <c r="U230" s="221">
        <f t="shared" si="183"/>
        <v>130</v>
      </c>
      <c r="V230" s="220" t="str">
        <f t="shared" si="209"/>
        <v>-</v>
      </c>
      <c r="W230" s="221" t="str">
        <f t="shared" si="210"/>
        <v>-</v>
      </c>
      <c r="X230" s="221" t="str">
        <f t="shared" si="184"/>
        <v>-</v>
      </c>
      <c r="Y230" s="221" t="str">
        <f t="shared" si="185"/>
        <v>-</v>
      </c>
      <c r="Z230" s="270">
        <f t="shared" si="211"/>
        <v>0.1</v>
      </c>
      <c r="AA230" s="271" t="str">
        <f>IFERROR(IF(V229=1,AA$100*EXP(-(LN(2)/$D$65+0.04)*X229)*EXP(-(LN(2)/$D$65+0.1)*Y229),IF(V229=2,AA$100*EXP(-(LN(2)/$D$65+0.04)*(VLOOKUP(($F$16-$F$15)-1,U$99:Y229,4,FALSE)))*EXP(-(LN(2)/$D$65+0.1)*(VLOOKUP(($F$16-$F$15)-1,U$99:Y229,5,FALSE)))*EXP(-(LN(2)/$D$65+0.04)*X229)*EXP(-(LN(2)/$D$65+0.1)*Y229),IF(V229=3,AA$100*EXP(-(LN(2)/$D$65+0.04)*(VLOOKUP(($F$16-$F$15)-1,U$99:Y229,4,FALSE)))*EXP(-(LN(2)/$D$65+0.1)*(VLOOKUP(($F$16-$F$15)-1,U$99:Y229,5,FALSE)))*EXP(-(LN(2)/$D$65+0.04)*(VLOOKUP(($F$16-$F$15)*2-1,U$99:Y229,4,FALSE)))*EXP(-(LN(2)/$D$65+0.1)*(VLOOKUP(($F$16-$F$15)*2-1,U$99:Y229,5,FALSE)))*EXP(-(LN(2)/$D$65+0.04)*X229)*EXP(-(LN(2)/$D$65+0.1)*Y229),"-"))),"-")</f>
        <v>-</v>
      </c>
      <c r="AB230" s="271" t="str">
        <f>IFERROR(IF(V230=1,AB$100*EXP(-(LN(2)/$D$65+0.04)*X230)*EXP(-(LN(2)/$D$65+0.1)*Y230),IF(V230=2,AB$100*EXP(-(LN(2)/$D$65+0.04)*(VLOOKUP(($F$16-$F$15)-1,U$100:Y230,4,FALSE)))*EXP(-(LN(2)/$D$65+0.1)*(VLOOKUP(($F$16-$F$15)-1,U$100:Y230,5,FALSE)))*EXP(-(LN(2)/$D$65+0.04)*X230)*EXP(-(LN(2)/$D$65+0.1)*Y230),IF(V230=3,AB$100*EXP(-(LN(2)/$D$65+0.04)*(VLOOKUP(($F$16-$F$15)-1,U$100:Y230,4,FALSE)))*EXP(-(LN(2)/$D$65+0.1)*(VLOOKUP(($F$16-$F$15)-1,U$100:Y230,5,FALSE)))*EXP(-(LN(2)/$D$65+0.04)*(VLOOKUP(($F$16-$F$15)*2-1,U$100:Y230,4,FALSE)))*EXP(-(LN(2)/$D$65+0.1)*(VLOOKUP(($F$16-$F$15)*2-1,U$100:Y230,5,FALSE)))*EXP(-(LN(2)/$D$65+0.04)*X230)*EXP(-(LN(2)/$D$65+0.1)*Y230),"-"))),"-")</f>
        <v>-</v>
      </c>
      <c r="AC230" s="224">
        <f t="shared" si="212"/>
        <v>130</v>
      </c>
      <c r="AD230" s="223" t="str">
        <f t="shared" si="186"/>
        <v>-</v>
      </c>
      <c r="AE230" s="224" t="str">
        <f t="shared" si="213"/>
        <v>-</v>
      </c>
      <c r="AF230" s="224" t="str">
        <f t="shared" si="187"/>
        <v>-</v>
      </c>
      <c r="AG230" s="224" t="str">
        <f t="shared" si="188"/>
        <v>-</v>
      </c>
      <c r="AH230" s="272">
        <f t="shared" si="214"/>
        <v>0.1</v>
      </c>
      <c r="AI230" s="271" t="str">
        <f>IFERROR(IF(AD229=1,AI$100*EXP(-(LN(2)/$D$65+0.04)*AF229)*EXP(-(LN(2)/$D$65+0.1)*AG229),IF(AD229=2,AI$100*EXP(-(LN(2)/$D$65+0.04)*(VLOOKUP(($F$16-$F$15)-1,AC$99:AG229,4,FALSE)))*EXP(-(LN(2)/$D$65+0.1)*(VLOOKUP(($F$16-$F$15)-1,AC$99:AG229,5,FALSE)))*EXP(-(LN(2)/$D$65+0.04)*AF229)*EXP(-(LN(2)/$D$65+0.1)*AG229),IF(AD229=3,AI$100*EXP(-(LN(2)/$D$65+0.04)*(VLOOKUP(($F$16-$F$15)-1,AC$99:AG229,4,FALSE)))*EXP(-(LN(2)/$D$65+0.1)*(VLOOKUP(($F$16-$F$15)-1,AC$99:AG229,5,FALSE)))*EXP(-(LN(2)/$D$65+0.04)*(VLOOKUP(($F$16-$F$15)*2-1,AC$99:AG229,4,FALSE)))*EXP(-(LN(2)/$D$65+0.1)*(VLOOKUP(($F$16-$F$15)*2-1,AC$99:AG229,5,FALSE)))*EXP(-(LN(2)/$D$65+0.04)*AF229)*EXP(-(LN(2)/$D$65+0.1)*AG229),"-"))),"-")</f>
        <v>-</v>
      </c>
      <c r="AJ230" s="271" t="str">
        <f>IFERROR(IF(AD230=1,AJ$100*EXP(-(LN(2)/$D$65+0.04)*AF230)*EXP(-(LN(2)/$D$65+0.1)*AG230),IF(AD230=2,AJ$100*EXP(-(LN(2)/$D$65+0.04)*(VLOOKUP(($F$16-$F$15)-1,AC$100:AG230,4,FALSE)))*EXP(-(LN(2)/$D$65+0.1)*(VLOOKUP(($F$16-$F$15)-1,AC$100:AG230,5,FALSE)))*EXP(-(LN(2)/$D$65+0.04)*AF230)*EXP(-(LN(2)/$D$65+0.1)*AG230),IF(AD230=3,AJ$100*EXP(-(LN(2)/$D$65+0.04)*(VLOOKUP(($F$16-$F$15)-1,AC$100:AG230,4,FALSE)))*EXP(-(LN(2)/$D$65+0.1)*(VLOOKUP(($F$16-$F$15)-1,AC$100:AG230,5,FALSE)))*EXP(-(LN(2)/$D$65+0.04)*(VLOOKUP(($F$16-$F$15)*2-1,AC$100:AG230,4,FALSE)))*EXP(-(LN(2)/$D$65+0.1)*(VLOOKUP(($F$16-$F$15)*2-1,AC$100:AG230,5,FALSE)))*EXP(-(LN(2)/$D$65+0.04)*AF230)*EXP(-(LN(2)/$D$65+0.1)*AG230),"-"))),"-")</f>
        <v>-</v>
      </c>
      <c r="AK230" s="227">
        <f t="shared" si="215"/>
        <v>130</v>
      </c>
      <c r="AL230" s="226" t="str">
        <f t="shared" si="189"/>
        <v>-</v>
      </c>
      <c r="AM230" s="227" t="str">
        <f t="shared" si="216"/>
        <v>-</v>
      </c>
      <c r="AN230" s="227" t="str">
        <f t="shared" si="217"/>
        <v>-</v>
      </c>
      <c r="AO230" s="227" t="str">
        <f t="shared" si="190"/>
        <v>-</v>
      </c>
      <c r="AP230" s="273">
        <f t="shared" si="218"/>
        <v>0.1</v>
      </c>
      <c r="AQ230" s="271" t="str">
        <f>IFERROR(IF(AL229=1,AQ$100*EXP(-(LN(2)/$D$65+0.04)*AN229)*EXP(-(LN(2)/$D$65+0.1)*AO229),IF(AL229=2,AQ$100*EXP(-(LN(2)/$D$65+0.04)*(VLOOKUP(($F$16-$F$15)-1,AK$99:AO229,4,FALSE)))*EXP(-(LN(2)/$D$65+0.1)*(VLOOKUP(($F$16-$F$15)-1,AK$99:AO229,5,FALSE)))*EXP(-(LN(2)/$D$65+0.04)*AN229)*EXP(-(LN(2)/$D$65+0.1)*AO229),IF(AL229=3,AQ$100*EXP(-(LN(2)/$D$65+0.04)*(VLOOKUP(($F$16-$F$15)-1,AK$99:AO229,4,FALSE)))*EXP(-(LN(2)/$D$65+0.1)*(VLOOKUP(($F$16-$F$15)-1,AK$99:AO229,5,FALSE)))*EXP(-(LN(2)/$D$65+0.04)*(VLOOKUP(($F$16-$F$15)*2-1,AK$99:AO229,4,FALSE)))*EXP(-(LN(2)/$D$65+0.1)*(VLOOKUP(($F$16-$F$15)*2-1,AK$99:AO229,5,FALSE)))*EXP(-(LN(2)/$D$65+0.04)*AN229)*EXP(-(LN(2)/$D$65+0.1)*AO229),"-"))),"-")</f>
        <v>-</v>
      </c>
      <c r="AR230" s="271" t="str">
        <f>IFERROR(IF(AL230=1,AR$100*EXP(-(LN(2)/$D$65+0.04)*AN230)*EXP(-(LN(2)/$D$65+0.1)*AO230),IF(AL230=2,AR$100*EXP(-(LN(2)/$D$65+0.04)*(VLOOKUP(($F$16-$F$15)-1,AK$100:AO230,4,FALSE)))*EXP(-(LN(2)/$D$65+0.1)*(VLOOKUP(($F$16-$F$15)-1,AK$100:AO230,5,FALSE)))*EXP(-(LN(2)/$D$65+0.04)*AN230)*EXP(-(LN(2)/$D$65+0.1)*AO230),IF(AL230=3,AR$100*EXP(-(LN(2)/$D$65+0.04)*(VLOOKUP(($F$16-$F$15)-1,AK$100:AO230,4,FALSE)))*EXP(-(LN(2)/$D$65+0.1)*(VLOOKUP(($F$16-$F$15)-1,AK$100:AO230,5,FALSE)))*EXP(-(LN(2)/$D$65+0.04)*(VLOOKUP(($F$16-$F$15)*2-1,AK$100:AO230,4,FALSE)))*EXP(-(LN(2)/$D$65+0.1)*(VLOOKUP(($F$16-$F$15)*2-1,AK$100:AO230,5,FALSE)))*EXP(-(LN(2)/$D$65+0.04)*AN230)*EXP(-(LN(2)/$D$65+0.1)*AO230),"-"))),"-")</f>
        <v>-</v>
      </c>
      <c r="AS230" s="274">
        <f t="shared" si="191"/>
        <v>0</v>
      </c>
      <c r="AT230" s="274">
        <f t="shared" si="192"/>
        <v>0</v>
      </c>
      <c r="AU230" s="274">
        <f t="shared" si="193"/>
        <v>0</v>
      </c>
      <c r="AV230" s="190" t="str">
        <f>IF($B230&lt;$F$22,SUM($T$100:$T230),"")</f>
        <v/>
      </c>
      <c r="AW230" s="190" t="str">
        <f t="shared" si="194"/>
        <v>-</v>
      </c>
      <c r="AX230" s="190" t="str">
        <f t="shared" si="219"/>
        <v/>
      </c>
      <c r="AY230"/>
      <c r="AZ230" s="190" t="str">
        <f ca="1">IF(ISNUMBER(OFFSET(AV230,-$F$21,0)),SUM(OFFSET($T$100,$F$21,0):$T230),"")</f>
        <v/>
      </c>
      <c r="BA230" s="190" t="str">
        <f t="shared" ca="1" si="195"/>
        <v/>
      </c>
      <c r="BB230" s="190" t="str">
        <f t="shared" ca="1" si="148"/>
        <v/>
      </c>
      <c r="BC230" s="190"/>
      <c r="BD230" s="190" t="str">
        <f ca="1">IFERROR(IF(OR(ISNUMBER(I),ISNUMBER($F$14)),IF(AND($B230&gt;=($F$16-$F$15),$B230&lt;$F$22+($F$16-$F$15)),SUM(OFFSET($T$100,($F$16-$F$15),0):$T230),""),""),"")</f>
        <v/>
      </c>
      <c r="BE230" s="190" t="str">
        <f t="shared" ca="1" si="220"/>
        <v/>
      </c>
      <c r="BF230" s="190" t="str">
        <f t="shared" ca="1" si="221"/>
        <v/>
      </c>
      <c r="BG230"/>
      <c r="BH230" s="190" t="str">
        <f ca="1">IF(ISNUMBER(OFFSET(BD230,-$F$21,0)),SUM(OFFSET($T$100,($F$16-$F$15+$F$21),0):$T230),"")</f>
        <v/>
      </c>
      <c r="BI230" s="190" t="str">
        <f t="shared" ca="1" si="196"/>
        <v/>
      </c>
      <c r="BJ230" s="190" t="str">
        <f t="shared" ca="1" si="222"/>
        <v/>
      </c>
      <c r="BK230" s="190"/>
      <c r="BL230" s="190" t="str">
        <f ca="1">IFERROR(IF(OR(ISNUMBER(I),ISNUMBER($F$14)),IF(AND($B230&gt;=($F$17-$F$15),$B230&lt;$F$22+($F$17-$F$15)),SUM(OFFSET($T$100,($F$17-$F$15),0):$T230),""),""),"")</f>
        <v/>
      </c>
      <c r="BM230" s="190" t="str">
        <f t="shared" ca="1" si="197"/>
        <v/>
      </c>
      <c r="BN230" s="190" t="str">
        <f t="shared" ca="1" si="223"/>
        <v/>
      </c>
      <c r="BO230"/>
      <c r="BP230" s="190" t="str">
        <f ca="1">IF(ISNUMBER(OFFSET(BL230,-$F$21,0)),SUM(OFFSET($T$100,($F$17-$F$15+$F$21),0):$T230),"")</f>
        <v/>
      </c>
      <c r="BQ230" s="190" t="str">
        <f t="shared" ca="1" si="198"/>
        <v/>
      </c>
      <c r="BR230" s="190" t="str">
        <f t="shared" ca="1" si="224"/>
        <v/>
      </c>
      <c r="BS230" s="190"/>
      <c r="BT230"/>
      <c r="BU230"/>
      <c r="BV230"/>
      <c r="BY230" s="99"/>
      <c r="BZ230" s="99"/>
      <c r="CA230" s="280" t="str">
        <f t="shared" si="199"/>
        <v/>
      </c>
      <c r="CB230" s="71" t="str">
        <f t="shared" si="200"/>
        <v>-</v>
      </c>
      <c r="CC230" s="33"/>
      <c r="CD230" s="261" t="str">
        <f t="shared" si="201"/>
        <v/>
      </c>
      <c r="CE230" s="280" t="str">
        <f t="shared" si="202"/>
        <v/>
      </c>
      <c r="CF230" s="71" t="str">
        <f t="shared" ca="1" si="203"/>
        <v/>
      </c>
      <c r="CG230" s="33" t="str">
        <f t="shared" si="204"/>
        <v/>
      </c>
      <c r="CH230" s="261" t="str">
        <f t="shared" ca="1" si="205"/>
        <v/>
      </c>
    </row>
    <row r="231" spans="2:86" ht="13.5" customHeight="1" x14ac:dyDescent="0.2">
      <c r="B231" s="262">
        <v>131</v>
      </c>
      <c r="C231" s="237" t="str">
        <f t="shared" si="169"/>
        <v/>
      </c>
      <c r="D231" s="237" t="str">
        <f t="shared" si="225"/>
        <v/>
      </c>
      <c r="E231" s="263" t="str">
        <f t="shared" si="206"/>
        <v/>
      </c>
      <c r="F231" s="264" t="str">
        <f t="shared" si="207"/>
        <v/>
      </c>
      <c r="G231" s="264" t="str">
        <f t="shared" si="208"/>
        <v/>
      </c>
      <c r="H231" s="240" t="str">
        <f t="shared" si="170"/>
        <v/>
      </c>
      <c r="I231" s="265" t="str">
        <f t="shared" si="171"/>
        <v/>
      </c>
      <c r="J231" s="265" t="str">
        <f t="shared" si="172"/>
        <v/>
      </c>
      <c r="K231" s="240" t="str">
        <f t="shared" si="173"/>
        <v/>
      </c>
      <c r="L231" s="265" t="str">
        <f t="shared" si="174"/>
        <v/>
      </c>
      <c r="M231" s="265" t="str">
        <f t="shared" si="175"/>
        <v/>
      </c>
      <c r="N231" s="240" t="str">
        <f t="shared" si="176"/>
        <v>-</v>
      </c>
      <c r="O231" s="265" t="str">
        <f t="shared" si="177"/>
        <v>-</v>
      </c>
      <c r="P231" s="265" t="str">
        <f t="shared" si="178"/>
        <v>-</v>
      </c>
      <c r="Q231" s="266" t="str">
        <f t="shared" si="179"/>
        <v>-</v>
      </c>
      <c r="R231" s="267" t="str">
        <f t="shared" si="180"/>
        <v>-</v>
      </c>
      <c r="S231" s="268" t="str">
        <f t="shared" si="181"/>
        <v>-</v>
      </c>
      <c r="T231" s="269" t="str">
        <f t="shared" si="182"/>
        <v/>
      </c>
      <c r="U231" s="221">
        <f t="shared" si="183"/>
        <v>131</v>
      </c>
      <c r="V231" s="220" t="str">
        <f t="shared" si="209"/>
        <v>-</v>
      </c>
      <c r="W231" s="221" t="str">
        <f t="shared" si="210"/>
        <v>-</v>
      </c>
      <c r="X231" s="221" t="str">
        <f t="shared" si="184"/>
        <v>-</v>
      </c>
      <c r="Y231" s="221" t="str">
        <f t="shared" si="185"/>
        <v>-</v>
      </c>
      <c r="Z231" s="270">
        <f t="shared" si="211"/>
        <v>0.1</v>
      </c>
      <c r="AA231" s="271" t="str">
        <f>IFERROR(IF(V230=1,AA$100*EXP(-(LN(2)/$D$65+0.04)*X230)*EXP(-(LN(2)/$D$65+0.1)*Y230),IF(V230=2,AA$100*EXP(-(LN(2)/$D$65+0.04)*(VLOOKUP(($F$16-$F$15)-1,U$99:Y230,4,FALSE)))*EXP(-(LN(2)/$D$65+0.1)*(VLOOKUP(($F$16-$F$15)-1,U$99:Y230,5,FALSE)))*EXP(-(LN(2)/$D$65+0.04)*X230)*EXP(-(LN(2)/$D$65+0.1)*Y230),IF(V230=3,AA$100*EXP(-(LN(2)/$D$65+0.04)*(VLOOKUP(($F$16-$F$15)-1,U$99:Y230,4,FALSE)))*EXP(-(LN(2)/$D$65+0.1)*(VLOOKUP(($F$16-$F$15)-1,U$99:Y230,5,FALSE)))*EXP(-(LN(2)/$D$65+0.04)*(VLOOKUP(($F$16-$F$15)*2-1,U$99:Y230,4,FALSE)))*EXP(-(LN(2)/$D$65+0.1)*(VLOOKUP(($F$16-$F$15)*2-1,U$99:Y230,5,FALSE)))*EXP(-(LN(2)/$D$65+0.04)*X230)*EXP(-(LN(2)/$D$65+0.1)*Y230),"-"))),"-")</f>
        <v>-</v>
      </c>
      <c r="AB231" s="271" t="str">
        <f>IFERROR(IF(V231=1,AB$100*EXP(-(LN(2)/$D$65+0.04)*X231)*EXP(-(LN(2)/$D$65+0.1)*Y231),IF(V231=2,AB$100*EXP(-(LN(2)/$D$65+0.04)*(VLOOKUP(($F$16-$F$15)-1,U$100:Y231,4,FALSE)))*EXP(-(LN(2)/$D$65+0.1)*(VLOOKUP(($F$16-$F$15)-1,U$100:Y231,5,FALSE)))*EXP(-(LN(2)/$D$65+0.04)*X231)*EXP(-(LN(2)/$D$65+0.1)*Y231),IF(V231=3,AB$100*EXP(-(LN(2)/$D$65+0.04)*(VLOOKUP(($F$16-$F$15)-1,U$100:Y231,4,FALSE)))*EXP(-(LN(2)/$D$65+0.1)*(VLOOKUP(($F$16-$F$15)-1,U$100:Y231,5,FALSE)))*EXP(-(LN(2)/$D$65+0.04)*(VLOOKUP(($F$16-$F$15)*2-1,U$100:Y231,4,FALSE)))*EXP(-(LN(2)/$D$65+0.1)*(VLOOKUP(($F$16-$F$15)*2-1,U$100:Y231,5,FALSE)))*EXP(-(LN(2)/$D$65+0.04)*X231)*EXP(-(LN(2)/$D$65+0.1)*Y231),"-"))),"-")</f>
        <v>-</v>
      </c>
      <c r="AC231" s="224">
        <f t="shared" si="212"/>
        <v>131</v>
      </c>
      <c r="AD231" s="223" t="str">
        <f t="shared" si="186"/>
        <v>-</v>
      </c>
      <c r="AE231" s="224" t="str">
        <f t="shared" si="213"/>
        <v>-</v>
      </c>
      <c r="AF231" s="224" t="str">
        <f t="shared" si="187"/>
        <v>-</v>
      </c>
      <c r="AG231" s="224" t="str">
        <f t="shared" si="188"/>
        <v>-</v>
      </c>
      <c r="AH231" s="272">
        <f t="shared" si="214"/>
        <v>0.1</v>
      </c>
      <c r="AI231" s="271" t="str">
        <f>IFERROR(IF(AD230=1,AI$100*EXP(-(LN(2)/$D$65+0.04)*AF230)*EXP(-(LN(2)/$D$65+0.1)*AG230),IF(AD230=2,AI$100*EXP(-(LN(2)/$D$65+0.04)*(VLOOKUP(($F$16-$F$15)-1,AC$99:AG230,4,FALSE)))*EXP(-(LN(2)/$D$65+0.1)*(VLOOKUP(($F$16-$F$15)-1,AC$99:AG230,5,FALSE)))*EXP(-(LN(2)/$D$65+0.04)*AF230)*EXP(-(LN(2)/$D$65+0.1)*AG230),IF(AD230=3,AI$100*EXP(-(LN(2)/$D$65+0.04)*(VLOOKUP(($F$16-$F$15)-1,AC$99:AG230,4,FALSE)))*EXP(-(LN(2)/$D$65+0.1)*(VLOOKUP(($F$16-$F$15)-1,AC$99:AG230,5,FALSE)))*EXP(-(LN(2)/$D$65+0.04)*(VLOOKUP(($F$16-$F$15)*2-1,AC$99:AG230,4,FALSE)))*EXP(-(LN(2)/$D$65+0.1)*(VLOOKUP(($F$16-$F$15)*2-1,AC$99:AG230,5,FALSE)))*EXP(-(LN(2)/$D$65+0.04)*AF230)*EXP(-(LN(2)/$D$65+0.1)*AG230),"-"))),"-")</f>
        <v>-</v>
      </c>
      <c r="AJ231" s="271" t="str">
        <f>IFERROR(IF(AD231=1,AJ$100*EXP(-(LN(2)/$D$65+0.04)*AF231)*EXP(-(LN(2)/$D$65+0.1)*AG231),IF(AD231=2,AJ$100*EXP(-(LN(2)/$D$65+0.04)*(VLOOKUP(($F$16-$F$15)-1,AC$100:AG231,4,FALSE)))*EXP(-(LN(2)/$D$65+0.1)*(VLOOKUP(($F$16-$F$15)-1,AC$100:AG231,5,FALSE)))*EXP(-(LN(2)/$D$65+0.04)*AF231)*EXP(-(LN(2)/$D$65+0.1)*AG231),IF(AD231=3,AJ$100*EXP(-(LN(2)/$D$65+0.04)*(VLOOKUP(($F$16-$F$15)-1,AC$100:AG231,4,FALSE)))*EXP(-(LN(2)/$D$65+0.1)*(VLOOKUP(($F$16-$F$15)-1,AC$100:AG231,5,FALSE)))*EXP(-(LN(2)/$D$65+0.04)*(VLOOKUP(($F$16-$F$15)*2-1,AC$100:AG231,4,FALSE)))*EXP(-(LN(2)/$D$65+0.1)*(VLOOKUP(($F$16-$F$15)*2-1,AC$100:AG231,5,FALSE)))*EXP(-(LN(2)/$D$65+0.04)*AF231)*EXP(-(LN(2)/$D$65+0.1)*AG231),"-"))),"-")</f>
        <v>-</v>
      </c>
      <c r="AK231" s="227">
        <f t="shared" si="215"/>
        <v>131</v>
      </c>
      <c r="AL231" s="226" t="str">
        <f t="shared" si="189"/>
        <v>-</v>
      </c>
      <c r="AM231" s="227" t="str">
        <f t="shared" si="216"/>
        <v>-</v>
      </c>
      <c r="AN231" s="227" t="str">
        <f t="shared" si="217"/>
        <v>-</v>
      </c>
      <c r="AO231" s="227" t="str">
        <f t="shared" si="190"/>
        <v>-</v>
      </c>
      <c r="AP231" s="273">
        <f t="shared" si="218"/>
        <v>0.1</v>
      </c>
      <c r="AQ231" s="271" t="str">
        <f>IFERROR(IF(AL230=1,AQ$100*EXP(-(LN(2)/$D$65+0.04)*AN230)*EXP(-(LN(2)/$D$65+0.1)*AO230),IF(AL230=2,AQ$100*EXP(-(LN(2)/$D$65+0.04)*(VLOOKUP(($F$16-$F$15)-1,AK$99:AO230,4,FALSE)))*EXP(-(LN(2)/$D$65+0.1)*(VLOOKUP(($F$16-$F$15)-1,AK$99:AO230,5,FALSE)))*EXP(-(LN(2)/$D$65+0.04)*AN230)*EXP(-(LN(2)/$D$65+0.1)*AO230),IF(AL230=3,AQ$100*EXP(-(LN(2)/$D$65+0.04)*(VLOOKUP(($F$16-$F$15)-1,AK$99:AO230,4,FALSE)))*EXP(-(LN(2)/$D$65+0.1)*(VLOOKUP(($F$16-$F$15)-1,AK$99:AO230,5,FALSE)))*EXP(-(LN(2)/$D$65+0.04)*(VLOOKUP(($F$16-$F$15)*2-1,AK$99:AO230,4,FALSE)))*EXP(-(LN(2)/$D$65+0.1)*(VLOOKUP(($F$16-$F$15)*2-1,AK$99:AO230,5,FALSE)))*EXP(-(LN(2)/$D$65+0.04)*AN230)*EXP(-(LN(2)/$D$65+0.1)*AO230),"-"))),"-")</f>
        <v>-</v>
      </c>
      <c r="AR231" s="271" t="str">
        <f>IFERROR(IF(AL231=1,AR$100*EXP(-(LN(2)/$D$65+0.04)*AN231)*EXP(-(LN(2)/$D$65+0.1)*AO231),IF(AL231=2,AR$100*EXP(-(LN(2)/$D$65+0.04)*(VLOOKUP(($F$16-$F$15)-1,AK$100:AO231,4,FALSE)))*EXP(-(LN(2)/$D$65+0.1)*(VLOOKUP(($F$16-$F$15)-1,AK$100:AO231,5,FALSE)))*EXP(-(LN(2)/$D$65+0.04)*AN231)*EXP(-(LN(2)/$D$65+0.1)*AO231),IF(AL231=3,AR$100*EXP(-(LN(2)/$D$65+0.04)*(VLOOKUP(($F$16-$F$15)-1,AK$100:AO231,4,FALSE)))*EXP(-(LN(2)/$D$65+0.1)*(VLOOKUP(($F$16-$F$15)-1,AK$100:AO231,5,FALSE)))*EXP(-(LN(2)/$D$65+0.04)*(VLOOKUP(($F$16-$F$15)*2-1,AK$100:AO231,4,FALSE)))*EXP(-(LN(2)/$D$65+0.1)*(VLOOKUP(($F$16-$F$15)*2-1,AK$100:AO231,5,FALSE)))*EXP(-(LN(2)/$D$65+0.04)*AN231)*EXP(-(LN(2)/$D$65+0.1)*AO231),"-"))),"-")</f>
        <v>-</v>
      </c>
      <c r="AS231" s="274">
        <f t="shared" si="191"/>
        <v>0</v>
      </c>
      <c r="AT231" s="274">
        <f t="shared" si="192"/>
        <v>0</v>
      </c>
      <c r="AU231" s="274">
        <f t="shared" si="193"/>
        <v>0</v>
      </c>
      <c r="AV231" s="190" t="str">
        <f>IF($B231&lt;$F$22,SUM($T$100:$T231),"")</f>
        <v/>
      </c>
      <c r="AW231" s="190" t="str">
        <f t="shared" si="194"/>
        <v>-</v>
      </c>
      <c r="AX231" s="190" t="str">
        <f t="shared" si="219"/>
        <v/>
      </c>
      <c r="AY231"/>
      <c r="AZ231" s="190" t="str">
        <f ca="1">IF(ISNUMBER(OFFSET(AV231,-$F$21,0)),SUM(OFFSET($T$100,$F$21,0):$T231),"")</f>
        <v/>
      </c>
      <c r="BA231" s="190" t="str">
        <f t="shared" ca="1" si="195"/>
        <v/>
      </c>
      <c r="BB231" s="190" t="str">
        <f t="shared" ca="1" si="148"/>
        <v/>
      </c>
      <c r="BC231" s="190"/>
      <c r="BD231" s="190" t="str">
        <f ca="1">IFERROR(IF(OR(ISNUMBER(I),ISNUMBER($F$14)),IF(AND($B231&gt;=($F$16-$F$15),$B231&lt;$F$22+($F$16-$F$15)),SUM(OFFSET($T$100,($F$16-$F$15),0):$T231),""),""),"")</f>
        <v/>
      </c>
      <c r="BE231" s="190" t="str">
        <f t="shared" ca="1" si="220"/>
        <v/>
      </c>
      <c r="BF231" s="190" t="str">
        <f t="shared" ca="1" si="221"/>
        <v/>
      </c>
      <c r="BG231"/>
      <c r="BH231" s="190" t="str">
        <f ca="1">IF(ISNUMBER(OFFSET(BD231,-$F$21,0)),SUM(OFFSET($T$100,($F$16-$F$15+$F$21),0):$T231),"")</f>
        <v/>
      </c>
      <c r="BI231" s="190" t="str">
        <f t="shared" ca="1" si="196"/>
        <v/>
      </c>
      <c r="BJ231" s="190" t="str">
        <f t="shared" ca="1" si="222"/>
        <v/>
      </c>
      <c r="BK231" s="190"/>
      <c r="BL231" s="190" t="str">
        <f ca="1">IFERROR(IF(OR(ISNUMBER(I),ISNUMBER($F$14)),IF(AND($B231&gt;=($F$17-$F$15),$B231&lt;$F$22+($F$17-$F$15)),SUM(OFFSET($T$100,($F$17-$F$15),0):$T231),""),""),"")</f>
        <v/>
      </c>
      <c r="BM231" s="190" t="str">
        <f t="shared" ca="1" si="197"/>
        <v/>
      </c>
      <c r="BN231" s="190" t="str">
        <f t="shared" ca="1" si="223"/>
        <v/>
      </c>
      <c r="BO231"/>
      <c r="BP231" s="190" t="str">
        <f ca="1">IF(ISNUMBER(OFFSET(BL231,-$F$21,0)),SUM(OFFSET($T$100,($F$17-$F$15+$F$21),0):$T231),"")</f>
        <v/>
      </c>
      <c r="BQ231" s="190" t="str">
        <f t="shared" ca="1" si="198"/>
        <v/>
      </c>
      <c r="BR231" s="190" t="str">
        <f t="shared" ca="1" si="224"/>
        <v/>
      </c>
      <c r="BS231" s="190"/>
      <c r="BT231"/>
      <c r="BU231"/>
      <c r="BV231"/>
      <c r="BY231" s="99"/>
      <c r="BZ231" s="99"/>
      <c r="CA231" s="280" t="str">
        <f t="shared" si="199"/>
        <v/>
      </c>
      <c r="CB231" s="71" t="str">
        <f t="shared" si="200"/>
        <v>-</v>
      </c>
      <c r="CC231" s="33"/>
      <c r="CD231" s="261" t="str">
        <f t="shared" si="201"/>
        <v/>
      </c>
      <c r="CE231" s="280" t="str">
        <f t="shared" si="202"/>
        <v/>
      </c>
      <c r="CF231" s="71" t="str">
        <f t="shared" ca="1" si="203"/>
        <v/>
      </c>
      <c r="CG231" s="33" t="str">
        <f t="shared" si="204"/>
        <v/>
      </c>
      <c r="CH231" s="261" t="str">
        <f t="shared" ca="1" si="205"/>
        <v/>
      </c>
    </row>
    <row r="232" spans="2:86" ht="13.5" customHeight="1" x14ac:dyDescent="0.2">
      <c r="B232" s="262">
        <v>132</v>
      </c>
      <c r="C232" s="237" t="str">
        <f t="shared" si="169"/>
        <v/>
      </c>
      <c r="D232" s="237" t="str">
        <f t="shared" si="225"/>
        <v/>
      </c>
      <c r="E232" s="263" t="str">
        <f t="shared" si="206"/>
        <v/>
      </c>
      <c r="F232" s="264" t="str">
        <f t="shared" si="207"/>
        <v/>
      </c>
      <c r="G232" s="264" t="str">
        <f t="shared" si="208"/>
        <v/>
      </c>
      <c r="H232" s="240" t="str">
        <f t="shared" si="170"/>
        <v/>
      </c>
      <c r="I232" s="265" t="str">
        <f t="shared" si="171"/>
        <v/>
      </c>
      <c r="J232" s="265" t="str">
        <f t="shared" si="172"/>
        <v/>
      </c>
      <c r="K232" s="240" t="str">
        <f t="shared" si="173"/>
        <v/>
      </c>
      <c r="L232" s="265" t="str">
        <f t="shared" si="174"/>
        <v/>
      </c>
      <c r="M232" s="265" t="str">
        <f t="shared" si="175"/>
        <v/>
      </c>
      <c r="N232" s="240" t="str">
        <f t="shared" si="176"/>
        <v>-</v>
      </c>
      <c r="O232" s="265" t="str">
        <f t="shared" si="177"/>
        <v>-</v>
      </c>
      <c r="P232" s="265" t="str">
        <f t="shared" si="178"/>
        <v>-</v>
      </c>
      <c r="Q232" s="266" t="str">
        <f t="shared" si="179"/>
        <v>-</v>
      </c>
      <c r="R232" s="267" t="str">
        <f t="shared" si="180"/>
        <v>-</v>
      </c>
      <c r="S232" s="268" t="str">
        <f t="shared" si="181"/>
        <v>-</v>
      </c>
      <c r="T232" s="269" t="str">
        <f t="shared" si="182"/>
        <v/>
      </c>
      <c r="U232" s="221">
        <f t="shared" si="183"/>
        <v>132</v>
      </c>
      <c r="V232" s="220" t="str">
        <f t="shared" si="209"/>
        <v>-</v>
      </c>
      <c r="W232" s="221" t="str">
        <f t="shared" si="210"/>
        <v>-</v>
      </c>
      <c r="X232" s="221" t="str">
        <f t="shared" si="184"/>
        <v>-</v>
      </c>
      <c r="Y232" s="221" t="str">
        <f t="shared" si="185"/>
        <v>-</v>
      </c>
      <c r="Z232" s="270">
        <f t="shared" si="211"/>
        <v>0.1</v>
      </c>
      <c r="AA232" s="271" t="str">
        <f>IFERROR(IF(V231=1,AA$100*EXP(-(LN(2)/$D$65+0.04)*X231)*EXP(-(LN(2)/$D$65+0.1)*Y231),IF(V231=2,AA$100*EXP(-(LN(2)/$D$65+0.04)*(VLOOKUP(($F$16-$F$15)-1,U$99:Y231,4,FALSE)))*EXP(-(LN(2)/$D$65+0.1)*(VLOOKUP(($F$16-$F$15)-1,U$99:Y231,5,FALSE)))*EXP(-(LN(2)/$D$65+0.04)*X231)*EXP(-(LN(2)/$D$65+0.1)*Y231),IF(V231=3,AA$100*EXP(-(LN(2)/$D$65+0.04)*(VLOOKUP(($F$16-$F$15)-1,U$99:Y231,4,FALSE)))*EXP(-(LN(2)/$D$65+0.1)*(VLOOKUP(($F$16-$F$15)-1,U$99:Y231,5,FALSE)))*EXP(-(LN(2)/$D$65+0.04)*(VLOOKUP(($F$16-$F$15)*2-1,U$99:Y231,4,FALSE)))*EXP(-(LN(2)/$D$65+0.1)*(VLOOKUP(($F$16-$F$15)*2-1,U$99:Y231,5,FALSE)))*EXP(-(LN(2)/$D$65+0.04)*X231)*EXP(-(LN(2)/$D$65+0.1)*Y231),"-"))),"-")</f>
        <v>-</v>
      </c>
      <c r="AB232" s="271" t="str">
        <f>IFERROR(IF(V232=1,AB$100*EXP(-(LN(2)/$D$65+0.04)*X232)*EXP(-(LN(2)/$D$65+0.1)*Y232),IF(V232=2,AB$100*EXP(-(LN(2)/$D$65+0.04)*(VLOOKUP(($F$16-$F$15)-1,U$100:Y232,4,FALSE)))*EXP(-(LN(2)/$D$65+0.1)*(VLOOKUP(($F$16-$F$15)-1,U$100:Y232,5,FALSE)))*EXP(-(LN(2)/$D$65+0.04)*X232)*EXP(-(LN(2)/$D$65+0.1)*Y232),IF(V232=3,AB$100*EXP(-(LN(2)/$D$65+0.04)*(VLOOKUP(($F$16-$F$15)-1,U$100:Y232,4,FALSE)))*EXP(-(LN(2)/$D$65+0.1)*(VLOOKUP(($F$16-$F$15)-1,U$100:Y232,5,FALSE)))*EXP(-(LN(2)/$D$65+0.04)*(VLOOKUP(($F$16-$F$15)*2-1,U$100:Y232,4,FALSE)))*EXP(-(LN(2)/$D$65+0.1)*(VLOOKUP(($F$16-$F$15)*2-1,U$100:Y232,5,FALSE)))*EXP(-(LN(2)/$D$65+0.04)*X232)*EXP(-(LN(2)/$D$65+0.1)*Y232),"-"))),"-")</f>
        <v>-</v>
      </c>
      <c r="AC232" s="224">
        <f t="shared" si="212"/>
        <v>132</v>
      </c>
      <c r="AD232" s="223" t="str">
        <f t="shared" si="186"/>
        <v>-</v>
      </c>
      <c r="AE232" s="224" t="str">
        <f t="shared" si="213"/>
        <v>-</v>
      </c>
      <c r="AF232" s="224" t="str">
        <f t="shared" si="187"/>
        <v>-</v>
      </c>
      <c r="AG232" s="224" t="str">
        <f t="shared" si="188"/>
        <v>-</v>
      </c>
      <c r="AH232" s="272">
        <f t="shared" si="214"/>
        <v>0.1</v>
      </c>
      <c r="AI232" s="271" t="str">
        <f>IFERROR(IF(AD231=1,AI$100*EXP(-(LN(2)/$D$65+0.04)*AF231)*EXP(-(LN(2)/$D$65+0.1)*AG231),IF(AD231=2,AI$100*EXP(-(LN(2)/$D$65+0.04)*(VLOOKUP(($F$16-$F$15)-1,AC$99:AG231,4,FALSE)))*EXP(-(LN(2)/$D$65+0.1)*(VLOOKUP(($F$16-$F$15)-1,AC$99:AG231,5,FALSE)))*EXP(-(LN(2)/$D$65+0.04)*AF231)*EXP(-(LN(2)/$D$65+0.1)*AG231),IF(AD231=3,AI$100*EXP(-(LN(2)/$D$65+0.04)*(VLOOKUP(($F$16-$F$15)-1,AC$99:AG231,4,FALSE)))*EXP(-(LN(2)/$D$65+0.1)*(VLOOKUP(($F$16-$F$15)-1,AC$99:AG231,5,FALSE)))*EXP(-(LN(2)/$D$65+0.04)*(VLOOKUP(($F$16-$F$15)*2-1,AC$99:AG231,4,FALSE)))*EXP(-(LN(2)/$D$65+0.1)*(VLOOKUP(($F$16-$F$15)*2-1,AC$99:AG231,5,FALSE)))*EXP(-(LN(2)/$D$65+0.04)*AF231)*EXP(-(LN(2)/$D$65+0.1)*AG231),"-"))),"-")</f>
        <v>-</v>
      </c>
      <c r="AJ232" s="271" t="str">
        <f>IFERROR(IF(AD232=1,AJ$100*EXP(-(LN(2)/$D$65+0.04)*AF232)*EXP(-(LN(2)/$D$65+0.1)*AG232),IF(AD232=2,AJ$100*EXP(-(LN(2)/$D$65+0.04)*(VLOOKUP(($F$16-$F$15)-1,AC$100:AG232,4,FALSE)))*EXP(-(LN(2)/$D$65+0.1)*(VLOOKUP(($F$16-$F$15)-1,AC$100:AG232,5,FALSE)))*EXP(-(LN(2)/$D$65+0.04)*AF232)*EXP(-(LN(2)/$D$65+0.1)*AG232),IF(AD232=3,AJ$100*EXP(-(LN(2)/$D$65+0.04)*(VLOOKUP(($F$16-$F$15)-1,AC$100:AG232,4,FALSE)))*EXP(-(LN(2)/$D$65+0.1)*(VLOOKUP(($F$16-$F$15)-1,AC$100:AG232,5,FALSE)))*EXP(-(LN(2)/$D$65+0.04)*(VLOOKUP(($F$16-$F$15)*2-1,AC$100:AG232,4,FALSE)))*EXP(-(LN(2)/$D$65+0.1)*(VLOOKUP(($F$16-$F$15)*2-1,AC$100:AG232,5,FALSE)))*EXP(-(LN(2)/$D$65+0.04)*AF232)*EXP(-(LN(2)/$D$65+0.1)*AG232),"-"))),"-")</f>
        <v>-</v>
      </c>
      <c r="AK232" s="227">
        <f t="shared" si="215"/>
        <v>132</v>
      </c>
      <c r="AL232" s="226" t="str">
        <f t="shared" si="189"/>
        <v>-</v>
      </c>
      <c r="AM232" s="227" t="str">
        <f t="shared" si="216"/>
        <v>-</v>
      </c>
      <c r="AN232" s="227" t="str">
        <f t="shared" si="217"/>
        <v>-</v>
      </c>
      <c r="AO232" s="227" t="str">
        <f t="shared" si="190"/>
        <v>-</v>
      </c>
      <c r="AP232" s="273">
        <f t="shared" si="218"/>
        <v>0.1</v>
      </c>
      <c r="AQ232" s="271" t="str">
        <f>IFERROR(IF(AL231=1,AQ$100*EXP(-(LN(2)/$D$65+0.04)*AN231)*EXP(-(LN(2)/$D$65+0.1)*AO231),IF(AL231=2,AQ$100*EXP(-(LN(2)/$D$65+0.04)*(VLOOKUP(($F$16-$F$15)-1,AK$99:AO231,4,FALSE)))*EXP(-(LN(2)/$D$65+0.1)*(VLOOKUP(($F$16-$F$15)-1,AK$99:AO231,5,FALSE)))*EXP(-(LN(2)/$D$65+0.04)*AN231)*EXP(-(LN(2)/$D$65+0.1)*AO231),IF(AL231=3,AQ$100*EXP(-(LN(2)/$D$65+0.04)*(VLOOKUP(($F$16-$F$15)-1,AK$99:AO231,4,FALSE)))*EXP(-(LN(2)/$D$65+0.1)*(VLOOKUP(($F$16-$F$15)-1,AK$99:AO231,5,FALSE)))*EXP(-(LN(2)/$D$65+0.04)*(VLOOKUP(($F$16-$F$15)*2-1,AK$99:AO231,4,FALSE)))*EXP(-(LN(2)/$D$65+0.1)*(VLOOKUP(($F$16-$F$15)*2-1,AK$99:AO231,5,FALSE)))*EXP(-(LN(2)/$D$65+0.04)*AN231)*EXP(-(LN(2)/$D$65+0.1)*AO231),"-"))),"-")</f>
        <v>-</v>
      </c>
      <c r="AR232" s="271" t="str">
        <f>IFERROR(IF(AL232=1,AR$100*EXP(-(LN(2)/$D$65+0.04)*AN232)*EXP(-(LN(2)/$D$65+0.1)*AO232),IF(AL232=2,AR$100*EXP(-(LN(2)/$D$65+0.04)*(VLOOKUP(($F$16-$F$15)-1,AK$100:AO232,4,FALSE)))*EXP(-(LN(2)/$D$65+0.1)*(VLOOKUP(($F$16-$F$15)-1,AK$100:AO232,5,FALSE)))*EXP(-(LN(2)/$D$65+0.04)*AN232)*EXP(-(LN(2)/$D$65+0.1)*AO232),IF(AL232=3,AR$100*EXP(-(LN(2)/$D$65+0.04)*(VLOOKUP(($F$16-$F$15)-1,AK$100:AO232,4,FALSE)))*EXP(-(LN(2)/$D$65+0.1)*(VLOOKUP(($F$16-$F$15)-1,AK$100:AO232,5,FALSE)))*EXP(-(LN(2)/$D$65+0.04)*(VLOOKUP(($F$16-$F$15)*2-1,AK$100:AO232,4,FALSE)))*EXP(-(LN(2)/$D$65+0.1)*(VLOOKUP(($F$16-$F$15)*2-1,AK$100:AO232,5,FALSE)))*EXP(-(LN(2)/$D$65+0.04)*AN232)*EXP(-(LN(2)/$D$65+0.1)*AO232),"-"))),"-")</f>
        <v>-</v>
      </c>
      <c r="AS232" s="274">
        <f t="shared" si="191"/>
        <v>0</v>
      </c>
      <c r="AT232" s="274">
        <f t="shared" si="192"/>
        <v>0</v>
      </c>
      <c r="AU232" s="274">
        <f t="shared" si="193"/>
        <v>0</v>
      </c>
      <c r="AV232" s="190" t="str">
        <f>IF($B232&lt;$F$22,SUM($T$100:$T232),"")</f>
        <v/>
      </c>
      <c r="AW232" s="190" t="str">
        <f t="shared" si="194"/>
        <v>-</v>
      </c>
      <c r="AX232" s="190" t="str">
        <f t="shared" si="219"/>
        <v/>
      </c>
      <c r="AY232"/>
      <c r="AZ232" s="190" t="str">
        <f ca="1">IF(ISNUMBER(OFFSET(AV232,-$F$21,0)),SUM(OFFSET($T$100,$F$21,0):$T232),"")</f>
        <v/>
      </c>
      <c r="BA232" s="190" t="str">
        <f t="shared" ca="1" si="195"/>
        <v/>
      </c>
      <c r="BB232" s="190" t="str">
        <f t="shared" ca="1" si="148"/>
        <v/>
      </c>
      <c r="BC232" s="190"/>
      <c r="BD232" s="190" t="str">
        <f ca="1">IFERROR(IF(OR(ISNUMBER(I),ISNUMBER($F$14)),IF(AND($B232&gt;=($F$16-$F$15),$B232&lt;$F$22+($F$16-$F$15)),SUM(OFFSET($T$100,($F$16-$F$15),0):$T232),""),""),"")</f>
        <v/>
      </c>
      <c r="BE232" s="190" t="str">
        <f t="shared" ca="1" si="220"/>
        <v/>
      </c>
      <c r="BF232" s="190" t="str">
        <f t="shared" ca="1" si="221"/>
        <v/>
      </c>
      <c r="BG232"/>
      <c r="BH232" s="190" t="str">
        <f ca="1">IF(ISNUMBER(OFFSET(BD232,-$F$21,0)),SUM(OFFSET($T$100,($F$16-$F$15+$F$21),0):$T232),"")</f>
        <v/>
      </c>
      <c r="BI232" s="190" t="str">
        <f t="shared" ca="1" si="196"/>
        <v/>
      </c>
      <c r="BJ232" s="190" t="str">
        <f t="shared" ca="1" si="222"/>
        <v/>
      </c>
      <c r="BK232" s="190"/>
      <c r="BL232" s="190" t="str">
        <f ca="1">IFERROR(IF(OR(ISNUMBER(I),ISNUMBER($F$14)),IF(AND($B232&gt;=($F$17-$F$15),$B232&lt;$F$22+($F$17-$F$15)),SUM(OFFSET($T$100,($F$17-$F$15),0):$T232),""),""),"")</f>
        <v/>
      </c>
      <c r="BM232" s="190" t="str">
        <f t="shared" ca="1" si="197"/>
        <v/>
      </c>
      <c r="BN232" s="190" t="str">
        <f t="shared" ca="1" si="223"/>
        <v/>
      </c>
      <c r="BO232"/>
      <c r="BP232" s="190" t="str">
        <f ca="1">IF(ISNUMBER(OFFSET(BL232,-$F$21,0)),SUM(OFFSET($T$100,($F$17-$F$15+$F$21),0):$T232),"")</f>
        <v/>
      </c>
      <c r="BQ232" s="190" t="str">
        <f t="shared" ca="1" si="198"/>
        <v/>
      </c>
      <c r="BR232" s="190" t="str">
        <f t="shared" ca="1" si="224"/>
        <v/>
      </c>
      <c r="BS232" s="190"/>
      <c r="BT232"/>
      <c r="BU232"/>
      <c r="BV232"/>
      <c r="BY232" s="99"/>
      <c r="BZ232" s="99"/>
      <c r="CA232" s="280" t="str">
        <f t="shared" si="199"/>
        <v/>
      </c>
      <c r="CB232" s="71" t="str">
        <f t="shared" si="200"/>
        <v>-</v>
      </c>
      <c r="CC232" s="33"/>
      <c r="CD232" s="261" t="str">
        <f t="shared" si="201"/>
        <v/>
      </c>
      <c r="CE232" s="280" t="str">
        <f t="shared" si="202"/>
        <v/>
      </c>
      <c r="CF232" s="71" t="str">
        <f t="shared" ca="1" si="203"/>
        <v/>
      </c>
      <c r="CG232" s="33" t="str">
        <f t="shared" si="204"/>
        <v/>
      </c>
      <c r="CH232" s="261" t="str">
        <f t="shared" ca="1" si="205"/>
        <v/>
      </c>
    </row>
    <row r="233" spans="2:86" ht="13.5" customHeight="1" x14ac:dyDescent="0.2">
      <c r="B233" s="262">
        <v>133</v>
      </c>
      <c r="C233" s="237" t="str">
        <f t="shared" si="169"/>
        <v/>
      </c>
      <c r="D233" s="237" t="str">
        <f t="shared" si="225"/>
        <v/>
      </c>
      <c r="E233" s="263" t="str">
        <f t="shared" si="206"/>
        <v/>
      </c>
      <c r="F233" s="264" t="str">
        <f t="shared" si="207"/>
        <v/>
      </c>
      <c r="G233" s="264" t="str">
        <f t="shared" si="208"/>
        <v/>
      </c>
      <c r="H233" s="240" t="str">
        <f t="shared" si="170"/>
        <v/>
      </c>
      <c r="I233" s="265" t="str">
        <f t="shared" si="171"/>
        <v/>
      </c>
      <c r="J233" s="265" t="str">
        <f t="shared" si="172"/>
        <v/>
      </c>
      <c r="K233" s="240" t="str">
        <f t="shared" si="173"/>
        <v/>
      </c>
      <c r="L233" s="265" t="str">
        <f t="shared" si="174"/>
        <v/>
      </c>
      <c r="M233" s="265" t="str">
        <f t="shared" si="175"/>
        <v/>
      </c>
      <c r="N233" s="240" t="str">
        <f t="shared" si="176"/>
        <v>-</v>
      </c>
      <c r="O233" s="265" t="str">
        <f t="shared" si="177"/>
        <v>-</v>
      </c>
      <c r="P233" s="265" t="str">
        <f t="shared" si="178"/>
        <v>-</v>
      </c>
      <c r="Q233" s="266" t="str">
        <f t="shared" si="179"/>
        <v>-</v>
      </c>
      <c r="R233" s="267" t="str">
        <f t="shared" si="180"/>
        <v>-</v>
      </c>
      <c r="S233" s="268" t="str">
        <f t="shared" si="181"/>
        <v>-</v>
      </c>
      <c r="T233" s="269" t="str">
        <f t="shared" si="182"/>
        <v/>
      </c>
      <c r="U233" s="221">
        <f t="shared" si="183"/>
        <v>133</v>
      </c>
      <c r="V233" s="220" t="str">
        <f t="shared" si="209"/>
        <v>-</v>
      </c>
      <c r="W233" s="221" t="str">
        <f t="shared" si="210"/>
        <v>-</v>
      </c>
      <c r="X233" s="221" t="str">
        <f t="shared" si="184"/>
        <v>-</v>
      </c>
      <c r="Y233" s="221" t="str">
        <f t="shared" si="185"/>
        <v>-</v>
      </c>
      <c r="Z233" s="270">
        <f t="shared" si="211"/>
        <v>0.1</v>
      </c>
      <c r="AA233" s="271" t="str">
        <f>IFERROR(IF(V232=1,AA$100*EXP(-(LN(2)/$D$65+0.04)*X232)*EXP(-(LN(2)/$D$65+0.1)*Y232),IF(V232=2,AA$100*EXP(-(LN(2)/$D$65+0.04)*(VLOOKUP(($F$16-$F$15)-1,U$99:Y232,4,FALSE)))*EXP(-(LN(2)/$D$65+0.1)*(VLOOKUP(($F$16-$F$15)-1,U$99:Y232,5,FALSE)))*EXP(-(LN(2)/$D$65+0.04)*X232)*EXP(-(LN(2)/$D$65+0.1)*Y232),IF(V232=3,AA$100*EXP(-(LN(2)/$D$65+0.04)*(VLOOKUP(($F$16-$F$15)-1,U$99:Y232,4,FALSE)))*EXP(-(LN(2)/$D$65+0.1)*(VLOOKUP(($F$16-$F$15)-1,U$99:Y232,5,FALSE)))*EXP(-(LN(2)/$D$65+0.04)*(VLOOKUP(($F$16-$F$15)*2-1,U$99:Y232,4,FALSE)))*EXP(-(LN(2)/$D$65+0.1)*(VLOOKUP(($F$16-$F$15)*2-1,U$99:Y232,5,FALSE)))*EXP(-(LN(2)/$D$65+0.04)*X232)*EXP(-(LN(2)/$D$65+0.1)*Y232),"-"))),"-")</f>
        <v>-</v>
      </c>
      <c r="AB233" s="271" t="str">
        <f>IFERROR(IF(V233=1,AB$100*EXP(-(LN(2)/$D$65+0.04)*X233)*EXP(-(LN(2)/$D$65+0.1)*Y233),IF(V233=2,AB$100*EXP(-(LN(2)/$D$65+0.04)*(VLOOKUP(($F$16-$F$15)-1,U$100:Y233,4,FALSE)))*EXP(-(LN(2)/$D$65+0.1)*(VLOOKUP(($F$16-$F$15)-1,U$100:Y233,5,FALSE)))*EXP(-(LN(2)/$D$65+0.04)*X233)*EXP(-(LN(2)/$D$65+0.1)*Y233),IF(V233=3,AB$100*EXP(-(LN(2)/$D$65+0.04)*(VLOOKUP(($F$16-$F$15)-1,U$100:Y233,4,FALSE)))*EXP(-(LN(2)/$D$65+0.1)*(VLOOKUP(($F$16-$F$15)-1,U$100:Y233,5,FALSE)))*EXP(-(LN(2)/$D$65+0.04)*(VLOOKUP(($F$16-$F$15)*2-1,U$100:Y233,4,FALSE)))*EXP(-(LN(2)/$D$65+0.1)*(VLOOKUP(($F$16-$F$15)*2-1,U$100:Y233,5,FALSE)))*EXP(-(LN(2)/$D$65+0.04)*X233)*EXP(-(LN(2)/$D$65+0.1)*Y233),"-"))),"-")</f>
        <v>-</v>
      </c>
      <c r="AC233" s="224">
        <f t="shared" si="212"/>
        <v>133</v>
      </c>
      <c r="AD233" s="223" t="str">
        <f t="shared" si="186"/>
        <v>-</v>
      </c>
      <c r="AE233" s="224" t="str">
        <f t="shared" si="213"/>
        <v>-</v>
      </c>
      <c r="AF233" s="224" t="str">
        <f t="shared" si="187"/>
        <v>-</v>
      </c>
      <c r="AG233" s="224" t="str">
        <f t="shared" si="188"/>
        <v>-</v>
      </c>
      <c r="AH233" s="272">
        <f t="shared" si="214"/>
        <v>0.1</v>
      </c>
      <c r="AI233" s="271" t="str">
        <f>IFERROR(IF(AD232=1,AI$100*EXP(-(LN(2)/$D$65+0.04)*AF232)*EXP(-(LN(2)/$D$65+0.1)*AG232),IF(AD232=2,AI$100*EXP(-(LN(2)/$D$65+0.04)*(VLOOKUP(($F$16-$F$15)-1,AC$99:AG232,4,FALSE)))*EXP(-(LN(2)/$D$65+0.1)*(VLOOKUP(($F$16-$F$15)-1,AC$99:AG232,5,FALSE)))*EXP(-(LN(2)/$D$65+0.04)*AF232)*EXP(-(LN(2)/$D$65+0.1)*AG232),IF(AD232=3,AI$100*EXP(-(LN(2)/$D$65+0.04)*(VLOOKUP(($F$16-$F$15)-1,AC$99:AG232,4,FALSE)))*EXP(-(LN(2)/$D$65+0.1)*(VLOOKUP(($F$16-$F$15)-1,AC$99:AG232,5,FALSE)))*EXP(-(LN(2)/$D$65+0.04)*(VLOOKUP(($F$16-$F$15)*2-1,AC$99:AG232,4,FALSE)))*EXP(-(LN(2)/$D$65+0.1)*(VLOOKUP(($F$16-$F$15)*2-1,AC$99:AG232,5,FALSE)))*EXP(-(LN(2)/$D$65+0.04)*AF232)*EXP(-(LN(2)/$D$65+0.1)*AG232),"-"))),"-")</f>
        <v>-</v>
      </c>
      <c r="AJ233" s="271" t="str">
        <f>IFERROR(IF(AD233=1,AJ$100*EXP(-(LN(2)/$D$65+0.04)*AF233)*EXP(-(LN(2)/$D$65+0.1)*AG233),IF(AD233=2,AJ$100*EXP(-(LN(2)/$D$65+0.04)*(VLOOKUP(($F$16-$F$15)-1,AC$100:AG233,4,FALSE)))*EXP(-(LN(2)/$D$65+0.1)*(VLOOKUP(($F$16-$F$15)-1,AC$100:AG233,5,FALSE)))*EXP(-(LN(2)/$D$65+0.04)*AF233)*EXP(-(LN(2)/$D$65+0.1)*AG233),IF(AD233=3,AJ$100*EXP(-(LN(2)/$D$65+0.04)*(VLOOKUP(($F$16-$F$15)-1,AC$100:AG233,4,FALSE)))*EXP(-(LN(2)/$D$65+0.1)*(VLOOKUP(($F$16-$F$15)-1,AC$100:AG233,5,FALSE)))*EXP(-(LN(2)/$D$65+0.04)*(VLOOKUP(($F$16-$F$15)*2-1,AC$100:AG233,4,FALSE)))*EXP(-(LN(2)/$D$65+0.1)*(VLOOKUP(($F$16-$F$15)*2-1,AC$100:AG233,5,FALSE)))*EXP(-(LN(2)/$D$65+0.04)*AF233)*EXP(-(LN(2)/$D$65+0.1)*AG233),"-"))),"-")</f>
        <v>-</v>
      </c>
      <c r="AK233" s="227">
        <f t="shared" si="215"/>
        <v>133</v>
      </c>
      <c r="AL233" s="226" t="str">
        <f t="shared" si="189"/>
        <v>-</v>
      </c>
      <c r="AM233" s="227" t="str">
        <f t="shared" si="216"/>
        <v>-</v>
      </c>
      <c r="AN233" s="227" t="str">
        <f t="shared" si="217"/>
        <v>-</v>
      </c>
      <c r="AO233" s="227" t="str">
        <f t="shared" si="190"/>
        <v>-</v>
      </c>
      <c r="AP233" s="273">
        <f t="shared" si="218"/>
        <v>0.1</v>
      </c>
      <c r="AQ233" s="271" t="str">
        <f>IFERROR(IF(AL232=1,AQ$100*EXP(-(LN(2)/$D$65+0.04)*AN232)*EXP(-(LN(2)/$D$65+0.1)*AO232),IF(AL232=2,AQ$100*EXP(-(LN(2)/$D$65+0.04)*(VLOOKUP(($F$16-$F$15)-1,AK$99:AO232,4,FALSE)))*EXP(-(LN(2)/$D$65+0.1)*(VLOOKUP(($F$16-$F$15)-1,AK$99:AO232,5,FALSE)))*EXP(-(LN(2)/$D$65+0.04)*AN232)*EXP(-(LN(2)/$D$65+0.1)*AO232),IF(AL232=3,AQ$100*EXP(-(LN(2)/$D$65+0.04)*(VLOOKUP(($F$16-$F$15)-1,AK$99:AO232,4,FALSE)))*EXP(-(LN(2)/$D$65+0.1)*(VLOOKUP(($F$16-$F$15)-1,AK$99:AO232,5,FALSE)))*EXP(-(LN(2)/$D$65+0.04)*(VLOOKUP(($F$16-$F$15)*2-1,AK$99:AO232,4,FALSE)))*EXP(-(LN(2)/$D$65+0.1)*(VLOOKUP(($F$16-$F$15)*2-1,AK$99:AO232,5,FALSE)))*EXP(-(LN(2)/$D$65+0.04)*AN232)*EXP(-(LN(2)/$D$65+0.1)*AO232),"-"))),"-")</f>
        <v>-</v>
      </c>
      <c r="AR233" s="271" t="str">
        <f>IFERROR(IF(AL233=1,AR$100*EXP(-(LN(2)/$D$65+0.04)*AN233)*EXP(-(LN(2)/$D$65+0.1)*AO233),IF(AL233=2,AR$100*EXP(-(LN(2)/$D$65+0.04)*(VLOOKUP(($F$16-$F$15)-1,AK$100:AO233,4,FALSE)))*EXP(-(LN(2)/$D$65+0.1)*(VLOOKUP(($F$16-$F$15)-1,AK$100:AO233,5,FALSE)))*EXP(-(LN(2)/$D$65+0.04)*AN233)*EXP(-(LN(2)/$D$65+0.1)*AO233),IF(AL233=3,AR$100*EXP(-(LN(2)/$D$65+0.04)*(VLOOKUP(($F$16-$F$15)-1,AK$100:AO233,4,FALSE)))*EXP(-(LN(2)/$D$65+0.1)*(VLOOKUP(($F$16-$F$15)-1,AK$100:AO233,5,FALSE)))*EXP(-(LN(2)/$D$65+0.04)*(VLOOKUP(($F$16-$F$15)*2-1,AK$100:AO233,4,FALSE)))*EXP(-(LN(2)/$D$65+0.1)*(VLOOKUP(($F$16-$F$15)*2-1,AK$100:AO233,5,FALSE)))*EXP(-(LN(2)/$D$65+0.04)*AN233)*EXP(-(LN(2)/$D$65+0.1)*AO233),"-"))),"-")</f>
        <v>-</v>
      </c>
      <c r="AS233" s="274">
        <f t="shared" si="191"/>
        <v>0</v>
      </c>
      <c r="AT233" s="274">
        <f t="shared" si="192"/>
        <v>0</v>
      </c>
      <c r="AU233" s="274">
        <f t="shared" si="193"/>
        <v>0</v>
      </c>
      <c r="AV233" s="190" t="str">
        <f>IF($B233&lt;$F$22,SUM($T$100:$T233),"")</f>
        <v/>
      </c>
      <c r="AW233" s="190" t="str">
        <f t="shared" si="194"/>
        <v>-</v>
      </c>
      <c r="AX233" s="190" t="str">
        <f t="shared" si="219"/>
        <v/>
      </c>
      <c r="AY233"/>
      <c r="AZ233" s="190" t="str">
        <f ca="1">IF(ISNUMBER(OFFSET(AV233,-$F$21,0)),SUM(OFFSET($T$100,$F$21,0):$T233),"")</f>
        <v/>
      </c>
      <c r="BA233" s="190" t="str">
        <f t="shared" ca="1" si="195"/>
        <v/>
      </c>
      <c r="BB233" s="190" t="str">
        <f t="shared" ca="1" si="148"/>
        <v/>
      </c>
      <c r="BC233" s="190"/>
      <c r="BD233" s="190" t="str">
        <f ca="1">IFERROR(IF(OR(ISNUMBER(I),ISNUMBER($F$14)),IF(AND($B233&gt;=($F$16-$F$15),$B233&lt;$F$22+($F$16-$F$15)),SUM(OFFSET($T$100,($F$16-$F$15),0):$T233),""),""),"")</f>
        <v/>
      </c>
      <c r="BE233" s="190" t="str">
        <f t="shared" ca="1" si="220"/>
        <v/>
      </c>
      <c r="BF233" s="190" t="str">
        <f t="shared" ca="1" si="221"/>
        <v/>
      </c>
      <c r="BG233"/>
      <c r="BH233" s="190" t="str">
        <f ca="1">IF(ISNUMBER(OFFSET(BD233,-$F$21,0)),SUM(OFFSET($T$100,($F$16-$F$15+$F$21),0):$T233),"")</f>
        <v/>
      </c>
      <c r="BI233" s="190" t="str">
        <f t="shared" ca="1" si="196"/>
        <v/>
      </c>
      <c r="BJ233" s="190" t="str">
        <f t="shared" ca="1" si="222"/>
        <v/>
      </c>
      <c r="BK233" s="190"/>
      <c r="BL233" s="190" t="str">
        <f ca="1">IFERROR(IF(OR(ISNUMBER(I),ISNUMBER($F$14)),IF(AND($B233&gt;=($F$17-$F$15),$B233&lt;$F$22+($F$17-$F$15)),SUM(OFFSET($T$100,($F$17-$F$15),0):$T233),""),""),"")</f>
        <v/>
      </c>
      <c r="BM233" s="190" t="str">
        <f t="shared" ca="1" si="197"/>
        <v/>
      </c>
      <c r="BN233" s="190" t="str">
        <f t="shared" ca="1" si="223"/>
        <v/>
      </c>
      <c r="BO233"/>
      <c r="BP233" s="190" t="str">
        <f ca="1">IF(ISNUMBER(OFFSET(BL233,-$F$21,0)),SUM(OFFSET($T$100,($F$17-$F$15+$F$21),0):$T233),"")</f>
        <v/>
      </c>
      <c r="BQ233" s="190" t="str">
        <f t="shared" ca="1" si="198"/>
        <v/>
      </c>
      <c r="BR233" s="190" t="str">
        <f t="shared" ca="1" si="224"/>
        <v/>
      </c>
      <c r="BS233" s="190"/>
      <c r="BT233"/>
      <c r="BU233"/>
      <c r="BV233"/>
      <c r="BY233" s="99"/>
      <c r="BZ233" s="99"/>
      <c r="CA233" s="280" t="str">
        <f t="shared" si="199"/>
        <v/>
      </c>
      <c r="CB233" s="71" t="str">
        <f t="shared" si="200"/>
        <v>-</v>
      </c>
      <c r="CC233" s="33"/>
      <c r="CD233" s="261" t="str">
        <f t="shared" si="201"/>
        <v/>
      </c>
      <c r="CE233" s="280" t="str">
        <f t="shared" si="202"/>
        <v/>
      </c>
      <c r="CF233" s="71" t="str">
        <f t="shared" ca="1" si="203"/>
        <v/>
      </c>
      <c r="CG233" s="33" t="str">
        <f t="shared" si="204"/>
        <v/>
      </c>
      <c r="CH233" s="261" t="str">
        <f t="shared" ca="1" si="205"/>
        <v/>
      </c>
    </row>
    <row r="234" spans="2:86" ht="13.5" customHeight="1" x14ac:dyDescent="0.2">
      <c r="B234" s="262">
        <v>134</v>
      </c>
      <c r="C234" s="237" t="str">
        <f t="shared" si="169"/>
        <v/>
      </c>
      <c r="D234" s="237" t="str">
        <f t="shared" si="225"/>
        <v/>
      </c>
      <c r="E234" s="263" t="str">
        <f t="shared" si="206"/>
        <v/>
      </c>
      <c r="F234" s="264" t="str">
        <f t="shared" si="207"/>
        <v/>
      </c>
      <c r="G234" s="264" t="str">
        <f t="shared" si="208"/>
        <v/>
      </c>
      <c r="H234" s="240" t="str">
        <f t="shared" si="170"/>
        <v/>
      </c>
      <c r="I234" s="265" t="str">
        <f t="shared" si="171"/>
        <v/>
      </c>
      <c r="J234" s="265" t="str">
        <f t="shared" si="172"/>
        <v/>
      </c>
      <c r="K234" s="240" t="str">
        <f t="shared" si="173"/>
        <v/>
      </c>
      <c r="L234" s="265" t="str">
        <f t="shared" si="174"/>
        <v/>
      </c>
      <c r="M234" s="265" t="str">
        <f t="shared" si="175"/>
        <v/>
      </c>
      <c r="N234" s="240" t="str">
        <f t="shared" si="176"/>
        <v>-</v>
      </c>
      <c r="O234" s="265" t="str">
        <f t="shared" si="177"/>
        <v>-</v>
      </c>
      <c r="P234" s="265" t="str">
        <f t="shared" si="178"/>
        <v>-</v>
      </c>
      <c r="Q234" s="266" t="str">
        <f t="shared" si="179"/>
        <v>-</v>
      </c>
      <c r="R234" s="267" t="str">
        <f t="shared" si="180"/>
        <v>-</v>
      </c>
      <c r="S234" s="268" t="str">
        <f t="shared" si="181"/>
        <v>-</v>
      </c>
      <c r="T234" s="269" t="str">
        <f t="shared" si="182"/>
        <v/>
      </c>
      <c r="U234" s="221">
        <f t="shared" si="183"/>
        <v>134</v>
      </c>
      <c r="V234" s="220" t="str">
        <f t="shared" si="209"/>
        <v>-</v>
      </c>
      <c r="W234" s="221" t="str">
        <f t="shared" si="210"/>
        <v>-</v>
      </c>
      <c r="X234" s="221" t="str">
        <f t="shared" si="184"/>
        <v>-</v>
      </c>
      <c r="Y234" s="221" t="str">
        <f t="shared" si="185"/>
        <v>-</v>
      </c>
      <c r="Z234" s="270">
        <f t="shared" si="211"/>
        <v>0.1</v>
      </c>
      <c r="AA234" s="271" t="str">
        <f>IFERROR(IF(V233=1,AA$100*EXP(-(LN(2)/$D$65+0.04)*X233)*EXP(-(LN(2)/$D$65+0.1)*Y233),IF(V233=2,AA$100*EXP(-(LN(2)/$D$65+0.04)*(VLOOKUP(($F$16-$F$15)-1,U$99:Y233,4,FALSE)))*EXP(-(LN(2)/$D$65+0.1)*(VLOOKUP(($F$16-$F$15)-1,U$99:Y233,5,FALSE)))*EXP(-(LN(2)/$D$65+0.04)*X233)*EXP(-(LN(2)/$D$65+0.1)*Y233),IF(V233=3,AA$100*EXP(-(LN(2)/$D$65+0.04)*(VLOOKUP(($F$16-$F$15)-1,U$99:Y233,4,FALSE)))*EXP(-(LN(2)/$D$65+0.1)*(VLOOKUP(($F$16-$F$15)-1,U$99:Y233,5,FALSE)))*EXP(-(LN(2)/$D$65+0.04)*(VLOOKUP(($F$16-$F$15)*2-1,U$99:Y233,4,FALSE)))*EXP(-(LN(2)/$D$65+0.1)*(VLOOKUP(($F$16-$F$15)*2-1,U$99:Y233,5,FALSE)))*EXP(-(LN(2)/$D$65+0.04)*X233)*EXP(-(LN(2)/$D$65+0.1)*Y233),"-"))),"-")</f>
        <v>-</v>
      </c>
      <c r="AB234" s="271" t="str">
        <f>IFERROR(IF(V234=1,AB$100*EXP(-(LN(2)/$D$65+0.04)*X234)*EXP(-(LN(2)/$D$65+0.1)*Y234),IF(V234=2,AB$100*EXP(-(LN(2)/$D$65+0.04)*(VLOOKUP(($F$16-$F$15)-1,U$100:Y234,4,FALSE)))*EXP(-(LN(2)/$D$65+0.1)*(VLOOKUP(($F$16-$F$15)-1,U$100:Y234,5,FALSE)))*EXP(-(LN(2)/$D$65+0.04)*X234)*EXP(-(LN(2)/$D$65+0.1)*Y234),IF(V234=3,AB$100*EXP(-(LN(2)/$D$65+0.04)*(VLOOKUP(($F$16-$F$15)-1,U$100:Y234,4,FALSE)))*EXP(-(LN(2)/$D$65+0.1)*(VLOOKUP(($F$16-$F$15)-1,U$100:Y234,5,FALSE)))*EXP(-(LN(2)/$D$65+0.04)*(VLOOKUP(($F$16-$F$15)*2-1,U$100:Y234,4,FALSE)))*EXP(-(LN(2)/$D$65+0.1)*(VLOOKUP(($F$16-$F$15)*2-1,U$100:Y234,5,FALSE)))*EXP(-(LN(2)/$D$65+0.04)*X234)*EXP(-(LN(2)/$D$65+0.1)*Y234),"-"))),"-")</f>
        <v>-</v>
      </c>
      <c r="AC234" s="224">
        <f t="shared" si="212"/>
        <v>134</v>
      </c>
      <c r="AD234" s="223" t="str">
        <f t="shared" si="186"/>
        <v>-</v>
      </c>
      <c r="AE234" s="224" t="str">
        <f t="shared" si="213"/>
        <v>-</v>
      </c>
      <c r="AF234" s="224" t="str">
        <f t="shared" si="187"/>
        <v>-</v>
      </c>
      <c r="AG234" s="224" t="str">
        <f t="shared" si="188"/>
        <v>-</v>
      </c>
      <c r="AH234" s="272">
        <f t="shared" si="214"/>
        <v>0.1</v>
      </c>
      <c r="AI234" s="271" t="str">
        <f>IFERROR(IF(AD233=1,AI$100*EXP(-(LN(2)/$D$65+0.04)*AF233)*EXP(-(LN(2)/$D$65+0.1)*AG233),IF(AD233=2,AI$100*EXP(-(LN(2)/$D$65+0.04)*(VLOOKUP(($F$16-$F$15)-1,AC$99:AG233,4,FALSE)))*EXP(-(LN(2)/$D$65+0.1)*(VLOOKUP(($F$16-$F$15)-1,AC$99:AG233,5,FALSE)))*EXP(-(LN(2)/$D$65+0.04)*AF233)*EXP(-(LN(2)/$D$65+0.1)*AG233),IF(AD233=3,AI$100*EXP(-(LN(2)/$D$65+0.04)*(VLOOKUP(($F$16-$F$15)-1,AC$99:AG233,4,FALSE)))*EXP(-(LN(2)/$D$65+0.1)*(VLOOKUP(($F$16-$F$15)-1,AC$99:AG233,5,FALSE)))*EXP(-(LN(2)/$D$65+0.04)*(VLOOKUP(($F$16-$F$15)*2-1,AC$99:AG233,4,FALSE)))*EXP(-(LN(2)/$D$65+0.1)*(VLOOKUP(($F$16-$F$15)*2-1,AC$99:AG233,5,FALSE)))*EXP(-(LN(2)/$D$65+0.04)*AF233)*EXP(-(LN(2)/$D$65+0.1)*AG233),"-"))),"-")</f>
        <v>-</v>
      </c>
      <c r="AJ234" s="271" t="str">
        <f>IFERROR(IF(AD234=1,AJ$100*EXP(-(LN(2)/$D$65+0.04)*AF234)*EXP(-(LN(2)/$D$65+0.1)*AG234),IF(AD234=2,AJ$100*EXP(-(LN(2)/$D$65+0.04)*(VLOOKUP(($F$16-$F$15)-1,AC$100:AG234,4,FALSE)))*EXP(-(LN(2)/$D$65+0.1)*(VLOOKUP(($F$16-$F$15)-1,AC$100:AG234,5,FALSE)))*EXP(-(LN(2)/$D$65+0.04)*AF234)*EXP(-(LN(2)/$D$65+0.1)*AG234),IF(AD234=3,AJ$100*EXP(-(LN(2)/$D$65+0.04)*(VLOOKUP(($F$16-$F$15)-1,AC$100:AG234,4,FALSE)))*EXP(-(LN(2)/$D$65+0.1)*(VLOOKUP(($F$16-$F$15)-1,AC$100:AG234,5,FALSE)))*EXP(-(LN(2)/$D$65+0.04)*(VLOOKUP(($F$16-$F$15)*2-1,AC$100:AG234,4,FALSE)))*EXP(-(LN(2)/$D$65+0.1)*(VLOOKUP(($F$16-$F$15)*2-1,AC$100:AG234,5,FALSE)))*EXP(-(LN(2)/$D$65+0.04)*AF234)*EXP(-(LN(2)/$D$65+0.1)*AG234),"-"))),"-")</f>
        <v>-</v>
      </c>
      <c r="AK234" s="227">
        <f t="shared" si="215"/>
        <v>134</v>
      </c>
      <c r="AL234" s="226" t="str">
        <f t="shared" si="189"/>
        <v>-</v>
      </c>
      <c r="AM234" s="227" t="str">
        <f t="shared" si="216"/>
        <v>-</v>
      </c>
      <c r="AN234" s="227" t="str">
        <f t="shared" si="217"/>
        <v>-</v>
      </c>
      <c r="AO234" s="227" t="str">
        <f t="shared" si="190"/>
        <v>-</v>
      </c>
      <c r="AP234" s="273">
        <f t="shared" si="218"/>
        <v>0.1</v>
      </c>
      <c r="AQ234" s="271" t="str">
        <f>IFERROR(IF(AL233=1,AQ$100*EXP(-(LN(2)/$D$65+0.04)*AN233)*EXP(-(LN(2)/$D$65+0.1)*AO233),IF(AL233=2,AQ$100*EXP(-(LN(2)/$D$65+0.04)*(VLOOKUP(($F$16-$F$15)-1,AK$99:AO233,4,FALSE)))*EXP(-(LN(2)/$D$65+0.1)*(VLOOKUP(($F$16-$F$15)-1,AK$99:AO233,5,FALSE)))*EXP(-(LN(2)/$D$65+0.04)*AN233)*EXP(-(LN(2)/$D$65+0.1)*AO233),IF(AL233=3,AQ$100*EXP(-(LN(2)/$D$65+0.04)*(VLOOKUP(($F$16-$F$15)-1,AK$99:AO233,4,FALSE)))*EXP(-(LN(2)/$D$65+0.1)*(VLOOKUP(($F$16-$F$15)-1,AK$99:AO233,5,FALSE)))*EXP(-(LN(2)/$D$65+0.04)*(VLOOKUP(($F$16-$F$15)*2-1,AK$99:AO233,4,FALSE)))*EXP(-(LN(2)/$D$65+0.1)*(VLOOKUP(($F$16-$F$15)*2-1,AK$99:AO233,5,FALSE)))*EXP(-(LN(2)/$D$65+0.04)*AN233)*EXP(-(LN(2)/$D$65+0.1)*AO233),"-"))),"-")</f>
        <v>-</v>
      </c>
      <c r="AR234" s="271" t="str">
        <f>IFERROR(IF(AL234=1,AR$100*EXP(-(LN(2)/$D$65+0.04)*AN234)*EXP(-(LN(2)/$D$65+0.1)*AO234),IF(AL234=2,AR$100*EXP(-(LN(2)/$D$65+0.04)*(VLOOKUP(($F$16-$F$15)-1,AK$100:AO234,4,FALSE)))*EXP(-(LN(2)/$D$65+0.1)*(VLOOKUP(($F$16-$F$15)-1,AK$100:AO234,5,FALSE)))*EXP(-(LN(2)/$D$65+0.04)*AN234)*EXP(-(LN(2)/$D$65+0.1)*AO234),IF(AL234=3,AR$100*EXP(-(LN(2)/$D$65+0.04)*(VLOOKUP(($F$16-$F$15)-1,AK$100:AO234,4,FALSE)))*EXP(-(LN(2)/$D$65+0.1)*(VLOOKUP(($F$16-$F$15)-1,AK$100:AO234,5,FALSE)))*EXP(-(LN(2)/$D$65+0.04)*(VLOOKUP(($F$16-$F$15)*2-1,AK$100:AO234,4,FALSE)))*EXP(-(LN(2)/$D$65+0.1)*(VLOOKUP(($F$16-$F$15)*2-1,AK$100:AO234,5,FALSE)))*EXP(-(LN(2)/$D$65+0.04)*AN234)*EXP(-(LN(2)/$D$65+0.1)*AO234),"-"))),"-")</f>
        <v>-</v>
      </c>
      <c r="AS234" s="274">
        <f t="shared" si="191"/>
        <v>0</v>
      </c>
      <c r="AT234" s="274">
        <f t="shared" si="192"/>
        <v>0</v>
      </c>
      <c r="AU234" s="274">
        <f t="shared" si="193"/>
        <v>0</v>
      </c>
      <c r="AV234" s="190" t="str">
        <f>IF($B234&lt;$F$22,SUM($T$100:$T234),"")</f>
        <v/>
      </c>
      <c r="AW234" s="190" t="str">
        <f t="shared" si="194"/>
        <v>-</v>
      </c>
      <c r="AX234" s="190" t="str">
        <f t="shared" si="219"/>
        <v/>
      </c>
      <c r="AY234"/>
      <c r="AZ234" s="190" t="str">
        <f ca="1">IF(ISNUMBER(OFFSET(AV234,-$F$21,0)),SUM(OFFSET($T$100,$F$21,0):$T234),"")</f>
        <v/>
      </c>
      <c r="BA234" s="190" t="str">
        <f t="shared" ca="1" si="195"/>
        <v/>
      </c>
      <c r="BB234" s="190" t="str">
        <f t="shared" ca="1" si="148"/>
        <v/>
      </c>
      <c r="BC234" s="190"/>
      <c r="BD234" s="190" t="str">
        <f ca="1">IFERROR(IF(OR(ISNUMBER(I),ISNUMBER($F$14)),IF(AND($B234&gt;=($F$16-$F$15),$B234&lt;$F$22+($F$16-$F$15)),SUM(OFFSET($T$100,($F$16-$F$15),0):$T234),""),""),"")</f>
        <v/>
      </c>
      <c r="BE234" s="190" t="str">
        <f t="shared" ca="1" si="220"/>
        <v/>
      </c>
      <c r="BF234" s="190" t="str">
        <f t="shared" ca="1" si="221"/>
        <v/>
      </c>
      <c r="BG234"/>
      <c r="BH234" s="190" t="str">
        <f ca="1">IF(ISNUMBER(OFFSET(BD234,-$F$21,0)),SUM(OFFSET($T$100,($F$16-$F$15+$F$21),0):$T234),"")</f>
        <v/>
      </c>
      <c r="BI234" s="190" t="str">
        <f t="shared" ca="1" si="196"/>
        <v/>
      </c>
      <c r="BJ234" s="190" t="str">
        <f t="shared" ca="1" si="222"/>
        <v/>
      </c>
      <c r="BK234" s="190"/>
      <c r="BL234" s="190" t="str">
        <f ca="1">IFERROR(IF(OR(ISNUMBER(I),ISNUMBER($F$14)),IF(AND($B234&gt;=($F$17-$F$15),$B234&lt;$F$22+($F$17-$F$15)),SUM(OFFSET($T$100,($F$17-$F$15),0):$T234),""),""),"")</f>
        <v/>
      </c>
      <c r="BM234" s="190" t="str">
        <f t="shared" ca="1" si="197"/>
        <v/>
      </c>
      <c r="BN234" s="190" t="str">
        <f t="shared" ca="1" si="223"/>
        <v/>
      </c>
      <c r="BO234"/>
      <c r="BP234" s="190" t="str">
        <f ca="1">IF(ISNUMBER(OFFSET(BL234,-$F$21,0)),SUM(OFFSET($T$100,($F$17-$F$15+$F$21),0):$T234),"")</f>
        <v/>
      </c>
      <c r="BQ234" s="190" t="str">
        <f t="shared" ca="1" si="198"/>
        <v/>
      </c>
      <c r="BR234" s="190" t="str">
        <f t="shared" ca="1" si="224"/>
        <v/>
      </c>
      <c r="BS234" s="190"/>
      <c r="BT234"/>
      <c r="BU234"/>
      <c r="BV234"/>
      <c r="BY234" s="99"/>
      <c r="BZ234" s="99"/>
      <c r="CA234" s="280" t="str">
        <f t="shared" si="199"/>
        <v/>
      </c>
      <c r="CB234" s="71" t="str">
        <f t="shared" si="200"/>
        <v>-</v>
      </c>
      <c r="CC234" s="33"/>
      <c r="CD234" s="261" t="str">
        <f t="shared" si="201"/>
        <v/>
      </c>
      <c r="CE234" s="280" t="str">
        <f t="shared" si="202"/>
        <v/>
      </c>
      <c r="CF234" s="71" t="str">
        <f t="shared" ca="1" si="203"/>
        <v/>
      </c>
      <c r="CG234" s="33" t="str">
        <f t="shared" si="204"/>
        <v/>
      </c>
      <c r="CH234" s="261" t="str">
        <f t="shared" ca="1" si="205"/>
        <v/>
      </c>
    </row>
    <row r="235" spans="2:86" ht="13.5" customHeight="1" x14ac:dyDescent="0.2">
      <c r="B235" s="262">
        <v>135</v>
      </c>
      <c r="C235" s="237" t="str">
        <f t="shared" si="169"/>
        <v/>
      </c>
      <c r="D235" s="237" t="str">
        <f t="shared" si="225"/>
        <v/>
      </c>
      <c r="E235" s="263" t="str">
        <f t="shared" si="206"/>
        <v/>
      </c>
      <c r="F235" s="264" t="str">
        <f t="shared" si="207"/>
        <v/>
      </c>
      <c r="G235" s="264" t="str">
        <f t="shared" si="208"/>
        <v/>
      </c>
      <c r="H235" s="240" t="str">
        <f t="shared" si="170"/>
        <v/>
      </c>
      <c r="I235" s="265" t="str">
        <f t="shared" si="171"/>
        <v/>
      </c>
      <c r="J235" s="265" t="str">
        <f t="shared" si="172"/>
        <v/>
      </c>
      <c r="K235" s="240" t="str">
        <f t="shared" si="173"/>
        <v/>
      </c>
      <c r="L235" s="265" t="str">
        <f t="shared" si="174"/>
        <v/>
      </c>
      <c r="M235" s="265" t="str">
        <f t="shared" si="175"/>
        <v/>
      </c>
      <c r="N235" s="240" t="str">
        <f t="shared" si="176"/>
        <v>-</v>
      </c>
      <c r="O235" s="265" t="str">
        <f t="shared" si="177"/>
        <v>-</v>
      </c>
      <c r="P235" s="265" t="str">
        <f t="shared" si="178"/>
        <v>-</v>
      </c>
      <c r="Q235" s="266" t="str">
        <f t="shared" si="179"/>
        <v>-</v>
      </c>
      <c r="R235" s="267" t="str">
        <f t="shared" si="180"/>
        <v>-</v>
      </c>
      <c r="S235" s="268" t="str">
        <f t="shared" si="181"/>
        <v>-</v>
      </c>
      <c r="T235" s="269" t="str">
        <f t="shared" si="182"/>
        <v/>
      </c>
      <c r="U235" s="221">
        <f t="shared" si="183"/>
        <v>135</v>
      </c>
      <c r="V235" s="220" t="str">
        <f t="shared" si="209"/>
        <v>-</v>
      </c>
      <c r="W235" s="221" t="str">
        <f t="shared" si="210"/>
        <v>-</v>
      </c>
      <c r="X235" s="221" t="str">
        <f t="shared" si="184"/>
        <v>-</v>
      </c>
      <c r="Y235" s="221" t="str">
        <f t="shared" si="185"/>
        <v>-</v>
      </c>
      <c r="Z235" s="270">
        <f t="shared" si="211"/>
        <v>0.1</v>
      </c>
      <c r="AA235" s="271" t="str">
        <f>IFERROR(IF(V234=1,AA$100*EXP(-(LN(2)/$D$65+0.04)*X234)*EXP(-(LN(2)/$D$65+0.1)*Y234),IF(V234=2,AA$100*EXP(-(LN(2)/$D$65+0.04)*(VLOOKUP(($F$16-$F$15)-1,U$99:Y234,4,FALSE)))*EXP(-(LN(2)/$D$65+0.1)*(VLOOKUP(($F$16-$F$15)-1,U$99:Y234,5,FALSE)))*EXP(-(LN(2)/$D$65+0.04)*X234)*EXP(-(LN(2)/$D$65+0.1)*Y234),IF(V234=3,AA$100*EXP(-(LN(2)/$D$65+0.04)*(VLOOKUP(($F$16-$F$15)-1,U$99:Y234,4,FALSE)))*EXP(-(LN(2)/$D$65+0.1)*(VLOOKUP(($F$16-$F$15)-1,U$99:Y234,5,FALSE)))*EXP(-(LN(2)/$D$65+0.04)*(VLOOKUP(($F$16-$F$15)*2-1,U$99:Y234,4,FALSE)))*EXP(-(LN(2)/$D$65+0.1)*(VLOOKUP(($F$16-$F$15)*2-1,U$99:Y234,5,FALSE)))*EXP(-(LN(2)/$D$65+0.04)*X234)*EXP(-(LN(2)/$D$65+0.1)*Y234),"-"))),"-")</f>
        <v>-</v>
      </c>
      <c r="AB235" s="271" t="str">
        <f>IFERROR(IF(V235=1,AB$100*EXP(-(LN(2)/$D$65+0.04)*X235)*EXP(-(LN(2)/$D$65+0.1)*Y235),IF(V235=2,AB$100*EXP(-(LN(2)/$D$65+0.04)*(VLOOKUP(($F$16-$F$15)-1,U$100:Y235,4,FALSE)))*EXP(-(LN(2)/$D$65+0.1)*(VLOOKUP(($F$16-$F$15)-1,U$100:Y235,5,FALSE)))*EXP(-(LN(2)/$D$65+0.04)*X235)*EXP(-(LN(2)/$D$65+0.1)*Y235),IF(V235=3,AB$100*EXP(-(LN(2)/$D$65+0.04)*(VLOOKUP(($F$16-$F$15)-1,U$100:Y235,4,FALSE)))*EXP(-(LN(2)/$D$65+0.1)*(VLOOKUP(($F$16-$F$15)-1,U$100:Y235,5,FALSE)))*EXP(-(LN(2)/$D$65+0.04)*(VLOOKUP(($F$16-$F$15)*2-1,U$100:Y235,4,FALSE)))*EXP(-(LN(2)/$D$65+0.1)*(VLOOKUP(($F$16-$F$15)*2-1,U$100:Y235,5,FALSE)))*EXP(-(LN(2)/$D$65+0.04)*X235)*EXP(-(LN(2)/$D$65+0.1)*Y235),"-"))),"-")</f>
        <v>-</v>
      </c>
      <c r="AC235" s="224">
        <f t="shared" si="212"/>
        <v>135</v>
      </c>
      <c r="AD235" s="223" t="str">
        <f t="shared" si="186"/>
        <v>-</v>
      </c>
      <c r="AE235" s="224" t="str">
        <f t="shared" si="213"/>
        <v>-</v>
      </c>
      <c r="AF235" s="224" t="str">
        <f t="shared" si="187"/>
        <v>-</v>
      </c>
      <c r="AG235" s="224" t="str">
        <f t="shared" si="188"/>
        <v>-</v>
      </c>
      <c r="AH235" s="272">
        <f t="shared" si="214"/>
        <v>0.1</v>
      </c>
      <c r="AI235" s="271" t="str">
        <f>IFERROR(IF(AD234=1,AI$100*EXP(-(LN(2)/$D$65+0.04)*AF234)*EXP(-(LN(2)/$D$65+0.1)*AG234),IF(AD234=2,AI$100*EXP(-(LN(2)/$D$65+0.04)*(VLOOKUP(($F$16-$F$15)-1,AC$99:AG234,4,FALSE)))*EXP(-(LN(2)/$D$65+0.1)*(VLOOKUP(($F$16-$F$15)-1,AC$99:AG234,5,FALSE)))*EXP(-(LN(2)/$D$65+0.04)*AF234)*EXP(-(LN(2)/$D$65+0.1)*AG234),IF(AD234=3,AI$100*EXP(-(LN(2)/$D$65+0.04)*(VLOOKUP(($F$16-$F$15)-1,AC$99:AG234,4,FALSE)))*EXP(-(LN(2)/$D$65+0.1)*(VLOOKUP(($F$16-$F$15)-1,AC$99:AG234,5,FALSE)))*EXP(-(LN(2)/$D$65+0.04)*(VLOOKUP(($F$16-$F$15)*2-1,AC$99:AG234,4,FALSE)))*EXP(-(LN(2)/$D$65+0.1)*(VLOOKUP(($F$16-$F$15)*2-1,AC$99:AG234,5,FALSE)))*EXP(-(LN(2)/$D$65+0.04)*AF234)*EXP(-(LN(2)/$D$65+0.1)*AG234),"-"))),"-")</f>
        <v>-</v>
      </c>
      <c r="AJ235" s="271" t="str">
        <f>IFERROR(IF(AD235=1,AJ$100*EXP(-(LN(2)/$D$65+0.04)*AF235)*EXP(-(LN(2)/$D$65+0.1)*AG235),IF(AD235=2,AJ$100*EXP(-(LN(2)/$D$65+0.04)*(VLOOKUP(($F$16-$F$15)-1,AC$100:AG235,4,FALSE)))*EXP(-(LN(2)/$D$65+0.1)*(VLOOKUP(($F$16-$F$15)-1,AC$100:AG235,5,FALSE)))*EXP(-(LN(2)/$D$65+0.04)*AF235)*EXP(-(LN(2)/$D$65+0.1)*AG235),IF(AD235=3,AJ$100*EXP(-(LN(2)/$D$65+0.04)*(VLOOKUP(($F$16-$F$15)-1,AC$100:AG235,4,FALSE)))*EXP(-(LN(2)/$D$65+0.1)*(VLOOKUP(($F$16-$F$15)-1,AC$100:AG235,5,FALSE)))*EXP(-(LN(2)/$D$65+0.04)*(VLOOKUP(($F$16-$F$15)*2-1,AC$100:AG235,4,FALSE)))*EXP(-(LN(2)/$D$65+0.1)*(VLOOKUP(($F$16-$F$15)*2-1,AC$100:AG235,5,FALSE)))*EXP(-(LN(2)/$D$65+0.04)*AF235)*EXP(-(LN(2)/$D$65+0.1)*AG235),"-"))),"-")</f>
        <v>-</v>
      </c>
      <c r="AK235" s="227">
        <f t="shared" si="215"/>
        <v>135</v>
      </c>
      <c r="AL235" s="226" t="str">
        <f t="shared" si="189"/>
        <v>-</v>
      </c>
      <c r="AM235" s="227" t="str">
        <f t="shared" si="216"/>
        <v>-</v>
      </c>
      <c r="AN235" s="227" t="str">
        <f t="shared" si="217"/>
        <v>-</v>
      </c>
      <c r="AO235" s="227" t="str">
        <f t="shared" si="190"/>
        <v>-</v>
      </c>
      <c r="AP235" s="273">
        <f t="shared" si="218"/>
        <v>0.1</v>
      </c>
      <c r="AQ235" s="271" t="str">
        <f>IFERROR(IF(AL234=1,AQ$100*EXP(-(LN(2)/$D$65+0.04)*AN234)*EXP(-(LN(2)/$D$65+0.1)*AO234),IF(AL234=2,AQ$100*EXP(-(LN(2)/$D$65+0.04)*(VLOOKUP(($F$16-$F$15)-1,AK$99:AO234,4,FALSE)))*EXP(-(LN(2)/$D$65+0.1)*(VLOOKUP(($F$16-$F$15)-1,AK$99:AO234,5,FALSE)))*EXP(-(LN(2)/$D$65+0.04)*AN234)*EXP(-(LN(2)/$D$65+0.1)*AO234),IF(AL234=3,AQ$100*EXP(-(LN(2)/$D$65+0.04)*(VLOOKUP(($F$16-$F$15)-1,AK$99:AO234,4,FALSE)))*EXP(-(LN(2)/$D$65+0.1)*(VLOOKUP(($F$16-$F$15)-1,AK$99:AO234,5,FALSE)))*EXP(-(LN(2)/$D$65+0.04)*(VLOOKUP(($F$16-$F$15)*2-1,AK$99:AO234,4,FALSE)))*EXP(-(LN(2)/$D$65+0.1)*(VLOOKUP(($F$16-$F$15)*2-1,AK$99:AO234,5,FALSE)))*EXP(-(LN(2)/$D$65+0.04)*AN234)*EXP(-(LN(2)/$D$65+0.1)*AO234),"-"))),"-")</f>
        <v>-</v>
      </c>
      <c r="AR235" s="271" t="str">
        <f>IFERROR(IF(AL235=1,AR$100*EXP(-(LN(2)/$D$65+0.04)*AN235)*EXP(-(LN(2)/$D$65+0.1)*AO235),IF(AL235=2,AR$100*EXP(-(LN(2)/$D$65+0.04)*(VLOOKUP(($F$16-$F$15)-1,AK$100:AO235,4,FALSE)))*EXP(-(LN(2)/$D$65+0.1)*(VLOOKUP(($F$16-$F$15)-1,AK$100:AO235,5,FALSE)))*EXP(-(LN(2)/$D$65+0.04)*AN235)*EXP(-(LN(2)/$D$65+0.1)*AO235),IF(AL235=3,AR$100*EXP(-(LN(2)/$D$65+0.04)*(VLOOKUP(($F$16-$F$15)-1,AK$100:AO235,4,FALSE)))*EXP(-(LN(2)/$D$65+0.1)*(VLOOKUP(($F$16-$F$15)-1,AK$100:AO235,5,FALSE)))*EXP(-(LN(2)/$D$65+0.04)*(VLOOKUP(($F$16-$F$15)*2-1,AK$100:AO235,4,FALSE)))*EXP(-(LN(2)/$D$65+0.1)*(VLOOKUP(($F$16-$F$15)*2-1,AK$100:AO235,5,FALSE)))*EXP(-(LN(2)/$D$65+0.04)*AN235)*EXP(-(LN(2)/$D$65+0.1)*AO235),"-"))),"-")</f>
        <v>-</v>
      </c>
      <c r="AS235" s="274">
        <f t="shared" si="191"/>
        <v>0</v>
      </c>
      <c r="AT235" s="274">
        <f t="shared" si="192"/>
        <v>0</v>
      </c>
      <c r="AU235" s="274">
        <f t="shared" si="193"/>
        <v>0</v>
      </c>
      <c r="AV235" s="190" t="str">
        <f>IF($B235&lt;$F$22,SUM($T$100:$T235),"")</f>
        <v/>
      </c>
      <c r="AW235" s="190" t="str">
        <f t="shared" si="194"/>
        <v>-</v>
      </c>
      <c r="AX235" s="190" t="str">
        <f t="shared" si="219"/>
        <v/>
      </c>
      <c r="AY235"/>
      <c r="AZ235" s="190" t="str">
        <f ca="1">IF(ISNUMBER(OFFSET(AV235,-$F$21,0)),SUM(OFFSET($T$100,$F$21,0):$T235),"")</f>
        <v/>
      </c>
      <c r="BA235" s="190" t="str">
        <f t="shared" ca="1" si="195"/>
        <v/>
      </c>
      <c r="BB235" s="190" t="str">
        <f t="shared" ca="1" si="148"/>
        <v/>
      </c>
      <c r="BC235" s="190"/>
      <c r="BD235" s="190" t="str">
        <f ca="1">IFERROR(IF(OR(ISNUMBER(I),ISNUMBER($F$14)),IF(AND($B235&gt;=($F$16-$F$15),$B235&lt;$F$22+($F$16-$F$15)),SUM(OFFSET($T$100,($F$16-$F$15),0):$T235),""),""),"")</f>
        <v/>
      </c>
      <c r="BE235" s="190" t="str">
        <f t="shared" ca="1" si="220"/>
        <v/>
      </c>
      <c r="BF235" s="190" t="str">
        <f t="shared" ca="1" si="221"/>
        <v/>
      </c>
      <c r="BG235"/>
      <c r="BH235" s="190" t="str">
        <f ca="1">IF(ISNUMBER(OFFSET(BD235,-$F$21,0)),SUM(OFFSET($T$100,($F$16-$F$15+$F$21),0):$T235),"")</f>
        <v/>
      </c>
      <c r="BI235" s="190" t="str">
        <f t="shared" ca="1" si="196"/>
        <v/>
      </c>
      <c r="BJ235" s="190" t="str">
        <f t="shared" ca="1" si="222"/>
        <v/>
      </c>
      <c r="BK235" s="190"/>
      <c r="BL235" s="190" t="str">
        <f ca="1">IFERROR(IF(OR(ISNUMBER(I),ISNUMBER($F$14)),IF(AND($B235&gt;=($F$17-$F$15),$B235&lt;$F$22+($F$17-$F$15)),SUM(OFFSET($T$100,($F$17-$F$15),0):$T235),""),""),"")</f>
        <v/>
      </c>
      <c r="BM235" s="190" t="str">
        <f t="shared" ca="1" si="197"/>
        <v/>
      </c>
      <c r="BN235" s="190" t="str">
        <f t="shared" ca="1" si="223"/>
        <v/>
      </c>
      <c r="BO235"/>
      <c r="BP235" s="190" t="str">
        <f ca="1">IF(ISNUMBER(OFFSET(BL235,-$F$21,0)),SUM(OFFSET($T$100,($F$17-$F$15+$F$21),0):$T235),"")</f>
        <v/>
      </c>
      <c r="BQ235" s="190" t="str">
        <f t="shared" ca="1" si="198"/>
        <v/>
      </c>
      <c r="BR235" s="190" t="str">
        <f t="shared" ca="1" si="224"/>
        <v/>
      </c>
      <c r="BS235" s="190"/>
      <c r="BT235"/>
      <c r="BU235"/>
      <c r="BV235"/>
      <c r="BY235" s="99"/>
      <c r="BZ235" s="99"/>
      <c r="CA235" s="280" t="str">
        <f t="shared" si="199"/>
        <v/>
      </c>
      <c r="CB235" s="71" t="str">
        <f t="shared" si="200"/>
        <v>-</v>
      </c>
      <c r="CC235" s="33"/>
      <c r="CD235" s="261" t="str">
        <f t="shared" si="201"/>
        <v/>
      </c>
      <c r="CE235" s="280" t="str">
        <f t="shared" si="202"/>
        <v/>
      </c>
      <c r="CF235" s="71" t="str">
        <f t="shared" ca="1" si="203"/>
        <v/>
      </c>
      <c r="CG235" s="33" t="str">
        <f t="shared" si="204"/>
        <v/>
      </c>
      <c r="CH235" s="261" t="str">
        <f t="shared" ca="1" si="205"/>
        <v/>
      </c>
    </row>
    <row r="236" spans="2:86" ht="13.5" customHeight="1" x14ac:dyDescent="0.2">
      <c r="B236" s="262">
        <v>136</v>
      </c>
      <c r="C236" s="237" t="str">
        <f t="shared" si="169"/>
        <v/>
      </c>
      <c r="D236" s="237" t="str">
        <f t="shared" si="225"/>
        <v/>
      </c>
      <c r="E236" s="263" t="str">
        <f t="shared" si="206"/>
        <v/>
      </c>
      <c r="F236" s="264" t="str">
        <f t="shared" si="207"/>
        <v/>
      </c>
      <c r="G236" s="264" t="str">
        <f t="shared" si="208"/>
        <v/>
      </c>
      <c r="H236" s="240" t="str">
        <f t="shared" si="170"/>
        <v/>
      </c>
      <c r="I236" s="265" t="str">
        <f t="shared" si="171"/>
        <v/>
      </c>
      <c r="J236" s="265" t="str">
        <f t="shared" si="172"/>
        <v/>
      </c>
      <c r="K236" s="240" t="str">
        <f t="shared" si="173"/>
        <v/>
      </c>
      <c r="L236" s="265" t="str">
        <f t="shared" si="174"/>
        <v/>
      </c>
      <c r="M236" s="265" t="str">
        <f t="shared" si="175"/>
        <v/>
      </c>
      <c r="N236" s="240" t="str">
        <f t="shared" si="176"/>
        <v>-</v>
      </c>
      <c r="O236" s="265" t="str">
        <f t="shared" si="177"/>
        <v>-</v>
      </c>
      <c r="P236" s="265" t="str">
        <f t="shared" si="178"/>
        <v>-</v>
      </c>
      <c r="Q236" s="266" t="str">
        <f t="shared" si="179"/>
        <v>-</v>
      </c>
      <c r="R236" s="267" t="str">
        <f t="shared" si="180"/>
        <v>-</v>
      </c>
      <c r="S236" s="268" t="str">
        <f t="shared" si="181"/>
        <v>-</v>
      </c>
      <c r="T236" s="269" t="str">
        <f t="shared" si="182"/>
        <v/>
      </c>
      <c r="U236" s="221">
        <f t="shared" si="183"/>
        <v>136</v>
      </c>
      <c r="V236" s="220" t="str">
        <f t="shared" si="209"/>
        <v>-</v>
      </c>
      <c r="W236" s="221" t="str">
        <f t="shared" si="210"/>
        <v>-</v>
      </c>
      <c r="X236" s="221" t="str">
        <f t="shared" si="184"/>
        <v>-</v>
      </c>
      <c r="Y236" s="221" t="str">
        <f t="shared" si="185"/>
        <v>-</v>
      </c>
      <c r="Z236" s="270">
        <f t="shared" si="211"/>
        <v>0.1</v>
      </c>
      <c r="AA236" s="271" t="str">
        <f>IFERROR(IF(V235=1,AA$100*EXP(-(LN(2)/$D$65+0.04)*X235)*EXP(-(LN(2)/$D$65+0.1)*Y235),IF(V235=2,AA$100*EXP(-(LN(2)/$D$65+0.04)*(VLOOKUP(($F$16-$F$15)-1,U$99:Y235,4,FALSE)))*EXP(-(LN(2)/$D$65+0.1)*(VLOOKUP(($F$16-$F$15)-1,U$99:Y235,5,FALSE)))*EXP(-(LN(2)/$D$65+0.04)*X235)*EXP(-(LN(2)/$D$65+0.1)*Y235),IF(V235=3,AA$100*EXP(-(LN(2)/$D$65+0.04)*(VLOOKUP(($F$16-$F$15)-1,U$99:Y235,4,FALSE)))*EXP(-(LN(2)/$D$65+0.1)*(VLOOKUP(($F$16-$F$15)-1,U$99:Y235,5,FALSE)))*EXP(-(LN(2)/$D$65+0.04)*(VLOOKUP(($F$16-$F$15)*2-1,U$99:Y235,4,FALSE)))*EXP(-(LN(2)/$D$65+0.1)*(VLOOKUP(($F$16-$F$15)*2-1,U$99:Y235,5,FALSE)))*EXP(-(LN(2)/$D$65+0.04)*X235)*EXP(-(LN(2)/$D$65+0.1)*Y235),"-"))),"-")</f>
        <v>-</v>
      </c>
      <c r="AB236" s="271" t="str">
        <f>IFERROR(IF(V236=1,AB$100*EXP(-(LN(2)/$D$65+0.04)*X236)*EXP(-(LN(2)/$D$65+0.1)*Y236),IF(V236=2,AB$100*EXP(-(LN(2)/$D$65+0.04)*(VLOOKUP(($F$16-$F$15)-1,U$100:Y236,4,FALSE)))*EXP(-(LN(2)/$D$65+0.1)*(VLOOKUP(($F$16-$F$15)-1,U$100:Y236,5,FALSE)))*EXP(-(LN(2)/$D$65+0.04)*X236)*EXP(-(LN(2)/$D$65+0.1)*Y236),IF(V236=3,AB$100*EXP(-(LN(2)/$D$65+0.04)*(VLOOKUP(($F$16-$F$15)-1,U$100:Y236,4,FALSE)))*EXP(-(LN(2)/$D$65+0.1)*(VLOOKUP(($F$16-$F$15)-1,U$100:Y236,5,FALSE)))*EXP(-(LN(2)/$D$65+0.04)*(VLOOKUP(($F$16-$F$15)*2-1,U$100:Y236,4,FALSE)))*EXP(-(LN(2)/$D$65+0.1)*(VLOOKUP(($F$16-$F$15)*2-1,U$100:Y236,5,FALSE)))*EXP(-(LN(2)/$D$65+0.04)*X236)*EXP(-(LN(2)/$D$65+0.1)*Y236),"-"))),"-")</f>
        <v>-</v>
      </c>
      <c r="AC236" s="224">
        <f t="shared" si="212"/>
        <v>136</v>
      </c>
      <c r="AD236" s="223" t="str">
        <f t="shared" si="186"/>
        <v>-</v>
      </c>
      <c r="AE236" s="224" t="str">
        <f t="shared" si="213"/>
        <v>-</v>
      </c>
      <c r="AF236" s="224" t="str">
        <f t="shared" si="187"/>
        <v>-</v>
      </c>
      <c r="AG236" s="224" t="str">
        <f t="shared" si="188"/>
        <v>-</v>
      </c>
      <c r="AH236" s="272">
        <f t="shared" si="214"/>
        <v>0.1</v>
      </c>
      <c r="AI236" s="271" t="str">
        <f>IFERROR(IF(AD235=1,AI$100*EXP(-(LN(2)/$D$65+0.04)*AF235)*EXP(-(LN(2)/$D$65+0.1)*AG235),IF(AD235=2,AI$100*EXP(-(LN(2)/$D$65+0.04)*(VLOOKUP(($F$16-$F$15)-1,AC$99:AG235,4,FALSE)))*EXP(-(LN(2)/$D$65+0.1)*(VLOOKUP(($F$16-$F$15)-1,AC$99:AG235,5,FALSE)))*EXP(-(LN(2)/$D$65+0.04)*AF235)*EXP(-(LN(2)/$D$65+0.1)*AG235),IF(AD235=3,AI$100*EXP(-(LN(2)/$D$65+0.04)*(VLOOKUP(($F$16-$F$15)-1,AC$99:AG235,4,FALSE)))*EXP(-(LN(2)/$D$65+0.1)*(VLOOKUP(($F$16-$F$15)-1,AC$99:AG235,5,FALSE)))*EXP(-(LN(2)/$D$65+0.04)*(VLOOKUP(($F$16-$F$15)*2-1,AC$99:AG235,4,FALSE)))*EXP(-(LN(2)/$D$65+0.1)*(VLOOKUP(($F$16-$F$15)*2-1,AC$99:AG235,5,FALSE)))*EXP(-(LN(2)/$D$65+0.04)*AF235)*EXP(-(LN(2)/$D$65+0.1)*AG235),"-"))),"-")</f>
        <v>-</v>
      </c>
      <c r="AJ236" s="271" t="str">
        <f>IFERROR(IF(AD236=1,AJ$100*EXP(-(LN(2)/$D$65+0.04)*AF236)*EXP(-(LN(2)/$D$65+0.1)*AG236),IF(AD236=2,AJ$100*EXP(-(LN(2)/$D$65+0.04)*(VLOOKUP(($F$16-$F$15)-1,AC$100:AG236,4,FALSE)))*EXP(-(LN(2)/$D$65+0.1)*(VLOOKUP(($F$16-$F$15)-1,AC$100:AG236,5,FALSE)))*EXP(-(LN(2)/$D$65+0.04)*AF236)*EXP(-(LN(2)/$D$65+0.1)*AG236),IF(AD236=3,AJ$100*EXP(-(LN(2)/$D$65+0.04)*(VLOOKUP(($F$16-$F$15)-1,AC$100:AG236,4,FALSE)))*EXP(-(LN(2)/$D$65+0.1)*(VLOOKUP(($F$16-$F$15)-1,AC$100:AG236,5,FALSE)))*EXP(-(LN(2)/$D$65+0.04)*(VLOOKUP(($F$16-$F$15)*2-1,AC$100:AG236,4,FALSE)))*EXP(-(LN(2)/$D$65+0.1)*(VLOOKUP(($F$16-$F$15)*2-1,AC$100:AG236,5,FALSE)))*EXP(-(LN(2)/$D$65+0.04)*AF236)*EXP(-(LN(2)/$D$65+0.1)*AG236),"-"))),"-")</f>
        <v>-</v>
      </c>
      <c r="AK236" s="227">
        <f t="shared" si="215"/>
        <v>136</v>
      </c>
      <c r="AL236" s="226" t="str">
        <f t="shared" si="189"/>
        <v>-</v>
      </c>
      <c r="AM236" s="227" t="str">
        <f t="shared" si="216"/>
        <v>-</v>
      </c>
      <c r="AN236" s="227" t="str">
        <f t="shared" si="217"/>
        <v>-</v>
      </c>
      <c r="AO236" s="227" t="str">
        <f t="shared" si="190"/>
        <v>-</v>
      </c>
      <c r="AP236" s="273">
        <f t="shared" si="218"/>
        <v>0.1</v>
      </c>
      <c r="AQ236" s="271" t="str">
        <f>IFERROR(IF(AL235=1,AQ$100*EXP(-(LN(2)/$D$65+0.04)*AN235)*EXP(-(LN(2)/$D$65+0.1)*AO235),IF(AL235=2,AQ$100*EXP(-(LN(2)/$D$65+0.04)*(VLOOKUP(($F$16-$F$15)-1,AK$99:AO235,4,FALSE)))*EXP(-(LN(2)/$D$65+0.1)*(VLOOKUP(($F$16-$F$15)-1,AK$99:AO235,5,FALSE)))*EXP(-(LN(2)/$D$65+0.04)*AN235)*EXP(-(LN(2)/$D$65+0.1)*AO235),IF(AL235=3,AQ$100*EXP(-(LN(2)/$D$65+0.04)*(VLOOKUP(($F$16-$F$15)-1,AK$99:AO235,4,FALSE)))*EXP(-(LN(2)/$D$65+0.1)*(VLOOKUP(($F$16-$F$15)-1,AK$99:AO235,5,FALSE)))*EXP(-(LN(2)/$D$65+0.04)*(VLOOKUP(($F$16-$F$15)*2-1,AK$99:AO235,4,FALSE)))*EXP(-(LN(2)/$D$65+0.1)*(VLOOKUP(($F$16-$F$15)*2-1,AK$99:AO235,5,FALSE)))*EXP(-(LN(2)/$D$65+0.04)*AN235)*EXP(-(LN(2)/$D$65+0.1)*AO235),"-"))),"-")</f>
        <v>-</v>
      </c>
      <c r="AR236" s="271" t="str">
        <f>IFERROR(IF(AL236=1,AR$100*EXP(-(LN(2)/$D$65+0.04)*AN236)*EXP(-(LN(2)/$D$65+0.1)*AO236),IF(AL236=2,AR$100*EXP(-(LN(2)/$D$65+0.04)*(VLOOKUP(($F$16-$F$15)-1,AK$100:AO236,4,FALSE)))*EXP(-(LN(2)/$D$65+0.1)*(VLOOKUP(($F$16-$F$15)-1,AK$100:AO236,5,FALSE)))*EXP(-(LN(2)/$D$65+0.04)*AN236)*EXP(-(LN(2)/$D$65+0.1)*AO236),IF(AL236=3,AR$100*EXP(-(LN(2)/$D$65+0.04)*(VLOOKUP(($F$16-$F$15)-1,AK$100:AO236,4,FALSE)))*EXP(-(LN(2)/$D$65+0.1)*(VLOOKUP(($F$16-$F$15)-1,AK$100:AO236,5,FALSE)))*EXP(-(LN(2)/$D$65+0.04)*(VLOOKUP(($F$16-$F$15)*2-1,AK$100:AO236,4,FALSE)))*EXP(-(LN(2)/$D$65+0.1)*(VLOOKUP(($F$16-$F$15)*2-1,AK$100:AO236,5,FALSE)))*EXP(-(LN(2)/$D$65+0.04)*AN236)*EXP(-(LN(2)/$D$65+0.1)*AO236),"-"))),"-")</f>
        <v>-</v>
      </c>
      <c r="AS236" s="274">
        <f t="shared" si="191"/>
        <v>0</v>
      </c>
      <c r="AT236" s="274">
        <f t="shared" si="192"/>
        <v>0</v>
      </c>
      <c r="AU236" s="274">
        <f t="shared" si="193"/>
        <v>0</v>
      </c>
      <c r="AV236" s="190" t="str">
        <f>IF($B236&lt;$F$22,SUM($T$100:$T236),"")</f>
        <v/>
      </c>
      <c r="AW236" s="190" t="str">
        <f t="shared" si="194"/>
        <v>-</v>
      </c>
      <c r="AX236" s="190" t="str">
        <f t="shared" si="219"/>
        <v/>
      </c>
      <c r="AY236"/>
      <c r="AZ236" s="190" t="str">
        <f ca="1">IF(ISNUMBER(OFFSET(AV236,-$F$21,0)),SUM(OFFSET($T$100,$F$21,0):$T236),"")</f>
        <v/>
      </c>
      <c r="BA236" s="190" t="str">
        <f t="shared" ca="1" si="195"/>
        <v/>
      </c>
      <c r="BB236" s="190" t="str">
        <f t="shared" ca="1" si="148"/>
        <v/>
      </c>
      <c r="BC236" s="190"/>
      <c r="BD236" s="190" t="str">
        <f ca="1">IFERROR(IF(OR(ISNUMBER(I),ISNUMBER($F$14)),IF(AND($B236&gt;=($F$16-$F$15),$B236&lt;$F$22+($F$16-$F$15)),SUM(OFFSET($T$100,($F$16-$F$15),0):$T236),""),""),"")</f>
        <v/>
      </c>
      <c r="BE236" s="190" t="str">
        <f t="shared" ca="1" si="220"/>
        <v/>
      </c>
      <c r="BF236" s="190" t="str">
        <f t="shared" ca="1" si="221"/>
        <v/>
      </c>
      <c r="BG236"/>
      <c r="BH236" s="190" t="str">
        <f ca="1">IF(ISNUMBER(OFFSET(BD236,-$F$21,0)),SUM(OFFSET($T$100,($F$16-$F$15+$F$21),0):$T236),"")</f>
        <v/>
      </c>
      <c r="BI236" s="190" t="str">
        <f t="shared" ca="1" si="196"/>
        <v/>
      </c>
      <c r="BJ236" s="190" t="str">
        <f t="shared" ca="1" si="222"/>
        <v/>
      </c>
      <c r="BK236" s="190"/>
      <c r="BL236" s="190" t="str">
        <f ca="1">IFERROR(IF(OR(ISNUMBER(I),ISNUMBER($F$14)),IF(AND($B236&gt;=($F$17-$F$15),$B236&lt;$F$22+($F$17-$F$15)),SUM(OFFSET($T$100,($F$17-$F$15),0):$T236),""),""),"")</f>
        <v/>
      </c>
      <c r="BM236" s="190" t="str">
        <f t="shared" ca="1" si="197"/>
        <v/>
      </c>
      <c r="BN236" s="190" t="str">
        <f t="shared" ca="1" si="223"/>
        <v/>
      </c>
      <c r="BO236"/>
      <c r="BP236" s="190" t="str">
        <f ca="1">IF(ISNUMBER(OFFSET(BL236,-$F$21,0)),SUM(OFFSET($T$100,($F$17-$F$15+$F$21),0):$T236),"")</f>
        <v/>
      </c>
      <c r="BQ236" s="190" t="str">
        <f t="shared" ca="1" si="198"/>
        <v/>
      </c>
      <c r="BR236" s="190" t="str">
        <f t="shared" ca="1" si="224"/>
        <v/>
      </c>
      <c r="BS236" s="190"/>
      <c r="BT236"/>
      <c r="BU236"/>
      <c r="BV236"/>
      <c r="BY236" s="99"/>
      <c r="BZ236" s="99"/>
      <c r="CA236" s="280" t="str">
        <f t="shared" si="199"/>
        <v/>
      </c>
      <c r="CB236" s="71" t="str">
        <f t="shared" si="200"/>
        <v>-</v>
      </c>
      <c r="CC236" s="33"/>
      <c r="CD236" s="261" t="str">
        <f t="shared" si="201"/>
        <v/>
      </c>
      <c r="CE236" s="280" t="str">
        <f t="shared" si="202"/>
        <v/>
      </c>
      <c r="CF236" s="71" t="str">
        <f t="shared" ca="1" si="203"/>
        <v/>
      </c>
      <c r="CG236" s="33" t="str">
        <f t="shared" si="204"/>
        <v/>
      </c>
      <c r="CH236" s="261" t="str">
        <f t="shared" ca="1" si="205"/>
        <v/>
      </c>
    </row>
    <row r="237" spans="2:86" ht="13.5" customHeight="1" x14ac:dyDescent="0.2">
      <c r="B237" s="262">
        <v>137</v>
      </c>
      <c r="C237" s="237" t="str">
        <f t="shared" si="169"/>
        <v/>
      </c>
      <c r="D237" s="237" t="str">
        <f t="shared" si="225"/>
        <v/>
      </c>
      <c r="E237" s="263" t="str">
        <f t="shared" si="206"/>
        <v/>
      </c>
      <c r="F237" s="264" t="str">
        <f t="shared" si="207"/>
        <v/>
      </c>
      <c r="G237" s="264" t="str">
        <f t="shared" si="208"/>
        <v/>
      </c>
      <c r="H237" s="240" t="str">
        <f t="shared" si="170"/>
        <v/>
      </c>
      <c r="I237" s="265" t="str">
        <f t="shared" si="171"/>
        <v/>
      </c>
      <c r="J237" s="265" t="str">
        <f t="shared" si="172"/>
        <v/>
      </c>
      <c r="K237" s="240" t="str">
        <f t="shared" si="173"/>
        <v/>
      </c>
      <c r="L237" s="265" t="str">
        <f t="shared" si="174"/>
        <v/>
      </c>
      <c r="M237" s="265" t="str">
        <f t="shared" si="175"/>
        <v/>
      </c>
      <c r="N237" s="240" t="str">
        <f t="shared" si="176"/>
        <v>-</v>
      </c>
      <c r="O237" s="265" t="str">
        <f t="shared" si="177"/>
        <v>-</v>
      </c>
      <c r="P237" s="265" t="str">
        <f t="shared" si="178"/>
        <v>-</v>
      </c>
      <c r="Q237" s="266" t="str">
        <f t="shared" si="179"/>
        <v>-</v>
      </c>
      <c r="R237" s="267" t="str">
        <f t="shared" si="180"/>
        <v>-</v>
      </c>
      <c r="S237" s="268" t="str">
        <f t="shared" si="181"/>
        <v>-</v>
      </c>
      <c r="T237" s="269" t="str">
        <f t="shared" si="182"/>
        <v/>
      </c>
      <c r="U237" s="221">
        <f t="shared" si="183"/>
        <v>137</v>
      </c>
      <c r="V237" s="220" t="str">
        <f t="shared" si="209"/>
        <v>-</v>
      </c>
      <c r="W237" s="221" t="str">
        <f t="shared" si="210"/>
        <v>-</v>
      </c>
      <c r="X237" s="221" t="str">
        <f t="shared" si="184"/>
        <v>-</v>
      </c>
      <c r="Y237" s="221" t="str">
        <f t="shared" si="185"/>
        <v>-</v>
      </c>
      <c r="Z237" s="270">
        <f t="shared" si="211"/>
        <v>0.1</v>
      </c>
      <c r="AA237" s="271" t="str">
        <f>IFERROR(IF(V236=1,AA$100*EXP(-(LN(2)/$D$65+0.04)*X236)*EXP(-(LN(2)/$D$65+0.1)*Y236),IF(V236=2,AA$100*EXP(-(LN(2)/$D$65+0.04)*(VLOOKUP(($F$16-$F$15)-1,U$99:Y236,4,FALSE)))*EXP(-(LN(2)/$D$65+0.1)*(VLOOKUP(($F$16-$F$15)-1,U$99:Y236,5,FALSE)))*EXP(-(LN(2)/$D$65+0.04)*X236)*EXP(-(LN(2)/$D$65+0.1)*Y236),IF(V236=3,AA$100*EXP(-(LN(2)/$D$65+0.04)*(VLOOKUP(($F$16-$F$15)-1,U$99:Y236,4,FALSE)))*EXP(-(LN(2)/$D$65+0.1)*(VLOOKUP(($F$16-$F$15)-1,U$99:Y236,5,FALSE)))*EXP(-(LN(2)/$D$65+0.04)*(VLOOKUP(($F$16-$F$15)*2-1,U$99:Y236,4,FALSE)))*EXP(-(LN(2)/$D$65+0.1)*(VLOOKUP(($F$16-$F$15)*2-1,U$99:Y236,5,FALSE)))*EXP(-(LN(2)/$D$65+0.04)*X236)*EXP(-(LN(2)/$D$65+0.1)*Y236),"-"))),"-")</f>
        <v>-</v>
      </c>
      <c r="AB237" s="271" t="str">
        <f>IFERROR(IF(V237=1,AB$100*EXP(-(LN(2)/$D$65+0.04)*X237)*EXP(-(LN(2)/$D$65+0.1)*Y237),IF(V237=2,AB$100*EXP(-(LN(2)/$D$65+0.04)*(VLOOKUP(($F$16-$F$15)-1,U$100:Y237,4,FALSE)))*EXP(-(LN(2)/$D$65+0.1)*(VLOOKUP(($F$16-$F$15)-1,U$100:Y237,5,FALSE)))*EXP(-(LN(2)/$D$65+0.04)*X237)*EXP(-(LN(2)/$D$65+0.1)*Y237),IF(V237=3,AB$100*EXP(-(LN(2)/$D$65+0.04)*(VLOOKUP(($F$16-$F$15)-1,U$100:Y237,4,FALSE)))*EXP(-(LN(2)/$D$65+0.1)*(VLOOKUP(($F$16-$F$15)-1,U$100:Y237,5,FALSE)))*EXP(-(LN(2)/$D$65+0.04)*(VLOOKUP(($F$16-$F$15)*2-1,U$100:Y237,4,FALSE)))*EXP(-(LN(2)/$D$65+0.1)*(VLOOKUP(($F$16-$F$15)*2-1,U$100:Y237,5,FALSE)))*EXP(-(LN(2)/$D$65+0.04)*X237)*EXP(-(LN(2)/$D$65+0.1)*Y237),"-"))),"-")</f>
        <v>-</v>
      </c>
      <c r="AC237" s="224">
        <f t="shared" si="212"/>
        <v>137</v>
      </c>
      <c r="AD237" s="223" t="str">
        <f t="shared" si="186"/>
        <v>-</v>
      </c>
      <c r="AE237" s="224" t="str">
        <f t="shared" si="213"/>
        <v>-</v>
      </c>
      <c r="AF237" s="224" t="str">
        <f t="shared" si="187"/>
        <v>-</v>
      </c>
      <c r="AG237" s="224" t="str">
        <f t="shared" si="188"/>
        <v>-</v>
      </c>
      <c r="AH237" s="272">
        <f t="shared" si="214"/>
        <v>0.1</v>
      </c>
      <c r="AI237" s="271" t="str">
        <f>IFERROR(IF(AD236=1,AI$100*EXP(-(LN(2)/$D$65+0.04)*AF236)*EXP(-(LN(2)/$D$65+0.1)*AG236),IF(AD236=2,AI$100*EXP(-(LN(2)/$D$65+0.04)*(VLOOKUP(($F$16-$F$15)-1,AC$99:AG236,4,FALSE)))*EXP(-(LN(2)/$D$65+0.1)*(VLOOKUP(($F$16-$F$15)-1,AC$99:AG236,5,FALSE)))*EXP(-(LN(2)/$D$65+0.04)*AF236)*EXP(-(LN(2)/$D$65+0.1)*AG236),IF(AD236=3,AI$100*EXP(-(LN(2)/$D$65+0.04)*(VLOOKUP(($F$16-$F$15)-1,AC$99:AG236,4,FALSE)))*EXP(-(LN(2)/$D$65+0.1)*(VLOOKUP(($F$16-$F$15)-1,AC$99:AG236,5,FALSE)))*EXP(-(LN(2)/$D$65+0.04)*(VLOOKUP(($F$16-$F$15)*2-1,AC$99:AG236,4,FALSE)))*EXP(-(LN(2)/$D$65+0.1)*(VLOOKUP(($F$16-$F$15)*2-1,AC$99:AG236,5,FALSE)))*EXP(-(LN(2)/$D$65+0.04)*AF236)*EXP(-(LN(2)/$D$65+0.1)*AG236),"-"))),"-")</f>
        <v>-</v>
      </c>
      <c r="AJ237" s="271" t="str">
        <f>IFERROR(IF(AD237=1,AJ$100*EXP(-(LN(2)/$D$65+0.04)*AF237)*EXP(-(LN(2)/$D$65+0.1)*AG237),IF(AD237=2,AJ$100*EXP(-(LN(2)/$D$65+0.04)*(VLOOKUP(($F$16-$F$15)-1,AC$100:AG237,4,FALSE)))*EXP(-(LN(2)/$D$65+0.1)*(VLOOKUP(($F$16-$F$15)-1,AC$100:AG237,5,FALSE)))*EXP(-(LN(2)/$D$65+0.04)*AF237)*EXP(-(LN(2)/$D$65+0.1)*AG237),IF(AD237=3,AJ$100*EXP(-(LN(2)/$D$65+0.04)*(VLOOKUP(($F$16-$F$15)-1,AC$100:AG237,4,FALSE)))*EXP(-(LN(2)/$D$65+0.1)*(VLOOKUP(($F$16-$F$15)-1,AC$100:AG237,5,FALSE)))*EXP(-(LN(2)/$D$65+0.04)*(VLOOKUP(($F$16-$F$15)*2-1,AC$100:AG237,4,FALSE)))*EXP(-(LN(2)/$D$65+0.1)*(VLOOKUP(($F$16-$F$15)*2-1,AC$100:AG237,5,FALSE)))*EXP(-(LN(2)/$D$65+0.04)*AF237)*EXP(-(LN(2)/$D$65+0.1)*AG237),"-"))),"-")</f>
        <v>-</v>
      </c>
      <c r="AK237" s="227">
        <f t="shared" si="215"/>
        <v>137</v>
      </c>
      <c r="AL237" s="226" t="str">
        <f t="shared" si="189"/>
        <v>-</v>
      </c>
      <c r="AM237" s="227" t="str">
        <f t="shared" si="216"/>
        <v>-</v>
      </c>
      <c r="AN237" s="227" t="str">
        <f t="shared" si="217"/>
        <v>-</v>
      </c>
      <c r="AO237" s="227" t="str">
        <f t="shared" si="190"/>
        <v>-</v>
      </c>
      <c r="AP237" s="273">
        <f t="shared" si="218"/>
        <v>0.1</v>
      </c>
      <c r="AQ237" s="271" t="str">
        <f>IFERROR(IF(AL236=1,AQ$100*EXP(-(LN(2)/$D$65+0.04)*AN236)*EXP(-(LN(2)/$D$65+0.1)*AO236),IF(AL236=2,AQ$100*EXP(-(LN(2)/$D$65+0.04)*(VLOOKUP(($F$16-$F$15)-1,AK$99:AO236,4,FALSE)))*EXP(-(LN(2)/$D$65+0.1)*(VLOOKUP(($F$16-$F$15)-1,AK$99:AO236,5,FALSE)))*EXP(-(LN(2)/$D$65+0.04)*AN236)*EXP(-(LN(2)/$D$65+0.1)*AO236),IF(AL236=3,AQ$100*EXP(-(LN(2)/$D$65+0.04)*(VLOOKUP(($F$16-$F$15)-1,AK$99:AO236,4,FALSE)))*EXP(-(LN(2)/$D$65+0.1)*(VLOOKUP(($F$16-$F$15)-1,AK$99:AO236,5,FALSE)))*EXP(-(LN(2)/$D$65+0.04)*(VLOOKUP(($F$16-$F$15)*2-1,AK$99:AO236,4,FALSE)))*EXP(-(LN(2)/$D$65+0.1)*(VLOOKUP(($F$16-$F$15)*2-1,AK$99:AO236,5,FALSE)))*EXP(-(LN(2)/$D$65+0.04)*AN236)*EXP(-(LN(2)/$D$65+0.1)*AO236),"-"))),"-")</f>
        <v>-</v>
      </c>
      <c r="AR237" s="271" t="str">
        <f>IFERROR(IF(AL237=1,AR$100*EXP(-(LN(2)/$D$65+0.04)*AN237)*EXP(-(LN(2)/$D$65+0.1)*AO237),IF(AL237=2,AR$100*EXP(-(LN(2)/$D$65+0.04)*(VLOOKUP(($F$16-$F$15)-1,AK$100:AO237,4,FALSE)))*EXP(-(LN(2)/$D$65+0.1)*(VLOOKUP(($F$16-$F$15)-1,AK$100:AO237,5,FALSE)))*EXP(-(LN(2)/$D$65+0.04)*AN237)*EXP(-(LN(2)/$D$65+0.1)*AO237),IF(AL237=3,AR$100*EXP(-(LN(2)/$D$65+0.04)*(VLOOKUP(($F$16-$F$15)-1,AK$100:AO237,4,FALSE)))*EXP(-(LN(2)/$D$65+0.1)*(VLOOKUP(($F$16-$F$15)-1,AK$100:AO237,5,FALSE)))*EXP(-(LN(2)/$D$65+0.04)*(VLOOKUP(($F$16-$F$15)*2-1,AK$100:AO237,4,FALSE)))*EXP(-(LN(2)/$D$65+0.1)*(VLOOKUP(($F$16-$F$15)*2-1,AK$100:AO237,5,FALSE)))*EXP(-(LN(2)/$D$65+0.04)*AN237)*EXP(-(LN(2)/$D$65+0.1)*AO237),"-"))),"-")</f>
        <v>-</v>
      </c>
      <c r="AS237" s="274">
        <f t="shared" si="191"/>
        <v>0</v>
      </c>
      <c r="AT237" s="274">
        <f t="shared" si="192"/>
        <v>0</v>
      </c>
      <c r="AU237" s="274">
        <f t="shared" si="193"/>
        <v>0</v>
      </c>
      <c r="AV237" s="190" t="str">
        <f>IF($B237&lt;$F$22,SUM($T$100:$T237),"")</f>
        <v/>
      </c>
      <c r="AW237" s="190" t="str">
        <f t="shared" si="194"/>
        <v>-</v>
      </c>
      <c r="AX237" s="190" t="str">
        <f t="shared" si="219"/>
        <v/>
      </c>
      <c r="AY237"/>
      <c r="AZ237" s="190" t="str">
        <f ca="1">IF(ISNUMBER(OFFSET(AV237,-$F$21,0)),SUM(OFFSET($T$100,$F$21,0):$T237),"")</f>
        <v/>
      </c>
      <c r="BA237" s="190" t="str">
        <f t="shared" ca="1" si="195"/>
        <v/>
      </c>
      <c r="BB237" s="190" t="str">
        <f t="shared" ca="1" si="148"/>
        <v/>
      </c>
      <c r="BC237" s="190"/>
      <c r="BD237" s="190" t="str">
        <f ca="1">IFERROR(IF(OR(ISNUMBER(I),ISNUMBER($F$14)),IF(AND($B237&gt;=($F$16-$F$15),$B237&lt;$F$22+($F$16-$F$15)),SUM(OFFSET($T$100,($F$16-$F$15),0):$T237),""),""),"")</f>
        <v/>
      </c>
      <c r="BE237" s="190" t="str">
        <f t="shared" ca="1" si="220"/>
        <v/>
      </c>
      <c r="BF237" s="190" t="str">
        <f t="shared" ca="1" si="221"/>
        <v/>
      </c>
      <c r="BG237"/>
      <c r="BH237" s="190" t="str">
        <f ca="1">IF(ISNUMBER(OFFSET(BD237,-$F$21,0)),SUM(OFFSET($T$100,($F$16-$F$15+$F$21),0):$T237),"")</f>
        <v/>
      </c>
      <c r="BI237" s="190" t="str">
        <f t="shared" ca="1" si="196"/>
        <v/>
      </c>
      <c r="BJ237" s="190" t="str">
        <f t="shared" ca="1" si="222"/>
        <v/>
      </c>
      <c r="BK237" s="190"/>
      <c r="BL237" s="190" t="str">
        <f ca="1">IFERROR(IF(OR(ISNUMBER(I),ISNUMBER($F$14)),IF(AND($B237&gt;=($F$17-$F$15),$B237&lt;$F$22+($F$17-$F$15)),SUM(OFFSET($T$100,($F$17-$F$15),0):$T237),""),""),"")</f>
        <v/>
      </c>
      <c r="BM237" s="190" t="str">
        <f t="shared" ca="1" si="197"/>
        <v/>
      </c>
      <c r="BN237" s="190" t="str">
        <f t="shared" ca="1" si="223"/>
        <v/>
      </c>
      <c r="BO237"/>
      <c r="BP237" s="190" t="str">
        <f ca="1">IF(ISNUMBER(OFFSET(BL237,-$F$21,0)),SUM(OFFSET($T$100,($F$17-$F$15+$F$21),0):$T237),"")</f>
        <v/>
      </c>
      <c r="BQ237" s="190" t="str">
        <f t="shared" ca="1" si="198"/>
        <v/>
      </c>
      <c r="BR237" s="190" t="str">
        <f t="shared" ca="1" si="224"/>
        <v/>
      </c>
      <c r="BS237" s="190"/>
      <c r="BT237"/>
      <c r="BU237"/>
      <c r="BV237"/>
      <c r="BY237" s="99"/>
      <c r="BZ237" s="99"/>
      <c r="CA237" s="280" t="str">
        <f t="shared" si="199"/>
        <v/>
      </c>
      <c r="CB237" s="71" t="str">
        <f t="shared" si="200"/>
        <v>-</v>
      </c>
      <c r="CC237" s="33"/>
      <c r="CD237" s="261" t="str">
        <f t="shared" si="201"/>
        <v/>
      </c>
      <c r="CE237" s="280" t="str">
        <f t="shared" si="202"/>
        <v/>
      </c>
      <c r="CF237" s="71" t="str">
        <f t="shared" ca="1" si="203"/>
        <v/>
      </c>
      <c r="CG237" s="33" t="str">
        <f t="shared" si="204"/>
        <v/>
      </c>
      <c r="CH237" s="261" t="str">
        <f t="shared" ca="1" si="205"/>
        <v/>
      </c>
    </row>
    <row r="238" spans="2:86" ht="13.5" customHeight="1" x14ac:dyDescent="0.2">
      <c r="B238" s="262">
        <v>138</v>
      </c>
      <c r="C238" s="237" t="str">
        <f t="shared" si="169"/>
        <v/>
      </c>
      <c r="D238" s="237" t="str">
        <f t="shared" si="225"/>
        <v/>
      </c>
      <c r="E238" s="263" t="str">
        <f t="shared" si="206"/>
        <v/>
      </c>
      <c r="F238" s="264" t="str">
        <f t="shared" si="207"/>
        <v/>
      </c>
      <c r="G238" s="264" t="str">
        <f t="shared" si="208"/>
        <v/>
      </c>
      <c r="H238" s="240" t="str">
        <f t="shared" si="170"/>
        <v/>
      </c>
      <c r="I238" s="265" t="str">
        <f t="shared" si="171"/>
        <v/>
      </c>
      <c r="J238" s="265" t="str">
        <f t="shared" si="172"/>
        <v/>
      </c>
      <c r="K238" s="240" t="str">
        <f t="shared" si="173"/>
        <v/>
      </c>
      <c r="L238" s="265" t="str">
        <f t="shared" si="174"/>
        <v/>
      </c>
      <c r="M238" s="265" t="str">
        <f t="shared" si="175"/>
        <v/>
      </c>
      <c r="N238" s="240" t="str">
        <f t="shared" si="176"/>
        <v>-</v>
      </c>
      <c r="O238" s="265" t="str">
        <f t="shared" si="177"/>
        <v>-</v>
      </c>
      <c r="P238" s="265" t="str">
        <f t="shared" si="178"/>
        <v>-</v>
      </c>
      <c r="Q238" s="266" t="str">
        <f t="shared" si="179"/>
        <v>-</v>
      </c>
      <c r="R238" s="267" t="str">
        <f t="shared" si="180"/>
        <v>-</v>
      </c>
      <c r="S238" s="268" t="str">
        <f t="shared" si="181"/>
        <v>-</v>
      </c>
      <c r="T238" s="269" t="str">
        <f t="shared" si="182"/>
        <v/>
      </c>
      <c r="U238" s="221">
        <f t="shared" si="183"/>
        <v>138</v>
      </c>
      <c r="V238" s="220" t="str">
        <f t="shared" si="209"/>
        <v>-</v>
      </c>
      <c r="W238" s="221" t="str">
        <f t="shared" si="210"/>
        <v>-</v>
      </c>
      <c r="X238" s="221" t="str">
        <f t="shared" si="184"/>
        <v>-</v>
      </c>
      <c r="Y238" s="221" t="str">
        <f t="shared" si="185"/>
        <v>-</v>
      </c>
      <c r="Z238" s="270">
        <f t="shared" si="211"/>
        <v>0.1</v>
      </c>
      <c r="AA238" s="271" t="str">
        <f>IFERROR(IF(V237=1,AA$100*EXP(-(LN(2)/$D$65+0.04)*X237)*EXP(-(LN(2)/$D$65+0.1)*Y237),IF(V237=2,AA$100*EXP(-(LN(2)/$D$65+0.04)*(VLOOKUP(($F$16-$F$15)-1,U$99:Y237,4,FALSE)))*EXP(-(LN(2)/$D$65+0.1)*(VLOOKUP(($F$16-$F$15)-1,U$99:Y237,5,FALSE)))*EXP(-(LN(2)/$D$65+0.04)*X237)*EXP(-(LN(2)/$D$65+0.1)*Y237),IF(V237=3,AA$100*EXP(-(LN(2)/$D$65+0.04)*(VLOOKUP(($F$16-$F$15)-1,U$99:Y237,4,FALSE)))*EXP(-(LN(2)/$D$65+0.1)*(VLOOKUP(($F$16-$F$15)-1,U$99:Y237,5,FALSE)))*EXP(-(LN(2)/$D$65+0.04)*(VLOOKUP(($F$16-$F$15)*2-1,U$99:Y237,4,FALSE)))*EXP(-(LN(2)/$D$65+0.1)*(VLOOKUP(($F$16-$F$15)*2-1,U$99:Y237,5,FALSE)))*EXP(-(LN(2)/$D$65+0.04)*X237)*EXP(-(LN(2)/$D$65+0.1)*Y237),"-"))),"-")</f>
        <v>-</v>
      </c>
      <c r="AB238" s="271" t="str">
        <f>IFERROR(IF(V238=1,AB$100*EXP(-(LN(2)/$D$65+0.04)*X238)*EXP(-(LN(2)/$D$65+0.1)*Y238),IF(V238=2,AB$100*EXP(-(LN(2)/$D$65+0.04)*(VLOOKUP(($F$16-$F$15)-1,U$100:Y238,4,FALSE)))*EXP(-(LN(2)/$D$65+0.1)*(VLOOKUP(($F$16-$F$15)-1,U$100:Y238,5,FALSE)))*EXP(-(LN(2)/$D$65+0.04)*X238)*EXP(-(LN(2)/$D$65+0.1)*Y238),IF(V238=3,AB$100*EXP(-(LN(2)/$D$65+0.04)*(VLOOKUP(($F$16-$F$15)-1,U$100:Y238,4,FALSE)))*EXP(-(LN(2)/$D$65+0.1)*(VLOOKUP(($F$16-$F$15)-1,U$100:Y238,5,FALSE)))*EXP(-(LN(2)/$D$65+0.04)*(VLOOKUP(($F$16-$F$15)*2-1,U$100:Y238,4,FALSE)))*EXP(-(LN(2)/$D$65+0.1)*(VLOOKUP(($F$16-$F$15)*2-1,U$100:Y238,5,FALSE)))*EXP(-(LN(2)/$D$65+0.04)*X238)*EXP(-(LN(2)/$D$65+0.1)*Y238),"-"))),"-")</f>
        <v>-</v>
      </c>
      <c r="AC238" s="224">
        <f t="shared" si="212"/>
        <v>138</v>
      </c>
      <c r="AD238" s="223" t="str">
        <f t="shared" si="186"/>
        <v>-</v>
      </c>
      <c r="AE238" s="224" t="str">
        <f t="shared" si="213"/>
        <v>-</v>
      </c>
      <c r="AF238" s="224" t="str">
        <f t="shared" si="187"/>
        <v>-</v>
      </c>
      <c r="AG238" s="224" t="str">
        <f t="shared" si="188"/>
        <v>-</v>
      </c>
      <c r="AH238" s="272">
        <f t="shared" si="214"/>
        <v>0.1</v>
      </c>
      <c r="AI238" s="271" t="str">
        <f>IFERROR(IF(AD237=1,AI$100*EXP(-(LN(2)/$D$65+0.04)*AF237)*EXP(-(LN(2)/$D$65+0.1)*AG237),IF(AD237=2,AI$100*EXP(-(LN(2)/$D$65+0.04)*(VLOOKUP(($F$16-$F$15)-1,AC$99:AG237,4,FALSE)))*EXP(-(LN(2)/$D$65+0.1)*(VLOOKUP(($F$16-$F$15)-1,AC$99:AG237,5,FALSE)))*EXP(-(LN(2)/$D$65+0.04)*AF237)*EXP(-(LN(2)/$D$65+0.1)*AG237),IF(AD237=3,AI$100*EXP(-(LN(2)/$D$65+0.04)*(VLOOKUP(($F$16-$F$15)-1,AC$99:AG237,4,FALSE)))*EXP(-(LN(2)/$D$65+0.1)*(VLOOKUP(($F$16-$F$15)-1,AC$99:AG237,5,FALSE)))*EXP(-(LN(2)/$D$65+0.04)*(VLOOKUP(($F$16-$F$15)*2-1,AC$99:AG237,4,FALSE)))*EXP(-(LN(2)/$D$65+0.1)*(VLOOKUP(($F$16-$F$15)*2-1,AC$99:AG237,5,FALSE)))*EXP(-(LN(2)/$D$65+0.04)*AF237)*EXP(-(LN(2)/$D$65+0.1)*AG237),"-"))),"-")</f>
        <v>-</v>
      </c>
      <c r="AJ238" s="271" t="str">
        <f>IFERROR(IF(AD238=1,AJ$100*EXP(-(LN(2)/$D$65+0.04)*AF238)*EXP(-(LN(2)/$D$65+0.1)*AG238),IF(AD238=2,AJ$100*EXP(-(LN(2)/$D$65+0.04)*(VLOOKUP(($F$16-$F$15)-1,AC$100:AG238,4,FALSE)))*EXP(-(LN(2)/$D$65+0.1)*(VLOOKUP(($F$16-$F$15)-1,AC$100:AG238,5,FALSE)))*EXP(-(LN(2)/$D$65+0.04)*AF238)*EXP(-(LN(2)/$D$65+0.1)*AG238),IF(AD238=3,AJ$100*EXP(-(LN(2)/$D$65+0.04)*(VLOOKUP(($F$16-$F$15)-1,AC$100:AG238,4,FALSE)))*EXP(-(LN(2)/$D$65+0.1)*(VLOOKUP(($F$16-$F$15)-1,AC$100:AG238,5,FALSE)))*EXP(-(LN(2)/$D$65+0.04)*(VLOOKUP(($F$16-$F$15)*2-1,AC$100:AG238,4,FALSE)))*EXP(-(LN(2)/$D$65+0.1)*(VLOOKUP(($F$16-$F$15)*2-1,AC$100:AG238,5,FALSE)))*EXP(-(LN(2)/$D$65+0.04)*AF238)*EXP(-(LN(2)/$D$65+0.1)*AG238),"-"))),"-")</f>
        <v>-</v>
      </c>
      <c r="AK238" s="227">
        <f t="shared" si="215"/>
        <v>138</v>
      </c>
      <c r="AL238" s="226" t="str">
        <f t="shared" si="189"/>
        <v>-</v>
      </c>
      <c r="AM238" s="227" t="str">
        <f t="shared" si="216"/>
        <v>-</v>
      </c>
      <c r="AN238" s="227" t="str">
        <f t="shared" si="217"/>
        <v>-</v>
      </c>
      <c r="AO238" s="227" t="str">
        <f t="shared" si="190"/>
        <v>-</v>
      </c>
      <c r="AP238" s="273">
        <f t="shared" si="218"/>
        <v>0.1</v>
      </c>
      <c r="AQ238" s="271" t="str">
        <f>IFERROR(IF(AL237=1,AQ$100*EXP(-(LN(2)/$D$65+0.04)*AN237)*EXP(-(LN(2)/$D$65+0.1)*AO237),IF(AL237=2,AQ$100*EXP(-(LN(2)/$D$65+0.04)*(VLOOKUP(($F$16-$F$15)-1,AK$99:AO237,4,FALSE)))*EXP(-(LN(2)/$D$65+0.1)*(VLOOKUP(($F$16-$F$15)-1,AK$99:AO237,5,FALSE)))*EXP(-(LN(2)/$D$65+0.04)*AN237)*EXP(-(LN(2)/$D$65+0.1)*AO237),IF(AL237=3,AQ$100*EXP(-(LN(2)/$D$65+0.04)*(VLOOKUP(($F$16-$F$15)-1,AK$99:AO237,4,FALSE)))*EXP(-(LN(2)/$D$65+0.1)*(VLOOKUP(($F$16-$F$15)-1,AK$99:AO237,5,FALSE)))*EXP(-(LN(2)/$D$65+0.04)*(VLOOKUP(($F$16-$F$15)*2-1,AK$99:AO237,4,FALSE)))*EXP(-(LN(2)/$D$65+0.1)*(VLOOKUP(($F$16-$F$15)*2-1,AK$99:AO237,5,FALSE)))*EXP(-(LN(2)/$D$65+0.04)*AN237)*EXP(-(LN(2)/$D$65+0.1)*AO237),"-"))),"-")</f>
        <v>-</v>
      </c>
      <c r="AR238" s="271" t="str">
        <f>IFERROR(IF(AL238=1,AR$100*EXP(-(LN(2)/$D$65+0.04)*AN238)*EXP(-(LN(2)/$D$65+0.1)*AO238),IF(AL238=2,AR$100*EXP(-(LN(2)/$D$65+0.04)*(VLOOKUP(($F$16-$F$15)-1,AK$100:AO238,4,FALSE)))*EXP(-(LN(2)/$D$65+0.1)*(VLOOKUP(($F$16-$F$15)-1,AK$100:AO238,5,FALSE)))*EXP(-(LN(2)/$D$65+0.04)*AN238)*EXP(-(LN(2)/$D$65+0.1)*AO238),IF(AL238=3,AR$100*EXP(-(LN(2)/$D$65+0.04)*(VLOOKUP(($F$16-$F$15)-1,AK$100:AO238,4,FALSE)))*EXP(-(LN(2)/$D$65+0.1)*(VLOOKUP(($F$16-$F$15)-1,AK$100:AO238,5,FALSE)))*EXP(-(LN(2)/$D$65+0.04)*(VLOOKUP(($F$16-$F$15)*2-1,AK$100:AO238,4,FALSE)))*EXP(-(LN(2)/$D$65+0.1)*(VLOOKUP(($F$16-$F$15)*2-1,AK$100:AO238,5,FALSE)))*EXP(-(LN(2)/$D$65+0.04)*AN238)*EXP(-(LN(2)/$D$65+0.1)*AO238),"-"))),"-")</f>
        <v>-</v>
      </c>
      <c r="AS238" s="274">
        <f t="shared" si="191"/>
        <v>0</v>
      </c>
      <c r="AT238" s="274">
        <f t="shared" si="192"/>
        <v>0</v>
      </c>
      <c r="AU238" s="274">
        <f t="shared" si="193"/>
        <v>0</v>
      </c>
      <c r="AV238" s="190" t="str">
        <f>IF($B238&lt;$F$22,SUM($T$100:$T238),"")</f>
        <v/>
      </c>
      <c r="AW238" s="190" t="str">
        <f t="shared" si="194"/>
        <v>-</v>
      </c>
      <c r="AX238" s="190" t="str">
        <f t="shared" si="219"/>
        <v/>
      </c>
      <c r="AY238"/>
      <c r="AZ238" s="190" t="str">
        <f ca="1">IF(ISNUMBER(OFFSET(AV238,-$F$21,0)),SUM(OFFSET($T$100,$F$21,0):$T238),"")</f>
        <v/>
      </c>
      <c r="BA238" s="190" t="str">
        <f t="shared" ca="1" si="195"/>
        <v/>
      </c>
      <c r="BB238" s="190" t="str">
        <f t="shared" ca="1" si="148"/>
        <v/>
      </c>
      <c r="BC238" s="190"/>
      <c r="BD238" s="190" t="str">
        <f ca="1">IFERROR(IF(OR(ISNUMBER(I),ISNUMBER($F$14)),IF(AND($B238&gt;=($F$16-$F$15),$B238&lt;$F$22+($F$16-$F$15)),SUM(OFFSET($T$100,($F$16-$F$15),0):$T238),""),""),"")</f>
        <v/>
      </c>
      <c r="BE238" s="190" t="str">
        <f t="shared" ca="1" si="220"/>
        <v/>
      </c>
      <c r="BF238" s="190" t="str">
        <f t="shared" ca="1" si="221"/>
        <v/>
      </c>
      <c r="BG238"/>
      <c r="BH238" s="190" t="str">
        <f ca="1">IF(ISNUMBER(OFFSET(BD238,-$F$21,0)),SUM(OFFSET($T$100,($F$16-$F$15+$F$21),0):$T238),"")</f>
        <v/>
      </c>
      <c r="BI238" s="190" t="str">
        <f t="shared" ca="1" si="196"/>
        <v/>
      </c>
      <c r="BJ238" s="190" t="str">
        <f t="shared" ca="1" si="222"/>
        <v/>
      </c>
      <c r="BK238" s="190"/>
      <c r="BL238" s="190" t="str">
        <f ca="1">IFERROR(IF(OR(ISNUMBER(I),ISNUMBER($F$14)),IF(AND($B238&gt;=($F$17-$F$15),$B238&lt;$F$22+($F$17-$F$15)),SUM(OFFSET($T$100,($F$17-$F$15),0):$T238),""),""),"")</f>
        <v/>
      </c>
      <c r="BM238" s="190" t="str">
        <f t="shared" ca="1" si="197"/>
        <v/>
      </c>
      <c r="BN238" s="190" t="str">
        <f t="shared" ca="1" si="223"/>
        <v/>
      </c>
      <c r="BO238"/>
      <c r="BP238" s="190" t="str">
        <f ca="1">IF(ISNUMBER(OFFSET(BL238,-$F$21,0)),SUM(OFFSET($T$100,($F$17-$F$15+$F$21),0):$T238),"")</f>
        <v/>
      </c>
      <c r="BQ238" s="190" t="str">
        <f t="shared" ca="1" si="198"/>
        <v/>
      </c>
      <c r="BR238" s="190" t="str">
        <f t="shared" ca="1" si="224"/>
        <v/>
      </c>
      <c r="BS238" s="190"/>
      <c r="BT238"/>
      <c r="BU238"/>
      <c r="BV238"/>
      <c r="BY238" s="99"/>
      <c r="BZ238" s="99"/>
      <c r="CA238" s="280" t="str">
        <f t="shared" si="199"/>
        <v/>
      </c>
      <c r="CB238" s="71" t="str">
        <f t="shared" si="200"/>
        <v>-</v>
      </c>
      <c r="CC238" s="33"/>
      <c r="CD238" s="261" t="str">
        <f t="shared" si="201"/>
        <v/>
      </c>
      <c r="CE238" s="280" t="str">
        <f t="shared" si="202"/>
        <v/>
      </c>
      <c r="CF238" s="71" t="str">
        <f t="shared" ca="1" si="203"/>
        <v/>
      </c>
      <c r="CG238" s="33" t="str">
        <f t="shared" si="204"/>
        <v/>
      </c>
      <c r="CH238" s="261" t="str">
        <f t="shared" ca="1" si="205"/>
        <v/>
      </c>
    </row>
    <row r="239" spans="2:86" ht="13.5" customHeight="1" x14ac:dyDescent="0.2">
      <c r="B239" s="262">
        <v>139</v>
      </c>
      <c r="C239" s="237" t="str">
        <f t="shared" si="169"/>
        <v/>
      </c>
      <c r="D239" s="237" t="str">
        <f t="shared" si="225"/>
        <v/>
      </c>
      <c r="E239" s="263" t="str">
        <f t="shared" si="206"/>
        <v/>
      </c>
      <c r="F239" s="264" t="str">
        <f t="shared" si="207"/>
        <v/>
      </c>
      <c r="G239" s="264" t="str">
        <f t="shared" si="208"/>
        <v/>
      </c>
      <c r="H239" s="240" t="str">
        <f t="shared" si="170"/>
        <v/>
      </c>
      <c r="I239" s="265" t="str">
        <f t="shared" si="171"/>
        <v/>
      </c>
      <c r="J239" s="265" t="str">
        <f t="shared" si="172"/>
        <v/>
      </c>
      <c r="K239" s="240" t="str">
        <f t="shared" si="173"/>
        <v/>
      </c>
      <c r="L239" s="265" t="str">
        <f t="shared" si="174"/>
        <v/>
      </c>
      <c r="M239" s="265" t="str">
        <f t="shared" si="175"/>
        <v/>
      </c>
      <c r="N239" s="240" t="str">
        <f t="shared" si="176"/>
        <v>-</v>
      </c>
      <c r="O239" s="265" t="str">
        <f t="shared" si="177"/>
        <v>-</v>
      </c>
      <c r="P239" s="265" t="str">
        <f t="shared" si="178"/>
        <v>-</v>
      </c>
      <c r="Q239" s="266" t="str">
        <f t="shared" si="179"/>
        <v>-</v>
      </c>
      <c r="R239" s="267" t="str">
        <f t="shared" si="180"/>
        <v>-</v>
      </c>
      <c r="S239" s="268" t="str">
        <f t="shared" si="181"/>
        <v>-</v>
      </c>
      <c r="T239" s="269" t="str">
        <f t="shared" si="182"/>
        <v/>
      </c>
      <c r="U239" s="221">
        <f t="shared" si="183"/>
        <v>139</v>
      </c>
      <c r="V239" s="220" t="str">
        <f t="shared" si="209"/>
        <v>-</v>
      </c>
      <c r="W239" s="221" t="str">
        <f t="shared" si="210"/>
        <v>-</v>
      </c>
      <c r="X239" s="221" t="str">
        <f t="shared" si="184"/>
        <v>-</v>
      </c>
      <c r="Y239" s="221" t="str">
        <f t="shared" si="185"/>
        <v>-</v>
      </c>
      <c r="Z239" s="270">
        <f t="shared" si="211"/>
        <v>0.1</v>
      </c>
      <c r="AA239" s="271" t="str">
        <f>IFERROR(IF(V238=1,AA$100*EXP(-(LN(2)/$D$65+0.04)*X238)*EXP(-(LN(2)/$D$65+0.1)*Y238),IF(V238=2,AA$100*EXP(-(LN(2)/$D$65+0.04)*(VLOOKUP(($F$16-$F$15)-1,U$99:Y238,4,FALSE)))*EXP(-(LN(2)/$D$65+0.1)*(VLOOKUP(($F$16-$F$15)-1,U$99:Y238,5,FALSE)))*EXP(-(LN(2)/$D$65+0.04)*X238)*EXP(-(LN(2)/$D$65+0.1)*Y238),IF(V238=3,AA$100*EXP(-(LN(2)/$D$65+0.04)*(VLOOKUP(($F$16-$F$15)-1,U$99:Y238,4,FALSE)))*EXP(-(LN(2)/$D$65+0.1)*(VLOOKUP(($F$16-$F$15)-1,U$99:Y238,5,FALSE)))*EXP(-(LN(2)/$D$65+0.04)*(VLOOKUP(($F$16-$F$15)*2-1,U$99:Y238,4,FALSE)))*EXP(-(LN(2)/$D$65+0.1)*(VLOOKUP(($F$16-$F$15)*2-1,U$99:Y238,5,FALSE)))*EXP(-(LN(2)/$D$65+0.04)*X238)*EXP(-(LN(2)/$D$65+0.1)*Y238),"-"))),"-")</f>
        <v>-</v>
      </c>
      <c r="AB239" s="271" t="str">
        <f>IFERROR(IF(V239=1,AB$100*EXP(-(LN(2)/$D$65+0.04)*X239)*EXP(-(LN(2)/$D$65+0.1)*Y239),IF(V239=2,AB$100*EXP(-(LN(2)/$D$65+0.04)*(VLOOKUP(($F$16-$F$15)-1,U$100:Y239,4,FALSE)))*EXP(-(LN(2)/$D$65+0.1)*(VLOOKUP(($F$16-$F$15)-1,U$100:Y239,5,FALSE)))*EXP(-(LN(2)/$D$65+0.04)*X239)*EXP(-(LN(2)/$D$65+0.1)*Y239),IF(V239=3,AB$100*EXP(-(LN(2)/$D$65+0.04)*(VLOOKUP(($F$16-$F$15)-1,U$100:Y239,4,FALSE)))*EXP(-(LN(2)/$D$65+0.1)*(VLOOKUP(($F$16-$F$15)-1,U$100:Y239,5,FALSE)))*EXP(-(LN(2)/$D$65+0.04)*(VLOOKUP(($F$16-$F$15)*2-1,U$100:Y239,4,FALSE)))*EXP(-(LN(2)/$D$65+0.1)*(VLOOKUP(($F$16-$F$15)*2-1,U$100:Y239,5,FALSE)))*EXP(-(LN(2)/$D$65+0.04)*X239)*EXP(-(LN(2)/$D$65+0.1)*Y239),"-"))),"-")</f>
        <v>-</v>
      </c>
      <c r="AC239" s="224">
        <f t="shared" si="212"/>
        <v>139</v>
      </c>
      <c r="AD239" s="223" t="str">
        <f t="shared" si="186"/>
        <v>-</v>
      </c>
      <c r="AE239" s="224" t="str">
        <f t="shared" si="213"/>
        <v>-</v>
      </c>
      <c r="AF239" s="224" t="str">
        <f t="shared" si="187"/>
        <v>-</v>
      </c>
      <c r="AG239" s="224" t="str">
        <f t="shared" si="188"/>
        <v>-</v>
      </c>
      <c r="AH239" s="272">
        <f t="shared" si="214"/>
        <v>0.1</v>
      </c>
      <c r="AI239" s="271" t="str">
        <f>IFERROR(IF(AD238=1,AI$100*EXP(-(LN(2)/$D$65+0.04)*AF238)*EXP(-(LN(2)/$D$65+0.1)*AG238),IF(AD238=2,AI$100*EXP(-(LN(2)/$D$65+0.04)*(VLOOKUP(($F$16-$F$15)-1,AC$99:AG238,4,FALSE)))*EXP(-(LN(2)/$D$65+0.1)*(VLOOKUP(($F$16-$F$15)-1,AC$99:AG238,5,FALSE)))*EXP(-(LN(2)/$D$65+0.04)*AF238)*EXP(-(LN(2)/$D$65+0.1)*AG238),IF(AD238=3,AI$100*EXP(-(LN(2)/$D$65+0.04)*(VLOOKUP(($F$16-$F$15)-1,AC$99:AG238,4,FALSE)))*EXP(-(LN(2)/$D$65+0.1)*(VLOOKUP(($F$16-$F$15)-1,AC$99:AG238,5,FALSE)))*EXP(-(LN(2)/$D$65+0.04)*(VLOOKUP(($F$16-$F$15)*2-1,AC$99:AG238,4,FALSE)))*EXP(-(LN(2)/$D$65+0.1)*(VLOOKUP(($F$16-$F$15)*2-1,AC$99:AG238,5,FALSE)))*EXP(-(LN(2)/$D$65+0.04)*AF238)*EXP(-(LN(2)/$D$65+0.1)*AG238),"-"))),"-")</f>
        <v>-</v>
      </c>
      <c r="AJ239" s="271" t="str">
        <f>IFERROR(IF(AD239=1,AJ$100*EXP(-(LN(2)/$D$65+0.04)*AF239)*EXP(-(LN(2)/$D$65+0.1)*AG239),IF(AD239=2,AJ$100*EXP(-(LN(2)/$D$65+0.04)*(VLOOKUP(($F$16-$F$15)-1,AC$100:AG239,4,FALSE)))*EXP(-(LN(2)/$D$65+0.1)*(VLOOKUP(($F$16-$F$15)-1,AC$100:AG239,5,FALSE)))*EXP(-(LN(2)/$D$65+0.04)*AF239)*EXP(-(LN(2)/$D$65+0.1)*AG239),IF(AD239=3,AJ$100*EXP(-(LN(2)/$D$65+0.04)*(VLOOKUP(($F$16-$F$15)-1,AC$100:AG239,4,FALSE)))*EXP(-(LN(2)/$D$65+0.1)*(VLOOKUP(($F$16-$F$15)-1,AC$100:AG239,5,FALSE)))*EXP(-(LN(2)/$D$65+0.04)*(VLOOKUP(($F$16-$F$15)*2-1,AC$100:AG239,4,FALSE)))*EXP(-(LN(2)/$D$65+0.1)*(VLOOKUP(($F$16-$F$15)*2-1,AC$100:AG239,5,FALSE)))*EXP(-(LN(2)/$D$65+0.04)*AF239)*EXP(-(LN(2)/$D$65+0.1)*AG239),"-"))),"-")</f>
        <v>-</v>
      </c>
      <c r="AK239" s="227">
        <f t="shared" si="215"/>
        <v>139</v>
      </c>
      <c r="AL239" s="226" t="str">
        <f t="shared" si="189"/>
        <v>-</v>
      </c>
      <c r="AM239" s="227" t="str">
        <f t="shared" si="216"/>
        <v>-</v>
      </c>
      <c r="AN239" s="227" t="str">
        <f t="shared" si="217"/>
        <v>-</v>
      </c>
      <c r="AO239" s="227" t="str">
        <f t="shared" si="190"/>
        <v>-</v>
      </c>
      <c r="AP239" s="273">
        <f t="shared" si="218"/>
        <v>0.1</v>
      </c>
      <c r="AQ239" s="271" t="str">
        <f>IFERROR(IF(AL238=1,AQ$100*EXP(-(LN(2)/$D$65+0.04)*AN238)*EXP(-(LN(2)/$D$65+0.1)*AO238),IF(AL238=2,AQ$100*EXP(-(LN(2)/$D$65+0.04)*(VLOOKUP(($F$16-$F$15)-1,AK$99:AO238,4,FALSE)))*EXP(-(LN(2)/$D$65+0.1)*(VLOOKUP(($F$16-$F$15)-1,AK$99:AO238,5,FALSE)))*EXP(-(LN(2)/$D$65+0.04)*AN238)*EXP(-(LN(2)/$D$65+0.1)*AO238),IF(AL238=3,AQ$100*EXP(-(LN(2)/$D$65+0.04)*(VLOOKUP(($F$16-$F$15)-1,AK$99:AO238,4,FALSE)))*EXP(-(LN(2)/$D$65+0.1)*(VLOOKUP(($F$16-$F$15)-1,AK$99:AO238,5,FALSE)))*EXP(-(LN(2)/$D$65+0.04)*(VLOOKUP(($F$16-$F$15)*2-1,AK$99:AO238,4,FALSE)))*EXP(-(LN(2)/$D$65+0.1)*(VLOOKUP(($F$16-$F$15)*2-1,AK$99:AO238,5,FALSE)))*EXP(-(LN(2)/$D$65+0.04)*AN238)*EXP(-(LN(2)/$D$65+0.1)*AO238),"-"))),"-")</f>
        <v>-</v>
      </c>
      <c r="AR239" s="271" t="str">
        <f>IFERROR(IF(AL239=1,AR$100*EXP(-(LN(2)/$D$65+0.04)*AN239)*EXP(-(LN(2)/$D$65+0.1)*AO239),IF(AL239=2,AR$100*EXP(-(LN(2)/$D$65+0.04)*(VLOOKUP(($F$16-$F$15)-1,AK$100:AO239,4,FALSE)))*EXP(-(LN(2)/$D$65+0.1)*(VLOOKUP(($F$16-$F$15)-1,AK$100:AO239,5,FALSE)))*EXP(-(LN(2)/$D$65+0.04)*AN239)*EXP(-(LN(2)/$D$65+0.1)*AO239),IF(AL239=3,AR$100*EXP(-(LN(2)/$D$65+0.04)*(VLOOKUP(($F$16-$F$15)-1,AK$100:AO239,4,FALSE)))*EXP(-(LN(2)/$D$65+0.1)*(VLOOKUP(($F$16-$F$15)-1,AK$100:AO239,5,FALSE)))*EXP(-(LN(2)/$D$65+0.04)*(VLOOKUP(($F$16-$F$15)*2-1,AK$100:AO239,4,FALSE)))*EXP(-(LN(2)/$D$65+0.1)*(VLOOKUP(($F$16-$F$15)*2-1,AK$100:AO239,5,FALSE)))*EXP(-(LN(2)/$D$65+0.04)*AN239)*EXP(-(LN(2)/$D$65+0.1)*AO239),"-"))),"-")</f>
        <v>-</v>
      </c>
      <c r="AS239" s="274">
        <f t="shared" si="191"/>
        <v>0</v>
      </c>
      <c r="AT239" s="274">
        <f t="shared" si="192"/>
        <v>0</v>
      </c>
      <c r="AU239" s="274">
        <f t="shared" si="193"/>
        <v>0</v>
      </c>
      <c r="AV239" s="190" t="str">
        <f>IF($B239&lt;$F$22,SUM($T$100:$T239),"")</f>
        <v/>
      </c>
      <c r="AW239" s="190" t="str">
        <f t="shared" si="194"/>
        <v>-</v>
      </c>
      <c r="AX239" s="190" t="str">
        <f t="shared" si="219"/>
        <v/>
      </c>
      <c r="AY239"/>
      <c r="AZ239" s="190" t="str">
        <f ca="1">IF(ISNUMBER(OFFSET(AV239,-$F$21,0)),SUM(OFFSET($T$100,$F$21,0):$T239),"")</f>
        <v/>
      </c>
      <c r="BA239" s="190" t="str">
        <f t="shared" ca="1" si="195"/>
        <v/>
      </c>
      <c r="BB239" s="190" t="str">
        <f t="shared" ca="1" si="148"/>
        <v/>
      </c>
      <c r="BC239" s="190"/>
      <c r="BD239" s="190" t="str">
        <f ca="1">IFERROR(IF(OR(ISNUMBER(I),ISNUMBER($F$14)),IF(AND($B239&gt;=($F$16-$F$15),$B239&lt;$F$22+($F$16-$F$15)),SUM(OFFSET($T$100,($F$16-$F$15),0):$T239),""),""),"")</f>
        <v/>
      </c>
      <c r="BE239" s="190" t="str">
        <f t="shared" ca="1" si="220"/>
        <v/>
      </c>
      <c r="BF239" s="190" t="str">
        <f t="shared" ca="1" si="221"/>
        <v/>
      </c>
      <c r="BG239"/>
      <c r="BH239" s="190" t="str">
        <f ca="1">IF(ISNUMBER(OFFSET(BD239,-$F$21,0)),SUM(OFFSET($T$100,($F$16-$F$15+$F$21),0):$T239),"")</f>
        <v/>
      </c>
      <c r="BI239" s="190" t="str">
        <f t="shared" ca="1" si="196"/>
        <v/>
      </c>
      <c r="BJ239" s="190" t="str">
        <f t="shared" ca="1" si="222"/>
        <v/>
      </c>
      <c r="BK239" s="190"/>
      <c r="BL239" s="190" t="str">
        <f ca="1">IFERROR(IF(OR(ISNUMBER(I),ISNUMBER($F$14)),IF(AND($B239&gt;=($F$17-$F$15),$B239&lt;$F$22+($F$17-$F$15)),SUM(OFFSET($T$100,($F$17-$F$15),0):$T239),""),""),"")</f>
        <v/>
      </c>
      <c r="BM239" s="190" t="str">
        <f t="shared" ca="1" si="197"/>
        <v/>
      </c>
      <c r="BN239" s="190" t="str">
        <f t="shared" ca="1" si="223"/>
        <v/>
      </c>
      <c r="BO239"/>
      <c r="BP239" s="190" t="str">
        <f ca="1">IF(ISNUMBER(OFFSET(BL239,-$F$21,0)),SUM(OFFSET($T$100,($F$17-$F$15+$F$21),0):$T239),"")</f>
        <v/>
      </c>
      <c r="BQ239" s="190" t="str">
        <f t="shared" ca="1" si="198"/>
        <v/>
      </c>
      <c r="BR239" s="190" t="str">
        <f t="shared" ca="1" si="224"/>
        <v/>
      </c>
      <c r="BS239" s="190"/>
      <c r="BT239"/>
      <c r="BU239"/>
      <c r="BV239"/>
      <c r="BY239" s="99"/>
      <c r="BZ239" s="99"/>
      <c r="CA239" s="280" t="str">
        <f t="shared" si="199"/>
        <v/>
      </c>
      <c r="CB239" s="71" t="str">
        <f t="shared" si="200"/>
        <v>-</v>
      </c>
      <c r="CC239" s="33"/>
      <c r="CD239" s="261" t="str">
        <f t="shared" si="201"/>
        <v/>
      </c>
      <c r="CE239" s="280" t="str">
        <f t="shared" si="202"/>
        <v/>
      </c>
      <c r="CF239" s="71" t="str">
        <f t="shared" ca="1" si="203"/>
        <v/>
      </c>
      <c r="CG239" s="33" t="str">
        <f t="shared" si="204"/>
        <v/>
      </c>
      <c r="CH239" s="261" t="str">
        <f t="shared" ca="1" si="205"/>
        <v/>
      </c>
    </row>
    <row r="240" spans="2:86" ht="13.5" customHeight="1" x14ac:dyDescent="0.2">
      <c r="B240" s="262">
        <v>140</v>
      </c>
      <c r="C240" s="237" t="str">
        <f t="shared" si="169"/>
        <v/>
      </c>
      <c r="D240" s="237" t="str">
        <f t="shared" si="225"/>
        <v/>
      </c>
      <c r="E240" s="263" t="str">
        <f t="shared" si="206"/>
        <v/>
      </c>
      <c r="F240" s="264" t="str">
        <f t="shared" si="207"/>
        <v/>
      </c>
      <c r="G240" s="264" t="str">
        <f t="shared" si="208"/>
        <v/>
      </c>
      <c r="H240" s="240" t="str">
        <f t="shared" si="170"/>
        <v/>
      </c>
      <c r="I240" s="265" t="str">
        <f t="shared" si="171"/>
        <v/>
      </c>
      <c r="J240" s="265" t="str">
        <f t="shared" si="172"/>
        <v/>
      </c>
      <c r="K240" s="240" t="str">
        <f t="shared" si="173"/>
        <v/>
      </c>
      <c r="L240" s="265" t="str">
        <f t="shared" si="174"/>
        <v/>
      </c>
      <c r="M240" s="265" t="str">
        <f t="shared" si="175"/>
        <v/>
      </c>
      <c r="N240" s="240" t="str">
        <f t="shared" si="176"/>
        <v>-</v>
      </c>
      <c r="O240" s="265" t="str">
        <f t="shared" si="177"/>
        <v>-</v>
      </c>
      <c r="P240" s="265" t="str">
        <f t="shared" si="178"/>
        <v>-</v>
      </c>
      <c r="Q240" s="266" t="str">
        <f t="shared" si="179"/>
        <v>-</v>
      </c>
      <c r="R240" s="267" t="str">
        <f t="shared" si="180"/>
        <v>-</v>
      </c>
      <c r="S240" s="268" t="str">
        <f t="shared" si="181"/>
        <v>-</v>
      </c>
      <c r="T240" s="269" t="str">
        <f t="shared" si="182"/>
        <v/>
      </c>
      <c r="U240" s="221">
        <f t="shared" si="183"/>
        <v>140</v>
      </c>
      <c r="V240" s="220" t="str">
        <f t="shared" si="209"/>
        <v>-</v>
      </c>
      <c r="W240" s="221" t="str">
        <f t="shared" si="210"/>
        <v>-</v>
      </c>
      <c r="X240" s="221" t="str">
        <f t="shared" si="184"/>
        <v>-</v>
      </c>
      <c r="Y240" s="221" t="str">
        <f t="shared" si="185"/>
        <v>-</v>
      </c>
      <c r="Z240" s="270">
        <f t="shared" si="211"/>
        <v>0.1</v>
      </c>
      <c r="AA240" s="271" t="str">
        <f>IFERROR(IF(V239=1,AA$100*EXP(-(LN(2)/$D$65+0.04)*X239)*EXP(-(LN(2)/$D$65+0.1)*Y239),IF(V239=2,AA$100*EXP(-(LN(2)/$D$65+0.04)*(VLOOKUP(($F$16-$F$15)-1,U$99:Y239,4,FALSE)))*EXP(-(LN(2)/$D$65+0.1)*(VLOOKUP(($F$16-$F$15)-1,U$99:Y239,5,FALSE)))*EXP(-(LN(2)/$D$65+0.04)*X239)*EXP(-(LN(2)/$D$65+0.1)*Y239),IF(V239=3,AA$100*EXP(-(LN(2)/$D$65+0.04)*(VLOOKUP(($F$16-$F$15)-1,U$99:Y239,4,FALSE)))*EXP(-(LN(2)/$D$65+0.1)*(VLOOKUP(($F$16-$F$15)-1,U$99:Y239,5,FALSE)))*EXP(-(LN(2)/$D$65+0.04)*(VLOOKUP(($F$16-$F$15)*2-1,U$99:Y239,4,FALSE)))*EXP(-(LN(2)/$D$65+0.1)*(VLOOKUP(($F$16-$F$15)*2-1,U$99:Y239,5,FALSE)))*EXP(-(LN(2)/$D$65+0.04)*X239)*EXP(-(LN(2)/$D$65+0.1)*Y239),"-"))),"-")</f>
        <v>-</v>
      </c>
      <c r="AB240" s="271" t="str">
        <f>IFERROR(IF(V240=1,AB$100*EXP(-(LN(2)/$D$65+0.04)*X240)*EXP(-(LN(2)/$D$65+0.1)*Y240),IF(V240=2,AB$100*EXP(-(LN(2)/$D$65+0.04)*(VLOOKUP(($F$16-$F$15)-1,U$100:Y240,4,FALSE)))*EXP(-(LN(2)/$D$65+0.1)*(VLOOKUP(($F$16-$F$15)-1,U$100:Y240,5,FALSE)))*EXP(-(LN(2)/$D$65+0.04)*X240)*EXP(-(LN(2)/$D$65+0.1)*Y240),IF(V240=3,AB$100*EXP(-(LN(2)/$D$65+0.04)*(VLOOKUP(($F$16-$F$15)-1,U$100:Y240,4,FALSE)))*EXP(-(LN(2)/$D$65+0.1)*(VLOOKUP(($F$16-$F$15)-1,U$100:Y240,5,FALSE)))*EXP(-(LN(2)/$D$65+0.04)*(VLOOKUP(($F$16-$F$15)*2-1,U$100:Y240,4,FALSE)))*EXP(-(LN(2)/$D$65+0.1)*(VLOOKUP(($F$16-$F$15)*2-1,U$100:Y240,5,FALSE)))*EXP(-(LN(2)/$D$65+0.04)*X240)*EXP(-(LN(2)/$D$65+0.1)*Y240),"-"))),"-")</f>
        <v>-</v>
      </c>
      <c r="AC240" s="224">
        <f t="shared" si="212"/>
        <v>140</v>
      </c>
      <c r="AD240" s="223" t="str">
        <f t="shared" si="186"/>
        <v>-</v>
      </c>
      <c r="AE240" s="224" t="str">
        <f t="shared" si="213"/>
        <v>-</v>
      </c>
      <c r="AF240" s="224" t="str">
        <f t="shared" si="187"/>
        <v>-</v>
      </c>
      <c r="AG240" s="224" t="str">
        <f t="shared" si="188"/>
        <v>-</v>
      </c>
      <c r="AH240" s="272">
        <f t="shared" si="214"/>
        <v>0.1</v>
      </c>
      <c r="AI240" s="271" t="str">
        <f>IFERROR(IF(AD239=1,AI$100*EXP(-(LN(2)/$D$65+0.04)*AF239)*EXP(-(LN(2)/$D$65+0.1)*AG239),IF(AD239=2,AI$100*EXP(-(LN(2)/$D$65+0.04)*(VLOOKUP(($F$16-$F$15)-1,AC$99:AG239,4,FALSE)))*EXP(-(LN(2)/$D$65+0.1)*(VLOOKUP(($F$16-$F$15)-1,AC$99:AG239,5,FALSE)))*EXP(-(LN(2)/$D$65+0.04)*AF239)*EXP(-(LN(2)/$D$65+0.1)*AG239),IF(AD239=3,AI$100*EXP(-(LN(2)/$D$65+0.04)*(VLOOKUP(($F$16-$F$15)-1,AC$99:AG239,4,FALSE)))*EXP(-(LN(2)/$D$65+0.1)*(VLOOKUP(($F$16-$F$15)-1,AC$99:AG239,5,FALSE)))*EXP(-(LN(2)/$D$65+0.04)*(VLOOKUP(($F$16-$F$15)*2-1,AC$99:AG239,4,FALSE)))*EXP(-(LN(2)/$D$65+0.1)*(VLOOKUP(($F$16-$F$15)*2-1,AC$99:AG239,5,FALSE)))*EXP(-(LN(2)/$D$65+0.04)*AF239)*EXP(-(LN(2)/$D$65+0.1)*AG239),"-"))),"-")</f>
        <v>-</v>
      </c>
      <c r="AJ240" s="271" t="str">
        <f>IFERROR(IF(AD240=1,AJ$100*EXP(-(LN(2)/$D$65+0.04)*AF240)*EXP(-(LN(2)/$D$65+0.1)*AG240),IF(AD240=2,AJ$100*EXP(-(LN(2)/$D$65+0.04)*(VLOOKUP(($F$16-$F$15)-1,AC$100:AG240,4,FALSE)))*EXP(-(LN(2)/$D$65+0.1)*(VLOOKUP(($F$16-$F$15)-1,AC$100:AG240,5,FALSE)))*EXP(-(LN(2)/$D$65+0.04)*AF240)*EXP(-(LN(2)/$D$65+0.1)*AG240),IF(AD240=3,AJ$100*EXP(-(LN(2)/$D$65+0.04)*(VLOOKUP(($F$16-$F$15)-1,AC$100:AG240,4,FALSE)))*EXP(-(LN(2)/$D$65+0.1)*(VLOOKUP(($F$16-$F$15)-1,AC$100:AG240,5,FALSE)))*EXP(-(LN(2)/$D$65+0.04)*(VLOOKUP(($F$16-$F$15)*2-1,AC$100:AG240,4,FALSE)))*EXP(-(LN(2)/$D$65+0.1)*(VLOOKUP(($F$16-$F$15)*2-1,AC$100:AG240,5,FALSE)))*EXP(-(LN(2)/$D$65+0.04)*AF240)*EXP(-(LN(2)/$D$65+0.1)*AG240),"-"))),"-")</f>
        <v>-</v>
      </c>
      <c r="AK240" s="227">
        <f t="shared" si="215"/>
        <v>140</v>
      </c>
      <c r="AL240" s="226" t="str">
        <f t="shared" si="189"/>
        <v>-</v>
      </c>
      <c r="AM240" s="227" t="str">
        <f t="shared" si="216"/>
        <v>-</v>
      </c>
      <c r="AN240" s="227" t="str">
        <f t="shared" si="217"/>
        <v>-</v>
      </c>
      <c r="AO240" s="227" t="str">
        <f t="shared" si="190"/>
        <v>-</v>
      </c>
      <c r="AP240" s="273">
        <f t="shared" si="218"/>
        <v>0.1</v>
      </c>
      <c r="AQ240" s="271" t="str">
        <f>IFERROR(IF(AL239=1,AQ$100*EXP(-(LN(2)/$D$65+0.04)*AN239)*EXP(-(LN(2)/$D$65+0.1)*AO239),IF(AL239=2,AQ$100*EXP(-(LN(2)/$D$65+0.04)*(VLOOKUP(($F$16-$F$15)-1,AK$99:AO239,4,FALSE)))*EXP(-(LN(2)/$D$65+0.1)*(VLOOKUP(($F$16-$F$15)-1,AK$99:AO239,5,FALSE)))*EXP(-(LN(2)/$D$65+0.04)*AN239)*EXP(-(LN(2)/$D$65+0.1)*AO239),IF(AL239=3,AQ$100*EXP(-(LN(2)/$D$65+0.04)*(VLOOKUP(($F$16-$F$15)-1,AK$99:AO239,4,FALSE)))*EXP(-(LN(2)/$D$65+0.1)*(VLOOKUP(($F$16-$F$15)-1,AK$99:AO239,5,FALSE)))*EXP(-(LN(2)/$D$65+0.04)*(VLOOKUP(($F$16-$F$15)*2-1,AK$99:AO239,4,FALSE)))*EXP(-(LN(2)/$D$65+0.1)*(VLOOKUP(($F$16-$F$15)*2-1,AK$99:AO239,5,FALSE)))*EXP(-(LN(2)/$D$65+0.04)*AN239)*EXP(-(LN(2)/$D$65+0.1)*AO239),"-"))),"-")</f>
        <v>-</v>
      </c>
      <c r="AR240" s="271" t="str">
        <f>IFERROR(IF(AL240=1,AR$100*EXP(-(LN(2)/$D$65+0.04)*AN240)*EXP(-(LN(2)/$D$65+0.1)*AO240),IF(AL240=2,AR$100*EXP(-(LN(2)/$D$65+0.04)*(VLOOKUP(($F$16-$F$15)-1,AK$100:AO240,4,FALSE)))*EXP(-(LN(2)/$D$65+0.1)*(VLOOKUP(($F$16-$F$15)-1,AK$100:AO240,5,FALSE)))*EXP(-(LN(2)/$D$65+0.04)*AN240)*EXP(-(LN(2)/$D$65+0.1)*AO240),IF(AL240=3,AR$100*EXP(-(LN(2)/$D$65+0.04)*(VLOOKUP(($F$16-$F$15)-1,AK$100:AO240,4,FALSE)))*EXP(-(LN(2)/$D$65+0.1)*(VLOOKUP(($F$16-$F$15)-1,AK$100:AO240,5,FALSE)))*EXP(-(LN(2)/$D$65+0.04)*(VLOOKUP(($F$16-$F$15)*2-1,AK$100:AO240,4,FALSE)))*EXP(-(LN(2)/$D$65+0.1)*(VLOOKUP(($F$16-$F$15)*2-1,AK$100:AO240,5,FALSE)))*EXP(-(LN(2)/$D$65+0.04)*AN240)*EXP(-(LN(2)/$D$65+0.1)*AO240),"-"))),"-")</f>
        <v>-</v>
      </c>
      <c r="AS240" s="274">
        <f t="shared" si="191"/>
        <v>0</v>
      </c>
      <c r="AT240" s="274">
        <f t="shared" si="192"/>
        <v>0</v>
      </c>
      <c r="AU240" s="274">
        <f t="shared" si="193"/>
        <v>0</v>
      </c>
      <c r="AV240" s="190" t="str">
        <f>IF($B240&lt;$F$22,SUM($T$100:$T240),"")</f>
        <v/>
      </c>
      <c r="AW240" s="190" t="str">
        <f t="shared" si="194"/>
        <v>-</v>
      </c>
      <c r="AX240" s="190" t="str">
        <f t="shared" si="219"/>
        <v/>
      </c>
      <c r="AY240"/>
      <c r="AZ240" s="190" t="str">
        <f ca="1">IF(ISNUMBER(OFFSET(AV240,-$F$21,0)),SUM(OFFSET($T$100,$F$21,0):$T240),"")</f>
        <v/>
      </c>
      <c r="BA240" s="190" t="str">
        <f t="shared" ca="1" si="195"/>
        <v/>
      </c>
      <c r="BB240" s="190" t="str">
        <f t="shared" ca="1" si="148"/>
        <v/>
      </c>
      <c r="BC240" s="190"/>
      <c r="BD240" s="190" t="str">
        <f ca="1">IFERROR(IF(OR(ISNUMBER(I),ISNUMBER($F$14)),IF(AND($B240&gt;=($F$16-$F$15),$B240&lt;$F$22+($F$16-$F$15)),SUM(OFFSET($T$100,($F$16-$F$15),0):$T240),""),""),"")</f>
        <v/>
      </c>
      <c r="BE240" s="190" t="str">
        <f t="shared" ca="1" si="220"/>
        <v/>
      </c>
      <c r="BF240" s="190" t="str">
        <f t="shared" ca="1" si="221"/>
        <v/>
      </c>
      <c r="BG240"/>
      <c r="BH240" s="190" t="str">
        <f ca="1">IF(ISNUMBER(OFFSET(BD240,-$F$21,0)),SUM(OFFSET($T$100,($F$16-$F$15+$F$21),0):$T240),"")</f>
        <v/>
      </c>
      <c r="BI240" s="190" t="str">
        <f t="shared" ca="1" si="196"/>
        <v/>
      </c>
      <c r="BJ240" s="190" t="str">
        <f t="shared" ca="1" si="222"/>
        <v/>
      </c>
      <c r="BK240" s="190"/>
      <c r="BL240" s="190" t="str">
        <f ca="1">IFERROR(IF(OR(ISNUMBER(I),ISNUMBER($F$14)),IF(AND($B240&gt;=($F$17-$F$15),$B240&lt;$F$22+($F$17-$F$15)),SUM(OFFSET($T$100,($F$17-$F$15),0):$T240),""),""),"")</f>
        <v/>
      </c>
      <c r="BM240" s="190" t="str">
        <f t="shared" ca="1" si="197"/>
        <v/>
      </c>
      <c r="BN240" s="190" t="str">
        <f t="shared" ca="1" si="223"/>
        <v/>
      </c>
      <c r="BO240"/>
      <c r="BP240" s="190" t="str">
        <f ca="1">IF(ISNUMBER(OFFSET(BL240,-$F$21,0)),SUM(OFFSET($T$100,($F$17-$F$15+$F$21),0):$T240),"")</f>
        <v/>
      </c>
      <c r="BQ240" s="190" t="str">
        <f t="shared" ca="1" si="198"/>
        <v/>
      </c>
      <c r="BR240" s="190" t="str">
        <f t="shared" ca="1" si="224"/>
        <v/>
      </c>
      <c r="BS240" s="190"/>
      <c r="BT240"/>
      <c r="BU240"/>
      <c r="BV240"/>
      <c r="BY240" s="99"/>
      <c r="BZ240" s="99"/>
      <c r="CA240" s="280" t="str">
        <f t="shared" si="199"/>
        <v/>
      </c>
      <c r="CB240" s="71" t="str">
        <f t="shared" si="200"/>
        <v>-</v>
      </c>
      <c r="CC240" s="33"/>
      <c r="CD240" s="261" t="str">
        <f t="shared" si="201"/>
        <v/>
      </c>
      <c r="CE240" s="280" t="str">
        <f t="shared" si="202"/>
        <v/>
      </c>
      <c r="CF240" s="71" t="str">
        <f t="shared" ca="1" si="203"/>
        <v/>
      </c>
      <c r="CG240" s="33" t="str">
        <f t="shared" si="204"/>
        <v/>
      </c>
      <c r="CH240" s="261" t="str">
        <f t="shared" ca="1" si="205"/>
        <v/>
      </c>
    </row>
    <row r="241" spans="2:86" ht="13.5" customHeight="1" x14ac:dyDescent="0.2">
      <c r="B241" s="262">
        <v>141</v>
      </c>
      <c r="C241" s="237" t="str">
        <f t="shared" si="169"/>
        <v/>
      </c>
      <c r="D241" s="237" t="str">
        <f t="shared" si="225"/>
        <v/>
      </c>
      <c r="E241" s="263" t="str">
        <f t="shared" si="206"/>
        <v/>
      </c>
      <c r="F241" s="264" t="str">
        <f t="shared" si="207"/>
        <v/>
      </c>
      <c r="G241" s="264" t="str">
        <f t="shared" si="208"/>
        <v/>
      </c>
      <c r="H241" s="240" t="str">
        <f t="shared" si="170"/>
        <v/>
      </c>
      <c r="I241" s="265" t="str">
        <f t="shared" si="171"/>
        <v/>
      </c>
      <c r="J241" s="265" t="str">
        <f t="shared" si="172"/>
        <v/>
      </c>
      <c r="K241" s="240" t="str">
        <f t="shared" si="173"/>
        <v/>
      </c>
      <c r="L241" s="265" t="str">
        <f t="shared" si="174"/>
        <v/>
      </c>
      <c r="M241" s="265" t="str">
        <f t="shared" si="175"/>
        <v/>
      </c>
      <c r="N241" s="240" t="str">
        <f t="shared" si="176"/>
        <v>-</v>
      </c>
      <c r="O241" s="265" t="str">
        <f t="shared" si="177"/>
        <v>-</v>
      </c>
      <c r="P241" s="265" t="str">
        <f t="shared" si="178"/>
        <v>-</v>
      </c>
      <c r="Q241" s="266" t="str">
        <f t="shared" si="179"/>
        <v>-</v>
      </c>
      <c r="R241" s="267" t="str">
        <f t="shared" si="180"/>
        <v>-</v>
      </c>
      <c r="S241" s="268" t="str">
        <f t="shared" si="181"/>
        <v>-</v>
      </c>
      <c r="T241" s="269" t="str">
        <f t="shared" si="182"/>
        <v/>
      </c>
      <c r="U241" s="221">
        <f t="shared" si="183"/>
        <v>141</v>
      </c>
      <c r="V241" s="220" t="str">
        <f t="shared" si="209"/>
        <v>-</v>
      </c>
      <c r="W241" s="221" t="str">
        <f t="shared" si="210"/>
        <v>-</v>
      </c>
      <c r="X241" s="221" t="str">
        <f t="shared" si="184"/>
        <v>-</v>
      </c>
      <c r="Y241" s="221" t="str">
        <f t="shared" si="185"/>
        <v>-</v>
      </c>
      <c r="Z241" s="270">
        <f t="shared" si="211"/>
        <v>0.1</v>
      </c>
      <c r="AA241" s="271" t="str">
        <f>IFERROR(IF(V240=1,AA$100*EXP(-(LN(2)/$D$65+0.04)*X240)*EXP(-(LN(2)/$D$65+0.1)*Y240),IF(V240=2,AA$100*EXP(-(LN(2)/$D$65+0.04)*(VLOOKUP(($F$16-$F$15)-1,U$99:Y240,4,FALSE)))*EXP(-(LN(2)/$D$65+0.1)*(VLOOKUP(($F$16-$F$15)-1,U$99:Y240,5,FALSE)))*EXP(-(LN(2)/$D$65+0.04)*X240)*EXP(-(LN(2)/$D$65+0.1)*Y240),IF(V240=3,AA$100*EXP(-(LN(2)/$D$65+0.04)*(VLOOKUP(($F$16-$F$15)-1,U$99:Y240,4,FALSE)))*EXP(-(LN(2)/$D$65+0.1)*(VLOOKUP(($F$16-$F$15)-1,U$99:Y240,5,FALSE)))*EXP(-(LN(2)/$D$65+0.04)*(VLOOKUP(($F$16-$F$15)*2-1,U$99:Y240,4,FALSE)))*EXP(-(LN(2)/$D$65+0.1)*(VLOOKUP(($F$16-$F$15)*2-1,U$99:Y240,5,FALSE)))*EXP(-(LN(2)/$D$65+0.04)*X240)*EXP(-(LN(2)/$D$65+0.1)*Y240),"-"))),"-")</f>
        <v>-</v>
      </c>
      <c r="AB241" s="271" t="str">
        <f>IFERROR(IF(V241=1,AB$100*EXP(-(LN(2)/$D$65+0.04)*X241)*EXP(-(LN(2)/$D$65+0.1)*Y241),IF(V241=2,AB$100*EXP(-(LN(2)/$D$65+0.04)*(VLOOKUP(($F$16-$F$15)-1,U$100:Y241,4,FALSE)))*EXP(-(LN(2)/$D$65+0.1)*(VLOOKUP(($F$16-$F$15)-1,U$100:Y241,5,FALSE)))*EXP(-(LN(2)/$D$65+0.04)*X241)*EXP(-(LN(2)/$D$65+0.1)*Y241),IF(V241=3,AB$100*EXP(-(LN(2)/$D$65+0.04)*(VLOOKUP(($F$16-$F$15)-1,U$100:Y241,4,FALSE)))*EXP(-(LN(2)/$D$65+0.1)*(VLOOKUP(($F$16-$F$15)-1,U$100:Y241,5,FALSE)))*EXP(-(LN(2)/$D$65+0.04)*(VLOOKUP(($F$16-$F$15)*2-1,U$100:Y241,4,FALSE)))*EXP(-(LN(2)/$D$65+0.1)*(VLOOKUP(($F$16-$F$15)*2-1,U$100:Y241,5,FALSE)))*EXP(-(LN(2)/$D$65+0.04)*X241)*EXP(-(LN(2)/$D$65+0.1)*Y241),"-"))),"-")</f>
        <v>-</v>
      </c>
      <c r="AC241" s="224">
        <f>B241</f>
        <v>141</v>
      </c>
      <c r="AD241" s="223" t="str">
        <f t="shared" si="186"/>
        <v>-</v>
      </c>
      <c r="AE241" s="224" t="str">
        <f t="shared" si="213"/>
        <v>-</v>
      </c>
      <c r="AF241" s="224" t="str">
        <f t="shared" si="187"/>
        <v>-</v>
      </c>
      <c r="AG241" s="224" t="str">
        <f t="shared" si="188"/>
        <v>-</v>
      </c>
      <c r="AH241" s="272">
        <f t="shared" si="214"/>
        <v>0.1</v>
      </c>
      <c r="AI241" s="271" t="str">
        <f>IFERROR(IF(AD240=1,AI$100*EXP(-(LN(2)/$D$65+0.04)*AF240)*EXP(-(LN(2)/$D$65+0.1)*AG240),IF(AD240=2,AI$100*EXP(-(LN(2)/$D$65+0.04)*(VLOOKUP(($F$16-$F$15)-1,AC$99:AG240,4,FALSE)))*EXP(-(LN(2)/$D$65+0.1)*(VLOOKUP(($F$16-$F$15)-1,AC$99:AG240,5,FALSE)))*EXP(-(LN(2)/$D$65+0.04)*AF240)*EXP(-(LN(2)/$D$65+0.1)*AG240),IF(AD240=3,AI$100*EXP(-(LN(2)/$D$65+0.04)*(VLOOKUP(($F$16-$F$15)-1,AC$99:AG240,4,FALSE)))*EXP(-(LN(2)/$D$65+0.1)*(VLOOKUP(($F$16-$F$15)-1,AC$99:AG240,5,FALSE)))*EXP(-(LN(2)/$D$65+0.04)*(VLOOKUP(($F$16-$F$15)*2-1,AC$99:AG240,4,FALSE)))*EXP(-(LN(2)/$D$65+0.1)*(VLOOKUP(($F$16-$F$15)*2-1,AC$99:AG240,5,FALSE)))*EXP(-(LN(2)/$D$65+0.04)*AF240)*EXP(-(LN(2)/$D$65+0.1)*AG240),"-"))),"-")</f>
        <v>-</v>
      </c>
      <c r="AJ241" s="271" t="str">
        <f>IFERROR(IF(AD241=1,AJ$100*EXP(-(LN(2)/$D$65+0.04)*AF241)*EXP(-(LN(2)/$D$65+0.1)*AG241),IF(AD241=2,AJ$100*EXP(-(LN(2)/$D$65+0.04)*(VLOOKUP(($F$16-$F$15)-1,AC$100:AG241,4,FALSE)))*EXP(-(LN(2)/$D$65+0.1)*(VLOOKUP(($F$16-$F$15)-1,AC$100:AG241,5,FALSE)))*EXP(-(LN(2)/$D$65+0.04)*AF241)*EXP(-(LN(2)/$D$65+0.1)*AG241),IF(AD241=3,AJ$100*EXP(-(LN(2)/$D$65+0.04)*(VLOOKUP(($F$16-$F$15)-1,AC$100:AG241,4,FALSE)))*EXP(-(LN(2)/$D$65+0.1)*(VLOOKUP(($F$16-$F$15)-1,AC$100:AG241,5,FALSE)))*EXP(-(LN(2)/$D$65+0.04)*(VLOOKUP(($F$16-$F$15)*2-1,AC$100:AG241,4,FALSE)))*EXP(-(LN(2)/$D$65+0.1)*(VLOOKUP(($F$16-$F$15)*2-1,AC$100:AG241,5,FALSE)))*EXP(-(LN(2)/$D$65+0.04)*AF241)*EXP(-(LN(2)/$D$65+0.1)*AG241),"-"))),"-")</f>
        <v>-</v>
      </c>
      <c r="AK241" s="227">
        <f t="shared" si="215"/>
        <v>141</v>
      </c>
      <c r="AL241" s="226" t="str">
        <f t="shared" si="189"/>
        <v>-</v>
      </c>
      <c r="AM241" s="227" t="str">
        <f t="shared" si="216"/>
        <v>-</v>
      </c>
      <c r="AN241" s="227" t="str">
        <f t="shared" si="217"/>
        <v>-</v>
      </c>
      <c r="AO241" s="227" t="str">
        <f t="shared" si="190"/>
        <v>-</v>
      </c>
      <c r="AP241" s="273">
        <f t="shared" si="218"/>
        <v>0.1</v>
      </c>
      <c r="AQ241" s="271" t="str">
        <f>IFERROR(IF(AL240=1,AQ$100*EXP(-(LN(2)/$D$65+0.04)*AN240)*EXP(-(LN(2)/$D$65+0.1)*AO240),IF(AL240=2,AQ$100*EXP(-(LN(2)/$D$65+0.04)*(VLOOKUP(($F$16-$F$15)-1,AK$99:AO240,4,FALSE)))*EXP(-(LN(2)/$D$65+0.1)*(VLOOKUP(($F$16-$F$15)-1,AK$99:AO240,5,FALSE)))*EXP(-(LN(2)/$D$65+0.04)*AN240)*EXP(-(LN(2)/$D$65+0.1)*AO240),IF(AL240=3,AQ$100*EXP(-(LN(2)/$D$65+0.04)*(VLOOKUP(($F$16-$F$15)-1,AK$99:AO240,4,FALSE)))*EXP(-(LN(2)/$D$65+0.1)*(VLOOKUP(($F$16-$F$15)-1,AK$99:AO240,5,FALSE)))*EXP(-(LN(2)/$D$65+0.04)*(VLOOKUP(($F$16-$F$15)*2-1,AK$99:AO240,4,FALSE)))*EXP(-(LN(2)/$D$65+0.1)*(VLOOKUP(($F$16-$F$15)*2-1,AK$99:AO240,5,FALSE)))*EXP(-(LN(2)/$D$65+0.04)*AN240)*EXP(-(LN(2)/$D$65+0.1)*AO240),"-"))),"-")</f>
        <v>-</v>
      </c>
      <c r="AR241" s="271" t="str">
        <f>IFERROR(IF(AL241=1,AR$100*EXP(-(LN(2)/$D$65+0.04)*AN241)*EXP(-(LN(2)/$D$65+0.1)*AO241),IF(AL241=2,AR$100*EXP(-(LN(2)/$D$65+0.04)*(VLOOKUP(($F$16-$F$15)-1,AK$100:AO241,4,FALSE)))*EXP(-(LN(2)/$D$65+0.1)*(VLOOKUP(($F$16-$F$15)-1,AK$100:AO241,5,FALSE)))*EXP(-(LN(2)/$D$65+0.04)*AN241)*EXP(-(LN(2)/$D$65+0.1)*AO241),IF(AL241=3,AR$100*EXP(-(LN(2)/$D$65+0.04)*(VLOOKUP(($F$16-$F$15)-1,AK$100:AO241,4,FALSE)))*EXP(-(LN(2)/$D$65+0.1)*(VLOOKUP(($F$16-$F$15)-1,AK$100:AO241,5,FALSE)))*EXP(-(LN(2)/$D$65+0.04)*(VLOOKUP(($F$16-$F$15)*2-1,AK$100:AO241,4,FALSE)))*EXP(-(LN(2)/$D$65+0.1)*(VLOOKUP(($F$16-$F$15)*2-1,AK$100:AO241,5,FALSE)))*EXP(-(LN(2)/$D$65+0.04)*AN241)*EXP(-(LN(2)/$D$65+0.1)*AO241),"-"))),"-")</f>
        <v>-</v>
      </c>
      <c r="AS241" s="274">
        <f t="shared" si="191"/>
        <v>0</v>
      </c>
      <c r="AT241" s="274">
        <f t="shared" si="192"/>
        <v>0</v>
      </c>
      <c r="AU241" s="274">
        <f t="shared" si="193"/>
        <v>0</v>
      </c>
      <c r="AV241" s="190" t="str">
        <f>IF($B241&lt;$F$22,SUM($T$100:$T241),"")</f>
        <v/>
      </c>
      <c r="AW241" s="190" t="str">
        <f t="shared" si="194"/>
        <v>-</v>
      </c>
      <c r="AX241" s="190" t="str">
        <f t="shared" si="219"/>
        <v/>
      </c>
      <c r="AY241"/>
      <c r="AZ241" s="190" t="str">
        <f ca="1">IF(ISNUMBER(OFFSET(AV241,-$F$21,0)),SUM(OFFSET($T$100,$F$21,0):$T241),"")</f>
        <v/>
      </c>
      <c r="BA241" s="190" t="str">
        <f t="shared" ca="1" si="195"/>
        <v/>
      </c>
      <c r="BB241" s="190" t="str">
        <f t="shared" ca="1" si="148"/>
        <v/>
      </c>
      <c r="BC241" s="190"/>
      <c r="BD241" s="190" t="str">
        <f ca="1">IFERROR(IF(OR(ISNUMBER(I),ISNUMBER($F$14)),IF(AND($B241&gt;=($F$16-$F$15),$B241&lt;$F$22+($F$16-$F$15)),SUM(OFFSET($T$100,($F$16-$F$15),0):$T241),""),""),"")</f>
        <v/>
      </c>
      <c r="BE241" s="190" t="str">
        <f t="shared" ca="1" si="220"/>
        <v/>
      </c>
      <c r="BF241" s="190" t="str">
        <f t="shared" ca="1" si="221"/>
        <v/>
      </c>
      <c r="BG241"/>
      <c r="BH241" s="190" t="str">
        <f ca="1">IF(ISNUMBER(OFFSET(BD241,-$F$21,0)),SUM(OFFSET($T$100,($F$16-$F$15+$F$21),0):$T241),"")</f>
        <v/>
      </c>
      <c r="BI241" s="190" t="str">
        <f t="shared" ca="1" si="196"/>
        <v/>
      </c>
      <c r="BJ241" s="190" t="str">
        <f t="shared" ca="1" si="222"/>
        <v/>
      </c>
      <c r="BK241" s="190"/>
      <c r="BL241" s="190" t="str">
        <f ca="1">IFERROR(IF(OR(ISNUMBER(I),ISNUMBER($F$14)),IF(AND($B241&gt;=($F$17-$F$15),$B241&lt;$F$22+($F$17-$F$15)),SUM(OFFSET($T$100,($F$17-$F$15),0):$T241),""),""),"")</f>
        <v/>
      </c>
      <c r="BM241" s="190" t="str">
        <f t="shared" ca="1" si="197"/>
        <v/>
      </c>
      <c r="BN241" s="190" t="str">
        <f t="shared" ca="1" si="223"/>
        <v/>
      </c>
      <c r="BO241"/>
      <c r="BP241" s="190" t="str">
        <f ca="1">IF(ISNUMBER(OFFSET(BL241,-$F$21,0)),SUM(OFFSET($T$100,($F$17-$F$15+$F$21),0):$T241),"")</f>
        <v/>
      </c>
      <c r="BQ241" s="190" t="str">
        <f t="shared" ca="1" si="198"/>
        <v/>
      </c>
      <c r="BR241" s="190" t="str">
        <f t="shared" ca="1" si="224"/>
        <v/>
      </c>
      <c r="BS241" s="190"/>
      <c r="BT241"/>
      <c r="BU241"/>
      <c r="BV241"/>
      <c r="BY241" s="99"/>
      <c r="BZ241" s="99"/>
      <c r="CA241" s="280" t="str">
        <f t="shared" si="199"/>
        <v/>
      </c>
      <c r="CB241" s="71" t="str">
        <f t="shared" si="200"/>
        <v>-</v>
      </c>
      <c r="CC241" s="33"/>
      <c r="CD241" s="261" t="str">
        <f t="shared" si="201"/>
        <v/>
      </c>
      <c r="CE241" s="280" t="str">
        <f t="shared" si="202"/>
        <v/>
      </c>
      <c r="CF241" s="71" t="str">
        <f t="shared" ca="1" si="203"/>
        <v/>
      </c>
      <c r="CG241" s="33" t="str">
        <f t="shared" si="204"/>
        <v/>
      </c>
      <c r="CH241" s="261" t="str">
        <f t="shared" ca="1" si="205"/>
        <v/>
      </c>
    </row>
    <row r="242" spans="2:86" ht="13.5" customHeight="1" x14ac:dyDescent="0.2">
      <c r="B242" s="262">
        <v>142</v>
      </c>
      <c r="C242" s="237" t="str">
        <f t="shared" si="169"/>
        <v/>
      </c>
      <c r="D242" s="237" t="str">
        <f t="shared" si="225"/>
        <v/>
      </c>
      <c r="E242" s="263" t="str">
        <f t="shared" si="206"/>
        <v/>
      </c>
      <c r="F242" s="264" t="str">
        <f t="shared" si="207"/>
        <v/>
      </c>
      <c r="G242" s="264" t="str">
        <f t="shared" si="208"/>
        <v/>
      </c>
      <c r="H242" s="240" t="str">
        <f t="shared" si="170"/>
        <v/>
      </c>
      <c r="I242" s="265" t="str">
        <f t="shared" si="171"/>
        <v/>
      </c>
      <c r="J242" s="265" t="str">
        <f t="shared" si="172"/>
        <v/>
      </c>
      <c r="K242" s="240" t="str">
        <f t="shared" si="173"/>
        <v/>
      </c>
      <c r="L242" s="265" t="str">
        <f t="shared" si="174"/>
        <v/>
      </c>
      <c r="M242" s="265" t="str">
        <f t="shared" si="175"/>
        <v/>
      </c>
      <c r="N242" s="240" t="str">
        <f t="shared" si="176"/>
        <v>-</v>
      </c>
      <c r="O242" s="265" t="str">
        <f t="shared" si="177"/>
        <v>-</v>
      </c>
      <c r="P242" s="265" t="str">
        <f t="shared" si="178"/>
        <v>-</v>
      </c>
      <c r="Q242" s="266" t="str">
        <f t="shared" si="179"/>
        <v>-</v>
      </c>
      <c r="R242" s="267" t="str">
        <f t="shared" si="180"/>
        <v>-</v>
      </c>
      <c r="S242" s="268" t="str">
        <f t="shared" si="181"/>
        <v>-</v>
      </c>
      <c r="T242" s="269" t="str">
        <f t="shared" si="182"/>
        <v/>
      </c>
      <c r="U242" s="221">
        <f t="shared" si="183"/>
        <v>142</v>
      </c>
      <c r="V242" s="220" t="str">
        <f t="shared" si="209"/>
        <v>-</v>
      </c>
      <c r="W242" s="221" t="str">
        <f t="shared" si="210"/>
        <v>-</v>
      </c>
      <c r="X242" s="221" t="str">
        <f t="shared" si="184"/>
        <v>-</v>
      </c>
      <c r="Y242" s="221" t="str">
        <f t="shared" si="185"/>
        <v>-</v>
      </c>
      <c r="Z242" s="270">
        <f t="shared" si="211"/>
        <v>0.1</v>
      </c>
      <c r="AA242" s="271" t="str">
        <f>IFERROR(IF(V241=1,AA$100*EXP(-(LN(2)/$D$65+0.04)*X241)*EXP(-(LN(2)/$D$65+0.1)*Y241),IF(V241=2,AA$100*EXP(-(LN(2)/$D$65+0.04)*(VLOOKUP(($F$16-$F$15)-1,U$99:Y241,4,FALSE)))*EXP(-(LN(2)/$D$65+0.1)*(VLOOKUP(($F$16-$F$15)-1,U$99:Y241,5,FALSE)))*EXP(-(LN(2)/$D$65+0.04)*X241)*EXP(-(LN(2)/$D$65+0.1)*Y241),IF(V241=3,AA$100*EXP(-(LN(2)/$D$65+0.04)*(VLOOKUP(($F$16-$F$15)-1,U$99:Y241,4,FALSE)))*EXP(-(LN(2)/$D$65+0.1)*(VLOOKUP(($F$16-$F$15)-1,U$99:Y241,5,FALSE)))*EXP(-(LN(2)/$D$65+0.04)*(VLOOKUP(($F$16-$F$15)*2-1,U$99:Y241,4,FALSE)))*EXP(-(LN(2)/$D$65+0.1)*(VLOOKUP(($F$16-$F$15)*2-1,U$99:Y241,5,FALSE)))*EXP(-(LN(2)/$D$65+0.04)*X241)*EXP(-(LN(2)/$D$65+0.1)*Y241),"-"))),"-")</f>
        <v>-</v>
      </c>
      <c r="AB242" s="271" t="str">
        <f>IFERROR(IF(V242=1,AB$100*EXP(-(LN(2)/$D$65+0.04)*X242)*EXP(-(LN(2)/$D$65+0.1)*Y242),IF(V242=2,AB$100*EXP(-(LN(2)/$D$65+0.04)*(VLOOKUP(($F$16-$F$15)-1,U$100:Y242,4,FALSE)))*EXP(-(LN(2)/$D$65+0.1)*(VLOOKUP(($F$16-$F$15)-1,U$100:Y242,5,FALSE)))*EXP(-(LN(2)/$D$65+0.04)*X242)*EXP(-(LN(2)/$D$65+0.1)*Y242),IF(V242=3,AB$100*EXP(-(LN(2)/$D$65+0.04)*(VLOOKUP(($F$16-$F$15)-1,U$100:Y242,4,FALSE)))*EXP(-(LN(2)/$D$65+0.1)*(VLOOKUP(($F$16-$F$15)-1,U$100:Y242,5,FALSE)))*EXP(-(LN(2)/$D$65+0.04)*(VLOOKUP(($F$16-$F$15)*2-1,U$100:Y242,4,FALSE)))*EXP(-(LN(2)/$D$65+0.1)*(VLOOKUP(($F$16-$F$15)*2-1,U$100:Y242,5,FALSE)))*EXP(-(LN(2)/$D$65+0.04)*X242)*EXP(-(LN(2)/$D$65+0.1)*Y242),"-"))),"-")</f>
        <v>-</v>
      </c>
      <c r="AC242" s="224">
        <f t="shared" ref="AC242:AC250" si="226">B242</f>
        <v>142</v>
      </c>
      <c r="AD242" s="223" t="str">
        <f t="shared" si="186"/>
        <v>-</v>
      </c>
      <c r="AE242" s="224" t="str">
        <f t="shared" si="213"/>
        <v>-</v>
      </c>
      <c r="AF242" s="224" t="str">
        <f t="shared" si="187"/>
        <v>-</v>
      </c>
      <c r="AG242" s="224" t="str">
        <f t="shared" si="188"/>
        <v>-</v>
      </c>
      <c r="AH242" s="272">
        <f t="shared" si="214"/>
        <v>0.1</v>
      </c>
      <c r="AI242" s="271" t="str">
        <f>IFERROR(IF(AD241=1,AI$100*EXP(-(LN(2)/$D$65+0.04)*AF241)*EXP(-(LN(2)/$D$65+0.1)*AG241),IF(AD241=2,AI$100*EXP(-(LN(2)/$D$65+0.04)*(VLOOKUP(($F$16-$F$15)-1,AC$99:AG241,4,FALSE)))*EXP(-(LN(2)/$D$65+0.1)*(VLOOKUP(($F$16-$F$15)-1,AC$99:AG241,5,FALSE)))*EXP(-(LN(2)/$D$65+0.04)*AF241)*EXP(-(LN(2)/$D$65+0.1)*AG241),IF(AD241=3,AI$100*EXP(-(LN(2)/$D$65+0.04)*(VLOOKUP(($F$16-$F$15)-1,AC$99:AG241,4,FALSE)))*EXP(-(LN(2)/$D$65+0.1)*(VLOOKUP(($F$16-$F$15)-1,AC$99:AG241,5,FALSE)))*EXP(-(LN(2)/$D$65+0.04)*(VLOOKUP(($F$16-$F$15)*2-1,AC$99:AG241,4,FALSE)))*EXP(-(LN(2)/$D$65+0.1)*(VLOOKUP(($F$16-$F$15)*2-1,AC$99:AG241,5,FALSE)))*EXP(-(LN(2)/$D$65+0.04)*AF241)*EXP(-(LN(2)/$D$65+0.1)*AG241),"-"))),"-")</f>
        <v>-</v>
      </c>
      <c r="AJ242" s="271" t="str">
        <f>IFERROR(IF(AD242=1,AJ$100*EXP(-(LN(2)/$D$65+0.04)*AF242)*EXP(-(LN(2)/$D$65+0.1)*AG242),IF(AD242=2,AJ$100*EXP(-(LN(2)/$D$65+0.04)*(VLOOKUP(($F$16-$F$15)-1,AC$100:AG242,4,FALSE)))*EXP(-(LN(2)/$D$65+0.1)*(VLOOKUP(($F$16-$F$15)-1,AC$100:AG242,5,FALSE)))*EXP(-(LN(2)/$D$65+0.04)*AF242)*EXP(-(LN(2)/$D$65+0.1)*AG242),IF(AD242=3,AJ$100*EXP(-(LN(2)/$D$65+0.04)*(VLOOKUP(($F$16-$F$15)-1,AC$100:AG242,4,FALSE)))*EXP(-(LN(2)/$D$65+0.1)*(VLOOKUP(($F$16-$F$15)-1,AC$100:AG242,5,FALSE)))*EXP(-(LN(2)/$D$65+0.04)*(VLOOKUP(($F$16-$F$15)*2-1,AC$100:AG242,4,FALSE)))*EXP(-(LN(2)/$D$65+0.1)*(VLOOKUP(($F$16-$F$15)*2-1,AC$100:AG242,5,FALSE)))*EXP(-(LN(2)/$D$65+0.04)*AF242)*EXP(-(LN(2)/$D$65+0.1)*AG242),"-"))),"-")</f>
        <v>-</v>
      </c>
      <c r="AK242" s="227">
        <f t="shared" si="215"/>
        <v>142</v>
      </c>
      <c r="AL242" s="226" t="str">
        <f t="shared" si="189"/>
        <v>-</v>
      </c>
      <c r="AM242" s="227" t="str">
        <f t="shared" si="216"/>
        <v>-</v>
      </c>
      <c r="AN242" s="227" t="str">
        <f t="shared" si="217"/>
        <v>-</v>
      </c>
      <c r="AO242" s="227" t="str">
        <f t="shared" si="190"/>
        <v>-</v>
      </c>
      <c r="AP242" s="273">
        <f t="shared" si="218"/>
        <v>0.1</v>
      </c>
      <c r="AQ242" s="271" t="str">
        <f>IFERROR(IF(AL241=1,AQ$100*EXP(-(LN(2)/$D$65+0.04)*AN241)*EXP(-(LN(2)/$D$65+0.1)*AO241),IF(AL241=2,AQ$100*EXP(-(LN(2)/$D$65+0.04)*(VLOOKUP(($F$16-$F$15)-1,AK$99:AO241,4,FALSE)))*EXP(-(LN(2)/$D$65+0.1)*(VLOOKUP(($F$16-$F$15)-1,AK$99:AO241,5,FALSE)))*EXP(-(LN(2)/$D$65+0.04)*AN241)*EXP(-(LN(2)/$D$65+0.1)*AO241),IF(AL241=3,AQ$100*EXP(-(LN(2)/$D$65+0.04)*(VLOOKUP(($F$16-$F$15)-1,AK$99:AO241,4,FALSE)))*EXP(-(LN(2)/$D$65+0.1)*(VLOOKUP(($F$16-$F$15)-1,AK$99:AO241,5,FALSE)))*EXP(-(LN(2)/$D$65+0.04)*(VLOOKUP(($F$16-$F$15)*2-1,AK$99:AO241,4,FALSE)))*EXP(-(LN(2)/$D$65+0.1)*(VLOOKUP(($F$16-$F$15)*2-1,AK$99:AO241,5,FALSE)))*EXP(-(LN(2)/$D$65+0.04)*AN241)*EXP(-(LN(2)/$D$65+0.1)*AO241),"-"))),"-")</f>
        <v>-</v>
      </c>
      <c r="AR242" s="271" t="str">
        <f>IFERROR(IF(AL242=1,AR$100*EXP(-(LN(2)/$D$65+0.04)*AN242)*EXP(-(LN(2)/$D$65+0.1)*AO242),IF(AL242=2,AR$100*EXP(-(LN(2)/$D$65+0.04)*(VLOOKUP(($F$16-$F$15)-1,AK$100:AO242,4,FALSE)))*EXP(-(LN(2)/$D$65+0.1)*(VLOOKUP(($F$16-$F$15)-1,AK$100:AO242,5,FALSE)))*EXP(-(LN(2)/$D$65+0.04)*AN242)*EXP(-(LN(2)/$D$65+0.1)*AO242),IF(AL242=3,AR$100*EXP(-(LN(2)/$D$65+0.04)*(VLOOKUP(($F$16-$F$15)-1,AK$100:AO242,4,FALSE)))*EXP(-(LN(2)/$D$65+0.1)*(VLOOKUP(($F$16-$F$15)-1,AK$100:AO242,5,FALSE)))*EXP(-(LN(2)/$D$65+0.04)*(VLOOKUP(($F$16-$F$15)*2-1,AK$100:AO242,4,FALSE)))*EXP(-(LN(2)/$D$65+0.1)*(VLOOKUP(($F$16-$F$15)*2-1,AK$100:AO242,5,FALSE)))*EXP(-(LN(2)/$D$65+0.04)*AN242)*EXP(-(LN(2)/$D$65+0.1)*AO242),"-"))),"-")</f>
        <v>-</v>
      </c>
      <c r="AS242" s="274">
        <f t="shared" si="191"/>
        <v>0</v>
      </c>
      <c r="AT242" s="274">
        <f t="shared" si="192"/>
        <v>0</v>
      </c>
      <c r="AU242" s="274">
        <f t="shared" si="193"/>
        <v>0</v>
      </c>
      <c r="AV242" s="190" t="str">
        <f>IF($B242&lt;$F$22,SUM($T$100:$T242),"")</f>
        <v/>
      </c>
      <c r="AW242" s="190" t="str">
        <f t="shared" si="194"/>
        <v>-</v>
      </c>
      <c r="AX242" s="190" t="str">
        <f t="shared" si="219"/>
        <v/>
      </c>
      <c r="AY242"/>
      <c r="AZ242" s="190" t="str">
        <f ca="1">IF(ISNUMBER(OFFSET(AV242,-$F$21,0)),SUM(OFFSET($T$100,$F$21,0):$T242),"")</f>
        <v/>
      </c>
      <c r="BA242" s="190" t="str">
        <f t="shared" ca="1" si="195"/>
        <v/>
      </c>
      <c r="BB242" s="190" t="str">
        <f t="shared" ca="1" si="148"/>
        <v/>
      </c>
      <c r="BC242" s="190"/>
      <c r="BD242" s="190" t="str">
        <f ca="1">IFERROR(IF(OR(ISNUMBER(I),ISNUMBER($F$14)),IF(AND($B242&gt;=($F$16-$F$15),$B242&lt;$F$22+($F$16-$F$15)),SUM(OFFSET($T$100,($F$16-$F$15),0):$T242),""),""),"")</f>
        <v/>
      </c>
      <c r="BE242" s="190" t="str">
        <f t="shared" ca="1" si="220"/>
        <v/>
      </c>
      <c r="BF242" s="190" t="str">
        <f t="shared" ca="1" si="221"/>
        <v/>
      </c>
      <c r="BG242"/>
      <c r="BH242" s="190" t="str">
        <f ca="1">IF(ISNUMBER(OFFSET(BD242,-$F$21,0)),SUM(OFFSET($T$100,($F$16-$F$15+$F$21),0):$T242),"")</f>
        <v/>
      </c>
      <c r="BI242" s="190" t="str">
        <f t="shared" ca="1" si="196"/>
        <v/>
      </c>
      <c r="BJ242" s="190" t="str">
        <f t="shared" ca="1" si="222"/>
        <v/>
      </c>
      <c r="BK242" s="190"/>
      <c r="BL242" s="190" t="str">
        <f ca="1">IFERROR(IF(OR(ISNUMBER(I),ISNUMBER($F$14)),IF(AND($B242&gt;=($F$17-$F$15),$B242&lt;$F$22+($F$17-$F$15)),SUM(OFFSET($T$100,($F$17-$F$15),0):$T242),""),""),"")</f>
        <v/>
      </c>
      <c r="BM242" s="190" t="str">
        <f t="shared" ca="1" si="197"/>
        <v/>
      </c>
      <c r="BN242" s="190" t="str">
        <f t="shared" ca="1" si="223"/>
        <v/>
      </c>
      <c r="BO242"/>
      <c r="BP242" s="190" t="str">
        <f ca="1">IF(ISNUMBER(OFFSET(BL242,-$F$21,0)),SUM(OFFSET($T$100,($F$17-$F$15+$F$21),0):$T242),"")</f>
        <v/>
      </c>
      <c r="BQ242" s="190" t="str">
        <f t="shared" ca="1" si="198"/>
        <v/>
      </c>
      <c r="BR242" s="190" t="str">
        <f t="shared" ca="1" si="224"/>
        <v/>
      </c>
      <c r="BS242" s="190"/>
      <c r="BT242"/>
      <c r="BU242"/>
      <c r="BV242"/>
      <c r="BY242" s="99"/>
      <c r="BZ242" s="99"/>
      <c r="CA242" s="280" t="str">
        <f t="shared" si="199"/>
        <v/>
      </c>
      <c r="CB242" s="71" t="str">
        <f t="shared" si="200"/>
        <v>-</v>
      </c>
      <c r="CC242" s="33"/>
      <c r="CD242" s="261" t="str">
        <f t="shared" si="201"/>
        <v/>
      </c>
      <c r="CE242" s="280" t="str">
        <f t="shared" si="202"/>
        <v/>
      </c>
      <c r="CF242" s="71" t="str">
        <f t="shared" ca="1" si="203"/>
        <v/>
      </c>
      <c r="CG242" s="33" t="str">
        <f t="shared" si="204"/>
        <v/>
      </c>
      <c r="CH242" s="261" t="str">
        <f t="shared" ca="1" si="205"/>
        <v/>
      </c>
    </row>
    <row r="243" spans="2:86" ht="13.5" customHeight="1" x14ac:dyDescent="0.2">
      <c r="B243" s="262">
        <v>143</v>
      </c>
      <c r="C243" s="237" t="str">
        <f t="shared" si="169"/>
        <v/>
      </c>
      <c r="D243" s="237" t="str">
        <f t="shared" si="225"/>
        <v/>
      </c>
      <c r="E243" s="263" t="str">
        <f t="shared" si="206"/>
        <v/>
      </c>
      <c r="F243" s="264" t="str">
        <f t="shared" si="207"/>
        <v/>
      </c>
      <c r="G243" s="264" t="str">
        <f t="shared" si="208"/>
        <v/>
      </c>
      <c r="H243" s="240" t="str">
        <f t="shared" si="170"/>
        <v/>
      </c>
      <c r="I243" s="265" t="str">
        <f t="shared" si="171"/>
        <v/>
      </c>
      <c r="J243" s="265" t="str">
        <f t="shared" si="172"/>
        <v/>
      </c>
      <c r="K243" s="240" t="str">
        <f t="shared" si="173"/>
        <v/>
      </c>
      <c r="L243" s="265" t="str">
        <f t="shared" si="174"/>
        <v/>
      </c>
      <c r="M243" s="265" t="str">
        <f t="shared" si="175"/>
        <v/>
      </c>
      <c r="N243" s="240" t="str">
        <f t="shared" si="176"/>
        <v>-</v>
      </c>
      <c r="O243" s="265" t="str">
        <f t="shared" si="177"/>
        <v>-</v>
      </c>
      <c r="P243" s="265" t="str">
        <f t="shared" si="178"/>
        <v>-</v>
      </c>
      <c r="Q243" s="266" t="str">
        <f t="shared" si="179"/>
        <v>-</v>
      </c>
      <c r="R243" s="267" t="str">
        <f t="shared" si="180"/>
        <v>-</v>
      </c>
      <c r="S243" s="268" t="str">
        <f t="shared" si="181"/>
        <v>-</v>
      </c>
      <c r="T243" s="269" t="str">
        <f t="shared" si="182"/>
        <v/>
      </c>
      <c r="U243" s="221">
        <f t="shared" si="183"/>
        <v>143</v>
      </c>
      <c r="V243" s="220" t="str">
        <f t="shared" si="209"/>
        <v>-</v>
      </c>
      <c r="W243" s="221" t="str">
        <f t="shared" si="210"/>
        <v>-</v>
      </c>
      <c r="X243" s="221" t="str">
        <f t="shared" si="184"/>
        <v>-</v>
      </c>
      <c r="Y243" s="221" t="str">
        <f t="shared" si="185"/>
        <v>-</v>
      </c>
      <c r="Z243" s="270">
        <f t="shared" si="211"/>
        <v>0.1</v>
      </c>
      <c r="AA243" s="271" t="str">
        <f>IFERROR(IF(V242=1,AA$100*EXP(-(LN(2)/$D$65+0.04)*X242)*EXP(-(LN(2)/$D$65+0.1)*Y242),IF(V242=2,AA$100*EXP(-(LN(2)/$D$65+0.04)*(VLOOKUP(($F$16-$F$15)-1,U$99:Y242,4,FALSE)))*EXP(-(LN(2)/$D$65+0.1)*(VLOOKUP(($F$16-$F$15)-1,U$99:Y242,5,FALSE)))*EXP(-(LN(2)/$D$65+0.04)*X242)*EXP(-(LN(2)/$D$65+0.1)*Y242),IF(V242=3,AA$100*EXP(-(LN(2)/$D$65+0.04)*(VLOOKUP(($F$16-$F$15)-1,U$99:Y242,4,FALSE)))*EXP(-(LN(2)/$D$65+0.1)*(VLOOKUP(($F$16-$F$15)-1,U$99:Y242,5,FALSE)))*EXP(-(LN(2)/$D$65+0.04)*(VLOOKUP(($F$16-$F$15)*2-1,U$99:Y242,4,FALSE)))*EXP(-(LN(2)/$D$65+0.1)*(VLOOKUP(($F$16-$F$15)*2-1,U$99:Y242,5,FALSE)))*EXP(-(LN(2)/$D$65+0.04)*X242)*EXP(-(LN(2)/$D$65+0.1)*Y242),"-"))),"-")</f>
        <v>-</v>
      </c>
      <c r="AB243" s="271" t="str">
        <f>IFERROR(IF(V243=1,AB$100*EXP(-(LN(2)/$D$65+0.04)*X243)*EXP(-(LN(2)/$D$65+0.1)*Y243),IF(V243=2,AB$100*EXP(-(LN(2)/$D$65+0.04)*(VLOOKUP(($F$16-$F$15)-1,U$100:Y243,4,FALSE)))*EXP(-(LN(2)/$D$65+0.1)*(VLOOKUP(($F$16-$F$15)-1,U$100:Y243,5,FALSE)))*EXP(-(LN(2)/$D$65+0.04)*X243)*EXP(-(LN(2)/$D$65+0.1)*Y243),IF(V243=3,AB$100*EXP(-(LN(2)/$D$65+0.04)*(VLOOKUP(($F$16-$F$15)-1,U$100:Y243,4,FALSE)))*EXP(-(LN(2)/$D$65+0.1)*(VLOOKUP(($F$16-$F$15)-1,U$100:Y243,5,FALSE)))*EXP(-(LN(2)/$D$65+0.04)*(VLOOKUP(($F$16-$F$15)*2-1,U$100:Y243,4,FALSE)))*EXP(-(LN(2)/$D$65+0.1)*(VLOOKUP(($F$16-$F$15)*2-1,U$100:Y243,5,FALSE)))*EXP(-(LN(2)/$D$65+0.04)*X243)*EXP(-(LN(2)/$D$65+0.1)*Y243),"-"))),"-")</f>
        <v>-</v>
      </c>
      <c r="AC243" s="224">
        <f t="shared" si="226"/>
        <v>143</v>
      </c>
      <c r="AD243" s="223" t="str">
        <f t="shared" si="186"/>
        <v>-</v>
      </c>
      <c r="AE243" s="224" t="str">
        <f t="shared" si="213"/>
        <v>-</v>
      </c>
      <c r="AF243" s="224" t="str">
        <f t="shared" si="187"/>
        <v>-</v>
      </c>
      <c r="AG243" s="224" t="str">
        <f t="shared" si="188"/>
        <v>-</v>
      </c>
      <c r="AH243" s="272">
        <f t="shared" si="214"/>
        <v>0.1</v>
      </c>
      <c r="AI243" s="271" t="str">
        <f>IFERROR(IF(AD242=1,AI$100*EXP(-(LN(2)/$D$65+0.04)*AF242)*EXP(-(LN(2)/$D$65+0.1)*AG242),IF(AD242=2,AI$100*EXP(-(LN(2)/$D$65+0.04)*(VLOOKUP(($F$16-$F$15)-1,AC$99:AG242,4,FALSE)))*EXP(-(LN(2)/$D$65+0.1)*(VLOOKUP(($F$16-$F$15)-1,AC$99:AG242,5,FALSE)))*EXP(-(LN(2)/$D$65+0.04)*AF242)*EXP(-(LN(2)/$D$65+0.1)*AG242),IF(AD242=3,AI$100*EXP(-(LN(2)/$D$65+0.04)*(VLOOKUP(($F$16-$F$15)-1,AC$99:AG242,4,FALSE)))*EXP(-(LN(2)/$D$65+0.1)*(VLOOKUP(($F$16-$F$15)-1,AC$99:AG242,5,FALSE)))*EXP(-(LN(2)/$D$65+0.04)*(VLOOKUP(($F$16-$F$15)*2-1,AC$99:AG242,4,FALSE)))*EXP(-(LN(2)/$D$65+0.1)*(VLOOKUP(($F$16-$F$15)*2-1,AC$99:AG242,5,FALSE)))*EXP(-(LN(2)/$D$65+0.04)*AF242)*EXP(-(LN(2)/$D$65+0.1)*AG242),"-"))),"-")</f>
        <v>-</v>
      </c>
      <c r="AJ243" s="271" t="str">
        <f>IFERROR(IF(AD243=1,AJ$100*EXP(-(LN(2)/$D$65+0.04)*AF243)*EXP(-(LN(2)/$D$65+0.1)*AG243),IF(AD243=2,AJ$100*EXP(-(LN(2)/$D$65+0.04)*(VLOOKUP(($F$16-$F$15)-1,AC$100:AG243,4,FALSE)))*EXP(-(LN(2)/$D$65+0.1)*(VLOOKUP(($F$16-$F$15)-1,AC$100:AG243,5,FALSE)))*EXP(-(LN(2)/$D$65+0.04)*AF243)*EXP(-(LN(2)/$D$65+0.1)*AG243),IF(AD243=3,AJ$100*EXP(-(LN(2)/$D$65+0.04)*(VLOOKUP(($F$16-$F$15)-1,AC$100:AG243,4,FALSE)))*EXP(-(LN(2)/$D$65+0.1)*(VLOOKUP(($F$16-$F$15)-1,AC$100:AG243,5,FALSE)))*EXP(-(LN(2)/$D$65+0.04)*(VLOOKUP(($F$16-$F$15)*2-1,AC$100:AG243,4,FALSE)))*EXP(-(LN(2)/$D$65+0.1)*(VLOOKUP(($F$16-$F$15)*2-1,AC$100:AG243,5,FALSE)))*EXP(-(LN(2)/$D$65+0.04)*AF243)*EXP(-(LN(2)/$D$65+0.1)*AG243),"-"))),"-")</f>
        <v>-</v>
      </c>
      <c r="AK243" s="227">
        <f t="shared" si="215"/>
        <v>143</v>
      </c>
      <c r="AL243" s="226" t="str">
        <f t="shared" si="189"/>
        <v>-</v>
      </c>
      <c r="AM243" s="227" t="str">
        <f t="shared" si="216"/>
        <v>-</v>
      </c>
      <c r="AN243" s="227" t="str">
        <f t="shared" si="217"/>
        <v>-</v>
      </c>
      <c r="AO243" s="227" t="str">
        <f t="shared" si="190"/>
        <v>-</v>
      </c>
      <c r="AP243" s="273">
        <f t="shared" si="218"/>
        <v>0.1</v>
      </c>
      <c r="AQ243" s="271" t="str">
        <f>IFERROR(IF(AL242=1,AQ$100*EXP(-(LN(2)/$D$65+0.04)*AN242)*EXP(-(LN(2)/$D$65+0.1)*AO242),IF(AL242=2,AQ$100*EXP(-(LN(2)/$D$65+0.04)*(VLOOKUP(($F$16-$F$15)-1,AK$99:AO242,4,FALSE)))*EXP(-(LN(2)/$D$65+0.1)*(VLOOKUP(($F$16-$F$15)-1,AK$99:AO242,5,FALSE)))*EXP(-(LN(2)/$D$65+0.04)*AN242)*EXP(-(LN(2)/$D$65+0.1)*AO242),IF(AL242=3,AQ$100*EXP(-(LN(2)/$D$65+0.04)*(VLOOKUP(($F$16-$F$15)-1,AK$99:AO242,4,FALSE)))*EXP(-(LN(2)/$D$65+0.1)*(VLOOKUP(($F$16-$F$15)-1,AK$99:AO242,5,FALSE)))*EXP(-(LN(2)/$D$65+0.04)*(VLOOKUP(($F$16-$F$15)*2-1,AK$99:AO242,4,FALSE)))*EXP(-(LN(2)/$D$65+0.1)*(VLOOKUP(($F$16-$F$15)*2-1,AK$99:AO242,5,FALSE)))*EXP(-(LN(2)/$D$65+0.04)*AN242)*EXP(-(LN(2)/$D$65+0.1)*AO242),"-"))),"-")</f>
        <v>-</v>
      </c>
      <c r="AR243" s="271" t="str">
        <f>IFERROR(IF(AL243=1,AR$100*EXP(-(LN(2)/$D$65+0.04)*AN243)*EXP(-(LN(2)/$D$65+0.1)*AO243),IF(AL243=2,AR$100*EXP(-(LN(2)/$D$65+0.04)*(VLOOKUP(($F$16-$F$15)-1,AK$100:AO243,4,FALSE)))*EXP(-(LN(2)/$D$65+0.1)*(VLOOKUP(($F$16-$F$15)-1,AK$100:AO243,5,FALSE)))*EXP(-(LN(2)/$D$65+0.04)*AN243)*EXP(-(LN(2)/$D$65+0.1)*AO243),IF(AL243=3,AR$100*EXP(-(LN(2)/$D$65+0.04)*(VLOOKUP(($F$16-$F$15)-1,AK$100:AO243,4,FALSE)))*EXP(-(LN(2)/$D$65+0.1)*(VLOOKUP(($F$16-$F$15)-1,AK$100:AO243,5,FALSE)))*EXP(-(LN(2)/$D$65+0.04)*(VLOOKUP(($F$16-$F$15)*2-1,AK$100:AO243,4,FALSE)))*EXP(-(LN(2)/$D$65+0.1)*(VLOOKUP(($F$16-$F$15)*2-1,AK$100:AO243,5,FALSE)))*EXP(-(LN(2)/$D$65+0.04)*AN243)*EXP(-(LN(2)/$D$65+0.1)*AO243),"-"))),"-")</f>
        <v>-</v>
      </c>
      <c r="AS243" s="274">
        <f t="shared" si="191"/>
        <v>0</v>
      </c>
      <c r="AT243" s="274">
        <f t="shared" si="192"/>
        <v>0</v>
      </c>
      <c r="AU243" s="274">
        <f t="shared" si="193"/>
        <v>0</v>
      </c>
      <c r="AV243" s="190" t="str">
        <f>IF($B243&lt;$F$22,SUM($T$100:$T243),"")</f>
        <v/>
      </c>
      <c r="AW243" s="190" t="str">
        <f t="shared" si="194"/>
        <v>-</v>
      </c>
      <c r="AX243" s="190" t="str">
        <f t="shared" si="219"/>
        <v/>
      </c>
      <c r="AY243"/>
      <c r="AZ243" s="190" t="str">
        <f ca="1">IF(ISNUMBER(OFFSET(AV243,-$F$21,0)),SUM(OFFSET($T$100,$F$21,0):$T243),"")</f>
        <v/>
      </c>
      <c r="BA243" s="190" t="str">
        <f t="shared" ca="1" si="195"/>
        <v/>
      </c>
      <c r="BB243" s="190" t="str">
        <f t="shared" ca="1" si="148"/>
        <v/>
      </c>
      <c r="BC243" s="190"/>
      <c r="BD243" s="190" t="str">
        <f ca="1">IFERROR(IF(OR(ISNUMBER(I),ISNUMBER($F$14)),IF(AND($B243&gt;=($F$16-$F$15),$B243&lt;$F$22+($F$16-$F$15)),SUM(OFFSET($T$100,($F$16-$F$15),0):$T243),""),""),"")</f>
        <v/>
      </c>
      <c r="BE243" s="190" t="str">
        <f t="shared" ca="1" si="220"/>
        <v/>
      </c>
      <c r="BF243" s="190" t="str">
        <f t="shared" ca="1" si="221"/>
        <v/>
      </c>
      <c r="BG243"/>
      <c r="BH243" s="190" t="str">
        <f ca="1">IF(ISNUMBER(OFFSET(BD243,-$F$21,0)),SUM(OFFSET($T$100,($F$16-$F$15+$F$21),0):$T243),"")</f>
        <v/>
      </c>
      <c r="BI243" s="190" t="str">
        <f t="shared" ca="1" si="196"/>
        <v/>
      </c>
      <c r="BJ243" s="190" t="str">
        <f t="shared" ca="1" si="222"/>
        <v/>
      </c>
      <c r="BK243" s="190"/>
      <c r="BL243" s="190" t="str">
        <f ca="1">IFERROR(IF(OR(ISNUMBER(I),ISNUMBER($F$14)),IF(AND($B243&gt;=($F$17-$F$15),$B243&lt;$F$22+($F$17-$F$15)),SUM(OFFSET($T$100,($F$17-$F$15),0):$T243),""),""),"")</f>
        <v/>
      </c>
      <c r="BM243" s="190" t="str">
        <f t="shared" ca="1" si="197"/>
        <v/>
      </c>
      <c r="BN243" s="190" t="str">
        <f t="shared" ca="1" si="223"/>
        <v/>
      </c>
      <c r="BO243"/>
      <c r="BP243" s="190" t="str">
        <f ca="1">IF(ISNUMBER(OFFSET(BL243,-$F$21,0)),SUM(OFFSET($T$100,($F$17-$F$15+$F$21),0):$T243),"")</f>
        <v/>
      </c>
      <c r="BQ243" s="190" t="str">
        <f t="shared" ca="1" si="198"/>
        <v/>
      </c>
      <c r="BR243" s="190" t="str">
        <f t="shared" ca="1" si="224"/>
        <v/>
      </c>
      <c r="BS243" s="190"/>
      <c r="BT243"/>
      <c r="BU243"/>
      <c r="BV243"/>
      <c r="BY243" s="99"/>
      <c r="BZ243" s="99"/>
      <c r="CA243" s="280" t="str">
        <f t="shared" si="199"/>
        <v/>
      </c>
      <c r="CB243" s="71" t="str">
        <f t="shared" si="200"/>
        <v>-</v>
      </c>
      <c r="CC243" s="33"/>
      <c r="CD243" s="261" t="str">
        <f t="shared" si="201"/>
        <v/>
      </c>
      <c r="CE243" s="280" t="str">
        <f t="shared" si="202"/>
        <v/>
      </c>
      <c r="CF243" s="71" t="str">
        <f t="shared" ca="1" si="203"/>
        <v/>
      </c>
      <c r="CG243" s="33" t="str">
        <f t="shared" si="204"/>
        <v/>
      </c>
      <c r="CH243" s="261" t="str">
        <f t="shared" ca="1" si="205"/>
        <v/>
      </c>
    </row>
    <row r="244" spans="2:86" ht="13.5" customHeight="1" x14ac:dyDescent="0.2">
      <c r="B244" s="262">
        <v>144</v>
      </c>
      <c r="C244" s="237" t="str">
        <f t="shared" si="169"/>
        <v/>
      </c>
      <c r="D244" s="237" t="str">
        <f t="shared" si="225"/>
        <v/>
      </c>
      <c r="E244" s="263" t="str">
        <f t="shared" si="206"/>
        <v/>
      </c>
      <c r="F244" s="264" t="str">
        <f t="shared" si="207"/>
        <v/>
      </c>
      <c r="G244" s="264" t="str">
        <f t="shared" si="208"/>
        <v/>
      </c>
      <c r="H244" s="240" t="str">
        <f t="shared" si="170"/>
        <v/>
      </c>
      <c r="I244" s="265" t="str">
        <f t="shared" si="171"/>
        <v/>
      </c>
      <c r="J244" s="265" t="str">
        <f t="shared" si="172"/>
        <v/>
      </c>
      <c r="K244" s="240" t="str">
        <f t="shared" si="173"/>
        <v/>
      </c>
      <c r="L244" s="265" t="str">
        <f t="shared" si="174"/>
        <v/>
      </c>
      <c r="M244" s="265" t="str">
        <f t="shared" si="175"/>
        <v/>
      </c>
      <c r="N244" s="240" t="str">
        <f t="shared" si="176"/>
        <v>-</v>
      </c>
      <c r="O244" s="265" t="str">
        <f t="shared" si="177"/>
        <v>-</v>
      </c>
      <c r="P244" s="265" t="str">
        <f t="shared" si="178"/>
        <v>-</v>
      </c>
      <c r="Q244" s="266" t="str">
        <f t="shared" si="179"/>
        <v>-</v>
      </c>
      <c r="R244" s="267" t="str">
        <f t="shared" si="180"/>
        <v>-</v>
      </c>
      <c r="S244" s="268" t="str">
        <f t="shared" si="181"/>
        <v>-</v>
      </c>
      <c r="T244" s="269" t="str">
        <f t="shared" si="182"/>
        <v/>
      </c>
      <c r="U244" s="221">
        <f t="shared" si="183"/>
        <v>144</v>
      </c>
      <c r="V244" s="220" t="str">
        <f t="shared" si="209"/>
        <v>-</v>
      </c>
      <c r="W244" s="221" t="str">
        <f t="shared" si="210"/>
        <v>-</v>
      </c>
      <c r="X244" s="221" t="str">
        <f t="shared" si="184"/>
        <v>-</v>
      </c>
      <c r="Y244" s="221" t="str">
        <f t="shared" si="185"/>
        <v>-</v>
      </c>
      <c r="Z244" s="270">
        <f t="shared" si="211"/>
        <v>0.1</v>
      </c>
      <c r="AA244" s="271" t="str">
        <f>IFERROR(IF(V243=1,AA$100*EXP(-(LN(2)/$D$65+0.04)*X243)*EXP(-(LN(2)/$D$65+0.1)*Y243),IF(V243=2,AA$100*EXP(-(LN(2)/$D$65+0.04)*(VLOOKUP(($F$16-$F$15)-1,U$99:Y243,4,FALSE)))*EXP(-(LN(2)/$D$65+0.1)*(VLOOKUP(($F$16-$F$15)-1,U$99:Y243,5,FALSE)))*EXP(-(LN(2)/$D$65+0.04)*X243)*EXP(-(LN(2)/$D$65+0.1)*Y243),IF(V243=3,AA$100*EXP(-(LN(2)/$D$65+0.04)*(VLOOKUP(($F$16-$F$15)-1,U$99:Y243,4,FALSE)))*EXP(-(LN(2)/$D$65+0.1)*(VLOOKUP(($F$16-$F$15)-1,U$99:Y243,5,FALSE)))*EXP(-(LN(2)/$D$65+0.04)*(VLOOKUP(($F$16-$F$15)*2-1,U$99:Y243,4,FALSE)))*EXP(-(LN(2)/$D$65+0.1)*(VLOOKUP(($F$16-$F$15)*2-1,U$99:Y243,5,FALSE)))*EXP(-(LN(2)/$D$65+0.04)*X243)*EXP(-(LN(2)/$D$65+0.1)*Y243),"-"))),"-")</f>
        <v>-</v>
      </c>
      <c r="AB244" s="271" t="str">
        <f>IFERROR(IF(V244=1,AB$100*EXP(-(LN(2)/$D$65+0.04)*X244)*EXP(-(LN(2)/$D$65+0.1)*Y244),IF(V244=2,AB$100*EXP(-(LN(2)/$D$65+0.04)*(VLOOKUP(($F$16-$F$15)-1,U$100:Y244,4,FALSE)))*EXP(-(LN(2)/$D$65+0.1)*(VLOOKUP(($F$16-$F$15)-1,U$100:Y244,5,FALSE)))*EXP(-(LN(2)/$D$65+0.04)*X244)*EXP(-(LN(2)/$D$65+0.1)*Y244),IF(V244=3,AB$100*EXP(-(LN(2)/$D$65+0.04)*(VLOOKUP(($F$16-$F$15)-1,U$100:Y244,4,FALSE)))*EXP(-(LN(2)/$D$65+0.1)*(VLOOKUP(($F$16-$F$15)-1,U$100:Y244,5,FALSE)))*EXP(-(LN(2)/$D$65+0.04)*(VLOOKUP(($F$16-$F$15)*2-1,U$100:Y244,4,FALSE)))*EXP(-(LN(2)/$D$65+0.1)*(VLOOKUP(($F$16-$F$15)*2-1,U$100:Y244,5,FALSE)))*EXP(-(LN(2)/$D$65+0.04)*X244)*EXP(-(LN(2)/$D$65+0.1)*Y244),"-"))),"-")</f>
        <v>-</v>
      </c>
      <c r="AC244" s="224">
        <f t="shared" si="226"/>
        <v>144</v>
      </c>
      <c r="AD244" s="223" t="str">
        <f t="shared" si="186"/>
        <v>-</v>
      </c>
      <c r="AE244" s="224" t="str">
        <f t="shared" si="213"/>
        <v>-</v>
      </c>
      <c r="AF244" s="224" t="str">
        <f t="shared" si="187"/>
        <v>-</v>
      </c>
      <c r="AG244" s="224" t="str">
        <f t="shared" si="188"/>
        <v>-</v>
      </c>
      <c r="AH244" s="272">
        <f t="shared" si="214"/>
        <v>0.1</v>
      </c>
      <c r="AI244" s="271" t="str">
        <f>IFERROR(IF(AD243=1,AI$100*EXP(-(LN(2)/$D$65+0.04)*AF243)*EXP(-(LN(2)/$D$65+0.1)*AG243),IF(AD243=2,AI$100*EXP(-(LN(2)/$D$65+0.04)*(VLOOKUP(($F$16-$F$15)-1,AC$99:AG243,4,FALSE)))*EXP(-(LN(2)/$D$65+0.1)*(VLOOKUP(($F$16-$F$15)-1,AC$99:AG243,5,FALSE)))*EXP(-(LN(2)/$D$65+0.04)*AF243)*EXP(-(LN(2)/$D$65+0.1)*AG243),IF(AD243=3,AI$100*EXP(-(LN(2)/$D$65+0.04)*(VLOOKUP(($F$16-$F$15)-1,AC$99:AG243,4,FALSE)))*EXP(-(LN(2)/$D$65+0.1)*(VLOOKUP(($F$16-$F$15)-1,AC$99:AG243,5,FALSE)))*EXP(-(LN(2)/$D$65+0.04)*(VLOOKUP(($F$16-$F$15)*2-1,AC$99:AG243,4,FALSE)))*EXP(-(LN(2)/$D$65+0.1)*(VLOOKUP(($F$16-$F$15)*2-1,AC$99:AG243,5,FALSE)))*EXP(-(LN(2)/$D$65+0.04)*AF243)*EXP(-(LN(2)/$D$65+0.1)*AG243),"-"))),"-")</f>
        <v>-</v>
      </c>
      <c r="AJ244" s="271" t="str">
        <f>IFERROR(IF(AD244=1,AJ$100*EXP(-(LN(2)/$D$65+0.04)*AF244)*EXP(-(LN(2)/$D$65+0.1)*AG244),IF(AD244=2,AJ$100*EXP(-(LN(2)/$D$65+0.04)*(VLOOKUP(($F$16-$F$15)-1,AC$100:AG244,4,FALSE)))*EXP(-(LN(2)/$D$65+0.1)*(VLOOKUP(($F$16-$F$15)-1,AC$100:AG244,5,FALSE)))*EXP(-(LN(2)/$D$65+0.04)*AF244)*EXP(-(LN(2)/$D$65+0.1)*AG244),IF(AD244=3,AJ$100*EXP(-(LN(2)/$D$65+0.04)*(VLOOKUP(($F$16-$F$15)-1,AC$100:AG244,4,FALSE)))*EXP(-(LN(2)/$D$65+0.1)*(VLOOKUP(($F$16-$F$15)-1,AC$100:AG244,5,FALSE)))*EXP(-(LN(2)/$D$65+0.04)*(VLOOKUP(($F$16-$F$15)*2-1,AC$100:AG244,4,FALSE)))*EXP(-(LN(2)/$D$65+0.1)*(VLOOKUP(($F$16-$F$15)*2-1,AC$100:AG244,5,FALSE)))*EXP(-(LN(2)/$D$65+0.04)*AF244)*EXP(-(LN(2)/$D$65+0.1)*AG244),"-"))),"-")</f>
        <v>-</v>
      </c>
      <c r="AK244" s="227">
        <f t="shared" si="215"/>
        <v>144</v>
      </c>
      <c r="AL244" s="226" t="str">
        <f t="shared" si="189"/>
        <v>-</v>
      </c>
      <c r="AM244" s="227" t="str">
        <f t="shared" si="216"/>
        <v>-</v>
      </c>
      <c r="AN244" s="227" t="str">
        <f t="shared" si="217"/>
        <v>-</v>
      </c>
      <c r="AO244" s="227" t="str">
        <f t="shared" si="190"/>
        <v>-</v>
      </c>
      <c r="AP244" s="273">
        <f t="shared" si="218"/>
        <v>0.1</v>
      </c>
      <c r="AQ244" s="271" t="str">
        <f>IFERROR(IF(AL243=1,AQ$100*EXP(-(LN(2)/$D$65+0.04)*AN243)*EXP(-(LN(2)/$D$65+0.1)*AO243),IF(AL243=2,AQ$100*EXP(-(LN(2)/$D$65+0.04)*(VLOOKUP(($F$16-$F$15)-1,AK$99:AO243,4,FALSE)))*EXP(-(LN(2)/$D$65+0.1)*(VLOOKUP(($F$16-$F$15)-1,AK$99:AO243,5,FALSE)))*EXP(-(LN(2)/$D$65+0.04)*AN243)*EXP(-(LN(2)/$D$65+0.1)*AO243),IF(AL243=3,AQ$100*EXP(-(LN(2)/$D$65+0.04)*(VLOOKUP(($F$16-$F$15)-1,AK$99:AO243,4,FALSE)))*EXP(-(LN(2)/$D$65+0.1)*(VLOOKUP(($F$16-$F$15)-1,AK$99:AO243,5,FALSE)))*EXP(-(LN(2)/$D$65+0.04)*(VLOOKUP(($F$16-$F$15)*2-1,AK$99:AO243,4,FALSE)))*EXP(-(LN(2)/$D$65+0.1)*(VLOOKUP(($F$16-$F$15)*2-1,AK$99:AO243,5,FALSE)))*EXP(-(LN(2)/$D$65+0.04)*AN243)*EXP(-(LN(2)/$D$65+0.1)*AO243),"-"))),"-")</f>
        <v>-</v>
      </c>
      <c r="AR244" s="271" t="str">
        <f>IFERROR(IF(AL244=1,AR$100*EXP(-(LN(2)/$D$65+0.04)*AN244)*EXP(-(LN(2)/$D$65+0.1)*AO244),IF(AL244=2,AR$100*EXP(-(LN(2)/$D$65+0.04)*(VLOOKUP(($F$16-$F$15)-1,AK$100:AO244,4,FALSE)))*EXP(-(LN(2)/$D$65+0.1)*(VLOOKUP(($F$16-$F$15)-1,AK$100:AO244,5,FALSE)))*EXP(-(LN(2)/$D$65+0.04)*AN244)*EXP(-(LN(2)/$D$65+0.1)*AO244),IF(AL244=3,AR$100*EXP(-(LN(2)/$D$65+0.04)*(VLOOKUP(($F$16-$F$15)-1,AK$100:AO244,4,FALSE)))*EXP(-(LN(2)/$D$65+0.1)*(VLOOKUP(($F$16-$F$15)-1,AK$100:AO244,5,FALSE)))*EXP(-(LN(2)/$D$65+0.04)*(VLOOKUP(($F$16-$F$15)*2-1,AK$100:AO244,4,FALSE)))*EXP(-(LN(2)/$D$65+0.1)*(VLOOKUP(($F$16-$F$15)*2-1,AK$100:AO244,5,FALSE)))*EXP(-(LN(2)/$D$65+0.04)*AN244)*EXP(-(LN(2)/$D$65+0.1)*AO244),"-"))),"-")</f>
        <v>-</v>
      </c>
      <c r="AS244" s="274">
        <f t="shared" si="191"/>
        <v>0</v>
      </c>
      <c r="AT244" s="274">
        <f t="shared" si="192"/>
        <v>0</v>
      </c>
      <c r="AU244" s="274">
        <f t="shared" si="193"/>
        <v>0</v>
      </c>
      <c r="AV244" s="190" t="str">
        <f>IF($B244&lt;$F$22,SUM($T$100:$T244),"")</f>
        <v/>
      </c>
      <c r="AW244" s="190" t="str">
        <f t="shared" si="194"/>
        <v>-</v>
      </c>
      <c r="AX244" s="190" t="str">
        <f t="shared" si="219"/>
        <v/>
      </c>
      <c r="AY244"/>
      <c r="AZ244" s="190" t="str">
        <f ca="1">IF(ISNUMBER(OFFSET(AV244,-$F$21,0)),SUM(OFFSET($T$100,$F$21,0):$T244),"")</f>
        <v/>
      </c>
      <c r="BA244" s="190" t="str">
        <f t="shared" ca="1" si="195"/>
        <v/>
      </c>
      <c r="BB244" s="190" t="str">
        <f t="shared" ca="1" si="148"/>
        <v/>
      </c>
      <c r="BC244" s="190"/>
      <c r="BD244" s="190" t="str">
        <f ca="1">IFERROR(IF(OR(ISNUMBER(I),ISNUMBER($F$14)),IF(AND($B244&gt;=($F$16-$F$15),$B244&lt;$F$22+($F$16-$F$15)),SUM(OFFSET($T$100,($F$16-$F$15),0):$T244),""),""),"")</f>
        <v/>
      </c>
      <c r="BE244" s="190" t="str">
        <f t="shared" ca="1" si="220"/>
        <v/>
      </c>
      <c r="BF244" s="190" t="str">
        <f t="shared" ca="1" si="221"/>
        <v/>
      </c>
      <c r="BG244"/>
      <c r="BH244" s="190" t="str">
        <f ca="1">IF(ISNUMBER(OFFSET(BD244,-$F$21,0)),SUM(OFFSET($T$100,($F$16-$F$15+$F$21),0):$T244),"")</f>
        <v/>
      </c>
      <c r="BI244" s="190" t="str">
        <f t="shared" ca="1" si="196"/>
        <v/>
      </c>
      <c r="BJ244" s="190" t="str">
        <f t="shared" ca="1" si="222"/>
        <v/>
      </c>
      <c r="BK244" s="190"/>
      <c r="BL244" s="190" t="str">
        <f ca="1">IFERROR(IF(OR(ISNUMBER(I),ISNUMBER($F$14)),IF(AND($B244&gt;=($F$17-$F$15),$B244&lt;$F$22+($F$17-$F$15)),SUM(OFFSET($T$100,($F$17-$F$15),0):$T244),""),""),"")</f>
        <v/>
      </c>
      <c r="BM244" s="190" t="str">
        <f t="shared" ca="1" si="197"/>
        <v/>
      </c>
      <c r="BN244" s="190" t="str">
        <f t="shared" ca="1" si="223"/>
        <v/>
      </c>
      <c r="BO244"/>
      <c r="BP244" s="190" t="str">
        <f ca="1">IF(ISNUMBER(OFFSET(BL244,-$F$21,0)),SUM(OFFSET($T$100,($F$17-$F$15+$F$21),0):$T244),"")</f>
        <v/>
      </c>
      <c r="BQ244" s="190" t="str">
        <f t="shared" ca="1" si="198"/>
        <v/>
      </c>
      <c r="BR244" s="190" t="str">
        <f t="shared" ca="1" si="224"/>
        <v/>
      </c>
      <c r="BS244" s="190"/>
      <c r="BT244"/>
      <c r="BU244"/>
      <c r="BV244"/>
      <c r="BY244" s="99"/>
      <c r="BZ244" s="99"/>
      <c r="CA244" s="280" t="str">
        <f t="shared" si="199"/>
        <v/>
      </c>
      <c r="CB244" s="71" t="str">
        <f t="shared" si="200"/>
        <v>-</v>
      </c>
      <c r="CC244" s="33"/>
      <c r="CD244" s="261" t="str">
        <f t="shared" si="201"/>
        <v/>
      </c>
      <c r="CE244" s="280" t="str">
        <f t="shared" si="202"/>
        <v/>
      </c>
      <c r="CF244" s="71" t="str">
        <f t="shared" ca="1" si="203"/>
        <v/>
      </c>
      <c r="CG244" s="33" t="str">
        <f t="shared" si="204"/>
        <v/>
      </c>
      <c r="CH244" s="261" t="str">
        <f t="shared" ca="1" si="205"/>
        <v/>
      </c>
    </row>
    <row r="245" spans="2:86" ht="13.5" customHeight="1" x14ac:dyDescent="0.2">
      <c r="B245" s="262">
        <v>145</v>
      </c>
      <c r="C245" s="237" t="str">
        <f t="shared" si="169"/>
        <v/>
      </c>
      <c r="D245" s="237" t="str">
        <f t="shared" si="225"/>
        <v/>
      </c>
      <c r="E245" s="263" t="str">
        <f t="shared" si="206"/>
        <v/>
      </c>
      <c r="F245" s="264" t="str">
        <f t="shared" si="207"/>
        <v/>
      </c>
      <c r="G245" s="264" t="str">
        <f t="shared" si="208"/>
        <v/>
      </c>
      <c r="H245" s="240" t="str">
        <f t="shared" si="170"/>
        <v/>
      </c>
      <c r="I245" s="265" t="str">
        <f t="shared" si="171"/>
        <v/>
      </c>
      <c r="J245" s="265" t="str">
        <f t="shared" si="172"/>
        <v/>
      </c>
      <c r="K245" s="240" t="str">
        <f t="shared" si="173"/>
        <v/>
      </c>
      <c r="L245" s="265" t="str">
        <f t="shared" si="174"/>
        <v/>
      </c>
      <c r="M245" s="265" t="str">
        <f t="shared" si="175"/>
        <v/>
      </c>
      <c r="N245" s="240" t="str">
        <f t="shared" si="176"/>
        <v>-</v>
      </c>
      <c r="O245" s="265" t="str">
        <f t="shared" si="177"/>
        <v>-</v>
      </c>
      <c r="P245" s="265" t="str">
        <f t="shared" si="178"/>
        <v>-</v>
      </c>
      <c r="Q245" s="266" t="str">
        <f t="shared" si="179"/>
        <v>-</v>
      </c>
      <c r="R245" s="267" t="str">
        <f t="shared" si="180"/>
        <v>-</v>
      </c>
      <c r="S245" s="268" t="str">
        <f t="shared" si="181"/>
        <v>-</v>
      </c>
      <c r="T245" s="269" t="str">
        <f t="shared" si="182"/>
        <v/>
      </c>
      <c r="U245" s="221">
        <f t="shared" si="183"/>
        <v>145</v>
      </c>
      <c r="V245" s="220" t="str">
        <f t="shared" si="209"/>
        <v>-</v>
      </c>
      <c r="W245" s="221" t="str">
        <f t="shared" si="210"/>
        <v>-</v>
      </c>
      <c r="X245" s="221" t="str">
        <f t="shared" si="184"/>
        <v>-</v>
      </c>
      <c r="Y245" s="221" t="str">
        <f t="shared" si="185"/>
        <v>-</v>
      </c>
      <c r="Z245" s="270">
        <f t="shared" si="211"/>
        <v>0.1</v>
      </c>
      <c r="AA245" s="271" t="str">
        <f>IFERROR(IF(V244=1,AA$100*EXP(-(LN(2)/$D$65+0.04)*X244)*EXP(-(LN(2)/$D$65+0.1)*Y244),IF(V244=2,AA$100*EXP(-(LN(2)/$D$65+0.04)*(VLOOKUP(($F$16-$F$15)-1,U$99:Y244,4,FALSE)))*EXP(-(LN(2)/$D$65+0.1)*(VLOOKUP(($F$16-$F$15)-1,U$99:Y244,5,FALSE)))*EXP(-(LN(2)/$D$65+0.04)*X244)*EXP(-(LN(2)/$D$65+0.1)*Y244),IF(V244=3,AA$100*EXP(-(LN(2)/$D$65+0.04)*(VLOOKUP(($F$16-$F$15)-1,U$99:Y244,4,FALSE)))*EXP(-(LN(2)/$D$65+0.1)*(VLOOKUP(($F$16-$F$15)-1,U$99:Y244,5,FALSE)))*EXP(-(LN(2)/$D$65+0.04)*(VLOOKUP(($F$16-$F$15)*2-1,U$99:Y244,4,FALSE)))*EXP(-(LN(2)/$D$65+0.1)*(VLOOKUP(($F$16-$F$15)*2-1,U$99:Y244,5,FALSE)))*EXP(-(LN(2)/$D$65+0.04)*X244)*EXP(-(LN(2)/$D$65+0.1)*Y244),"-"))),"-")</f>
        <v>-</v>
      </c>
      <c r="AB245" s="271" t="str">
        <f>IFERROR(IF(V245=1,AB$100*EXP(-(LN(2)/$D$65+0.04)*X245)*EXP(-(LN(2)/$D$65+0.1)*Y245),IF(V245=2,AB$100*EXP(-(LN(2)/$D$65+0.04)*(VLOOKUP(($F$16-$F$15)-1,U$100:Y245,4,FALSE)))*EXP(-(LN(2)/$D$65+0.1)*(VLOOKUP(($F$16-$F$15)-1,U$100:Y245,5,FALSE)))*EXP(-(LN(2)/$D$65+0.04)*X245)*EXP(-(LN(2)/$D$65+0.1)*Y245),IF(V245=3,AB$100*EXP(-(LN(2)/$D$65+0.04)*(VLOOKUP(($F$16-$F$15)-1,U$100:Y245,4,FALSE)))*EXP(-(LN(2)/$D$65+0.1)*(VLOOKUP(($F$16-$F$15)-1,U$100:Y245,5,FALSE)))*EXP(-(LN(2)/$D$65+0.04)*(VLOOKUP(($F$16-$F$15)*2-1,U$100:Y245,4,FALSE)))*EXP(-(LN(2)/$D$65+0.1)*(VLOOKUP(($F$16-$F$15)*2-1,U$100:Y245,5,FALSE)))*EXP(-(LN(2)/$D$65+0.04)*X245)*EXP(-(LN(2)/$D$65+0.1)*Y245),"-"))),"-")</f>
        <v>-</v>
      </c>
      <c r="AC245" s="224">
        <f t="shared" si="226"/>
        <v>145</v>
      </c>
      <c r="AD245" s="223" t="str">
        <f t="shared" si="186"/>
        <v>-</v>
      </c>
      <c r="AE245" s="224" t="str">
        <f t="shared" si="213"/>
        <v>-</v>
      </c>
      <c r="AF245" s="224" t="str">
        <f t="shared" si="187"/>
        <v>-</v>
      </c>
      <c r="AG245" s="224" t="str">
        <f t="shared" si="188"/>
        <v>-</v>
      </c>
      <c r="AH245" s="272">
        <f t="shared" si="214"/>
        <v>0.1</v>
      </c>
      <c r="AI245" s="271" t="str">
        <f>IFERROR(IF(AD244=1,AI$100*EXP(-(LN(2)/$D$65+0.04)*AF244)*EXP(-(LN(2)/$D$65+0.1)*AG244),IF(AD244=2,AI$100*EXP(-(LN(2)/$D$65+0.04)*(VLOOKUP(($F$16-$F$15)-1,AC$99:AG244,4,FALSE)))*EXP(-(LN(2)/$D$65+0.1)*(VLOOKUP(($F$16-$F$15)-1,AC$99:AG244,5,FALSE)))*EXP(-(LN(2)/$D$65+0.04)*AF244)*EXP(-(LN(2)/$D$65+0.1)*AG244),IF(AD244=3,AI$100*EXP(-(LN(2)/$D$65+0.04)*(VLOOKUP(($F$16-$F$15)-1,AC$99:AG244,4,FALSE)))*EXP(-(LN(2)/$D$65+0.1)*(VLOOKUP(($F$16-$F$15)-1,AC$99:AG244,5,FALSE)))*EXP(-(LN(2)/$D$65+0.04)*(VLOOKUP(($F$16-$F$15)*2-1,AC$99:AG244,4,FALSE)))*EXP(-(LN(2)/$D$65+0.1)*(VLOOKUP(($F$16-$F$15)*2-1,AC$99:AG244,5,FALSE)))*EXP(-(LN(2)/$D$65+0.04)*AF244)*EXP(-(LN(2)/$D$65+0.1)*AG244),"-"))),"-")</f>
        <v>-</v>
      </c>
      <c r="AJ245" s="271" t="str">
        <f>IFERROR(IF(AD245=1,AJ$100*EXP(-(LN(2)/$D$65+0.04)*AF245)*EXP(-(LN(2)/$D$65+0.1)*AG245),IF(AD245=2,AJ$100*EXP(-(LN(2)/$D$65+0.04)*(VLOOKUP(($F$16-$F$15)-1,AC$100:AG245,4,FALSE)))*EXP(-(LN(2)/$D$65+0.1)*(VLOOKUP(($F$16-$F$15)-1,AC$100:AG245,5,FALSE)))*EXP(-(LN(2)/$D$65+0.04)*AF245)*EXP(-(LN(2)/$D$65+0.1)*AG245),IF(AD245=3,AJ$100*EXP(-(LN(2)/$D$65+0.04)*(VLOOKUP(($F$16-$F$15)-1,AC$100:AG245,4,FALSE)))*EXP(-(LN(2)/$D$65+0.1)*(VLOOKUP(($F$16-$F$15)-1,AC$100:AG245,5,FALSE)))*EXP(-(LN(2)/$D$65+0.04)*(VLOOKUP(($F$16-$F$15)*2-1,AC$100:AG245,4,FALSE)))*EXP(-(LN(2)/$D$65+0.1)*(VLOOKUP(($F$16-$F$15)*2-1,AC$100:AG245,5,FALSE)))*EXP(-(LN(2)/$D$65+0.04)*AF245)*EXP(-(LN(2)/$D$65+0.1)*AG245),"-"))),"-")</f>
        <v>-</v>
      </c>
      <c r="AK245" s="227">
        <f t="shared" si="215"/>
        <v>145</v>
      </c>
      <c r="AL245" s="226" t="str">
        <f t="shared" si="189"/>
        <v>-</v>
      </c>
      <c r="AM245" s="227" t="str">
        <f t="shared" si="216"/>
        <v>-</v>
      </c>
      <c r="AN245" s="227" t="str">
        <f t="shared" si="217"/>
        <v>-</v>
      </c>
      <c r="AO245" s="227" t="str">
        <f t="shared" si="190"/>
        <v>-</v>
      </c>
      <c r="AP245" s="273">
        <f t="shared" si="218"/>
        <v>0.1</v>
      </c>
      <c r="AQ245" s="271" t="str">
        <f>IFERROR(IF(AL244=1,AQ$100*EXP(-(LN(2)/$D$65+0.04)*AN244)*EXP(-(LN(2)/$D$65+0.1)*AO244),IF(AL244=2,AQ$100*EXP(-(LN(2)/$D$65+0.04)*(VLOOKUP(($F$16-$F$15)-1,AK$99:AO244,4,FALSE)))*EXP(-(LN(2)/$D$65+0.1)*(VLOOKUP(($F$16-$F$15)-1,AK$99:AO244,5,FALSE)))*EXP(-(LN(2)/$D$65+0.04)*AN244)*EXP(-(LN(2)/$D$65+0.1)*AO244),IF(AL244=3,AQ$100*EXP(-(LN(2)/$D$65+0.04)*(VLOOKUP(($F$16-$F$15)-1,AK$99:AO244,4,FALSE)))*EXP(-(LN(2)/$D$65+0.1)*(VLOOKUP(($F$16-$F$15)-1,AK$99:AO244,5,FALSE)))*EXP(-(LN(2)/$D$65+0.04)*(VLOOKUP(($F$16-$F$15)*2-1,AK$99:AO244,4,FALSE)))*EXP(-(LN(2)/$D$65+0.1)*(VLOOKUP(($F$16-$F$15)*2-1,AK$99:AO244,5,FALSE)))*EXP(-(LN(2)/$D$65+0.04)*AN244)*EXP(-(LN(2)/$D$65+0.1)*AO244),"-"))),"-")</f>
        <v>-</v>
      </c>
      <c r="AR245" s="271" t="str">
        <f>IFERROR(IF(AL245=1,AR$100*EXP(-(LN(2)/$D$65+0.04)*AN245)*EXP(-(LN(2)/$D$65+0.1)*AO245),IF(AL245=2,AR$100*EXP(-(LN(2)/$D$65+0.04)*(VLOOKUP(($F$16-$F$15)-1,AK$100:AO245,4,FALSE)))*EXP(-(LN(2)/$D$65+0.1)*(VLOOKUP(($F$16-$F$15)-1,AK$100:AO245,5,FALSE)))*EXP(-(LN(2)/$D$65+0.04)*AN245)*EXP(-(LN(2)/$D$65+0.1)*AO245),IF(AL245=3,AR$100*EXP(-(LN(2)/$D$65+0.04)*(VLOOKUP(($F$16-$F$15)-1,AK$100:AO245,4,FALSE)))*EXP(-(LN(2)/$D$65+0.1)*(VLOOKUP(($F$16-$F$15)-1,AK$100:AO245,5,FALSE)))*EXP(-(LN(2)/$D$65+0.04)*(VLOOKUP(($F$16-$F$15)*2-1,AK$100:AO245,4,FALSE)))*EXP(-(LN(2)/$D$65+0.1)*(VLOOKUP(($F$16-$F$15)*2-1,AK$100:AO245,5,FALSE)))*EXP(-(LN(2)/$D$65+0.04)*AN245)*EXP(-(LN(2)/$D$65+0.1)*AO245),"-"))),"-")</f>
        <v>-</v>
      </c>
      <c r="AS245" s="274">
        <f t="shared" si="191"/>
        <v>0</v>
      </c>
      <c r="AT245" s="274">
        <f t="shared" si="192"/>
        <v>0</v>
      </c>
      <c r="AU245" s="274">
        <f t="shared" si="193"/>
        <v>0</v>
      </c>
      <c r="AV245" s="190" t="str">
        <f>IF($B245&lt;$F$22,SUM($T$100:$T245),"")</f>
        <v/>
      </c>
      <c r="AW245" s="190" t="str">
        <f t="shared" si="194"/>
        <v>-</v>
      </c>
      <c r="AX245" s="190" t="str">
        <f t="shared" si="219"/>
        <v/>
      </c>
      <c r="AY245"/>
      <c r="AZ245" s="190" t="str">
        <f ca="1">IF(ISNUMBER(OFFSET(AV245,-$F$21,0)),SUM(OFFSET($T$100,$F$21,0):$T245),"")</f>
        <v/>
      </c>
      <c r="BA245" s="190" t="str">
        <f t="shared" ca="1" si="195"/>
        <v/>
      </c>
      <c r="BB245" s="190" t="str">
        <f t="shared" ca="1" si="148"/>
        <v/>
      </c>
      <c r="BC245" s="190"/>
      <c r="BD245" s="190" t="str">
        <f ca="1">IFERROR(IF(OR(ISNUMBER(I),ISNUMBER($F$14)),IF(AND($B245&gt;=($F$16-$F$15),$B245&lt;$F$22+($F$16-$F$15)),SUM(OFFSET($T$100,($F$16-$F$15),0):$T245),""),""),"")</f>
        <v/>
      </c>
      <c r="BE245" s="190" t="str">
        <f t="shared" ca="1" si="220"/>
        <v/>
      </c>
      <c r="BF245" s="190" t="str">
        <f t="shared" ca="1" si="221"/>
        <v/>
      </c>
      <c r="BG245"/>
      <c r="BH245" s="190" t="str">
        <f ca="1">IF(ISNUMBER(OFFSET(BD245,-$F$21,0)),SUM(OFFSET($T$100,($F$16-$F$15+$F$21),0):$T245),"")</f>
        <v/>
      </c>
      <c r="BI245" s="190" t="str">
        <f t="shared" ca="1" si="196"/>
        <v/>
      </c>
      <c r="BJ245" s="190" t="str">
        <f t="shared" ca="1" si="222"/>
        <v/>
      </c>
      <c r="BK245" s="190"/>
      <c r="BL245" s="190" t="str">
        <f ca="1">IFERROR(IF(OR(ISNUMBER(I),ISNUMBER($F$14)),IF(AND($B245&gt;=($F$17-$F$15),$B245&lt;$F$22+($F$17-$F$15)),SUM(OFFSET($T$100,($F$17-$F$15),0):$T245),""),""),"")</f>
        <v/>
      </c>
      <c r="BM245" s="190" t="str">
        <f t="shared" ca="1" si="197"/>
        <v/>
      </c>
      <c r="BN245" s="190" t="str">
        <f t="shared" ca="1" si="223"/>
        <v/>
      </c>
      <c r="BO245"/>
      <c r="BP245" s="190" t="str">
        <f ca="1">IF(ISNUMBER(OFFSET(BL245,-$F$21,0)),SUM(OFFSET($T$100,($F$17-$F$15+$F$21),0):$T245),"")</f>
        <v/>
      </c>
      <c r="BQ245" s="190" t="str">
        <f t="shared" ca="1" si="198"/>
        <v/>
      </c>
      <c r="BR245" s="190" t="str">
        <f t="shared" ca="1" si="224"/>
        <v/>
      </c>
      <c r="BS245" s="190"/>
      <c r="BT245"/>
      <c r="BU245"/>
      <c r="BV245"/>
      <c r="BY245" s="99"/>
      <c r="BZ245" s="99"/>
      <c r="CA245" s="280" t="str">
        <f t="shared" si="199"/>
        <v/>
      </c>
      <c r="CB245" s="71" t="str">
        <f t="shared" si="200"/>
        <v>-</v>
      </c>
      <c r="CC245" s="33"/>
      <c r="CD245" s="261" t="str">
        <f t="shared" si="201"/>
        <v/>
      </c>
      <c r="CE245" s="280" t="str">
        <f t="shared" si="202"/>
        <v/>
      </c>
      <c r="CF245" s="71" t="str">
        <f t="shared" ca="1" si="203"/>
        <v/>
      </c>
      <c r="CG245" s="33" t="str">
        <f t="shared" si="204"/>
        <v/>
      </c>
      <c r="CH245" s="261" t="str">
        <f t="shared" ca="1" si="205"/>
        <v/>
      </c>
    </row>
    <row r="246" spans="2:86" ht="13.5" customHeight="1" x14ac:dyDescent="0.2">
      <c r="B246" s="262">
        <v>146</v>
      </c>
      <c r="C246" s="237" t="str">
        <f t="shared" si="169"/>
        <v/>
      </c>
      <c r="D246" s="237" t="str">
        <f t="shared" si="225"/>
        <v/>
      </c>
      <c r="E246" s="263" t="str">
        <f t="shared" si="206"/>
        <v/>
      </c>
      <c r="F246" s="264" t="str">
        <f t="shared" si="207"/>
        <v/>
      </c>
      <c r="G246" s="264" t="str">
        <f t="shared" si="208"/>
        <v/>
      </c>
      <c r="H246" s="240" t="str">
        <f t="shared" si="170"/>
        <v/>
      </c>
      <c r="I246" s="265" t="str">
        <f t="shared" si="171"/>
        <v/>
      </c>
      <c r="J246" s="265" t="str">
        <f t="shared" si="172"/>
        <v/>
      </c>
      <c r="K246" s="240" t="str">
        <f t="shared" si="173"/>
        <v/>
      </c>
      <c r="L246" s="265" t="str">
        <f t="shared" si="174"/>
        <v/>
      </c>
      <c r="M246" s="265" t="str">
        <f t="shared" si="175"/>
        <v/>
      </c>
      <c r="N246" s="240" t="str">
        <f t="shared" si="176"/>
        <v>-</v>
      </c>
      <c r="O246" s="265" t="str">
        <f t="shared" si="177"/>
        <v>-</v>
      </c>
      <c r="P246" s="265" t="str">
        <f t="shared" si="178"/>
        <v>-</v>
      </c>
      <c r="Q246" s="266" t="str">
        <f t="shared" si="179"/>
        <v>-</v>
      </c>
      <c r="R246" s="267" t="str">
        <f t="shared" si="180"/>
        <v>-</v>
      </c>
      <c r="S246" s="268" t="str">
        <f t="shared" si="181"/>
        <v>-</v>
      </c>
      <c r="T246" s="269" t="str">
        <f t="shared" si="182"/>
        <v/>
      </c>
      <c r="U246" s="221">
        <f t="shared" si="183"/>
        <v>146</v>
      </c>
      <c r="V246" s="220" t="str">
        <f t="shared" si="209"/>
        <v>-</v>
      </c>
      <c r="W246" s="221" t="str">
        <f t="shared" si="210"/>
        <v>-</v>
      </c>
      <c r="X246" s="221" t="str">
        <f t="shared" si="184"/>
        <v>-</v>
      </c>
      <c r="Y246" s="221" t="str">
        <f t="shared" si="185"/>
        <v>-</v>
      </c>
      <c r="Z246" s="270">
        <f t="shared" si="211"/>
        <v>0.1</v>
      </c>
      <c r="AA246" s="271" t="str">
        <f>IFERROR(IF(V245=1,AA$100*EXP(-(LN(2)/$D$65+0.04)*X245)*EXP(-(LN(2)/$D$65+0.1)*Y245),IF(V245=2,AA$100*EXP(-(LN(2)/$D$65+0.04)*(VLOOKUP(($F$16-$F$15)-1,U$99:Y245,4,FALSE)))*EXP(-(LN(2)/$D$65+0.1)*(VLOOKUP(($F$16-$F$15)-1,U$99:Y245,5,FALSE)))*EXP(-(LN(2)/$D$65+0.04)*X245)*EXP(-(LN(2)/$D$65+0.1)*Y245),IF(V245=3,AA$100*EXP(-(LN(2)/$D$65+0.04)*(VLOOKUP(($F$16-$F$15)-1,U$99:Y245,4,FALSE)))*EXP(-(LN(2)/$D$65+0.1)*(VLOOKUP(($F$16-$F$15)-1,U$99:Y245,5,FALSE)))*EXP(-(LN(2)/$D$65+0.04)*(VLOOKUP(($F$16-$F$15)*2-1,U$99:Y245,4,FALSE)))*EXP(-(LN(2)/$D$65+0.1)*(VLOOKUP(($F$16-$F$15)*2-1,U$99:Y245,5,FALSE)))*EXP(-(LN(2)/$D$65+0.04)*X245)*EXP(-(LN(2)/$D$65+0.1)*Y245),"-"))),"-")</f>
        <v>-</v>
      </c>
      <c r="AB246" s="271" t="str">
        <f>IFERROR(IF(V246=1,AB$100*EXP(-(LN(2)/$D$65+0.04)*X246)*EXP(-(LN(2)/$D$65+0.1)*Y246),IF(V246=2,AB$100*EXP(-(LN(2)/$D$65+0.04)*(VLOOKUP(($F$16-$F$15)-1,U$100:Y246,4,FALSE)))*EXP(-(LN(2)/$D$65+0.1)*(VLOOKUP(($F$16-$F$15)-1,U$100:Y246,5,FALSE)))*EXP(-(LN(2)/$D$65+0.04)*X246)*EXP(-(LN(2)/$D$65+0.1)*Y246),IF(V246=3,AB$100*EXP(-(LN(2)/$D$65+0.04)*(VLOOKUP(($F$16-$F$15)-1,U$100:Y246,4,FALSE)))*EXP(-(LN(2)/$D$65+0.1)*(VLOOKUP(($F$16-$F$15)-1,U$100:Y246,5,FALSE)))*EXP(-(LN(2)/$D$65+0.04)*(VLOOKUP(($F$16-$F$15)*2-1,U$100:Y246,4,FALSE)))*EXP(-(LN(2)/$D$65+0.1)*(VLOOKUP(($F$16-$F$15)*2-1,U$100:Y246,5,FALSE)))*EXP(-(LN(2)/$D$65+0.04)*X246)*EXP(-(LN(2)/$D$65+0.1)*Y246),"-"))),"-")</f>
        <v>-</v>
      </c>
      <c r="AC246" s="224">
        <f t="shared" si="226"/>
        <v>146</v>
      </c>
      <c r="AD246" s="223" t="str">
        <f t="shared" si="186"/>
        <v>-</v>
      </c>
      <c r="AE246" s="224" t="str">
        <f t="shared" si="213"/>
        <v>-</v>
      </c>
      <c r="AF246" s="224" t="str">
        <f t="shared" si="187"/>
        <v>-</v>
      </c>
      <c r="AG246" s="224" t="str">
        <f t="shared" si="188"/>
        <v>-</v>
      </c>
      <c r="AH246" s="272">
        <f t="shared" si="214"/>
        <v>0.1</v>
      </c>
      <c r="AI246" s="271" t="str">
        <f>IFERROR(IF(AD245=1,AI$100*EXP(-(LN(2)/$D$65+0.04)*AF245)*EXP(-(LN(2)/$D$65+0.1)*AG245),IF(AD245=2,AI$100*EXP(-(LN(2)/$D$65+0.04)*(VLOOKUP(($F$16-$F$15)-1,AC$99:AG245,4,FALSE)))*EXP(-(LN(2)/$D$65+0.1)*(VLOOKUP(($F$16-$F$15)-1,AC$99:AG245,5,FALSE)))*EXP(-(LN(2)/$D$65+0.04)*AF245)*EXP(-(LN(2)/$D$65+0.1)*AG245),IF(AD245=3,AI$100*EXP(-(LN(2)/$D$65+0.04)*(VLOOKUP(($F$16-$F$15)-1,AC$99:AG245,4,FALSE)))*EXP(-(LN(2)/$D$65+0.1)*(VLOOKUP(($F$16-$F$15)-1,AC$99:AG245,5,FALSE)))*EXP(-(LN(2)/$D$65+0.04)*(VLOOKUP(($F$16-$F$15)*2-1,AC$99:AG245,4,FALSE)))*EXP(-(LN(2)/$D$65+0.1)*(VLOOKUP(($F$16-$F$15)*2-1,AC$99:AG245,5,FALSE)))*EXP(-(LN(2)/$D$65+0.04)*AF245)*EXP(-(LN(2)/$D$65+0.1)*AG245),"-"))),"-")</f>
        <v>-</v>
      </c>
      <c r="AJ246" s="271" t="str">
        <f>IFERROR(IF(AD246=1,AJ$100*EXP(-(LN(2)/$D$65+0.04)*AF246)*EXP(-(LN(2)/$D$65+0.1)*AG246),IF(AD246=2,AJ$100*EXP(-(LN(2)/$D$65+0.04)*(VLOOKUP(($F$16-$F$15)-1,AC$100:AG246,4,FALSE)))*EXP(-(LN(2)/$D$65+0.1)*(VLOOKUP(($F$16-$F$15)-1,AC$100:AG246,5,FALSE)))*EXP(-(LN(2)/$D$65+0.04)*AF246)*EXP(-(LN(2)/$D$65+0.1)*AG246),IF(AD246=3,AJ$100*EXP(-(LN(2)/$D$65+0.04)*(VLOOKUP(($F$16-$F$15)-1,AC$100:AG246,4,FALSE)))*EXP(-(LN(2)/$D$65+0.1)*(VLOOKUP(($F$16-$F$15)-1,AC$100:AG246,5,FALSE)))*EXP(-(LN(2)/$D$65+0.04)*(VLOOKUP(($F$16-$F$15)*2-1,AC$100:AG246,4,FALSE)))*EXP(-(LN(2)/$D$65+0.1)*(VLOOKUP(($F$16-$F$15)*2-1,AC$100:AG246,5,FALSE)))*EXP(-(LN(2)/$D$65+0.04)*AF246)*EXP(-(LN(2)/$D$65+0.1)*AG246),"-"))),"-")</f>
        <v>-</v>
      </c>
      <c r="AK246" s="227">
        <f t="shared" si="215"/>
        <v>146</v>
      </c>
      <c r="AL246" s="226" t="str">
        <f t="shared" si="189"/>
        <v>-</v>
      </c>
      <c r="AM246" s="227" t="str">
        <f t="shared" si="216"/>
        <v>-</v>
      </c>
      <c r="AN246" s="227" t="str">
        <f t="shared" si="217"/>
        <v>-</v>
      </c>
      <c r="AO246" s="227" t="str">
        <f t="shared" si="190"/>
        <v>-</v>
      </c>
      <c r="AP246" s="273">
        <f t="shared" si="218"/>
        <v>0.1</v>
      </c>
      <c r="AQ246" s="271" t="str">
        <f>IFERROR(IF(AL245=1,AQ$100*EXP(-(LN(2)/$D$65+0.04)*AN245)*EXP(-(LN(2)/$D$65+0.1)*AO245),IF(AL245=2,AQ$100*EXP(-(LN(2)/$D$65+0.04)*(VLOOKUP(($F$16-$F$15)-1,AK$99:AO245,4,FALSE)))*EXP(-(LN(2)/$D$65+0.1)*(VLOOKUP(($F$16-$F$15)-1,AK$99:AO245,5,FALSE)))*EXP(-(LN(2)/$D$65+0.04)*AN245)*EXP(-(LN(2)/$D$65+0.1)*AO245),IF(AL245=3,AQ$100*EXP(-(LN(2)/$D$65+0.04)*(VLOOKUP(($F$16-$F$15)-1,AK$99:AO245,4,FALSE)))*EXP(-(LN(2)/$D$65+0.1)*(VLOOKUP(($F$16-$F$15)-1,AK$99:AO245,5,FALSE)))*EXP(-(LN(2)/$D$65+0.04)*(VLOOKUP(($F$16-$F$15)*2-1,AK$99:AO245,4,FALSE)))*EXP(-(LN(2)/$D$65+0.1)*(VLOOKUP(($F$16-$F$15)*2-1,AK$99:AO245,5,FALSE)))*EXP(-(LN(2)/$D$65+0.04)*AN245)*EXP(-(LN(2)/$D$65+0.1)*AO245),"-"))),"-")</f>
        <v>-</v>
      </c>
      <c r="AR246" s="271" t="str">
        <f>IFERROR(IF(AL246=1,AR$100*EXP(-(LN(2)/$D$65+0.04)*AN246)*EXP(-(LN(2)/$D$65+0.1)*AO246),IF(AL246=2,AR$100*EXP(-(LN(2)/$D$65+0.04)*(VLOOKUP(($F$16-$F$15)-1,AK$100:AO246,4,FALSE)))*EXP(-(LN(2)/$D$65+0.1)*(VLOOKUP(($F$16-$F$15)-1,AK$100:AO246,5,FALSE)))*EXP(-(LN(2)/$D$65+0.04)*AN246)*EXP(-(LN(2)/$D$65+0.1)*AO246),IF(AL246=3,AR$100*EXP(-(LN(2)/$D$65+0.04)*(VLOOKUP(($F$16-$F$15)-1,AK$100:AO246,4,FALSE)))*EXP(-(LN(2)/$D$65+0.1)*(VLOOKUP(($F$16-$F$15)-1,AK$100:AO246,5,FALSE)))*EXP(-(LN(2)/$D$65+0.04)*(VLOOKUP(($F$16-$F$15)*2-1,AK$100:AO246,4,FALSE)))*EXP(-(LN(2)/$D$65+0.1)*(VLOOKUP(($F$16-$F$15)*2-1,AK$100:AO246,5,FALSE)))*EXP(-(LN(2)/$D$65+0.04)*AN246)*EXP(-(LN(2)/$D$65+0.1)*AO246),"-"))),"-")</f>
        <v>-</v>
      </c>
      <c r="AS246" s="274">
        <f t="shared" si="191"/>
        <v>0</v>
      </c>
      <c r="AT246" s="274">
        <f t="shared" si="192"/>
        <v>0</v>
      </c>
      <c r="AU246" s="274">
        <f t="shared" si="193"/>
        <v>0</v>
      </c>
      <c r="AV246" s="190" t="str">
        <f>IF($B246&lt;$F$22,SUM($T$100:$T246),"")</f>
        <v/>
      </c>
      <c r="AW246" s="190" t="str">
        <f t="shared" si="194"/>
        <v>-</v>
      </c>
      <c r="AX246" s="190" t="str">
        <f t="shared" si="219"/>
        <v/>
      </c>
      <c r="AY246"/>
      <c r="AZ246" s="190" t="str">
        <f ca="1">IF(ISNUMBER(OFFSET(AV246,-$F$21,0)),SUM(OFFSET($T$100,$F$21,0):$T246),"")</f>
        <v/>
      </c>
      <c r="BA246" s="190" t="str">
        <f t="shared" ca="1" si="195"/>
        <v/>
      </c>
      <c r="BB246" s="190" t="str">
        <f t="shared" ca="1" si="148"/>
        <v/>
      </c>
      <c r="BC246" s="190"/>
      <c r="BD246" s="190" t="str">
        <f ca="1">IFERROR(IF(OR(ISNUMBER(I),ISNUMBER($F$14)),IF(AND($B246&gt;=($F$16-$F$15),$B246&lt;$F$22+($F$16-$F$15)),SUM(OFFSET($T$100,($F$16-$F$15),0):$T246),""),""),"")</f>
        <v/>
      </c>
      <c r="BE246" s="190" t="str">
        <f t="shared" ca="1" si="220"/>
        <v/>
      </c>
      <c r="BF246" s="190" t="str">
        <f t="shared" ca="1" si="221"/>
        <v/>
      </c>
      <c r="BG246"/>
      <c r="BH246" s="190" t="str">
        <f ca="1">IF(ISNUMBER(OFFSET(BD246,-$F$21,0)),SUM(OFFSET($T$100,($F$16-$F$15+$F$21),0):$T246),"")</f>
        <v/>
      </c>
      <c r="BI246" s="190" t="str">
        <f t="shared" ca="1" si="196"/>
        <v/>
      </c>
      <c r="BJ246" s="190" t="str">
        <f t="shared" ca="1" si="222"/>
        <v/>
      </c>
      <c r="BK246" s="190"/>
      <c r="BL246" s="190" t="str">
        <f ca="1">IFERROR(IF(OR(ISNUMBER(I),ISNUMBER($F$14)),IF(AND($B246&gt;=($F$17-$F$15),$B246&lt;$F$22+($F$17-$F$15)),SUM(OFFSET($T$100,($F$17-$F$15),0):$T246),""),""),"")</f>
        <v/>
      </c>
      <c r="BM246" s="190" t="str">
        <f t="shared" ca="1" si="197"/>
        <v/>
      </c>
      <c r="BN246" s="190" t="str">
        <f t="shared" ca="1" si="223"/>
        <v/>
      </c>
      <c r="BO246"/>
      <c r="BP246" s="190" t="str">
        <f ca="1">IF(ISNUMBER(OFFSET(BL246,-$F$21,0)),SUM(OFFSET($T$100,($F$17-$F$15+$F$21),0):$T246),"")</f>
        <v/>
      </c>
      <c r="BQ246" s="190" t="str">
        <f t="shared" ca="1" si="198"/>
        <v/>
      </c>
      <c r="BR246" s="190" t="str">
        <f t="shared" ca="1" si="224"/>
        <v/>
      </c>
      <c r="BS246" s="190"/>
      <c r="BT246"/>
      <c r="BU246"/>
      <c r="BV246"/>
      <c r="BY246" s="99"/>
      <c r="BZ246" s="99"/>
      <c r="CA246" s="280" t="str">
        <f t="shared" si="199"/>
        <v/>
      </c>
      <c r="CB246" s="71" t="str">
        <f t="shared" si="200"/>
        <v>-</v>
      </c>
      <c r="CC246" s="33"/>
      <c r="CD246" s="261" t="str">
        <f t="shared" si="201"/>
        <v/>
      </c>
      <c r="CE246" s="280" t="str">
        <f t="shared" si="202"/>
        <v/>
      </c>
      <c r="CF246" s="71" t="str">
        <f t="shared" ca="1" si="203"/>
        <v/>
      </c>
      <c r="CG246" s="33" t="str">
        <f t="shared" si="204"/>
        <v/>
      </c>
      <c r="CH246" s="261" t="str">
        <f t="shared" ca="1" si="205"/>
        <v/>
      </c>
    </row>
    <row r="247" spans="2:86" ht="13.5" customHeight="1" x14ac:dyDescent="0.2">
      <c r="B247" s="262">
        <v>147</v>
      </c>
      <c r="C247" s="237" t="str">
        <f t="shared" si="169"/>
        <v/>
      </c>
      <c r="D247" s="237" t="str">
        <f t="shared" si="225"/>
        <v/>
      </c>
      <c r="E247" s="263" t="str">
        <f t="shared" si="206"/>
        <v/>
      </c>
      <c r="F247" s="264" t="str">
        <f t="shared" si="207"/>
        <v/>
      </c>
      <c r="G247" s="264" t="str">
        <f t="shared" si="208"/>
        <v/>
      </c>
      <c r="H247" s="240" t="str">
        <f t="shared" si="170"/>
        <v/>
      </c>
      <c r="I247" s="265" t="str">
        <f t="shared" si="171"/>
        <v/>
      </c>
      <c r="J247" s="265" t="str">
        <f t="shared" si="172"/>
        <v/>
      </c>
      <c r="K247" s="240" t="str">
        <f t="shared" si="173"/>
        <v/>
      </c>
      <c r="L247" s="265" t="str">
        <f t="shared" si="174"/>
        <v/>
      </c>
      <c r="M247" s="265" t="str">
        <f t="shared" si="175"/>
        <v/>
      </c>
      <c r="N247" s="240" t="str">
        <f t="shared" si="176"/>
        <v>-</v>
      </c>
      <c r="O247" s="265" t="str">
        <f t="shared" si="177"/>
        <v>-</v>
      </c>
      <c r="P247" s="265" t="str">
        <f t="shared" si="178"/>
        <v>-</v>
      </c>
      <c r="Q247" s="266" t="str">
        <f t="shared" si="179"/>
        <v>-</v>
      </c>
      <c r="R247" s="267" t="str">
        <f t="shared" si="180"/>
        <v>-</v>
      </c>
      <c r="S247" s="268" t="str">
        <f t="shared" si="181"/>
        <v>-</v>
      </c>
      <c r="T247" s="269" t="str">
        <f t="shared" si="182"/>
        <v/>
      </c>
      <c r="U247" s="221">
        <f t="shared" si="183"/>
        <v>147</v>
      </c>
      <c r="V247" s="220" t="str">
        <f t="shared" si="209"/>
        <v>-</v>
      </c>
      <c r="W247" s="221" t="str">
        <f t="shared" si="210"/>
        <v>-</v>
      </c>
      <c r="X247" s="221" t="str">
        <f t="shared" si="184"/>
        <v>-</v>
      </c>
      <c r="Y247" s="221" t="str">
        <f t="shared" si="185"/>
        <v>-</v>
      </c>
      <c r="Z247" s="270">
        <f t="shared" si="211"/>
        <v>0.1</v>
      </c>
      <c r="AA247" s="271" t="str">
        <f>IFERROR(IF(V246=1,AA$100*EXP(-(LN(2)/$D$65+0.04)*X246)*EXP(-(LN(2)/$D$65+0.1)*Y246),IF(V246=2,AA$100*EXP(-(LN(2)/$D$65+0.04)*(VLOOKUP(($F$16-$F$15)-1,U$99:Y246,4,FALSE)))*EXP(-(LN(2)/$D$65+0.1)*(VLOOKUP(($F$16-$F$15)-1,U$99:Y246,5,FALSE)))*EXP(-(LN(2)/$D$65+0.04)*X246)*EXP(-(LN(2)/$D$65+0.1)*Y246),IF(V246=3,AA$100*EXP(-(LN(2)/$D$65+0.04)*(VLOOKUP(($F$16-$F$15)-1,U$99:Y246,4,FALSE)))*EXP(-(LN(2)/$D$65+0.1)*(VLOOKUP(($F$16-$F$15)-1,U$99:Y246,5,FALSE)))*EXP(-(LN(2)/$D$65+0.04)*(VLOOKUP(($F$16-$F$15)*2-1,U$99:Y246,4,FALSE)))*EXP(-(LN(2)/$D$65+0.1)*(VLOOKUP(($F$16-$F$15)*2-1,U$99:Y246,5,FALSE)))*EXP(-(LN(2)/$D$65+0.04)*X246)*EXP(-(LN(2)/$D$65+0.1)*Y246),"-"))),"-")</f>
        <v>-</v>
      </c>
      <c r="AB247" s="271" t="str">
        <f>IFERROR(IF(V247=1,AB$100*EXP(-(LN(2)/$D$65+0.04)*X247)*EXP(-(LN(2)/$D$65+0.1)*Y247),IF(V247=2,AB$100*EXP(-(LN(2)/$D$65+0.04)*(VLOOKUP(($F$16-$F$15)-1,U$100:Y247,4,FALSE)))*EXP(-(LN(2)/$D$65+0.1)*(VLOOKUP(($F$16-$F$15)-1,U$100:Y247,5,FALSE)))*EXP(-(LN(2)/$D$65+0.04)*X247)*EXP(-(LN(2)/$D$65+0.1)*Y247),IF(V247=3,AB$100*EXP(-(LN(2)/$D$65+0.04)*(VLOOKUP(($F$16-$F$15)-1,U$100:Y247,4,FALSE)))*EXP(-(LN(2)/$D$65+0.1)*(VLOOKUP(($F$16-$F$15)-1,U$100:Y247,5,FALSE)))*EXP(-(LN(2)/$D$65+0.04)*(VLOOKUP(($F$16-$F$15)*2-1,U$100:Y247,4,FALSE)))*EXP(-(LN(2)/$D$65+0.1)*(VLOOKUP(($F$16-$F$15)*2-1,U$100:Y247,5,FALSE)))*EXP(-(LN(2)/$D$65+0.04)*X247)*EXP(-(LN(2)/$D$65+0.1)*Y247),"-"))),"-")</f>
        <v>-</v>
      </c>
      <c r="AC247" s="224">
        <f t="shared" si="226"/>
        <v>147</v>
      </c>
      <c r="AD247" s="223" t="str">
        <f t="shared" si="186"/>
        <v>-</v>
      </c>
      <c r="AE247" s="224" t="str">
        <f t="shared" si="213"/>
        <v>-</v>
      </c>
      <c r="AF247" s="224" t="str">
        <f t="shared" si="187"/>
        <v>-</v>
      </c>
      <c r="AG247" s="224" t="str">
        <f t="shared" si="188"/>
        <v>-</v>
      </c>
      <c r="AH247" s="272">
        <f t="shared" si="214"/>
        <v>0.1</v>
      </c>
      <c r="AI247" s="271" t="str">
        <f>IFERROR(IF(AD246=1,AI$100*EXP(-(LN(2)/$D$65+0.04)*AF246)*EXP(-(LN(2)/$D$65+0.1)*AG246),IF(AD246=2,AI$100*EXP(-(LN(2)/$D$65+0.04)*(VLOOKUP(($F$16-$F$15)-1,AC$99:AG246,4,FALSE)))*EXP(-(LN(2)/$D$65+0.1)*(VLOOKUP(($F$16-$F$15)-1,AC$99:AG246,5,FALSE)))*EXP(-(LN(2)/$D$65+0.04)*AF246)*EXP(-(LN(2)/$D$65+0.1)*AG246),IF(AD246=3,AI$100*EXP(-(LN(2)/$D$65+0.04)*(VLOOKUP(($F$16-$F$15)-1,AC$99:AG246,4,FALSE)))*EXP(-(LN(2)/$D$65+0.1)*(VLOOKUP(($F$16-$F$15)-1,AC$99:AG246,5,FALSE)))*EXP(-(LN(2)/$D$65+0.04)*(VLOOKUP(($F$16-$F$15)*2-1,AC$99:AG246,4,FALSE)))*EXP(-(LN(2)/$D$65+0.1)*(VLOOKUP(($F$16-$F$15)*2-1,AC$99:AG246,5,FALSE)))*EXP(-(LN(2)/$D$65+0.04)*AF246)*EXP(-(LN(2)/$D$65+0.1)*AG246),"-"))),"-")</f>
        <v>-</v>
      </c>
      <c r="AJ247" s="271" t="str">
        <f>IFERROR(IF(AD247=1,AJ$100*EXP(-(LN(2)/$D$65+0.04)*AF247)*EXP(-(LN(2)/$D$65+0.1)*AG247),IF(AD247=2,AJ$100*EXP(-(LN(2)/$D$65+0.04)*(VLOOKUP(($F$16-$F$15)-1,AC$100:AG247,4,FALSE)))*EXP(-(LN(2)/$D$65+0.1)*(VLOOKUP(($F$16-$F$15)-1,AC$100:AG247,5,FALSE)))*EXP(-(LN(2)/$D$65+0.04)*AF247)*EXP(-(LN(2)/$D$65+0.1)*AG247),IF(AD247=3,AJ$100*EXP(-(LN(2)/$D$65+0.04)*(VLOOKUP(($F$16-$F$15)-1,AC$100:AG247,4,FALSE)))*EXP(-(LN(2)/$D$65+0.1)*(VLOOKUP(($F$16-$F$15)-1,AC$100:AG247,5,FALSE)))*EXP(-(LN(2)/$D$65+0.04)*(VLOOKUP(($F$16-$F$15)*2-1,AC$100:AG247,4,FALSE)))*EXP(-(LN(2)/$D$65+0.1)*(VLOOKUP(($F$16-$F$15)*2-1,AC$100:AG247,5,FALSE)))*EXP(-(LN(2)/$D$65+0.04)*AF247)*EXP(-(LN(2)/$D$65+0.1)*AG247),"-"))),"-")</f>
        <v>-</v>
      </c>
      <c r="AK247" s="227">
        <f t="shared" si="215"/>
        <v>147</v>
      </c>
      <c r="AL247" s="226" t="str">
        <f t="shared" si="189"/>
        <v>-</v>
      </c>
      <c r="AM247" s="227" t="str">
        <f t="shared" si="216"/>
        <v>-</v>
      </c>
      <c r="AN247" s="227" t="str">
        <f t="shared" si="217"/>
        <v>-</v>
      </c>
      <c r="AO247" s="227" t="str">
        <f t="shared" si="190"/>
        <v>-</v>
      </c>
      <c r="AP247" s="273">
        <f t="shared" si="218"/>
        <v>0.1</v>
      </c>
      <c r="AQ247" s="271" t="str">
        <f>IFERROR(IF(AL246=1,AQ$100*EXP(-(LN(2)/$D$65+0.04)*AN246)*EXP(-(LN(2)/$D$65+0.1)*AO246),IF(AL246=2,AQ$100*EXP(-(LN(2)/$D$65+0.04)*(VLOOKUP(($F$16-$F$15)-1,AK$99:AO246,4,FALSE)))*EXP(-(LN(2)/$D$65+0.1)*(VLOOKUP(($F$16-$F$15)-1,AK$99:AO246,5,FALSE)))*EXP(-(LN(2)/$D$65+0.04)*AN246)*EXP(-(LN(2)/$D$65+0.1)*AO246),IF(AL246=3,AQ$100*EXP(-(LN(2)/$D$65+0.04)*(VLOOKUP(($F$16-$F$15)-1,AK$99:AO246,4,FALSE)))*EXP(-(LN(2)/$D$65+0.1)*(VLOOKUP(($F$16-$F$15)-1,AK$99:AO246,5,FALSE)))*EXP(-(LN(2)/$D$65+0.04)*(VLOOKUP(($F$16-$F$15)*2-1,AK$99:AO246,4,FALSE)))*EXP(-(LN(2)/$D$65+0.1)*(VLOOKUP(($F$16-$F$15)*2-1,AK$99:AO246,5,FALSE)))*EXP(-(LN(2)/$D$65+0.04)*AN246)*EXP(-(LN(2)/$D$65+0.1)*AO246),"-"))),"-")</f>
        <v>-</v>
      </c>
      <c r="AR247" s="271" t="str">
        <f>IFERROR(IF(AL247=1,AR$100*EXP(-(LN(2)/$D$65+0.04)*AN247)*EXP(-(LN(2)/$D$65+0.1)*AO247),IF(AL247=2,AR$100*EXP(-(LN(2)/$D$65+0.04)*(VLOOKUP(($F$16-$F$15)-1,AK$100:AO247,4,FALSE)))*EXP(-(LN(2)/$D$65+0.1)*(VLOOKUP(($F$16-$F$15)-1,AK$100:AO247,5,FALSE)))*EXP(-(LN(2)/$D$65+0.04)*AN247)*EXP(-(LN(2)/$D$65+0.1)*AO247),IF(AL247=3,AR$100*EXP(-(LN(2)/$D$65+0.04)*(VLOOKUP(($F$16-$F$15)-1,AK$100:AO247,4,FALSE)))*EXP(-(LN(2)/$D$65+0.1)*(VLOOKUP(($F$16-$F$15)-1,AK$100:AO247,5,FALSE)))*EXP(-(LN(2)/$D$65+0.04)*(VLOOKUP(($F$16-$F$15)*2-1,AK$100:AO247,4,FALSE)))*EXP(-(LN(2)/$D$65+0.1)*(VLOOKUP(($F$16-$F$15)*2-1,AK$100:AO247,5,FALSE)))*EXP(-(LN(2)/$D$65+0.04)*AN247)*EXP(-(LN(2)/$D$65+0.1)*AO247),"-"))),"-")</f>
        <v>-</v>
      </c>
      <c r="AS247" s="274">
        <f t="shared" si="191"/>
        <v>0</v>
      </c>
      <c r="AT247" s="274">
        <f t="shared" si="192"/>
        <v>0</v>
      </c>
      <c r="AU247" s="274">
        <f t="shared" si="193"/>
        <v>0</v>
      </c>
      <c r="AV247" s="190" t="str">
        <f>IF($B247&lt;$F$22,SUM($T$100:$T247),"")</f>
        <v/>
      </c>
      <c r="AW247" s="190" t="str">
        <f t="shared" si="194"/>
        <v>-</v>
      </c>
      <c r="AX247" s="190" t="str">
        <f t="shared" si="219"/>
        <v/>
      </c>
      <c r="AY247"/>
      <c r="AZ247" s="190" t="str">
        <f ca="1">IF(ISNUMBER(OFFSET(AV247,-$F$21,0)),SUM(OFFSET($T$100,$F$21,0):$T247),"")</f>
        <v/>
      </c>
      <c r="BA247" s="190" t="str">
        <f t="shared" ca="1" si="195"/>
        <v/>
      </c>
      <c r="BB247" s="190" t="str">
        <f t="shared" ca="1" si="148"/>
        <v/>
      </c>
      <c r="BC247" s="190"/>
      <c r="BD247" s="190" t="str">
        <f ca="1">IFERROR(IF(OR(ISNUMBER(I),ISNUMBER($F$14)),IF(AND($B247&gt;=($F$16-$F$15),$B247&lt;$F$22+($F$16-$F$15)),SUM(OFFSET($T$100,($F$16-$F$15),0):$T247),""),""),"")</f>
        <v/>
      </c>
      <c r="BE247" s="190" t="str">
        <f t="shared" ca="1" si="220"/>
        <v/>
      </c>
      <c r="BF247" s="190" t="str">
        <f t="shared" ca="1" si="221"/>
        <v/>
      </c>
      <c r="BG247"/>
      <c r="BH247" s="190" t="str">
        <f ca="1">IF(ISNUMBER(OFFSET(BD247,-$F$21,0)),SUM(OFFSET($T$100,($F$16-$F$15+$F$21),0):$T247),"")</f>
        <v/>
      </c>
      <c r="BI247" s="190" t="str">
        <f t="shared" ca="1" si="196"/>
        <v/>
      </c>
      <c r="BJ247" s="190" t="str">
        <f t="shared" ca="1" si="222"/>
        <v/>
      </c>
      <c r="BK247" s="190"/>
      <c r="BL247" s="190" t="str">
        <f ca="1">IFERROR(IF(OR(ISNUMBER(I),ISNUMBER($F$14)),IF(AND($B247&gt;=($F$17-$F$15),$B247&lt;$F$22+($F$17-$F$15)),SUM(OFFSET($T$100,($F$17-$F$15),0):$T247),""),""),"")</f>
        <v/>
      </c>
      <c r="BM247" s="190" t="str">
        <f t="shared" ca="1" si="197"/>
        <v/>
      </c>
      <c r="BN247" s="190" t="str">
        <f t="shared" ca="1" si="223"/>
        <v/>
      </c>
      <c r="BO247"/>
      <c r="BP247" s="190" t="str">
        <f ca="1">IF(ISNUMBER(OFFSET(BL247,-$F$21,0)),SUM(OFFSET($T$100,($F$17-$F$15+$F$21),0):$T247),"")</f>
        <v/>
      </c>
      <c r="BQ247" s="190" t="str">
        <f t="shared" ca="1" si="198"/>
        <v/>
      </c>
      <c r="BR247" s="190" t="str">
        <f t="shared" ca="1" si="224"/>
        <v/>
      </c>
      <c r="BS247" s="190"/>
      <c r="BT247"/>
      <c r="BU247"/>
      <c r="BV247"/>
      <c r="BY247" s="99"/>
      <c r="BZ247" s="99"/>
      <c r="CA247" s="280" t="str">
        <f t="shared" si="199"/>
        <v/>
      </c>
      <c r="CB247" s="71" t="str">
        <f t="shared" si="200"/>
        <v>-</v>
      </c>
      <c r="CC247" s="33"/>
      <c r="CD247" s="261" t="str">
        <f t="shared" si="201"/>
        <v/>
      </c>
      <c r="CE247" s="280" t="str">
        <f t="shared" si="202"/>
        <v/>
      </c>
      <c r="CF247" s="71" t="str">
        <f t="shared" ca="1" si="203"/>
        <v/>
      </c>
      <c r="CG247" s="33" t="str">
        <f t="shared" si="204"/>
        <v/>
      </c>
      <c r="CH247" s="261" t="str">
        <f t="shared" ca="1" si="205"/>
        <v/>
      </c>
    </row>
    <row r="248" spans="2:86" ht="13.5" customHeight="1" x14ac:dyDescent="0.2">
      <c r="B248" s="262">
        <v>148</v>
      </c>
      <c r="C248" s="237" t="str">
        <f t="shared" si="169"/>
        <v/>
      </c>
      <c r="D248" s="237" t="str">
        <f t="shared" si="225"/>
        <v/>
      </c>
      <c r="E248" s="263" t="str">
        <f t="shared" si="206"/>
        <v/>
      </c>
      <c r="F248" s="264" t="str">
        <f t="shared" si="207"/>
        <v/>
      </c>
      <c r="G248" s="264" t="str">
        <f t="shared" si="208"/>
        <v/>
      </c>
      <c r="H248" s="240" t="str">
        <f t="shared" si="170"/>
        <v/>
      </c>
      <c r="I248" s="265" t="str">
        <f t="shared" si="171"/>
        <v/>
      </c>
      <c r="J248" s="265" t="str">
        <f t="shared" si="172"/>
        <v/>
      </c>
      <c r="K248" s="240" t="str">
        <f t="shared" si="173"/>
        <v/>
      </c>
      <c r="L248" s="265" t="str">
        <f t="shared" si="174"/>
        <v/>
      </c>
      <c r="M248" s="265" t="str">
        <f t="shared" si="175"/>
        <v/>
      </c>
      <c r="N248" s="240" t="str">
        <f t="shared" si="176"/>
        <v>-</v>
      </c>
      <c r="O248" s="265" t="str">
        <f t="shared" si="177"/>
        <v>-</v>
      </c>
      <c r="P248" s="265" t="str">
        <f t="shared" si="178"/>
        <v>-</v>
      </c>
      <c r="Q248" s="266" t="str">
        <f t="shared" si="179"/>
        <v>-</v>
      </c>
      <c r="R248" s="267" t="str">
        <f t="shared" si="180"/>
        <v>-</v>
      </c>
      <c r="S248" s="268" t="str">
        <f t="shared" si="181"/>
        <v>-</v>
      </c>
      <c r="T248" s="269" t="str">
        <f t="shared" si="182"/>
        <v/>
      </c>
      <c r="U248" s="221">
        <f t="shared" si="183"/>
        <v>148</v>
      </c>
      <c r="V248" s="220" t="str">
        <f t="shared" si="209"/>
        <v>-</v>
      </c>
      <c r="W248" s="221" t="str">
        <f t="shared" si="210"/>
        <v>-</v>
      </c>
      <c r="X248" s="221" t="str">
        <f t="shared" si="184"/>
        <v>-</v>
      </c>
      <c r="Y248" s="221" t="str">
        <f t="shared" si="185"/>
        <v>-</v>
      </c>
      <c r="Z248" s="270">
        <f t="shared" si="211"/>
        <v>0.1</v>
      </c>
      <c r="AA248" s="271" t="str">
        <f>IFERROR(IF(V247=1,AA$100*EXP(-(LN(2)/$D$65+0.04)*X247)*EXP(-(LN(2)/$D$65+0.1)*Y247),IF(V247=2,AA$100*EXP(-(LN(2)/$D$65+0.04)*(VLOOKUP(($F$16-$F$15)-1,U$99:Y247,4,FALSE)))*EXP(-(LN(2)/$D$65+0.1)*(VLOOKUP(($F$16-$F$15)-1,U$99:Y247,5,FALSE)))*EXP(-(LN(2)/$D$65+0.04)*X247)*EXP(-(LN(2)/$D$65+0.1)*Y247),IF(V247=3,AA$100*EXP(-(LN(2)/$D$65+0.04)*(VLOOKUP(($F$16-$F$15)-1,U$99:Y247,4,FALSE)))*EXP(-(LN(2)/$D$65+0.1)*(VLOOKUP(($F$16-$F$15)-1,U$99:Y247,5,FALSE)))*EXP(-(LN(2)/$D$65+0.04)*(VLOOKUP(($F$16-$F$15)*2-1,U$99:Y247,4,FALSE)))*EXP(-(LN(2)/$D$65+0.1)*(VLOOKUP(($F$16-$F$15)*2-1,U$99:Y247,5,FALSE)))*EXP(-(LN(2)/$D$65+0.04)*X247)*EXP(-(LN(2)/$D$65+0.1)*Y247),"-"))),"-")</f>
        <v>-</v>
      </c>
      <c r="AB248" s="271" t="str">
        <f>IFERROR(IF(V248=1,AB$100*EXP(-(LN(2)/$D$65+0.04)*X248)*EXP(-(LN(2)/$D$65+0.1)*Y248),IF(V248=2,AB$100*EXP(-(LN(2)/$D$65+0.04)*(VLOOKUP(($F$16-$F$15)-1,U$100:Y248,4,FALSE)))*EXP(-(LN(2)/$D$65+0.1)*(VLOOKUP(($F$16-$F$15)-1,U$100:Y248,5,FALSE)))*EXP(-(LN(2)/$D$65+0.04)*X248)*EXP(-(LN(2)/$D$65+0.1)*Y248),IF(V248=3,AB$100*EXP(-(LN(2)/$D$65+0.04)*(VLOOKUP(($F$16-$F$15)-1,U$100:Y248,4,FALSE)))*EXP(-(LN(2)/$D$65+0.1)*(VLOOKUP(($F$16-$F$15)-1,U$100:Y248,5,FALSE)))*EXP(-(LN(2)/$D$65+0.04)*(VLOOKUP(($F$16-$F$15)*2-1,U$100:Y248,4,FALSE)))*EXP(-(LN(2)/$D$65+0.1)*(VLOOKUP(($F$16-$F$15)*2-1,U$100:Y248,5,FALSE)))*EXP(-(LN(2)/$D$65+0.04)*X248)*EXP(-(LN(2)/$D$65+0.1)*Y248),"-"))),"-")</f>
        <v>-</v>
      </c>
      <c r="AC248" s="224">
        <f t="shared" si="226"/>
        <v>148</v>
      </c>
      <c r="AD248" s="223" t="str">
        <f t="shared" si="186"/>
        <v>-</v>
      </c>
      <c r="AE248" s="224" t="str">
        <f t="shared" si="213"/>
        <v>-</v>
      </c>
      <c r="AF248" s="224" t="str">
        <f t="shared" si="187"/>
        <v>-</v>
      </c>
      <c r="AG248" s="224" t="str">
        <f t="shared" si="188"/>
        <v>-</v>
      </c>
      <c r="AH248" s="272">
        <f t="shared" si="214"/>
        <v>0.1</v>
      </c>
      <c r="AI248" s="271" t="str">
        <f>IFERROR(IF(AD247=1,AI$100*EXP(-(LN(2)/$D$65+0.04)*AF247)*EXP(-(LN(2)/$D$65+0.1)*AG247),IF(AD247=2,AI$100*EXP(-(LN(2)/$D$65+0.04)*(VLOOKUP(($F$16-$F$15)-1,AC$99:AG247,4,FALSE)))*EXP(-(LN(2)/$D$65+0.1)*(VLOOKUP(($F$16-$F$15)-1,AC$99:AG247,5,FALSE)))*EXP(-(LN(2)/$D$65+0.04)*AF247)*EXP(-(LN(2)/$D$65+0.1)*AG247),IF(AD247=3,AI$100*EXP(-(LN(2)/$D$65+0.04)*(VLOOKUP(($F$16-$F$15)-1,AC$99:AG247,4,FALSE)))*EXP(-(LN(2)/$D$65+0.1)*(VLOOKUP(($F$16-$F$15)-1,AC$99:AG247,5,FALSE)))*EXP(-(LN(2)/$D$65+0.04)*(VLOOKUP(($F$16-$F$15)*2-1,AC$99:AG247,4,FALSE)))*EXP(-(LN(2)/$D$65+0.1)*(VLOOKUP(($F$16-$F$15)*2-1,AC$99:AG247,5,FALSE)))*EXP(-(LN(2)/$D$65+0.04)*AF247)*EXP(-(LN(2)/$D$65+0.1)*AG247),"-"))),"-")</f>
        <v>-</v>
      </c>
      <c r="AJ248" s="271" t="str">
        <f>IFERROR(IF(AD248=1,AJ$100*EXP(-(LN(2)/$D$65+0.04)*AF248)*EXP(-(LN(2)/$D$65+0.1)*AG248),IF(AD248=2,AJ$100*EXP(-(LN(2)/$D$65+0.04)*(VLOOKUP(($F$16-$F$15)-1,AC$100:AG248,4,FALSE)))*EXP(-(LN(2)/$D$65+0.1)*(VLOOKUP(($F$16-$F$15)-1,AC$100:AG248,5,FALSE)))*EXP(-(LN(2)/$D$65+0.04)*AF248)*EXP(-(LN(2)/$D$65+0.1)*AG248),IF(AD248=3,AJ$100*EXP(-(LN(2)/$D$65+0.04)*(VLOOKUP(($F$16-$F$15)-1,AC$100:AG248,4,FALSE)))*EXP(-(LN(2)/$D$65+0.1)*(VLOOKUP(($F$16-$F$15)-1,AC$100:AG248,5,FALSE)))*EXP(-(LN(2)/$D$65+0.04)*(VLOOKUP(($F$16-$F$15)*2-1,AC$100:AG248,4,FALSE)))*EXP(-(LN(2)/$D$65+0.1)*(VLOOKUP(($F$16-$F$15)*2-1,AC$100:AG248,5,FALSE)))*EXP(-(LN(2)/$D$65+0.04)*AF248)*EXP(-(LN(2)/$D$65+0.1)*AG248),"-"))),"-")</f>
        <v>-</v>
      </c>
      <c r="AK248" s="227">
        <f t="shared" si="215"/>
        <v>148</v>
      </c>
      <c r="AL248" s="226" t="str">
        <f t="shared" si="189"/>
        <v>-</v>
      </c>
      <c r="AM248" s="227" t="str">
        <f t="shared" si="216"/>
        <v>-</v>
      </c>
      <c r="AN248" s="227" t="str">
        <f t="shared" si="217"/>
        <v>-</v>
      </c>
      <c r="AO248" s="227" t="str">
        <f t="shared" si="190"/>
        <v>-</v>
      </c>
      <c r="AP248" s="273">
        <f t="shared" si="218"/>
        <v>0.1</v>
      </c>
      <c r="AQ248" s="271" t="str">
        <f>IFERROR(IF(AL247=1,AQ$100*EXP(-(LN(2)/$D$65+0.04)*AN247)*EXP(-(LN(2)/$D$65+0.1)*AO247),IF(AL247=2,AQ$100*EXP(-(LN(2)/$D$65+0.04)*(VLOOKUP(($F$16-$F$15)-1,AK$99:AO247,4,FALSE)))*EXP(-(LN(2)/$D$65+0.1)*(VLOOKUP(($F$16-$F$15)-1,AK$99:AO247,5,FALSE)))*EXP(-(LN(2)/$D$65+0.04)*AN247)*EXP(-(LN(2)/$D$65+0.1)*AO247),IF(AL247=3,AQ$100*EXP(-(LN(2)/$D$65+0.04)*(VLOOKUP(($F$16-$F$15)-1,AK$99:AO247,4,FALSE)))*EXP(-(LN(2)/$D$65+0.1)*(VLOOKUP(($F$16-$F$15)-1,AK$99:AO247,5,FALSE)))*EXP(-(LN(2)/$D$65+0.04)*(VLOOKUP(($F$16-$F$15)*2-1,AK$99:AO247,4,FALSE)))*EXP(-(LN(2)/$D$65+0.1)*(VLOOKUP(($F$16-$F$15)*2-1,AK$99:AO247,5,FALSE)))*EXP(-(LN(2)/$D$65+0.04)*AN247)*EXP(-(LN(2)/$D$65+0.1)*AO247),"-"))),"-")</f>
        <v>-</v>
      </c>
      <c r="AR248" s="271" t="str">
        <f>IFERROR(IF(AL248=1,AR$100*EXP(-(LN(2)/$D$65+0.04)*AN248)*EXP(-(LN(2)/$D$65+0.1)*AO248),IF(AL248=2,AR$100*EXP(-(LN(2)/$D$65+0.04)*(VLOOKUP(($F$16-$F$15)-1,AK$100:AO248,4,FALSE)))*EXP(-(LN(2)/$D$65+0.1)*(VLOOKUP(($F$16-$F$15)-1,AK$100:AO248,5,FALSE)))*EXP(-(LN(2)/$D$65+0.04)*AN248)*EXP(-(LN(2)/$D$65+0.1)*AO248),IF(AL248=3,AR$100*EXP(-(LN(2)/$D$65+0.04)*(VLOOKUP(($F$16-$F$15)-1,AK$100:AO248,4,FALSE)))*EXP(-(LN(2)/$D$65+0.1)*(VLOOKUP(($F$16-$F$15)-1,AK$100:AO248,5,FALSE)))*EXP(-(LN(2)/$D$65+0.04)*(VLOOKUP(($F$16-$F$15)*2-1,AK$100:AO248,4,FALSE)))*EXP(-(LN(2)/$D$65+0.1)*(VLOOKUP(($F$16-$F$15)*2-1,AK$100:AO248,5,FALSE)))*EXP(-(LN(2)/$D$65+0.04)*AN248)*EXP(-(LN(2)/$D$65+0.1)*AO248),"-"))),"-")</f>
        <v>-</v>
      </c>
      <c r="AS248" s="274">
        <f t="shared" si="191"/>
        <v>0</v>
      </c>
      <c r="AT248" s="274">
        <f t="shared" si="192"/>
        <v>0</v>
      </c>
      <c r="AU248" s="274">
        <f t="shared" si="193"/>
        <v>0</v>
      </c>
      <c r="AV248" s="190" t="str">
        <f>IF($B248&lt;$F$22,SUM($T$100:$T248),"")</f>
        <v/>
      </c>
      <c r="AW248" s="190" t="str">
        <f t="shared" si="194"/>
        <v>-</v>
      </c>
      <c r="AX248" s="190" t="str">
        <f t="shared" si="219"/>
        <v/>
      </c>
      <c r="AY248"/>
      <c r="AZ248" s="190" t="str">
        <f ca="1">IF(ISNUMBER(OFFSET(AV248,-$F$21,0)),SUM(OFFSET($T$100,$F$21,0):$T248),"")</f>
        <v/>
      </c>
      <c r="BA248" s="190" t="str">
        <f t="shared" ca="1" si="195"/>
        <v/>
      </c>
      <c r="BB248" s="190" t="str">
        <f t="shared" ca="1" si="148"/>
        <v/>
      </c>
      <c r="BC248" s="190"/>
      <c r="BD248" s="190" t="str">
        <f ca="1">IFERROR(IF(OR(ISNUMBER(I),ISNUMBER($F$14)),IF(AND($B248&gt;=($F$16-$F$15),$B248&lt;$F$22+($F$16-$F$15)),SUM(OFFSET($T$100,($F$16-$F$15),0):$T248),""),""),"")</f>
        <v/>
      </c>
      <c r="BE248" s="190" t="str">
        <f t="shared" ca="1" si="220"/>
        <v/>
      </c>
      <c r="BF248" s="190" t="str">
        <f t="shared" ca="1" si="221"/>
        <v/>
      </c>
      <c r="BG248"/>
      <c r="BH248" s="190" t="str">
        <f ca="1">IF(ISNUMBER(OFFSET(BD248,-$F$21,0)),SUM(OFFSET($T$100,($F$16-$F$15+$F$21),0):$T248),"")</f>
        <v/>
      </c>
      <c r="BI248" s="190" t="str">
        <f t="shared" ca="1" si="196"/>
        <v/>
      </c>
      <c r="BJ248" s="190" t="str">
        <f t="shared" ca="1" si="222"/>
        <v/>
      </c>
      <c r="BK248" s="190"/>
      <c r="BL248" s="190" t="str">
        <f ca="1">IFERROR(IF(OR(ISNUMBER(I),ISNUMBER($F$14)),IF(AND($B248&gt;=($F$17-$F$15),$B248&lt;$F$22+($F$17-$F$15)),SUM(OFFSET($T$100,($F$17-$F$15),0):$T248),""),""),"")</f>
        <v/>
      </c>
      <c r="BM248" s="190" t="str">
        <f t="shared" ca="1" si="197"/>
        <v/>
      </c>
      <c r="BN248" s="190" t="str">
        <f t="shared" ca="1" si="223"/>
        <v/>
      </c>
      <c r="BO248"/>
      <c r="BP248" s="190" t="str">
        <f ca="1">IF(ISNUMBER(OFFSET(BL248,-$F$21,0)),SUM(OFFSET($T$100,($F$17-$F$15+$F$21),0):$T248),"")</f>
        <v/>
      </c>
      <c r="BQ248" s="190" t="str">
        <f t="shared" ca="1" si="198"/>
        <v/>
      </c>
      <c r="BR248" s="190" t="str">
        <f t="shared" ca="1" si="224"/>
        <v/>
      </c>
      <c r="BS248" s="190"/>
      <c r="BT248"/>
      <c r="BU248"/>
      <c r="BV248"/>
      <c r="BY248" s="99"/>
      <c r="BZ248" s="99"/>
      <c r="CA248" s="280" t="str">
        <f t="shared" si="199"/>
        <v/>
      </c>
      <c r="CB248" s="71" t="str">
        <f t="shared" si="200"/>
        <v>-</v>
      </c>
      <c r="CC248" s="33"/>
      <c r="CD248" s="261" t="str">
        <f t="shared" si="201"/>
        <v/>
      </c>
      <c r="CE248" s="280" t="str">
        <f t="shared" si="202"/>
        <v/>
      </c>
      <c r="CF248" s="71" t="str">
        <f t="shared" ca="1" si="203"/>
        <v/>
      </c>
      <c r="CG248" s="33" t="str">
        <f t="shared" si="204"/>
        <v/>
      </c>
      <c r="CH248" s="261" t="str">
        <f t="shared" ca="1" si="205"/>
        <v/>
      </c>
    </row>
    <row r="249" spans="2:86" ht="13.5" customHeight="1" x14ac:dyDescent="0.2">
      <c r="B249" s="262">
        <v>149</v>
      </c>
      <c r="C249" s="237" t="str">
        <f t="shared" si="169"/>
        <v/>
      </c>
      <c r="D249" s="237" t="str">
        <f t="shared" si="225"/>
        <v/>
      </c>
      <c r="E249" s="263" t="str">
        <f t="shared" si="206"/>
        <v/>
      </c>
      <c r="F249" s="264" t="str">
        <f t="shared" si="207"/>
        <v/>
      </c>
      <c r="G249" s="264" t="str">
        <f t="shared" si="208"/>
        <v/>
      </c>
      <c r="H249" s="240" t="str">
        <f t="shared" si="170"/>
        <v/>
      </c>
      <c r="I249" s="265" t="str">
        <f t="shared" si="171"/>
        <v/>
      </c>
      <c r="J249" s="265" t="str">
        <f t="shared" si="172"/>
        <v/>
      </c>
      <c r="K249" s="240" t="str">
        <f t="shared" si="173"/>
        <v/>
      </c>
      <c r="L249" s="265" t="str">
        <f t="shared" si="174"/>
        <v/>
      </c>
      <c r="M249" s="265" t="str">
        <f t="shared" si="175"/>
        <v/>
      </c>
      <c r="N249" s="240" t="str">
        <f t="shared" si="176"/>
        <v>-</v>
      </c>
      <c r="O249" s="265" t="str">
        <f t="shared" si="177"/>
        <v>-</v>
      </c>
      <c r="P249" s="265" t="str">
        <f t="shared" si="178"/>
        <v>-</v>
      </c>
      <c r="Q249" s="266" t="str">
        <f t="shared" si="179"/>
        <v>-</v>
      </c>
      <c r="R249" s="267" t="str">
        <f t="shared" si="180"/>
        <v>-</v>
      </c>
      <c r="S249" s="268" t="str">
        <f t="shared" si="181"/>
        <v>-</v>
      </c>
      <c r="T249" s="269" t="str">
        <f t="shared" si="182"/>
        <v/>
      </c>
      <c r="U249" s="221">
        <f t="shared" si="183"/>
        <v>149</v>
      </c>
      <c r="V249" s="220" t="str">
        <f t="shared" si="209"/>
        <v>-</v>
      </c>
      <c r="W249" s="221" t="str">
        <f t="shared" si="210"/>
        <v>-</v>
      </c>
      <c r="X249" s="221" t="str">
        <f t="shared" si="184"/>
        <v>-</v>
      </c>
      <c r="Y249" s="221" t="str">
        <f t="shared" si="185"/>
        <v>-</v>
      </c>
      <c r="Z249" s="270">
        <f t="shared" si="211"/>
        <v>0.1</v>
      </c>
      <c r="AA249" s="271" t="str">
        <f>IFERROR(IF(V248=1,AA$100*EXP(-(LN(2)/$D$65+0.04)*X248)*EXP(-(LN(2)/$D$65+0.1)*Y248),IF(V248=2,AA$100*EXP(-(LN(2)/$D$65+0.04)*(VLOOKUP(($F$16-$F$15)-1,U$99:Y248,4,FALSE)))*EXP(-(LN(2)/$D$65+0.1)*(VLOOKUP(($F$16-$F$15)-1,U$99:Y248,5,FALSE)))*EXP(-(LN(2)/$D$65+0.04)*X248)*EXP(-(LN(2)/$D$65+0.1)*Y248),IF(V248=3,AA$100*EXP(-(LN(2)/$D$65+0.04)*(VLOOKUP(($F$16-$F$15)-1,U$99:Y248,4,FALSE)))*EXP(-(LN(2)/$D$65+0.1)*(VLOOKUP(($F$16-$F$15)-1,U$99:Y248,5,FALSE)))*EXP(-(LN(2)/$D$65+0.04)*(VLOOKUP(($F$16-$F$15)*2-1,U$99:Y248,4,FALSE)))*EXP(-(LN(2)/$D$65+0.1)*(VLOOKUP(($F$16-$F$15)*2-1,U$99:Y248,5,FALSE)))*EXP(-(LN(2)/$D$65+0.04)*X248)*EXP(-(LN(2)/$D$65+0.1)*Y248),"-"))),"-")</f>
        <v>-</v>
      </c>
      <c r="AB249" s="271" t="str">
        <f>IFERROR(IF(V249=1,AB$100*EXP(-(LN(2)/$D$65+0.04)*X249)*EXP(-(LN(2)/$D$65+0.1)*Y249),IF(V249=2,AB$100*EXP(-(LN(2)/$D$65+0.04)*(VLOOKUP(($F$16-$F$15)-1,U$100:Y249,4,FALSE)))*EXP(-(LN(2)/$D$65+0.1)*(VLOOKUP(($F$16-$F$15)-1,U$100:Y249,5,FALSE)))*EXP(-(LN(2)/$D$65+0.04)*X249)*EXP(-(LN(2)/$D$65+0.1)*Y249),IF(V249=3,AB$100*EXP(-(LN(2)/$D$65+0.04)*(VLOOKUP(($F$16-$F$15)-1,U$100:Y249,4,FALSE)))*EXP(-(LN(2)/$D$65+0.1)*(VLOOKUP(($F$16-$F$15)-1,U$100:Y249,5,FALSE)))*EXP(-(LN(2)/$D$65+0.04)*(VLOOKUP(($F$16-$F$15)*2-1,U$100:Y249,4,FALSE)))*EXP(-(LN(2)/$D$65+0.1)*(VLOOKUP(($F$16-$F$15)*2-1,U$100:Y249,5,FALSE)))*EXP(-(LN(2)/$D$65+0.04)*X249)*EXP(-(LN(2)/$D$65+0.1)*Y249),"-"))),"-")</f>
        <v>-</v>
      </c>
      <c r="AC249" s="224">
        <f t="shared" si="226"/>
        <v>149</v>
      </c>
      <c r="AD249" s="223" t="str">
        <f t="shared" si="186"/>
        <v>-</v>
      </c>
      <c r="AE249" s="224" t="str">
        <f t="shared" si="213"/>
        <v>-</v>
      </c>
      <c r="AF249" s="224" t="str">
        <f t="shared" si="187"/>
        <v>-</v>
      </c>
      <c r="AG249" s="224" t="str">
        <f t="shared" si="188"/>
        <v>-</v>
      </c>
      <c r="AH249" s="272">
        <f t="shared" si="214"/>
        <v>0.1</v>
      </c>
      <c r="AI249" s="271" t="str">
        <f>IFERROR(IF(AD248=1,AI$100*EXP(-(LN(2)/$D$65+0.04)*AF248)*EXP(-(LN(2)/$D$65+0.1)*AG248),IF(AD248=2,AI$100*EXP(-(LN(2)/$D$65+0.04)*(VLOOKUP(($F$16-$F$15)-1,AC$99:AG248,4,FALSE)))*EXP(-(LN(2)/$D$65+0.1)*(VLOOKUP(($F$16-$F$15)-1,AC$99:AG248,5,FALSE)))*EXP(-(LN(2)/$D$65+0.04)*AF248)*EXP(-(LN(2)/$D$65+0.1)*AG248),IF(AD248=3,AI$100*EXP(-(LN(2)/$D$65+0.04)*(VLOOKUP(($F$16-$F$15)-1,AC$99:AG248,4,FALSE)))*EXP(-(LN(2)/$D$65+0.1)*(VLOOKUP(($F$16-$F$15)-1,AC$99:AG248,5,FALSE)))*EXP(-(LN(2)/$D$65+0.04)*(VLOOKUP(($F$16-$F$15)*2-1,AC$99:AG248,4,FALSE)))*EXP(-(LN(2)/$D$65+0.1)*(VLOOKUP(($F$16-$F$15)*2-1,AC$99:AG248,5,FALSE)))*EXP(-(LN(2)/$D$65+0.04)*AF248)*EXP(-(LN(2)/$D$65+0.1)*AG248),"-"))),"-")</f>
        <v>-</v>
      </c>
      <c r="AJ249" s="271" t="str">
        <f>IFERROR(IF(AD249=1,AJ$100*EXP(-(LN(2)/$D$65+0.04)*AF249)*EXP(-(LN(2)/$D$65+0.1)*AG249),IF(AD249=2,AJ$100*EXP(-(LN(2)/$D$65+0.04)*(VLOOKUP(($F$16-$F$15)-1,AC$100:AG249,4,FALSE)))*EXP(-(LN(2)/$D$65+0.1)*(VLOOKUP(($F$16-$F$15)-1,AC$100:AG249,5,FALSE)))*EXP(-(LN(2)/$D$65+0.04)*AF249)*EXP(-(LN(2)/$D$65+0.1)*AG249),IF(AD249=3,AJ$100*EXP(-(LN(2)/$D$65+0.04)*(VLOOKUP(($F$16-$F$15)-1,AC$100:AG249,4,FALSE)))*EXP(-(LN(2)/$D$65+0.1)*(VLOOKUP(($F$16-$F$15)-1,AC$100:AG249,5,FALSE)))*EXP(-(LN(2)/$D$65+0.04)*(VLOOKUP(($F$16-$F$15)*2-1,AC$100:AG249,4,FALSE)))*EXP(-(LN(2)/$D$65+0.1)*(VLOOKUP(($F$16-$F$15)*2-1,AC$100:AG249,5,FALSE)))*EXP(-(LN(2)/$D$65+0.04)*AF249)*EXP(-(LN(2)/$D$65+0.1)*AG249),"-"))),"-")</f>
        <v>-</v>
      </c>
      <c r="AK249" s="227">
        <f t="shared" si="215"/>
        <v>149</v>
      </c>
      <c r="AL249" s="226" t="str">
        <f t="shared" si="189"/>
        <v>-</v>
      </c>
      <c r="AM249" s="227" t="str">
        <f t="shared" si="216"/>
        <v>-</v>
      </c>
      <c r="AN249" s="227" t="str">
        <f t="shared" si="217"/>
        <v>-</v>
      </c>
      <c r="AO249" s="227" t="str">
        <f t="shared" si="190"/>
        <v>-</v>
      </c>
      <c r="AP249" s="273">
        <f t="shared" si="218"/>
        <v>0.1</v>
      </c>
      <c r="AQ249" s="271" t="str">
        <f>IFERROR(IF(AL248=1,AQ$100*EXP(-(LN(2)/$D$65+0.04)*AN248)*EXP(-(LN(2)/$D$65+0.1)*AO248),IF(AL248=2,AQ$100*EXP(-(LN(2)/$D$65+0.04)*(VLOOKUP(($F$16-$F$15)-1,AK$99:AO248,4,FALSE)))*EXP(-(LN(2)/$D$65+0.1)*(VLOOKUP(($F$16-$F$15)-1,AK$99:AO248,5,FALSE)))*EXP(-(LN(2)/$D$65+0.04)*AN248)*EXP(-(LN(2)/$D$65+0.1)*AO248),IF(AL248=3,AQ$100*EXP(-(LN(2)/$D$65+0.04)*(VLOOKUP(($F$16-$F$15)-1,AK$99:AO248,4,FALSE)))*EXP(-(LN(2)/$D$65+0.1)*(VLOOKUP(($F$16-$F$15)-1,AK$99:AO248,5,FALSE)))*EXP(-(LN(2)/$D$65+0.04)*(VLOOKUP(($F$16-$F$15)*2-1,AK$99:AO248,4,FALSE)))*EXP(-(LN(2)/$D$65+0.1)*(VLOOKUP(($F$16-$F$15)*2-1,AK$99:AO248,5,FALSE)))*EXP(-(LN(2)/$D$65+0.04)*AN248)*EXP(-(LN(2)/$D$65+0.1)*AO248),"-"))),"-")</f>
        <v>-</v>
      </c>
      <c r="AR249" s="271" t="str">
        <f>IFERROR(IF(AL249=1,AR$100*EXP(-(LN(2)/$D$65+0.04)*AN249)*EXP(-(LN(2)/$D$65+0.1)*AO249),IF(AL249=2,AR$100*EXP(-(LN(2)/$D$65+0.04)*(VLOOKUP(($F$16-$F$15)-1,AK$100:AO249,4,FALSE)))*EXP(-(LN(2)/$D$65+0.1)*(VLOOKUP(($F$16-$F$15)-1,AK$100:AO249,5,FALSE)))*EXP(-(LN(2)/$D$65+0.04)*AN249)*EXP(-(LN(2)/$D$65+0.1)*AO249),IF(AL249=3,AR$100*EXP(-(LN(2)/$D$65+0.04)*(VLOOKUP(($F$16-$F$15)-1,AK$100:AO249,4,FALSE)))*EXP(-(LN(2)/$D$65+0.1)*(VLOOKUP(($F$16-$F$15)-1,AK$100:AO249,5,FALSE)))*EXP(-(LN(2)/$D$65+0.04)*(VLOOKUP(($F$16-$F$15)*2-1,AK$100:AO249,4,FALSE)))*EXP(-(LN(2)/$D$65+0.1)*(VLOOKUP(($F$16-$F$15)*2-1,AK$100:AO249,5,FALSE)))*EXP(-(LN(2)/$D$65+0.04)*AN249)*EXP(-(LN(2)/$D$65+0.1)*AO249),"-"))),"-")</f>
        <v>-</v>
      </c>
      <c r="AS249" s="274">
        <f t="shared" si="191"/>
        <v>0</v>
      </c>
      <c r="AT249" s="274">
        <f t="shared" si="192"/>
        <v>0</v>
      </c>
      <c r="AU249" s="274">
        <f t="shared" si="193"/>
        <v>0</v>
      </c>
      <c r="AV249" s="190" t="str">
        <f>IF($B249&lt;$F$22,SUM($T$100:$T249),"")</f>
        <v/>
      </c>
      <c r="AW249" s="190" t="str">
        <f t="shared" si="194"/>
        <v>-</v>
      </c>
      <c r="AX249" s="190" t="str">
        <f t="shared" si="219"/>
        <v/>
      </c>
      <c r="AY249"/>
      <c r="AZ249" s="190" t="str">
        <f ca="1">IF(ISNUMBER(OFFSET(AV249,-$F$21,0)),SUM(OFFSET($T$100,$F$21,0):$T249),"")</f>
        <v/>
      </c>
      <c r="BA249" s="190" t="str">
        <f t="shared" ca="1" si="195"/>
        <v/>
      </c>
      <c r="BB249" s="190" t="str">
        <f ca="1">IF(ISNUMBER(AZ249),(AZ249-BA249)/(3*86400*(OFFSET($B249,-$F$21,0)+1))*1000,"")</f>
        <v/>
      </c>
      <c r="BC249" s="190"/>
      <c r="BD249" s="190" t="str">
        <f ca="1">IFERROR(IF(OR(ISNUMBER(I),ISNUMBER($F$14)),IF(AND($B249&gt;=($F$16-$F$15),$B249&lt;$F$22+($F$16-$F$15)),SUM(OFFSET($T$100,($F$16-$F$15),0):$T249),""),""),"")</f>
        <v/>
      </c>
      <c r="BE249" s="190" t="str">
        <f t="shared" ca="1" si="220"/>
        <v/>
      </c>
      <c r="BF249" s="190" t="str">
        <f t="shared" ca="1" si="221"/>
        <v/>
      </c>
      <c r="BG249"/>
      <c r="BH249" s="190" t="str">
        <f ca="1">IF(ISNUMBER(OFFSET(BD249,-$F$21,0)),SUM(OFFSET($T$100,($F$16-$F$15+$F$21),0):$T249),"")</f>
        <v/>
      </c>
      <c r="BI249" s="190" t="str">
        <f t="shared" ca="1" si="196"/>
        <v/>
      </c>
      <c r="BJ249" s="190" t="str">
        <f t="shared" ca="1" si="222"/>
        <v/>
      </c>
      <c r="BK249" s="190"/>
      <c r="BL249" s="190" t="str">
        <f ca="1">IFERROR(IF(OR(ISNUMBER(I),ISNUMBER($F$14)),IF(AND($B249&gt;=($F$17-$F$15),$B249&lt;$F$22+($F$17-$F$15)),SUM(OFFSET($T$100,($F$17-$F$15),0):$T249),""),""),"")</f>
        <v/>
      </c>
      <c r="BM249" s="190" t="str">
        <f t="shared" ca="1" si="197"/>
        <v/>
      </c>
      <c r="BN249" s="190" t="str">
        <f t="shared" ca="1" si="223"/>
        <v/>
      </c>
      <c r="BO249"/>
      <c r="BP249" s="190" t="str">
        <f ca="1">IF(ISNUMBER(OFFSET(BL249,-$F$21,0)),SUM(OFFSET($T$100,($F$17-$F$15+$F$21),0):$T249),"")</f>
        <v/>
      </c>
      <c r="BQ249" s="190" t="str">
        <f t="shared" ca="1" si="198"/>
        <v/>
      </c>
      <c r="BR249" s="190" t="str">
        <f t="shared" ca="1" si="224"/>
        <v/>
      </c>
      <c r="BS249" s="190"/>
      <c r="BT249"/>
      <c r="BU249"/>
      <c r="BV249"/>
      <c r="BY249" s="99"/>
      <c r="BZ249" s="99"/>
      <c r="CA249" s="280" t="str">
        <f t="shared" si="199"/>
        <v/>
      </c>
      <c r="CB249" s="71" t="str">
        <f t="shared" si="200"/>
        <v>-</v>
      </c>
      <c r="CC249" s="33"/>
      <c r="CD249" s="261" t="str">
        <f t="shared" si="201"/>
        <v/>
      </c>
      <c r="CE249" s="280" t="str">
        <f t="shared" si="202"/>
        <v/>
      </c>
      <c r="CF249" s="71" t="str">
        <f t="shared" ca="1" si="203"/>
        <v/>
      </c>
      <c r="CG249" s="33" t="str">
        <f t="shared" si="204"/>
        <v/>
      </c>
      <c r="CH249" s="261" t="str">
        <f t="shared" ca="1" si="205"/>
        <v/>
      </c>
    </row>
    <row r="250" spans="2:86" ht="13.5" customHeight="1" x14ac:dyDescent="0.2">
      <c r="B250" s="262">
        <v>150</v>
      </c>
      <c r="C250" s="237" t="str">
        <f t="shared" si="169"/>
        <v/>
      </c>
      <c r="D250" s="237" t="str">
        <f t="shared" si="225"/>
        <v/>
      </c>
      <c r="E250" s="263" t="str">
        <f t="shared" si="206"/>
        <v/>
      </c>
      <c r="F250" s="264" t="str">
        <f t="shared" si="207"/>
        <v/>
      </c>
      <c r="G250" s="264" t="str">
        <f t="shared" si="208"/>
        <v/>
      </c>
      <c r="H250" s="240" t="str">
        <f t="shared" si="170"/>
        <v/>
      </c>
      <c r="I250" s="265" t="str">
        <f t="shared" si="171"/>
        <v/>
      </c>
      <c r="J250" s="265" t="str">
        <f t="shared" si="172"/>
        <v/>
      </c>
      <c r="K250" s="240" t="str">
        <f t="shared" si="173"/>
        <v/>
      </c>
      <c r="L250" s="265" t="str">
        <f t="shared" si="174"/>
        <v/>
      </c>
      <c r="M250" s="265" t="str">
        <f t="shared" si="175"/>
        <v/>
      </c>
      <c r="N250" s="240" t="str">
        <f t="shared" si="176"/>
        <v>-</v>
      </c>
      <c r="O250" s="265" t="str">
        <f t="shared" si="177"/>
        <v>-</v>
      </c>
      <c r="P250" s="265" t="str">
        <f t="shared" si="178"/>
        <v>-</v>
      </c>
      <c r="Q250" s="266" t="str">
        <f t="shared" si="179"/>
        <v>-</v>
      </c>
      <c r="R250" s="267" t="str">
        <f t="shared" si="180"/>
        <v>-</v>
      </c>
      <c r="S250" s="268" t="str">
        <f t="shared" si="181"/>
        <v>-</v>
      </c>
      <c r="T250" s="269" t="str">
        <f t="shared" si="182"/>
        <v/>
      </c>
      <c r="U250" s="221">
        <f t="shared" si="183"/>
        <v>150</v>
      </c>
      <c r="V250" s="220" t="str">
        <f t="shared" si="209"/>
        <v>-</v>
      </c>
      <c r="W250" s="221" t="str">
        <f t="shared" si="210"/>
        <v>-</v>
      </c>
      <c r="X250" s="221" t="str">
        <f t="shared" si="184"/>
        <v>-</v>
      </c>
      <c r="Y250" s="221" t="str">
        <f t="shared" si="185"/>
        <v>-</v>
      </c>
      <c r="Z250" s="270">
        <f t="shared" si="211"/>
        <v>0.1</v>
      </c>
      <c r="AA250" s="271" t="str">
        <f>IFERROR(IF(V249=1,AA$100*EXP(-(LN(2)/$D$65+0.04)*X249)*EXP(-(LN(2)/$D$65+0.1)*Y249),IF(V249=2,AA$100*EXP(-(LN(2)/$D$65+0.04)*(VLOOKUP(($F$16-$F$15)-1,U$99:Y249,4,FALSE)))*EXP(-(LN(2)/$D$65+0.1)*(VLOOKUP(($F$16-$F$15)-1,U$99:Y249,5,FALSE)))*EXP(-(LN(2)/$D$65+0.04)*X249)*EXP(-(LN(2)/$D$65+0.1)*Y249),IF(V249=3,AA$100*EXP(-(LN(2)/$D$65+0.04)*(VLOOKUP(($F$16-$F$15)-1,U$99:Y249,4,FALSE)))*EXP(-(LN(2)/$D$65+0.1)*(VLOOKUP(($F$16-$F$15)-1,U$99:Y249,5,FALSE)))*EXP(-(LN(2)/$D$65+0.04)*(VLOOKUP(($F$16-$F$15)*2-1,U$99:Y249,4,FALSE)))*EXP(-(LN(2)/$D$65+0.1)*(VLOOKUP(($F$16-$F$15)*2-1,U$99:Y249,5,FALSE)))*EXP(-(LN(2)/$D$65+0.04)*X249)*EXP(-(LN(2)/$D$65+0.1)*Y249),"-"))),"-")</f>
        <v>-</v>
      </c>
      <c r="AB250" s="271" t="str">
        <f>IFERROR(IF(V250=1,AB$100*EXP(-(LN(2)/$D$65+0.04)*X250)*EXP(-(LN(2)/$D$65+0.1)*Y250),IF(V250=2,AB$100*EXP(-(LN(2)/$D$65+0.04)*(VLOOKUP(($F$16-$F$15)-1,U$100:Y250,4,FALSE)))*EXP(-(LN(2)/$D$65+0.1)*(VLOOKUP(($F$16-$F$15)-1,U$100:Y250,5,FALSE)))*EXP(-(LN(2)/$D$65+0.04)*X250)*EXP(-(LN(2)/$D$65+0.1)*Y250),IF(V250=3,AB$100*EXP(-(LN(2)/$D$65+0.04)*(VLOOKUP(($F$16-$F$15)-1,U$100:Y250,4,FALSE)))*EXP(-(LN(2)/$D$65+0.1)*(VLOOKUP(($F$16-$F$15)-1,U$100:Y250,5,FALSE)))*EXP(-(LN(2)/$D$65+0.04)*(VLOOKUP(($F$16-$F$15)*2-1,U$100:Y250,4,FALSE)))*EXP(-(LN(2)/$D$65+0.1)*(VLOOKUP(($F$16-$F$15)*2-1,U$100:Y250,5,FALSE)))*EXP(-(LN(2)/$D$65+0.04)*X250)*EXP(-(LN(2)/$D$65+0.1)*Y250),"-"))),"-")</f>
        <v>-</v>
      </c>
      <c r="AC250" s="224">
        <f t="shared" si="226"/>
        <v>150</v>
      </c>
      <c r="AD250" s="223" t="str">
        <f t="shared" si="186"/>
        <v>-</v>
      </c>
      <c r="AE250" s="224" t="str">
        <f t="shared" si="213"/>
        <v>-</v>
      </c>
      <c r="AF250" s="224" t="str">
        <f t="shared" si="187"/>
        <v>-</v>
      </c>
      <c r="AG250" s="224" t="str">
        <f t="shared" si="188"/>
        <v>-</v>
      </c>
      <c r="AH250" s="272">
        <f t="shared" si="214"/>
        <v>0.1</v>
      </c>
      <c r="AI250" s="271" t="str">
        <f>IFERROR(IF(AD249=1,AI$100*EXP(-(LN(2)/$D$65+0.04)*AF249)*EXP(-(LN(2)/$D$65+0.1)*AG249),IF(AD249=2,AI$100*EXP(-(LN(2)/$D$65+0.04)*(VLOOKUP(($F$16-$F$15)-1,AC$99:AG249,4,FALSE)))*EXP(-(LN(2)/$D$65+0.1)*(VLOOKUP(($F$16-$F$15)-1,AC$99:AG249,5,FALSE)))*EXP(-(LN(2)/$D$65+0.04)*AF249)*EXP(-(LN(2)/$D$65+0.1)*AG249),IF(AD249=3,AI$100*EXP(-(LN(2)/$D$65+0.04)*(VLOOKUP(($F$16-$F$15)-1,AC$99:AG249,4,FALSE)))*EXP(-(LN(2)/$D$65+0.1)*(VLOOKUP(($F$16-$F$15)-1,AC$99:AG249,5,FALSE)))*EXP(-(LN(2)/$D$65+0.04)*(VLOOKUP(($F$16-$F$15)*2-1,AC$99:AG249,4,FALSE)))*EXP(-(LN(2)/$D$65+0.1)*(VLOOKUP(($F$16-$F$15)*2-1,AC$99:AG249,5,FALSE)))*EXP(-(LN(2)/$D$65+0.04)*AF249)*EXP(-(LN(2)/$D$65+0.1)*AG249),"-"))),"-")</f>
        <v>-</v>
      </c>
      <c r="AJ250" s="271" t="str">
        <f>IFERROR(IF(AD250=1,AJ$100*EXP(-(LN(2)/$D$65+0.04)*AF250)*EXP(-(LN(2)/$D$65+0.1)*AG250),IF(AD250=2,AJ$100*EXP(-(LN(2)/$D$65+0.04)*(VLOOKUP(($F$16-$F$15)-1,AC$100:AG250,4,FALSE)))*EXP(-(LN(2)/$D$65+0.1)*(VLOOKUP(($F$16-$F$15)-1,AC$100:AG250,5,FALSE)))*EXP(-(LN(2)/$D$65+0.04)*AF250)*EXP(-(LN(2)/$D$65+0.1)*AG250),IF(AD250=3,AJ$100*EXP(-(LN(2)/$D$65+0.04)*(VLOOKUP(($F$16-$F$15)-1,AC$100:AG250,4,FALSE)))*EXP(-(LN(2)/$D$65+0.1)*(VLOOKUP(($F$16-$F$15)-1,AC$100:AG250,5,FALSE)))*EXP(-(LN(2)/$D$65+0.04)*(VLOOKUP(($F$16-$F$15)*2-1,AC$100:AG250,4,FALSE)))*EXP(-(LN(2)/$D$65+0.1)*(VLOOKUP(($F$16-$F$15)*2-1,AC$100:AG250,5,FALSE)))*EXP(-(LN(2)/$D$65+0.04)*AF250)*EXP(-(LN(2)/$D$65+0.1)*AG250),"-"))),"-")</f>
        <v>-</v>
      </c>
      <c r="AK250" s="227">
        <f t="shared" si="215"/>
        <v>150</v>
      </c>
      <c r="AL250" s="226" t="str">
        <f t="shared" si="189"/>
        <v>-</v>
      </c>
      <c r="AM250" s="227" t="str">
        <f t="shared" si="216"/>
        <v>-</v>
      </c>
      <c r="AN250" s="227" t="str">
        <f t="shared" si="217"/>
        <v>-</v>
      </c>
      <c r="AO250" s="227" t="str">
        <f t="shared" si="190"/>
        <v>-</v>
      </c>
      <c r="AP250" s="273">
        <f t="shared" si="218"/>
        <v>0.1</v>
      </c>
      <c r="AQ250" s="271" t="str">
        <f>IFERROR(IF(AL249=1,AQ$100*EXP(-(LN(2)/$D$65+0.04)*AN249)*EXP(-(LN(2)/$D$65+0.1)*AO249),IF(AL249=2,AQ$100*EXP(-(LN(2)/$D$65+0.04)*(VLOOKUP(($F$16-$F$15)-1,AK$99:AO249,4,FALSE)))*EXP(-(LN(2)/$D$65+0.1)*(VLOOKUP(($F$16-$F$15)-1,AK$99:AO249,5,FALSE)))*EXP(-(LN(2)/$D$65+0.04)*AN249)*EXP(-(LN(2)/$D$65+0.1)*AO249),IF(AL249=3,AQ$100*EXP(-(LN(2)/$D$65+0.04)*(VLOOKUP(($F$16-$F$15)-1,AK$99:AO249,4,FALSE)))*EXP(-(LN(2)/$D$65+0.1)*(VLOOKUP(($F$16-$F$15)-1,AK$99:AO249,5,FALSE)))*EXP(-(LN(2)/$D$65+0.04)*(VLOOKUP(($F$16-$F$15)*2-1,AK$99:AO249,4,FALSE)))*EXP(-(LN(2)/$D$65+0.1)*(VLOOKUP(($F$16-$F$15)*2-1,AK$99:AO249,5,FALSE)))*EXP(-(LN(2)/$D$65+0.04)*AN249)*EXP(-(LN(2)/$D$65+0.1)*AO249),"-"))),"-")</f>
        <v>-</v>
      </c>
      <c r="AR250" s="271" t="str">
        <f>IFERROR(IF(AL250=1,AR$100*EXP(-(LN(2)/$D$65+0.04)*AN250)*EXP(-(LN(2)/$D$65+0.1)*AO250),IF(AL250=2,AR$100*EXP(-(LN(2)/$D$65+0.04)*(VLOOKUP(($F$16-$F$15)-1,AK$100:AO250,4,FALSE)))*EXP(-(LN(2)/$D$65+0.1)*(VLOOKUP(($F$16-$F$15)-1,AK$100:AO250,5,FALSE)))*EXP(-(LN(2)/$D$65+0.04)*AN250)*EXP(-(LN(2)/$D$65+0.1)*AO250),IF(AL250=3,AR$100*EXP(-(LN(2)/$D$65+0.04)*(VLOOKUP(($F$16-$F$15)-1,AK$100:AO250,4,FALSE)))*EXP(-(LN(2)/$D$65+0.1)*(VLOOKUP(($F$16-$F$15)-1,AK$100:AO250,5,FALSE)))*EXP(-(LN(2)/$D$65+0.04)*(VLOOKUP(($F$16-$F$15)*2-1,AK$100:AO250,4,FALSE)))*EXP(-(LN(2)/$D$65+0.1)*(VLOOKUP(($F$16-$F$15)*2-1,AK$100:AO250,5,FALSE)))*EXP(-(LN(2)/$D$65+0.04)*AN250)*EXP(-(LN(2)/$D$65+0.1)*AO250),"-"))),"-")</f>
        <v>-</v>
      </c>
      <c r="AS250" s="274">
        <f t="shared" si="191"/>
        <v>0</v>
      </c>
      <c r="AT250" s="274">
        <f t="shared" si="192"/>
        <v>0</v>
      </c>
      <c r="AU250" s="274">
        <f t="shared" si="193"/>
        <v>0</v>
      </c>
      <c r="AV250" s="253" t="str">
        <f>IF($B250&lt;$F$22,SUM($T$100:$T250),"")</f>
        <v/>
      </c>
      <c r="AW250" s="253" t="str">
        <f t="shared" si="194"/>
        <v>-</v>
      </c>
      <c r="AX250" s="253" t="str">
        <f t="shared" si="219"/>
        <v/>
      </c>
      <c r="AY250" s="252"/>
      <c r="AZ250" s="253" t="str">
        <f ca="1">IF(ISNUMBER(OFFSET(AV250,-$F$21,0)),SUM(OFFSET($T$100,$F$21,0):$T250),"")</f>
        <v/>
      </c>
      <c r="BA250" s="253" t="str">
        <f t="shared" ca="1" si="195"/>
        <v/>
      </c>
      <c r="BB250" s="253" t="str">
        <f ca="1">IF(ISNUMBER(AZ250),(AZ250-BA250)/(3*86400*(OFFSET($B250,-$F$21,0)+1))*1000,"")</f>
        <v/>
      </c>
      <c r="BC250" s="253"/>
      <c r="BD250" s="253" t="str">
        <f ca="1">IFERROR(IF(OR(ISNUMBER(I),ISNUMBER($F$14)),IF(AND($B250&gt;=($F$16-$F$15),$B250&lt;$F$22+($F$16-$F$15)),SUM(OFFSET($T$100,($F$16-$F$15),0):$T250),""),""),"")</f>
        <v/>
      </c>
      <c r="BE250" s="253" t="str">
        <f t="shared" ca="1" si="220"/>
        <v/>
      </c>
      <c r="BF250" s="253" t="str">
        <f t="shared" ca="1" si="221"/>
        <v/>
      </c>
      <c r="BG250" s="252"/>
      <c r="BH250" s="253" t="str">
        <f ca="1">IF(ISNUMBER(OFFSET(BD250,-$F$21,0)),SUM(OFFSET($T$100,($F$16-$F$15+$F$21),0):$T250),"")</f>
        <v/>
      </c>
      <c r="BI250" s="253" t="str">
        <f t="shared" ca="1" si="196"/>
        <v/>
      </c>
      <c r="BJ250" s="253" t="str">
        <f t="shared" ca="1" si="222"/>
        <v/>
      </c>
      <c r="BK250" s="253"/>
      <c r="BL250" s="253" t="str">
        <f ca="1">IFERROR(IF(OR(ISNUMBER(I),ISNUMBER($F$14)),IF(AND($B250&gt;=($F$17-$F$15),$B250&lt;$F$22+($F$17-$F$15)),SUM(OFFSET($T$100,($F$17-$F$15),0):$T250),""),""),"")</f>
        <v/>
      </c>
      <c r="BM250" s="253" t="str">
        <f t="shared" ca="1" si="197"/>
        <v/>
      </c>
      <c r="BN250" s="253" t="str">
        <f t="shared" ca="1" si="223"/>
        <v/>
      </c>
      <c r="BO250" s="252"/>
      <c r="BP250" s="253" t="str">
        <f ca="1">IF(ISNUMBER(OFFSET(BL250,-$F$21,0)),SUM(OFFSET($T$100,($F$17-$F$15+$F$21),0):$T250),"")</f>
        <v/>
      </c>
      <c r="BQ250" s="253" t="str">
        <f t="shared" ca="1" si="198"/>
        <v/>
      </c>
      <c r="BR250" s="253" t="str">
        <f t="shared" ca="1" si="224"/>
        <v/>
      </c>
      <c r="BS250" s="253"/>
      <c r="BT250"/>
      <c r="BU250"/>
      <c r="BV250"/>
      <c r="BY250" s="99"/>
      <c r="BZ250" s="99"/>
      <c r="CA250" s="280" t="str">
        <f t="shared" si="199"/>
        <v/>
      </c>
      <c r="CB250" s="71" t="str">
        <f t="shared" si="200"/>
        <v>-</v>
      </c>
      <c r="CC250" s="33"/>
      <c r="CD250" s="261" t="str">
        <f t="shared" si="201"/>
        <v/>
      </c>
      <c r="CE250" s="280" t="str">
        <f t="shared" si="202"/>
        <v/>
      </c>
      <c r="CF250" s="71" t="str">
        <f t="shared" ca="1" si="203"/>
        <v/>
      </c>
      <c r="CG250" s="33" t="str">
        <f t="shared" si="204"/>
        <v/>
      </c>
      <c r="CH250" s="261" t="str">
        <f t="shared" ca="1" si="205"/>
        <v/>
      </c>
    </row>
  </sheetData>
  <sheetProtection algorithmName="SHA-512" hashValue="htQj2VjvtJ2lNqZrHTbl6n/hUt6SvKEB7Tfgu5S6ba23dv9YL0aDaAOOkN9M+/2kosi+gzpYhDsGUd5cTE7rgg==" saltValue="wC2WZQxIgClkqQFZu3LIAQ==" spinCount="100000" sheet="1" objects="1" scenarios="1" selectLockedCells="1"/>
  <mergeCells count="108">
    <mergeCell ref="B2:D3"/>
    <mergeCell ref="BU94:BY94"/>
    <mergeCell ref="AW97:AW98"/>
    <mergeCell ref="BA97:BA98"/>
    <mergeCell ref="BE97:BE98"/>
    <mergeCell ref="BF97:BF98"/>
    <mergeCell ref="BH97:BH98"/>
    <mergeCell ref="BI97:BI98"/>
    <mergeCell ref="BJ97:BJ98"/>
    <mergeCell ref="BL97:BL98"/>
    <mergeCell ref="BM97:BM98"/>
    <mergeCell ref="BN97:BN98"/>
    <mergeCell ref="BP97:BP98"/>
    <mergeCell ref="BQ97:BQ98"/>
    <mergeCell ref="BR97:BR98"/>
    <mergeCell ref="C12:E12"/>
    <mergeCell ref="H12:J12"/>
    <mergeCell ref="C13:E13"/>
    <mergeCell ref="H13:J13"/>
    <mergeCell ref="C14:E14"/>
    <mergeCell ref="H14:J14"/>
    <mergeCell ref="B5:C5"/>
    <mergeCell ref="D5:J5"/>
    <mergeCell ref="B6:C6"/>
    <mergeCell ref="D6:J6"/>
    <mergeCell ref="C11:E11"/>
    <mergeCell ref="H11:J11"/>
    <mergeCell ref="C20:E20"/>
    <mergeCell ref="H20:J20"/>
    <mergeCell ref="C21:E21"/>
    <mergeCell ref="H21:J21"/>
    <mergeCell ref="C22:E22"/>
    <mergeCell ref="H22:J22"/>
    <mergeCell ref="B15:B17"/>
    <mergeCell ref="C15:E17"/>
    <mergeCell ref="G15:G17"/>
    <mergeCell ref="H15:J17"/>
    <mergeCell ref="B18:B19"/>
    <mergeCell ref="C18:E19"/>
    <mergeCell ref="F18:F19"/>
    <mergeCell ref="G18:G19"/>
    <mergeCell ref="H18:J19"/>
    <mergeCell ref="B36:D36"/>
    <mergeCell ref="B37:B38"/>
    <mergeCell ref="C37:C38"/>
    <mergeCell ref="D37:D38"/>
    <mergeCell ref="G38:I38"/>
    <mergeCell ref="G39:I39"/>
    <mergeCell ref="C23:E23"/>
    <mergeCell ref="H23:J23"/>
    <mergeCell ref="H25:K34"/>
    <mergeCell ref="B26:C26"/>
    <mergeCell ref="B27:C27"/>
    <mergeCell ref="B31:C31"/>
    <mergeCell ref="F46:F47"/>
    <mergeCell ref="G46:I47"/>
    <mergeCell ref="F48:F49"/>
    <mergeCell ref="G48:J49"/>
    <mergeCell ref="G50:I50"/>
    <mergeCell ref="G51:I51"/>
    <mergeCell ref="F40:F41"/>
    <mergeCell ref="G40:I41"/>
    <mergeCell ref="G42:I42"/>
    <mergeCell ref="F43:F44"/>
    <mergeCell ref="G43:I44"/>
    <mergeCell ref="G45:I45"/>
    <mergeCell ref="B65:C65"/>
    <mergeCell ref="G66:H66"/>
    <mergeCell ref="C69:E69"/>
    <mergeCell ref="C70:E70"/>
    <mergeCell ref="C71:E71"/>
    <mergeCell ref="B93:C93"/>
    <mergeCell ref="G52:I52"/>
    <mergeCell ref="G53:I53"/>
    <mergeCell ref="G54:I54"/>
    <mergeCell ref="G55:I55"/>
    <mergeCell ref="G56:I56"/>
    <mergeCell ref="B61:E64"/>
    <mergeCell ref="B95:B99"/>
    <mergeCell ref="C95:C99"/>
    <mergeCell ref="D95:D99"/>
    <mergeCell ref="E95:E99"/>
    <mergeCell ref="F95:F99"/>
    <mergeCell ref="G95:G99"/>
    <mergeCell ref="H95:H99"/>
    <mergeCell ref="I95:I99"/>
    <mergeCell ref="B94:D94"/>
    <mergeCell ref="E94:G94"/>
    <mergeCell ref="H94:J94"/>
    <mergeCell ref="S95:S99"/>
    <mergeCell ref="AZ97:AZ98"/>
    <mergeCell ref="BB97:BB98"/>
    <mergeCell ref="BD97:BD98"/>
    <mergeCell ref="AV97:AV98"/>
    <mergeCell ref="AX97:AX98"/>
    <mergeCell ref="J95:J99"/>
    <mergeCell ref="K95:K99"/>
    <mergeCell ref="L95:L99"/>
    <mergeCell ref="M95:M99"/>
    <mergeCell ref="N95:N99"/>
    <mergeCell ref="O95:O99"/>
    <mergeCell ref="T94:T99"/>
    <mergeCell ref="K94:M94"/>
    <mergeCell ref="N94:P94"/>
    <mergeCell ref="Q94:S94"/>
    <mergeCell ref="P95:P99"/>
    <mergeCell ref="Q95:Q99"/>
    <mergeCell ref="R95:R99"/>
  </mergeCells>
  <phoneticPr fontId="3"/>
  <conditionalFormatting sqref="B100:B114">
    <cfRule type="expression" dxfId="168" priority="327" stopIfTrue="1">
      <formula>MAX($BG$99:$BG$120)+14&lt;$B100</formula>
    </cfRule>
  </conditionalFormatting>
  <conditionalFormatting sqref="D65">
    <cfRule type="expression" dxfId="167" priority="289" stopIfTrue="1">
      <formula>$G$13=8</formula>
    </cfRule>
    <cfRule type="expression" dxfId="166" priority="288" stopIfTrue="1">
      <formula>$G$13=""</formula>
    </cfRule>
    <cfRule type="expression" dxfId="165" priority="307" stopIfTrue="1">
      <formula>AND(ISNUMBER(D65),MAX($C65:$C65)=D65,$G$13=8)</formula>
    </cfRule>
    <cfRule type="expression" dxfId="164" priority="306" stopIfTrue="1">
      <formula>AND(ISNUMBER(D65),MAX($C65:$C65)=D65,$G$13=7)</formula>
    </cfRule>
    <cfRule type="expression" dxfId="163" priority="305" stopIfTrue="1">
      <formula>AND(ISNUMBER(D65),MAX($C65:$C65)=D65,$G$13=6)</formula>
    </cfRule>
    <cfRule type="expression" dxfId="162" priority="304" stopIfTrue="1">
      <formula>AND(ISNUMBER(D65),MAX($C65:$C65)=D65,$G$13=5)</formula>
    </cfRule>
    <cfRule type="expression" dxfId="161" priority="303" stopIfTrue="1">
      <formula>AND(ISNUMBER(D65),MAX($C65:$C65)=D65,$G$13=4)</formula>
    </cfRule>
    <cfRule type="expression" dxfId="160" priority="302" stopIfTrue="1">
      <formula>AND(ISNUMBER(D65),MAX($C65:$C65)=D65,$G$13=3)</formula>
    </cfRule>
    <cfRule type="expression" dxfId="159" priority="301" stopIfTrue="1">
      <formula>AND(ISNUMBER(D65),MAX($C65:$C65)=D65,$G$13=2)</formula>
    </cfRule>
    <cfRule type="expression" dxfId="158" priority="300" stopIfTrue="1">
      <formula>AND(ISNUMBER(D65),MAX($C65:$C65)=D65,$G$13=1)</formula>
    </cfRule>
    <cfRule type="expression" dxfId="157" priority="299" stopIfTrue="1">
      <formula>AND(ISNUMBER(D65),MAX($C65:$C65)=D65,$G$13=0)</formula>
    </cfRule>
    <cfRule type="expression" dxfId="156" priority="298" stopIfTrue="1">
      <formula>AND(ISNUMBER(D65),MAX($C65:$C65)=D65,$G$13="")</formula>
    </cfRule>
    <cfRule type="expression" dxfId="155" priority="297" stopIfTrue="1">
      <formula>$G$13=0</formula>
    </cfRule>
    <cfRule type="expression" dxfId="154" priority="296" stopIfTrue="1">
      <formula>$G$13=1</formula>
    </cfRule>
    <cfRule type="expression" dxfId="153" priority="295" stopIfTrue="1">
      <formula>$G$13=2</formula>
    </cfRule>
    <cfRule type="expression" dxfId="152" priority="292" stopIfTrue="1">
      <formula>$G$13=5</formula>
    </cfRule>
    <cfRule type="expression" dxfId="151" priority="294" stopIfTrue="1">
      <formula>$G$13=3</formula>
    </cfRule>
    <cfRule type="expression" dxfId="150" priority="293" stopIfTrue="1">
      <formula>$G$13=4</formula>
    </cfRule>
    <cfRule type="expression" dxfId="149" priority="291" stopIfTrue="1">
      <formula>$G$13=6</formula>
    </cfRule>
    <cfRule type="expression" dxfId="148" priority="290" stopIfTrue="1">
      <formula>$G$13=7</formula>
    </cfRule>
  </conditionalFormatting>
  <conditionalFormatting sqref="F70">
    <cfRule type="expression" dxfId="147" priority="1" stopIfTrue="1">
      <formula>$G$13=""</formula>
    </cfRule>
    <cfRule type="expression" dxfId="146" priority="2" stopIfTrue="1">
      <formula>$G$13=8</formula>
    </cfRule>
    <cfRule type="expression" dxfId="145" priority="3" stopIfTrue="1">
      <formula>$G$13=7</formula>
    </cfRule>
    <cfRule type="expression" dxfId="144" priority="4" stopIfTrue="1">
      <formula>$G$13=6</formula>
    </cfRule>
    <cfRule type="expression" dxfId="143" priority="5" stopIfTrue="1">
      <formula>$G$13=5</formula>
    </cfRule>
    <cfRule type="expression" dxfId="142" priority="6" stopIfTrue="1">
      <formula>$G$13=4</formula>
    </cfRule>
    <cfRule type="expression" dxfId="141" priority="7" stopIfTrue="1">
      <formula>$G$13=3</formula>
    </cfRule>
    <cfRule type="expression" dxfId="140" priority="8" stopIfTrue="1">
      <formula>$G$13=2</formula>
    </cfRule>
    <cfRule type="expression" dxfId="139" priority="9" stopIfTrue="1">
      <formula>$G$13=1</formula>
    </cfRule>
    <cfRule type="expression" dxfId="138" priority="10" stopIfTrue="1">
      <formula>$G$13=0</formula>
    </cfRule>
    <cfRule type="expression" dxfId="137" priority="11" stopIfTrue="1">
      <formula>AND(ISNUMBER(F70),MAX($C70:$C70)=F70,$G$13="")</formula>
    </cfRule>
    <cfRule type="expression" dxfId="136" priority="12" stopIfTrue="1">
      <formula>AND(ISNUMBER(F70),MAX($C70:$C70)=F70,$G$13=0)</formula>
    </cfRule>
    <cfRule type="expression" dxfId="135" priority="13" stopIfTrue="1">
      <formula>AND(ISNUMBER(F70),MAX($C70:$C70)=F70,$G$13=1)</formula>
    </cfRule>
    <cfRule type="expression" dxfId="134" priority="14" stopIfTrue="1">
      <formula>AND(ISNUMBER(F70),MAX($C70:$C70)=F70,$G$13=2)</formula>
    </cfRule>
    <cfRule type="expression" dxfId="133" priority="15" stopIfTrue="1">
      <formula>AND(ISNUMBER(F70),MAX($C70:$C70)=F70,$G$13=3)</formula>
    </cfRule>
    <cfRule type="expression" dxfId="132" priority="16" stopIfTrue="1">
      <formula>AND(ISNUMBER(F70),MAX($C70:$C70)=F70,$G$13=4)</formula>
    </cfRule>
    <cfRule type="expression" dxfId="131" priority="18" stopIfTrue="1">
      <formula>AND(ISNUMBER(F70),MAX($C70:$C70)=F70,$G$13=6)</formula>
    </cfRule>
    <cfRule type="expression" dxfId="130" priority="19" stopIfTrue="1">
      <formula>AND(ISNUMBER(F70),MAX($C70:$C70)=F70,$G$13=7)</formula>
    </cfRule>
    <cfRule type="expression" dxfId="129" priority="20" stopIfTrue="1">
      <formula>AND(ISNUMBER(F70),MAX($C70:$C70)=F70,$G$13=8)</formula>
    </cfRule>
    <cfRule type="expression" dxfId="128" priority="17" stopIfTrue="1">
      <formula>AND(ISNUMBER(F70),MAX($C70:$C70)=F70,$G$13=5)</formula>
    </cfRule>
  </conditionalFormatting>
  <conditionalFormatting sqref="F71">
    <cfRule type="expression" dxfId="127" priority="21" stopIfTrue="1">
      <formula>$I$66=""</formula>
    </cfRule>
    <cfRule type="expression" dxfId="126" priority="22" stopIfTrue="1">
      <formula>$I$66=0</formula>
    </cfRule>
    <cfRule type="expression" dxfId="125" priority="23" stopIfTrue="1">
      <formula>$I$66=1</formula>
    </cfRule>
    <cfRule type="expression" dxfId="124" priority="24" stopIfTrue="1">
      <formula>$I$66=2</formula>
    </cfRule>
    <cfRule type="expression" dxfId="123" priority="25" stopIfTrue="1">
      <formula>$I$66=3</formula>
    </cfRule>
    <cfRule type="expression" dxfId="122" priority="26" stopIfTrue="1">
      <formula>$I$66=4</formula>
    </cfRule>
    <cfRule type="expression" dxfId="121" priority="27" stopIfTrue="1">
      <formula>$I$66=5</formula>
    </cfRule>
    <cfRule type="expression" dxfId="120" priority="28" stopIfTrue="1">
      <formula>$I$66=7</formula>
    </cfRule>
    <cfRule type="expression" dxfId="119" priority="29" stopIfTrue="1">
      <formula>$I$66=8</formula>
    </cfRule>
  </conditionalFormatting>
  <conditionalFormatting sqref="I3">
    <cfRule type="expression" dxfId="118" priority="275" stopIfTrue="1">
      <formula>$G$11=2</formula>
    </cfRule>
    <cfRule type="expression" dxfId="117" priority="274" stopIfTrue="1">
      <formula>$G$11=3</formula>
    </cfRule>
    <cfRule type="expression" dxfId="116" priority="276" stopIfTrue="1">
      <formula>$G$11=1</formula>
    </cfRule>
    <cfRule type="expression" dxfId="115" priority="273" stopIfTrue="1">
      <formula>$G$11=4</formula>
    </cfRule>
    <cfRule type="expression" dxfId="114" priority="272" stopIfTrue="1">
      <formula>$G$11=5</formula>
    </cfRule>
    <cfRule type="expression" dxfId="113" priority="271" stopIfTrue="1">
      <formula>$G$11=6</formula>
    </cfRule>
    <cfRule type="expression" dxfId="112" priority="270" stopIfTrue="1">
      <formula>$G$11=7</formula>
    </cfRule>
    <cfRule type="expression" dxfId="111" priority="269" stopIfTrue="1">
      <formula>$G$11=8</formula>
    </cfRule>
    <cfRule type="expression" dxfId="110" priority="268" stopIfTrue="1">
      <formula>$G$11=""</formula>
    </cfRule>
    <cfRule type="expression" dxfId="109" priority="287" stopIfTrue="1">
      <formula>AND(ISNUMBER(I3),MAX($C69:$C69)=I3,$G$11=8)</formula>
    </cfRule>
    <cfRule type="expression" dxfId="108" priority="286" stopIfTrue="1">
      <formula>AND(ISNUMBER(I3),MAX($C69:$C69)=I3,$G$11=7)</formula>
    </cfRule>
    <cfRule type="expression" dxfId="107" priority="285" stopIfTrue="1">
      <formula>AND(ISNUMBER(I3),MAX($C69:$C69)=I3,$G$11=6)</formula>
    </cfRule>
    <cfRule type="expression" dxfId="106" priority="284" stopIfTrue="1">
      <formula>AND(ISNUMBER(I3),MAX($C69:$C69)=I3,$G$11=5)</formula>
    </cfRule>
    <cfRule type="expression" dxfId="105" priority="283" stopIfTrue="1">
      <formula>AND(ISNUMBER(I3),MAX($C69:$C69)=I3,$G$11=4)</formula>
    </cfRule>
    <cfRule type="expression" dxfId="104" priority="282" stopIfTrue="1">
      <formula>AND(ISNUMBER(I3),MAX($C69:$C69)=I3,$G$11=3)</formula>
    </cfRule>
    <cfRule type="expression" dxfId="103" priority="281" stopIfTrue="1">
      <formula>AND(ISNUMBER(I3),MAX($C69:$C69)=I3,$G$11=2)</formula>
    </cfRule>
    <cfRule type="expression" dxfId="102" priority="280" stopIfTrue="1">
      <formula>AND(ISNUMBER(I3),MAX($C69:$C69)=I3,$G$11=1)</formula>
    </cfRule>
    <cfRule type="expression" dxfId="101" priority="279" stopIfTrue="1">
      <formula>AND(ISNUMBER(I3),MAX($C69:$C69)=I3,$G$11=0)</formula>
    </cfRule>
    <cfRule type="expression" dxfId="100" priority="278" stopIfTrue="1">
      <formula>AND(ISNUMBER(I3),MAX($C69:$C69)=I3,$G$11="")</formula>
    </cfRule>
    <cfRule type="expression" dxfId="99" priority="277" stopIfTrue="1">
      <formula>$G$11=0</formula>
    </cfRule>
  </conditionalFormatting>
  <conditionalFormatting sqref="Q100:Q114">
    <cfRule type="expression" dxfId="98" priority="30" stopIfTrue="1">
      <formula>MAX($BU$99:$BU$120)+14&lt;$B100</formula>
    </cfRule>
  </conditionalFormatting>
  <conditionalFormatting sqref="R100:T114">
    <cfRule type="expression" dxfId="97" priority="206" stopIfTrue="1">
      <formula>MAX($BG$99:$BG$120)+14&lt;$B100</formula>
    </cfRule>
  </conditionalFormatting>
  <conditionalFormatting sqref="T100:T114">
    <cfRule type="expression" dxfId="96" priority="207">
      <formula>MAX($BG$101:$BG$120)+4&lt;$B100</formula>
    </cfRule>
  </conditionalFormatting>
  <conditionalFormatting sqref="V99:V104">
    <cfRule type="expression" dxfId="95" priority="94" stopIfTrue="1">
      <formula>MAX($BU$99:$BU$120)+14&lt;$B99</formula>
    </cfRule>
    <cfRule type="expression" dxfId="94" priority="95">
      <formula>MAX($BU$101:$BU$120)+4&lt;$B99</formula>
    </cfRule>
  </conditionalFormatting>
  <conditionalFormatting sqref="AX88">
    <cfRule type="expression" dxfId="93" priority="40" stopIfTrue="1">
      <formula>$I$66=""</formula>
    </cfRule>
    <cfRule type="expression" dxfId="92" priority="42" stopIfTrue="1">
      <formula>$I$66=1</formula>
    </cfRule>
    <cfRule type="expression" dxfId="91" priority="43" stopIfTrue="1">
      <formula>$I$66=2</formula>
    </cfRule>
    <cfRule type="expression" dxfId="90" priority="44" stopIfTrue="1">
      <formula>$I$66=3</formula>
    </cfRule>
    <cfRule type="expression" dxfId="89" priority="45" stopIfTrue="1">
      <formula>$I$66=4</formula>
    </cfRule>
    <cfRule type="expression" dxfId="88" priority="46" stopIfTrue="1">
      <formula>$I$66=5</formula>
    </cfRule>
    <cfRule type="expression" dxfId="87" priority="47" stopIfTrue="1">
      <formula>$I$66=7</formula>
    </cfRule>
    <cfRule type="expression" dxfId="86" priority="48" stopIfTrue="1">
      <formula>$I$66=8</formula>
    </cfRule>
    <cfRule type="expression" dxfId="85" priority="41" stopIfTrue="1">
      <formula>$I$66=0</formula>
    </cfRule>
  </conditionalFormatting>
  <conditionalFormatting sqref="BB88">
    <cfRule type="expression" dxfId="84" priority="49" stopIfTrue="1">
      <formula>$I$66=""</formula>
    </cfRule>
    <cfRule type="expression" dxfId="83" priority="50" stopIfTrue="1">
      <formula>$I$66=0</formula>
    </cfRule>
    <cfRule type="expression" dxfId="82" priority="51" stopIfTrue="1">
      <formula>$I$66=1</formula>
    </cfRule>
    <cfRule type="expression" dxfId="81" priority="53" stopIfTrue="1">
      <formula>$I$66=3</formula>
    </cfRule>
    <cfRule type="expression" dxfId="80" priority="54" stopIfTrue="1">
      <formula>$I$66=4</formula>
    </cfRule>
    <cfRule type="expression" dxfId="79" priority="55" stopIfTrue="1">
      <formula>$I$66=5</formula>
    </cfRule>
    <cfRule type="expression" dxfId="78" priority="56" stopIfTrue="1">
      <formula>$I$66=7</formula>
    </cfRule>
    <cfRule type="expression" dxfId="77" priority="57" stopIfTrue="1">
      <formula>$I$66=8</formula>
    </cfRule>
    <cfRule type="expression" dxfId="76" priority="52" stopIfTrue="1">
      <formula>$I$66=2</formula>
    </cfRule>
  </conditionalFormatting>
  <conditionalFormatting sqref="BF88">
    <cfRule type="expression" dxfId="75" priority="66" stopIfTrue="1">
      <formula>$I$66=8</formula>
    </cfRule>
    <cfRule type="expression" dxfId="74" priority="58" stopIfTrue="1">
      <formula>$I$66=""</formula>
    </cfRule>
    <cfRule type="expression" dxfId="73" priority="64" stopIfTrue="1">
      <formula>$I$66=5</formula>
    </cfRule>
    <cfRule type="expression" dxfId="72" priority="59" stopIfTrue="1">
      <formula>$I$66=0</formula>
    </cfRule>
    <cfRule type="expression" dxfId="71" priority="60" stopIfTrue="1">
      <formula>$I$66=1</formula>
    </cfRule>
    <cfRule type="expression" dxfId="70" priority="61" stopIfTrue="1">
      <formula>$I$66=2</formula>
    </cfRule>
    <cfRule type="expression" dxfId="69" priority="62" stopIfTrue="1">
      <formula>$I$66=3</formula>
    </cfRule>
    <cfRule type="expression" dxfId="68" priority="63" stopIfTrue="1">
      <formula>$I$66=4</formula>
    </cfRule>
    <cfRule type="expression" dxfId="67" priority="65" stopIfTrue="1">
      <formula>$I$66=7</formula>
    </cfRule>
  </conditionalFormatting>
  <conditionalFormatting sqref="BJ88">
    <cfRule type="expression" dxfId="66" priority="68" stopIfTrue="1">
      <formula>$I$66=0</formula>
    </cfRule>
    <cfRule type="expression" dxfId="65" priority="67" stopIfTrue="1">
      <formula>$I$66=""</formula>
    </cfRule>
    <cfRule type="expression" dxfId="64" priority="73" stopIfTrue="1">
      <formula>$I$66=5</formula>
    </cfRule>
    <cfRule type="expression" dxfId="63" priority="75" stopIfTrue="1">
      <formula>$I$66=8</formula>
    </cfRule>
    <cfRule type="expression" dxfId="62" priority="69" stopIfTrue="1">
      <formula>$I$66=1</formula>
    </cfRule>
    <cfRule type="expression" dxfId="61" priority="72" stopIfTrue="1">
      <formula>$I$66=4</formula>
    </cfRule>
    <cfRule type="expression" dxfId="60" priority="71" stopIfTrue="1">
      <formula>$I$66=3</formula>
    </cfRule>
    <cfRule type="expression" dxfId="59" priority="70" stopIfTrue="1">
      <formula>$I$66=2</formula>
    </cfRule>
    <cfRule type="expression" dxfId="58" priority="74" stopIfTrue="1">
      <formula>$I$66=7</formula>
    </cfRule>
  </conditionalFormatting>
  <conditionalFormatting sqref="BN88">
    <cfRule type="expression" dxfId="57" priority="76" stopIfTrue="1">
      <formula>$I$66=""</formula>
    </cfRule>
    <cfRule type="expression" dxfId="56" priority="77" stopIfTrue="1">
      <formula>$I$66=0</formula>
    </cfRule>
    <cfRule type="expression" dxfId="55" priority="79" stopIfTrue="1">
      <formula>$I$66=2</formula>
    </cfRule>
    <cfRule type="expression" dxfId="54" priority="78" stopIfTrue="1">
      <formula>$I$66=1</formula>
    </cfRule>
    <cfRule type="expression" dxfId="53" priority="80" stopIfTrue="1">
      <formula>$I$66=3</formula>
    </cfRule>
    <cfRule type="expression" dxfId="52" priority="81" stopIfTrue="1">
      <formula>$I$66=4</formula>
    </cfRule>
    <cfRule type="expression" dxfId="51" priority="82" stopIfTrue="1">
      <formula>$I$66=5</formula>
    </cfRule>
    <cfRule type="expression" dxfId="50" priority="84" stopIfTrue="1">
      <formula>$I$66=8</formula>
    </cfRule>
    <cfRule type="expression" dxfId="49" priority="83" stopIfTrue="1">
      <formula>$I$66=7</formula>
    </cfRule>
  </conditionalFormatting>
  <conditionalFormatting sqref="BR88">
    <cfRule type="expression" dxfId="48" priority="93" stopIfTrue="1">
      <formula>$I$66=8</formula>
    </cfRule>
    <cfRule type="expression" dxfId="47" priority="92" stopIfTrue="1">
      <formula>$I$66=7</formula>
    </cfRule>
    <cfRule type="expression" dxfId="46" priority="91" stopIfTrue="1">
      <formula>$I$66=5</formula>
    </cfRule>
    <cfRule type="expression" dxfId="45" priority="90" stopIfTrue="1">
      <formula>$I$66=4</formula>
    </cfRule>
    <cfRule type="expression" dxfId="44" priority="85" stopIfTrue="1">
      <formula>$I$66=""</formula>
    </cfRule>
    <cfRule type="expression" dxfId="43" priority="86" stopIfTrue="1">
      <formula>$I$66=0</formula>
    </cfRule>
    <cfRule type="expression" dxfId="42" priority="87" stopIfTrue="1">
      <formula>$I$66=1</formula>
    </cfRule>
    <cfRule type="expression" dxfId="41" priority="88" stopIfTrue="1">
      <formula>$I$66=2</formula>
    </cfRule>
    <cfRule type="expression" dxfId="40" priority="89" stopIfTrue="1">
      <formula>$I$66=3</formula>
    </cfRule>
  </conditionalFormatting>
  <hyperlinks>
    <hyperlink ref="C72" location="入力及び計算結果!A1" display="「入力及び計算結果」に戻る" xr:uid="{00000000-0004-0000-0B00-000000000000}"/>
  </hyperlinks>
  <pageMargins left="0.7" right="0.7" top="0.75" bottom="0.75" header="0.3" footer="0.3"/>
  <pageSetup paperSize="9"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A1:V97"/>
  <sheetViews>
    <sheetView topLeftCell="A29" zoomScale="90" zoomScaleNormal="90" workbookViewId="0">
      <selection activeCell="D45" sqref="D45"/>
    </sheetView>
  </sheetViews>
  <sheetFormatPr defaultRowHeight="13" x14ac:dyDescent="0.2"/>
  <cols>
    <col min="1" max="1" width="2.453125" customWidth="1"/>
    <col min="2" max="2" width="14.08984375" customWidth="1"/>
    <col min="3" max="3" width="25.08984375" customWidth="1"/>
    <col min="4" max="5" width="15.453125" customWidth="1"/>
    <col min="6" max="6" width="17.26953125" customWidth="1"/>
    <col min="7" max="12" width="12.453125" customWidth="1"/>
    <col min="13" max="13" width="5" customWidth="1"/>
    <col min="14" max="14" width="10.453125" customWidth="1"/>
    <col min="17" max="17" width="10.26953125" bestFit="1" customWidth="1"/>
    <col min="20" max="20" width="10.26953125" bestFit="1" customWidth="1"/>
  </cols>
  <sheetData>
    <row r="1" spans="1:12" ht="15" customHeight="1" x14ac:dyDescent="0.2">
      <c r="B1" s="17" t="str">
        <f>入力及び計算結果!B1</f>
        <v>ver.1.0（2026/07/01）</v>
      </c>
      <c r="C1" s="88"/>
      <c r="D1" s="88"/>
    </row>
    <row r="2" spans="1:12" ht="15" customHeight="1" x14ac:dyDescent="0.2">
      <c r="B2" s="606" t="s">
        <v>352</v>
      </c>
      <c r="C2" s="606"/>
      <c r="D2" s="606"/>
      <c r="F2" s="89"/>
      <c r="G2" s="21" t="s">
        <v>96</v>
      </c>
    </row>
    <row r="3" spans="1:12" ht="15" customHeight="1" x14ac:dyDescent="0.2">
      <c r="B3" s="606"/>
      <c r="C3" s="606"/>
      <c r="D3" s="606"/>
      <c r="F3" s="22"/>
      <c r="G3" t="s">
        <v>97</v>
      </c>
      <c r="I3" s="23"/>
      <c r="J3" s="21" t="s">
        <v>98</v>
      </c>
    </row>
    <row r="4" spans="1:12" ht="13.5" customHeight="1" thickBot="1" x14ac:dyDescent="0.25">
      <c r="F4" s="90"/>
    </row>
    <row r="5" spans="1:12" ht="18" customHeight="1" thickTop="1" thickBot="1" x14ac:dyDescent="0.25">
      <c r="A5" s="91"/>
      <c r="B5" s="536" t="s">
        <v>155</v>
      </c>
      <c r="C5" s="668"/>
      <c r="D5" s="669"/>
      <c r="E5" s="670"/>
      <c r="F5" s="670"/>
      <c r="G5" s="670"/>
      <c r="H5" s="670"/>
      <c r="I5" s="670"/>
      <c r="J5" s="671"/>
    </row>
    <row r="6" spans="1:12" ht="65.25" customHeight="1" thickTop="1" thickBot="1" x14ac:dyDescent="0.25">
      <c r="A6" s="91"/>
      <c r="B6" s="531" t="s">
        <v>299</v>
      </c>
      <c r="C6" s="664"/>
      <c r="D6" s="665" t="str">
        <f>IF(ISBLANK(入力及び計算結果!E86),"",入力及び計算結果!E86)</f>
        <v/>
      </c>
      <c r="E6" s="666"/>
      <c r="F6" s="666"/>
      <c r="G6" s="666"/>
      <c r="H6" s="666"/>
      <c r="I6" s="666"/>
      <c r="J6" s="667"/>
      <c r="K6" s="663" t="s">
        <v>300</v>
      </c>
      <c r="L6" s="570"/>
    </row>
    <row r="7" spans="1:12" ht="65.25" customHeight="1" thickTop="1" thickBot="1" x14ac:dyDescent="0.25">
      <c r="A7" s="91"/>
      <c r="B7" s="531" t="s">
        <v>301</v>
      </c>
      <c r="C7" s="664"/>
      <c r="D7" s="665" t="str">
        <f>IF(ISBLANK(入力及び計算結果!E88),"",入力及び計算結果!E88)</f>
        <v/>
      </c>
      <c r="E7" s="666"/>
      <c r="F7" s="666"/>
      <c r="G7" s="666"/>
      <c r="H7" s="666"/>
      <c r="I7" s="666"/>
      <c r="J7" s="667"/>
      <c r="K7" s="663" t="s">
        <v>302</v>
      </c>
      <c r="L7" s="570"/>
    </row>
    <row r="8" spans="1:12" ht="13.5" customHeight="1" thickTop="1" x14ac:dyDescent="0.2">
      <c r="C8" s="93"/>
      <c r="D8" s="93"/>
      <c r="E8" s="93"/>
      <c r="F8" s="93"/>
      <c r="G8" s="93"/>
      <c r="H8" s="93"/>
      <c r="I8" s="93"/>
      <c r="J8" s="93"/>
    </row>
    <row r="9" spans="1:12" ht="13.5" customHeight="1" x14ac:dyDescent="0.2">
      <c r="B9" s="92"/>
      <c r="C9" s="92"/>
      <c r="D9" s="92"/>
      <c r="E9" s="92"/>
      <c r="F9" s="92"/>
      <c r="G9" s="92"/>
      <c r="H9" s="92"/>
      <c r="I9" s="92"/>
      <c r="J9" s="92"/>
    </row>
    <row r="10" spans="1:12" ht="13.5" customHeight="1" x14ac:dyDescent="0.2">
      <c r="B10" s="21"/>
      <c r="C10" s="21"/>
      <c r="D10" s="19"/>
    </row>
    <row r="11" spans="1:12" ht="13.5" customHeight="1" x14ac:dyDescent="0.2">
      <c r="B11" s="40" t="s">
        <v>158</v>
      </c>
      <c r="F11" s="94"/>
    </row>
    <row r="12" spans="1:12" ht="13.5" customHeight="1" x14ac:dyDescent="0.2">
      <c r="B12" s="27" t="s">
        <v>101</v>
      </c>
      <c r="C12" s="438" t="s">
        <v>160</v>
      </c>
      <c r="D12" s="439"/>
      <c r="E12" s="440"/>
      <c r="F12" s="363" t="s">
        <v>9</v>
      </c>
      <c r="G12" s="363"/>
      <c r="H12" s="363" t="s">
        <v>12</v>
      </c>
      <c r="I12" s="363"/>
      <c r="J12" s="537" t="s">
        <v>163</v>
      </c>
      <c r="K12" s="537"/>
      <c r="L12" s="537"/>
    </row>
    <row r="13" spans="1:12" ht="13.5" customHeight="1" thickBot="1" x14ac:dyDescent="0.25">
      <c r="B13" s="44" t="s">
        <v>303</v>
      </c>
      <c r="C13" s="401" t="s">
        <v>103</v>
      </c>
      <c r="D13" s="402"/>
      <c r="E13" s="410"/>
      <c r="F13" s="406">
        <v>37.5</v>
      </c>
      <c r="G13" s="406"/>
      <c r="H13" s="406"/>
      <c r="I13" s="406"/>
      <c r="J13" s="438"/>
      <c r="K13" s="439"/>
      <c r="L13" s="440"/>
    </row>
    <row r="14" spans="1:12" ht="27" customHeight="1" thickTop="1" thickBot="1" x14ac:dyDescent="0.25">
      <c r="B14" s="44" t="s">
        <v>304</v>
      </c>
      <c r="C14" s="373" t="s">
        <v>305</v>
      </c>
      <c r="D14" s="436"/>
      <c r="E14" s="658"/>
      <c r="F14" s="662" t="str">
        <f>IF(ISBLANK(入力及び計算結果!E83),"",入力及び計算結果!E83)</f>
        <v/>
      </c>
      <c r="G14" s="662"/>
      <c r="H14" s="662"/>
      <c r="I14" s="662"/>
      <c r="J14" s="401" t="s">
        <v>306</v>
      </c>
      <c r="K14" s="402"/>
      <c r="L14" s="410"/>
    </row>
    <row r="15" spans="1:12" ht="32.25" customHeight="1" thickTop="1" thickBot="1" x14ac:dyDescent="0.25">
      <c r="B15" s="44" t="s">
        <v>131</v>
      </c>
      <c r="C15" s="373" t="s">
        <v>132</v>
      </c>
      <c r="D15" s="436"/>
      <c r="E15" s="658"/>
      <c r="F15" s="408">
        <v>1</v>
      </c>
      <c r="G15" s="408"/>
      <c r="H15" s="408"/>
      <c r="I15" s="408"/>
      <c r="J15" s="373"/>
      <c r="K15" s="436"/>
      <c r="L15" s="437"/>
    </row>
    <row r="16" spans="1:12" ht="27" customHeight="1" thickTop="1" thickBot="1" x14ac:dyDescent="0.25">
      <c r="B16" s="44" t="s">
        <v>308</v>
      </c>
      <c r="C16" s="373" t="s">
        <v>309</v>
      </c>
      <c r="D16" s="436"/>
      <c r="E16" s="658"/>
      <c r="F16" s="650" t="str">
        <f>IF(ISBLANK(入力及び計算結果!E87),"",入力及び計算結果!E87)</f>
        <v/>
      </c>
      <c r="G16" s="650"/>
      <c r="H16" s="662" t="str">
        <f>IF(ISBLANK(入力及び計算結果!G87),"",入力及び計算結果!G87)</f>
        <v/>
      </c>
      <c r="I16" s="662"/>
      <c r="J16" s="438"/>
      <c r="K16" s="439"/>
      <c r="L16" s="440"/>
    </row>
    <row r="17" spans="1:15" ht="27" customHeight="1" thickTop="1" x14ac:dyDescent="0.2">
      <c r="B17" s="44" t="s">
        <v>310</v>
      </c>
      <c r="C17" s="401" t="s">
        <v>142</v>
      </c>
      <c r="D17" s="402"/>
      <c r="E17" s="410"/>
      <c r="F17" s="408">
        <v>0.6</v>
      </c>
      <c r="G17" s="408"/>
      <c r="H17" s="408">
        <v>0.6</v>
      </c>
      <c r="I17" s="408"/>
      <c r="J17" s="438"/>
      <c r="K17" s="439"/>
      <c r="L17" s="440"/>
    </row>
    <row r="18" spans="1:15" ht="13.5" customHeight="1" x14ac:dyDescent="0.2">
      <c r="B18" s="641" t="s">
        <v>311</v>
      </c>
      <c r="C18" s="547" t="s">
        <v>119</v>
      </c>
      <c r="D18" s="539"/>
      <c r="E18" s="571"/>
      <c r="F18" s="363">
        <v>1</v>
      </c>
      <c r="G18" s="363"/>
      <c r="H18" s="363">
        <v>1</v>
      </c>
      <c r="I18" s="363"/>
      <c r="J18" s="654"/>
      <c r="K18" s="645"/>
      <c r="L18" s="646"/>
    </row>
    <row r="19" spans="1:15" ht="13.5" customHeight="1" x14ac:dyDescent="0.2">
      <c r="B19" s="649"/>
      <c r="C19" s="548"/>
      <c r="D19" s="549"/>
      <c r="E19" s="653"/>
      <c r="F19" s="363"/>
      <c r="G19" s="363"/>
      <c r="H19" s="363"/>
      <c r="I19" s="363"/>
      <c r="J19" s="655"/>
      <c r="K19" s="656"/>
      <c r="L19" s="657"/>
    </row>
    <row r="20" spans="1:15" ht="13.5" customHeight="1" x14ac:dyDescent="0.2">
      <c r="B20" s="649"/>
      <c r="C20" s="548"/>
      <c r="D20" s="549"/>
      <c r="E20" s="653"/>
      <c r="F20" s="363"/>
      <c r="G20" s="363"/>
      <c r="H20" s="363"/>
      <c r="I20" s="363"/>
      <c r="J20" s="655"/>
      <c r="K20" s="656"/>
      <c r="L20" s="657"/>
    </row>
    <row r="21" spans="1:15" ht="13.5" customHeight="1" thickBot="1" x14ac:dyDescent="0.25">
      <c r="B21" s="501"/>
      <c r="C21" s="540"/>
      <c r="D21" s="541"/>
      <c r="E21" s="572"/>
      <c r="F21" s="406"/>
      <c r="G21" s="406"/>
      <c r="H21" s="406"/>
      <c r="I21" s="406"/>
      <c r="J21" s="463"/>
      <c r="K21" s="464"/>
      <c r="L21" s="648"/>
    </row>
    <row r="22" spans="1:15" ht="27" customHeight="1" thickTop="1" thickBot="1" x14ac:dyDescent="0.25">
      <c r="B22" s="649" t="s">
        <v>312</v>
      </c>
      <c r="C22" s="649" t="s">
        <v>313</v>
      </c>
      <c r="D22" s="649"/>
      <c r="E22" s="61" t="s">
        <v>314</v>
      </c>
      <c r="F22" s="650" t="str">
        <f>IF(ISBLANK(入力及び計算結果!E85),"",入力及び計算結果!E85)</f>
        <v/>
      </c>
      <c r="G22" s="650"/>
      <c r="H22" s="650" t="str">
        <f>IF(ISBLANK(入力及び計算結果!G85),"",入力及び計算結果!G85)</f>
        <v/>
      </c>
      <c r="I22" s="650"/>
      <c r="J22" s="438"/>
      <c r="K22" s="439"/>
      <c r="L22" s="440"/>
    </row>
    <row r="23" spans="1:15" ht="40.5" customHeight="1" thickTop="1" x14ac:dyDescent="0.2">
      <c r="B23" s="501"/>
      <c r="C23" s="501"/>
      <c r="D23" s="501"/>
      <c r="E23" s="73" t="s">
        <v>315</v>
      </c>
      <c r="F23" s="651" t="str">
        <f>IF(NOT(ISNUMBER(RUa)),"-",RUa/10)</f>
        <v>-</v>
      </c>
      <c r="G23" s="652"/>
      <c r="H23" s="651" t="str">
        <f>IF(NOT(ISNUMBER(RUaa)),"-",RUaa/10)</f>
        <v>-</v>
      </c>
      <c r="I23" s="652"/>
      <c r="J23" s="438"/>
      <c r="K23" s="439"/>
      <c r="L23" s="440"/>
    </row>
    <row r="24" spans="1:15" ht="13.5" customHeight="1" x14ac:dyDescent="0.2">
      <c r="B24" s="641" t="s">
        <v>316</v>
      </c>
      <c r="C24" s="547" t="s">
        <v>317</v>
      </c>
      <c r="D24" s="539"/>
      <c r="E24" s="571"/>
      <c r="F24" s="363" t="s">
        <v>318</v>
      </c>
      <c r="G24" s="363"/>
      <c r="H24" s="363"/>
      <c r="I24" s="363"/>
      <c r="J24" s="438"/>
      <c r="K24" s="439"/>
      <c r="L24" s="440"/>
    </row>
    <row r="25" spans="1:15" ht="13.5" customHeight="1" thickBot="1" x14ac:dyDescent="0.25">
      <c r="B25" s="501"/>
      <c r="C25" s="540"/>
      <c r="D25" s="541"/>
      <c r="E25" s="572"/>
      <c r="F25" s="363" t="s">
        <v>319</v>
      </c>
      <c r="G25" s="406"/>
      <c r="H25" s="363"/>
      <c r="I25" s="406"/>
      <c r="J25" s="438"/>
      <c r="K25" s="439"/>
      <c r="L25" s="440"/>
    </row>
    <row r="26" spans="1:15" ht="27" customHeight="1" thickTop="1" x14ac:dyDescent="0.2">
      <c r="B26" s="641" t="s">
        <v>320</v>
      </c>
      <c r="C26" s="547" t="s">
        <v>71</v>
      </c>
      <c r="D26" s="539"/>
      <c r="E26" s="571"/>
      <c r="F26" s="61" t="s">
        <v>321</v>
      </c>
      <c r="G26" s="642" t="str">
        <f>IF(ISBLANK(入力及び計算結果!E89),"",入力及び計算結果!E89)</f>
        <v/>
      </c>
      <c r="H26" s="62" t="s">
        <v>322</v>
      </c>
      <c r="I26" s="642" t="str">
        <f>IF(ISBLANK(入力及び計算結果!G89),"",入力及び計算結果!G89)</f>
        <v/>
      </c>
      <c r="J26" s="644"/>
      <c r="K26" s="645"/>
      <c r="L26" s="646"/>
    </row>
    <row r="27" spans="1:15" ht="13.5" customHeight="1" thickBot="1" x14ac:dyDescent="0.25">
      <c r="B27" s="501"/>
      <c r="C27" s="540"/>
      <c r="D27" s="541"/>
      <c r="E27" s="572"/>
      <c r="F27" s="98" t="s">
        <v>323</v>
      </c>
      <c r="G27" s="643"/>
      <c r="H27" s="67" t="s">
        <v>323</v>
      </c>
      <c r="I27" s="643"/>
      <c r="J27" s="647"/>
      <c r="K27" s="464"/>
      <c r="L27" s="648"/>
    </row>
    <row r="28" spans="1:15" ht="16.5" thickTop="1" thickBot="1" x14ac:dyDescent="0.25">
      <c r="B28" s="44" t="s">
        <v>324</v>
      </c>
      <c r="C28" s="58" t="s">
        <v>183</v>
      </c>
      <c r="D28" s="59"/>
      <c r="E28" s="60"/>
      <c r="F28" s="635" t="str">
        <f>IF(ISBLANK(入力及び計算結果!E91),"",入力及び計算結果!E91)</f>
        <v/>
      </c>
      <c r="G28" s="636"/>
      <c r="H28" s="636"/>
      <c r="I28" s="637"/>
      <c r="J28" s="438"/>
      <c r="K28" s="439"/>
      <c r="L28" s="440"/>
    </row>
    <row r="29" spans="1:15" ht="13.5" customHeight="1" thickTop="1" x14ac:dyDescent="0.2">
      <c r="B29" s="44" t="s">
        <v>104</v>
      </c>
      <c r="C29" s="58" t="s">
        <v>135</v>
      </c>
      <c r="D29" s="59"/>
      <c r="E29" s="59"/>
      <c r="F29" s="672">
        <v>21</v>
      </c>
      <c r="G29" s="672"/>
      <c r="H29" s="672"/>
      <c r="I29" s="672"/>
      <c r="J29" s="452"/>
      <c r="K29" s="452"/>
      <c r="L29" s="453"/>
    </row>
    <row r="30" spans="1:15" ht="13.5" customHeight="1" x14ac:dyDescent="0.2">
      <c r="B30" s="44" t="s">
        <v>326</v>
      </c>
      <c r="C30" s="58" t="s">
        <v>327</v>
      </c>
      <c r="D30" s="59"/>
      <c r="E30" s="59"/>
      <c r="F30" s="408">
        <f>IF(F29&gt;=19,IF(F29&gt;=25,IF(F29&gt;=38,IF(F29&gt;=44,IF(F29&gt;=57,IF(F29&gt;=63,IF(F29&gt;=76,IF(F29&gt;=82,9,8),7),6),5),4),3),2),"-")</f>
        <v>2</v>
      </c>
      <c r="G30" s="408"/>
      <c r="H30" s="408"/>
      <c r="I30" s="408"/>
      <c r="J30" s="438"/>
      <c r="K30" s="439"/>
      <c r="L30" s="440"/>
    </row>
    <row r="31" spans="1:15" ht="13.5" customHeight="1" x14ac:dyDescent="0.2">
      <c r="B31" s="44" t="s">
        <v>328</v>
      </c>
      <c r="C31" s="58" t="s">
        <v>329</v>
      </c>
      <c r="D31" s="59"/>
      <c r="E31" s="59"/>
      <c r="F31" s="363">
        <f>IF(ISNUMBER(F29),IF(ISBLANK(F29),"-",2+IF((F29-19*INT(F29/19))&gt;=1,IF((F29-19*INT(F29/19))&gt;=2,IF((F29-19*INT(F29/19))&gt;=7,IF((F29-19*INT(F29/19))&gt;=8,(INT(F29/19)-1)*4+4,(INT(F29/19)-1)*4+3),(INT(F29/19)-1)*4+2),(INT(F29/19)-1)*4+1),(INT(F29/19)-1)*4)),"-")</f>
        <v>4</v>
      </c>
      <c r="G31" s="363"/>
      <c r="H31" s="363"/>
      <c r="I31" s="363"/>
      <c r="J31" s="438"/>
      <c r="K31" s="439"/>
      <c r="L31" s="440"/>
    </row>
    <row r="32" spans="1:15" ht="13.5" customHeight="1" x14ac:dyDescent="0.2">
      <c r="A32" s="19"/>
      <c r="E32" s="79"/>
      <c r="F32" s="80"/>
      <c r="G32" s="80"/>
      <c r="K32" s="79"/>
      <c r="L32" s="79"/>
      <c r="M32" s="21"/>
      <c r="N32" s="99"/>
      <c r="O32" s="99"/>
    </row>
    <row r="33" spans="1:22" ht="13.5" customHeight="1" x14ac:dyDescent="0.2">
      <c r="A33" s="19"/>
      <c r="B33" s="40" t="s">
        <v>330</v>
      </c>
      <c r="E33" s="79"/>
      <c r="F33" s="80"/>
      <c r="G33" s="80"/>
      <c r="I33" s="100"/>
      <c r="M33" s="21"/>
      <c r="N33" s="99"/>
      <c r="O33" s="99"/>
    </row>
    <row r="34" spans="1:22" ht="13.5" customHeight="1" thickBot="1" x14ac:dyDescent="0.25">
      <c r="A34" s="19"/>
      <c r="B34" s="40"/>
      <c r="D34" s="101">
        <v>1</v>
      </c>
      <c r="E34" s="79"/>
      <c r="F34" s="80"/>
      <c r="G34" s="101">
        <v>2</v>
      </c>
      <c r="H34" s="100"/>
      <c r="I34" s="100"/>
      <c r="J34" s="101">
        <v>3</v>
      </c>
      <c r="K34" s="100"/>
      <c r="L34" s="100"/>
      <c r="M34" s="21"/>
      <c r="N34" s="101">
        <v>1</v>
      </c>
      <c r="O34" s="79"/>
      <c r="P34" s="80"/>
      <c r="Q34" s="101">
        <v>2</v>
      </c>
      <c r="R34" s="100"/>
      <c r="S34" s="100"/>
      <c r="T34" s="101">
        <v>3</v>
      </c>
      <c r="U34" s="100"/>
      <c r="V34" s="100"/>
    </row>
    <row r="35" spans="1:22" ht="13.5" customHeight="1" thickTop="1" thickBot="1" x14ac:dyDescent="0.25">
      <c r="A35" s="19"/>
      <c r="B35" s="29" t="s">
        <v>145</v>
      </c>
      <c r="C35" s="102"/>
      <c r="D35" s="103" t="str">
        <f>IF(ISBLANK(入力及び計算結果!E93),"",入力及び計算結果!E93)</f>
        <v/>
      </c>
      <c r="E35" s="104" t="s">
        <v>146</v>
      </c>
      <c r="G35" s="105"/>
      <c r="H35" s="94"/>
      <c r="J35" s="105"/>
      <c r="K35" s="94"/>
      <c r="M35" s="21"/>
      <c r="O35" s="78"/>
      <c r="R35" s="78"/>
    </row>
    <row r="36" spans="1:22" ht="13.5" customHeight="1" thickTop="1" x14ac:dyDescent="0.2">
      <c r="A36" s="19"/>
      <c r="B36" s="29" t="s">
        <v>147</v>
      </c>
      <c r="C36" s="102"/>
      <c r="D36" s="106">
        <v>6</v>
      </c>
      <c r="E36" s="104" t="s">
        <v>146</v>
      </c>
      <c r="F36" s="107">
        <f>IF($D36&gt;$F$29,"",IF(ISNUMBER($D$35),(I-$D$71/($F$15*Au))*EXP(-LN(2)/$D$35*D36),1))</f>
        <v>1</v>
      </c>
      <c r="G36" s="108">
        <v>5</v>
      </c>
      <c r="H36" s="109" t="s">
        <v>146</v>
      </c>
      <c r="I36" s="107" t="str">
        <f>IFERROR(IF($F$15&gt;=2,IF($G36&gt;$F$29-14,"",IF(ISNUMBER($D$35),(I-$D$71/($F$15*Au))*EXP(-LN(2)/$D$35*G36),1)),""),"-")</f>
        <v/>
      </c>
      <c r="J36" s="108">
        <v>10</v>
      </c>
      <c r="K36" s="109" t="s">
        <v>146</v>
      </c>
      <c r="L36" s="107" t="str">
        <f>IFERROR(IF($F$15&gt;=3,IF(J36&gt;$F$29-28,"",IF(ISNUMBER($D$35),(I-$D$71/($F$15*Au))*EXP(-LN(2)/$D$35*J36),1)),""),"-")</f>
        <v/>
      </c>
      <c r="M36" s="21"/>
      <c r="N36" s="110">
        <v>6</v>
      </c>
      <c r="O36" s="27" t="s">
        <v>146</v>
      </c>
      <c r="P36" s="107">
        <f>IF($N36&gt;$F$29,"",IF(ISNUMBER($D$35),(I-$E$71/($F$15*Au))*EXP(-LN(2)/$D$35*N36),1))</f>
        <v>1</v>
      </c>
      <c r="Q36" s="110">
        <v>5</v>
      </c>
      <c r="R36" s="27" t="s">
        <v>146</v>
      </c>
      <c r="S36" s="107" t="str">
        <f>IFERROR(IF($F$15&gt;=2,IF($Q36&gt;$F$29-14,"",IF(ISNUMBER($D$35),(I-$E$71/($F$15*Au))*EXP(-LN(2)/$D$35*Q36),1)),""),"-")</f>
        <v/>
      </c>
      <c r="T36" s="110">
        <v>10</v>
      </c>
      <c r="U36" s="27" t="s">
        <v>146</v>
      </c>
      <c r="V36" s="107" t="str">
        <f>IFERROR(IF($F$15&gt;=3,IF(T36&gt;$F$29-28,"",IF(ISNUMBER($D$35),(I-$E$71/($F$15*Au))*EXP(-LN(2)/$D$35*T36),1)),""),"-")</f>
        <v/>
      </c>
    </row>
    <row r="37" spans="1:22" ht="13.5" customHeight="1" x14ac:dyDescent="0.2">
      <c r="A37" s="19"/>
      <c r="B37" s="29" t="s">
        <v>148</v>
      </c>
      <c r="C37" s="102"/>
      <c r="D37" s="110">
        <f>D36+13</f>
        <v>19</v>
      </c>
      <c r="E37" s="104" t="s">
        <v>146</v>
      </c>
      <c r="F37" s="107">
        <f>IF($D37&gt;$F$29,"",IF(ISNUMBER($D$35),IF(ISNUMBER(RUa),$F36*(1-(RUa/10)*ffu)*EXP(-LN(2)/$D$35*(D37-D36)),"-"),1))</f>
        <v>1</v>
      </c>
      <c r="G37" s="110">
        <f>G36+6</f>
        <v>11</v>
      </c>
      <c r="H37" s="104" t="s">
        <v>146</v>
      </c>
      <c r="I37" s="107" t="str">
        <f>IFERROR(IF($F$15&gt;=2,IF($G37&gt;$F$29-14,"",IF(ISNUMBER($D$35),IF(ISNUMBER(RUa),$I36*(1-(RUa/10)*ffu)*EXP(-LN(2)/$D$35*(G37-G36)),"-"),1)),""),"-")</f>
        <v/>
      </c>
      <c r="J37" s="111">
        <f>J36+6</f>
        <v>16</v>
      </c>
      <c r="K37" s="109" t="s">
        <v>146</v>
      </c>
      <c r="L37" s="107" t="str">
        <f>IFERROR(IF($F$15&gt;=3,IF(J37&gt;$F$29-28,"",IF(ISNUMBER($D$35),IF(ISNUMBER(RUa),$L36*(1-(RUa/10)*ffu)*EXP(-LN(2)/$D$35*(J37-J36)),"-"),1)),""),"-")</f>
        <v/>
      </c>
      <c r="N37" s="110">
        <f>N36+13</f>
        <v>19</v>
      </c>
      <c r="O37" s="27" t="s">
        <v>146</v>
      </c>
      <c r="P37" s="107">
        <f>IF($N37&gt;$F$29,"",IF(ISNUMBER($D$35),IF(ISNUMBER(RUaa),$P36*(1-(RUaa/10)*ffua)*EXP(-LN(2)/$D$35*(N37-N36)),"-"),1))</f>
        <v>1</v>
      </c>
      <c r="Q37" s="110">
        <f>Q36+6</f>
        <v>11</v>
      </c>
      <c r="R37" s="27" t="s">
        <v>146</v>
      </c>
      <c r="S37" s="107" t="str">
        <f>IFERROR(IF($F$15&gt;=2,IF($Q37&gt;$F$29-14,"",IF(ISNUMBER($D$35),IF(ISNUMBER(RUaa),$S36*(1-(RUaa/10)*ffua)*EXP(-LN(2)/$D$35*(Q37-Q36)),"-"),1)),""),"-")</f>
        <v/>
      </c>
      <c r="T37" s="110">
        <f>T36+6</f>
        <v>16</v>
      </c>
      <c r="U37" s="27" t="s">
        <v>146</v>
      </c>
      <c r="V37" s="107" t="str">
        <f>IFERROR(IF($F$15&gt;=3,IF(T37&gt;$F$29-28,"",IF(ISNUMBER($D$35),IF(ISNUMBER(RUaa),$V36*(1-(RUaa/10)*ffua)*EXP(-LN(2)/$D$35*(T37-T36)),"-"),1)),""),"-")</f>
        <v/>
      </c>
    </row>
    <row r="38" spans="1:22" ht="13.5" customHeight="1" x14ac:dyDescent="0.2">
      <c r="A38" s="19"/>
      <c r="B38" s="29" t="s">
        <v>331</v>
      </c>
      <c r="C38" s="102"/>
      <c r="D38" s="112">
        <f>D37+6</f>
        <v>25</v>
      </c>
      <c r="E38" s="104" t="s">
        <v>146</v>
      </c>
      <c r="F38" s="107" t="str">
        <f>IF($D38&gt;$F$29,"",IF(ISNUMBER($D$35),IF(ISNUMBER(RUa),$F37*(1-(RUa/10)*ffu)*EXP(-LN(2)/$D$35*(D38-D37)),"-"),1))</f>
        <v/>
      </c>
      <c r="G38" s="112">
        <f>G37+13</f>
        <v>24</v>
      </c>
      <c r="H38" s="104" t="s">
        <v>146</v>
      </c>
      <c r="I38" s="107" t="str">
        <f>IFERROR(IF($F$15&gt;=2,IF($G38&gt;$F$29-14,"",IF(ISNUMBER($D$35),IF(ISNUMBER(RUa),$I37*(1-(RUa/10)*ffu)*EXP(-LN(2)/$D$35*(G38-G37)),"-"),1)),""),"-")</f>
        <v/>
      </c>
      <c r="J38" s="113">
        <f>J37+13</f>
        <v>29</v>
      </c>
      <c r="K38" s="109" t="s">
        <v>146</v>
      </c>
      <c r="L38" s="107" t="str">
        <f>IFERROR(IF($F$15&gt;=3,IF(J38&gt;$F$29-28,"",IF(ISNUMBER($D$35),IF(ISNUMBER(RUa),$L37*(1-(RUa/10)*ffu)*EXP(-LN(2)/$D$35*(J38-J37)),"-"),1)),""),"-")</f>
        <v/>
      </c>
      <c r="N38" s="112">
        <f>N37+6</f>
        <v>25</v>
      </c>
      <c r="O38" s="27" t="s">
        <v>146</v>
      </c>
      <c r="P38" s="107" t="str">
        <f>IF($N38&gt;$F$29,"",IF(ISNUMBER($D$35),IF(ISNUMBER(RUaa),$P37*(1-(RUaa/10)*ffua)*EXP(-LN(2)/$D$35*(N38-N37)),"-"),1))</f>
        <v/>
      </c>
      <c r="Q38" s="112">
        <f>Q37+13</f>
        <v>24</v>
      </c>
      <c r="R38" s="27" t="s">
        <v>146</v>
      </c>
      <c r="S38" s="107" t="str">
        <f>IFERROR(IF($F$15&gt;=2,IF($Q38&gt;$F$29-14,"",IF(ISNUMBER($D$35),IF(ISNUMBER(RUaa),$S37*(1-(RUaa/10)*ffua)*EXP(-LN(2)/$D$35*(Q38-Q37)),"-"),1)),""),"-")</f>
        <v/>
      </c>
      <c r="T38" s="112">
        <f>T37+13</f>
        <v>29</v>
      </c>
      <c r="U38" s="27" t="s">
        <v>146</v>
      </c>
      <c r="V38" s="107" t="str">
        <f>IFERROR(IF($F$15&gt;=3,IF(T38&gt;$F$29-28,"",IF(ISNUMBER($D$35),IF(ISNUMBER(RUaa),$V37*(1-(RUaa/10)*ffua)*EXP(-LN(2)/$D$35*(T38-T37)),"-"),1)),""),"-")</f>
        <v/>
      </c>
    </row>
    <row r="39" spans="1:22" ht="13.5" customHeight="1" x14ac:dyDescent="0.2">
      <c r="A39" s="19"/>
      <c r="B39" s="29" t="s">
        <v>332</v>
      </c>
      <c r="C39" s="102"/>
      <c r="D39" s="112">
        <f>D38+13</f>
        <v>38</v>
      </c>
      <c r="E39" s="104" t="s">
        <v>146</v>
      </c>
      <c r="F39" s="107" t="str">
        <f>IF($D39&gt;$F$29,"",IF(ISNUMBER($D$35),IF(ISNUMBER(RUa),$F38*(1-(RUa/10)*ffu)*EXP(-LN(2)/$D$35*(D39-D38)),"-"),1))</f>
        <v/>
      </c>
      <c r="G39" s="112">
        <f>G38+6</f>
        <v>30</v>
      </c>
      <c r="H39" s="104" t="s">
        <v>146</v>
      </c>
      <c r="I39" s="107" t="str">
        <f>IFERROR(IF($F$15&gt;=2,IF($G39&gt;$F$29-14,"",IF(ISNUMBER($D$35),IF(ISNUMBER(RUa),$I38*(1-(RUa/10)*ffu)*EXP(-LN(2)/$D$35*(G39-G38)),"-"),1)),""),"-")</f>
        <v/>
      </c>
      <c r="J39" s="113">
        <f>J38+6</f>
        <v>35</v>
      </c>
      <c r="K39" s="109" t="s">
        <v>146</v>
      </c>
      <c r="L39" s="107" t="str">
        <f>IFERROR(IF($F$15&gt;=3,IF(J39&gt;$F$29-28,"",IF(ISNUMBER($D$35),IF(ISNUMBER(RUa),$L38*(1-(RUa/10)*ffu)*EXP(-LN(2)/$D$35*(J39-J38)),"-"),1)),""),"-")</f>
        <v/>
      </c>
      <c r="M39" s="21"/>
      <c r="N39" s="112">
        <f>N38+13</f>
        <v>38</v>
      </c>
      <c r="O39" s="27" t="s">
        <v>146</v>
      </c>
      <c r="P39" s="107" t="str">
        <f>IF($N39&gt;$F$29,"",IF(ISNUMBER($D$35),IF(ISNUMBER(RUaa),$P38*(1-(RUaa/10)*ffua)*EXP(-LN(2)/$D$35*(N39-N38)),"-"),1))</f>
        <v/>
      </c>
      <c r="Q39" s="112">
        <f>Q38+6</f>
        <v>30</v>
      </c>
      <c r="R39" s="27" t="s">
        <v>146</v>
      </c>
      <c r="S39" s="107" t="str">
        <f>IFERROR(IF($F$15&gt;=2,IF($Q39&gt;$F$29-14,"",IF(ISNUMBER($D$35),IF(ISNUMBER(RUaa),$S38*(1-(RUaa/10)*ffua)*EXP(-LN(2)/$D$35*(Q39-Q38)),"-"),1)),""),"-")</f>
        <v/>
      </c>
      <c r="T39" s="112">
        <f>T38+6</f>
        <v>35</v>
      </c>
      <c r="U39" s="27" t="s">
        <v>146</v>
      </c>
      <c r="V39" s="107" t="str">
        <f>IFERROR(IF($F$15&gt;=3,IF(T39&gt;$F$29-28,"",IF(ISNUMBER($D$35),IF(ISNUMBER(RUaa),$V38*(1-(RUaa/10)*ffua)*EXP(-LN(2)/$D$35*(T39-T38)),"-"),1)),""),"-")</f>
        <v/>
      </c>
    </row>
    <row r="40" spans="1:22" ht="13.5" customHeight="1" x14ac:dyDescent="0.2">
      <c r="A40" s="19"/>
      <c r="E40" s="79"/>
      <c r="F40" s="80">
        <f>COUNT(F36:F39)</f>
        <v>2</v>
      </c>
      <c r="G40" s="80"/>
      <c r="I40" s="80">
        <f>COUNT(I36:I39)</f>
        <v>0</v>
      </c>
      <c r="K40" s="79"/>
      <c r="L40" s="80">
        <f>COUNT(L36:L39)</f>
        <v>0</v>
      </c>
      <c r="M40" s="21"/>
      <c r="O40" s="79"/>
      <c r="P40" s="80">
        <f>COUNT(P36:P39)</f>
        <v>2</v>
      </c>
      <c r="Q40" s="80"/>
      <c r="S40" s="80">
        <f>COUNT(S36:S39)</f>
        <v>0</v>
      </c>
      <c r="U40" s="79"/>
      <c r="V40" s="80">
        <f>COUNT(V36:V39)</f>
        <v>0</v>
      </c>
    </row>
    <row r="41" spans="1:22" ht="13.5" customHeight="1" x14ac:dyDescent="0.2">
      <c r="A41" s="19"/>
      <c r="B41" s="100"/>
      <c r="C41" s="100"/>
      <c r="D41" s="100"/>
      <c r="E41" s="100"/>
      <c r="F41" s="114"/>
      <c r="G41" s="100"/>
      <c r="H41" s="100"/>
      <c r="I41" s="114"/>
      <c r="J41" s="100"/>
      <c r="K41" s="100"/>
      <c r="L41" s="100"/>
      <c r="M41" s="21"/>
      <c r="N41" s="99"/>
      <c r="O41" s="99"/>
    </row>
    <row r="42" spans="1:22" x14ac:dyDescent="0.2">
      <c r="B42" s="115"/>
    </row>
    <row r="43" spans="1:22" ht="13.5" customHeight="1" thickBot="1" x14ac:dyDescent="0.25">
      <c r="B43" s="40" t="s">
        <v>333</v>
      </c>
      <c r="G43" s="570" t="s">
        <v>334</v>
      </c>
      <c r="H43" s="633"/>
      <c r="I43" s="633"/>
      <c r="J43" s="633"/>
      <c r="K43" s="633"/>
    </row>
    <row r="44" spans="1:22" ht="13.5" customHeight="1" thickTop="1" thickBot="1" x14ac:dyDescent="0.25">
      <c r="B44" s="556" t="s">
        <v>187</v>
      </c>
      <c r="C44" s="634"/>
      <c r="D44" s="1"/>
      <c r="E44" s="104" t="s">
        <v>146</v>
      </c>
      <c r="G44" s="633"/>
      <c r="H44" s="633"/>
      <c r="I44" s="633"/>
      <c r="J44" s="633"/>
      <c r="K44" s="633"/>
    </row>
    <row r="45" spans="1:22" ht="13.5" customHeight="1" thickTop="1" thickBot="1" x14ac:dyDescent="0.25">
      <c r="B45" s="380" t="s">
        <v>188</v>
      </c>
      <c r="C45" s="452"/>
      <c r="D45" s="1"/>
      <c r="E45" s="104" t="s">
        <v>146</v>
      </c>
      <c r="G45" s="633"/>
      <c r="H45" s="633"/>
      <c r="I45" s="633"/>
      <c r="J45" s="633"/>
      <c r="K45" s="633"/>
    </row>
    <row r="46" spans="1:22" ht="13.5" customHeight="1" thickTop="1" x14ac:dyDescent="0.2">
      <c r="C46" s="116" t="s">
        <v>189</v>
      </c>
      <c r="D46">
        <f>IF(D49&lt;&gt;0,"使用しない",IF(D44="",0,LN(2)/D44))</f>
        <v>0</v>
      </c>
      <c r="G46" s="633"/>
      <c r="H46" s="633"/>
      <c r="I46" s="633"/>
      <c r="J46" s="633"/>
      <c r="K46" s="633"/>
    </row>
    <row r="47" spans="1:22" ht="13.5" customHeight="1" x14ac:dyDescent="0.2">
      <c r="C47" s="116" t="s">
        <v>190</v>
      </c>
      <c r="D47">
        <f>IF(D49&lt;&gt;0,"使用しない",IF(D46&lt;&gt;0,IF(D45="","加水分解半減期を入力してください",LN(2)/D45),IF(D45="",0,LN(2)/D45)))</f>
        <v>0</v>
      </c>
      <c r="G47" s="633"/>
      <c r="H47" s="633"/>
      <c r="I47" s="633"/>
      <c r="J47" s="633"/>
      <c r="K47" s="633"/>
    </row>
    <row r="48" spans="1:22" ht="13.5" customHeight="1" thickBot="1" x14ac:dyDescent="0.25">
      <c r="B48" t="s">
        <v>191</v>
      </c>
      <c r="G48" s="633"/>
      <c r="H48" s="633"/>
      <c r="I48" s="633"/>
      <c r="J48" s="633"/>
      <c r="K48" s="633"/>
    </row>
    <row r="49" spans="2:12" ht="13.5" customHeight="1" thickTop="1" thickBot="1" x14ac:dyDescent="0.25">
      <c r="B49" s="380" t="s">
        <v>192</v>
      </c>
      <c r="C49" s="452"/>
      <c r="D49" s="1"/>
      <c r="E49" s="104" t="s">
        <v>146</v>
      </c>
      <c r="G49" s="633"/>
      <c r="H49" s="633"/>
      <c r="I49" s="633"/>
      <c r="J49" s="633"/>
      <c r="K49" s="633"/>
    </row>
    <row r="50" spans="2:12" ht="13.5" customHeight="1" thickTop="1" x14ac:dyDescent="0.2">
      <c r="C50" s="117" t="s">
        <v>193</v>
      </c>
      <c r="D50">
        <f>IF(AND(D46&lt;&gt;0,NOT(D46="使用しない")),"使用しない",IF(AND(D47&lt;&gt;0,NOT(D47="使用しない")),0,IF(D49="",0,LN(2)/D49)))</f>
        <v>0</v>
      </c>
      <c r="G50" s="633"/>
      <c r="H50" s="633"/>
      <c r="I50" s="633"/>
      <c r="J50" s="633"/>
      <c r="K50" s="633"/>
    </row>
    <row r="51" spans="2:12" ht="13.5" customHeight="1" x14ac:dyDescent="0.2">
      <c r="G51" s="633"/>
      <c r="H51" s="633"/>
      <c r="I51" s="633"/>
      <c r="J51" s="633"/>
      <c r="K51" s="633"/>
    </row>
    <row r="52" spans="2:12" ht="13.5" customHeight="1" x14ac:dyDescent="0.2">
      <c r="C52" s="116" t="s">
        <v>335</v>
      </c>
      <c r="D52">
        <f>IF(OR(D50="使用しない",D50=0),D46+D47,D50)</f>
        <v>0</v>
      </c>
      <c r="G52" s="633"/>
      <c r="H52" s="633"/>
      <c r="I52" s="633"/>
      <c r="J52" s="633"/>
      <c r="K52" s="633"/>
    </row>
    <row r="53" spans="2:12" ht="13.5" customHeight="1" x14ac:dyDescent="0.2">
      <c r="B53" s="118"/>
      <c r="H53" s="119"/>
      <c r="I53" s="115"/>
      <c r="J53" s="115"/>
      <c r="K53" s="115"/>
      <c r="L53" s="115"/>
    </row>
    <row r="54" spans="2:12" ht="13.5" customHeight="1" x14ac:dyDescent="0.2">
      <c r="B54" s="120" t="s">
        <v>196</v>
      </c>
    </row>
    <row r="55" spans="2:12" ht="13.5" customHeight="1" x14ac:dyDescent="0.2">
      <c r="B55" s="121" t="s">
        <v>336</v>
      </c>
      <c r="C55" s="438" t="s">
        <v>160</v>
      </c>
      <c r="D55" s="440"/>
      <c r="E55" s="71" t="s">
        <v>161</v>
      </c>
      <c r="F55" s="71" t="s">
        <v>162</v>
      </c>
    </row>
    <row r="56" spans="2:12" ht="13.5" customHeight="1" x14ac:dyDescent="0.2">
      <c r="B56" s="73" t="s">
        <v>337</v>
      </c>
      <c r="C56" s="401" t="s">
        <v>220</v>
      </c>
      <c r="D56" s="410"/>
      <c r="E56" s="87">
        <v>3000</v>
      </c>
      <c r="F56" s="87" t="s">
        <v>218</v>
      </c>
      <c r="L56" s="122"/>
    </row>
    <row r="57" spans="2:12" ht="13.5" customHeight="1" thickBot="1" x14ac:dyDescent="0.25">
      <c r="B57" s="73" t="s">
        <v>338</v>
      </c>
      <c r="C57" s="401" t="s">
        <v>222</v>
      </c>
      <c r="D57" s="410"/>
      <c r="E57" s="87">
        <v>1</v>
      </c>
      <c r="F57" s="87" t="s">
        <v>223</v>
      </c>
      <c r="L57" s="122"/>
    </row>
    <row r="58" spans="2:12" ht="13.5" customHeight="1" thickTop="1" thickBot="1" x14ac:dyDescent="0.25">
      <c r="B58" s="73" t="s">
        <v>224</v>
      </c>
      <c r="C58" s="373" t="s">
        <v>339</v>
      </c>
      <c r="D58" s="437"/>
      <c r="E58" s="87">
        <v>1.2</v>
      </c>
      <c r="F58" s="87" t="s">
        <v>340</v>
      </c>
      <c r="H58" s="507" t="s">
        <v>117</v>
      </c>
      <c r="I58" s="632"/>
      <c r="J58" s="2"/>
      <c r="L58" s="122"/>
    </row>
    <row r="59" spans="2:12" ht="13.5" customHeight="1" thickTop="1" x14ac:dyDescent="0.2">
      <c r="B59" s="123"/>
      <c r="C59" s="40"/>
      <c r="D59" s="67"/>
      <c r="E59" s="67"/>
      <c r="G59" s="119"/>
      <c r="H59" s="79" t="s">
        <v>120</v>
      </c>
      <c r="I59" s="80"/>
      <c r="J59" s="80"/>
      <c r="L59" s="67"/>
    </row>
    <row r="60" spans="2:12" ht="13.5" customHeight="1" thickBot="1" x14ac:dyDescent="0.25">
      <c r="B60" s="124" t="s">
        <v>149</v>
      </c>
      <c r="C60" s="125"/>
      <c r="D60" s="125"/>
      <c r="L60" s="67"/>
    </row>
    <row r="61" spans="2:12" ht="13.5" customHeight="1" thickTop="1" x14ac:dyDescent="0.2">
      <c r="B61" s="126"/>
      <c r="C61" s="127"/>
      <c r="D61" s="128" t="s">
        <v>9</v>
      </c>
      <c r="E61" s="128" t="s">
        <v>12</v>
      </c>
      <c r="F61" s="67"/>
    </row>
    <row r="62" spans="2:12" ht="13.5" customHeight="1" thickBot="1" x14ac:dyDescent="0.25">
      <c r="B62" s="629" t="s">
        <v>341</v>
      </c>
      <c r="C62" s="630"/>
      <c r="D62" s="129">
        <f>F29</f>
        <v>21</v>
      </c>
      <c r="E62" s="129">
        <f>F29</f>
        <v>21</v>
      </c>
      <c r="F62" s="67"/>
    </row>
    <row r="63" spans="2:12" ht="13.5" customHeight="1" thickTop="1" x14ac:dyDescent="0.2">
      <c r="B63" s="514" t="s">
        <v>133</v>
      </c>
      <c r="C63" s="631"/>
      <c r="D63" s="3">
        <f>Au</f>
        <v>37.5</v>
      </c>
      <c r="E63" s="130">
        <f>Au</f>
        <v>37.5</v>
      </c>
      <c r="F63" s="67"/>
      <c r="G63" s="122"/>
    </row>
    <row r="64" spans="2:12" ht="13.5" customHeight="1" x14ac:dyDescent="0.2">
      <c r="B64" s="451" t="s">
        <v>140</v>
      </c>
      <c r="C64" s="452"/>
      <c r="D64" s="131" t="str">
        <f>RU</f>
        <v>-</v>
      </c>
      <c r="E64" s="131" t="str">
        <f>RUUa</f>
        <v>-</v>
      </c>
      <c r="F64" s="67"/>
      <c r="G64" s="122"/>
    </row>
    <row r="65" spans="1:7" ht="13.5" customHeight="1" x14ac:dyDescent="0.2">
      <c r="B65" s="451" t="s">
        <v>109</v>
      </c>
      <c r="C65" s="452"/>
      <c r="D65" s="131" t="str">
        <f>DDr</f>
        <v/>
      </c>
      <c r="E65" s="131" t="str">
        <f>DDra</f>
        <v/>
      </c>
      <c r="F65" s="67"/>
      <c r="G65" s="122"/>
    </row>
    <row r="66" spans="1:7" ht="13.5" customHeight="1" x14ac:dyDescent="0.2">
      <c r="B66" s="451" t="s">
        <v>111</v>
      </c>
      <c r="C66" s="452"/>
      <c r="D66" s="131">
        <f>Zr</f>
        <v>0.6</v>
      </c>
      <c r="E66" s="131">
        <f>Zra</f>
        <v>0.6</v>
      </c>
      <c r="F66" s="67"/>
      <c r="G66" s="122"/>
    </row>
    <row r="67" spans="1:7" ht="13.5" customHeight="1" x14ac:dyDescent="0.2">
      <c r="B67" s="451" t="s">
        <v>342</v>
      </c>
      <c r="C67" s="452"/>
      <c r="D67" s="132">
        <f>F18</f>
        <v>1</v>
      </c>
      <c r="E67" s="132">
        <f>H18</f>
        <v>1</v>
      </c>
      <c r="F67" s="67"/>
      <c r="G67" s="122"/>
    </row>
    <row r="68" spans="1:7" ht="13.5" customHeight="1" thickBot="1" x14ac:dyDescent="0.25">
      <c r="B68" s="511" t="s">
        <v>150</v>
      </c>
      <c r="C68" s="624"/>
      <c r="D68" s="133" t="str">
        <f>ffu</f>
        <v/>
      </c>
      <c r="E68" s="133" t="str">
        <f>ffua</f>
        <v/>
      </c>
      <c r="F68" s="67"/>
      <c r="G68" s="122"/>
    </row>
    <row r="69" spans="1:7" ht="13.5" customHeight="1" thickTop="1" x14ac:dyDescent="0.2">
      <c r="B69" s="625" t="s">
        <v>125</v>
      </c>
      <c r="C69" s="626"/>
      <c r="D69" s="134" t="str">
        <f>IFERROR(IF(F15&lt;4,(SANP*$F$13-D71/F15)*(RU/100)*ffu*SUM(F40,I40,L40),"-"),"-")</f>
        <v>-</v>
      </c>
      <c r="E69" s="135" t="str">
        <f>IFERROR(IF(F15&lt;4,(SANP*$F$13-E71/F15)*(RUUa/100)*ffua*SUM(P40,S40,V40),"-"),"-")</f>
        <v>-</v>
      </c>
      <c r="F69" s="67"/>
      <c r="G69" s="122"/>
    </row>
    <row r="70" spans="1:7" ht="13.5" customHeight="1" x14ac:dyDescent="0.2">
      <c r="B70" s="84" t="s">
        <v>151</v>
      </c>
      <c r="C70" s="136"/>
      <c r="D70" s="137" t="str">
        <f>IF(ISNUMBER($D$35),IF($F$15=1,($F$23/100)*$F$13*ffu*SUM($F$36:$F$39),IF($F$15=2,($F$23/100)*$F$13*ffu*(SUM($F$36:$F$39)+SUM($I$36:$I$39)),IF($F$15=3,($F$23/100)*$F$13*ffu*(SUM($F$36:$F$39)+SUM($I$36:$I$39)+SUM($L$36:$L$39)),"-"))),"-")</f>
        <v>-</v>
      </c>
      <c r="E70" s="137" t="str">
        <f>IF(ISNUMBER($D$35),IF($F$15=1,($H$23/100)*$F$13*ffua*SUM($P$36:$P$39),IF($F$15=2,($H$23/100)*$F$13*ffua*(SUM($P$36:$P$39)+SUM($S$36:$S$39)),IF($F$15=3,($H$23/100)*$F$13*ffua*(SUM($P$36:$P$39)+SUM($S$36:$S$39)+SUM($V$36:$V$39)),"-"))),"-")</f>
        <v>-</v>
      </c>
      <c r="F70" s="67"/>
      <c r="G70" s="122"/>
    </row>
    <row r="71" spans="1:7" ht="13.5" customHeight="1" x14ac:dyDescent="0.2">
      <c r="B71" s="451" t="s">
        <v>126</v>
      </c>
      <c r="C71" s="506"/>
      <c r="D71" s="137" t="str">
        <f>IFERROR(IF(F15&lt;4,SANP*$F$15*(DDr/100)*Zr*$F$18,"-"),"-")</f>
        <v>-</v>
      </c>
      <c r="E71" s="137" t="str">
        <f>IFERROR(IF(F15&lt;4,$F$14*$F$15*(DDra/100)*Zra*$H$18,"-"),"-")</f>
        <v>-</v>
      </c>
      <c r="F71" s="67"/>
      <c r="G71" s="122"/>
    </row>
    <row r="72" spans="1:7" x14ac:dyDescent="0.2">
      <c r="B72" s="627" t="s">
        <v>285</v>
      </c>
      <c r="C72" s="628"/>
      <c r="D72" s="138" t="str">
        <f>IF(ISNUMBER(D69),(D69+D71)*(KKoc*(OOCSE/100)*PPse*VVse)/(KKoc*(OOCSE/100)*PPse*VVse+(1*86400*(F29-F31)+(1*(11/3))*86400*F31)),"-")</f>
        <v>-</v>
      </c>
      <c r="E72" s="139" t="str">
        <f>IF(ISNUMBER(E69),(E69+E71)*(KKoc*(OOCSE/100)*PPse*VVse)/(KKoc*(OOCSE/100)*PPse*VVse+(1*86400*(F29-F31)+(1*(11/3))*86400*F31)),"-")</f>
        <v>-</v>
      </c>
      <c r="F72" s="67"/>
      <c r="G72" s="122"/>
    </row>
    <row r="73" spans="1:7" ht="13.5" thickBot="1" x14ac:dyDescent="0.25">
      <c r="B73" s="616" t="s">
        <v>343</v>
      </c>
      <c r="C73" s="617"/>
      <c r="D73" s="137" t="str">
        <f>IF(ISNUMBER(D70),(D70+D71)*(KKoc*(OOCSE/100)*PPse*VVse)/(KKoc*(OOCSE/100)*PPse*VVse+(1*86400*(F29-F31)+(1*(11/3))*86400*F31)),"-")</f>
        <v>-</v>
      </c>
      <c r="E73" s="137" t="str">
        <f>IF(ISNUMBER(E70),(E70+E71)*(KKoc*(OOCSE/100)*PPse*VVse)/(KKoc*(OOCSE/100)*PPse*VVse+(1*86400*(F29-F31)+(1*(11/3))*86400*F31)),"-")</f>
        <v>-</v>
      </c>
      <c r="F73" s="67"/>
      <c r="G73" s="122"/>
    </row>
    <row r="74" spans="1:7" ht="13.5" customHeight="1" thickTop="1" x14ac:dyDescent="0.2">
      <c r="B74" s="618" t="s">
        <v>152</v>
      </c>
      <c r="C74" s="619"/>
      <c r="D74" s="140" t="str">
        <f>IF(NOT(ISNUMBER(ffu)),"-",(D69+D71-D72)/(3*86400*($F$29-$F$31)+11*86400*$F$31)*1000)</f>
        <v>-</v>
      </c>
      <c r="E74" s="140" t="str">
        <f>IF(NOT(ISNUMBER(ffua)),"-",(E69+E71-E72)/(3*86400*($F$29-$F$31)+11*86400*$F$31)*1000)</f>
        <v>-</v>
      </c>
      <c r="F74" s="123"/>
      <c r="G74" s="122"/>
    </row>
    <row r="75" spans="1:7" ht="13.5" customHeight="1" x14ac:dyDescent="0.2">
      <c r="B75" s="451" t="s">
        <v>344</v>
      </c>
      <c r="C75" s="506"/>
      <c r="D75" s="141" t="str">
        <f>IF(NOT(ISNUMBER(ffu)),"-",IF(NOT(ISNUMBER(D35)),"減衰を考慮せず",(D$70+D$71-D$73)/(3*86400*($F$29-$F$31)+(11*86400*$F$31))*1000))</f>
        <v>-</v>
      </c>
      <c r="E75" s="141" t="str">
        <f>IF(NOT(ISNUMBER(ffua)),"-",IF(NOT(ISNUMBER(D35)),"減衰を考慮せず",(E$70+E$71-E$73)/(3*86400*($F$29-$F$31)+(11*86400*$F$31))*1000))</f>
        <v>-</v>
      </c>
      <c r="F75" s="123"/>
      <c r="G75" s="122"/>
    </row>
    <row r="76" spans="1:7" ht="13.5" customHeight="1" x14ac:dyDescent="0.2">
      <c r="B76" s="620" t="s">
        <v>345</v>
      </c>
      <c r="C76" s="621"/>
      <c r="D76" s="141" t="str">
        <f>IF(NOT(ISNUMBER(ffu)),"-",IF(Kkkk=0,"分解を考慮せず",D74*EXP(-0.17*Kkkk)))</f>
        <v>-</v>
      </c>
      <c r="E76" s="141" t="str">
        <f>IF(NOT(ISNUMBER(ffua)),"-",IF(Kkkk=0,"分解を考慮せず",E74*EXP(-0.17*Kkkk)))</f>
        <v>-</v>
      </c>
      <c r="F76" s="67"/>
      <c r="G76" s="122"/>
    </row>
    <row r="77" spans="1:7" ht="27" customHeight="1" thickBot="1" x14ac:dyDescent="0.25">
      <c r="B77" s="622" t="s">
        <v>346</v>
      </c>
      <c r="C77" s="623"/>
      <c r="D77" s="142" t="str">
        <f>IF(NOT(ISNUMBER(ffu)),"-",IF(NOT(ISNUMBER(D35)),IF(Kkkk=0,"減衰・分解を考慮せず",D76),IF(ISBLANK(Kkkk),D75,D75*EXP(-0.17*Kkkk))))</f>
        <v>-</v>
      </c>
      <c r="E77" s="142" t="str">
        <f>IF(NOT(ISNUMBER(ffua)),"-",IF(NOT(ISNUMBER(D35)),IF(Kkkk=0,"減衰・分解を考慮せず",E76),IF(ISBLANK(Kkkk),E75,E75*EXP(-0.17*Kkkk))))</f>
        <v>-</v>
      </c>
      <c r="F77" s="67"/>
    </row>
    <row r="78" spans="1:7" ht="13.5" customHeight="1" thickTop="1" x14ac:dyDescent="0.2"/>
    <row r="79" spans="1:7" ht="13.5" customHeight="1" x14ac:dyDescent="0.2">
      <c r="B79" s="10" t="s">
        <v>129</v>
      </c>
    </row>
    <row r="80" spans="1:7" ht="13.5" customHeight="1" x14ac:dyDescent="0.2">
      <c r="A80" s="80"/>
    </row>
    <row r="81" spans="1:14" ht="13.5" customHeight="1" x14ac:dyDescent="0.2">
      <c r="M81" s="122"/>
      <c r="N81" s="122"/>
    </row>
    <row r="82" spans="1:14" ht="13.5" customHeight="1" x14ac:dyDescent="0.2"/>
    <row r="83" spans="1:14" ht="13.5" customHeight="1" x14ac:dyDescent="0.2"/>
    <row r="84" spans="1:14" s="80" customFormat="1" ht="13.5" customHeight="1" x14ac:dyDescent="0.2">
      <c r="A84"/>
      <c r="B84"/>
    </row>
    <row r="85" spans="1:14" ht="13.5" customHeight="1" x14ac:dyDescent="0.2"/>
    <row r="86" spans="1:14" ht="13.5" customHeight="1" x14ac:dyDescent="0.2"/>
    <row r="87" spans="1:14" ht="13.5" customHeight="1" x14ac:dyDescent="0.2"/>
    <row r="88" spans="1:14" ht="13.5" customHeight="1" x14ac:dyDescent="0.2"/>
    <row r="89" spans="1:14" ht="13.5" customHeight="1" x14ac:dyDescent="0.2"/>
    <row r="90" spans="1:14" ht="13.5" customHeight="1" x14ac:dyDescent="0.2"/>
    <row r="91" spans="1:14" ht="13.5" customHeight="1" x14ac:dyDescent="0.2"/>
    <row r="92" spans="1:14" ht="13.5" customHeight="1" x14ac:dyDescent="0.2"/>
    <row r="93" spans="1:14" ht="13.5" customHeight="1" x14ac:dyDescent="0.2"/>
    <row r="94" spans="1:14" ht="13.5" customHeight="1" x14ac:dyDescent="0.2"/>
    <row r="95" spans="1:14" ht="13.5" customHeight="1" x14ac:dyDescent="0.2"/>
    <row r="96" spans="1:14" ht="13.5" customHeight="1" x14ac:dyDescent="0.2"/>
    <row r="97" customFormat="1" ht="13.5" customHeight="1" x14ac:dyDescent="0.2"/>
  </sheetData>
  <sheetProtection algorithmName="SHA-512" hashValue="qCzQFrjHy45H3dj9pxlVc8k5dSsfOVKWAo6WLpysrsnAPjnr6UtR5gXJrxA7wMMdtp6XShdufVSana5HhRwW2A==" saltValue="CPxR0m5pkJhxaW17Z2VonQ==" spinCount="100000" sheet="1" objects="1" scenarios="1" selectLockedCells="1"/>
  <mergeCells count="86">
    <mergeCell ref="B76:C76"/>
    <mergeCell ref="B77:C77"/>
    <mergeCell ref="B69:C69"/>
    <mergeCell ref="B71:C71"/>
    <mergeCell ref="B72:C72"/>
    <mergeCell ref="B73:C73"/>
    <mergeCell ref="B74:C74"/>
    <mergeCell ref="B75:C75"/>
    <mergeCell ref="B68:C68"/>
    <mergeCell ref="C55:D55"/>
    <mergeCell ref="C56:D56"/>
    <mergeCell ref="C57:D57"/>
    <mergeCell ref="C58:D58"/>
    <mergeCell ref="B63:C63"/>
    <mergeCell ref="B64:C64"/>
    <mergeCell ref="B65:C65"/>
    <mergeCell ref="B66:C66"/>
    <mergeCell ref="B67:C67"/>
    <mergeCell ref="H58:I58"/>
    <mergeCell ref="B62:C62"/>
    <mergeCell ref="F28:I28"/>
    <mergeCell ref="F29:I29"/>
    <mergeCell ref="F30:I30"/>
    <mergeCell ref="F31:I31"/>
    <mergeCell ref="G43:K52"/>
    <mergeCell ref="B44:C44"/>
    <mergeCell ref="B45:C45"/>
    <mergeCell ref="B49:C49"/>
    <mergeCell ref="J31:L31"/>
    <mergeCell ref="J29:L29"/>
    <mergeCell ref="J30:L30"/>
    <mergeCell ref="J28:L28"/>
    <mergeCell ref="B24:B25"/>
    <mergeCell ref="C24:E25"/>
    <mergeCell ref="F24:I24"/>
    <mergeCell ref="F25:I25"/>
    <mergeCell ref="B26:B27"/>
    <mergeCell ref="C26:E27"/>
    <mergeCell ref="G26:G27"/>
    <mergeCell ref="I26:I27"/>
    <mergeCell ref="B18:B21"/>
    <mergeCell ref="C18:E21"/>
    <mergeCell ref="F18:G21"/>
    <mergeCell ref="H18:I21"/>
    <mergeCell ref="B22:B23"/>
    <mergeCell ref="C22:D23"/>
    <mergeCell ref="F22:G22"/>
    <mergeCell ref="H22:I22"/>
    <mergeCell ref="F23:G23"/>
    <mergeCell ref="H23:I23"/>
    <mergeCell ref="C16:E16"/>
    <mergeCell ref="F16:G16"/>
    <mergeCell ref="H16:I16"/>
    <mergeCell ref="C17:E17"/>
    <mergeCell ref="F17:G17"/>
    <mergeCell ref="H17:I17"/>
    <mergeCell ref="C13:E13"/>
    <mergeCell ref="F13:I13"/>
    <mergeCell ref="C14:E14"/>
    <mergeCell ref="F14:I14"/>
    <mergeCell ref="C15:E15"/>
    <mergeCell ref="F15:I15"/>
    <mergeCell ref="B7:C7"/>
    <mergeCell ref="D7:J7"/>
    <mergeCell ref="K7:L7"/>
    <mergeCell ref="C12:E12"/>
    <mergeCell ref="F12:G12"/>
    <mergeCell ref="H12:I12"/>
    <mergeCell ref="J12:L12"/>
    <mergeCell ref="B5:C5"/>
    <mergeCell ref="D5:J5"/>
    <mergeCell ref="B6:C6"/>
    <mergeCell ref="D6:J6"/>
    <mergeCell ref="B2:D3"/>
    <mergeCell ref="J26:L27"/>
    <mergeCell ref="K6:L6"/>
    <mergeCell ref="J18:L21"/>
    <mergeCell ref="J13:L13"/>
    <mergeCell ref="J14:L14"/>
    <mergeCell ref="J15:L15"/>
    <mergeCell ref="J16:L16"/>
    <mergeCell ref="J17:L17"/>
    <mergeCell ref="J22:L22"/>
    <mergeCell ref="J23:L23"/>
    <mergeCell ref="J24:L24"/>
    <mergeCell ref="J25:L25"/>
  </mergeCells>
  <phoneticPr fontId="3"/>
  <conditionalFormatting sqref="D69:E77">
    <cfRule type="expression" dxfId="39" priority="43" stopIfTrue="1">
      <formula>$J$58=""</formula>
    </cfRule>
    <cfRule type="expression" dxfId="38" priority="44" stopIfTrue="1">
      <formula>$J$58=0</formula>
    </cfRule>
    <cfRule type="expression" dxfId="37" priority="52" stopIfTrue="1">
      <formula>$J$58=8</formula>
    </cfRule>
    <cfRule type="expression" dxfId="36" priority="51" stopIfTrue="1">
      <formula>$J$58=7</formula>
    </cfRule>
    <cfRule type="expression" dxfId="35" priority="50" stopIfTrue="1">
      <formula>$J$58=6</formula>
    </cfRule>
    <cfRule type="expression" dxfId="34" priority="49" stopIfTrue="1">
      <formula>$J$58=5</formula>
    </cfRule>
    <cfRule type="expression" dxfId="33" priority="48" stopIfTrue="1">
      <formula>$J$58=4</formula>
    </cfRule>
    <cfRule type="expression" dxfId="32" priority="47" stopIfTrue="1">
      <formula>$J$58=3</formula>
    </cfRule>
    <cfRule type="expression" dxfId="31" priority="46" stopIfTrue="1">
      <formula>$J$58=2</formula>
    </cfRule>
    <cfRule type="expression" dxfId="30" priority="45" stopIfTrue="1">
      <formula>$J$58=1</formula>
    </cfRule>
  </conditionalFormatting>
  <conditionalFormatting sqref="E74:E77">
    <cfRule type="expression" dxfId="29" priority="72" stopIfTrue="1">
      <formula>AND(ISNUMBER(E74),MAX($E74:$E74)=E74,$J$58=8)</formula>
    </cfRule>
    <cfRule type="expression" dxfId="28" priority="63" stopIfTrue="1">
      <formula>AND(ISNUMBER(E74),MAX($E74:$E74)=E74,$J$58="")</formula>
    </cfRule>
    <cfRule type="expression" dxfId="27" priority="64" stopIfTrue="1">
      <formula>AND(ISNUMBER(E74),MAX($E74:$E74)=E74,$J$58=0)</formula>
    </cfRule>
    <cfRule type="expression" dxfId="26" priority="65" stopIfTrue="1">
      <formula>AND(ISNUMBER(E74),MAX($E74:$E74)=E74,$J$58=1)</formula>
    </cfRule>
    <cfRule type="expression" dxfId="25" priority="66" stopIfTrue="1">
      <formula>AND(ISNUMBER(E74),MAX($E74:$E74)=E74,$J$58=2)</formula>
    </cfRule>
    <cfRule type="expression" dxfId="24" priority="67" stopIfTrue="1">
      <formula>AND(ISNUMBER(E74),MAX($E74:$E74)=E74,$J$58=3)</formula>
    </cfRule>
    <cfRule type="expression" dxfId="23" priority="68" stopIfTrue="1">
      <formula>AND(ISNUMBER(E74),MAX($E74:$E74)=E74,$J$58=4)</formula>
    </cfRule>
    <cfRule type="expression" dxfId="22" priority="69" stopIfTrue="1">
      <formula>AND(ISNUMBER(E74),MAX($E74:$E74)=E74,$J$58=5)</formula>
    </cfRule>
    <cfRule type="expression" dxfId="21" priority="70" stopIfTrue="1">
      <formula>AND(ISNUMBER(E74),MAX($E74:$E74)=E74,$J$58=6)</formula>
    </cfRule>
    <cfRule type="expression" dxfId="20" priority="71" stopIfTrue="1">
      <formula>AND(ISNUMBER(E74),MAX($E74:$E74)=E74,$J$58=7)</formula>
    </cfRule>
  </conditionalFormatting>
  <conditionalFormatting sqref="I3">
    <cfRule type="expression" dxfId="19" priority="2" stopIfTrue="1">
      <formula>$G$9=8</formula>
    </cfRule>
    <cfRule type="expression" dxfId="18" priority="3" stopIfTrue="1">
      <formula>$G$9=7</formula>
    </cfRule>
    <cfRule type="expression" dxfId="17" priority="5" stopIfTrue="1">
      <formula>$G$9=6</formula>
    </cfRule>
    <cfRule type="expression" dxfId="16" priority="6" stopIfTrue="1">
      <formula>$G$9=5</formula>
    </cfRule>
    <cfRule type="expression" dxfId="15" priority="7" stopIfTrue="1">
      <formula>$G$9=4</formula>
    </cfRule>
    <cfRule type="expression" dxfId="14" priority="8" stopIfTrue="1">
      <formula>$G$9=3</formula>
    </cfRule>
    <cfRule type="expression" dxfId="13" priority="9" stopIfTrue="1">
      <formula>$G$9=2</formula>
    </cfRule>
    <cfRule type="expression" dxfId="12" priority="10" stopIfTrue="1">
      <formula>$G$9=1</formula>
    </cfRule>
    <cfRule type="expression" dxfId="11" priority="11" stopIfTrue="1">
      <formula>$G$9=0</formula>
    </cfRule>
    <cfRule type="expression" dxfId="10" priority="12" stopIfTrue="1">
      <formula>AND(ISNUMBER(I3),MAX($C67:$C67)=I3,$G$9="")</formula>
    </cfRule>
    <cfRule type="expression" dxfId="9" priority="21" stopIfTrue="1">
      <formula>AND(ISNUMBER(I3),MAX($C67:$C67)=I3,$G$9=8)</formula>
    </cfRule>
    <cfRule type="expression" dxfId="8" priority="20" stopIfTrue="1">
      <formula>AND(ISNUMBER(I3),MAX($C67:$C67)=I3,$G$9=7)</formula>
    </cfRule>
    <cfRule type="expression" dxfId="7" priority="19" stopIfTrue="1">
      <formula>AND(ISNUMBER(I3),MAX($C67:$C67)=I3,$G$9=6)</formula>
    </cfRule>
    <cfRule type="expression" dxfId="6" priority="18" stopIfTrue="1">
      <formula>AND(ISNUMBER(I3),MAX($C67:$C67)=I3,$G$9=5)</formula>
    </cfRule>
    <cfRule type="expression" dxfId="5" priority="17" stopIfTrue="1">
      <formula>AND(ISNUMBER(I3),MAX($C67:$C67)=I3,$G$9=4)</formula>
    </cfRule>
    <cfRule type="expression" dxfId="4" priority="16" stopIfTrue="1">
      <formula>AND(ISNUMBER(I3),MAX($C67:$C67)=I3,$G$9=3)</formula>
    </cfRule>
    <cfRule type="expression" dxfId="3" priority="15" stopIfTrue="1">
      <formula>AND(ISNUMBER(I3),MAX($C67:$C67)=I3,$G$9=2)</formula>
    </cfRule>
    <cfRule type="expression" dxfId="2" priority="14" stopIfTrue="1">
      <formula>AND(ISNUMBER(I3),MAX($C67:$C67)=I3,$G$9=1)</formula>
    </cfRule>
    <cfRule type="expression" dxfId="1" priority="13" stopIfTrue="1">
      <formula>AND(ISNUMBER(I3),MAX($C67:$C67)=I3,$G$9=0)</formula>
    </cfRule>
    <cfRule type="expression" dxfId="0" priority="1" stopIfTrue="1">
      <formula>$G$9=""</formula>
    </cfRule>
  </conditionalFormatting>
  <hyperlinks>
    <hyperlink ref="B79" location="入力及び計算結果!A1" display="「入力及び計算結果」に戻る" xr:uid="{00000000-0004-0000-0C00-000000000000}"/>
  </hyperlinks>
  <pageMargins left="0.7" right="0.7" top="0.75" bottom="0.75" header="0.3" footer="0.3"/>
  <pageSetup paperSize="9" orientation="portrait" r:id="rId1"/>
  <ignoredErrors>
    <ignoredError sqref="D38 G38 J38 N38 Q38 T38"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X102"/>
  <sheetViews>
    <sheetView tabSelected="1" zoomScale="90" zoomScaleNormal="90" zoomScaleSheetLayoutView="70" workbookViewId="0">
      <selection activeCell="D16" sqref="D16"/>
    </sheetView>
  </sheetViews>
  <sheetFormatPr defaultRowHeight="13" x14ac:dyDescent="0.2"/>
  <cols>
    <col min="1" max="1" width="3.453125" customWidth="1"/>
    <col min="2" max="2" width="25.08984375" customWidth="1"/>
    <col min="3" max="3" width="10.453125" customWidth="1"/>
    <col min="4" max="4" width="16" customWidth="1"/>
    <col min="5" max="5" width="18" customWidth="1"/>
    <col min="6" max="6" width="11.453125" customWidth="1"/>
    <col min="7" max="7" width="13.453125" customWidth="1"/>
    <col min="9" max="9" width="18.08984375" customWidth="1"/>
    <col min="10" max="10" width="14.90625" customWidth="1"/>
    <col min="11" max="11" width="11.90625" customWidth="1"/>
    <col min="13" max="13" width="12.90625" bestFit="1" customWidth="1"/>
    <col min="14" max="14" width="12.90625" customWidth="1"/>
    <col min="16" max="16" width="7.26953125" customWidth="1"/>
    <col min="17" max="17" width="6.453125" style="19" bestFit="1" customWidth="1"/>
    <col min="18" max="18" width="6.453125" bestFit="1" customWidth="1"/>
    <col min="19" max="19" width="33.08984375" customWidth="1"/>
  </cols>
  <sheetData>
    <row r="1" spans="1:24" ht="15" customHeight="1" x14ac:dyDescent="0.3">
      <c r="B1" s="17" t="s">
        <v>363</v>
      </c>
      <c r="C1" s="18"/>
      <c r="D1" s="17"/>
    </row>
    <row r="2" spans="1:24" ht="15" customHeight="1" x14ac:dyDescent="0.3">
      <c r="B2" s="465" t="s">
        <v>0</v>
      </c>
      <c r="C2" s="465"/>
      <c r="D2" s="18"/>
      <c r="F2" s="20"/>
      <c r="G2" s="21" t="s">
        <v>1</v>
      </c>
    </row>
    <row r="3" spans="1:24" ht="15" customHeight="1" x14ac:dyDescent="0.3">
      <c r="B3" s="465"/>
      <c r="C3" s="465"/>
      <c r="D3" s="18"/>
      <c r="F3" s="22"/>
      <c r="G3" t="s">
        <v>2</v>
      </c>
      <c r="K3" s="364" t="s">
        <v>3</v>
      </c>
      <c r="L3" s="364"/>
      <c r="M3" s="364"/>
      <c r="N3" s="364"/>
      <c r="O3" s="364"/>
      <c r="P3" s="364"/>
      <c r="Q3" s="466" t="s">
        <v>4</v>
      </c>
      <c r="R3" s="466"/>
      <c r="S3" s="364" t="s">
        <v>5</v>
      </c>
    </row>
    <row r="4" spans="1:24" ht="15" customHeight="1" thickBot="1" x14ac:dyDescent="0.35">
      <c r="B4" s="18"/>
      <c r="C4" s="18"/>
      <c r="D4" s="18"/>
      <c r="F4" s="23"/>
      <c r="G4" s="21" t="s">
        <v>6</v>
      </c>
      <c r="K4" s="364"/>
      <c r="L4" s="364"/>
      <c r="M4" s="364"/>
      <c r="N4" s="364"/>
      <c r="O4" s="366"/>
      <c r="P4" s="366"/>
      <c r="Q4" s="466"/>
      <c r="R4" s="466"/>
      <c r="S4" s="364"/>
    </row>
    <row r="5" spans="1:24" ht="13.5" customHeight="1" thickTop="1" thickBot="1" x14ac:dyDescent="0.25">
      <c r="K5" s="407" t="s">
        <v>7</v>
      </c>
      <c r="L5" s="430" t="s">
        <v>8</v>
      </c>
      <c r="M5" s="463" t="s">
        <v>9</v>
      </c>
      <c r="N5" s="464"/>
      <c r="O5" s="25" t="str">
        <f>IF(ISBLANK(No.1!G15),IF(ISNUMBER(No.1!C34),ROUND(No.1!C34*POWER(10,-INT(LOG10(No.1!C34))),1)/POWER(10,-INT(LOG10(No.1!C34))),"-"),No.1!C34)</f>
        <v>-</v>
      </c>
      <c r="P5" s="26"/>
      <c r="Q5" s="454" t="s">
        <v>10</v>
      </c>
      <c r="R5" s="455"/>
      <c r="S5" s="27"/>
      <c r="X5" s="28"/>
    </row>
    <row r="6" spans="1:24" ht="14" thickTop="1" thickBot="1" x14ac:dyDescent="0.25">
      <c r="B6" s="29" t="s">
        <v>11</v>
      </c>
      <c r="C6" s="384"/>
      <c r="D6" s="385"/>
      <c r="E6" s="385"/>
      <c r="F6" s="386"/>
      <c r="K6" s="407"/>
      <c r="L6" s="431"/>
      <c r="M6" s="438" t="s">
        <v>12</v>
      </c>
      <c r="N6" s="439"/>
      <c r="O6" s="30" t="str">
        <f>IF(ISBLANK(No.2!G14),IF(ISNUMBER(No.1!D34),ROUND(No.1!D34*POWER(10,-INT(LOG10(No.1!D34))),1)/POWER(10,-INT(LOG10(No.1!D34))),"-"),No.1!D34)</f>
        <v>-</v>
      </c>
      <c r="P6" s="26"/>
      <c r="Q6" s="456"/>
      <c r="R6" s="457"/>
      <c r="S6" s="27"/>
      <c r="X6" s="28"/>
    </row>
    <row r="7" spans="1:24" ht="14" thickTop="1" thickBot="1" x14ac:dyDescent="0.25">
      <c r="B7" s="387" t="s">
        <v>13</v>
      </c>
      <c r="C7" s="387"/>
      <c r="D7" s="387"/>
      <c r="E7" s="387"/>
      <c r="F7" s="7"/>
      <c r="K7" s="407"/>
      <c r="L7" s="429" t="s">
        <v>14</v>
      </c>
      <c r="M7" s="406" t="s">
        <v>9</v>
      </c>
      <c r="N7" s="32"/>
      <c r="O7" s="25" t="str">
        <f>IF(ISBLANK(No.2!G14),IF(ISNUMBER(No.2!D36),ROUND(No.2!D36*POWER(10,-INT(LOG10(No.2!D36))),1)/POWER(10,-INT(LOG10(No.2!D36))),"-"),No.2!D36)</f>
        <v>-</v>
      </c>
      <c r="P7" s="26"/>
      <c r="Q7" s="454" t="s">
        <v>15</v>
      </c>
      <c r="R7" s="455"/>
      <c r="S7" s="27"/>
      <c r="X7" s="28"/>
    </row>
    <row r="8" spans="1:24" ht="14" thickTop="1" thickBot="1" x14ac:dyDescent="0.25">
      <c r="B8" s="387" t="s">
        <v>16</v>
      </c>
      <c r="C8" s="387"/>
      <c r="D8" s="387"/>
      <c r="E8" s="387"/>
      <c r="F8" s="7"/>
      <c r="K8" s="407"/>
      <c r="L8" s="430"/>
      <c r="M8" s="408"/>
      <c r="N8" s="32" t="s">
        <v>17</v>
      </c>
      <c r="O8" s="25" t="str">
        <f>IF(ISBLANK(No.2!G14),IF(ISNUMBER(No.2!D37),ROUND(No.2!D37*POWER(10,-INT(LOG10(No.2!D37))),1)/POWER(10,-INT(LOG10(No.2!D37))),"-"),No.2!D37)</f>
        <v>-</v>
      </c>
      <c r="P8" s="26"/>
      <c r="Q8" s="458"/>
      <c r="R8" s="459"/>
      <c r="S8" s="27"/>
      <c r="X8" s="28"/>
    </row>
    <row r="9" spans="1:24" ht="14" thickTop="1" thickBot="1" x14ac:dyDescent="0.25">
      <c r="B9" s="387" t="s">
        <v>18</v>
      </c>
      <c r="C9" s="387"/>
      <c r="D9" s="387"/>
      <c r="E9" s="387"/>
      <c r="F9" s="7"/>
      <c r="K9" s="407"/>
      <c r="L9" s="430"/>
      <c r="M9" s="406" t="s">
        <v>12</v>
      </c>
      <c r="N9" s="32"/>
      <c r="O9" s="25" t="str">
        <f>IF(ISBLANK(No.2!G14),IF(ISNUMBER(No.2!E36),ROUND(No.2!E36*POWER(10,-INT(LOG10(No.2!E36))),1)/POWER(10,-INT(LOG10(No.2!E36))),"-"),No.2!E36)</f>
        <v>-</v>
      </c>
      <c r="P9" s="26"/>
      <c r="Q9" s="458"/>
      <c r="R9" s="459"/>
      <c r="S9" s="27"/>
      <c r="X9" s="28"/>
    </row>
    <row r="10" spans="1:24" ht="14" thickTop="1" thickBot="1" x14ac:dyDescent="0.25">
      <c r="B10" s="387" t="s">
        <v>19</v>
      </c>
      <c r="C10" s="387"/>
      <c r="D10" s="387"/>
      <c r="E10" s="387"/>
      <c r="F10" s="8"/>
      <c r="K10" s="408"/>
      <c r="L10" s="431"/>
      <c r="M10" s="408"/>
      <c r="N10" s="32" t="s">
        <v>17</v>
      </c>
      <c r="O10" s="25" t="str">
        <f>IF(ISBLANK(No.2!G14),IF(ISNUMBER(No.2!E37),ROUND(No.2!E37*POWER(10,-INT(LOG10(No.2!E37))),1)/POWER(10,-INT(LOG10(No.2!E37))),"-"),No.2!E37)</f>
        <v>-</v>
      </c>
      <c r="P10" s="26"/>
      <c r="Q10" s="456"/>
      <c r="R10" s="457"/>
      <c r="S10" s="27"/>
      <c r="X10" s="28"/>
    </row>
    <row r="11" spans="1:24" ht="15" customHeight="1" thickTop="1" thickBot="1" x14ac:dyDescent="0.25">
      <c r="B11" s="387" t="s">
        <v>20</v>
      </c>
      <c r="C11" s="387"/>
      <c r="D11" s="387"/>
      <c r="E11" s="387"/>
      <c r="F11" s="8"/>
      <c r="K11" s="414" t="s">
        <v>21</v>
      </c>
      <c r="L11" s="417" t="s">
        <v>8</v>
      </c>
      <c r="M11" s="419" t="s">
        <v>9</v>
      </c>
      <c r="N11" s="420"/>
      <c r="O11" s="34" t="str">
        <f>IF(AND(ISBLANK(No.3!I66),ISBLANK(No.4!I66)),IF(No.3!F70="-","-",IF(No.4!F70="-",ROUND(No.3!F70*POWER(10,-INT(LOG10(No.3!F70))),1)/POWER(10,-INT(LOG10(No.3!F70))),
ROUND(MAX(No.3!F70,No.4!F70)*POWER(10,-INT(LOG10(MAX(No.3!F70,No.4!F70)))),1)/POWER(10,-INT(LOG10(MAX(No.3!F70,No.4!F70)))))),IF(No.3!F70="-","-",IF(No.4!F70="-",No.3!F70,MAX(No.3!F70,No.4!F70))))</f>
        <v>-</v>
      </c>
      <c r="P11" s="35" t="str">
        <f>IF(O11="-","( - )",IF(O11=No.3!F70,"(No.3)",IF(O11=No.4!F70,"(No.4)",IF(AND(ISNUMBER(No.3!F70),No.3!F70&gt;0),IF(O11=ROUND(No.3!F70*POWER(10,-INT(LOG10(No.3!F70))),1)/POWER(10,-INT(LOG10(No.3!F70))),"(No.3)",IF(AND(ISNUMBER(No.4!F70),No.4!F70&gt;0),IF(O11=ROUND(No.4!F70*POWER(10,-INT(LOG10(No.4!F70))),1)/POWER(10,-INT(LOG10(No.4!F70))),"(No.4)","( -)"),"( -)"))))))</f>
        <v>( - )</v>
      </c>
      <c r="Q11" s="9" t="s">
        <v>22</v>
      </c>
      <c r="R11" s="9" t="s">
        <v>23</v>
      </c>
      <c r="S11" s="467" t="s">
        <v>24</v>
      </c>
      <c r="X11" s="28"/>
    </row>
    <row r="12" spans="1:24" ht="14" thickTop="1" thickBot="1" x14ac:dyDescent="0.25">
      <c r="B12" s="387" t="s">
        <v>25</v>
      </c>
      <c r="C12" s="387"/>
      <c r="D12" s="387"/>
      <c r="E12" s="387"/>
      <c r="F12" s="7"/>
      <c r="K12" s="415"/>
      <c r="L12" s="418"/>
      <c r="M12" s="419" t="s">
        <v>12</v>
      </c>
      <c r="N12" s="420"/>
      <c r="O12" s="36" t="str">
        <f>IF(AND(ISBLANK(No.5!I66),ISBLANK(No.6!I66)),IF(No.5!F70="-","-",IF(No.6!F70="-",ROUND(No.5!F70*POWER(10,-INT(LOG10(No.5!F70))),1)/POWER(10,-INT(LOG10(No.5!F70))),
ROUND(MAX(No.5!F70,No.6!F70)*POWER(10,-INT(LOG10(MAX(No.5!F70,No.6!F70)))),1)/POWER(10,-INT(LOG10(MAX(No.5!F70,No.6!F70)))))),IF(No.5!F70="-","-",IF(No.6!F70="-",No.5!F70,MAX(No.5!F70,No.6!F70))))</f>
        <v>-</v>
      </c>
      <c r="P12" s="35" t="str">
        <f>IF(O12="-","( - )",IF(O12=No.5!F70,"(No.5)",IF(O12=No.6!F70,"(No.6)",IF(AND(ISNUMBER(No.5!F70),No.5!F70&gt;0),IF(O12=ROUND(No.5!F70*POWER(10,-INT(LOG10(No.5!F70))),1)/POWER(10,-INT(LOG10(No.5!F70))),"(No.5)",IF(AND(ISNUMBER(No.6!F70),No.6!F70&gt;0),IF(O12=ROUND(No.6!F70*POWER(10,-INT(LOG10(No.6!F70))),1)/POWER(10,-INT(LOG10(No.6!F70))),"(No.6)","( - )"),"( -)"))))))</f>
        <v>( - )</v>
      </c>
      <c r="Q12" s="9" t="s">
        <v>26</v>
      </c>
      <c r="R12" s="9" t="s">
        <v>27</v>
      </c>
      <c r="S12" s="468"/>
      <c r="X12" s="28"/>
    </row>
    <row r="13" spans="1:24" ht="14" thickTop="1" thickBot="1" x14ac:dyDescent="0.25">
      <c r="B13" s="387" t="s">
        <v>28</v>
      </c>
      <c r="C13" s="387"/>
      <c r="D13" s="387"/>
      <c r="E13" s="387"/>
      <c r="F13" s="7"/>
      <c r="K13" s="415"/>
      <c r="L13" s="429" t="s">
        <v>14</v>
      </c>
      <c r="M13" s="417" t="s">
        <v>9</v>
      </c>
      <c r="N13" s="37"/>
      <c r="O13" s="25" t="str">
        <f>IF(ISBLANK(No.7!J58),IF(ISNUMBER(No.7!D74),ROUND(No.7!D74*POWER(10,-INT(LOG(No.7!D74))),1)/POWER(10,-INT(LOG(No.7!D74))),"-"),No.7!D74)</f>
        <v>-</v>
      </c>
      <c r="P13" s="38"/>
      <c r="Q13" s="460" t="s">
        <v>29</v>
      </c>
      <c r="R13" s="455"/>
      <c r="S13" s="27"/>
      <c r="X13" s="28"/>
    </row>
    <row r="14" spans="1:24" ht="14" thickTop="1" thickBot="1" x14ac:dyDescent="0.25">
      <c r="K14" s="415"/>
      <c r="L14" s="430"/>
      <c r="M14" s="418"/>
      <c r="N14" s="37" t="s">
        <v>17</v>
      </c>
      <c r="O14" s="25" t="str">
        <f>IF(ISBLANK(No.7!J58),IF(ISNUMBER(No.7!D75),ROUND(No.7!D75*POWER(10,-INT(LOG10(No.7!D75))),1)/POWER(10,-INT(LOG10(No.7!D75))),"-"),No.7!D75)</f>
        <v>-</v>
      </c>
      <c r="P14" s="38"/>
      <c r="Q14" s="461"/>
      <c r="R14" s="459"/>
      <c r="S14" s="27"/>
      <c r="X14" s="28"/>
    </row>
    <row r="15" spans="1:24" ht="14" thickTop="1" thickBot="1" x14ac:dyDescent="0.25">
      <c r="K15" s="415"/>
      <c r="L15" s="430"/>
      <c r="M15" s="417" t="s">
        <v>12</v>
      </c>
      <c r="N15" s="37"/>
      <c r="O15" s="25" t="str">
        <f>IF(ISBLANK(No.7!J58),IF(ISNUMBER(No.7!E74),ROUND(No.7!E74*POWER(10,-INT(LOG10(No.7!E74))),1)/POWER(10,-INT(LOG10(No.7!E74))),"-"),No.7!E74)</f>
        <v>-</v>
      </c>
      <c r="P15" s="38"/>
      <c r="Q15" s="461"/>
      <c r="R15" s="459"/>
      <c r="S15" s="27"/>
      <c r="X15" s="28"/>
    </row>
    <row r="16" spans="1:24" ht="15" thickTop="1" thickBot="1" x14ac:dyDescent="0.25">
      <c r="A16" s="39" t="s">
        <v>30</v>
      </c>
      <c r="B16" s="40"/>
      <c r="C16" s="41" t="s">
        <v>31</v>
      </c>
      <c r="D16" s="10" t="s">
        <v>10</v>
      </c>
      <c r="K16" s="416"/>
      <c r="L16" s="431"/>
      <c r="M16" s="418"/>
      <c r="N16" s="37" t="s">
        <v>17</v>
      </c>
      <c r="O16" s="25" t="str">
        <f>IF(ISBLANK(No.7!J58),IF(ISNUMBER(No.7!E75),ROUND(No.7!E75*POWER(10,-INT(LOG10(No.7!E75))),1)/POWER(10,-INT(LOG10(No.7!E75))),"-"),No.7!E75)</f>
        <v>-</v>
      </c>
      <c r="P16" s="38"/>
      <c r="Q16" s="462"/>
      <c r="R16" s="457"/>
      <c r="S16" s="27"/>
      <c r="X16" s="28"/>
    </row>
    <row r="17" spans="1:24" ht="14.15" customHeight="1" thickTop="1" thickBot="1" x14ac:dyDescent="0.25">
      <c r="B17" s="368" t="s">
        <v>32</v>
      </c>
      <c r="C17" s="368"/>
      <c r="D17" s="368"/>
      <c r="E17" s="368"/>
      <c r="F17" s="368"/>
      <c r="G17" s="369"/>
      <c r="H17" s="1"/>
      <c r="K17" s="414" t="s">
        <v>33</v>
      </c>
      <c r="L17" s="417" t="s">
        <v>8</v>
      </c>
      <c r="M17" s="419" t="s">
        <v>9</v>
      </c>
      <c r="N17" s="420"/>
      <c r="O17" s="34" t="str">
        <f>IF(AND(ISBLANK(No.8!I66),ISBLANK(No.9!I66)),IF(No.8!F70="-","-",IF(No.9!F70="-",ROUND(No.8!F70*POWER(10,-INT(LOG10(No.8!F70))),1)/POWER(10,-INT(LOG10(No.8!F70))),
ROUND(MAX(No.8!F70,No.9!F70)*POWER(10,-INT(LOG10(MAX(No.8!F70,No.9!F70)))),1)/POWER(10,-INT(LOG10(MAX(No.8!F70,No.9!F70)))))),IF(No.8!F70="-","-",IF(No.9!F70="-",No.8!F70,MAX(No.8!F70,No.9!F70))))</f>
        <v>-</v>
      </c>
      <c r="P17" s="35" t="str">
        <f>IF(O17="-","( - )",IF(O17=No.8!F70,"(No.8)",IF(O17=No.9!F70,"(No.9)",IF(AND(ISNUMBER(No.8!F70),No.8!F70&gt;0),IF(O17=ROUND(No.8!F70*POWER(10,-INT(LOG10(No.8!F70))),1)/POWER(10,-INT(LOG10(No.8!F70))),"(No.8)",IF(AND(ISNUMBER(No.9!F70),No.9!F70&gt;0),IF(O17=ROUND(No.9!F70*POWER(10,-INT(LOG10(No.9!F70))),1)/POWER(10,-INT(LOG10(No.9!F70))),"(No.9)","( - )"),"( -)"))))))</f>
        <v>( - )</v>
      </c>
      <c r="Q17" s="9" t="s">
        <v>34</v>
      </c>
      <c r="R17" s="9" t="s">
        <v>35</v>
      </c>
      <c r="S17" s="467" t="s">
        <v>24</v>
      </c>
      <c r="X17" s="28"/>
    </row>
    <row r="18" spans="1:24" ht="14" thickTop="1" thickBot="1" x14ac:dyDescent="0.25">
      <c r="B18" s="379" t="s">
        <v>36</v>
      </c>
      <c r="C18" s="379"/>
      <c r="D18" s="379"/>
      <c r="E18" s="379"/>
      <c r="F18" s="379"/>
      <c r="G18" s="380"/>
      <c r="H18" s="1"/>
      <c r="K18" s="415"/>
      <c r="L18" s="418"/>
      <c r="M18" s="419" t="s">
        <v>12</v>
      </c>
      <c r="N18" s="420"/>
      <c r="O18" s="36" t="str">
        <f>IF(AND(ISBLANK(No.10!I66),ISBLANK(No.11!I66)),IF(No.10!F70="-","-",IF(No.11!F70="-",ROUND(No.10!F70*POWER(10,-INT(LOG10(No.10!F70))),1)/POWER(10,-INT(LOG10(No.10!F70))),
ROUND(MAX(No.10!F70,No.11!F70)*POWER(10,-INT(LOG10(MAX(No.10!F70,No.11!F70)))),1)/POWER(10,-INT(LOG10(MAX(No.10!F70,No.11!F70)))))),IF(No.10!F70="-","-",IF(No.11!F70="-",No.10!F70,MAX(No.10!F70,No.11!F70))))</f>
        <v>-</v>
      </c>
      <c r="P18" s="35" t="str">
        <f>IF(O18="-","( - )",IF(O18=No.10!F70,"(No.10)",IF(O11=No.11!F70,"(No.11)",IF(AND(ISNUMBER(No.10!F70),No.10!F70&gt;0),IF(O18=ROUND(No.10!F70*POWER(10,-INT(LOG10(No.10!F70))),1)/POWER(10,-INT(LOG10(No.10!F70))),"(No.10)",IF(AND(ISNUMBER(No.11!F70),No.11!F70&gt;0),IF(O18=ROUND(No.11!F70*POWER(10,-INT(LOG10(No.11!F70))),1)/POWER(10,-INT(LOG10(No.11!F70))),"(No.11)","( - )"),"( -)"))))))</f>
        <v>( - )</v>
      </c>
      <c r="Q18" s="9" t="s">
        <v>37</v>
      </c>
      <c r="R18" s="9" t="s">
        <v>38</v>
      </c>
      <c r="S18" s="468"/>
      <c r="X18" s="28"/>
    </row>
    <row r="19" spans="1:24" ht="14" thickTop="1" thickBot="1" x14ac:dyDescent="0.25">
      <c r="B19" s="379" t="s">
        <v>39</v>
      </c>
      <c r="C19" s="379"/>
      <c r="D19" s="379"/>
      <c r="E19" s="379"/>
      <c r="F19" s="379"/>
      <c r="G19" s="380"/>
      <c r="H19" s="11"/>
      <c r="K19" s="415"/>
      <c r="L19" s="429" t="s">
        <v>14</v>
      </c>
      <c r="M19" s="417" t="s">
        <v>9</v>
      </c>
      <c r="N19" s="37"/>
      <c r="O19" s="25" t="str">
        <f>IF(ISBLANK(No.12!J58),IF(ISNUMBER(No.12!D74),ROUND(No.12!D74*POWER(10,-INT(LOG10(No.12!D74))),1)/POWER(10,-INT(LOG10(No.12!D74))),"-"),No.12!D74)</f>
        <v>-</v>
      </c>
      <c r="P19" s="38"/>
      <c r="Q19" s="460" t="s">
        <v>40</v>
      </c>
      <c r="R19" s="455"/>
      <c r="S19" s="27"/>
      <c r="X19" s="28"/>
    </row>
    <row r="20" spans="1:24" ht="14" thickTop="1" thickBot="1" x14ac:dyDescent="0.25">
      <c r="B20" s="370" t="s">
        <v>41</v>
      </c>
      <c r="C20" s="370" t="s">
        <v>42</v>
      </c>
      <c r="D20" s="370"/>
      <c r="E20" s="370"/>
      <c r="F20" s="370"/>
      <c r="G20" s="45" t="s">
        <v>43</v>
      </c>
      <c r="H20" s="12"/>
      <c r="K20" s="415"/>
      <c r="L20" s="430"/>
      <c r="M20" s="418"/>
      <c r="N20" s="37" t="s">
        <v>17</v>
      </c>
      <c r="O20" s="25" t="str">
        <f>IF(ISBLANK(No.12!J58),IF(ISNUMBER(No.12!D75),ROUND(No.12!D75*POWER(10,-INT(LOG10(No.12!D75))),1)/POWER(10,-INT(LOG10(No.12!D75))),"-"),No.12!D75)</f>
        <v>-</v>
      </c>
      <c r="P20" s="38"/>
      <c r="Q20" s="461"/>
      <c r="R20" s="459"/>
      <c r="S20" s="27"/>
      <c r="X20" s="28"/>
    </row>
    <row r="21" spans="1:24" ht="14.15" customHeight="1" thickTop="1" thickBot="1" x14ac:dyDescent="0.25">
      <c r="B21" s="370"/>
      <c r="C21" s="375" t="s">
        <v>44</v>
      </c>
      <c r="D21" s="375"/>
      <c r="E21" s="375"/>
      <c r="F21" s="375"/>
      <c r="G21" s="45" t="s">
        <v>43</v>
      </c>
      <c r="H21" s="1"/>
      <c r="K21" s="415"/>
      <c r="L21" s="430"/>
      <c r="M21" s="417" t="s">
        <v>12</v>
      </c>
      <c r="N21" s="37"/>
      <c r="O21" s="25" t="str">
        <f>IF(ISBLANK(No.12!J58),IF(ISNUMBER(No.12!E74),ROUND(No.12!E74*POWER(10,-INT(LOG10(No.12!E74))),1)/POWER(10,-INT(LOG10(No.12!E74))),"-"),No.12!E74)</f>
        <v>-</v>
      </c>
      <c r="P21" s="38"/>
      <c r="Q21" s="461"/>
      <c r="R21" s="459"/>
      <c r="S21" s="27"/>
      <c r="X21" s="28"/>
    </row>
    <row r="22" spans="1:24" ht="14" thickTop="1" thickBot="1" x14ac:dyDescent="0.25">
      <c r="B22" s="366" t="s">
        <v>149</v>
      </c>
      <c r="C22" s="27" t="s">
        <v>353</v>
      </c>
      <c r="D22" s="47" t="str">
        <f>O5</f>
        <v>-</v>
      </c>
      <c r="K22" s="416"/>
      <c r="L22" s="431"/>
      <c r="M22" s="418"/>
      <c r="N22" s="37" t="s">
        <v>17</v>
      </c>
      <c r="O22" s="25" t="str">
        <f>IF(ISBLANK(No.12!J58),IF(ISNUMBER(No.12!E75),ROUND(No.12!E75*POWER(10,-INT(LOG10(No.12!E75))),1)/POWER(10,-INT(LOG10(No.12!E75))),"-"),No.12!E75)</f>
        <v>-</v>
      </c>
      <c r="P22" s="38"/>
      <c r="Q22" s="462"/>
      <c r="R22" s="457"/>
      <c r="S22" s="27"/>
      <c r="X22" s="28"/>
    </row>
    <row r="23" spans="1:24" ht="13.5" thickTop="1" x14ac:dyDescent="0.2">
      <c r="B23" s="367"/>
      <c r="C23" s="27" t="s">
        <v>12</v>
      </c>
      <c r="D23" s="47" t="str">
        <f>O6</f>
        <v>-</v>
      </c>
      <c r="K23" s="48"/>
      <c r="L23" s="49"/>
      <c r="M23" s="50"/>
      <c r="N23" s="51"/>
      <c r="O23" s="52"/>
      <c r="P23" s="53"/>
      <c r="Q23" s="49"/>
      <c r="R23" s="49"/>
      <c r="X23" s="28"/>
    </row>
    <row r="24" spans="1:24" x14ac:dyDescent="0.2">
      <c r="B24" s="10" t="s">
        <v>355</v>
      </c>
      <c r="K24" s="48"/>
      <c r="L24" s="49"/>
      <c r="M24" s="50"/>
      <c r="N24" s="51"/>
      <c r="O24" s="52"/>
      <c r="P24" s="53"/>
      <c r="Q24" s="49"/>
      <c r="R24" s="49"/>
      <c r="X24" s="28"/>
    </row>
    <row r="25" spans="1:24" x14ac:dyDescent="0.2">
      <c r="B25" s="42"/>
      <c r="K25" s="48"/>
      <c r="L25" s="49"/>
      <c r="M25" s="50"/>
      <c r="N25" s="51"/>
      <c r="O25" s="52"/>
      <c r="P25" s="53"/>
      <c r="Q25" s="49"/>
      <c r="R25" s="49"/>
      <c r="X25" s="28"/>
    </row>
    <row r="26" spans="1:24" x14ac:dyDescent="0.2">
      <c r="K26" s="54"/>
      <c r="L26" s="55"/>
      <c r="M26" s="55"/>
      <c r="N26" s="56"/>
      <c r="O26" s="52"/>
      <c r="P26" s="52"/>
    </row>
    <row r="27" spans="1:24" ht="29.15" customHeight="1" thickBot="1" x14ac:dyDescent="0.25">
      <c r="A27" s="39" t="s">
        <v>45</v>
      </c>
      <c r="B27" s="40"/>
      <c r="C27" s="57" t="s">
        <v>46</v>
      </c>
      <c r="D27" s="10" t="s">
        <v>22</v>
      </c>
      <c r="E27" s="10" t="s">
        <v>23</v>
      </c>
      <c r="F27" s="57" t="s">
        <v>47</v>
      </c>
      <c r="G27" s="10" t="s">
        <v>34</v>
      </c>
      <c r="H27" s="10" t="s">
        <v>35</v>
      </c>
    </row>
    <row r="28" spans="1:24" ht="14" thickTop="1" thickBot="1" x14ac:dyDescent="0.25">
      <c r="B28" s="401" t="s">
        <v>32</v>
      </c>
      <c r="C28" s="402"/>
      <c r="D28" s="403"/>
      <c r="E28" s="13"/>
      <c r="F28" s="411"/>
      <c r="G28" s="412"/>
      <c r="H28" s="413"/>
      <c r="O28" s="19"/>
      <c r="P28" s="19"/>
      <c r="Q28"/>
    </row>
    <row r="29" spans="1:24" ht="28" customHeight="1" thickTop="1" thickBot="1" x14ac:dyDescent="0.25">
      <c r="B29" s="374" t="s">
        <v>48</v>
      </c>
      <c r="C29" s="374"/>
      <c r="D29" s="63" t="s">
        <v>49</v>
      </c>
      <c r="E29" s="13"/>
      <c r="F29" s="373" t="s">
        <v>50</v>
      </c>
      <c r="G29" s="436"/>
      <c r="H29" s="437"/>
      <c r="J29" s="66"/>
      <c r="K29" s="66"/>
      <c r="L29" s="66"/>
      <c r="M29" s="66"/>
      <c r="N29" s="66"/>
      <c r="O29" s="19"/>
      <c r="P29" s="19"/>
      <c r="Q29"/>
    </row>
    <row r="30" spans="1:24" ht="14" thickTop="1" thickBot="1" x14ac:dyDescent="0.25">
      <c r="B30" s="374"/>
      <c r="C30" s="374"/>
      <c r="D30" s="63" t="s">
        <v>51</v>
      </c>
      <c r="E30" s="13"/>
      <c r="F30" s="432" t="s">
        <v>52</v>
      </c>
      <c r="G30" s="433"/>
      <c r="H30" s="434"/>
      <c r="J30" s="67"/>
      <c r="K30" s="67"/>
      <c r="L30" s="67"/>
      <c r="M30" s="67"/>
      <c r="N30" s="67"/>
      <c r="O30" s="19"/>
      <c r="P30" s="19"/>
      <c r="Q30"/>
    </row>
    <row r="31" spans="1:24" ht="19.5" customHeight="1" thickTop="1" x14ac:dyDescent="0.2">
      <c r="B31" s="388" t="s">
        <v>53</v>
      </c>
      <c r="C31" s="389"/>
      <c r="D31" s="390"/>
      <c r="E31" s="427"/>
      <c r="F31" s="421" t="s">
        <v>54</v>
      </c>
      <c r="G31" s="422"/>
      <c r="H31" s="423"/>
      <c r="O31" s="19"/>
      <c r="P31" s="19"/>
      <c r="Q31"/>
    </row>
    <row r="32" spans="1:24" ht="22.5" customHeight="1" thickBot="1" x14ac:dyDescent="0.25">
      <c r="B32" s="391"/>
      <c r="C32" s="392"/>
      <c r="D32" s="393"/>
      <c r="E32" s="428"/>
      <c r="F32" s="424"/>
      <c r="G32" s="425"/>
      <c r="H32" s="426"/>
      <c r="O32" s="19"/>
      <c r="P32" s="19"/>
      <c r="Q32"/>
    </row>
    <row r="33" spans="1:17" ht="14" thickTop="1" thickBot="1" x14ac:dyDescent="0.25">
      <c r="B33" s="381" t="s">
        <v>55</v>
      </c>
      <c r="C33" s="382"/>
      <c r="D33" s="383"/>
      <c r="E33" s="13"/>
      <c r="F33" s="398"/>
      <c r="G33" s="399"/>
      <c r="H33" s="400"/>
      <c r="O33" s="19"/>
      <c r="P33" s="19"/>
      <c r="Q33"/>
    </row>
    <row r="34" spans="1:17" ht="14" thickTop="1" thickBot="1" x14ac:dyDescent="0.25">
      <c r="B34" s="381" t="s">
        <v>56</v>
      </c>
      <c r="C34" s="382"/>
      <c r="D34" s="383"/>
      <c r="E34" s="13"/>
      <c r="F34" s="398" t="s">
        <v>57</v>
      </c>
      <c r="G34" s="399"/>
      <c r="H34" s="400"/>
      <c r="O34" s="19"/>
      <c r="P34" s="19"/>
      <c r="Q34"/>
    </row>
    <row r="35" spans="1:17" ht="14" thickTop="1" thickBot="1" x14ac:dyDescent="0.25">
      <c r="B35" s="374" t="s">
        <v>58</v>
      </c>
      <c r="C35" s="374"/>
      <c r="D35" s="63" t="s">
        <v>49</v>
      </c>
      <c r="E35" s="13"/>
      <c r="F35" s="401" t="s">
        <v>59</v>
      </c>
      <c r="G35" s="402"/>
      <c r="H35" s="410"/>
      <c r="O35" s="19"/>
      <c r="P35" s="19"/>
      <c r="Q35"/>
    </row>
    <row r="36" spans="1:17" ht="14" thickTop="1" thickBot="1" x14ac:dyDescent="0.25">
      <c r="B36" s="401" t="s">
        <v>60</v>
      </c>
      <c r="C36" s="402"/>
      <c r="D36" s="403"/>
      <c r="E36" s="14"/>
      <c r="F36" s="473"/>
      <c r="G36" s="474"/>
      <c r="H36" s="475"/>
      <c r="O36" s="19"/>
      <c r="P36" s="19"/>
      <c r="Q36"/>
    </row>
    <row r="37" spans="1:17" ht="84" thickTop="1" thickBot="1" x14ac:dyDescent="0.25">
      <c r="B37" s="375" t="s">
        <v>61</v>
      </c>
      <c r="C37" s="406" t="s">
        <v>62</v>
      </c>
      <c r="D37" s="61" t="s">
        <v>63</v>
      </c>
      <c r="E37" s="405"/>
      <c r="F37" s="405"/>
      <c r="G37" s="405"/>
      <c r="H37" s="405"/>
      <c r="I37" s="405"/>
      <c r="J37" s="405"/>
      <c r="K37" s="405"/>
      <c r="L37" s="405"/>
      <c r="M37" s="405"/>
      <c r="N37" s="405"/>
      <c r="Q37"/>
    </row>
    <row r="38" spans="1:17" ht="27" thickTop="1" thickBot="1" x14ac:dyDescent="0.25">
      <c r="B38" s="375"/>
      <c r="C38" s="407"/>
      <c r="D38" s="64" t="s">
        <v>64</v>
      </c>
      <c r="E38" s="15"/>
      <c r="F38" s="15"/>
      <c r="G38" s="15"/>
      <c r="H38" s="15"/>
      <c r="I38" s="15"/>
      <c r="J38" s="15"/>
      <c r="K38" s="15"/>
      <c r="L38" s="15"/>
      <c r="M38" s="15"/>
      <c r="N38" s="15"/>
      <c r="Q38"/>
    </row>
    <row r="39" spans="1:17" ht="27" thickTop="1" thickBot="1" x14ac:dyDescent="0.25">
      <c r="B39" s="375"/>
      <c r="C39" s="408"/>
      <c r="D39" s="64" t="s">
        <v>65</v>
      </c>
      <c r="E39" s="15"/>
      <c r="F39" s="15"/>
      <c r="G39" s="15"/>
      <c r="H39" s="15"/>
      <c r="I39" s="15"/>
      <c r="J39" s="15"/>
      <c r="K39" s="15"/>
      <c r="L39" s="15"/>
      <c r="M39" s="15"/>
      <c r="N39" s="15"/>
      <c r="Q39"/>
    </row>
    <row r="40" spans="1:17" ht="84" thickTop="1" thickBot="1" x14ac:dyDescent="0.25">
      <c r="B40" s="375"/>
      <c r="C40" s="406" t="s">
        <v>66</v>
      </c>
      <c r="D40" s="61" t="s">
        <v>63</v>
      </c>
      <c r="E40" s="405"/>
      <c r="F40" s="405"/>
      <c r="G40" s="405"/>
      <c r="H40" s="405"/>
      <c r="I40" s="405"/>
      <c r="J40" s="405"/>
      <c r="K40" s="405"/>
      <c r="L40" s="405"/>
      <c r="M40" s="405"/>
      <c r="N40" s="405"/>
      <c r="Q40"/>
    </row>
    <row r="41" spans="1:17" ht="26.15" customHeight="1" thickTop="1" thickBot="1" x14ac:dyDescent="0.25">
      <c r="B41" s="375"/>
      <c r="C41" s="407"/>
      <c r="D41" s="64" t="s">
        <v>64</v>
      </c>
      <c r="E41" s="15"/>
      <c r="F41" s="15"/>
      <c r="G41" s="15"/>
      <c r="H41" s="15"/>
      <c r="I41" s="15"/>
      <c r="J41" s="15"/>
      <c r="K41" s="15"/>
      <c r="L41" s="15"/>
      <c r="M41" s="15"/>
      <c r="N41" s="15"/>
    </row>
    <row r="42" spans="1:17" ht="27" thickTop="1" thickBot="1" x14ac:dyDescent="0.25">
      <c r="B42" s="375"/>
      <c r="C42" s="408"/>
      <c r="D42" s="64" t="s">
        <v>65</v>
      </c>
      <c r="E42" s="15"/>
      <c r="F42" s="15"/>
      <c r="G42" s="15"/>
      <c r="H42" s="15"/>
      <c r="I42" s="15"/>
      <c r="J42" s="15"/>
      <c r="K42" s="15"/>
      <c r="L42" s="15"/>
      <c r="M42" s="15"/>
      <c r="N42" s="15"/>
    </row>
    <row r="43" spans="1:17" ht="13.5" thickTop="1" x14ac:dyDescent="0.2">
      <c r="B43" s="366" t="s">
        <v>149</v>
      </c>
      <c r="C43" s="71" t="s">
        <v>49</v>
      </c>
      <c r="D43" s="72" t="str">
        <f>O11</f>
        <v>-</v>
      </c>
    </row>
    <row r="44" spans="1:17" x14ac:dyDescent="0.2">
      <c r="B44" s="367"/>
      <c r="C44" s="71" t="s">
        <v>354</v>
      </c>
      <c r="D44" s="72" t="str">
        <f>O17</f>
        <v>-</v>
      </c>
    </row>
    <row r="45" spans="1:17" x14ac:dyDescent="0.2">
      <c r="B45" s="10" t="s">
        <v>356</v>
      </c>
    </row>
    <row r="46" spans="1:17" x14ac:dyDescent="0.2">
      <c r="B46" s="42"/>
    </row>
    <row r="48" spans="1:17" ht="26.15" customHeight="1" thickBot="1" x14ac:dyDescent="0.25">
      <c r="A48" s="39" t="s">
        <v>67</v>
      </c>
      <c r="B48" s="40"/>
      <c r="C48" s="57" t="s">
        <v>46</v>
      </c>
      <c r="D48" s="10" t="s">
        <v>26</v>
      </c>
      <c r="E48" s="10" t="s">
        <v>27</v>
      </c>
      <c r="F48" s="57" t="s">
        <v>47</v>
      </c>
      <c r="G48" s="10" t="s">
        <v>37</v>
      </c>
      <c r="H48" s="10" t="s">
        <v>38</v>
      </c>
    </row>
    <row r="49" spans="2:17" ht="14" thickTop="1" thickBot="1" x14ac:dyDescent="0.25">
      <c r="B49" s="401" t="s">
        <v>32</v>
      </c>
      <c r="C49" s="402"/>
      <c r="D49" s="403"/>
      <c r="E49" s="13"/>
      <c r="F49" s="476"/>
      <c r="G49" s="476"/>
      <c r="H49" s="476"/>
      <c r="O49" s="19"/>
      <c r="P49" s="19"/>
      <c r="Q49"/>
    </row>
    <row r="50" spans="2:17" ht="29.15" customHeight="1" thickTop="1" thickBot="1" x14ac:dyDescent="0.25">
      <c r="B50" s="374" t="s">
        <v>48</v>
      </c>
      <c r="C50" s="374"/>
      <c r="D50" s="63" t="s">
        <v>49</v>
      </c>
      <c r="E50" s="13"/>
      <c r="F50" s="373" t="s">
        <v>50</v>
      </c>
      <c r="G50" s="436"/>
      <c r="H50" s="437"/>
      <c r="O50" s="19"/>
      <c r="P50" s="19"/>
      <c r="Q50"/>
    </row>
    <row r="51" spans="2:17" ht="14" thickTop="1" thickBot="1" x14ac:dyDescent="0.25">
      <c r="B51" s="374"/>
      <c r="C51" s="374"/>
      <c r="D51" s="63" t="s">
        <v>51</v>
      </c>
      <c r="E51" s="13"/>
      <c r="F51" s="432" t="s">
        <v>52</v>
      </c>
      <c r="G51" s="433"/>
      <c r="H51" s="434"/>
      <c r="O51" s="19"/>
      <c r="P51" s="19"/>
      <c r="Q51"/>
    </row>
    <row r="52" spans="2:17" ht="23.15" customHeight="1" thickTop="1" thickBot="1" x14ac:dyDescent="0.25">
      <c r="B52" s="388" t="s">
        <v>68</v>
      </c>
      <c r="C52" s="394"/>
      <c r="D52" s="394"/>
      <c r="E52" s="397"/>
      <c r="F52" s="404" t="s">
        <v>54</v>
      </c>
      <c r="G52" s="404"/>
      <c r="H52" s="404"/>
      <c r="O52" s="19"/>
      <c r="P52" s="19"/>
      <c r="Q52"/>
    </row>
    <row r="53" spans="2:17" ht="20.5" customHeight="1" thickTop="1" thickBot="1" x14ac:dyDescent="0.25">
      <c r="B53" s="395"/>
      <c r="C53" s="396"/>
      <c r="D53" s="396"/>
      <c r="E53" s="397"/>
      <c r="F53" s="404"/>
      <c r="G53" s="404"/>
      <c r="H53" s="404"/>
      <c r="O53" s="19"/>
      <c r="P53" s="19"/>
      <c r="Q53"/>
    </row>
    <row r="54" spans="2:17" ht="14" thickTop="1" thickBot="1" x14ac:dyDescent="0.25">
      <c r="B54" s="381" t="s">
        <v>56</v>
      </c>
      <c r="C54" s="382"/>
      <c r="D54" s="383"/>
      <c r="E54" s="13"/>
      <c r="F54" s="477" t="s">
        <v>57</v>
      </c>
      <c r="G54" s="478"/>
      <c r="H54" s="479"/>
      <c r="O54" s="19"/>
      <c r="P54" s="19"/>
      <c r="Q54"/>
    </row>
    <row r="55" spans="2:17" ht="14" thickTop="1" thickBot="1" x14ac:dyDescent="0.25">
      <c r="B55" s="374" t="s">
        <v>58</v>
      </c>
      <c r="C55" s="374"/>
      <c r="D55" s="63" t="s">
        <v>49</v>
      </c>
      <c r="E55" s="13"/>
      <c r="F55" s="381" t="s">
        <v>59</v>
      </c>
      <c r="G55" s="382"/>
      <c r="H55" s="469"/>
      <c r="O55" s="19"/>
      <c r="P55" s="19"/>
      <c r="Q55"/>
    </row>
    <row r="56" spans="2:17" ht="14" thickTop="1" thickBot="1" x14ac:dyDescent="0.25">
      <c r="B56" s="401" t="s">
        <v>60</v>
      </c>
      <c r="C56" s="402"/>
      <c r="D56" s="403"/>
      <c r="E56" s="14"/>
      <c r="F56" s="470"/>
      <c r="G56" s="471"/>
      <c r="H56" s="472"/>
      <c r="O56" s="19"/>
      <c r="P56" s="19"/>
      <c r="Q56"/>
    </row>
    <row r="57" spans="2:17" ht="86.25" customHeight="1" thickTop="1" thickBot="1" x14ac:dyDescent="0.25">
      <c r="B57" s="375" t="s">
        <v>61</v>
      </c>
      <c r="C57" s="406" t="s">
        <v>62</v>
      </c>
      <c r="D57" s="61" t="s">
        <v>63</v>
      </c>
      <c r="E57" s="405"/>
      <c r="F57" s="405"/>
      <c r="G57" s="405"/>
      <c r="H57" s="405"/>
      <c r="I57" s="405"/>
      <c r="J57" s="405"/>
      <c r="K57" s="405"/>
      <c r="L57" s="405"/>
      <c r="M57" s="405"/>
      <c r="N57" s="405"/>
      <c r="Q57"/>
    </row>
    <row r="58" spans="2:17" ht="26.15" customHeight="1" thickTop="1" thickBot="1" x14ac:dyDescent="0.25">
      <c r="B58" s="375"/>
      <c r="C58" s="407"/>
      <c r="D58" s="64" t="s">
        <v>64</v>
      </c>
      <c r="E58" s="15"/>
      <c r="F58" s="15"/>
      <c r="G58" s="15"/>
      <c r="H58" s="15"/>
      <c r="I58" s="15"/>
      <c r="J58" s="15"/>
      <c r="K58" s="15"/>
      <c r="L58" s="15"/>
      <c r="M58" s="15"/>
      <c r="N58" s="15"/>
      <c r="Q58"/>
    </row>
    <row r="59" spans="2:17" ht="27" thickTop="1" thickBot="1" x14ac:dyDescent="0.25">
      <c r="B59" s="375"/>
      <c r="C59" s="408"/>
      <c r="D59" s="64" t="s">
        <v>65</v>
      </c>
      <c r="E59" s="15"/>
      <c r="F59" s="15"/>
      <c r="G59" s="15"/>
      <c r="H59" s="15"/>
      <c r="I59" s="15"/>
      <c r="J59" s="15"/>
      <c r="K59" s="15"/>
      <c r="L59" s="15"/>
      <c r="M59" s="15"/>
      <c r="N59" s="15"/>
      <c r="Q59"/>
    </row>
    <row r="60" spans="2:17" ht="92.25" customHeight="1" thickTop="1" thickBot="1" x14ac:dyDescent="0.25">
      <c r="B60" s="375"/>
      <c r="C60" s="406" t="s">
        <v>66</v>
      </c>
      <c r="D60" s="61" t="s">
        <v>63</v>
      </c>
      <c r="E60" s="405"/>
      <c r="F60" s="405"/>
      <c r="G60" s="405"/>
      <c r="H60" s="405"/>
      <c r="I60" s="405"/>
      <c r="J60" s="405"/>
      <c r="K60" s="405"/>
      <c r="L60" s="405"/>
      <c r="M60" s="405"/>
      <c r="N60" s="405"/>
      <c r="Q60"/>
    </row>
    <row r="61" spans="2:17" ht="26.15" customHeight="1" thickTop="1" thickBot="1" x14ac:dyDescent="0.25">
      <c r="B61" s="375"/>
      <c r="C61" s="407"/>
      <c r="D61" s="64" t="s">
        <v>64</v>
      </c>
      <c r="E61" s="15"/>
      <c r="F61" s="15"/>
      <c r="G61" s="15"/>
      <c r="H61" s="15"/>
      <c r="I61" s="15"/>
      <c r="J61" s="15"/>
      <c r="K61" s="15"/>
      <c r="L61" s="15"/>
      <c r="M61" s="15"/>
      <c r="N61" s="15"/>
    </row>
    <row r="62" spans="2:17" ht="27" thickTop="1" thickBot="1" x14ac:dyDescent="0.25">
      <c r="B62" s="375"/>
      <c r="C62" s="408"/>
      <c r="D62" s="64" t="s">
        <v>65</v>
      </c>
      <c r="E62" s="15"/>
      <c r="F62" s="15"/>
      <c r="G62" s="15"/>
      <c r="H62" s="15"/>
      <c r="I62" s="15"/>
      <c r="J62" s="15"/>
      <c r="K62" s="15"/>
      <c r="L62" s="15"/>
      <c r="M62" s="15"/>
      <c r="N62" s="15"/>
    </row>
    <row r="63" spans="2:17" ht="13.5" thickTop="1" x14ac:dyDescent="0.2">
      <c r="B63" s="366" t="s">
        <v>149</v>
      </c>
      <c r="C63" s="71" t="s">
        <v>49</v>
      </c>
      <c r="D63" s="72" t="str">
        <f>O12</f>
        <v>-</v>
      </c>
    </row>
    <row r="64" spans="2:17" x14ac:dyDescent="0.2">
      <c r="B64" s="367"/>
      <c r="C64" s="71" t="s">
        <v>354</v>
      </c>
      <c r="D64" s="72" t="str">
        <f>O18</f>
        <v>-</v>
      </c>
    </row>
    <row r="65" spans="1:11" x14ac:dyDescent="0.2">
      <c r="B65" s="10" t="s">
        <v>356</v>
      </c>
    </row>
    <row r="66" spans="1:11" x14ac:dyDescent="0.2">
      <c r="B66" s="42"/>
    </row>
    <row r="68" spans="1:11" ht="14.5" thickBot="1" x14ac:dyDescent="0.25">
      <c r="A68" s="39" t="s">
        <v>69</v>
      </c>
      <c r="B68" s="40"/>
      <c r="C68" s="41" t="s">
        <v>31</v>
      </c>
      <c r="D68" s="10" t="s">
        <v>15</v>
      </c>
    </row>
    <row r="69" spans="1:11" ht="14" thickTop="1" thickBot="1" x14ac:dyDescent="0.25">
      <c r="B69" s="368" t="s">
        <v>70</v>
      </c>
      <c r="C69" s="368"/>
      <c r="D69" s="368"/>
      <c r="E69" s="368"/>
      <c r="F69" s="368"/>
      <c r="G69" s="369"/>
      <c r="H69" s="1"/>
      <c r="I69" s="409"/>
      <c r="J69" s="402"/>
      <c r="K69" s="410"/>
    </row>
    <row r="70" spans="1:11" ht="14" thickTop="1" thickBot="1" x14ac:dyDescent="0.25">
      <c r="B70" s="370" t="s">
        <v>71</v>
      </c>
      <c r="C70" s="375" t="s">
        <v>72</v>
      </c>
      <c r="D70" s="375"/>
      <c r="E70" s="375"/>
      <c r="F70" s="375"/>
      <c r="G70" s="29" t="s">
        <v>73</v>
      </c>
      <c r="H70" s="16"/>
      <c r="I70" s="409"/>
      <c r="J70" s="402"/>
      <c r="K70" s="410"/>
    </row>
    <row r="71" spans="1:11" ht="14" thickTop="1" thickBot="1" x14ac:dyDescent="0.25">
      <c r="B71" s="370"/>
      <c r="C71" s="375" t="s">
        <v>74</v>
      </c>
      <c r="D71" s="375"/>
      <c r="E71" s="375"/>
      <c r="F71" s="375"/>
      <c r="G71" s="29" t="s">
        <v>73</v>
      </c>
      <c r="H71" s="16"/>
      <c r="I71" s="409"/>
      <c r="J71" s="402"/>
      <c r="K71" s="410"/>
    </row>
    <row r="72" spans="1:11" ht="14" thickTop="1" thickBot="1" x14ac:dyDescent="0.25">
      <c r="B72" s="73" t="s">
        <v>75</v>
      </c>
      <c r="C72" s="441" t="s">
        <v>76</v>
      </c>
      <c r="D72" s="441"/>
      <c r="E72" s="441"/>
      <c r="F72" s="441"/>
      <c r="G72" s="58" t="s">
        <v>77</v>
      </c>
      <c r="H72" s="1"/>
      <c r="I72" s="409"/>
      <c r="J72" s="402"/>
      <c r="K72" s="410"/>
    </row>
    <row r="73" spans="1:11" ht="14" thickTop="1" thickBot="1" x14ac:dyDescent="0.25">
      <c r="B73" s="370" t="s">
        <v>78</v>
      </c>
      <c r="C73" s="370"/>
      <c r="D73" s="370"/>
      <c r="E73" s="370"/>
      <c r="F73" s="370"/>
      <c r="G73" s="373"/>
      <c r="H73" s="1"/>
      <c r="I73" s="409" t="s">
        <v>79</v>
      </c>
      <c r="J73" s="402"/>
      <c r="K73" s="410"/>
    </row>
    <row r="74" spans="1:11" ht="13.5" thickTop="1" x14ac:dyDescent="0.2">
      <c r="B74" s="364" t="s">
        <v>149</v>
      </c>
      <c r="C74" s="363" t="s">
        <v>9</v>
      </c>
      <c r="D74" s="76"/>
      <c r="E74" s="72" t="str">
        <f>O7</f>
        <v>-</v>
      </c>
      <c r="F74" s="77"/>
      <c r="G74" s="77"/>
      <c r="H74" s="78"/>
      <c r="I74" s="79"/>
      <c r="J74" s="79"/>
      <c r="K74" s="79"/>
    </row>
    <row r="75" spans="1:11" x14ac:dyDescent="0.2">
      <c r="B75" s="364"/>
      <c r="C75" s="363"/>
      <c r="D75" s="76" t="s">
        <v>17</v>
      </c>
      <c r="E75" s="72" t="str">
        <f t="shared" ref="E75:E77" si="0">O8</f>
        <v>-</v>
      </c>
      <c r="F75" s="77"/>
      <c r="G75" s="77"/>
      <c r="H75" s="78"/>
      <c r="I75" s="79"/>
      <c r="J75" s="79"/>
      <c r="K75" s="79"/>
    </row>
    <row r="76" spans="1:11" x14ac:dyDescent="0.2">
      <c r="B76" s="364"/>
      <c r="C76" s="363" t="s">
        <v>12</v>
      </c>
      <c r="D76" s="76"/>
      <c r="E76" s="72" t="str">
        <f t="shared" si="0"/>
        <v>-</v>
      </c>
      <c r="F76" s="77"/>
      <c r="G76" s="77"/>
      <c r="H76" s="78"/>
      <c r="I76" s="79"/>
      <c r="J76" s="79"/>
      <c r="K76" s="79"/>
    </row>
    <row r="77" spans="1:11" x14ac:dyDescent="0.2">
      <c r="B77" s="364"/>
      <c r="C77" s="363"/>
      <c r="D77" s="76" t="s">
        <v>17</v>
      </c>
      <c r="E77" s="72" t="str">
        <f t="shared" si="0"/>
        <v>-</v>
      </c>
      <c r="F77" s="77"/>
      <c r="G77" s="77"/>
      <c r="H77" s="78"/>
      <c r="I77" s="79"/>
      <c r="J77" s="79"/>
      <c r="K77" s="79"/>
    </row>
    <row r="78" spans="1:11" x14ac:dyDescent="0.2">
      <c r="B78" s="10" t="s">
        <v>356</v>
      </c>
      <c r="C78" s="80"/>
      <c r="D78" s="81"/>
      <c r="E78" s="82"/>
      <c r="F78" s="77"/>
      <c r="G78" s="77"/>
      <c r="H78" s="78"/>
      <c r="I78" s="79"/>
      <c r="J78" s="79"/>
      <c r="K78" s="79"/>
    </row>
    <row r="79" spans="1:11" x14ac:dyDescent="0.2">
      <c r="B79" s="42"/>
      <c r="C79" s="80"/>
      <c r="D79" s="81"/>
      <c r="E79" s="82"/>
      <c r="F79" s="77"/>
      <c r="G79" s="77"/>
      <c r="H79" s="78"/>
      <c r="I79" s="79"/>
      <c r="J79" s="79"/>
      <c r="K79" s="79"/>
    </row>
    <row r="81" spans="1:11" ht="24" x14ac:dyDescent="0.2">
      <c r="A81" s="39" t="s">
        <v>80</v>
      </c>
      <c r="B81" s="40"/>
      <c r="C81" s="57" t="s">
        <v>46</v>
      </c>
      <c r="D81" s="10" t="s">
        <v>29</v>
      </c>
      <c r="E81" s="57" t="s">
        <v>81</v>
      </c>
      <c r="F81" s="10" t="s">
        <v>40</v>
      </c>
      <c r="G81" s="42"/>
      <c r="H81" s="42"/>
    </row>
    <row r="82" spans="1:11" ht="14.15" customHeight="1" thickBot="1" x14ac:dyDescent="0.25">
      <c r="B82" s="438"/>
      <c r="C82" s="439"/>
      <c r="D82" s="440"/>
      <c r="E82" s="363" t="s">
        <v>9</v>
      </c>
      <c r="F82" s="363"/>
      <c r="G82" s="363" t="s">
        <v>12</v>
      </c>
      <c r="H82" s="363"/>
      <c r="I82" s="380"/>
      <c r="J82" s="452"/>
      <c r="K82" s="453"/>
    </row>
    <row r="83" spans="1:11" ht="14" thickTop="1" thickBot="1" x14ac:dyDescent="0.25">
      <c r="B83" s="370" t="s">
        <v>82</v>
      </c>
      <c r="C83" s="370"/>
      <c r="D83" s="373"/>
      <c r="E83" s="372"/>
      <c r="F83" s="372"/>
      <c r="G83" s="372"/>
      <c r="H83" s="372"/>
      <c r="I83" s="409"/>
      <c r="J83" s="402"/>
      <c r="K83" s="410"/>
    </row>
    <row r="84" spans="1:11" ht="41.5" customHeight="1" thickTop="1" thickBot="1" x14ac:dyDescent="0.25">
      <c r="B84" s="374" t="s">
        <v>48</v>
      </c>
      <c r="C84" s="374"/>
      <c r="D84" s="74" t="s">
        <v>49</v>
      </c>
      <c r="E84" s="376"/>
      <c r="F84" s="377"/>
      <c r="G84" s="377"/>
      <c r="H84" s="378"/>
      <c r="I84" s="435" t="s">
        <v>83</v>
      </c>
      <c r="J84" s="436"/>
      <c r="K84" s="437"/>
    </row>
    <row r="85" spans="1:11" ht="33.65" customHeight="1" thickTop="1" thickBot="1" x14ac:dyDescent="0.25">
      <c r="B85" s="370" t="s">
        <v>84</v>
      </c>
      <c r="C85" s="370"/>
      <c r="D85" s="373"/>
      <c r="E85" s="371"/>
      <c r="F85" s="371"/>
      <c r="G85" s="372"/>
      <c r="H85" s="372"/>
      <c r="I85" s="435" t="s">
        <v>85</v>
      </c>
      <c r="J85" s="436"/>
      <c r="K85" s="437"/>
    </row>
    <row r="86" spans="1:11" ht="45.65" customHeight="1" thickTop="1" thickBot="1" x14ac:dyDescent="0.25">
      <c r="B86" s="370" t="s">
        <v>86</v>
      </c>
      <c r="C86" s="370"/>
      <c r="D86" s="373"/>
      <c r="E86" s="371"/>
      <c r="F86" s="371"/>
      <c r="G86" s="371"/>
      <c r="H86" s="371"/>
      <c r="I86" s="435" t="s">
        <v>87</v>
      </c>
      <c r="J86" s="436"/>
      <c r="K86" s="437"/>
    </row>
    <row r="87" spans="1:11" ht="71.5" customHeight="1" thickTop="1" thickBot="1" x14ac:dyDescent="0.25">
      <c r="B87" s="370" t="s">
        <v>75</v>
      </c>
      <c r="C87" s="370"/>
      <c r="D87" s="373"/>
      <c r="E87" s="371"/>
      <c r="F87" s="371"/>
      <c r="G87" s="372"/>
      <c r="H87" s="372"/>
      <c r="I87" s="435" t="s">
        <v>88</v>
      </c>
      <c r="J87" s="402"/>
      <c r="K87" s="410"/>
    </row>
    <row r="88" spans="1:11" ht="47.15" customHeight="1" thickTop="1" thickBot="1" x14ac:dyDescent="0.25">
      <c r="B88" s="370" t="s">
        <v>89</v>
      </c>
      <c r="C88" s="370"/>
      <c r="D88" s="373"/>
      <c r="E88" s="371"/>
      <c r="F88" s="371"/>
      <c r="G88" s="371"/>
      <c r="H88" s="371"/>
      <c r="I88" s="435" t="s">
        <v>90</v>
      </c>
      <c r="J88" s="436"/>
      <c r="K88" s="437"/>
    </row>
    <row r="89" spans="1:11" ht="14" thickTop="1" thickBot="1" x14ac:dyDescent="0.25">
      <c r="B89" s="370" t="s">
        <v>91</v>
      </c>
      <c r="C89" s="375"/>
      <c r="D89" s="401"/>
      <c r="E89" s="371"/>
      <c r="F89" s="371"/>
      <c r="G89" s="371"/>
      <c r="H89" s="371"/>
      <c r="I89" s="445"/>
      <c r="J89" s="446"/>
      <c r="K89" s="447"/>
    </row>
    <row r="90" spans="1:11" ht="28.5" customHeight="1" thickTop="1" thickBot="1" x14ac:dyDescent="0.25">
      <c r="B90" s="375"/>
      <c r="C90" s="375"/>
      <c r="D90" s="401"/>
      <c r="E90" s="371"/>
      <c r="F90" s="371"/>
      <c r="G90" s="371"/>
      <c r="H90" s="371"/>
      <c r="I90" s="448"/>
      <c r="J90" s="449"/>
      <c r="K90" s="450"/>
    </row>
    <row r="91" spans="1:11" ht="16.5" thickTop="1" thickBot="1" x14ac:dyDescent="0.25">
      <c r="B91" s="46" t="s">
        <v>92</v>
      </c>
      <c r="C91" s="46"/>
      <c r="D91" s="58"/>
      <c r="E91" s="372"/>
      <c r="F91" s="372"/>
      <c r="G91" s="372"/>
      <c r="H91" s="372"/>
      <c r="I91" s="451"/>
      <c r="J91" s="452"/>
      <c r="K91" s="453"/>
    </row>
    <row r="92" spans="1:11" ht="14" thickTop="1" thickBot="1" x14ac:dyDescent="0.25">
      <c r="B92" s="374" t="s">
        <v>58</v>
      </c>
      <c r="C92" s="374"/>
      <c r="D92" s="74" t="s">
        <v>49</v>
      </c>
      <c r="E92" s="372"/>
      <c r="F92" s="372"/>
      <c r="G92" s="372"/>
      <c r="H92" s="372"/>
      <c r="I92" s="442" t="s">
        <v>93</v>
      </c>
      <c r="J92" s="443"/>
      <c r="K92" s="444"/>
    </row>
    <row r="93" spans="1:11" ht="14" thickTop="1" thickBot="1" x14ac:dyDescent="0.25">
      <c r="B93" s="379" t="s">
        <v>94</v>
      </c>
      <c r="C93" s="379"/>
      <c r="D93" s="380"/>
      <c r="E93" s="372"/>
      <c r="F93" s="372"/>
      <c r="G93" s="372"/>
      <c r="H93" s="372"/>
      <c r="I93" s="442" t="s">
        <v>79</v>
      </c>
      <c r="J93" s="443"/>
      <c r="K93" s="444"/>
    </row>
    <row r="94" spans="1:11" ht="13.5" thickTop="1" x14ac:dyDescent="0.2">
      <c r="B94" s="364" t="s">
        <v>149</v>
      </c>
      <c r="C94" s="363" t="s">
        <v>49</v>
      </c>
      <c r="D94" s="363" t="s">
        <v>9</v>
      </c>
      <c r="E94" s="76"/>
      <c r="F94" s="85" t="str">
        <f>O13</f>
        <v>-</v>
      </c>
    </row>
    <row r="95" spans="1:11" x14ac:dyDescent="0.2">
      <c r="B95" s="364"/>
      <c r="C95" s="363"/>
      <c r="D95" s="363"/>
      <c r="E95" s="76" t="s">
        <v>17</v>
      </c>
      <c r="F95" s="86" t="str">
        <f>O14</f>
        <v>-</v>
      </c>
    </row>
    <row r="96" spans="1:11" x14ac:dyDescent="0.2">
      <c r="B96" s="364"/>
      <c r="C96" s="363"/>
      <c r="D96" s="363" t="s">
        <v>12</v>
      </c>
      <c r="E96" s="76"/>
      <c r="F96" s="86" t="str">
        <f>O15</f>
        <v>-</v>
      </c>
    </row>
    <row r="97" spans="2:6" x14ac:dyDescent="0.2">
      <c r="B97" s="364"/>
      <c r="C97" s="363"/>
      <c r="D97" s="363"/>
      <c r="E97" s="76" t="s">
        <v>17</v>
      </c>
      <c r="F97" s="86" t="str">
        <f>O16</f>
        <v>-</v>
      </c>
    </row>
    <row r="98" spans="2:6" x14ac:dyDescent="0.2">
      <c r="B98" s="364"/>
      <c r="C98" s="365" t="s">
        <v>354</v>
      </c>
      <c r="D98" s="363" t="s">
        <v>9</v>
      </c>
      <c r="E98" s="76"/>
      <c r="F98" s="86" t="str">
        <f>O19</f>
        <v>-</v>
      </c>
    </row>
    <row r="99" spans="2:6" x14ac:dyDescent="0.2">
      <c r="B99" s="364"/>
      <c r="C99" s="365"/>
      <c r="D99" s="363"/>
      <c r="E99" s="76" t="s">
        <v>17</v>
      </c>
      <c r="F99" s="86" t="str">
        <f t="shared" ref="F99:F101" si="1">O20</f>
        <v>-</v>
      </c>
    </row>
    <row r="100" spans="2:6" x14ac:dyDescent="0.2">
      <c r="B100" s="364"/>
      <c r="C100" s="365"/>
      <c r="D100" s="363" t="s">
        <v>12</v>
      </c>
      <c r="E100" s="76"/>
      <c r="F100" s="86" t="str">
        <f t="shared" si="1"/>
        <v>-</v>
      </c>
    </row>
    <row r="101" spans="2:6" x14ac:dyDescent="0.2">
      <c r="B101" s="364"/>
      <c r="C101" s="365"/>
      <c r="D101" s="363"/>
      <c r="E101" s="76" t="s">
        <v>17</v>
      </c>
      <c r="F101" s="86" t="str">
        <f t="shared" si="1"/>
        <v>-</v>
      </c>
    </row>
    <row r="102" spans="2:6" x14ac:dyDescent="0.2">
      <c r="B102" s="10" t="s">
        <v>356</v>
      </c>
    </row>
  </sheetData>
  <sheetProtection algorithmName="SHA-512" hashValue="bxn+mgJMvxY1Ube14gWLuz5LJsNV391VQwVJlum6/PizUT/bQjQ2jw9OS4o9w2Q+MqjDz9yfTYWmRLSpmvQjOw==" saltValue="tUCQWEuSNBFb1lX+7zZdlg==" spinCount="100000" sheet="1" objects="1" scenarios="1" selectLockedCells="1"/>
  <mergeCells count="145">
    <mergeCell ref="B2:C3"/>
    <mergeCell ref="C57:C59"/>
    <mergeCell ref="C60:C62"/>
    <mergeCell ref="E60:N60"/>
    <mergeCell ref="Q3:R4"/>
    <mergeCell ref="S3:S4"/>
    <mergeCell ref="K3:P4"/>
    <mergeCell ref="S11:S12"/>
    <mergeCell ref="S17:S18"/>
    <mergeCell ref="F55:H55"/>
    <mergeCell ref="B56:D56"/>
    <mergeCell ref="F56:H56"/>
    <mergeCell ref="B37:B42"/>
    <mergeCell ref="M13:M14"/>
    <mergeCell ref="M15:M16"/>
    <mergeCell ref="B28:D28"/>
    <mergeCell ref="F29:H29"/>
    <mergeCell ref="F50:H50"/>
    <mergeCell ref="F36:H36"/>
    <mergeCell ref="B49:D49"/>
    <mergeCell ref="F49:H49"/>
    <mergeCell ref="F51:H51"/>
    <mergeCell ref="F35:H35"/>
    <mergeCell ref="F54:H54"/>
    <mergeCell ref="I70:K70"/>
    <mergeCell ref="I71:K71"/>
    <mergeCell ref="I72:K72"/>
    <mergeCell ref="I86:K86"/>
    <mergeCell ref="I88:K88"/>
    <mergeCell ref="Q5:R6"/>
    <mergeCell ref="Q7:R10"/>
    <mergeCell ref="Q13:R16"/>
    <mergeCell ref="Q19:R22"/>
    <mergeCell ref="I82:K82"/>
    <mergeCell ref="I83:K83"/>
    <mergeCell ref="M5:N5"/>
    <mergeCell ref="M6:N6"/>
    <mergeCell ref="M11:N11"/>
    <mergeCell ref="M12:N12"/>
    <mergeCell ref="K5:K10"/>
    <mergeCell ref="L5:L6"/>
    <mergeCell ref="L7:L10"/>
    <mergeCell ref="M7:M8"/>
    <mergeCell ref="M9:M10"/>
    <mergeCell ref="L11:L12"/>
    <mergeCell ref="K11:K16"/>
    <mergeCell ref="L13:L16"/>
    <mergeCell ref="E57:N57"/>
    <mergeCell ref="I93:K93"/>
    <mergeCell ref="B93:D93"/>
    <mergeCell ref="E93:H93"/>
    <mergeCell ref="B88:D88"/>
    <mergeCell ref="E88:H88"/>
    <mergeCell ref="B86:D86"/>
    <mergeCell ref="E86:H86"/>
    <mergeCell ref="I87:K87"/>
    <mergeCell ref="I85:K85"/>
    <mergeCell ref="I89:K90"/>
    <mergeCell ref="I91:K91"/>
    <mergeCell ref="I92:K92"/>
    <mergeCell ref="B92:C92"/>
    <mergeCell ref="E92:H92"/>
    <mergeCell ref="I84:K84"/>
    <mergeCell ref="C71:F71"/>
    <mergeCell ref="B87:D87"/>
    <mergeCell ref="B89:D90"/>
    <mergeCell ref="E87:F87"/>
    <mergeCell ref="G87:H87"/>
    <mergeCell ref="E91:H91"/>
    <mergeCell ref="B73:G73"/>
    <mergeCell ref="B82:D82"/>
    <mergeCell ref="C72:F72"/>
    <mergeCell ref="I73:K73"/>
    <mergeCell ref="I69:K69"/>
    <mergeCell ref="B83:D83"/>
    <mergeCell ref="E83:H83"/>
    <mergeCell ref="B57:B62"/>
    <mergeCell ref="B54:D54"/>
    <mergeCell ref="F28:H28"/>
    <mergeCell ref="K17:K22"/>
    <mergeCell ref="L17:L18"/>
    <mergeCell ref="M17:N17"/>
    <mergeCell ref="M18:N18"/>
    <mergeCell ref="B55:C55"/>
    <mergeCell ref="F31:H32"/>
    <mergeCell ref="E31:E32"/>
    <mergeCell ref="L19:L22"/>
    <mergeCell ref="C20:F20"/>
    <mergeCell ref="C21:F21"/>
    <mergeCell ref="F30:H30"/>
    <mergeCell ref="B20:B21"/>
    <mergeCell ref="B35:C35"/>
    <mergeCell ref="B34:D34"/>
    <mergeCell ref="F33:H33"/>
    <mergeCell ref="B50:C51"/>
    <mergeCell ref="M19:M20"/>
    <mergeCell ref="M21:M22"/>
    <mergeCell ref="B52:D53"/>
    <mergeCell ref="E52:E53"/>
    <mergeCell ref="F34:H34"/>
    <mergeCell ref="B36:D36"/>
    <mergeCell ref="F52:H53"/>
    <mergeCell ref="E40:N40"/>
    <mergeCell ref="E37:N37"/>
    <mergeCell ref="C37:C39"/>
    <mergeCell ref="C40:C42"/>
    <mergeCell ref="B43:B44"/>
    <mergeCell ref="B17:G17"/>
    <mergeCell ref="B18:G18"/>
    <mergeCell ref="B19:G19"/>
    <mergeCell ref="B33:D33"/>
    <mergeCell ref="B29:C30"/>
    <mergeCell ref="C6:F6"/>
    <mergeCell ref="B7:E7"/>
    <mergeCell ref="B8:E8"/>
    <mergeCell ref="B9:E9"/>
    <mergeCell ref="B10:E10"/>
    <mergeCell ref="B13:E13"/>
    <mergeCell ref="B11:E11"/>
    <mergeCell ref="B12:E12"/>
    <mergeCell ref="B31:D32"/>
    <mergeCell ref="B22:B23"/>
    <mergeCell ref="D98:D99"/>
    <mergeCell ref="D100:D101"/>
    <mergeCell ref="B94:B101"/>
    <mergeCell ref="C94:C97"/>
    <mergeCell ref="C98:C101"/>
    <mergeCell ref="B63:B64"/>
    <mergeCell ref="C74:C75"/>
    <mergeCell ref="C76:C77"/>
    <mergeCell ref="B74:B77"/>
    <mergeCell ref="D94:D95"/>
    <mergeCell ref="D96:D97"/>
    <mergeCell ref="B69:G69"/>
    <mergeCell ref="B70:B71"/>
    <mergeCell ref="E85:F85"/>
    <mergeCell ref="G85:H85"/>
    <mergeCell ref="E89:F90"/>
    <mergeCell ref="G89:H90"/>
    <mergeCell ref="B85:D85"/>
    <mergeCell ref="B84:C84"/>
    <mergeCell ref="E82:F82"/>
    <mergeCell ref="G82:H82"/>
    <mergeCell ref="C70:F70"/>
    <mergeCell ref="E84:H84"/>
  </mergeCells>
  <phoneticPr fontId="3"/>
  <conditionalFormatting sqref="D22:D23">
    <cfRule type="expression" dxfId="1364" priority="80" stopIfTrue="1">
      <formula>AND(ISNUMBER(D22),MAX($C22:$C22)=D22,$G$18=8)</formula>
    </cfRule>
    <cfRule type="expression" dxfId="1363" priority="79" stopIfTrue="1">
      <formula>AND(ISNUMBER(D22),MAX($C22:$C22)=D22,$G$18=7)</formula>
    </cfRule>
    <cfRule type="expression" dxfId="1362" priority="78" stopIfTrue="1">
      <formula>AND(ISNUMBER(D22),MAX($C22:$C22)=D22,$G$18=6)</formula>
    </cfRule>
    <cfRule type="expression" dxfId="1361" priority="77" stopIfTrue="1">
      <formula>AND(ISNUMBER(D22),MAX($C22:$C22)=D22,$G$18=5)</formula>
    </cfRule>
    <cfRule type="expression" dxfId="1360" priority="76" stopIfTrue="1">
      <formula>AND(ISNUMBER(D22),MAX($C22:$C22)=D22,$G$18=4)</formula>
    </cfRule>
    <cfRule type="expression" dxfId="1359" priority="75" stopIfTrue="1">
      <formula>AND(ISNUMBER(D22),MAX($C22:$C22)=D22,$G$18=3)</formula>
    </cfRule>
    <cfRule type="expression" dxfId="1358" priority="74" stopIfTrue="1">
      <formula>AND(ISNUMBER(D22),MAX($C22:$C22)=D22,$G$18=2)</formula>
    </cfRule>
    <cfRule type="expression" dxfId="1357" priority="63" stopIfTrue="1">
      <formula>$G$18=7</formula>
    </cfRule>
    <cfRule type="expression" dxfId="1356" priority="72" stopIfTrue="1">
      <formula>AND(ISNUMBER(D22),MAX($C22:$C22)=D22,$G$18=0)</formula>
    </cfRule>
    <cfRule type="expression" dxfId="1355" priority="71" stopIfTrue="1">
      <formula>AND(ISNUMBER(D22),MAX($C22:$C22)=D22,$G$18="")</formula>
    </cfRule>
    <cfRule type="expression" dxfId="1354" priority="70" stopIfTrue="1">
      <formula>$G$18=0</formula>
    </cfRule>
    <cfRule type="expression" dxfId="1353" priority="69" stopIfTrue="1">
      <formula>$G$18=1</formula>
    </cfRule>
    <cfRule type="expression" dxfId="1352" priority="68" stopIfTrue="1">
      <formula>$G$18=2</formula>
    </cfRule>
    <cfRule type="expression" dxfId="1351" priority="67" stopIfTrue="1">
      <formula>$G$18=3</formula>
    </cfRule>
    <cfRule type="expression" dxfId="1350" priority="62" stopIfTrue="1">
      <formula>$G$18=8</formula>
    </cfRule>
    <cfRule type="expression" dxfId="1349" priority="66" stopIfTrue="1">
      <formula>$G$18=4</formula>
    </cfRule>
    <cfRule type="expression" dxfId="1348" priority="65" stopIfTrue="1">
      <formula>$G$18=5</formula>
    </cfRule>
    <cfRule type="expression" dxfId="1347" priority="64" stopIfTrue="1">
      <formula>$G$18=6</formula>
    </cfRule>
    <cfRule type="expression" dxfId="1346" priority="73" stopIfTrue="1">
      <formula>AND(ISNUMBER(D22),MAX($C22:$C22)=D22,$G$18=1)</formula>
    </cfRule>
    <cfRule type="expression" dxfId="1345" priority="61" stopIfTrue="1">
      <formula>$G$18=""</formula>
    </cfRule>
  </conditionalFormatting>
  <conditionalFormatting sqref="D43:D44">
    <cfRule type="expression" dxfId="1344" priority="49" stopIfTrue="1">
      <formula>$G$18=1</formula>
    </cfRule>
    <cfRule type="expression" dxfId="1343" priority="41" stopIfTrue="1">
      <formula>$G$18=""</formula>
    </cfRule>
    <cfRule type="expression" dxfId="1342" priority="42" stopIfTrue="1">
      <formula>$G$18=8</formula>
    </cfRule>
    <cfRule type="expression" dxfId="1341" priority="43" stopIfTrue="1">
      <formula>$G$18=7</formula>
    </cfRule>
    <cfRule type="expression" dxfId="1340" priority="44" stopIfTrue="1">
      <formula>$G$18=6</formula>
    </cfRule>
    <cfRule type="expression" dxfId="1339" priority="59" stopIfTrue="1">
      <formula>AND(ISNUMBER(D43),MAX($C43:$C43)=D43,$G$18=7)</formula>
    </cfRule>
    <cfRule type="expression" dxfId="1338" priority="46" stopIfTrue="1">
      <formula>$G$18=4</formula>
    </cfRule>
    <cfRule type="expression" dxfId="1337" priority="47" stopIfTrue="1">
      <formula>$G$18=3</formula>
    </cfRule>
    <cfRule type="expression" dxfId="1336" priority="45" stopIfTrue="1">
      <formula>$G$18=5</formula>
    </cfRule>
    <cfRule type="expression" dxfId="1335" priority="48" stopIfTrue="1">
      <formula>$G$18=2</formula>
    </cfRule>
    <cfRule type="expression" dxfId="1334" priority="60" stopIfTrue="1">
      <formula>AND(ISNUMBER(D43),MAX($C43:$C43)=D43,$G$18=8)</formula>
    </cfRule>
    <cfRule type="expression" dxfId="1333" priority="50" stopIfTrue="1">
      <formula>$G$18=0</formula>
    </cfRule>
    <cfRule type="expression" dxfId="1332" priority="51" stopIfTrue="1">
      <formula>AND(ISNUMBER(D43),MAX($C43:$C43)=D43,$G$18="")</formula>
    </cfRule>
    <cfRule type="expression" dxfId="1331" priority="52" stopIfTrue="1">
      <formula>AND(ISNUMBER(D43),MAX($C43:$C43)=D43,$G$18=0)</formula>
    </cfRule>
    <cfRule type="expression" dxfId="1330" priority="53" stopIfTrue="1">
      <formula>AND(ISNUMBER(D43),MAX($C43:$C43)=D43,$G$18=1)</formula>
    </cfRule>
    <cfRule type="expression" dxfId="1329" priority="54" stopIfTrue="1">
      <formula>AND(ISNUMBER(D43),MAX($C43:$C43)=D43,$G$18=2)</formula>
    </cfRule>
    <cfRule type="expression" dxfId="1328" priority="55" stopIfTrue="1">
      <formula>AND(ISNUMBER(D43),MAX($C43:$C43)=D43,$G$18=3)</formula>
    </cfRule>
    <cfRule type="expression" dxfId="1327" priority="56" stopIfTrue="1">
      <formula>AND(ISNUMBER(D43),MAX($C43:$C43)=D43,$G$18=4)</formula>
    </cfRule>
    <cfRule type="expression" dxfId="1326" priority="57" stopIfTrue="1">
      <formula>AND(ISNUMBER(D43),MAX($C43:$C43)=D43,$G$18=5)</formula>
    </cfRule>
    <cfRule type="expression" dxfId="1325" priority="58" stopIfTrue="1">
      <formula>AND(ISNUMBER(D43),MAX($C43:$C43)=D43,$G$18=6)</formula>
    </cfRule>
  </conditionalFormatting>
  <conditionalFormatting sqref="D63:D64">
    <cfRule type="expression" dxfId="1324" priority="22" stopIfTrue="1">
      <formula>$G$18=8</formula>
    </cfRule>
    <cfRule type="expression" dxfId="1323" priority="23" stopIfTrue="1">
      <formula>$G$18=7</formula>
    </cfRule>
    <cfRule type="expression" dxfId="1322" priority="24" stopIfTrue="1">
      <formula>$G$18=6</formula>
    </cfRule>
    <cfRule type="expression" dxfId="1321" priority="25" stopIfTrue="1">
      <formula>$G$18=5</formula>
    </cfRule>
    <cfRule type="expression" dxfId="1320" priority="26" stopIfTrue="1">
      <formula>$G$18=4</formula>
    </cfRule>
    <cfRule type="expression" dxfId="1319" priority="27" stopIfTrue="1">
      <formula>$G$18=3</formula>
    </cfRule>
    <cfRule type="expression" dxfId="1318" priority="28" stopIfTrue="1">
      <formula>$G$18=2</formula>
    </cfRule>
    <cfRule type="expression" dxfId="1317" priority="30" stopIfTrue="1">
      <formula>$G$18=0</formula>
    </cfRule>
    <cfRule type="expression" dxfId="1316" priority="31" stopIfTrue="1">
      <formula>AND(ISNUMBER(D63),MAX($C63:$C63)=D63,$G$18="")</formula>
    </cfRule>
    <cfRule type="expression" dxfId="1315" priority="32" stopIfTrue="1">
      <formula>AND(ISNUMBER(D63),MAX($C63:$C63)=D63,$G$18=0)</formula>
    </cfRule>
    <cfRule type="expression" dxfId="1314" priority="33" stopIfTrue="1">
      <formula>AND(ISNUMBER(D63),MAX($C63:$C63)=D63,$G$18=1)</formula>
    </cfRule>
    <cfRule type="expression" dxfId="1313" priority="34" stopIfTrue="1">
      <formula>AND(ISNUMBER(D63),MAX($C63:$C63)=D63,$G$18=2)</formula>
    </cfRule>
    <cfRule type="expression" dxfId="1312" priority="35" stopIfTrue="1">
      <formula>AND(ISNUMBER(D63),MAX($C63:$C63)=D63,$G$18=3)</formula>
    </cfRule>
    <cfRule type="expression" dxfId="1311" priority="36" stopIfTrue="1">
      <formula>AND(ISNUMBER(D63),MAX($C63:$C63)=D63,$G$18=4)</formula>
    </cfRule>
    <cfRule type="expression" dxfId="1310" priority="37" stopIfTrue="1">
      <formula>AND(ISNUMBER(D63),MAX($C63:$C63)=D63,$G$18=5)</formula>
    </cfRule>
    <cfRule type="expression" dxfId="1309" priority="38" stopIfTrue="1">
      <formula>AND(ISNUMBER(D63),MAX($C63:$C63)=D63,$G$18=6)</formula>
    </cfRule>
    <cfRule type="expression" dxfId="1308" priority="39" stopIfTrue="1">
      <formula>AND(ISNUMBER(D63),MAX($C63:$C63)=D63,$G$18=7)</formula>
    </cfRule>
    <cfRule type="expression" dxfId="1307" priority="40" stopIfTrue="1">
      <formula>AND(ISNUMBER(D63),MAX($C63:$C63)=D63,$G$18=8)</formula>
    </cfRule>
    <cfRule type="expression" dxfId="1306" priority="29" stopIfTrue="1">
      <formula>$G$18=1</formula>
    </cfRule>
    <cfRule type="expression" dxfId="1305" priority="21" stopIfTrue="1">
      <formula>$G$18=""</formula>
    </cfRule>
  </conditionalFormatting>
  <conditionalFormatting sqref="E28:E36">
    <cfRule type="expression" dxfId="1304" priority="86" stopIfTrue="1">
      <formula>AND(ISNUMBER($F$7),ISNUMBER($F$8),OR($F$7=0,$F$7=2),$F$8=1)</formula>
    </cfRule>
  </conditionalFormatting>
  <conditionalFormatting sqref="E49 E52:E54 E56">
    <cfRule type="expression" dxfId="1303" priority="85" stopIfTrue="1">
      <formula>AND(ISNUMBER($F$7),ISNUMBER($F$9),OR($F$7=0,$F$7=2),$F$9=1)</formula>
    </cfRule>
  </conditionalFormatting>
  <conditionalFormatting sqref="E50:E51">
    <cfRule type="expression" dxfId="1302" priority="83" stopIfTrue="1">
      <formula>AND(ISNUMBER($F$7),ISNUMBER($F$8),OR($F$7=0,$F$7=2),$F$8=1)</formula>
    </cfRule>
  </conditionalFormatting>
  <conditionalFormatting sqref="E55">
    <cfRule type="expression" dxfId="1301" priority="84" stopIfTrue="1">
      <formula>AND(ISNUMBER($F$7),ISNUMBER($F$8),OR($F$7=0,$F$7=2),$F$8=1)</formula>
    </cfRule>
  </conditionalFormatting>
  <conditionalFormatting sqref="E74:E79">
    <cfRule type="expression" dxfId="1300" priority="15" stopIfTrue="1">
      <formula>AND(ISNUMBER(E74),MAX($C74:$C74)=E74,$G$18=3)</formula>
    </cfRule>
    <cfRule type="expression" dxfId="1299" priority="20" stopIfTrue="1">
      <formula>AND(ISNUMBER(E74),MAX($C74:$C74)=E74,$G$18=8)</formula>
    </cfRule>
    <cfRule type="expression" dxfId="1298" priority="19" stopIfTrue="1">
      <formula>AND(ISNUMBER(E74),MAX($C74:$C74)=E74,$G$18=7)</formula>
    </cfRule>
    <cfRule type="expression" dxfId="1297" priority="18" stopIfTrue="1">
      <formula>AND(ISNUMBER(E74),MAX($C74:$C74)=E74,$G$18=6)</formula>
    </cfRule>
    <cfRule type="expression" dxfId="1296" priority="17" stopIfTrue="1">
      <formula>AND(ISNUMBER(E74),MAX($C74:$C74)=E74,$G$18=5)</formula>
    </cfRule>
    <cfRule type="expression" dxfId="1295" priority="16" stopIfTrue="1">
      <formula>AND(ISNUMBER(E74),MAX($C74:$C74)=E74,$G$18=4)</formula>
    </cfRule>
    <cfRule type="expression" dxfId="1294" priority="14" stopIfTrue="1">
      <formula>AND(ISNUMBER(E74),MAX($C74:$C74)=E74,$G$18=2)</formula>
    </cfRule>
    <cfRule type="expression" dxfId="1293" priority="13" stopIfTrue="1">
      <formula>AND(ISNUMBER(E74),MAX($C74:$C74)=E74,$G$18=1)</formula>
    </cfRule>
    <cfRule type="expression" dxfId="1292" priority="12" stopIfTrue="1">
      <formula>AND(ISNUMBER(E74),MAX($C74:$C74)=E74,$G$18=0)</formula>
    </cfRule>
    <cfRule type="expression" dxfId="1291" priority="11" stopIfTrue="1">
      <formula>AND(ISNUMBER(E74),MAX($C74:$C74)=E74,$G$18="")</formula>
    </cfRule>
    <cfRule type="expression" dxfId="1290" priority="10" stopIfTrue="1">
      <formula>$G$18=0</formula>
    </cfRule>
    <cfRule type="expression" dxfId="1289" priority="9" stopIfTrue="1">
      <formula>$G$18=1</formula>
    </cfRule>
    <cfRule type="expression" dxfId="1288" priority="8" stopIfTrue="1">
      <formula>$G$18=2</formula>
    </cfRule>
    <cfRule type="expression" dxfId="1287" priority="7" stopIfTrue="1">
      <formula>$G$18=3</formula>
    </cfRule>
    <cfRule type="expression" dxfId="1286" priority="6" stopIfTrue="1">
      <formula>$G$18=4</formula>
    </cfRule>
    <cfRule type="expression" dxfId="1285" priority="5" stopIfTrue="1">
      <formula>$G$18=5</formula>
    </cfRule>
    <cfRule type="expression" dxfId="1284" priority="4" stopIfTrue="1">
      <formula>$G$18=6</formula>
    </cfRule>
    <cfRule type="expression" dxfId="1283" priority="3" stopIfTrue="1">
      <formula>$G$18=7</formula>
    </cfRule>
    <cfRule type="expression" dxfId="1282" priority="2" stopIfTrue="1">
      <formula>$G$18=8</formula>
    </cfRule>
    <cfRule type="expression" dxfId="1281" priority="1" stopIfTrue="1">
      <formula>$G$18=""</formula>
    </cfRule>
  </conditionalFormatting>
  <conditionalFormatting sqref="E83:H85 E86 E87:H87 E88 E91:H93">
    <cfRule type="expression" dxfId="1280" priority="81" stopIfTrue="1">
      <formula>AND(ISNUMBER($F$7),ISNUMBER($F$10),OR($F$7=1,$F$7=2),$F$10=1)</formula>
    </cfRule>
  </conditionalFormatting>
  <conditionalFormatting sqref="F4">
    <cfRule type="expression" dxfId="1279" priority="606" stopIfTrue="1">
      <formula>$G$18=5</formula>
    </cfRule>
    <cfRule type="expression" dxfId="1278" priority="3269" stopIfTrue="1">
      <formula>AND(ISNUMBER(F4),MAX($C4:$C4)=F4,$G$18=5)</formula>
    </cfRule>
    <cfRule type="expression" dxfId="1277" priority="3270" stopIfTrue="1">
      <formula>AND(ISNUMBER(F4),MAX($C4:$C4)=F4,$G$18=6)</formula>
    </cfRule>
    <cfRule type="expression" dxfId="1276" priority="3264" stopIfTrue="1">
      <formula>AND(ISNUMBER(F4),MAX($C4:$C4)=F4,$G$18=0)</formula>
    </cfRule>
    <cfRule type="expression" dxfId="1275" priority="3272" stopIfTrue="1">
      <formula>AND(ISNUMBER(F4),MAX($C4:$C4)=F4,$G$18=8)</formula>
    </cfRule>
    <cfRule type="expression" dxfId="1274" priority="601" stopIfTrue="1">
      <formula>$G$18=""</formula>
    </cfRule>
    <cfRule type="expression" dxfId="1273" priority="602" stopIfTrue="1">
      <formula>$G$18=8</formula>
    </cfRule>
    <cfRule type="expression" dxfId="1272" priority="603" stopIfTrue="1">
      <formula>$G$18=7</formula>
    </cfRule>
    <cfRule type="expression" dxfId="1271" priority="605" stopIfTrue="1">
      <formula>$G$18=6</formula>
    </cfRule>
    <cfRule type="expression" dxfId="1270" priority="3271" stopIfTrue="1">
      <formula>AND(ISNUMBER(F4),MAX($C4:$C4)=F4,$G$18=7)</formula>
    </cfRule>
    <cfRule type="expression" dxfId="1269" priority="607" stopIfTrue="1">
      <formula>$G$18=4</formula>
    </cfRule>
    <cfRule type="expression" dxfId="1268" priority="608" stopIfTrue="1">
      <formula>$G$18=3</formula>
    </cfRule>
    <cfRule type="expression" dxfId="1267" priority="609" stopIfTrue="1">
      <formula>$G$18=2</formula>
    </cfRule>
    <cfRule type="expression" dxfId="1266" priority="610" stopIfTrue="1">
      <formula>$G$18=1</formula>
    </cfRule>
    <cfRule type="expression" dxfId="1265" priority="611" stopIfTrue="1">
      <formula>$G$18=0</formula>
    </cfRule>
    <cfRule type="expression" dxfId="1264" priority="3263" stopIfTrue="1">
      <formula>AND(ISNUMBER(F4),MAX($C4:$C4)=F4,$G$18="")</formula>
    </cfRule>
    <cfRule type="expression" dxfId="1263" priority="3265" stopIfTrue="1">
      <formula>AND(ISNUMBER(F4),MAX($C4:$C4)=F4,$G$18=1)</formula>
    </cfRule>
    <cfRule type="expression" dxfId="1262" priority="3266" stopIfTrue="1">
      <formula>AND(ISNUMBER(F4),MAX($C4:$C4)=F4,$G$18=2)</formula>
    </cfRule>
    <cfRule type="expression" dxfId="1261" priority="3267" stopIfTrue="1">
      <formula>AND(ISNUMBER(F4),MAX($C4:$C4)=F4,$G$18=3)</formula>
    </cfRule>
    <cfRule type="expression" dxfId="1260" priority="3268" stopIfTrue="1">
      <formula>AND(ISNUMBER(F4),MAX($C4:$C4)=F4,$G$18=4)</formula>
    </cfRule>
  </conditionalFormatting>
  <conditionalFormatting sqref="H18:H21">
    <cfRule type="expression" dxfId="1259" priority="87" stopIfTrue="1">
      <formula>AND(ISNUMBER($F$7),OR($F$7=0,$F$7=2))</formula>
    </cfRule>
  </conditionalFormatting>
  <conditionalFormatting sqref="H69:H79">
    <cfRule type="expression" dxfId="1258" priority="82" stopIfTrue="1">
      <formula>AND(ISNUMBER($F$7),OR($F$7=1,$F$7=2))</formula>
    </cfRule>
  </conditionalFormatting>
  <dataValidations count="8">
    <dataValidation type="list" allowBlank="1" showInputMessage="1" showErrorMessage="1" sqref="F7" xr:uid="{917188E6-8178-413E-942F-45B2E4D180C9}">
      <formula1>"0,1,2"</formula1>
    </dataValidation>
    <dataValidation type="list" allowBlank="1" showInputMessage="1" showErrorMessage="1" sqref="F8:F13 H19 E33" xr:uid="{00000000-0002-0000-0000-000001000000}">
      <formula1>"1,0"</formula1>
    </dataValidation>
    <dataValidation type="list" allowBlank="1" showInputMessage="1" showErrorMessage="1" sqref="H20 E31:E32" xr:uid="{00000000-0002-0000-0000-000002000000}">
      <formula1>"1,0.5,0.2"</formula1>
    </dataValidation>
    <dataValidation type="list" allowBlank="1" showInputMessage="1" showErrorMessage="1" sqref="H21 E52:E53 H71 G89:H90" xr:uid="{00000000-0002-0000-0000-000003000000}">
      <formula1>"0.3,1"</formula1>
    </dataValidation>
    <dataValidation type="list" allowBlank="1" showInputMessage="1" showErrorMessage="1" sqref="E50 E29 E84:H84" xr:uid="{00000000-0002-0000-0000-000004000000}">
      <formula1>"1,2,3"</formula1>
    </dataValidation>
    <dataValidation type="list" allowBlank="1" showInputMessage="1" showErrorMessage="1" sqref="H70 E89:F90" xr:uid="{00000000-0002-0000-0000-000005000000}">
      <formula1>"0.1,1"</formula1>
    </dataValidation>
    <dataValidation type="list" allowBlank="1" showInputMessage="1" showErrorMessage="1" sqref="H72" xr:uid="{3F6B917D-F4CD-4EDB-8EBD-F16622FAA125}">
      <formula1>"3.4,0.1,0"</formula1>
    </dataValidation>
    <dataValidation type="list" allowBlank="1" showInputMessage="1" showErrorMessage="1" sqref="H18 E30 E51" xr:uid="{00000000-0002-0000-0000-000007000000}">
      <formula1>"1,2"</formula1>
    </dataValidation>
  </dataValidations>
  <hyperlinks>
    <hyperlink ref="D16" location="No.1!A1" display="No.1" xr:uid="{00000000-0004-0000-0000-000000000000}"/>
    <hyperlink ref="D27" location="No.3!A1" display="No.3" xr:uid="{00000000-0004-0000-0000-000001000000}"/>
    <hyperlink ref="E27" location="No.4!A1" display="No.4" xr:uid="{00000000-0004-0000-0000-000002000000}"/>
    <hyperlink ref="G27" location="No.8!A1" display="No.8" xr:uid="{00000000-0004-0000-0000-000003000000}"/>
    <hyperlink ref="H27" location="No.9!A1" display="No.9" xr:uid="{00000000-0004-0000-0000-000004000000}"/>
    <hyperlink ref="D48" location="No.5!A1" display="No.5" xr:uid="{00000000-0004-0000-0000-000005000000}"/>
    <hyperlink ref="E48" location="No.6!A1" display="No.6" xr:uid="{00000000-0004-0000-0000-000006000000}"/>
    <hyperlink ref="G48" location="No.10!A1" display="No.10" xr:uid="{00000000-0004-0000-0000-000007000000}"/>
    <hyperlink ref="H48" location="No.11!A1" display="No.11" xr:uid="{00000000-0004-0000-0000-000008000000}"/>
    <hyperlink ref="D68" location="No.2!A1" display="No.2" xr:uid="{00000000-0004-0000-0000-000009000000}"/>
    <hyperlink ref="D81" location="No.7!A1" display="No.7" xr:uid="{00000000-0004-0000-0000-00000A000000}"/>
    <hyperlink ref="F81" location="No.12!A1" display="No.12" xr:uid="{00000000-0004-0000-0000-00000B000000}"/>
    <hyperlink ref="Q5:R6" location="No.1!A1" display="No.1" xr:uid="{00000000-0004-0000-0000-00000C000000}"/>
    <hyperlink ref="Q7:R10" location="No.2!A1" display="No.2" xr:uid="{00000000-0004-0000-0000-00000D000000}"/>
    <hyperlink ref="Q11" location="No.3!A1" display="No.3" xr:uid="{00000000-0004-0000-0000-00000E000000}"/>
    <hyperlink ref="R11" location="No.4!A1" display="No.4" xr:uid="{00000000-0004-0000-0000-00000F000000}"/>
    <hyperlink ref="Q12" location="No.5!A1" display="No.5" xr:uid="{00000000-0004-0000-0000-000010000000}"/>
    <hyperlink ref="R12" location="No.6!A1" display="No.6" xr:uid="{00000000-0004-0000-0000-000011000000}"/>
    <hyperlink ref="Q13:R16" location="No.7!A1" display="No.7" xr:uid="{00000000-0004-0000-0000-000012000000}"/>
    <hyperlink ref="Q17" location="No.8!A1" display="No.8" xr:uid="{00000000-0004-0000-0000-000013000000}"/>
    <hyperlink ref="R17" location="No.9!A1" display="No.9" xr:uid="{00000000-0004-0000-0000-000014000000}"/>
    <hyperlink ref="Q18" location="No.10!A1" display="No.10" xr:uid="{00000000-0004-0000-0000-000015000000}"/>
    <hyperlink ref="R18" location="No.11!A1" display="No.11" xr:uid="{00000000-0004-0000-0000-000016000000}"/>
    <hyperlink ref="Q19:R22" location="No.12!A1" display="No.12" xr:uid="{00000000-0004-0000-0000-000017000000}"/>
    <hyperlink ref="L19:L22" location="非水田_第２段階" display="非水田" xr:uid="{785E9082-2708-4D8A-A134-4DA097C8B813}"/>
    <hyperlink ref="L13:L16" location="非水田_第２段階" display="非水田" xr:uid="{7B8CA3E3-4B8C-49D0-93B0-C662B0F1CE25}"/>
    <hyperlink ref="M11:N11" location="水田_第２段階_地上防除" display="地上防除" xr:uid="{27BBF32A-C74B-4C41-AB8F-D580C4DB35D3}"/>
    <hyperlink ref="M12:N12" location="水田_第２段階_航空防除" display="航空防除" xr:uid="{EBF03914-9E78-4F54-A3FD-7946930A72AD}"/>
    <hyperlink ref="L5:L6" location="水田_第１段階" display="水田" xr:uid="{BF168EDC-887B-4363-8A1B-D6BF0C2103D0}"/>
    <hyperlink ref="L7:L10" location="非水田_第１段階" display="非水田" xr:uid="{26438E03-1A75-4CD4-BD31-6C547D2FFAEA}"/>
    <hyperlink ref="B24" location="入力及び計算結果!K3" display="結果一覧へ" xr:uid="{D7A7A207-8187-497D-8581-A365D51B44C6}"/>
    <hyperlink ref="B45" location="入力及び計算結果!K3" display="結果一覧へ" xr:uid="{8A8D63A7-E7E7-4B3E-822B-9781820C3E32}"/>
    <hyperlink ref="B65" location="入力及び計算結果!K3" display="結果一覧へ" xr:uid="{AF8DC3AD-8D04-42A5-922E-AAEEC886D7D2}"/>
    <hyperlink ref="B78" location="入力及び計算結果!K3" display="結果一覧へ" xr:uid="{2226BCBD-4DC1-48A5-9C37-2C623C8F7833}"/>
    <hyperlink ref="B102" location="入力及び計算結果!K3" display="結果一覧へ" xr:uid="{47AAC706-EDBE-42E6-8AAE-C14FD62D0CBE}"/>
    <hyperlink ref="M17:N17" location="水田_第２段階_地上防除" display="地上防除" xr:uid="{1A4EFB8A-6D39-480B-9F9E-7B7D8C2EE58E}"/>
    <hyperlink ref="M18:N18" location="水田_第２段階_航空防除" display="航空防除" xr:uid="{70455690-4798-4D6B-B28B-08D9727E8D1E}"/>
  </hyperlinks>
  <pageMargins left="0.7" right="0.7" top="0.75" bottom="0.75" header="0.3" footer="0.3"/>
  <pageSetup paperSize="8" scale="42" orientation="landscape" r:id="rId1"/>
  <extLst>
    <ext xmlns:x14="http://schemas.microsoft.com/office/spreadsheetml/2009/9/main" uri="{78C0D931-6437-407d-A8EE-F0AAD7539E65}">
      <x14:conditionalFormattings>
        <x14:conditionalFormatting xmlns:xm="http://schemas.microsoft.com/office/excel/2006/main">
          <x14:cfRule type="expression" priority="95" stopIfTrue="1" id="{E1DC93CD-A2D1-4230-B55E-E005DA5D3FE9}">
            <xm:f>No.8!$I$66=""</xm:f>
            <x14:dxf>
              <numFmt numFmtId="0" formatCode="General"/>
            </x14:dxf>
          </x14:cfRule>
          <x14:cfRule type="expression" priority="99" stopIfTrue="1" id="{E3704CD6-2E05-40CF-BE6A-A1FB5CB13DE6}">
            <xm:f>No.8!$I$66=3</xm:f>
            <x14:dxf>
              <numFmt numFmtId="178" formatCode="0.000_ "/>
            </x14:dxf>
          </x14:cfRule>
          <x14:cfRule type="expression" priority="100" stopIfTrue="1" id="{075745B3-5E26-435A-969C-A216ACA1EE6C}">
            <xm:f>No.8!$I$66=4</xm:f>
            <x14:dxf>
              <numFmt numFmtId="180" formatCode="0.0000_ "/>
            </x14:dxf>
          </x14:cfRule>
          <x14:cfRule type="expression" priority="101" stopIfTrue="1" id="{3A0B4DF3-FDAF-4E89-BD2A-F8DC89EDEA38}">
            <xm:f>No.8!$I$66=5</xm:f>
            <x14:dxf>
              <numFmt numFmtId="195" formatCode="0.00000_ "/>
            </x14:dxf>
          </x14:cfRule>
          <x14:cfRule type="expression" priority="102" stopIfTrue="1" id="{A3A00FE1-7894-4B7A-9138-3B582CAC8528}">
            <xm:f>No.8!$I$66=6</xm:f>
            <x14:dxf>
              <numFmt numFmtId="196" formatCode="0.000000_ "/>
            </x14:dxf>
          </x14:cfRule>
          <x14:cfRule type="expression" priority="103" stopIfTrue="1" id="{AF8DD43D-F074-4B71-AC05-B36562726717}">
            <xm:f>No.8!$I$66=7</xm:f>
            <x14:dxf>
              <numFmt numFmtId="197" formatCode="0.0000000_ "/>
            </x14:dxf>
          </x14:cfRule>
          <x14:cfRule type="expression" priority="104" stopIfTrue="1" id="{C0FE2235-7C6B-4209-82B0-DBFE39EB67BA}">
            <xm:f>No.8!$I$66=8</xm:f>
            <x14:dxf>
              <numFmt numFmtId="198" formatCode="0.00000000_ "/>
            </x14:dxf>
          </x14:cfRule>
          <x14:cfRule type="expression" priority="97" stopIfTrue="1" id="{4C857DED-A7AE-40D2-8C72-FE2C7BA55569}">
            <xm:f>No.8!$I$66=1</xm:f>
            <x14:dxf>
              <numFmt numFmtId="176" formatCode="0.0_ "/>
            </x14:dxf>
          </x14:cfRule>
          <x14:cfRule type="expression" priority="98" stopIfTrue="1" id="{BED19570-734F-4A2A-B4FA-54FDC013BFBC}">
            <xm:f>No.8!$I$66=2</xm:f>
            <x14:dxf>
              <numFmt numFmtId="177" formatCode="0.00_ "/>
            </x14:dxf>
          </x14:cfRule>
          <x14:cfRule type="expression" priority="96" stopIfTrue="1" id="{EF499870-0AB0-44E7-9B7B-670C864353EE}">
            <xm:f>No.8!$I$66=0</xm:f>
            <x14:dxf>
              <numFmt numFmtId="194" formatCode="0_ "/>
            </x14:dxf>
          </x14:cfRule>
          <xm:sqref>O11</xm:sqref>
        </x14:conditionalFormatting>
        <x14:conditionalFormatting xmlns:xm="http://schemas.microsoft.com/office/excel/2006/main">
          <x14:cfRule type="expression" priority="240" stopIfTrue="1" id="{615A6E89-A8AC-47D3-827C-FB2BC60A5B3C}">
            <xm:f>No.1!$G$15=0</xm:f>
            <x14:dxf>
              <numFmt numFmtId="194" formatCode="0_ "/>
            </x14:dxf>
          </x14:cfRule>
          <x14:cfRule type="expression" priority="236" stopIfTrue="1" id="{262F1297-6F67-4267-9187-D010B38FD15B}">
            <xm:f>No.1!$G$15=4</xm:f>
            <x14:dxf>
              <numFmt numFmtId="180" formatCode="0.0000_ "/>
            </x14:dxf>
          </x14:cfRule>
          <x14:cfRule type="expression" priority="230" stopIfTrue="1" id="{497499CF-0520-43FC-8BBE-181204616B38}">
            <xm:f>No.1!$G$15=""</xm:f>
            <x14:dxf>
              <numFmt numFmtId="0" formatCode="General"/>
            </x14:dxf>
          </x14:cfRule>
          <x14:cfRule type="expression" priority="231" stopIfTrue="1" id="{DFE6D001-85D2-4032-9D65-7457CF1784D3}">
            <xm:f>No.1!$G$15=8</xm:f>
            <x14:dxf>
              <numFmt numFmtId="198" formatCode="0.00000000_ "/>
            </x14:dxf>
          </x14:cfRule>
          <x14:cfRule type="expression" priority="232" stopIfTrue="1" id="{CEB1C432-EEA5-4E1C-89D8-AEE897104B72}">
            <xm:f>No.1!$G$15=7</xm:f>
            <x14:dxf>
              <numFmt numFmtId="197" formatCode="0.0000000_ "/>
            </x14:dxf>
          </x14:cfRule>
          <x14:cfRule type="expression" priority="234" stopIfTrue="1" id="{ABDC90E8-DEB3-4167-9FE3-7F3E98A452F0}">
            <xm:f>No.1!$G$15=6</xm:f>
            <x14:dxf>
              <numFmt numFmtId="196" formatCode="0.000000_ "/>
            </x14:dxf>
          </x14:cfRule>
          <x14:cfRule type="expression" priority="235" stopIfTrue="1" id="{3A105369-925C-499E-B28F-CF87C3160A13}">
            <xm:f>No.1!$G$15=5</xm:f>
            <x14:dxf>
              <numFmt numFmtId="195" formatCode="0.00000_ "/>
            </x14:dxf>
          </x14:cfRule>
          <x14:cfRule type="expression" priority="237" stopIfTrue="1" id="{8C0F46C5-C74F-41A8-A369-68A237012A10}">
            <xm:f>No.1!$G$15=3</xm:f>
            <x14:dxf>
              <numFmt numFmtId="178" formatCode="0.000_ "/>
            </x14:dxf>
          </x14:cfRule>
          <x14:cfRule type="expression" priority="238" stopIfTrue="1" id="{6DB85C07-6BD4-48F6-915B-1B2D128465C7}">
            <xm:f>No.1!$G$15=2</xm:f>
            <x14:dxf>
              <numFmt numFmtId="177" formatCode="0.00_ "/>
            </x14:dxf>
          </x14:cfRule>
          <x14:cfRule type="expression" priority="239" stopIfTrue="1" id="{173E54E6-8189-449E-85C2-723A46EC1B7C}">
            <xm:f>No.1!$G$15=1</xm:f>
            <x14:dxf>
              <numFmt numFmtId="176" formatCode="0.0_ "/>
            </x14:dxf>
          </x14:cfRule>
          <xm:sqref>O5:P6</xm:sqref>
        </x14:conditionalFormatting>
        <x14:conditionalFormatting xmlns:xm="http://schemas.microsoft.com/office/excel/2006/main">
          <x14:cfRule type="expression" priority="229" stopIfTrue="1" id="{1B5428D1-51CE-464B-B909-BDCEC9F20DFD}">
            <xm:f>No.2!$G$14=0</xm:f>
            <x14:dxf>
              <numFmt numFmtId="194" formatCode="0_ "/>
            </x14:dxf>
          </x14:cfRule>
          <x14:cfRule type="expression" priority="228" stopIfTrue="1" id="{790C9FB9-CEC2-46D6-AA99-308A451856F4}">
            <xm:f>No.2!$G$14=1</xm:f>
            <x14:dxf>
              <numFmt numFmtId="176" formatCode="0.0_ "/>
            </x14:dxf>
          </x14:cfRule>
          <x14:cfRule type="expression" priority="226" stopIfTrue="1" id="{E925A892-9BA4-4AA5-9E1E-EDC13A47A654}">
            <xm:f>No.2!$G$14=3</xm:f>
            <x14:dxf>
              <numFmt numFmtId="178" formatCode="0.000_ "/>
            </x14:dxf>
          </x14:cfRule>
          <x14:cfRule type="expression" priority="227" stopIfTrue="1" id="{8F302FF0-EAB6-46CB-8359-39C7FF375148}">
            <xm:f>No.2!$G$14=2</xm:f>
            <x14:dxf>
              <numFmt numFmtId="177" formatCode="0.00_ "/>
            </x14:dxf>
          </x14:cfRule>
          <x14:cfRule type="expression" priority="219" stopIfTrue="1" id="{0F782622-81D1-49E9-9341-B9FBFD3A497E}">
            <xm:f>No.2!$G$14=""</xm:f>
            <x14:dxf>
              <numFmt numFmtId="0" formatCode="General"/>
            </x14:dxf>
          </x14:cfRule>
          <x14:cfRule type="expression" priority="220" stopIfTrue="1" id="{8D21BECA-9516-42FA-954B-6745A7B17607}">
            <xm:f>No.2!$G$14=8</xm:f>
            <x14:dxf>
              <numFmt numFmtId="198" formatCode="0.00000000_ "/>
            </x14:dxf>
          </x14:cfRule>
          <x14:cfRule type="expression" priority="221" stopIfTrue="1" id="{8346C8DA-309C-4FC3-B7FB-2C6CCC1913BF}">
            <xm:f>No.2!$G$14=7</xm:f>
            <x14:dxf>
              <numFmt numFmtId="197" formatCode="0.0000000_ "/>
            </x14:dxf>
          </x14:cfRule>
          <x14:cfRule type="expression" priority="223" stopIfTrue="1" id="{DD9DDCA3-3D10-468B-9084-93D3CDFE211E}">
            <xm:f>No.2!$G$14=6</xm:f>
            <x14:dxf>
              <numFmt numFmtId="196" formatCode="0.000000_ "/>
            </x14:dxf>
          </x14:cfRule>
          <x14:cfRule type="expression" priority="224" stopIfTrue="1" id="{D95933D9-F276-4EBE-B559-2EBE7F6B5921}">
            <xm:f>No.2!$G$14=5</xm:f>
            <x14:dxf>
              <numFmt numFmtId="195" formatCode="0.00000_ "/>
            </x14:dxf>
          </x14:cfRule>
          <x14:cfRule type="expression" priority="225" stopIfTrue="1" id="{946A7E4D-94B0-46E5-9AAD-D8839B3B421B}">
            <xm:f>No.2!$G$14=4</xm:f>
            <x14:dxf>
              <numFmt numFmtId="180" formatCode="0.0000_ "/>
            </x14:dxf>
          </x14:cfRule>
          <xm:sqref>O7:P10</xm:sqref>
        </x14:conditionalFormatting>
        <x14:conditionalFormatting xmlns:xm="http://schemas.microsoft.com/office/excel/2006/main">
          <x14:cfRule type="expression" priority="197" stopIfTrue="1" id="{CC2EF9A9-4CE2-4C3B-AB5E-137E6A5E68D6}">
            <xm:f>No.5!$I$66=5</xm:f>
            <x14:dxf>
              <numFmt numFmtId="195" formatCode="0.00000_ "/>
            </x14:dxf>
          </x14:cfRule>
          <x14:cfRule type="expression" priority="191" stopIfTrue="1" id="{D53D6DB9-F996-4022-BDFA-30BDD179CDB0}">
            <xm:f>No.5!$I$66=""</xm:f>
            <x14:dxf>
              <numFmt numFmtId="0" formatCode="General"/>
            </x14:dxf>
          </x14:cfRule>
          <x14:cfRule type="expression" priority="192" stopIfTrue="1" id="{6E469908-3063-4079-BB50-4624FF8915C5}">
            <xm:f>No.5!$I$66=0</xm:f>
            <x14:dxf>
              <numFmt numFmtId="194" formatCode="0_ "/>
            </x14:dxf>
          </x14:cfRule>
          <x14:cfRule type="expression" priority="193" stopIfTrue="1" id="{EDB8625E-5B53-41C9-9105-FF372E24CE59}">
            <xm:f>No.5!$I$66=1</xm:f>
            <x14:dxf>
              <numFmt numFmtId="176" formatCode="0.0_ "/>
            </x14:dxf>
          </x14:cfRule>
          <x14:cfRule type="expression" priority="194" stopIfTrue="1" id="{84B37519-BEEC-45C2-9E5C-4951D4A7DF20}">
            <xm:f>No.5!$I$66=2</xm:f>
            <x14:dxf>
              <numFmt numFmtId="177" formatCode="0.00_ "/>
            </x14:dxf>
          </x14:cfRule>
          <x14:cfRule type="expression" priority="195" stopIfTrue="1" id="{BDE3F053-2E1F-469F-AEC7-55B07D7DE10B}">
            <xm:f>No.5!$I$66=3</xm:f>
            <x14:dxf>
              <numFmt numFmtId="178" formatCode="0.000_ "/>
            </x14:dxf>
          </x14:cfRule>
          <x14:cfRule type="expression" priority="196" stopIfTrue="1" id="{25837E85-D064-46DA-81B9-2A76D6A7A73C}">
            <xm:f>No.5!$I$66=4</xm:f>
            <x14:dxf>
              <numFmt numFmtId="180" formatCode="0.0000_ "/>
            </x14:dxf>
          </x14:cfRule>
          <x14:cfRule type="expression" priority="198" stopIfTrue="1" id="{0880C95C-ACF7-47A7-A95F-83EAD427AC30}">
            <xm:f>No.5!$I$66=7</xm:f>
            <x14:dxf>
              <numFmt numFmtId="197" formatCode="0.0000000_ "/>
            </x14:dxf>
          </x14:cfRule>
          <x14:cfRule type="expression" priority="199" stopIfTrue="1" id="{40CAF49F-3A3C-433F-9546-8DB4088D8B15}">
            <xm:f>No.5!$I$66=8</xm:f>
            <x14:dxf>
              <numFmt numFmtId="198" formatCode="0.00000000_ "/>
            </x14:dxf>
          </x14:cfRule>
          <xm:sqref>O12:P12</xm:sqref>
        </x14:conditionalFormatting>
        <x14:conditionalFormatting xmlns:xm="http://schemas.microsoft.com/office/excel/2006/main">
          <x14:cfRule type="expression" priority="172" stopIfTrue="1" id="{CC21EEA6-979A-4BC6-95A2-566C2D438D38}">
            <xm:f>No.7!$J$58=0</xm:f>
            <x14:dxf>
              <numFmt numFmtId="194" formatCode="0_ "/>
            </x14:dxf>
          </x14:cfRule>
          <x14:cfRule type="expression" priority="173" stopIfTrue="1" id="{B66EC20F-2306-427B-96EA-579A54329ED2}">
            <xm:f>No.7!$J$58=1</xm:f>
            <x14:dxf>
              <numFmt numFmtId="176" formatCode="0.0_ "/>
            </x14:dxf>
          </x14:cfRule>
          <x14:cfRule type="expression" priority="174" stopIfTrue="1" id="{371965ED-4B19-47A3-97C3-7556705E871D}">
            <xm:f>No.7!$J$58=2</xm:f>
            <x14:dxf>
              <numFmt numFmtId="177" formatCode="0.00_ "/>
            </x14:dxf>
          </x14:cfRule>
          <x14:cfRule type="expression" priority="175" stopIfTrue="1" id="{34D5E7DC-48DA-4042-9162-67077398D56C}">
            <xm:f>No.7!$J$58=3</xm:f>
            <x14:dxf>
              <numFmt numFmtId="178" formatCode="0.000_ "/>
            </x14:dxf>
          </x14:cfRule>
          <x14:cfRule type="expression" priority="176" stopIfTrue="1" id="{208C0DA0-940D-4DD6-ABF0-109BC97457DD}">
            <xm:f>No.7!$J$58=4</xm:f>
            <x14:dxf>
              <numFmt numFmtId="180" formatCode="0.0000_ "/>
            </x14:dxf>
          </x14:cfRule>
          <x14:cfRule type="expression" priority="177" stopIfTrue="1" id="{A35E615A-A37B-469C-A16D-F258CC924AC8}">
            <xm:f>No.7!$J$58=5</xm:f>
            <x14:dxf>
              <numFmt numFmtId="195" formatCode="0.00000_ "/>
            </x14:dxf>
          </x14:cfRule>
          <x14:cfRule type="expression" priority="178" stopIfTrue="1" id="{CB88EC88-EAE8-4836-ABF7-F2E872788182}">
            <xm:f>No.7!$J$58=6</xm:f>
            <x14:dxf>
              <numFmt numFmtId="196" formatCode="0.000000_ "/>
            </x14:dxf>
          </x14:cfRule>
          <x14:cfRule type="expression" priority="171" stopIfTrue="1" id="{0E40C7BB-5414-4BBB-BC69-BC6F486D7C4D}">
            <xm:f>No.7!$J$58=""</xm:f>
            <x14:dxf>
              <numFmt numFmtId="0" formatCode="General"/>
            </x14:dxf>
          </x14:cfRule>
          <x14:cfRule type="expression" priority="180" stopIfTrue="1" id="{1CBCDB78-ADEB-459B-92A3-95E91DF22FA7}">
            <xm:f>No.7!$J$58=8</xm:f>
            <x14:dxf>
              <numFmt numFmtId="198" formatCode="0.00000000_ "/>
            </x14:dxf>
          </x14:cfRule>
          <x14:cfRule type="expression" priority="179" stopIfTrue="1" id="{BF8C8E8D-D3AE-4838-B64E-7DFAF9E159E4}">
            <xm:f>No.7!$J$58=7</xm:f>
            <x14:dxf>
              <numFmt numFmtId="197" formatCode="0.0000000_ "/>
            </x14:dxf>
          </x14:cfRule>
          <xm:sqref>O13:P16</xm:sqref>
        </x14:conditionalFormatting>
        <x14:conditionalFormatting xmlns:xm="http://schemas.microsoft.com/office/excel/2006/main">
          <x14:cfRule type="expression" priority="164" stopIfTrue="1" id="{B91BB6F8-CDD2-44BC-BFFD-D67E9045B780}">
            <xm:f>No.8!$I$66=2</xm:f>
            <x14:dxf>
              <numFmt numFmtId="177" formatCode="0.00_ "/>
            </x14:dxf>
          </x14:cfRule>
          <x14:cfRule type="expression" priority="162" stopIfTrue="1" id="{5FDA9D11-59BB-415D-B471-93F4B008BA28}">
            <xm:f>No.8!$I$66=0</xm:f>
            <x14:dxf>
              <numFmt numFmtId="194" formatCode="0_ "/>
            </x14:dxf>
          </x14:cfRule>
          <x14:cfRule type="expression" priority="161" stopIfTrue="1" id="{5E51D9BA-998D-4166-A15D-600AEC9197A5}">
            <xm:f>No.8!$I$66=""</xm:f>
            <x14:dxf>
              <numFmt numFmtId="0" formatCode="General"/>
            </x14:dxf>
          </x14:cfRule>
          <x14:cfRule type="expression" priority="163" stopIfTrue="1" id="{618E4512-AE3A-4CC0-920A-FB0B36A6EF21}">
            <xm:f>No.8!$I$66=1</xm:f>
            <x14:dxf>
              <numFmt numFmtId="176" formatCode="0.0_ "/>
            </x14:dxf>
          </x14:cfRule>
          <x14:cfRule type="expression" priority="165" stopIfTrue="1" id="{411306F2-590B-410A-9819-72C0CFC12736}">
            <xm:f>No.8!$I$66=3</xm:f>
            <x14:dxf>
              <numFmt numFmtId="178" formatCode="0.000_ "/>
            </x14:dxf>
          </x14:cfRule>
          <x14:cfRule type="expression" priority="166" stopIfTrue="1" id="{435622EC-81B2-4FC2-863C-185BDA6F7A01}">
            <xm:f>No.8!$I$66=4</xm:f>
            <x14:dxf>
              <numFmt numFmtId="180" formatCode="0.0000_ "/>
            </x14:dxf>
          </x14:cfRule>
          <x14:cfRule type="expression" priority="167" stopIfTrue="1" id="{0897ACCA-1CD2-4F7F-BF3F-ADBDA33D1732}">
            <xm:f>No.8!$I$66=5</xm:f>
            <x14:dxf>
              <numFmt numFmtId="195" formatCode="0.00000_ "/>
            </x14:dxf>
          </x14:cfRule>
          <x14:cfRule type="expression" priority="168" stopIfTrue="1" id="{D9F8ADEE-173D-4ADD-9523-DC6CD707174A}">
            <xm:f>No.8!$I$66=6</xm:f>
            <x14:dxf>
              <numFmt numFmtId="196" formatCode="0.000000_ "/>
            </x14:dxf>
          </x14:cfRule>
          <x14:cfRule type="expression" priority="169" stopIfTrue="1" id="{2EBC4974-B351-44B8-876C-D9098B0F78A1}">
            <xm:f>No.8!$I$66=7</xm:f>
            <x14:dxf>
              <numFmt numFmtId="197" formatCode="0.0000000_ "/>
            </x14:dxf>
          </x14:cfRule>
          <x14:cfRule type="expression" priority="170" stopIfTrue="1" id="{831B7A99-8947-4773-A21D-BF1C49573D87}">
            <xm:f>No.8!$I$66=8</xm:f>
            <x14:dxf>
              <numFmt numFmtId="198" formatCode="0.00000000_ "/>
            </x14:dxf>
          </x14:cfRule>
          <xm:sqref>O17:P17</xm:sqref>
        </x14:conditionalFormatting>
        <x14:conditionalFormatting xmlns:xm="http://schemas.microsoft.com/office/excel/2006/main">
          <x14:cfRule type="expression" priority="146" stopIfTrue="1" id="{08EF45C9-400B-4087-AC1C-515A42AAF5A1}">
            <xm:f>No.10!$I$66=4</xm:f>
            <x14:dxf>
              <numFmt numFmtId="180" formatCode="0.0000_ "/>
            </x14:dxf>
          </x14:cfRule>
          <x14:cfRule type="expression" priority="147" stopIfTrue="1" id="{DEB88CC7-4616-45BD-8F16-27DE2F5A2989}">
            <xm:f>No.10!$I$66=5</xm:f>
            <x14:dxf>
              <numFmt numFmtId="195" formatCode="0.00000_ "/>
            </x14:dxf>
          </x14:cfRule>
          <x14:cfRule type="expression" priority="148" stopIfTrue="1" id="{4C91B39A-62D3-489D-AB11-66E0656B994F}">
            <xm:f>No.10!$I$66=6</xm:f>
            <x14:dxf>
              <numFmt numFmtId="196" formatCode="0.000000_ "/>
            </x14:dxf>
          </x14:cfRule>
          <x14:cfRule type="expression" priority="149" stopIfTrue="1" id="{A30A43D4-B621-4B6C-9F14-47DF8E0A5C89}">
            <xm:f>No.10!$I$66=7</xm:f>
            <x14:dxf>
              <numFmt numFmtId="197" formatCode="0.0000000_ "/>
            </x14:dxf>
          </x14:cfRule>
          <x14:cfRule type="expression" priority="150" stopIfTrue="1" id="{78D0D1AF-1AA2-4E16-8D09-60207880DD74}">
            <xm:f>No.10!$I$66=8</xm:f>
            <x14:dxf>
              <numFmt numFmtId="198" formatCode="0.00000000_ "/>
            </x14:dxf>
          </x14:cfRule>
          <x14:cfRule type="expression" priority="145" stopIfTrue="1" id="{8CCB6D2A-6E59-4977-A6EC-466F5586C2C4}">
            <xm:f>No.10!$I$66=3</xm:f>
            <x14:dxf>
              <numFmt numFmtId="178" formatCode="0.000_ "/>
            </x14:dxf>
          </x14:cfRule>
          <x14:cfRule type="expression" priority="141" stopIfTrue="1" id="{9DF3B599-AEFE-4DC9-B9D5-9357A9D42191}">
            <xm:f>No.10!$I$66=""</xm:f>
            <x14:dxf>
              <numFmt numFmtId="0" formatCode="General"/>
            </x14:dxf>
          </x14:cfRule>
          <x14:cfRule type="expression" priority="142" stopIfTrue="1" id="{8DC25E9B-77A1-4659-AC53-6312FD78361D}">
            <xm:f>No.10!$I$66=0</xm:f>
            <x14:dxf>
              <numFmt numFmtId="194" formatCode="0_ "/>
            </x14:dxf>
          </x14:cfRule>
          <x14:cfRule type="expression" priority="143" stopIfTrue="1" id="{B906778C-ECF1-4BCD-93F4-EDCCA19206BB}">
            <xm:f>No.10!$I$66=1</xm:f>
            <x14:dxf>
              <numFmt numFmtId="176" formatCode="0.0_ "/>
            </x14:dxf>
          </x14:cfRule>
          <x14:cfRule type="expression" priority="144" stopIfTrue="1" id="{0EA5A2A1-F1F9-4E26-A429-84E9D59A14AE}">
            <xm:f>No.10!$I$66=2</xm:f>
            <x14:dxf>
              <numFmt numFmtId="177" formatCode="0.00_ "/>
            </x14:dxf>
          </x14:cfRule>
          <xm:sqref>O18:P18</xm:sqref>
        </x14:conditionalFormatting>
        <x14:conditionalFormatting xmlns:xm="http://schemas.microsoft.com/office/excel/2006/main">
          <x14:cfRule type="expression" priority="133" stopIfTrue="1" id="{38D6AAD7-53F5-42E4-93DE-BED2FDD750F9}">
            <xm:f>No.12!$J$58=1</xm:f>
            <x14:dxf>
              <numFmt numFmtId="176" formatCode="0.0_ "/>
            </x14:dxf>
          </x14:cfRule>
          <x14:cfRule type="expression" priority="134" stopIfTrue="1" id="{1CE26731-2D8F-42FF-8E86-6DBAB37B4187}">
            <xm:f>No.12!$J$58=2</xm:f>
            <x14:dxf>
              <numFmt numFmtId="177" formatCode="0.00_ "/>
            </x14:dxf>
          </x14:cfRule>
          <x14:cfRule type="expression" priority="135" stopIfTrue="1" id="{D56A90A6-2542-4EA0-B325-FC23FDB651F5}">
            <xm:f>No.12!$J$58=3</xm:f>
            <x14:dxf>
              <numFmt numFmtId="178" formatCode="0.000_ "/>
            </x14:dxf>
          </x14:cfRule>
          <x14:cfRule type="expression" priority="136" stopIfTrue="1" id="{B2EF169C-995D-4072-B59F-08D0859D8D9C}">
            <xm:f>No.12!$J$58=4</xm:f>
            <x14:dxf>
              <numFmt numFmtId="180" formatCode="0.0000_ "/>
            </x14:dxf>
          </x14:cfRule>
          <x14:cfRule type="expression" priority="137" stopIfTrue="1" id="{B86F9914-755A-4677-8522-97B0DE74ACD7}">
            <xm:f>No.12!$J$58=5</xm:f>
            <x14:dxf>
              <numFmt numFmtId="195" formatCode="0.00000_ "/>
            </x14:dxf>
          </x14:cfRule>
          <x14:cfRule type="expression" priority="132" stopIfTrue="1" id="{E8F06DB8-81DA-4415-9E56-C54F72675005}">
            <xm:f>No.12!$J$58=0</xm:f>
            <x14:dxf>
              <numFmt numFmtId="194" formatCode="0_ "/>
            </x14:dxf>
          </x14:cfRule>
          <x14:cfRule type="expression" priority="131" stopIfTrue="1" id="{5B5D52FF-A4AD-457D-9DB6-026DA199EBCC}">
            <xm:f>No.12!$J$58=""</xm:f>
            <x14:dxf>
              <numFmt numFmtId="0" formatCode="General"/>
            </x14:dxf>
          </x14:cfRule>
          <x14:cfRule type="expression" priority="138" stopIfTrue="1" id="{8EDC5A36-CC91-4EC7-AB01-27819A466DD3}">
            <xm:f>No.12!$J$58=6</xm:f>
            <x14:dxf>
              <numFmt numFmtId="196" formatCode="0.000000_ "/>
            </x14:dxf>
          </x14:cfRule>
          <x14:cfRule type="expression" priority="139" stopIfTrue="1" id="{ED77CD50-E904-4CE2-A968-72E53B96F01D}">
            <xm:f>No.12!$J$58=7</xm:f>
            <x14:dxf>
              <numFmt numFmtId="197" formatCode="0.0000000_ "/>
            </x14:dxf>
          </x14:cfRule>
          <x14:cfRule type="expression" priority="140" stopIfTrue="1" id="{7ABDEBA9-FC4B-49E8-851B-86C626469C28}">
            <xm:f>No.12!$J$58=8</xm:f>
            <x14:dxf>
              <numFmt numFmtId="198" formatCode="0.00000000_ "/>
            </x14:dxf>
          </x14:cfRule>
          <xm:sqref>O19:P25</xm:sqref>
        </x14:conditionalFormatting>
        <x14:conditionalFormatting xmlns:xm="http://schemas.microsoft.com/office/excel/2006/main">
          <x14:cfRule type="expression" priority="215" stopIfTrue="1" id="{9D3E80A5-509E-45CB-A700-2B6ABACA148D}">
            <xm:f>No.3!$I$66=4</xm:f>
            <x14:dxf>
              <numFmt numFmtId="180" formatCode="0.0000_ "/>
            </x14:dxf>
          </x14:cfRule>
          <x14:cfRule type="expression" priority="213" stopIfTrue="1" id="{7F6346F4-A620-4B8D-BB68-C93C2D00A8BB}">
            <xm:f>No.3!$I$66=2</xm:f>
            <x14:dxf>
              <numFmt numFmtId="177" formatCode="0.00_ "/>
            </x14:dxf>
          </x14:cfRule>
          <x14:cfRule type="expression" priority="217" stopIfTrue="1" id="{135AF76E-F3EC-4621-B0CF-93F28EB87E81}">
            <xm:f>No.3!$I$66=7</xm:f>
            <x14:dxf>
              <numFmt numFmtId="197" formatCode="0.0000000_ "/>
            </x14:dxf>
          </x14:cfRule>
          <x14:cfRule type="expression" priority="214" stopIfTrue="1" id="{AC6A625A-5183-48BE-96A7-5E0BF2EE2119}">
            <xm:f>No.3!$I$66=3</xm:f>
            <x14:dxf>
              <numFmt numFmtId="178" formatCode="0.000_ "/>
            </x14:dxf>
          </x14:cfRule>
          <x14:cfRule type="expression" priority="212" stopIfTrue="1" id="{B3907C47-07E5-4998-83E1-02538E028D5A}">
            <xm:f>No.3!$I$66=1</xm:f>
            <x14:dxf>
              <numFmt numFmtId="176" formatCode="0.0_ "/>
            </x14:dxf>
          </x14:cfRule>
          <x14:cfRule type="expression" priority="211" stopIfTrue="1" id="{84765FF0-5C02-498C-9DB1-58F9B4B08867}">
            <xm:f>No.3!$I$66=0</xm:f>
            <x14:dxf>
              <numFmt numFmtId="194" formatCode="0_ "/>
            </x14:dxf>
          </x14:cfRule>
          <x14:cfRule type="expression" priority="218" stopIfTrue="1" id="{905DB615-7973-4CA3-8748-64A788100906}">
            <xm:f>No.3!$I$66=8</xm:f>
            <x14:dxf>
              <numFmt numFmtId="198" formatCode="0.00000000_ "/>
            </x14:dxf>
          </x14:cfRule>
          <x14:cfRule type="expression" priority="216" stopIfTrue="1" id="{6ED46CEF-F1A5-4BBA-81A8-E193AA079A9E}">
            <xm:f>No.3!$I$66=5</xm:f>
            <x14:dxf>
              <numFmt numFmtId="195" formatCode="0.00000_ "/>
            </x14:dxf>
          </x14:cfRule>
          <x14:cfRule type="expression" priority="210" stopIfTrue="1" id="{D883CF9F-76A5-43A3-8BEE-CE224452CFC6}">
            <xm:f>No.3!$I$66=""</xm:f>
            <x14:dxf>
              <numFmt numFmtId="0" formatCode="General"/>
            </x14:dxf>
          </x14:cfRule>
          <xm:sqref>P11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BA36"/>
  <sheetViews>
    <sheetView zoomScale="90" zoomScaleNormal="90" workbookViewId="0">
      <selection activeCell="G15" sqref="G15:H15"/>
    </sheetView>
  </sheetViews>
  <sheetFormatPr defaultRowHeight="13" x14ac:dyDescent="0.2"/>
  <cols>
    <col min="1" max="1" width="2.453125" customWidth="1"/>
    <col min="2" max="2" width="28.90625" customWidth="1"/>
    <col min="3" max="6" width="12.453125" customWidth="1"/>
    <col min="7" max="7" width="5.453125" customWidth="1"/>
    <col min="8" max="8" width="7.453125" customWidth="1"/>
    <col min="9" max="11" width="5.453125" customWidth="1"/>
    <col min="12" max="12" width="7.453125" customWidth="1"/>
    <col min="13" max="13" width="5.26953125" customWidth="1"/>
    <col min="14" max="14" width="13" customWidth="1"/>
    <col min="15" max="15" width="20.26953125" customWidth="1"/>
  </cols>
  <sheetData>
    <row r="1" spans="2:18" ht="15" customHeight="1" x14ac:dyDescent="0.2">
      <c r="B1" s="17" t="str">
        <f>入力及び計算結果!B1</f>
        <v>ver.1.0（2026/07/01）</v>
      </c>
      <c r="C1" s="39"/>
      <c r="D1" s="39"/>
    </row>
    <row r="2" spans="2:18" ht="15" customHeight="1" x14ac:dyDescent="0.2">
      <c r="B2" s="481" t="s">
        <v>95</v>
      </c>
      <c r="C2" s="481"/>
      <c r="D2" s="39"/>
      <c r="F2" s="89"/>
      <c r="G2" s="21" t="s">
        <v>96</v>
      </c>
    </row>
    <row r="3" spans="2:18" ht="15" customHeight="1" x14ac:dyDescent="0.2">
      <c r="B3" s="481"/>
      <c r="C3" s="481"/>
      <c r="D3" s="39"/>
      <c r="F3" s="22"/>
      <c r="G3" t="s">
        <v>97</v>
      </c>
    </row>
    <row r="4" spans="2:18" ht="15" customHeight="1" x14ac:dyDescent="0.2">
      <c r="B4" s="39"/>
      <c r="C4" s="39"/>
      <c r="D4" s="39"/>
      <c r="F4" s="23"/>
      <c r="G4" s="21" t="s">
        <v>98</v>
      </c>
    </row>
    <row r="5" spans="2:18" ht="13.5" customHeight="1" thickBot="1" x14ac:dyDescent="0.25">
      <c r="L5" s="160" t="s">
        <v>99</v>
      </c>
    </row>
    <row r="6" spans="2:18" ht="13.5" customHeight="1" thickTop="1" thickBot="1" x14ac:dyDescent="0.25">
      <c r="B6" s="315" t="s">
        <v>100</v>
      </c>
      <c r="C6" s="493" t="str">
        <f>IF(ISBLANK(入力及び計算結果!C6),"",IF(ISBLANK(入力及び計算結果!F7),"",IF(OR(入力及び計算結果!F7=0,入力及び計算結果!F7=2),入力及び計算結果!C6,"")))</f>
        <v/>
      </c>
      <c r="D6" s="494"/>
      <c r="E6" s="494"/>
      <c r="F6" s="494"/>
      <c r="G6" s="494"/>
      <c r="H6" s="495"/>
      <c r="L6" s="102" t="s">
        <v>101</v>
      </c>
      <c r="M6" s="102"/>
      <c r="N6" s="83"/>
      <c r="O6" s="83"/>
      <c r="P6" s="161" t="s">
        <v>9</v>
      </c>
      <c r="Q6" s="161" t="s">
        <v>12</v>
      </c>
    </row>
    <row r="7" spans="2:18" ht="13.5" customHeight="1" thickTop="1" thickBot="1" x14ac:dyDescent="0.25">
      <c r="B7" s="483" t="s">
        <v>70</v>
      </c>
      <c r="C7" s="484"/>
      <c r="D7" s="484"/>
      <c r="E7" s="484"/>
      <c r="F7" s="484"/>
      <c r="G7" s="485"/>
      <c r="H7" s="318" t="str">
        <f>IF(ISBLANK(入力及び計算結果!H17),"",入力及び計算結果!H17)</f>
        <v/>
      </c>
      <c r="L7" s="102" t="s">
        <v>102</v>
      </c>
      <c r="M7" s="102"/>
      <c r="N7" s="83" t="s">
        <v>103</v>
      </c>
      <c r="O7" s="83"/>
      <c r="P7" s="102">
        <v>50</v>
      </c>
      <c r="Q7" s="102">
        <v>50</v>
      </c>
    </row>
    <row r="8" spans="2:18" ht="13.5" customHeight="1" thickTop="1" thickBot="1" x14ac:dyDescent="0.25">
      <c r="B8" s="486" t="s">
        <v>36</v>
      </c>
      <c r="C8" s="487"/>
      <c r="D8" s="487"/>
      <c r="E8" s="487"/>
      <c r="F8" s="487"/>
      <c r="G8" s="488"/>
      <c r="H8" s="318" t="str">
        <f>IF(ISBLANK(入力及び計算結果!H18),"",入力及び計算結果!H18)</f>
        <v/>
      </c>
      <c r="L8" s="340" t="s">
        <v>104</v>
      </c>
      <c r="M8" s="340"/>
      <c r="N8" s="340" t="s">
        <v>105</v>
      </c>
      <c r="O8" s="340"/>
      <c r="P8" s="102">
        <v>21</v>
      </c>
      <c r="Q8" s="102">
        <v>21</v>
      </c>
    </row>
    <row r="9" spans="2:18" ht="13.5" customHeight="1" thickTop="1" thickBot="1" x14ac:dyDescent="0.25">
      <c r="B9" s="498" t="s">
        <v>39</v>
      </c>
      <c r="C9" s="499"/>
      <c r="D9" s="499"/>
      <c r="E9" s="499"/>
      <c r="F9" s="499"/>
      <c r="G9" s="500"/>
      <c r="H9" s="341" t="str">
        <f>IF(ISBLANK(入力及び計算結果!H19),"",入力及び計算結果!H19)</f>
        <v/>
      </c>
      <c r="L9" s="96" t="s">
        <v>106</v>
      </c>
      <c r="M9" s="96"/>
      <c r="N9" s="482" t="s">
        <v>107</v>
      </c>
      <c r="O9" s="482"/>
      <c r="P9" s="342">
        <f>100*(1-POWER(0.9,(21-0)))</f>
        <v>89.058101086848751</v>
      </c>
      <c r="Q9" s="342">
        <f>100*(1-POWER(0.9,(21-0)))</f>
        <v>89.058101086848751</v>
      </c>
      <c r="R9" s="123"/>
    </row>
    <row r="10" spans="2:18" ht="13.5" customHeight="1" thickTop="1" thickBot="1" x14ac:dyDescent="0.25">
      <c r="B10" s="496" t="s">
        <v>41</v>
      </c>
      <c r="C10" s="501" t="s">
        <v>42</v>
      </c>
      <c r="D10" s="501"/>
      <c r="E10" s="501"/>
      <c r="F10" s="501"/>
      <c r="G10" s="343" t="s">
        <v>43</v>
      </c>
      <c r="H10" s="154" t="str">
        <f>IF(ISBLANK(入力及び計算結果!H20),"",入力及び計算結果!H20)</f>
        <v/>
      </c>
      <c r="L10" s="97"/>
      <c r="M10" s="97"/>
      <c r="N10" s="489" t="s">
        <v>108</v>
      </c>
      <c r="O10" s="489"/>
      <c r="P10" s="342">
        <f>100*(1-POWER(0.9,(21-14)))</f>
        <v>52.170309999999986</v>
      </c>
      <c r="Q10" s="342">
        <f>100*(1-POWER(0.9,(21-14)))</f>
        <v>52.170309999999986</v>
      </c>
    </row>
    <row r="11" spans="2:18" ht="13.5" customHeight="1" thickTop="1" thickBot="1" x14ac:dyDescent="0.25">
      <c r="B11" s="497"/>
      <c r="C11" s="502" t="s">
        <v>44</v>
      </c>
      <c r="D11" s="502"/>
      <c r="E11" s="502"/>
      <c r="F11" s="502"/>
      <c r="G11" s="344" t="s">
        <v>43</v>
      </c>
      <c r="H11" s="103" t="str">
        <f>IF(ISBLANK(入力及び計算結果!H21),"",入力及び計算結果!H21)</f>
        <v/>
      </c>
      <c r="L11" s="102" t="s">
        <v>109</v>
      </c>
      <c r="M11" s="102"/>
      <c r="N11" s="83" t="s">
        <v>110</v>
      </c>
      <c r="O11" s="83"/>
      <c r="P11" s="102">
        <v>0.3</v>
      </c>
      <c r="Q11" s="102">
        <v>1.9</v>
      </c>
    </row>
    <row r="12" spans="2:18" ht="13.5" customHeight="1" thickTop="1" x14ac:dyDescent="0.2">
      <c r="B12" s="480"/>
      <c r="C12" s="480"/>
      <c r="D12" s="480"/>
      <c r="E12" s="480"/>
      <c r="F12" s="480"/>
      <c r="G12" s="480"/>
      <c r="H12" s="345"/>
      <c r="L12" s="102" t="s">
        <v>111</v>
      </c>
      <c r="M12" s="102"/>
      <c r="N12" s="83" t="s">
        <v>112</v>
      </c>
      <c r="O12" s="83"/>
      <c r="P12" s="102">
        <v>0.8</v>
      </c>
      <c r="Q12" s="102">
        <v>0.8</v>
      </c>
    </row>
    <row r="13" spans="2:18" ht="13.5" customHeight="1" x14ac:dyDescent="0.2">
      <c r="L13" s="102" t="s">
        <v>113</v>
      </c>
      <c r="M13" s="102"/>
      <c r="N13" s="83" t="s">
        <v>114</v>
      </c>
      <c r="O13" s="83"/>
      <c r="P13" s="102">
        <v>4</v>
      </c>
      <c r="Q13" s="102">
        <v>100</v>
      </c>
    </row>
    <row r="14" spans="2:18" ht="13.5" thickBot="1" x14ac:dyDescent="0.25">
      <c r="L14" s="102" t="s">
        <v>115</v>
      </c>
      <c r="M14" s="102"/>
      <c r="N14" s="83" t="s">
        <v>116</v>
      </c>
      <c r="O14" s="83"/>
      <c r="P14" s="102">
        <v>0.33</v>
      </c>
      <c r="Q14" s="102">
        <v>0.33</v>
      </c>
    </row>
    <row r="15" spans="2:18" ht="13.5" customHeight="1" thickTop="1" thickBot="1" x14ac:dyDescent="0.25">
      <c r="E15" s="490" t="s">
        <v>117</v>
      </c>
      <c r="F15" s="491"/>
      <c r="G15" s="376"/>
      <c r="H15" s="492"/>
      <c r="L15" s="68" t="s">
        <v>118</v>
      </c>
      <c r="M15" s="59"/>
      <c r="N15" s="436" t="s">
        <v>119</v>
      </c>
      <c r="O15" s="436"/>
      <c r="P15" s="102">
        <v>1</v>
      </c>
      <c r="Q15" s="102">
        <v>1</v>
      </c>
    </row>
    <row r="16" spans="2:18" ht="13.5" customHeight="1" thickTop="1" x14ac:dyDescent="0.2">
      <c r="E16" s="79" t="s">
        <v>120</v>
      </c>
      <c r="F16" s="80"/>
      <c r="G16" s="80"/>
      <c r="L16" s="100"/>
      <c r="M16" s="100"/>
      <c r="N16" s="100"/>
      <c r="O16" s="100"/>
    </row>
    <row r="17" spans="1:53" ht="13.5" customHeight="1" x14ac:dyDescent="0.2">
      <c r="B17" s="123"/>
    </row>
    <row r="18" spans="1:53" ht="13.5" customHeight="1" x14ac:dyDescent="0.2">
      <c r="A18" s="91"/>
      <c r="B18" s="91"/>
      <c r="C18" s="116"/>
      <c r="I18" s="92"/>
      <c r="J18" s="92"/>
      <c r="K18" s="92"/>
      <c r="L18" s="80"/>
      <c r="M18" s="80"/>
      <c r="N18" s="80"/>
      <c r="O18" s="80"/>
      <c r="P18" s="80"/>
      <c r="Q18" s="80"/>
    </row>
    <row r="19" spans="1:53" ht="13.5" customHeight="1" thickBot="1" x14ac:dyDescent="0.25">
      <c r="A19" s="91"/>
      <c r="B19" s="124" t="s">
        <v>3</v>
      </c>
      <c r="J19" s="100"/>
      <c r="K19" s="100"/>
      <c r="AG19" s="99"/>
      <c r="AH19" s="99"/>
      <c r="AI19" s="99"/>
      <c r="AJ19" s="99"/>
      <c r="AK19" s="80"/>
      <c r="AL19" s="80"/>
      <c r="AM19" s="80"/>
      <c r="AN19" s="80"/>
      <c r="AO19" s="80"/>
      <c r="AP19" s="80"/>
      <c r="AQ19" s="80"/>
      <c r="AR19" s="80"/>
      <c r="AS19" s="80"/>
      <c r="AT19" s="99"/>
      <c r="AU19" s="99"/>
      <c r="AV19" s="99"/>
      <c r="AW19" s="99"/>
      <c r="AX19" s="99"/>
      <c r="AY19" s="99"/>
      <c r="AZ19" s="99"/>
      <c r="BA19" s="99"/>
    </row>
    <row r="20" spans="1:53" ht="13.5" customHeight="1" thickTop="1" x14ac:dyDescent="0.2">
      <c r="B20" s="346"/>
      <c r="C20" s="199" t="s">
        <v>9</v>
      </c>
      <c r="D20" s="347" t="s">
        <v>12</v>
      </c>
      <c r="AG20" s="99"/>
      <c r="AH20" s="99"/>
      <c r="AI20" s="99"/>
      <c r="AJ20" s="99"/>
      <c r="AK20" s="80"/>
      <c r="AL20" s="80"/>
      <c r="AM20" s="80"/>
      <c r="AN20" s="80"/>
      <c r="AO20" s="80"/>
      <c r="AP20" s="80"/>
      <c r="AQ20" s="80"/>
      <c r="AR20" s="80"/>
      <c r="AS20" s="80"/>
      <c r="AT20" s="99"/>
      <c r="AU20" s="99"/>
      <c r="AV20" s="99"/>
      <c r="AW20" s="99"/>
      <c r="AX20" s="99"/>
      <c r="AY20" s="99"/>
      <c r="AZ20" s="99"/>
      <c r="BA20" s="99"/>
    </row>
    <row r="21" spans="1:53" ht="13.5" customHeight="1" thickBot="1" x14ac:dyDescent="0.25">
      <c r="A21" s="80"/>
      <c r="B21" s="348" t="s">
        <v>101</v>
      </c>
      <c r="C21" s="231" t="s">
        <v>121</v>
      </c>
      <c r="D21" s="129" t="s">
        <v>121</v>
      </c>
      <c r="E21" s="80"/>
      <c r="F21" s="80"/>
      <c r="G21" s="80"/>
      <c r="H21" s="80"/>
      <c r="I21" s="80"/>
      <c r="J21" s="80"/>
      <c r="K21" s="80"/>
    </row>
    <row r="22" spans="1:53" s="80" customFormat="1" ht="13.5" customHeight="1" thickTop="1" x14ac:dyDescent="0.2">
      <c r="A22"/>
      <c r="B22" s="349" t="s">
        <v>102</v>
      </c>
      <c r="C22" s="254">
        <v>50</v>
      </c>
      <c r="D22" s="333">
        <v>50</v>
      </c>
      <c r="E22"/>
      <c r="F22"/>
      <c r="G22"/>
      <c r="H22"/>
      <c r="I22"/>
      <c r="J22"/>
      <c r="K22"/>
      <c r="L22"/>
      <c r="M22"/>
      <c r="N22"/>
      <c r="O22"/>
      <c r="P22"/>
      <c r="Q22"/>
    </row>
    <row r="23" spans="1:53" ht="13.5" customHeight="1" x14ac:dyDescent="0.35">
      <c r="B23" s="350" t="s">
        <v>122</v>
      </c>
      <c r="C23" s="351">
        <f>P9</f>
        <v>89.058101086848751</v>
      </c>
      <c r="D23" s="352">
        <f>Q9</f>
        <v>89.058101086848751</v>
      </c>
    </row>
    <row r="24" spans="1:53" ht="13.5" customHeight="1" x14ac:dyDescent="0.35">
      <c r="B24" s="350" t="s">
        <v>123</v>
      </c>
      <c r="C24" s="351">
        <f>IF(ISNUMBER(P10),P10,0)</f>
        <v>52.170309999999986</v>
      </c>
      <c r="D24" s="352">
        <f>IF(ISNUMBER(Q10),Q10,0)</f>
        <v>52.170309999999986</v>
      </c>
    </row>
    <row r="25" spans="1:53" ht="13.5" customHeight="1" x14ac:dyDescent="0.2">
      <c r="B25" s="350" t="s">
        <v>109</v>
      </c>
      <c r="C25" s="276">
        <f>IF(ds=0,0,0.3)</f>
        <v>0.3</v>
      </c>
      <c r="D25" s="131">
        <v>1.9</v>
      </c>
    </row>
    <row r="26" spans="1:53" ht="13.5" customHeight="1" x14ac:dyDescent="0.2">
      <c r="B26" s="350" t="s">
        <v>111</v>
      </c>
      <c r="C26" s="276">
        <v>0.8</v>
      </c>
      <c r="D26" s="131">
        <v>0.8</v>
      </c>
    </row>
    <row r="27" spans="1:53" ht="13.5" customHeight="1" x14ac:dyDescent="0.2">
      <c r="B27" s="350" t="s">
        <v>113</v>
      </c>
      <c r="C27" s="276">
        <f>IF(ds=0,0,4)</f>
        <v>4</v>
      </c>
      <c r="D27" s="131">
        <v>100</v>
      </c>
    </row>
    <row r="28" spans="1:53" ht="13.5" customHeight="1" x14ac:dyDescent="0.2">
      <c r="B28" s="350" t="s">
        <v>115</v>
      </c>
      <c r="C28" s="276">
        <v>0.33</v>
      </c>
      <c r="D28" s="131">
        <v>0.33</v>
      </c>
    </row>
    <row r="29" spans="1:53" ht="13.5" customHeight="1" x14ac:dyDescent="0.2">
      <c r="B29" s="350" t="s">
        <v>118</v>
      </c>
      <c r="C29" s="276">
        <v>1</v>
      </c>
      <c r="D29" s="131">
        <v>1</v>
      </c>
      <c r="E29" s="171"/>
    </row>
    <row r="30" spans="1:53" ht="13.5" customHeight="1" thickBot="1" x14ac:dyDescent="0.25">
      <c r="B30" s="353" t="s">
        <v>124</v>
      </c>
      <c r="C30" s="334" t="str">
        <f>fp</f>
        <v/>
      </c>
      <c r="D30" s="335" t="str">
        <f>fpp</f>
        <v/>
      </c>
      <c r="E30" s="123"/>
    </row>
    <row r="31" spans="1:53" ht="13.5" customHeight="1" thickTop="1" x14ac:dyDescent="0.2">
      <c r="B31" s="354" t="s">
        <v>125</v>
      </c>
      <c r="C31" s="355" t="str">
        <f>IF(NOT(ISNUMBER(fp)),"-",IF(H8=1,$H$7*(C23/100)*C22*C30,$H$7*(C23/100+C24/100)*C22*C30))</f>
        <v>-</v>
      </c>
      <c r="D31" s="336" t="str">
        <f>IF(NOT(ISNUMBER(fpp)),"-",IF(H8=1,$H$7*(D23/100)*D22*D30,$H$7*(D23/100+D24/100)*D22*D30))</f>
        <v>-</v>
      </c>
    </row>
    <row r="32" spans="1:53" ht="13.5" customHeight="1" x14ac:dyDescent="0.2">
      <c r="B32" s="350" t="s">
        <v>126</v>
      </c>
      <c r="C32" s="356" t="str">
        <f>IF(NOT(ISNUMBER(fp)),"-",H7*H8*(C25/100)*C26*C29)</f>
        <v>-</v>
      </c>
      <c r="D32" s="338" t="str">
        <f>IF(NOT(ISNUMBER(fpp)),"-",H7*H8*(D25/100)*D26*D29)</f>
        <v>-</v>
      </c>
      <c r="H32" s="80"/>
      <c r="I32" s="80"/>
    </row>
    <row r="33" spans="2:4" ht="13.5" customHeight="1" thickBot="1" x14ac:dyDescent="0.25">
      <c r="B33" s="350" t="s">
        <v>127</v>
      </c>
      <c r="C33" s="357" t="str">
        <f>IF(NOT(ISNUMBER(fp)),"-",H7*H8*(C27/100)*C28*C29)</f>
        <v>-</v>
      </c>
      <c r="D33" s="338" t="str">
        <f>IF(NOT(ISNUMBER(fpp)),"-",H7*H8*(D27/100)*D28*D29)</f>
        <v>-</v>
      </c>
    </row>
    <row r="34" spans="2:4" ht="13.5" customHeight="1" thickTop="1" thickBot="1" x14ac:dyDescent="0.25">
      <c r="B34" s="316" t="s">
        <v>128</v>
      </c>
      <c r="C34" s="358" t="str">
        <f>IF(NOT(ISNUMBER(fp)),"-",(C31+C32+C33)/(3*86400*21)*1000)</f>
        <v>-</v>
      </c>
      <c r="D34" s="359" t="str">
        <f>IF(NOT(ISNUMBER(fpp)),"-",(D31+D32+D33)/(3*86400*21)*1000)</f>
        <v>-</v>
      </c>
    </row>
    <row r="35" spans="2:4" ht="13.5" customHeight="1" thickTop="1" x14ac:dyDescent="0.2"/>
    <row r="36" spans="2:4" ht="13.5" customHeight="1" x14ac:dyDescent="0.2">
      <c r="B36" s="10" t="s">
        <v>129</v>
      </c>
    </row>
  </sheetData>
  <sheetProtection algorithmName="SHA-512" hashValue="Rbv92MvUmgtSZn2GB4udaiIfNXxTo4q66rZBZZA/BpjdmN7azPd73TLZ9NMNLgMtM777s1FCU0AUa4qA+HcwTA==" saltValue="aT/wzbUhueV4iSJYUcwU2g==" spinCount="100000" sheet="1" objects="1" scenarios="1" selectLockedCells="1"/>
  <mergeCells count="14">
    <mergeCell ref="N15:O15"/>
    <mergeCell ref="B12:G12"/>
    <mergeCell ref="B2:C3"/>
    <mergeCell ref="N9:O9"/>
    <mergeCell ref="B7:G7"/>
    <mergeCell ref="B8:G8"/>
    <mergeCell ref="N10:O10"/>
    <mergeCell ref="E15:F15"/>
    <mergeCell ref="G15:H15"/>
    <mergeCell ref="C6:H6"/>
    <mergeCell ref="B10:B11"/>
    <mergeCell ref="B9:G9"/>
    <mergeCell ref="C10:F10"/>
    <mergeCell ref="C11:F11"/>
  </mergeCells>
  <phoneticPr fontId="3"/>
  <conditionalFormatting sqref="C31:D34">
    <cfRule type="expression" dxfId="1169" priority="1522" stopIfTrue="1">
      <formula>$G$15=""</formula>
    </cfRule>
    <cfRule type="expression" dxfId="1168" priority="1523" stopIfTrue="1">
      <formula>$G$15=8</formula>
    </cfRule>
    <cfRule type="expression" dxfId="1167" priority="1524" stopIfTrue="1">
      <formula>$G$15=7</formula>
    </cfRule>
    <cfRule type="expression" dxfId="1166" priority="1526" stopIfTrue="1">
      <formula>$G$15=6</formula>
    </cfRule>
    <cfRule type="expression" dxfId="1165" priority="1527" stopIfTrue="1">
      <formula>$G$15=5</formula>
    </cfRule>
    <cfRule type="expression" dxfId="1164" priority="1528" stopIfTrue="1">
      <formula>$G$15=4</formula>
    </cfRule>
    <cfRule type="expression" dxfId="1163" priority="1529" stopIfTrue="1">
      <formula>$G$15=3</formula>
    </cfRule>
    <cfRule type="expression" dxfId="1162" priority="1530" stopIfTrue="1">
      <formula>$G$15=2</formula>
    </cfRule>
    <cfRule type="expression" dxfId="1161" priority="1531" stopIfTrue="1">
      <formula>$G$15=1</formula>
    </cfRule>
    <cfRule type="expression" dxfId="1160" priority="1532" stopIfTrue="1">
      <formula>$G$15=0</formula>
    </cfRule>
  </conditionalFormatting>
  <conditionalFormatting sqref="F4">
    <cfRule type="expression" dxfId="1159" priority="1" stopIfTrue="1">
      <formula>$G$15=""</formula>
    </cfRule>
    <cfRule type="expression" dxfId="1158" priority="2" stopIfTrue="1">
      <formula>$G$15=8</formula>
    </cfRule>
    <cfRule type="expression" dxfId="1157" priority="3" stopIfTrue="1">
      <formula>$G$15=7</formula>
    </cfRule>
    <cfRule type="expression" dxfId="1156" priority="5" stopIfTrue="1">
      <formula>$G$15=6</formula>
    </cfRule>
    <cfRule type="expression" dxfId="1155" priority="6" stopIfTrue="1">
      <formula>$G$15=5</formula>
    </cfRule>
    <cfRule type="expression" dxfId="1154" priority="7" stopIfTrue="1">
      <formula>$G$15=4</formula>
    </cfRule>
    <cfRule type="expression" dxfId="1153" priority="8" stopIfTrue="1">
      <formula>$G$15=3</formula>
    </cfRule>
    <cfRule type="expression" dxfId="1152" priority="9" stopIfTrue="1">
      <formula>$G$15=2</formula>
    </cfRule>
    <cfRule type="expression" dxfId="1151" priority="10" stopIfTrue="1">
      <formula>$G$15=1</formula>
    </cfRule>
    <cfRule type="expression" dxfId="1150" priority="11" stopIfTrue="1">
      <formula>$G$15=0</formula>
    </cfRule>
  </conditionalFormatting>
  <hyperlinks>
    <hyperlink ref="B36" location="入力及び計算結果!A1" display="「入力及び計算結果」に戻る" xr:uid="{00000000-0004-0000-0100-000000000000}"/>
  </hyperlinks>
  <printOptions horizontalCentered="1"/>
  <pageMargins left="0" right="0" top="0.98425196850393704" bottom="0" header="0.51181102362204722" footer="0"/>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BB39"/>
  <sheetViews>
    <sheetView zoomScale="90" zoomScaleNormal="90" workbookViewId="0">
      <selection activeCell="G14" sqref="G14:H14"/>
    </sheetView>
  </sheetViews>
  <sheetFormatPr defaultRowHeight="13" x14ac:dyDescent="0.2"/>
  <cols>
    <col min="1" max="1" width="2.453125" style="19" customWidth="1"/>
    <col min="2" max="2" width="20.7265625" customWidth="1"/>
    <col min="3" max="3" width="13.7265625" customWidth="1"/>
    <col min="4" max="6" width="12.453125" customWidth="1"/>
    <col min="7" max="7" width="5.453125" customWidth="1"/>
    <col min="8" max="8" width="7.453125" customWidth="1"/>
    <col min="9" max="9" width="7.6328125" customWidth="1"/>
    <col min="10" max="10" width="7.453125" customWidth="1"/>
    <col min="11" max="11" width="5.453125" customWidth="1"/>
    <col min="12" max="12" width="15.90625" customWidth="1"/>
    <col min="13" max="13" width="2.453125" customWidth="1"/>
    <col min="14" max="14" width="17.26953125" customWidth="1"/>
    <col min="15" max="15" width="9.08984375" customWidth="1"/>
    <col min="18" max="21" width="9.08984375" customWidth="1"/>
  </cols>
  <sheetData>
    <row r="1" spans="2:16" ht="15" customHeight="1" x14ac:dyDescent="0.2">
      <c r="B1" s="17" t="str">
        <f>入力及び計算結果!B1</f>
        <v>ver.1.0（2026/07/01）</v>
      </c>
      <c r="C1" s="39"/>
      <c r="D1" s="39"/>
    </row>
    <row r="2" spans="2:16" ht="15" customHeight="1" x14ac:dyDescent="0.2">
      <c r="B2" s="481" t="s">
        <v>357</v>
      </c>
      <c r="C2" s="481"/>
      <c r="D2" s="481"/>
      <c r="F2" s="89"/>
      <c r="G2" s="21" t="s">
        <v>96</v>
      </c>
      <c r="J2" s="23"/>
      <c r="K2" s="21" t="s">
        <v>98</v>
      </c>
    </row>
    <row r="3" spans="2:16" ht="15" customHeight="1" x14ac:dyDescent="0.2">
      <c r="B3" s="481"/>
      <c r="C3" s="481"/>
      <c r="D3" s="481"/>
      <c r="F3" s="22"/>
      <c r="G3" t="s">
        <v>97</v>
      </c>
      <c r="H3" s="21"/>
    </row>
    <row r="4" spans="2:16" ht="13.5" customHeight="1" thickBot="1" x14ac:dyDescent="0.25">
      <c r="J4" s="160" t="s">
        <v>99</v>
      </c>
    </row>
    <row r="5" spans="2:16" ht="13.5" customHeight="1" thickTop="1" thickBot="1" x14ac:dyDescent="0.25">
      <c r="B5" s="315" t="s">
        <v>130</v>
      </c>
      <c r="C5" s="493" t="str">
        <f>IF(ISBLANK(入力及び計算結果!C6),"",IF(ISBLANK(入力及び計算結果!F7),"",IF(OR(入力及び計算結果!F7=1,入力及び計算結果!F7=2),入力及び計算結果!C6,"")))</f>
        <v/>
      </c>
      <c r="D5" s="503"/>
      <c r="E5" s="503"/>
      <c r="F5" s="503"/>
      <c r="G5" s="503"/>
      <c r="H5" s="504"/>
      <c r="J5" s="102" t="s">
        <v>101</v>
      </c>
      <c r="K5" s="102"/>
      <c r="L5" s="102"/>
      <c r="M5" s="102"/>
      <c r="N5" s="102"/>
      <c r="O5" s="161" t="s">
        <v>9</v>
      </c>
      <c r="P5" s="161" t="s">
        <v>12</v>
      </c>
    </row>
    <row r="6" spans="2:16" ht="13.5" customHeight="1" thickTop="1" thickBot="1" x14ac:dyDescent="0.25">
      <c r="B6" s="483" t="s">
        <v>70</v>
      </c>
      <c r="C6" s="484"/>
      <c r="D6" s="484"/>
      <c r="E6" s="484"/>
      <c r="F6" s="484"/>
      <c r="G6" s="485"/>
      <c r="H6" s="318" t="str">
        <f>IF(ISBLANK(入力及び計算結果!H69),"",入力及び計算結果!H69)</f>
        <v/>
      </c>
      <c r="J6" t="s">
        <v>131</v>
      </c>
      <c r="L6" t="s">
        <v>132</v>
      </c>
      <c r="O6">
        <v>1</v>
      </c>
      <c r="P6">
        <v>1</v>
      </c>
    </row>
    <row r="7" spans="2:16" ht="13.5" customHeight="1" thickTop="1" thickBot="1" x14ac:dyDescent="0.25">
      <c r="B7" s="505" t="s">
        <v>71</v>
      </c>
      <c r="C7" s="375" t="s">
        <v>72</v>
      </c>
      <c r="D7" s="375"/>
      <c r="E7" s="375"/>
      <c r="F7" s="375"/>
      <c r="G7" s="29" t="s">
        <v>73</v>
      </c>
      <c r="H7" s="319" t="str">
        <f>IF(ISBLANK(入力及び計算結果!H70),"",入力及び計算結果!H70)</f>
        <v/>
      </c>
      <c r="J7" s="59" t="s">
        <v>133</v>
      </c>
      <c r="K7" s="59"/>
      <c r="L7" s="59" t="s">
        <v>103</v>
      </c>
      <c r="M7" s="59"/>
      <c r="N7" s="102"/>
      <c r="O7" s="320">
        <v>37.5</v>
      </c>
      <c r="P7" s="320">
        <v>37.5</v>
      </c>
    </row>
    <row r="8" spans="2:16" ht="13.5" customHeight="1" thickTop="1" thickBot="1" x14ac:dyDescent="0.25">
      <c r="B8" s="505"/>
      <c r="C8" s="375" t="s">
        <v>74</v>
      </c>
      <c r="D8" s="375"/>
      <c r="E8" s="375"/>
      <c r="F8" s="375"/>
      <c r="G8" s="29" t="s">
        <v>73</v>
      </c>
      <c r="H8" s="319" t="str">
        <f>IF(ISBLANK(入力及び計算結果!H71),"",入力及び計算結果!H71)</f>
        <v/>
      </c>
      <c r="J8" s="102" t="s">
        <v>134</v>
      </c>
      <c r="K8" s="102"/>
      <c r="L8" s="102" t="s">
        <v>135</v>
      </c>
      <c r="M8" s="102"/>
      <c r="N8" s="102"/>
      <c r="O8" s="102">
        <v>21</v>
      </c>
      <c r="P8" s="102">
        <v>21</v>
      </c>
    </row>
    <row r="9" spans="2:16" ht="13.5" customHeight="1" thickTop="1" thickBot="1" x14ac:dyDescent="0.25">
      <c r="B9" s="321" t="s">
        <v>75</v>
      </c>
      <c r="C9" s="523" t="s">
        <v>76</v>
      </c>
      <c r="D9" s="524"/>
      <c r="E9" s="524"/>
      <c r="F9" s="525"/>
      <c r="G9" s="322" t="s">
        <v>77</v>
      </c>
      <c r="H9" s="103" t="str">
        <f>IF(ISBLANK(入力及び計算結果!H72),"",入力及び計算結果!H72)</f>
        <v/>
      </c>
      <c r="J9" s="102" t="s">
        <v>136</v>
      </c>
      <c r="K9" s="102"/>
      <c r="L9" s="102" t="s">
        <v>137</v>
      </c>
      <c r="M9" s="102"/>
      <c r="N9" s="102"/>
      <c r="O9" s="102">
        <v>2</v>
      </c>
      <c r="P9" s="102">
        <v>2</v>
      </c>
    </row>
    <row r="10" spans="2:16" ht="13.5" customHeight="1" thickTop="1" x14ac:dyDescent="0.2">
      <c r="B10" s="480"/>
      <c r="C10" s="480"/>
      <c r="D10" s="480"/>
      <c r="E10" s="480"/>
      <c r="F10" s="480"/>
      <c r="G10" s="480"/>
      <c r="H10" s="323"/>
      <c r="J10" s="102" t="s">
        <v>138</v>
      </c>
      <c r="K10" s="102"/>
      <c r="L10" s="102" t="s">
        <v>139</v>
      </c>
      <c r="M10" s="102"/>
      <c r="N10" s="102"/>
      <c r="O10" s="102">
        <v>4</v>
      </c>
      <c r="P10" s="102">
        <v>4</v>
      </c>
    </row>
    <row r="11" spans="2:16" ht="14.25" customHeight="1" x14ac:dyDescent="0.2">
      <c r="B11" s="522"/>
      <c r="C11" s="522"/>
      <c r="D11" s="522"/>
      <c r="E11" s="522"/>
      <c r="F11" s="522"/>
      <c r="G11" s="522"/>
      <c r="H11" s="78"/>
      <c r="J11" s="59" t="s">
        <v>140</v>
      </c>
      <c r="K11" s="59"/>
      <c r="L11" s="59" t="s">
        <v>141</v>
      </c>
      <c r="M11" s="59"/>
      <c r="N11" s="102"/>
      <c r="O11" s="320">
        <v>0.02</v>
      </c>
      <c r="P11" s="320">
        <v>0.02</v>
      </c>
    </row>
    <row r="12" spans="2:16" x14ac:dyDescent="0.2">
      <c r="J12" s="59" t="s">
        <v>111</v>
      </c>
      <c r="K12" s="68"/>
      <c r="L12" s="59" t="s">
        <v>142</v>
      </c>
      <c r="M12" s="59"/>
      <c r="N12" s="102"/>
      <c r="O12" s="320">
        <v>0.6</v>
      </c>
      <c r="P12" s="320">
        <v>0.6</v>
      </c>
    </row>
    <row r="13" spans="2:16" ht="13.5" customHeight="1" thickBot="1" x14ac:dyDescent="0.25">
      <c r="J13" s="68" t="s">
        <v>118</v>
      </c>
      <c r="K13" s="68"/>
      <c r="L13" s="65" t="s">
        <v>119</v>
      </c>
      <c r="M13" s="65"/>
      <c r="N13" s="65"/>
      <c r="O13" s="320">
        <v>1</v>
      </c>
      <c r="P13" s="68">
        <v>1</v>
      </c>
    </row>
    <row r="14" spans="2:16" ht="13.5" customHeight="1" thickTop="1" thickBot="1" x14ac:dyDescent="0.25">
      <c r="E14" s="507" t="s">
        <v>117</v>
      </c>
      <c r="F14" s="508"/>
      <c r="G14" s="376"/>
      <c r="H14" s="378"/>
    </row>
    <row r="15" spans="2:16" ht="13.5" customHeight="1" thickTop="1" x14ac:dyDescent="0.2">
      <c r="E15" s="79" t="s">
        <v>120</v>
      </c>
      <c r="F15" s="80"/>
      <c r="G15" s="80"/>
    </row>
    <row r="16" spans="2:16" ht="13.5" customHeight="1" x14ac:dyDescent="0.2">
      <c r="E16" s="79"/>
      <c r="F16" s="80"/>
      <c r="G16" s="80"/>
    </row>
    <row r="17" spans="1:54" ht="13.5" customHeight="1" x14ac:dyDescent="0.2">
      <c r="E17" s="79"/>
      <c r="F17" s="80"/>
      <c r="G17" s="80"/>
      <c r="J17" s="67"/>
      <c r="L17" s="79"/>
    </row>
    <row r="18" spans="1:54" ht="13.5" customHeight="1" thickBot="1" x14ac:dyDescent="0.25">
      <c r="B18" s="324" t="s">
        <v>143</v>
      </c>
      <c r="E18" s="79"/>
      <c r="F18" s="80"/>
      <c r="G18" s="80"/>
      <c r="H18" s="516" t="s">
        <v>144</v>
      </c>
      <c r="I18" s="516"/>
      <c r="J18" s="516"/>
      <c r="K18" s="516"/>
      <c r="L18" s="516"/>
      <c r="M18" s="516"/>
      <c r="N18" s="77"/>
      <c r="O18" s="99"/>
      <c r="P18" s="99"/>
    </row>
    <row r="19" spans="1:54" ht="13.5" customHeight="1" thickTop="1" thickBot="1" x14ac:dyDescent="0.25">
      <c r="B19" s="486" t="s">
        <v>145</v>
      </c>
      <c r="C19" s="487"/>
      <c r="D19" s="488"/>
      <c r="E19" s="103" t="str">
        <f>IF(ISBLANK(入力及び計算結果!H73),"",入力及び計算結果!H73)</f>
        <v/>
      </c>
      <c r="F19" s="317" t="s">
        <v>146</v>
      </c>
      <c r="G19" s="80"/>
      <c r="H19" s="516"/>
      <c r="I19" s="516"/>
      <c r="J19" s="516"/>
      <c r="K19" s="516"/>
      <c r="L19" s="516"/>
      <c r="M19" s="516"/>
      <c r="N19" s="77"/>
      <c r="O19" s="99"/>
      <c r="P19" s="99"/>
    </row>
    <row r="20" spans="1:54" ht="13.5" customHeight="1" thickTop="1" x14ac:dyDescent="0.2">
      <c r="B20" s="448" t="s">
        <v>147</v>
      </c>
      <c r="C20" s="449"/>
      <c r="D20" s="513"/>
      <c r="E20" s="326">
        <v>6</v>
      </c>
      <c r="F20" s="327" t="s">
        <v>146</v>
      </c>
      <c r="G20" s="80"/>
      <c r="H20" s="516"/>
      <c r="I20" s="516"/>
      <c r="J20" s="516"/>
      <c r="K20" s="516"/>
      <c r="L20" s="516"/>
      <c r="M20" s="516"/>
      <c r="N20" s="77"/>
      <c r="O20" s="99"/>
      <c r="P20" s="99"/>
    </row>
    <row r="21" spans="1:54" ht="13.5" customHeight="1" thickBot="1" x14ac:dyDescent="0.25">
      <c r="B21" s="509" t="s">
        <v>148</v>
      </c>
      <c r="C21" s="517"/>
      <c r="D21" s="510"/>
      <c r="E21" s="328">
        <v>19</v>
      </c>
      <c r="F21" s="329" t="s">
        <v>146</v>
      </c>
      <c r="G21" s="80"/>
      <c r="H21" s="516"/>
      <c r="I21" s="516"/>
      <c r="J21" s="516"/>
      <c r="K21" s="516"/>
      <c r="L21" s="516"/>
      <c r="M21" s="516"/>
      <c r="N21" s="77"/>
      <c r="O21" s="99"/>
      <c r="P21" s="99"/>
    </row>
    <row r="22" spans="1:54" ht="13.5" customHeight="1" thickTop="1" x14ac:dyDescent="0.2">
      <c r="E22" s="79"/>
      <c r="F22" s="80"/>
      <c r="G22" s="80"/>
      <c r="H22" s="516"/>
      <c r="I22" s="516"/>
      <c r="J22" s="516"/>
      <c r="K22" s="516"/>
      <c r="L22" s="516"/>
      <c r="M22" s="516"/>
      <c r="N22" s="77"/>
      <c r="O22" s="99"/>
      <c r="P22" s="99"/>
    </row>
    <row r="23" spans="1:54" ht="13.5" customHeight="1" x14ac:dyDescent="0.2">
      <c r="E23" s="79"/>
      <c r="F23" s="80"/>
      <c r="G23" s="80"/>
      <c r="I23" s="115"/>
      <c r="J23" s="115"/>
      <c r="K23" s="115"/>
      <c r="L23" s="115"/>
      <c r="M23" s="79"/>
      <c r="N23" s="77"/>
      <c r="O23" s="99"/>
      <c r="P23" s="99"/>
    </row>
    <row r="24" spans="1:54" ht="13.5" customHeight="1" thickBot="1" x14ac:dyDescent="0.25">
      <c r="B24" s="40" t="s">
        <v>149</v>
      </c>
      <c r="I24" s="100"/>
      <c r="J24" s="100"/>
      <c r="K24" s="100"/>
      <c r="L24" s="100"/>
      <c r="M24" s="100"/>
      <c r="N24" s="100"/>
      <c r="AH24" s="99"/>
      <c r="AI24" s="99"/>
      <c r="AJ24" s="99"/>
      <c r="AK24" s="99"/>
      <c r="AL24" s="80"/>
      <c r="AM24" s="80"/>
      <c r="AN24" s="80"/>
      <c r="AO24" s="80"/>
      <c r="AP24" s="80"/>
      <c r="AQ24" s="80"/>
      <c r="AR24" s="80"/>
      <c r="AS24" s="80"/>
      <c r="AT24" s="80"/>
      <c r="AU24" s="99"/>
      <c r="AV24" s="99"/>
      <c r="AW24" s="99"/>
      <c r="AX24" s="99"/>
      <c r="AY24" s="99"/>
      <c r="AZ24" s="99"/>
      <c r="BA24" s="99"/>
      <c r="BB24" s="99"/>
    </row>
    <row r="25" spans="1:54" ht="13.5" customHeight="1" thickTop="1" x14ac:dyDescent="0.2">
      <c r="B25" s="518"/>
      <c r="C25" s="519"/>
      <c r="D25" s="330" t="s">
        <v>9</v>
      </c>
      <c r="E25" s="128" t="s">
        <v>12</v>
      </c>
    </row>
    <row r="26" spans="1:54" s="80" customFormat="1" ht="13.5" customHeight="1" thickBot="1" x14ac:dyDescent="0.25">
      <c r="A26" s="19"/>
      <c r="B26" s="520" t="s">
        <v>101</v>
      </c>
      <c r="C26" s="521"/>
      <c r="D26" s="331" t="s">
        <v>121</v>
      </c>
      <c r="E26" s="332" t="s">
        <v>121</v>
      </c>
      <c r="F26"/>
      <c r="G26"/>
      <c r="H26"/>
      <c r="I26"/>
      <c r="J26"/>
      <c r="K26"/>
      <c r="L26"/>
      <c r="M26"/>
      <c r="N26"/>
    </row>
    <row r="27" spans="1:54" ht="13.5" customHeight="1" thickTop="1" x14ac:dyDescent="0.2">
      <c r="B27" s="514" t="s">
        <v>133</v>
      </c>
      <c r="C27" s="515"/>
      <c r="D27" s="254">
        <v>37.5</v>
      </c>
      <c r="E27" s="333">
        <v>37.5</v>
      </c>
    </row>
    <row r="28" spans="1:54" ht="13.5" customHeight="1" x14ac:dyDescent="0.2">
      <c r="B28" s="451" t="s">
        <v>140</v>
      </c>
      <c r="C28" s="506"/>
      <c r="D28" s="276">
        <v>0.02</v>
      </c>
      <c r="E28" s="131">
        <v>0.02</v>
      </c>
    </row>
    <row r="29" spans="1:54" ht="13.5" customHeight="1" x14ac:dyDescent="0.2">
      <c r="B29" s="451" t="s">
        <v>109</v>
      </c>
      <c r="C29" s="506"/>
      <c r="D29" s="276" t="str">
        <f>dr</f>
        <v/>
      </c>
      <c r="E29" s="131">
        <v>1.7</v>
      </c>
    </row>
    <row r="30" spans="1:54" ht="13.5" customHeight="1" x14ac:dyDescent="0.2">
      <c r="B30" s="451" t="s">
        <v>111</v>
      </c>
      <c r="C30" s="506"/>
      <c r="D30" s="276">
        <v>0.6</v>
      </c>
      <c r="E30" s="131">
        <v>0.6</v>
      </c>
    </row>
    <row r="31" spans="1:54" ht="13.5" customHeight="1" x14ac:dyDescent="0.2">
      <c r="B31" s="451" t="s">
        <v>118</v>
      </c>
      <c r="C31" s="506"/>
      <c r="D31" s="276">
        <v>1</v>
      </c>
      <c r="E31" s="131">
        <v>1</v>
      </c>
    </row>
    <row r="32" spans="1:54" ht="13.5" customHeight="1" thickBot="1" x14ac:dyDescent="0.25">
      <c r="B32" s="511" t="s">
        <v>150</v>
      </c>
      <c r="C32" s="512"/>
      <c r="D32" s="334" t="str">
        <f>fu</f>
        <v/>
      </c>
      <c r="E32" s="335" t="str">
        <f>fua</f>
        <v/>
      </c>
    </row>
    <row r="33" spans="2:5" ht="13.5" customHeight="1" thickTop="1" x14ac:dyDescent="0.2">
      <c r="B33" s="448" t="s">
        <v>125</v>
      </c>
      <c r="C33" s="513"/>
      <c r="D33" s="336" t="str">
        <f>IF(NOT(ISNUMBER(fu)),"-",($H$6*D27-D35/1)*(D28/100)*D32*O9)</f>
        <v>-</v>
      </c>
      <c r="E33" s="336" t="str">
        <f>IF(NOT(ISNUMBER(fua)),"-",($H$6*E27-E35/1)*(E28/100)*E32*P9)</f>
        <v>-</v>
      </c>
    </row>
    <row r="34" spans="2:5" ht="13.5" customHeight="1" x14ac:dyDescent="0.2">
      <c r="B34" s="84" t="s">
        <v>151</v>
      </c>
      <c r="C34" s="325"/>
      <c r="D34" s="337" t="str">
        <f>IFERROR(IF(E19&gt;0,(H6*D27-D35/1)*(D28/100)*fu*(EXP(-(LN(2)/E19*E20))+EXP(-(LN(2)/E19*E21))),"-"),"-")</f>
        <v>-</v>
      </c>
      <c r="E34" s="338" t="str">
        <f>IFERROR(IF(E19&gt;0,(H6*E27-E35/1)*(E28/100)*fua*(EXP(-(LN(2)/E19*E20))+EXP(-(LN(2)/E19*E21))),"-"),"-")</f>
        <v>-</v>
      </c>
    </row>
    <row r="35" spans="2:5" ht="13.5" customHeight="1" thickBot="1" x14ac:dyDescent="0.25">
      <c r="B35" s="451" t="s">
        <v>126</v>
      </c>
      <c r="C35" s="506"/>
      <c r="D35" s="339" t="str">
        <f>IF(NOT(ISNUMBER(fu)),"-",$H$6*1*(D29/100)*D30*D31)</f>
        <v>-</v>
      </c>
      <c r="E35" s="338" t="str">
        <f>IF(NOT(ISNUMBER(fua)),"-",$H$6*1*(E29/100)*E30*E31)</f>
        <v>-</v>
      </c>
    </row>
    <row r="36" spans="2:5" ht="13.5" customHeight="1" thickTop="1" x14ac:dyDescent="0.2">
      <c r="B36" s="514" t="s">
        <v>152</v>
      </c>
      <c r="C36" s="515"/>
      <c r="D36" s="175" t="str">
        <f>IF(NOT(ISNUMBER(fu)),"-",(D33+D35)/((3*86400*17)+(11*86400*4))*1000)</f>
        <v>-</v>
      </c>
      <c r="E36" s="175" t="str">
        <f>IF(NOT(ISNUMBER(fua)),"-",(E33+E35)/((3*86400*17)+(11*86400*4))*1000)</f>
        <v>-</v>
      </c>
    </row>
    <row r="37" spans="2:5" ht="13.5" customHeight="1" thickBot="1" x14ac:dyDescent="0.25">
      <c r="B37" s="509" t="s">
        <v>153</v>
      </c>
      <c r="C37" s="510"/>
      <c r="D37" s="142" t="str">
        <f>IF(NOT(ISNUMBER(fu)),"-",IF(ISBLANK(E19),"減衰を考慮せず",(D34+D35)/((3*86400*17)+(11*86400*4))*1000))</f>
        <v>-</v>
      </c>
      <c r="E37" s="142" t="str">
        <f>IF(NOT(ISNUMBER(fua)),"-",IF(ISBLANK(E19),"減衰を考慮せず",(E34+E35)/((3*86400*17)+(11*86400*4))*1000))</f>
        <v>-</v>
      </c>
    </row>
    <row r="38" spans="2:5" ht="13.5" thickTop="1" x14ac:dyDescent="0.2"/>
    <row r="39" spans="2:5" x14ac:dyDescent="0.2">
      <c r="B39" s="10" t="s">
        <v>129</v>
      </c>
    </row>
  </sheetData>
  <sheetProtection algorithmName="SHA-512" hashValue="guYKb7XS9mIJz2AggtSHugByakOy7AhlUl8AC7CZpiB1I+PZXG0kyTYIUTjU2aprvG9fJk39vNP3nhPElzy6Yw==" saltValue="mmbAurjeYgCnB8j4I4xWrg==" spinCount="100000" sheet="1" objects="1" scenarios="1" selectLockedCells="1"/>
  <mergeCells count="27">
    <mergeCell ref="H18:M22"/>
    <mergeCell ref="B6:G6"/>
    <mergeCell ref="B27:C27"/>
    <mergeCell ref="B28:C28"/>
    <mergeCell ref="B10:G10"/>
    <mergeCell ref="B19:D19"/>
    <mergeCell ref="B20:D20"/>
    <mergeCell ref="B21:D21"/>
    <mergeCell ref="B25:C25"/>
    <mergeCell ref="B26:C26"/>
    <mergeCell ref="G14:H14"/>
    <mergeCell ref="B11:G11"/>
    <mergeCell ref="C9:F9"/>
    <mergeCell ref="B35:C35"/>
    <mergeCell ref="B29:C29"/>
    <mergeCell ref="E14:F14"/>
    <mergeCell ref="B37:C37"/>
    <mergeCell ref="B30:C30"/>
    <mergeCell ref="B31:C31"/>
    <mergeCell ref="B32:C32"/>
    <mergeCell ref="B33:C33"/>
    <mergeCell ref="B36:C36"/>
    <mergeCell ref="B2:D3"/>
    <mergeCell ref="C5:H5"/>
    <mergeCell ref="B7:B8"/>
    <mergeCell ref="C7:F7"/>
    <mergeCell ref="C8:F8"/>
  </mergeCells>
  <phoneticPr fontId="3"/>
  <conditionalFormatting sqref="D36:D37">
    <cfRule type="expression" dxfId="1149" priority="10" stopIfTrue="1">
      <formula>$G$14=1</formula>
    </cfRule>
  </conditionalFormatting>
  <conditionalFormatting sqref="D33:E35">
    <cfRule type="expression" dxfId="1148" priority="1683" stopIfTrue="1">
      <formula>$G$14=1</formula>
    </cfRule>
    <cfRule type="expression" dxfId="1147" priority="1684" stopIfTrue="1">
      <formula>$G$14=0</formula>
    </cfRule>
  </conditionalFormatting>
  <conditionalFormatting sqref="D33:E37">
    <cfRule type="expression" dxfId="1146" priority="1" stopIfTrue="1">
      <formula>$G$14=""</formula>
    </cfRule>
    <cfRule type="expression" dxfId="1145" priority="2" stopIfTrue="1">
      <formula>$G$14=8</formula>
    </cfRule>
    <cfRule type="expression" dxfId="1144" priority="3" stopIfTrue="1">
      <formula>$G$14=7</formula>
    </cfRule>
    <cfRule type="expression" dxfId="1143" priority="5" stopIfTrue="1">
      <formula>$G$14=6</formula>
    </cfRule>
    <cfRule type="expression" dxfId="1142" priority="6" stopIfTrue="1">
      <formula>$G$14=5</formula>
    </cfRule>
    <cfRule type="expression" dxfId="1141" priority="7" stopIfTrue="1">
      <formula>$G$14=4</formula>
    </cfRule>
    <cfRule type="expression" dxfId="1140" priority="8" stopIfTrue="1">
      <formula>$G$14=3</formula>
    </cfRule>
    <cfRule type="expression" dxfId="1139" priority="9" stopIfTrue="1">
      <formula>$G$14=2</formula>
    </cfRule>
  </conditionalFormatting>
  <conditionalFormatting sqref="D36:E37">
    <cfRule type="expression" dxfId="1138" priority="11" stopIfTrue="1">
      <formula>$G$14=0</formula>
    </cfRule>
  </conditionalFormatting>
  <conditionalFormatting sqref="J2">
    <cfRule type="expression" dxfId="1137" priority="13" stopIfTrue="1">
      <formula>$G$14=""</formula>
    </cfRule>
    <cfRule type="expression" dxfId="1136" priority="14" stopIfTrue="1">
      <formula>$G$14=8</formula>
    </cfRule>
    <cfRule type="expression" dxfId="1135" priority="15" stopIfTrue="1">
      <formula>$G$14=7</formula>
    </cfRule>
    <cfRule type="expression" dxfId="1134" priority="17" stopIfTrue="1">
      <formula>$G$14=6</formula>
    </cfRule>
    <cfRule type="expression" dxfId="1133" priority="18" stopIfTrue="1">
      <formula>$G$14=5</formula>
    </cfRule>
    <cfRule type="expression" dxfId="1132" priority="19" stopIfTrue="1">
      <formula>$G$14=4</formula>
    </cfRule>
    <cfRule type="expression" dxfId="1131" priority="20" stopIfTrue="1">
      <formula>$G$14=3</formula>
    </cfRule>
    <cfRule type="expression" dxfId="1130" priority="21" stopIfTrue="1">
      <formula>$G$14=2</formula>
    </cfRule>
    <cfRule type="expression" dxfId="1129" priority="22" stopIfTrue="1">
      <formula>$G$14=1</formula>
    </cfRule>
    <cfRule type="expression" dxfId="1128" priority="23" stopIfTrue="1">
      <formula>$G$14=0</formula>
    </cfRule>
    <cfRule type="expression" dxfId="1127" priority="24" stopIfTrue="1">
      <formula>AND(ISNUMBER(J2),MAX($C37:$C37)=J2,$G$14="")</formula>
    </cfRule>
    <cfRule type="expression" dxfId="1126" priority="25" stopIfTrue="1">
      <formula>AND(ISNUMBER(J2),MAX($C37:$C37)=J2,$G$14=0)</formula>
    </cfRule>
    <cfRule type="expression" dxfId="1125" priority="26" stopIfTrue="1">
      <formula>AND(ISNUMBER(J2),MAX($C37:$C37)=J2,$G$14=1)</formula>
    </cfRule>
    <cfRule type="expression" dxfId="1124" priority="27" stopIfTrue="1">
      <formula>AND(ISNUMBER(J2),MAX($C37:$C37)=J2,$G$14=2)</formula>
    </cfRule>
    <cfRule type="expression" dxfId="1123" priority="28" stopIfTrue="1">
      <formula>AND(ISNUMBER(J2),MAX($C37:$C37)=J2,$G$14=3)</formula>
    </cfRule>
    <cfRule type="expression" dxfId="1122" priority="29" stopIfTrue="1">
      <formula>AND(ISNUMBER(J2),MAX($C37:$C37)=J2,$G$14=4)</formula>
    </cfRule>
    <cfRule type="expression" dxfId="1121" priority="30" stopIfTrue="1">
      <formula>AND(ISNUMBER(J2),MAX($C37:$C37)=J2,$G$14=5)</formula>
    </cfRule>
    <cfRule type="expression" dxfId="1120" priority="31" stopIfTrue="1">
      <formula>AND(ISNUMBER(J2),MAX($C37:$C37)=J2,$G$14=6)</formula>
    </cfRule>
    <cfRule type="expression" dxfId="1119" priority="32" stopIfTrue="1">
      <formula>AND(ISNUMBER(J2),MAX($C37:$C37)=J2,$G$14=7)</formula>
    </cfRule>
    <cfRule type="expression" dxfId="1118" priority="33" stopIfTrue="1">
      <formula>AND(ISNUMBER(J2),MAX($C37:$C37)=J2,$G$14=8)</formula>
    </cfRule>
  </conditionalFormatting>
  <hyperlinks>
    <hyperlink ref="B39" location="入力及び計算結果!A1" display="「入力及び計算結果」に戻る" xr:uid="{00000000-0004-0000-0200-000000000000}"/>
  </hyperlinks>
  <printOptions horizontalCentered="1"/>
  <pageMargins left="0" right="0" top="0.98425196850393704" bottom="0" header="0.51181102362204722" footer="0"/>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C250"/>
  <sheetViews>
    <sheetView zoomScale="85" zoomScaleNormal="85" workbookViewId="0">
      <selection activeCell="C72" sqref="C72"/>
    </sheetView>
  </sheetViews>
  <sheetFormatPr defaultRowHeight="13" x14ac:dyDescent="0.2"/>
  <cols>
    <col min="1" max="1" width="2.453125" style="91" customWidth="1"/>
    <col min="2" max="2" width="12.08984375" customWidth="1"/>
    <col min="3" max="3" width="23.90625" customWidth="1"/>
    <col min="4" max="4" width="12.453125" customWidth="1"/>
    <col min="5" max="7" width="25.08984375" customWidth="1"/>
    <col min="8" max="9" width="12.453125" customWidth="1"/>
    <col min="10" max="10" width="16.453125" customWidth="1"/>
    <col min="11" max="21" width="12.453125" customWidth="1"/>
    <col min="22" max="22" width="12.08984375" customWidth="1"/>
    <col min="23" max="23" width="11.90625" bestFit="1" customWidth="1"/>
    <col min="24" max="24" width="9.26953125" customWidth="1"/>
    <col min="25" max="25" width="19.7265625" customWidth="1"/>
    <col min="26" max="26" width="5.7265625" customWidth="1"/>
    <col min="27" max="28" width="13.90625" customWidth="1"/>
    <col min="29" max="29" width="12.453125" customWidth="1"/>
    <col min="30" max="30" width="12.08984375" customWidth="1"/>
    <col min="31" max="31" width="11.90625" bestFit="1" customWidth="1"/>
    <col min="32" max="32" width="9.26953125" customWidth="1"/>
    <col min="33" max="33" width="19.7265625" customWidth="1"/>
    <col min="34" max="34" width="5.7265625" customWidth="1"/>
    <col min="35" max="36" width="13.90625" customWidth="1"/>
    <col min="37" max="37" width="12.453125" customWidth="1"/>
    <col min="38" max="38" width="12.08984375" customWidth="1"/>
    <col min="39" max="39" width="11.90625" bestFit="1" customWidth="1"/>
    <col min="40" max="40" width="9.26953125" customWidth="1"/>
    <col min="41" max="41" width="19.7265625" customWidth="1"/>
    <col min="42" max="42" width="5.7265625" customWidth="1"/>
    <col min="43" max="47" width="13.90625" customWidth="1"/>
    <col min="48" max="48" width="11.453125" customWidth="1"/>
    <col min="49" max="50" width="13.453125" customWidth="1"/>
    <col min="51" max="51" width="11.90625" style="99" customWidth="1"/>
    <col min="52" max="52" width="12.453125" style="99" customWidth="1"/>
    <col min="53" max="53" width="13.7265625" style="143" customWidth="1"/>
    <col min="54" max="54" width="14.453125" style="99" customWidth="1"/>
    <col min="55" max="55" width="12.453125" style="143" customWidth="1"/>
    <col min="56" max="56" width="16.08984375" style="143" customWidth="1"/>
    <col min="57" max="57" width="13.26953125" style="143" customWidth="1"/>
    <col min="58" max="58" width="14.453125" style="143" customWidth="1"/>
    <col min="59" max="59" width="11.90625" style="99" customWidth="1"/>
    <col min="60" max="60" width="12.453125" style="99" customWidth="1"/>
    <col min="61" max="61" width="13.453125" style="143" customWidth="1"/>
    <col min="62" max="62" width="14.453125" style="99" customWidth="1"/>
    <col min="63" max="63" width="12.7265625" style="143" customWidth="1"/>
    <col min="64" max="64" width="16.08984375" style="143" customWidth="1"/>
    <col min="65" max="65" width="13.26953125" style="143" customWidth="1"/>
    <col min="66" max="66" width="14.453125" style="143" customWidth="1"/>
    <col min="67" max="67" width="11.90625" style="99" customWidth="1"/>
    <col min="68" max="68" width="12.453125" style="99" customWidth="1"/>
    <col min="69" max="69" width="14.08984375" style="143" customWidth="1"/>
    <col min="70" max="70" width="14.90625" style="99" customWidth="1"/>
    <col min="71" max="71" width="16.08984375" style="143" customWidth="1"/>
    <col min="72" max="72" width="8.7265625" style="143" customWidth="1"/>
    <col min="73" max="73" width="10.7265625" style="80" customWidth="1"/>
    <col min="74" max="74" width="14.08984375" style="143" customWidth="1"/>
    <col min="75" max="75" width="14.08984375" style="99" customWidth="1"/>
    <col min="76" max="76" width="9.08984375" style="99" customWidth="1"/>
    <col min="77" max="77" width="9.08984375" style="80" customWidth="1"/>
    <col min="78" max="78" width="13.08984375" style="80" customWidth="1"/>
    <col min="79" max="81" width="9.08984375" style="80" customWidth="1"/>
    <col min="82" max="82" width="13.08984375" style="80" customWidth="1"/>
    <col min="83" max="84" width="9.08984375" style="80" customWidth="1"/>
    <col min="85" max="93" width="9.08984375" style="99" customWidth="1"/>
    <col min="100" max="100" width="11.453125" bestFit="1" customWidth="1"/>
    <col min="101" max="101" width="5.08984375" customWidth="1"/>
    <col min="103" max="103" width="11.453125" bestFit="1" customWidth="1"/>
    <col min="104" max="104" width="5.08984375" customWidth="1"/>
    <col min="106" max="106" width="11.453125" bestFit="1" customWidth="1"/>
    <col min="107" max="107" width="5.08984375" customWidth="1"/>
    <col min="109" max="109" width="11.453125" bestFit="1" customWidth="1"/>
    <col min="110" max="110" width="5.08984375" customWidth="1"/>
  </cols>
  <sheetData>
    <row r="1" spans="2:93" ht="15" customHeight="1" x14ac:dyDescent="0.2">
      <c r="B1" s="17" t="str">
        <f>入力及び計算結果!B1</f>
        <v>ver.1.0（2026/07/01）</v>
      </c>
      <c r="C1" s="313"/>
      <c r="D1" s="313"/>
    </row>
    <row r="2" spans="2:93" ht="15" customHeight="1" x14ac:dyDescent="0.2">
      <c r="B2" s="606" t="s">
        <v>154</v>
      </c>
      <c r="C2" s="606"/>
      <c r="D2" s="606"/>
      <c r="F2" s="89"/>
      <c r="G2" s="21" t="s">
        <v>96</v>
      </c>
      <c r="AW2" s="99"/>
      <c r="AX2" s="99"/>
      <c r="AY2" s="143"/>
      <c r="BB2" s="143"/>
      <c r="BE2" s="99"/>
      <c r="BF2" s="99"/>
      <c r="BG2" s="143"/>
      <c r="BJ2" s="143"/>
      <c r="BM2" s="99"/>
      <c r="BN2" s="99"/>
      <c r="BO2" s="143"/>
      <c r="BR2" s="143"/>
      <c r="BS2" s="80"/>
      <c r="BU2" s="99"/>
      <c r="BV2" s="99"/>
      <c r="BW2" s="80"/>
      <c r="BX2" s="80"/>
      <c r="CE2" s="99"/>
      <c r="CF2" s="99"/>
      <c r="CN2"/>
      <c r="CO2"/>
    </row>
    <row r="3" spans="2:93" ht="15" customHeight="1" x14ac:dyDescent="0.35">
      <c r="B3" s="606"/>
      <c r="C3" s="606"/>
      <c r="D3" s="606"/>
      <c r="F3" s="22"/>
      <c r="G3" t="s">
        <v>97</v>
      </c>
      <c r="I3" s="23"/>
      <c r="J3" s="21" t="s">
        <v>98</v>
      </c>
      <c r="M3" s="314"/>
      <c r="W3" s="99"/>
      <c r="X3" s="99"/>
      <c r="Y3" s="99"/>
      <c r="Z3" s="99"/>
      <c r="AA3" s="99"/>
      <c r="AB3" s="99"/>
      <c r="AE3" s="99"/>
      <c r="AF3" s="99"/>
      <c r="AG3" s="99"/>
      <c r="AH3" s="99"/>
      <c r="AI3" s="99"/>
      <c r="AJ3" s="99"/>
      <c r="AM3" s="99"/>
      <c r="AN3" s="99"/>
      <c r="AO3" s="99"/>
      <c r="AP3" s="99"/>
      <c r="AQ3" s="99"/>
      <c r="AR3" s="99"/>
      <c r="AS3" s="99"/>
      <c r="AT3" s="99"/>
      <c r="AU3" s="99"/>
      <c r="AV3" s="99"/>
      <c r="AW3" s="99"/>
      <c r="AX3" s="99"/>
      <c r="BA3" s="144"/>
      <c r="BB3" s="80"/>
      <c r="BC3" s="144"/>
      <c r="BD3" s="144"/>
      <c r="BE3" s="144"/>
      <c r="BF3" s="144"/>
      <c r="BI3" s="144"/>
      <c r="BJ3" s="80"/>
      <c r="BK3" s="144"/>
      <c r="BL3" s="144"/>
      <c r="BM3" s="144"/>
      <c r="BN3" s="144"/>
      <c r="BQ3" s="144"/>
      <c r="BR3" s="80"/>
      <c r="BS3" s="144"/>
      <c r="BT3" s="144"/>
      <c r="BV3" s="144"/>
      <c r="BW3" s="80"/>
      <c r="BX3" s="80"/>
      <c r="CN3"/>
      <c r="CO3"/>
    </row>
    <row r="4" spans="2:93" ht="13.5" customHeight="1" thickBot="1" x14ac:dyDescent="0.25">
      <c r="B4" s="39"/>
      <c r="C4" s="39"/>
      <c r="D4" s="39"/>
      <c r="W4" s="99"/>
      <c r="X4" s="99"/>
      <c r="Y4" s="99"/>
      <c r="Z4" s="99"/>
      <c r="AA4" s="99"/>
      <c r="AB4" s="99"/>
      <c r="AE4" s="99"/>
      <c r="AF4" s="99"/>
      <c r="AG4" s="99"/>
      <c r="AH4" s="99"/>
      <c r="AI4" s="99"/>
      <c r="AJ4" s="99"/>
      <c r="AM4" s="99"/>
      <c r="AN4" s="99"/>
      <c r="AO4" s="99"/>
      <c r="AP4" s="99"/>
      <c r="AQ4" s="99"/>
      <c r="AR4" s="99"/>
      <c r="AS4" s="99"/>
      <c r="AT4" s="99"/>
      <c r="AU4" s="99"/>
      <c r="AV4" s="99"/>
      <c r="AW4" s="99"/>
      <c r="AX4" s="99"/>
      <c r="BA4" s="144"/>
      <c r="BB4" s="80"/>
      <c r="BC4" s="144"/>
      <c r="BD4" s="144"/>
      <c r="BE4" s="144"/>
      <c r="BF4" s="144"/>
      <c r="BI4" s="144"/>
      <c r="BJ4" s="80"/>
      <c r="BK4" s="144"/>
      <c r="BL4" s="144"/>
      <c r="BM4" s="144"/>
      <c r="BN4" s="144"/>
      <c r="BQ4" s="144"/>
      <c r="BR4" s="80"/>
      <c r="BS4" s="144"/>
      <c r="BT4" s="144"/>
      <c r="BV4" s="144"/>
      <c r="BW4" s="80"/>
      <c r="BX4" s="80"/>
      <c r="CN4"/>
      <c r="CO4"/>
    </row>
    <row r="5" spans="2:93" ht="13.5" customHeight="1" thickTop="1" thickBot="1" x14ac:dyDescent="0.25">
      <c r="B5" s="531" t="s">
        <v>155</v>
      </c>
      <c r="C5" s="532"/>
      <c r="D5" s="533" t="str">
        <f>IF(ISBLANK(入力及び計算結果!C6),"",IF(ISBLANK(入力及び計算結果!F7),"",IF(AND(OR(入力及び計算結果!F7=0,入力及び計算結果!F7=2),入力及び計算結果!F8=1),入力及び計算結果!C6,"")))</f>
        <v/>
      </c>
      <c r="E5" s="534"/>
      <c r="F5" s="534"/>
      <c r="G5" s="534"/>
      <c r="H5" s="534"/>
      <c r="I5" s="534"/>
      <c r="J5" s="535"/>
    </row>
    <row r="6" spans="2:93" ht="27" customHeight="1" thickTop="1" thickBot="1" x14ac:dyDescent="0.25">
      <c r="B6" s="536" t="s">
        <v>156</v>
      </c>
      <c r="C6" s="532"/>
      <c r="D6" s="533" t="str">
        <f>IF(ISBLANK(入力及び計算結果!E37),"",入力及び計算結果!E37)</f>
        <v/>
      </c>
      <c r="E6" s="534"/>
      <c r="F6" s="534"/>
      <c r="G6" s="534"/>
      <c r="H6" s="534"/>
      <c r="I6" s="534"/>
      <c r="J6" s="535"/>
    </row>
    <row r="7" spans="2:93" ht="13.5" customHeight="1" thickTop="1" x14ac:dyDescent="0.2">
      <c r="B7" s="145" t="s">
        <v>157</v>
      </c>
      <c r="C7" s="145"/>
      <c r="D7" s="145"/>
      <c r="E7" s="145"/>
      <c r="F7" s="145"/>
      <c r="G7" s="145"/>
      <c r="H7" s="145"/>
      <c r="I7" s="145"/>
    </row>
    <row r="8" spans="2:93" ht="13.5" customHeight="1" x14ac:dyDescent="0.2">
      <c r="B8" s="145"/>
      <c r="C8" s="145"/>
      <c r="D8" s="145"/>
      <c r="E8" s="145"/>
      <c r="F8" s="145"/>
      <c r="G8" s="145"/>
      <c r="H8" s="145"/>
      <c r="I8" s="145"/>
    </row>
    <row r="9" spans="2:93" ht="13.5" customHeight="1" x14ac:dyDescent="0.2">
      <c r="B9" s="91"/>
    </row>
    <row r="10" spans="2:93" ht="13.5" customHeight="1" x14ac:dyDescent="0.2">
      <c r="B10" s="40" t="s">
        <v>158</v>
      </c>
    </row>
    <row r="11" spans="2:93" ht="13.5" customHeight="1" x14ac:dyDescent="0.2">
      <c r="B11" s="95" t="s">
        <v>159</v>
      </c>
      <c r="C11" s="537" t="s">
        <v>160</v>
      </c>
      <c r="D11" s="537"/>
      <c r="E11" s="537"/>
      <c r="F11" s="95" t="s">
        <v>161</v>
      </c>
      <c r="G11" s="95" t="s">
        <v>162</v>
      </c>
      <c r="H11" s="537" t="s">
        <v>163</v>
      </c>
      <c r="I11" s="537"/>
      <c r="J11" s="537"/>
    </row>
    <row r="12" spans="2:93" ht="13.5" customHeight="1" thickBot="1" x14ac:dyDescent="0.25">
      <c r="B12" s="43" t="s">
        <v>164</v>
      </c>
      <c r="C12" s="380" t="s">
        <v>103</v>
      </c>
      <c r="D12" s="452"/>
      <c r="E12" s="453"/>
      <c r="F12" s="146">
        <v>50</v>
      </c>
      <c r="G12" s="43" t="s">
        <v>165</v>
      </c>
      <c r="H12" s="438"/>
      <c r="I12" s="439"/>
      <c r="J12" s="440"/>
    </row>
    <row r="13" spans="2:93" ht="13.5" customHeight="1" thickTop="1" thickBot="1" x14ac:dyDescent="0.25">
      <c r="B13" s="87" t="s">
        <v>166</v>
      </c>
      <c r="C13" s="375" t="s">
        <v>167</v>
      </c>
      <c r="D13" s="375"/>
      <c r="E13" s="401"/>
      <c r="F13" s="147" t="str">
        <f>IF(ISBLANK(入力及び計算結果!E28),"",入力及び計算結果!E28)</f>
        <v/>
      </c>
      <c r="G13" s="69" t="s">
        <v>168</v>
      </c>
      <c r="H13" s="545" t="s">
        <v>169</v>
      </c>
      <c r="I13" s="545"/>
      <c r="J13" s="545"/>
    </row>
    <row r="14" spans="2:93" ht="13.5" customHeight="1" thickTop="1" thickBot="1" x14ac:dyDescent="0.25">
      <c r="B14" s="149" t="s">
        <v>170</v>
      </c>
      <c r="C14" s="401" t="s">
        <v>171</v>
      </c>
      <c r="D14" s="402"/>
      <c r="E14" s="403"/>
      <c r="F14" s="147" t="str">
        <f>IF(ISBLANK(入力及び計算結果!E29),"",入力及び計算結果!E29)</f>
        <v/>
      </c>
      <c r="G14" s="75"/>
      <c r="H14" s="528" t="s">
        <v>172</v>
      </c>
      <c r="I14" s="529"/>
      <c r="J14" s="530"/>
    </row>
    <row r="15" spans="2:93" ht="13.5" customHeight="1" thickTop="1" x14ac:dyDescent="0.2">
      <c r="B15" s="526" t="s">
        <v>173</v>
      </c>
      <c r="C15" s="547" t="s">
        <v>174</v>
      </c>
      <c r="D15" s="539"/>
      <c r="E15" s="539"/>
      <c r="F15" s="151">
        <v>0</v>
      </c>
      <c r="G15" s="526" t="s">
        <v>146</v>
      </c>
      <c r="H15" s="550"/>
      <c r="I15" s="551"/>
      <c r="J15" s="552"/>
    </row>
    <row r="16" spans="2:93" ht="13.5" customHeight="1" x14ac:dyDescent="0.2">
      <c r="B16" s="546"/>
      <c r="C16" s="548"/>
      <c r="D16" s="549"/>
      <c r="E16" s="549"/>
      <c r="F16" s="152">
        <v>14</v>
      </c>
      <c r="G16" s="546"/>
      <c r="H16" s="553"/>
      <c r="I16" s="554"/>
      <c r="J16" s="555"/>
    </row>
    <row r="17" spans="2:93" ht="13.5" customHeight="1" thickBot="1" x14ac:dyDescent="0.25">
      <c r="B17" s="546"/>
      <c r="C17" s="548"/>
      <c r="D17" s="549"/>
      <c r="E17" s="549"/>
      <c r="F17" s="153">
        <v>28</v>
      </c>
      <c r="G17" s="546"/>
      <c r="H17" s="553"/>
      <c r="I17" s="554"/>
      <c r="J17" s="555"/>
    </row>
    <row r="18" spans="2:93" ht="27" customHeight="1" thickTop="1" thickBot="1" x14ac:dyDescent="0.25">
      <c r="B18" s="526" t="s">
        <v>124</v>
      </c>
      <c r="C18" s="538" t="s">
        <v>175</v>
      </c>
      <c r="D18" s="539"/>
      <c r="E18" s="539"/>
      <c r="F18" s="542" t="str">
        <f>IF(ISBLANK(入力及び計算結果!E31),"",入力及び計算結果!E31)</f>
        <v/>
      </c>
      <c r="G18" s="543"/>
      <c r="H18" s="476" t="s">
        <v>54</v>
      </c>
      <c r="I18" s="476"/>
      <c r="J18" s="476"/>
    </row>
    <row r="19" spans="2:93" ht="27" customHeight="1" thickTop="1" thickBot="1" x14ac:dyDescent="0.25">
      <c r="B19" s="527"/>
      <c r="C19" s="540"/>
      <c r="D19" s="541"/>
      <c r="E19" s="541"/>
      <c r="F19" s="542"/>
      <c r="G19" s="544"/>
      <c r="H19" s="476"/>
      <c r="I19" s="476"/>
      <c r="J19" s="476"/>
    </row>
    <row r="20" spans="2:93" ht="27" customHeight="1" thickTop="1" thickBot="1" x14ac:dyDescent="0.25">
      <c r="B20" s="148" t="s">
        <v>176</v>
      </c>
      <c r="C20" s="401" t="s">
        <v>177</v>
      </c>
      <c r="D20" s="402"/>
      <c r="E20" s="402"/>
      <c r="F20" s="147" t="str">
        <f>IF(ISBLANK(入力及び計算結果!E33),"",入力及び計算結果!E33)</f>
        <v/>
      </c>
      <c r="G20" s="69"/>
      <c r="H20" s="398"/>
      <c r="I20" s="399"/>
      <c r="J20" s="400"/>
    </row>
    <row r="21" spans="2:93" ht="13.5" customHeight="1" thickTop="1" thickBot="1" x14ac:dyDescent="0.25">
      <c r="B21" s="87" t="s">
        <v>178</v>
      </c>
      <c r="C21" s="375" t="s">
        <v>179</v>
      </c>
      <c r="D21" s="375"/>
      <c r="E21" s="401"/>
      <c r="F21" s="147" t="str">
        <f>IF(ISBLANK(入力及び計算結果!E34),"",入力及び計算結果!E34)</f>
        <v/>
      </c>
      <c r="G21" s="69" t="s">
        <v>146</v>
      </c>
      <c r="H21" s="398" t="s">
        <v>180</v>
      </c>
      <c r="I21" s="399"/>
      <c r="J21" s="400"/>
    </row>
    <row r="22" spans="2:93" ht="13.5" customHeight="1" thickTop="1" thickBot="1" x14ac:dyDescent="0.25">
      <c r="B22" s="87" t="s">
        <v>181</v>
      </c>
      <c r="C22" s="401" t="s">
        <v>105</v>
      </c>
      <c r="D22" s="402"/>
      <c r="E22" s="410"/>
      <c r="F22" s="147" t="str">
        <f>IF(ISBLANK(入力及び計算結果!E35),"",入力及び計算結果!E35)</f>
        <v/>
      </c>
      <c r="G22" s="69" t="s">
        <v>146</v>
      </c>
      <c r="H22" s="401" t="s">
        <v>59</v>
      </c>
      <c r="I22" s="402"/>
      <c r="J22" s="410"/>
    </row>
    <row r="23" spans="2:93" ht="13.5" customHeight="1" thickTop="1" thickBot="1" x14ac:dyDescent="0.25">
      <c r="B23" s="87" t="s">
        <v>182</v>
      </c>
      <c r="C23" s="375" t="s">
        <v>183</v>
      </c>
      <c r="D23" s="375"/>
      <c r="E23" s="401"/>
      <c r="F23" s="147" t="str">
        <f>IF(ISBLANK(入力及び計算結果!E36),"",入力及び計算結果!E36)</f>
        <v/>
      </c>
      <c r="G23" s="69" t="s">
        <v>184</v>
      </c>
      <c r="H23" s="398"/>
      <c r="I23" s="399"/>
      <c r="J23" s="400"/>
    </row>
    <row r="24" spans="2:93" ht="13.5" customHeight="1" thickTop="1" x14ac:dyDescent="0.2">
      <c r="B24" s="91"/>
      <c r="H24" s="67"/>
      <c r="I24" s="67"/>
      <c r="W24" s="99"/>
      <c r="X24" s="99"/>
      <c r="Y24" s="99"/>
      <c r="Z24" s="99"/>
      <c r="AA24" s="99"/>
      <c r="AB24" s="99"/>
      <c r="AE24" s="99"/>
      <c r="AF24" s="99"/>
      <c r="AG24" s="99"/>
      <c r="AH24" s="99"/>
      <c r="AI24" s="99"/>
      <c r="AJ24" s="99"/>
      <c r="AM24" s="99"/>
      <c r="AN24" s="99"/>
      <c r="AO24" s="99"/>
      <c r="AP24" s="99"/>
      <c r="AQ24" s="99"/>
      <c r="AR24" s="99"/>
      <c r="AS24" s="99"/>
      <c r="AT24" s="99"/>
      <c r="AU24" s="99"/>
      <c r="AV24" s="99"/>
      <c r="AW24" s="99"/>
      <c r="AX24" s="99"/>
      <c r="BX24" s="80"/>
      <c r="CO24"/>
    </row>
    <row r="25" spans="2:93" ht="13.5" customHeight="1" thickBot="1" x14ac:dyDescent="0.25">
      <c r="B25" s="40" t="s">
        <v>185</v>
      </c>
      <c r="H25" s="570" t="s">
        <v>186</v>
      </c>
      <c r="I25" s="570"/>
      <c r="J25" s="570"/>
      <c r="K25" s="570"/>
      <c r="W25" s="99"/>
      <c r="X25" s="99"/>
      <c r="Y25" s="99"/>
      <c r="Z25" s="99"/>
      <c r="AA25" s="99"/>
      <c r="AB25" s="99"/>
      <c r="AE25" s="99"/>
      <c r="AF25" s="99"/>
      <c r="AG25" s="99"/>
      <c r="AH25" s="99"/>
      <c r="AI25" s="99"/>
      <c r="AJ25" s="99"/>
      <c r="AM25" s="99"/>
      <c r="AN25" s="99"/>
      <c r="AO25" s="99"/>
      <c r="AP25" s="99"/>
      <c r="AQ25" s="99"/>
      <c r="AR25" s="99"/>
      <c r="AS25" s="99"/>
      <c r="AT25" s="99"/>
      <c r="AU25" s="99"/>
      <c r="AV25" s="99"/>
      <c r="AW25" s="99"/>
      <c r="AX25" s="99"/>
      <c r="BX25" s="80"/>
      <c r="CO25"/>
    </row>
    <row r="26" spans="2:93" ht="13.5" customHeight="1" thickTop="1" thickBot="1" x14ac:dyDescent="0.25">
      <c r="B26" s="556" t="s">
        <v>187</v>
      </c>
      <c r="C26" s="557"/>
      <c r="D26" s="1"/>
      <c r="E26" s="104" t="s">
        <v>146</v>
      </c>
      <c r="G26" s="100"/>
      <c r="H26" s="570"/>
      <c r="I26" s="570"/>
      <c r="J26" s="570"/>
      <c r="K26" s="570"/>
      <c r="W26" s="99"/>
      <c r="X26" s="99"/>
      <c r="Y26" s="99"/>
      <c r="Z26" s="99"/>
      <c r="AA26" s="99"/>
      <c r="AB26" s="99"/>
      <c r="AE26" s="99"/>
      <c r="AF26" s="99"/>
      <c r="AG26" s="99"/>
      <c r="AH26" s="99"/>
      <c r="AI26" s="99"/>
      <c r="AJ26" s="99"/>
      <c r="AM26" s="99"/>
      <c r="AN26" s="99"/>
      <c r="AO26" s="99"/>
      <c r="AP26" s="99"/>
      <c r="AQ26" s="99"/>
      <c r="AR26" s="99"/>
      <c r="AS26" s="99"/>
      <c r="AT26" s="99"/>
      <c r="AU26" s="99"/>
      <c r="AV26" s="99"/>
      <c r="AW26" s="99"/>
      <c r="AX26" s="99"/>
      <c r="BX26" s="80"/>
      <c r="CO26"/>
    </row>
    <row r="27" spans="2:93" ht="13.5" customHeight="1" thickTop="1" thickBot="1" x14ac:dyDescent="0.25">
      <c r="B27" s="380" t="s">
        <v>188</v>
      </c>
      <c r="C27" s="506"/>
      <c r="D27" s="1"/>
      <c r="E27" s="104" t="s">
        <v>146</v>
      </c>
      <c r="G27" s="100"/>
      <c r="H27" s="570"/>
      <c r="I27" s="570"/>
      <c r="J27" s="570"/>
      <c r="K27" s="570"/>
      <c r="W27" s="99"/>
      <c r="X27" s="99"/>
      <c r="Y27" s="99"/>
      <c r="Z27" s="99"/>
      <c r="AA27" s="99"/>
      <c r="AB27" s="99"/>
      <c r="AE27" s="99"/>
      <c r="AF27" s="99"/>
      <c r="AG27" s="99"/>
      <c r="AH27" s="99"/>
      <c r="AI27" s="99"/>
      <c r="AJ27" s="99"/>
      <c r="AM27" s="99"/>
      <c r="AN27" s="99"/>
      <c r="AO27" s="99"/>
      <c r="AP27" s="99"/>
      <c r="AQ27" s="99"/>
      <c r="AR27" s="99"/>
      <c r="AS27" s="99"/>
      <c r="AT27" s="99"/>
      <c r="AU27" s="99"/>
      <c r="AV27" s="99"/>
      <c r="AW27" s="99"/>
      <c r="AX27" s="99"/>
      <c r="BX27" s="80"/>
      <c r="CO27"/>
    </row>
    <row r="28" spans="2:93" ht="13.5" customHeight="1" thickTop="1" x14ac:dyDescent="0.2">
      <c r="B28" s="91"/>
      <c r="C28" s="116" t="s">
        <v>189</v>
      </c>
      <c r="D28">
        <f>IF(D31&lt;&gt;0,"使用しない",IF(D26="",0,LN(2)/D26))</f>
        <v>0</v>
      </c>
      <c r="G28" s="100"/>
      <c r="H28" s="570"/>
      <c r="I28" s="570"/>
      <c r="J28" s="570"/>
      <c r="K28" s="570"/>
      <c r="W28" s="99"/>
      <c r="X28" s="99"/>
      <c r="Y28" s="99"/>
      <c r="Z28" s="99"/>
      <c r="AA28" s="99"/>
      <c r="AB28" s="99"/>
      <c r="AE28" s="99"/>
      <c r="AF28" s="99"/>
      <c r="AG28" s="99"/>
      <c r="AH28" s="99"/>
      <c r="AI28" s="99"/>
      <c r="AJ28" s="99"/>
      <c r="AM28" s="99"/>
      <c r="AN28" s="99"/>
      <c r="AO28" s="99"/>
      <c r="AP28" s="99"/>
      <c r="AQ28" s="99"/>
      <c r="AR28" s="99"/>
      <c r="AS28" s="99"/>
      <c r="AT28" s="99"/>
      <c r="AU28" s="99"/>
      <c r="AV28" s="99"/>
      <c r="AW28" s="99"/>
      <c r="AX28" s="99"/>
      <c r="BX28" s="80"/>
      <c r="CO28"/>
    </row>
    <row r="29" spans="2:93" ht="13.5" customHeight="1" x14ac:dyDescent="0.2">
      <c r="B29" s="91"/>
      <c r="C29" s="116" t="s">
        <v>190</v>
      </c>
      <c r="D29">
        <f>IF(D31&lt;&gt;0,"使用しない",IF(D28&lt;&gt;0,IF(D27="","加水分解半減期を入力してください",LN(2)/D27),IF(D27="",0,LN(2)/D27)))</f>
        <v>0</v>
      </c>
      <c r="G29" s="100"/>
      <c r="H29" s="570"/>
      <c r="I29" s="570"/>
      <c r="J29" s="570"/>
      <c r="K29" s="570"/>
      <c r="W29" s="99"/>
      <c r="X29" s="99"/>
      <c r="Y29" s="99"/>
      <c r="Z29" s="99"/>
      <c r="AA29" s="99"/>
      <c r="AB29" s="99"/>
      <c r="AE29" s="99"/>
      <c r="AF29" s="99"/>
      <c r="AG29" s="99"/>
      <c r="AH29" s="99"/>
      <c r="AI29" s="99"/>
      <c r="AJ29" s="99"/>
      <c r="AM29" s="99"/>
      <c r="AN29" s="99"/>
      <c r="AO29" s="99"/>
      <c r="AP29" s="99"/>
      <c r="AQ29" s="99"/>
      <c r="AR29" s="99"/>
      <c r="AS29" s="99"/>
      <c r="AT29" s="99"/>
      <c r="AU29" s="99"/>
      <c r="AV29" s="99"/>
      <c r="AW29" s="99"/>
      <c r="AX29" s="99"/>
      <c r="BX29" s="80"/>
      <c r="CO29"/>
    </row>
    <row r="30" spans="2:93" ht="13.5" customHeight="1" thickBot="1" x14ac:dyDescent="0.25">
      <c r="B30" t="s">
        <v>191</v>
      </c>
      <c r="G30" s="100"/>
      <c r="H30" s="570"/>
      <c r="I30" s="570"/>
      <c r="J30" s="570"/>
      <c r="K30" s="570"/>
      <c r="W30" s="99"/>
      <c r="X30" s="99"/>
      <c r="Y30" s="99"/>
      <c r="Z30" s="99"/>
      <c r="AA30" s="99"/>
      <c r="AB30" s="99"/>
      <c r="AE30" s="99"/>
      <c r="AF30" s="99"/>
      <c r="AG30" s="99"/>
      <c r="AH30" s="99"/>
      <c r="AI30" s="99"/>
      <c r="AJ30" s="99"/>
      <c r="AM30" s="99"/>
      <c r="AN30" s="99"/>
      <c r="AO30" s="99"/>
      <c r="AP30" s="99"/>
      <c r="AQ30" s="99"/>
      <c r="AR30" s="99"/>
      <c r="AS30" s="99"/>
      <c r="AT30" s="99"/>
      <c r="AU30" s="99"/>
      <c r="AV30" s="99"/>
      <c r="AW30" s="99"/>
      <c r="AX30" s="99"/>
      <c r="BX30" s="80"/>
      <c r="CO30"/>
    </row>
    <row r="31" spans="2:93" ht="13.5" customHeight="1" thickTop="1" thickBot="1" x14ac:dyDescent="0.25">
      <c r="B31" s="380" t="s">
        <v>192</v>
      </c>
      <c r="C31" s="506"/>
      <c r="D31" s="1"/>
      <c r="E31" s="104" t="s">
        <v>146</v>
      </c>
      <c r="G31" s="100"/>
      <c r="H31" s="570"/>
      <c r="I31" s="570"/>
      <c r="J31" s="570"/>
      <c r="K31" s="570"/>
      <c r="W31" s="99"/>
      <c r="X31" s="99"/>
      <c r="Y31" s="99"/>
      <c r="Z31" s="99"/>
      <c r="AA31" s="99"/>
      <c r="AB31" s="99"/>
      <c r="AE31" s="99"/>
      <c r="AF31" s="99"/>
      <c r="AG31" s="99"/>
      <c r="AH31" s="99"/>
      <c r="AI31" s="99"/>
      <c r="AJ31" s="99"/>
      <c r="AM31" s="99"/>
      <c r="AN31" s="99"/>
      <c r="AO31" s="99"/>
      <c r="AP31" s="99"/>
      <c r="AQ31" s="99"/>
      <c r="AR31" s="99"/>
      <c r="AS31" s="99"/>
      <c r="AT31" s="99"/>
      <c r="AU31" s="99"/>
      <c r="AV31" s="99"/>
      <c r="AW31" s="99"/>
      <c r="AX31" s="99"/>
      <c r="BX31" s="80"/>
      <c r="CO31"/>
    </row>
    <row r="32" spans="2:93" ht="13.5" customHeight="1" thickTop="1" x14ac:dyDescent="0.2">
      <c r="B32" s="91"/>
      <c r="C32" s="117" t="s">
        <v>193</v>
      </c>
      <c r="D32">
        <f>IF(AND(D28&lt;&gt;0,NOT(D28="使用しない")),"使用しない",IF(AND(D29&lt;&gt;0,NOT(D29="使用しない")),0,IF(D31="",0,LN(2)/D31)))</f>
        <v>0</v>
      </c>
      <c r="G32" s="100"/>
      <c r="H32" s="570"/>
      <c r="I32" s="570"/>
      <c r="J32" s="570"/>
      <c r="K32" s="570"/>
      <c r="W32" s="99"/>
      <c r="X32" s="99"/>
      <c r="Y32" s="99"/>
      <c r="Z32" s="99"/>
      <c r="AA32" s="99"/>
      <c r="AB32" s="99"/>
      <c r="AE32" s="99"/>
      <c r="AF32" s="99"/>
      <c r="AG32" s="99"/>
      <c r="AH32" s="99"/>
      <c r="AI32" s="99"/>
      <c r="AJ32" s="99"/>
      <c r="AM32" s="99"/>
      <c r="AN32" s="99"/>
      <c r="AO32" s="99"/>
      <c r="AP32" s="99"/>
      <c r="AQ32" s="99"/>
      <c r="AR32" s="99"/>
      <c r="AS32" s="99"/>
      <c r="AT32" s="99"/>
      <c r="AU32" s="99"/>
      <c r="AV32" s="99"/>
      <c r="AW32" s="99"/>
      <c r="AX32" s="99"/>
      <c r="BX32" s="80"/>
      <c r="CO32"/>
    </row>
    <row r="33" spans="2:93" ht="13.5" customHeight="1" x14ac:dyDescent="0.2">
      <c r="B33" s="91"/>
      <c r="C33" s="117"/>
      <c r="G33" s="100"/>
      <c r="H33" s="570"/>
      <c r="I33" s="570"/>
      <c r="J33" s="570"/>
      <c r="K33" s="570"/>
      <c r="W33" s="99"/>
      <c r="X33" s="99"/>
      <c r="Y33" s="99"/>
      <c r="Z33" s="99"/>
      <c r="AA33" s="99"/>
      <c r="AB33" s="99"/>
      <c r="AE33" s="99"/>
      <c r="AF33" s="99"/>
      <c r="AG33" s="99"/>
      <c r="AH33" s="99"/>
      <c r="AI33" s="99"/>
      <c r="AJ33" s="99"/>
      <c r="AM33" s="99"/>
      <c r="AN33" s="99"/>
      <c r="AO33" s="99"/>
      <c r="AP33" s="99"/>
      <c r="AQ33" s="99"/>
      <c r="AR33" s="99"/>
      <c r="AS33" s="99"/>
      <c r="AT33" s="99"/>
      <c r="AU33" s="99"/>
      <c r="AV33" s="99"/>
      <c r="AW33" s="99"/>
      <c r="AX33" s="99"/>
      <c r="BX33" s="80"/>
      <c r="CO33"/>
    </row>
    <row r="34" spans="2:93" ht="13.5" customHeight="1" x14ac:dyDescent="0.2">
      <c r="B34" s="91"/>
      <c r="C34" s="116" t="s">
        <v>194</v>
      </c>
      <c r="D34">
        <f>IF(OR(D32="使用しない",D32=0),D28+D29,D32)</f>
        <v>0</v>
      </c>
      <c r="G34" s="100"/>
      <c r="H34" s="570"/>
      <c r="I34" s="570"/>
      <c r="J34" s="570"/>
      <c r="K34" s="570"/>
      <c r="W34" s="99"/>
      <c r="X34" s="99"/>
      <c r="Y34" s="99"/>
      <c r="Z34" s="99"/>
      <c r="AA34" s="99"/>
      <c r="AB34" s="99"/>
      <c r="AE34" s="99"/>
      <c r="AF34" s="99"/>
      <c r="AG34" s="99"/>
      <c r="AH34" s="99"/>
      <c r="AI34" s="99"/>
      <c r="AJ34" s="99"/>
      <c r="AM34" s="99"/>
      <c r="AN34" s="99"/>
      <c r="AO34" s="99"/>
      <c r="AP34" s="99"/>
      <c r="AQ34" s="99"/>
      <c r="AR34" s="99"/>
      <c r="AS34" s="99"/>
      <c r="AT34" s="99"/>
      <c r="AU34" s="99"/>
      <c r="AV34" s="99"/>
      <c r="AW34" s="99"/>
      <c r="AX34" s="99"/>
      <c r="BX34" s="80"/>
      <c r="CO34"/>
    </row>
    <row r="35" spans="2:93" ht="13.5" customHeight="1" x14ac:dyDescent="0.2">
      <c r="B35" s="91"/>
      <c r="G35" s="100"/>
      <c r="H35" s="100"/>
      <c r="I35" s="100"/>
      <c r="J35" s="100"/>
      <c r="W35" s="99"/>
      <c r="X35" s="99"/>
      <c r="Y35" s="99"/>
      <c r="Z35" s="99"/>
      <c r="AA35" s="99"/>
      <c r="AB35" s="99"/>
      <c r="AE35" s="99"/>
      <c r="AF35" s="99"/>
      <c r="AG35" s="99"/>
      <c r="AH35" s="99"/>
      <c r="AI35" s="99"/>
      <c r="AJ35" s="99"/>
      <c r="AM35" s="99"/>
      <c r="AN35" s="99"/>
      <c r="AO35" s="99"/>
      <c r="AP35" s="99"/>
      <c r="AQ35" s="99"/>
      <c r="AR35" s="99"/>
      <c r="AS35" s="99"/>
      <c r="AT35" s="99"/>
      <c r="AU35" s="99"/>
      <c r="AV35" s="99"/>
      <c r="AW35" s="99"/>
      <c r="AX35" s="99"/>
      <c r="BX35" s="80"/>
      <c r="CO35"/>
    </row>
    <row r="36" spans="2:93" ht="13.5" customHeight="1" thickBot="1" x14ac:dyDescent="0.25">
      <c r="B36" s="569" t="s">
        <v>195</v>
      </c>
      <c r="C36" s="569"/>
      <c r="D36" s="569"/>
      <c r="F36" s="160" t="s">
        <v>196</v>
      </c>
      <c r="W36" s="99"/>
      <c r="X36" s="99"/>
      <c r="Y36" s="99"/>
      <c r="Z36" s="99"/>
      <c r="AA36" s="99"/>
      <c r="AB36" s="99"/>
      <c r="AE36" s="99"/>
      <c r="AF36" s="99"/>
      <c r="AG36" s="99"/>
      <c r="AH36" s="99"/>
      <c r="AI36" s="99"/>
      <c r="AJ36" s="99"/>
      <c r="AM36" s="99"/>
      <c r="AN36" s="99"/>
      <c r="AO36" s="99"/>
      <c r="AP36" s="99"/>
      <c r="AQ36" s="99"/>
      <c r="AR36" s="99"/>
      <c r="AS36" s="99"/>
      <c r="AT36" s="99"/>
      <c r="AU36" s="99"/>
      <c r="AV36" s="99"/>
      <c r="AW36" s="99"/>
      <c r="AX36" s="99"/>
      <c r="BX36" s="80"/>
      <c r="CO36"/>
    </row>
    <row r="37" spans="2:93" ht="13.5" customHeight="1" thickTop="1" x14ac:dyDescent="0.2">
      <c r="B37" s="567" t="s">
        <v>197</v>
      </c>
      <c r="C37" s="567" t="s">
        <v>198</v>
      </c>
      <c r="D37" s="505" t="s">
        <v>199</v>
      </c>
      <c r="F37" s="71" t="s">
        <v>159</v>
      </c>
      <c r="G37" s="45" t="s">
        <v>160</v>
      </c>
      <c r="H37" s="161"/>
      <c r="I37" s="162"/>
      <c r="J37" s="71" t="s">
        <v>161</v>
      </c>
      <c r="K37" s="71" t="s">
        <v>162</v>
      </c>
      <c r="W37" s="99"/>
      <c r="X37" s="99"/>
      <c r="Y37" s="99"/>
      <c r="Z37" s="99"/>
      <c r="AA37" s="99"/>
      <c r="AB37" s="99"/>
      <c r="AE37" s="99"/>
      <c r="AF37" s="99"/>
      <c r="AG37" s="99"/>
      <c r="AH37" s="99"/>
      <c r="AI37" s="99"/>
      <c r="AJ37" s="99"/>
      <c r="AM37" s="99"/>
      <c r="AN37" s="99"/>
      <c r="AO37" s="99"/>
      <c r="AP37" s="99"/>
      <c r="AQ37" s="99"/>
      <c r="AR37" s="99"/>
      <c r="AS37" s="99"/>
      <c r="AT37" s="99"/>
      <c r="AU37" s="99"/>
      <c r="AV37" s="99"/>
      <c r="AW37" s="99"/>
      <c r="AX37" s="99"/>
      <c r="BX37" s="80"/>
      <c r="CO37"/>
    </row>
    <row r="38" spans="2:93" ht="13.5" customHeight="1" x14ac:dyDescent="0.2">
      <c r="B38" s="568"/>
      <c r="C38" s="568"/>
      <c r="D38" s="505"/>
      <c r="F38" s="46" t="s">
        <v>200</v>
      </c>
      <c r="G38" s="401" t="s">
        <v>201</v>
      </c>
      <c r="H38" s="402"/>
      <c r="I38" s="410"/>
      <c r="J38" s="163">
        <v>30</v>
      </c>
      <c r="K38" s="87" t="s">
        <v>202</v>
      </c>
      <c r="W38" s="99"/>
      <c r="X38" s="99"/>
      <c r="Y38" s="99"/>
      <c r="Z38" s="99"/>
      <c r="AA38" s="99"/>
      <c r="AB38" s="99"/>
      <c r="AE38" s="99"/>
      <c r="AF38" s="99"/>
      <c r="AG38" s="99"/>
      <c r="AH38" s="99"/>
      <c r="AI38" s="99"/>
      <c r="AJ38" s="99"/>
      <c r="AM38" s="99"/>
      <c r="AN38" s="99"/>
      <c r="AO38" s="99"/>
      <c r="AP38" s="99"/>
      <c r="AQ38" s="99"/>
      <c r="AR38" s="99"/>
      <c r="AS38" s="99"/>
      <c r="AT38" s="99"/>
      <c r="AU38" s="99"/>
      <c r="AV38" s="99"/>
      <c r="AW38" s="99"/>
      <c r="AX38" s="99"/>
      <c r="BX38" s="80"/>
      <c r="CO38"/>
    </row>
    <row r="39" spans="2:93" ht="13.5" customHeight="1" x14ac:dyDescent="0.2">
      <c r="B39" s="164" t="str">
        <f>IF(ISBLANK(入力及び計算結果!E38),"",入力及び計算結果!E38)</f>
        <v/>
      </c>
      <c r="C39" s="164" t="str">
        <f>IF(ISBLANK(入力及び計算結果!E39),"",入力及び計算結果!E39)</f>
        <v/>
      </c>
      <c r="D39" s="165" t="str">
        <f>IF(ISNUMBER(C39),LN(C39/C$39),"")</f>
        <v/>
      </c>
      <c r="F39" s="46" t="s">
        <v>203</v>
      </c>
      <c r="G39" s="401" t="s">
        <v>204</v>
      </c>
      <c r="H39" s="402"/>
      <c r="I39" s="410"/>
      <c r="J39" s="163">
        <v>20</v>
      </c>
      <c r="K39" s="46" t="s">
        <v>202</v>
      </c>
      <c r="W39" s="99"/>
      <c r="X39" s="99"/>
      <c r="Y39" s="99"/>
      <c r="Z39" s="99"/>
      <c r="AA39" s="99"/>
      <c r="AB39" s="99"/>
      <c r="AE39" s="99"/>
      <c r="AF39" s="99"/>
      <c r="AG39" s="99"/>
      <c r="AH39" s="99"/>
      <c r="AI39" s="99"/>
      <c r="AJ39" s="99"/>
      <c r="AM39" s="99"/>
      <c r="AN39" s="99"/>
      <c r="AO39" s="99"/>
      <c r="AP39" s="99"/>
      <c r="AQ39" s="99"/>
      <c r="AR39" s="99"/>
      <c r="AS39" s="99"/>
      <c r="AT39" s="99"/>
      <c r="AU39" s="99"/>
      <c r="AV39" s="99"/>
      <c r="AW39" s="99"/>
      <c r="AX39" s="99"/>
      <c r="BX39" s="80"/>
      <c r="CO39"/>
    </row>
    <row r="40" spans="2:93" ht="13.5" customHeight="1" x14ac:dyDescent="0.2">
      <c r="B40" s="164" t="str">
        <f>IF(ISBLANK(入力及び計算結果!F38),"",入力及び計算結果!F38)</f>
        <v/>
      </c>
      <c r="C40" s="164" t="str">
        <f>IF(ISBLANK(入力及び計算結果!F39),"",入力及び計算結果!F39)</f>
        <v/>
      </c>
      <c r="D40" s="165" t="str">
        <f>IF(ISNUMBER(C40),LN(C40/C$39),"")</f>
        <v/>
      </c>
      <c r="F40" s="526" t="s">
        <v>77</v>
      </c>
      <c r="G40" s="558" t="s">
        <v>205</v>
      </c>
      <c r="H40" s="559"/>
      <c r="I40" s="560"/>
      <c r="J40" s="166">
        <f>IF(F20=0,0,0.3)</f>
        <v>0.3</v>
      </c>
      <c r="K40" s="150" t="s">
        <v>206</v>
      </c>
      <c r="W40" s="99"/>
      <c r="X40" s="99"/>
      <c r="Y40" s="99"/>
      <c r="Z40" s="99"/>
      <c r="AA40" s="99"/>
      <c r="AB40" s="99"/>
      <c r="AE40" s="99"/>
      <c r="AF40" s="99"/>
      <c r="AG40" s="99"/>
      <c r="AH40" s="99"/>
      <c r="AI40" s="99"/>
      <c r="AJ40" s="99"/>
      <c r="AM40" s="99"/>
      <c r="AN40" s="99"/>
      <c r="AO40" s="99"/>
      <c r="AP40" s="99"/>
      <c r="AQ40" s="99"/>
      <c r="AR40" s="99"/>
      <c r="AS40" s="99"/>
      <c r="AT40" s="99"/>
      <c r="AU40" s="99"/>
      <c r="AV40" s="99"/>
      <c r="AW40" s="99"/>
      <c r="AX40" s="99"/>
      <c r="BX40" s="80"/>
      <c r="CO40"/>
    </row>
    <row r="41" spans="2:93" ht="13.5" customHeight="1" x14ac:dyDescent="0.2">
      <c r="B41" s="164" t="str">
        <f>IF(ISBLANK(入力及び計算結果!G38),"",入力及び計算結果!G38)</f>
        <v/>
      </c>
      <c r="C41" s="164" t="str">
        <f>IF(ISBLANK(入力及び計算結果!G39),"",入力及び計算結果!G39)</f>
        <v/>
      </c>
      <c r="D41" s="165" t="str">
        <f>IF(ISNUMBER(C41),LN(C41/C$39),"")</f>
        <v/>
      </c>
      <c r="F41" s="527"/>
      <c r="G41" s="561"/>
      <c r="H41" s="562"/>
      <c r="I41" s="563"/>
      <c r="J41" s="167"/>
      <c r="K41" s="155"/>
      <c r="W41" s="99"/>
      <c r="X41" s="99"/>
      <c r="Y41" s="99"/>
      <c r="Z41" s="99"/>
      <c r="AA41" s="99"/>
      <c r="AB41" s="99"/>
      <c r="AE41" s="99"/>
      <c r="AF41" s="99"/>
      <c r="AG41" s="99"/>
      <c r="AH41" s="99"/>
      <c r="AI41" s="99"/>
      <c r="AJ41" s="99"/>
      <c r="AM41" s="99"/>
      <c r="AN41" s="99"/>
      <c r="AO41" s="99"/>
      <c r="AP41" s="99"/>
      <c r="AQ41" s="99"/>
      <c r="AR41" s="99"/>
      <c r="AS41" s="99"/>
      <c r="AT41" s="99"/>
      <c r="AU41" s="99"/>
      <c r="AV41" s="99"/>
      <c r="AW41" s="99"/>
      <c r="AX41" s="99"/>
      <c r="BX41" s="80"/>
      <c r="CO41"/>
    </row>
    <row r="42" spans="2:93" ht="13.5" customHeight="1" x14ac:dyDescent="0.2">
      <c r="B42" s="164" t="str">
        <f>IF(ISBLANK(入力及び計算結果!H38),"",入力及び計算結果!H38)</f>
        <v/>
      </c>
      <c r="C42" s="164" t="str">
        <f>IF(ISBLANK(入力及び計算結果!H39),"",入力及び計算結果!H39)</f>
        <v/>
      </c>
      <c r="D42" s="165" t="str">
        <f>IF(ISNUMBER(C42),LN(C42/C$39),"")</f>
        <v/>
      </c>
      <c r="F42" s="46" t="s">
        <v>207</v>
      </c>
      <c r="G42" s="401" t="s">
        <v>208</v>
      </c>
      <c r="H42" s="402"/>
      <c r="I42" s="410"/>
      <c r="J42" s="163">
        <v>0.8</v>
      </c>
      <c r="K42" s="46" t="s">
        <v>209</v>
      </c>
      <c r="W42" s="99"/>
      <c r="X42" s="99"/>
      <c r="Y42" s="99"/>
      <c r="Z42" s="99"/>
      <c r="AA42" s="99"/>
      <c r="AB42" s="99"/>
      <c r="AE42" s="99"/>
      <c r="AF42" s="99"/>
      <c r="AG42" s="99"/>
      <c r="AH42" s="99"/>
      <c r="AI42" s="99"/>
      <c r="AJ42" s="99"/>
      <c r="AM42" s="99"/>
      <c r="AN42" s="99"/>
      <c r="AO42" s="99"/>
      <c r="AP42" s="99"/>
      <c r="AQ42" s="99"/>
      <c r="AR42" s="99"/>
      <c r="AS42" s="99"/>
      <c r="AT42" s="99"/>
      <c r="AU42" s="99"/>
      <c r="AV42" s="99"/>
      <c r="AW42" s="99"/>
      <c r="AX42" s="99"/>
      <c r="BX42" s="80"/>
      <c r="CO42"/>
    </row>
    <row r="43" spans="2:93" ht="13.5" customHeight="1" x14ac:dyDescent="0.2">
      <c r="B43" s="164" t="str">
        <f>IF(ISBLANK(入力及び計算結果!I38),"",入力及び計算結果!I38)</f>
        <v/>
      </c>
      <c r="C43" s="164" t="str">
        <f>IF(ISBLANK(入力及び計算結果!I39),"",入力及び計算結果!I39)</f>
        <v/>
      </c>
      <c r="D43" s="165" t="str">
        <f>IF(ISNUMBER(C43),LN(C43/C$39),"")</f>
        <v/>
      </c>
      <c r="F43" s="526" t="s">
        <v>210</v>
      </c>
      <c r="G43" s="538" t="s">
        <v>211</v>
      </c>
      <c r="H43" s="482"/>
      <c r="I43" s="564"/>
      <c r="J43" s="166">
        <f>IF(F20=0,0,4)</f>
        <v>4</v>
      </c>
      <c r="K43" s="150" t="s">
        <v>206</v>
      </c>
      <c r="W43" s="99"/>
      <c r="X43" s="99"/>
      <c r="Y43" s="99"/>
      <c r="Z43" s="99"/>
      <c r="AA43" s="99"/>
      <c r="AB43" s="99"/>
      <c r="AE43" s="99"/>
      <c r="AF43" s="99"/>
      <c r="AG43" s="99"/>
      <c r="AH43" s="99"/>
      <c r="AI43" s="99"/>
      <c r="AJ43" s="99"/>
      <c r="AM43" s="99"/>
      <c r="AN43" s="99"/>
      <c r="AO43" s="99"/>
      <c r="AP43" s="99"/>
      <c r="AQ43" s="99"/>
      <c r="AR43" s="99"/>
      <c r="AS43" s="99"/>
      <c r="AT43" s="99"/>
      <c r="AU43" s="99"/>
      <c r="AV43" s="99"/>
      <c r="AW43" s="99"/>
      <c r="AX43" s="99"/>
      <c r="BX43" s="80"/>
      <c r="CO43"/>
    </row>
    <row r="44" spans="2:93" ht="13.5" customHeight="1" x14ac:dyDescent="0.2">
      <c r="B44" s="164" t="str">
        <f>IF(ISBLANK(入力及び計算結果!J38),"",入力及び計算結果!J38)</f>
        <v/>
      </c>
      <c r="C44" s="164" t="str">
        <f>IF(ISBLANK(入力及び計算結果!J39),"",入力及び計算結果!J39)</f>
        <v/>
      </c>
      <c r="D44" s="165" t="str">
        <f t="shared" ref="D44:D59" si="0">IF(ISNUMBER(C44),LN(C44/C$39),"")</f>
        <v/>
      </c>
      <c r="F44" s="527"/>
      <c r="G44" s="565"/>
      <c r="H44" s="489"/>
      <c r="I44" s="566"/>
      <c r="J44" s="167"/>
      <c r="K44" s="155"/>
      <c r="W44" s="99"/>
      <c r="X44" s="99"/>
      <c r="Y44" s="99"/>
      <c r="Z44" s="99"/>
      <c r="AA44" s="99"/>
      <c r="AB44" s="99"/>
      <c r="AE44" s="99"/>
      <c r="AF44" s="99"/>
      <c r="AG44" s="99"/>
      <c r="AH44" s="99"/>
      <c r="AI44" s="99"/>
      <c r="AJ44" s="99"/>
      <c r="AM44" s="99"/>
      <c r="AN44" s="99"/>
      <c r="AO44" s="99"/>
      <c r="AP44" s="99"/>
      <c r="AQ44" s="99"/>
      <c r="AR44" s="99"/>
      <c r="AS44" s="99"/>
      <c r="AT44" s="99"/>
      <c r="AU44" s="99"/>
      <c r="AV44" s="99"/>
      <c r="AW44" s="99"/>
      <c r="AX44" s="99"/>
      <c r="BX44" s="80"/>
      <c r="CO44"/>
    </row>
    <row r="45" spans="2:93" ht="13.5" customHeight="1" x14ac:dyDescent="0.2">
      <c r="B45" s="164" t="str">
        <f>IF(ISBLANK(入力及び計算結果!K38),"",入力及び計算結果!K38)</f>
        <v/>
      </c>
      <c r="C45" s="164" t="str">
        <f>IF(ISBLANK(入力及び計算結果!K39),"",入力及び計算結果!K39)</f>
        <v/>
      </c>
      <c r="D45" s="165" t="str">
        <f t="shared" si="0"/>
        <v/>
      </c>
      <c r="F45" s="46" t="s">
        <v>212</v>
      </c>
      <c r="G45" s="401" t="s">
        <v>213</v>
      </c>
      <c r="H45" s="402"/>
      <c r="I45" s="410"/>
      <c r="J45" s="163">
        <v>0.33</v>
      </c>
      <c r="K45" s="46" t="s">
        <v>209</v>
      </c>
      <c r="W45" s="99"/>
      <c r="X45" s="99"/>
      <c r="Y45" s="99"/>
      <c r="Z45" s="99"/>
      <c r="AA45" s="99"/>
      <c r="AB45" s="99"/>
      <c r="AE45" s="99"/>
      <c r="AF45" s="99"/>
      <c r="AG45" s="99"/>
      <c r="AH45" s="99"/>
      <c r="AI45" s="99"/>
      <c r="AJ45" s="99"/>
      <c r="AM45" s="99"/>
      <c r="AN45" s="99"/>
      <c r="AO45" s="99"/>
      <c r="AP45" s="99"/>
      <c r="AQ45" s="99"/>
      <c r="AR45" s="99"/>
      <c r="AS45" s="99"/>
      <c r="AT45" s="99"/>
      <c r="AU45" s="99"/>
      <c r="AV45" s="99"/>
      <c r="AW45" s="99"/>
      <c r="AX45" s="99"/>
      <c r="BX45" s="80"/>
      <c r="CO45"/>
    </row>
    <row r="46" spans="2:93" ht="13.5" customHeight="1" x14ac:dyDescent="0.2">
      <c r="B46" s="164" t="str">
        <f>IF(ISBLANK(入力及び計算結果!L38),"",入力及び計算結果!L38)</f>
        <v/>
      </c>
      <c r="C46" s="164" t="str">
        <f>IF(ISBLANK(入力及び計算結果!L39),"",入力及び計算結果!L39)</f>
        <v/>
      </c>
      <c r="D46" s="165" t="str">
        <f t="shared" si="0"/>
        <v/>
      </c>
      <c r="F46" s="526" t="s">
        <v>214</v>
      </c>
      <c r="G46" s="547" t="s">
        <v>215</v>
      </c>
      <c r="H46" s="539"/>
      <c r="I46" s="571"/>
      <c r="J46" s="166">
        <v>1</v>
      </c>
      <c r="K46" s="150" t="s">
        <v>146</v>
      </c>
      <c r="W46" s="99"/>
      <c r="X46" s="99"/>
      <c r="Y46" s="99"/>
      <c r="Z46" s="99"/>
      <c r="AA46" s="99"/>
      <c r="AB46" s="99"/>
      <c r="AE46" s="99"/>
      <c r="AF46" s="99"/>
      <c r="AG46" s="99"/>
      <c r="AH46" s="99"/>
      <c r="AI46" s="99"/>
      <c r="AJ46" s="99"/>
      <c r="AM46" s="99"/>
      <c r="AN46" s="99"/>
      <c r="AO46" s="99"/>
      <c r="AP46" s="99"/>
      <c r="AQ46" s="99"/>
      <c r="AR46" s="99"/>
      <c r="AS46" s="99"/>
      <c r="AT46" s="99"/>
      <c r="AU46" s="99"/>
      <c r="AV46" s="99"/>
      <c r="AW46" s="99"/>
      <c r="AX46" s="99"/>
      <c r="BX46" s="80"/>
      <c r="CO46"/>
    </row>
    <row r="47" spans="2:93" ht="13.5" customHeight="1" x14ac:dyDescent="0.2">
      <c r="B47" s="164" t="str">
        <f>IF(ISBLANK(入力及び計算結果!M38),"",入力及び計算結果!M38)</f>
        <v/>
      </c>
      <c r="C47" s="164" t="str">
        <f>IF(ISBLANK(入力及び計算結果!M39),"",入力及び計算結果!M39)</f>
        <v/>
      </c>
      <c r="D47" s="165" t="str">
        <f t="shared" si="0"/>
        <v/>
      </c>
      <c r="F47" s="527"/>
      <c r="G47" s="540"/>
      <c r="H47" s="541"/>
      <c r="I47" s="572"/>
      <c r="J47" s="167"/>
      <c r="K47" s="155"/>
      <c r="W47" s="99"/>
      <c r="X47" s="99"/>
      <c r="Y47" s="99"/>
      <c r="Z47" s="99"/>
      <c r="AA47" s="99"/>
      <c r="AB47" s="99"/>
      <c r="AE47" s="99"/>
      <c r="AF47" s="99"/>
      <c r="AG47" s="99"/>
      <c r="AH47" s="99"/>
      <c r="AI47" s="99"/>
      <c r="AJ47" s="99"/>
      <c r="AM47" s="99"/>
      <c r="AN47" s="99"/>
      <c r="AO47" s="99"/>
      <c r="AP47" s="99"/>
      <c r="AQ47" s="99"/>
      <c r="AR47" s="99"/>
      <c r="AS47" s="99"/>
      <c r="AT47" s="99"/>
      <c r="AU47" s="99"/>
      <c r="AV47" s="99"/>
      <c r="AW47" s="99"/>
      <c r="AX47" s="99"/>
      <c r="BX47" s="80"/>
      <c r="CO47"/>
    </row>
    <row r="48" spans="2:93" ht="13.5" customHeight="1" x14ac:dyDescent="0.2">
      <c r="B48" s="164" t="str">
        <f>IF(ISBLANK(入力及び計算結果!N38),"",入力及び計算結果!N38)</f>
        <v/>
      </c>
      <c r="C48" s="164" t="str">
        <f>IF(ISBLANK(入力及び計算結果!N39),"",入力及び計算結果!N39)</f>
        <v/>
      </c>
      <c r="D48" s="165" t="str">
        <f t="shared" si="0"/>
        <v/>
      </c>
      <c r="F48" s="526" t="s">
        <v>216</v>
      </c>
      <c r="G48" s="538" t="s">
        <v>217</v>
      </c>
      <c r="H48" s="539"/>
      <c r="I48" s="539"/>
      <c r="J48" s="571"/>
      <c r="K48" s="150" t="s">
        <v>218</v>
      </c>
      <c r="W48" s="99"/>
      <c r="X48" s="99"/>
      <c r="Y48" s="99"/>
      <c r="Z48" s="99"/>
      <c r="AA48" s="99"/>
      <c r="AB48" s="99"/>
      <c r="AE48" s="99"/>
      <c r="AF48" s="99"/>
      <c r="AG48" s="99"/>
      <c r="AH48" s="99"/>
      <c r="AI48" s="99"/>
      <c r="AJ48" s="99"/>
      <c r="AM48" s="99"/>
      <c r="AN48" s="99"/>
      <c r="AO48" s="99"/>
      <c r="AP48" s="99"/>
      <c r="AQ48" s="99"/>
      <c r="AR48" s="99"/>
      <c r="AS48" s="99"/>
      <c r="AT48" s="99"/>
      <c r="AU48" s="99"/>
      <c r="AV48" s="99"/>
      <c r="AW48" s="99"/>
      <c r="AX48" s="99"/>
      <c r="BX48" s="80"/>
      <c r="CO48"/>
    </row>
    <row r="49" spans="1:93" ht="13.5" customHeight="1" x14ac:dyDescent="0.2">
      <c r="B49" s="4"/>
      <c r="C49" s="4"/>
      <c r="D49" s="165" t="str">
        <f t="shared" si="0"/>
        <v/>
      </c>
      <c r="F49" s="527"/>
      <c r="G49" s="540"/>
      <c r="H49" s="541"/>
      <c r="I49" s="541"/>
      <c r="J49" s="572"/>
      <c r="K49" s="155"/>
      <c r="W49" s="99"/>
      <c r="X49" s="99"/>
      <c r="Y49" s="99"/>
      <c r="Z49" s="99"/>
      <c r="AA49" s="99"/>
      <c r="AB49" s="99"/>
      <c r="AE49" s="99"/>
      <c r="AF49" s="99"/>
      <c r="AG49" s="99"/>
      <c r="AH49" s="99"/>
      <c r="AI49" s="99"/>
      <c r="AJ49" s="99"/>
      <c r="AM49" s="99"/>
      <c r="AN49" s="99"/>
      <c r="AO49" s="99"/>
      <c r="AP49" s="99"/>
      <c r="AQ49" s="99"/>
      <c r="AR49" s="99"/>
      <c r="AS49" s="99"/>
      <c r="AT49" s="99"/>
      <c r="AU49" s="99"/>
      <c r="AV49" s="99"/>
      <c r="AW49" s="99"/>
      <c r="AX49" s="99"/>
      <c r="BX49" s="80"/>
      <c r="CO49"/>
    </row>
    <row r="50" spans="1:93" ht="13.5" customHeight="1" x14ac:dyDescent="0.2">
      <c r="B50" s="4"/>
      <c r="C50" s="4"/>
      <c r="D50" s="165" t="str">
        <f t="shared" si="0"/>
        <v/>
      </c>
      <c r="F50" s="43" t="s">
        <v>219</v>
      </c>
      <c r="G50" s="380" t="s">
        <v>220</v>
      </c>
      <c r="H50" s="452"/>
      <c r="I50" s="453"/>
      <c r="J50" s="168">
        <v>2000</v>
      </c>
      <c r="K50" s="87" t="s">
        <v>218</v>
      </c>
      <c r="W50" s="99"/>
      <c r="X50" s="99"/>
      <c r="Y50" s="99"/>
      <c r="Z50" s="99"/>
      <c r="AA50" s="99"/>
      <c r="AB50" s="99"/>
      <c r="AE50" s="99"/>
      <c r="AF50" s="99"/>
      <c r="AG50" s="99"/>
      <c r="AH50" s="99"/>
      <c r="AI50" s="99"/>
      <c r="AJ50" s="99"/>
      <c r="AM50" s="99"/>
      <c r="AN50" s="99"/>
      <c r="AO50" s="99"/>
      <c r="AP50" s="99"/>
      <c r="AQ50" s="99"/>
      <c r="AR50" s="99"/>
      <c r="AS50" s="99"/>
      <c r="AT50" s="99"/>
      <c r="AU50" s="99"/>
      <c r="AV50" s="99"/>
      <c r="AW50" s="99"/>
      <c r="AX50" s="99"/>
      <c r="BX50" s="80"/>
      <c r="CO50"/>
    </row>
    <row r="51" spans="1:93" ht="13.5" customHeight="1" x14ac:dyDescent="0.2">
      <c r="B51" s="4"/>
      <c r="C51" s="4"/>
      <c r="D51" s="165" t="str">
        <f t="shared" si="0"/>
        <v/>
      </c>
      <c r="F51" s="27" t="s">
        <v>221</v>
      </c>
      <c r="G51" s="380" t="s">
        <v>222</v>
      </c>
      <c r="H51" s="452"/>
      <c r="I51" s="453"/>
      <c r="J51" s="168">
        <v>1</v>
      </c>
      <c r="K51" s="87" t="s">
        <v>223</v>
      </c>
      <c r="W51" s="99"/>
      <c r="X51" s="99"/>
      <c r="Y51" s="99"/>
      <c r="Z51" s="99"/>
      <c r="AA51" s="99"/>
      <c r="AB51" s="99"/>
      <c r="AE51" s="99"/>
      <c r="AF51" s="99"/>
      <c r="AG51" s="99"/>
      <c r="AH51" s="99"/>
      <c r="AI51" s="99"/>
      <c r="AJ51" s="99"/>
      <c r="AM51" s="99"/>
      <c r="AN51" s="99"/>
      <c r="AO51" s="99"/>
      <c r="AP51" s="99"/>
      <c r="AQ51" s="99"/>
      <c r="AR51" s="99"/>
      <c r="AS51" s="99"/>
      <c r="AT51" s="99"/>
      <c r="AU51" s="99"/>
      <c r="AV51" s="99"/>
      <c r="AW51" s="99"/>
      <c r="AX51" s="99"/>
      <c r="BX51" s="80"/>
      <c r="CO51"/>
    </row>
    <row r="52" spans="1:93" ht="13.5" customHeight="1" x14ac:dyDescent="0.2">
      <c r="B52" s="4"/>
      <c r="C52" s="4"/>
      <c r="D52" s="165" t="str">
        <f t="shared" si="0"/>
        <v/>
      </c>
      <c r="F52" s="27" t="s">
        <v>224</v>
      </c>
      <c r="G52" s="380" t="s">
        <v>225</v>
      </c>
      <c r="H52" s="452"/>
      <c r="I52" s="453"/>
      <c r="J52" s="168">
        <v>1.2</v>
      </c>
      <c r="K52" s="87" t="s">
        <v>206</v>
      </c>
      <c r="W52" s="99"/>
      <c r="X52" s="99"/>
      <c r="Y52" s="99"/>
      <c r="Z52" s="99"/>
      <c r="AA52" s="99"/>
      <c r="AB52" s="99"/>
      <c r="AE52" s="99"/>
      <c r="AF52" s="99"/>
      <c r="AG52" s="99"/>
      <c r="AH52" s="99"/>
      <c r="AI52" s="99"/>
      <c r="AJ52" s="99"/>
      <c r="AM52" s="99"/>
      <c r="AN52" s="99"/>
      <c r="AO52" s="99"/>
      <c r="AP52" s="99"/>
      <c r="AQ52" s="99"/>
      <c r="AR52" s="99"/>
      <c r="AS52" s="99"/>
      <c r="AT52" s="99"/>
      <c r="AU52" s="99"/>
      <c r="AV52" s="99"/>
      <c r="AW52" s="99"/>
      <c r="AX52" s="99"/>
      <c r="BX52" s="80"/>
      <c r="CO52"/>
    </row>
    <row r="53" spans="1:93" ht="13.5" customHeight="1" x14ac:dyDescent="0.2">
      <c r="B53" s="4"/>
      <c r="C53" s="4"/>
      <c r="D53" s="165" t="str">
        <f t="shared" si="0"/>
        <v/>
      </c>
      <c r="F53" s="27" t="s">
        <v>226</v>
      </c>
      <c r="G53" s="380" t="s">
        <v>227</v>
      </c>
      <c r="H53" s="452"/>
      <c r="I53" s="453"/>
      <c r="J53" s="168">
        <v>1</v>
      </c>
      <c r="K53" s="87" t="s">
        <v>223</v>
      </c>
      <c r="W53" s="99"/>
      <c r="X53" s="99"/>
      <c r="Y53" s="99"/>
      <c r="Z53" s="99"/>
      <c r="AA53" s="99"/>
      <c r="AB53" s="99"/>
      <c r="AE53" s="99"/>
      <c r="AF53" s="99"/>
      <c r="AG53" s="99"/>
      <c r="AH53" s="99"/>
      <c r="AI53" s="99"/>
      <c r="AJ53" s="99"/>
      <c r="AM53" s="99"/>
      <c r="AN53" s="99"/>
      <c r="AO53" s="99"/>
      <c r="AP53" s="99"/>
      <c r="AQ53" s="99"/>
      <c r="AR53" s="99"/>
      <c r="AS53" s="99"/>
      <c r="AT53" s="99"/>
      <c r="AU53" s="99"/>
      <c r="AV53" s="99"/>
      <c r="AW53" s="99"/>
      <c r="AX53" s="99"/>
      <c r="BX53" s="80"/>
      <c r="CO53"/>
    </row>
    <row r="54" spans="1:93" ht="13.5" customHeight="1" x14ac:dyDescent="0.2">
      <c r="B54" s="4"/>
      <c r="C54" s="5"/>
      <c r="D54" s="165" t="str">
        <f t="shared" si="0"/>
        <v/>
      </c>
      <c r="F54" s="27" t="s">
        <v>228</v>
      </c>
      <c r="G54" s="576" t="s">
        <v>229</v>
      </c>
      <c r="H54" s="577"/>
      <c r="I54" s="578"/>
      <c r="J54" s="168">
        <v>2.4</v>
      </c>
      <c r="K54" s="87" t="s">
        <v>230</v>
      </c>
      <c r="W54" s="99"/>
      <c r="X54" s="99"/>
      <c r="Y54" s="99"/>
      <c r="Z54" s="99"/>
      <c r="AA54" s="99"/>
      <c r="AB54" s="99"/>
      <c r="AE54" s="99"/>
      <c r="AF54" s="99"/>
      <c r="AG54" s="99"/>
      <c r="AH54" s="99"/>
      <c r="AI54" s="99"/>
      <c r="AJ54" s="99"/>
      <c r="AM54" s="99"/>
      <c r="AN54" s="99"/>
      <c r="AO54" s="99"/>
      <c r="AP54" s="99"/>
      <c r="AQ54" s="99"/>
      <c r="AR54" s="99"/>
      <c r="AS54" s="99"/>
      <c r="AT54" s="99"/>
      <c r="AU54" s="99"/>
      <c r="AV54" s="99"/>
      <c r="AW54" s="99"/>
      <c r="AX54" s="99"/>
      <c r="BX54" s="80"/>
      <c r="CO54"/>
    </row>
    <row r="55" spans="1:93" ht="13.5" customHeight="1" x14ac:dyDescent="0.2">
      <c r="B55" s="4"/>
      <c r="C55" s="4"/>
      <c r="D55" s="165" t="str">
        <f t="shared" si="0"/>
        <v/>
      </c>
      <c r="F55" s="27" t="s">
        <v>231</v>
      </c>
      <c r="G55" s="380" t="s">
        <v>232</v>
      </c>
      <c r="H55" s="452"/>
      <c r="I55" s="453"/>
      <c r="J55" s="168">
        <v>2.9</v>
      </c>
      <c r="K55" s="87" t="s">
        <v>206</v>
      </c>
      <c r="W55" s="99"/>
      <c r="X55" s="99"/>
      <c r="Y55" s="99"/>
      <c r="Z55" s="99"/>
      <c r="AA55" s="99"/>
      <c r="AB55" s="99"/>
      <c r="AE55" s="99"/>
      <c r="AF55" s="99"/>
      <c r="AG55" s="99"/>
      <c r="AH55" s="99"/>
      <c r="AI55" s="99"/>
      <c r="AJ55" s="99"/>
      <c r="AM55" s="99"/>
      <c r="AN55" s="99"/>
      <c r="AO55" s="99"/>
      <c r="AP55" s="99"/>
      <c r="AQ55" s="99"/>
      <c r="AR55" s="99"/>
      <c r="AS55" s="99"/>
      <c r="AT55" s="99"/>
      <c r="AU55" s="99"/>
      <c r="AV55" s="99"/>
      <c r="AW55" s="99"/>
      <c r="AX55" s="99"/>
      <c r="BX55" s="80"/>
      <c r="CO55"/>
    </row>
    <row r="56" spans="1:93" ht="13.5" customHeight="1" x14ac:dyDescent="0.2">
      <c r="B56" s="4"/>
      <c r="C56" s="4"/>
      <c r="D56" s="165" t="str">
        <f t="shared" si="0"/>
        <v/>
      </c>
      <c r="F56" s="27" t="s">
        <v>233</v>
      </c>
      <c r="G56" s="380" t="s">
        <v>234</v>
      </c>
      <c r="H56" s="452"/>
      <c r="I56" s="453"/>
      <c r="J56" s="169" t="str">
        <f>IF(ISNUMBER(Koc),(Plevee/rws)*Koc*(Oclevee/100)+1,"-")</f>
        <v>-</v>
      </c>
      <c r="K56" s="170" t="s">
        <v>230</v>
      </c>
      <c r="W56" s="99"/>
      <c r="X56" s="99"/>
      <c r="Y56" s="99"/>
      <c r="Z56" s="99"/>
      <c r="AA56" s="99"/>
      <c r="AB56" s="99"/>
      <c r="AE56" s="99"/>
      <c r="AF56" s="99"/>
      <c r="AG56" s="99"/>
      <c r="AH56" s="99"/>
      <c r="AI56" s="99"/>
      <c r="AJ56" s="99"/>
      <c r="AM56" s="99"/>
      <c r="AN56" s="99"/>
      <c r="AO56" s="99"/>
      <c r="AP56" s="99"/>
      <c r="AQ56" s="99"/>
      <c r="AR56" s="99"/>
      <c r="AS56" s="99"/>
      <c r="AT56" s="99"/>
      <c r="AU56" s="99"/>
      <c r="AV56" s="99"/>
      <c r="AW56" s="99"/>
      <c r="AX56" s="99"/>
      <c r="BX56" s="80"/>
      <c r="CO56"/>
    </row>
    <row r="57" spans="1:93" ht="13.5" customHeight="1" x14ac:dyDescent="0.2">
      <c r="B57" s="4"/>
      <c r="C57" s="4"/>
      <c r="D57" s="165" t="str">
        <f t="shared" si="0"/>
        <v/>
      </c>
      <c r="F57" s="171"/>
      <c r="H57" s="67"/>
      <c r="I57" s="67"/>
      <c r="J57" s="172"/>
      <c r="W57" s="99"/>
      <c r="X57" s="99"/>
      <c r="Y57" s="99"/>
      <c r="Z57" s="99"/>
      <c r="AA57" s="99"/>
      <c r="AB57" s="99"/>
      <c r="AE57" s="99"/>
      <c r="AF57" s="99"/>
      <c r="AG57" s="99"/>
      <c r="AH57" s="99"/>
      <c r="AI57" s="99"/>
      <c r="AJ57" s="99"/>
      <c r="AM57" s="99"/>
      <c r="AN57" s="99"/>
      <c r="AO57" s="99"/>
      <c r="AP57" s="99"/>
      <c r="AQ57" s="99"/>
      <c r="AR57" s="99"/>
      <c r="AS57" s="99"/>
      <c r="AT57" s="99"/>
      <c r="AU57" s="99"/>
      <c r="AV57" s="99"/>
      <c r="AW57" s="99"/>
      <c r="AX57" s="99"/>
      <c r="BX57" s="80"/>
      <c r="CO57"/>
    </row>
    <row r="58" spans="1:93" ht="13.5" customHeight="1" x14ac:dyDescent="0.2">
      <c r="B58" s="4"/>
      <c r="C58" s="4"/>
      <c r="D58" s="165" t="str">
        <f t="shared" si="0"/>
        <v/>
      </c>
      <c r="F58" s="123"/>
      <c r="H58" s="67"/>
      <c r="I58" s="67"/>
      <c r="W58" s="99"/>
      <c r="X58" s="99"/>
      <c r="Y58" s="99"/>
      <c r="Z58" s="99"/>
      <c r="AA58" s="99"/>
      <c r="AB58" s="99"/>
      <c r="AE58" s="99"/>
      <c r="AF58" s="99"/>
      <c r="AG58" s="99"/>
      <c r="AH58" s="99"/>
      <c r="AI58" s="99"/>
      <c r="AJ58" s="99"/>
      <c r="AM58" s="99"/>
      <c r="AN58" s="99"/>
      <c r="AO58" s="99"/>
      <c r="AP58" s="99"/>
      <c r="AQ58" s="99"/>
      <c r="AR58" s="99"/>
      <c r="AS58" s="99"/>
      <c r="AT58" s="99"/>
      <c r="AU58" s="99"/>
      <c r="AV58" s="99"/>
      <c r="AW58" s="99"/>
      <c r="AX58" s="99"/>
      <c r="BX58" s="80"/>
      <c r="CO58"/>
    </row>
    <row r="59" spans="1:93" ht="13.5" customHeight="1" thickBot="1" x14ac:dyDescent="0.25">
      <c r="B59" s="6"/>
      <c r="C59" s="6"/>
      <c r="D59" s="165" t="str">
        <f t="shared" si="0"/>
        <v/>
      </c>
      <c r="H59" s="67"/>
      <c r="I59" s="67"/>
      <c r="W59" s="99"/>
      <c r="X59" s="99"/>
      <c r="Y59" s="99"/>
      <c r="Z59" s="99"/>
      <c r="AA59" s="99"/>
      <c r="AB59" s="99"/>
      <c r="AE59" s="99"/>
      <c r="AF59" s="99"/>
      <c r="AG59" s="99"/>
      <c r="AH59" s="99"/>
      <c r="AI59" s="99"/>
      <c r="AJ59" s="99"/>
      <c r="AM59" s="99"/>
      <c r="AN59" s="99"/>
      <c r="AO59" s="99"/>
      <c r="AP59" s="99"/>
      <c r="AQ59" s="99"/>
      <c r="AR59" s="99"/>
      <c r="AS59" s="99"/>
      <c r="AT59" s="99"/>
      <c r="AU59" s="99"/>
      <c r="AV59" s="99"/>
      <c r="AW59" s="99"/>
      <c r="AX59" s="99"/>
      <c r="BX59" s="80"/>
      <c r="CO59"/>
    </row>
    <row r="60" spans="1:93" ht="13.5" customHeight="1" thickTop="1" x14ac:dyDescent="0.2">
      <c r="B60" s="91"/>
      <c r="H60" s="67"/>
      <c r="I60" s="67"/>
      <c r="W60" s="99"/>
      <c r="X60" s="99"/>
      <c r="Y60" s="99"/>
      <c r="Z60" s="99"/>
      <c r="AA60" s="99"/>
      <c r="AB60" s="99"/>
      <c r="AE60" s="99"/>
      <c r="AF60" s="99"/>
      <c r="AG60" s="99"/>
      <c r="AH60" s="99"/>
      <c r="AI60" s="99"/>
      <c r="AJ60" s="99"/>
      <c r="AM60" s="99"/>
      <c r="AN60" s="99"/>
      <c r="AO60" s="99"/>
      <c r="AP60" s="99"/>
      <c r="AQ60" s="99"/>
      <c r="AR60" s="99"/>
      <c r="AS60" s="99"/>
      <c r="AT60" s="99"/>
      <c r="AU60" s="99"/>
      <c r="AV60" s="99"/>
      <c r="AW60" s="99"/>
      <c r="AX60" s="99"/>
      <c r="BX60" s="80"/>
      <c r="CO60"/>
    </row>
    <row r="61" spans="1:93" ht="13.5" customHeight="1" x14ac:dyDescent="0.2">
      <c r="A61"/>
      <c r="B61" s="579" t="s">
        <v>235</v>
      </c>
      <c r="C61" s="522"/>
      <c r="D61" s="522"/>
      <c r="E61" s="522"/>
      <c r="V61" s="67"/>
      <c r="W61" s="67"/>
      <c r="X61" s="67"/>
      <c r="Y61" s="67"/>
      <c r="Z61" s="67"/>
      <c r="AA61" s="67"/>
      <c r="AB61" s="67"/>
      <c r="AD61" s="67"/>
      <c r="AE61" s="67"/>
      <c r="AF61" s="67"/>
      <c r="AG61" s="67"/>
      <c r="AH61" s="67"/>
      <c r="AI61" s="67"/>
      <c r="AJ61" s="67"/>
      <c r="AL61" s="67"/>
      <c r="AM61" s="67"/>
      <c r="AN61" s="67"/>
      <c r="AO61" s="67"/>
      <c r="AP61" s="67"/>
      <c r="AQ61" s="67"/>
      <c r="AR61" s="67"/>
      <c r="AS61" s="67"/>
      <c r="AT61" s="67"/>
      <c r="AU61" s="67"/>
      <c r="AV61" s="67"/>
      <c r="AW61" s="67"/>
      <c r="AX61" s="67"/>
      <c r="AY61" s="67"/>
      <c r="AZ61" s="80"/>
      <c r="BA61" s="144"/>
      <c r="BB61" s="80"/>
      <c r="BC61" s="144"/>
      <c r="BD61" s="144"/>
      <c r="BE61" s="144"/>
      <c r="BF61" s="144"/>
      <c r="BG61" s="67"/>
      <c r="BH61" s="80"/>
      <c r="BI61" s="144"/>
      <c r="BJ61" s="80"/>
      <c r="BK61" s="144"/>
      <c r="BL61" s="144"/>
      <c r="BM61" s="144"/>
      <c r="BN61" s="144"/>
      <c r="BO61" s="67"/>
      <c r="BP61" s="80"/>
      <c r="BQ61" s="144"/>
      <c r="BR61" s="80"/>
      <c r="BS61" s="144"/>
      <c r="BT61" s="144"/>
      <c r="BV61" s="144"/>
      <c r="BW61" s="80"/>
      <c r="BX61" s="67"/>
      <c r="BY61" s="67"/>
      <c r="CB61"/>
      <c r="CC61"/>
      <c r="CD61"/>
      <c r="CE61"/>
      <c r="CF61"/>
      <c r="CG61"/>
      <c r="CH61"/>
      <c r="CI61"/>
      <c r="CJ61"/>
      <c r="CK61"/>
      <c r="CL61"/>
      <c r="CM61"/>
      <c r="CN61"/>
      <c r="CO61"/>
    </row>
    <row r="62" spans="1:93" ht="13.5" customHeight="1" x14ac:dyDescent="0.2">
      <c r="A62"/>
      <c r="B62" s="522"/>
      <c r="C62" s="522"/>
      <c r="D62" s="522"/>
      <c r="E62" s="522"/>
      <c r="V62" s="67"/>
      <c r="W62" s="67"/>
      <c r="X62" s="67"/>
      <c r="Y62" s="67"/>
      <c r="Z62" s="67"/>
      <c r="AA62" s="67"/>
      <c r="AB62" s="67"/>
      <c r="AD62" s="67"/>
      <c r="AE62" s="67"/>
      <c r="AF62" s="67"/>
      <c r="AG62" s="67"/>
      <c r="AH62" s="67"/>
      <c r="AI62" s="67"/>
      <c r="AJ62" s="67"/>
      <c r="AL62" s="67"/>
      <c r="AM62" s="67"/>
      <c r="AN62" s="67"/>
      <c r="AO62" s="67"/>
      <c r="AP62" s="67"/>
      <c r="AQ62" s="67"/>
      <c r="AR62" s="67"/>
      <c r="AS62" s="67"/>
      <c r="AT62" s="67"/>
      <c r="AU62" s="67"/>
      <c r="AV62" s="67"/>
      <c r="AW62" s="67"/>
      <c r="AX62" s="67"/>
      <c r="AY62" s="67"/>
      <c r="AZ62" s="80"/>
      <c r="BA62" s="144"/>
      <c r="BB62" s="80"/>
      <c r="BC62" s="144"/>
      <c r="BD62" s="144"/>
      <c r="BE62" s="144"/>
      <c r="BF62" s="144"/>
      <c r="BG62" s="67"/>
      <c r="BH62" s="80"/>
      <c r="BI62" s="144"/>
      <c r="BJ62" s="80"/>
      <c r="BK62" s="144"/>
      <c r="BL62" s="144"/>
      <c r="BM62" s="144"/>
      <c r="BN62" s="144"/>
      <c r="BO62" s="67"/>
      <c r="BP62" s="80"/>
      <c r="BQ62" s="144"/>
      <c r="BR62" s="80"/>
      <c r="BS62" s="144"/>
      <c r="BT62" s="144"/>
      <c r="BV62" s="144"/>
      <c r="BW62" s="80"/>
      <c r="BX62" s="67"/>
      <c r="BY62" s="67"/>
      <c r="CB62"/>
      <c r="CC62"/>
      <c r="CD62"/>
      <c r="CE62"/>
      <c r="CF62"/>
      <c r="CG62"/>
      <c r="CH62"/>
      <c r="CI62"/>
      <c r="CJ62"/>
      <c r="CK62"/>
      <c r="CL62"/>
      <c r="CM62"/>
      <c r="CN62"/>
      <c r="CO62"/>
    </row>
    <row r="63" spans="1:93" ht="13.5" customHeight="1" x14ac:dyDescent="0.2">
      <c r="A63"/>
      <c r="B63" s="522"/>
      <c r="C63" s="522"/>
      <c r="D63" s="522"/>
      <c r="E63" s="522"/>
      <c r="V63" s="67"/>
      <c r="W63" s="67"/>
      <c r="X63" s="67"/>
      <c r="Y63" s="67"/>
      <c r="Z63" s="67"/>
      <c r="AA63" s="67"/>
      <c r="AB63" s="67"/>
      <c r="AD63" s="67"/>
      <c r="AE63" s="67"/>
      <c r="AF63" s="67"/>
      <c r="AG63" s="67"/>
      <c r="AH63" s="67"/>
      <c r="AI63" s="67"/>
      <c r="AJ63" s="67"/>
      <c r="AL63" s="67"/>
      <c r="AM63" s="67"/>
      <c r="AN63" s="67"/>
      <c r="AO63" s="67"/>
      <c r="AP63" s="67"/>
      <c r="AQ63" s="67"/>
      <c r="AR63" s="67"/>
      <c r="AS63" s="67"/>
      <c r="AT63" s="67"/>
      <c r="AU63" s="67"/>
      <c r="AV63" s="67"/>
      <c r="AW63" s="67"/>
      <c r="AX63" s="67"/>
      <c r="AY63" s="67"/>
      <c r="AZ63" s="80"/>
      <c r="BA63" s="144"/>
      <c r="BB63" s="80"/>
      <c r="BC63" s="144"/>
      <c r="BD63" s="144"/>
      <c r="BE63" s="144"/>
      <c r="BF63" s="144"/>
      <c r="BG63" s="67"/>
      <c r="BH63" s="80"/>
      <c r="BI63" s="144"/>
      <c r="BJ63" s="80"/>
      <c r="BK63" s="144"/>
      <c r="BL63" s="144"/>
      <c r="BM63" s="144"/>
      <c r="BN63" s="144"/>
      <c r="BO63" s="67"/>
      <c r="BP63" s="80"/>
      <c r="BQ63" s="144"/>
      <c r="BR63" s="80"/>
      <c r="BS63" s="144"/>
      <c r="BT63" s="144"/>
      <c r="BV63" s="144"/>
      <c r="BW63" s="80"/>
      <c r="BX63" s="67"/>
      <c r="BY63" s="67"/>
      <c r="CB63"/>
      <c r="CC63"/>
      <c r="CD63"/>
      <c r="CE63"/>
      <c r="CF63"/>
      <c r="CG63"/>
      <c r="CH63"/>
      <c r="CI63"/>
      <c r="CJ63"/>
      <c r="CK63"/>
      <c r="CL63"/>
      <c r="CM63"/>
      <c r="CN63"/>
      <c r="CO63"/>
    </row>
    <row r="64" spans="1:93" ht="13.5" customHeight="1" x14ac:dyDescent="0.2">
      <c r="A64"/>
      <c r="B64" s="522"/>
      <c r="C64" s="522"/>
      <c r="D64" s="522"/>
      <c r="E64" s="522"/>
      <c r="V64" s="67"/>
      <c r="W64" s="67"/>
      <c r="X64" s="67"/>
      <c r="Y64" s="67"/>
      <c r="Z64" s="67"/>
      <c r="AA64" s="67"/>
      <c r="AB64" s="67"/>
      <c r="AD64" s="67"/>
      <c r="AE64" s="67"/>
      <c r="AF64" s="67"/>
      <c r="AG64" s="67"/>
      <c r="AH64" s="67"/>
      <c r="AI64" s="67"/>
      <c r="AJ64" s="67"/>
      <c r="AL64" s="67"/>
      <c r="AM64" s="67"/>
      <c r="AN64" s="67"/>
      <c r="AO64" s="67"/>
      <c r="AP64" s="67"/>
      <c r="AQ64" s="67"/>
      <c r="AR64" s="67"/>
      <c r="AS64" s="67"/>
      <c r="AT64" s="67"/>
      <c r="AU64" s="67"/>
      <c r="AV64" s="67"/>
      <c r="AW64" s="67"/>
      <c r="AX64" s="67"/>
      <c r="AY64" s="67"/>
      <c r="AZ64" s="80"/>
      <c r="BA64" s="144"/>
      <c r="BB64" s="80"/>
      <c r="BC64" s="144"/>
      <c r="BD64" s="144"/>
      <c r="BE64" s="144"/>
      <c r="BF64" s="144"/>
      <c r="BG64" s="67"/>
      <c r="BH64" s="80"/>
      <c r="BI64" s="144"/>
      <c r="BJ64" s="80"/>
      <c r="BK64" s="144"/>
      <c r="BL64" s="144"/>
      <c r="BM64" s="144"/>
      <c r="BN64" s="144"/>
      <c r="BO64" s="67"/>
      <c r="BP64" s="80"/>
      <c r="BQ64" s="144"/>
      <c r="BR64" s="80"/>
      <c r="BS64" s="144"/>
      <c r="BT64" s="144"/>
      <c r="BV64" s="144"/>
      <c r="BW64" s="80"/>
      <c r="BX64" s="67"/>
      <c r="BY64" s="67"/>
      <c r="CB64"/>
      <c r="CC64"/>
      <c r="CD64"/>
      <c r="CE64"/>
      <c r="CF64"/>
      <c r="CG64"/>
      <c r="CH64"/>
      <c r="CI64"/>
      <c r="CJ64"/>
      <c r="CK64"/>
      <c r="CL64"/>
      <c r="CM64"/>
      <c r="CN64"/>
      <c r="CO64"/>
    </row>
    <row r="65" spans="1:105" ht="13.5" customHeight="1" thickBot="1" x14ac:dyDescent="0.25">
      <c r="B65" s="380" t="s">
        <v>236</v>
      </c>
      <c r="C65" s="452"/>
      <c r="D65" s="23" t="str">
        <f>IF(ISERR(LN(2)/(-SLOPE(D39:D59,B39:B59))),"",(LN(2)/(-SLOPE(D39:D59,B39:B59))))</f>
        <v/>
      </c>
      <c r="E65" s="104" t="s">
        <v>146</v>
      </c>
      <c r="H65" s="67"/>
      <c r="I65" s="67"/>
      <c r="W65" s="99"/>
      <c r="X65" s="99"/>
      <c r="Y65" s="99"/>
      <c r="Z65" s="67"/>
      <c r="AA65" s="99"/>
      <c r="AB65" s="99"/>
      <c r="AE65" s="99"/>
      <c r="AF65" s="99"/>
      <c r="AG65" s="99"/>
      <c r="AH65" s="67"/>
      <c r="AI65" s="99"/>
      <c r="AJ65" s="99"/>
      <c r="AM65" s="99"/>
      <c r="AN65" s="99"/>
      <c r="AO65" s="99"/>
      <c r="AP65" s="67"/>
      <c r="AQ65" s="99"/>
      <c r="AR65" s="99"/>
      <c r="AS65" s="99"/>
      <c r="AT65" s="99"/>
      <c r="AU65" s="99"/>
      <c r="AV65" s="99"/>
      <c r="AW65" s="99"/>
      <c r="AX65" s="99"/>
      <c r="BX65" s="80"/>
      <c r="CO65"/>
    </row>
    <row r="66" spans="1:105" ht="13.5" customHeight="1" thickTop="1" thickBot="1" x14ac:dyDescent="0.25">
      <c r="B66" s="91"/>
      <c r="C66" s="173"/>
      <c r="G66" s="507" t="s">
        <v>117</v>
      </c>
      <c r="H66" s="580"/>
      <c r="I66" s="2"/>
      <c r="W66" s="99"/>
      <c r="X66" s="99"/>
      <c r="Y66" s="99"/>
      <c r="Z66" s="67"/>
      <c r="AA66" s="99"/>
      <c r="AB66" s="99"/>
      <c r="AE66" s="99"/>
      <c r="AF66" s="99"/>
      <c r="AG66" s="99"/>
      <c r="AH66" s="67"/>
      <c r="AI66" s="99"/>
      <c r="AJ66" s="99"/>
      <c r="AM66" s="99"/>
      <c r="AN66" s="99"/>
      <c r="AO66" s="99"/>
      <c r="AP66" s="67"/>
      <c r="AQ66" s="99"/>
      <c r="AR66" s="99"/>
      <c r="AS66" s="99"/>
      <c r="AT66" s="99"/>
      <c r="AU66" s="99"/>
      <c r="AV66" s="99"/>
      <c r="AW66" s="99"/>
      <c r="AX66" s="99"/>
      <c r="BX66" s="80"/>
      <c r="CO66"/>
    </row>
    <row r="67" spans="1:105" ht="13.5" customHeight="1" thickTop="1" x14ac:dyDescent="0.2">
      <c r="B67" s="91"/>
      <c r="C67" s="123"/>
      <c r="G67" s="79" t="s">
        <v>120</v>
      </c>
      <c r="H67" s="115"/>
      <c r="I67" s="115"/>
      <c r="Q67" s="99"/>
      <c r="R67" s="99"/>
      <c r="S67" s="99"/>
      <c r="T67" s="99"/>
      <c r="U67" s="67"/>
      <c r="V67" s="67"/>
      <c r="W67" s="99"/>
      <c r="X67" s="99"/>
      <c r="Y67" s="99"/>
      <c r="Z67" s="99"/>
      <c r="AA67" s="99"/>
      <c r="AB67" s="99"/>
      <c r="AC67" s="67"/>
      <c r="AD67" s="67"/>
      <c r="AE67" s="99"/>
      <c r="AF67" s="99"/>
      <c r="AG67" s="99"/>
      <c r="AH67" s="99"/>
      <c r="AI67" s="99"/>
      <c r="AJ67" s="99"/>
      <c r="AK67" s="67"/>
      <c r="AL67" s="67"/>
      <c r="AM67" s="99"/>
      <c r="AN67" s="99"/>
      <c r="AO67" s="99"/>
      <c r="AP67" s="99"/>
      <c r="AQ67" s="99"/>
      <c r="AR67" s="99"/>
      <c r="AS67" s="99"/>
      <c r="AT67" s="99"/>
      <c r="AU67" s="143"/>
      <c r="AV67" s="99"/>
      <c r="AW67" s="143"/>
      <c r="AX67" s="143"/>
      <c r="AY67" s="143"/>
      <c r="AZ67" s="143"/>
      <c r="BA67" s="99"/>
      <c r="BD67" s="99"/>
      <c r="BG67" s="143"/>
      <c r="BH67" s="143"/>
      <c r="BI67" s="99"/>
      <c r="BL67" s="99"/>
      <c r="BO67" s="143"/>
      <c r="BP67" s="143"/>
      <c r="BR67" s="143"/>
      <c r="BT67" s="80"/>
      <c r="BV67" s="80"/>
      <c r="BW67" s="80"/>
      <c r="BX67" s="80"/>
      <c r="CA67" s="99"/>
      <c r="CB67" s="99"/>
      <c r="CC67" s="99"/>
      <c r="CD67" s="99"/>
      <c r="CE67" s="99"/>
      <c r="CF67" s="99"/>
      <c r="CI67"/>
      <c r="CJ67"/>
      <c r="CK67"/>
      <c r="CL67"/>
      <c r="CM67"/>
      <c r="CN67"/>
      <c r="CO67"/>
    </row>
    <row r="68" spans="1:105" ht="13.5" customHeight="1" thickBot="1" x14ac:dyDescent="0.25">
      <c r="B68" s="91"/>
      <c r="C68" s="40" t="s">
        <v>237</v>
      </c>
      <c r="Q68" s="99"/>
      <c r="R68" s="99"/>
      <c r="S68" s="99"/>
      <c r="T68" s="99"/>
      <c r="U68" s="67"/>
      <c r="V68" s="67"/>
      <c r="W68" s="99"/>
      <c r="X68" s="99"/>
      <c r="Y68" s="99"/>
      <c r="Z68" s="99"/>
      <c r="AA68" s="99"/>
      <c r="AB68" s="99"/>
      <c r="AC68" s="67"/>
      <c r="AD68" s="67"/>
      <c r="AE68" s="99"/>
      <c r="AF68" s="99"/>
      <c r="AG68" s="99"/>
      <c r="AH68" s="99"/>
      <c r="AI68" s="99"/>
      <c r="AJ68" s="99"/>
      <c r="AK68" s="67"/>
      <c r="AL68" s="67"/>
      <c r="AM68" s="99"/>
      <c r="AN68" s="99"/>
      <c r="AO68" s="99"/>
      <c r="AP68" s="99"/>
      <c r="AQ68" s="99"/>
      <c r="AR68" s="99"/>
      <c r="AS68" s="99"/>
      <c r="AT68" s="99"/>
      <c r="AU68" s="143"/>
      <c r="AV68" s="99"/>
      <c r="AW68" s="143"/>
      <c r="AX68" s="143"/>
      <c r="AY68" s="143"/>
      <c r="AZ68" s="143"/>
      <c r="BA68" s="99"/>
      <c r="BD68" s="99"/>
      <c r="BG68" s="143"/>
      <c r="BH68" s="143"/>
      <c r="BI68" s="99"/>
      <c r="BL68" s="99"/>
      <c r="BO68" s="143"/>
      <c r="BP68" s="143"/>
      <c r="BR68" s="143"/>
      <c r="BT68" s="80"/>
      <c r="BV68" s="80"/>
      <c r="BW68" s="80"/>
      <c r="BX68" s="80"/>
      <c r="CA68" s="99"/>
      <c r="CB68" s="99"/>
      <c r="CC68" s="99"/>
      <c r="CD68" s="99"/>
      <c r="CE68" s="99"/>
      <c r="CF68" s="99"/>
      <c r="CI68"/>
      <c r="CJ68"/>
      <c r="CK68"/>
      <c r="CL68"/>
      <c r="CM68"/>
      <c r="CN68"/>
      <c r="CO68"/>
    </row>
    <row r="69" spans="1:105" ht="103.5" customHeight="1" thickTop="1" thickBot="1" x14ac:dyDescent="0.25">
      <c r="B69" s="91"/>
      <c r="C69" s="607" t="s">
        <v>238</v>
      </c>
      <c r="D69" s="608"/>
      <c r="E69" s="609"/>
      <c r="F69" s="174" t="str">
        <f>IF(NOT(ISNUMBER(F70)),"-",IF(F70=AX87,AV84,IF(F70=BB87,AZ84,IF(F70=BF87,BD84,IF(F70=BJ87,BH84,IF(F70=BN87,BL84,"-"))))))</f>
        <v>-</v>
      </c>
      <c r="Q69" s="99"/>
      <c r="R69" s="99"/>
      <c r="S69" s="99"/>
      <c r="T69" s="99"/>
      <c r="U69" s="67"/>
      <c r="V69" s="67"/>
      <c r="W69" s="99"/>
      <c r="X69" s="99"/>
      <c r="Y69" s="99"/>
      <c r="Z69" s="99"/>
      <c r="AA69" s="99"/>
      <c r="AB69" s="99"/>
      <c r="AC69" s="67"/>
      <c r="AD69" s="67"/>
      <c r="AE69" s="99"/>
      <c r="AF69" s="99"/>
      <c r="AG69" s="99"/>
      <c r="AH69" s="99"/>
      <c r="AI69" s="99"/>
      <c r="AJ69" s="99"/>
      <c r="AK69" s="67"/>
      <c r="AL69" s="67"/>
      <c r="AM69" s="99"/>
      <c r="AN69" s="99"/>
      <c r="AO69" s="99"/>
      <c r="AP69" s="99"/>
      <c r="AQ69" s="99"/>
      <c r="AR69" s="99"/>
      <c r="AS69" s="80"/>
      <c r="AT69" s="80"/>
      <c r="AU69" s="144"/>
      <c r="AV69" s="80"/>
      <c r="AW69" s="144"/>
      <c r="AX69" s="144"/>
      <c r="AY69" s="144"/>
      <c r="AZ69" s="144"/>
      <c r="BA69" s="80"/>
      <c r="BB69" s="80"/>
      <c r="BC69" s="144"/>
      <c r="BD69" s="80"/>
      <c r="BE69" s="144"/>
      <c r="BF69" s="144"/>
      <c r="BG69" s="144"/>
      <c r="BH69" s="144"/>
      <c r="BI69" s="80"/>
      <c r="BJ69" s="80"/>
      <c r="BK69" s="144"/>
      <c r="BL69" s="80"/>
      <c r="BM69" s="144"/>
      <c r="BN69" s="144"/>
      <c r="BO69" s="144"/>
      <c r="BP69" s="144"/>
      <c r="BQ69" s="144"/>
      <c r="BR69" s="144"/>
      <c r="BS69" s="144"/>
      <c r="BT69" s="80"/>
      <c r="BV69" s="80"/>
      <c r="BW69" s="80"/>
      <c r="BX69" s="80"/>
      <c r="CA69" s="99"/>
      <c r="CB69" s="99"/>
      <c r="CC69" s="99"/>
      <c r="CD69" s="99"/>
      <c r="CE69" s="99"/>
      <c r="CF69"/>
      <c r="CG69"/>
      <c r="CH69"/>
      <c r="CI69"/>
      <c r="CJ69"/>
      <c r="CK69"/>
      <c r="CL69"/>
      <c r="CM69"/>
      <c r="CN69"/>
      <c r="CO69"/>
    </row>
    <row r="70" spans="1:105" ht="13.5" customHeight="1" thickTop="1" x14ac:dyDescent="0.2">
      <c r="C70" s="610" t="s">
        <v>152</v>
      </c>
      <c r="D70" s="611"/>
      <c r="E70" s="612"/>
      <c r="F70" s="175" t="str">
        <f>IF(NOT(AND(ISNUMBER(ffp),ISNUMBER(F14),ISNUMBER(F13))),"-",IF(MAX(AX87,BB87,BF87,BJ87,BN87,BR87)&gt;0,MAX(AX87,BB87,BF87,BJ87,BN87,BR87),"-"))</f>
        <v>-</v>
      </c>
      <c r="Q70" s="99"/>
      <c r="R70" s="99"/>
      <c r="S70" s="99"/>
      <c r="T70" s="99"/>
      <c r="U70" s="67"/>
      <c r="V70" s="67"/>
      <c r="W70" s="99"/>
      <c r="X70" s="99"/>
      <c r="Y70" s="99"/>
      <c r="Z70" s="99"/>
      <c r="AA70" s="99"/>
      <c r="AB70" s="99"/>
      <c r="AC70" s="67"/>
      <c r="AD70" s="67"/>
      <c r="AE70" s="99"/>
      <c r="AF70" s="99"/>
      <c r="AG70" s="99"/>
      <c r="AH70" s="99"/>
      <c r="AI70" s="99"/>
      <c r="AJ70" s="99"/>
      <c r="AK70" s="67"/>
      <c r="AL70" s="67"/>
      <c r="AM70" s="99"/>
      <c r="AN70" s="99"/>
      <c r="AO70" s="99"/>
      <c r="AP70" s="99"/>
      <c r="AQ70" s="99"/>
      <c r="AR70" s="99"/>
      <c r="AS70" s="80"/>
      <c r="AT70" s="80"/>
      <c r="AU70" s="144"/>
      <c r="AV70" s="80"/>
      <c r="AW70" s="144"/>
      <c r="AX70" s="144"/>
      <c r="AY70" s="144"/>
      <c r="AZ70" s="144"/>
      <c r="BA70" s="80"/>
      <c r="BB70" s="80"/>
      <c r="BC70" s="144"/>
      <c r="BD70" s="80"/>
      <c r="BE70" s="144"/>
      <c r="BF70" s="144"/>
      <c r="BG70" s="144"/>
      <c r="BH70" s="144"/>
      <c r="BI70" s="80"/>
      <c r="BJ70" s="80"/>
      <c r="BK70" s="144"/>
      <c r="BL70" s="80"/>
      <c r="BM70" s="144"/>
      <c r="BN70" s="144"/>
      <c r="BO70" s="144"/>
      <c r="BP70" s="144"/>
      <c r="BQ70" s="144"/>
      <c r="BR70" s="144"/>
      <c r="BS70" s="144"/>
      <c r="BT70" s="80"/>
      <c r="BV70" s="80"/>
      <c r="BW70" s="80"/>
      <c r="BX70" s="80"/>
      <c r="CA70" s="99"/>
      <c r="CB70" s="99"/>
      <c r="CC70" s="99"/>
      <c r="CD70" s="99"/>
      <c r="CE70" s="99"/>
      <c r="CF70"/>
      <c r="CG70"/>
      <c r="CH70"/>
      <c r="CI70"/>
      <c r="CJ70"/>
      <c r="CK70"/>
      <c r="CL70"/>
      <c r="CM70"/>
      <c r="CN70"/>
      <c r="CO70"/>
    </row>
    <row r="71" spans="1:105" ht="13.5" customHeight="1" thickBot="1" x14ac:dyDescent="0.25">
      <c r="C71" s="573" t="s">
        <v>239</v>
      </c>
      <c r="D71" s="574"/>
      <c r="E71" s="575"/>
      <c r="F71" s="176" t="str">
        <f>IF(NOT(ISNUMBER(ffp)),"-",IF(F70=AX87,AX88,IF(F70=BB87,BB88,IF(F70=BF87,BF88,IF(F70=BJ87,BJ88,IF(F70=BN87,BN88,BR88))))))</f>
        <v>-</v>
      </c>
      <c r="Q71" s="99"/>
      <c r="R71" s="99"/>
      <c r="S71" s="99"/>
      <c r="T71" s="99"/>
      <c r="U71" s="67"/>
      <c r="V71" s="67"/>
      <c r="W71" s="99"/>
      <c r="X71" s="99"/>
      <c r="Y71" s="99"/>
      <c r="Z71" s="99"/>
      <c r="AA71" s="99"/>
      <c r="AB71" s="99"/>
      <c r="AC71" s="67"/>
      <c r="AD71" s="67"/>
      <c r="AE71" s="99"/>
      <c r="AF71" s="99"/>
      <c r="AG71" s="99"/>
      <c r="AH71" s="99"/>
      <c r="AI71" s="99"/>
      <c r="AJ71" s="99"/>
      <c r="AK71" s="67"/>
      <c r="AL71" s="67"/>
      <c r="AM71" s="99"/>
      <c r="AN71" s="99"/>
      <c r="AO71" s="99"/>
      <c r="AP71" s="99"/>
      <c r="AQ71" s="99"/>
      <c r="AR71" s="99"/>
      <c r="AS71" s="80"/>
      <c r="AT71" s="80"/>
      <c r="AU71" s="144"/>
      <c r="AV71" s="80"/>
      <c r="AW71" s="144"/>
      <c r="AX71" s="144"/>
      <c r="AY71" s="144"/>
      <c r="AZ71" s="144"/>
      <c r="BA71" s="80"/>
      <c r="BB71" s="80"/>
      <c r="BC71" s="144"/>
      <c r="BD71" s="80"/>
      <c r="BE71" s="144"/>
      <c r="BF71" s="144"/>
      <c r="BG71" s="144"/>
      <c r="BH71" s="144"/>
      <c r="BI71" s="80"/>
      <c r="BJ71" s="80"/>
      <c r="BK71" s="144"/>
      <c r="BL71" s="80"/>
      <c r="BM71" s="144"/>
      <c r="BN71" s="144"/>
      <c r="BO71" s="144"/>
      <c r="BP71" s="144"/>
      <c r="BQ71" s="144"/>
      <c r="BR71" s="144"/>
      <c r="BS71" s="144"/>
      <c r="BT71" s="80"/>
      <c r="BV71" s="80"/>
      <c r="BW71" s="80"/>
      <c r="BX71" s="80"/>
      <c r="CA71" s="99"/>
      <c r="CB71" s="99"/>
      <c r="CC71" s="99"/>
      <c r="CD71" s="99"/>
      <c r="CE71" s="99"/>
      <c r="CF71"/>
      <c r="CG71"/>
      <c r="CH71"/>
      <c r="CI71"/>
      <c r="CJ71"/>
      <c r="CK71"/>
      <c r="CL71"/>
      <c r="CM71"/>
      <c r="CN71"/>
      <c r="CO71"/>
    </row>
    <row r="72" spans="1:105" ht="13.5" customHeight="1" thickTop="1" x14ac:dyDescent="0.2">
      <c r="C72" s="10" t="s">
        <v>129</v>
      </c>
      <c r="D72" s="177"/>
      <c r="E72" s="177"/>
      <c r="F72" s="177"/>
      <c r="G72" s="177"/>
      <c r="H72" s="178"/>
      <c r="I72" s="179"/>
      <c r="Q72" s="99"/>
      <c r="R72" s="99"/>
      <c r="S72" s="99"/>
      <c r="T72" s="99"/>
      <c r="U72" s="67"/>
      <c r="V72" s="67"/>
      <c r="W72" s="99"/>
      <c r="X72" s="99"/>
      <c r="Y72" s="99"/>
      <c r="Z72" s="99"/>
      <c r="AA72" s="99"/>
      <c r="AB72" s="99"/>
      <c r="AC72" s="67"/>
      <c r="AD72" s="67"/>
      <c r="AE72" s="99"/>
      <c r="AF72" s="99"/>
      <c r="AG72" s="99"/>
      <c r="AH72" s="99"/>
      <c r="AI72" s="99"/>
      <c r="AJ72" s="99"/>
      <c r="AK72" s="67"/>
      <c r="AL72" s="67"/>
      <c r="AM72" s="99"/>
      <c r="AN72" s="99"/>
      <c r="AO72" s="99"/>
      <c r="AP72" s="99"/>
      <c r="AQ72" s="99"/>
      <c r="AR72" s="99"/>
      <c r="AS72" s="99"/>
      <c r="AT72" s="99"/>
      <c r="AU72" s="143"/>
      <c r="AV72" s="99"/>
      <c r="AW72" s="143"/>
      <c r="AX72" s="143"/>
      <c r="AY72" s="143"/>
      <c r="AZ72" s="143"/>
      <c r="BA72" s="99"/>
      <c r="BD72" s="99"/>
      <c r="BG72" s="143"/>
      <c r="BH72" s="143"/>
      <c r="BI72" s="99"/>
      <c r="BL72" s="99"/>
      <c r="BO72" s="143"/>
      <c r="BP72" s="143"/>
      <c r="BR72" s="143"/>
      <c r="BT72" s="80"/>
      <c r="BV72" s="80"/>
      <c r="BW72" s="80"/>
      <c r="BX72" s="80"/>
      <c r="CA72" s="99"/>
      <c r="CB72" s="99"/>
      <c r="CC72" s="99"/>
      <c r="CD72" s="99"/>
      <c r="CE72" s="99"/>
      <c r="CF72" s="99"/>
      <c r="CI72"/>
      <c r="CJ72"/>
      <c r="CK72"/>
      <c r="CL72"/>
      <c r="CM72"/>
      <c r="CN72"/>
      <c r="CO72"/>
    </row>
    <row r="73" spans="1:105" ht="13.5" customHeight="1" x14ac:dyDescent="0.2">
      <c r="H73" s="67"/>
      <c r="I73" s="67"/>
      <c r="W73" s="99"/>
      <c r="X73" s="99"/>
      <c r="Y73" s="99"/>
      <c r="Z73" s="67"/>
      <c r="AA73" s="99"/>
      <c r="AB73" s="99"/>
      <c r="AE73" s="99"/>
      <c r="AF73" s="99"/>
      <c r="AG73" s="99"/>
      <c r="AH73" s="67"/>
      <c r="AI73" s="99"/>
      <c r="AJ73" s="99"/>
      <c r="AM73" s="99"/>
      <c r="AN73" s="99"/>
      <c r="AO73" s="99"/>
      <c r="AP73" s="67"/>
      <c r="AQ73" s="99"/>
      <c r="AR73" s="99"/>
      <c r="AS73" s="99"/>
      <c r="AT73" s="99"/>
      <c r="AU73" s="99"/>
      <c r="AV73" s="99"/>
      <c r="AW73" s="99"/>
      <c r="AX73" s="99"/>
      <c r="BX73" s="80"/>
      <c r="CO73"/>
    </row>
    <row r="74" spans="1:105" s="67" customFormat="1" ht="27" customHeight="1" x14ac:dyDescent="0.2">
      <c r="A74" s="180"/>
      <c r="B74" s="181" t="s">
        <v>240</v>
      </c>
      <c r="C74" s="182"/>
      <c r="D74" s="182"/>
      <c r="E74" s="182"/>
      <c r="F74" s="182"/>
      <c r="G74" s="182"/>
      <c r="H74" s="182"/>
      <c r="I74" s="182"/>
      <c r="J74" s="182"/>
      <c r="K74" s="182"/>
      <c r="T74" s="183"/>
      <c r="U74" s="183"/>
      <c r="V74" s="99"/>
      <c r="W74"/>
      <c r="X74"/>
      <c r="Y74"/>
      <c r="AA74"/>
      <c r="AB74"/>
      <c r="AC74" s="183"/>
      <c r="AD74" s="99"/>
      <c r="AE74"/>
      <c r="AF74"/>
      <c r="AG74"/>
      <c r="AI74"/>
      <c r="AJ74"/>
      <c r="AK74" s="183"/>
      <c r="AL74" s="99"/>
      <c r="AM74"/>
      <c r="AN74"/>
      <c r="AO74"/>
      <c r="AQ74"/>
      <c r="AR74"/>
      <c r="AS74"/>
      <c r="AT74"/>
      <c r="AU74"/>
      <c r="AV74"/>
      <c r="AW74"/>
      <c r="AX74"/>
      <c r="AY74" s="99"/>
      <c r="AZ74" s="99"/>
      <c r="BA74" s="143"/>
      <c r="BB74" s="99"/>
      <c r="BC74" s="143"/>
      <c r="BD74" s="143"/>
      <c r="BE74" s="143"/>
      <c r="BF74" s="143"/>
      <c r="BG74" s="99"/>
      <c r="BH74" s="99"/>
      <c r="BI74" s="143"/>
      <c r="BJ74" s="99"/>
      <c r="BK74" s="143"/>
      <c r="BL74" s="143"/>
      <c r="BM74" s="143"/>
      <c r="BN74" s="143"/>
      <c r="BO74" s="99"/>
      <c r="BP74" s="99"/>
      <c r="BQ74" s="143"/>
      <c r="BR74" s="99"/>
      <c r="BS74" s="143"/>
      <c r="BT74" s="143"/>
      <c r="BU74" s="80"/>
      <c r="BV74" s="143"/>
      <c r="BW74" s="99"/>
      <c r="BX74" s="99"/>
      <c r="BY74" s="80"/>
      <c r="BZ74" s="80"/>
      <c r="CA74" s="80"/>
      <c r="CB74" s="80"/>
      <c r="CC74" s="80"/>
      <c r="CD74" s="80"/>
      <c r="CE74" s="80"/>
      <c r="CF74" s="80"/>
      <c r="CI74" s="99"/>
      <c r="CJ74" s="99"/>
      <c r="CK74" s="99"/>
      <c r="CL74" s="99"/>
      <c r="CM74" s="99"/>
      <c r="CN74" s="99"/>
      <c r="CO74" s="99"/>
      <c r="CP74" s="99"/>
      <c r="CQ74" s="99"/>
      <c r="CR74" s="99"/>
      <c r="CS74" s="99"/>
      <c r="CT74" s="99"/>
      <c r="CU74" s="99"/>
      <c r="CV74" s="99"/>
      <c r="CW74" s="99"/>
      <c r="CX74" s="99"/>
      <c r="CY74" s="99"/>
      <c r="CZ74" s="99"/>
      <c r="DA74" s="99"/>
    </row>
    <row r="75" spans="1:105" x14ac:dyDescent="0.2">
      <c r="B75" s="100"/>
      <c r="C75" s="100"/>
      <c r="T75" s="184"/>
      <c r="U75" s="184"/>
      <c r="V75" s="99"/>
      <c r="Z75" s="67"/>
      <c r="AC75" s="184"/>
      <c r="AD75" s="99"/>
      <c r="AH75" s="67"/>
      <c r="AK75" s="184"/>
      <c r="AL75" s="99"/>
      <c r="AP75" s="67"/>
      <c r="CG75"/>
      <c r="CH75"/>
      <c r="CP75" s="99"/>
      <c r="CQ75" s="99"/>
      <c r="CR75" s="99"/>
      <c r="CS75" s="99"/>
      <c r="CT75" s="99"/>
      <c r="CU75" s="99"/>
      <c r="CV75" s="99"/>
      <c r="CW75" s="99"/>
      <c r="CX75" s="99"/>
      <c r="CY75" s="99"/>
      <c r="CZ75" s="99"/>
      <c r="DA75" s="99"/>
    </row>
    <row r="76" spans="1:105" x14ac:dyDescent="0.2">
      <c r="B76" s="92"/>
      <c r="C76" s="92"/>
      <c r="T76" s="177"/>
      <c r="U76" s="177"/>
      <c r="V76" s="99"/>
      <c r="Z76" s="67"/>
      <c r="AC76" s="177"/>
      <c r="AD76" s="99"/>
      <c r="AH76" s="67"/>
      <c r="AK76" s="177"/>
      <c r="AL76" s="99"/>
      <c r="AP76" s="67"/>
      <c r="CG76"/>
      <c r="CH76"/>
      <c r="CP76" s="99"/>
      <c r="CQ76" s="99"/>
      <c r="CR76" s="99"/>
      <c r="CS76" s="99"/>
      <c r="CT76" s="99"/>
      <c r="CU76" s="99"/>
      <c r="CV76" s="99"/>
      <c r="CW76" s="99"/>
      <c r="CX76" s="99"/>
      <c r="CY76" s="99"/>
      <c r="CZ76" s="99"/>
      <c r="DA76" s="99"/>
    </row>
    <row r="77" spans="1:105" x14ac:dyDescent="0.2">
      <c r="B77" s="92"/>
      <c r="C77" s="92"/>
      <c r="D77" s="92"/>
      <c r="E77" s="92"/>
      <c r="F77" s="92"/>
      <c r="V77" s="99"/>
      <c r="Z77" s="67"/>
      <c r="AD77" s="99"/>
      <c r="AH77" s="67"/>
      <c r="AL77" s="99"/>
      <c r="AP77" s="67"/>
      <c r="CG77"/>
      <c r="CH77"/>
      <c r="CP77" s="99"/>
      <c r="CQ77" s="99"/>
      <c r="CR77" s="99"/>
      <c r="CS77" s="99"/>
      <c r="CT77" s="99"/>
      <c r="CU77" s="99"/>
      <c r="CV77" s="99"/>
      <c r="CW77" s="99"/>
      <c r="CX77" s="99"/>
      <c r="CY77" s="99"/>
      <c r="CZ77" s="99"/>
      <c r="DA77" s="99"/>
    </row>
    <row r="78" spans="1:105" x14ac:dyDescent="0.2">
      <c r="D78" s="92"/>
      <c r="E78" s="92"/>
      <c r="F78" s="92"/>
      <c r="V78" s="99"/>
      <c r="AD78" s="99"/>
      <c r="AL78" s="99"/>
      <c r="CG78"/>
      <c r="CH78"/>
      <c r="CP78" s="99"/>
      <c r="CQ78" s="99"/>
      <c r="CR78" s="99"/>
      <c r="CS78" s="99"/>
      <c r="CT78" s="99"/>
      <c r="CU78" s="99"/>
      <c r="CV78" s="99"/>
      <c r="CW78" s="99"/>
      <c r="CX78" s="99"/>
      <c r="CY78" s="99"/>
      <c r="CZ78" s="99"/>
      <c r="DA78" s="99"/>
    </row>
    <row r="79" spans="1:105" x14ac:dyDescent="0.2">
      <c r="V79" s="99"/>
      <c r="AD79" s="99"/>
      <c r="AL79" s="99"/>
      <c r="CG79"/>
      <c r="CH79"/>
      <c r="CP79" s="99"/>
      <c r="CQ79" s="99"/>
      <c r="CR79" s="99"/>
      <c r="CS79" s="99"/>
      <c r="CT79" s="99"/>
      <c r="CU79" s="99"/>
      <c r="CV79" s="99"/>
      <c r="CW79" s="99"/>
      <c r="CX79" s="99"/>
      <c r="CY79" s="99"/>
      <c r="CZ79" s="99"/>
      <c r="DA79" s="99"/>
    </row>
    <row r="80" spans="1:105" x14ac:dyDescent="0.2">
      <c r="V80" s="99"/>
      <c r="AD80" s="99"/>
      <c r="AL80" s="99"/>
      <c r="CG80"/>
      <c r="CH80"/>
      <c r="CP80" s="99"/>
      <c r="CQ80" s="99"/>
      <c r="CR80" s="99"/>
      <c r="CS80" s="99"/>
      <c r="CT80" s="99"/>
      <c r="CU80" s="99"/>
      <c r="CV80" s="99"/>
      <c r="CW80" s="99"/>
      <c r="CX80" s="99"/>
      <c r="CY80" s="99"/>
      <c r="CZ80" s="99"/>
      <c r="DA80" s="99"/>
    </row>
    <row r="81" spans="2:107" x14ac:dyDescent="0.2">
      <c r="V81" s="99"/>
      <c r="AD81" s="99"/>
      <c r="AL81" s="99"/>
      <c r="CH81"/>
      <c r="CP81" s="99"/>
      <c r="CQ81" s="99"/>
      <c r="CR81" s="99"/>
      <c r="CS81" s="99"/>
      <c r="CT81" s="99"/>
      <c r="CU81" s="99"/>
      <c r="CV81" s="99"/>
      <c r="CW81" s="99"/>
      <c r="CX81" s="99"/>
      <c r="CY81" s="99"/>
      <c r="CZ81" s="99"/>
      <c r="DA81" s="99"/>
    </row>
    <row r="82" spans="2:107" x14ac:dyDescent="0.2">
      <c r="V82" s="185"/>
      <c r="AD82" s="185"/>
      <c r="AL82" s="185"/>
      <c r="CP82" s="99"/>
      <c r="CQ82" s="99"/>
      <c r="CR82" s="99"/>
      <c r="CS82" s="99"/>
      <c r="CT82" s="99"/>
      <c r="CU82" s="99"/>
      <c r="CV82" s="99"/>
      <c r="CW82" s="99"/>
      <c r="CX82" s="99"/>
      <c r="CY82" s="99"/>
      <c r="CZ82" s="99"/>
      <c r="DA82" s="99"/>
    </row>
    <row r="83" spans="2:107" x14ac:dyDescent="0.2">
      <c r="CP83" s="99"/>
      <c r="CQ83" s="99"/>
      <c r="CR83" s="99"/>
      <c r="CS83" s="99"/>
      <c r="CT83" s="99"/>
      <c r="CU83" s="99"/>
      <c r="CV83" s="99"/>
      <c r="CW83" s="99"/>
      <c r="CX83" s="99"/>
      <c r="CY83" s="99"/>
      <c r="CZ83" s="99"/>
      <c r="DA83" s="99"/>
    </row>
    <row r="84" spans="2:107" x14ac:dyDescent="0.2">
      <c r="AV84" s="79" t="str">
        <f>_xlfn.CONCAT("1回目散布から",F22,"日")</f>
        <v>1回目散布から日</v>
      </c>
      <c r="AZ84" s="79" t="str">
        <f>_xlfn.CONCAT("1回目散布の止水期間終了から",F22,"日")</f>
        <v>1回目散布の止水期間終了から日</v>
      </c>
      <c r="BD84" s="79" t="str">
        <f>_xlfn.CONCAT("2回目散布から",F22,"日")</f>
        <v>2回目散布から日</v>
      </c>
      <c r="BH84" s="79" t="str">
        <f>_xlfn.CONCAT("2回目散布の止水期間終了から",F22,"日")</f>
        <v>2回目散布の止水期間終了から日</v>
      </c>
      <c r="BL84" s="79" t="str">
        <f>_xlfn.CONCAT("3回目散布から",F22,"日")</f>
        <v>3回目散布から日</v>
      </c>
      <c r="BP84" s="79" t="str">
        <f>_xlfn.CONCAT("3回目散布の止水期間終了から",F22,"日")</f>
        <v>3回目散布の止水期間終了から日</v>
      </c>
      <c r="CP84" s="99"/>
      <c r="CQ84" s="99"/>
      <c r="CR84" s="99"/>
      <c r="CS84" s="99"/>
      <c r="CT84" s="99"/>
      <c r="CU84" s="99"/>
      <c r="CV84" s="99"/>
      <c r="CW84" s="99"/>
      <c r="CX84" s="99"/>
      <c r="CY84" s="99"/>
      <c r="CZ84" s="99"/>
      <c r="DA84" s="99"/>
    </row>
    <row r="85" spans="2:107" x14ac:dyDescent="0.2">
      <c r="AT85" s="186"/>
      <c r="AV85" s="44" t="s">
        <v>241</v>
      </c>
      <c r="AW85" s="87" t="s">
        <v>242</v>
      </c>
      <c r="AX85" s="187" t="str">
        <f>IF(ISNUMBER($F$22),VLOOKUP($F$22-1,$U$100:$AX$250,28),"-")</f>
        <v>-</v>
      </c>
      <c r="AZ85" s="44" t="s">
        <v>241</v>
      </c>
      <c r="BA85" s="87" t="s">
        <v>242</v>
      </c>
      <c r="BB85" s="187" t="str">
        <f>IFERROR(VLOOKUP($F$22+$F$21-1,$U$100:$BB$250,32),"-")</f>
        <v>-</v>
      </c>
      <c r="BD85" s="44" t="s">
        <v>241</v>
      </c>
      <c r="BE85" s="87" t="s">
        <v>242</v>
      </c>
      <c r="BF85" s="187" t="str">
        <f>IF(ISNUMBER($F$22),VLOOKUP($F$22-1+$F$16,$U$100:$BF$250,36),"-")</f>
        <v>-</v>
      </c>
      <c r="BH85" s="44" t="s">
        <v>241</v>
      </c>
      <c r="BI85" s="87" t="s">
        <v>242</v>
      </c>
      <c r="BJ85" s="187" t="str">
        <f>IFERROR(VLOOKUP($F$22+$F$21-1+$F$16,$U$100:$BJ$250,40),"-")</f>
        <v>-</v>
      </c>
      <c r="BL85" s="44" t="s">
        <v>241</v>
      </c>
      <c r="BM85" s="87" t="s">
        <v>242</v>
      </c>
      <c r="BN85" s="187" t="str">
        <f>IF(ISNUMBER($F$22),VLOOKUP($F$22-1+$F$17,$U$100:$BN$250,44),"-")</f>
        <v>-</v>
      </c>
      <c r="BP85" s="44" t="s">
        <v>241</v>
      </c>
      <c r="BQ85" s="87" t="s">
        <v>242</v>
      </c>
      <c r="BR85" s="187" t="str">
        <f>IFERROR(VLOOKUP($F$22+$F$21-1+$F$17,$U$100:$BR$250,48),"-")</f>
        <v>-</v>
      </c>
      <c r="CP85" s="99"/>
      <c r="CQ85" s="99"/>
      <c r="CR85" s="99"/>
      <c r="CS85" s="99"/>
      <c r="CT85" s="99"/>
      <c r="CU85" s="99"/>
      <c r="CV85" s="99"/>
      <c r="CW85" s="99"/>
      <c r="CX85" s="99"/>
      <c r="CY85" s="99"/>
      <c r="CZ85" s="99"/>
      <c r="DA85" s="99"/>
    </row>
    <row r="86" spans="2:107" x14ac:dyDescent="0.2">
      <c r="AV86" s="44" t="s">
        <v>243</v>
      </c>
      <c r="AW86" s="188" t="s">
        <v>244</v>
      </c>
      <c r="AX86" s="187" t="str">
        <f xml:space="preserve"> IF(ISNUMBER($F$22),VLOOKUP($F$22-1,$U$100:$AX$250,29),"-")</f>
        <v>-</v>
      </c>
      <c r="AZ86" s="44" t="s">
        <v>243</v>
      </c>
      <c r="BA86" s="188" t="s">
        <v>244</v>
      </c>
      <c r="BB86" s="187" t="str">
        <f>IFERROR(VLOOKUP($F$22+$F$21-1,$U$100:$BB$250,33),"-")</f>
        <v>-</v>
      </c>
      <c r="BD86" s="44" t="s">
        <v>243</v>
      </c>
      <c r="BE86" s="188" t="s">
        <v>244</v>
      </c>
      <c r="BF86" s="187" t="str">
        <f>IF(ISNUMBER($F$22),VLOOKUP($F$22-1+$F$16,$U$100:$BF$250,37),"-")</f>
        <v>-</v>
      </c>
      <c r="BH86" s="44" t="s">
        <v>243</v>
      </c>
      <c r="BI86" s="188" t="s">
        <v>244</v>
      </c>
      <c r="BJ86" s="187" t="str">
        <f>IFERROR(VLOOKUP($F$22+$F$21-1+$F$16,$U$100:$BJ$250,41),"-")</f>
        <v>-</v>
      </c>
      <c r="BL86" s="44" t="s">
        <v>243</v>
      </c>
      <c r="BM86" s="188" t="s">
        <v>244</v>
      </c>
      <c r="BN86" s="187" t="str">
        <f>IF(ISNUMBER($F$22),VLOOKUP($F$22-1+$F$17,$U$100:$BN$250,45),"-")</f>
        <v>-</v>
      </c>
      <c r="BP86" s="44" t="s">
        <v>243</v>
      </c>
      <c r="BQ86" s="188" t="s">
        <v>244</v>
      </c>
      <c r="BR86" s="187" t="str">
        <f>IFERROR(VLOOKUP($F$22+$F$21-1+$F$17,$U$100:$BR$250,49),"-")</f>
        <v>-</v>
      </c>
      <c r="CP86" s="99"/>
      <c r="CQ86" s="99"/>
      <c r="CR86" s="99"/>
      <c r="CS86" s="99"/>
      <c r="CT86" s="99"/>
      <c r="CU86" s="99"/>
      <c r="CV86" s="99"/>
      <c r="CW86" s="99"/>
      <c r="CX86" s="99"/>
      <c r="CY86" s="99"/>
      <c r="CZ86" s="99"/>
      <c r="DA86" s="99"/>
    </row>
    <row r="87" spans="2:107" x14ac:dyDescent="0.2">
      <c r="AV87" s="27" t="s">
        <v>152</v>
      </c>
      <c r="AW87" s="27"/>
      <c r="AX87" s="189" t="str">
        <f>IF(ISNUMBER($F$22),VLOOKUP($F$22-1,$U$100:$AX$250,30),"-")</f>
        <v>-</v>
      </c>
      <c r="AZ87" s="27" t="s">
        <v>152</v>
      </c>
      <c r="BA87" s="27"/>
      <c r="BB87" s="189" t="str">
        <f>IFERROR(VLOOKUP($F$22+$F$21-1,$U$100:$BB$250,34),"-")</f>
        <v>-</v>
      </c>
      <c r="BD87" s="27" t="s">
        <v>152</v>
      </c>
      <c r="BE87" s="27"/>
      <c r="BF87" s="189" t="str">
        <f>IF(ISNUMBER($F$22),VLOOKUP($F$22-1+$F$16,$U$100:$BF$250,38),"-")</f>
        <v>-</v>
      </c>
      <c r="BH87" s="27" t="s">
        <v>152</v>
      </c>
      <c r="BI87" s="27"/>
      <c r="BJ87" s="189" t="str">
        <f>IFERROR(VLOOKUP($F$22+$F$21-1+$F$16,$U$100:$BJ$250,42),"-")</f>
        <v>-</v>
      </c>
      <c r="BL87" s="27" t="s">
        <v>152</v>
      </c>
      <c r="BM87" s="27"/>
      <c r="BN87" s="189" t="str">
        <f>IF(ISNUMBER($F$22),VLOOKUP($F$22-1+$F$17,$U$100:$BN$250,46),"-")</f>
        <v>-</v>
      </c>
      <c r="BP87" s="27" t="s">
        <v>152</v>
      </c>
      <c r="BQ87" s="27"/>
      <c r="BR87" s="189" t="str">
        <f>IFERROR(VLOOKUP($F$22+$F$21-1+$F$17,$U$100:$BR$250,50),"-")</f>
        <v>-</v>
      </c>
      <c r="CP87" s="99"/>
      <c r="CQ87" s="99"/>
      <c r="CR87" s="99"/>
      <c r="CS87" s="99"/>
      <c r="CT87" s="99"/>
      <c r="CU87" s="99"/>
      <c r="CV87" s="99"/>
      <c r="CW87" s="99"/>
      <c r="CX87" s="99"/>
      <c r="CY87" s="99"/>
      <c r="CZ87" s="99"/>
      <c r="DA87" s="99"/>
    </row>
    <row r="88" spans="2:107" x14ac:dyDescent="0.2">
      <c r="AV88" s="27" t="s">
        <v>245</v>
      </c>
      <c r="AW88" s="27"/>
      <c r="AX88" s="23" t="str">
        <f>IF(ISNUMBER(AX87),IF(ISBLANK(ffp),"-",IF(k=0,"分解を考慮せず",AX87*EXP(-0.17*k))),"-")</f>
        <v>-</v>
      </c>
      <c r="AZ88" s="27" t="s">
        <v>245</v>
      </c>
      <c r="BA88" s="27"/>
      <c r="BB88" s="23" t="str">
        <f>IFERROR(IF(ISBLANK(ffp),"-",IF(k=0,"分解を考慮せず",BB87*EXP(-0.17*k))),"-")</f>
        <v>分解を考慮せず</v>
      </c>
      <c r="BD88" s="27" t="s">
        <v>245</v>
      </c>
      <c r="BE88" s="27"/>
      <c r="BF88" s="23" t="str">
        <f>IF(ISNUMBER(BF87),IF(ISBLANK(ffp),"-",IF(k=0,"分解を考慮せず",BF87*EXP(-0.17*k))),"-")</f>
        <v>-</v>
      </c>
      <c r="BH88" s="27" t="s">
        <v>245</v>
      </c>
      <c r="BI88" s="27"/>
      <c r="BJ88" s="23" t="str">
        <f>IF(ISNUMBER(BJ87),IF(ISBLANK(ffp),"-",IF(k=0,"分解を考慮せず",BJ87*EXP(-0.17*k))),"-")</f>
        <v>-</v>
      </c>
      <c r="BL88" s="27" t="s">
        <v>245</v>
      </c>
      <c r="BM88" s="27"/>
      <c r="BN88" s="23" t="str">
        <f>IF(ISNUMBER(BN87),IF(ISBLANK(ffp),"-",IF(k=0,"分解を考慮せず",BN87*EXP(-0.17*k))),"-")</f>
        <v>-</v>
      </c>
      <c r="BP88" s="27" t="s">
        <v>245</v>
      </c>
      <c r="BQ88" s="27"/>
      <c r="BR88" s="23" t="str">
        <f>IF(ISNUMBER(BR87),IF(ISBLANK(ffp),"-",IF(k=0,"分解を考慮せず",BR87*EXP(-0.17*k))),"-")</f>
        <v>-</v>
      </c>
      <c r="CP88" s="99"/>
      <c r="CQ88" s="99"/>
      <c r="CR88" s="99"/>
      <c r="CS88" s="99"/>
      <c r="CT88" s="99"/>
      <c r="CU88" s="99"/>
      <c r="CV88" s="99"/>
      <c r="CW88" s="99"/>
      <c r="CX88" s="99"/>
      <c r="CY88" s="99"/>
      <c r="CZ88" s="99"/>
      <c r="DA88" s="99"/>
    </row>
    <row r="89" spans="2:107" x14ac:dyDescent="0.2">
      <c r="AV89" s="79"/>
      <c r="AW89" s="99"/>
      <c r="AX89" s="143"/>
      <c r="AZ89" s="79"/>
      <c r="BB89" s="143"/>
      <c r="BD89" s="79"/>
      <c r="BE89" s="99"/>
      <c r="BH89" s="79"/>
      <c r="BJ89" s="143"/>
      <c r="BL89" s="79"/>
      <c r="BM89" s="99"/>
      <c r="BP89" s="79"/>
      <c r="BR89" s="143"/>
      <c r="BT89" s="99"/>
      <c r="BU89" s="99"/>
      <c r="BV89" s="80"/>
      <c r="BW89" s="80"/>
      <c r="BX89" s="80"/>
      <c r="CD89" s="99"/>
      <c r="CE89" s="99"/>
      <c r="CF89" s="99"/>
      <c r="CP89" s="99"/>
      <c r="CQ89" s="99"/>
      <c r="CR89" s="99"/>
      <c r="CS89" s="99"/>
      <c r="CT89" s="99"/>
      <c r="CU89" s="99"/>
      <c r="CV89" s="99"/>
      <c r="CW89" s="99"/>
      <c r="CX89" s="99"/>
    </row>
    <row r="90" spans="2:107" x14ac:dyDescent="0.2">
      <c r="AV90" s="99"/>
      <c r="AW90" s="99"/>
      <c r="AX90" s="143"/>
      <c r="BB90" s="143"/>
      <c r="BD90" s="99"/>
      <c r="BE90" s="99"/>
      <c r="BJ90" s="143"/>
      <c r="BL90" s="99"/>
      <c r="BM90" s="99"/>
      <c r="BR90" s="143"/>
      <c r="BT90" s="99"/>
      <c r="BU90" s="99"/>
      <c r="BV90" s="80"/>
      <c r="BW90" s="80"/>
      <c r="BX90" s="80"/>
      <c r="CD90" s="99"/>
      <c r="CE90" s="99"/>
      <c r="CF90" s="99"/>
      <c r="CP90" s="99"/>
      <c r="CQ90" s="99"/>
      <c r="CR90" s="99"/>
      <c r="CS90" s="99"/>
      <c r="CT90" s="99"/>
      <c r="CU90" s="99"/>
      <c r="CV90" s="99"/>
      <c r="CW90" s="99"/>
      <c r="CX90" s="99"/>
    </row>
    <row r="91" spans="2:107" x14ac:dyDescent="0.2">
      <c r="AV91" s="21"/>
      <c r="AX91" s="190"/>
      <c r="AY91"/>
      <c r="AZ91" s="21"/>
      <c r="BB91" s="190"/>
      <c r="BD91" s="21"/>
      <c r="BF91" s="190"/>
      <c r="BG91"/>
      <c r="BH91" s="21"/>
      <c r="BJ91" s="190"/>
      <c r="BL91" s="21"/>
      <c r="BN91" s="190"/>
      <c r="BO91"/>
      <c r="BP91" s="21"/>
      <c r="BR91" s="190"/>
      <c r="BT91" s="99"/>
      <c r="BU91" s="99"/>
      <c r="BV91" s="80"/>
      <c r="BW91" s="80"/>
      <c r="BX91" s="80"/>
      <c r="CD91" s="99"/>
      <c r="CE91" s="99"/>
      <c r="CF91" s="99"/>
      <c r="CP91" s="99"/>
      <c r="CQ91" s="99"/>
      <c r="CR91" s="99"/>
      <c r="CS91" s="99"/>
      <c r="CT91" s="99"/>
      <c r="CU91" s="99"/>
      <c r="CV91" s="99"/>
      <c r="CW91" s="99"/>
      <c r="CX91" s="99"/>
    </row>
    <row r="92" spans="2:107" x14ac:dyDescent="0.2">
      <c r="AV92" s="21"/>
      <c r="AX92" s="191"/>
      <c r="AY92"/>
      <c r="AZ92" s="21"/>
      <c r="BB92" s="191"/>
      <c r="BD92" s="21"/>
      <c r="BF92" s="191"/>
      <c r="BG92"/>
      <c r="BH92" s="21"/>
      <c r="BJ92" s="191"/>
      <c r="BL92" s="21"/>
      <c r="BN92" s="191"/>
      <c r="BO92"/>
      <c r="BP92" s="21"/>
      <c r="BR92" s="191"/>
      <c r="BT92" s="99"/>
      <c r="BU92" s="99"/>
      <c r="BV92" s="80"/>
      <c r="BW92" s="80"/>
      <c r="BX92" s="80"/>
      <c r="CD92" s="99"/>
      <c r="CE92" s="99"/>
      <c r="CF92" s="99"/>
      <c r="CP92" s="99"/>
      <c r="CQ92" s="99"/>
      <c r="CR92" s="99"/>
      <c r="CS92" s="99"/>
      <c r="CT92" s="99"/>
      <c r="CU92" s="99"/>
      <c r="CV92" s="99"/>
      <c r="CW92" s="99"/>
      <c r="CX92" s="99"/>
    </row>
    <row r="93" spans="2:107" ht="13.5" thickBot="1" x14ac:dyDescent="0.25">
      <c r="B93" s="605"/>
      <c r="C93" s="605"/>
      <c r="D93" s="192"/>
      <c r="E93" s="99"/>
      <c r="F93" s="99"/>
      <c r="G93" s="99"/>
      <c r="H93" s="99"/>
      <c r="I93" s="99"/>
      <c r="J93" s="99"/>
      <c r="K93" s="99"/>
      <c r="L93" s="99"/>
      <c r="M93" s="99"/>
      <c r="N93" s="99"/>
      <c r="O93" s="99"/>
      <c r="P93" s="99"/>
      <c r="Q93" s="99"/>
      <c r="R93" s="99"/>
      <c r="S93" s="99"/>
      <c r="T93" s="99"/>
      <c r="AV93" s="21"/>
      <c r="AX93" s="190"/>
      <c r="AY93"/>
      <c r="AZ93" s="193"/>
      <c r="BB93" s="190"/>
      <c r="BC93" s="190"/>
      <c r="BD93" s="21"/>
      <c r="BF93" s="190"/>
      <c r="BG93"/>
      <c r="BH93" s="193"/>
      <c r="BJ93" s="190"/>
      <c r="BK93" s="190"/>
      <c r="BL93" s="21"/>
      <c r="BN93" s="190"/>
      <c r="BO93"/>
      <c r="BP93" s="193"/>
      <c r="BR93" s="190"/>
      <c r="BS93" s="190"/>
      <c r="BT93"/>
      <c r="BU93"/>
      <c r="BV93" s="80"/>
      <c r="BW93" s="80" t="s">
        <v>246</v>
      </c>
      <c r="BX93" s="80"/>
      <c r="CD93" s="99"/>
      <c r="CE93" s="99"/>
      <c r="CF93" s="99"/>
      <c r="CP93" s="99"/>
      <c r="CQ93" s="99"/>
      <c r="CR93" s="99"/>
      <c r="CS93" s="99"/>
      <c r="CT93" s="99"/>
      <c r="CU93" s="99"/>
      <c r="CV93" s="99"/>
      <c r="CW93" s="99"/>
      <c r="CX93" s="99"/>
    </row>
    <row r="94" spans="2:107" ht="27" customHeight="1" thickTop="1" x14ac:dyDescent="0.2">
      <c r="B94" s="599"/>
      <c r="C94" s="600"/>
      <c r="D94" s="601"/>
      <c r="E94" s="599" t="s">
        <v>247</v>
      </c>
      <c r="F94" s="600"/>
      <c r="G94" s="600"/>
      <c r="H94" s="599" t="s">
        <v>248</v>
      </c>
      <c r="I94" s="600"/>
      <c r="J94" s="600"/>
      <c r="K94" s="599" t="s">
        <v>249</v>
      </c>
      <c r="L94" s="600"/>
      <c r="M94" s="600"/>
      <c r="N94" s="599" t="s">
        <v>250</v>
      </c>
      <c r="O94" s="600"/>
      <c r="P94" s="600"/>
      <c r="Q94" s="599" t="s">
        <v>251</v>
      </c>
      <c r="R94" s="600"/>
      <c r="S94" s="600"/>
      <c r="T94" s="602" t="s">
        <v>252</v>
      </c>
      <c r="U94" s="194"/>
      <c r="V94" s="194"/>
      <c r="W94" s="194"/>
      <c r="X94" s="194"/>
      <c r="Y94" s="194"/>
      <c r="Z94" s="194"/>
      <c r="AA94" s="194"/>
      <c r="AB94" s="194"/>
      <c r="AC94" s="194"/>
      <c r="AD94" s="194"/>
      <c r="AE94" s="194"/>
      <c r="AF94" s="194"/>
      <c r="AG94" s="194"/>
      <c r="AH94" s="194"/>
      <c r="AI94" s="194"/>
      <c r="AJ94" s="194"/>
      <c r="AK94" s="194"/>
      <c r="AL94" s="194"/>
      <c r="AM94" s="194"/>
      <c r="AN94" s="194"/>
      <c r="AO94" s="194"/>
      <c r="AP94" s="194"/>
      <c r="AQ94" s="194"/>
      <c r="AR94" s="194"/>
      <c r="AS94" s="194"/>
      <c r="AT94" s="194"/>
      <c r="AU94" s="194"/>
      <c r="AV94" s="145"/>
      <c r="AX94" s="195"/>
      <c r="AY94"/>
      <c r="AZ94" s="196"/>
      <c r="BB94" s="195"/>
      <c r="BC94" s="190"/>
      <c r="BD94" s="145"/>
      <c r="BF94" s="195"/>
      <c r="BG94"/>
      <c r="BH94" s="196"/>
      <c r="BJ94" s="195"/>
      <c r="BK94" s="190"/>
      <c r="BL94" s="145"/>
      <c r="BN94" s="195"/>
      <c r="BO94"/>
      <c r="BP94" s="196"/>
      <c r="BR94" s="195"/>
      <c r="BS94" s="190"/>
      <c r="BT94"/>
      <c r="BU94" s="581" t="s">
        <v>253</v>
      </c>
      <c r="BV94" s="582"/>
      <c r="BW94" s="582"/>
      <c r="BX94" s="582"/>
      <c r="BY94" s="583"/>
      <c r="BZ94"/>
      <c r="CA94" s="199">
        <v>21</v>
      </c>
      <c r="CB94" s="200"/>
      <c r="CC94" s="201"/>
      <c r="CD94" s="197"/>
      <c r="CE94" s="199" t="str">
        <f>F22</f>
        <v/>
      </c>
      <c r="CF94" s="200"/>
      <c r="CG94" s="201"/>
      <c r="CH94" s="197"/>
      <c r="CI94" s="202"/>
      <c r="CP94" s="99"/>
      <c r="CQ94" s="99"/>
      <c r="CR94" s="99"/>
      <c r="CS94" s="99"/>
      <c r="CT94" s="99"/>
      <c r="CU94" s="99"/>
      <c r="CV94" s="99"/>
      <c r="CW94" s="99"/>
      <c r="CX94" s="99"/>
      <c r="CY94" s="99"/>
      <c r="CZ94" s="99"/>
      <c r="DA94" s="99"/>
      <c r="DB94" s="99"/>
      <c r="DC94" s="99"/>
    </row>
    <row r="95" spans="2:107" ht="13.5" customHeight="1" x14ac:dyDescent="0.2">
      <c r="B95" s="584" t="s">
        <v>254</v>
      </c>
      <c r="C95" s="587" t="s">
        <v>255</v>
      </c>
      <c r="D95" s="590" t="s">
        <v>256</v>
      </c>
      <c r="E95" s="593" t="s">
        <v>257</v>
      </c>
      <c r="F95" s="596" t="s">
        <v>258</v>
      </c>
      <c r="G95" s="596" t="s">
        <v>259</v>
      </c>
      <c r="H95" s="593" t="s">
        <v>257</v>
      </c>
      <c r="I95" s="596" t="s">
        <v>258</v>
      </c>
      <c r="J95" s="596" t="s">
        <v>259</v>
      </c>
      <c r="K95" s="593" t="s">
        <v>257</v>
      </c>
      <c r="L95" s="596" t="s">
        <v>258</v>
      </c>
      <c r="M95" s="596" t="s">
        <v>259</v>
      </c>
      <c r="N95" s="593" t="s">
        <v>257</v>
      </c>
      <c r="O95" s="596" t="s">
        <v>258</v>
      </c>
      <c r="P95" s="596" t="s">
        <v>259</v>
      </c>
      <c r="Q95" s="593" t="s">
        <v>257</v>
      </c>
      <c r="R95" s="596" t="s">
        <v>258</v>
      </c>
      <c r="S95" s="596" t="s">
        <v>259</v>
      </c>
      <c r="T95" s="603"/>
      <c r="U95" s="194"/>
      <c r="V95" s="194"/>
      <c r="W95" s="194"/>
      <c r="X95" s="194"/>
      <c r="Y95" s="194"/>
      <c r="Z95" s="194"/>
      <c r="AA95" s="194"/>
      <c r="AB95" s="194"/>
      <c r="AC95" s="194"/>
      <c r="AD95" s="194"/>
      <c r="AE95" s="194"/>
      <c r="AF95" s="194"/>
      <c r="AG95" s="194"/>
      <c r="AH95" s="194"/>
      <c r="AI95" s="194"/>
      <c r="AJ95" s="194"/>
      <c r="AK95" s="194"/>
      <c r="AL95" s="194"/>
      <c r="AM95" s="194"/>
      <c r="AN95" s="194"/>
      <c r="AO95" s="194"/>
      <c r="AP95" s="194"/>
      <c r="AQ95" s="194"/>
      <c r="AR95" s="194"/>
      <c r="AS95" s="194"/>
      <c r="AT95" s="194"/>
      <c r="AU95" s="194"/>
      <c r="AV95" s="99"/>
      <c r="AW95" s="99"/>
      <c r="AX95" s="143"/>
      <c r="AZ95" s="143"/>
      <c r="BB95" s="143"/>
      <c r="BC95" s="190"/>
      <c r="BD95" s="99"/>
      <c r="BE95" s="99"/>
      <c r="BH95" s="143"/>
      <c r="BJ95" s="143"/>
      <c r="BK95" s="190"/>
      <c r="BL95" s="99"/>
      <c r="BM95" s="99"/>
      <c r="BP95" s="143"/>
      <c r="BR95" s="143"/>
      <c r="BS95" s="190"/>
      <c r="BT95"/>
      <c r="BU95" s="204" t="s">
        <v>260</v>
      </c>
      <c r="BV95" s="203" t="s">
        <v>261</v>
      </c>
      <c r="BW95" s="31" t="s">
        <v>262</v>
      </c>
      <c r="BX95" s="31" t="s">
        <v>263</v>
      </c>
      <c r="BY95" s="205" t="s">
        <v>264</v>
      </c>
      <c r="BZ95"/>
      <c r="CA95" s="206" t="s">
        <v>265</v>
      </c>
      <c r="CB95" s="71" t="s">
        <v>266</v>
      </c>
      <c r="CC95" s="71"/>
      <c r="CD95" s="207"/>
      <c r="CE95" s="206" t="s">
        <v>265</v>
      </c>
      <c r="CF95" s="71" t="s">
        <v>266</v>
      </c>
      <c r="CG95" s="71"/>
      <c r="CH95" s="207"/>
      <c r="CI95" s="202"/>
      <c r="CP95" s="99"/>
      <c r="CQ95" s="99"/>
      <c r="CR95" s="99"/>
      <c r="CS95" s="99"/>
      <c r="CT95" s="99"/>
      <c r="CU95" s="99"/>
      <c r="CV95" s="99"/>
      <c r="CW95" s="99"/>
      <c r="CX95" s="99"/>
      <c r="CY95" s="99"/>
      <c r="CZ95" s="99"/>
      <c r="DA95" s="99"/>
      <c r="DB95" s="99"/>
      <c r="DC95" s="99"/>
    </row>
    <row r="96" spans="2:107" ht="13.5" customHeight="1" x14ac:dyDescent="0.2">
      <c r="B96" s="585"/>
      <c r="C96" s="588"/>
      <c r="D96" s="591"/>
      <c r="E96" s="594"/>
      <c r="F96" s="597"/>
      <c r="G96" s="597"/>
      <c r="H96" s="594"/>
      <c r="I96" s="597"/>
      <c r="J96" s="597"/>
      <c r="K96" s="594"/>
      <c r="L96" s="597"/>
      <c r="M96" s="597"/>
      <c r="N96" s="594"/>
      <c r="O96" s="597"/>
      <c r="P96" s="597"/>
      <c r="Q96" s="594"/>
      <c r="R96" s="597"/>
      <c r="S96" s="597"/>
      <c r="T96" s="603"/>
      <c r="U96" s="194"/>
      <c r="V96" s="194"/>
      <c r="W96" s="194"/>
      <c r="X96" s="194"/>
      <c r="Y96" s="194"/>
      <c r="Z96" s="194"/>
      <c r="AA96" s="194"/>
      <c r="AB96" s="194"/>
      <c r="AC96" s="194"/>
      <c r="AD96" s="194"/>
      <c r="AE96" s="194"/>
      <c r="AF96" s="194"/>
      <c r="AG96" s="194"/>
      <c r="AH96" s="194"/>
      <c r="AI96" s="194"/>
      <c r="AJ96" s="194"/>
      <c r="AK96" s="194"/>
      <c r="AL96" s="194"/>
      <c r="AM96" s="194"/>
      <c r="AN96" s="194"/>
      <c r="AO96" s="194"/>
      <c r="AP96" s="194"/>
      <c r="AQ96" s="194"/>
      <c r="AR96" s="194"/>
      <c r="AS96" s="194"/>
      <c r="AT96" s="194"/>
      <c r="AU96" s="194"/>
      <c r="AV96" s="99"/>
      <c r="AW96" s="99"/>
      <c r="AX96" s="143"/>
      <c r="AZ96" s="143"/>
      <c r="BB96" s="143"/>
      <c r="BC96" s="191"/>
      <c r="BD96" s="99"/>
      <c r="BE96" s="99"/>
      <c r="BH96" s="143"/>
      <c r="BJ96" s="143"/>
      <c r="BK96" s="191"/>
      <c r="BL96" s="99"/>
      <c r="BM96" s="99"/>
      <c r="BP96" s="143"/>
      <c r="BR96" s="143"/>
      <c r="BS96" s="191"/>
      <c r="BT96"/>
      <c r="BU96" s="210"/>
      <c r="BV96" s="208"/>
      <c r="BW96" s="24"/>
      <c r="BX96" s="24"/>
      <c r="BY96" s="209"/>
      <c r="BZ96"/>
      <c r="CA96" s="206" t="str">
        <f>IF(CB96&gt;0,VLOOKUP(CB96,CB100:CC250,2,FALSE),"-")</f>
        <v>-</v>
      </c>
      <c r="CB96" s="71">
        <f>MAX(CB100:CB250)</f>
        <v>0</v>
      </c>
      <c r="CC96" s="71"/>
      <c r="CD96" s="207"/>
      <c r="CE96" s="206" t="str">
        <f ca="1">IF(CF96&gt;0,VLOOKUP(CF96,CF100:CG250,2,FALSE),"-")</f>
        <v>-</v>
      </c>
      <c r="CF96" s="71">
        <f ca="1">MAX(CF100:CF250)</f>
        <v>0</v>
      </c>
      <c r="CG96" s="71"/>
      <c r="CH96" s="207"/>
      <c r="CI96" s="202"/>
      <c r="CP96" s="99"/>
      <c r="CQ96" s="99"/>
      <c r="CR96" s="99"/>
      <c r="CS96" s="99"/>
      <c r="CT96" s="99"/>
      <c r="CU96" s="99"/>
      <c r="CV96" s="99"/>
      <c r="CW96" s="99"/>
      <c r="CX96" s="99"/>
      <c r="CY96" s="99"/>
      <c r="CZ96" s="99"/>
      <c r="DA96" s="99"/>
      <c r="DB96" s="99"/>
      <c r="DC96" s="99"/>
    </row>
    <row r="97" spans="2:107" ht="13.5" customHeight="1" x14ac:dyDescent="0.2">
      <c r="B97" s="585"/>
      <c r="C97" s="588"/>
      <c r="D97" s="591"/>
      <c r="E97" s="594"/>
      <c r="F97" s="597"/>
      <c r="G97" s="597"/>
      <c r="H97" s="594"/>
      <c r="I97" s="597"/>
      <c r="J97" s="597"/>
      <c r="K97" s="594"/>
      <c r="L97" s="597"/>
      <c r="M97" s="597"/>
      <c r="N97" s="594"/>
      <c r="O97" s="597"/>
      <c r="P97" s="597"/>
      <c r="Q97" s="594"/>
      <c r="R97" s="597"/>
      <c r="S97" s="597"/>
      <c r="T97" s="603"/>
      <c r="U97" s="194"/>
      <c r="V97" s="194"/>
      <c r="W97" s="194"/>
      <c r="X97" s="194"/>
      <c r="Y97" s="194"/>
      <c r="Z97" s="194"/>
      <c r="AA97" s="194" t="s">
        <v>267</v>
      </c>
      <c r="AB97" s="194" t="s">
        <v>268</v>
      </c>
      <c r="AC97" s="194"/>
      <c r="AD97" s="194"/>
      <c r="AE97" s="194"/>
      <c r="AF97" s="194"/>
      <c r="AG97" s="194"/>
      <c r="AH97" s="194"/>
      <c r="AI97" s="194" t="s">
        <v>267</v>
      </c>
      <c r="AJ97" s="194" t="s">
        <v>268</v>
      </c>
      <c r="AK97" s="194"/>
      <c r="AL97" s="194"/>
      <c r="AM97" s="194"/>
      <c r="AN97" s="194"/>
      <c r="AO97" s="194"/>
      <c r="AP97" s="194"/>
      <c r="AQ97" s="194" t="s">
        <v>267</v>
      </c>
      <c r="AR97" s="194" t="s">
        <v>268</v>
      </c>
      <c r="AS97" s="194"/>
      <c r="AT97" s="194"/>
      <c r="AU97" s="194"/>
      <c r="AV97" s="605" t="s">
        <v>269</v>
      </c>
      <c r="AW97" s="605" t="s">
        <v>270</v>
      </c>
      <c r="AX97" s="605" t="s">
        <v>271</v>
      </c>
      <c r="AY97"/>
      <c r="AZ97" s="605" t="s">
        <v>272</v>
      </c>
      <c r="BA97" s="605" t="s">
        <v>273</v>
      </c>
      <c r="BB97" s="605" t="s">
        <v>274</v>
      </c>
      <c r="BC97" s="190"/>
      <c r="BD97" s="605" t="s">
        <v>269</v>
      </c>
      <c r="BE97" s="605" t="s">
        <v>270</v>
      </c>
      <c r="BF97" s="605" t="s">
        <v>271</v>
      </c>
      <c r="BG97"/>
      <c r="BH97" s="605" t="s">
        <v>272</v>
      </c>
      <c r="BI97" s="605" t="s">
        <v>273</v>
      </c>
      <c r="BJ97" s="605" t="s">
        <v>274</v>
      </c>
      <c r="BK97" s="190"/>
      <c r="BL97" s="605" t="s">
        <v>269</v>
      </c>
      <c r="BM97" s="605" t="s">
        <v>270</v>
      </c>
      <c r="BN97" s="605" t="s">
        <v>271</v>
      </c>
      <c r="BO97"/>
      <c r="BP97" s="605" t="s">
        <v>272</v>
      </c>
      <c r="BQ97" s="605" t="s">
        <v>273</v>
      </c>
      <c r="BR97" s="605" t="s">
        <v>274</v>
      </c>
      <c r="BS97" s="190"/>
      <c r="BT97"/>
      <c r="BU97" s="210"/>
      <c r="BV97" s="208"/>
      <c r="BW97" s="24"/>
      <c r="BX97" s="24"/>
      <c r="BY97" s="209"/>
      <c r="BZ97"/>
      <c r="CA97" s="211" t="str">
        <f>CA96</f>
        <v>-</v>
      </c>
      <c r="CB97" s="212">
        <f>IF(ISNUMBER(CB96),ROUND(CB96,IF($I$66="",4,$I$66)),"-")</f>
        <v>0</v>
      </c>
      <c r="CC97" s="212"/>
      <c r="CD97" s="213"/>
      <c r="CE97" s="211" t="str">
        <f ca="1">CE96</f>
        <v>-</v>
      </c>
      <c r="CF97" s="212">
        <f ca="1">IF(ISNUMBER(CF96),ROUND(CF96,IF($I$66="",4,$I$66)),"-")</f>
        <v>0</v>
      </c>
      <c r="CG97" s="212"/>
      <c r="CH97" s="213"/>
      <c r="CI97" s="202"/>
      <c r="CP97" s="99"/>
      <c r="CQ97" s="99"/>
      <c r="CR97" s="99"/>
      <c r="CS97" s="99"/>
      <c r="CT97" s="99"/>
      <c r="CU97" s="99"/>
      <c r="CV97" s="99"/>
      <c r="CW97" s="99"/>
      <c r="CX97" s="99"/>
      <c r="CY97" s="99"/>
      <c r="CZ97" s="99"/>
      <c r="DA97" s="99"/>
      <c r="DB97" s="99"/>
      <c r="DC97" s="99"/>
    </row>
    <row r="98" spans="2:107" ht="13.5" customHeight="1" x14ac:dyDescent="0.2">
      <c r="B98" s="585"/>
      <c r="C98" s="588"/>
      <c r="D98" s="591"/>
      <c r="E98" s="594"/>
      <c r="F98" s="597"/>
      <c r="G98" s="597"/>
      <c r="H98" s="594"/>
      <c r="I98" s="597"/>
      <c r="J98" s="597"/>
      <c r="K98" s="594"/>
      <c r="L98" s="597"/>
      <c r="M98" s="597"/>
      <c r="N98" s="594"/>
      <c r="O98" s="597"/>
      <c r="P98" s="597"/>
      <c r="Q98" s="594"/>
      <c r="R98" s="597"/>
      <c r="S98" s="597"/>
      <c r="T98" s="603"/>
      <c r="U98" s="214" t="s">
        <v>275</v>
      </c>
      <c r="V98" s="214" t="s">
        <v>276</v>
      </c>
      <c r="W98" s="214" t="s">
        <v>277</v>
      </c>
      <c r="X98" s="214" t="s">
        <v>278</v>
      </c>
      <c r="Y98" s="214" t="s">
        <v>279</v>
      </c>
      <c r="Z98" s="214" t="s">
        <v>280</v>
      </c>
      <c r="AA98" s="214" t="s">
        <v>281</v>
      </c>
      <c r="AB98" s="214" t="s">
        <v>281</v>
      </c>
      <c r="AC98" s="215" t="s">
        <v>275</v>
      </c>
      <c r="AD98" s="215" t="s">
        <v>276</v>
      </c>
      <c r="AE98" s="215" t="s">
        <v>277</v>
      </c>
      <c r="AF98" s="215" t="s">
        <v>278</v>
      </c>
      <c r="AG98" s="215" t="s">
        <v>279</v>
      </c>
      <c r="AH98" s="215" t="s">
        <v>280</v>
      </c>
      <c r="AI98" s="215" t="s">
        <v>281</v>
      </c>
      <c r="AJ98" s="215" t="s">
        <v>281</v>
      </c>
      <c r="AK98" s="216" t="s">
        <v>275</v>
      </c>
      <c r="AL98" s="216" t="s">
        <v>276</v>
      </c>
      <c r="AM98" s="216" t="s">
        <v>277</v>
      </c>
      <c r="AN98" s="216" t="s">
        <v>278</v>
      </c>
      <c r="AO98" s="216" t="s">
        <v>279</v>
      </c>
      <c r="AP98" s="216" t="s">
        <v>280</v>
      </c>
      <c r="AQ98" s="216" t="s">
        <v>281</v>
      </c>
      <c r="AR98" s="216" t="s">
        <v>281</v>
      </c>
      <c r="AS98" s="194" t="s">
        <v>282</v>
      </c>
      <c r="AT98" s="194" t="s">
        <v>283</v>
      </c>
      <c r="AU98" s="194" t="s">
        <v>284</v>
      </c>
      <c r="AV98" s="605"/>
      <c r="AW98" s="605"/>
      <c r="AX98" s="605"/>
      <c r="AY98"/>
      <c r="AZ98" s="605"/>
      <c r="BA98" s="605"/>
      <c r="BB98" s="605"/>
      <c r="BC98" s="190"/>
      <c r="BD98" s="605"/>
      <c r="BE98" s="605"/>
      <c r="BF98" s="605"/>
      <c r="BG98"/>
      <c r="BH98" s="605"/>
      <c r="BI98" s="605"/>
      <c r="BJ98" s="605"/>
      <c r="BK98" s="190"/>
      <c r="BL98" s="605"/>
      <c r="BM98" s="605"/>
      <c r="BN98" s="605"/>
      <c r="BO98"/>
      <c r="BP98" s="605"/>
      <c r="BQ98" s="605"/>
      <c r="BR98" s="605"/>
      <c r="BS98" s="190"/>
      <c r="BT98"/>
      <c r="BU98" s="210"/>
      <c r="BV98" s="208"/>
      <c r="BW98" s="24"/>
      <c r="BX98" s="24"/>
      <c r="BY98" s="209"/>
      <c r="BZ98"/>
      <c r="CA98" s="206"/>
      <c r="CB98" s="71"/>
      <c r="CC98" s="71"/>
      <c r="CD98" s="207"/>
      <c r="CE98" s="206"/>
      <c r="CF98" s="71"/>
      <c r="CG98" s="71"/>
      <c r="CH98" s="207"/>
      <c r="CI98" s="202"/>
      <c r="CP98" s="99"/>
      <c r="CQ98" s="99"/>
      <c r="CR98" s="99"/>
      <c r="CS98" s="99"/>
      <c r="CT98" s="99"/>
      <c r="CU98" s="99"/>
      <c r="CV98" s="99"/>
      <c r="CW98" s="99"/>
      <c r="CX98" s="99"/>
      <c r="CY98" s="99"/>
      <c r="CZ98" s="99"/>
      <c r="DA98" s="99"/>
      <c r="DB98" s="99"/>
      <c r="DC98" s="99"/>
    </row>
    <row r="99" spans="2:107" ht="13.5" customHeight="1" thickBot="1" x14ac:dyDescent="0.25">
      <c r="B99" s="586"/>
      <c r="C99" s="589"/>
      <c r="D99" s="592"/>
      <c r="E99" s="595"/>
      <c r="F99" s="598"/>
      <c r="G99" s="598"/>
      <c r="H99" s="595"/>
      <c r="I99" s="598"/>
      <c r="J99" s="598"/>
      <c r="K99" s="595"/>
      <c r="L99" s="598"/>
      <c r="M99" s="598"/>
      <c r="N99" s="595"/>
      <c r="O99" s="598"/>
      <c r="P99" s="598"/>
      <c r="Q99" s="595"/>
      <c r="R99" s="598"/>
      <c r="S99" s="598"/>
      <c r="T99" s="604"/>
      <c r="U99" s="219"/>
      <c r="V99" s="220" t="str">
        <f>IF(ISNUMBER($F$14),IF(B99&lt;($F$16-$F$15)*$F$14,INT(B99/($F$16-$F$15))+1,V97),"-")</f>
        <v>-</v>
      </c>
      <c r="W99" s="221">
        <v>0</v>
      </c>
      <c r="X99" s="221">
        <v>0</v>
      </c>
      <c r="Y99" s="221">
        <f>W99-X99</f>
        <v>0</v>
      </c>
      <c r="Z99" s="219"/>
      <c r="AA99" s="219"/>
      <c r="AB99" s="219"/>
      <c r="AC99" s="222"/>
      <c r="AD99" s="223" t="str">
        <f>IFERROR(IF($F$14-1&gt;0,IF(B99&lt;($F$16-$F$15)*($F$14-1),INT(B99/($F$16-$F$15))+1,AD97),"-"),"-")</f>
        <v>-</v>
      </c>
      <c r="AE99" s="224">
        <v>0</v>
      </c>
      <c r="AF99" s="224">
        <v>0</v>
      </c>
      <c r="AG99" s="224">
        <f>AE99-AF99</f>
        <v>0</v>
      </c>
      <c r="AH99" s="222"/>
      <c r="AI99" s="222"/>
      <c r="AJ99" s="222"/>
      <c r="AK99" s="225"/>
      <c r="AL99" s="226" t="str">
        <f>IFERROR(IF($F$14-2&gt;0,IF(B99&lt;($F$16-$F$15)*($F$14-2),INT(B99/($F$16-$F$15))+1,AL97),"-"),"-")</f>
        <v>-</v>
      </c>
      <c r="AM99" s="227">
        <v>0</v>
      </c>
      <c r="AN99" s="227">
        <v>0</v>
      </c>
      <c r="AO99" s="227">
        <f>AM99-AN99</f>
        <v>0</v>
      </c>
      <c r="AP99" s="225"/>
      <c r="AQ99" s="225"/>
      <c r="AR99" s="225"/>
      <c r="AV99" s="228"/>
      <c r="AX99" s="190"/>
      <c r="AY99"/>
      <c r="AZ99" s="190"/>
      <c r="BA99" s="190"/>
      <c r="BB99" s="190"/>
      <c r="BC99" s="190"/>
      <c r="BD99" s="228"/>
      <c r="BE99"/>
      <c r="BF99" s="190"/>
      <c r="BG99"/>
      <c r="BH99" s="190"/>
      <c r="BI99" s="190"/>
      <c r="BJ99" s="190"/>
      <c r="BK99" s="190"/>
      <c r="BL99" s="228"/>
      <c r="BM99"/>
      <c r="BN99" s="190"/>
      <c r="BO99"/>
      <c r="BP99" s="190"/>
      <c r="BQ99" s="190"/>
      <c r="BR99" s="190"/>
      <c r="BS99" s="190"/>
      <c r="BT99"/>
      <c r="BU99" s="229"/>
      <c r="BV99" s="217"/>
      <c r="BW99" s="230"/>
      <c r="BX99" s="230"/>
      <c r="BY99" s="218"/>
      <c r="BZ99"/>
      <c r="CA99" s="231" t="s">
        <v>285</v>
      </c>
      <c r="CB99" s="232" t="s">
        <v>286</v>
      </c>
      <c r="CC99" s="233" t="s">
        <v>287</v>
      </c>
      <c r="CD99" s="234" t="s">
        <v>288</v>
      </c>
      <c r="CE99" s="231" t="s">
        <v>285</v>
      </c>
      <c r="CF99" s="232" t="s">
        <v>286</v>
      </c>
      <c r="CG99" s="233" t="s">
        <v>287</v>
      </c>
      <c r="CH99" s="234" t="s">
        <v>288</v>
      </c>
      <c r="CI99" s="202"/>
      <c r="CP99" s="99"/>
      <c r="CQ99" s="99"/>
      <c r="CR99" s="99"/>
      <c r="CS99" s="99"/>
      <c r="CT99" s="99"/>
      <c r="CU99" s="99"/>
      <c r="CV99" s="99"/>
      <c r="CW99" s="99"/>
      <c r="CX99" s="99"/>
      <c r="CY99" s="99"/>
      <c r="CZ99" s="99"/>
      <c r="DA99" s="99"/>
      <c r="DB99" s="99"/>
      <c r="DC99" s="99"/>
    </row>
    <row r="100" spans="2:107" ht="13.5" customHeight="1" thickTop="1" x14ac:dyDescent="0.2">
      <c r="B100" s="235">
        <v>0</v>
      </c>
      <c r="C100" s="236" t="str">
        <f>IF(ISERROR(VLOOKUP(B100,$B$39:$C$73,2,0)),"",VLOOKUP(B100,$B$39:$C$73,2,0))</f>
        <v/>
      </c>
      <c r="D100" s="237" t="str">
        <f>IF(ISNUMBER(C100),C100,"-")</f>
        <v>-</v>
      </c>
      <c r="E100" s="238" t="str">
        <f>IF(ISNUMBER($F$14),IF(ISNUMBER(AA100),AA100,""),"")</f>
        <v/>
      </c>
      <c r="F100" s="239" t="str">
        <f>IF(OR($F$14=2,$F$14=3),IF(($F$16-$F$15)&gt;B100," ",VLOOKUP((B100-($F$16-$F$15)),$AC$100:$AI$250,7,FALSE)),"")</f>
        <v/>
      </c>
      <c r="G100" s="239" t="str">
        <f>IF($F$14=3,IF(($F$16-$F$15)*2&gt;B100," ",VLOOKUP((B100-($F$16-$F$15)*2),$AK$100:$AQ$250,7,FALSE)),"")</f>
        <v/>
      </c>
      <c r="H100" s="240" t="str">
        <f>IF(E100&lt;&gt;"",IF($B100&lt;$F$21,"",IF(ISNUMBER(F100),IF(ISNUMBER(I100),(E100*30*50*ffp),""),(E100*30*50*ffp))),"")</f>
        <v/>
      </c>
      <c r="I100" s="241" t="str">
        <f t="shared" ref="I100:I131" si="1">IFERROR(IF(F100&lt;&gt;"",IF($B100&lt;$F$21+$F$16,"",IF(ISNUMBER(G100),IF(ISNUMBER(J100),(F100*30*50*ffp),""),(F100*30*50*ffp))),""),"")</f>
        <v/>
      </c>
      <c r="J100" s="241" t="str">
        <f t="shared" ref="J100:J131" si="2">IFERROR(IF(G100&lt;&gt;"",IF($B100&lt;$F$21+$F$17,"",(G100*30*50*ffp)),""),"")</f>
        <v/>
      </c>
      <c r="K100" s="242" t="str">
        <f>IF(E100&lt;&gt;"",((E100*20*50*ffp)/Klevee),"")</f>
        <v/>
      </c>
      <c r="L100" s="241" t="str">
        <f t="shared" ref="L100:L131" si="3">IF(ISNUMBER(F100),((F100*20*50*ffp)/Klevee),"")</f>
        <v/>
      </c>
      <c r="M100" s="241" t="str">
        <f t="shared" ref="M100:M131" si="4">IF(ISNUMBER(G100),((G100*20*50*ffp)/Klevee),"")</f>
        <v/>
      </c>
      <c r="N100" s="242" t="str">
        <f t="shared" ref="N100:N131" si="5">IF(AND(ISNUMBER(I),ISNUMBER($F$14),ISNUMBER($F$20)),IF($B100=0,I*($J$40/100)*$J$42*1,""),"-")</f>
        <v>-</v>
      </c>
      <c r="O100" s="241" t="str">
        <f>IF(ISNUMBER($F$14),IF($F$14&gt;1,IF($B100=0+$F$16,I*($J$40/100)*$J$42*1,""),""),"-")</f>
        <v>-</v>
      </c>
      <c r="P100" s="241" t="str">
        <f>IF(ISNUMBER($F$14),IF($F$14&gt;2,IF($B100=0+$F$17,I*($J$40/100)*$J$42*1,""),""),"-")</f>
        <v>-</v>
      </c>
      <c r="Q100" s="243" t="str">
        <f t="shared" ref="Q100:Q131" si="6">IF(AND(ISNUMBER(I),ISNUMBER($F$14),ISNUMBER($F$20)),IF($B100=0,I*(dt/100)*$J$45*1,""),"-")</f>
        <v>-</v>
      </c>
      <c r="R100" s="244" t="str">
        <f>IF(ISNUMBER($F$14),IF($F$14&gt;1,IF($B100=0+$F$16,I*(dt/100)*$J$45*1,""),""),"-")</f>
        <v>-</v>
      </c>
      <c r="S100" s="245" t="str">
        <f>IF(ISNUMBER($F$14),IF($F$14&gt;2,IF($B100=0+$F$17,I*(dt/100)*$J$45*1,""),""),"-")</f>
        <v>-</v>
      </c>
      <c r="T100" s="246" t="str">
        <f>IF(SUM(H100:S100)=0,"",SUM(H100:S100))</f>
        <v/>
      </c>
      <c r="U100" s="247">
        <f t="shared" ref="U100:U131" si="7">B100</f>
        <v>0</v>
      </c>
      <c r="V100" s="248" t="str">
        <f>IF(ISNUMBER($F$14),IF(B100&lt;($F$16-$F$15)*$F$14,INT(B100/($F$16-$F$15))+1,V98),"-")</f>
        <v>-</v>
      </c>
      <c r="W100" s="247" t="str">
        <f>IF(ISNUMBER($F$14),IF(B100&lt;$F$14*($F$16-$F$15),B100-INT(B100/($F$16-$F$15))*($F$16-$F$15)+1,W99+1),"-")</f>
        <v>-</v>
      </c>
      <c r="X100" s="247" t="str">
        <f t="shared" ref="X100:X131" si="8">IFERROR(IF($F$21=0,0,IF(V100=V99,IF(B100-(V100-1)*($F$16-$F$15)&lt;$F$21,X99+1,X99),1)),"-")</f>
        <v>-</v>
      </c>
      <c r="Y100" s="247" t="str">
        <f t="shared" ref="Y100:Y131" si="9">IFERROR(W100-X100,"-")</f>
        <v>-</v>
      </c>
      <c r="Z100" s="249">
        <f>IF(Y100&gt;0,0.1,0.04)</f>
        <v>0.1</v>
      </c>
      <c r="AA100" s="250" t="str">
        <f>IFERROR(IF(V99=1,D100*EXP(-(0.04*X99+0.1*Y99)),IF(V99=2,D100*EXP(-(0.04*($F$21+X99)+0.1*(($F$16-$F$15)-$F$21+Y99))),D100*EXP(-(0.04*($F$21*2+X99)+0.1*((($F$16-$F$15)-$F$21)*2-Y99))))),"-")</f>
        <v>-</v>
      </c>
      <c r="AB100" s="250" t="str">
        <f t="shared" ref="AB100:AB114" si="10">IFERROR(IF(V100=1,D100*EXP(-(0.04*X100+0.1*Y100)),IF(V100=2,D100*EXP(-(0.04*($F$21+X100)+0.1*(($F$16-$F$15)-$F$21+Y100))),D100*EXP(-(0.04*($F$21*2+X100)+0.1*((($F$16-$F$15)-$F$21)*2-Y100))))),"-")</f>
        <v>-</v>
      </c>
      <c r="AC100" s="247">
        <f>B100</f>
        <v>0</v>
      </c>
      <c r="AD100" s="248" t="str">
        <f t="shared" ref="AD100:AD163" si="11">IFERROR(IF($F$14-1&gt;0,IF(B100&lt;($F$16-$F$15)*($F$14-1),INT(B100/($F$16-$F$15))+1,AD98),"-"),"-")</f>
        <v>-</v>
      </c>
      <c r="AE100" s="247" t="str">
        <f>IFERROR(IF($F$14-1&gt;0,IF(B100&lt;($F$14-1)*($F$16-$F$15),B100-INT(B100/($F$16-$F$15))*($F$16-$F$15)+1,AE99+1),"-"),"-")</f>
        <v>-</v>
      </c>
      <c r="AF100" s="247" t="str">
        <f t="shared" ref="AF100:AF131" si="12">IFERROR(IF($F$21=0,0,IF(AD100=AD99,IF(B100-(AD100-1)*($F$16-$F$15)&lt;$F$21,AF99+1,AF99),1)),"-")</f>
        <v>-</v>
      </c>
      <c r="AG100" s="247" t="str">
        <f t="shared" ref="AG100:AG131" si="13">IFERROR(AE100-AF100,"-")</f>
        <v>-</v>
      </c>
      <c r="AH100" s="249">
        <f>IF(AG100&gt;0,0.1,0.04)</f>
        <v>0.1</v>
      </c>
      <c r="AI100" s="250" t="str">
        <f t="shared" ref="AI100:AI114" si="14">IFERROR(IF(AD99=1,D100*EXP(-(0.04*AF99+0.1*AG99)),IF(AD99=2,D100*EXP(-(0.04*($F$21+AF99)+0.1*(($F$16-$F$15)-$F$21+AG99))),D100*EXP(-(0.04*($F$21*2+AF99)+0.1*((($F$16-$F$15)-$F$21)*2-AG99))))),"-")</f>
        <v>-</v>
      </c>
      <c r="AJ100" s="250" t="str">
        <f>IFERROR(IF(AD100=1,D100*EXP(-(0.04*AF100+0.1*AG100)),IF(AD100=2,D100*EXP(-(0.04*($F$21+AF100)+0.1*(($F$16-$F$15)-$F$21+AG100))),D100*EXP(-(0.04*($F$21*2+AF100)+0.1*((($F$16-$F$15)-$F$21)*2-AG100))))),"-")</f>
        <v>-</v>
      </c>
      <c r="AK100" s="247">
        <f>B100</f>
        <v>0</v>
      </c>
      <c r="AL100" s="248" t="str">
        <f t="shared" ref="AL100:AL163" si="15">IFERROR(IF($F$14-2&gt;0,IF(B100&lt;($F$16-$F$15)*($F$14-2),INT(B100/($F$16-$F$15))+1,AL98),"-"),"-")</f>
        <v>-</v>
      </c>
      <c r="AM100" s="247" t="str">
        <f>IFERROR(IF($F$14-2&gt;0,IF(B100&lt;($F$14-2)*($F$16-$F$15),B100-INT(B100/($F$16-$F$15))*($F$16-$F$15)+1,AM99+1),"-"),"-")</f>
        <v>-</v>
      </c>
      <c r="AN100" s="247" t="str">
        <f>IFERROR(IF($F$21=0,0,IF(AL100=AL99,IF(B100-(AL100-1)*($F$16-$F$15)&lt;$F$21,AN99+1,AN99),1)),"-")</f>
        <v>-</v>
      </c>
      <c r="AO100" s="247" t="str">
        <f t="shared" ref="AO100:AO131" si="16">IFERROR(AM100-AN100,"-")</f>
        <v>-</v>
      </c>
      <c r="AP100" s="249">
        <f>IF(AO100&gt;0,0.1,0.04)</f>
        <v>0.1</v>
      </c>
      <c r="AQ100" s="250" t="str">
        <f>IFERROR(IF(AL99=1,D100*EXP(-(0.04*AN99+0.1*AO99)),IF(AL99=2,D100*EXP(-(0.04*($F$21+AN99)+0.1*(($F$16-$F$15)-$F$21+AO99))),D100*EXP(-(0.04*($F$21*2+AN99)+0.1*((($F$16-$F$15)-$F$21)*2-AO99))))),"-")</f>
        <v>-</v>
      </c>
      <c r="AR100" s="250" t="str">
        <f>IFERROR(IF(AL100=1,D100*EXP(-(0.04*AN100+0.1*AO100)),IF(AL100=2,D100*EXP(-(0.04*($F$21+AN100)+0.1*(($F$16-$F$15)-$F$21+AO100))),D100*EXP(-(0.04*($F$21*2+AN100)+0.1*((($F$16-$F$15)-$F$21)*2-AO100))))),"-")</f>
        <v>-</v>
      </c>
      <c r="AS100" s="250">
        <f t="shared" ref="AS100:AS131" si="17">SUM(H100:J100)</f>
        <v>0</v>
      </c>
      <c r="AT100" s="250">
        <f t="shared" ref="AT100:AT131" si="18">SUM(K100:M100)</f>
        <v>0</v>
      </c>
      <c r="AU100" s="250">
        <f t="shared" ref="AU100:AU131" si="19">SUM(N100:S100)</f>
        <v>0</v>
      </c>
      <c r="AV100" s="251">
        <f>IF($B100&lt;$F$22,SUM($T$100:$T100),"")</f>
        <v>0</v>
      </c>
      <c r="AW100" s="251" t="str">
        <f>IF(ISNUMBER(Koc),IF(ISNUMBER(AV100),AV100*(Koc*(Ocse/100)*Pse*Vse)/(Koc*(Ocse/100)*Pse*Vse+1*86400*($B100+1)),""),"-")</f>
        <v>-</v>
      </c>
      <c r="AX100" s="251" t="str">
        <f>IF(ISNUMBER(AW100),IF(ISNUMBER(AV100),(AV100-AW100)/(3*86400*($B100+1))*1000,""),"")</f>
        <v/>
      </c>
      <c r="AY100" s="252"/>
      <c r="AZ100" s="251" t="str">
        <f ca="1">IF(ISNUMBER(OFFSET(AV100,-$F$21,0)),SUM(OFFSET($T$100,$F$21,0):$T100),"")</f>
        <v/>
      </c>
      <c r="BA100" s="251" t="str">
        <f t="shared" ref="BA100:BA131" ca="1" si="20">IF(ISNUMBER(OFFSET(AV100,-$F$21,0)),AZ100*(Koc*(Ocse/100)*Pse*Vse)/(Koc*(Ocse/100)*Pse*Vse+1*86400*($B100+1)),"")</f>
        <v/>
      </c>
      <c r="BB100" s="251" t="str">
        <f ca="1">IF(ISNUMBER(AZ100),(AZ100-BA100)/(3*86400*(OFFSET($B100,-$F$21,0)+1))*1000,"")</f>
        <v/>
      </c>
      <c r="BC100" s="253"/>
      <c r="BD100" s="251" t="str">
        <f ca="1">IFERROR(IF(AND($B100&gt;=($F$16-$F$15),$B100&lt;$F$22+($F$16-$F$15)),SUM(OFFSET($T$100,($F$16-$F$15),0):$T100),""),"")</f>
        <v/>
      </c>
      <c r="BE100" s="251" t="str">
        <f ca="1">IF(ISNUMBER(BD100),BD100*(Koc*(Ocse/100)*Pse*Vse)/(Koc*(Ocse/100)*Pse*Vse+1*86400*($B100+1)),"")</f>
        <v/>
      </c>
      <c r="BF100" s="251" t="str">
        <f ca="1">IF(ISNUMBER(BD100),(BD100-BE100)/(3*86400*($B100-($F$16-$F$15)+1))*1000,"")</f>
        <v/>
      </c>
      <c r="BG100" s="252"/>
      <c r="BH100" s="253" t="str">
        <f ca="1">IF(ISNUMBER(OFFSET(BD100,-$F$21,0)),SUM(OFFSET($T$100,($F$16-$F$15+$F$21),0):$T100),"")</f>
        <v/>
      </c>
      <c r="BI100" s="253" t="str">
        <f t="shared" ref="BI100:BI131" ca="1" si="21">IF(ISNUMBER(OFFSET(BD100,-$F$21,0)),BH100*(Koc*(Ocse/100)*Pse*Vse)/(Koc*(Ocse/100)*Pse*Vse+1*86400*($B100+1)),"")</f>
        <v/>
      </c>
      <c r="BJ100" s="253" t="str">
        <f ca="1">IF(ISNUMBER(BH100),(BH100-BI100)/(3*86400*((OFFSET($B100,-$F$21,0)-($F$16-$F$15)+1)))*1000,"")</f>
        <v/>
      </c>
      <c r="BK100" s="253"/>
      <c r="BL100" s="251" t="str">
        <f ca="1">IFERROR(IF(AND($B100&gt;=($F$17-$F$15),$B100&lt;$F$22+($F$17-$F$15)),SUM(OFFSET($T$100,($F$17-$F$15),0):$T100),""),"")</f>
        <v/>
      </c>
      <c r="BM100" s="251" t="str">
        <f t="shared" ref="BM100:BM131" ca="1" si="22">IF(ISNUMBER(BL100),BL100*(Koc*(Ocse/100)*Pse*Vse)/(Koc*(Ocse/100)*Pse*Vse+1*86400*($B100+1)),"")</f>
        <v/>
      </c>
      <c r="BN100" s="251" t="str">
        <f ca="1">IF(ISNUMBER(BL100),(BL100-BM100)/(3*86400*($B100-($F$17-$F$15)+1))*1000,"")</f>
        <v/>
      </c>
      <c r="BO100" s="252"/>
      <c r="BP100" s="251" t="str">
        <f ca="1">IF(ISNUMBER(OFFSET(BL100,-$F$21,0)),SUM(OFFSET($T$100,($F$17-$F$15+$F$21),0):$T100),"")</f>
        <v/>
      </c>
      <c r="BQ100" s="251" t="str">
        <f ca="1">IF(ISNUMBER(OFFSET(BL100,-$F$21,0)),BP100*(Koc*(Ocse/100)*Pse*Vse)/(Koc*(Ocse/100)*Pse*Vse+1*86400*($B100+1)),"")</f>
        <v/>
      </c>
      <c r="BR100" s="251" t="str">
        <f ca="1">IF(ISNUMBER(BP100),(BP100-BQ100)/(3*86400*(OFFSET($B100,-$F$21,0)-($F$17-$F$15)+1))*1000,"")</f>
        <v/>
      </c>
      <c r="BS100" s="253"/>
      <c r="BT100"/>
      <c r="BU100" s="254" t="str">
        <f>IF(B39&lt;&gt;"",B39,"")</f>
        <v/>
      </c>
      <c r="BV100" s="255">
        <v>0</v>
      </c>
      <c r="BW100" s="256"/>
      <c r="BX100" s="256"/>
      <c r="BY100" s="257"/>
      <c r="BZ100"/>
      <c r="CA100" s="258" t="str">
        <f t="shared" ref="CA100:CA131" si="23">IFERROR(IF($B100&lt;$CA$94,T100*(Koc*(Ocse/100)*Pse*Vse)/(Koc*(Ocse/100)*Pse*Vse+1*86400*$CA$94),""),"-")</f>
        <v>-</v>
      </c>
      <c r="CB100" s="33" t="str">
        <f t="shared" ref="CB100:CB131" si="24">IF(ISNUMBER(T100),IF($B100&lt;$CA$94,(T100-CA100)/(3*86400)*1000,""),"-")</f>
        <v>-</v>
      </c>
      <c r="CC100" s="33" t="str">
        <f t="shared" ref="CC100:CC120" si="25">$B100&amp;"-"&amp;$B100+1</f>
        <v>0-1</v>
      </c>
      <c r="CD100" s="259" t="str">
        <f t="shared" ref="CD100:CD131" si="26">IF(CC100=CA$96,CB$96,"")</f>
        <v/>
      </c>
      <c r="CE100" s="260" t="str">
        <f t="shared" ref="CE100:CE131" si="27">IFERROR(IF($B100&lt;$CE$94,T100*(Koc*(Ocse/100)*Pse*Vse)/(Koc*(Ocse/100)*Pse*Vse+1*86400*$CE$94),""),"-")</f>
        <v>-</v>
      </c>
      <c r="CF100" s="33" t="str">
        <f t="shared" ref="CF100:CF131" ca="1" si="28">IFERROR(IF($B100&lt;$CE$94,IF(NOT(ISNUMBER(ffp)),"-",IF($F$70=$AX$87,AX100,IF($F$70=$BB$87,OFFSET(BB100,$F$21,0),IF($F$70=$BF$87,OFFSET(BF100,$F$16,0),IF($F$70=$BJ$87,OFFSET(BJ100,$F$16+$F$21,0),IF($F$70=$BN$87,OFFSET(BN100,$F$17,0),OFFSET(BR100,$F$17+$F$21,0))))))),""),"-")</f>
        <v>-</v>
      </c>
      <c r="CG100" s="33" t="str">
        <f t="shared" ref="CG100:CG131" si="29">IF($B100&lt;$CE$94,$B100&amp;"-"&amp;$B100+1,"")</f>
        <v>0-1</v>
      </c>
      <c r="CH100" s="261" t="str">
        <f t="shared" ref="CH100:CH131" ca="1" si="30">IF(CG100=CE$96,CF$96,"")</f>
        <v/>
      </c>
      <c r="CI100" s="202"/>
      <c r="CP100" s="99"/>
      <c r="CQ100" s="99"/>
      <c r="CR100" s="99"/>
      <c r="CS100" s="99"/>
      <c r="CT100" s="99"/>
      <c r="CU100" s="99"/>
      <c r="CV100" s="99"/>
      <c r="CW100" s="99"/>
      <c r="CX100" s="99"/>
      <c r="CY100" s="99"/>
      <c r="CZ100" s="99"/>
      <c r="DA100" s="99"/>
      <c r="DB100" s="99"/>
      <c r="DC100" s="99"/>
    </row>
    <row r="101" spans="2:107" ht="13.5" customHeight="1" x14ac:dyDescent="0.2">
      <c r="B101" s="262">
        <v>1</v>
      </c>
      <c r="C101" s="236" t="str">
        <f t="shared" ref="C101:C131" si="31">IF(ISERROR(VLOOKUP(B101,$B$39:$C$73,2,0)),"",VLOOKUP(B101,$B$39:$C$73,2,0))</f>
        <v/>
      </c>
      <c r="D101" s="237" t="str">
        <f>IFERROR(IF(B101&lt;$F$22,IF(ISNUMBER($D$65),IF(MAX($BU$101:$BU$120)&lt;B101, "", IF(B101=VLOOKUP(B101, $BU$101:$BU$120,1,1), C101,D100-INDEX($BY$101:$BY$120, MATCH(VLOOKUP(B101, $BU$101:$BU$120,1,1), $BU$101:$BU$120)+1, 1))),D100-VLOOKUP(MAX($BU$101:$BU$120),$BU$101:$BY$120,5)),""),"-")</f>
        <v>-</v>
      </c>
      <c r="E101" s="263" t="str">
        <f t="shared" ref="E101:E164" si="32">IF(ISNUMBER($F$14),IF(ISNUMBER(AA101),AA101,""),"")</f>
        <v/>
      </c>
      <c r="F101" s="264" t="str">
        <f t="shared" ref="F101:F164" si="33">IF(OR($F$14=2,$F$14=3),IF(($F$16-$F$15)&gt;B101," ",VLOOKUP((B101-($F$16-$F$15)),$AC$100:$AI$250,7,FALSE)),"")</f>
        <v/>
      </c>
      <c r="G101" s="264" t="str">
        <f t="shared" ref="G101:G164" si="34">IF($F$14=3,IF(($F$16-$F$15)*2&gt;B101," ",VLOOKUP((B101-($F$16-$F$15)*2),$AK$100:$AQ$250,7,FALSE)),"")</f>
        <v/>
      </c>
      <c r="H101" s="240" t="str">
        <f t="shared" ref="H101:H131" si="35">IF(E101&lt;&gt;"",IF($B101&lt;$F$21,"",IF(ISNUMBER(F101),IF(ISNUMBER(I101),(E101*30*50*ffp),""),(E101*30*50*ffp))),"")</f>
        <v/>
      </c>
      <c r="I101" s="265" t="str">
        <f t="shared" si="1"/>
        <v/>
      </c>
      <c r="J101" s="265" t="str">
        <f t="shared" si="2"/>
        <v/>
      </c>
      <c r="K101" s="240" t="str">
        <f t="shared" ref="K101:K131" si="36">IF(E101&lt;&gt;"",((E101*20*50*ffp)/Klevee),"")</f>
        <v/>
      </c>
      <c r="L101" s="265" t="str">
        <f t="shared" si="3"/>
        <v/>
      </c>
      <c r="M101" s="265" t="str">
        <f t="shared" si="4"/>
        <v/>
      </c>
      <c r="N101" s="240" t="str">
        <f t="shared" si="5"/>
        <v>-</v>
      </c>
      <c r="O101" s="265" t="str">
        <f t="shared" ref="O101:O131" si="37">IF(ISNUMBER($F$14),IF($F$14&gt;1,IF($B101=0+$F$16,I*($J$40/100)*$J$42*1,""),""),"-")</f>
        <v>-</v>
      </c>
      <c r="P101" s="265" t="str">
        <f t="shared" ref="P101:P131" si="38">IF(ISNUMBER($F$14),IF($F$14&gt;2,IF($B101=0+$F$17,I*($J$40/100)*$J$42*1,""),""),"-")</f>
        <v>-</v>
      </c>
      <c r="Q101" s="266" t="str">
        <f t="shared" si="6"/>
        <v>-</v>
      </c>
      <c r="R101" s="267" t="str">
        <f t="shared" ref="R101:R131" si="39">IF(ISNUMBER($F$14),IF($F$14&gt;1,IF($B101=0+$F$16,I*(dt/100)*$J$45*1,""),""),"-")</f>
        <v>-</v>
      </c>
      <c r="S101" s="268" t="str">
        <f t="shared" ref="S101:S131" si="40">IF(ISNUMBER($F$14),IF($F$14&gt;2,IF($B101=0+$F$17,I*(dt/100)*$J$45*1,""),""),"-")</f>
        <v>-</v>
      </c>
      <c r="T101" s="269" t="str">
        <f t="shared" ref="T101:T131" si="41">IF(SUM(H101:S101)=0,"",SUM(H101:S101))</f>
        <v/>
      </c>
      <c r="U101" s="221">
        <f t="shared" si="7"/>
        <v>1</v>
      </c>
      <c r="V101" s="220" t="str">
        <f t="shared" ref="V101:V163" si="42">IF(ISNUMBER($F$14),IF(B101&lt;($F$16-$F$15)*$F$14,INT(B101/($F$16-$F$15))+1,V99),"-")</f>
        <v>-</v>
      </c>
      <c r="W101" s="221" t="str">
        <f t="shared" ref="W101:W164" si="43">IF(ISNUMBER($F$14),IF(B101&lt;$F$14*($F$16-$F$15),B101-INT(B101/($F$16-$F$15))*($F$16-$F$15)+1,W100+1),"-")</f>
        <v>-</v>
      </c>
      <c r="X101" s="221" t="str">
        <f t="shared" si="8"/>
        <v>-</v>
      </c>
      <c r="Y101" s="221" t="str">
        <f t="shared" si="9"/>
        <v>-</v>
      </c>
      <c r="Z101" s="270">
        <f t="shared" ref="Z101:Z164" si="44">IF(Y101&gt;0,0.1,0.04)</f>
        <v>0.1</v>
      </c>
      <c r="AA101" s="271" t="str">
        <f>IFERROR(IF(V100=1,D101*EXP(-(0.04*X100+0.1*Y100)),IF(V100=2,D101*EXP(-(0.04*($F$21+X100)+0.1*(($F$16-$F$15)-$F$21+Y100))),D101*EXP(-(0.04*($F$21*2+X100)+0.1*((($F$16-$F$15)-$F$21)*2-Y100))))),"-")</f>
        <v>-</v>
      </c>
      <c r="AB101" s="271" t="str">
        <f t="shared" si="10"/>
        <v>-</v>
      </c>
      <c r="AC101" s="224">
        <f t="shared" ref="AC101:AC164" si="45">B101</f>
        <v>1</v>
      </c>
      <c r="AD101" s="223" t="str">
        <f t="shared" si="11"/>
        <v>-</v>
      </c>
      <c r="AE101" s="224" t="str">
        <f t="shared" ref="AE101:AE164" si="46">IFERROR(IF($F$14-1&gt;0,IF(B101&lt;($F$14-1)*($F$16-$F$15),B101-INT(B101/($F$16-$F$15))*($F$16-$F$15)+1,AE100+1),"-"),"-")</f>
        <v>-</v>
      </c>
      <c r="AF101" s="224" t="str">
        <f t="shared" si="12"/>
        <v>-</v>
      </c>
      <c r="AG101" s="224" t="str">
        <f t="shared" si="13"/>
        <v>-</v>
      </c>
      <c r="AH101" s="272">
        <f t="shared" ref="AH101:AH164" si="47">IF(AG101&gt;0,0.1,0.04)</f>
        <v>0.1</v>
      </c>
      <c r="AI101" s="271" t="str">
        <f t="shared" si="14"/>
        <v>-</v>
      </c>
      <c r="AJ101" s="271" t="str">
        <f t="shared" ref="AJ101:AJ112" si="48">IFERROR(IF(AD101=1,D101*EXP(-(0.04*AF101+0.1*AG101)),IF(AD101=2,D101*EXP(-(0.04*($F$21+AF101)+0.1*(($F$16-$F$15)-$F$21+AG101))),D101*EXP(-(0.04*($F$21*2+AF101)+0.1*((($F$16-$F$15)-$F$21)*2-AG101))))),"-")</f>
        <v>-</v>
      </c>
      <c r="AK101" s="227">
        <f t="shared" ref="AK101:AK164" si="49">B101</f>
        <v>1</v>
      </c>
      <c r="AL101" s="226" t="str">
        <f t="shared" si="15"/>
        <v>-</v>
      </c>
      <c r="AM101" s="227" t="str">
        <f t="shared" ref="AM101:AM164" si="50">IFERROR(IF($F$14-2&gt;0,IF(B101&lt;($F$14-2)*($F$16-$F$15),B101-INT(B101/($F$16-$F$15))*($F$16-$F$15)+1,AM100+1),"-"),"-")</f>
        <v>-</v>
      </c>
      <c r="AN101" s="227" t="str">
        <f t="shared" ref="AN101:AN164" si="51">IFERROR(IF($F$21=0,0,IF(AL101=AL100,IF(B101-(AL101-1)*($F$16-$F$15)&lt;$F$21,AN100+1,AN100),1)),"-")</f>
        <v>-</v>
      </c>
      <c r="AO101" s="227" t="str">
        <f t="shared" si="16"/>
        <v>-</v>
      </c>
      <c r="AP101" s="273">
        <f t="shared" ref="AP101:AP164" si="52">IF(AO101&gt;0,0.1,0.04)</f>
        <v>0.1</v>
      </c>
      <c r="AQ101" s="271" t="str">
        <f t="shared" ref="AQ101:AQ113" si="53">IFERROR(IF(AL100=1,D101*EXP(-(0.04*AN100+0.1*AO100)),IF(AL100=2,D101*EXP(-(0.04*($F$21+AN100)+0.1*(($F$16-$F$15)-$F$21+AO100))),D101*EXP(-(0.04*($F$21*2+AN100)+0.1*((($F$16-$F$15)-$F$21)*2-AO100))))),"-")</f>
        <v>-</v>
      </c>
      <c r="AR101" s="271" t="str">
        <f t="shared" ref="AR101:AR113" si="54">IFERROR(IF(AL101=1,D101*EXP(-(0.04*AN101+0.1*AO101)),IF(AL101=2,D101*EXP(-(0.04*($F$21+AN101)+0.1*(($F$16-$F$15)-$F$21+AO101))),D101*EXP(-(0.04*($F$21*2+AN101)+0.1*((($F$16-$F$15)-$F$21)*2-AO101))))),"-")</f>
        <v>-</v>
      </c>
      <c r="AS101" s="274">
        <f t="shared" si="17"/>
        <v>0</v>
      </c>
      <c r="AT101" s="274">
        <f t="shared" si="18"/>
        <v>0</v>
      </c>
      <c r="AU101" s="274">
        <f t="shared" si="19"/>
        <v>0</v>
      </c>
      <c r="AV101" s="275">
        <f>IF($B101&lt;$F$22,SUM($T$100:$T101),"")</f>
        <v>0</v>
      </c>
      <c r="AW101" s="275" t="str">
        <f t="shared" ref="AW101:AW131" si="55">IF(ISNUMBER(Koc),IF(ISNUMBER(AV101),AV101*(Koc*(Ocse/100)*Pse*Vse)/(Koc*(Ocse/100)*Pse*Vse+1*86400*($B101+1)),""),"-")</f>
        <v>-</v>
      </c>
      <c r="AX101" s="275" t="str">
        <f t="shared" ref="AX101:AX164" si="56">IF(ISNUMBER(AW101),IF(ISNUMBER(AV101),(AV101-AW101)/(3*86400*($B101+1))*1000,""),"")</f>
        <v/>
      </c>
      <c r="AY101"/>
      <c r="AZ101" s="275" t="str">
        <f ca="1">IF(ISNUMBER(OFFSET(AV101,-$F$21,0)),SUM(OFFSET($T$100,$F$21,0):$T101),"")</f>
        <v/>
      </c>
      <c r="BA101" s="275" t="str">
        <f t="shared" ca="1" si="20"/>
        <v/>
      </c>
      <c r="BB101" s="275" t="str">
        <f t="shared" ref="BB101:BB119" ca="1" si="57">IF(ISNUMBER(AZ101),(AZ101-BA101)/(3*86400*(OFFSET($B101,-$F$21,0)+1))*1000,"")</f>
        <v/>
      </c>
      <c r="BC101" s="190"/>
      <c r="BD101" s="275" t="str">
        <f ca="1">IFERROR(IF(AND($B101&gt;=($F$16-$F$15),$B101&lt;$F$22+($F$16-$F$15)),SUM(OFFSET($T$100,($F$16-$F$15),0):$T101),""),"")</f>
        <v/>
      </c>
      <c r="BE101" s="275" t="str">
        <f t="shared" ref="BE101:BE164" ca="1" si="58">IF(ISNUMBER(BD101),BD101*(Koc*(Ocse/100)*Pse*Vse)/(Koc*(Ocse/100)*Pse*Vse+1*86400*($B101+1)),"")</f>
        <v/>
      </c>
      <c r="BF101" s="275" t="str">
        <f t="shared" ref="BF101:BF164" ca="1" si="59">IF(ISNUMBER(BD101),(BD101-BE101)/(3*86400*($B101-($F$16-$F$15)+1))*1000,"")</f>
        <v/>
      </c>
      <c r="BG101"/>
      <c r="BH101" s="190" t="str">
        <f ca="1">IF(ISNUMBER(OFFSET(BD101,-$F$21,0)),SUM(OFFSET($T$100,($F$16-$F$15+$F$21),0):$T101),"")</f>
        <v/>
      </c>
      <c r="BI101" s="190" t="str">
        <f t="shared" ca="1" si="21"/>
        <v/>
      </c>
      <c r="BJ101" s="190" t="str">
        <f t="shared" ref="BJ101:BJ164" ca="1" si="60">IF(ISNUMBER(BH101),(BH101-BI101)/(3*86400*((OFFSET($B101,-$F$21,0)-($F$16-$F$15)+1)))*1000,"")</f>
        <v/>
      </c>
      <c r="BK101" s="190"/>
      <c r="BL101" s="275" t="str">
        <f ca="1">IFERROR(IF(AND($B101&gt;=($F$17-$F$15),$B101&lt;$F$22+($F$17-$F$15)),SUM(OFFSET($T$100,($F$17-$F$15),0):$T101),""),"")</f>
        <v/>
      </c>
      <c r="BM101" s="275" t="str">
        <f t="shared" ca="1" si="22"/>
        <v/>
      </c>
      <c r="BN101" s="275" t="str">
        <f t="shared" ref="BN101:BN164" ca="1" si="61">IF(ISNUMBER(BL101),(BL101-BM101)/(3*86400*($B101-($F$17-$F$15)+1))*1000,"")</f>
        <v/>
      </c>
      <c r="BO101"/>
      <c r="BP101" s="275" t="str">
        <f ca="1">IF(ISNUMBER(OFFSET(BL101,-$F$21,0)),SUM(OFFSET($T$100,($F$17-$F$15+$F$21),0):$T101),"")</f>
        <v/>
      </c>
      <c r="BQ101" s="275" t="str">
        <f t="shared" ref="BQ101:BQ131" ca="1" si="62">IF(ISNUMBER(OFFSET(BL101,-$F$21,0)),BP101*(Koc*(Ocse/100)*Pse*Vse)/(Koc*(Ocse/100)*Pse*Vse+1*86400*($B101+1)),"")</f>
        <v/>
      </c>
      <c r="BR101" s="275" t="str">
        <f t="shared" ref="BR101:BR164" ca="1" si="63">IF(ISNUMBER(BP101),(BP101-BQ101)/(3*86400*(OFFSET($B101,-$F$21,0)-($F$17-$F$15)+1))*1000,"")</f>
        <v/>
      </c>
      <c r="BS101" s="190"/>
      <c r="BT101"/>
      <c r="BU101" s="276" t="str">
        <f t="shared" ref="BU101:BU120" si="64">IF(B40&lt;&gt;"",B40,"end")</f>
        <v>end</v>
      </c>
      <c r="BV101" s="277">
        <v>1</v>
      </c>
      <c r="BW101" s="278">
        <f>IF(BU101&lt;&gt;"",MIN(BU100:BU101),"")</f>
        <v>0</v>
      </c>
      <c r="BX101" s="278">
        <f>IF(BU101&lt;&gt;"",MAX(BU100:BU101),"")</f>
        <v>0</v>
      </c>
      <c r="BY101" s="279" t="str">
        <f t="shared" ref="BY101:BY120" si="65">IF(B40&lt;&gt;"",(C39-C40)/(B40-B39),"")</f>
        <v/>
      </c>
      <c r="BZ101"/>
      <c r="CA101" s="280" t="str">
        <f t="shared" si="23"/>
        <v>-</v>
      </c>
      <c r="CB101" s="71" t="str">
        <f t="shared" si="24"/>
        <v>-</v>
      </c>
      <c r="CC101" s="33" t="str">
        <f t="shared" si="25"/>
        <v>1-2</v>
      </c>
      <c r="CD101" s="259" t="str">
        <f t="shared" si="26"/>
        <v/>
      </c>
      <c r="CE101" s="280" t="str">
        <f t="shared" si="27"/>
        <v>-</v>
      </c>
      <c r="CF101" s="71" t="str">
        <f t="shared" ca="1" si="28"/>
        <v>-</v>
      </c>
      <c r="CG101" s="33" t="str">
        <f t="shared" si="29"/>
        <v>1-2</v>
      </c>
      <c r="CH101" s="261" t="str">
        <f t="shared" ca="1" si="30"/>
        <v/>
      </c>
      <c r="CI101" s="202"/>
      <c r="CP101" s="99"/>
      <c r="CQ101" s="99"/>
      <c r="CR101" s="99"/>
      <c r="CS101" s="99"/>
      <c r="CT101" s="99"/>
      <c r="CU101" s="99"/>
      <c r="CV101" s="99"/>
      <c r="CW101" s="99"/>
      <c r="CX101" s="99"/>
      <c r="CY101" s="99"/>
      <c r="CZ101" s="99"/>
      <c r="DA101" s="99"/>
      <c r="DB101" s="99"/>
      <c r="DC101" s="99"/>
    </row>
    <row r="102" spans="2:107" ht="13.5" customHeight="1" x14ac:dyDescent="0.2">
      <c r="B102" s="262">
        <v>2</v>
      </c>
      <c r="C102" s="237" t="str">
        <f t="shared" si="31"/>
        <v/>
      </c>
      <c r="D102" s="237" t="str">
        <f t="shared" ref="D102:D132" si="66">IFERROR(IF(B102&lt;$F$22,IF(ISNUMBER($D$65),IF(MAX($BU$101:$BU$120)&lt;B102, "", IF(B102=VLOOKUP(B102, $BU$101:$BU$120,1,1), C102,D101-INDEX($BY$101:$BY$120, MATCH(VLOOKUP(B102, $BU$101:$BU$120,1,1), $BU$101:$BU$120)+1, 1))),D101-VLOOKUP(MAX($BU$101:$BU$120),$BU$101:$BY$120,5)),""),"-")</f>
        <v>-</v>
      </c>
      <c r="E102" s="263" t="str">
        <f t="shared" si="32"/>
        <v/>
      </c>
      <c r="F102" s="264" t="str">
        <f t="shared" si="33"/>
        <v/>
      </c>
      <c r="G102" s="264" t="str">
        <f t="shared" si="34"/>
        <v/>
      </c>
      <c r="H102" s="240" t="str">
        <f t="shared" si="35"/>
        <v/>
      </c>
      <c r="I102" s="265" t="str">
        <f t="shared" si="1"/>
        <v/>
      </c>
      <c r="J102" s="265" t="str">
        <f t="shared" si="2"/>
        <v/>
      </c>
      <c r="K102" s="240" t="str">
        <f t="shared" si="36"/>
        <v/>
      </c>
      <c r="L102" s="265" t="str">
        <f t="shared" si="3"/>
        <v/>
      </c>
      <c r="M102" s="265" t="str">
        <f t="shared" si="4"/>
        <v/>
      </c>
      <c r="N102" s="240" t="str">
        <f t="shared" si="5"/>
        <v>-</v>
      </c>
      <c r="O102" s="265" t="str">
        <f t="shared" si="37"/>
        <v>-</v>
      </c>
      <c r="P102" s="265" t="str">
        <f t="shared" si="38"/>
        <v>-</v>
      </c>
      <c r="Q102" s="266" t="str">
        <f t="shared" si="6"/>
        <v>-</v>
      </c>
      <c r="R102" s="267" t="str">
        <f t="shared" si="39"/>
        <v>-</v>
      </c>
      <c r="S102" s="268" t="str">
        <f t="shared" si="40"/>
        <v>-</v>
      </c>
      <c r="T102" s="269" t="str">
        <f t="shared" si="41"/>
        <v/>
      </c>
      <c r="U102" s="221">
        <f t="shared" si="7"/>
        <v>2</v>
      </c>
      <c r="V102" s="220" t="str">
        <f t="shared" si="42"/>
        <v>-</v>
      </c>
      <c r="W102" s="221" t="str">
        <f t="shared" si="43"/>
        <v>-</v>
      </c>
      <c r="X102" s="221" t="str">
        <f t="shared" si="8"/>
        <v>-</v>
      </c>
      <c r="Y102" s="221" t="str">
        <f t="shared" si="9"/>
        <v>-</v>
      </c>
      <c r="Z102" s="270">
        <f t="shared" si="44"/>
        <v>0.1</v>
      </c>
      <c r="AA102" s="271" t="str">
        <f t="shared" ref="AA102:AA114" si="67">IFERROR(IF(V101=1,D102*EXP(-(0.04*X101+0.1*Y101)),IF(V101=2,D102*EXP(-(0.04*($F$21+X101)+0.1*(($F$16-$F$15)-$F$21+Y101))),D102*EXP(-(0.04*($F$21*2+X101)+0.1*((($F$16-$F$15)-$F$21)*2-Y101))))),"-")</f>
        <v>-</v>
      </c>
      <c r="AB102" s="271" t="str">
        <f t="shared" si="10"/>
        <v>-</v>
      </c>
      <c r="AC102" s="224">
        <f t="shared" si="45"/>
        <v>2</v>
      </c>
      <c r="AD102" s="223" t="str">
        <f t="shared" si="11"/>
        <v>-</v>
      </c>
      <c r="AE102" s="224" t="str">
        <f t="shared" si="46"/>
        <v>-</v>
      </c>
      <c r="AF102" s="224" t="str">
        <f t="shared" si="12"/>
        <v>-</v>
      </c>
      <c r="AG102" s="224" t="str">
        <f t="shared" si="13"/>
        <v>-</v>
      </c>
      <c r="AH102" s="272">
        <f t="shared" si="47"/>
        <v>0.1</v>
      </c>
      <c r="AI102" s="271" t="str">
        <f t="shared" si="14"/>
        <v>-</v>
      </c>
      <c r="AJ102" s="271" t="str">
        <f t="shared" si="48"/>
        <v>-</v>
      </c>
      <c r="AK102" s="227">
        <f t="shared" si="49"/>
        <v>2</v>
      </c>
      <c r="AL102" s="226" t="str">
        <f t="shared" si="15"/>
        <v>-</v>
      </c>
      <c r="AM102" s="227" t="str">
        <f t="shared" si="50"/>
        <v>-</v>
      </c>
      <c r="AN102" s="227" t="str">
        <f t="shared" si="51"/>
        <v>-</v>
      </c>
      <c r="AO102" s="227" t="str">
        <f t="shared" si="16"/>
        <v>-</v>
      </c>
      <c r="AP102" s="273">
        <f t="shared" si="52"/>
        <v>0.1</v>
      </c>
      <c r="AQ102" s="271" t="str">
        <f t="shared" si="53"/>
        <v>-</v>
      </c>
      <c r="AR102" s="271" t="str">
        <f t="shared" si="54"/>
        <v>-</v>
      </c>
      <c r="AS102" s="274">
        <f t="shared" si="17"/>
        <v>0</v>
      </c>
      <c r="AT102" s="274">
        <f t="shared" si="18"/>
        <v>0</v>
      </c>
      <c r="AU102" s="274">
        <f t="shared" si="19"/>
        <v>0</v>
      </c>
      <c r="AV102" s="275">
        <f>IF($B102&lt;$F$22,SUM($T$100:$T102),"")</f>
        <v>0</v>
      </c>
      <c r="AW102" s="275" t="str">
        <f t="shared" si="55"/>
        <v>-</v>
      </c>
      <c r="AX102" s="275" t="str">
        <f t="shared" si="56"/>
        <v/>
      </c>
      <c r="AY102"/>
      <c r="AZ102" s="275" t="str">
        <f ca="1">IF(ISNUMBER(OFFSET(AV102,-$F$21,0)),SUM(OFFSET($T$100,$F$21,0):$T102),"")</f>
        <v/>
      </c>
      <c r="BA102" s="275" t="str">
        <f t="shared" ca="1" si="20"/>
        <v/>
      </c>
      <c r="BB102" s="275" t="str">
        <f t="shared" ca="1" si="57"/>
        <v/>
      </c>
      <c r="BC102" s="190"/>
      <c r="BD102" s="275" t="str">
        <f ca="1">IFERROR(IF(AND($B102&gt;=($F$16-$F$15),$B102&lt;$F$22+($F$16-$F$15)),SUM(OFFSET($T$100,($F$16-$F$15),0):$T102),""),"")</f>
        <v/>
      </c>
      <c r="BE102" s="275" t="str">
        <f t="shared" ca="1" si="58"/>
        <v/>
      </c>
      <c r="BF102" s="275" t="str">
        <f t="shared" ca="1" si="59"/>
        <v/>
      </c>
      <c r="BG102"/>
      <c r="BH102" s="190" t="str">
        <f ca="1">IF(ISNUMBER(OFFSET(BD102,-$F$21,0)),SUM(OFFSET($T$100,($F$16-$F$15+$F$21),0):$T102),"")</f>
        <v/>
      </c>
      <c r="BI102" s="190" t="str">
        <f t="shared" ca="1" si="21"/>
        <v/>
      </c>
      <c r="BJ102" s="190" t="str">
        <f t="shared" ca="1" si="60"/>
        <v/>
      </c>
      <c r="BK102" s="190"/>
      <c r="BL102" s="275" t="str">
        <f ca="1">IFERROR(IF(AND($B102&gt;=($F$17-$F$15),$B102&lt;$F$22+($F$17-$F$15)),SUM(OFFSET($T$100,($F$17-$F$15),0):$T102),""),"")</f>
        <v/>
      </c>
      <c r="BM102" s="275" t="str">
        <f t="shared" ca="1" si="22"/>
        <v/>
      </c>
      <c r="BN102" s="275" t="str">
        <f t="shared" ca="1" si="61"/>
        <v/>
      </c>
      <c r="BO102"/>
      <c r="BP102" s="275" t="str">
        <f ca="1">IF(ISNUMBER(OFFSET(BL102,-$F$21,0)),SUM(OFFSET($T$100,($F$17-$F$15+$F$21),0):$T102),"")</f>
        <v/>
      </c>
      <c r="BQ102" s="275" t="str">
        <f t="shared" ca="1" si="62"/>
        <v/>
      </c>
      <c r="BR102" s="275" t="str">
        <f t="shared" ca="1" si="63"/>
        <v/>
      </c>
      <c r="BS102" s="190"/>
      <c r="BT102"/>
      <c r="BU102" s="276" t="str">
        <f t="shared" si="64"/>
        <v>end</v>
      </c>
      <c r="BV102" s="277">
        <v>2</v>
      </c>
      <c r="BW102" s="278">
        <f>IF(BU102&lt;&gt;"",MIN(BU101:BU102),"")</f>
        <v>0</v>
      </c>
      <c r="BX102" s="278">
        <f>IF(BU102&lt;&gt;"",MAX(BU101:BU102),"")</f>
        <v>0</v>
      </c>
      <c r="BY102" s="279" t="str">
        <f t="shared" si="65"/>
        <v/>
      </c>
      <c r="BZ102"/>
      <c r="CA102" s="280" t="str">
        <f t="shared" si="23"/>
        <v>-</v>
      </c>
      <c r="CB102" s="71" t="str">
        <f t="shared" si="24"/>
        <v>-</v>
      </c>
      <c r="CC102" s="33" t="str">
        <f t="shared" si="25"/>
        <v>2-3</v>
      </c>
      <c r="CD102" s="259" t="str">
        <f t="shared" si="26"/>
        <v/>
      </c>
      <c r="CE102" s="280" t="str">
        <f t="shared" si="27"/>
        <v>-</v>
      </c>
      <c r="CF102" s="71" t="str">
        <f t="shared" ca="1" si="28"/>
        <v>-</v>
      </c>
      <c r="CG102" s="33" t="str">
        <f t="shared" si="29"/>
        <v>2-3</v>
      </c>
      <c r="CH102" s="261" t="str">
        <f t="shared" ca="1" si="30"/>
        <v/>
      </c>
      <c r="CI102" s="202"/>
      <c r="CP102" s="99"/>
      <c r="CQ102" s="99"/>
      <c r="CR102" s="99"/>
      <c r="CS102" s="99"/>
      <c r="CT102" s="99"/>
      <c r="CU102" s="99"/>
      <c r="CV102" s="99"/>
      <c r="CW102" s="99"/>
      <c r="CX102" s="99"/>
      <c r="CY102" s="99"/>
      <c r="CZ102" s="99"/>
      <c r="DA102" s="99"/>
      <c r="DB102" s="99"/>
      <c r="DC102" s="99"/>
    </row>
    <row r="103" spans="2:107" ht="13.5" customHeight="1" x14ac:dyDescent="0.2">
      <c r="B103" s="262">
        <v>3</v>
      </c>
      <c r="C103" s="236" t="str">
        <f t="shared" si="31"/>
        <v/>
      </c>
      <c r="D103" s="237" t="str">
        <f t="shared" si="66"/>
        <v>-</v>
      </c>
      <c r="E103" s="263" t="str">
        <f t="shared" si="32"/>
        <v/>
      </c>
      <c r="F103" s="264" t="str">
        <f t="shared" si="33"/>
        <v/>
      </c>
      <c r="G103" s="264" t="str">
        <f t="shared" si="34"/>
        <v/>
      </c>
      <c r="H103" s="240" t="str">
        <f t="shared" si="35"/>
        <v/>
      </c>
      <c r="I103" s="265" t="str">
        <f t="shared" si="1"/>
        <v/>
      </c>
      <c r="J103" s="265" t="str">
        <f t="shared" si="2"/>
        <v/>
      </c>
      <c r="K103" s="240" t="str">
        <f t="shared" si="36"/>
        <v/>
      </c>
      <c r="L103" s="265" t="str">
        <f t="shared" si="3"/>
        <v/>
      </c>
      <c r="M103" s="265" t="str">
        <f t="shared" si="4"/>
        <v/>
      </c>
      <c r="N103" s="240" t="str">
        <f t="shared" si="5"/>
        <v>-</v>
      </c>
      <c r="O103" s="265" t="str">
        <f t="shared" si="37"/>
        <v>-</v>
      </c>
      <c r="P103" s="265" t="str">
        <f t="shared" si="38"/>
        <v>-</v>
      </c>
      <c r="Q103" s="266" t="str">
        <f t="shared" si="6"/>
        <v>-</v>
      </c>
      <c r="R103" s="267" t="str">
        <f t="shared" si="39"/>
        <v>-</v>
      </c>
      <c r="S103" s="268" t="str">
        <f t="shared" si="40"/>
        <v>-</v>
      </c>
      <c r="T103" s="269" t="str">
        <f t="shared" si="41"/>
        <v/>
      </c>
      <c r="U103" s="221">
        <f t="shared" si="7"/>
        <v>3</v>
      </c>
      <c r="V103" s="220" t="str">
        <f t="shared" si="42"/>
        <v>-</v>
      </c>
      <c r="W103" s="221" t="str">
        <f t="shared" si="43"/>
        <v>-</v>
      </c>
      <c r="X103" s="221" t="str">
        <f t="shared" si="8"/>
        <v>-</v>
      </c>
      <c r="Y103" s="221" t="str">
        <f t="shared" si="9"/>
        <v>-</v>
      </c>
      <c r="Z103" s="270">
        <f t="shared" si="44"/>
        <v>0.1</v>
      </c>
      <c r="AA103" s="271" t="str">
        <f t="shared" si="67"/>
        <v>-</v>
      </c>
      <c r="AB103" s="271" t="str">
        <f t="shared" si="10"/>
        <v>-</v>
      </c>
      <c r="AC103" s="224">
        <f t="shared" si="45"/>
        <v>3</v>
      </c>
      <c r="AD103" s="223" t="str">
        <f t="shared" si="11"/>
        <v>-</v>
      </c>
      <c r="AE103" s="224" t="str">
        <f t="shared" si="46"/>
        <v>-</v>
      </c>
      <c r="AF103" s="224" t="str">
        <f t="shared" si="12"/>
        <v>-</v>
      </c>
      <c r="AG103" s="224" t="str">
        <f t="shared" si="13"/>
        <v>-</v>
      </c>
      <c r="AH103" s="272">
        <f t="shared" si="47"/>
        <v>0.1</v>
      </c>
      <c r="AI103" s="271" t="str">
        <f t="shared" si="14"/>
        <v>-</v>
      </c>
      <c r="AJ103" s="271" t="str">
        <f t="shared" si="48"/>
        <v>-</v>
      </c>
      <c r="AK103" s="227">
        <f t="shared" si="49"/>
        <v>3</v>
      </c>
      <c r="AL103" s="226" t="str">
        <f t="shared" si="15"/>
        <v>-</v>
      </c>
      <c r="AM103" s="227" t="str">
        <f t="shared" si="50"/>
        <v>-</v>
      </c>
      <c r="AN103" s="227" t="str">
        <f t="shared" si="51"/>
        <v>-</v>
      </c>
      <c r="AO103" s="227" t="str">
        <f t="shared" si="16"/>
        <v>-</v>
      </c>
      <c r="AP103" s="273">
        <f t="shared" si="52"/>
        <v>0.1</v>
      </c>
      <c r="AQ103" s="271" t="str">
        <f t="shared" si="53"/>
        <v>-</v>
      </c>
      <c r="AR103" s="271" t="str">
        <f t="shared" si="54"/>
        <v>-</v>
      </c>
      <c r="AS103" s="274">
        <f t="shared" si="17"/>
        <v>0</v>
      </c>
      <c r="AT103" s="274">
        <f t="shared" si="18"/>
        <v>0</v>
      </c>
      <c r="AU103" s="274">
        <f t="shared" si="19"/>
        <v>0</v>
      </c>
      <c r="AV103" s="275">
        <f>IF($B103&lt;$F$22,SUM($T$100:$T103),"")</f>
        <v>0</v>
      </c>
      <c r="AW103" s="275" t="str">
        <f t="shared" si="55"/>
        <v>-</v>
      </c>
      <c r="AX103" s="275" t="str">
        <f t="shared" si="56"/>
        <v/>
      </c>
      <c r="AY103"/>
      <c r="AZ103" s="275" t="str">
        <f ca="1">IF(ISNUMBER(OFFSET(AV103,-$F$21,0)),SUM(OFFSET($T$100,$F$21,0):$T103),"")</f>
        <v/>
      </c>
      <c r="BA103" s="275" t="str">
        <f t="shared" ca="1" si="20"/>
        <v/>
      </c>
      <c r="BB103" s="275" t="str">
        <f t="shared" ca="1" si="57"/>
        <v/>
      </c>
      <c r="BC103" s="190"/>
      <c r="BD103" s="275" t="str">
        <f ca="1">IFERROR(IF(AND($B103&gt;=($F$16-$F$15),$B103&lt;$F$22+($F$16-$F$15)),SUM(OFFSET($T$100,($F$16-$F$15),0):$T103),""),"")</f>
        <v/>
      </c>
      <c r="BE103" s="275" t="str">
        <f t="shared" ca="1" si="58"/>
        <v/>
      </c>
      <c r="BF103" s="275" t="str">
        <f t="shared" ca="1" si="59"/>
        <v/>
      </c>
      <c r="BG103"/>
      <c r="BH103" s="190" t="str">
        <f ca="1">IF(ISNUMBER(OFFSET(BD103,-$F$21,0)),SUM(OFFSET($T$100,($F$16-$F$15+$F$21),0):$T103),"")</f>
        <v/>
      </c>
      <c r="BI103" s="190" t="str">
        <f t="shared" ca="1" si="21"/>
        <v/>
      </c>
      <c r="BJ103" s="190" t="str">
        <f t="shared" ca="1" si="60"/>
        <v/>
      </c>
      <c r="BK103" s="190"/>
      <c r="BL103" s="275" t="str">
        <f ca="1">IFERROR(IF(AND($B103&gt;=($F$17-$F$15),$B103&lt;$F$22+($F$17-$F$15)),SUM(OFFSET($T$100,($F$17-$F$15),0):$T103),""),"")</f>
        <v/>
      </c>
      <c r="BM103" s="275" t="str">
        <f t="shared" ca="1" si="22"/>
        <v/>
      </c>
      <c r="BN103" s="275" t="str">
        <f t="shared" ca="1" si="61"/>
        <v/>
      </c>
      <c r="BO103"/>
      <c r="BP103" s="275" t="str">
        <f ca="1">IF(ISNUMBER(OFFSET(BL103,-$F$21,0)),SUM(OFFSET($T$100,($F$17-$F$15+$F$21),0):$T103),"")</f>
        <v/>
      </c>
      <c r="BQ103" s="275" t="str">
        <f t="shared" ca="1" si="62"/>
        <v/>
      </c>
      <c r="BR103" s="275" t="str">
        <f t="shared" ca="1" si="63"/>
        <v/>
      </c>
      <c r="BS103" s="190"/>
      <c r="BT103"/>
      <c r="BU103" s="276" t="str">
        <f t="shared" si="64"/>
        <v>end</v>
      </c>
      <c r="BV103" s="277">
        <v>3</v>
      </c>
      <c r="BW103" s="278">
        <f>IF(BU103&lt;&gt;"",MIN(BU102:BU103),"")</f>
        <v>0</v>
      </c>
      <c r="BX103" s="278">
        <f>IF(BU103&lt;&gt;"",MAX(BU102:BU103),"")</f>
        <v>0</v>
      </c>
      <c r="BY103" s="279" t="str">
        <f t="shared" si="65"/>
        <v/>
      </c>
      <c r="BZ103"/>
      <c r="CA103" s="280" t="str">
        <f t="shared" si="23"/>
        <v>-</v>
      </c>
      <c r="CB103" s="71" t="str">
        <f t="shared" si="24"/>
        <v>-</v>
      </c>
      <c r="CC103" s="33" t="str">
        <f t="shared" si="25"/>
        <v>3-4</v>
      </c>
      <c r="CD103" s="259" t="str">
        <f t="shared" si="26"/>
        <v/>
      </c>
      <c r="CE103" s="280" t="str">
        <f t="shared" si="27"/>
        <v>-</v>
      </c>
      <c r="CF103" s="71" t="str">
        <f t="shared" ca="1" si="28"/>
        <v>-</v>
      </c>
      <c r="CG103" s="33" t="str">
        <f t="shared" si="29"/>
        <v>3-4</v>
      </c>
      <c r="CH103" s="261" t="str">
        <f t="shared" ca="1" si="30"/>
        <v/>
      </c>
      <c r="CI103" s="202"/>
      <c r="CP103" s="99"/>
      <c r="CQ103" s="99"/>
      <c r="CR103" s="99"/>
      <c r="CS103" s="99"/>
      <c r="CT103" s="99"/>
      <c r="CU103" s="99"/>
      <c r="CV103" s="99"/>
      <c r="CW103" s="99"/>
      <c r="CX103" s="99"/>
      <c r="CY103" s="99"/>
      <c r="CZ103" s="99"/>
      <c r="DA103" s="99"/>
      <c r="DB103" s="99"/>
      <c r="DC103" s="99"/>
    </row>
    <row r="104" spans="2:107" ht="13.5" customHeight="1" x14ac:dyDescent="0.2">
      <c r="B104" s="262">
        <v>4</v>
      </c>
      <c r="C104" s="237" t="str">
        <f t="shared" si="31"/>
        <v/>
      </c>
      <c r="D104" s="237" t="str">
        <f t="shared" si="66"/>
        <v>-</v>
      </c>
      <c r="E104" s="263" t="str">
        <f t="shared" si="32"/>
        <v/>
      </c>
      <c r="F104" s="264" t="str">
        <f t="shared" si="33"/>
        <v/>
      </c>
      <c r="G104" s="264" t="str">
        <f t="shared" si="34"/>
        <v/>
      </c>
      <c r="H104" s="240" t="str">
        <f t="shared" si="35"/>
        <v/>
      </c>
      <c r="I104" s="265" t="str">
        <f t="shared" si="1"/>
        <v/>
      </c>
      <c r="J104" s="265" t="str">
        <f t="shared" si="2"/>
        <v/>
      </c>
      <c r="K104" s="240" t="str">
        <f t="shared" si="36"/>
        <v/>
      </c>
      <c r="L104" s="265" t="str">
        <f t="shared" si="3"/>
        <v/>
      </c>
      <c r="M104" s="265" t="str">
        <f t="shared" si="4"/>
        <v/>
      </c>
      <c r="N104" s="240" t="str">
        <f t="shared" si="5"/>
        <v>-</v>
      </c>
      <c r="O104" s="265" t="str">
        <f t="shared" si="37"/>
        <v>-</v>
      </c>
      <c r="P104" s="265" t="str">
        <f t="shared" si="38"/>
        <v>-</v>
      </c>
      <c r="Q104" s="266" t="str">
        <f t="shared" si="6"/>
        <v>-</v>
      </c>
      <c r="R104" s="267" t="str">
        <f t="shared" si="39"/>
        <v>-</v>
      </c>
      <c r="S104" s="268" t="str">
        <f t="shared" si="40"/>
        <v>-</v>
      </c>
      <c r="T104" s="269" t="str">
        <f t="shared" si="41"/>
        <v/>
      </c>
      <c r="U104" s="221">
        <f t="shared" si="7"/>
        <v>4</v>
      </c>
      <c r="V104" s="220" t="str">
        <f t="shared" si="42"/>
        <v>-</v>
      </c>
      <c r="W104" s="221" t="str">
        <f t="shared" si="43"/>
        <v>-</v>
      </c>
      <c r="X104" s="221" t="str">
        <f t="shared" si="8"/>
        <v>-</v>
      </c>
      <c r="Y104" s="221" t="str">
        <f t="shared" si="9"/>
        <v>-</v>
      </c>
      <c r="Z104" s="270">
        <f t="shared" si="44"/>
        <v>0.1</v>
      </c>
      <c r="AA104" s="271" t="str">
        <f t="shared" si="67"/>
        <v>-</v>
      </c>
      <c r="AB104" s="271" t="str">
        <f t="shared" si="10"/>
        <v>-</v>
      </c>
      <c r="AC104" s="224">
        <f t="shared" si="45"/>
        <v>4</v>
      </c>
      <c r="AD104" s="223" t="str">
        <f t="shared" si="11"/>
        <v>-</v>
      </c>
      <c r="AE104" s="224" t="str">
        <f t="shared" si="46"/>
        <v>-</v>
      </c>
      <c r="AF104" s="224" t="str">
        <f t="shared" si="12"/>
        <v>-</v>
      </c>
      <c r="AG104" s="224" t="str">
        <f t="shared" si="13"/>
        <v>-</v>
      </c>
      <c r="AH104" s="272">
        <f t="shared" si="47"/>
        <v>0.1</v>
      </c>
      <c r="AI104" s="271" t="str">
        <f t="shared" si="14"/>
        <v>-</v>
      </c>
      <c r="AJ104" s="271" t="str">
        <f t="shared" si="48"/>
        <v>-</v>
      </c>
      <c r="AK104" s="227">
        <f t="shared" si="49"/>
        <v>4</v>
      </c>
      <c r="AL104" s="226" t="str">
        <f t="shared" si="15"/>
        <v>-</v>
      </c>
      <c r="AM104" s="227" t="str">
        <f t="shared" si="50"/>
        <v>-</v>
      </c>
      <c r="AN104" s="227" t="str">
        <f t="shared" si="51"/>
        <v>-</v>
      </c>
      <c r="AO104" s="227" t="str">
        <f t="shared" si="16"/>
        <v>-</v>
      </c>
      <c r="AP104" s="273">
        <f t="shared" si="52"/>
        <v>0.1</v>
      </c>
      <c r="AQ104" s="271" t="str">
        <f t="shared" si="53"/>
        <v>-</v>
      </c>
      <c r="AR104" s="271" t="str">
        <f t="shared" si="54"/>
        <v>-</v>
      </c>
      <c r="AS104" s="274">
        <f t="shared" si="17"/>
        <v>0</v>
      </c>
      <c r="AT104" s="274">
        <f t="shared" si="18"/>
        <v>0</v>
      </c>
      <c r="AU104" s="274">
        <f t="shared" si="19"/>
        <v>0</v>
      </c>
      <c r="AV104" s="275">
        <f>IF($B104&lt;$F$22,SUM($T$100:$T104),"")</f>
        <v>0</v>
      </c>
      <c r="AW104" s="275" t="str">
        <f t="shared" si="55"/>
        <v>-</v>
      </c>
      <c r="AX104" s="275" t="str">
        <f t="shared" si="56"/>
        <v/>
      </c>
      <c r="AY104"/>
      <c r="AZ104" s="275" t="str">
        <f ca="1">IF(ISNUMBER(OFFSET(AV104,-$F$21,0)),SUM(OFFSET($T$100,$F$21,0):$T104),"")</f>
        <v/>
      </c>
      <c r="BA104" s="275" t="str">
        <f t="shared" ca="1" si="20"/>
        <v/>
      </c>
      <c r="BB104" s="275" t="str">
        <f t="shared" ca="1" si="57"/>
        <v/>
      </c>
      <c r="BC104" s="190"/>
      <c r="BD104" s="275" t="str">
        <f ca="1">IFERROR(IF(AND($B104&gt;=($F$16-$F$15),$B104&lt;$F$22+($F$16-$F$15)),SUM(OFFSET($T$100,($F$16-$F$15),0):$T104),""),"")</f>
        <v/>
      </c>
      <c r="BE104" s="275" t="str">
        <f t="shared" ca="1" si="58"/>
        <v/>
      </c>
      <c r="BF104" s="275" t="str">
        <f t="shared" ca="1" si="59"/>
        <v/>
      </c>
      <c r="BG104"/>
      <c r="BH104" s="190" t="str">
        <f ca="1">IF(ISNUMBER(OFFSET(BD104,-$F$21,0)),SUM(OFFSET($T$100,($F$16-$F$15+$F$21),0):$T104),"")</f>
        <v/>
      </c>
      <c r="BI104" s="190" t="str">
        <f t="shared" ca="1" si="21"/>
        <v/>
      </c>
      <c r="BJ104" s="190" t="str">
        <f t="shared" ca="1" si="60"/>
        <v/>
      </c>
      <c r="BK104" s="190"/>
      <c r="BL104" s="275" t="str">
        <f ca="1">IFERROR(IF(AND($B104&gt;=($F$17-$F$15),$B104&lt;$F$22+($F$17-$F$15)),SUM(OFFSET($T$100,($F$17-$F$15),0):$T104),""),"")</f>
        <v/>
      </c>
      <c r="BM104" s="275" t="str">
        <f t="shared" ca="1" si="22"/>
        <v/>
      </c>
      <c r="BN104" s="275" t="str">
        <f t="shared" ca="1" si="61"/>
        <v/>
      </c>
      <c r="BO104"/>
      <c r="BP104" s="275" t="str">
        <f ca="1">IF(ISNUMBER(OFFSET(BL104,-$F$21,0)),SUM(OFFSET($T$100,($F$17-$F$15+$F$21),0):$T104),"")</f>
        <v/>
      </c>
      <c r="BQ104" s="275" t="str">
        <f t="shared" ca="1" si="62"/>
        <v/>
      </c>
      <c r="BR104" s="275" t="str">
        <f t="shared" ca="1" si="63"/>
        <v/>
      </c>
      <c r="BS104" s="190"/>
      <c r="BT104"/>
      <c r="BU104" s="276" t="str">
        <f t="shared" si="64"/>
        <v>end</v>
      </c>
      <c r="BV104" s="277">
        <v>4</v>
      </c>
      <c r="BW104" s="278">
        <f>IF(BU104&lt;&gt;"",MIN(BU103:BU104),"")</f>
        <v>0</v>
      </c>
      <c r="BX104" s="278">
        <f>IF(BU104&lt;&gt;"",MAX(BU103:BU104),"")</f>
        <v>0</v>
      </c>
      <c r="BY104" s="279" t="str">
        <f t="shared" si="65"/>
        <v/>
      </c>
      <c r="BZ104"/>
      <c r="CA104" s="281" t="str">
        <f t="shared" si="23"/>
        <v>-</v>
      </c>
      <c r="CB104" s="31" t="str">
        <f t="shared" si="24"/>
        <v>-</v>
      </c>
      <c r="CC104" s="24" t="str">
        <f t="shared" si="25"/>
        <v>4-5</v>
      </c>
      <c r="CD104" s="282" t="str">
        <f t="shared" si="26"/>
        <v/>
      </c>
      <c r="CE104" s="281" t="str">
        <f t="shared" si="27"/>
        <v>-</v>
      </c>
      <c r="CF104" s="31" t="str">
        <f t="shared" ca="1" si="28"/>
        <v>-</v>
      </c>
      <c r="CG104" s="24" t="str">
        <f t="shared" si="29"/>
        <v>4-5</v>
      </c>
      <c r="CH104" s="283" t="str">
        <f t="shared" ca="1" si="30"/>
        <v/>
      </c>
      <c r="CI104" s="202"/>
      <c r="CP104" s="99"/>
      <c r="CQ104" s="99"/>
      <c r="CR104" s="99"/>
      <c r="CS104" s="99"/>
      <c r="CT104" s="99"/>
      <c r="CU104" s="99"/>
      <c r="CV104" s="99"/>
      <c r="CW104" s="99"/>
      <c r="CX104" s="99"/>
      <c r="CY104" s="99"/>
      <c r="CZ104" s="99"/>
      <c r="DA104" s="99"/>
      <c r="DB104" s="99"/>
      <c r="DC104" s="99"/>
    </row>
    <row r="105" spans="2:107" ht="13.5" customHeight="1" x14ac:dyDescent="0.2">
      <c r="B105" s="262">
        <v>5</v>
      </c>
      <c r="C105" s="237" t="str">
        <f t="shared" si="31"/>
        <v/>
      </c>
      <c r="D105" s="237" t="str">
        <f t="shared" si="66"/>
        <v>-</v>
      </c>
      <c r="E105" s="263" t="str">
        <f t="shared" si="32"/>
        <v/>
      </c>
      <c r="F105" s="264" t="str">
        <f t="shared" si="33"/>
        <v/>
      </c>
      <c r="G105" s="264" t="str">
        <f t="shared" si="34"/>
        <v/>
      </c>
      <c r="H105" s="240" t="str">
        <f t="shared" si="35"/>
        <v/>
      </c>
      <c r="I105" s="265" t="str">
        <f t="shared" si="1"/>
        <v/>
      </c>
      <c r="J105" s="265" t="str">
        <f t="shared" si="2"/>
        <v/>
      </c>
      <c r="K105" s="240" t="str">
        <f t="shared" si="36"/>
        <v/>
      </c>
      <c r="L105" s="265" t="str">
        <f t="shared" si="3"/>
        <v/>
      </c>
      <c r="M105" s="265" t="str">
        <f t="shared" si="4"/>
        <v/>
      </c>
      <c r="N105" s="240" t="str">
        <f t="shared" si="5"/>
        <v>-</v>
      </c>
      <c r="O105" s="265" t="str">
        <f t="shared" si="37"/>
        <v>-</v>
      </c>
      <c r="P105" s="265" t="str">
        <f t="shared" si="38"/>
        <v>-</v>
      </c>
      <c r="Q105" s="266" t="str">
        <f t="shared" si="6"/>
        <v>-</v>
      </c>
      <c r="R105" s="267" t="str">
        <f t="shared" si="39"/>
        <v>-</v>
      </c>
      <c r="S105" s="268" t="str">
        <f t="shared" si="40"/>
        <v>-</v>
      </c>
      <c r="T105" s="269" t="str">
        <f t="shared" si="41"/>
        <v/>
      </c>
      <c r="U105" s="221">
        <f t="shared" si="7"/>
        <v>5</v>
      </c>
      <c r="V105" s="220" t="str">
        <f t="shared" si="42"/>
        <v>-</v>
      </c>
      <c r="W105" s="221" t="str">
        <f t="shared" si="43"/>
        <v>-</v>
      </c>
      <c r="X105" s="221" t="str">
        <f t="shared" si="8"/>
        <v>-</v>
      </c>
      <c r="Y105" s="221" t="str">
        <f t="shared" si="9"/>
        <v>-</v>
      </c>
      <c r="Z105" s="270">
        <f t="shared" si="44"/>
        <v>0.1</v>
      </c>
      <c r="AA105" s="271" t="str">
        <f t="shared" si="67"/>
        <v>-</v>
      </c>
      <c r="AB105" s="271" t="str">
        <f t="shared" si="10"/>
        <v>-</v>
      </c>
      <c r="AC105" s="224">
        <f t="shared" si="45"/>
        <v>5</v>
      </c>
      <c r="AD105" s="223" t="str">
        <f t="shared" si="11"/>
        <v>-</v>
      </c>
      <c r="AE105" s="224" t="str">
        <f t="shared" si="46"/>
        <v>-</v>
      </c>
      <c r="AF105" s="224" t="str">
        <f t="shared" si="12"/>
        <v>-</v>
      </c>
      <c r="AG105" s="224" t="str">
        <f t="shared" si="13"/>
        <v>-</v>
      </c>
      <c r="AH105" s="272">
        <f t="shared" si="47"/>
        <v>0.1</v>
      </c>
      <c r="AI105" s="271" t="str">
        <f t="shared" si="14"/>
        <v>-</v>
      </c>
      <c r="AJ105" s="271" t="str">
        <f t="shared" si="48"/>
        <v>-</v>
      </c>
      <c r="AK105" s="227">
        <f t="shared" si="49"/>
        <v>5</v>
      </c>
      <c r="AL105" s="226" t="str">
        <f t="shared" si="15"/>
        <v>-</v>
      </c>
      <c r="AM105" s="227" t="str">
        <f t="shared" si="50"/>
        <v>-</v>
      </c>
      <c r="AN105" s="227" t="str">
        <f t="shared" si="51"/>
        <v>-</v>
      </c>
      <c r="AO105" s="227" t="str">
        <f t="shared" si="16"/>
        <v>-</v>
      </c>
      <c r="AP105" s="273">
        <f t="shared" si="52"/>
        <v>0.1</v>
      </c>
      <c r="AQ105" s="271" t="str">
        <f t="shared" si="53"/>
        <v>-</v>
      </c>
      <c r="AR105" s="271" t="str">
        <f t="shared" si="54"/>
        <v>-</v>
      </c>
      <c r="AS105" s="274">
        <f t="shared" si="17"/>
        <v>0</v>
      </c>
      <c r="AT105" s="274">
        <f t="shared" si="18"/>
        <v>0</v>
      </c>
      <c r="AU105" s="274">
        <f t="shared" si="19"/>
        <v>0</v>
      </c>
      <c r="AV105" s="275">
        <f>IF($B105&lt;$F$22,SUM($T$100:$T105),"")</f>
        <v>0</v>
      </c>
      <c r="AW105" s="275" t="str">
        <f t="shared" si="55"/>
        <v>-</v>
      </c>
      <c r="AX105" s="275" t="str">
        <f t="shared" si="56"/>
        <v/>
      </c>
      <c r="AY105"/>
      <c r="AZ105" s="275" t="str">
        <f ca="1">IF(ISNUMBER(OFFSET(AV105,-$F$21,0)),SUM(OFFSET($T$100,$F$21,0):$T105),"")</f>
        <v/>
      </c>
      <c r="BA105" s="275" t="str">
        <f t="shared" ca="1" si="20"/>
        <v/>
      </c>
      <c r="BB105" s="275" t="str">
        <f t="shared" ca="1" si="57"/>
        <v/>
      </c>
      <c r="BC105" s="190"/>
      <c r="BD105" s="275" t="str">
        <f ca="1">IFERROR(IF(AND($B105&gt;=($F$16-$F$15),$B105&lt;$F$22+($F$16-$F$15)),SUM(OFFSET($T$100,($F$16-$F$15),0):$T105),""),"")</f>
        <v/>
      </c>
      <c r="BE105" s="275" t="str">
        <f t="shared" ca="1" si="58"/>
        <v/>
      </c>
      <c r="BF105" s="275" t="str">
        <f t="shared" ca="1" si="59"/>
        <v/>
      </c>
      <c r="BG105"/>
      <c r="BH105" s="190" t="str">
        <f ca="1">IF(ISNUMBER(OFFSET(BD105,-$F$21,0)),SUM(OFFSET($T$100,($F$16-$F$15+$F$21),0):$T105),"")</f>
        <v/>
      </c>
      <c r="BI105" s="190" t="str">
        <f t="shared" ca="1" si="21"/>
        <v/>
      </c>
      <c r="BJ105" s="190" t="str">
        <f t="shared" ca="1" si="60"/>
        <v/>
      </c>
      <c r="BK105" s="190"/>
      <c r="BL105" s="275" t="str">
        <f ca="1">IFERROR(IF(AND($B105&gt;=($F$17-$F$15),$B105&lt;$F$22+($F$17-$F$15)),SUM(OFFSET($T$100,($F$17-$F$15),0):$T105),""),"")</f>
        <v/>
      </c>
      <c r="BM105" s="275" t="str">
        <f t="shared" ca="1" si="22"/>
        <v/>
      </c>
      <c r="BN105" s="275" t="str">
        <f t="shared" ca="1" si="61"/>
        <v/>
      </c>
      <c r="BO105"/>
      <c r="BP105" s="275" t="str">
        <f ca="1">IF(ISNUMBER(OFFSET(BL105,-$F$21,0)),SUM(OFFSET($T$100,($F$17-$F$15+$F$21),0):$T105),"")</f>
        <v/>
      </c>
      <c r="BQ105" s="275" t="str">
        <f t="shared" ca="1" si="62"/>
        <v/>
      </c>
      <c r="BR105" s="275" t="str">
        <f t="shared" ca="1" si="63"/>
        <v/>
      </c>
      <c r="BS105" s="190"/>
      <c r="BT105"/>
      <c r="BU105" s="276" t="str">
        <f t="shared" si="64"/>
        <v>end</v>
      </c>
      <c r="BV105" s="277">
        <v>5</v>
      </c>
      <c r="BW105" s="278">
        <f>IF(BU105&lt;&gt;"",MIN(BU104:BU105),"")</f>
        <v>0</v>
      </c>
      <c r="BX105" s="278">
        <f>IF(BU105&lt;&gt;"",MAX(BU104:BU105),"")</f>
        <v>0</v>
      </c>
      <c r="BY105" s="279" t="str">
        <f t="shared" si="65"/>
        <v/>
      </c>
      <c r="BZ105"/>
      <c r="CA105" s="284" t="str">
        <f t="shared" si="23"/>
        <v>-</v>
      </c>
      <c r="CB105" s="285" t="str">
        <f t="shared" si="24"/>
        <v>-</v>
      </c>
      <c r="CC105" s="285" t="str">
        <f t="shared" si="25"/>
        <v>5-6</v>
      </c>
      <c r="CD105" s="286" t="str">
        <f t="shared" si="26"/>
        <v/>
      </c>
      <c r="CE105" s="287" t="str">
        <f t="shared" si="27"/>
        <v>-</v>
      </c>
      <c r="CF105" s="285" t="str">
        <f t="shared" ca="1" si="28"/>
        <v>-</v>
      </c>
      <c r="CG105" s="285" t="str">
        <f t="shared" si="29"/>
        <v>5-6</v>
      </c>
      <c r="CH105" s="288" t="str">
        <f t="shared" ca="1" si="30"/>
        <v/>
      </c>
      <c r="CP105" s="99"/>
      <c r="CQ105" s="99"/>
      <c r="CR105" s="99"/>
      <c r="CS105" s="99"/>
      <c r="CT105" s="99"/>
      <c r="CU105" s="99"/>
      <c r="CV105" s="99"/>
      <c r="CW105" s="99"/>
      <c r="CX105" s="99"/>
      <c r="CY105" s="99"/>
      <c r="CZ105" s="99"/>
      <c r="DA105" s="99"/>
      <c r="DB105" s="99"/>
      <c r="DC105" s="99"/>
    </row>
    <row r="106" spans="2:107" ht="13.5" customHeight="1" x14ac:dyDescent="0.2">
      <c r="B106" s="262">
        <v>6</v>
      </c>
      <c r="C106" s="237" t="str">
        <f t="shared" si="31"/>
        <v/>
      </c>
      <c r="D106" s="237" t="str">
        <f t="shared" si="66"/>
        <v>-</v>
      </c>
      <c r="E106" s="263" t="str">
        <f t="shared" si="32"/>
        <v/>
      </c>
      <c r="F106" s="264" t="str">
        <f t="shared" si="33"/>
        <v/>
      </c>
      <c r="G106" s="264" t="str">
        <f t="shared" si="34"/>
        <v/>
      </c>
      <c r="H106" s="240" t="str">
        <f t="shared" si="35"/>
        <v/>
      </c>
      <c r="I106" s="265" t="str">
        <f t="shared" si="1"/>
        <v/>
      </c>
      <c r="J106" s="265" t="str">
        <f t="shared" si="2"/>
        <v/>
      </c>
      <c r="K106" s="240" t="str">
        <f t="shared" si="36"/>
        <v/>
      </c>
      <c r="L106" s="265" t="str">
        <f t="shared" si="3"/>
        <v/>
      </c>
      <c r="M106" s="265" t="str">
        <f t="shared" si="4"/>
        <v/>
      </c>
      <c r="N106" s="240" t="str">
        <f t="shared" si="5"/>
        <v>-</v>
      </c>
      <c r="O106" s="265" t="str">
        <f t="shared" si="37"/>
        <v>-</v>
      </c>
      <c r="P106" s="265" t="str">
        <f t="shared" si="38"/>
        <v>-</v>
      </c>
      <c r="Q106" s="266" t="str">
        <f t="shared" si="6"/>
        <v>-</v>
      </c>
      <c r="R106" s="267" t="str">
        <f t="shared" si="39"/>
        <v>-</v>
      </c>
      <c r="S106" s="268" t="str">
        <f t="shared" si="40"/>
        <v>-</v>
      </c>
      <c r="T106" s="269" t="str">
        <f t="shared" si="41"/>
        <v/>
      </c>
      <c r="U106" s="221">
        <f t="shared" si="7"/>
        <v>6</v>
      </c>
      <c r="V106" s="220" t="str">
        <f t="shared" si="42"/>
        <v>-</v>
      </c>
      <c r="W106" s="221" t="str">
        <f t="shared" si="43"/>
        <v>-</v>
      </c>
      <c r="X106" s="221" t="str">
        <f t="shared" si="8"/>
        <v>-</v>
      </c>
      <c r="Y106" s="221" t="str">
        <f t="shared" si="9"/>
        <v>-</v>
      </c>
      <c r="Z106" s="270">
        <f t="shared" si="44"/>
        <v>0.1</v>
      </c>
      <c r="AA106" s="271" t="str">
        <f t="shared" si="67"/>
        <v>-</v>
      </c>
      <c r="AB106" s="271" t="str">
        <f t="shared" si="10"/>
        <v>-</v>
      </c>
      <c r="AC106" s="224">
        <f t="shared" si="45"/>
        <v>6</v>
      </c>
      <c r="AD106" s="223" t="str">
        <f t="shared" si="11"/>
        <v>-</v>
      </c>
      <c r="AE106" s="224" t="str">
        <f t="shared" si="46"/>
        <v>-</v>
      </c>
      <c r="AF106" s="224" t="str">
        <f t="shared" si="12"/>
        <v>-</v>
      </c>
      <c r="AG106" s="224" t="str">
        <f t="shared" si="13"/>
        <v>-</v>
      </c>
      <c r="AH106" s="272">
        <f t="shared" si="47"/>
        <v>0.1</v>
      </c>
      <c r="AI106" s="271" t="str">
        <f t="shared" si="14"/>
        <v>-</v>
      </c>
      <c r="AJ106" s="271" t="str">
        <f t="shared" si="48"/>
        <v>-</v>
      </c>
      <c r="AK106" s="227">
        <f t="shared" si="49"/>
        <v>6</v>
      </c>
      <c r="AL106" s="226" t="str">
        <f t="shared" si="15"/>
        <v>-</v>
      </c>
      <c r="AM106" s="227" t="str">
        <f t="shared" si="50"/>
        <v>-</v>
      </c>
      <c r="AN106" s="227" t="str">
        <f t="shared" si="51"/>
        <v>-</v>
      </c>
      <c r="AO106" s="227" t="str">
        <f t="shared" si="16"/>
        <v>-</v>
      </c>
      <c r="AP106" s="273">
        <f t="shared" si="52"/>
        <v>0.1</v>
      </c>
      <c r="AQ106" s="271" t="str">
        <f t="shared" si="53"/>
        <v>-</v>
      </c>
      <c r="AR106" s="271" t="str">
        <f t="shared" si="54"/>
        <v>-</v>
      </c>
      <c r="AS106" s="274">
        <f t="shared" si="17"/>
        <v>0</v>
      </c>
      <c r="AT106" s="274">
        <f t="shared" si="18"/>
        <v>0</v>
      </c>
      <c r="AU106" s="274">
        <f t="shared" si="19"/>
        <v>0</v>
      </c>
      <c r="AV106" s="275">
        <f>IF($B106&lt;$F$22,SUM($T$100:$T106),"")</f>
        <v>0</v>
      </c>
      <c r="AW106" s="275" t="str">
        <f t="shared" si="55"/>
        <v>-</v>
      </c>
      <c r="AX106" s="275" t="str">
        <f t="shared" si="56"/>
        <v/>
      </c>
      <c r="AY106"/>
      <c r="AZ106" s="275" t="str">
        <f ca="1">IF(ISNUMBER(OFFSET(AV106,-$F$21,0)),SUM(OFFSET($T$100,$F$21,0):$T106),"")</f>
        <v/>
      </c>
      <c r="BA106" s="275" t="str">
        <f t="shared" ca="1" si="20"/>
        <v/>
      </c>
      <c r="BB106" s="275" t="str">
        <f t="shared" ca="1" si="57"/>
        <v/>
      </c>
      <c r="BC106" s="190"/>
      <c r="BD106" s="275" t="str">
        <f ca="1">IFERROR(IF(AND($B106&gt;=($F$16-$F$15),$B106&lt;$F$22+($F$16-$F$15)),SUM(OFFSET($T$100,($F$16-$F$15),0):$T106),""),"")</f>
        <v/>
      </c>
      <c r="BE106" s="275" t="str">
        <f t="shared" ca="1" si="58"/>
        <v/>
      </c>
      <c r="BF106" s="275" t="str">
        <f t="shared" ca="1" si="59"/>
        <v/>
      </c>
      <c r="BG106"/>
      <c r="BH106" s="190" t="str">
        <f ca="1">IF(ISNUMBER(OFFSET(BD106,-$F$21,0)),SUM(OFFSET($T$100,($F$16-$F$15+$F$21),0):$T106),"")</f>
        <v/>
      </c>
      <c r="BI106" s="190" t="str">
        <f t="shared" ca="1" si="21"/>
        <v/>
      </c>
      <c r="BJ106" s="190" t="str">
        <f t="shared" ca="1" si="60"/>
        <v/>
      </c>
      <c r="BK106" s="190"/>
      <c r="BL106" s="275" t="str">
        <f ca="1">IFERROR(IF(AND($B106&gt;=($F$17-$F$15),$B106&lt;$F$22+($F$17-$F$15)),SUM(OFFSET($T$100,($F$17-$F$15),0):$T106),""),"")</f>
        <v/>
      </c>
      <c r="BM106" s="275" t="str">
        <f t="shared" ca="1" si="22"/>
        <v/>
      </c>
      <c r="BN106" s="275" t="str">
        <f t="shared" ca="1" si="61"/>
        <v/>
      </c>
      <c r="BO106"/>
      <c r="BP106" s="275" t="str">
        <f ca="1">IF(ISNUMBER(OFFSET(BL106,-$F$21,0)),SUM(OFFSET($T$100,($F$17-$F$15+$F$21),0):$T106),"")</f>
        <v/>
      </c>
      <c r="BQ106" s="275" t="str">
        <f t="shared" ca="1" si="62"/>
        <v/>
      </c>
      <c r="BR106" s="275" t="str">
        <f t="shared" ca="1" si="63"/>
        <v/>
      </c>
      <c r="BS106" s="190"/>
      <c r="BT106"/>
      <c r="BU106" s="276" t="str">
        <f t="shared" si="64"/>
        <v>end</v>
      </c>
      <c r="BV106" s="277">
        <v>6</v>
      </c>
      <c r="BW106" s="278" t="str">
        <f>IF(AND(BU106="end",BU105="end"), "", IF(BU106&lt;&gt;"",MIN(BU105:BU106),""))</f>
        <v/>
      </c>
      <c r="BX106" s="278" t="str">
        <f>IF(AND(BU106="end",BU105="end"), "", IF(BU106&lt;&gt;"",MAX(BU105:BU106),""))</f>
        <v/>
      </c>
      <c r="BY106" s="279" t="str">
        <f t="shared" si="65"/>
        <v/>
      </c>
      <c r="BZ106"/>
      <c r="CA106" s="284" t="str">
        <f t="shared" si="23"/>
        <v>-</v>
      </c>
      <c r="CB106" s="285" t="str">
        <f t="shared" si="24"/>
        <v>-</v>
      </c>
      <c r="CC106" s="285" t="str">
        <f t="shared" si="25"/>
        <v>6-7</v>
      </c>
      <c r="CD106" s="286" t="str">
        <f t="shared" si="26"/>
        <v/>
      </c>
      <c r="CE106" s="287" t="str">
        <f t="shared" si="27"/>
        <v>-</v>
      </c>
      <c r="CF106" s="285" t="str">
        <f t="shared" ca="1" si="28"/>
        <v>-</v>
      </c>
      <c r="CG106" s="285" t="str">
        <f t="shared" si="29"/>
        <v>6-7</v>
      </c>
      <c r="CH106" s="288" t="str">
        <f t="shared" ca="1" si="30"/>
        <v/>
      </c>
      <c r="CP106" s="99"/>
      <c r="CQ106" s="99"/>
      <c r="CR106" s="99"/>
      <c r="CS106" s="99"/>
      <c r="CT106" s="99"/>
      <c r="CU106" s="99"/>
      <c r="CV106" s="99"/>
      <c r="CW106" s="99"/>
      <c r="CX106" s="99"/>
      <c r="CY106" s="99"/>
      <c r="CZ106" s="99"/>
      <c r="DA106" s="99"/>
      <c r="DB106" s="99"/>
      <c r="DC106" s="99"/>
    </row>
    <row r="107" spans="2:107" ht="13.5" customHeight="1" x14ac:dyDescent="0.2">
      <c r="B107" s="262">
        <v>7</v>
      </c>
      <c r="C107" s="236" t="str">
        <f t="shared" si="31"/>
        <v/>
      </c>
      <c r="D107" s="237" t="str">
        <f t="shared" si="66"/>
        <v>-</v>
      </c>
      <c r="E107" s="263" t="str">
        <f t="shared" si="32"/>
        <v/>
      </c>
      <c r="F107" s="264" t="str">
        <f t="shared" si="33"/>
        <v/>
      </c>
      <c r="G107" s="264" t="str">
        <f t="shared" si="34"/>
        <v/>
      </c>
      <c r="H107" s="240" t="str">
        <f t="shared" si="35"/>
        <v/>
      </c>
      <c r="I107" s="265" t="str">
        <f t="shared" si="1"/>
        <v/>
      </c>
      <c r="J107" s="265" t="str">
        <f t="shared" si="2"/>
        <v/>
      </c>
      <c r="K107" s="240" t="str">
        <f t="shared" si="36"/>
        <v/>
      </c>
      <c r="L107" s="265" t="str">
        <f t="shared" si="3"/>
        <v/>
      </c>
      <c r="M107" s="265" t="str">
        <f t="shared" si="4"/>
        <v/>
      </c>
      <c r="N107" s="240" t="str">
        <f t="shared" si="5"/>
        <v>-</v>
      </c>
      <c r="O107" s="265" t="str">
        <f t="shared" si="37"/>
        <v>-</v>
      </c>
      <c r="P107" s="265" t="str">
        <f t="shared" si="38"/>
        <v>-</v>
      </c>
      <c r="Q107" s="266" t="str">
        <f t="shared" si="6"/>
        <v>-</v>
      </c>
      <c r="R107" s="267" t="str">
        <f t="shared" si="39"/>
        <v>-</v>
      </c>
      <c r="S107" s="268" t="str">
        <f t="shared" si="40"/>
        <v>-</v>
      </c>
      <c r="T107" s="269" t="str">
        <f t="shared" si="41"/>
        <v/>
      </c>
      <c r="U107" s="221">
        <f t="shared" si="7"/>
        <v>7</v>
      </c>
      <c r="V107" s="220" t="str">
        <f t="shared" si="42"/>
        <v>-</v>
      </c>
      <c r="W107" s="221" t="str">
        <f t="shared" si="43"/>
        <v>-</v>
      </c>
      <c r="X107" s="221" t="str">
        <f t="shared" si="8"/>
        <v>-</v>
      </c>
      <c r="Y107" s="221" t="str">
        <f t="shared" si="9"/>
        <v>-</v>
      </c>
      <c r="Z107" s="270">
        <f t="shared" si="44"/>
        <v>0.1</v>
      </c>
      <c r="AA107" s="271" t="str">
        <f t="shared" si="67"/>
        <v>-</v>
      </c>
      <c r="AB107" s="271" t="str">
        <f t="shared" si="10"/>
        <v>-</v>
      </c>
      <c r="AC107" s="224">
        <f t="shared" si="45"/>
        <v>7</v>
      </c>
      <c r="AD107" s="223" t="str">
        <f t="shared" si="11"/>
        <v>-</v>
      </c>
      <c r="AE107" s="224" t="str">
        <f t="shared" si="46"/>
        <v>-</v>
      </c>
      <c r="AF107" s="224" t="str">
        <f t="shared" si="12"/>
        <v>-</v>
      </c>
      <c r="AG107" s="224" t="str">
        <f t="shared" si="13"/>
        <v>-</v>
      </c>
      <c r="AH107" s="272">
        <f t="shared" si="47"/>
        <v>0.1</v>
      </c>
      <c r="AI107" s="271" t="str">
        <f t="shared" si="14"/>
        <v>-</v>
      </c>
      <c r="AJ107" s="271" t="str">
        <f t="shared" si="48"/>
        <v>-</v>
      </c>
      <c r="AK107" s="227">
        <f t="shared" si="49"/>
        <v>7</v>
      </c>
      <c r="AL107" s="226" t="str">
        <f t="shared" si="15"/>
        <v>-</v>
      </c>
      <c r="AM107" s="227" t="str">
        <f t="shared" si="50"/>
        <v>-</v>
      </c>
      <c r="AN107" s="227" t="str">
        <f t="shared" si="51"/>
        <v>-</v>
      </c>
      <c r="AO107" s="227" t="str">
        <f t="shared" si="16"/>
        <v>-</v>
      </c>
      <c r="AP107" s="273">
        <f t="shared" si="52"/>
        <v>0.1</v>
      </c>
      <c r="AQ107" s="271" t="str">
        <f t="shared" si="53"/>
        <v>-</v>
      </c>
      <c r="AR107" s="271" t="str">
        <f t="shared" si="54"/>
        <v>-</v>
      </c>
      <c r="AS107" s="274">
        <f t="shared" si="17"/>
        <v>0</v>
      </c>
      <c r="AT107" s="274">
        <f t="shared" si="18"/>
        <v>0</v>
      </c>
      <c r="AU107" s="274">
        <f t="shared" si="19"/>
        <v>0</v>
      </c>
      <c r="AV107" s="275">
        <f>IF($B107&lt;$F$22,SUM($T$100:$T107),"")</f>
        <v>0</v>
      </c>
      <c r="AW107" s="275" t="str">
        <f t="shared" si="55"/>
        <v>-</v>
      </c>
      <c r="AX107" s="275" t="str">
        <f t="shared" si="56"/>
        <v/>
      </c>
      <c r="AY107"/>
      <c r="AZ107" s="275" t="str">
        <f ca="1">IF(ISNUMBER(OFFSET(AV107,-$F$21,0)),SUM(OFFSET($T$100,$F$21,0):$T107),"")</f>
        <v/>
      </c>
      <c r="BA107" s="275" t="str">
        <f t="shared" ca="1" si="20"/>
        <v/>
      </c>
      <c r="BB107" s="275" t="str">
        <f t="shared" ca="1" si="57"/>
        <v/>
      </c>
      <c r="BC107" s="190"/>
      <c r="BD107" s="275" t="str">
        <f ca="1">IFERROR(IF(AND($B107&gt;=($F$16-$F$15),$B107&lt;$F$22+($F$16-$F$15)),SUM(OFFSET($T$100,($F$16-$F$15),0):$T107),""),"")</f>
        <v/>
      </c>
      <c r="BE107" s="275" t="str">
        <f t="shared" ca="1" si="58"/>
        <v/>
      </c>
      <c r="BF107" s="275" t="str">
        <f t="shared" ca="1" si="59"/>
        <v/>
      </c>
      <c r="BG107"/>
      <c r="BH107" s="190" t="str">
        <f ca="1">IF(ISNUMBER(OFFSET(BD107,-$F$21,0)),SUM(OFFSET($T$100,($F$16-$F$15+$F$21),0):$T107),"")</f>
        <v/>
      </c>
      <c r="BI107" s="190" t="str">
        <f t="shared" ca="1" si="21"/>
        <v/>
      </c>
      <c r="BJ107" s="190" t="str">
        <f t="shared" ca="1" si="60"/>
        <v/>
      </c>
      <c r="BK107" s="190"/>
      <c r="BL107" s="275" t="str">
        <f ca="1">IFERROR(IF(AND($B107&gt;=($F$17-$F$15),$B107&lt;$F$22+($F$17-$F$15)),SUM(OFFSET($T$100,($F$17-$F$15),0):$T107),""),"")</f>
        <v/>
      </c>
      <c r="BM107" s="275" t="str">
        <f t="shared" ca="1" si="22"/>
        <v/>
      </c>
      <c r="BN107" s="275" t="str">
        <f t="shared" ca="1" si="61"/>
        <v/>
      </c>
      <c r="BO107"/>
      <c r="BP107" s="275" t="str">
        <f ca="1">IF(ISNUMBER(OFFSET(BL107,-$F$21,0)),SUM(OFFSET($T$100,($F$17-$F$15+$F$21),0):$T107),"")</f>
        <v/>
      </c>
      <c r="BQ107" s="275" t="str">
        <f t="shared" ca="1" si="62"/>
        <v/>
      </c>
      <c r="BR107" s="275" t="str">
        <f t="shared" ca="1" si="63"/>
        <v/>
      </c>
      <c r="BS107" s="190"/>
      <c r="BT107"/>
      <c r="BU107" s="276" t="str">
        <f t="shared" si="64"/>
        <v>end</v>
      </c>
      <c r="BV107" s="277">
        <v>7</v>
      </c>
      <c r="BW107" s="278" t="str">
        <f>IF(AND(BU107="end",BU106="end"), "", IF(BU107&lt;&gt;"",MIN(BU106:BU107),""))</f>
        <v/>
      </c>
      <c r="BX107" s="278" t="str">
        <f t="shared" ref="BX107:BX120" si="68">IF(AND(BU107="end",BU106="end"), "", IF(BU107&lt;&gt;"",MAX(BU106:BU107),""))</f>
        <v/>
      </c>
      <c r="BY107" s="279" t="str">
        <f t="shared" si="65"/>
        <v/>
      </c>
      <c r="BZ107"/>
      <c r="CA107" s="284" t="str">
        <f t="shared" si="23"/>
        <v>-</v>
      </c>
      <c r="CB107" s="285" t="str">
        <f t="shared" si="24"/>
        <v>-</v>
      </c>
      <c r="CC107" s="285" t="str">
        <f t="shared" si="25"/>
        <v>7-8</v>
      </c>
      <c r="CD107" s="286" t="str">
        <f t="shared" si="26"/>
        <v/>
      </c>
      <c r="CE107" s="287" t="str">
        <f t="shared" si="27"/>
        <v>-</v>
      </c>
      <c r="CF107" s="285" t="str">
        <f t="shared" ca="1" si="28"/>
        <v>-</v>
      </c>
      <c r="CG107" s="285" t="str">
        <f t="shared" si="29"/>
        <v>7-8</v>
      </c>
      <c r="CH107" s="288" t="str">
        <f t="shared" ca="1" si="30"/>
        <v/>
      </c>
      <c r="CP107" s="99"/>
      <c r="CQ107" s="99"/>
      <c r="CR107" s="99"/>
      <c r="CS107" s="99"/>
      <c r="CT107" s="99"/>
      <c r="CU107" s="99"/>
      <c r="CV107" s="99"/>
      <c r="CW107" s="99"/>
      <c r="CX107" s="99"/>
      <c r="CY107" s="99"/>
      <c r="CZ107" s="99"/>
      <c r="DA107" s="99"/>
      <c r="DB107" s="99"/>
      <c r="DC107" s="99"/>
    </row>
    <row r="108" spans="2:107" ht="13.5" customHeight="1" x14ac:dyDescent="0.2">
      <c r="B108" s="262">
        <v>8</v>
      </c>
      <c r="C108" s="237" t="str">
        <f t="shared" si="31"/>
        <v/>
      </c>
      <c r="D108" s="237" t="str">
        <f t="shared" si="66"/>
        <v>-</v>
      </c>
      <c r="E108" s="263" t="str">
        <f t="shared" si="32"/>
        <v/>
      </c>
      <c r="F108" s="264" t="str">
        <f t="shared" si="33"/>
        <v/>
      </c>
      <c r="G108" s="264" t="str">
        <f t="shared" si="34"/>
        <v/>
      </c>
      <c r="H108" s="240" t="str">
        <f t="shared" si="35"/>
        <v/>
      </c>
      <c r="I108" s="265" t="str">
        <f t="shared" si="1"/>
        <v/>
      </c>
      <c r="J108" s="265" t="str">
        <f t="shared" si="2"/>
        <v/>
      </c>
      <c r="K108" s="240" t="str">
        <f t="shared" si="36"/>
        <v/>
      </c>
      <c r="L108" s="265" t="str">
        <f t="shared" si="3"/>
        <v/>
      </c>
      <c r="M108" s="265" t="str">
        <f t="shared" si="4"/>
        <v/>
      </c>
      <c r="N108" s="240" t="str">
        <f t="shared" si="5"/>
        <v>-</v>
      </c>
      <c r="O108" s="265" t="str">
        <f t="shared" si="37"/>
        <v>-</v>
      </c>
      <c r="P108" s="265" t="str">
        <f t="shared" si="38"/>
        <v>-</v>
      </c>
      <c r="Q108" s="266" t="str">
        <f t="shared" si="6"/>
        <v>-</v>
      </c>
      <c r="R108" s="267" t="str">
        <f t="shared" si="39"/>
        <v>-</v>
      </c>
      <c r="S108" s="268" t="str">
        <f t="shared" si="40"/>
        <v>-</v>
      </c>
      <c r="T108" s="269" t="str">
        <f t="shared" si="41"/>
        <v/>
      </c>
      <c r="U108" s="221">
        <f t="shared" si="7"/>
        <v>8</v>
      </c>
      <c r="V108" s="220" t="str">
        <f t="shared" si="42"/>
        <v>-</v>
      </c>
      <c r="W108" s="221" t="str">
        <f t="shared" si="43"/>
        <v>-</v>
      </c>
      <c r="X108" s="221" t="str">
        <f t="shared" si="8"/>
        <v>-</v>
      </c>
      <c r="Y108" s="221" t="str">
        <f t="shared" si="9"/>
        <v>-</v>
      </c>
      <c r="Z108" s="270">
        <f t="shared" si="44"/>
        <v>0.1</v>
      </c>
      <c r="AA108" s="271" t="str">
        <f t="shared" si="67"/>
        <v>-</v>
      </c>
      <c r="AB108" s="271" t="str">
        <f t="shared" si="10"/>
        <v>-</v>
      </c>
      <c r="AC108" s="224">
        <f t="shared" si="45"/>
        <v>8</v>
      </c>
      <c r="AD108" s="223" t="str">
        <f t="shared" si="11"/>
        <v>-</v>
      </c>
      <c r="AE108" s="224" t="str">
        <f t="shared" si="46"/>
        <v>-</v>
      </c>
      <c r="AF108" s="224" t="str">
        <f t="shared" si="12"/>
        <v>-</v>
      </c>
      <c r="AG108" s="224" t="str">
        <f t="shared" si="13"/>
        <v>-</v>
      </c>
      <c r="AH108" s="272">
        <f t="shared" si="47"/>
        <v>0.1</v>
      </c>
      <c r="AI108" s="271" t="str">
        <f t="shared" si="14"/>
        <v>-</v>
      </c>
      <c r="AJ108" s="271" t="str">
        <f t="shared" si="48"/>
        <v>-</v>
      </c>
      <c r="AK108" s="227">
        <f t="shared" si="49"/>
        <v>8</v>
      </c>
      <c r="AL108" s="226" t="str">
        <f t="shared" si="15"/>
        <v>-</v>
      </c>
      <c r="AM108" s="227" t="str">
        <f t="shared" si="50"/>
        <v>-</v>
      </c>
      <c r="AN108" s="227" t="str">
        <f t="shared" si="51"/>
        <v>-</v>
      </c>
      <c r="AO108" s="227" t="str">
        <f t="shared" si="16"/>
        <v>-</v>
      </c>
      <c r="AP108" s="273">
        <f t="shared" si="52"/>
        <v>0.1</v>
      </c>
      <c r="AQ108" s="271" t="str">
        <f t="shared" si="53"/>
        <v>-</v>
      </c>
      <c r="AR108" s="271" t="str">
        <f t="shared" si="54"/>
        <v>-</v>
      </c>
      <c r="AS108" s="274">
        <f t="shared" si="17"/>
        <v>0</v>
      </c>
      <c r="AT108" s="274">
        <f t="shared" si="18"/>
        <v>0</v>
      </c>
      <c r="AU108" s="274">
        <f t="shared" si="19"/>
        <v>0</v>
      </c>
      <c r="AV108" s="275">
        <f>IF($B108&lt;$F$22,SUM($T$100:$T108),"")</f>
        <v>0</v>
      </c>
      <c r="AW108" s="275" t="str">
        <f t="shared" si="55"/>
        <v>-</v>
      </c>
      <c r="AX108" s="275" t="str">
        <f t="shared" si="56"/>
        <v/>
      </c>
      <c r="AY108"/>
      <c r="AZ108" s="275" t="str">
        <f ca="1">IF(ISNUMBER(OFFSET(AV108,-$F$21,0)),SUM(OFFSET($T$100,$F$21,0):$T108),"")</f>
        <v/>
      </c>
      <c r="BA108" s="275" t="str">
        <f t="shared" ca="1" si="20"/>
        <v/>
      </c>
      <c r="BB108" s="275" t="str">
        <f t="shared" ca="1" si="57"/>
        <v/>
      </c>
      <c r="BC108" s="190"/>
      <c r="BD108" s="275" t="str">
        <f ca="1">IFERROR(IF(AND($B108&gt;=($F$16-$F$15),$B108&lt;$F$22+($F$16-$F$15)),SUM(OFFSET($T$100,($F$16-$F$15),0):$T108),""),"")</f>
        <v/>
      </c>
      <c r="BE108" s="275" t="str">
        <f t="shared" ca="1" si="58"/>
        <v/>
      </c>
      <c r="BF108" s="275" t="str">
        <f t="shared" ca="1" si="59"/>
        <v/>
      </c>
      <c r="BG108"/>
      <c r="BH108" s="190" t="str">
        <f ca="1">IF(ISNUMBER(OFFSET(BD108,-$F$21,0)),SUM(OFFSET($T$100,($F$16-$F$15+$F$21),0):$T108),"")</f>
        <v/>
      </c>
      <c r="BI108" s="190" t="str">
        <f t="shared" ca="1" si="21"/>
        <v/>
      </c>
      <c r="BJ108" s="190" t="str">
        <f t="shared" ca="1" si="60"/>
        <v/>
      </c>
      <c r="BK108" s="190"/>
      <c r="BL108" s="275" t="str">
        <f ca="1">IFERROR(IF(AND($B108&gt;=($F$17-$F$15),$B108&lt;$F$22+($F$17-$F$15)),SUM(OFFSET($T$100,($F$17-$F$15),0):$T108),""),"")</f>
        <v/>
      </c>
      <c r="BM108" s="275" t="str">
        <f t="shared" ca="1" si="22"/>
        <v/>
      </c>
      <c r="BN108" s="275" t="str">
        <f t="shared" ca="1" si="61"/>
        <v/>
      </c>
      <c r="BO108"/>
      <c r="BP108" s="275" t="str">
        <f ca="1">IF(ISNUMBER(OFFSET(BL108,-$F$21,0)),SUM(OFFSET($T$100,($F$17-$F$15+$F$21),0):$T108),"")</f>
        <v/>
      </c>
      <c r="BQ108" s="275" t="str">
        <f t="shared" ca="1" si="62"/>
        <v/>
      </c>
      <c r="BR108" s="275" t="str">
        <f t="shared" ca="1" si="63"/>
        <v/>
      </c>
      <c r="BS108" s="190"/>
      <c r="BT108"/>
      <c r="BU108" s="276" t="str">
        <f t="shared" si="64"/>
        <v>end</v>
      </c>
      <c r="BV108" s="277">
        <v>8</v>
      </c>
      <c r="BW108" s="278" t="str">
        <f t="shared" ref="BW108:BW120" si="69">IF(AND(BU108="end",BU107="end"), "", IF(BU108&lt;&gt;"",MIN(BU107:BU108),""))</f>
        <v/>
      </c>
      <c r="BX108" s="278" t="str">
        <f t="shared" si="68"/>
        <v/>
      </c>
      <c r="BY108" s="279" t="str">
        <f t="shared" si="65"/>
        <v/>
      </c>
      <c r="BZ108"/>
      <c r="CA108" s="284" t="str">
        <f t="shared" si="23"/>
        <v>-</v>
      </c>
      <c r="CB108" s="285" t="str">
        <f t="shared" si="24"/>
        <v>-</v>
      </c>
      <c r="CC108" s="285" t="str">
        <f t="shared" si="25"/>
        <v>8-9</v>
      </c>
      <c r="CD108" s="286" t="str">
        <f t="shared" si="26"/>
        <v/>
      </c>
      <c r="CE108" s="287" t="str">
        <f t="shared" si="27"/>
        <v>-</v>
      </c>
      <c r="CF108" s="285" t="str">
        <f t="shared" ca="1" si="28"/>
        <v>-</v>
      </c>
      <c r="CG108" s="285" t="str">
        <f t="shared" si="29"/>
        <v>8-9</v>
      </c>
      <c r="CH108" s="288" t="str">
        <f t="shared" ca="1" si="30"/>
        <v/>
      </c>
      <c r="CP108" s="99"/>
      <c r="CQ108" s="99"/>
      <c r="CR108" s="99"/>
      <c r="CS108" s="99"/>
      <c r="CT108" s="99"/>
      <c r="CU108" s="99"/>
      <c r="CV108" s="99"/>
      <c r="CW108" s="99"/>
      <c r="CX108" s="99"/>
      <c r="CY108" s="99"/>
      <c r="CZ108" s="99"/>
      <c r="DA108" s="99"/>
      <c r="DB108" s="99"/>
      <c r="DC108" s="99"/>
    </row>
    <row r="109" spans="2:107" ht="13.5" customHeight="1" x14ac:dyDescent="0.2">
      <c r="B109" s="262">
        <v>9</v>
      </c>
      <c r="C109" s="237" t="str">
        <f t="shared" si="31"/>
        <v/>
      </c>
      <c r="D109" s="237" t="str">
        <f t="shared" si="66"/>
        <v>-</v>
      </c>
      <c r="E109" s="263" t="str">
        <f t="shared" si="32"/>
        <v/>
      </c>
      <c r="F109" s="264" t="str">
        <f t="shared" si="33"/>
        <v/>
      </c>
      <c r="G109" s="264" t="str">
        <f t="shared" si="34"/>
        <v/>
      </c>
      <c r="H109" s="240" t="str">
        <f t="shared" si="35"/>
        <v/>
      </c>
      <c r="I109" s="265" t="str">
        <f t="shared" si="1"/>
        <v/>
      </c>
      <c r="J109" s="265" t="str">
        <f t="shared" si="2"/>
        <v/>
      </c>
      <c r="K109" s="240" t="str">
        <f t="shared" si="36"/>
        <v/>
      </c>
      <c r="L109" s="265" t="str">
        <f t="shared" si="3"/>
        <v/>
      </c>
      <c r="M109" s="265" t="str">
        <f t="shared" si="4"/>
        <v/>
      </c>
      <c r="N109" s="240" t="str">
        <f t="shared" si="5"/>
        <v>-</v>
      </c>
      <c r="O109" s="265" t="str">
        <f t="shared" si="37"/>
        <v>-</v>
      </c>
      <c r="P109" s="265" t="str">
        <f t="shared" si="38"/>
        <v>-</v>
      </c>
      <c r="Q109" s="266" t="str">
        <f t="shared" si="6"/>
        <v>-</v>
      </c>
      <c r="R109" s="267" t="str">
        <f t="shared" si="39"/>
        <v>-</v>
      </c>
      <c r="S109" s="268" t="str">
        <f t="shared" si="40"/>
        <v>-</v>
      </c>
      <c r="T109" s="269" t="str">
        <f t="shared" si="41"/>
        <v/>
      </c>
      <c r="U109" s="221">
        <f t="shared" si="7"/>
        <v>9</v>
      </c>
      <c r="V109" s="220" t="str">
        <f t="shared" si="42"/>
        <v>-</v>
      </c>
      <c r="W109" s="221" t="str">
        <f t="shared" si="43"/>
        <v>-</v>
      </c>
      <c r="X109" s="221" t="str">
        <f t="shared" si="8"/>
        <v>-</v>
      </c>
      <c r="Y109" s="221" t="str">
        <f t="shared" si="9"/>
        <v>-</v>
      </c>
      <c r="Z109" s="270">
        <f t="shared" si="44"/>
        <v>0.1</v>
      </c>
      <c r="AA109" s="271" t="str">
        <f t="shared" si="67"/>
        <v>-</v>
      </c>
      <c r="AB109" s="271" t="str">
        <f t="shared" si="10"/>
        <v>-</v>
      </c>
      <c r="AC109" s="224">
        <f t="shared" si="45"/>
        <v>9</v>
      </c>
      <c r="AD109" s="223" t="str">
        <f t="shared" si="11"/>
        <v>-</v>
      </c>
      <c r="AE109" s="224" t="str">
        <f t="shared" si="46"/>
        <v>-</v>
      </c>
      <c r="AF109" s="224" t="str">
        <f t="shared" si="12"/>
        <v>-</v>
      </c>
      <c r="AG109" s="224" t="str">
        <f t="shared" si="13"/>
        <v>-</v>
      </c>
      <c r="AH109" s="272">
        <f t="shared" si="47"/>
        <v>0.1</v>
      </c>
      <c r="AI109" s="271" t="str">
        <f t="shared" si="14"/>
        <v>-</v>
      </c>
      <c r="AJ109" s="271" t="str">
        <f t="shared" si="48"/>
        <v>-</v>
      </c>
      <c r="AK109" s="227">
        <f t="shared" si="49"/>
        <v>9</v>
      </c>
      <c r="AL109" s="226" t="str">
        <f t="shared" si="15"/>
        <v>-</v>
      </c>
      <c r="AM109" s="227" t="str">
        <f t="shared" si="50"/>
        <v>-</v>
      </c>
      <c r="AN109" s="227" t="str">
        <f t="shared" si="51"/>
        <v>-</v>
      </c>
      <c r="AO109" s="227" t="str">
        <f t="shared" si="16"/>
        <v>-</v>
      </c>
      <c r="AP109" s="273">
        <f t="shared" si="52"/>
        <v>0.1</v>
      </c>
      <c r="AQ109" s="271" t="str">
        <f t="shared" si="53"/>
        <v>-</v>
      </c>
      <c r="AR109" s="271" t="str">
        <f t="shared" si="54"/>
        <v>-</v>
      </c>
      <c r="AS109" s="274">
        <f t="shared" si="17"/>
        <v>0</v>
      </c>
      <c r="AT109" s="274">
        <f t="shared" si="18"/>
        <v>0</v>
      </c>
      <c r="AU109" s="274">
        <f t="shared" si="19"/>
        <v>0</v>
      </c>
      <c r="AV109" s="275">
        <f>IF($B109&lt;$F$22,SUM($T$100:$T109),"")</f>
        <v>0</v>
      </c>
      <c r="AW109" s="275" t="str">
        <f t="shared" si="55"/>
        <v>-</v>
      </c>
      <c r="AX109" s="275" t="str">
        <f t="shared" si="56"/>
        <v/>
      </c>
      <c r="AY109"/>
      <c r="AZ109" s="275" t="str">
        <f ca="1">IF(ISNUMBER(OFFSET(AV109,-$F$21,0)),SUM(OFFSET($T$100,$F$21,0):$T109),"")</f>
        <v/>
      </c>
      <c r="BA109" s="275" t="str">
        <f t="shared" ca="1" si="20"/>
        <v/>
      </c>
      <c r="BB109" s="275" t="str">
        <f t="shared" ca="1" si="57"/>
        <v/>
      </c>
      <c r="BC109" s="190"/>
      <c r="BD109" s="275" t="str">
        <f ca="1">IFERROR(IF(AND($B109&gt;=($F$16-$F$15),$B109&lt;$F$22+($F$16-$F$15)),SUM(OFFSET($T$100,($F$16-$F$15),0):$T109),""),"")</f>
        <v/>
      </c>
      <c r="BE109" s="275" t="str">
        <f t="shared" ca="1" si="58"/>
        <v/>
      </c>
      <c r="BF109" s="275" t="str">
        <f t="shared" ca="1" si="59"/>
        <v/>
      </c>
      <c r="BG109"/>
      <c r="BH109" s="190" t="str">
        <f ca="1">IF(ISNUMBER(OFFSET(BD109,-$F$21,0)),SUM(OFFSET($T$100,($F$16-$F$15+$F$21),0):$T109),"")</f>
        <v/>
      </c>
      <c r="BI109" s="190" t="str">
        <f t="shared" ca="1" si="21"/>
        <v/>
      </c>
      <c r="BJ109" s="190" t="str">
        <f t="shared" ca="1" si="60"/>
        <v/>
      </c>
      <c r="BK109" s="190"/>
      <c r="BL109" s="275" t="str">
        <f ca="1">IFERROR(IF(AND($B109&gt;=($F$17-$F$15),$B109&lt;$F$22+($F$17-$F$15)),SUM(OFFSET($T$100,($F$17-$F$15),0):$T109),""),"")</f>
        <v/>
      </c>
      <c r="BM109" s="275" t="str">
        <f t="shared" ca="1" si="22"/>
        <v/>
      </c>
      <c r="BN109" s="275" t="str">
        <f t="shared" ca="1" si="61"/>
        <v/>
      </c>
      <c r="BO109"/>
      <c r="BP109" s="275" t="str">
        <f ca="1">IF(ISNUMBER(OFFSET(BL109,-$F$21,0)),SUM(OFFSET($T$100,($F$17-$F$15+$F$21),0):$T109),"")</f>
        <v/>
      </c>
      <c r="BQ109" s="275" t="str">
        <f t="shared" ca="1" si="62"/>
        <v/>
      </c>
      <c r="BR109" s="275" t="str">
        <f t="shared" ca="1" si="63"/>
        <v/>
      </c>
      <c r="BS109" s="190"/>
      <c r="BT109"/>
      <c r="BU109" s="276" t="str">
        <f t="shared" si="64"/>
        <v>end</v>
      </c>
      <c r="BV109" s="277">
        <v>9</v>
      </c>
      <c r="BW109" s="278" t="str">
        <f t="shared" si="69"/>
        <v/>
      </c>
      <c r="BX109" s="278" t="str">
        <f t="shared" si="68"/>
        <v/>
      </c>
      <c r="BY109" s="279" t="str">
        <f t="shared" si="65"/>
        <v/>
      </c>
      <c r="BZ109"/>
      <c r="CA109" s="284" t="str">
        <f t="shared" si="23"/>
        <v>-</v>
      </c>
      <c r="CB109" s="285" t="str">
        <f t="shared" si="24"/>
        <v>-</v>
      </c>
      <c r="CC109" s="285" t="str">
        <f t="shared" si="25"/>
        <v>9-10</v>
      </c>
      <c r="CD109" s="286" t="str">
        <f t="shared" si="26"/>
        <v/>
      </c>
      <c r="CE109" s="287" t="str">
        <f t="shared" si="27"/>
        <v>-</v>
      </c>
      <c r="CF109" s="285" t="str">
        <f t="shared" ca="1" si="28"/>
        <v>-</v>
      </c>
      <c r="CG109" s="285" t="str">
        <f t="shared" si="29"/>
        <v>9-10</v>
      </c>
      <c r="CH109" s="288" t="str">
        <f t="shared" ca="1" si="30"/>
        <v/>
      </c>
      <c r="CP109" s="99"/>
      <c r="CQ109" s="99"/>
      <c r="CR109" s="99"/>
      <c r="CS109" s="99"/>
      <c r="CT109" s="99"/>
      <c r="CU109" s="99"/>
      <c r="CV109" s="99"/>
      <c r="CW109" s="99"/>
      <c r="CX109" s="99"/>
      <c r="CY109" s="99"/>
      <c r="CZ109" s="99"/>
      <c r="DA109" s="99"/>
      <c r="DB109" s="99"/>
      <c r="DC109" s="99"/>
    </row>
    <row r="110" spans="2:107" ht="13.5" customHeight="1" x14ac:dyDescent="0.2">
      <c r="B110" s="262">
        <v>10</v>
      </c>
      <c r="C110" s="237" t="str">
        <f t="shared" si="31"/>
        <v/>
      </c>
      <c r="D110" s="237" t="str">
        <f t="shared" si="66"/>
        <v>-</v>
      </c>
      <c r="E110" s="263" t="str">
        <f t="shared" si="32"/>
        <v/>
      </c>
      <c r="F110" s="264" t="str">
        <f t="shared" si="33"/>
        <v/>
      </c>
      <c r="G110" s="264" t="str">
        <f t="shared" si="34"/>
        <v/>
      </c>
      <c r="H110" s="240" t="str">
        <f t="shared" si="35"/>
        <v/>
      </c>
      <c r="I110" s="265" t="str">
        <f t="shared" si="1"/>
        <v/>
      </c>
      <c r="J110" s="265" t="str">
        <f t="shared" si="2"/>
        <v/>
      </c>
      <c r="K110" s="240" t="str">
        <f t="shared" si="36"/>
        <v/>
      </c>
      <c r="L110" s="265" t="str">
        <f t="shared" si="3"/>
        <v/>
      </c>
      <c r="M110" s="265" t="str">
        <f t="shared" si="4"/>
        <v/>
      </c>
      <c r="N110" s="240" t="str">
        <f t="shared" si="5"/>
        <v>-</v>
      </c>
      <c r="O110" s="265" t="str">
        <f t="shared" si="37"/>
        <v>-</v>
      </c>
      <c r="P110" s="265" t="str">
        <f t="shared" si="38"/>
        <v>-</v>
      </c>
      <c r="Q110" s="266" t="str">
        <f t="shared" si="6"/>
        <v>-</v>
      </c>
      <c r="R110" s="267" t="str">
        <f t="shared" si="39"/>
        <v>-</v>
      </c>
      <c r="S110" s="268" t="str">
        <f t="shared" si="40"/>
        <v>-</v>
      </c>
      <c r="T110" s="269" t="str">
        <f t="shared" si="41"/>
        <v/>
      </c>
      <c r="U110" s="221">
        <f t="shared" si="7"/>
        <v>10</v>
      </c>
      <c r="V110" s="220" t="str">
        <f t="shared" si="42"/>
        <v>-</v>
      </c>
      <c r="W110" s="221" t="str">
        <f t="shared" si="43"/>
        <v>-</v>
      </c>
      <c r="X110" s="221" t="str">
        <f t="shared" si="8"/>
        <v>-</v>
      </c>
      <c r="Y110" s="221" t="str">
        <f t="shared" si="9"/>
        <v>-</v>
      </c>
      <c r="Z110" s="270">
        <f t="shared" si="44"/>
        <v>0.1</v>
      </c>
      <c r="AA110" s="271" t="str">
        <f t="shared" si="67"/>
        <v>-</v>
      </c>
      <c r="AB110" s="271" t="str">
        <f t="shared" si="10"/>
        <v>-</v>
      </c>
      <c r="AC110" s="224">
        <f t="shared" si="45"/>
        <v>10</v>
      </c>
      <c r="AD110" s="223" t="str">
        <f t="shared" si="11"/>
        <v>-</v>
      </c>
      <c r="AE110" s="224" t="str">
        <f t="shared" si="46"/>
        <v>-</v>
      </c>
      <c r="AF110" s="224" t="str">
        <f t="shared" si="12"/>
        <v>-</v>
      </c>
      <c r="AG110" s="224" t="str">
        <f t="shared" si="13"/>
        <v>-</v>
      </c>
      <c r="AH110" s="272">
        <f t="shared" si="47"/>
        <v>0.1</v>
      </c>
      <c r="AI110" s="271" t="str">
        <f t="shared" si="14"/>
        <v>-</v>
      </c>
      <c r="AJ110" s="271" t="str">
        <f t="shared" si="48"/>
        <v>-</v>
      </c>
      <c r="AK110" s="227">
        <f t="shared" si="49"/>
        <v>10</v>
      </c>
      <c r="AL110" s="226" t="str">
        <f t="shared" si="15"/>
        <v>-</v>
      </c>
      <c r="AM110" s="227" t="str">
        <f t="shared" si="50"/>
        <v>-</v>
      </c>
      <c r="AN110" s="227" t="str">
        <f t="shared" si="51"/>
        <v>-</v>
      </c>
      <c r="AO110" s="227" t="str">
        <f t="shared" si="16"/>
        <v>-</v>
      </c>
      <c r="AP110" s="273">
        <f t="shared" si="52"/>
        <v>0.1</v>
      </c>
      <c r="AQ110" s="271" t="str">
        <f t="shared" si="53"/>
        <v>-</v>
      </c>
      <c r="AR110" s="271" t="str">
        <f t="shared" si="54"/>
        <v>-</v>
      </c>
      <c r="AS110" s="274">
        <f t="shared" si="17"/>
        <v>0</v>
      </c>
      <c r="AT110" s="274">
        <f t="shared" si="18"/>
        <v>0</v>
      </c>
      <c r="AU110" s="274">
        <f t="shared" si="19"/>
        <v>0</v>
      </c>
      <c r="AV110" s="275">
        <f>IF($B110&lt;$F$22,SUM($T$100:$T110),"")</f>
        <v>0</v>
      </c>
      <c r="AW110" s="275" t="str">
        <f t="shared" si="55"/>
        <v>-</v>
      </c>
      <c r="AX110" s="275" t="str">
        <f t="shared" si="56"/>
        <v/>
      </c>
      <c r="AY110"/>
      <c r="AZ110" s="275" t="str">
        <f ca="1">IF(ISNUMBER(OFFSET(AV110,-$F$21,0)),SUM(OFFSET($T$100,$F$21,0):$T110),"")</f>
        <v/>
      </c>
      <c r="BA110" s="275" t="str">
        <f t="shared" ca="1" si="20"/>
        <v/>
      </c>
      <c r="BB110" s="275" t="str">
        <f t="shared" ca="1" si="57"/>
        <v/>
      </c>
      <c r="BC110" s="190"/>
      <c r="BD110" s="275" t="str">
        <f ca="1">IFERROR(IF(AND($B110&gt;=($F$16-$F$15),$B110&lt;$F$22+($F$16-$F$15)),SUM(OFFSET($T$100,($F$16-$F$15),0):$T110),""),"")</f>
        <v/>
      </c>
      <c r="BE110" s="275" t="str">
        <f t="shared" ca="1" si="58"/>
        <v/>
      </c>
      <c r="BF110" s="275" t="str">
        <f t="shared" ca="1" si="59"/>
        <v/>
      </c>
      <c r="BG110"/>
      <c r="BH110" s="190" t="str">
        <f ca="1">IF(ISNUMBER(OFFSET(BD110,-$F$21,0)),SUM(OFFSET($T$100,($F$16-$F$15+$F$21),0):$T110),"")</f>
        <v/>
      </c>
      <c r="BI110" s="190" t="str">
        <f t="shared" ca="1" si="21"/>
        <v/>
      </c>
      <c r="BJ110" s="190" t="str">
        <f t="shared" ca="1" si="60"/>
        <v/>
      </c>
      <c r="BK110" s="190"/>
      <c r="BL110" s="275" t="str">
        <f ca="1">IFERROR(IF(AND($B110&gt;=($F$17-$F$15),$B110&lt;$F$22+($F$17-$F$15)),SUM(OFFSET($T$100,($F$17-$F$15),0):$T110),""),"")</f>
        <v/>
      </c>
      <c r="BM110" s="275" t="str">
        <f t="shared" ca="1" si="22"/>
        <v/>
      </c>
      <c r="BN110" s="275" t="str">
        <f t="shared" ca="1" si="61"/>
        <v/>
      </c>
      <c r="BO110"/>
      <c r="BP110" s="275" t="str">
        <f ca="1">IF(ISNUMBER(OFFSET(BL110,-$F$21,0)),SUM(OFFSET($T$100,($F$17-$F$15+$F$21),0):$T110),"")</f>
        <v/>
      </c>
      <c r="BQ110" s="275" t="str">
        <f t="shared" ca="1" si="62"/>
        <v/>
      </c>
      <c r="BR110" s="275" t="str">
        <f t="shared" ca="1" si="63"/>
        <v/>
      </c>
      <c r="BS110" s="190"/>
      <c r="BT110"/>
      <c r="BU110" s="276" t="str">
        <f t="shared" si="64"/>
        <v>end</v>
      </c>
      <c r="BV110" s="277">
        <v>10</v>
      </c>
      <c r="BW110" s="278" t="str">
        <f t="shared" si="69"/>
        <v/>
      </c>
      <c r="BX110" s="278" t="str">
        <f t="shared" si="68"/>
        <v/>
      </c>
      <c r="BY110" s="279" t="str">
        <f t="shared" si="65"/>
        <v/>
      </c>
      <c r="BZ110"/>
      <c r="CA110" s="284" t="str">
        <f t="shared" si="23"/>
        <v>-</v>
      </c>
      <c r="CB110" s="285" t="str">
        <f t="shared" si="24"/>
        <v>-</v>
      </c>
      <c r="CC110" s="285" t="str">
        <f t="shared" si="25"/>
        <v>10-11</v>
      </c>
      <c r="CD110" s="286" t="str">
        <f t="shared" si="26"/>
        <v/>
      </c>
      <c r="CE110" s="287" t="str">
        <f t="shared" si="27"/>
        <v>-</v>
      </c>
      <c r="CF110" s="285" t="str">
        <f t="shared" ca="1" si="28"/>
        <v>-</v>
      </c>
      <c r="CG110" s="285" t="str">
        <f t="shared" si="29"/>
        <v>10-11</v>
      </c>
      <c r="CH110" s="288" t="str">
        <f t="shared" ca="1" si="30"/>
        <v/>
      </c>
      <c r="CP110" s="99"/>
      <c r="CQ110" s="99"/>
      <c r="CR110" s="99"/>
      <c r="CS110" s="99"/>
      <c r="CT110" s="99"/>
      <c r="CU110" s="99"/>
      <c r="CV110" s="99"/>
      <c r="CW110" s="99"/>
      <c r="CX110" s="99"/>
      <c r="CY110" s="99"/>
      <c r="CZ110" s="99"/>
      <c r="DA110" s="99"/>
      <c r="DB110" s="99"/>
      <c r="DC110" s="99"/>
    </row>
    <row r="111" spans="2:107" ht="13.5" customHeight="1" x14ac:dyDescent="0.2">
      <c r="B111" s="262">
        <v>11</v>
      </c>
      <c r="C111" s="237" t="str">
        <f t="shared" si="31"/>
        <v/>
      </c>
      <c r="D111" s="237" t="str">
        <f t="shared" si="66"/>
        <v>-</v>
      </c>
      <c r="E111" s="263" t="str">
        <f t="shared" si="32"/>
        <v/>
      </c>
      <c r="F111" s="264" t="str">
        <f t="shared" si="33"/>
        <v/>
      </c>
      <c r="G111" s="264" t="str">
        <f t="shared" si="34"/>
        <v/>
      </c>
      <c r="H111" s="240" t="str">
        <f t="shared" si="35"/>
        <v/>
      </c>
      <c r="I111" s="265" t="str">
        <f t="shared" si="1"/>
        <v/>
      </c>
      <c r="J111" s="265" t="str">
        <f t="shared" si="2"/>
        <v/>
      </c>
      <c r="K111" s="240" t="str">
        <f t="shared" si="36"/>
        <v/>
      </c>
      <c r="L111" s="265" t="str">
        <f t="shared" si="3"/>
        <v/>
      </c>
      <c r="M111" s="265" t="str">
        <f t="shared" si="4"/>
        <v/>
      </c>
      <c r="N111" s="240" t="str">
        <f t="shared" si="5"/>
        <v>-</v>
      </c>
      <c r="O111" s="265" t="str">
        <f t="shared" si="37"/>
        <v>-</v>
      </c>
      <c r="P111" s="265" t="str">
        <f t="shared" si="38"/>
        <v>-</v>
      </c>
      <c r="Q111" s="266" t="str">
        <f t="shared" si="6"/>
        <v>-</v>
      </c>
      <c r="R111" s="267" t="str">
        <f t="shared" si="39"/>
        <v>-</v>
      </c>
      <c r="S111" s="268" t="str">
        <f t="shared" si="40"/>
        <v>-</v>
      </c>
      <c r="T111" s="269" t="str">
        <f t="shared" si="41"/>
        <v/>
      </c>
      <c r="U111" s="221">
        <f t="shared" si="7"/>
        <v>11</v>
      </c>
      <c r="V111" s="220" t="str">
        <f t="shared" si="42"/>
        <v>-</v>
      </c>
      <c r="W111" s="221" t="str">
        <f t="shared" si="43"/>
        <v>-</v>
      </c>
      <c r="X111" s="221" t="str">
        <f t="shared" si="8"/>
        <v>-</v>
      </c>
      <c r="Y111" s="221" t="str">
        <f t="shared" si="9"/>
        <v>-</v>
      </c>
      <c r="Z111" s="270">
        <f t="shared" si="44"/>
        <v>0.1</v>
      </c>
      <c r="AA111" s="271" t="str">
        <f t="shared" si="67"/>
        <v>-</v>
      </c>
      <c r="AB111" s="271" t="str">
        <f t="shared" si="10"/>
        <v>-</v>
      </c>
      <c r="AC111" s="224">
        <f t="shared" si="45"/>
        <v>11</v>
      </c>
      <c r="AD111" s="223" t="str">
        <f t="shared" si="11"/>
        <v>-</v>
      </c>
      <c r="AE111" s="224" t="str">
        <f t="shared" si="46"/>
        <v>-</v>
      </c>
      <c r="AF111" s="224" t="str">
        <f t="shared" si="12"/>
        <v>-</v>
      </c>
      <c r="AG111" s="224" t="str">
        <f t="shared" si="13"/>
        <v>-</v>
      </c>
      <c r="AH111" s="272">
        <f t="shared" si="47"/>
        <v>0.1</v>
      </c>
      <c r="AI111" s="271" t="str">
        <f t="shared" si="14"/>
        <v>-</v>
      </c>
      <c r="AJ111" s="271" t="str">
        <f t="shared" si="48"/>
        <v>-</v>
      </c>
      <c r="AK111" s="227">
        <f t="shared" si="49"/>
        <v>11</v>
      </c>
      <c r="AL111" s="226" t="str">
        <f t="shared" si="15"/>
        <v>-</v>
      </c>
      <c r="AM111" s="227" t="str">
        <f t="shared" si="50"/>
        <v>-</v>
      </c>
      <c r="AN111" s="227" t="str">
        <f t="shared" si="51"/>
        <v>-</v>
      </c>
      <c r="AO111" s="227" t="str">
        <f t="shared" si="16"/>
        <v>-</v>
      </c>
      <c r="AP111" s="273">
        <f t="shared" si="52"/>
        <v>0.1</v>
      </c>
      <c r="AQ111" s="271" t="str">
        <f t="shared" si="53"/>
        <v>-</v>
      </c>
      <c r="AR111" s="271" t="str">
        <f t="shared" si="54"/>
        <v>-</v>
      </c>
      <c r="AS111" s="274">
        <f t="shared" si="17"/>
        <v>0</v>
      </c>
      <c r="AT111" s="274">
        <f t="shared" si="18"/>
        <v>0</v>
      </c>
      <c r="AU111" s="274">
        <f t="shared" si="19"/>
        <v>0</v>
      </c>
      <c r="AV111" s="275">
        <f>IF($B111&lt;$F$22,SUM($T$100:$T111),"")</f>
        <v>0</v>
      </c>
      <c r="AW111" s="275" t="str">
        <f t="shared" si="55"/>
        <v>-</v>
      </c>
      <c r="AX111" s="275" t="str">
        <f t="shared" si="56"/>
        <v/>
      </c>
      <c r="AY111"/>
      <c r="AZ111" s="275" t="str">
        <f ca="1">IF(ISNUMBER(OFFSET(AV111,-$F$21,0)),SUM(OFFSET($T$100,$F$21,0):$T111),"")</f>
        <v/>
      </c>
      <c r="BA111" s="275" t="str">
        <f t="shared" ca="1" si="20"/>
        <v/>
      </c>
      <c r="BB111" s="275" t="str">
        <f t="shared" ca="1" si="57"/>
        <v/>
      </c>
      <c r="BC111" s="190"/>
      <c r="BD111" s="275" t="str">
        <f ca="1">IFERROR(IF(AND($B111&gt;=($F$16-$F$15),$B111&lt;$F$22+($F$16-$F$15)),SUM(OFFSET($T$100,($F$16-$F$15),0):$T111),""),"")</f>
        <v/>
      </c>
      <c r="BE111" s="275" t="str">
        <f t="shared" ca="1" si="58"/>
        <v/>
      </c>
      <c r="BF111" s="275" t="str">
        <f t="shared" ca="1" si="59"/>
        <v/>
      </c>
      <c r="BG111"/>
      <c r="BH111" s="190" t="str">
        <f ca="1">IF(ISNUMBER(OFFSET(BD111,-$F$21,0)),SUM(OFFSET($T$100,($F$16-$F$15+$F$21),0):$T111),"")</f>
        <v/>
      </c>
      <c r="BI111" s="190" t="str">
        <f t="shared" ca="1" si="21"/>
        <v/>
      </c>
      <c r="BJ111" s="190" t="str">
        <f t="shared" ca="1" si="60"/>
        <v/>
      </c>
      <c r="BK111" s="190"/>
      <c r="BL111" s="275" t="str">
        <f ca="1">IFERROR(IF(AND($B111&gt;=($F$17-$F$15),$B111&lt;$F$22+($F$17-$F$15)),SUM(OFFSET($T$100,($F$17-$F$15),0):$T111),""),"")</f>
        <v/>
      </c>
      <c r="BM111" s="275" t="str">
        <f t="shared" ca="1" si="22"/>
        <v/>
      </c>
      <c r="BN111" s="275" t="str">
        <f t="shared" ca="1" si="61"/>
        <v/>
      </c>
      <c r="BO111"/>
      <c r="BP111" s="275" t="str">
        <f ca="1">IF(ISNUMBER(OFFSET(BL111,-$F$21,0)),SUM(OFFSET($T$100,($F$17-$F$15+$F$21),0):$T111),"")</f>
        <v/>
      </c>
      <c r="BQ111" s="275" t="str">
        <f t="shared" ca="1" si="62"/>
        <v/>
      </c>
      <c r="BR111" s="275" t="str">
        <f t="shared" ca="1" si="63"/>
        <v/>
      </c>
      <c r="BS111" s="190"/>
      <c r="BT111"/>
      <c r="BU111" s="276" t="str">
        <f t="shared" si="64"/>
        <v>end</v>
      </c>
      <c r="BV111" s="277">
        <v>11</v>
      </c>
      <c r="BW111" s="278" t="str">
        <f t="shared" si="69"/>
        <v/>
      </c>
      <c r="BX111" s="278" t="str">
        <f t="shared" si="68"/>
        <v/>
      </c>
      <c r="BY111" s="279" t="str">
        <f t="shared" si="65"/>
        <v/>
      </c>
      <c r="BZ111"/>
      <c r="CA111" s="284" t="str">
        <f t="shared" si="23"/>
        <v>-</v>
      </c>
      <c r="CB111" s="285" t="str">
        <f t="shared" si="24"/>
        <v>-</v>
      </c>
      <c r="CC111" s="285" t="str">
        <f t="shared" si="25"/>
        <v>11-12</v>
      </c>
      <c r="CD111" s="286" t="str">
        <f t="shared" si="26"/>
        <v/>
      </c>
      <c r="CE111" s="287" t="str">
        <f t="shared" si="27"/>
        <v>-</v>
      </c>
      <c r="CF111" s="285" t="str">
        <f t="shared" ca="1" si="28"/>
        <v>-</v>
      </c>
      <c r="CG111" s="285" t="str">
        <f t="shared" si="29"/>
        <v>11-12</v>
      </c>
      <c r="CH111" s="288" t="str">
        <f t="shared" ca="1" si="30"/>
        <v/>
      </c>
      <c r="CP111" s="99"/>
      <c r="CQ111" s="99"/>
      <c r="CR111" s="99"/>
      <c r="CS111" s="99"/>
      <c r="CT111" s="99"/>
      <c r="CU111" s="99"/>
      <c r="CV111" s="99"/>
      <c r="CW111" s="99"/>
      <c r="CX111" s="99"/>
      <c r="CY111" s="99"/>
      <c r="CZ111" s="99"/>
      <c r="DA111" s="99"/>
      <c r="DB111" s="99"/>
      <c r="DC111" s="99"/>
    </row>
    <row r="112" spans="2:107" ht="13.5" customHeight="1" x14ac:dyDescent="0.2">
      <c r="B112" s="262">
        <v>12</v>
      </c>
      <c r="C112" s="237" t="str">
        <f t="shared" si="31"/>
        <v/>
      </c>
      <c r="D112" s="237" t="str">
        <f t="shared" si="66"/>
        <v>-</v>
      </c>
      <c r="E112" s="263" t="str">
        <f t="shared" si="32"/>
        <v/>
      </c>
      <c r="F112" s="264" t="str">
        <f t="shared" si="33"/>
        <v/>
      </c>
      <c r="G112" s="264" t="str">
        <f t="shared" si="34"/>
        <v/>
      </c>
      <c r="H112" s="240" t="str">
        <f t="shared" si="35"/>
        <v/>
      </c>
      <c r="I112" s="265" t="str">
        <f t="shared" si="1"/>
        <v/>
      </c>
      <c r="J112" s="265" t="str">
        <f t="shared" si="2"/>
        <v/>
      </c>
      <c r="K112" s="240" t="str">
        <f t="shared" si="36"/>
        <v/>
      </c>
      <c r="L112" s="265" t="str">
        <f t="shared" si="3"/>
        <v/>
      </c>
      <c r="M112" s="265" t="str">
        <f t="shared" si="4"/>
        <v/>
      </c>
      <c r="N112" s="240" t="str">
        <f t="shared" si="5"/>
        <v>-</v>
      </c>
      <c r="O112" s="265" t="str">
        <f t="shared" si="37"/>
        <v>-</v>
      </c>
      <c r="P112" s="265" t="str">
        <f t="shared" si="38"/>
        <v>-</v>
      </c>
      <c r="Q112" s="266" t="str">
        <f t="shared" si="6"/>
        <v>-</v>
      </c>
      <c r="R112" s="267" t="str">
        <f t="shared" si="39"/>
        <v>-</v>
      </c>
      <c r="S112" s="268" t="str">
        <f t="shared" si="40"/>
        <v>-</v>
      </c>
      <c r="T112" s="269" t="str">
        <f t="shared" si="41"/>
        <v/>
      </c>
      <c r="U112" s="221">
        <f t="shared" si="7"/>
        <v>12</v>
      </c>
      <c r="V112" s="220" t="str">
        <f t="shared" si="42"/>
        <v>-</v>
      </c>
      <c r="W112" s="221" t="str">
        <f t="shared" si="43"/>
        <v>-</v>
      </c>
      <c r="X112" s="221" t="str">
        <f t="shared" si="8"/>
        <v>-</v>
      </c>
      <c r="Y112" s="221" t="str">
        <f t="shared" si="9"/>
        <v>-</v>
      </c>
      <c r="Z112" s="270">
        <f t="shared" si="44"/>
        <v>0.1</v>
      </c>
      <c r="AA112" s="271" t="str">
        <f t="shared" si="67"/>
        <v>-</v>
      </c>
      <c r="AB112" s="271" t="str">
        <f t="shared" si="10"/>
        <v>-</v>
      </c>
      <c r="AC112" s="224">
        <f t="shared" si="45"/>
        <v>12</v>
      </c>
      <c r="AD112" s="223" t="str">
        <f t="shared" si="11"/>
        <v>-</v>
      </c>
      <c r="AE112" s="224" t="str">
        <f t="shared" si="46"/>
        <v>-</v>
      </c>
      <c r="AF112" s="224" t="str">
        <f t="shared" si="12"/>
        <v>-</v>
      </c>
      <c r="AG112" s="224" t="str">
        <f t="shared" si="13"/>
        <v>-</v>
      </c>
      <c r="AH112" s="272">
        <f t="shared" si="47"/>
        <v>0.1</v>
      </c>
      <c r="AI112" s="271" t="str">
        <f t="shared" si="14"/>
        <v>-</v>
      </c>
      <c r="AJ112" s="271" t="str">
        <f t="shared" si="48"/>
        <v>-</v>
      </c>
      <c r="AK112" s="227">
        <f t="shared" si="49"/>
        <v>12</v>
      </c>
      <c r="AL112" s="226" t="str">
        <f t="shared" si="15"/>
        <v>-</v>
      </c>
      <c r="AM112" s="227" t="str">
        <f t="shared" si="50"/>
        <v>-</v>
      </c>
      <c r="AN112" s="227" t="str">
        <f t="shared" si="51"/>
        <v>-</v>
      </c>
      <c r="AO112" s="227" t="str">
        <f t="shared" si="16"/>
        <v>-</v>
      </c>
      <c r="AP112" s="273">
        <f t="shared" si="52"/>
        <v>0.1</v>
      </c>
      <c r="AQ112" s="271" t="str">
        <f t="shared" si="53"/>
        <v>-</v>
      </c>
      <c r="AR112" s="271" t="str">
        <f t="shared" si="54"/>
        <v>-</v>
      </c>
      <c r="AS112" s="274">
        <f t="shared" si="17"/>
        <v>0</v>
      </c>
      <c r="AT112" s="274">
        <f t="shared" si="18"/>
        <v>0</v>
      </c>
      <c r="AU112" s="274">
        <f t="shared" si="19"/>
        <v>0</v>
      </c>
      <c r="AV112" s="275">
        <f>IF($B112&lt;$F$22,SUM($T$100:$T112),"")</f>
        <v>0</v>
      </c>
      <c r="AW112" s="275" t="str">
        <f t="shared" si="55"/>
        <v>-</v>
      </c>
      <c r="AX112" s="275" t="str">
        <f t="shared" si="56"/>
        <v/>
      </c>
      <c r="AY112"/>
      <c r="AZ112" s="275" t="str">
        <f ca="1">IF(ISNUMBER(OFFSET(AV112,-$F$21,0)),SUM(OFFSET($T$100,$F$21,0):$T112),"")</f>
        <v/>
      </c>
      <c r="BA112" s="275" t="str">
        <f t="shared" ca="1" si="20"/>
        <v/>
      </c>
      <c r="BB112" s="275" t="str">
        <f t="shared" ca="1" si="57"/>
        <v/>
      </c>
      <c r="BC112" s="190"/>
      <c r="BD112" s="275" t="str">
        <f ca="1">IFERROR(IF(AND($B112&gt;=($F$16-$F$15),$B112&lt;$F$22+($F$16-$F$15)),SUM(OFFSET($T$100,($F$16-$F$15),0):$T112),""),"")</f>
        <v/>
      </c>
      <c r="BE112" s="275" t="str">
        <f t="shared" ca="1" si="58"/>
        <v/>
      </c>
      <c r="BF112" s="275" t="str">
        <f t="shared" ca="1" si="59"/>
        <v/>
      </c>
      <c r="BG112"/>
      <c r="BH112" s="190" t="str">
        <f ca="1">IF(ISNUMBER(OFFSET(BD112,-$F$21,0)),SUM(OFFSET($T$100,($F$16-$F$15+$F$21),0):$T112),"")</f>
        <v/>
      </c>
      <c r="BI112" s="190" t="str">
        <f t="shared" ca="1" si="21"/>
        <v/>
      </c>
      <c r="BJ112" s="190" t="str">
        <f t="shared" ca="1" si="60"/>
        <v/>
      </c>
      <c r="BK112" s="190"/>
      <c r="BL112" s="275" t="str">
        <f ca="1">IFERROR(IF(AND($B112&gt;=($F$17-$F$15),$B112&lt;$F$22+($F$17-$F$15)),SUM(OFFSET($T$100,($F$17-$F$15),0):$T112),""),"")</f>
        <v/>
      </c>
      <c r="BM112" s="275" t="str">
        <f t="shared" ca="1" si="22"/>
        <v/>
      </c>
      <c r="BN112" s="275" t="str">
        <f t="shared" ca="1" si="61"/>
        <v/>
      </c>
      <c r="BO112"/>
      <c r="BP112" s="275" t="str">
        <f ca="1">IF(ISNUMBER(OFFSET(BL112,-$F$21,0)),SUM(OFFSET($T$100,($F$17-$F$15+$F$21),0):$T112),"")</f>
        <v/>
      </c>
      <c r="BQ112" s="275" t="str">
        <f t="shared" ca="1" si="62"/>
        <v/>
      </c>
      <c r="BR112" s="275" t="str">
        <f t="shared" ca="1" si="63"/>
        <v/>
      </c>
      <c r="BS112" s="190"/>
      <c r="BT112"/>
      <c r="BU112" s="276" t="str">
        <f t="shared" si="64"/>
        <v>end</v>
      </c>
      <c r="BV112" s="277">
        <v>12</v>
      </c>
      <c r="BW112" s="278" t="str">
        <f t="shared" si="69"/>
        <v/>
      </c>
      <c r="BX112" s="278" t="str">
        <f t="shared" si="68"/>
        <v/>
      </c>
      <c r="BY112" s="279" t="str">
        <f t="shared" si="65"/>
        <v/>
      </c>
      <c r="BZ112"/>
      <c r="CA112" s="284" t="str">
        <f t="shared" si="23"/>
        <v>-</v>
      </c>
      <c r="CB112" s="285" t="str">
        <f t="shared" si="24"/>
        <v>-</v>
      </c>
      <c r="CC112" s="285" t="str">
        <f t="shared" si="25"/>
        <v>12-13</v>
      </c>
      <c r="CD112" s="286" t="str">
        <f t="shared" si="26"/>
        <v/>
      </c>
      <c r="CE112" s="287" t="str">
        <f t="shared" si="27"/>
        <v>-</v>
      </c>
      <c r="CF112" s="285" t="str">
        <f t="shared" ca="1" si="28"/>
        <v>-</v>
      </c>
      <c r="CG112" s="285" t="str">
        <f t="shared" si="29"/>
        <v>12-13</v>
      </c>
      <c r="CH112" s="288" t="str">
        <f t="shared" ca="1" si="30"/>
        <v/>
      </c>
      <c r="CP112" s="99"/>
      <c r="CQ112" s="99"/>
      <c r="CR112" s="99"/>
      <c r="CS112" s="99"/>
      <c r="CT112" s="99"/>
      <c r="CU112" s="99"/>
      <c r="CV112" s="99"/>
      <c r="CW112" s="99"/>
      <c r="CX112" s="99"/>
      <c r="CY112" s="99"/>
      <c r="CZ112" s="99"/>
      <c r="DA112" s="99"/>
      <c r="DB112" s="99"/>
      <c r="DC112" s="99"/>
    </row>
    <row r="113" spans="2:107" ht="13.5" customHeight="1" x14ac:dyDescent="0.2">
      <c r="B113" s="262">
        <v>13</v>
      </c>
      <c r="C113" s="237" t="str">
        <f t="shared" si="31"/>
        <v/>
      </c>
      <c r="D113" s="237" t="str">
        <f t="shared" si="66"/>
        <v>-</v>
      </c>
      <c r="E113" s="263" t="str">
        <f t="shared" si="32"/>
        <v/>
      </c>
      <c r="F113" s="289" t="str">
        <f t="shared" si="33"/>
        <v/>
      </c>
      <c r="G113" s="264" t="str">
        <f t="shared" si="34"/>
        <v/>
      </c>
      <c r="H113" s="240" t="str">
        <f>IF(E113&lt;&gt;"",IF($B113&lt;$F$21,"",IF(ISNUMBER(F113),IF(ISNUMBER(I113),(E113*30*50*ffp),""),(E113*30*50*ffp))),"")</f>
        <v/>
      </c>
      <c r="I113" s="265" t="str">
        <f t="shared" si="1"/>
        <v/>
      </c>
      <c r="J113" s="265" t="str">
        <f t="shared" si="2"/>
        <v/>
      </c>
      <c r="K113" s="240" t="str">
        <f t="shared" si="36"/>
        <v/>
      </c>
      <c r="L113" s="265" t="str">
        <f t="shared" si="3"/>
        <v/>
      </c>
      <c r="M113" s="265" t="str">
        <f t="shared" si="4"/>
        <v/>
      </c>
      <c r="N113" s="240" t="str">
        <f t="shared" si="5"/>
        <v>-</v>
      </c>
      <c r="O113" s="265" t="str">
        <f t="shared" si="37"/>
        <v>-</v>
      </c>
      <c r="P113" s="265" t="str">
        <f t="shared" si="38"/>
        <v>-</v>
      </c>
      <c r="Q113" s="266" t="str">
        <f t="shared" si="6"/>
        <v>-</v>
      </c>
      <c r="R113" s="267" t="str">
        <f t="shared" si="39"/>
        <v>-</v>
      </c>
      <c r="S113" s="268" t="str">
        <f t="shared" si="40"/>
        <v>-</v>
      </c>
      <c r="T113" s="269" t="str">
        <f t="shared" si="41"/>
        <v/>
      </c>
      <c r="U113" s="221">
        <f t="shared" si="7"/>
        <v>13</v>
      </c>
      <c r="V113" s="220" t="str">
        <f t="shared" si="42"/>
        <v>-</v>
      </c>
      <c r="W113" s="221" t="str">
        <f t="shared" si="43"/>
        <v>-</v>
      </c>
      <c r="X113" s="221" t="str">
        <f t="shared" si="8"/>
        <v>-</v>
      </c>
      <c r="Y113" s="221" t="str">
        <f t="shared" si="9"/>
        <v>-</v>
      </c>
      <c r="Z113" s="270">
        <f t="shared" si="44"/>
        <v>0.1</v>
      </c>
      <c r="AA113" s="271" t="str">
        <f t="shared" si="67"/>
        <v>-</v>
      </c>
      <c r="AB113" s="271" t="str">
        <f t="shared" si="10"/>
        <v>-</v>
      </c>
      <c r="AC113" s="224">
        <f t="shared" si="45"/>
        <v>13</v>
      </c>
      <c r="AD113" s="223" t="str">
        <f t="shared" si="11"/>
        <v>-</v>
      </c>
      <c r="AE113" s="224" t="str">
        <f t="shared" si="46"/>
        <v>-</v>
      </c>
      <c r="AF113" s="224" t="str">
        <f t="shared" si="12"/>
        <v>-</v>
      </c>
      <c r="AG113" s="224" t="str">
        <f t="shared" si="13"/>
        <v>-</v>
      </c>
      <c r="AH113" s="272">
        <f t="shared" si="47"/>
        <v>0.1</v>
      </c>
      <c r="AI113" s="271" t="str">
        <f t="shared" si="14"/>
        <v>-</v>
      </c>
      <c r="AJ113" s="271" t="str">
        <f>IFERROR(IF(AD113=1,D113*EXP(-(0.04*AF113+0.1*AG113)),IF(AD113=2,D113*EXP(-(0.04*($F$21+AF113)+0.1*(($F$16-$F$15)-$F$21+AG113))),D113*EXP(-(0.04*($F$21*2+AF113)+0.1*((($F$16-$F$15)-$F$21)*2-AG113))))),"-")</f>
        <v>-</v>
      </c>
      <c r="AK113" s="227">
        <f t="shared" si="49"/>
        <v>13</v>
      </c>
      <c r="AL113" s="226" t="str">
        <f t="shared" si="15"/>
        <v>-</v>
      </c>
      <c r="AM113" s="227" t="str">
        <f t="shared" si="50"/>
        <v>-</v>
      </c>
      <c r="AN113" s="227" t="str">
        <f t="shared" si="51"/>
        <v>-</v>
      </c>
      <c r="AO113" s="227" t="str">
        <f t="shared" si="16"/>
        <v>-</v>
      </c>
      <c r="AP113" s="273">
        <f t="shared" si="52"/>
        <v>0.1</v>
      </c>
      <c r="AQ113" s="271" t="str">
        <f t="shared" si="53"/>
        <v>-</v>
      </c>
      <c r="AR113" s="271" t="str">
        <f t="shared" si="54"/>
        <v>-</v>
      </c>
      <c r="AS113" s="274">
        <f t="shared" si="17"/>
        <v>0</v>
      </c>
      <c r="AT113" s="274">
        <f t="shared" si="18"/>
        <v>0</v>
      </c>
      <c r="AU113" s="274">
        <f t="shared" si="19"/>
        <v>0</v>
      </c>
      <c r="AV113" s="275">
        <f>IF($B113&lt;$F$22,SUM($T$100:$T113),"")</f>
        <v>0</v>
      </c>
      <c r="AW113" s="275" t="str">
        <f t="shared" si="55"/>
        <v>-</v>
      </c>
      <c r="AX113" s="275" t="str">
        <f t="shared" si="56"/>
        <v/>
      </c>
      <c r="AY113"/>
      <c r="AZ113" s="275" t="str">
        <f ca="1">IF(ISNUMBER(OFFSET(AV113,-$F$21,0)),SUM(OFFSET($T$100,$F$21,0):$T113),"")</f>
        <v/>
      </c>
      <c r="BA113" s="275" t="str">
        <f t="shared" ca="1" si="20"/>
        <v/>
      </c>
      <c r="BB113" s="275" t="str">
        <f t="shared" ca="1" si="57"/>
        <v/>
      </c>
      <c r="BC113" s="190"/>
      <c r="BD113" s="275" t="str">
        <f ca="1">IFERROR(IF(AND($B113&gt;=($F$16-$F$15),$B113&lt;$F$22+($F$16-$F$15)),SUM(OFFSET($T$100,($F$16-$F$15),0):$T113),""),"")</f>
        <v/>
      </c>
      <c r="BE113" s="275" t="str">
        <f t="shared" ca="1" si="58"/>
        <v/>
      </c>
      <c r="BF113" s="275" t="str">
        <f t="shared" ca="1" si="59"/>
        <v/>
      </c>
      <c r="BG113"/>
      <c r="BH113" s="190" t="str">
        <f ca="1">IF(ISNUMBER(OFFSET(BD113,-$F$21,0)),SUM(OFFSET($T$100,($F$16-$F$15+$F$21),0):$T113),"")</f>
        <v/>
      </c>
      <c r="BI113" s="190" t="str">
        <f t="shared" ca="1" si="21"/>
        <v/>
      </c>
      <c r="BJ113" s="190" t="str">
        <f t="shared" ca="1" si="60"/>
        <v/>
      </c>
      <c r="BK113" s="190"/>
      <c r="BL113" s="275" t="str">
        <f ca="1">IFERROR(IF(AND($B113&gt;=($F$17-$F$15),$B113&lt;$F$22+($F$17-$F$15)),SUM(OFFSET($T$100,($F$17-$F$15),0):$T113),""),"")</f>
        <v/>
      </c>
      <c r="BM113" s="275" t="str">
        <f t="shared" ca="1" si="22"/>
        <v/>
      </c>
      <c r="BN113" s="275" t="str">
        <f t="shared" ca="1" si="61"/>
        <v/>
      </c>
      <c r="BO113"/>
      <c r="BP113" s="275" t="str">
        <f ca="1">IF(ISNUMBER(OFFSET(BL113,-$F$21,0)),SUM(OFFSET($T$100,($F$17-$F$15+$F$21),0):$T113),"")</f>
        <v/>
      </c>
      <c r="BQ113" s="275" t="str">
        <f t="shared" ca="1" si="62"/>
        <v/>
      </c>
      <c r="BR113" s="275" t="str">
        <f t="shared" ca="1" si="63"/>
        <v/>
      </c>
      <c r="BS113" s="190"/>
      <c r="BT113"/>
      <c r="BU113" s="276" t="str">
        <f t="shared" si="64"/>
        <v>end</v>
      </c>
      <c r="BV113" s="277">
        <v>13</v>
      </c>
      <c r="BW113" s="278" t="str">
        <f t="shared" si="69"/>
        <v/>
      </c>
      <c r="BX113" s="278" t="str">
        <f t="shared" si="68"/>
        <v/>
      </c>
      <c r="BY113" s="279" t="str">
        <f t="shared" si="65"/>
        <v/>
      </c>
      <c r="BZ113"/>
      <c r="CA113" s="284" t="str">
        <f t="shared" si="23"/>
        <v>-</v>
      </c>
      <c r="CB113" s="285" t="str">
        <f t="shared" si="24"/>
        <v>-</v>
      </c>
      <c r="CC113" s="285" t="str">
        <f t="shared" si="25"/>
        <v>13-14</v>
      </c>
      <c r="CD113" s="286" t="str">
        <f t="shared" si="26"/>
        <v/>
      </c>
      <c r="CE113" s="287" t="str">
        <f t="shared" si="27"/>
        <v>-</v>
      </c>
      <c r="CF113" s="285" t="str">
        <f t="shared" ca="1" si="28"/>
        <v>-</v>
      </c>
      <c r="CG113" s="285" t="str">
        <f t="shared" si="29"/>
        <v>13-14</v>
      </c>
      <c r="CH113" s="288" t="str">
        <f t="shared" ca="1" si="30"/>
        <v/>
      </c>
      <c r="CP113" s="99"/>
      <c r="CQ113" s="99"/>
      <c r="CR113" s="99"/>
      <c r="CS113" s="99"/>
      <c r="CT113" s="99"/>
      <c r="CU113" s="99"/>
      <c r="CV113" s="99"/>
      <c r="CW113" s="99"/>
      <c r="CX113" s="99"/>
      <c r="CY113" s="99"/>
      <c r="CZ113" s="99"/>
      <c r="DA113" s="99"/>
      <c r="DB113" s="99"/>
      <c r="DC113" s="99"/>
    </row>
    <row r="114" spans="2:107" ht="13.5" customHeight="1" x14ac:dyDescent="0.2">
      <c r="B114" s="262">
        <v>14</v>
      </c>
      <c r="C114" s="236" t="str">
        <f t="shared" si="31"/>
        <v/>
      </c>
      <c r="D114" s="237" t="str">
        <f t="shared" si="66"/>
        <v>-</v>
      </c>
      <c r="E114" s="290" t="str">
        <f t="shared" si="32"/>
        <v/>
      </c>
      <c r="F114" s="264" t="str">
        <f t="shared" si="33"/>
        <v/>
      </c>
      <c r="G114" s="291" t="str">
        <f t="shared" si="34"/>
        <v/>
      </c>
      <c r="H114" s="240" t="str">
        <f>IF(E114&lt;&gt;"",IF($B114&lt;$F$21,"",IF(ISNUMBER(F114),IF(ISNUMBER(I114),(E114*30*50*ffp),""),(E114*30*50*ffp))),"")</f>
        <v/>
      </c>
      <c r="I114" s="265" t="str">
        <f t="shared" si="1"/>
        <v/>
      </c>
      <c r="J114" s="265" t="str">
        <f t="shared" si="2"/>
        <v/>
      </c>
      <c r="K114" s="240" t="str">
        <f t="shared" si="36"/>
        <v/>
      </c>
      <c r="L114" s="265" t="str">
        <f t="shared" si="3"/>
        <v/>
      </c>
      <c r="M114" s="265" t="str">
        <f t="shared" si="4"/>
        <v/>
      </c>
      <c r="N114" s="240" t="str">
        <f t="shared" si="5"/>
        <v>-</v>
      </c>
      <c r="O114" s="265" t="str">
        <f>IF(ISNUMBER($F$14),IF($F$14&gt;1,IF($B114=0+$F$16,I*($J$40/100)*$J$42*1,""),""),"-")</f>
        <v>-</v>
      </c>
      <c r="P114" s="265" t="str">
        <f t="shared" si="38"/>
        <v>-</v>
      </c>
      <c r="Q114" s="266" t="str">
        <f t="shared" si="6"/>
        <v>-</v>
      </c>
      <c r="R114" s="267" t="str">
        <f t="shared" si="39"/>
        <v>-</v>
      </c>
      <c r="S114" s="268" t="str">
        <f t="shared" si="40"/>
        <v>-</v>
      </c>
      <c r="T114" s="269" t="str">
        <f t="shared" si="41"/>
        <v/>
      </c>
      <c r="U114" s="221">
        <f t="shared" si="7"/>
        <v>14</v>
      </c>
      <c r="V114" s="220" t="str">
        <f t="shared" si="42"/>
        <v>-</v>
      </c>
      <c r="W114" s="221" t="str">
        <f t="shared" si="43"/>
        <v>-</v>
      </c>
      <c r="X114" s="221" t="str">
        <f t="shared" si="8"/>
        <v>-</v>
      </c>
      <c r="Y114" s="221" t="str">
        <f t="shared" si="9"/>
        <v>-</v>
      </c>
      <c r="Z114" s="270">
        <f t="shared" si="44"/>
        <v>0.1</v>
      </c>
      <c r="AA114" s="271" t="str">
        <f t="shared" si="67"/>
        <v>-</v>
      </c>
      <c r="AB114" s="292" t="str">
        <f t="shared" si="10"/>
        <v>-</v>
      </c>
      <c r="AC114" s="224">
        <f t="shared" si="45"/>
        <v>14</v>
      </c>
      <c r="AD114" s="223" t="str">
        <f t="shared" si="11"/>
        <v>-</v>
      </c>
      <c r="AE114" s="224" t="str">
        <f t="shared" si="46"/>
        <v>-</v>
      </c>
      <c r="AF114" s="224" t="str">
        <f t="shared" si="12"/>
        <v>-</v>
      </c>
      <c r="AG114" s="224" t="str">
        <f t="shared" si="13"/>
        <v>-</v>
      </c>
      <c r="AH114" s="272">
        <f t="shared" si="47"/>
        <v>0.1</v>
      </c>
      <c r="AI114" s="271" t="str">
        <f t="shared" si="14"/>
        <v>-</v>
      </c>
      <c r="AJ114" s="292" t="str">
        <f>IFERROR(IF(AD114=1,D114*EXP(-(0.04*AF114+0.1*AG114)),IF(AD114=2,D114*EXP(-(0.04*($F$21+AF114)+0.1*(($F$16-$F$15)-$F$21+AG114))),D114*EXP(-(0.04*($F$21*2+AF114)+0.1*((($F$16-$F$15)-$F$21)*2-AG114))))),"-")</f>
        <v>-</v>
      </c>
      <c r="AK114" s="227">
        <f t="shared" si="49"/>
        <v>14</v>
      </c>
      <c r="AL114" s="226" t="str">
        <f t="shared" si="15"/>
        <v>-</v>
      </c>
      <c r="AM114" s="227" t="str">
        <f t="shared" si="50"/>
        <v>-</v>
      </c>
      <c r="AN114" s="227" t="str">
        <f t="shared" si="51"/>
        <v>-</v>
      </c>
      <c r="AO114" s="227" t="str">
        <f t="shared" si="16"/>
        <v>-</v>
      </c>
      <c r="AP114" s="273">
        <f t="shared" si="52"/>
        <v>0.1</v>
      </c>
      <c r="AQ114" s="271" t="str">
        <f>IFERROR(IF(AL113=1,D114*EXP(-(0.04*AN113+0.1*AO113)),IF(AL113=2,D114*EXP(-(0.04*($F$21+AN113)+0.1*(($F$16-$F$15)-$F$21+AO113))),D114*EXP(-(0.04*($F$21*2+AN113)+0.1*((($F$16-$F$15)-$F$21)*2-AO113))))),"-")</f>
        <v>-</v>
      </c>
      <c r="AR114" s="292" t="str">
        <f>IFERROR(IF(AL114=1,D114*EXP(-(0.04*AN114+0.1*AO114)),IF(AL114=2,D114*EXP(-(0.04*($F$21+AN114)+0.1*(($F$16-$F$15)-$F$21+AO114))),D114*EXP(-(0.04*($F$21*2+AN114)+0.1*((($F$16-$F$15)-$F$21)*2-AO114))))),"-")</f>
        <v>-</v>
      </c>
      <c r="AS114" s="274">
        <f t="shared" si="17"/>
        <v>0</v>
      </c>
      <c r="AT114" s="274">
        <f t="shared" si="18"/>
        <v>0</v>
      </c>
      <c r="AU114" s="274">
        <f t="shared" si="19"/>
        <v>0</v>
      </c>
      <c r="AV114" s="275">
        <f>IF($B114&lt;$F$22,SUM($T$100:$T114),"")</f>
        <v>0</v>
      </c>
      <c r="AW114" s="275" t="str">
        <f t="shared" si="55"/>
        <v>-</v>
      </c>
      <c r="AX114" s="275" t="str">
        <f t="shared" si="56"/>
        <v/>
      </c>
      <c r="AY114"/>
      <c r="AZ114" s="275" t="str">
        <f ca="1">IF(ISNUMBER(OFFSET(AV114,-$F$21,0)),SUM(OFFSET($T$100,$F$21,0):$T114),"")</f>
        <v/>
      </c>
      <c r="BA114" s="275" t="str">
        <f t="shared" ca="1" si="20"/>
        <v/>
      </c>
      <c r="BB114" s="275" t="str">
        <f t="shared" ca="1" si="57"/>
        <v/>
      </c>
      <c r="BC114" s="190"/>
      <c r="BD114" s="275" t="str">
        <f ca="1">IFERROR(IF(AND($B114&gt;=($F$16-$F$15),$B114&lt;$F$22+($F$16-$F$15)),SUM(OFFSET($T$100,($F$16-$F$15),0):$T114),""),"")</f>
        <v/>
      </c>
      <c r="BE114" s="275" t="str">
        <f t="shared" ca="1" si="58"/>
        <v/>
      </c>
      <c r="BF114" s="275" t="str">
        <f ca="1">IF(ISNUMBER(BD114),(BD114-BE114)/(3*86400*($B114-($F$16-$F$15)+1))*1000,"")</f>
        <v/>
      </c>
      <c r="BG114"/>
      <c r="BH114" s="190" t="str">
        <f ca="1">IF(ISNUMBER(OFFSET(BD114,-$F$21,0)),SUM(OFFSET($T$100,($F$16-$F$15+$F$21),0):$T114),"")</f>
        <v/>
      </c>
      <c r="BI114" s="190" t="str">
        <f t="shared" ca="1" si="21"/>
        <v/>
      </c>
      <c r="BJ114" s="190" t="str">
        <f t="shared" ca="1" si="60"/>
        <v/>
      </c>
      <c r="BK114" s="190"/>
      <c r="BL114" s="275" t="str">
        <f ca="1">IFERROR(IF(AND($B114&gt;=($F$17-$F$15),$B114&lt;$F$22+($F$17-$F$15)),SUM(OFFSET($T$100,($F$17-$F$15),0):$T114),""),"")</f>
        <v/>
      </c>
      <c r="BM114" s="275" t="str">
        <f t="shared" ca="1" si="22"/>
        <v/>
      </c>
      <c r="BN114" s="275" t="str">
        <f t="shared" ca="1" si="61"/>
        <v/>
      </c>
      <c r="BO114"/>
      <c r="BP114" s="275" t="str">
        <f ca="1">IF(ISNUMBER(OFFSET(BL114,-$F$21,0)),SUM(OFFSET($T$100,($F$17-$F$15+$F$21),0):$T114),"")</f>
        <v/>
      </c>
      <c r="BQ114" s="275" t="str">
        <f t="shared" ca="1" si="62"/>
        <v/>
      </c>
      <c r="BR114" s="275" t="str">
        <f t="shared" ca="1" si="63"/>
        <v/>
      </c>
      <c r="BS114" s="190"/>
      <c r="BT114"/>
      <c r="BU114" s="276" t="str">
        <f t="shared" si="64"/>
        <v>end</v>
      </c>
      <c r="BV114" s="277">
        <v>14</v>
      </c>
      <c r="BW114" s="278" t="str">
        <f t="shared" si="69"/>
        <v/>
      </c>
      <c r="BX114" s="278" t="str">
        <f t="shared" si="68"/>
        <v/>
      </c>
      <c r="BY114" s="279" t="str">
        <f t="shared" si="65"/>
        <v/>
      </c>
      <c r="BZ114"/>
      <c r="CA114" s="284" t="str">
        <f t="shared" si="23"/>
        <v>-</v>
      </c>
      <c r="CB114" s="285" t="str">
        <f t="shared" si="24"/>
        <v>-</v>
      </c>
      <c r="CC114" s="285" t="str">
        <f t="shared" si="25"/>
        <v>14-15</v>
      </c>
      <c r="CD114" s="286" t="str">
        <f t="shared" si="26"/>
        <v/>
      </c>
      <c r="CE114" s="287" t="str">
        <f t="shared" si="27"/>
        <v>-</v>
      </c>
      <c r="CF114" s="285" t="str">
        <f t="shared" ca="1" si="28"/>
        <v>-</v>
      </c>
      <c r="CG114" s="285" t="str">
        <f t="shared" si="29"/>
        <v>14-15</v>
      </c>
      <c r="CH114" s="288" t="str">
        <f t="shared" ca="1" si="30"/>
        <v/>
      </c>
      <c r="CP114" s="99"/>
      <c r="CQ114" s="99"/>
      <c r="CR114" s="99"/>
      <c r="CS114" s="99"/>
      <c r="CT114" s="99"/>
      <c r="CU114" s="99"/>
      <c r="CV114" s="99"/>
      <c r="CW114" s="99"/>
      <c r="CX114" s="99"/>
      <c r="CY114" s="99"/>
      <c r="CZ114" s="99"/>
      <c r="DA114" s="99"/>
      <c r="DB114" s="99"/>
      <c r="DC114" s="99"/>
    </row>
    <row r="115" spans="2:107" ht="13.5" customHeight="1" x14ac:dyDescent="0.2">
      <c r="B115" s="293">
        <v>15</v>
      </c>
      <c r="C115" s="237" t="str">
        <f t="shared" si="31"/>
        <v/>
      </c>
      <c r="D115" s="237" t="str">
        <f t="shared" si="66"/>
        <v>-</v>
      </c>
      <c r="E115" s="290" t="str">
        <f t="shared" si="32"/>
        <v/>
      </c>
      <c r="F115" s="264" t="str">
        <f t="shared" si="33"/>
        <v/>
      </c>
      <c r="G115" s="291" t="str">
        <f t="shared" si="34"/>
        <v/>
      </c>
      <c r="H115" s="240" t="str">
        <f t="shared" si="35"/>
        <v/>
      </c>
      <c r="I115" s="265" t="str">
        <f t="shared" si="1"/>
        <v/>
      </c>
      <c r="J115" s="265" t="str">
        <f t="shared" si="2"/>
        <v/>
      </c>
      <c r="K115" s="240" t="str">
        <f t="shared" si="36"/>
        <v/>
      </c>
      <c r="L115" s="265" t="str">
        <f t="shared" si="3"/>
        <v/>
      </c>
      <c r="M115" s="265" t="str">
        <f t="shared" si="4"/>
        <v/>
      </c>
      <c r="N115" s="240" t="str">
        <f t="shared" si="5"/>
        <v>-</v>
      </c>
      <c r="O115" s="265" t="str">
        <f t="shared" si="37"/>
        <v>-</v>
      </c>
      <c r="P115" s="265" t="str">
        <f t="shared" si="38"/>
        <v>-</v>
      </c>
      <c r="Q115" s="266" t="str">
        <f t="shared" si="6"/>
        <v>-</v>
      </c>
      <c r="R115" s="267" t="str">
        <f t="shared" si="39"/>
        <v>-</v>
      </c>
      <c r="S115" s="268" t="str">
        <f t="shared" si="40"/>
        <v>-</v>
      </c>
      <c r="T115" s="269" t="str">
        <f t="shared" si="41"/>
        <v/>
      </c>
      <c r="U115" s="221">
        <f t="shared" si="7"/>
        <v>15</v>
      </c>
      <c r="V115" s="220" t="str">
        <f t="shared" si="42"/>
        <v>-</v>
      </c>
      <c r="W115" s="221" t="str">
        <f t="shared" si="43"/>
        <v>-</v>
      </c>
      <c r="X115" s="221" t="str">
        <f t="shared" si="8"/>
        <v>-</v>
      </c>
      <c r="Y115" s="221" t="str">
        <f t="shared" si="9"/>
        <v>-</v>
      </c>
      <c r="Z115" s="270">
        <f t="shared" si="44"/>
        <v>0.1</v>
      </c>
      <c r="AA115" s="292" t="str">
        <f>IFERROR(IF(V114=1,AA100*EXP(-(LN(2)/$D$65+0.04)*X114)*EXP(-(LN(2)/$D$65+0.1)*Y114),IF(V114=2,AA100*EXP(-(LN(2)/$D$65+0.04)*(VLOOKUP(($F$16-$F$15)-1,U99:Y114,4,FALSE)))*EXP(-(LN(2)/$D$65+0.1)*(VLOOKUP(($F$16-$F$15)-1,U99:Y114,5,FALSE)))*EXP(-(LN(2)/$D$65+0.04)*X114)*EXP(-(LN(2)/$D$65+0.1)*Y114),AA100*EXP(-(LN(2)/$D$65+0.04)*(VLOOKUP(($F$16-$F$15)-1,U99:Y114,4,FALSE)))*EXP(-(LN(2)/$D$65+0.1)*(VLOOKUP(($F$16-$F$15)-1,U99:Y114,5,FALSE)))*EXP(-(LN(2)/$D$65+0.04)*(VLOOKUP(($F$16-$F$15)*2-1,U99:Y114,4,FALSE)))*EXP(-(LN(2)/$D$65+0.1)*(VLOOKUP(($F$16-$F$15)*2-1,U99:Y114,5,FALSE)))*EXP(-(LN(2)/$D$65+0.04)*X114)*EXP(-(LN(2)/$D$65+0.1)*Y114))),"-")</f>
        <v>-</v>
      </c>
      <c r="AB115" s="271" t="str">
        <f>IFERROR(IF(V115=1,AB$100*EXP(-(LN(2)/$D$65+0.04)*X115)*EXP(-(LN(2)/$D$65+0.1)*Y115),IF(V115=2,AB$100*EXP(-(LN(2)/$D$65+0.04)*(VLOOKUP(($F$16-$F$15)-1,U$100:Y115,4,FALSE)))*EXP(-(LN(2)/$D$65+0.1)*(VLOOKUP(($F$16-$F$15)-1,U$100:Y115,5,FALSE)))*EXP(-(LN(2)/$D$65+0.04)*X115)*EXP(-(LN(2)/$D$65+0.1)*Y115),IF(V115=3,AB$100*EXP(-(LN(2)/$D$65+0.04)*(VLOOKUP(($F$16-$F$15)-1,U$100:Y115,4,FALSE)))*EXP(-(LN(2)/$D$65+0.1)*(VLOOKUP(($F$16-$F$15)-1,U$100:Y115,5,FALSE)))*EXP(-(LN(2)/$D$65+0.04)*(VLOOKUP(($F$16-$F$15)*2-1,U$100:Y115,4,FALSE)))*EXP(-(LN(2)/$D$65+0.1)*(VLOOKUP(($F$16-$F$15)*2-1,U$100:Y115,5,FALSE)))*EXP(-(LN(2)/$D$65+0.04)*X115)*EXP(-(LN(2)/$D$65+0.1)*Y115),"-"))),"-")</f>
        <v>-</v>
      </c>
      <c r="AC115" s="224">
        <f t="shared" si="45"/>
        <v>15</v>
      </c>
      <c r="AD115" s="223" t="str">
        <f t="shared" si="11"/>
        <v>-</v>
      </c>
      <c r="AE115" s="224" t="str">
        <f t="shared" si="46"/>
        <v>-</v>
      </c>
      <c r="AF115" s="224" t="str">
        <f t="shared" si="12"/>
        <v>-</v>
      </c>
      <c r="AG115" s="224" t="str">
        <f t="shared" si="13"/>
        <v>-</v>
      </c>
      <c r="AH115" s="272">
        <f t="shared" si="47"/>
        <v>0.1</v>
      </c>
      <c r="AI115" s="292" t="str">
        <f>IFERROR(IF(AD114=1,AI100*EXP(-(LN(2)/$D$65+0.04)*AF114)*EXP(-(LN(2)/$D$65+0.1)*AG114),IF(AD114=2,AI100*EXP(-(LN(2)/$D$65+0.04)*(VLOOKUP(($F$16-$F$15)-1,AC99:AG114,4,FALSE)))*EXP(-(LN(2)/$D$65+0.1)*(VLOOKUP(($F$16-$F$15)-1,AC99:AG114,5,FALSE)))*EXP(-(LN(2)/$D$65+0.04)*AF114)*EXP(-(LN(2)/$D$65+0.1)*AG114),AI100*EXP(-(LN(2)/$D$65+0.04)*(VLOOKUP(($F$16-$F$15)-1,AC99:AG114,4,FALSE)))*EXP(-(LN(2)/$D$65+0.1)*(VLOOKUP(($F$16-$F$15)-1,AC99:AG114,5,FALSE)))*EXP(-(LN(2)/$D$65+0.04)*(VLOOKUP(($F$16-$F$15)*2-1,AC99:AG114,4,FALSE)))*EXP(-(LN(2)/$D$65+0.1)*(VLOOKUP(($F$16-$F$15)*2-1,AC99:AG114,5,FALSE)))*EXP(-(LN(2)/$D$65+0.04)*AF114)*EXP(-(LN(2)/$D$65+0.1)*AG114))),"-")</f>
        <v>-</v>
      </c>
      <c r="AJ115" s="271" t="str">
        <f>IFERROR(IF(AD115=1,AJ$100*EXP(-(LN(2)/$D$65+0.04)*AF115)*EXP(-(LN(2)/$D$65+0.1)*AG115),IF(AD115=2,AJ$100*EXP(-(LN(2)/$D$65+0.04)*(VLOOKUP(($F$16-$F$15)-1,AC$100:AG115,4,FALSE)))*EXP(-(LN(2)/$D$65+0.1)*(VLOOKUP(($F$16-$F$15)-1,AC$100:AG115,5,FALSE)))*EXP(-(LN(2)/$D$65+0.04)*AF115)*EXP(-(LN(2)/$D$65+0.1)*AG115),IF(AD115=3,AJ$100*EXP(-(LN(2)/$D$65+0.04)*(VLOOKUP(($F$16-$F$15)-1,AC$100:AG115,4,FALSE)))*EXP(-(LN(2)/$D$65+0.1)*(VLOOKUP(($F$16-$F$15)-1,AC$100:AG115,5,FALSE)))*EXP(-(LN(2)/$D$65+0.04)*(VLOOKUP(($F$16-$F$15)*2-1,AC$100:AG115,4,FALSE)))*EXP(-(LN(2)/$D$65+0.1)*(VLOOKUP(($F$16-$F$15)*2-1,AC$100:AG115,5,FALSE)))*EXP(-(LN(2)/$D$65+0.04)*AF115)*EXP(-(LN(2)/$D$65+0.1)*AG115),"-"))),"-")</f>
        <v>-</v>
      </c>
      <c r="AK115" s="227">
        <f t="shared" si="49"/>
        <v>15</v>
      </c>
      <c r="AL115" s="226" t="str">
        <f t="shared" si="15"/>
        <v>-</v>
      </c>
      <c r="AM115" s="227" t="str">
        <f t="shared" si="50"/>
        <v>-</v>
      </c>
      <c r="AN115" s="227" t="str">
        <f t="shared" si="51"/>
        <v>-</v>
      </c>
      <c r="AO115" s="227" t="str">
        <f t="shared" si="16"/>
        <v>-</v>
      </c>
      <c r="AP115" s="273">
        <f t="shared" si="52"/>
        <v>0.1</v>
      </c>
      <c r="AQ115" s="292" t="str">
        <f>IFERROR(IF(AL114=1,AQ100*EXP(-(LN(2)/$D$65+0.04)*AN114)*EXP(-(LN(2)/$D$65+0.1)*AO114),IF(AL114=2,AQ100*EXP(-(LN(2)/$D$65+0.04)*(VLOOKUP(($F$16-$F$15)-1,AK99:AO114,4,FALSE)))*EXP(-(LN(2)/$D$65+0.1)*(VLOOKUP(($F$16-$F$15)-1,AK99:AO114,5,FALSE)))*EXP(-(LN(2)/$D$65+0.04)*AN114)*EXP(-(LN(2)/$D$65+0.1)*AO114),AQ100*EXP(-(LN(2)/$D$65+0.04)*(VLOOKUP(($F$16-$F$15)-1,AK99:AO114,4,FALSE)))*EXP(-(LN(2)/$D$65+0.1)*(VLOOKUP(($F$16-$F$15)-1,AK99:AO114,5,FALSE)))*EXP(-(LN(2)/$D$65+0.04)*(VLOOKUP(($F$16-$F$15)*2-1,AK99:AO114,4,FALSE)))*EXP(-(LN(2)/$D$65+0.1)*(VLOOKUP(($F$16-$F$15)*2-1,AK99:AO114,5,FALSE)))*EXP(-(LN(2)/$D$65+0.04)*AN114)*EXP(-(LN(2)/$D$65+0.1)*AO114))),"-")</f>
        <v>-</v>
      </c>
      <c r="AR115" s="271" t="str">
        <f>IFERROR(IF(AL115=1,AR$100*EXP(-(LN(2)/$D$65+0.04)*AN115)*EXP(-(LN(2)/$D$65+0.1)*AO115),IF(AL115=2,AR$100*EXP(-(LN(2)/$D$65+0.04)*(VLOOKUP(($F$16-$F$15)-1,AK$100:AO115,4,FALSE)))*EXP(-(LN(2)/$D$65+0.1)*(VLOOKUP(($F$16-$F$15)-1,AK$100:AO115,5,FALSE)))*EXP(-(LN(2)/$D$65+0.04)*AN115)*EXP(-(LN(2)/$D$65+0.1)*AO115),IF(AL115=3,AR$100*EXP(-(LN(2)/$D$65+0.04)*(VLOOKUP(($F$16-$F$15)-1,AK$100:AO115,4,FALSE)))*EXP(-(LN(2)/$D$65+0.1)*(VLOOKUP(($F$16-$F$15)-1,AK$100:AO115,5,FALSE)))*EXP(-(LN(2)/$D$65+0.04)*(VLOOKUP(($F$16-$F$15)*2-1,AK$100:AO115,4,FALSE)))*EXP(-(LN(2)/$D$65+0.1)*(VLOOKUP(($F$16-$F$15)*2-1,AK$100:AO115,5,FALSE)))*EXP(-(LN(2)/$D$65+0.04)*AN115)*EXP(-(LN(2)/$D$65+0.1)*AO115),"-"))),"-")</f>
        <v>-</v>
      </c>
      <c r="AS115" s="294">
        <f t="shared" si="17"/>
        <v>0</v>
      </c>
      <c r="AT115" s="294">
        <f t="shared" si="18"/>
        <v>0</v>
      </c>
      <c r="AU115" s="294">
        <f t="shared" si="19"/>
        <v>0</v>
      </c>
      <c r="AV115" s="275">
        <f>IF($B115&lt;$F$22,SUM($T$100:$T115),"")</f>
        <v>0</v>
      </c>
      <c r="AW115" s="275" t="str">
        <f t="shared" si="55"/>
        <v>-</v>
      </c>
      <c r="AX115" s="275" t="str">
        <f t="shared" si="56"/>
        <v/>
      </c>
      <c r="AY115"/>
      <c r="AZ115" s="275" t="str">
        <f ca="1">IF(ISNUMBER(OFFSET(AV115,-$F$21,0)),SUM(OFFSET($T$100,$F$21,0):$T115),"")</f>
        <v/>
      </c>
      <c r="BA115" s="275" t="str">
        <f t="shared" ca="1" si="20"/>
        <v/>
      </c>
      <c r="BB115" s="275" t="str">
        <f t="shared" ca="1" si="57"/>
        <v/>
      </c>
      <c r="BC115" s="190"/>
      <c r="BD115" s="275" t="str">
        <f ca="1">IFERROR(IF(AND($B115&gt;=($F$16-$F$15),$B115&lt;$F$22+($F$16-$F$15)),SUM(OFFSET($T$100,($F$16-$F$15),0):$T115),""),"")</f>
        <v/>
      </c>
      <c r="BE115" s="275" t="str">
        <f t="shared" ca="1" si="58"/>
        <v/>
      </c>
      <c r="BF115" s="275" t="str">
        <f t="shared" ca="1" si="59"/>
        <v/>
      </c>
      <c r="BG115"/>
      <c r="BH115" s="190" t="str">
        <f ca="1">IF(ISNUMBER(OFFSET(BD115,-$F$21,0)),SUM(OFFSET($T$100,($F$16-$F$15+$F$21),0):$T115),"")</f>
        <v/>
      </c>
      <c r="BI115" s="190" t="str">
        <f t="shared" ca="1" si="21"/>
        <v/>
      </c>
      <c r="BJ115" s="190" t="str">
        <f t="shared" ca="1" si="60"/>
        <v/>
      </c>
      <c r="BK115" s="190"/>
      <c r="BL115" s="275" t="str">
        <f ca="1">IFERROR(IF(AND($B115&gt;=($F$17-$F$15),$B115&lt;$F$22+($F$17-$F$15)),SUM(OFFSET($T$100,($F$17-$F$15),0):$T115),""),"")</f>
        <v/>
      </c>
      <c r="BM115" s="275" t="str">
        <f t="shared" ca="1" si="22"/>
        <v/>
      </c>
      <c r="BN115" s="275" t="str">
        <f t="shared" ca="1" si="61"/>
        <v/>
      </c>
      <c r="BO115"/>
      <c r="BP115" s="275" t="str">
        <f ca="1">IF(ISNUMBER(OFFSET(BL115,-$F$21,0)),SUM(OFFSET($T$100,($F$17-$F$15+$F$21),0):$T115),"")</f>
        <v/>
      </c>
      <c r="BQ115" s="275" t="str">
        <f t="shared" ca="1" si="62"/>
        <v/>
      </c>
      <c r="BR115" s="275" t="str">
        <f t="shared" ca="1" si="63"/>
        <v/>
      </c>
      <c r="BS115" s="190"/>
      <c r="BT115"/>
      <c r="BU115" s="276" t="str">
        <f t="shared" si="64"/>
        <v>end</v>
      </c>
      <c r="BV115" s="277">
        <v>15</v>
      </c>
      <c r="BW115" s="278" t="str">
        <f>IF(AND(BU115="end",BU114="end"), "", IF(BU115&lt;&gt;"",MIN(BU114:BU115),""))</f>
        <v/>
      </c>
      <c r="BX115" s="278" t="str">
        <f>IF(AND(BU115="end",BU114="end"), "", IF(BU115&lt;&gt;"",MAX(BU114:BU115),""))</f>
        <v/>
      </c>
      <c r="BY115" s="279" t="str">
        <f t="shared" si="65"/>
        <v/>
      </c>
      <c r="BZ115"/>
      <c r="CA115" s="258" t="str">
        <f t="shared" si="23"/>
        <v>-</v>
      </c>
      <c r="CB115" s="33" t="str">
        <f t="shared" si="24"/>
        <v>-</v>
      </c>
      <c r="CC115" s="33" t="str">
        <f t="shared" si="25"/>
        <v>15-16</v>
      </c>
      <c r="CD115" s="261" t="str">
        <f t="shared" si="26"/>
        <v/>
      </c>
      <c r="CE115" s="258" t="str">
        <f t="shared" si="27"/>
        <v>-</v>
      </c>
      <c r="CF115" s="33" t="str">
        <f t="shared" ca="1" si="28"/>
        <v>-</v>
      </c>
      <c r="CG115" s="33" t="str">
        <f t="shared" si="29"/>
        <v>15-16</v>
      </c>
      <c r="CH115" s="261" t="str">
        <f t="shared" ca="1" si="30"/>
        <v/>
      </c>
      <c r="CI115" s="202"/>
      <c r="CP115" s="99"/>
      <c r="CQ115" s="99"/>
      <c r="CR115" s="99"/>
      <c r="CS115" s="99"/>
      <c r="CT115" s="99"/>
      <c r="CU115" s="99"/>
      <c r="CV115" s="99"/>
      <c r="CW115" s="99"/>
      <c r="CX115" s="99"/>
      <c r="CY115" s="99"/>
      <c r="CZ115" s="99"/>
      <c r="DA115" s="99"/>
      <c r="DB115" s="99"/>
      <c r="DC115" s="99"/>
    </row>
    <row r="116" spans="2:107" ht="13.5" customHeight="1" x14ac:dyDescent="0.2">
      <c r="B116" s="262">
        <v>16</v>
      </c>
      <c r="C116" s="237" t="str">
        <f t="shared" si="31"/>
        <v/>
      </c>
      <c r="D116" s="237" t="str">
        <f>IFERROR(IF(B116&lt;$F$22,IF(ISNUMBER($D$65),IF(MAX($BU$101:$BU$120)&lt;B116, "", IF(B116=VLOOKUP(B116, $BU$101:$BU$120,1,1), C116,D115-INDEX($BY$101:$BY$120, MATCH(VLOOKUP(B116, $BU$101:$BU$120,1,1), $BU$101:$BU$120)+1, 1))),D115-VLOOKUP(MAX($BU$101:$BU$120),$BU$101:$BY$120,5)),""),"-")</f>
        <v>-</v>
      </c>
      <c r="E116" s="290" t="str">
        <f t="shared" si="32"/>
        <v/>
      </c>
      <c r="F116" s="264" t="str">
        <f t="shared" si="33"/>
        <v/>
      </c>
      <c r="G116" s="291" t="str">
        <f t="shared" si="34"/>
        <v/>
      </c>
      <c r="H116" s="240" t="str">
        <f t="shared" si="35"/>
        <v/>
      </c>
      <c r="I116" s="265" t="str">
        <f t="shared" si="1"/>
        <v/>
      </c>
      <c r="J116" s="265" t="str">
        <f t="shared" si="2"/>
        <v/>
      </c>
      <c r="K116" s="240" t="str">
        <f t="shared" si="36"/>
        <v/>
      </c>
      <c r="L116" s="265" t="str">
        <f t="shared" si="3"/>
        <v/>
      </c>
      <c r="M116" s="265" t="str">
        <f t="shared" si="4"/>
        <v/>
      </c>
      <c r="N116" s="240" t="str">
        <f t="shared" si="5"/>
        <v>-</v>
      </c>
      <c r="O116" s="265" t="str">
        <f t="shared" si="37"/>
        <v>-</v>
      </c>
      <c r="P116" s="265" t="str">
        <f t="shared" si="38"/>
        <v>-</v>
      </c>
      <c r="Q116" s="266" t="str">
        <f t="shared" si="6"/>
        <v>-</v>
      </c>
      <c r="R116" s="267" t="str">
        <f t="shared" si="39"/>
        <v>-</v>
      </c>
      <c r="S116" s="268" t="str">
        <f t="shared" si="40"/>
        <v>-</v>
      </c>
      <c r="T116" s="269" t="str">
        <f t="shared" si="41"/>
        <v/>
      </c>
      <c r="U116" s="221">
        <f t="shared" si="7"/>
        <v>16</v>
      </c>
      <c r="V116" s="220" t="str">
        <f t="shared" si="42"/>
        <v>-</v>
      </c>
      <c r="W116" s="221" t="str">
        <f t="shared" si="43"/>
        <v>-</v>
      </c>
      <c r="X116" s="221" t="str">
        <f t="shared" si="8"/>
        <v>-</v>
      </c>
      <c r="Y116" s="221" t="str">
        <f t="shared" si="9"/>
        <v>-</v>
      </c>
      <c r="Z116" s="270">
        <f t="shared" si="44"/>
        <v>0.1</v>
      </c>
      <c r="AA116" s="271" t="str">
        <f>IFERROR(IF(V115=1,AA$100*EXP(-(LN(2)/$D$65+0.04)*X115)*EXP(-(LN(2)/$D$65+0.1)*Y115),IF(V115=2,AA$100*EXP(-(LN(2)/$D$65+0.04)*(VLOOKUP(($F$16-$F$15)-1,U$99:Y115,4,FALSE)))*EXP(-(LN(2)/$D$65+0.1)*(VLOOKUP(($F$16-$F$15)-1,U$99:Y115,5,FALSE)))*EXP(-(LN(2)/$D$65+0.04)*X115)*EXP(-(LN(2)/$D$65+0.1)*Y115),IF(V115=3,AA$100*EXP(-(LN(2)/$D$65+0.04)*(VLOOKUP(($F$16-$F$15)-1,U$99:Y115,4,FALSE)))*EXP(-(LN(2)/$D$65+0.1)*(VLOOKUP(($F$16-$F$15)-1,U$99:Y115,5,FALSE)))*EXP(-(LN(2)/$D$65+0.04)*(VLOOKUP(($F$16-$F$15)*2-1,U$99:Y115,4,FALSE)))*EXP(-(LN(2)/$D$65+0.1)*(VLOOKUP(($F$16-$F$15)*2-1,U$99:Y115,5,FALSE)))*EXP(-(LN(2)/$D$65+0.04)*X115)*EXP(-(LN(2)/$D$65+0.1)*Y115),"-"))),"-")</f>
        <v>-</v>
      </c>
      <c r="AB116" s="271" t="str">
        <f>IFERROR(IF(V116=1,AB$100*EXP(-(LN(2)/$D$65+0.04)*X116)*EXP(-(LN(2)/$D$65+0.1)*Y116),IF(V116=2,AB$100*EXP(-(LN(2)/$D$65+0.04)*(VLOOKUP(($F$16-$F$15)-1,U$100:Y116,4,FALSE)))*EXP(-(LN(2)/$D$65+0.1)*(VLOOKUP(($F$16-$F$15)-1,U$100:Y116,5,FALSE)))*EXP(-(LN(2)/$D$65+0.04)*X116)*EXP(-(LN(2)/$D$65+0.1)*Y116),IF(V116=3,AB$100*EXP(-(LN(2)/$D$65+0.04)*(VLOOKUP(($F$16-$F$15)-1,U$100:Y116,4,FALSE)))*EXP(-(LN(2)/$D$65+0.1)*(VLOOKUP(($F$16-$F$15)-1,U$100:Y116,5,FALSE)))*EXP(-(LN(2)/$D$65+0.04)*(VLOOKUP(($F$16-$F$15)*2-1,U$100:Y116,4,FALSE)))*EXP(-(LN(2)/$D$65+0.1)*(VLOOKUP(($F$16-$F$15)*2-1,U$100:Y116,5,FALSE)))*EXP(-(LN(2)/$D$65+0.04)*X116)*EXP(-(LN(2)/$D$65+0.1)*Y116),"-"))),"-")</f>
        <v>-</v>
      </c>
      <c r="AC116" s="224">
        <f t="shared" si="45"/>
        <v>16</v>
      </c>
      <c r="AD116" s="223" t="str">
        <f t="shared" si="11"/>
        <v>-</v>
      </c>
      <c r="AE116" s="224" t="str">
        <f t="shared" si="46"/>
        <v>-</v>
      </c>
      <c r="AF116" s="224" t="str">
        <f t="shared" si="12"/>
        <v>-</v>
      </c>
      <c r="AG116" s="224" t="str">
        <f t="shared" si="13"/>
        <v>-</v>
      </c>
      <c r="AH116" s="272">
        <f t="shared" si="47"/>
        <v>0.1</v>
      </c>
      <c r="AI116" s="271" t="str">
        <f>IFERROR(IF(AD115=1,AI$100*EXP(-(LN(2)/$D$65+0.04)*AF115)*EXP(-(LN(2)/$D$65+0.1)*AG115),IF(AD115=2,AI$100*EXP(-(LN(2)/$D$65+0.04)*(VLOOKUP(($F$16-$F$15)-1,AC$99:AG115,4,FALSE)))*EXP(-(LN(2)/$D$65+0.1)*(VLOOKUP(($F$16-$F$15)-1,AC$99:AG115,5,FALSE)))*EXP(-(LN(2)/$D$65+0.04)*AF115)*EXP(-(LN(2)/$D$65+0.1)*AG115),IF(AD115=3,AI$100*EXP(-(LN(2)/$D$65+0.04)*(VLOOKUP(($F$16-$F$15)-1,AC$99:AG115,4,FALSE)))*EXP(-(LN(2)/$D$65+0.1)*(VLOOKUP(($F$16-$F$15)-1,AC$99:AG115,5,FALSE)))*EXP(-(LN(2)/$D$65+0.04)*(VLOOKUP(($F$16-$F$15)*2-1,AC$99:AG115,4,FALSE)))*EXP(-(LN(2)/$D$65+0.1)*(VLOOKUP(($F$16-$F$15)*2-1,AC$99:AG115,5,FALSE)))*EXP(-(LN(2)/$D$65+0.04)*AF115)*EXP(-(LN(2)/$D$65+0.1)*AG115),"-"))),"-")</f>
        <v>-</v>
      </c>
      <c r="AJ116" s="271" t="str">
        <f>IFERROR(IF(AD116=1,AJ$100*EXP(-(LN(2)/$D$65+0.04)*AF116)*EXP(-(LN(2)/$D$65+0.1)*AG116),IF(AD116=2,AJ$100*EXP(-(LN(2)/$D$65+0.04)*(VLOOKUP(($F$16-$F$15)-1,AC$100:AG116,4,FALSE)))*EXP(-(LN(2)/$D$65+0.1)*(VLOOKUP(($F$16-$F$15)-1,AC$100:AG116,5,FALSE)))*EXP(-(LN(2)/$D$65+0.04)*AF116)*EXP(-(LN(2)/$D$65+0.1)*AG116),IF(AD116=3,AJ$100*EXP(-(LN(2)/$D$65+0.04)*(VLOOKUP(($F$16-$F$15)-1,AC$100:AG116,4,FALSE)))*EXP(-(LN(2)/$D$65+0.1)*(VLOOKUP(($F$16-$F$15)-1,AC$100:AG116,5,FALSE)))*EXP(-(LN(2)/$D$65+0.04)*(VLOOKUP(($F$16-$F$15)*2-1,AC$100:AG116,4,FALSE)))*EXP(-(LN(2)/$D$65+0.1)*(VLOOKUP(($F$16-$F$15)*2-1,AC$100:AG116,5,FALSE)))*EXP(-(LN(2)/$D$65+0.04)*AF116)*EXP(-(LN(2)/$D$65+0.1)*AG116),"-"))),"-")</f>
        <v>-</v>
      </c>
      <c r="AK116" s="227">
        <f t="shared" si="49"/>
        <v>16</v>
      </c>
      <c r="AL116" s="226" t="str">
        <f t="shared" si="15"/>
        <v>-</v>
      </c>
      <c r="AM116" s="227" t="str">
        <f t="shared" si="50"/>
        <v>-</v>
      </c>
      <c r="AN116" s="227" t="str">
        <f t="shared" si="51"/>
        <v>-</v>
      </c>
      <c r="AO116" s="227" t="str">
        <f t="shared" si="16"/>
        <v>-</v>
      </c>
      <c r="AP116" s="273">
        <f t="shared" si="52"/>
        <v>0.1</v>
      </c>
      <c r="AQ116" s="271" t="str">
        <f>IFERROR(IF(AL115=1,AQ$100*EXP(-(LN(2)/$D$65+0.04)*AN115)*EXP(-(LN(2)/$D$65+0.1)*AO115),IF(AL115=2,AQ$100*EXP(-(LN(2)/$D$65+0.04)*(VLOOKUP(($F$16-$F$15)-1,AK$99:AO115,4,FALSE)))*EXP(-(LN(2)/$D$65+0.1)*(VLOOKUP(($F$16-$F$15)-1,AK$99:AO115,5,FALSE)))*EXP(-(LN(2)/$D$65+0.04)*AN115)*EXP(-(LN(2)/$D$65+0.1)*AO115),IF(AL115=3,AQ$100*EXP(-(LN(2)/$D$65+0.04)*(VLOOKUP(($F$16-$F$15)-1,AK$99:AO115,4,FALSE)))*EXP(-(LN(2)/$D$65+0.1)*(VLOOKUP(($F$16-$F$15)-1,AK$99:AO115,5,FALSE)))*EXP(-(LN(2)/$D$65+0.04)*(VLOOKUP(($F$16-$F$15)*2-1,AK$99:AO115,4,FALSE)))*EXP(-(LN(2)/$D$65+0.1)*(VLOOKUP(($F$16-$F$15)*2-1,AK$99:AO115,5,FALSE)))*EXP(-(LN(2)/$D$65+0.04)*AN115)*EXP(-(LN(2)/$D$65+0.1)*AO115),"-"))),"-")</f>
        <v>-</v>
      </c>
      <c r="AR116" s="271" t="str">
        <f>IFERROR(IF(AL116=1,AR$100*EXP(-(LN(2)/$D$65+0.04)*AN116)*EXP(-(LN(2)/$D$65+0.1)*AO116),IF(AL116=2,AR$100*EXP(-(LN(2)/$D$65+0.04)*(VLOOKUP(($F$16-$F$15)-1,AK$100:AO116,4,FALSE)))*EXP(-(LN(2)/$D$65+0.1)*(VLOOKUP(($F$16-$F$15)-1,AK$100:AO116,5,FALSE)))*EXP(-(LN(2)/$D$65+0.04)*AN116)*EXP(-(LN(2)/$D$65+0.1)*AO116),IF(AL116=3,AR$100*EXP(-(LN(2)/$D$65+0.04)*(VLOOKUP(($F$16-$F$15)-1,AK$100:AO116,4,FALSE)))*EXP(-(LN(2)/$D$65+0.1)*(VLOOKUP(($F$16-$F$15)-1,AK$100:AO116,5,FALSE)))*EXP(-(LN(2)/$D$65+0.04)*(VLOOKUP(($F$16-$F$15)*2-1,AK$100:AO116,4,FALSE)))*EXP(-(LN(2)/$D$65+0.1)*(VLOOKUP(($F$16-$F$15)*2-1,AK$100:AO116,5,FALSE)))*EXP(-(LN(2)/$D$65+0.04)*AN116)*EXP(-(LN(2)/$D$65+0.1)*AO116),"-"))),"-")</f>
        <v>-</v>
      </c>
      <c r="AS116" s="274">
        <f t="shared" si="17"/>
        <v>0</v>
      </c>
      <c r="AT116" s="274">
        <f t="shared" si="18"/>
        <v>0</v>
      </c>
      <c r="AU116" s="274">
        <f t="shared" si="19"/>
        <v>0</v>
      </c>
      <c r="AV116" s="275">
        <f>IF($B116&lt;$F$22,SUM($T$100:$T116),"")</f>
        <v>0</v>
      </c>
      <c r="AW116" s="275" t="str">
        <f t="shared" si="55"/>
        <v>-</v>
      </c>
      <c r="AX116" s="275" t="str">
        <f t="shared" si="56"/>
        <v/>
      </c>
      <c r="AY116"/>
      <c r="AZ116" s="275" t="str">
        <f ca="1">IF(ISNUMBER(OFFSET(AV116,-$F$21,0)),SUM(OFFSET($T$100,$F$21,0):$T116),"")</f>
        <v/>
      </c>
      <c r="BA116" s="275" t="str">
        <f t="shared" ca="1" si="20"/>
        <v/>
      </c>
      <c r="BB116" s="275" t="str">
        <f t="shared" ca="1" si="57"/>
        <v/>
      </c>
      <c r="BC116" s="190"/>
      <c r="BD116" s="275" t="str">
        <f ca="1">IFERROR(IF(AND($B116&gt;=($F$16-$F$15),$B116&lt;$F$22+($F$16-$F$15)),SUM(OFFSET($T$100,($F$16-$F$15),0):$T116),""),"")</f>
        <v/>
      </c>
      <c r="BE116" s="275" t="str">
        <f t="shared" ca="1" si="58"/>
        <v/>
      </c>
      <c r="BF116" s="275" t="str">
        <f t="shared" ca="1" si="59"/>
        <v/>
      </c>
      <c r="BG116"/>
      <c r="BH116" s="190" t="str">
        <f ca="1">IF(ISNUMBER(OFFSET(BD116,-$F$21,0)),SUM(OFFSET($T$100,($F$16-$F$15+$F$21),0):$T116),"")</f>
        <v/>
      </c>
      <c r="BI116" s="190" t="str">
        <f t="shared" ca="1" si="21"/>
        <v/>
      </c>
      <c r="BJ116" s="190" t="str">
        <f t="shared" ca="1" si="60"/>
        <v/>
      </c>
      <c r="BK116" s="190"/>
      <c r="BL116" s="275" t="str">
        <f ca="1">IFERROR(IF(AND($B116&gt;=($F$17-$F$15),$B116&lt;$F$22+($F$17-$F$15)),SUM(OFFSET($T$100,($F$17-$F$15),0):$T116),""),"")</f>
        <v/>
      </c>
      <c r="BM116" s="275" t="str">
        <f t="shared" ca="1" si="22"/>
        <v/>
      </c>
      <c r="BN116" s="275" t="str">
        <f t="shared" ca="1" si="61"/>
        <v/>
      </c>
      <c r="BO116"/>
      <c r="BP116" s="275" t="str">
        <f ca="1">IF(ISNUMBER(OFFSET(BL116,-$F$21,0)),SUM(OFFSET($T$100,($F$17-$F$15+$F$21),0):$T116),"")</f>
        <v/>
      </c>
      <c r="BQ116" s="275" t="str">
        <f t="shared" ca="1" si="62"/>
        <v/>
      </c>
      <c r="BR116" s="275" t="str">
        <f t="shared" ca="1" si="63"/>
        <v/>
      </c>
      <c r="BS116" s="190"/>
      <c r="BT116"/>
      <c r="BU116" s="276" t="str">
        <f t="shared" si="64"/>
        <v>end</v>
      </c>
      <c r="BV116" s="277">
        <v>16</v>
      </c>
      <c r="BW116" s="278" t="str">
        <f t="shared" si="69"/>
        <v/>
      </c>
      <c r="BX116" s="278" t="str">
        <f t="shared" si="68"/>
        <v/>
      </c>
      <c r="BY116" s="279" t="str">
        <f t="shared" si="65"/>
        <v/>
      </c>
      <c r="BZ116"/>
      <c r="CA116" s="280" t="str">
        <f t="shared" si="23"/>
        <v>-</v>
      </c>
      <c r="CB116" s="71" t="str">
        <f t="shared" si="24"/>
        <v>-</v>
      </c>
      <c r="CC116" s="33" t="str">
        <f t="shared" si="25"/>
        <v>16-17</v>
      </c>
      <c r="CD116" s="261" t="str">
        <f t="shared" si="26"/>
        <v/>
      </c>
      <c r="CE116" s="280" t="str">
        <f t="shared" si="27"/>
        <v>-</v>
      </c>
      <c r="CF116" s="71" t="str">
        <f t="shared" ca="1" si="28"/>
        <v>-</v>
      </c>
      <c r="CG116" s="33" t="str">
        <f t="shared" si="29"/>
        <v>16-17</v>
      </c>
      <c r="CH116" s="261" t="str">
        <f t="shared" ca="1" si="30"/>
        <v/>
      </c>
      <c r="CI116" s="202"/>
      <c r="CP116" s="99"/>
      <c r="CQ116" s="99"/>
      <c r="CR116" s="99"/>
      <c r="CS116" s="99"/>
      <c r="CT116" s="99"/>
      <c r="CU116" s="99"/>
      <c r="CV116" s="99"/>
      <c r="CW116" s="99"/>
      <c r="CX116" s="99"/>
      <c r="CY116" s="99"/>
      <c r="CZ116" s="99"/>
      <c r="DA116" s="99"/>
      <c r="DB116" s="99"/>
      <c r="DC116" s="99"/>
    </row>
    <row r="117" spans="2:107" ht="13.5" customHeight="1" x14ac:dyDescent="0.2">
      <c r="B117" s="262">
        <v>17</v>
      </c>
      <c r="C117" s="237" t="str">
        <f t="shared" si="31"/>
        <v/>
      </c>
      <c r="D117" s="237" t="str">
        <f t="shared" si="66"/>
        <v>-</v>
      </c>
      <c r="E117" s="290" t="str">
        <f t="shared" si="32"/>
        <v/>
      </c>
      <c r="F117" s="264" t="str">
        <f t="shared" si="33"/>
        <v/>
      </c>
      <c r="G117" s="291" t="str">
        <f t="shared" si="34"/>
        <v/>
      </c>
      <c r="H117" s="240" t="str">
        <f t="shared" si="35"/>
        <v/>
      </c>
      <c r="I117" s="265" t="str">
        <f t="shared" si="1"/>
        <v/>
      </c>
      <c r="J117" s="265" t="str">
        <f t="shared" si="2"/>
        <v/>
      </c>
      <c r="K117" s="240" t="str">
        <f t="shared" si="36"/>
        <v/>
      </c>
      <c r="L117" s="265" t="str">
        <f t="shared" si="3"/>
        <v/>
      </c>
      <c r="M117" s="265" t="str">
        <f t="shared" si="4"/>
        <v/>
      </c>
      <c r="N117" s="240" t="str">
        <f t="shared" si="5"/>
        <v>-</v>
      </c>
      <c r="O117" s="265" t="str">
        <f t="shared" si="37"/>
        <v>-</v>
      </c>
      <c r="P117" s="265" t="str">
        <f t="shared" si="38"/>
        <v>-</v>
      </c>
      <c r="Q117" s="266" t="str">
        <f t="shared" si="6"/>
        <v>-</v>
      </c>
      <c r="R117" s="267" t="str">
        <f t="shared" si="39"/>
        <v>-</v>
      </c>
      <c r="S117" s="268" t="str">
        <f t="shared" si="40"/>
        <v>-</v>
      </c>
      <c r="T117" s="269" t="str">
        <f t="shared" si="41"/>
        <v/>
      </c>
      <c r="U117" s="221">
        <f t="shared" si="7"/>
        <v>17</v>
      </c>
      <c r="V117" s="220" t="str">
        <f t="shared" si="42"/>
        <v>-</v>
      </c>
      <c r="W117" s="221" t="str">
        <f t="shared" si="43"/>
        <v>-</v>
      </c>
      <c r="X117" s="221" t="str">
        <f t="shared" si="8"/>
        <v>-</v>
      </c>
      <c r="Y117" s="221" t="str">
        <f t="shared" si="9"/>
        <v>-</v>
      </c>
      <c r="Z117" s="270">
        <f t="shared" si="44"/>
        <v>0.1</v>
      </c>
      <c r="AA117" s="271" t="str">
        <f>IFERROR(IF(V116=1,AA$100*EXP(-(LN(2)/$D$65+0.04)*X116)*EXP(-(LN(2)/$D$65+0.1)*Y116),IF(V116=2,AA$100*EXP(-(LN(2)/$D$65+0.04)*(VLOOKUP(($F$16-$F$15)-1,U$99:Y116,4,FALSE)))*EXP(-(LN(2)/$D$65+0.1)*(VLOOKUP(($F$16-$F$15)-1,U$99:Y116,5,FALSE)))*EXP(-(LN(2)/$D$65+0.04)*X116)*EXP(-(LN(2)/$D$65+0.1)*Y116),IF(V116=3,AA$100*EXP(-(LN(2)/$D$65+0.04)*(VLOOKUP(($F$16-$F$15)-1,U$99:Y116,4,FALSE)))*EXP(-(LN(2)/$D$65+0.1)*(VLOOKUP(($F$16-$F$15)-1,U$99:Y116,5,FALSE)))*EXP(-(LN(2)/$D$65+0.04)*(VLOOKUP(($F$16-$F$15)*2-1,U$99:Y116,4,FALSE)))*EXP(-(LN(2)/$D$65+0.1)*(VLOOKUP(($F$16-$F$15)*2-1,U$99:Y116,5,FALSE)))*EXP(-(LN(2)/$D$65+0.04)*X116)*EXP(-(LN(2)/$D$65+0.1)*Y116),"-"))),"-")</f>
        <v>-</v>
      </c>
      <c r="AB117" s="271" t="str">
        <f>IFERROR(IF(V117=1,AB$100*EXP(-(LN(2)/$D$65+0.04)*X117)*EXP(-(LN(2)/$D$65+0.1)*Y117),IF(V117=2,AB$100*EXP(-(LN(2)/$D$65+0.04)*(VLOOKUP(($F$16-$F$15)-1,U$100:Y117,4,FALSE)))*EXP(-(LN(2)/$D$65+0.1)*(VLOOKUP(($F$16-$F$15)-1,U$100:Y117,5,FALSE)))*EXP(-(LN(2)/$D$65+0.04)*X117)*EXP(-(LN(2)/$D$65+0.1)*Y117),IF(V117=3,AB$100*EXP(-(LN(2)/$D$65+0.04)*(VLOOKUP(($F$16-$F$15)-1,U$100:Y117,4,FALSE)))*EXP(-(LN(2)/$D$65+0.1)*(VLOOKUP(($F$16-$F$15)-1,U$100:Y117,5,FALSE)))*EXP(-(LN(2)/$D$65+0.04)*(VLOOKUP(($F$16-$F$15)*2-1,U$100:Y117,4,FALSE)))*EXP(-(LN(2)/$D$65+0.1)*(VLOOKUP(($F$16-$F$15)*2-1,U$100:Y117,5,FALSE)))*EXP(-(LN(2)/$D$65+0.04)*X117)*EXP(-(LN(2)/$D$65+0.1)*Y117),"-"))),"-")</f>
        <v>-</v>
      </c>
      <c r="AC117" s="224">
        <f t="shared" si="45"/>
        <v>17</v>
      </c>
      <c r="AD117" s="223" t="str">
        <f t="shared" si="11"/>
        <v>-</v>
      </c>
      <c r="AE117" s="224" t="str">
        <f t="shared" si="46"/>
        <v>-</v>
      </c>
      <c r="AF117" s="224" t="str">
        <f t="shared" si="12"/>
        <v>-</v>
      </c>
      <c r="AG117" s="224" t="str">
        <f t="shared" si="13"/>
        <v>-</v>
      </c>
      <c r="AH117" s="272">
        <f t="shared" si="47"/>
        <v>0.1</v>
      </c>
      <c r="AI117" s="271" t="str">
        <f>IFERROR(IF(AD116=1,AI$100*EXP(-(LN(2)/$D$65+0.04)*AF116)*EXP(-(LN(2)/$D$65+0.1)*AG116),IF(AD116=2,AI$100*EXP(-(LN(2)/$D$65+0.04)*(VLOOKUP(($F$16-$F$15)-1,AC$99:AG116,4,FALSE)))*EXP(-(LN(2)/$D$65+0.1)*(VLOOKUP(($F$16-$F$15)-1,AC$99:AG116,5,FALSE)))*EXP(-(LN(2)/$D$65+0.04)*AF116)*EXP(-(LN(2)/$D$65+0.1)*AG116),IF(AD116=3,AI$100*EXP(-(LN(2)/$D$65+0.04)*(VLOOKUP(($F$16-$F$15)-1,AC$99:AG116,4,FALSE)))*EXP(-(LN(2)/$D$65+0.1)*(VLOOKUP(($F$16-$F$15)-1,AC$99:AG116,5,FALSE)))*EXP(-(LN(2)/$D$65+0.04)*(VLOOKUP(($F$16-$F$15)*2-1,AC$99:AG116,4,FALSE)))*EXP(-(LN(2)/$D$65+0.1)*(VLOOKUP(($F$16-$F$15)*2-1,AC$99:AG116,5,FALSE)))*EXP(-(LN(2)/$D$65+0.04)*AF116)*EXP(-(LN(2)/$D$65+0.1)*AG116),"-"))),"-")</f>
        <v>-</v>
      </c>
      <c r="AJ117" s="271" t="str">
        <f>IFERROR(IF(AD117=1,AJ$100*EXP(-(LN(2)/$D$65+0.04)*AF117)*EXP(-(LN(2)/$D$65+0.1)*AG117),IF(AD117=2,AJ$100*EXP(-(LN(2)/$D$65+0.04)*(VLOOKUP(($F$16-$F$15)-1,AC$100:AG117,4,FALSE)))*EXP(-(LN(2)/$D$65+0.1)*(VLOOKUP(($F$16-$F$15)-1,AC$100:AG117,5,FALSE)))*EXP(-(LN(2)/$D$65+0.04)*AF117)*EXP(-(LN(2)/$D$65+0.1)*AG117),IF(AD117=3,AJ$100*EXP(-(LN(2)/$D$65+0.04)*(VLOOKUP(($F$16-$F$15)-1,AC$100:AG117,4,FALSE)))*EXP(-(LN(2)/$D$65+0.1)*(VLOOKUP(($F$16-$F$15)-1,AC$100:AG117,5,FALSE)))*EXP(-(LN(2)/$D$65+0.04)*(VLOOKUP(($F$16-$F$15)*2-1,AC$100:AG117,4,FALSE)))*EXP(-(LN(2)/$D$65+0.1)*(VLOOKUP(($F$16-$F$15)*2-1,AC$100:AG117,5,FALSE)))*EXP(-(LN(2)/$D$65+0.04)*AF117)*EXP(-(LN(2)/$D$65+0.1)*AG117),"-"))),"-")</f>
        <v>-</v>
      </c>
      <c r="AK117" s="227">
        <f t="shared" si="49"/>
        <v>17</v>
      </c>
      <c r="AL117" s="226" t="str">
        <f t="shared" si="15"/>
        <v>-</v>
      </c>
      <c r="AM117" s="227" t="str">
        <f t="shared" si="50"/>
        <v>-</v>
      </c>
      <c r="AN117" s="227" t="str">
        <f t="shared" si="51"/>
        <v>-</v>
      </c>
      <c r="AO117" s="227" t="str">
        <f t="shared" si="16"/>
        <v>-</v>
      </c>
      <c r="AP117" s="273">
        <f t="shared" si="52"/>
        <v>0.1</v>
      </c>
      <c r="AQ117" s="271" t="str">
        <f>IFERROR(IF(AL116=1,AQ$100*EXP(-(LN(2)/$D$65+0.04)*AN116)*EXP(-(LN(2)/$D$65+0.1)*AO116),IF(AL116=2,AQ$100*EXP(-(LN(2)/$D$65+0.04)*(VLOOKUP(($F$16-$F$15)-1,AK$99:AO116,4,FALSE)))*EXP(-(LN(2)/$D$65+0.1)*(VLOOKUP(($F$16-$F$15)-1,AK$99:AO116,5,FALSE)))*EXP(-(LN(2)/$D$65+0.04)*AN116)*EXP(-(LN(2)/$D$65+0.1)*AO116),IF(AL116=3,AQ$100*EXP(-(LN(2)/$D$65+0.04)*(VLOOKUP(($F$16-$F$15)-1,AK$99:AO116,4,FALSE)))*EXP(-(LN(2)/$D$65+0.1)*(VLOOKUP(($F$16-$F$15)-1,AK$99:AO116,5,FALSE)))*EXP(-(LN(2)/$D$65+0.04)*(VLOOKUP(($F$16-$F$15)*2-1,AK$99:AO116,4,FALSE)))*EXP(-(LN(2)/$D$65+0.1)*(VLOOKUP(($F$16-$F$15)*2-1,AK$99:AO116,5,FALSE)))*EXP(-(LN(2)/$D$65+0.04)*AN116)*EXP(-(LN(2)/$D$65+0.1)*AO116),"-"))),"-")</f>
        <v>-</v>
      </c>
      <c r="AR117" s="271" t="str">
        <f>IFERROR(IF(AL117=1,AR$100*EXP(-(LN(2)/$D$65+0.04)*AN117)*EXP(-(LN(2)/$D$65+0.1)*AO117),IF(AL117=2,AR$100*EXP(-(LN(2)/$D$65+0.04)*(VLOOKUP(($F$16-$F$15)-1,AK$100:AO117,4,FALSE)))*EXP(-(LN(2)/$D$65+0.1)*(VLOOKUP(($F$16-$F$15)-1,AK$100:AO117,5,FALSE)))*EXP(-(LN(2)/$D$65+0.04)*AN117)*EXP(-(LN(2)/$D$65+0.1)*AO117),IF(AL117=3,AR$100*EXP(-(LN(2)/$D$65+0.04)*(VLOOKUP(($F$16-$F$15)-1,AK$100:AO117,4,FALSE)))*EXP(-(LN(2)/$D$65+0.1)*(VLOOKUP(($F$16-$F$15)-1,AK$100:AO117,5,FALSE)))*EXP(-(LN(2)/$D$65+0.04)*(VLOOKUP(($F$16-$F$15)*2-1,AK$100:AO117,4,FALSE)))*EXP(-(LN(2)/$D$65+0.1)*(VLOOKUP(($F$16-$F$15)*2-1,AK$100:AO117,5,FALSE)))*EXP(-(LN(2)/$D$65+0.04)*AN117)*EXP(-(LN(2)/$D$65+0.1)*AO117),"-"))),"-")</f>
        <v>-</v>
      </c>
      <c r="AS117" s="274">
        <f t="shared" si="17"/>
        <v>0</v>
      </c>
      <c r="AT117" s="274">
        <f t="shared" si="18"/>
        <v>0</v>
      </c>
      <c r="AU117" s="274">
        <f t="shared" si="19"/>
        <v>0</v>
      </c>
      <c r="AV117" s="275">
        <f>IF($B117&lt;$F$22,SUM($T$100:$T117),"")</f>
        <v>0</v>
      </c>
      <c r="AW117" s="275" t="str">
        <f t="shared" si="55"/>
        <v>-</v>
      </c>
      <c r="AX117" s="275" t="str">
        <f t="shared" si="56"/>
        <v/>
      </c>
      <c r="AY117"/>
      <c r="AZ117" s="275" t="str">
        <f ca="1">IF(ISNUMBER(OFFSET(AV117,-$F$21,0)),SUM(OFFSET($T$100,$F$21,0):$T117),"")</f>
        <v/>
      </c>
      <c r="BA117" s="275" t="str">
        <f t="shared" ca="1" si="20"/>
        <v/>
      </c>
      <c r="BB117" s="275" t="str">
        <f t="shared" ca="1" si="57"/>
        <v/>
      </c>
      <c r="BC117" s="190"/>
      <c r="BD117" s="275" t="str">
        <f ca="1">IFERROR(IF(AND($B117&gt;=($F$16-$F$15),$B117&lt;$F$22+($F$16-$F$15)),SUM(OFFSET($T$100,($F$16-$F$15),0):$T117),""),"")</f>
        <v/>
      </c>
      <c r="BE117" s="275" t="str">
        <f t="shared" ca="1" si="58"/>
        <v/>
      </c>
      <c r="BF117" s="275" t="str">
        <f t="shared" ca="1" si="59"/>
        <v/>
      </c>
      <c r="BG117"/>
      <c r="BH117" s="190" t="str">
        <f ca="1">IF(ISNUMBER(OFFSET(BD117,-$F$21,0)),SUM(OFFSET($T$100,($F$16-$F$15+$F$21),0):$T117),"")</f>
        <v/>
      </c>
      <c r="BI117" s="190" t="str">
        <f t="shared" ca="1" si="21"/>
        <v/>
      </c>
      <c r="BJ117" s="190" t="str">
        <f t="shared" ca="1" si="60"/>
        <v/>
      </c>
      <c r="BK117" s="190"/>
      <c r="BL117" s="275" t="str">
        <f ca="1">IFERROR(IF(AND($B117&gt;=($F$17-$F$15),$B117&lt;$F$22+($F$17-$F$15)),SUM(OFFSET($T$100,($F$17-$F$15),0):$T117),""),"")</f>
        <v/>
      </c>
      <c r="BM117" s="275" t="str">
        <f t="shared" ca="1" si="22"/>
        <v/>
      </c>
      <c r="BN117" s="275" t="str">
        <f t="shared" ca="1" si="61"/>
        <v/>
      </c>
      <c r="BO117"/>
      <c r="BP117" s="275" t="str">
        <f ca="1">IF(ISNUMBER(OFFSET(BL117,-$F$21,0)),SUM(OFFSET($T$100,($F$17-$F$15+$F$21),0):$T117),"")</f>
        <v/>
      </c>
      <c r="BQ117" s="275" t="str">
        <f t="shared" ca="1" si="62"/>
        <v/>
      </c>
      <c r="BR117" s="275" t="str">
        <f t="shared" ca="1" si="63"/>
        <v/>
      </c>
      <c r="BS117" s="190"/>
      <c r="BT117"/>
      <c r="BU117" s="276" t="str">
        <f t="shared" si="64"/>
        <v>end</v>
      </c>
      <c r="BV117" s="277">
        <v>17</v>
      </c>
      <c r="BW117" s="278" t="str">
        <f t="shared" si="69"/>
        <v/>
      </c>
      <c r="BX117" s="278" t="str">
        <f t="shared" si="68"/>
        <v/>
      </c>
      <c r="BY117" s="279" t="str">
        <f t="shared" si="65"/>
        <v/>
      </c>
      <c r="BZ117"/>
      <c r="CA117" s="280" t="str">
        <f t="shared" si="23"/>
        <v>-</v>
      </c>
      <c r="CB117" s="71" t="str">
        <f t="shared" si="24"/>
        <v>-</v>
      </c>
      <c r="CC117" s="33" t="str">
        <f t="shared" si="25"/>
        <v>17-18</v>
      </c>
      <c r="CD117" s="261" t="str">
        <f t="shared" si="26"/>
        <v/>
      </c>
      <c r="CE117" s="280" t="str">
        <f t="shared" si="27"/>
        <v>-</v>
      </c>
      <c r="CF117" s="71" t="str">
        <f t="shared" ca="1" si="28"/>
        <v>-</v>
      </c>
      <c r="CG117" s="33" t="str">
        <f t="shared" si="29"/>
        <v>17-18</v>
      </c>
      <c r="CH117" s="261" t="str">
        <f t="shared" ca="1" si="30"/>
        <v/>
      </c>
      <c r="CI117" s="202"/>
      <c r="CP117" s="99"/>
      <c r="CQ117" s="99"/>
      <c r="CR117" s="99"/>
      <c r="CS117" s="99"/>
      <c r="CT117" s="99"/>
      <c r="CU117" s="99"/>
      <c r="CV117" s="99"/>
      <c r="CW117" s="99"/>
      <c r="CX117" s="99"/>
      <c r="CY117" s="99"/>
      <c r="CZ117" s="99"/>
      <c r="DA117" s="99"/>
      <c r="DB117" s="99"/>
      <c r="DC117" s="99"/>
    </row>
    <row r="118" spans="2:107" ht="13.5" customHeight="1" x14ac:dyDescent="0.2">
      <c r="B118" s="262">
        <v>18</v>
      </c>
      <c r="C118" s="237" t="str">
        <f t="shared" si="31"/>
        <v/>
      </c>
      <c r="D118" s="237" t="str">
        <f t="shared" si="66"/>
        <v>-</v>
      </c>
      <c r="E118" s="290" t="str">
        <f t="shared" si="32"/>
        <v/>
      </c>
      <c r="F118" s="264" t="str">
        <f t="shared" si="33"/>
        <v/>
      </c>
      <c r="G118" s="291" t="str">
        <f t="shared" si="34"/>
        <v/>
      </c>
      <c r="H118" s="240" t="str">
        <f t="shared" si="35"/>
        <v/>
      </c>
      <c r="I118" s="265" t="str">
        <f t="shared" si="1"/>
        <v/>
      </c>
      <c r="J118" s="265" t="str">
        <f t="shared" si="2"/>
        <v/>
      </c>
      <c r="K118" s="240" t="str">
        <f t="shared" si="36"/>
        <v/>
      </c>
      <c r="L118" s="265" t="str">
        <f t="shared" si="3"/>
        <v/>
      </c>
      <c r="M118" s="265" t="str">
        <f t="shared" si="4"/>
        <v/>
      </c>
      <c r="N118" s="240" t="str">
        <f t="shared" si="5"/>
        <v>-</v>
      </c>
      <c r="O118" s="265" t="str">
        <f t="shared" si="37"/>
        <v>-</v>
      </c>
      <c r="P118" s="265" t="str">
        <f t="shared" si="38"/>
        <v>-</v>
      </c>
      <c r="Q118" s="266" t="str">
        <f t="shared" si="6"/>
        <v>-</v>
      </c>
      <c r="R118" s="267" t="str">
        <f t="shared" si="39"/>
        <v>-</v>
      </c>
      <c r="S118" s="268" t="str">
        <f t="shared" si="40"/>
        <v>-</v>
      </c>
      <c r="T118" s="269" t="str">
        <f t="shared" si="41"/>
        <v/>
      </c>
      <c r="U118" s="221">
        <f t="shared" si="7"/>
        <v>18</v>
      </c>
      <c r="V118" s="220" t="str">
        <f t="shared" si="42"/>
        <v>-</v>
      </c>
      <c r="W118" s="221" t="str">
        <f t="shared" si="43"/>
        <v>-</v>
      </c>
      <c r="X118" s="221" t="str">
        <f t="shared" si="8"/>
        <v>-</v>
      </c>
      <c r="Y118" s="221" t="str">
        <f t="shared" si="9"/>
        <v>-</v>
      </c>
      <c r="Z118" s="270">
        <f t="shared" si="44"/>
        <v>0.1</v>
      </c>
      <c r="AA118" s="271" t="str">
        <f>IFERROR(IF(V117=1,AA$100*EXP(-(LN(2)/$D$65+0.04)*X117)*EXP(-(LN(2)/$D$65+0.1)*Y117),IF(V117=2,AA$100*EXP(-(LN(2)/$D$65+0.04)*(VLOOKUP(($F$16-$F$15)-1,U$99:Y117,4,FALSE)))*EXP(-(LN(2)/$D$65+0.1)*(VLOOKUP(($F$16-$F$15)-1,U$99:Y117,5,FALSE)))*EXP(-(LN(2)/$D$65+0.04)*X117)*EXP(-(LN(2)/$D$65+0.1)*Y117),IF(V117=3,AA$100*EXP(-(LN(2)/$D$65+0.04)*(VLOOKUP(($F$16-$F$15)-1,U$99:Y117,4,FALSE)))*EXP(-(LN(2)/$D$65+0.1)*(VLOOKUP(($F$16-$F$15)-1,U$99:Y117,5,FALSE)))*EXP(-(LN(2)/$D$65+0.04)*(VLOOKUP(($F$16-$F$15)*2-1,U$99:Y117,4,FALSE)))*EXP(-(LN(2)/$D$65+0.1)*(VLOOKUP(($F$16-$F$15)*2-1,U$99:Y117,5,FALSE)))*EXP(-(LN(2)/$D$65+0.04)*X117)*EXP(-(LN(2)/$D$65+0.1)*Y117),"-"))),"-")</f>
        <v>-</v>
      </c>
      <c r="AB118" s="271" t="str">
        <f>IFERROR(IF(V118=1,AB$100*EXP(-(LN(2)/$D$65+0.04)*X118)*EXP(-(LN(2)/$D$65+0.1)*Y118),IF(V118=2,AB$100*EXP(-(LN(2)/$D$65+0.04)*(VLOOKUP(($F$16-$F$15)-1,U$100:Y118,4,FALSE)))*EXP(-(LN(2)/$D$65+0.1)*(VLOOKUP(($F$16-$F$15)-1,U$100:Y118,5,FALSE)))*EXP(-(LN(2)/$D$65+0.04)*X118)*EXP(-(LN(2)/$D$65+0.1)*Y118),IF(V118=3,AB$100*EXP(-(LN(2)/$D$65+0.04)*(VLOOKUP(($F$16-$F$15)-1,U$100:Y118,4,FALSE)))*EXP(-(LN(2)/$D$65+0.1)*(VLOOKUP(($F$16-$F$15)-1,U$100:Y118,5,FALSE)))*EXP(-(LN(2)/$D$65+0.04)*(VLOOKUP(($F$16-$F$15)*2-1,U$100:Y118,4,FALSE)))*EXP(-(LN(2)/$D$65+0.1)*(VLOOKUP(($F$16-$F$15)*2-1,U$100:Y118,5,FALSE)))*EXP(-(LN(2)/$D$65+0.04)*X118)*EXP(-(LN(2)/$D$65+0.1)*Y118),"-"))),"-")</f>
        <v>-</v>
      </c>
      <c r="AC118" s="224">
        <f t="shared" si="45"/>
        <v>18</v>
      </c>
      <c r="AD118" s="223" t="str">
        <f t="shared" si="11"/>
        <v>-</v>
      </c>
      <c r="AE118" s="224" t="str">
        <f t="shared" si="46"/>
        <v>-</v>
      </c>
      <c r="AF118" s="224" t="str">
        <f t="shared" si="12"/>
        <v>-</v>
      </c>
      <c r="AG118" s="224" t="str">
        <f t="shared" si="13"/>
        <v>-</v>
      </c>
      <c r="AH118" s="272">
        <f t="shared" si="47"/>
        <v>0.1</v>
      </c>
      <c r="AI118" s="271" t="str">
        <f>IFERROR(IF(AD117=1,AI$100*EXP(-(LN(2)/$D$65+0.04)*AF117)*EXP(-(LN(2)/$D$65+0.1)*AG117),IF(AD117=2,AI$100*EXP(-(LN(2)/$D$65+0.04)*(VLOOKUP(($F$16-$F$15)-1,AC$99:AG117,4,FALSE)))*EXP(-(LN(2)/$D$65+0.1)*(VLOOKUP(($F$16-$F$15)-1,AC$99:AG117,5,FALSE)))*EXP(-(LN(2)/$D$65+0.04)*AF117)*EXP(-(LN(2)/$D$65+0.1)*AG117),IF(AD117=3,AI$100*EXP(-(LN(2)/$D$65+0.04)*(VLOOKUP(($F$16-$F$15)-1,AC$99:AG117,4,FALSE)))*EXP(-(LN(2)/$D$65+0.1)*(VLOOKUP(($F$16-$F$15)-1,AC$99:AG117,5,FALSE)))*EXP(-(LN(2)/$D$65+0.04)*(VLOOKUP(($F$16-$F$15)*2-1,AC$99:AG117,4,FALSE)))*EXP(-(LN(2)/$D$65+0.1)*(VLOOKUP(($F$16-$F$15)*2-1,AC$99:AG117,5,FALSE)))*EXP(-(LN(2)/$D$65+0.04)*AF117)*EXP(-(LN(2)/$D$65+0.1)*AG117),"-"))),"-")</f>
        <v>-</v>
      </c>
      <c r="AJ118" s="271" t="str">
        <f>IFERROR(IF(AD118=1,AJ$100*EXP(-(LN(2)/$D$65+0.04)*AF118)*EXP(-(LN(2)/$D$65+0.1)*AG118),IF(AD118=2,AJ$100*EXP(-(LN(2)/$D$65+0.04)*(VLOOKUP(($F$16-$F$15)-1,AC$100:AG118,4,FALSE)))*EXP(-(LN(2)/$D$65+0.1)*(VLOOKUP(($F$16-$F$15)-1,AC$100:AG118,5,FALSE)))*EXP(-(LN(2)/$D$65+0.04)*AF118)*EXP(-(LN(2)/$D$65+0.1)*AG118),IF(AD118=3,AJ$100*EXP(-(LN(2)/$D$65+0.04)*(VLOOKUP(($F$16-$F$15)-1,AC$100:AG118,4,FALSE)))*EXP(-(LN(2)/$D$65+0.1)*(VLOOKUP(($F$16-$F$15)-1,AC$100:AG118,5,FALSE)))*EXP(-(LN(2)/$D$65+0.04)*(VLOOKUP(($F$16-$F$15)*2-1,AC$100:AG118,4,FALSE)))*EXP(-(LN(2)/$D$65+0.1)*(VLOOKUP(($F$16-$F$15)*2-1,AC$100:AG118,5,FALSE)))*EXP(-(LN(2)/$D$65+0.04)*AF118)*EXP(-(LN(2)/$D$65+0.1)*AG118),"-"))),"-")</f>
        <v>-</v>
      </c>
      <c r="AK118" s="227">
        <f t="shared" si="49"/>
        <v>18</v>
      </c>
      <c r="AL118" s="226" t="str">
        <f t="shared" si="15"/>
        <v>-</v>
      </c>
      <c r="AM118" s="227" t="str">
        <f t="shared" si="50"/>
        <v>-</v>
      </c>
      <c r="AN118" s="227" t="str">
        <f t="shared" si="51"/>
        <v>-</v>
      </c>
      <c r="AO118" s="227" t="str">
        <f t="shared" si="16"/>
        <v>-</v>
      </c>
      <c r="AP118" s="273">
        <f t="shared" si="52"/>
        <v>0.1</v>
      </c>
      <c r="AQ118" s="271" t="str">
        <f>IFERROR(IF(AL117=1,AQ$100*EXP(-(LN(2)/$D$65+0.04)*AN117)*EXP(-(LN(2)/$D$65+0.1)*AO117),IF(AL117=2,AQ$100*EXP(-(LN(2)/$D$65+0.04)*(VLOOKUP(($F$16-$F$15)-1,AK$99:AO117,4,FALSE)))*EXP(-(LN(2)/$D$65+0.1)*(VLOOKUP(($F$16-$F$15)-1,AK$99:AO117,5,FALSE)))*EXP(-(LN(2)/$D$65+0.04)*AN117)*EXP(-(LN(2)/$D$65+0.1)*AO117),IF(AL117=3,AQ$100*EXP(-(LN(2)/$D$65+0.04)*(VLOOKUP(($F$16-$F$15)-1,AK$99:AO117,4,FALSE)))*EXP(-(LN(2)/$D$65+0.1)*(VLOOKUP(($F$16-$F$15)-1,AK$99:AO117,5,FALSE)))*EXP(-(LN(2)/$D$65+0.04)*(VLOOKUP(($F$16-$F$15)*2-1,AK$99:AO117,4,FALSE)))*EXP(-(LN(2)/$D$65+0.1)*(VLOOKUP(($F$16-$F$15)*2-1,AK$99:AO117,5,FALSE)))*EXP(-(LN(2)/$D$65+0.04)*AN117)*EXP(-(LN(2)/$D$65+0.1)*AO117),"-"))),"-")</f>
        <v>-</v>
      </c>
      <c r="AR118" s="271" t="str">
        <f>IFERROR(IF(AL118=1,AR$100*EXP(-(LN(2)/$D$65+0.04)*AN118)*EXP(-(LN(2)/$D$65+0.1)*AO118),IF(AL118=2,AR$100*EXP(-(LN(2)/$D$65+0.04)*(VLOOKUP(($F$16-$F$15)-1,AK$100:AO118,4,FALSE)))*EXP(-(LN(2)/$D$65+0.1)*(VLOOKUP(($F$16-$F$15)-1,AK$100:AO118,5,FALSE)))*EXP(-(LN(2)/$D$65+0.04)*AN118)*EXP(-(LN(2)/$D$65+0.1)*AO118),IF(AL118=3,AR$100*EXP(-(LN(2)/$D$65+0.04)*(VLOOKUP(($F$16-$F$15)-1,AK$100:AO118,4,FALSE)))*EXP(-(LN(2)/$D$65+0.1)*(VLOOKUP(($F$16-$F$15)-1,AK$100:AO118,5,FALSE)))*EXP(-(LN(2)/$D$65+0.04)*(VLOOKUP(($F$16-$F$15)*2-1,AK$100:AO118,4,FALSE)))*EXP(-(LN(2)/$D$65+0.1)*(VLOOKUP(($F$16-$F$15)*2-1,AK$100:AO118,5,FALSE)))*EXP(-(LN(2)/$D$65+0.04)*AN118)*EXP(-(LN(2)/$D$65+0.1)*AO118),"-"))),"-")</f>
        <v>-</v>
      </c>
      <c r="AS118" s="274">
        <f t="shared" si="17"/>
        <v>0</v>
      </c>
      <c r="AT118" s="274">
        <f t="shared" si="18"/>
        <v>0</v>
      </c>
      <c r="AU118" s="274">
        <f t="shared" si="19"/>
        <v>0</v>
      </c>
      <c r="AV118" s="275">
        <f>IF($B118&lt;$F$22,SUM($T$100:$T118),"")</f>
        <v>0</v>
      </c>
      <c r="AW118" s="275" t="str">
        <f t="shared" si="55"/>
        <v>-</v>
      </c>
      <c r="AX118" s="275" t="str">
        <f t="shared" si="56"/>
        <v/>
      </c>
      <c r="AY118"/>
      <c r="AZ118" s="275" t="str">
        <f ca="1">IF(ISNUMBER(OFFSET(AV118,-$F$21,0)),SUM(OFFSET($T$100,$F$21,0):$T118),"")</f>
        <v/>
      </c>
      <c r="BA118" s="275" t="str">
        <f t="shared" ca="1" si="20"/>
        <v/>
      </c>
      <c r="BB118" s="275" t="str">
        <f t="shared" ca="1" si="57"/>
        <v/>
      </c>
      <c r="BC118" s="190"/>
      <c r="BD118" s="275" t="str">
        <f ca="1">IFERROR(IF(AND($B118&gt;=($F$16-$F$15),$B118&lt;$F$22+($F$16-$F$15)),SUM(OFFSET($T$100,($F$16-$F$15),0):$T118),""),"")</f>
        <v/>
      </c>
      <c r="BE118" s="275" t="str">
        <f t="shared" ca="1" si="58"/>
        <v/>
      </c>
      <c r="BF118" s="275" t="str">
        <f t="shared" ca="1" si="59"/>
        <v/>
      </c>
      <c r="BG118"/>
      <c r="BH118" s="190" t="str">
        <f ca="1">IF(ISNUMBER(OFFSET(BD118,-$F$21,0)),SUM(OFFSET($T$100,($F$16-$F$15+$F$21),0):$T118),"")</f>
        <v/>
      </c>
      <c r="BI118" s="190" t="str">
        <f t="shared" ca="1" si="21"/>
        <v/>
      </c>
      <c r="BJ118" s="190" t="str">
        <f t="shared" ca="1" si="60"/>
        <v/>
      </c>
      <c r="BK118" s="190"/>
      <c r="BL118" s="275" t="str">
        <f ca="1">IFERROR(IF(AND($B118&gt;=($F$17-$F$15),$B118&lt;$F$22+($F$17-$F$15)),SUM(OFFSET($T$100,($F$17-$F$15),0):$T118),""),"")</f>
        <v/>
      </c>
      <c r="BM118" s="275" t="str">
        <f t="shared" ca="1" si="22"/>
        <v/>
      </c>
      <c r="BN118" s="275" t="str">
        <f t="shared" ca="1" si="61"/>
        <v/>
      </c>
      <c r="BO118"/>
      <c r="BP118" s="275" t="str">
        <f ca="1">IF(ISNUMBER(OFFSET(BL118,-$F$21,0)),SUM(OFFSET($T$100,($F$17-$F$15+$F$21),0):$T118),"")</f>
        <v/>
      </c>
      <c r="BQ118" s="275" t="str">
        <f t="shared" ca="1" si="62"/>
        <v/>
      </c>
      <c r="BR118" s="275" t="str">
        <f t="shared" ca="1" si="63"/>
        <v/>
      </c>
      <c r="BS118" s="190"/>
      <c r="BT118"/>
      <c r="BU118" s="276" t="str">
        <f t="shared" si="64"/>
        <v>end</v>
      </c>
      <c r="BV118" s="277">
        <v>18</v>
      </c>
      <c r="BW118" s="278" t="str">
        <f t="shared" si="69"/>
        <v/>
      </c>
      <c r="BX118" s="278" t="str">
        <f t="shared" si="68"/>
        <v/>
      </c>
      <c r="BY118" s="279" t="str">
        <f t="shared" si="65"/>
        <v/>
      </c>
      <c r="BZ118"/>
      <c r="CA118" s="280" t="str">
        <f t="shared" si="23"/>
        <v>-</v>
      </c>
      <c r="CB118" s="71" t="str">
        <f t="shared" si="24"/>
        <v>-</v>
      </c>
      <c r="CC118" s="33" t="str">
        <f t="shared" si="25"/>
        <v>18-19</v>
      </c>
      <c r="CD118" s="261" t="str">
        <f t="shared" si="26"/>
        <v/>
      </c>
      <c r="CE118" s="280" t="str">
        <f t="shared" si="27"/>
        <v>-</v>
      </c>
      <c r="CF118" s="71" t="str">
        <f t="shared" ca="1" si="28"/>
        <v>-</v>
      </c>
      <c r="CG118" s="33" t="str">
        <f t="shared" si="29"/>
        <v>18-19</v>
      </c>
      <c r="CH118" s="261" t="str">
        <f t="shared" ca="1" si="30"/>
        <v/>
      </c>
      <c r="CI118" s="202"/>
      <c r="CP118" s="99"/>
      <c r="CQ118" s="99"/>
      <c r="CR118" s="99"/>
      <c r="CS118" s="99"/>
      <c r="CT118" s="99"/>
      <c r="CU118" s="99"/>
      <c r="CV118" s="99"/>
      <c r="CW118" s="99"/>
      <c r="CX118" s="99"/>
      <c r="CY118" s="99"/>
      <c r="CZ118" s="99"/>
      <c r="DA118" s="99"/>
      <c r="DB118" s="99"/>
      <c r="DC118" s="99"/>
    </row>
    <row r="119" spans="2:107" ht="13.5" customHeight="1" x14ac:dyDescent="0.2">
      <c r="B119" s="262">
        <v>19</v>
      </c>
      <c r="C119" s="237" t="str">
        <f t="shared" si="31"/>
        <v/>
      </c>
      <c r="D119" s="237" t="str">
        <f t="shared" si="66"/>
        <v>-</v>
      </c>
      <c r="E119" s="290" t="str">
        <f t="shared" si="32"/>
        <v/>
      </c>
      <c r="F119" s="264" t="str">
        <f t="shared" si="33"/>
        <v/>
      </c>
      <c r="G119" s="291" t="str">
        <f t="shared" si="34"/>
        <v/>
      </c>
      <c r="H119" s="240" t="str">
        <f t="shared" si="35"/>
        <v/>
      </c>
      <c r="I119" s="265" t="str">
        <f t="shared" si="1"/>
        <v/>
      </c>
      <c r="J119" s="265" t="str">
        <f t="shared" si="2"/>
        <v/>
      </c>
      <c r="K119" s="240" t="str">
        <f t="shared" si="36"/>
        <v/>
      </c>
      <c r="L119" s="265" t="str">
        <f t="shared" si="3"/>
        <v/>
      </c>
      <c r="M119" s="265" t="str">
        <f t="shared" si="4"/>
        <v/>
      </c>
      <c r="N119" s="240" t="str">
        <f t="shared" si="5"/>
        <v>-</v>
      </c>
      <c r="O119" s="265" t="str">
        <f t="shared" si="37"/>
        <v>-</v>
      </c>
      <c r="P119" s="265" t="str">
        <f t="shared" si="38"/>
        <v>-</v>
      </c>
      <c r="Q119" s="266" t="str">
        <f t="shared" si="6"/>
        <v>-</v>
      </c>
      <c r="R119" s="267" t="str">
        <f t="shared" si="39"/>
        <v>-</v>
      </c>
      <c r="S119" s="268" t="str">
        <f t="shared" si="40"/>
        <v>-</v>
      </c>
      <c r="T119" s="269" t="str">
        <f t="shared" si="41"/>
        <v/>
      </c>
      <c r="U119" s="221">
        <f t="shared" si="7"/>
        <v>19</v>
      </c>
      <c r="V119" s="220" t="str">
        <f t="shared" si="42"/>
        <v>-</v>
      </c>
      <c r="W119" s="221" t="str">
        <f t="shared" si="43"/>
        <v>-</v>
      </c>
      <c r="X119" s="221" t="str">
        <f t="shared" si="8"/>
        <v>-</v>
      </c>
      <c r="Y119" s="221" t="str">
        <f t="shared" si="9"/>
        <v>-</v>
      </c>
      <c r="Z119" s="270">
        <f t="shared" si="44"/>
        <v>0.1</v>
      </c>
      <c r="AA119" s="271" t="str">
        <f>IFERROR(IF(V118=1,AA$100*EXP(-(LN(2)/$D$65+0.04)*X118)*EXP(-(LN(2)/$D$65+0.1)*Y118),IF(V118=2,AA$100*EXP(-(LN(2)/$D$65+0.04)*(VLOOKUP(($F$16-$F$15)-1,U$99:Y118,4,FALSE)))*EXP(-(LN(2)/$D$65+0.1)*(VLOOKUP(($F$16-$F$15)-1,U$99:Y118,5,FALSE)))*EXP(-(LN(2)/$D$65+0.04)*X118)*EXP(-(LN(2)/$D$65+0.1)*Y118),IF(V118=3,AA$100*EXP(-(LN(2)/$D$65+0.04)*(VLOOKUP(($F$16-$F$15)-1,U$99:Y118,4,FALSE)))*EXP(-(LN(2)/$D$65+0.1)*(VLOOKUP(($F$16-$F$15)-1,U$99:Y118,5,FALSE)))*EXP(-(LN(2)/$D$65+0.04)*(VLOOKUP(($F$16-$F$15)*2-1,U$99:Y118,4,FALSE)))*EXP(-(LN(2)/$D$65+0.1)*(VLOOKUP(($F$16-$F$15)*2-1,U$99:Y118,5,FALSE)))*EXP(-(LN(2)/$D$65+0.04)*X118)*EXP(-(LN(2)/$D$65+0.1)*Y118),"-"))),"-")</f>
        <v>-</v>
      </c>
      <c r="AB119" s="271" t="str">
        <f>IFERROR(IF(V119=1,AB$100*EXP(-(LN(2)/$D$65+0.04)*X119)*EXP(-(LN(2)/$D$65+0.1)*Y119),IF(V119=2,AB$100*EXP(-(LN(2)/$D$65+0.04)*(VLOOKUP(($F$16-$F$15)-1,U$100:Y119,4,FALSE)))*EXP(-(LN(2)/$D$65+0.1)*(VLOOKUP(($F$16-$F$15)-1,U$100:Y119,5,FALSE)))*EXP(-(LN(2)/$D$65+0.04)*X119)*EXP(-(LN(2)/$D$65+0.1)*Y119),IF(V119=3,AB$100*EXP(-(LN(2)/$D$65+0.04)*(VLOOKUP(($F$16-$F$15)-1,U$100:Y119,4,FALSE)))*EXP(-(LN(2)/$D$65+0.1)*(VLOOKUP(($F$16-$F$15)-1,U$100:Y119,5,FALSE)))*EXP(-(LN(2)/$D$65+0.04)*(VLOOKUP(($F$16-$F$15)*2-1,U$100:Y119,4,FALSE)))*EXP(-(LN(2)/$D$65+0.1)*(VLOOKUP(($F$16-$F$15)*2-1,U$100:Y119,5,FALSE)))*EXP(-(LN(2)/$D$65+0.04)*X119)*EXP(-(LN(2)/$D$65+0.1)*Y119),"-"))),"-")</f>
        <v>-</v>
      </c>
      <c r="AC119" s="224">
        <f t="shared" si="45"/>
        <v>19</v>
      </c>
      <c r="AD119" s="223" t="str">
        <f t="shared" si="11"/>
        <v>-</v>
      </c>
      <c r="AE119" s="224" t="str">
        <f t="shared" si="46"/>
        <v>-</v>
      </c>
      <c r="AF119" s="224" t="str">
        <f t="shared" si="12"/>
        <v>-</v>
      </c>
      <c r="AG119" s="224" t="str">
        <f t="shared" si="13"/>
        <v>-</v>
      </c>
      <c r="AH119" s="272">
        <f t="shared" si="47"/>
        <v>0.1</v>
      </c>
      <c r="AI119" s="271" t="str">
        <f>IFERROR(IF(AD118=1,AI$100*EXP(-(LN(2)/$D$65+0.04)*AF118)*EXP(-(LN(2)/$D$65+0.1)*AG118),IF(AD118=2,AI$100*EXP(-(LN(2)/$D$65+0.04)*(VLOOKUP(($F$16-$F$15)-1,AC$99:AG118,4,FALSE)))*EXP(-(LN(2)/$D$65+0.1)*(VLOOKUP(($F$16-$F$15)-1,AC$99:AG118,5,FALSE)))*EXP(-(LN(2)/$D$65+0.04)*AF118)*EXP(-(LN(2)/$D$65+0.1)*AG118),IF(AD118=3,AI$100*EXP(-(LN(2)/$D$65+0.04)*(VLOOKUP(($F$16-$F$15)-1,AC$99:AG118,4,FALSE)))*EXP(-(LN(2)/$D$65+0.1)*(VLOOKUP(($F$16-$F$15)-1,AC$99:AG118,5,FALSE)))*EXP(-(LN(2)/$D$65+0.04)*(VLOOKUP(($F$16-$F$15)*2-1,AC$99:AG118,4,FALSE)))*EXP(-(LN(2)/$D$65+0.1)*(VLOOKUP(($F$16-$F$15)*2-1,AC$99:AG118,5,FALSE)))*EXP(-(LN(2)/$D$65+0.04)*AF118)*EXP(-(LN(2)/$D$65+0.1)*AG118),"-"))),"-")</f>
        <v>-</v>
      </c>
      <c r="AJ119" s="271" t="str">
        <f>IFERROR(IF(AD119=1,AJ$100*EXP(-(LN(2)/$D$65+0.04)*AF119)*EXP(-(LN(2)/$D$65+0.1)*AG119),IF(AD119=2,AJ$100*EXP(-(LN(2)/$D$65+0.04)*(VLOOKUP(($F$16-$F$15)-1,AC$100:AG119,4,FALSE)))*EXP(-(LN(2)/$D$65+0.1)*(VLOOKUP(($F$16-$F$15)-1,AC$100:AG119,5,FALSE)))*EXP(-(LN(2)/$D$65+0.04)*AF119)*EXP(-(LN(2)/$D$65+0.1)*AG119),IF(AD119=3,AJ$100*EXP(-(LN(2)/$D$65+0.04)*(VLOOKUP(($F$16-$F$15)-1,AC$100:AG119,4,FALSE)))*EXP(-(LN(2)/$D$65+0.1)*(VLOOKUP(($F$16-$F$15)-1,AC$100:AG119,5,FALSE)))*EXP(-(LN(2)/$D$65+0.04)*(VLOOKUP(($F$16-$F$15)*2-1,AC$100:AG119,4,FALSE)))*EXP(-(LN(2)/$D$65+0.1)*(VLOOKUP(($F$16-$F$15)*2-1,AC$100:AG119,5,FALSE)))*EXP(-(LN(2)/$D$65+0.04)*AF119)*EXP(-(LN(2)/$D$65+0.1)*AG119),"-"))),"-")</f>
        <v>-</v>
      </c>
      <c r="AK119" s="227">
        <f t="shared" si="49"/>
        <v>19</v>
      </c>
      <c r="AL119" s="226" t="str">
        <f t="shared" si="15"/>
        <v>-</v>
      </c>
      <c r="AM119" s="227" t="str">
        <f t="shared" si="50"/>
        <v>-</v>
      </c>
      <c r="AN119" s="227" t="str">
        <f t="shared" si="51"/>
        <v>-</v>
      </c>
      <c r="AO119" s="227" t="str">
        <f t="shared" si="16"/>
        <v>-</v>
      </c>
      <c r="AP119" s="273">
        <f t="shared" si="52"/>
        <v>0.1</v>
      </c>
      <c r="AQ119" s="271" t="str">
        <f>IFERROR(IF(AL118=1,AQ$100*EXP(-(LN(2)/$D$65+0.04)*AN118)*EXP(-(LN(2)/$D$65+0.1)*AO118),IF(AL118=2,AQ$100*EXP(-(LN(2)/$D$65+0.04)*(VLOOKUP(($F$16-$F$15)-1,AK$99:AO118,4,FALSE)))*EXP(-(LN(2)/$D$65+0.1)*(VLOOKUP(($F$16-$F$15)-1,AK$99:AO118,5,FALSE)))*EXP(-(LN(2)/$D$65+0.04)*AN118)*EXP(-(LN(2)/$D$65+0.1)*AO118),IF(AL118=3,AQ$100*EXP(-(LN(2)/$D$65+0.04)*(VLOOKUP(($F$16-$F$15)-1,AK$99:AO118,4,FALSE)))*EXP(-(LN(2)/$D$65+0.1)*(VLOOKUP(($F$16-$F$15)-1,AK$99:AO118,5,FALSE)))*EXP(-(LN(2)/$D$65+0.04)*(VLOOKUP(($F$16-$F$15)*2-1,AK$99:AO118,4,FALSE)))*EXP(-(LN(2)/$D$65+0.1)*(VLOOKUP(($F$16-$F$15)*2-1,AK$99:AO118,5,FALSE)))*EXP(-(LN(2)/$D$65+0.04)*AN118)*EXP(-(LN(2)/$D$65+0.1)*AO118),"-"))),"-")</f>
        <v>-</v>
      </c>
      <c r="AR119" s="271" t="str">
        <f>IFERROR(IF(AL119=1,AR$100*EXP(-(LN(2)/$D$65+0.04)*AN119)*EXP(-(LN(2)/$D$65+0.1)*AO119),IF(AL119=2,AR$100*EXP(-(LN(2)/$D$65+0.04)*(VLOOKUP(($F$16-$F$15)-1,AK$100:AO119,4,FALSE)))*EXP(-(LN(2)/$D$65+0.1)*(VLOOKUP(($F$16-$F$15)-1,AK$100:AO119,5,FALSE)))*EXP(-(LN(2)/$D$65+0.04)*AN119)*EXP(-(LN(2)/$D$65+0.1)*AO119),IF(AL119=3,AR$100*EXP(-(LN(2)/$D$65+0.04)*(VLOOKUP(($F$16-$F$15)-1,AK$100:AO119,4,FALSE)))*EXP(-(LN(2)/$D$65+0.1)*(VLOOKUP(($F$16-$F$15)-1,AK$100:AO119,5,FALSE)))*EXP(-(LN(2)/$D$65+0.04)*(VLOOKUP(($F$16-$F$15)*2-1,AK$100:AO119,4,FALSE)))*EXP(-(LN(2)/$D$65+0.1)*(VLOOKUP(($F$16-$F$15)*2-1,AK$100:AO119,5,FALSE)))*EXP(-(LN(2)/$D$65+0.04)*AN119)*EXP(-(LN(2)/$D$65+0.1)*AO119),"-"))),"-")</f>
        <v>-</v>
      </c>
      <c r="AS119" s="274">
        <f t="shared" si="17"/>
        <v>0</v>
      </c>
      <c r="AT119" s="274">
        <f t="shared" si="18"/>
        <v>0</v>
      </c>
      <c r="AU119" s="274">
        <f t="shared" si="19"/>
        <v>0</v>
      </c>
      <c r="AV119" s="275">
        <f>IF($B119&lt;$F$22,SUM($T$100:$T119),"")</f>
        <v>0</v>
      </c>
      <c r="AW119" s="275" t="str">
        <f t="shared" si="55"/>
        <v>-</v>
      </c>
      <c r="AX119" s="275" t="str">
        <f t="shared" si="56"/>
        <v/>
      </c>
      <c r="AY119"/>
      <c r="AZ119" s="275" t="str">
        <f ca="1">IF(ISNUMBER(OFFSET(AV119,-$F$21,0)),SUM(OFFSET($T$100,$F$21,0):$T119),"")</f>
        <v/>
      </c>
      <c r="BA119" s="275" t="str">
        <f t="shared" ca="1" si="20"/>
        <v/>
      </c>
      <c r="BB119" s="275" t="str">
        <f t="shared" ca="1" si="57"/>
        <v/>
      </c>
      <c r="BC119" s="190"/>
      <c r="BD119" s="275" t="str">
        <f ca="1">IFERROR(IF(AND($B119&gt;=($F$16-$F$15),$B119&lt;$F$22+($F$16-$F$15)),SUM(OFFSET($T$100,($F$16-$F$15),0):$T119),""),"")</f>
        <v/>
      </c>
      <c r="BE119" s="275" t="str">
        <f t="shared" ca="1" si="58"/>
        <v/>
      </c>
      <c r="BF119" s="275" t="str">
        <f t="shared" ca="1" si="59"/>
        <v/>
      </c>
      <c r="BG119"/>
      <c r="BH119" s="190" t="str">
        <f ca="1">IF(ISNUMBER(OFFSET(BD119,-$F$21,0)),SUM(OFFSET($T$100,($F$16-$F$15+$F$21),0):$T119),"")</f>
        <v/>
      </c>
      <c r="BI119" s="190" t="str">
        <f t="shared" ca="1" si="21"/>
        <v/>
      </c>
      <c r="BJ119" s="190" t="str">
        <f t="shared" ca="1" si="60"/>
        <v/>
      </c>
      <c r="BK119" s="190"/>
      <c r="BL119" s="275" t="str">
        <f ca="1">IFERROR(IF(AND($B119&gt;=($F$17-$F$15),$B119&lt;$F$22+($F$17-$F$15)),SUM(OFFSET($T$100,($F$17-$F$15),0):$T119),""),"")</f>
        <v/>
      </c>
      <c r="BM119" s="275" t="str">
        <f t="shared" ca="1" si="22"/>
        <v/>
      </c>
      <c r="BN119" s="275" t="str">
        <f t="shared" ca="1" si="61"/>
        <v/>
      </c>
      <c r="BO119"/>
      <c r="BP119" s="275" t="str">
        <f ca="1">IF(ISNUMBER(OFFSET(BL119,-$F$21,0)),SUM(OFFSET($T$100,($F$17-$F$15+$F$21),0):$T119),"")</f>
        <v/>
      </c>
      <c r="BQ119" s="275" t="str">
        <f t="shared" ca="1" si="62"/>
        <v/>
      </c>
      <c r="BR119" s="275" t="str">
        <f t="shared" ca="1" si="63"/>
        <v/>
      </c>
      <c r="BS119" s="190"/>
      <c r="BT119"/>
      <c r="BU119" s="276" t="str">
        <f t="shared" si="64"/>
        <v>end</v>
      </c>
      <c r="BV119" s="277">
        <v>19</v>
      </c>
      <c r="BW119" s="278" t="str">
        <f t="shared" si="69"/>
        <v/>
      </c>
      <c r="BX119" s="278" t="str">
        <f t="shared" si="68"/>
        <v/>
      </c>
      <c r="BY119" s="279" t="str">
        <f t="shared" si="65"/>
        <v/>
      </c>
      <c r="BZ119"/>
      <c r="CA119" s="280" t="str">
        <f t="shared" si="23"/>
        <v>-</v>
      </c>
      <c r="CB119" s="71" t="str">
        <f t="shared" si="24"/>
        <v>-</v>
      </c>
      <c r="CC119" s="33" t="str">
        <f t="shared" si="25"/>
        <v>19-20</v>
      </c>
      <c r="CD119" s="261" t="str">
        <f t="shared" si="26"/>
        <v/>
      </c>
      <c r="CE119" s="280" t="str">
        <f t="shared" si="27"/>
        <v>-</v>
      </c>
      <c r="CF119" s="71" t="str">
        <f t="shared" ca="1" si="28"/>
        <v>-</v>
      </c>
      <c r="CG119" s="33" t="str">
        <f t="shared" si="29"/>
        <v>19-20</v>
      </c>
      <c r="CH119" s="261" t="str">
        <f t="shared" ca="1" si="30"/>
        <v/>
      </c>
      <c r="CI119" s="202"/>
      <c r="CP119" s="99"/>
      <c r="CQ119" s="99"/>
      <c r="CR119" s="99"/>
      <c r="CS119" s="99"/>
      <c r="CT119" s="99"/>
      <c r="CU119" s="99"/>
      <c r="CV119" s="99"/>
      <c r="CW119" s="99"/>
      <c r="CX119" s="99"/>
      <c r="CY119" s="99"/>
      <c r="CZ119" s="99"/>
      <c r="DA119" s="99"/>
      <c r="DB119" s="99"/>
      <c r="DC119" s="99"/>
    </row>
    <row r="120" spans="2:107" ht="13.5" customHeight="1" x14ac:dyDescent="0.2">
      <c r="B120" s="262">
        <v>20</v>
      </c>
      <c r="C120" s="237" t="str">
        <f t="shared" si="31"/>
        <v/>
      </c>
      <c r="D120" s="237" t="str">
        <f t="shared" si="66"/>
        <v>-</v>
      </c>
      <c r="E120" s="290" t="str">
        <f t="shared" si="32"/>
        <v/>
      </c>
      <c r="F120" s="264" t="str">
        <f t="shared" si="33"/>
        <v/>
      </c>
      <c r="G120" s="291" t="str">
        <f t="shared" si="34"/>
        <v/>
      </c>
      <c r="H120" s="240" t="str">
        <f t="shared" si="35"/>
        <v/>
      </c>
      <c r="I120" s="265" t="str">
        <f t="shared" si="1"/>
        <v/>
      </c>
      <c r="J120" s="265" t="str">
        <f t="shared" si="2"/>
        <v/>
      </c>
      <c r="K120" s="240" t="str">
        <f t="shared" si="36"/>
        <v/>
      </c>
      <c r="L120" s="265" t="str">
        <f t="shared" si="3"/>
        <v/>
      </c>
      <c r="M120" s="265" t="str">
        <f t="shared" si="4"/>
        <v/>
      </c>
      <c r="N120" s="240" t="str">
        <f t="shared" si="5"/>
        <v>-</v>
      </c>
      <c r="O120" s="265" t="str">
        <f t="shared" si="37"/>
        <v>-</v>
      </c>
      <c r="P120" s="265" t="str">
        <f t="shared" si="38"/>
        <v>-</v>
      </c>
      <c r="Q120" s="266" t="str">
        <f t="shared" si="6"/>
        <v>-</v>
      </c>
      <c r="R120" s="267" t="str">
        <f t="shared" si="39"/>
        <v>-</v>
      </c>
      <c r="S120" s="268" t="str">
        <f t="shared" si="40"/>
        <v>-</v>
      </c>
      <c r="T120" s="269" t="str">
        <f t="shared" si="41"/>
        <v/>
      </c>
      <c r="U120" s="221">
        <f t="shared" si="7"/>
        <v>20</v>
      </c>
      <c r="V120" s="220" t="str">
        <f t="shared" si="42"/>
        <v>-</v>
      </c>
      <c r="W120" s="221" t="str">
        <f t="shared" si="43"/>
        <v>-</v>
      </c>
      <c r="X120" s="221" t="str">
        <f t="shared" si="8"/>
        <v>-</v>
      </c>
      <c r="Y120" s="221" t="str">
        <f t="shared" si="9"/>
        <v>-</v>
      </c>
      <c r="Z120" s="270">
        <f t="shared" si="44"/>
        <v>0.1</v>
      </c>
      <c r="AA120" s="271" t="str">
        <f>IFERROR(IF(V119=1,AA$100*EXP(-(LN(2)/$D$65+0.04)*X119)*EXP(-(LN(2)/$D$65+0.1)*Y119),IF(V119=2,AA$100*EXP(-(LN(2)/$D$65+0.04)*(VLOOKUP(($F$16-$F$15)-1,U$99:Y119,4,FALSE)))*EXP(-(LN(2)/$D$65+0.1)*(VLOOKUP(($F$16-$F$15)-1,U$99:Y119,5,FALSE)))*EXP(-(LN(2)/$D$65+0.04)*X119)*EXP(-(LN(2)/$D$65+0.1)*Y119),IF(V119=3,AA$100*EXP(-(LN(2)/$D$65+0.04)*(VLOOKUP(($F$16-$F$15)-1,U$99:Y119,4,FALSE)))*EXP(-(LN(2)/$D$65+0.1)*(VLOOKUP(($F$16-$F$15)-1,U$99:Y119,5,FALSE)))*EXP(-(LN(2)/$D$65+0.04)*(VLOOKUP(($F$16-$F$15)*2-1,U$99:Y119,4,FALSE)))*EXP(-(LN(2)/$D$65+0.1)*(VLOOKUP(($F$16-$F$15)*2-1,U$99:Y119,5,FALSE)))*EXP(-(LN(2)/$D$65+0.04)*X119)*EXP(-(LN(2)/$D$65+0.1)*Y119),"-"))),"-")</f>
        <v>-</v>
      </c>
      <c r="AB120" s="271" t="str">
        <f>IFERROR(IF(V120=1,AB$100*EXP(-(LN(2)/$D$65+0.04)*X120)*EXP(-(LN(2)/$D$65+0.1)*Y120),IF(V120=2,AB$100*EXP(-(LN(2)/$D$65+0.04)*(VLOOKUP(($F$16-$F$15)-1,U$100:Y120,4,FALSE)))*EXP(-(LN(2)/$D$65+0.1)*(VLOOKUP(($F$16-$F$15)-1,U$100:Y120,5,FALSE)))*EXP(-(LN(2)/$D$65+0.04)*X120)*EXP(-(LN(2)/$D$65+0.1)*Y120),IF(V120=3,AB$100*EXP(-(LN(2)/$D$65+0.04)*(VLOOKUP(($F$16-$F$15)-1,U$100:Y120,4,FALSE)))*EXP(-(LN(2)/$D$65+0.1)*(VLOOKUP(($F$16-$F$15)-1,U$100:Y120,5,FALSE)))*EXP(-(LN(2)/$D$65+0.04)*(VLOOKUP(($F$16-$F$15)*2-1,U$100:Y120,4,FALSE)))*EXP(-(LN(2)/$D$65+0.1)*(VLOOKUP(($F$16-$F$15)*2-1,U$100:Y120,5,FALSE)))*EXP(-(LN(2)/$D$65+0.04)*X120)*EXP(-(LN(2)/$D$65+0.1)*Y120),"-"))),"-")</f>
        <v>-</v>
      </c>
      <c r="AC120" s="224">
        <f t="shared" si="45"/>
        <v>20</v>
      </c>
      <c r="AD120" s="223" t="str">
        <f t="shared" si="11"/>
        <v>-</v>
      </c>
      <c r="AE120" s="224" t="str">
        <f t="shared" si="46"/>
        <v>-</v>
      </c>
      <c r="AF120" s="224" t="str">
        <f t="shared" si="12"/>
        <v>-</v>
      </c>
      <c r="AG120" s="224" t="str">
        <f t="shared" si="13"/>
        <v>-</v>
      </c>
      <c r="AH120" s="272">
        <f t="shared" si="47"/>
        <v>0.1</v>
      </c>
      <c r="AI120" s="271" t="str">
        <f>IFERROR(IF(AD119=1,AI$100*EXP(-(LN(2)/$D$65+0.04)*AF119)*EXP(-(LN(2)/$D$65+0.1)*AG119),IF(AD119=2,AI$100*EXP(-(LN(2)/$D$65+0.04)*(VLOOKUP(($F$16-$F$15)-1,AC$99:AG119,4,FALSE)))*EXP(-(LN(2)/$D$65+0.1)*(VLOOKUP(($F$16-$F$15)-1,AC$99:AG119,5,FALSE)))*EXP(-(LN(2)/$D$65+0.04)*AF119)*EXP(-(LN(2)/$D$65+0.1)*AG119),IF(AD119=3,AI$100*EXP(-(LN(2)/$D$65+0.04)*(VLOOKUP(($F$16-$F$15)-1,AC$99:AG119,4,FALSE)))*EXP(-(LN(2)/$D$65+0.1)*(VLOOKUP(($F$16-$F$15)-1,AC$99:AG119,5,FALSE)))*EXP(-(LN(2)/$D$65+0.04)*(VLOOKUP(($F$16-$F$15)*2-1,AC$99:AG119,4,FALSE)))*EXP(-(LN(2)/$D$65+0.1)*(VLOOKUP(($F$16-$F$15)*2-1,AC$99:AG119,5,FALSE)))*EXP(-(LN(2)/$D$65+0.04)*AF119)*EXP(-(LN(2)/$D$65+0.1)*AG119),"-"))),"-")</f>
        <v>-</v>
      </c>
      <c r="AJ120" s="271" t="str">
        <f>IFERROR(IF(AD120=1,AJ$100*EXP(-(LN(2)/$D$65+0.04)*AF120)*EXP(-(LN(2)/$D$65+0.1)*AG120),IF(AD120=2,AJ$100*EXP(-(LN(2)/$D$65+0.04)*(VLOOKUP(($F$16-$F$15)-1,AC$100:AG120,4,FALSE)))*EXP(-(LN(2)/$D$65+0.1)*(VLOOKUP(($F$16-$F$15)-1,AC$100:AG120,5,FALSE)))*EXP(-(LN(2)/$D$65+0.04)*AF120)*EXP(-(LN(2)/$D$65+0.1)*AG120),IF(AD120=3,AJ$100*EXP(-(LN(2)/$D$65+0.04)*(VLOOKUP(($F$16-$F$15)-1,AC$100:AG120,4,FALSE)))*EXP(-(LN(2)/$D$65+0.1)*(VLOOKUP(($F$16-$F$15)-1,AC$100:AG120,5,FALSE)))*EXP(-(LN(2)/$D$65+0.04)*(VLOOKUP(($F$16-$F$15)*2-1,AC$100:AG120,4,FALSE)))*EXP(-(LN(2)/$D$65+0.1)*(VLOOKUP(($F$16-$F$15)*2-1,AC$100:AG120,5,FALSE)))*EXP(-(LN(2)/$D$65+0.04)*AF120)*EXP(-(LN(2)/$D$65+0.1)*AG120),"-"))),"-")</f>
        <v>-</v>
      </c>
      <c r="AK120" s="227">
        <f t="shared" si="49"/>
        <v>20</v>
      </c>
      <c r="AL120" s="226" t="str">
        <f t="shared" si="15"/>
        <v>-</v>
      </c>
      <c r="AM120" s="227" t="str">
        <f t="shared" si="50"/>
        <v>-</v>
      </c>
      <c r="AN120" s="227" t="str">
        <f t="shared" si="51"/>
        <v>-</v>
      </c>
      <c r="AO120" s="227" t="str">
        <f t="shared" si="16"/>
        <v>-</v>
      </c>
      <c r="AP120" s="273">
        <f t="shared" si="52"/>
        <v>0.1</v>
      </c>
      <c r="AQ120" s="271" t="str">
        <f>IFERROR(IF(AL119=1,AQ$100*EXP(-(LN(2)/$D$65+0.04)*AN119)*EXP(-(LN(2)/$D$65+0.1)*AO119),IF(AL119=2,AQ$100*EXP(-(LN(2)/$D$65+0.04)*(VLOOKUP(($F$16-$F$15)-1,AK$99:AO119,4,FALSE)))*EXP(-(LN(2)/$D$65+0.1)*(VLOOKUP(($F$16-$F$15)-1,AK$99:AO119,5,FALSE)))*EXP(-(LN(2)/$D$65+0.04)*AN119)*EXP(-(LN(2)/$D$65+0.1)*AO119),IF(AL119=3,AQ$100*EXP(-(LN(2)/$D$65+0.04)*(VLOOKUP(($F$16-$F$15)-1,AK$99:AO119,4,FALSE)))*EXP(-(LN(2)/$D$65+0.1)*(VLOOKUP(($F$16-$F$15)-1,AK$99:AO119,5,FALSE)))*EXP(-(LN(2)/$D$65+0.04)*(VLOOKUP(($F$16-$F$15)*2-1,AK$99:AO119,4,FALSE)))*EXP(-(LN(2)/$D$65+0.1)*(VLOOKUP(($F$16-$F$15)*2-1,AK$99:AO119,5,FALSE)))*EXP(-(LN(2)/$D$65+0.04)*AN119)*EXP(-(LN(2)/$D$65+0.1)*AO119),"-"))),"-")</f>
        <v>-</v>
      </c>
      <c r="AR120" s="271" t="str">
        <f>IFERROR(IF(AL120=1,AR$100*EXP(-(LN(2)/$D$65+0.04)*AN120)*EXP(-(LN(2)/$D$65+0.1)*AO120),IF(AL120=2,AR$100*EXP(-(LN(2)/$D$65+0.04)*(VLOOKUP(($F$16-$F$15)-1,AK$100:AO120,4,FALSE)))*EXP(-(LN(2)/$D$65+0.1)*(VLOOKUP(($F$16-$F$15)-1,AK$100:AO120,5,FALSE)))*EXP(-(LN(2)/$D$65+0.04)*AN120)*EXP(-(LN(2)/$D$65+0.1)*AO120),IF(AL120=3,AR$100*EXP(-(LN(2)/$D$65+0.04)*(VLOOKUP(($F$16-$F$15)-1,AK$100:AO120,4,FALSE)))*EXP(-(LN(2)/$D$65+0.1)*(VLOOKUP(($F$16-$F$15)-1,AK$100:AO120,5,FALSE)))*EXP(-(LN(2)/$D$65+0.04)*(VLOOKUP(($F$16-$F$15)*2-1,AK$100:AO120,4,FALSE)))*EXP(-(LN(2)/$D$65+0.1)*(VLOOKUP(($F$16-$F$15)*2-1,AK$100:AO120,5,FALSE)))*EXP(-(LN(2)/$D$65+0.04)*AN120)*EXP(-(LN(2)/$D$65+0.1)*AO120),"-"))),"-")</f>
        <v>-</v>
      </c>
      <c r="AS120" s="274">
        <f t="shared" si="17"/>
        <v>0</v>
      </c>
      <c r="AT120" s="274">
        <f t="shared" si="18"/>
        <v>0</v>
      </c>
      <c r="AU120" s="274">
        <f t="shared" si="19"/>
        <v>0</v>
      </c>
      <c r="AV120" s="253">
        <f>IF($B120&lt;$F$22,SUM($T$100:$T120),"")</f>
        <v>0</v>
      </c>
      <c r="AW120" s="253" t="str">
        <f t="shared" si="55"/>
        <v>-</v>
      </c>
      <c r="AX120" s="253" t="str">
        <f t="shared" si="56"/>
        <v/>
      </c>
      <c r="AY120" s="295"/>
      <c r="AZ120" s="253" t="str">
        <f ca="1">IF(ISNUMBER(OFFSET(AV120,-$F$21,0)),SUM(OFFSET($T$100,$F$21,0):$T120),"")</f>
        <v/>
      </c>
      <c r="BA120" s="253" t="str">
        <f t="shared" ca="1" si="20"/>
        <v/>
      </c>
      <c r="BB120" s="253" t="str">
        <f ca="1">IF(ISNUMBER(AZ120),(AZ120-BA120)/(3*86400*(OFFSET($B120,-$F$21,0)+1))*1000,"")</f>
        <v/>
      </c>
      <c r="BC120" s="253"/>
      <c r="BD120" s="253" t="str">
        <f ca="1">IFERROR(IF(AND($B120&gt;=($F$16-$F$15),$B120&lt;$F$22+($F$16-$F$15)),SUM(OFFSET($T$100,($F$16-$F$15),0):$T120),""),"")</f>
        <v/>
      </c>
      <c r="BE120" s="253" t="str">
        <f t="shared" ca="1" si="58"/>
        <v/>
      </c>
      <c r="BF120" s="253" t="str">
        <f t="shared" ca="1" si="59"/>
        <v/>
      </c>
      <c r="BG120" s="295"/>
      <c r="BH120" s="253" t="str">
        <f ca="1">IF(ISNUMBER(OFFSET(BD120,-$F$21,0)),SUM(OFFSET($T$100,($F$16-$F$15+$F$21),0):$T120),"")</f>
        <v/>
      </c>
      <c r="BI120" s="253" t="str">
        <f t="shared" ca="1" si="21"/>
        <v/>
      </c>
      <c r="BJ120" s="253" t="str">
        <f t="shared" ca="1" si="60"/>
        <v/>
      </c>
      <c r="BK120" s="253"/>
      <c r="BL120" s="253" t="str">
        <f ca="1">IFERROR(IF(AND($B120&gt;=($F$17-$F$15),$B120&lt;$F$22+($F$17-$F$15)),SUM(OFFSET($T$100,($F$17-$F$15),0):$T120),""),"")</f>
        <v/>
      </c>
      <c r="BM120" s="253" t="str">
        <f t="shared" ca="1" si="22"/>
        <v/>
      </c>
      <c r="BN120" s="253" t="str">
        <f t="shared" ca="1" si="61"/>
        <v/>
      </c>
      <c r="BO120" s="295"/>
      <c r="BP120" s="253" t="str">
        <f ca="1">IF(ISNUMBER(OFFSET(BL120,-$F$21,0)),SUM(OFFSET($T$100,($F$17-$F$15+$F$21),0):$T120),"")</f>
        <v/>
      </c>
      <c r="BQ120" s="253" t="str">
        <f t="shared" ca="1" si="62"/>
        <v/>
      </c>
      <c r="BR120" s="253" t="str">
        <f t="shared" ca="1" si="63"/>
        <v/>
      </c>
      <c r="BS120" s="253"/>
      <c r="BT120" s="296"/>
      <c r="BU120" s="297" t="str">
        <f t="shared" si="64"/>
        <v>end</v>
      </c>
      <c r="BV120" s="277">
        <v>20</v>
      </c>
      <c r="BW120" s="298" t="str">
        <f t="shared" si="69"/>
        <v/>
      </c>
      <c r="BX120" s="298" t="str">
        <f t="shared" si="68"/>
        <v/>
      </c>
      <c r="BY120" s="299" t="str">
        <f t="shared" si="65"/>
        <v/>
      </c>
      <c r="BZ120" s="67"/>
      <c r="CA120" s="280" t="str">
        <f t="shared" si="23"/>
        <v>-</v>
      </c>
      <c r="CB120" s="71" t="str">
        <f t="shared" si="24"/>
        <v>-</v>
      </c>
      <c r="CC120" s="33" t="str">
        <f t="shared" si="25"/>
        <v>20-21</v>
      </c>
      <c r="CD120" s="261" t="str">
        <f t="shared" si="26"/>
        <v/>
      </c>
      <c r="CE120" s="280" t="str">
        <f t="shared" si="27"/>
        <v>-</v>
      </c>
      <c r="CF120" s="71" t="str">
        <f t="shared" ca="1" si="28"/>
        <v>-</v>
      </c>
      <c r="CG120" s="33" t="str">
        <f t="shared" si="29"/>
        <v>20-21</v>
      </c>
      <c r="CH120" s="261" t="str">
        <f t="shared" ca="1" si="30"/>
        <v/>
      </c>
      <c r="CI120" s="202"/>
      <c r="CP120" s="99"/>
      <c r="CQ120" s="99"/>
      <c r="CR120" s="99"/>
      <c r="CS120" s="99"/>
      <c r="CT120" s="99"/>
      <c r="CU120" s="99"/>
      <c r="CV120" s="99"/>
      <c r="CW120" s="99"/>
      <c r="CX120" s="99"/>
      <c r="CY120" s="99"/>
      <c r="CZ120" s="99"/>
      <c r="DA120" s="99"/>
      <c r="DB120" s="99"/>
      <c r="DC120" s="99"/>
    </row>
    <row r="121" spans="2:107" ht="13.5" customHeight="1" x14ac:dyDescent="0.2">
      <c r="B121" s="262">
        <v>21</v>
      </c>
      <c r="C121" s="237" t="str">
        <f t="shared" si="31"/>
        <v/>
      </c>
      <c r="D121" s="237" t="str">
        <f t="shared" si="66"/>
        <v>-</v>
      </c>
      <c r="E121" s="290" t="str">
        <f t="shared" si="32"/>
        <v/>
      </c>
      <c r="F121" s="264" t="str">
        <f t="shared" si="33"/>
        <v/>
      </c>
      <c r="G121" s="291" t="str">
        <f t="shared" si="34"/>
        <v/>
      </c>
      <c r="H121" s="240" t="str">
        <f t="shared" si="35"/>
        <v/>
      </c>
      <c r="I121" s="265" t="str">
        <f t="shared" si="1"/>
        <v/>
      </c>
      <c r="J121" s="265" t="str">
        <f t="shared" si="2"/>
        <v/>
      </c>
      <c r="K121" s="240" t="str">
        <f t="shared" si="36"/>
        <v/>
      </c>
      <c r="L121" s="265" t="str">
        <f t="shared" si="3"/>
        <v/>
      </c>
      <c r="M121" s="265" t="str">
        <f t="shared" si="4"/>
        <v/>
      </c>
      <c r="N121" s="240" t="str">
        <f t="shared" si="5"/>
        <v>-</v>
      </c>
      <c r="O121" s="265" t="str">
        <f t="shared" si="37"/>
        <v>-</v>
      </c>
      <c r="P121" s="265" t="str">
        <f t="shared" si="38"/>
        <v>-</v>
      </c>
      <c r="Q121" s="266" t="str">
        <f t="shared" si="6"/>
        <v>-</v>
      </c>
      <c r="R121" s="267" t="str">
        <f t="shared" si="39"/>
        <v>-</v>
      </c>
      <c r="S121" s="268" t="str">
        <f t="shared" si="40"/>
        <v>-</v>
      </c>
      <c r="T121" s="269" t="str">
        <f t="shared" si="41"/>
        <v/>
      </c>
      <c r="U121" s="221">
        <f t="shared" si="7"/>
        <v>21</v>
      </c>
      <c r="V121" s="220" t="str">
        <f t="shared" si="42"/>
        <v>-</v>
      </c>
      <c r="W121" s="221" t="str">
        <f t="shared" si="43"/>
        <v>-</v>
      </c>
      <c r="X121" s="221" t="str">
        <f t="shared" si="8"/>
        <v>-</v>
      </c>
      <c r="Y121" s="221" t="str">
        <f t="shared" si="9"/>
        <v>-</v>
      </c>
      <c r="Z121" s="270">
        <f t="shared" si="44"/>
        <v>0.1</v>
      </c>
      <c r="AA121" s="271" t="str">
        <f>IFERROR(IF(V120=1,AA$100*EXP(-(LN(2)/$D$65+0.04)*X120)*EXP(-(LN(2)/$D$65+0.1)*Y120),IF(V120=2,AA$100*EXP(-(LN(2)/$D$65+0.04)*(VLOOKUP(($F$16-$F$15)-1,U$99:Y120,4,FALSE)))*EXP(-(LN(2)/$D$65+0.1)*(VLOOKUP(($F$16-$F$15)-1,U$99:Y120,5,FALSE)))*EXP(-(LN(2)/$D$65+0.04)*X120)*EXP(-(LN(2)/$D$65+0.1)*Y120),IF(V120=3,AA$100*EXP(-(LN(2)/$D$65+0.04)*(VLOOKUP(($F$16-$F$15)-1,U$99:Y120,4,FALSE)))*EXP(-(LN(2)/$D$65+0.1)*(VLOOKUP(($F$16-$F$15)-1,U$99:Y120,5,FALSE)))*EXP(-(LN(2)/$D$65+0.04)*(VLOOKUP(($F$16-$F$15)*2-1,U$99:Y120,4,FALSE)))*EXP(-(LN(2)/$D$65+0.1)*(VLOOKUP(($F$16-$F$15)*2-1,U$99:Y120,5,FALSE)))*EXP(-(LN(2)/$D$65+0.04)*X120)*EXP(-(LN(2)/$D$65+0.1)*Y120),"-"))),"-")</f>
        <v>-</v>
      </c>
      <c r="AB121" s="271" t="str">
        <f>IFERROR(IF(V121=1,AB$100*EXP(-(LN(2)/$D$65+0.04)*X121)*EXP(-(LN(2)/$D$65+0.1)*Y121),IF(V121=2,AB$100*EXP(-(LN(2)/$D$65+0.04)*(VLOOKUP(($F$16-$F$15)-1,U$100:Y121,4,FALSE)))*EXP(-(LN(2)/$D$65+0.1)*(VLOOKUP(($F$16-$F$15)-1,U$100:Y121,5,FALSE)))*EXP(-(LN(2)/$D$65+0.04)*X121)*EXP(-(LN(2)/$D$65+0.1)*Y121),IF(V121=3,AB$100*EXP(-(LN(2)/$D$65+0.04)*(VLOOKUP(($F$16-$F$15)-1,U$100:Y121,4,FALSE)))*EXP(-(LN(2)/$D$65+0.1)*(VLOOKUP(($F$16-$F$15)-1,U$100:Y121,5,FALSE)))*EXP(-(LN(2)/$D$65+0.04)*(VLOOKUP(($F$16-$F$15)*2-1,U$100:Y121,4,FALSE)))*EXP(-(LN(2)/$D$65+0.1)*(VLOOKUP(($F$16-$F$15)*2-1,U$100:Y121,5,FALSE)))*EXP(-(LN(2)/$D$65+0.04)*X121)*EXP(-(LN(2)/$D$65+0.1)*Y121),"-"))),"-")</f>
        <v>-</v>
      </c>
      <c r="AC121" s="224">
        <f t="shared" si="45"/>
        <v>21</v>
      </c>
      <c r="AD121" s="223" t="str">
        <f t="shared" si="11"/>
        <v>-</v>
      </c>
      <c r="AE121" s="224" t="str">
        <f t="shared" si="46"/>
        <v>-</v>
      </c>
      <c r="AF121" s="224" t="str">
        <f t="shared" si="12"/>
        <v>-</v>
      </c>
      <c r="AG121" s="224" t="str">
        <f t="shared" si="13"/>
        <v>-</v>
      </c>
      <c r="AH121" s="272">
        <f t="shared" si="47"/>
        <v>0.1</v>
      </c>
      <c r="AI121" s="271" t="str">
        <f>IFERROR(IF(AD120=1,AI$100*EXP(-(LN(2)/$D$65+0.04)*AF120)*EXP(-(LN(2)/$D$65+0.1)*AG120),IF(AD120=2,AI$100*EXP(-(LN(2)/$D$65+0.04)*(VLOOKUP(($F$16-$F$15)-1,AC$99:AG120,4,FALSE)))*EXP(-(LN(2)/$D$65+0.1)*(VLOOKUP(($F$16-$F$15)-1,AC$99:AG120,5,FALSE)))*EXP(-(LN(2)/$D$65+0.04)*AF120)*EXP(-(LN(2)/$D$65+0.1)*AG120),IF(AD120=3,AI$100*EXP(-(LN(2)/$D$65+0.04)*(VLOOKUP(($F$16-$F$15)-1,AC$99:AG120,4,FALSE)))*EXP(-(LN(2)/$D$65+0.1)*(VLOOKUP(($F$16-$F$15)-1,AC$99:AG120,5,FALSE)))*EXP(-(LN(2)/$D$65+0.04)*(VLOOKUP(($F$16-$F$15)*2-1,AC$99:AG120,4,FALSE)))*EXP(-(LN(2)/$D$65+0.1)*(VLOOKUP(($F$16-$F$15)*2-1,AC$99:AG120,5,FALSE)))*EXP(-(LN(2)/$D$65+0.04)*AF120)*EXP(-(LN(2)/$D$65+0.1)*AG120),"-"))),"-")</f>
        <v>-</v>
      </c>
      <c r="AJ121" s="271" t="str">
        <f>IFERROR(IF(AD121=1,AJ$100*EXP(-(LN(2)/$D$65+0.04)*AF121)*EXP(-(LN(2)/$D$65+0.1)*AG121),IF(AD121=2,AJ$100*EXP(-(LN(2)/$D$65+0.04)*(VLOOKUP(($F$16-$F$15)-1,AC$100:AG121,4,FALSE)))*EXP(-(LN(2)/$D$65+0.1)*(VLOOKUP(($F$16-$F$15)-1,AC$100:AG121,5,FALSE)))*EXP(-(LN(2)/$D$65+0.04)*AF121)*EXP(-(LN(2)/$D$65+0.1)*AG121),IF(AD121=3,AJ$100*EXP(-(LN(2)/$D$65+0.04)*(VLOOKUP(($F$16-$F$15)-1,AC$100:AG121,4,FALSE)))*EXP(-(LN(2)/$D$65+0.1)*(VLOOKUP(($F$16-$F$15)-1,AC$100:AG121,5,FALSE)))*EXP(-(LN(2)/$D$65+0.04)*(VLOOKUP(($F$16-$F$15)*2-1,AC$100:AG121,4,FALSE)))*EXP(-(LN(2)/$D$65+0.1)*(VLOOKUP(($F$16-$F$15)*2-1,AC$100:AG121,5,FALSE)))*EXP(-(LN(2)/$D$65+0.04)*AF121)*EXP(-(LN(2)/$D$65+0.1)*AG121),"-"))),"-")</f>
        <v>-</v>
      </c>
      <c r="AK121" s="227">
        <f t="shared" si="49"/>
        <v>21</v>
      </c>
      <c r="AL121" s="226" t="str">
        <f t="shared" si="15"/>
        <v>-</v>
      </c>
      <c r="AM121" s="227" t="str">
        <f t="shared" si="50"/>
        <v>-</v>
      </c>
      <c r="AN121" s="227" t="str">
        <f t="shared" si="51"/>
        <v>-</v>
      </c>
      <c r="AO121" s="227" t="str">
        <f t="shared" si="16"/>
        <v>-</v>
      </c>
      <c r="AP121" s="273">
        <f t="shared" si="52"/>
        <v>0.1</v>
      </c>
      <c r="AQ121" s="271" t="str">
        <f>IFERROR(IF(AL120=1,AQ$100*EXP(-(LN(2)/$D$65+0.04)*AN120)*EXP(-(LN(2)/$D$65+0.1)*AO120),IF(AL120=2,AQ$100*EXP(-(LN(2)/$D$65+0.04)*(VLOOKUP(($F$16-$F$15)-1,AK$99:AO120,4,FALSE)))*EXP(-(LN(2)/$D$65+0.1)*(VLOOKUP(($F$16-$F$15)-1,AK$99:AO120,5,FALSE)))*EXP(-(LN(2)/$D$65+0.04)*AN120)*EXP(-(LN(2)/$D$65+0.1)*AO120),IF(AL120=3,AQ$100*EXP(-(LN(2)/$D$65+0.04)*(VLOOKUP(($F$16-$F$15)-1,AK$99:AO120,4,FALSE)))*EXP(-(LN(2)/$D$65+0.1)*(VLOOKUP(($F$16-$F$15)-1,AK$99:AO120,5,FALSE)))*EXP(-(LN(2)/$D$65+0.04)*(VLOOKUP(($F$16-$F$15)*2-1,AK$99:AO120,4,FALSE)))*EXP(-(LN(2)/$D$65+0.1)*(VLOOKUP(($F$16-$F$15)*2-1,AK$99:AO120,5,FALSE)))*EXP(-(LN(2)/$D$65+0.04)*AN120)*EXP(-(LN(2)/$D$65+0.1)*AO120),"-"))),"-")</f>
        <v>-</v>
      </c>
      <c r="AR121" s="271" t="str">
        <f>IFERROR(IF(AL121=1,AR$100*EXP(-(LN(2)/$D$65+0.04)*AN121)*EXP(-(LN(2)/$D$65+0.1)*AO121),IF(AL121=2,AR$100*EXP(-(LN(2)/$D$65+0.04)*(VLOOKUP(($F$16-$F$15)-1,AK$100:AO121,4,FALSE)))*EXP(-(LN(2)/$D$65+0.1)*(VLOOKUP(($F$16-$F$15)-1,AK$100:AO121,5,FALSE)))*EXP(-(LN(2)/$D$65+0.04)*AN121)*EXP(-(LN(2)/$D$65+0.1)*AO121),IF(AL121=3,AR$100*EXP(-(LN(2)/$D$65+0.04)*(VLOOKUP(($F$16-$F$15)-1,AK$100:AO121,4,FALSE)))*EXP(-(LN(2)/$D$65+0.1)*(VLOOKUP(($F$16-$F$15)-1,AK$100:AO121,5,FALSE)))*EXP(-(LN(2)/$D$65+0.04)*(VLOOKUP(($F$16-$F$15)*2-1,AK$100:AO121,4,FALSE)))*EXP(-(LN(2)/$D$65+0.1)*(VLOOKUP(($F$16-$F$15)*2-1,AK$100:AO121,5,FALSE)))*EXP(-(LN(2)/$D$65+0.04)*AN121)*EXP(-(LN(2)/$D$65+0.1)*AO121),"-"))),"-")</f>
        <v>-</v>
      </c>
      <c r="AS121" s="274">
        <f t="shared" si="17"/>
        <v>0</v>
      </c>
      <c r="AT121" s="274">
        <f t="shared" si="18"/>
        <v>0</v>
      </c>
      <c r="AU121" s="274">
        <f t="shared" si="19"/>
        <v>0</v>
      </c>
      <c r="AV121" s="190">
        <f>IF($B121&lt;$F$22,SUM($T$100:$T121),"")</f>
        <v>0</v>
      </c>
      <c r="AW121" s="190" t="str">
        <f t="shared" si="55"/>
        <v>-</v>
      </c>
      <c r="AX121" s="190" t="str">
        <f t="shared" si="56"/>
        <v/>
      </c>
      <c r="AY121"/>
      <c r="AZ121" s="190" t="str">
        <f ca="1">IF(ISNUMBER(OFFSET(AV121,-$F$21,0)),SUM(OFFSET($T$100,$F$21,0):$T121),"")</f>
        <v/>
      </c>
      <c r="BA121" s="190" t="str">
        <f t="shared" ca="1" si="20"/>
        <v/>
      </c>
      <c r="BB121" s="190" t="str">
        <f t="shared" ref="BB121:BB184" ca="1" si="70">IF(ISNUMBER(AZ121),(AZ121-BA121)/(3*86400*(OFFSET($B121,-$F$21,0)+1))*1000,"")</f>
        <v/>
      </c>
      <c r="BC121" s="190"/>
      <c r="BD121" s="190" t="str">
        <f ca="1">IFERROR(IF(AND($B121&gt;=($F$16-$F$15),$B121&lt;$F$22+($F$16-$F$15)),SUM(OFFSET($T$100,($F$16-$F$15),0):$T121),""),"")</f>
        <v/>
      </c>
      <c r="BE121" s="190" t="str">
        <f t="shared" ca="1" si="58"/>
        <v/>
      </c>
      <c r="BF121" s="190" t="str">
        <f t="shared" ca="1" si="59"/>
        <v/>
      </c>
      <c r="BG121"/>
      <c r="BH121" s="190" t="str">
        <f ca="1">IF(ISNUMBER(OFFSET(BD121,-$F$21,0)),SUM(OFFSET($T$100,($F$16-$F$15+$F$21),0):$T121),"")</f>
        <v/>
      </c>
      <c r="BI121" s="190" t="str">
        <f t="shared" ca="1" si="21"/>
        <v/>
      </c>
      <c r="BJ121" s="190" t="str">
        <f t="shared" ca="1" si="60"/>
        <v/>
      </c>
      <c r="BK121" s="190"/>
      <c r="BL121" s="190" t="str">
        <f ca="1">IFERROR(IF(AND($B121&gt;=($F$17-$F$15),$B121&lt;$F$22+($F$17-$F$15)),SUM(OFFSET($T$100,($F$17-$F$15),0):$T121),""),"")</f>
        <v/>
      </c>
      <c r="BM121" s="190" t="str">
        <f t="shared" ca="1" si="22"/>
        <v/>
      </c>
      <c r="BN121" s="190" t="str">
        <f t="shared" ca="1" si="61"/>
        <v/>
      </c>
      <c r="BO121"/>
      <c r="BP121" s="190" t="str">
        <f ca="1">IF(ISNUMBER(OFFSET(BL121,-$F$21,0)),SUM(OFFSET($T$100,($F$17-$F$15+$F$21),0):$T121),"")</f>
        <v/>
      </c>
      <c r="BQ121" s="190" t="str">
        <f t="shared" ca="1" si="62"/>
        <v/>
      </c>
      <c r="BR121" s="190" t="str">
        <f t="shared" ca="1" si="63"/>
        <v/>
      </c>
      <c r="BS121" s="190"/>
      <c r="BT121"/>
      <c r="BU121" s="300" t="s">
        <v>289</v>
      </c>
      <c r="BV121" s="301"/>
      <c r="BW121" s="300"/>
      <c r="BX121" s="300"/>
      <c r="BY121" s="300"/>
      <c r="BZ121" s="302"/>
      <c r="CA121" s="280" t="str">
        <f t="shared" si="23"/>
        <v/>
      </c>
      <c r="CB121" s="71" t="str">
        <f t="shared" si="24"/>
        <v>-</v>
      </c>
      <c r="CC121" s="33"/>
      <c r="CD121" s="261" t="str">
        <f t="shared" si="26"/>
        <v/>
      </c>
      <c r="CE121" s="280" t="str">
        <f t="shared" si="27"/>
        <v>-</v>
      </c>
      <c r="CF121" s="71" t="str">
        <f t="shared" ca="1" si="28"/>
        <v>-</v>
      </c>
      <c r="CG121" s="33" t="str">
        <f t="shared" si="29"/>
        <v>21-22</v>
      </c>
      <c r="CH121" s="261" t="str">
        <f t="shared" ca="1" si="30"/>
        <v/>
      </c>
      <c r="CI121" s="202"/>
      <c r="CP121" s="99"/>
      <c r="CQ121" s="99"/>
      <c r="CR121" s="99"/>
      <c r="CS121" s="99"/>
      <c r="CT121" s="99"/>
      <c r="CU121" s="99"/>
      <c r="CV121" s="99"/>
      <c r="CW121" s="99"/>
      <c r="CX121" s="99"/>
      <c r="CY121" s="99"/>
      <c r="CZ121" s="99"/>
      <c r="DA121" s="99"/>
      <c r="DB121" s="99"/>
      <c r="DC121" s="99"/>
    </row>
    <row r="122" spans="2:107" ht="13.5" customHeight="1" x14ac:dyDescent="0.2">
      <c r="B122" s="262">
        <v>22</v>
      </c>
      <c r="C122" s="237" t="str">
        <f t="shared" si="31"/>
        <v/>
      </c>
      <c r="D122" s="237" t="str">
        <f t="shared" si="66"/>
        <v>-</v>
      </c>
      <c r="E122" s="290" t="str">
        <f t="shared" si="32"/>
        <v/>
      </c>
      <c r="F122" s="264" t="str">
        <f t="shared" si="33"/>
        <v/>
      </c>
      <c r="G122" s="291" t="str">
        <f t="shared" si="34"/>
        <v/>
      </c>
      <c r="H122" s="240" t="str">
        <f t="shared" si="35"/>
        <v/>
      </c>
      <c r="I122" s="265" t="str">
        <f t="shared" si="1"/>
        <v/>
      </c>
      <c r="J122" s="265" t="str">
        <f t="shared" si="2"/>
        <v/>
      </c>
      <c r="K122" s="240" t="str">
        <f t="shared" si="36"/>
        <v/>
      </c>
      <c r="L122" s="265" t="str">
        <f t="shared" si="3"/>
        <v/>
      </c>
      <c r="M122" s="265" t="str">
        <f t="shared" si="4"/>
        <v/>
      </c>
      <c r="N122" s="240" t="str">
        <f t="shared" si="5"/>
        <v>-</v>
      </c>
      <c r="O122" s="265" t="str">
        <f t="shared" si="37"/>
        <v>-</v>
      </c>
      <c r="P122" s="265" t="str">
        <f t="shared" si="38"/>
        <v>-</v>
      </c>
      <c r="Q122" s="266" t="str">
        <f t="shared" si="6"/>
        <v>-</v>
      </c>
      <c r="R122" s="267" t="str">
        <f t="shared" si="39"/>
        <v>-</v>
      </c>
      <c r="S122" s="268" t="str">
        <f t="shared" si="40"/>
        <v>-</v>
      </c>
      <c r="T122" s="269" t="str">
        <f t="shared" si="41"/>
        <v/>
      </c>
      <c r="U122" s="221">
        <f t="shared" si="7"/>
        <v>22</v>
      </c>
      <c r="V122" s="220" t="str">
        <f t="shared" si="42"/>
        <v>-</v>
      </c>
      <c r="W122" s="221" t="str">
        <f t="shared" si="43"/>
        <v>-</v>
      </c>
      <c r="X122" s="221" t="str">
        <f t="shared" si="8"/>
        <v>-</v>
      </c>
      <c r="Y122" s="221" t="str">
        <f t="shared" si="9"/>
        <v>-</v>
      </c>
      <c r="Z122" s="270">
        <f t="shared" si="44"/>
        <v>0.1</v>
      </c>
      <c r="AA122" s="271" t="str">
        <f>IFERROR(IF(V121=1,AA$100*EXP(-(LN(2)/$D$65+0.04)*X121)*EXP(-(LN(2)/$D$65+0.1)*Y121),IF(V121=2,AA$100*EXP(-(LN(2)/$D$65+0.04)*(VLOOKUP(($F$16-$F$15)-1,U$99:Y121,4,FALSE)))*EXP(-(LN(2)/$D$65+0.1)*(VLOOKUP(($F$16-$F$15)-1,U$99:Y121,5,FALSE)))*EXP(-(LN(2)/$D$65+0.04)*X121)*EXP(-(LN(2)/$D$65+0.1)*Y121),IF(V121=3,AA$100*EXP(-(LN(2)/$D$65+0.04)*(VLOOKUP(($F$16-$F$15)-1,U$99:Y121,4,FALSE)))*EXP(-(LN(2)/$D$65+0.1)*(VLOOKUP(($F$16-$F$15)-1,U$99:Y121,5,FALSE)))*EXP(-(LN(2)/$D$65+0.04)*(VLOOKUP(($F$16-$F$15)*2-1,U$99:Y121,4,FALSE)))*EXP(-(LN(2)/$D$65+0.1)*(VLOOKUP(($F$16-$F$15)*2-1,U$99:Y121,5,FALSE)))*EXP(-(LN(2)/$D$65+0.04)*X121)*EXP(-(LN(2)/$D$65+0.1)*Y121),"-"))),"-")</f>
        <v>-</v>
      </c>
      <c r="AB122" s="271" t="str">
        <f>IFERROR(IF(V122=1,AB$100*EXP(-(LN(2)/$D$65+0.04)*X122)*EXP(-(LN(2)/$D$65+0.1)*Y122),IF(V122=2,AB$100*EXP(-(LN(2)/$D$65+0.04)*(VLOOKUP(($F$16-$F$15)-1,U$100:Y122,4,FALSE)))*EXP(-(LN(2)/$D$65+0.1)*(VLOOKUP(($F$16-$F$15)-1,U$100:Y122,5,FALSE)))*EXP(-(LN(2)/$D$65+0.04)*X122)*EXP(-(LN(2)/$D$65+0.1)*Y122),IF(V122=3,AB$100*EXP(-(LN(2)/$D$65+0.04)*(VLOOKUP(($F$16-$F$15)-1,U$100:Y122,4,FALSE)))*EXP(-(LN(2)/$D$65+0.1)*(VLOOKUP(($F$16-$F$15)-1,U$100:Y122,5,FALSE)))*EXP(-(LN(2)/$D$65+0.04)*(VLOOKUP(($F$16-$F$15)*2-1,U$100:Y122,4,FALSE)))*EXP(-(LN(2)/$D$65+0.1)*(VLOOKUP(($F$16-$F$15)*2-1,U$100:Y122,5,FALSE)))*EXP(-(LN(2)/$D$65+0.04)*X122)*EXP(-(LN(2)/$D$65+0.1)*Y122),"-"))),"-")</f>
        <v>-</v>
      </c>
      <c r="AC122" s="224">
        <f t="shared" si="45"/>
        <v>22</v>
      </c>
      <c r="AD122" s="223" t="str">
        <f t="shared" si="11"/>
        <v>-</v>
      </c>
      <c r="AE122" s="224" t="str">
        <f t="shared" si="46"/>
        <v>-</v>
      </c>
      <c r="AF122" s="224" t="str">
        <f t="shared" si="12"/>
        <v>-</v>
      </c>
      <c r="AG122" s="224" t="str">
        <f t="shared" si="13"/>
        <v>-</v>
      </c>
      <c r="AH122" s="272">
        <f t="shared" si="47"/>
        <v>0.1</v>
      </c>
      <c r="AI122" s="271" t="str">
        <f>IFERROR(IF(AD121=1,AI$100*EXP(-(LN(2)/$D$65+0.04)*AF121)*EXP(-(LN(2)/$D$65+0.1)*AG121),IF(AD121=2,AI$100*EXP(-(LN(2)/$D$65+0.04)*(VLOOKUP(($F$16-$F$15)-1,AC$99:AG121,4,FALSE)))*EXP(-(LN(2)/$D$65+0.1)*(VLOOKUP(($F$16-$F$15)-1,AC$99:AG121,5,FALSE)))*EXP(-(LN(2)/$D$65+0.04)*AF121)*EXP(-(LN(2)/$D$65+0.1)*AG121),IF(AD121=3,AI$100*EXP(-(LN(2)/$D$65+0.04)*(VLOOKUP(($F$16-$F$15)-1,AC$99:AG121,4,FALSE)))*EXP(-(LN(2)/$D$65+0.1)*(VLOOKUP(($F$16-$F$15)-1,AC$99:AG121,5,FALSE)))*EXP(-(LN(2)/$D$65+0.04)*(VLOOKUP(($F$16-$F$15)*2-1,AC$99:AG121,4,FALSE)))*EXP(-(LN(2)/$D$65+0.1)*(VLOOKUP(($F$16-$F$15)*2-1,AC$99:AG121,5,FALSE)))*EXP(-(LN(2)/$D$65+0.04)*AF121)*EXP(-(LN(2)/$D$65+0.1)*AG121),"-"))),"-")</f>
        <v>-</v>
      </c>
      <c r="AJ122" s="271" t="str">
        <f>IFERROR(IF(AD122=1,AJ$100*EXP(-(LN(2)/$D$65+0.04)*AF122)*EXP(-(LN(2)/$D$65+0.1)*AG122),IF(AD122=2,AJ$100*EXP(-(LN(2)/$D$65+0.04)*(VLOOKUP(($F$16-$F$15)-1,AC$100:AG122,4,FALSE)))*EXP(-(LN(2)/$D$65+0.1)*(VLOOKUP(($F$16-$F$15)-1,AC$100:AG122,5,FALSE)))*EXP(-(LN(2)/$D$65+0.04)*AF122)*EXP(-(LN(2)/$D$65+0.1)*AG122),IF(AD122=3,AJ$100*EXP(-(LN(2)/$D$65+0.04)*(VLOOKUP(($F$16-$F$15)-1,AC$100:AG122,4,FALSE)))*EXP(-(LN(2)/$D$65+0.1)*(VLOOKUP(($F$16-$F$15)-1,AC$100:AG122,5,FALSE)))*EXP(-(LN(2)/$D$65+0.04)*(VLOOKUP(($F$16-$F$15)*2-1,AC$100:AG122,4,FALSE)))*EXP(-(LN(2)/$D$65+0.1)*(VLOOKUP(($F$16-$F$15)*2-1,AC$100:AG122,5,FALSE)))*EXP(-(LN(2)/$D$65+0.04)*AF122)*EXP(-(LN(2)/$D$65+0.1)*AG122),"-"))),"-")</f>
        <v>-</v>
      </c>
      <c r="AK122" s="227">
        <f t="shared" si="49"/>
        <v>22</v>
      </c>
      <c r="AL122" s="226" t="str">
        <f t="shared" si="15"/>
        <v>-</v>
      </c>
      <c r="AM122" s="227" t="str">
        <f t="shared" si="50"/>
        <v>-</v>
      </c>
      <c r="AN122" s="227" t="str">
        <f t="shared" si="51"/>
        <v>-</v>
      </c>
      <c r="AO122" s="227" t="str">
        <f t="shared" si="16"/>
        <v>-</v>
      </c>
      <c r="AP122" s="273">
        <f t="shared" si="52"/>
        <v>0.1</v>
      </c>
      <c r="AQ122" s="271" t="str">
        <f>IFERROR(IF(AL121=1,AQ$100*EXP(-(LN(2)/$D$65+0.04)*AN121)*EXP(-(LN(2)/$D$65+0.1)*AO121),IF(AL121=2,AQ$100*EXP(-(LN(2)/$D$65+0.04)*(VLOOKUP(($F$16-$F$15)-1,AK$99:AO121,4,FALSE)))*EXP(-(LN(2)/$D$65+0.1)*(VLOOKUP(($F$16-$F$15)-1,AK$99:AO121,5,FALSE)))*EXP(-(LN(2)/$D$65+0.04)*AN121)*EXP(-(LN(2)/$D$65+0.1)*AO121),IF(AL121=3,AQ$100*EXP(-(LN(2)/$D$65+0.04)*(VLOOKUP(($F$16-$F$15)-1,AK$99:AO121,4,FALSE)))*EXP(-(LN(2)/$D$65+0.1)*(VLOOKUP(($F$16-$F$15)-1,AK$99:AO121,5,FALSE)))*EXP(-(LN(2)/$D$65+0.04)*(VLOOKUP(($F$16-$F$15)*2-1,AK$99:AO121,4,FALSE)))*EXP(-(LN(2)/$D$65+0.1)*(VLOOKUP(($F$16-$F$15)*2-1,AK$99:AO121,5,FALSE)))*EXP(-(LN(2)/$D$65+0.04)*AN121)*EXP(-(LN(2)/$D$65+0.1)*AO121),"-"))),"-")</f>
        <v>-</v>
      </c>
      <c r="AR122" s="271" t="str">
        <f>IFERROR(IF(AL122=1,AR$100*EXP(-(LN(2)/$D$65+0.04)*AN122)*EXP(-(LN(2)/$D$65+0.1)*AO122),IF(AL122=2,AR$100*EXP(-(LN(2)/$D$65+0.04)*(VLOOKUP(($F$16-$F$15)-1,AK$100:AO122,4,FALSE)))*EXP(-(LN(2)/$D$65+0.1)*(VLOOKUP(($F$16-$F$15)-1,AK$100:AO122,5,FALSE)))*EXP(-(LN(2)/$D$65+0.04)*AN122)*EXP(-(LN(2)/$D$65+0.1)*AO122),IF(AL122=3,AR$100*EXP(-(LN(2)/$D$65+0.04)*(VLOOKUP(($F$16-$F$15)-1,AK$100:AO122,4,FALSE)))*EXP(-(LN(2)/$D$65+0.1)*(VLOOKUP(($F$16-$F$15)-1,AK$100:AO122,5,FALSE)))*EXP(-(LN(2)/$D$65+0.04)*(VLOOKUP(($F$16-$F$15)*2-1,AK$100:AO122,4,FALSE)))*EXP(-(LN(2)/$D$65+0.1)*(VLOOKUP(($F$16-$F$15)*2-1,AK$100:AO122,5,FALSE)))*EXP(-(LN(2)/$D$65+0.04)*AN122)*EXP(-(LN(2)/$D$65+0.1)*AO122),"-"))),"-")</f>
        <v>-</v>
      </c>
      <c r="AS122" s="274">
        <f t="shared" si="17"/>
        <v>0</v>
      </c>
      <c r="AT122" s="274">
        <f t="shared" si="18"/>
        <v>0</v>
      </c>
      <c r="AU122" s="274">
        <f t="shared" si="19"/>
        <v>0</v>
      </c>
      <c r="AV122" s="190">
        <f>IF($B122&lt;$F$22,SUM($T$100:$T122),"")</f>
        <v>0</v>
      </c>
      <c r="AW122" s="190" t="str">
        <f t="shared" si="55"/>
        <v>-</v>
      </c>
      <c r="AX122" s="190" t="str">
        <f t="shared" si="56"/>
        <v/>
      </c>
      <c r="AY122"/>
      <c r="AZ122" s="190" t="str">
        <f ca="1">IF(ISNUMBER(OFFSET(AV122,-$F$21,0)),SUM(OFFSET($T$100,$F$21,0):$T122),"")</f>
        <v/>
      </c>
      <c r="BA122" s="190" t="str">
        <f t="shared" ca="1" si="20"/>
        <v/>
      </c>
      <c r="BB122" s="190" t="str">
        <f t="shared" ca="1" si="70"/>
        <v/>
      </c>
      <c r="BC122" s="190"/>
      <c r="BD122" s="190" t="str">
        <f ca="1">IFERROR(IF(AND($B122&gt;=($F$16-$F$15),$B122&lt;$F$22+($F$16-$F$15)),SUM(OFFSET($T$100,($F$16-$F$15),0):$T122),""),"")</f>
        <v/>
      </c>
      <c r="BE122" s="190" t="str">
        <f t="shared" ca="1" si="58"/>
        <v/>
      </c>
      <c r="BF122" s="190" t="str">
        <f t="shared" ca="1" si="59"/>
        <v/>
      </c>
      <c r="BG122"/>
      <c r="BH122" s="190" t="str">
        <f ca="1">IF(ISNUMBER(OFFSET(BD122,-$F$21,0)),SUM(OFFSET($T$100,($F$16-$F$15+$F$21),0):$T122),"")</f>
        <v/>
      </c>
      <c r="BI122" s="190" t="str">
        <f t="shared" ca="1" si="21"/>
        <v/>
      </c>
      <c r="BJ122" s="190" t="str">
        <f t="shared" ca="1" si="60"/>
        <v/>
      </c>
      <c r="BK122" s="190"/>
      <c r="BL122" s="190" t="str">
        <f ca="1">IFERROR(IF(AND($B122&gt;=($F$17-$F$15),$B122&lt;$F$22+($F$17-$F$15)),SUM(OFFSET($T$100,($F$17-$F$15),0):$T122),""),"")</f>
        <v/>
      </c>
      <c r="BM122" s="190" t="str">
        <f t="shared" ca="1" si="22"/>
        <v/>
      </c>
      <c r="BN122" s="190" t="str">
        <f t="shared" ca="1" si="61"/>
        <v/>
      </c>
      <c r="BO122"/>
      <c r="BP122" s="190" t="str">
        <f ca="1">IF(ISNUMBER(OFFSET(BL122,-$F$21,0)),SUM(OFFSET($T$100,($F$17-$F$15+$F$21),0):$T122),"")</f>
        <v/>
      </c>
      <c r="BQ122" s="190" t="str">
        <f t="shared" ca="1" si="62"/>
        <v/>
      </c>
      <c r="BR122" s="190" t="str">
        <f t="shared" ca="1" si="63"/>
        <v/>
      </c>
      <c r="BS122" s="190"/>
      <c r="BT122"/>
      <c r="BU122" s="185"/>
      <c r="BV122" s="303"/>
      <c r="BW122" s="185"/>
      <c r="BX122" s="185"/>
      <c r="BY122" s="185"/>
      <c r="BZ122" s="302"/>
      <c r="CA122" s="280" t="str">
        <f t="shared" si="23"/>
        <v/>
      </c>
      <c r="CB122" s="71" t="str">
        <f t="shared" si="24"/>
        <v>-</v>
      </c>
      <c r="CC122" s="33"/>
      <c r="CD122" s="261" t="str">
        <f t="shared" si="26"/>
        <v/>
      </c>
      <c r="CE122" s="280" t="str">
        <f t="shared" si="27"/>
        <v>-</v>
      </c>
      <c r="CF122" s="71" t="str">
        <f t="shared" ca="1" si="28"/>
        <v>-</v>
      </c>
      <c r="CG122" s="33" t="str">
        <f t="shared" si="29"/>
        <v>22-23</v>
      </c>
      <c r="CH122" s="261" t="str">
        <f t="shared" ca="1" si="30"/>
        <v/>
      </c>
      <c r="CI122" s="202"/>
      <c r="CP122" s="99"/>
      <c r="CQ122" s="99"/>
      <c r="CR122" s="99"/>
      <c r="CS122" s="99"/>
      <c r="CT122" s="99"/>
      <c r="CU122" s="99"/>
      <c r="CV122" s="99"/>
      <c r="CW122" s="99"/>
      <c r="CX122" s="99"/>
      <c r="CY122" s="99"/>
      <c r="CZ122" s="99"/>
      <c r="DA122" s="99"/>
      <c r="DB122" s="99"/>
      <c r="DC122" s="99"/>
    </row>
    <row r="123" spans="2:107" ht="13.5" customHeight="1" x14ac:dyDescent="0.2">
      <c r="B123" s="262">
        <v>23</v>
      </c>
      <c r="C123" s="237" t="str">
        <f t="shared" si="31"/>
        <v/>
      </c>
      <c r="D123" s="237" t="str">
        <f t="shared" si="66"/>
        <v>-</v>
      </c>
      <c r="E123" s="290" t="str">
        <f t="shared" si="32"/>
        <v/>
      </c>
      <c r="F123" s="264" t="str">
        <f t="shared" si="33"/>
        <v/>
      </c>
      <c r="G123" s="291" t="str">
        <f t="shared" si="34"/>
        <v/>
      </c>
      <c r="H123" s="240" t="str">
        <f t="shared" si="35"/>
        <v/>
      </c>
      <c r="I123" s="265" t="str">
        <f t="shared" si="1"/>
        <v/>
      </c>
      <c r="J123" s="265" t="str">
        <f t="shared" si="2"/>
        <v/>
      </c>
      <c r="K123" s="240" t="str">
        <f t="shared" si="36"/>
        <v/>
      </c>
      <c r="L123" s="265" t="str">
        <f t="shared" si="3"/>
        <v/>
      </c>
      <c r="M123" s="265" t="str">
        <f t="shared" si="4"/>
        <v/>
      </c>
      <c r="N123" s="240" t="str">
        <f t="shared" si="5"/>
        <v>-</v>
      </c>
      <c r="O123" s="265" t="str">
        <f t="shared" si="37"/>
        <v>-</v>
      </c>
      <c r="P123" s="265" t="str">
        <f t="shared" si="38"/>
        <v>-</v>
      </c>
      <c r="Q123" s="266" t="str">
        <f t="shared" si="6"/>
        <v>-</v>
      </c>
      <c r="R123" s="267" t="str">
        <f t="shared" si="39"/>
        <v>-</v>
      </c>
      <c r="S123" s="268" t="str">
        <f t="shared" si="40"/>
        <v>-</v>
      </c>
      <c r="T123" s="269" t="str">
        <f t="shared" si="41"/>
        <v/>
      </c>
      <c r="U123" s="221">
        <f t="shared" si="7"/>
        <v>23</v>
      </c>
      <c r="V123" s="220" t="str">
        <f t="shared" si="42"/>
        <v>-</v>
      </c>
      <c r="W123" s="221" t="str">
        <f t="shared" si="43"/>
        <v>-</v>
      </c>
      <c r="X123" s="221" t="str">
        <f t="shared" si="8"/>
        <v>-</v>
      </c>
      <c r="Y123" s="221" t="str">
        <f t="shared" si="9"/>
        <v>-</v>
      </c>
      <c r="Z123" s="270">
        <f t="shared" si="44"/>
        <v>0.1</v>
      </c>
      <c r="AA123" s="271" t="str">
        <f>IFERROR(IF(V122=1,AA$100*EXP(-(LN(2)/$D$65+0.04)*X122)*EXP(-(LN(2)/$D$65+0.1)*Y122),IF(V122=2,AA$100*EXP(-(LN(2)/$D$65+0.04)*(VLOOKUP(($F$16-$F$15)-1,U$99:Y122,4,FALSE)))*EXP(-(LN(2)/$D$65+0.1)*(VLOOKUP(($F$16-$F$15)-1,U$99:Y122,5,FALSE)))*EXP(-(LN(2)/$D$65+0.04)*X122)*EXP(-(LN(2)/$D$65+0.1)*Y122),IF(V122=3,AA$100*EXP(-(LN(2)/$D$65+0.04)*(VLOOKUP(($F$16-$F$15)-1,U$99:Y122,4,FALSE)))*EXP(-(LN(2)/$D$65+0.1)*(VLOOKUP(($F$16-$F$15)-1,U$99:Y122,5,FALSE)))*EXP(-(LN(2)/$D$65+0.04)*(VLOOKUP(($F$16-$F$15)*2-1,U$99:Y122,4,FALSE)))*EXP(-(LN(2)/$D$65+0.1)*(VLOOKUP(($F$16-$F$15)*2-1,U$99:Y122,5,FALSE)))*EXP(-(LN(2)/$D$65+0.04)*X122)*EXP(-(LN(2)/$D$65+0.1)*Y122),"-"))),"-")</f>
        <v>-</v>
      </c>
      <c r="AB123" s="271" t="str">
        <f>IFERROR(IF(V123=1,AB$100*EXP(-(LN(2)/$D$65+0.04)*X123)*EXP(-(LN(2)/$D$65+0.1)*Y123),IF(V123=2,AB$100*EXP(-(LN(2)/$D$65+0.04)*(VLOOKUP(($F$16-$F$15)-1,U$100:Y123,4,FALSE)))*EXP(-(LN(2)/$D$65+0.1)*(VLOOKUP(($F$16-$F$15)-1,U$100:Y123,5,FALSE)))*EXP(-(LN(2)/$D$65+0.04)*X123)*EXP(-(LN(2)/$D$65+0.1)*Y123),IF(V123=3,AB$100*EXP(-(LN(2)/$D$65+0.04)*(VLOOKUP(($F$16-$F$15)-1,U$100:Y123,4,FALSE)))*EXP(-(LN(2)/$D$65+0.1)*(VLOOKUP(($F$16-$F$15)-1,U$100:Y123,5,FALSE)))*EXP(-(LN(2)/$D$65+0.04)*(VLOOKUP(($F$16-$F$15)*2-1,U$100:Y123,4,FALSE)))*EXP(-(LN(2)/$D$65+0.1)*(VLOOKUP(($F$16-$F$15)*2-1,U$100:Y123,5,FALSE)))*EXP(-(LN(2)/$D$65+0.04)*X123)*EXP(-(LN(2)/$D$65+0.1)*Y123),"-"))),"-")</f>
        <v>-</v>
      </c>
      <c r="AC123" s="224">
        <f t="shared" si="45"/>
        <v>23</v>
      </c>
      <c r="AD123" s="223" t="str">
        <f t="shared" si="11"/>
        <v>-</v>
      </c>
      <c r="AE123" s="224" t="str">
        <f t="shared" si="46"/>
        <v>-</v>
      </c>
      <c r="AF123" s="224" t="str">
        <f t="shared" si="12"/>
        <v>-</v>
      </c>
      <c r="AG123" s="224" t="str">
        <f t="shared" si="13"/>
        <v>-</v>
      </c>
      <c r="AH123" s="272">
        <f t="shared" si="47"/>
        <v>0.1</v>
      </c>
      <c r="AI123" s="271" t="str">
        <f>IFERROR(IF(AD122=1,AI$100*EXP(-(LN(2)/$D$65+0.04)*AF122)*EXP(-(LN(2)/$D$65+0.1)*AG122),IF(AD122=2,AI$100*EXP(-(LN(2)/$D$65+0.04)*(VLOOKUP(($F$16-$F$15)-1,AC$99:AG122,4,FALSE)))*EXP(-(LN(2)/$D$65+0.1)*(VLOOKUP(($F$16-$F$15)-1,AC$99:AG122,5,FALSE)))*EXP(-(LN(2)/$D$65+0.04)*AF122)*EXP(-(LN(2)/$D$65+0.1)*AG122),IF(AD122=3,AI$100*EXP(-(LN(2)/$D$65+0.04)*(VLOOKUP(($F$16-$F$15)-1,AC$99:AG122,4,FALSE)))*EXP(-(LN(2)/$D$65+0.1)*(VLOOKUP(($F$16-$F$15)-1,AC$99:AG122,5,FALSE)))*EXP(-(LN(2)/$D$65+0.04)*(VLOOKUP(($F$16-$F$15)*2-1,AC$99:AG122,4,FALSE)))*EXP(-(LN(2)/$D$65+0.1)*(VLOOKUP(($F$16-$F$15)*2-1,AC$99:AG122,5,FALSE)))*EXP(-(LN(2)/$D$65+0.04)*AF122)*EXP(-(LN(2)/$D$65+0.1)*AG122),"-"))),"-")</f>
        <v>-</v>
      </c>
      <c r="AJ123" s="271" t="str">
        <f>IFERROR(IF(AD123=1,AJ$100*EXP(-(LN(2)/$D$65+0.04)*AF123)*EXP(-(LN(2)/$D$65+0.1)*AG123),IF(AD123=2,AJ$100*EXP(-(LN(2)/$D$65+0.04)*(VLOOKUP(($F$16-$F$15)-1,AC$100:AG123,4,FALSE)))*EXP(-(LN(2)/$D$65+0.1)*(VLOOKUP(($F$16-$F$15)-1,AC$100:AG123,5,FALSE)))*EXP(-(LN(2)/$D$65+0.04)*AF123)*EXP(-(LN(2)/$D$65+0.1)*AG123),IF(AD123=3,AJ$100*EXP(-(LN(2)/$D$65+0.04)*(VLOOKUP(($F$16-$F$15)-1,AC$100:AG123,4,FALSE)))*EXP(-(LN(2)/$D$65+0.1)*(VLOOKUP(($F$16-$F$15)-1,AC$100:AG123,5,FALSE)))*EXP(-(LN(2)/$D$65+0.04)*(VLOOKUP(($F$16-$F$15)*2-1,AC$100:AG123,4,FALSE)))*EXP(-(LN(2)/$D$65+0.1)*(VLOOKUP(($F$16-$F$15)*2-1,AC$100:AG123,5,FALSE)))*EXP(-(LN(2)/$D$65+0.04)*AF123)*EXP(-(LN(2)/$D$65+0.1)*AG123),"-"))),"-")</f>
        <v>-</v>
      </c>
      <c r="AK123" s="227">
        <f t="shared" si="49"/>
        <v>23</v>
      </c>
      <c r="AL123" s="226" t="str">
        <f t="shared" si="15"/>
        <v>-</v>
      </c>
      <c r="AM123" s="227" t="str">
        <f t="shared" si="50"/>
        <v>-</v>
      </c>
      <c r="AN123" s="227" t="str">
        <f t="shared" si="51"/>
        <v>-</v>
      </c>
      <c r="AO123" s="227" t="str">
        <f t="shared" si="16"/>
        <v>-</v>
      </c>
      <c r="AP123" s="273">
        <f t="shared" si="52"/>
        <v>0.1</v>
      </c>
      <c r="AQ123" s="271" t="str">
        <f>IFERROR(IF(AL122=1,AQ$100*EXP(-(LN(2)/$D$65+0.04)*AN122)*EXP(-(LN(2)/$D$65+0.1)*AO122),IF(AL122=2,AQ$100*EXP(-(LN(2)/$D$65+0.04)*(VLOOKUP(($F$16-$F$15)-1,AK$99:AO122,4,FALSE)))*EXP(-(LN(2)/$D$65+0.1)*(VLOOKUP(($F$16-$F$15)-1,AK$99:AO122,5,FALSE)))*EXP(-(LN(2)/$D$65+0.04)*AN122)*EXP(-(LN(2)/$D$65+0.1)*AO122),IF(AL122=3,AQ$100*EXP(-(LN(2)/$D$65+0.04)*(VLOOKUP(($F$16-$F$15)-1,AK$99:AO122,4,FALSE)))*EXP(-(LN(2)/$D$65+0.1)*(VLOOKUP(($F$16-$F$15)-1,AK$99:AO122,5,FALSE)))*EXP(-(LN(2)/$D$65+0.04)*(VLOOKUP(($F$16-$F$15)*2-1,AK$99:AO122,4,FALSE)))*EXP(-(LN(2)/$D$65+0.1)*(VLOOKUP(($F$16-$F$15)*2-1,AK$99:AO122,5,FALSE)))*EXP(-(LN(2)/$D$65+0.04)*AN122)*EXP(-(LN(2)/$D$65+0.1)*AO122),"-"))),"-")</f>
        <v>-</v>
      </c>
      <c r="AR123" s="271" t="str">
        <f>IFERROR(IF(AL123=1,AR$100*EXP(-(LN(2)/$D$65+0.04)*AN123)*EXP(-(LN(2)/$D$65+0.1)*AO123),IF(AL123=2,AR$100*EXP(-(LN(2)/$D$65+0.04)*(VLOOKUP(($F$16-$F$15)-1,AK$100:AO123,4,FALSE)))*EXP(-(LN(2)/$D$65+0.1)*(VLOOKUP(($F$16-$F$15)-1,AK$100:AO123,5,FALSE)))*EXP(-(LN(2)/$D$65+0.04)*AN123)*EXP(-(LN(2)/$D$65+0.1)*AO123),IF(AL123=3,AR$100*EXP(-(LN(2)/$D$65+0.04)*(VLOOKUP(($F$16-$F$15)-1,AK$100:AO123,4,FALSE)))*EXP(-(LN(2)/$D$65+0.1)*(VLOOKUP(($F$16-$F$15)-1,AK$100:AO123,5,FALSE)))*EXP(-(LN(2)/$D$65+0.04)*(VLOOKUP(($F$16-$F$15)*2-1,AK$100:AO123,4,FALSE)))*EXP(-(LN(2)/$D$65+0.1)*(VLOOKUP(($F$16-$F$15)*2-1,AK$100:AO123,5,FALSE)))*EXP(-(LN(2)/$D$65+0.04)*AN123)*EXP(-(LN(2)/$D$65+0.1)*AO123),"-"))),"-")</f>
        <v>-</v>
      </c>
      <c r="AS123" s="274">
        <f t="shared" si="17"/>
        <v>0</v>
      </c>
      <c r="AT123" s="274">
        <f t="shared" si="18"/>
        <v>0</v>
      </c>
      <c r="AU123" s="274">
        <f t="shared" si="19"/>
        <v>0</v>
      </c>
      <c r="AV123" s="190">
        <f>IF($B123&lt;$F$22,SUM($T$100:$T123),"")</f>
        <v>0</v>
      </c>
      <c r="AW123" s="190" t="str">
        <f t="shared" si="55"/>
        <v>-</v>
      </c>
      <c r="AX123" s="190" t="str">
        <f t="shared" si="56"/>
        <v/>
      </c>
      <c r="AY123"/>
      <c r="AZ123" s="190" t="str">
        <f ca="1">IF(ISNUMBER(OFFSET(AV123,-$F$21,0)),SUM(OFFSET($T$100,$F$21,0):$T123),"")</f>
        <v/>
      </c>
      <c r="BA123" s="190" t="str">
        <f t="shared" ca="1" si="20"/>
        <v/>
      </c>
      <c r="BB123" s="190" t="str">
        <f t="shared" ca="1" si="70"/>
        <v/>
      </c>
      <c r="BC123" s="190"/>
      <c r="BD123" s="190" t="str">
        <f ca="1">IFERROR(IF(AND($B123&gt;=($F$16-$F$15),$B123&lt;$F$22+($F$16-$F$15)),SUM(OFFSET($T$100,($F$16-$F$15),0):$T123),""),"")</f>
        <v/>
      </c>
      <c r="BE123" s="190" t="str">
        <f t="shared" ca="1" si="58"/>
        <v/>
      </c>
      <c r="BF123" s="190" t="str">
        <f t="shared" ca="1" si="59"/>
        <v/>
      </c>
      <c r="BG123"/>
      <c r="BH123" s="190" t="str">
        <f ca="1">IF(ISNUMBER(OFFSET(BD123,-$F$21,0)),SUM(OFFSET($T$100,($F$16-$F$15+$F$21),0):$T123),"")</f>
        <v/>
      </c>
      <c r="BI123" s="190" t="str">
        <f t="shared" ca="1" si="21"/>
        <v/>
      </c>
      <c r="BJ123" s="190" t="str">
        <f t="shared" ca="1" si="60"/>
        <v/>
      </c>
      <c r="BK123" s="190"/>
      <c r="BL123" s="190" t="str">
        <f ca="1">IFERROR(IF(AND($B123&gt;=($F$17-$F$15),$B123&lt;$F$22+($F$17-$F$15)),SUM(OFFSET($T$100,($F$17-$F$15),0):$T123),""),"")</f>
        <v/>
      </c>
      <c r="BM123" s="190" t="str">
        <f t="shared" ca="1" si="22"/>
        <v/>
      </c>
      <c r="BN123" s="190" t="str">
        <f t="shared" ca="1" si="61"/>
        <v/>
      </c>
      <c r="BO123"/>
      <c r="BP123" s="190" t="str">
        <f ca="1">IF(ISNUMBER(OFFSET(BL123,-$F$21,0)),SUM(OFFSET($T$100,($F$17-$F$15+$F$21),0):$T123),"")</f>
        <v/>
      </c>
      <c r="BQ123" s="190" t="str">
        <f t="shared" ca="1" si="62"/>
        <v/>
      </c>
      <c r="BR123" s="190" t="str">
        <f t="shared" ca="1" si="63"/>
        <v/>
      </c>
      <c r="BS123" s="190"/>
      <c r="BT123"/>
      <c r="BU123" s="185"/>
      <c r="BV123" s="304"/>
      <c r="BW123" s="185"/>
      <c r="BX123" s="185"/>
      <c r="BY123" s="185"/>
      <c r="BZ123"/>
      <c r="CA123" s="280" t="str">
        <f t="shared" si="23"/>
        <v/>
      </c>
      <c r="CB123" s="71" t="str">
        <f t="shared" si="24"/>
        <v>-</v>
      </c>
      <c r="CC123" s="33"/>
      <c r="CD123" s="261" t="str">
        <f t="shared" si="26"/>
        <v/>
      </c>
      <c r="CE123" s="280" t="str">
        <f t="shared" si="27"/>
        <v>-</v>
      </c>
      <c r="CF123" s="71" t="str">
        <f t="shared" ca="1" si="28"/>
        <v>-</v>
      </c>
      <c r="CG123" s="33" t="str">
        <f t="shared" si="29"/>
        <v>23-24</v>
      </c>
      <c r="CH123" s="261" t="str">
        <f t="shared" ca="1" si="30"/>
        <v/>
      </c>
      <c r="CI123" s="202"/>
      <c r="CP123" s="99"/>
      <c r="CQ123" s="99"/>
      <c r="CR123" s="99"/>
      <c r="CS123" s="99"/>
      <c r="CT123" s="99"/>
      <c r="CU123" s="99"/>
      <c r="CV123" s="99"/>
      <c r="CW123" s="99"/>
      <c r="CX123" s="99"/>
      <c r="CY123" s="99"/>
      <c r="CZ123" s="99"/>
      <c r="DA123" s="99"/>
      <c r="DB123" s="99"/>
      <c r="DC123" s="99"/>
    </row>
    <row r="124" spans="2:107" ht="13.5" customHeight="1" x14ac:dyDescent="0.2">
      <c r="B124" s="262">
        <v>24</v>
      </c>
      <c r="C124" s="237" t="str">
        <f t="shared" si="31"/>
        <v/>
      </c>
      <c r="D124" s="237" t="str">
        <f t="shared" si="66"/>
        <v>-</v>
      </c>
      <c r="E124" s="290" t="str">
        <f t="shared" si="32"/>
        <v/>
      </c>
      <c r="F124" s="264" t="str">
        <f t="shared" si="33"/>
        <v/>
      </c>
      <c r="G124" s="291" t="str">
        <f t="shared" si="34"/>
        <v/>
      </c>
      <c r="H124" s="240" t="str">
        <f t="shared" si="35"/>
        <v/>
      </c>
      <c r="I124" s="265" t="str">
        <f t="shared" si="1"/>
        <v/>
      </c>
      <c r="J124" s="265" t="str">
        <f t="shared" si="2"/>
        <v/>
      </c>
      <c r="K124" s="240" t="str">
        <f t="shared" si="36"/>
        <v/>
      </c>
      <c r="L124" s="265" t="str">
        <f t="shared" si="3"/>
        <v/>
      </c>
      <c r="M124" s="265" t="str">
        <f t="shared" si="4"/>
        <v/>
      </c>
      <c r="N124" s="240" t="str">
        <f t="shared" si="5"/>
        <v>-</v>
      </c>
      <c r="O124" s="265" t="str">
        <f t="shared" si="37"/>
        <v>-</v>
      </c>
      <c r="P124" s="265" t="str">
        <f t="shared" si="38"/>
        <v>-</v>
      </c>
      <c r="Q124" s="266" t="str">
        <f t="shared" si="6"/>
        <v>-</v>
      </c>
      <c r="R124" s="267" t="str">
        <f t="shared" si="39"/>
        <v>-</v>
      </c>
      <c r="S124" s="268" t="str">
        <f t="shared" si="40"/>
        <v>-</v>
      </c>
      <c r="T124" s="269" t="str">
        <f t="shared" si="41"/>
        <v/>
      </c>
      <c r="U124" s="221">
        <f t="shared" si="7"/>
        <v>24</v>
      </c>
      <c r="V124" s="220" t="str">
        <f t="shared" si="42"/>
        <v>-</v>
      </c>
      <c r="W124" s="221" t="str">
        <f t="shared" si="43"/>
        <v>-</v>
      </c>
      <c r="X124" s="221" t="str">
        <f t="shared" si="8"/>
        <v>-</v>
      </c>
      <c r="Y124" s="221" t="str">
        <f t="shared" si="9"/>
        <v>-</v>
      </c>
      <c r="Z124" s="270">
        <f t="shared" si="44"/>
        <v>0.1</v>
      </c>
      <c r="AA124" s="271" t="str">
        <f>IFERROR(IF(V123=1,AA$100*EXP(-(LN(2)/$D$65+0.04)*X123)*EXP(-(LN(2)/$D$65+0.1)*Y123),IF(V123=2,AA$100*EXP(-(LN(2)/$D$65+0.04)*(VLOOKUP(($F$16-$F$15)-1,U$99:Y123,4,FALSE)))*EXP(-(LN(2)/$D$65+0.1)*(VLOOKUP(($F$16-$F$15)-1,U$99:Y123,5,FALSE)))*EXP(-(LN(2)/$D$65+0.04)*X123)*EXP(-(LN(2)/$D$65+0.1)*Y123),IF(V123=3,AA$100*EXP(-(LN(2)/$D$65+0.04)*(VLOOKUP(($F$16-$F$15)-1,U$99:Y123,4,FALSE)))*EXP(-(LN(2)/$D$65+0.1)*(VLOOKUP(($F$16-$F$15)-1,U$99:Y123,5,FALSE)))*EXP(-(LN(2)/$D$65+0.04)*(VLOOKUP(($F$16-$F$15)*2-1,U$99:Y123,4,FALSE)))*EXP(-(LN(2)/$D$65+0.1)*(VLOOKUP(($F$16-$F$15)*2-1,U$99:Y123,5,FALSE)))*EXP(-(LN(2)/$D$65+0.04)*X123)*EXP(-(LN(2)/$D$65+0.1)*Y123),"-"))),"-")</f>
        <v>-</v>
      </c>
      <c r="AB124" s="271" t="str">
        <f>IFERROR(IF(V124=1,AB$100*EXP(-(LN(2)/$D$65+0.04)*X124)*EXP(-(LN(2)/$D$65+0.1)*Y124),IF(V124=2,AB$100*EXP(-(LN(2)/$D$65+0.04)*(VLOOKUP(($F$16-$F$15)-1,U$100:Y124,4,FALSE)))*EXP(-(LN(2)/$D$65+0.1)*(VLOOKUP(($F$16-$F$15)-1,U$100:Y124,5,FALSE)))*EXP(-(LN(2)/$D$65+0.04)*X124)*EXP(-(LN(2)/$D$65+0.1)*Y124),IF(V124=3,AB$100*EXP(-(LN(2)/$D$65+0.04)*(VLOOKUP(($F$16-$F$15)-1,U$100:Y124,4,FALSE)))*EXP(-(LN(2)/$D$65+0.1)*(VLOOKUP(($F$16-$F$15)-1,U$100:Y124,5,FALSE)))*EXP(-(LN(2)/$D$65+0.04)*(VLOOKUP(($F$16-$F$15)*2-1,U$100:Y124,4,FALSE)))*EXP(-(LN(2)/$D$65+0.1)*(VLOOKUP(($F$16-$F$15)*2-1,U$100:Y124,5,FALSE)))*EXP(-(LN(2)/$D$65+0.04)*X124)*EXP(-(LN(2)/$D$65+0.1)*Y124),"-"))),"-")</f>
        <v>-</v>
      </c>
      <c r="AC124" s="224">
        <f t="shared" si="45"/>
        <v>24</v>
      </c>
      <c r="AD124" s="223" t="str">
        <f t="shared" si="11"/>
        <v>-</v>
      </c>
      <c r="AE124" s="224" t="str">
        <f t="shared" si="46"/>
        <v>-</v>
      </c>
      <c r="AF124" s="224" t="str">
        <f t="shared" si="12"/>
        <v>-</v>
      </c>
      <c r="AG124" s="224" t="str">
        <f t="shared" si="13"/>
        <v>-</v>
      </c>
      <c r="AH124" s="272">
        <f t="shared" si="47"/>
        <v>0.1</v>
      </c>
      <c r="AI124" s="271" t="str">
        <f>IFERROR(IF(AD123=1,AI$100*EXP(-(LN(2)/$D$65+0.04)*AF123)*EXP(-(LN(2)/$D$65+0.1)*AG123),IF(AD123=2,AI$100*EXP(-(LN(2)/$D$65+0.04)*(VLOOKUP(($F$16-$F$15)-1,AC$99:AG123,4,FALSE)))*EXP(-(LN(2)/$D$65+0.1)*(VLOOKUP(($F$16-$F$15)-1,AC$99:AG123,5,FALSE)))*EXP(-(LN(2)/$D$65+0.04)*AF123)*EXP(-(LN(2)/$D$65+0.1)*AG123),IF(AD123=3,AI$100*EXP(-(LN(2)/$D$65+0.04)*(VLOOKUP(($F$16-$F$15)-1,AC$99:AG123,4,FALSE)))*EXP(-(LN(2)/$D$65+0.1)*(VLOOKUP(($F$16-$F$15)-1,AC$99:AG123,5,FALSE)))*EXP(-(LN(2)/$D$65+0.04)*(VLOOKUP(($F$16-$F$15)*2-1,AC$99:AG123,4,FALSE)))*EXP(-(LN(2)/$D$65+0.1)*(VLOOKUP(($F$16-$F$15)*2-1,AC$99:AG123,5,FALSE)))*EXP(-(LN(2)/$D$65+0.04)*AF123)*EXP(-(LN(2)/$D$65+0.1)*AG123),"-"))),"-")</f>
        <v>-</v>
      </c>
      <c r="AJ124" s="271" t="str">
        <f>IFERROR(IF(AD124=1,AJ$100*EXP(-(LN(2)/$D$65+0.04)*AF124)*EXP(-(LN(2)/$D$65+0.1)*AG124),IF(AD124=2,AJ$100*EXP(-(LN(2)/$D$65+0.04)*(VLOOKUP(($F$16-$F$15)-1,AC$100:AG124,4,FALSE)))*EXP(-(LN(2)/$D$65+0.1)*(VLOOKUP(($F$16-$F$15)-1,AC$100:AG124,5,FALSE)))*EXP(-(LN(2)/$D$65+0.04)*AF124)*EXP(-(LN(2)/$D$65+0.1)*AG124),IF(AD124=3,AJ$100*EXP(-(LN(2)/$D$65+0.04)*(VLOOKUP(($F$16-$F$15)-1,AC$100:AG124,4,FALSE)))*EXP(-(LN(2)/$D$65+0.1)*(VLOOKUP(($F$16-$F$15)-1,AC$100:AG124,5,FALSE)))*EXP(-(LN(2)/$D$65+0.04)*(VLOOKUP(($F$16-$F$15)*2-1,AC$100:AG124,4,FALSE)))*EXP(-(LN(2)/$D$65+0.1)*(VLOOKUP(($F$16-$F$15)*2-1,AC$100:AG124,5,FALSE)))*EXP(-(LN(2)/$D$65+0.04)*AF124)*EXP(-(LN(2)/$D$65+0.1)*AG124),"-"))),"-")</f>
        <v>-</v>
      </c>
      <c r="AK124" s="227">
        <f t="shared" si="49"/>
        <v>24</v>
      </c>
      <c r="AL124" s="226" t="str">
        <f t="shared" si="15"/>
        <v>-</v>
      </c>
      <c r="AM124" s="227" t="str">
        <f t="shared" si="50"/>
        <v>-</v>
      </c>
      <c r="AN124" s="227" t="str">
        <f t="shared" si="51"/>
        <v>-</v>
      </c>
      <c r="AO124" s="227" t="str">
        <f t="shared" si="16"/>
        <v>-</v>
      </c>
      <c r="AP124" s="273">
        <f t="shared" si="52"/>
        <v>0.1</v>
      </c>
      <c r="AQ124" s="271" t="str">
        <f>IFERROR(IF(AL123=1,AQ$100*EXP(-(LN(2)/$D$65+0.04)*AN123)*EXP(-(LN(2)/$D$65+0.1)*AO123),IF(AL123=2,AQ$100*EXP(-(LN(2)/$D$65+0.04)*(VLOOKUP(($F$16-$F$15)-1,AK$99:AO123,4,FALSE)))*EXP(-(LN(2)/$D$65+0.1)*(VLOOKUP(($F$16-$F$15)-1,AK$99:AO123,5,FALSE)))*EXP(-(LN(2)/$D$65+0.04)*AN123)*EXP(-(LN(2)/$D$65+0.1)*AO123),IF(AL123=3,AQ$100*EXP(-(LN(2)/$D$65+0.04)*(VLOOKUP(($F$16-$F$15)-1,AK$99:AO123,4,FALSE)))*EXP(-(LN(2)/$D$65+0.1)*(VLOOKUP(($F$16-$F$15)-1,AK$99:AO123,5,FALSE)))*EXP(-(LN(2)/$D$65+0.04)*(VLOOKUP(($F$16-$F$15)*2-1,AK$99:AO123,4,FALSE)))*EXP(-(LN(2)/$D$65+0.1)*(VLOOKUP(($F$16-$F$15)*2-1,AK$99:AO123,5,FALSE)))*EXP(-(LN(2)/$D$65+0.04)*AN123)*EXP(-(LN(2)/$D$65+0.1)*AO123),"-"))),"-")</f>
        <v>-</v>
      </c>
      <c r="AR124" s="271" t="str">
        <f>IFERROR(IF(AL124=1,AR$100*EXP(-(LN(2)/$D$65+0.04)*AN124)*EXP(-(LN(2)/$D$65+0.1)*AO124),IF(AL124=2,AR$100*EXP(-(LN(2)/$D$65+0.04)*(VLOOKUP(($F$16-$F$15)-1,AK$100:AO124,4,FALSE)))*EXP(-(LN(2)/$D$65+0.1)*(VLOOKUP(($F$16-$F$15)-1,AK$100:AO124,5,FALSE)))*EXP(-(LN(2)/$D$65+0.04)*AN124)*EXP(-(LN(2)/$D$65+0.1)*AO124),IF(AL124=3,AR$100*EXP(-(LN(2)/$D$65+0.04)*(VLOOKUP(($F$16-$F$15)-1,AK$100:AO124,4,FALSE)))*EXP(-(LN(2)/$D$65+0.1)*(VLOOKUP(($F$16-$F$15)-1,AK$100:AO124,5,FALSE)))*EXP(-(LN(2)/$D$65+0.04)*(VLOOKUP(($F$16-$F$15)*2-1,AK$100:AO124,4,FALSE)))*EXP(-(LN(2)/$D$65+0.1)*(VLOOKUP(($F$16-$F$15)*2-1,AK$100:AO124,5,FALSE)))*EXP(-(LN(2)/$D$65+0.04)*AN124)*EXP(-(LN(2)/$D$65+0.1)*AO124),"-"))),"-")</f>
        <v>-</v>
      </c>
      <c r="AS124" s="274">
        <f t="shared" si="17"/>
        <v>0</v>
      </c>
      <c r="AT124" s="274">
        <f t="shared" si="18"/>
        <v>0</v>
      </c>
      <c r="AU124" s="274">
        <f t="shared" si="19"/>
        <v>0</v>
      </c>
      <c r="AV124" s="190">
        <f>IF($B124&lt;$F$22,SUM($T$100:$T124),"")</f>
        <v>0</v>
      </c>
      <c r="AW124" s="190" t="str">
        <f t="shared" si="55"/>
        <v>-</v>
      </c>
      <c r="AX124" s="190" t="str">
        <f t="shared" si="56"/>
        <v/>
      </c>
      <c r="AY124"/>
      <c r="AZ124" s="190" t="str">
        <f ca="1">IF(ISNUMBER(OFFSET(AV124,-$F$21,0)),SUM(OFFSET($T$100,$F$21,0):$T124),"")</f>
        <v/>
      </c>
      <c r="BA124" s="190" t="str">
        <f t="shared" ca="1" si="20"/>
        <v/>
      </c>
      <c r="BB124" s="190" t="str">
        <f t="shared" ca="1" si="70"/>
        <v/>
      </c>
      <c r="BC124" s="190"/>
      <c r="BD124" s="190" t="str">
        <f ca="1">IFERROR(IF(AND($B124&gt;=($F$16-$F$15),$B124&lt;$F$22+($F$16-$F$15)),SUM(OFFSET($T$100,($F$16-$F$15),0):$T124),""),"")</f>
        <v/>
      </c>
      <c r="BE124" s="190" t="str">
        <f t="shared" ca="1" si="58"/>
        <v/>
      </c>
      <c r="BF124" s="190" t="str">
        <f t="shared" ca="1" si="59"/>
        <v/>
      </c>
      <c r="BG124"/>
      <c r="BH124" s="190" t="str">
        <f ca="1">IF(ISNUMBER(OFFSET(BD124,-$F$21,0)),SUM(OFFSET($T$100,($F$16-$F$15+$F$21),0):$T124),"")</f>
        <v/>
      </c>
      <c r="BI124" s="190" t="str">
        <f t="shared" ca="1" si="21"/>
        <v/>
      </c>
      <c r="BJ124" s="190" t="str">
        <f t="shared" ca="1" si="60"/>
        <v/>
      </c>
      <c r="BK124" s="190"/>
      <c r="BL124" s="190" t="str">
        <f ca="1">IFERROR(IF(AND($B124&gt;=($F$17-$F$15),$B124&lt;$F$22+($F$17-$F$15)),SUM(OFFSET($T$100,($F$17-$F$15),0):$T124),""),"")</f>
        <v/>
      </c>
      <c r="BM124" s="190" t="str">
        <f t="shared" ca="1" si="22"/>
        <v/>
      </c>
      <c r="BN124" s="190" t="str">
        <f t="shared" ca="1" si="61"/>
        <v/>
      </c>
      <c r="BO124"/>
      <c r="BP124" s="190" t="str">
        <f ca="1">IF(ISNUMBER(OFFSET(BL124,-$F$21,0)),SUM(OFFSET($T$100,($F$17-$F$15+$F$21),0):$T124),"")</f>
        <v/>
      </c>
      <c r="BQ124" s="190" t="str">
        <f t="shared" ca="1" si="62"/>
        <v/>
      </c>
      <c r="BR124" s="190" t="str">
        <f t="shared" ca="1" si="63"/>
        <v/>
      </c>
      <c r="BS124" s="190"/>
      <c r="BT124"/>
      <c r="BU124" s="185"/>
      <c r="BV124" s="184"/>
      <c r="BW124" s="185"/>
      <c r="BX124" s="185"/>
      <c r="BY124" s="185"/>
      <c r="BZ124"/>
      <c r="CA124" s="280" t="str">
        <f t="shared" si="23"/>
        <v/>
      </c>
      <c r="CB124" s="71" t="str">
        <f t="shared" si="24"/>
        <v>-</v>
      </c>
      <c r="CC124" s="33"/>
      <c r="CD124" s="261" t="str">
        <f t="shared" si="26"/>
        <v/>
      </c>
      <c r="CE124" s="280" t="str">
        <f t="shared" si="27"/>
        <v>-</v>
      </c>
      <c r="CF124" s="71" t="str">
        <f t="shared" ca="1" si="28"/>
        <v>-</v>
      </c>
      <c r="CG124" s="33" t="str">
        <f t="shared" si="29"/>
        <v>24-25</v>
      </c>
      <c r="CH124" s="261" t="str">
        <f t="shared" ca="1" si="30"/>
        <v/>
      </c>
      <c r="CI124" s="202"/>
      <c r="CP124" s="99"/>
      <c r="CQ124" s="99"/>
      <c r="CR124" s="99"/>
      <c r="CS124" s="99"/>
      <c r="CT124" s="99"/>
      <c r="CU124" s="99"/>
      <c r="CV124" s="99"/>
      <c r="CW124" s="99"/>
      <c r="CX124" s="99"/>
      <c r="CY124" s="99"/>
      <c r="CZ124" s="99"/>
      <c r="DA124" s="99"/>
      <c r="DB124" s="99"/>
      <c r="DC124" s="99"/>
    </row>
    <row r="125" spans="2:107" ht="13.5" customHeight="1" x14ac:dyDescent="0.2">
      <c r="B125" s="262">
        <v>25</v>
      </c>
      <c r="C125" s="237" t="str">
        <f t="shared" si="31"/>
        <v/>
      </c>
      <c r="D125" s="237" t="str">
        <f t="shared" si="66"/>
        <v>-</v>
      </c>
      <c r="E125" s="290" t="str">
        <f t="shared" si="32"/>
        <v/>
      </c>
      <c r="F125" s="264" t="str">
        <f t="shared" si="33"/>
        <v/>
      </c>
      <c r="G125" s="291" t="str">
        <f t="shared" si="34"/>
        <v/>
      </c>
      <c r="H125" s="240" t="str">
        <f t="shared" si="35"/>
        <v/>
      </c>
      <c r="I125" s="265" t="str">
        <f t="shared" si="1"/>
        <v/>
      </c>
      <c r="J125" s="265" t="str">
        <f t="shared" si="2"/>
        <v/>
      </c>
      <c r="K125" s="240" t="str">
        <f t="shared" si="36"/>
        <v/>
      </c>
      <c r="L125" s="265" t="str">
        <f t="shared" si="3"/>
        <v/>
      </c>
      <c r="M125" s="265" t="str">
        <f t="shared" si="4"/>
        <v/>
      </c>
      <c r="N125" s="240" t="str">
        <f t="shared" si="5"/>
        <v>-</v>
      </c>
      <c r="O125" s="265" t="str">
        <f t="shared" si="37"/>
        <v>-</v>
      </c>
      <c r="P125" s="265" t="str">
        <f t="shared" si="38"/>
        <v>-</v>
      </c>
      <c r="Q125" s="266" t="str">
        <f t="shared" si="6"/>
        <v>-</v>
      </c>
      <c r="R125" s="267" t="str">
        <f t="shared" si="39"/>
        <v>-</v>
      </c>
      <c r="S125" s="268" t="str">
        <f t="shared" si="40"/>
        <v>-</v>
      </c>
      <c r="T125" s="269" t="str">
        <f t="shared" si="41"/>
        <v/>
      </c>
      <c r="U125" s="221">
        <f t="shared" si="7"/>
        <v>25</v>
      </c>
      <c r="V125" s="220" t="str">
        <f t="shared" si="42"/>
        <v>-</v>
      </c>
      <c r="W125" s="221" t="str">
        <f t="shared" si="43"/>
        <v>-</v>
      </c>
      <c r="X125" s="221" t="str">
        <f t="shared" si="8"/>
        <v>-</v>
      </c>
      <c r="Y125" s="221" t="str">
        <f t="shared" si="9"/>
        <v>-</v>
      </c>
      <c r="Z125" s="270">
        <f t="shared" si="44"/>
        <v>0.1</v>
      </c>
      <c r="AA125" s="271" t="str">
        <f>IFERROR(IF(V124=1,AA$100*EXP(-(LN(2)/$D$65+0.04)*X124)*EXP(-(LN(2)/$D$65+0.1)*Y124),IF(V124=2,AA$100*EXP(-(LN(2)/$D$65+0.04)*(VLOOKUP(($F$16-$F$15)-1,U$99:Y124,4,FALSE)))*EXP(-(LN(2)/$D$65+0.1)*(VLOOKUP(($F$16-$F$15)-1,U$99:Y124,5,FALSE)))*EXP(-(LN(2)/$D$65+0.04)*X124)*EXP(-(LN(2)/$D$65+0.1)*Y124),IF(V124=3,AA$100*EXP(-(LN(2)/$D$65+0.04)*(VLOOKUP(($F$16-$F$15)-1,U$99:Y124,4,FALSE)))*EXP(-(LN(2)/$D$65+0.1)*(VLOOKUP(($F$16-$F$15)-1,U$99:Y124,5,FALSE)))*EXP(-(LN(2)/$D$65+0.04)*(VLOOKUP(($F$16-$F$15)*2-1,U$99:Y124,4,FALSE)))*EXP(-(LN(2)/$D$65+0.1)*(VLOOKUP(($F$16-$F$15)*2-1,U$99:Y124,5,FALSE)))*EXP(-(LN(2)/$D$65+0.04)*X124)*EXP(-(LN(2)/$D$65+0.1)*Y124),"-"))),"-")</f>
        <v>-</v>
      </c>
      <c r="AB125" s="271" t="str">
        <f>IFERROR(IF(V125=1,AB$100*EXP(-(LN(2)/$D$65+0.04)*X125)*EXP(-(LN(2)/$D$65+0.1)*Y125),IF(V125=2,AB$100*EXP(-(LN(2)/$D$65+0.04)*(VLOOKUP(($F$16-$F$15)-1,U$100:Y125,4,FALSE)))*EXP(-(LN(2)/$D$65+0.1)*(VLOOKUP(($F$16-$F$15)-1,U$100:Y125,5,FALSE)))*EXP(-(LN(2)/$D$65+0.04)*X125)*EXP(-(LN(2)/$D$65+0.1)*Y125),IF(V125=3,AB$100*EXP(-(LN(2)/$D$65+0.04)*(VLOOKUP(($F$16-$F$15)-1,U$100:Y125,4,FALSE)))*EXP(-(LN(2)/$D$65+0.1)*(VLOOKUP(($F$16-$F$15)-1,U$100:Y125,5,FALSE)))*EXP(-(LN(2)/$D$65+0.04)*(VLOOKUP(($F$16-$F$15)*2-1,U$100:Y125,4,FALSE)))*EXP(-(LN(2)/$D$65+0.1)*(VLOOKUP(($F$16-$F$15)*2-1,U$100:Y125,5,FALSE)))*EXP(-(LN(2)/$D$65+0.04)*X125)*EXP(-(LN(2)/$D$65+0.1)*Y125),"-"))),"-")</f>
        <v>-</v>
      </c>
      <c r="AC125" s="224">
        <f t="shared" si="45"/>
        <v>25</v>
      </c>
      <c r="AD125" s="223" t="str">
        <f t="shared" si="11"/>
        <v>-</v>
      </c>
      <c r="AE125" s="224" t="str">
        <f t="shared" si="46"/>
        <v>-</v>
      </c>
      <c r="AF125" s="224" t="str">
        <f t="shared" si="12"/>
        <v>-</v>
      </c>
      <c r="AG125" s="224" t="str">
        <f t="shared" si="13"/>
        <v>-</v>
      </c>
      <c r="AH125" s="272">
        <f t="shared" si="47"/>
        <v>0.1</v>
      </c>
      <c r="AI125" s="271" t="str">
        <f>IFERROR(IF(AD124=1,AI$100*EXP(-(LN(2)/$D$65+0.04)*AF124)*EXP(-(LN(2)/$D$65+0.1)*AG124),IF(AD124=2,AI$100*EXP(-(LN(2)/$D$65+0.04)*(VLOOKUP(($F$16-$F$15)-1,AC$99:AG124,4,FALSE)))*EXP(-(LN(2)/$D$65+0.1)*(VLOOKUP(($F$16-$F$15)-1,AC$99:AG124,5,FALSE)))*EXP(-(LN(2)/$D$65+0.04)*AF124)*EXP(-(LN(2)/$D$65+0.1)*AG124),IF(AD124=3,AI$100*EXP(-(LN(2)/$D$65+0.04)*(VLOOKUP(($F$16-$F$15)-1,AC$99:AG124,4,FALSE)))*EXP(-(LN(2)/$D$65+0.1)*(VLOOKUP(($F$16-$F$15)-1,AC$99:AG124,5,FALSE)))*EXP(-(LN(2)/$D$65+0.04)*(VLOOKUP(($F$16-$F$15)*2-1,AC$99:AG124,4,FALSE)))*EXP(-(LN(2)/$D$65+0.1)*(VLOOKUP(($F$16-$F$15)*2-1,AC$99:AG124,5,FALSE)))*EXP(-(LN(2)/$D$65+0.04)*AF124)*EXP(-(LN(2)/$D$65+0.1)*AG124),"-"))),"-")</f>
        <v>-</v>
      </c>
      <c r="AJ125" s="271" t="str">
        <f>IFERROR(IF(AD125=1,AJ$100*EXP(-(LN(2)/$D$65+0.04)*AF125)*EXP(-(LN(2)/$D$65+0.1)*AG125),IF(AD125=2,AJ$100*EXP(-(LN(2)/$D$65+0.04)*(VLOOKUP(($F$16-$F$15)-1,AC$100:AG125,4,FALSE)))*EXP(-(LN(2)/$D$65+0.1)*(VLOOKUP(($F$16-$F$15)-1,AC$100:AG125,5,FALSE)))*EXP(-(LN(2)/$D$65+0.04)*AF125)*EXP(-(LN(2)/$D$65+0.1)*AG125),IF(AD125=3,AJ$100*EXP(-(LN(2)/$D$65+0.04)*(VLOOKUP(($F$16-$F$15)-1,AC$100:AG125,4,FALSE)))*EXP(-(LN(2)/$D$65+0.1)*(VLOOKUP(($F$16-$F$15)-1,AC$100:AG125,5,FALSE)))*EXP(-(LN(2)/$D$65+0.04)*(VLOOKUP(($F$16-$F$15)*2-1,AC$100:AG125,4,FALSE)))*EXP(-(LN(2)/$D$65+0.1)*(VLOOKUP(($F$16-$F$15)*2-1,AC$100:AG125,5,FALSE)))*EXP(-(LN(2)/$D$65+0.04)*AF125)*EXP(-(LN(2)/$D$65+0.1)*AG125),"-"))),"-")</f>
        <v>-</v>
      </c>
      <c r="AK125" s="227">
        <f t="shared" si="49"/>
        <v>25</v>
      </c>
      <c r="AL125" s="226" t="str">
        <f t="shared" si="15"/>
        <v>-</v>
      </c>
      <c r="AM125" s="227" t="str">
        <f t="shared" si="50"/>
        <v>-</v>
      </c>
      <c r="AN125" s="227" t="str">
        <f t="shared" si="51"/>
        <v>-</v>
      </c>
      <c r="AO125" s="227" t="str">
        <f t="shared" si="16"/>
        <v>-</v>
      </c>
      <c r="AP125" s="273">
        <f t="shared" si="52"/>
        <v>0.1</v>
      </c>
      <c r="AQ125" s="271" t="str">
        <f>IFERROR(IF(AL124=1,AQ$100*EXP(-(LN(2)/$D$65+0.04)*AN124)*EXP(-(LN(2)/$D$65+0.1)*AO124),IF(AL124=2,AQ$100*EXP(-(LN(2)/$D$65+0.04)*(VLOOKUP(($F$16-$F$15)-1,AK$99:AO124,4,FALSE)))*EXP(-(LN(2)/$D$65+0.1)*(VLOOKUP(($F$16-$F$15)-1,AK$99:AO124,5,FALSE)))*EXP(-(LN(2)/$D$65+0.04)*AN124)*EXP(-(LN(2)/$D$65+0.1)*AO124),IF(AL124=3,AQ$100*EXP(-(LN(2)/$D$65+0.04)*(VLOOKUP(($F$16-$F$15)-1,AK$99:AO124,4,FALSE)))*EXP(-(LN(2)/$D$65+0.1)*(VLOOKUP(($F$16-$F$15)-1,AK$99:AO124,5,FALSE)))*EXP(-(LN(2)/$D$65+0.04)*(VLOOKUP(($F$16-$F$15)*2-1,AK$99:AO124,4,FALSE)))*EXP(-(LN(2)/$D$65+0.1)*(VLOOKUP(($F$16-$F$15)*2-1,AK$99:AO124,5,FALSE)))*EXP(-(LN(2)/$D$65+0.04)*AN124)*EXP(-(LN(2)/$D$65+0.1)*AO124),"-"))),"-")</f>
        <v>-</v>
      </c>
      <c r="AR125" s="271" t="str">
        <f>IFERROR(IF(AL125=1,AR$100*EXP(-(LN(2)/$D$65+0.04)*AN125)*EXP(-(LN(2)/$D$65+0.1)*AO125),IF(AL125=2,AR$100*EXP(-(LN(2)/$D$65+0.04)*(VLOOKUP(($F$16-$F$15)-1,AK$100:AO125,4,FALSE)))*EXP(-(LN(2)/$D$65+0.1)*(VLOOKUP(($F$16-$F$15)-1,AK$100:AO125,5,FALSE)))*EXP(-(LN(2)/$D$65+0.04)*AN125)*EXP(-(LN(2)/$D$65+0.1)*AO125),IF(AL125=3,AR$100*EXP(-(LN(2)/$D$65+0.04)*(VLOOKUP(($F$16-$F$15)-1,AK$100:AO125,4,FALSE)))*EXP(-(LN(2)/$D$65+0.1)*(VLOOKUP(($F$16-$F$15)-1,AK$100:AO125,5,FALSE)))*EXP(-(LN(2)/$D$65+0.04)*(VLOOKUP(($F$16-$F$15)*2-1,AK$100:AO125,4,FALSE)))*EXP(-(LN(2)/$D$65+0.1)*(VLOOKUP(($F$16-$F$15)*2-1,AK$100:AO125,5,FALSE)))*EXP(-(LN(2)/$D$65+0.04)*AN125)*EXP(-(LN(2)/$D$65+0.1)*AO125),"-"))),"-")</f>
        <v>-</v>
      </c>
      <c r="AS125" s="274">
        <f t="shared" si="17"/>
        <v>0</v>
      </c>
      <c r="AT125" s="274">
        <f t="shared" si="18"/>
        <v>0</v>
      </c>
      <c r="AU125" s="274">
        <f t="shared" si="19"/>
        <v>0</v>
      </c>
      <c r="AV125" s="190">
        <f>IF($B125&lt;$F$22,SUM($T$100:$T125),"")</f>
        <v>0</v>
      </c>
      <c r="AW125" s="190" t="str">
        <f t="shared" si="55"/>
        <v>-</v>
      </c>
      <c r="AX125" s="190" t="str">
        <f t="shared" si="56"/>
        <v/>
      </c>
      <c r="AY125"/>
      <c r="AZ125" s="190" t="str">
        <f ca="1">IF(ISNUMBER(OFFSET(AV125,-$F$21,0)),SUM(OFFSET($T$100,$F$21,0):$T125),"")</f>
        <v/>
      </c>
      <c r="BA125" s="190" t="str">
        <f t="shared" ca="1" si="20"/>
        <v/>
      </c>
      <c r="BB125" s="190" t="str">
        <f t="shared" ca="1" si="70"/>
        <v/>
      </c>
      <c r="BC125" s="190"/>
      <c r="BD125" s="190" t="str">
        <f ca="1">IFERROR(IF(AND($B125&gt;=($F$16-$F$15),$B125&lt;$F$22+($F$16-$F$15)),SUM(OFFSET($T$100,($F$16-$F$15),0):$T125),""),"")</f>
        <v/>
      </c>
      <c r="BE125" s="190" t="str">
        <f t="shared" ca="1" si="58"/>
        <v/>
      </c>
      <c r="BF125" s="190" t="str">
        <f t="shared" ca="1" si="59"/>
        <v/>
      </c>
      <c r="BG125"/>
      <c r="BH125" s="190" t="str">
        <f ca="1">IF(ISNUMBER(OFFSET(BD125,-$F$21,0)),SUM(OFFSET($T$100,($F$16-$F$15+$F$21),0):$T125),"")</f>
        <v/>
      </c>
      <c r="BI125" s="190" t="str">
        <f t="shared" ca="1" si="21"/>
        <v/>
      </c>
      <c r="BJ125" s="190" t="str">
        <f t="shared" ca="1" si="60"/>
        <v/>
      </c>
      <c r="BK125" s="190"/>
      <c r="BL125" s="190" t="str">
        <f ca="1">IFERROR(IF(AND($B125&gt;=($F$17-$F$15),$B125&lt;$F$22+($F$17-$F$15)),SUM(OFFSET($T$100,($F$17-$F$15),0):$T125),""),"")</f>
        <v/>
      </c>
      <c r="BM125" s="190" t="str">
        <f t="shared" ca="1" si="22"/>
        <v/>
      </c>
      <c r="BN125" s="190" t="str">
        <f t="shared" ca="1" si="61"/>
        <v/>
      </c>
      <c r="BO125"/>
      <c r="BP125" s="190" t="str">
        <f ca="1">IF(ISNUMBER(OFFSET(BL125,-$F$21,0)),SUM(OFFSET($T$100,($F$17-$F$15+$F$21),0):$T125),"")</f>
        <v/>
      </c>
      <c r="BQ125" s="190" t="str">
        <f t="shared" ca="1" si="62"/>
        <v/>
      </c>
      <c r="BR125" s="190" t="str">
        <f t="shared" ca="1" si="63"/>
        <v/>
      </c>
      <c r="BS125" s="190"/>
      <c r="BT125"/>
      <c r="BU125" s="185"/>
      <c r="BV125" s="177"/>
      <c r="BW125" s="185"/>
      <c r="BX125" s="185"/>
      <c r="BY125" s="185"/>
      <c r="BZ125"/>
      <c r="CA125" s="280" t="str">
        <f t="shared" si="23"/>
        <v/>
      </c>
      <c r="CB125" s="71" t="str">
        <f t="shared" si="24"/>
        <v>-</v>
      </c>
      <c r="CC125" s="33"/>
      <c r="CD125" s="261" t="str">
        <f t="shared" si="26"/>
        <v/>
      </c>
      <c r="CE125" s="280" t="str">
        <f t="shared" si="27"/>
        <v>-</v>
      </c>
      <c r="CF125" s="71" t="str">
        <f t="shared" ca="1" si="28"/>
        <v>-</v>
      </c>
      <c r="CG125" s="33" t="str">
        <f t="shared" si="29"/>
        <v>25-26</v>
      </c>
      <c r="CH125" s="261" t="str">
        <f t="shared" ca="1" si="30"/>
        <v/>
      </c>
      <c r="CI125" s="202"/>
      <c r="CP125" s="99"/>
      <c r="CQ125" s="99"/>
      <c r="CR125" s="99"/>
      <c r="CS125" s="99"/>
      <c r="CT125" s="99"/>
      <c r="CU125" s="99"/>
      <c r="CV125" s="99"/>
      <c r="CW125" s="99"/>
      <c r="CX125" s="99"/>
      <c r="CY125" s="99"/>
      <c r="CZ125" s="99"/>
      <c r="DA125" s="99"/>
      <c r="DB125" s="99"/>
      <c r="DC125" s="99"/>
    </row>
    <row r="126" spans="2:107" ht="13.5" customHeight="1" x14ac:dyDescent="0.2">
      <c r="B126" s="262">
        <v>26</v>
      </c>
      <c r="C126" s="237" t="str">
        <f t="shared" si="31"/>
        <v/>
      </c>
      <c r="D126" s="237" t="str">
        <f t="shared" si="66"/>
        <v>-</v>
      </c>
      <c r="E126" s="290" t="str">
        <f t="shared" si="32"/>
        <v/>
      </c>
      <c r="F126" s="264" t="str">
        <f t="shared" si="33"/>
        <v/>
      </c>
      <c r="G126" s="291" t="str">
        <f t="shared" si="34"/>
        <v/>
      </c>
      <c r="H126" s="240" t="str">
        <f t="shared" si="35"/>
        <v/>
      </c>
      <c r="I126" s="265" t="str">
        <f t="shared" si="1"/>
        <v/>
      </c>
      <c r="J126" s="265" t="str">
        <f t="shared" si="2"/>
        <v/>
      </c>
      <c r="K126" s="240" t="str">
        <f t="shared" si="36"/>
        <v/>
      </c>
      <c r="L126" s="265" t="str">
        <f t="shared" si="3"/>
        <v/>
      </c>
      <c r="M126" s="265" t="str">
        <f t="shared" si="4"/>
        <v/>
      </c>
      <c r="N126" s="240" t="str">
        <f t="shared" si="5"/>
        <v>-</v>
      </c>
      <c r="O126" s="265" t="str">
        <f t="shared" si="37"/>
        <v>-</v>
      </c>
      <c r="P126" s="265" t="str">
        <f t="shared" si="38"/>
        <v>-</v>
      </c>
      <c r="Q126" s="266" t="str">
        <f t="shared" si="6"/>
        <v>-</v>
      </c>
      <c r="R126" s="267" t="str">
        <f t="shared" si="39"/>
        <v>-</v>
      </c>
      <c r="S126" s="268" t="str">
        <f t="shared" si="40"/>
        <v>-</v>
      </c>
      <c r="T126" s="269" t="str">
        <f t="shared" si="41"/>
        <v/>
      </c>
      <c r="U126" s="221">
        <f t="shared" si="7"/>
        <v>26</v>
      </c>
      <c r="V126" s="220" t="str">
        <f t="shared" si="42"/>
        <v>-</v>
      </c>
      <c r="W126" s="221" t="str">
        <f t="shared" si="43"/>
        <v>-</v>
      </c>
      <c r="X126" s="221" t="str">
        <f t="shared" si="8"/>
        <v>-</v>
      </c>
      <c r="Y126" s="221" t="str">
        <f t="shared" si="9"/>
        <v>-</v>
      </c>
      <c r="Z126" s="270">
        <f t="shared" si="44"/>
        <v>0.1</v>
      </c>
      <c r="AA126" s="271" t="str">
        <f>IFERROR(IF(V125=1,AA$100*EXP(-(LN(2)/$D$65+0.04)*X125)*EXP(-(LN(2)/$D$65+0.1)*Y125),IF(V125=2,AA$100*EXP(-(LN(2)/$D$65+0.04)*(VLOOKUP(($F$16-$F$15)-1,U$99:Y125,4,FALSE)))*EXP(-(LN(2)/$D$65+0.1)*(VLOOKUP(($F$16-$F$15)-1,U$99:Y125,5,FALSE)))*EXP(-(LN(2)/$D$65+0.04)*X125)*EXP(-(LN(2)/$D$65+0.1)*Y125),IF(V125=3,AA$100*EXP(-(LN(2)/$D$65+0.04)*(VLOOKUP(($F$16-$F$15)-1,U$99:Y125,4,FALSE)))*EXP(-(LN(2)/$D$65+0.1)*(VLOOKUP(($F$16-$F$15)-1,U$99:Y125,5,FALSE)))*EXP(-(LN(2)/$D$65+0.04)*(VLOOKUP(($F$16-$F$15)*2-1,U$99:Y125,4,FALSE)))*EXP(-(LN(2)/$D$65+0.1)*(VLOOKUP(($F$16-$F$15)*2-1,U$99:Y125,5,FALSE)))*EXP(-(LN(2)/$D$65+0.04)*X125)*EXP(-(LN(2)/$D$65+0.1)*Y125),"-"))),"-")</f>
        <v>-</v>
      </c>
      <c r="AB126" s="271" t="str">
        <f>IFERROR(IF(V126=1,AB$100*EXP(-(LN(2)/$D$65+0.04)*X126)*EXP(-(LN(2)/$D$65+0.1)*Y126),IF(V126=2,AB$100*EXP(-(LN(2)/$D$65+0.04)*(VLOOKUP(($F$16-$F$15)-1,U$100:Y126,4,FALSE)))*EXP(-(LN(2)/$D$65+0.1)*(VLOOKUP(($F$16-$F$15)-1,U$100:Y126,5,FALSE)))*EXP(-(LN(2)/$D$65+0.04)*X126)*EXP(-(LN(2)/$D$65+0.1)*Y126),IF(V126=3,AB$100*EXP(-(LN(2)/$D$65+0.04)*(VLOOKUP(($F$16-$F$15)-1,U$100:Y126,4,FALSE)))*EXP(-(LN(2)/$D$65+0.1)*(VLOOKUP(($F$16-$F$15)-1,U$100:Y126,5,FALSE)))*EXP(-(LN(2)/$D$65+0.04)*(VLOOKUP(($F$16-$F$15)*2-1,U$100:Y126,4,FALSE)))*EXP(-(LN(2)/$D$65+0.1)*(VLOOKUP(($F$16-$F$15)*2-1,U$100:Y126,5,FALSE)))*EXP(-(LN(2)/$D$65+0.04)*X126)*EXP(-(LN(2)/$D$65+0.1)*Y126),"-"))),"-")</f>
        <v>-</v>
      </c>
      <c r="AC126" s="224">
        <f t="shared" si="45"/>
        <v>26</v>
      </c>
      <c r="AD126" s="223" t="str">
        <f t="shared" si="11"/>
        <v>-</v>
      </c>
      <c r="AE126" s="224" t="str">
        <f t="shared" si="46"/>
        <v>-</v>
      </c>
      <c r="AF126" s="224" t="str">
        <f t="shared" si="12"/>
        <v>-</v>
      </c>
      <c r="AG126" s="224" t="str">
        <f t="shared" si="13"/>
        <v>-</v>
      </c>
      <c r="AH126" s="272">
        <f t="shared" si="47"/>
        <v>0.1</v>
      </c>
      <c r="AI126" s="271" t="str">
        <f>IFERROR(IF(AD125=1,AI$100*EXP(-(LN(2)/$D$65+0.04)*AF125)*EXP(-(LN(2)/$D$65+0.1)*AG125),IF(AD125=2,AI$100*EXP(-(LN(2)/$D$65+0.04)*(VLOOKUP(($F$16-$F$15)-1,AC$99:AG125,4,FALSE)))*EXP(-(LN(2)/$D$65+0.1)*(VLOOKUP(($F$16-$F$15)-1,AC$99:AG125,5,FALSE)))*EXP(-(LN(2)/$D$65+0.04)*AF125)*EXP(-(LN(2)/$D$65+0.1)*AG125),IF(AD125=3,AI$100*EXP(-(LN(2)/$D$65+0.04)*(VLOOKUP(($F$16-$F$15)-1,AC$99:AG125,4,FALSE)))*EXP(-(LN(2)/$D$65+0.1)*(VLOOKUP(($F$16-$F$15)-1,AC$99:AG125,5,FALSE)))*EXP(-(LN(2)/$D$65+0.04)*(VLOOKUP(($F$16-$F$15)*2-1,AC$99:AG125,4,FALSE)))*EXP(-(LN(2)/$D$65+0.1)*(VLOOKUP(($F$16-$F$15)*2-1,AC$99:AG125,5,FALSE)))*EXP(-(LN(2)/$D$65+0.04)*AF125)*EXP(-(LN(2)/$D$65+0.1)*AG125),"-"))),"-")</f>
        <v>-</v>
      </c>
      <c r="AJ126" s="271" t="str">
        <f>IFERROR(IF(AD126=1,AJ$100*EXP(-(LN(2)/$D$65+0.04)*AF126)*EXP(-(LN(2)/$D$65+0.1)*AG126),IF(AD126=2,AJ$100*EXP(-(LN(2)/$D$65+0.04)*(VLOOKUP(($F$16-$F$15)-1,AC$100:AG126,4,FALSE)))*EXP(-(LN(2)/$D$65+0.1)*(VLOOKUP(($F$16-$F$15)-1,AC$100:AG126,5,FALSE)))*EXP(-(LN(2)/$D$65+0.04)*AF126)*EXP(-(LN(2)/$D$65+0.1)*AG126),IF(AD126=3,AJ$100*EXP(-(LN(2)/$D$65+0.04)*(VLOOKUP(($F$16-$F$15)-1,AC$100:AG126,4,FALSE)))*EXP(-(LN(2)/$D$65+0.1)*(VLOOKUP(($F$16-$F$15)-1,AC$100:AG126,5,FALSE)))*EXP(-(LN(2)/$D$65+0.04)*(VLOOKUP(($F$16-$F$15)*2-1,AC$100:AG126,4,FALSE)))*EXP(-(LN(2)/$D$65+0.1)*(VLOOKUP(($F$16-$F$15)*2-1,AC$100:AG126,5,FALSE)))*EXP(-(LN(2)/$D$65+0.04)*AF126)*EXP(-(LN(2)/$D$65+0.1)*AG126),"-"))),"-")</f>
        <v>-</v>
      </c>
      <c r="AK126" s="227">
        <f t="shared" si="49"/>
        <v>26</v>
      </c>
      <c r="AL126" s="226" t="str">
        <f t="shared" si="15"/>
        <v>-</v>
      </c>
      <c r="AM126" s="227" t="str">
        <f t="shared" si="50"/>
        <v>-</v>
      </c>
      <c r="AN126" s="227" t="str">
        <f t="shared" si="51"/>
        <v>-</v>
      </c>
      <c r="AO126" s="227" t="str">
        <f t="shared" si="16"/>
        <v>-</v>
      </c>
      <c r="AP126" s="273">
        <f t="shared" si="52"/>
        <v>0.1</v>
      </c>
      <c r="AQ126" s="271" t="str">
        <f>IFERROR(IF(AL125=1,AQ$100*EXP(-(LN(2)/$D$65+0.04)*AN125)*EXP(-(LN(2)/$D$65+0.1)*AO125),IF(AL125=2,AQ$100*EXP(-(LN(2)/$D$65+0.04)*(VLOOKUP(($F$16-$F$15)-1,AK$99:AO125,4,FALSE)))*EXP(-(LN(2)/$D$65+0.1)*(VLOOKUP(($F$16-$F$15)-1,AK$99:AO125,5,FALSE)))*EXP(-(LN(2)/$D$65+0.04)*AN125)*EXP(-(LN(2)/$D$65+0.1)*AO125),IF(AL125=3,AQ$100*EXP(-(LN(2)/$D$65+0.04)*(VLOOKUP(($F$16-$F$15)-1,AK$99:AO125,4,FALSE)))*EXP(-(LN(2)/$D$65+0.1)*(VLOOKUP(($F$16-$F$15)-1,AK$99:AO125,5,FALSE)))*EXP(-(LN(2)/$D$65+0.04)*(VLOOKUP(($F$16-$F$15)*2-1,AK$99:AO125,4,FALSE)))*EXP(-(LN(2)/$D$65+0.1)*(VLOOKUP(($F$16-$F$15)*2-1,AK$99:AO125,5,FALSE)))*EXP(-(LN(2)/$D$65+0.04)*AN125)*EXP(-(LN(2)/$D$65+0.1)*AO125),"-"))),"-")</f>
        <v>-</v>
      </c>
      <c r="AR126" s="271" t="str">
        <f>IFERROR(IF(AL126=1,AR$100*EXP(-(LN(2)/$D$65+0.04)*AN126)*EXP(-(LN(2)/$D$65+0.1)*AO126),IF(AL126=2,AR$100*EXP(-(LN(2)/$D$65+0.04)*(VLOOKUP(($F$16-$F$15)-1,AK$100:AO126,4,FALSE)))*EXP(-(LN(2)/$D$65+0.1)*(VLOOKUP(($F$16-$F$15)-1,AK$100:AO126,5,FALSE)))*EXP(-(LN(2)/$D$65+0.04)*AN126)*EXP(-(LN(2)/$D$65+0.1)*AO126),IF(AL126=3,AR$100*EXP(-(LN(2)/$D$65+0.04)*(VLOOKUP(($F$16-$F$15)-1,AK$100:AO126,4,FALSE)))*EXP(-(LN(2)/$D$65+0.1)*(VLOOKUP(($F$16-$F$15)-1,AK$100:AO126,5,FALSE)))*EXP(-(LN(2)/$D$65+0.04)*(VLOOKUP(($F$16-$F$15)*2-1,AK$100:AO126,4,FALSE)))*EXP(-(LN(2)/$D$65+0.1)*(VLOOKUP(($F$16-$F$15)*2-1,AK$100:AO126,5,FALSE)))*EXP(-(LN(2)/$D$65+0.04)*AN126)*EXP(-(LN(2)/$D$65+0.1)*AO126),"-"))),"-")</f>
        <v>-</v>
      </c>
      <c r="AS126" s="274">
        <f t="shared" si="17"/>
        <v>0</v>
      </c>
      <c r="AT126" s="274">
        <f t="shared" si="18"/>
        <v>0</v>
      </c>
      <c r="AU126" s="274">
        <f t="shared" si="19"/>
        <v>0</v>
      </c>
      <c r="AV126" s="190">
        <f>IF($B126&lt;$F$22,SUM($T$100:$T126),"")</f>
        <v>0</v>
      </c>
      <c r="AW126" s="190" t="str">
        <f t="shared" si="55"/>
        <v>-</v>
      </c>
      <c r="AX126" s="190" t="str">
        <f t="shared" si="56"/>
        <v/>
      </c>
      <c r="AY126"/>
      <c r="AZ126" s="190" t="str">
        <f ca="1">IF(ISNUMBER(OFFSET(AV126,-$F$21,0)),SUM(OFFSET($T$100,$F$21,0):$T126),"")</f>
        <v/>
      </c>
      <c r="BA126" s="190" t="str">
        <f t="shared" ca="1" si="20"/>
        <v/>
      </c>
      <c r="BB126" s="190" t="str">
        <f t="shared" ca="1" si="70"/>
        <v/>
      </c>
      <c r="BC126" s="190"/>
      <c r="BD126" s="190" t="str">
        <f ca="1">IFERROR(IF(AND($B126&gt;=($F$16-$F$15),$B126&lt;$F$22+($F$16-$F$15)),SUM(OFFSET($T$100,($F$16-$F$15),0):$T126),""),"")</f>
        <v/>
      </c>
      <c r="BE126" s="190" t="str">
        <f t="shared" ca="1" si="58"/>
        <v/>
      </c>
      <c r="BF126" s="190" t="str">
        <f t="shared" ca="1" si="59"/>
        <v/>
      </c>
      <c r="BG126"/>
      <c r="BH126" s="190" t="str">
        <f ca="1">IF(ISNUMBER(OFFSET(BD126,-$F$21,0)),SUM(OFFSET($T$100,($F$16-$F$15+$F$21),0):$T126),"")</f>
        <v/>
      </c>
      <c r="BI126" s="190" t="str">
        <f t="shared" ca="1" si="21"/>
        <v/>
      </c>
      <c r="BJ126" s="190" t="str">
        <f t="shared" ca="1" si="60"/>
        <v/>
      </c>
      <c r="BK126" s="190"/>
      <c r="BL126" s="190" t="str">
        <f ca="1">IFERROR(IF(AND($B126&gt;=($F$17-$F$15),$B126&lt;$F$22+($F$17-$F$15)),SUM(OFFSET($T$100,($F$17-$F$15),0):$T126),""),"")</f>
        <v/>
      </c>
      <c r="BM126" s="190" t="str">
        <f t="shared" ca="1" si="22"/>
        <v/>
      </c>
      <c r="BN126" s="190" t="str">
        <f t="shared" ca="1" si="61"/>
        <v/>
      </c>
      <c r="BO126"/>
      <c r="BP126" s="190" t="str">
        <f ca="1">IF(ISNUMBER(OFFSET(BL126,-$F$21,0)),SUM(OFFSET($T$100,($F$17-$F$15+$F$21),0):$T126),"")</f>
        <v/>
      </c>
      <c r="BQ126" s="190" t="str">
        <f t="shared" ca="1" si="62"/>
        <v/>
      </c>
      <c r="BR126" s="190" t="str">
        <f t="shared" ca="1" si="63"/>
        <v/>
      </c>
      <c r="BS126" s="190"/>
      <c r="BT126"/>
      <c r="BU126" s="185"/>
      <c r="BV126"/>
      <c r="BW126" s="185" t="str">
        <f>IF(BU126&lt;&gt;"",MIN(BU125:BU126),"")</f>
        <v/>
      </c>
      <c r="BX126" s="185" t="str">
        <f>IF(BU126&lt;&gt;"",MAX(BU125:BU126),"")</f>
        <v/>
      </c>
      <c r="BY126" s="185" t="str">
        <f>IF(B76&lt;&gt;"",(C75-C76)/(B76-B75),"")</f>
        <v/>
      </c>
      <c r="BZ126"/>
      <c r="CA126" s="280" t="str">
        <f t="shared" si="23"/>
        <v/>
      </c>
      <c r="CB126" s="71" t="str">
        <f t="shared" si="24"/>
        <v>-</v>
      </c>
      <c r="CC126" s="33"/>
      <c r="CD126" s="261" t="str">
        <f t="shared" si="26"/>
        <v/>
      </c>
      <c r="CE126" s="280" t="str">
        <f t="shared" si="27"/>
        <v>-</v>
      </c>
      <c r="CF126" s="71" t="str">
        <f t="shared" ca="1" si="28"/>
        <v>-</v>
      </c>
      <c r="CG126" s="33" t="str">
        <f t="shared" si="29"/>
        <v>26-27</v>
      </c>
      <c r="CH126" s="261" t="str">
        <f t="shared" ca="1" si="30"/>
        <v/>
      </c>
      <c r="CI126" s="202"/>
      <c r="CP126" s="99"/>
      <c r="CQ126" s="99"/>
      <c r="CR126" s="99"/>
      <c r="CS126" s="99"/>
      <c r="CT126" s="99"/>
      <c r="CU126" s="99"/>
      <c r="CV126" s="99"/>
      <c r="CW126" s="99"/>
      <c r="CX126" s="99"/>
      <c r="CY126" s="99"/>
      <c r="CZ126" s="99"/>
      <c r="DA126" s="99"/>
      <c r="DB126" s="99"/>
      <c r="DC126" s="99"/>
    </row>
    <row r="127" spans="2:107" ht="13.5" customHeight="1" x14ac:dyDescent="0.2">
      <c r="B127" s="262">
        <v>27</v>
      </c>
      <c r="C127" s="237" t="str">
        <f t="shared" si="31"/>
        <v/>
      </c>
      <c r="D127" s="237" t="str">
        <f t="shared" si="66"/>
        <v>-</v>
      </c>
      <c r="E127" s="290" t="str">
        <f t="shared" si="32"/>
        <v/>
      </c>
      <c r="F127" s="264" t="str">
        <f t="shared" si="33"/>
        <v/>
      </c>
      <c r="G127" s="305" t="str">
        <f t="shared" si="34"/>
        <v/>
      </c>
      <c r="H127" s="240" t="str">
        <f t="shared" si="35"/>
        <v/>
      </c>
      <c r="I127" s="265" t="str">
        <f t="shared" si="1"/>
        <v/>
      </c>
      <c r="J127" s="265" t="str">
        <f t="shared" si="2"/>
        <v/>
      </c>
      <c r="K127" s="240" t="str">
        <f t="shared" si="36"/>
        <v/>
      </c>
      <c r="L127" s="265" t="str">
        <f t="shared" si="3"/>
        <v/>
      </c>
      <c r="M127" s="265" t="str">
        <f t="shared" si="4"/>
        <v/>
      </c>
      <c r="N127" s="240" t="str">
        <f t="shared" si="5"/>
        <v>-</v>
      </c>
      <c r="O127" s="265" t="str">
        <f t="shared" si="37"/>
        <v>-</v>
      </c>
      <c r="P127" s="265" t="str">
        <f t="shared" si="38"/>
        <v>-</v>
      </c>
      <c r="Q127" s="266" t="str">
        <f t="shared" si="6"/>
        <v>-</v>
      </c>
      <c r="R127" s="267" t="str">
        <f t="shared" si="39"/>
        <v>-</v>
      </c>
      <c r="S127" s="268" t="str">
        <f t="shared" si="40"/>
        <v>-</v>
      </c>
      <c r="T127" s="269" t="str">
        <f t="shared" si="41"/>
        <v/>
      </c>
      <c r="U127" s="221">
        <f t="shared" si="7"/>
        <v>27</v>
      </c>
      <c r="V127" s="220" t="str">
        <f t="shared" si="42"/>
        <v>-</v>
      </c>
      <c r="W127" s="221" t="str">
        <f t="shared" si="43"/>
        <v>-</v>
      </c>
      <c r="X127" s="221" t="str">
        <f t="shared" si="8"/>
        <v>-</v>
      </c>
      <c r="Y127" s="221" t="str">
        <f t="shared" si="9"/>
        <v>-</v>
      </c>
      <c r="Z127" s="270">
        <f t="shared" si="44"/>
        <v>0.1</v>
      </c>
      <c r="AA127" s="271" t="str">
        <f>IFERROR(IF(V126=1,AA$100*EXP(-(LN(2)/$D$65+0.04)*X126)*EXP(-(LN(2)/$D$65+0.1)*Y126),IF(V126=2,AA$100*EXP(-(LN(2)/$D$65+0.04)*(VLOOKUP(($F$16-$F$15)-1,U$99:Y126,4,FALSE)))*EXP(-(LN(2)/$D$65+0.1)*(VLOOKUP(($F$16-$F$15)-1,U$99:Y126,5,FALSE)))*EXP(-(LN(2)/$D$65+0.04)*X126)*EXP(-(LN(2)/$D$65+0.1)*Y126),IF(V126=3,AA$100*EXP(-(LN(2)/$D$65+0.04)*(VLOOKUP(($F$16-$F$15)-1,U$99:Y126,4,FALSE)))*EXP(-(LN(2)/$D$65+0.1)*(VLOOKUP(($F$16-$F$15)-1,U$99:Y126,5,FALSE)))*EXP(-(LN(2)/$D$65+0.04)*(VLOOKUP(($F$16-$F$15)*2-1,U$99:Y126,4,FALSE)))*EXP(-(LN(2)/$D$65+0.1)*(VLOOKUP(($F$16-$F$15)*2-1,U$99:Y126,5,FALSE)))*EXP(-(LN(2)/$D$65+0.04)*X126)*EXP(-(LN(2)/$D$65+0.1)*Y126),"-"))),"-")</f>
        <v>-</v>
      </c>
      <c r="AB127" s="271" t="str">
        <f>IFERROR(IF(V127=1,AB$100*EXP(-(LN(2)/$D$65+0.04)*X127)*EXP(-(LN(2)/$D$65+0.1)*Y127),IF(V127=2,AB$100*EXP(-(LN(2)/$D$65+0.04)*(VLOOKUP(($F$16-$F$15)-1,U$100:Y127,4,FALSE)))*EXP(-(LN(2)/$D$65+0.1)*(VLOOKUP(($F$16-$F$15)-1,U$100:Y127,5,FALSE)))*EXP(-(LN(2)/$D$65+0.04)*X127)*EXP(-(LN(2)/$D$65+0.1)*Y127),IF(V127=3,AB$100*EXP(-(LN(2)/$D$65+0.04)*(VLOOKUP(($F$16-$F$15)-1,U$100:Y127,4,FALSE)))*EXP(-(LN(2)/$D$65+0.1)*(VLOOKUP(($F$16-$F$15)-1,U$100:Y127,5,FALSE)))*EXP(-(LN(2)/$D$65+0.04)*(VLOOKUP(($F$16-$F$15)*2-1,U$100:Y127,4,FALSE)))*EXP(-(LN(2)/$D$65+0.1)*(VLOOKUP(($F$16-$F$15)*2-1,U$100:Y127,5,FALSE)))*EXP(-(LN(2)/$D$65+0.04)*X127)*EXP(-(LN(2)/$D$65+0.1)*Y127),"-"))),"-")</f>
        <v>-</v>
      </c>
      <c r="AC127" s="224">
        <f t="shared" si="45"/>
        <v>27</v>
      </c>
      <c r="AD127" s="223" t="str">
        <f t="shared" si="11"/>
        <v>-</v>
      </c>
      <c r="AE127" s="224" t="str">
        <f t="shared" si="46"/>
        <v>-</v>
      </c>
      <c r="AF127" s="224" t="str">
        <f t="shared" si="12"/>
        <v>-</v>
      </c>
      <c r="AG127" s="224" t="str">
        <f t="shared" si="13"/>
        <v>-</v>
      </c>
      <c r="AH127" s="272">
        <f t="shared" si="47"/>
        <v>0.1</v>
      </c>
      <c r="AI127" s="271" t="str">
        <f>IFERROR(IF(AD126=1,AI$100*EXP(-(LN(2)/$D$65+0.04)*AF126)*EXP(-(LN(2)/$D$65+0.1)*AG126),IF(AD126=2,AI$100*EXP(-(LN(2)/$D$65+0.04)*(VLOOKUP(($F$16-$F$15)-1,AC$99:AG126,4,FALSE)))*EXP(-(LN(2)/$D$65+0.1)*(VLOOKUP(($F$16-$F$15)-1,AC$99:AG126,5,FALSE)))*EXP(-(LN(2)/$D$65+0.04)*AF126)*EXP(-(LN(2)/$D$65+0.1)*AG126),IF(AD126=3,AI$100*EXP(-(LN(2)/$D$65+0.04)*(VLOOKUP(($F$16-$F$15)-1,AC$99:AG126,4,FALSE)))*EXP(-(LN(2)/$D$65+0.1)*(VLOOKUP(($F$16-$F$15)-1,AC$99:AG126,5,FALSE)))*EXP(-(LN(2)/$D$65+0.04)*(VLOOKUP(($F$16-$F$15)*2-1,AC$99:AG126,4,FALSE)))*EXP(-(LN(2)/$D$65+0.1)*(VLOOKUP(($F$16-$F$15)*2-1,AC$99:AG126,5,FALSE)))*EXP(-(LN(2)/$D$65+0.04)*AF126)*EXP(-(LN(2)/$D$65+0.1)*AG126),"-"))),"-")</f>
        <v>-</v>
      </c>
      <c r="AJ127" s="271" t="str">
        <f>IFERROR(IF(AD127=1,AJ$100*EXP(-(LN(2)/$D$65+0.04)*AF127)*EXP(-(LN(2)/$D$65+0.1)*AG127),IF(AD127=2,AJ$100*EXP(-(LN(2)/$D$65+0.04)*(VLOOKUP(($F$16-$F$15)-1,AC$100:AG127,4,FALSE)))*EXP(-(LN(2)/$D$65+0.1)*(VLOOKUP(($F$16-$F$15)-1,AC$100:AG127,5,FALSE)))*EXP(-(LN(2)/$D$65+0.04)*AF127)*EXP(-(LN(2)/$D$65+0.1)*AG127),IF(AD127=3,AJ$100*EXP(-(LN(2)/$D$65+0.04)*(VLOOKUP(($F$16-$F$15)-1,AC$100:AG127,4,FALSE)))*EXP(-(LN(2)/$D$65+0.1)*(VLOOKUP(($F$16-$F$15)-1,AC$100:AG127,5,FALSE)))*EXP(-(LN(2)/$D$65+0.04)*(VLOOKUP(($F$16-$F$15)*2-1,AC$100:AG127,4,FALSE)))*EXP(-(LN(2)/$D$65+0.1)*(VLOOKUP(($F$16-$F$15)*2-1,AC$100:AG127,5,FALSE)))*EXP(-(LN(2)/$D$65+0.04)*AF127)*EXP(-(LN(2)/$D$65+0.1)*AG127),"-"))),"-")</f>
        <v>-</v>
      </c>
      <c r="AK127" s="227">
        <f t="shared" si="49"/>
        <v>27</v>
      </c>
      <c r="AL127" s="226" t="str">
        <f t="shared" si="15"/>
        <v>-</v>
      </c>
      <c r="AM127" s="227" t="str">
        <f t="shared" si="50"/>
        <v>-</v>
      </c>
      <c r="AN127" s="227" t="str">
        <f t="shared" si="51"/>
        <v>-</v>
      </c>
      <c r="AO127" s="227" t="str">
        <f t="shared" si="16"/>
        <v>-</v>
      </c>
      <c r="AP127" s="273">
        <f t="shared" si="52"/>
        <v>0.1</v>
      </c>
      <c r="AQ127" s="271" t="str">
        <f>IFERROR(IF(AL126=1,AQ$100*EXP(-(LN(2)/$D$65+0.04)*AN126)*EXP(-(LN(2)/$D$65+0.1)*AO126),IF(AL126=2,AQ$100*EXP(-(LN(2)/$D$65+0.04)*(VLOOKUP(($F$16-$F$15)-1,AK$99:AO126,4,FALSE)))*EXP(-(LN(2)/$D$65+0.1)*(VLOOKUP(($F$16-$F$15)-1,AK$99:AO126,5,FALSE)))*EXP(-(LN(2)/$D$65+0.04)*AN126)*EXP(-(LN(2)/$D$65+0.1)*AO126),IF(AL126=3,AQ$100*EXP(-(LN(2)/$D$65+0.04)*(VLOOKUP(($F$16-$F$15)-1,AK$99:AO126,4,FALSE)))*EXP(-(LN(2)/$D$65+0.1)*(VLOOKUP(($F$16-$F$15)-1,AK$99:AO126,5,FALSE)))*EXP(-(LN(2)/$D$65+0.04)*(VLOOKUP(($F$16-$F$15)*2-1,AK$99:AO126,4,FALSE)))*EXP(-(LN(2)/$D$65+0.1)*(VLOOKUP(($F$16-$F$15)*2-1,AK$99:AO126,5,FALSE)))*EXP(-(LN(2)/$D$65+0.04)*AN126)*EXP(-(LN(2)/$D$65+0.1)*AO126),"-"))),"-")</f>
        <v>-</v>
      </c>
      <c r="AR127" s="271" t="str">
        <f>IFERROR(IF(AL127=1,AR$100*EXP(-(LN(2)/$D$65+0.04)*AN127)*EXP(-(LN(2)/$D$65+0.1)*AO127),IF(AL127=2,AR$100*EXP(-(LN(2)/$D$65+0.04)*(VLOOKUP(($F$16-$F$15)-1,AK$100:AO127,4,FALSE)))*EXP(-(LN(2)/$D$65+0.1)*(VLOOKUP(($F$16-$F$15)-1,AK$100:AO127,5,FALSE)))*EXP(-(LN(2)/$D$65+0.04)*AN127)*EXP(-(LN(2)/$D$65+0.1)*AO127),IF(AL127=3,AR$100*EXP(-(LN(2)/$D$65+0.04)*(VLOOKUP(($F$16-$F$15)-1,AK$100:AO127,4,FALSE)))*EXP(-(LN(2)/$D$65+0.1)*(VLOOKUP(($F$16-$F$15)-1,AK$100:AO127,5,FALSE)))*EXP(-(LN(2)/$D$65+0.04)*(VLOOKUP(($F$16-$F$15)*2-1,AK$100:AO127,4,FALSE)))*EXP(-(LN(2)/$D$65+0.1)*(VLOOKUP(($F$16-$F$15)*2-1,AK$100:AO127,5,FALSE)))*EXP(-(LN(2)/$D$65+0.04)*AN127)*EXP(-(LN(2)/$D$65+0.1)*AO127),"-"))),"-")</f>
        <v>-</v>
      </c>
      <c r="AS127" s="274">
        <f t="shared" si="17"/>
        <v>0</v>
      </c>
      <c r="AT127" s="274">
        <f t="shared" si="18"/>
        <v>0</v>
      </c>
      <c r="AU127" s="274">
        <f t="shared" si="19"/>
        <v>0</v>
      </c>
      <c r="AV127" s="190">
        <f>IF($B127&lt;$F$22,SUM($T$100:$T127),"")</f>
        <v>0</v>
      </c>
      <c r="AW127" s="190" t="str">
        <f t="shared" si="55"/>
        <v>-</v>
      </c>
      <c r="AX127" s="190" t="str">
        <f t="shared" si="56"/>
        <v/>
      </c>
      <c r="AY127"/>
      <c r="AZ127" s="190" t="str">
        <f ca="1">IF(ISNUMBER(OFFSET(AV127,-$F$21,0)),SUM(OFFSET($T$100,$F$21,0):$T127),"")</f>
        <v/>
      </c>
      <c r="BA127" s="190" t="str">
        <f t="shared" ca="1" si="20"/>
        <v/>
      </c>
      <c r="BB127" s="190" t="str">
        <f t="shared" ca="1" si="70"/>
        <v/>
      </c>
      <c r="BC127" s="190"/>
      <c r="BD127" s="190" t="str">
        <f ca="1">IFERROR(IF(AND($B127&gt;=($F$16-$F$15),$B127&lt;$F$22+($F$16-$F$15)),SUM(OFFSET($T$100,($F$16-$F$15),0):$T127),""),"")</f>
        <v/>
      </c>
      <c r="BE127" s="190" t="str">
        <f t="shared" ca="1" si="58"/>
        <v/>
      </c>
      <c r="BF127" s="190" t="str">
        <f t="shared" ca="1" si="59"/>
        <v/>
      </c>
      <c r="BG127"/>
      <c r="BH127" s="190" t="str">
        <f ca="1">IF(ISNUMBER(OFFSET(BD127,-$F$21,0)),SUM(OFFSET($T$100,($F$16-$F$15+$F$21),0):$T127),"")</f>
        <v/>
      </c>
      <c r="BI127" s="190" t="str">
        <f t="shared" ca="1" si="21"/>
        <v/>
      </c>
      <c r="BJ127" s="190" t="str">
        <f t="shared" ca="1" si="60"/>
        <v/>
      </c>
      <c r="BK127" s="190"/>
      <c r="BL127" s="190" t="str">
        <f ca="1">IFERROR(IF(AND($B127&gt;=($F$17-$F$15),$B127&lt;$F$22+($F$17-$F$15)),SUM(OFFSET($T$100,($F$17-$F$15),0):$T127),""),"")</f>
        <v/>
      </c>
      <c r="BM127" s="190" t="str">
        <f t="shared" ca="1" si="22"/>
        <v/>
      </c>
      <c r="BN127" s="190" t="str">
        <f t="shared" ca="1" si="61"/>
        <v/>
      </c>
      <c r="BO127"/>
      <c r="BP127" s="190" t="str">
        <f ca="1">IF(ISNUMBER(OFFSET(BL127,-$F$21,0)),SUM(OFFSET($T$100,($F$17-$F$15+$F$21),0):$T127),"")</f>
        <v/>
      </c>
      <c r="BQ127" s="190" t="str">
        <f t="shared" ca="1" si="62"/>
        <v/>
      </c>
      <c r="BR127" s="190" t="str">
        <f t="shared" ca="1" si="63"/>
        <v/>
      </c>
      <c r="BS127" s="190"/>
      <c r="BT127"/>
      <c r="BU127"/>
      <c r="BV127"/>
      <c r="BY127" s="99"/>
      <c r="BZ127" s="99"/>
      <c r="CA127" s="280" t="str">
        <f t="shared" si="23"/>
        <v/>
      </c>
      <c r="CB127" s="71" t="str">
        <f t="shared" si="24"/>
        <v>-</v>
      </c>
      <c r="CC127" s="33"/>
      <c r="CD127" s="261" t="str">
        <f t="shared" si="26"/>
        <v/>
      </c>
      <c r="CE127" s="280" t="str">
        <f t="shared" si="27"/>
        <v>-</v>
      </c>
      <c r="CF127" s="71" t="str">
        <f t="shared" ca="1" si="28"/>
        <v>-</v>
      </c>
      <c r="CG127" s="33" t="str">
        <f t="shared" si="29"/>
        <v>27-28</v>
      </c>
      <c r="CH127" s="261" t="str">
        <f t="shared" ca="1" si="30"/>
        <v/>
      </c>
      <c r="CI127" s="202"/>
      <c r="CP127" s="99"/>
      <c r="CQ127" s="99"/>
      <c r="CR127" s="99"/>
      <c r="CS127" s="99"/>
      <c r="CT127" s="99"/>
      <c r="CU127" s="99"/>
      <c r="CV127" s="99"/>
      <c r="CW127" s="99"/>
      <c r="CX127" s="99"/>
      <c r="CY127" s="99"/>
      <c r="CZ127" s="99"/>
      <c r="DA127" s="99"/>
      <c r="DB127" s="99"/>
      <c r="DC127" s="99"/>
    </row>
    <row r="128" spans="2:107" ht="13.5" customHeight="1" x14ac:dyDescent="0.2">
      <c r="B128" s="262">
        <v>28</v>
      </c>
      <c r="C128" s="237" t="str">
        <f t="shared" si="31"/>
        <v/>
      </c>
      <c r="D128" s="237" t="str">
        <f t="shared" si="66"/>
        <v>-</v>
      </c>
      <c r="E128" s="290" t="str">
        <f t="shared" si="32"/>
        <v/>
      </c>
      <c r="F128" s="264" t="str">
        <f t="shared" si="33"/>
        <v/>
      </c>
      <c r="G128" s="306" t="str">
        <f t="shared" si="34"/>
        <v/>
      </c>
      <c r="H128" s="240" t="str">
        <f t="shared" si="35"/>
        <v/>
      </c>
      <c r="I128" s="265" t="str">
        <f t="shared" si="1"/>
        <v/>
      </c>
      <c r="J128" s="265" t="str">
        <f t="shared" si="2"/>
        <v/>
      </c>
      <c r="K128" s="240" t="str">
        <f t="shared" si="36"/>
        <v/>
      </c>
      <c r="L128" s="265" t="str">
        <f t="shared" si="3"/>
        <v/>
      </c>
      <c r="M128" s="265" t="str">
        <f t="shared" si="4"/>
        <v/>
      </c>
      <c r="N128" s="240" t="str">
        <f t="shared" si="5"/>
        <v>-</v>
      </c>
      <c r="O128" s="265" t="str">
        <f t="shared" si="37"/>
        <v>-</v>
      </c>
      <c r="P128" s="265" t="str">
        <f t="shared" si="38"/>
        <v>-</v>
      </c>
      <c r="Q128" s="266" t="str">
        <f t="shared" si="6"/>
        <v>-</v>
      </c>
      <c r="R128" s="267" t="str">
        <f t="shared" si="39"/>
        <v>-</v>
      </c>
      <c r="S128" s="268" t="str">
        <f t="shared" si="40"/>
        <v>-</v>
      </c>
      <c r="T128" s="269" t="str">
        <f t="shared" si="41"/>
        <v/>
      </c>
      <c r="U128" s="221">
        <f t="shared" si="7"/>
        <v>28</v>
      </c>
      <c r="V128" s="220" t="str">
        <f t="shared" si="42"/>
        <v>-</v>
      </c>
      <c r="W128" s="221" t="str">
        <f t="shared" si="43"/>
        <v>-</v>
      </c>
      <c r="X128" s="221" t="str">
        <f t="shared" si="8"/>
        <v>-</v>
      </c>
      <c r="Y128" s="221" t="str">
        <f t="shared" si="9"/>
        <v>-</v>
      </c>
      <c r="Z128" s="270">
        <f t="shared" si="44"/>
        <v>0.1</v>
      </c>
      <c r="AA128" s="271" t="str">
        <f>IFERROR(IF(V127=1,AA$100*EXP(-(LN(2)/$D$65+0.04)*X127)*EXP(-(LN(2)/$D$65+0.1)*Y127),IF(V127=2,AA$100*EXP(-(LN(2)/$D$65+0.04)*(VLOOKUP(($F$16-$F$15)-1,U$99:Y127,4,FALSE)))*EXP(-(LN(2)/$D$65+0.1)*(VLOOKUP(($F$16-$F$15)-1,U$99:Y127,5,FALSE)))*EXP(-(LN(2)/$D$65+0.04)*X127)*EXP(-(LN(2)/$D$65+0.1)*Y127),IF(V127=3,AA$100*EXP(-(LN(2)/$D$65+0.04)*(VLOOKUP(($F$16-$F$15)-1,U$99:Y127,4,FALSE)))*EXP(-(LN(2)/$D$65+0.1)*(VLOOKUP(($F$16-$F$15)-1,U$99:Y127,5,FALSE)))*EXP(-(LN(2)/$D$65+0.04)*(VLOOKUP(($F$16-$F$15)*2-1,U$99:Y127,4,FALSE)))*EXP(-(LN(2)/$D$65+0.1)*(VLOOKUP(($F$16-$F$15)*2-1,U$99:Y127,5,FALSE)))*EXP(-(LN(2)/$D$65+0.04)*X127)*EXP(-(LN(2)/$D$65+0.1)*Y127),"-"))),"-")</f>
        <v>-</v>
      </c>
      <c r="AB128" s="271" t="str">
        <f>IFERROR(IF(V128=1,AB$100*EXP(-(LN(2)/$D$65+0.04)*X128)*EXP(-(LN(2)/$D$65+0.1)*Y128),IF(V128=2,AB$100*EXP(-(LN(2)/$D$65+0.04)*(VLOOKUP(($F$16-$F$15)-1,U$100:Y128,4,FALSE)))*EXP(-(LN(2)/$D$65+0.1)*(VLOOKUP(($F$16-$F$15)-1,U$100:Y128,5,FALSE)))*EXP(-(LN(2)/$D$65+0.04)*X128)*EXP(-(LN(2)/$D$65+0.1)*Y128),IF(V128=3,AB$100*EXP(-(LN(2)/$D$65+0.04)*(VLOOKUP(($F$16-$F$15)-1,U$100:Y128,4,FALSE)))*EXP(-(LN(2)/$D$65+0.1)*(VLOOKUP(($F$16-$F$15)-1,U$100:Y128,5,FALSE)))*EXP(-(LN(2)/$D$65+0.04)*(VLOOKUP(($F$16-$F$15)*2-1,U$100:Y128,4,FALSE)))*EXP(-(LN(2)/$D$65+0.1)*(VLOOKUP(($F$16-$F$15)*2-1,U$100:Y128,5,FALSE)))*EXP(-(LN(2)/$D$65+0.04)*X128)*EXP(-(LN(2)/$D$65+0.1)*Y128),"-"))),"-")</f>
        <v>-</v>
      </c>
      <c r="AC128" s="224">
        <f t="shared" si="45"/>
        <v>28</v>
      </c>
      <c r="AD128" s="223" t="str">
        <f t="shared" si="11"/>
        <v>-</v>
      </c>
      <c r="AE128" s="224" t="str">
        <f t="shared" si="46"/>
        <v>-</v>
      </c>
      <c r="AF128" s="224" t="str">
        <f t="shared" si="12"/>
        <v>-</v>
      </c>
      <c r="AG128" s="224" t="str">
        <f t="shared" si="13"/>
        <v>-</v>
      </c>
      <c r="AH128" s="272">
        <f t="shared" si="47"/>
        <v>0.1</v>
      </c>
      <c r="AI128" s="271" t="str">
        <f>IFERROR(IF(AD127=1,AI$100*EXP(-(LN(2)/$D$65+0.04)*AF127)*EXP(-(LN(2)/$D$65+0.1)*AG127),IF(AD127=2,AI$100*EXP(-(LN(2)/$D$65+0.04)*(VLOOKUP(($F$16-$F$15)-1,AC$99:AG127,4,FALSE)))*EXP(-(LN(2)/$D$65+0.1)*(VLOOKUP(($F$16-$F$15)-1,AC$99:AG127,5,FALSE)))*EXP(-(LN(2)/$D$65+0.04)*AF127)*EXP(-(LN(2)/$D$65+0.1)*AG127),IF(AD127=3,AI$100*EXP(-(LN(2)/$D$65+0.04)*(VLOOKUP(($F$16-$F$15)-1,AC$99:AG127,4,FALSE)))*EXP(-(LN(2)/$D$65+0.1)*(VLOOKUP(($F$16-$F$15)-1,AC$99:AG127,5,FALSE)))*EXP(-(LN(2)/$D$65+0.04)*(VLOOKUP(($F$16-$F$15)*2-1,AC$99:AG127,4,FALSE)))*EXP(-(LN(2)/$D$65+0.1)*(VLOOKUP(($F$16-$F$15)*2-1,AC$99:AG127,5,FALSE)))*EXP(-(LN(2)/$D$65+0.04)*AF127)*EXP(-(LN(2)/$D$65+0.1)*AG127),"-"))),"-")</f>
        <v>-</v>
      </c>
      <c r="AJ128" s="271" t="str">
        <f>IFERROR(IF(AD128=1,AJ$100*EXP(-(LN(2)/$D$65+0.04)*AF128)*EXP(-(LN(2)/$D$65+0.1)*AG128),IF(AD128=2,AJ$100*EXP(-(LN(2)/$D$65+0.04)*(VLOOKUP(($F$16-$F$15)-1,AC$100:AG128,4,FALSE)))*EXP(-(LN(2)/$D$65+0.1)*(VLOOKUP(($F$16-$F$15)-1,AC$100:AG128,5,FALSE)))*EXP(-(LN(2)/$D$65+0.04)*AF128)*EXP(-(LN(2)/$D$65+0.1)*AG128),IF(AD128=3,AJ$100*EXP(-(LN(2)/$D$65+0.04)*(VLOOKUP(($F$16-$F$15)-1,AC$100:AG128,4,FALSE)))*EXP(-(LN(2)/$D$65+0.1)*(VLOOKUP(($F$16-$F$15)-1,AC$100:AG128,5,FALSE)))*EXP(-(LN(2)/$D$65+0.04)*(VLOOKUP(($F$16-$F$15)*2-1,AC$100:AG128,4,FALSE)))*EXP(-(LN(2)/$D$65+0.1)*(VLOOKUP(($F$16-$F$15)*2-1,AC$100:AG128,5,FALSE)))*EXP(-(LN(2)/$D$65+0.04)*AF128)*EXP(-(LN(2)/$D$65+0.1)*AG128),"-"))),"-")</f>
        <v>-</v>
      </c>
      <c r="AK128" s="227">
        <f t="shared" si="49"/>
        <v>28</v>
      </c>
      <c r="AL128" s="226" t="str">
        <f t="shared" si="15"/>
        <v>-</v>
      </c>
      <c r="AM128" s="227" t="str">
        <f t="shared" si="50"/>
        <v>-</v>
      </c>
      <c r="AN128" s="227" t="str">
        <f t="shared" si="51"/>
        <v>-</v>
      </c>
      <c r="AO128" s="227" t="str">
        <f t="shared" si="16"/>
        <v>-</v>
      </c>
      <c r="AP128" s="273">
        <f t="shared" si="52"/>
        <v>0.1</v>
      </c>
      <c r="AQ128" s="271" t="str">
        <f>IFERROR(IF(AL127=1,AQ$100*EXP(-(LN(2)/$D$65+0.04)*AN127)*EXP(-(LN(2)/$D$65+0.1)*AO127),IF(AL127=2,AQ$100*EXP(-(LN(2)/$D$65+0.04)*(VLOOKUP(($F$16-$F$15)-1,AK$99:AO127,4,FALSE)))*EXP(-(LN(2)/$D$65+0.1)*(VLOOKUP(($F$16-$F$15)-1,AK$99:AO127,5,FALSE)))*EXP(-(LN(2)/$D$65+0.04)*AN127)*EXP(-(LN(2)/$D$65+0.1)*AO127),IF(AL127=3,AQ$100*EXP(-(LN(2)/$D$65+0.04)*(VLOOKUP(($F$16-$F$15)-1,AK$99:AO127,4,FALSE)))*EXP(-(LN(2)/$D$65+0.1)*(VLOOKUP(($F$16-$F$15)-1,AK$99:AO127,5,FALSE)))*EXP(-(LN(2)/$D$65+0.04)*(VLOOKUP(($F$16-$F$15)*2-1,AK$99:AO127,4,FALSE)))*EXP(-(LN(2)/$D$65+0.1)*(VLOOKUP(($F$16-$F$15)*2-1,AK$99:AO127,5,FALSE)))*EXP(-(LN(2)/$D$65+0.04)*AN127)*EXP(-(LN(2)/$D$65+0.1)*AO127),"-"))),"-")</f>
        <v>-</v>
      </c>
      <c r="AR128" s="271" t="str">
        <f>IFERROR(IF(AL128=1,AR$100*EXP(-(LN(2)/$D$65+0.04)*AN128)*EXP(-(LN(2)/$D$65+0.1)*AO128),IF(AL128=2,AR$100*EXP(-(LN(2)/$D$65+0.04)*(VLOOKUP(($F$16-$F$15)-1,AK$100:AO128,4,FALSE)))*EXP(-(LN(2)/$D$65+0.1)*(VLOOKUP(($F$16-$F$15)-1,AK$100:AO128,5,FALSE)))*EXP(-(LN(2)/$D$65+0.04)*AN128)*EXP(-(LN(2)/$D$65+0.1)*AO128),IF(AL128=3,AR$100*EXP(-(LN(2)/$D$65+0.04)*(VLOOKUP(($F$16-$F$15)-1,AK$100:AO128,4,FALSE)))*EXP(-(LN(2)/$D$65+0.1)*(VLOOKUP(($F$16-$F$15)-1,AK$100:AO128,5,FALSE)))*EXP(-(LN(2)/$D$65+0.04)*(VLOOKUP(($F$16-$F$15)*2-1,AK$100:AO128,4,FALSE)))*EXP(-(LN(2)/$D$65+0.1)*(VLOOKUP(($F$16-$F$15)*2-1,AK$100:AO128,5,FALSE)))*EXP(-(LN(2)/$D$65+0.04)*AN128)*EXP(-(LN(2)/$D$65+0.1)*AO128),"-"))),"-")</f>
        <v>-</v>
      </c>
      <c r="AS128" s="274">
        <f t="shared" si="17"/>
        <v>0</v>
      </c>
      <c r="AT128" s="274">
        <f t="shared" si="18"/>
        <v>0</v>
      </c>
      <c r="AU128" s="274">
        <f t="shared" si="19"/>
        <v>0</v>
      </c>
      <c r="AV128" s="190">
        <f>IF($B128&lt;$F$22,SUM($T$100:$T128),"")</f>
        <v>0</v>
      </c>
      <c r="AW128" s="190" t="str">
        <f t="shared" si="55"/>
        <v>-</v>
      </c>
      <c r="AX128" s="190" t="str">
        <f t="shared" si="56"/>
        <v/>
      </c>
      <c r="AY128"/>
      <c r="AZ128" s="190" t="str">
        <f ca="1">IF(ISNUMBER(OFFSET(AV128,-$F$21,0)),SUM(OFFSET($T$100,$F$21,0):$T128),"")</f>
        <v/>
      </c>
      <c r="BA128" s="190" t="str">
        <f t="shared" ca="1" si="20"/>
        <v/>
      </c>
      <c r="BB128" s="190" t="str">
        <f t="shared" ca="1" si="70"/>
        <v/>
      </c>
      <c r="BC128" s="190"/>
      <c r="BD128" s="190" t="str">
        <f ca="1">IFERROR(IF(AND($B128&gt;=($F$16-$F$15),$B128&lt;$F$22+($F$16-$F$15)),SUM(OFFSET($T$100,($F$16-$F$15),0):$T128),""),"")</f>
        <v/>
      </c>
      <c r="BE128" s="190" t="str">
        <f t="shared" ca="1" si="58"/>
        <v/>
      </c>
      <c r="BF128" s="190" t="str">
        <f t="shared" ca="1" si="59"/>
        <v/>
      </c>
      <c r="BG128"/>
      <c r="BH128" s="190" t="str">
        <f ca="1">IF(ISNUMBER(OFFSET(BD128,-$F$21,0)),SUM(OFFSET($T$100,($F$16-$F$15+$F$21),0):$T128),"")</f>
        <v/>
      </c>
      <c r="BI128" s="190" t="str">
        <f t="shared" ca="1" si="21"/>
        <v/>
      </c>
      <c r="BJ128" s="190" t="str">
        <f t="shared" ca="1" si="60"/>
        <v/>
      </c>
      <c r="BK128" s="190"/>
      <c r="BL128" s="190" t="str">
        <f ca="1">IFERROR(IF(AND($B128&gt;=($F$17-$F$15),$B128&lt;$F$22+($F$17-$F$15)),SUM(OFFSET($T$100,($F$17-$F$15),0):$T128),""),"")</f>
        <v/>
      </c>
      <c r="BM128" s="190" t="str">
        <f t="shared" ca="1" si="22"/>
        <v/>
      </c>
      <c r="BN128" s="190" t="str">
        <f t="shared" ca="1" si="61"/>
        <v/>
      </c>
      <c r="BO128"/>
      <c r="BP128" s="190" t="str">
        <f ca="1">IF(ISNUMBER(OFFSET(BL128,-$F$21,0)),SUM(OFFSET($T$100,($F$17-$F$15+$F$21),0):$T128),"")</f>
        <v/>
      </c>
      <c r="BQ128" s="190" t="str">
        <f t="shared" ca="1" si="62"/>
        <v/>
      </c>
      <c r="BR128" s="190" t="str">
        <f t="shared" ca="1" si="63"/>
        <v/>
      </c>
      <c r="BS128" s="190"/>
      <c r="BT128"/>
      <c r="BU128"/>
      <c r="BV128"/>
      <c r="BY128" s="99"/>
      <c r="BZ128" s="99"/>
      <c r="CA128" s="280" t="str">
        <f t="shared" si="23"/>
        <v/>
      </c>
      <c r="CB128" s="71" t="str">
        <f t="shared" si="24"/>
        <v>-</v>
      </c>
      <c r="CC128" s="33"/>
      <c r="CD128" s="261" t="str">
        <f t="shared" si="26"/>
        <v/>
      </c>
      <c r="CE128" s="280" t="str">
        <f t="shared" si="27"/>
        <v>-</v>
      </c>
      <c r="CF128" s="71" t="str">
        <f t="shared" ca="1" si="28"/>
        <v>-</v>
      </c>
      <c r="CG128" s="33" t="str">
        <f t="shared" si="29"/>
        <v>28-29</v>
      </c>
      <c r="CH128" s="261" t="str">
        <f t="shared" ca="1" si="30"/>
        <v/>
      </c>
      <c r="CI128" s="202"/>
      <c r="CP128" s="99"/>
      <c r="CQ128" s="99"/>
      <c r="CR128" s="99"/>
      <c r="CS128" s="99"/>
      <c r="CT128" s="99"/>
      <c r="CU128" s="99"/>
      <c r="CV128" s="99"/>
      <c r="CW128" s="99"/>
      <c r="CX128" s="99"/>
      <c r="CY128" s="99"/>
      <c r="CZ128" s="99"/>
      <c r="DA128" s="99"/>
      <c r="DB128" s="99"/>
      <c r="DC128" s="99"/>
    </row>
    <row r="129" spans="2:107" ht="13.5" customHeight="1" x14ac:dyDescent="0.2">
      <c r="B129" s="262">
        <v>29</v>
      </c>
      <c r="C129" s="237" t="str">
        <f t="shared" si="31"/>
        <v/>
      </c>
      <c r="D129" s="237" t="str">
        <f t="shared" si="66"/>
        <v>-</v>
      </c>
      <c r="E129" s="290" t="str">
        <f t="shared" si="32"/>
        <v/>
      </c>
      <c r="F129" s="264" t="str">
        <f t="shared" si="33"/>
        <v/>
      </c>
      <c r="G129" s="291" t="str">
        <f t="shared" si="34"/>
        <v/>
      </c>
      <c r="H129" s="240" t="str">
        <f t="shared" si="35"/>
        <v/>
      </c>
      <c r="I129" s="265" t="str">
        <f t="shared" si="1"/>
        <v/>
      </c>
      <c r="J129" s="265" t="str">
        <f t="shared" si="2"/>
        <v/>
      </c>
      <c r="K129" s="240" t="str">
        <f t="shared" si="36"/>
        <v/>
      </c>
      <c r="L129" s="265" t="str">
        <f t="shared" si="3"/>
        <v/>
      </c>
      <c r="M129" s="265" t="str">
        <f t="shared" si="4"/>
        <v/>
      </c>
      <c r="N129" s="240" t="str">
        <f t="shared" si="5"/>
        <v>-</v>
      </c>
      <c r="O129" s="265" t="str">
        <f t="shared" si="37"/>
        <v>-</v>
      </c>
      <c r="P129" s="265" t="str">
        <f t="shared" si="38"/>
        <v>-</v>
      </c>
      <c r="Q129" s="266" t="str">
        <f t="shared" si="6"/>
        <v>-</v>
      </c>
      <c r="R129" s="267" t="str">
        <f t="shared" si="39"/>
        <v>-</v>
      </c>
      <c r="S129" s="268" t="str">
        <f t="shared" si="40"/>
        <v>-</v>
      </c>
      <c r="T129" s="269" t="str">
        <f t="shared" si="41"/>
        <v/>
      </c>
      <c r="U129" s="221">
        <f t="shared" si="7"/>
        <v>29</v>
      </c>
      <c r="V129" s="220" t="str">
        <f t="shared" si="42"/>
        <v>-</v>
      </c>
      <c r="W129" s="221" t="str">
        <f t="shared" si="43"/>
        <v>-</v>
      </c>
      <c r="X129" s="221" t="str">
        <f t="shared" si="8"/>
        <v>-</v>
      </c>
      <c r="Y129" s="221" t="str">
        <f t="shared" si="9"/>
        <v>-</v>
      </c>
      <c r="Z129" s="270">
        <f t="shared" si="44"/>
        <v>0.1</v>
      </c>
      <c r="AA129" s="271" t="str">
        <f>IFERROR(IF(V128=1,AA$100*EXP(-(LN(2)/$D$65+0.04)*X128)*EXP(-(LN(2)/$D$65+0.1)*Y128),IF(V128=2,AA$100*EXP(-(LN(2)/$D$65+0.04)*(VLOOKUP(($F$16-$F$15)-1,U$99:Y128,4,FALSE)))*EXP(-(LN(2)/$D$65+0.1)*(VLOOKUP(($F$16-$F$15)-1,U$99:Y128,5,FALSE)))*EXP(-(LN(2)/$D$65+0.04)*X128)*EXP(-(LN(2)/$D$65+0.1)*Y128),IF(V128=3,AA$100*EXP(-(LN(2)/$D$65+0.04)*(VLOOKUP(($F$16-$F$15)-1,U$99:Y128,4,FALSE)))*EXP(-(LN(2)/$D$65+0.1)*(VLOOKUP(($F$16-$F$15)-1,U$99:Y128,5,FALSE)))*EXP(-(LN(2)/$D$65+0.04)*(VLOOKUP(($F$16-$F$15)*2-1,U$99:Y128,4,FALSE)))*EXP(-(LN(2)/$D$65+0.1)*(VLOOKUP(($F$16-$F$15)*2-1,U$99:Y128,5,FALSE)))*EXP(-(LN(2)/$D$65+0.04)*X128)*EXP(-(LN(2)/$D$65+0.1)*Y128),"-"))),"-")</f>
        <v>-</v>
      </c>
      <c r="AB129" s="271" t="str">
        <f>IFERROR(IF(V129=1,AB$100*EXP(-(LN(2)/$D$65+0.04)*X129)*EXP(-(LN(2)/$D$65+0.1)*Y129),IF(V129=2,AB$100*EXP(-(LN(2)/$D$65+0.04)*(VLOOKUP(($F$16-$F$15)-1,U$100:Y129,4,FALSE)))*EXP(-(LN(2)/$D$65+0.1)*(VLOOKUP(($F$16-$F$15)-1,U$100:Y129,5,FALSE)))*EXP(-(LN(2)/$D$65+0.04)*X129)*EXP(-(LN(2)/$D$65+0.1)*Y129),IF(V129=3,AB$100*EXP(-(LN(2)/$D$65+0.04)*(VLOOKUP(($F$16-$F$15)-1,U$100:Y129,4,FALSE)))*EXP(-(LN(2)/$D$65+0.1)*(VLOOKUP(($F$16-$F$15)-1,U$100:Y129,5,FALSE)))*EXP(-(LN(2)/$D$65+0.04)*(VLOOKUP(($F$16-$F$15)*2-1,U$100:Y129,4,FALSE)))*EXP(-(LN(2)/$D$65+0.1)*(VLOOKUP(($F$16-$F$15)*2-1,U$100:Y129,5,FALSE)))*EXP(-(LN(2)/$D$65+0.04)*X129)*EXP(-(LN(2)/$D$65+0.1)*Y129),"-"))),"-")</f>
        <v>-</v>
      </c>
      <c r="AC129" s="224">
        <f t="shared" si="45"/>
        <v>29</v>
      </c>
      <c r="AD129" s="223" t="str">
        <f t="shared" si="11"/>
        <v>-</v>
      </c>
      <c r="AE129" s="224" t="str">
        <f t="shared" si="46"/>
        <v>-</v>
      </c>
      <c r="AF129" s="224" t="str">
        <f t="shared" si="12"/>
        <v>-</v>
      </c>
      <c r="AG129" s="224" t="str">
        <f t="shared" si="13"/>
        <v>-</v>
      </c>
      <c r="AH129" s="272">
        <f t="shared" si="47"/>
        <v>0.1</v>
      </c>
      <c r="AI129" s="271" t="str">
        <f>IFERROR(IF(AD128=1,AI$100*EXP(-(LN(2)/$D$65+0.04)*AF128)*EXP(-(LN(2)/$D$65+0.1)*AG128),IF(AD128=2,AI$100*EXP(-(LN(2)/$D$65+0.04)*(VLOOKUP(($F$16-$F$15)-1,AC$99:AG128,4,FALSE)))*EXP(-(LN(2)/$D$65+0.1)*(VLOOKUP(($F$16-$F$15)-1,AC$99:AG128,5,FALSE)))*EXP(-(LN(2)/$D$65+0.04)*AF128)*EXP(-(LN(2)/$D$65+0.1)*AG128),IF(AD128=3,AI$100*EXP(-(LN(2)/$D$65+0.04)*(VLOOKUP(($F$16-$F$15)-1,AC$99:AG128,4,FALSE)))*EXP(-(LN(2)/$D$65+0.1)*(VLOOKUP(($F$16-$F$15)-1,AC$99:AG128,5,FALSE)))*EXP(-(LN(2)/$D$65+0.04)*(VLOOKUP(($F$16-$F$15)*2-1,AC$99:AG128,4,FALSE)))*EXP(-(LN(2)/$D$65+0.1)*(VLOOKUP(($F$16-$F$15)*2-1,AC$99:AG128,5,FALSE)))*EXP(-(LN(2)/$D$65+0.04)*AF128)*EXP(-(LN(2)/$D$65+0.1)*AG128),"-"))),"-")</f>
        <v>-</v>
      </c>
      <c r="AJ129" s="271" t="str">
        <f>IFERROR(IF(AD129=1,AJ$100*EXP(-(LN(2)/$D$65+0.04)*AF129)*EXP(-(LN(2)/$D$65+0.1)*AG129),IF(AD129=2,AJ$100*EXP(-(LN(2)/$D$65+0.04)*(VLOOKUP(($F$16-$F$15)-1,AC$100:AG129,4,FALSE)))*EXP(-(LN(2)/$D$65+0.1)*(VLOOKUP(($F$16-$F$15)-1,AC$100:AG129,5,FALSE)))*EXP(-(LN(2)/$D$65+0.04)*AF129)*EXP(-(LN(2)/$D$65+0.1)*AG129),IF(AD129=3,AJ$100*EXP(-(LN(2)/$D$65+0.04)*(VLOOKUP(($F$16-$F$15)-1,AC$100:AG129,4,FALSE)))*EXP(-(LN(2)/$D$65+0.1)*(VLOOKUP(($F$16-$F$15)-1,AC$100:AG129,5,FALSE)))*EXP(-(LN(2)/$D$65+0.04)*(VLOOKUP(($F$16-$F$15)*2-1,AC$100:AG129,4,FALSE)))*EXP(-(LN(2)/$D$65+0.1)*(VLOOKUP(($F$16-$F$15)*2-1,AC$100:AG129,5,FALSE)))*EXP(-(LN(2)/$D$65+0.04)*AF129)*EXP(-(LN(2)/$D$65+0.1)*AG129),"-"))),"-")</f>
        <v>-</v>
      </c>
      <c r="AK129" s="227">
        <f t="shared" si="49"/>
        <v>29</v>
      </c>
      <c r="AL129" s="226" t="str">
        <f t="shared" si="15"/>
        <v>-</v>
      </c>
      <c r="AM129" s="227" t="str">
        <f t="shared" si="50"/>
        <v>-</v>
      </c>
      <c r="AN129" s="227" t="str">
        <f t="shared" si="51"/>
        <v>-</v>
      </c>
      <c r="AO129" s="227" t="str">
        <f t="shared" si="16"/>
        <v>-</v>
      </c>
      <c r="AP129" s="273">
        <f t="shared" si="52"/>
        <v>0.1</v>
      </c>
      <c r="AQ129" s="271" t="str">
        <f>IFERROR(IF(AL128=1,AQ$100*EXP(-(LN(2)/$D$65+0.04)*AN128)*EXP(-(LN(2)/$D$65+0.1)*AO128),IF(AL128=2,AQ$100*EXP(-(LN(2)/$D$65+0.04)*(VLOOKUP(($F$16-$F$15)-1,AK$99:AO128,4,FALSE)))*EXP(-(LN(2)/$D$65+0.1)*(VLOOKUP(($F$16-$F$15)-1,AK$99:AO128,5,FALSE)))*EXP(-(LN(2)/$D$65+0.04)*AN128)*EXP(-(LN(2)/$D$65+0.1)*AO128),IF(AL128=3,AQ$100*EXP(-(LN(2)/$D$65+0.04)*(VLOOKUP(($F$16-$F$15)-1,AK$99:AO128,4,FALSE)))*EXP(-(LN(2)/$D$65+0.1)*(VLOOKUP(($F$16-$F$15)-1,AK$99:AO128,5,FALSE)))*EXP(-(LN(2)/$D$65+0.04)*(VLOOKUP(($F$16-$F$15)*2-1,AK$99:AO128,4,FALSE)))*EXP(-(LN(2)/$D$65+0.1)*(VLOOKUP(($F$16-$F$15)*2-1,AK$99:AO128,5,FALSE)))*EXP(-(LN(2)/$D$65+0.04)*AN128)*EXP(-(LN(2)/$D$65+0.1)*AO128),"-"))),"-")</f>
        <v>-</v>
      </c>
      <c r="AR129" s="271" t="str">
        <f>IFERROR(IF(AL129=1,AR$100*EXP(-(LN(2)/$D$65+0.04)*AN129)*EXP(-(LN(2)/$D$65+0.1)*AO129),IF(AL129=2,AR$100*EXP(-(LN(2)/$D$65+0.04)*(VLOOKUP(($F$16-$F$15)-1,AK$100:AO129,4,FALSE)))*EXP(-(LN(2)/$D$65+0.1)*(VLOOKUP(($F$16-$F$15)-1,AK$100:AO129,5,FALSE)))*EXP(-(LN(2)/$D$65+0.04)*AN129)*EXP(-(LN(2)/$D$65+0.1)*AO129),IF(AL129=3,AR$100*EXP(-(LN(2)/$D$65+0.04)*(VLOOKUP(($F$16-$F$15)-1,AK$100:AO129,4,FALSE)))*EXP(-(LN(2)/$D$65+0.1)*(VLOOKUP(($F$16-$F$15)-1,AK$100:AO129,5,FALSE)))*EXP(-(LN(2)/$D$65+0.04)*(VLOOKUP(($F$16-$F$15)*2-1,AK$100:AO129,4,FALSE)))*EXP(-(LN(2)/$D$65+0.1)*(VLOOKUP(($F$16-$F$15)*2-1,AK$100:AO129,5,FALSE)))*EXP(-(LN(2)/$D$65+0.04)*AN129)*EXP(-(LN(2)/$D$65+0.1)*AO129),"-"))),"-")</f>
        <v>-</v>
      </c>
      <c r="AS129" s="274">
        <f t="shared" si="17"/>
        <v>0</v>
      </c>
      <c r="AT129" s="274">
        <f t="shared" si="18"/>
        <v>0</v>
      </c>
      <c r="AU129" s="274">
        <f t="shared" si="19"/>
        <v>0</v>
      </c>
      <c r="AV129" s="190">
        <f>IF($B129&lt;$F$22,SUM($T$100:$T129),"")</f>
        <v>0</v>
      </c>
      <c r="AW129" s="190" t="str">
        <f t="shared" si="55"/>
        <v>-</v>
      </c>
      <c r="AX129" s="190" t="str">
        <f t="shared" si="56"/>
        <v/>
      </c>
      <c r="AY129"/>
      <c r="AZ129" s="190" t="str">
        <f ca="1">IF(ISNUMBER(OFFSET(AV129,-$F$21,0)),SUM(OFFSET($T$100,$F$21,0):$T129),"")</f>
        <v/>
      </c>
      <c r="BA129" s="190" t="str">
        <f t="shared" ca="1" si="20"/>
        <v/>
      </c>
      <c r="BB129" s="190" t="str">
        <f t="shared" ca="1" si="70"/>
        <v/>
      </c>
      <c r="BC129" s="190"/>
      <c r="BD129" s="190" t="str">
        <f ca="1">IFERROR(IF(AND($B129&gt;=($F$16-$F$15),$B129&lt;$F$22+($F$16-$F$15)),SUM(OFFSET($T$100,($F$16-$F$15),0):$T129),""),"")</f>
        <v/>
      </c>
      <c r="BE129" s="190" t="str">
        <f t="shared" ca="1" si="58"/>
        <v/>
      </c>
      <c r="BF129" s="190" t="str">
        <f t="shared" ca="1" si="59"/>
        <v/>
      </c>
      <c r="BG129"/>
      <c r="BH129" s="190" t="str">
        <f ca="1">IF(ISNUMBER(OFFSET(BD129,-$F$21,0)),SUM(OFFSET($T$100,($F$16-$F$15+$F$21),0):$T129),"")</f>
        <v/>
      </c>
      <c r="BI129" s="190" t="str">
        <f t="shared" ca="1" si="21"/>
        <v/>
      </c>
      <c r="BJ129" s="190" t="str">
        <f t="shared" ca="1" si="60"/>
        <v/>
      </c>
      <c r="BK129" s="190"/>
      <c r="BL129" s="190" t="str">
        <f ca="1">IFERROR(IF(AND($B129&gt;=($F$17-$F$15),$B129&lt;$F$22+($F$17-$F$15)),SUM(OFFSET($T$100,($F$17-$F$15),0):$T129),""),"")</f>
        <v/>
      </c>
      <c r="BM129" s="190" t="str">
        <f t="shared" ca="1" si="22"/>
        <v/>
      </c>
      <c r="BN129" s="190" t="str">
        <f t="shared" ca="1" si="61"/>
        <v/>
      </c>
      <c r="BO129"/>
      <c r="BP129" s="190" t="str">
        <f ca="1">IF(ISNUMBER(OFFSET(BL129,-$F$21,0)),SUM(OFFSET($T$100,($F$17-$F$15+$F$21),0):$T129),"")</f>
        <v/>
      </c>
      <c r="BQ129" s="190" t="str">
        <f t="shared" ca="1" si="62"/>
        <v/>
      </c>
      <c r="BR129" s="190" t="str">
        <f t="shared" ca="1" si="63"/>
        <v/>
      </c>
      <c r="BS129" s="190"/>
      <c r="BT129"/>
      <c r="BU129"/>
      <c r="BV129"/>
      <c r="BY129" s="99"/>
      <c r="BZ129" s="99"/>
      <c r="CA129" s="280" t="str">
        <f t="shared" si="23"/>
        <v/>
      </c>
      <c r="CB129" s="71" t="str">
        <f t="shared" si="24"/>
        <v>-</v>
      </c>
      <c r="CC129" s="33"/>
      <c r="CD129" s="261" t="str">
        <f t="shared" si="26"/>
        <v/>
      </c>
      <c r="CE129" s="280" t="str">
        <f t="shared" si="27"/>
        <v>-</v>
      </c>
      <c r="CF129" s="71" t="str">
        <f t="shared" ca="1" si="28"/>
        <v>-</v>
      </c>
      <c r="CG129" s="33" t="str">
        <f t="shared" si="29"/>
        <v>29-30</v>
      </c>
      <c r="CH129" s="261" t="str">
        <f t="shared" ca="1" si="30"/>
        <v/>
      </c>
      <c r="CI129" s="202"/>
      <c r="CP129" s="99"/>
      <c r="CQ129" s="99"/>
      <c r="CR129" s="99"/>
      <c r="CS129" s="99"/>
      <c r="CT129" s="99"/>
      <c r="CU129" s="99"/>
      <c r="CV129" s="99"/>
      <c r="CW129" s="99"/>
      <c r="CX129" s="99"/>
      <c r="CY129" s="99"/>
      <c r="CZ129" s="99"/>
      <c r="DA129" s="99"/>
      <c r="DB129" s="99"/>
      <c r="DC129" s="99"/>
    </row>
    <row r="130" spans="2:107" ht="13.5" customHeight="1" x14ac:dyDescent="0.2">
      <c r="B130" s="262">
        <v>30</v>
      </c>
      <c r="C130" s="237" t="str">
        <f t="shared" si="31"/>
        <v/>
      </c>
      <c r="D130" s="237" t="str">
        <f t="shared" si="66"/>
        <v>-</v>
      </c>
      <c r="E130" s="290" t="str">
        <f t="shared" si="32"/>
        <v/>
      </c>
      <c r="F130" s="264" t="str">
        <f t="shared" si="33"/>
        <v/>
      </c>
      <c r="G130" s="291" t="str">
        <f t="shared" si="34"/>
        <v/>
      </c>
      <c r="H130" s="240" t="str">
        <f t="shared" si="35"/>
        <v/>
      </c>
      <c r="I130" s="265" t="str">
        <f t="shared" si="1"/>
        <v/>
      </c>
      <c r="J130" s="265" t="str">
        <f t="shared" si="2"/>
        <v/>
      </c>
      <c r="K130" s="240" t="str">
        <f t="shared" si="36"/>
        <v/>
      </c>
      <c r="L130" s="265" t="str">
        <f t="shared" si="3"/>
        <v/>
      </c>
      <c r="M130" s="265" t="str">
        <f t="shared" si="4"/>
        <v/>
      </c>
      <c r="N130" s="240" t="str">
        <f t="shared" si="5"/>
        <v>-</v>
      </c>
      <c r="O130" s="265" t="str">
        <f t="shared" si="37"/>
        <v>-</v>
      </c>
      <c r="P130" s="265" t="str">
        <f t="shared" si="38"/>
        <v>-</v>
      </c>
      <c r="Q130" s="266" t="str">
        <f t="shared" si="6"/>
        <v>-</v>
      </c>
      <c r="R130" s="267" t="str">
        <f t="shared" si="39"/>
        <v>-</v>
      </c>
      <c r="S130" s="268" t="str">
        <f t="shared" si="40"/>
        <v>-</v>
      </c>
      <c r="T130" s="269" t="str">
        <f t="shared" si="41"/>
        <v/>
      </c>
      <c r="U130" s="221">
        <f t="shared" si="7"/>
        <v>30</v>
      </c>
      <c r="V130" s="220" t="str">
        <f t="shared" si="42"/>
        <v>-</v>
      </c>
      <c r="W130" s="221" t="str">
        <f t="shared" si="43"/>
        <v>-</v>
      </c>
      <c r="X130" s="221" t="str">
        <f t="shared" si="8"/>
        <v>-</v>
      </c>
      <c r="Y130" s="221" t="str">
        <f t="shared" si="9"/>
        <v>-</v>
      </c>
      <c r="Z130" s="270">
        <f t="shared" si="44"/>
        <v>0.1</v>
      </c>
      <c r="AA130" s="271" t="str">
        <f>IFERROR(IF(V129=1,AA$100*EXP(-(LN(2)/$D$65+0.04)*X129)*EXP(-(LN(2)/$D$65+0.1)*Y129),IF(V129=2,AA$100*EXP(-(LN(2)/$D$65+0.04)*(VLOOKUP(($F$16-$F$15)-1,U$99:Y129,4,FALSE)))*EXP(-(LN(2)/$D$65+0.1)*(VLOOKUP(($F$16-$F$15)-1,U$99:Y129,5,FALSE)))*EXP(-(LN(2)/$D$65+0.04)*X129)*EXP(-(LN(2)/$D$65+0.1)*Y129),IF(V129=3,AA$100*EXP(-(LN(2)/$D$65+0.04)*(VLOOKUP(($F$16-$F$15)-1,U$99:Y129,4,FALSE)))*EXP(-(LN(2)/$D$65+0.1)*(VLOOKUP(($F$16-$F$15)-1,U$99:Y129,5,FALSE)))*EXP(-(LN(2)/$D$65+0.04)*(VLOOKUP(($F$16-$F$15)*2-1,U$99:Y129,4,FALSE)))*EXP(-(LN(2)/$D$65+0.1)*(VLOOKUP(($F$16-$F$15)*2-1,U$99:Y129,5,FALSE)))*EXP(-(LN(2)/$D$65+0.04)*X129)*EXP(-(LN(2)/$D$65+0.1)*Y129),"-"))),"-")</f>
        <v>-</v>
      </c>
      <c r="AB130" s="271" t="str">
        <f>IFERROR(IF(V130=1,AB$100*EXP(-(LN(2)/$D$65+0.04)*X130)*EXP(-(LN(2)/$D$65+0.1)*Y130),IF(V130=2,AB$100*EXP(-(LN(2)/$D$65+0.04)*(VLOOKUP(($F$16-$F$15)-1,U$100:Y130,4,FALSE)))*EXP(-(LN(2)/$D$65+0.1)*(VLOOKUP(($F$16-$F$15)-1,U$100:Y130,5,FALSE)))*EXP(-(LN(2)/$D$65+0.04)*X130)*EXP(-(LN(2)/$D$65+0.1)*Y130),IF(V130=3,AB$100*EXP(-(LN(2)/$D$65+0.04)*(VLOOKUP(($F$16-$F$15)-1,U$100:Y130,4,FALSE)))*EXP(-(LN(2)/$D$65+0.1)*(VLOOKUP(($F$16-$F$15)-1,U$100:Y130,5,FALSE)))*EXP(-(LN(2)/$D$65+0.04)*(VLOOKUP(($F$16-$F$15)*2-1,U$100:Y130,4,FALSE)))*EXP(-(LN(2)/$D$65+0.1)*(VLOOKUP(($F$16-$F$15)*2-1,U$100:Y130,5,FALSE)))*EXP(-(LN(2)/$D$65+0.04)*X130)*EXP(-(LN(2)/$D$65+0.1)*Y130),"-"))),"-")</f>
        <v>-</v>
      </c>
      <c r="AC130" s="224">
        <f t="shared" si="45"/>
        <v>30</v>
      </c>
      <c r="AD130" s="223" t="str">
        <f t="shared" si="11"/>
        <v>-</v>
      </c>
      <c r="AE130" s="224" t="str">
        <f t="shared" si="46"/>
        <v>-</v>
      </c>
      <c r="AF130" s="224" t="str">
        <f t="shared" si="12"/>
        <v>-</v>
      </c>
      <c r="AG130" s="224" t="str">
        <f t="shared" si="13"/>
        <v>-</v>
      </c>
      <c r="AH130" s="272">
        <f t="shared" si="47"/>
        <v>0.1</v>
      </c>
      <c r="AI130" s="271" t="str">
        <f>IFERROR(IF(AD129=1,AI$100*EXP(-(LN(2)/$D$65+0.04)*AF129)*EXP(-(LN(2)/$D$65+0.1)*AG129),IF(AD129=2,AI$100*EXP(-(LN(2)/$D$65+0.04)*(VLOOKUP(($F$16-$F$15)-1,AC$99:AG129,4,FALSE)))*EXP(-(LN(2)/$D$65+0.1)*(VLOOKUP(($F$16-$F$15)-1,AC$99:AG129,5,FALSE)))*EXP(-(LN(2)/$D$65+0.04)*AF129)*EXP(-(LN(2)/$D$65+0.1)*AG129),IF(AD129=3,AI$100*EXP(-(LN(2)/$D$65+0.04)*(VLOOKUP(($F$16-$F$15)-1,AC$99:AG129,4,FALSE)))*EXP(-(LN(2)/$D$65+0.1)*(VLOOKUP(($F$16-$F$15)-1,AC$99:AG129,5,FALSE)))*EXP(-(LN(2)/$D$65+0.04)*(VLOOKUP(($F$16-$F$15)*2-1,AC$99:AG129,4,FALSE)))*EXP(-(LN(2)/$D$65+0.1)*(VLOOKUP(($F$16-$F$15)*2-1,AC$99:AG129,5,FALSE)))*EXP(-(LN(2)/$D$65+0.04)*AF129)*EXP(-(LN(2)/$D$65+0.1)*AG129),"-"))),"-")</f>
        <v>-</v>
      </c>
      <c r="AJ130" s="271" t="str">
        <f>IFERROR(IF(AD130=1,AJ$100*EXP(-(LN(2)/$D$65+0.04)*AF130)*EXP(-(LN(2)/$D$65+0.1)*AG130),IF(AD130=2,AJ$100*EXP(-(LN(2)/$D$65+0.04)*(VLOOKUP(($F$16-$F$15)-1,AC$100:AG130,4,FALSE)))*EXP(-(LN(2)/$D$65+0.1)*(VLOOKUP(($F$16-$F$15)-1,AC$100:AG130,5,FALSE)))*EXP(-(LN(2)/$D$65+0.04)*AF130)*EXP(-(LN(2)/$D$65+0.1)*AG130),IF(AD130=3,AJ$100*EXP(-(LN(2)/$D$65+0.04)*(VLOOKUP(($F$16-$F$15)-1,AC$100:AG130,4,FALSE)))*EXP(-(LN(2)/$D$65+0.1)*(VLOOKUP(($F$16-$F$15)-1,AC$100:AG130,5,FALSE)))*EXP(-(LN(2)/$D$65+0.04)*(VLOOKUP(($F$16-$F$15)*2-1,AC$100:AG130,4,FALSE)))*EXP(-(LN(2)/$D$65+0.1)*(VLOOKUP(($F$16-$F$15)*2-1,AC$100:AG130,5,FALSE)))*EXP(-(LN(2)/$D$65+0.04)*AF130)*EXP(-(LN(2)/$D$65+0.1)*AG130),"-"))),"-")</f>
        <v>-</v>
      </c>
      <c r="AK130" s="227">
        <f t="shared" si="49"/>
        <v>30</v>
      </c>
      <c r="AL130" s="226" t="str">
        <f t="shared" si="15"/>
        <v>-</v>
      </c>
      <c r="AM130" s="227" t="str">
        <f t="shared" si="50"/>
        <v>-</v>
      </c>
      <c r="AN130" s="227" t="str">
        <f t="shared" si="51"/>
        <v>-</v>
      </c>
      <c r="AO130" s="227" t="str">
        <f t="shared" si="16"/>
        <v>-</v>
      </c>
      <c r="AP130" s="273">
        <f t="shared" si="52"/>
        <v>0.1</v>
      </c>
      <c r="AQ130" s="271" t="str">
        <f>IFERROR(IF(AL129=1,AQ$100*EXP(-(LN(2)/$D$65+0.04)*AN129)*EXP(-(LN(2)/$D$65+0.1)*AO129),IF(AL129=2,AQ$100*EXP(-(LN(2)/$D$65+0.04)*(VLOOKUP(($F$16-$F$15)-1,AK$99:AO129,4,FALSE)))*EXP(-(LN(2)/$D$65+0.1)*(VLOOKUP(($F$16-$F$15)-1,AK$99:AO129,5,FALSE)))*EXP(-(LN(2)/$D$65+0.04)*AN129)*EXP(-(LN(2)/$D$65+0.1)*AO129),IF(AL129=3,AQ$100*EXP(-(LN(2)/$D$65+0.04)*(VLOOKUP(($F$16-$F$15)-1,AK$99:AO129,4,FALSE)))*EXP(-(LN(2)/$D$65+0.1)*(VLOOKUP(($F$16-$F$15)-1,AK$99:AO129,5,FALSE)))*EXP(-(LN(2)/$D$65+0.04)*(VLOOKUP(($F$16-$F$15)*2-1,AK$99:AO129,4,FALSE)))*EXP(-(LN(2)/$D$65+0.1)*(VLOOKUP(($F$16-$F$15)*2-1,AK$99:AO129,5,FALSE)))*EXP(-(LN(2)/$D$65+0.04)*AN129)*EXP(-(LN(2)/$D$65+0.1)*AO129),"-"))),"-")</f>
        <v>-</v>
      </c>
      <c r="AR130" s="271" t="str">
        <f>IFERROR(IF(AL130=1,AR$100*EXP(-(LN(2)/$D$65+0.04)*AN130)*EXP(-(LN(2)/$D$65+0.1)*AO130),IF(AL130=2,AR$100*EXP(-(LN(2)/$D$65+0.04)*(VLOOKUP(($F$16-$F$15)-1,AK$100:AO130,4,FALSE)))*EXP(-(LN(2)/$D$65+0.1)*(VLOOKUP(($F$16-$F$15)-1,AK$100:AO130,5,FALSE)))*EXP(-(LN(2)/$D$65+0.04)*AN130)*EXP(-(LN(2)/$D$65+0.1)*AO130),IF(AL130=3,AR$100*EXP(-(LN(2)/$D$65+0.04)*(VLOOKUP(($F$16-$F$15)-1,AK$100:AO130,4,FALSE)))*EXP(-(LN(2)/$D$65+0.1)*(VLOOKUP(($F$16-$F$15)-1,AK$100:AO130,5,FALSE)))*EXP(-(LN(2)/$D$65+0.04)*(VLOOKUP(($F$16-$F$15)*2-1,AK$100:AO130,4,FALSE)))*EXP(-(LN(2)/$D$65+0.1)*(VLOOKUP(($F$16-$F$15)*2-1,AK$100:AO130,5,FALSE)))*EXP(-(LN(2)/$D$65+0.04)*AN130)*EXP(-(LN(2)/$D$65+0.1)*AO130),"-"))),"-")</f>
        <v>-</v>
      </c>
      <c r="AS130" s="274">
        <f t="shared" si="17"/>
        <v>0</v>
      </c>
      <c r="AT130" s="274">
        <f t="shared" si="18"/>
        <v>0</v>
      </c>
      <c r="AU130" s="274">
        <f t="shared" si="19"/>
        <v>0</v>
      </c>
      <c r="AV130" s="190">
        <f>IF($B130&lt;$F$22,SUM($T$100:$T130),"")</f>
        <v>0</v>
      </c>
      <c r="AW130" s="190" t="str">
        <f t="shared" si="55"/>
        <v>-</v>
      </c>
      <c r="AX130" s="190" t="str">
        <f t="shared" si="56"/>
        <v/>
      </c>
      <c r="AY130"/>
      <c r="AZ130" s="190" t="str">
        <f ca="1">IF(ISNUMBER(OFFSET(AV130,-$F$21,0)),SUM(OFFSET($T$100,$F$21,0):$T130),"")</f>
        <v/>
      </c>
      <c r="BA130" s="190" t="str">
        <f t="shared" ca="1" si="20"/>
        <v/>
      </c>
      <c r="BB130" s="190" t="str">
        <f t="shared" ca="1" si="70"/>
        <v/>
      </c>
      <c r="BC130" s="190"/>
      <c r="BD130" s="190" t="str">
        <f ca="1">IFERROR(IF(AND($B130&gt;=($F$16-$F$15),$B130&lt;$F$22+($F$16-$F$15)),SUM(OFFSET($T$100,($F$16-$F$15),0):$T130),""),"")</f>
        <v/>
      </c>
      <c r="BE130" s="190" t="str">
        <f t="shared" ca="1" si="58"/>
        <v/>
      </c>
      <c r="BF130" s="190" t="str">
        <f t="shared" ca="1" si="59"/>
        <v/>
      </c>
      <c r="BG130"/>
      <c r="BH130" s="190" t="str">
        <f ca="1">IF(ISNUMBER(OFFSET(BD130,-$F$21,0)),SUM(OFFSET($T$100,($F$16-$F$15+$F$21),0):$T130),"")</f>
        <v/>
      </c>
      <c r="BI130" s="190" t="str">
        <f t="shared" ca="1" si="21"/>
        <v/>
      </c>
      <c r="BJ130" s="190" t="str">
        <f t="shared" ca="1" si="60"/>
        <v/>
      </c>
      <c r="BK130" s="190"/>
      <c r="BL130" s="190" t="str">
        <f ca="1">IFERROR(IF(AND($B130&gt;=($F$17-$F$15),$B130&lt;$F$22+($F$17-$F$15)),SUM(OFFSET($T$100,($F$17-$F$15),0):$T130),""),"")</f>
        <v/>
      </c>
      <c r="BM130" s="190" t="str">
        <f t="shared" ca="1" si="22"/>
        <v/>
      </c>
      <c r="BN130" s="190" t="str">
        <f t="shared" ca="1" si="61"/>
        <v/>
      </c>
      <c r="BO130"/>
      <c r="BP130" s="190" t="str">
        <f ca="1">IF(ISNUMBER(OFFSET(BL130,-$F$21,0)),SUM(OFFSET($T$100,($F$17-$F$15+$F$21),0):$T130),"")</f>
        <v/>
      </c>
      <c r="BQ130" s="190" t="str">
        <f t="shared" ca="1" si="62"/>
        <v/>
      </c>
      <c r="BR130" s="190" t="str">
        <f t="shared" ca="1" si="63"/>
        <v/>
      </c>
      <c r="BS130" s="190"/>
      <c r="BT130"/>
      <c r="BU130"/>
      <c r="BV130"/>
      <c r="BY130" s="99"/>
      <c r="BZ130" s="99"/>
      <c r="CA130" s="280" t="str">
        <f t="shared" si="23"/>
        <v/>
      </c>
      <c r="CB130" s="71" t="str">
        <f t="shared" si="24"/>
        <v>-</v>
      </c>
      <c r="CC130" s="33"/>
      <c r="CD130" s="261" t="str">
        <f t="shared" si="26"/>
        <v/>
      </c>
      <c r="CE130" s="280" t="str">
        <f t="shared" si="27"/>
        <v>-</v>
      </c>
      <c r="CF130" s="71" t="str">
        <f t="shared" ca="1" si="28"/>
        <v>-</v>
      </c>
      <c r="CG130" s="33" t="str">
        <f t="shared" si="29"/>
        <v>30-31</v>
      </c>
      <c r="CH130" s="261" t="str">
        <f t="shared" ca="1" si="30"/>
        <v/>
      </c>
      <c r="CI130" s="202"/>
      <c r="CP130" s="99"/>
      <c r="CQ130" s="99"/>
      <c r="CR130" s="99"/>
      <c r="CS130" s="99"/>
      <c r="CT130" s="99"/>
      <c r="CU130" s="99"/>
      <c r="CV130" s="99"/>
      <c r="CW130" s="99"/>
      <c r="CX130" s="99"/>
      <c r="CY130" s="99"/>
      <c r="CZ130" s="99"/>
      <c r="DA130" s="99"/>
      <c r="DB130" s="99"/>
      <c r="DC130" s="99"/>
    </row>
    <row r="131" spans="2:107" ht="13.5" customHeight="1" x14ac:dyDescent="0.2">
      <c r="B131" s="262">
        <v>31</v>
      </c>
      <c r="C131" s="237" t="str">
        <f t="shared" si="31"/>
        <v/>
      </c>
      <c r="D131" s="237" t="str">
        <f t="shared" si="66"/>
        <v>-</v>
      </c>
      <c r="E131" s="290" t="str">
        <f t="shared" si="32"/>
        <v/>
      </c>
      <c r="F131" s="264" t="str">
        <f t="shared" si="33"/>
        <v/>
      </c>
      <c r="G131" s="291" t="str">
        <f t="shared" si="34"/>
        <v/>
      </c>
      <c r="H131" s="240" t="str">
        <f t="shared" si="35"/>
        <v/>
      </c>
      <c r="I131" s="265" t="str">
        <f t="shared" si="1"/>
        <v/>
      </c>
      <c r="J131" s="265" t="str">
        <f t="shared" si="2"/>
        <v/>
      </c>
      <c r="K131" s="240" t="str">
        <f t="shared" si="36"/>
        <v/>
      </c>
      <c r="L131" s="265" t="str">
        <f t="shared" si="3"/>
        <v/>
      </c>
      <c r="M131" s="265" t="str">
        <f t="shared" si="4"/>
        <v/>
      </c>
      <c r="N131" s="240" t="str">
        <f t="shared" si="5"/>
        <v>-</v>
      </c>
      <c r="O131" s="265" t="str">
        <f t="shared" si="37"/>
        <v>-</v>
      </c>
      <c r="P131" s="265" t="str">
        <f t="shared" si="38"/>
        <v>-</v>
      </c>
      <c r="Q131" s="266" t="str">
        <f t="shared" si="6"/>
        <v>-</v>
      </c>
      <c r="R131" s="267" t="str">
        <f t="shared" si="39"/>
        <v>-</v>
      </c>
      <c r="S131" s="268" t="str">
        <f t="shared" si="40"/>
        <v>-</v>
      </c>
      <c r="T131" s="269" t="str">
        <f t="shared" si="41"/>
        <v/>
      </c>
      <c r="U131" s="221">
        <f t="shared" si="7"/>
        <v>31</v>
      </c>
      <c r="V131" s="220" t="str">
        <f t="shared" si="42"/>
        <v>-</v>
      </c>
      <c r="W131" s="221" t="str">
        <f t="shared" si="43"/>
        <v>-</v>
      </c>
      <c r="X131" s="221" t="str">
        <f t="shared" si="8"/>
        <v>-</v>
      </c>
      <c r="Y131" s="221" t="str">
        <f t="shared" si="9"/>
        <v>-</v>
      </c>
      <c r="Z131" s="270">
        <f t="shared" si="44"/>
        <v>0.1</v>
      </c>
      <c r="AA131" s="271" t="str">
        <f>IFERROR(IF(V130=1,AA$100*EXP(-(LN(2)/$D$65+0.04)*X130)*EXP(-(LN(2)/$D$65+0.1)*Y130),IF(V130=2,AA$100*EXP(-(LN(2)/$D$65+0.04)*(VLOOKUP(($F$16-$F$15)-1,U$99:Y130,4,FALSE)))*EXP(-(LN(2)/$D$65+0.1)*(VLOOKUP(($F$16-$F$15)-1,U$99:Y130,5,FALSE)))*EXP(-(LN(2)/$D$65+0.04)*X130)*EXP(-(LN(2)/$D$65+0.1)*Y130),IF(V130=3,AA$100*EXP(-(LN(2)/$D$65+0.04)*(VLOOKUP(($F$16-$F$15)-1,U$99:Y130,4,FALSE)))*EXP(-(LN(2)/$D$65+0.1)*(VLOOKUP(($F$16-$F$15)-1,U$99:Y130,5,FALSE)))*EXP(-(LN(2)/$D$65+0.04)*(VLOOKUP(($F$16-$F$15)*2-1,U$99:Y130,4,FALSE)))*EXP(-(LN(2)/$D$65+0.1)*(VLOOKUP(($F$16-$F$15)*2-1,U$99:Y130,5,FALSE)))*EXP(-(LN(2)/$D$65+0.04)*X130)*EXP(-(LN(2)/$D$65+0.1)*Y130),"-"))),"-")</f>
        <v>-</v>
      </c>
      <c r="AB131" s="271" t="str">
        <f>IFERROR(IF(V131=1,AB$100*EXP(-(LN(2)/$D$65+0.04)*X131)*EXP(-(LN(2)/$D$65+0.1)*Y131),IF(V131=2,AB$100*EXP(-(LN(2)/$D$65+0.04)*(VLOOKUP(($F$16-$F$15)-1,U$100:Y131,4,FALSE)))*EXP(-(LN(2)/$D$65+0.1)*(VLOOKUP(($F$16-$F$15)-1,U$100:Y131,5,FALSE)))*EXP(-(LN(2)/$D$65+0.04)*X131)*EXP(-(LN(2)/$D$65+0.1)*Y131),IF(V131=3,AB$100*EXP(-(LN(2)/$D$65+0.04)*(VLOOKUP(($F$16-$F$15)-1,U$100:Y131,4,FALSE)))*EXP(-(LN(2)/$D$65+0.1)*(VLOOKUP(($F$16-$F$15)-1,U$100:Y131,5,FALSE)))*EXP(-(LN(2)/$D$65+0.04)*(VLOOKUP(($F$16-$F$15)*2-1,U$100:Y131,4,FALSE)))*EXP(-(LN(2)/$D$65+0.1)*(VLOOKUP(($F$16-$F$15)*2-1,U$100:Y131,5,FALSE)))*EXP(-(LN(2)/$D$65+0.04)*X131)*EXP(-(LN(2)/$D$65+0.1)*Y131),"-"))),"-")</f>
        <v>-</v>
      </c>
      <c r="AC131" s="224">
        <f t="shared" si="45"/>
        <v>31</v>
      </c>
      <c r="AD131" s="223" t="str">
        <f t="shared" si="11"/>
        <v>-</v>
      </c>
      <c r="AE131" s="224" t="str">
        <f t="shared" si="46"/>
        <v>-</v>
      </c>
      <c r="AF131" s="224" t="str">
        <f t="shared" si="12"/>
        <v>-</v>
      </c>
      <c r="AG131" s="224" t="str">
        <f t="shared" si="13"/>
        <v>-</v>
      </c>
      <c r="AH131" s="272">
        <f t="shared" si="47"/>
        <v>0.1</v>
      </c>
      <c r="AI131" s="271" t="str">
        <f>IFERROR(IF(AD130=1,AI$100*EXP(-(LN(2)/$D$65+0.04)*AF130)*EXP(-(LN(2)/$D$65+0.1)*AG130),IF(AD130=2,AI$100*EXP(-(LN(2)/$D$65+0.04)*(VLOOKUP(($F$16-$F$15)-1,AC$99:AG130,4,FALSE)))*EXP(-(LN(2)/$D$65+0.1)*(VLOOKUP(($F$16-$F$15)-1,AC$99:AG130,5,FALSE)))*EXP(-(LN(2)/$D$65+0.04)*AF130)*EXP(-(LN(2)/$D$65+0.1)*AG130),IF(AD130=3,AI$100*EXP(-(LN(2)/$D$65+0.04)*(VLOOKUP(($F$16-$F$15)-1,AC$99:AG130,4,FALSE)))*EXP(-(LN(2)/$D$65+0.1)*(VLOOKUP(($F$16-$F$15)-1,AC$99:AG130,5,FALSE)))*EXP(-(LN(2)/$D$65+0.04)*(VLOOKUP(($F$16-$F$15)*2-1,AC$99:AG130,4,FALSE)))*EXP(-(LN(2)/$D$65+0.1)*(VLOOKUP(($F$16-$F$15)*2-1,AC$99:AG130,5,FALSE)))*EXP(-(LN(2)/$D$65+0.04)*AF130)*EXP(-(LN(2)/$D$65+0.1)*AG130),"-"))),"-")</f>
        <v>-</v>
      </c>
      <c r="AJ131" s="271" t="str">
        <f>IFERROR(IF(AD131=1,AJ$100*EXP(-(LN(2)/$D$65+0.04)*AF131)*EXP(-(LN(2)/$D$65+0.1)*AG131),IF(AD131=2,AJ$100*EXP(-(LN(2)/$D$65+0.04)*(VLOOKUP(($F$16-$F$15)-1,AC$100:AG131,4,FALSE)))*EXP(-(LN(2)/$D$65+0.1)*(VLOOKUP(($F$16-$F$15)-1,AC$100:AG131,5,FALSE)))*EXP(-(LN(2)/$D$65+0.04)*AF131)*EXP(-(LN(2)/$D$65+0.1)*AG131),IF(AD131=3,AJ$100*EXP(-(LN(2)/$D$65+0.04)*(VLOOKUP(($F$16-$F$15)-1,AC$100:AG131,4,FALSE)))*EXP(-(LN(2)/$D$65+0.1)*(VLOOKUP(($F$16-$F$15)-1,AC$100:AG131,5,FALSE)))*EXP(-(LN(2)/$D$65+0.04)*(VLOOKUP(($F$16-$F$15)*2-1,AC$100:AG131,4,FALSE)))*EXP(-(LN(2)/$D$65+0.1)*(VLOOKUP(($F$16-$F$15)*2-1,AC$100:AG131,5,FALSE)))*EXP(-(LN(2)/$D$65+0.04)*AF131)*EXP(-(LN(2)/$D$65+0.1)*AG131),"-"))),"-")</f>
        <v>-</v>
      </c>
      <c r="AK131" s="227">
        <f t="shared" si="49"/>
        <v>31</v>
      </c>
      <c r="AL131" s="226" t="str">
        <f t="shared" si="15"/>
        <v>-</v>
      </c>
      <c r="AM131" s="227" t="str">
        <f t="shared" si="50"/>
        <v>-</v>
      </c>
      <c r="AN131" s="227" t="str">
        <f t="shared" si="51"/>
        <v>-</v>
      </c>
      <c r="AO131" s="227" t="str">
        <f t="shared" si="16"/>
        <v>-</v>
      </c>
      <c r="AP131" s="273">
        <f t="shared" si="52"/>
        <v>0.1</v>
      </c>
      <c r="AQ131" s="271" t="str">
        <f>IFERROR(IF(AL130=1,AQ$100*EXP(-(LN(2)/$D$65+0.04)*AN130)*EXP(-(LN(2)/$D$65+0.1)*AO130),IF(AL130=2,AQ$100*EXP(-(LN(2)/$D$65+0.04)*(VLOOKUP(($F$16-$F$15)-1,AK$99:AO130,4,FALSE)))*EXP(-(LN(2)/$D$65+0.1)*(VLOOKUP(($F$16-$F$15)-1,AK$99:AO130,5,FALSE)))*EXP(-(LN(2)/$D$65+0.04)*AN130)*EXP(-(LN(2)/$D$65+0.1)*AO130),IF(AL130=3,AQ$100*EXP(-(LN(2)/$D$65+0.04)*(VLOOKUP(($F$16-$F$15)-1,AK$99:AO130,4,FALSE)))*EXP(-(LN(2)/$D$65+0.1)*(VLOOKUP(($F$16-$F$15)-1,AK$99:AO130,5,FALSE)))*EXP(-(LN(2)/$D$65+0.04)*(VLOOKUP(($F$16-$F$15)*2-1,AK$99:AO130,4,FALSE)))*EXP(-(LN(2)/$D$65+0.1)*(VLOOKUP(($F$16-$F$15)*2-1,AK$99:AO130,5,FALSE)))*EXP(-(LN(2)/$D$65+0.04)*AN130)*EXP(-(LN(2)/$D$65+0.1)*AO130),"-"))),"-")</f>
        <v>-</v>
      </c>
      <c r="AR131" s="271" t="str">
        <f>IFERROR(IF(AL131=1,AR$100*EXP(-(LN(2)/$D$65+0.04)*AN131)*EXP(-(LN(2)/$D$65+0.1)*AO131),IF(AL131=2,AR$100*EXP(-(LN(2)/$D$65+0.04)*(VLOOKUP(($F$16-$F$15)-1,AK$100:AO131,4,FALSE)))*EXP(-(LN(2)/$D$65+0.1)*(VLOOKUP(($F$16-$F$15)-1,AK$100:AO131,5,FALSE)))*EXP(-(LN(2)/$D$65+0.04)*AN131)*EXP(-(LN(2)/$D$65+0.1)*AO131),IF(AL131=3,AR$100*EXP(-(LN(2)/$D$65+0.04)*(VLOOKUP(($F$16-$F$15)-1,AK$100:AO131,4,FALSE)))*EXP(-(LN(2)/$D$65+0.1)*(VLOOKUP(($F$16-$F$15)-1,AK$100:AO131,5,FALSE)))*EXP(-(LN(2)/$D$65+0.04)*(VLOOKUP(($F$16-$F$15)*2-1,AK$100:AO131,4,FALSE)))*EXP(-(LN(2)/$D$65+0.1)*(VLOOKUP(($F$16-$F$15)*2-1,AK$100:AO131,5,FALSE)))*EXP(-(LN(2)/$D$65+0.04)*AN131)*EXP(-(LN(2)/$D$65+0.1)*AO131),"-"))),"-")</f>
        <v>-</v>
      </c>
      <c r="AS131" s="274">
        <f t="shared" si="17"/>
        <v>0</v>
      </c>
      <c r="AT131" s="274">
        <f t="shared" si="18"/>
        <v>0</v>
      </c>
      <c r="AU131" s="274">
        <f t="shared" si="19"/>
        <v>0</v>
      </c>
      <c r="AV131" s="190">
        <f>IF($B131&lt;$F$22,SUM($T$100:$T131),"")</f>
        <v>0</v>
      </c>
      <c r="AW131" s="190" t="str">
        <f t="shared" si="55"/>
        <v>-</v>
      </c>
      <c r="AX131" s="190" t="str">
        <f t="shared" si="56"/>
        <v/>
      </c>
      <c r="AY131"/>
      <c r="AZ131" s="190" t="str">
        <f ca="1">IF(ISNUMBER(OFFSET(AV131,-$F$21,0)),SUM(OFFSET($T$100,$F$21,0):$T131),"")</f>
        <v/>
      </c>
      <c r="BA131" s="190" t="str">
        <f t="shared" ca="1" si="20"/>
        <v/>
      </c>
      <c r="BB131" s="190" t="str">
        <f t="shared" ca="1" si="70"/>
        <v/>
      </c>
      <c r="BC131" s="190"/>
      <c r="BD131" s="190" t="str">
        <f ca="1">IFERROR(IF(AND($B131&gt;=($F$16-$F$15),$B131&lt;$F$22+($F$16-$F$15)),SUM(OFFSET($T$100,($F$16-$F$15),0):$T131),""),"")</f>
        <v/>
      </c>
      <c r="BE131" s="190" t="str">
        <f t="shared" ca="1" si="58"/>
        <v/>
      </c>
      <c r="BF131" s="190" t="str">
        <f t="shared" ca="1" si="59"/>
        <v/>
      </c>
      <c r="BG131"/>
      <c r="BH131" s="190" t="str">
        <f ca="1">IF(ISNUMBER(OFFSET(BD131,-$F$21,0)),SUM(OFFSET($T$100,($F$16-$F$15+$F$21),0):$T131),"")</f>
        <v/>
      </c>
      <c r="BI131" s="190" t="str">
        <f t="shared" ca="1" si="21"/>
        <v/>
      </c>
      <c r="BJ131" s="190" t="str">
        <f t="shared" ca="1" si="60"/>
        <v/>
      </c>
      <c r="BK131" s="190"/>
      <c r="BL131" s="190" t="str">
        <f ca="1">IFERROR(IF(AND($B131&gt;=($F$17-$F$15),$B131&lt;$F$22+($F$17-$F$15)),SUM(OFFSET($T$100,($F$17-$F$15),0):$T131),""),"")</f>
        <v/>
      </c>
      <c r="BM131" s="190" t="str">
        <f t="shared" ca="1" si="22"/>
        <v/>
      </c>
      <c r="BN131" s="190" t="str">
        <f t="shared" ca="1" si="61"/>
        <v/>
      </c>
      <c r="BO131"/>
      <c r="BP131" s="190" t="str">
        <f ca="1">IF(ISNUMBER(OFFSET(BL131,-$F$21,0)),SUM(OFFSET($T$100,($F$17-$F$15+$F$21),0):$T131),"")</f>
        <v/>
      </c>
      <c r="BQ131" s="190" t="str">
        <f t="shared" ca="1" si="62"/>
        <v/>
      </c>
      <c r="BR131" s="190" t="str">
        <f t="shared" ca="1" si="63"/>
        <v/>
      </c>
      <c r="BS131" s="190"/>
      <c r="BT131"/>
      <c r="BU131"/>
      <c r="BV131"/>
      <c r="BY131" s="99"/>
      <c r="BZ131" s="99"/>
      <c r="CA131" s="280" t="str">
        <f t="shared" si="23"/>
        <v/>
      </c>
      <c r="CB131" s="71" t="str">
        <f t="shared" si="24"/>
        <v>-</v>
      </c>
      <c r="CC131" s="33"/>
      <c r="CD131" s="261" t="str">
        <f t="shared" si="26"/>
        <v/>
      </c>
      <c r="CE131" s="280" t="str">
        <f t="shared" si="27"/>
        <v>-</v>
      </c>
      <c r="CF131" s="71" t="str">
        <f t="shared" ca="1" si="28"/>
        <v>-</v>
      </c>
      <c r="CG131" s="33" t="str">
        <f t="shared" si="29"/>
        <v>31-32</v>
      </c>
      <c r="CH131" s="261" t="str">
        <f t="shared" ca="1" si="30"/>
        <v/>
      </c>
      <c r="CI131" s="202"/>
      <c r="CP131" s="99"/>
      <c r="CQ131" s="99"/>
      <c r="CR131" s="99"/>
      <c r="CS131" s="99"/>
      <c r="CT131" s="99"/>
      <c r="CU131" s="99"/>
      <c r="CV131" s="99"/>
      <c r="CW131" s="99"/>
      <c r="CX131" s="99"/>
      <c r="CY131" s="99"/>
      <c r="CZ131" s="99"/>
      <c r="DA131" s="99"/>
      <c r="DB131" s="99"/>
      <c r="DC131" s="99"/>
    </row>
    <row r="132" spans="2:107" ht="13.5" customHeight="1" x14ac:dyDescent="0.2">
      <c r="B132" s="262">
        <v>32</v>
      </c>
      <c r="C132" s="237" t="str">
        <f t="shared" ref="C132:C163" si="71">IF(ISERROR(VLOOKUP(B132,$B$39:$C$73,2,0)),"",VLOOKUP(B132,$B$39:$C$73,2,0))</f>
        <v/>
      </c>
      <c r="D132" s="237" t="str">
        <f t="shared" si="66"/>
        <v>-</v>
      </c>
      <c r="E132" s="290" t="str">
        <f t="shared" si="32"/>
        <v/>
      </c>
      <c r="F132" s="264" t="str">
        <f t="shared" si="33"/>
        <v/>
      </c>
      <c r="G132" s="291" t="str">
        <f t="shared" si="34"/>
        <v/>
      </c>
      <c r="H132" s="240" t="str">
        <f t="shared" ref="H132:H163" si="72">IF(E132&lt;&gt;"",IF($B132&lt;$F$21,"",IF(ISNUMBER(F132),IF(ISNUMBER(I132),(E132*30*50*ffp),""),(E132*30*50*ffp))),"")</f>
        <v/>
      </c>
      <c r="I132" s="265" t="str">
        <f t="shared" ref="I132:I163" si="73">IFERROR(IF(F132&lt;&gt;"",IF($B132&lt;$F$21+$F$16,"",IF(ISNUMBER(G132),IF(ISNUMBER(J132),(F132*30*50*ffp),""),(F132*30*50*ffp))),""),"")</f>
        <v/>
      </c>
      <c r="J132" s="265" t="str">
        <f t="shared" ref="J132:J163" si="74">IFERROR(IF(G132&lt;&gt;"",IF($B132&lt;$F$21+$F$17,"",(G132*30*50*ffp)),""),"")</f>
        <v/>
      </c>
      <c r="K132" s="240" t="str">
        <f t="shared" ref="K132:K163" si="75">IF(E132&lt;&gt;"",((E132*20*50*ffp)/Klevee),"")</f>
        <v/>
      </c>
      <c r="L132" s="265" t="str">
        <f t="shared" ref="L132:L163" si="76">IF(ISNUMBER(F132),((F132*20*50*ffp)/Klevee),"")</f>
        <v/>
      </c>
      <c r="M132" s="265" t="str">
        <f t="shared" ref="M132:M163" si="77">IF(ISNUMBER(G132),((G132*20*50*ffp)/Klevee),"")</f>
        <v/>
      </c>
      <c r="N132" s="240" t="str">
        <f t="shared" ref="N132:N163" si="78">IF(AND(ISNUMBER(I),ISNUMBER($F$14),ISNUMBER($F$20)),IF($B132=0,I*($J$40/100)*$J$42*1,""),"-")</f>
        <v>-</v>
      </c>
      <c r="O132" s="265" t="str">
        <f t="shared" ref="O132:O163" si="79">IF(ISNUMBER($F$14),IF($F$14&gt;1,IF($B132=0+$F$16,I*($J$40/100)*$J$42*1,""),""),"-")</f>
        <v>-</v>
      </c>
      <c r="P132" s="265" t="str">
        <f t="shared" ref="P132:P163" si="80">IF(ISNUMBER($F$14),IF($F$14&gt;2,IF($B132=0+$F$17,I*($J$40/100)*$J$42*1,""),""),"-")</f>
        <v>-</v>
      </c>
      <c r="Q132" s="266" t="str">
        <f t="shared" ref="Q132:Q163" si="81">IF(AND(ISNUMBER(I),ISNUMBER($F$14),ISNUMBER($F$20)),IF($B132=0,I*(dt/100)*$J$45*1,""),"-")</f>
        <v>-</v>
      </c>
      <c r="R132" s="267" t="str">
        <f t="shared" ref="R132:R163" si="82">IF(ISNUMBER($F$14),IF($F$14&gt;1,IF($B132=0+$F$16,I*(dt/100)*$J$45*1,""),""),"-")</f>
        <v>-</v>
      </c>
      <c r="S132" s="268" t="str">
        <f t="shared" ref="S132:S163" si="83">IF(ISNUMBER($F$14),IF($F$14&gt;2,IF($B132=0+$F$17,I*(dt/100)*$J$45*1,""),""),"-")</f>
        <v>-</v>
      </c>
      <c r="T132" s="269" t="str">
        <f t="shared" ref="T132:T163" si="84">IF(SUM(H132:S132)=0,"",SUM(H132:S132))</f>
        <v/>
      </c>
      <c r="U132" s="221">
        <f t="shared" ref="U132:U163" si="85">B132</f>
        <v>32</v>
      </c>
      <c r="V132" s="220" t="str">
        <f t="shared" si="42"/>
        <v>-</v>
      </c>
      <c r="W132" s="221" t="str">
        <f t="shared" si="43"/>
        <v>-</v>
      </c>
      <c r="X132" s="221" t="str">
        <f t="shared" ref="X132:X163" si="86">IFERROR(IF($F$21=0,0,IF(V132=V131,IF(B132-(V132-1)*($F$16-$F$15)&lt;$F$21,X131+1,X131),1)),"-")</f>
        <v>-</v>
      </c>
      <c r="Y132" s="221" t="str">
        <f t="shared" ref="Y132:Y163" si="87">IFERROR(W132-X132,"-")</f>
        <v>-</v>
      </c>
      <c r="Z132" s="270">
        <f t="shared" si="44"/>
        <v>0.1</v>
      </c>
      <c r="AA132" s="271" t="str">
        <f>IFERROR(IF(V131=1,AA$100*EXP(-(LN(2)/$D$65+0.04)*X131)*EXP(-(LN(2)/$D$65+0.1)*Y131),IF(V131=2,AA$100*EXP(-(LN(2)/$D$65+0.04)*(VLOOKUP(($F$16-$F$15)-1,U$99:Y131,4,FALSE)))*EXP(-(LN(2)/$D$65+0.1)*(VLOOKUP(($F$16-$F$15)-1,U$99:Y131,5,FALSE)))*EXP(-(LN(2)/$D$65+0.04)*X131)*EXP(-(LN(2)/$D$65+0.1)*Y131),IF(V131=3,AA$100*EXP(-(LN(2)/$D$65+0.04)*(VLOOKUP(($F$16-$F$15)-1,U$99:Y131,4,FALSE)))*EXP(-(LN(2)/$D$65+0.1)*(VLOOKUP(($F$16-$F$15)-1,U$99:Y131,5,FALSE)))*EXP(-(LN(2)/$D$65+0.04)*(VLOOKUP(($F$16-$F$15)*2-1,U$99:Y131,4,FALSE)))*EXP(-(LN(2)/$D$65+0.1)*(VLOOKUP(($F$16-$F$15)*2-1,U$99:Y131,5,FALSE)))*EXP(-(LN(2)/$D$65+0.04)*X131)*EXP(-(LN(2)/$D$65+0.1)*Y131),"-"))),"-")</f>
        <v>-</v>
      </c>
      <c r="AB132" s="271" t="str">
        <f>IFERROR(IF(V132=1,AB$100*EXP(-(LN(2)/$D$65+0.04)*X132)*EXP(-(LN(2)/$D$65+0.1)*Y132),IF(V132=2,AB$100*EXP(-(LN(2)/$D$65+0.04)*(VLOOKUP(($F$16-$F$15)-1,U$100:Y132,4,FALSE)))*EXP(-(LN(2)/$D$65+0.1)*(VLOOKUP(($F$16-$F$15)-1,U$100:Y132,5,FALSE)))*EXP(-(LN(2)/$D$65+0.04)*X132)*EXP(-(LN(2)/$D$65+0.1)*Y132),IF(V132=3,AB$100*EXP(-(LN(2)/$D$65+0.04)*(VLOOKUP(($F$16-$F$15)-1,U$100:Y132,4,FALSE)))*EXP(-(LN(2)/$D$65+0.1)*(VLOOKUP(($F$16-$F$15)-1,U$100:Y132,5,FALSE)))*EXP(-(LN(2)/$D$65+0.04)*(VLOOKUP(($F$16-$F$15)*2-1,U$100:Y132,4,FALSE)))*EXP(-(LN(2)/$D$65+0.1)*(VLOOKUP(($F$16-$F$15)*2-1,U$100:Y132,5,FALSE)))*EXP(-(LN(2)/$D$65+0.04)*X132)*EXP(-(LN(2)/$D$65+0.1)*Y132),"-"))),"-")</f>
        <v>-</v>
      </c>
      <c r="AC132" s="224">
        <f t="shared" si="45"/>
        <v>32</v>
      </c>
      <c r="AD132" s="223" t="str">
        <f t="shared" si="11"/>
        <v>-</v>
      </c>
      <c r="AE132" s="224" t="str">
        <f t="shared" si="46"/>
        <v>-</v>
      </c>
      <c r="AF132" s="224" t="str">
        <f t="shared" ref="AF132:AF163" si="88">IFERROR(IF($F$21=0,0,IF(AD132=AD131,IF(B132-(AD132-1)*($F$16-$F$15)&lt;$F$21,AF131+1,AF131),1)),"-")</f>
        <v>-</v>
      </c>
      <c r="AG132" s="224" t="str">
        <f t="shared" ref="AG132:AG163" si="89">IFERROR(AE132-AF132,"-")</f>
        <v>-</v>
      </c>
      <c r="AH132" s="272">
        <f t="shared" si="47"/>
        <v>0.1</v>
      </c>
      <c r="AI132" s="271" t="str">
        <f>IFERROR(IF(AD131=1,AI$100*EXP(-(LN(2)/$D$65+0.04)*AF131)*EXP(-(LN(2)/$D$65+0.1)*AG131),IF(AD131=2,AI$100*EXP(-(LN(2)/$D$65+0.04)*(VLOOKUP(($F$16-$F$15)-1,AC$99:AG131,4,FALSE)))*EXP(-(LN(2)/$D$65+0.1)*(VLOOKUP(($F$16-$F$15)-1,AC$99:AG131,5,FALSE)))*EXP(-(LN(2)/$D$65+0.04)*AF131)*EXP(-(LN(2)/$D$65+0.1)*AG131),IF(AD131=3,AI$100*EXP(-(LN(2)/$D$65+0.04)*(VLOOKUP(($F$16-$F$15)-1,AC$99:AG131,4,FALSE)))*EXP(-(LN(2)/$D$65+0.1)*(VLOOKUP(($F$16-$F$15)-1,AC$99:AG131,5,FALSE)))*EXP(-(LN(2)/$D$65+0.04)*(VLOOKUP(($F$16-$F$15)*2-1,AC$99:AG131,4,FALSE)))*EXP(-(LN(2)/$D$65+0.1)*(VLOOKUP(($F$16-$F$15)*2-1,AC$99:AG131,5,FALSE)))*EXP(-(LN(2)/$D$65+0.04)*AF131)*EXP(-(LN(2)/$D$65+0.1)*AG131),"-"))),"-")</f>
        <v>-</v>
      </c>
      <c r="AJ132" s="271" t="str">
        <f>IFERROR(IF(AD132=1,AJ$100*EXP(-(LN(2)/$D$65+0.04)*AF132)*EXP(-(LN(2)/$D$65+0.1)*AG132),IF(AD132=2,AJ$100*EXP(-(LN(2)/$D$65+0.04)*(VLOOKUP(($F$16-$F$15)-1,AC$100:AG132,4,FALSE)))*EXP(-(LN(2)/$D$65+0.1)*(VLOOKUP(($F$16-$F$15)-1,AC$100:AG132,5,FALSE)))*EXP(-(LN(2)/$D$65+0.04)*AF132)*EXP(-(LN(2)/$D$65+0.1)*AG132),IF(AD132=3,AJ$100*EXP(-(LN(2)/$D$65+0.04)*(VLOOKUP(($F$16-$F$15)-1,AC$100:AG132,4,FALSE)))*EXP(-(LN(2)/$D$65+0.1)*(VLOOKUP(($F$16-$F$15)-1,AC$100:AG132,5,FALSE)))*EXP(-(LN(2)/$D$65+0.04)*(VLOOKUP(($F$16-$F$15)*2-1,AC$100:AG132,4,FALSE)))*EXP(-(LN(2)/$D$65+0.1)*(VLOOKUP(($F$16-$F$15)*2-1,AC$100:AG132,5,FALSE)))*EXP(-(LN(2)/$D$65+0.04)*AF132)*EXP(-(LN(2)/$D$65+0.1)*AG132),"-"))),"-")</f>
        <v>-</v>
      </c>
      <c r="AK132" s="227">
        <f t="shared" si="49"/>
        <v>32</v>
      </c>
      <c r="AL132" s="226" t="str">
        <f t="shared" si="15"/>
        <v>-</v>
      </c>
      <c r="AM132" s="227" t="str">
        <f t="shared" si="50"/>
        <v>-</v>
      </c>
      <c r="AN132" s="227" t="str">
        <f t="shared" si="51"/>
        <v>-</v>
      </c>
      <c r="AO132" s="227" t="str">
        <f t="shared" ref="AO132:AO163" si="90">IFERROR(AM132-AN132,"-")</f>
        <v>-</v>
      </c>
      <c r="AP132" s="273">
        <f t="shared" si="52"/>
        <v>0.1</v>
      </c>
      <c r="AQ132" s="271" t="str">
        <f>IFERROR(IF(AL131=1,AQ$100*EXP(-(LN(2)/$D$65+0.04)*AN131)*EXP(-(LN(2)/$D$65+0.1)*AO131),IF(AL131=2,AQ$100*EXP(-(LN(2)/$D$65+0.04)*(VLOOKUP(($F$16-$F$15)-1,AK$99:AO131,4,FALSE)))*EXP(-(LN(2)/$D$65+0.1)*(VLOOKUP(($F$16-$F$15)-1,AK$99:AO131,5,FALSE)))*EXP(-(LN(2)/$D$65+0.04)*AN131)*EXP(-(LN(2)/$D$65+0.1)*AO131),IF(AL131=3,AQ$100*EXP(-(LN(2)/$D$65+0.04)*(VLOOKUP(($F$16-$F$15)-1,AK$99:AO131,4,FALSE)))*EXP(-(LN(2)/$D$65+0.1)*(VLOOKUP(($F$16-$F$15)-1,AK$99:AO131,5,FALSE)))*EXP(-(LN(2)/$D$65+0.04)*(VLOOKUP(($F$16-$F$15)*2-1,AK$99:AO131,4,FALSE)))*EXP(-(LN(2)/$D$65+0.1)*(VLOOKUP(($F$16-$F$15)*2-1,AK$99:AO131,5,FALSE)))*EXP(-(LN(2)/$D$65+0.04)*AN131)*EXP(-(LN(2)/$D$65+0.1)*AO131),"-"))),"-")</f>
        <v>-</v>
      </c>
      <c r="AR132" s="271" t="str">
        <f>IFERROR(IF(AL132=1,AR$100*EXP(-(LN(2)/$D$65+0.04)*AN132)*EXP(-(LN(2)/$D$65+0.1)*AO132),IF(AL132=2,AR$100*EXP(-(LN(2)/$D$65+0.04)*(VLOOKUP(($F$16-$F$15)-1,AK$100:AO132,4,FALSE)))*EXP(-(LN(2)/$D$65+0.1)*(VLOOKUP(($F$16-$F$15)-1,AK$100:AO132,5,FALSE)))*EXP(-(LN(2)/$D$65+0.04)*AN132)*EXP(-(LN(2)/$D$65+0.1)*AO132),IF(AL132=3,AR$100*EXP(-(LN(2)/$D$65+0.04)*(VLOOKUP(($F$16-$F$15)-1,AK$100:AO132,4,FALSE)))*EXP(-(LN(2)/$D$65+0.1)*(VLOOKUP(($F$16-$F$15)-1,AK$100:AO132,5,FALSE)))*EXP(-(LN(2)/$D$65+0.04)*(VLOOKUP(($F$16-$F$15)*2-1,AK$100:AO132,4,FALSE)))*EXP(-(LN(2)/$D$65+0.1)*(VLOOKUP(($F$16-$F$15)*2-1,AK$100:AO132,5,FALSE)))*EXP(-(LN(2)/$D$65+0.04)*AN132)*EXP(-(LN(2)/$D$65+0.1)*AO132),"-"))),"-")</f>
        <v>-</v>
      </c>
      <c r="AS132" s="274">
        <f t="shared" ref="AS132:AS163" si="91">SUM(H132:J132)</f>
        <v>0</v>
      </c>
      <c r="AT132" s="274">
        <f t="shared" ref="AT132:AT163" si="92">SUM(K132:M132)</f>
        <v>0</v>
      </c>
      <c r="AU132" s="274">
        <f t="shared" ref="AU132:AU163" si="93">SUM(N132:S132)</f>
        <v>0</v>
      </c>
      <c r="AV132" s="190">
        <f>IF($B132&lt;$F$22,SUM($T$100:$T132),"")</f>
        <v>0</v>
      </c>
      <c r="AW132" s="190" t="str">
        <f t="shared" ref="AW132:AW163" si="94">IF(ISNUMBER(Koc),IF(ISNUMBER(AV132),AV132*(Koc*(Ocse/100)*Pse*Vse)/(Koc*(Ocse/100)*Pse*Vse+1*86400*($B132+1)),""),"-")</f>
        <v>-</v>
      </c>
      <c r="AX132" s="190" t="str">
        <f t="shared" si="56"/>
        <v/>
      </c>
      <c r="AY132"/>
      <c r="AZ132" s="190" t="str">
        <f ca="1">IF(ISNUMBER(OFFSET(AV132,-$F$21,0)),SUM(OFFSET($T$100,$F$21,0):$T132),"")</f>
        <v/>
      </c>
      <c r="BA132" s="190" t="str">
        <f t="shared" ref="BA132:BA163" ca="1" si="95">IF(ISNUMBER(OFFSET(AV132,-$F$21,0)),AZ132*(Koc*(Ocse/100)*Pse*Vse)/(Koc*(Ocse/100)*Pse*Vse+1*86400*($B132+1)),"")</f>
        <v/>
      </c>
      <c r="BB132" s="190" t="str">
        <f t="shared" ca="1" si="70"/>
        <v/>
      </c>
      <c r="BC132" s="190"/>
      <c r="BD132" s="190" t="str">
        <f ca="1">IFERROR(IF(AND($B132&gt;=($F$16-$F$15),$B132&lt;$F$22+($F$16-$F$15)),SUM(OFFSET($T$100,($F$16-$F$15),0):$T132),""),"")</f>
        <v/>
      </c>
      <c r="BE132" s="190" t="str">
        <f t="shared" ca="1" si="58"/>
        <v/>
      </c>
      <c r="BF132" s="190" t="str">
        <f t="shared" ca="1" si="59"/>
        <v/>
      </c>
      <c r="BG132"/>
      <c r="BH132" s="190" t="str">
        <f ca="1">IF(ISNUMBER(OFFSET(BD132,-$F$21,0)),SUM(OFFSET($T$100,($F$16-$F$15+$F$21),0):$T132),"")</f>
        <v/>
      </c>
      <c r="BI132" s="190" t="str">
        <f t="shared" ref="BI132:BI163" ca="1" si="96">IF(ISNUMBER(OFFSET(BD132,-$F$21,0)),BH132*(Koc*(Ocse/100)*Pse*Vse)/(Koc*(Ocse/100)*Pse*Vse+1*86400*($B132+1)),"")</f>
        <v/>
      </c>
      <c r="BJ132" s="190" t="str">
        <f t="shared" ca="1" si="60"/>
        <v/>
      </c>
      <c r="BK132" s="190"/>
      <c r="BL132" s="190" t="str">
        <f ca="1">IFERROR(IF(AND($B132&gt;=($F$17-$F$15),$B132&lt;$F$22+($F$17-$F$15)),SUM(OFFSET($T$100,($F$17-$F$15),0):$T132),""),"")</f>
        <v/>
      </c>
      <c r="BM132" s="190" t="str">
        <f t="shared" ref="BM132:BM163" ca="1" si="97">IF(ISNUMBER(BL132),BL132*(Koc*(Ocse/100)*Pse*Vse)/(Koc*(Ocse/100)*Pse*Vse+1*86400*($B132+1)),"")</f>
        <v/>
      </c>
      <c r="BN132" s="190" t="str">
        <f t="shared" ca="1" si="61"/>
        <v/>
      </c>
      <c r="BO132"/>
      <c r="BP132" s="190" t="str">
        <f ca="1">IF(ISNUMBER(OFFSET(BL132,-$F$21,0)),SUM(OFFSET($T$100,($F$17-$F$15+$F$21),0):$T132),"")</f>
        <v/>
      </c>
      <c r="BQ132" s="190" t="str">
        <f t="shared" ref="BQ132:BQ163" ca="1" si="98">IF(ISNUMBER(OFFSET(BL132,-$F$21,0)),BP132*(Koc*(Ocse/100)*Pse*Vse)/(Koc*(Ocse/100)*Pse*Vse+1*86400*($B132+1)),"")</f>
        <v/>
      </c>
      <c r="BR132" s="190" t="str">
        <f t="shared" ca="1" si="63"/>
        <v/>
      </c>
      <c r="BS132" s="190"/>
      <c r="BT132"/>
      <c r="BU132"/>
      <c r="BV132"/>
      <c r="BY132" s="99"/>
      <c r="BZ132" s="99"/>
      <c r="CA132" s="280" t="str">
        <f t="shared" ref="CA132:CA163" si="99">IFERROR(IF($B132&lt;$CA$94,T132*(Koc*(Ocse/100)*Pse*Vse)/(Koc*(Ocse/100)*Pse*Vse+1*86400*$CA$94),""),"-")</f>
        <v/>
      </c>
      <c r="CB132" s="71" t="str">
        <f t="shared" ref="CB132:CB163" si="100">IF(ISNUMBER(T132),IF($B132&lt;$CA$94,(T132-CA132)/(3*86400)*1000,""),"-")</f>
        <v>-</v>
      </c>
      <c r="CC132" s="33"/>
      <c r="CD132" s="261" t="str">
        <f t="shared" ref="CD132:CD163" si="101">IF(CC132=CA$96,CB$96,"")</f>
        <v/>
      </c>
      <c r="CE132" s="280" t="str">
        <f t="shared" ref="CE132:CE163" si="102">IFERROR(IF($B132&lt;$CE$94,T132*(Koc*(Ocse/100)*Pse*Vse)/(Koc*(Ocse/100)*Pse*Vse+1*86400*$CE$94),""),"-")</f>
        <v>-</v>
      </c>
      <c r="CF132" s="71" t="str">
        <f t="shared" ref="CF132:CF163" ca="1" si="103">IFERROR(IF($B132&lt;$CE$94,IF(NOT(ISNUMBER(ffp)),"-",IF($F$70=$AX$87,AX132,IF($F$70=$BB$87,OFFSET(BB132,$F$21,0),IF($F$70=$BF$87,OFFSET(BF132,$F$16,0),IF($F$70=$BJ$87,OFFSET(BJ132,$F$16+$F$21,0),IF($F$70=$BN$87,OFFSET(BN132,$F$17,0),OFFSET(BR132,$F$17+$F$21,0))))))),""),"-")</f>
        <v>-</v>
      </c>
      <c r="CG132" s="33" t="str">
        <f t="shared" ref="CG132:CG163" si="104">IF($B132&lt;$CE$94,$B132&amp;"-"&amp;$B132+1,"")</f>
        <v>32-33</v>
      </c>
      <c r="CH132" s="261" t="str">
        <f t="shared" ref="CH132:CH163" ca="1" si="105">IF(CG132=CE$96,CF$96,"")</f>
        <v/>
      </c>
      <c r="CI132" s="202"/>
      <c r="CP132" s="99"/>
      <c r="CQ132" s="99"/>
      <c r="CR132" s="99"/>
      <c r="CS132" s="99"/>
      <c r="CT132" s="99"/>
      <c r="CU132" s="99"/>
      <c r="CV132" s="99"/>
      <c r="CW132" s="99"/>
      <c r="CX132" s="99"/>
      <c r="CY132" s="99"/>
      <c r="CZ132" s="99"/>
      <c r="DA132" s="99"/>
      <c r="DB132" s="99"/>
      <c r="DC132" s="99"/>
    </row>
    <row r="133" spans="2:107" ht="13.5" customHeight="1" x14ac:dyDescent="0.2">
      <c r="B133" s="262">
        <v>33</v>
      </c>
      <c r="C133" s="237" t="str">
        <f t="shared" si="71"/>
        <v/>
      </c>
      <c r="D133" s="237" t="str">
        <f t="shared" ref="D133:D164" si="106">IFERROR(IF(B133&lt;$F$22,IF(ISNUMBER($D$65),IF(MAX($BU$101:$BU$120)&lt;B133, "", IF(B133=VLOOKUP(B133, $BU$101:$BU$120,1,1), C133,D132-INDEX($BY$101:$BY$120, MATCH(VLOOKUP(B133, $BU$101:$BU$120,1,1), $BU$101:$BU$120)+1, 1))),D132-VLOOKUP(MAX($BU$101:$BU$120),$BU$101:$BY$120,5)),""),"-")</f>
        <v>-</v>
      </c>
      <c r="E133" s="290" t="str">
        <f t="shared" si="32"/>
        <v/>
      </c>
      <c r="F133" s="264" t="str">
        <f t="shared" si="33"/>
        <v/>
      </c>
      <c r="G133" s="291" t="str">
        <f t="shared" si="34"/>
        <v/>
      </c>
      <c r="H133" s="240" t="str">
        <f t="shared" si="72"/>
        <v/>
      </c>
      <c r="I133" s="265" t="str">
        <f t="shared" si="73"/>
        <v/>
      </c>
      <c r="J133" s="265" t="str">
        <f t="shared" si="74"/>
        <v/>
      </c>
      <c r="K133" s="240" t="str">
        <f t="shared" si="75"/>
        <v/>
      </c>
      <c r="L133" s="265" t="str">
        <f t="shared" si="76"/>
        <v/>
      </c>
      <c r="M133" s="265" t="str">
        <f t="shared" si="77"/>
        <v/>
      </c>
      <c r="N133" s="240" t="str">
        <f t="shared" si="78"/>
        <v>-</v>
      </c>
      <c r="O133" s="265" t="str">
        <f t="shared" si="79"/>
        <v>-</v>
      </c>
      <c r="P133" s="265" t="str">
        <f t="shared" si="80"/>
        <v>-</v>
      </c>
      <c r="Q133" s="266" t="str">
        <f t="shared" si="81"/>
        <v>-</v>
      </c>
      <c r="R133" s="267" t="str">
        <f t="shared" si="82"/>
        <v>-</v>
      </c>
      <c r="S133" s="268" t="str">
        <f t="shared" si="83"/>
        <v>-</v>
      </c>
      <c r="T133" s="269" t="str">
        <f t="shared" si="84"/>
        <v/>
      </c>
      <c r="U133" s="221">
        <f t="shared" si="85"/>
        <v>33</v>
      </c>
      <c r="V133" s="220" t="str">
        <f t="shared" si="42"/>
        <v>-</v>
      </c>
      <c r="W133" s="221" t="str">
        <f t="shared" si="43"/>
        <v>-</v>
      </c>
      <c r="X133" s="221" t="str">
        <f t="shared" si="86"/>
        <v>-</v>
      </c>
      <c r="Y133" s="221" t="str">
        <f t="shared" si="87"/>
        <v>-</v>
      </c>
      <c r="Z133" s="270">
        <f t="shared" si="44"/>
        <v>0.1</v>
      </c>
      <c r="AA133" s="271" t="str">
        <f>IFERROR(IF(V132=1,AA$100*EXP(-(LN(2)/$D$65+0.04)*X132)*EXP(-(LN(2)/$D$65+0.1)*Y132),IF(V132=2,AA$100*EXP(-(LN(2)/$D$65+0.04)*(VLOOKUP(($F$16-$F$15)-1,U$99:Y132,4,FALSE)))*EXP(-(LN(2)/$D$65+0.1)*(VLOOKUP(($F$16-$F$15)-1,U$99:Y132,5,FALSE)))*EXP(-(LN(2)/$D$65+0.04)*X132)*EXP(-(LN(2)/$D$65+0.1)*Y132),IF(V132=3,AA$100*EXP(-(LN(2)/$D$65+0.04)*(VLOOKUP(($F$16-$F$15)-1,U$99:Y132,4,FALSE)))*EXP(-(LN(2)/$D$65+0.1)*(VLOOKUP(($F$16-$F$15)-1,U$99:Y132,5,FALSE)))*EXP(-(LN(2)/$D$65+0.04)*(VLOOKUP(($F$16-$F$15)*2-1,U$99:Y132,4,FALSE)))*EXP(-(LN(2)/$D$65+0.1)*(VLOOKUP(($F$16-$F$15)*2-1,U$99:Y132,5,FALSE)))*EXP(-(LN(2)/$D$65+0.04)*X132)*EXP(-(LN(2)/$D$65+0.1)*Y132),"-"))),"-")</f>
        <v>-</v>
      </c>
      <c r="AB133" s="271" t="str">
        <f>IFERROR(IF(V133=1,AB$100*EXP(-(LN(2)/$D$65+0.04)*X133)*EXP(-(LN(2)/$D$65+0.1)*Y133),IF(V133=2,AB$100*EXP(-(LN(2)/$D$65+0.04)*(VLOOKUP(($F$16-$F$15)-1,U$100:Y133,4,FALSE)))*EXP(-(LN(2)/$D$65+0.1)*(VLOOKUP(($F$16-$F$15)-1,U$100:Y133,5,FALSE)))*EXP(-(LN(2)/$D$65+0.04)*X133)*EXP(-(LN(2)/$D$65+0.1)*Y133),IF(V133=3,AB$100*EXP(-(LN(2)/$D$65+0.04)*(VLOOKUP(($F$16-$F$15)-1,U$100:Y133,4,FALSE)))*EXP(-(LN(2)/$D$65+0.1)*(VLOOKUP(($F$16-$F$15)-1,U$100:Y133,5,FALSE)))*EXP(-(LN(2)/$D$65+0.04)*(VLOOKUP(($F$16-$F$15)*2-1,U$100:Y133,4,FALSE)))*EXP(-(LN(2)/$D$65+0.1)*(VLOOKUP(($F$16-$F$15)*2-1,U$100:Y133,5,FALSE)))*EXP(-(LN(2)/$D$65+0.04)*X133)*EXP(-(LN(2)/$D$65+0.1)*Y133),"-"))),"-")</f>
        <v>-</v>
      </c>
      <c r="AC133" s="224">
        <f t="shared" si="45"/>
        <v>33</v>
      </c>
      <c r="AD133" s="223" t="str">
        <f t="shared" si="11"/>
        <v>-</v>
      </c>
      <c r="AE133" s="224" t="str">
        <f t="shared" si="46"/>
        <v>-</v>
      </c>
      <c r="AF133" s="224" t="str">
        <f t="shared" si="88"/>
        <v>-</v>
      </c>
      <c r="AG133" s="224" t="str">
        <f t="shared" si="89"/>
        <v>-</v>
      </c>
      <c r="AH133" s="272">
        <f t="shared" si="47"/>
        <v>0.1</v>
      </c>
      <c r="AI133" s="271" t="str">
        <f>IFERROR(IF(AD132=1,AI$100*EXP(-(LN(2)/$D$65+0.04)*AF132)*EXP(-(LN(2)/$D$65+0.1)*AG132),IF(AD132=2,AI$100*EXP(-(LN(2)/$D$65+0.04)*(VLOOKUP(($F$16-$F$15)-1,AC$99:AG132,4,FALSE)))*EXP(-(LN(2)/$D$65+0.1)*(VLOOKUP(($F$16-$F$15)-1,AC$99:AG132,5,FALSE)))*EXP(-(LN(2)/$D$65+0.04)*AF132)*EXP(-(LN(2)/$D$65+0.1)*AG132),IF(AD132=3,AI$100*EXP(-(LN(2)/$D$65+0.04)*(VLOOKUP(($F$16-$F$15)-1,AC$99:AG132,4,FALSE)))*EXP(-(LN(2)/$D$65+0.1)*(VLOOKUP(($F$16-$F$15)-1,AC$99:AG132,5,FALSE)))*EXP(-(LN(2)/$D$65+0.04)*(VLOOKUP(($F$16-$F$15)*2-1,AC$99:AG132,4,FALSE)))*EXP(-(LN(2)/$D$65+0.1)*(VLOOKUP(($F$16-$F$15)*2-1,AC$99:AG132,5,FALSE)))*EXP(-(LN(2)/$D$65+0.04)*AF132)*EXP(-(LN(2)/$D$65+0.1)*AG132),"-"))),"-")</f>
        <v>-</v>
      </c>
      <c r="AJ133" s="271" t="str">
        <f>IFERROR(IF(AD133=1,AJ$100*EXP(-(LN(2)/$D$65+0.04)*AF133)*EXP(-(LN(2)/$D$65+0.1)*AG133),IF(AD133=2,AJ$100*EXP(-(LN(2)/$D$65+0.04)*(VLOOKUP(($F$16-$F$15)-1,AC$100:AG133,4,FALSE)))*EXP(-(LN(2)/$D$65+0.1)*(VLOOKUP(($F$16-$F$15)-1,AC$100:AG133,5,FALSE)))*EXP(-(LN(2)/$D$65+0.04)*AF133)*EXP(-(LN(2)/$D$65+0.1)*AG133),IF(AD133=3,AJ$100*EXP(-(LN(2)/$D$65+0.04)*(VLOOKUP(($F$16-$F$15)-1,AC$100:AG133,4,FALSE)))*EXP(-(LN(2)/$D$65+0.1)*(VLOOKUP(($F$16-$F$15)-1,AC$100:AG133,5,FALSE)))*EXP(-(LN(2)/$D$65+0.04)*(VLOOKUP(($F$16-$F$15)*2-1,AC$100:AG133,4,FALSE)))*EXP(-(LN(2)/$D$65+0.1)*(VLOOKUP(($F$16-$F$15)*2-1,AC$100:AG133,5,FALSE)))*EXP(-(LN(2)/$D$65+0.04)*AF133)*EXP(-(LN(2)/$D$65+0.1)*AG133),"-"))),"-")</f>
        <v>-</v>
      </c>
      <c r="AK133" s="227">
        <f t="shared" si="49"/>
        <v>33</v>
      </c>
      <c r="AL133" s="226" t="str">
        <f t="shared" si="15"/>
        <v>-</v>
      </c>
      <c r="AM133" s="227" t="str">
        <f t="shared" si="50"/>
        <v>-</v>
      </c>
      <c r="AN133" s="227" t="str">
        <f t="shared" si="51"/>
        <v>-</v>
      </c>
      <c r="AO133" s="227" t="str">
        <f t="shared" si="90"/>
        <v>-</v>
      </c>
      <c r="AP133" s="273">
        <f t="shared" si="52"/>
        <v>0.1</v>
      </c>
      <c r="AQ133" s="271" t="str">
        <f>IFERROR(IF(AL132=1,AQ$100*EXP(-(LN(2)/$D$65+0.04)*AN132)*EXP(-(LN(2)/$D$65+0.1)*AO132),IF(AL132=2,AQ$100*EXP(-(LN(2)/$D$65+0.04)*(VLOOKUP(($F$16-$F$15)-1,AK$99:AO132,4,FALSE)))*EXP(-(LN(2)/$D$65+0.1)*(VLOOKUP(($F$16-$F$15)-1,AK$99:AO132,5,FALSE)))*EXP(-(LN(2)/$D$65+0.04)*AN132)*EXP(-(LN(2)/$D$65+0.1)*AO132),IF(AL132=3,AQ$100*EXP(-(LN(2)/$D$65+0.04)*(VLOOKUP(($F$16-$F$15)-1,AK$99:AO132,4,FALSE)))*EXP(-(LN(2)/$D$65+0.1)*(VLOOKUP(($F$16-$F$15)-1,AK$99:AO132,5,FALSE)))*EXP(-(LN(2)/$D$65+0.04)*(VLOOKUP(($F$16-$F$15)*2-1,AK$99:AO132,4,FALSE)))*EXP(-(LN(2)/$D$65+0.1)*(VLOOKUP(($F$16-$F$15)*2-1,AK$99:AO132,5,FALSE)))*EXP(-(LN(2)/$D$65+0.04)*AN132)*EXP(-(LN(2)/$D$65+0.1)*AO132),"-"))),"-")</f>
        <v>-</v>
      </c>
      <c r="AR133" s="271" t="str">
        <f>IFERROR(IF(AL133=1,AR$100*EXP(-(LN(2)/$D$65+0.04)*AN133)*EXP(-(LN(2)/$D$65+0.1)*AO133),IF(AL133=2,AR$100*EXP(-(LN(2)/$D$65+0.04)*(VLOOKUP(($F$16-$F$15)-1,AK$100:AO133,4,FALSE)))*EXP(-(LN(2)/$D$65+0.1)*(VLOOKUP(($F$16-$F$15)-1,AK$100:AO133,5,FALSE)))*EXP(-(LN(2)/$D$65+0.04)*AN133)*EXP(-(LN(2)/$D$65+0.1)*AO133),IF(AL133=3,AR$100*EXP(-(LN(2)/$D$65+0.04)*(VLOOKUP(($F$16-$F$15)-1,AK$100:AO133,4,FALSE)))*EXP(-(LN(2)/$D$65+0.1)*(VLOOKUP(($F$16-$F$15)-1,AK$100:AO133,5,FALSE)))*EXP(-(LN(2)/$D$65+0.04)*(VLOOKUP(($F$16-$F$15)*2-1,AK$100:AO133,4,FALSE)))*EXP(-(LN(2)/$D$65+0.1)*(VLOOKUP(($F$16-$F$15)*2-1,AK$100:AO133,5,FALSE)))*EXP(-(LN(2)/$D$65+0.04)*AN133)*EXP(-(LN(2)/$D$65+0.1)*AO133),"-"))),"-")</f>
        <v>-</v>
      </c>
      <c r="AS133" s="274">
        <f t="shared" si="91"/>
        <v>0</v>
      </c>
      <c r="AT133" s="274">
        <f t="shared" si="92"/>
        <v>0</v>
      </c>
      <c r="AU133" s="274">
        <f t="shared" si="93"/>
        <v>0</v>
      </c>
      <c r="AV133" s="190">
        <f>IF($B133&lt;$F$22,SUM($T$100:$T133),"")</f>
        <v>0</v>
      </c>
      <c r="AW133" s="190" t="str">
        <f t="shared" si="94"/>
        <v>-</v>
      </c>
      <c r="AX133" s="190" t="str">
        <f t="shared" si="56"/>
        <v/>
      </c>
      <c r="AY133"/>
      <c r="AZ133" s="190" t="str">
        <f ca="1">IF(ISNUMBER(OFFSET(AV133,-$F$21,0)),SUM(OFFSET($T$100,$F$21,0):$T133),"")</f>
        <v/>
      </c>
      <c r="BA133" s="190" t="str">
        <f t="shared" ca="1" si="95"/>
        <v/>
      </c>
      <c r="BB133" s="190" t="str">
        <f t="shared" ca="1" si="70"/>
        <v/>
      </c>
      <c r="BC133" s="190"/>
      <c r="BD133" s="190" t="str">
        <f ca="1">IFERROR(IF(AND($B133&gt;=($F$16-$F$15),$B133&lt;$F$22+($F$16-$F$15)),SUM(OFFSET($T$100,($F$16-$F$15),0):$T133),""),"")</f>
        <v/>
      </c>
      <c r="BE133" s="190" t="str">
        <f t="shared" ca="1" si="58"/>
        <v/>
      </c>
      <c r="BF133" s="190" t="str">
        <f t="shared" ca="1" si="59"/>
        <v/>
      </c>
      <c r="BG133"/>
      <c r="BH133" s="190" t="str">
        <f ca="1">IF(ISNUMBER(OFFSET(BD133,-$F$21,0)),SUM(OFFSET($T$100,($F$16-$F$15+$F$21),0):$T133),"")</f>
        <v/>
      </c>
      <c r="BI133" s="190" t="str">
        <f t="shared" ca="1" si="96"/>
        <v/>
      </c>
      <c r="BJ133" s="190" t="str">
        <f t="shared" ca="1" si="60"/>
        <v/>
      </c>
      <c r="BK133" s="190"/>
      <c r="BL133" s="190" t="str">
        <f ca="1">IFERROR(IF(AND($B133&gt;=($F$17-$F$15),$B133&lt;$F$22+($F$17-$F$15)),SUM(OFFSET($T$100,($F$17-$F$15),0):$T133),""),"")</f>
        <v/>
      </c>
      <c r="BM133" s="190" t="str">
        <f t="shared" ca="1" si="97"/>
        <v/>
      </c>
      <c r="BN133" s="190" t="str">
        <f t="shared" ca="1" si="61"/>
        <v/>
      </c>
      <c r="BO133"/>
      <c r="BP133" s="190" t="str">
        <f ca="1">IF(ISNUMBER(OFFSET(BL133,-$F$21,0)),SUM(OFFSET($T$100,($F$17-$F$15+$F$21),0):$T133),"")</f>
        <v/>
      </c>
      <c r="BQ133" s="190" t="str">
        <f t="shared" ca="1" si="98"/>
        <v/>
      </c>
      <c r="BR133" s="190" t="str">
        <f t="shared" ca="1" si="63"/>
        <v/>
      </c>
      <c r="BS133" s="190"/>
      <c r="BT133"/>
      <c r="BU133"/>
      <c r="BV133"/>
      <c r="BY133" s="99"/>
      <c r="BZ133" s="99"/>
      <c r="CA133" s="280" t="str">
        <f t="shared" si="99"/>
        <v/>
      </c>
      <c r="CB133" s="71" t="str">
        <f t="shared" si="100"/>
        <v>-</v>
      </c>
      <c r="CC133" s="33"/>
      <c r="CD133" s="261" t="str">
        <f t="shared" si="101"/>
        <v/>
      </c>
      <c r="CE133" s="280" t="str">
        <f t="shared" si="102"/>
        <v>-</v>
      </c>
      <c r="CF133" s="71" t="str">
        <f t="shared" ca="1" si="103"/>
        <v>-</v>
      </c>
      <c r="CG133" s="33" t="str">
        <f t="shared" si="104"/>
        <v>33-34</v>
      </c>
      <c r="CH133" s="261" t="str">
        <f t="shared" ca="1" si="105"/>
        <v/>
      </c>
      <c r="CI133" s="202"/>
      <c r="CP133" s="99"/>
      <c r="CQ133" s="99"/>
      <c r="CR133" s="99"/>
      <c r="CS133" s="99"/>
      <c r="CT133" s="99"/>
      <c r="CU133" s="99"/>
      <c r="CV133" s="99"/>
      <c r="CW133" s="99"/>
      <c r="CX133" s="99"/>
      <c r="CY133" s="99"/>
      <c r="CZ133" s="99"/>
      <c r="DA133" s="99"/>
      <c r="DB133" s="99"/>
      <c r="DC133" s="99"/>
    </row>
    <row r="134" spans="2:107" ht="13.5" customHeight="1" x14ac:dyDescent="0.2">
      <c r="B134" s="262">
        <v>34</v>
      </c>
      <c r="C134" s="237" t="str">
        <f t="shared" si="71"/>
        <v/>
      </c>
      <c r="D134" s="237" t="str">
        <f t="shared" si="106"/>
        <v>-</v>
      </c>
      <c r="E134" s="290" t="str">
        <f t="shared" si="32"/>
        <v/>
      </c>
      <c r="F134" s="264" t="str">
        <f t="shared" si="33"/>
        <v/>
      </c>
      <c r="G134" s="291" t="str">
        <f t="shared" si="34"/>
        <v/>
      </c>
      <c r="H134" s="240" t="str">
        <f t="shared" si="72"/>
        <v/>
      </c>
      <c r="I134" s="265" t="str">
        <f t="shared" si="73"/>
        <v/>
      </c>
      <c r="J134" s="265" t="str">
        <f t="shared" si="74"/>
        <v/>
      </c>
      <c r="K134" s="240" t="str">
        <f t="shared" si="75"/>
        <v/>
      </c>
      <c r="L134" s="265" t="str">
        <f t="shared" si="76"/>
        <v/>
      </c>
      <c r="M134" s="265" t="str">
        <f t="shared" si="77"/>
        <v/>
      </c>
      <c r="N134" s="240" t="str">
        <f t="shared" si="78"/>
        <v>-</v>
      </c>
      <c r="O134" s="265" t="str">
        <f t="shared" si="79"/>
        <v>-</v>
      </c>
      <c r="P134" s="265" t="str">
        <f t="shared" si="80"/>
        <v>-</v>
      </c>
      <c r="Q134" s="266" t="str">
        <f t="shared" si="81"/>
        <v>-</v>
      </c>
      <c r="R134" s="267" t="str">
        <f t="shared" si="82"/>
        <v>-</v>
      </c>
      <c r="S134" s="268" t="str">
        <f t="shared" si="83"/>
        <v>-</v>
      </c>
      <c r="T134" s="269" t="str">
        <f t="shared" si="84"/>
        <v/>
      </c>
      <c r="U134" s="221">
        <f t="shared" si="85"/>
        <v>34</v>
      </c>
      <c r="V134" s="220" t="str">
        <f t="shared" si="42"/>
        <v>-</v>
      </c>
      <c r="W134" s="221" t="str">
        <f t="shared" si="43"/>
        <v>-</v>
      </c>
      <c r="X134" s="221" t="str">
        <f t="shared" si="86"/>
        <v>-</v>
      </c>
      <c r="Y134" s="221" t="str">
        <f t="shared" si="87"/>
        <v>-</v>
      </c>
      <c r="Z134" s="270">
        <f t="shared" si="44"/>
        <v>0.1</v>
      </c>
      <c r="AA134" s="271" t="str">
        <f>IFERROR(IF(V133=1,AA$100*EXP(-(LN(2)/$D$65+0.04)*X133)*EXP(-(LN(2)/$D$65+0.1)*Y133),IF(V133=2,AA$100*EXP(-(LN(2)/$D$65+0.04)*(VLOOKUP(($F$16-$F$15)-1,U$99:Y133,4,FALSE)))*EXP(-(LN(2)/$D$65+0.1)*(VLOOKUP(($F$16-$F$15)-1,U$99:Y133,5,FALSE)))*EXP(-(LN(2)/$D$65+0.04)*X133)*EXP(-(LN(2)/$D$65+0.1)*Y133),IF(V133=3,AA$100*EXP(-(LN(2)/$D$65+0.04)*(VLOOKUP(($F$16-$F$15)-1,U$99:Y133,4,FALSE)))*EXP(-(LN(2)/$D$65+0.1)*(VLOOKUP(($F$16-$F$15)-1,U$99:Y133,5,FALSE)))*EXP(-(LN(2)/$D$65+0.04)*(VLOOKUP(($F$16-$F$15)*2-1,U$99:Y133,4,FALSE)))*EXP(-(LN(2)/$D$65+0.1)*(VLOOKUP(($F$16-$F$15)*2-1,U$99:Y133,5,FALSE)))*EXP(-(LN(2)/$D$65+0.04)*X133)*EXP(-(LN(2)/$D$65+0.1)*Y133),"-"))),"-")</f>
        <v>-</v>
      </c>
      <c r="AB134" s="271" t="str">
        <f>IFERROR(IF(V134=1,AB$100*EXP(-(LN(2)/$D$65+0.04)*X134)*EXP(-(LN(2)/$D$65+0.1)*Y134),IF(V134=2,AB$100*EXP(-(LN(2)/$D$65+0.04)*(VLOOKUP(($F$16-$F$15)-1,U$100:Y134,4,FALSE)))*EXP(-(LN(2)/$D$65+0.1)*(VLOOKUP(($F$16-$F$15)-1,U$100:Y134,5,FALSE)))*EXP(-(LN(2)/$D$65+0.04)*X134)*EXP(-(LN(2)/$D$65+0.1)*Y134),IF(V134=3,AB$100*EXP(-(LN(2)/$D$65+0.04)*(VLOOKUP(($F$16-$F$15)-1,U$100:Y134,4,FALSE)))*EXP(-(LN(2)/$D$65+0.1)*(VLOOKUP(($F$16-$F$15)-1,U$100:Y134,5,FALSE)))*EXP(-(LN(2)/$D$65+0.04)*(VLOOKUP(($F$16-$F$15)*2-1,U$100:Y134,4,FALSE)))*EXP(-(LN(2)/$D$65+0.1)*(VLOOKUP(($F$16-$F$15)*2-1,U$100:Y134,5,FALSE)))*EXP(-(LN(2)/$D$65+0.04)*X134)*EXP(-(LN(2)/$D$65+0.1)*Y134),"-"))),"-")</f>
        <v>-</v>
      </c>
      <c r="AC134" s="224">
        <f t="shared" si="45"/>
        <v>34</v>
      </c>
      <c r="AD134" s="223" t="str">
        <f t="shared" si="11"/>
        <v>-</v>
      </c>
      <c r="AE134" s="224" t="str">
        <f t="shared" si="46"/>
        <v>-</v>
      </c>
      <c r="AF134" s="224" t="str">
        <f t="shared" si="88"/>
        <v>-</v>
      </c>
      <c r="AG134" s="224" t="str">
        <f t="shared" si="89"/>
        <v>-</v>
      </c>
      <c r="AH134" s="272">
        <f t="shared" si="47"/>
        <v>0.1</v>
      </c>
      <c r="AI134" s="271" t="str">
        <f>IFERROR(IF(AD133=1,AI$100*EXP(-(LN(2)/$D$65+0.04)*AF133)*EXP(-(LN(2)/$D$65+0.1)*AG133),IF(AD133=2,AI$100*EXP(-(LN(2)/$D$65+0.04)*(VLOOKUP(($F$16-$F$15)-1,AC$99:AG133,4,FALSE)))*EXP(-(LN(2)/$D$65+0.1)*(VLOOKUP(($F$16-$F$15)-1,AC$99:AG133,5,FALSE)))*EXP(-(LN(2)/$D$65+0.04)*AF133)*EXP(-(LN(2)/$D$65+0.1)*AG133),IF(AD133=3,AI$100*EXP(-(LN(2)/$D$65+0.04)*(VLOOKUP(($F$16-$F$15)-1,AC$99:AG133,4,FALSE)))*EXP(-(LN(2)/$D$65+0.1)*(VLOOKUP(($F$16-$F$15)-1,AC$99:AG133,5,FALSE)))*EXP(-(LN(2)/$D$65+0.04)*(VLOOKUP(($F$16-$F$15)*2-1,AC$99:AG133,4,FALSE)))*EXP(-(LN(2)/$D$65+0.1)*(VLOOKUP(($F$16-$F$15)*2-1,AC$99:AG133,5,FALSE)))*EXP(-(LN(2)/$D$65+0.04)*AF133)*EXP(-(LN(2)/$D$65+0.1)*AG133),"-"))),"-")</f>
        <v>-</v>
      </c>
      <c r="AJ134" s="271" t="str">
        <f>IFERROR(IF(AD134=1,AJ$100*EXP(-(LN(2)/$D$65+0.04)*AF134)*EXP(-(LN(2)/$D$65+0.1)*AG134),IF(AD134=2,AJ$100*EXP(-(LN(2)/$D$65+0.04)*(VLOOKUP(($F$16-$F$15)-1,AC$100:AG134,4,FALSE)))*EXP(-(LN(2)/$D$65+0.1)*(VLOOKUP(($F$16-$F$15)-1,AC$100:AG134,5,FALSE)))*EXP(-(LN(2)/$D$65+0.04)*AF134)*EXP(-(LN(2)/$D$65+0.1)*AG134),IF(AD134=3,AJ$100*EXP(-(LN(2)/$D$65+0.04)*(VLOOKUP(($F$16-$F$15)-1,AC$100:AG134,4,FALSE)))*EXP(-(LN(2)/$D$65+0.1)*(VLOOKUP(($F$16-$F$15)-1,AC$100:AG134,5,FALSE)))*EXP(-(LN(2)/$D$65+0.04)*(VLOOKUP(($F$16-$F$15)*2-1,AC$100:AG134,4,FALSE)))*EXP(-(LN(2)/$D$65+0.1)*(VLOOKUP(($F$16-$F$15)*2-1,AC$100:AG134,5,FALSE)))*EXP(-(LN(2)/$D$65+0.04)*AF134)*EXP(-(LN(2)/$D$65+0.1)*AG134),"-"))),"-")</f>
        <v>-</v>
      </c>
      <c r="AK134" s="227">
        <f t="shared" si="49"/>
        <v>34</v>
      </c>
      <c r="AL134" s="226" t="str">
        <f t="shared" si="15"/>
        <v>-</v>
      </c>
      <c r="AM134" s="227" t="str">
        <f t="shared" si="50"/>
        <v>-</v>
      </c>
      <c r="AN134" s="227" t="str">
        <f t="shared" si="51"/>
        <v>-</v>
      </c>
      <c r="AO134" s="227" t="str">
        <f t="shared" si="90"/>
        <v>-</v>
      </c>
      <c r="AP134" s="273">
        <f t="shared" si="52"/>
        <v>0.1</v>
      </c>
      <c r="AQ134" s="271" t="str">
        <f>IFERROR(IF(AL133=1,AQ$100*EXP(-(LN(2)/$D$65+0.04)*AN133)*EXP(-(LN(2)/$D$65+0.1)*AO133),IF(AL133=2,AQ$100*EXP(-(LN(2)/$D$65+0.04)*(VLOOKUP(($F$16-$F$15)-1,AK$99:AO133,4,FALSE)))*EXP(-(LN(2)/$D$65+0.1)*(VLOOKUP(($F$16-$F$15)-1,AK$99:AO133,5,FALSE)))*EXP(-(LN(2)/$D$65+0.04)*AN133)*EXP(-(LN(2)/$D$65+0.1)*AO133),IF(AL133=3,AQ$100*EXP(-(LN(2)/$D$65+0.04)*(VLOOKUP(($F$16-$F$15)-1,AK$99:AO133,4,FALSE)))*EXP(-(LN(2)/$D$65+0.1)*(VLOOKUP(($F$16-$F$15)-1,AK$99:AO133,5,FALSE)))*EXP(-(LN(2)/$D$65+0.04)*(VLOOKUP(($F$16-$F$15)*2-1,AK$99:AO133,4,FALSE)))*EXP(-(LN(2)/$D$65+0.1)*(VLOOKUP(($F$16-$F$15)*2-1,AK$99:AO133,5,FALSE)))*EXP(-(LN(2)/$D$65+0.04)*AN133)*EXP(-(LN(2)/$D$65+0.1)*AO133),"-"))),"-")</f>
        <v>-</v>
      </c>
      <c r="AR134" s="271" t="str">
        <f>IFERROR(IF(AL134=1,AR$100*EXP(-(LN(2)/$D$65+0.04)*AN134)*EXP(-(LN(2)/$D$65+0.1)*AO134),IF(AL134=2,AR$100*EXP(-(LN(2)/$D$65+0.04)*(VLOOKUP(($F$16-$F$15)-1,AK$100:AO134,4,FALSE)))*EXP(-(LN(2)/$D$65+0.1)*(VLOOKUP(($F$16-$F$15)-1,AK$100:AO134,5,FALSE)))*EXP(-(LN(2)/$D$65+0.04)*AN134)*EXP(-(LN(2)/$D$65+0.1)*AO134),IF(AL134=3,AR$100*EXP(-(LN(2)/$D$65+0.04)*(VLOOKUP(($F$16-$F$15)-1,AK$100:AO134,4,FALSE)))*EXP(-(LN(2)/$D$65+0.1)*(VLOOKUP(($F$16-$F$15)-1,AK$100:AO134,5,FALSE)))*EXP(-(LN(2)/$D$65+0.04)*(VLOOKUP(($F$16-$F$15)*2-1,AK$100:AO134,4,FALSE)))*EXP(-(LN(2)/$D$65+0.1)*(VLOOKUP(($F$16-$F$15)*2-1,AK$100:AO134,5,FALSE)))*EXP(-(LN(2)/$D$65+0.04)*AN134)*EXP(-(LN(2)/$D$65+0.1)*AO134),"-"))),"-")</f>
        <v>-</v>
      </c>
      <c r="AS134" s="274">
        <f t="shared" si="91"/>
        <v>0</v>
      </c>
      <c r="AT134" s="274">
        <f t="shared" si="92"/>
        <v>0</v>
      </c>
      <c r="AU134" s="274">
        <f t="shared" si="93"/>
        <v>0</v>
      </c>
      <c r="AV134" s="190">
        <f>IF($B134&lt;$F$22,SUM($T$100:$T134),"")</f>
        <v>0</v>
      </c>
      <c r="AW134" s="190" t="str">
        <f t="shared" si="94"/>
        <v>-</v>
      </c>
      <c r="AX134" s="190" t="str">
        <f t="shared" si="56"/>
        <v/>
      </c>
      <c r="AY134"/>
      <c r="AZ134" s="190" t="str">
        <f ca="1">IF(ISNUMBER(OFFSET(AV134,-$F$21,0)),SUM(OFFSET($T$100,$F$21,0):$T134),"")</f>
        <v/>
      </c>
      <c r="BA134" s="190" t="str">
        <f t="shared" ca="1" si="95"/>
        <v/>
      </c>
      <c r="BB134" s="190" t="str">
        <f t="shared" ca="1" si="70"/>
        <v/>
      </c>
      <c r="BC134" s="190"/>
      <c r="BD134" s="190" t="str">
        <f ca="1">IFERROR(IF(AND($B134&gt;=($F$16-$F$15),$B134&lt;$F$22+($F$16-$F$15)),SUM(OFFSET($T$100,($F$16-$F$15),0):$T134),""),"")</f>
        <v/>
      </c>
      <c r="BE134" s="190" t="str">
        <f t="shared" ca="1" si="58"/>
        <v/>
      </c>
      <c r="BF134" s="190" t="str">
        <f t="shared" ca="1" si="59"/>
        <v/>
      </c>
      <c r="BG134"/>
      <c r="BH134" s="190" t="str">
        <f ca="1">IF(ISNUMBER(OFFSET(BD134,-$F$21,0)),SUM(OFFSET($T$100,($F$16-$F$15+$F$21),0):$T134),"")</f>
        <v/>
      </c>
      <c r="BI134" s="190" t="str">
        <f t="shared" ca="1" si="96"/>
        <v/>
      </c>
      <c r="BJ134" s="190" t="str">
        <f t="shared" ca="1" si="60"/>
        <v/>
      </c>
      <c r="BK134" s="190"/>
      <c r="BL134" s="190" t="str">
        <f ca="1">IFERROR(IF(AND($B134&gt;=($F$17-$F$15),$B134&lt;$F$22+($F$17-$F$15)),SUM(OFFSET($T$100,($F$17-$F$15),0):$T134),""),"")</f>
        <v/>
      </c>
      <c r="BM134" s="190" t="str">
        <f t="shared" ca="1" si="97"/>
        <v/>
      </c>
      <c r="BN134" s="190" t="str">
        <f t="shared" ca="1" si="61"/>
        <v/>
      </c>
      <c r="BO134"/>
      <c r="BP134" s="190" t="str">
        <f ca="1">IF(ISNUMBER(OFFSET(BL134,-$F$21,0)),SUM(OFFSET($T$100,($F$17-$F$15+$F$21),0):$T134),"")</f>
        <v/>
      </c>
      <c r="BQ134" s="190" t="str">
        <f t="shared" ca="1" si="98"/>
        <v/>
      </c>
      <c r="BR134" s="190" t="str">
        <f t="shared" ca="1" si="63"/>
        <v/>
      </c>
      <c r="BS134" s="190"/>
      <c r="BT134"/>
      <c r="BU134"/>
      <c r="BV134"/>
      <c r="BY134" s="99"/>
      <c r="BZ134" s="99"/>
      <c r="CA134" s="280" t="str">
        <f t="shared" si="99"/>
        <v/>
      </c>
      <c r="CB134" s="71" t="str">
        <f t="shared" si="100"/>
        <v>-</v>
      </c>
      <c r="CC134" s="33"/>
      <c r="CD134" s="261" t="str">
        <f t="shared" si="101"/>
        <v/>
      </c>
      <c r="CE134" s="280" t="str">
        <f t="shared" si="102"/>
        <v>-</v>
      </c>
      <c r="CF134" s="71" t="str">
        <f t="shared" ca="1" si="103"/>
        <v>-</v>
      </c>
      <c r="CG134" s="33" t="str">
        <f t="shared" si="104"/>
        <v>34-35</v>
      </c>
      <c r="CH134" s="261" t="str">
        <f t="shared" ca="1" si="105"/>
        <v/>
      </c>
      <c r="CI134" s="202"/>
      <c r="CP134" s="99"/>
      <c r="CQ134" s="99"/>
      <c r="CR134" s="99"/>
      <c r="CS134" s="99"/>
      <c r="CT134" s="99"/>
      <c r="CU134" s="99"/>
      <c r="CV134" s="99"/>
      <c r="CW134" s="99"/>
      <c r="CX134" s="99"/>
      <c r="CY134" s="99"/>
      <c r="CZ134" s="99"/>
      <c r="DA134" s="99"/>
      <c r="DB134" s="99"/>
      <c r="DC134" s="99"/>
    </row>
    <row r="135" spans="2:107" ht="13.5" customHeight="1" x14ac:dyDescent="0.2">
      <c r="B135" s="262">
        <v>35</v>
      </c>
      <c r="C135" s="237" t="str">
        <f t="shared" si="71"/>
        <v/>
      </c>
      <c r="D135" s="237" t="str">
        <f t="shared" si="106"/>
        <v>-</v>
      </c>
      <c r="E135" s="290" t="str">
        <f t="shared" si="32"/>
        <v/>
      </c>
      <c r="F135" s="264" t="str">
        <f t="shared" si="33"/>
        <v/>
      </c>
      <c r="G135" s="291" t="str">
        <f t="shared" si="34"/>
        <v/>
      </c>
      <c r="H135" s="240" t="str">
        <f t="shared" si="72"/>
        <v/>
      </c>
      <c r="I135" s="265" t="str">
        <f t="shared" si="73"/>
        <v/>
      </c>
      <c r="J135" s="265" t="str">
        <f t="shared" si="74"/>
        <v/>
      </c>
      <c r="K135" s="240" t="str">
        <f t="shared" si="75"/>
        <v/>
      </c>
      <c r="L135" s="265" t="str">
        <f t="shared" si="76"/>
        <v/>
      </c>
      <c r="M135" s="265" t="str">
        <f t="shared" si="77"/>
        <v/>
      </c>
      <c r="N135" s="240" t="str">
        <f t="shared" si="78"/>
        <v>-</v>
      </c>
      <c r="O135" s="265" t="str">
        <f t="shared" si="79"/>
        <v>-</v>
      </c>
      <c r="P135" s="265" t="str">
        <f t="shared" si="80"/>
        <v>-</v>
      </c>
      <c r="Q135" s="266" t="str">
        <f t="shared" si="81"/>
        <v>-</v>
      </c>
      <c r="R135" s="267" t="str">
        <f t="shared" si="82"/>
        <v>-</v>
      </c>
      <c r="S135" s="268" t="str">
        <f t="shared" si="83"/>
        <v>-</v>
      </c>
      <c r="T135" s="269" t="str">
        <f t="shared" si="84"/>
        <v/>
      </c>
      <c r="U135" s="221">
        <f t="shared" si="85"/>
        <v>35</v>
      </c>
      <c r="V135" s="220" t="str">
        <f t="shared" si="42"/>
        <v>-</v>
      </c>
      <c r="W135" s="221" t="str">
        <f t="shared" si="43"/>
        <v>-</v>
      </c>
      <c r="X135" s="221" t="str">
        <f t="shared" si="86"/>
        <v>-</v>
      </c>
      <c r="Y135" s="221" t="str">
        <f t="shared" si="87"/>
        <v>-</v>
      </c>
      <c r="Z135" s="270">
        <f t="shared" si="44"/>
        <v>0.1</v>
      </c>
      <c r="AA135" s="271" t="str">
        <f>IFERROR(IF(V134=1,AA$100*EXP(-(LN(2)/$D$65+0.04)*X134)*EXP(-(LN(2)/$D$65+0.1)*Y134),IF(V134=2,AA$100*EXP(-(LN(2)/$D$65+0.04)*(VLOOKUP(($F$16-$F$15)-1,U$99:Y134,4,FALSE)))*EXP(-(LN(2)/$D$65+0.1)*(VLOOKUP(($F$16-$F$15)-1,U$99:Y134,5,FALSE)))*EXP(-(LN(2)/$D$65+0.04)*X134)*EXP(-(LN(2)/$D$65+0.1)*Y134),IF(V134=3,AA$100*EXP(-(LN(2)/$D$65+0.04)*(VLOOKUP(($F$16-$F$15)-1,U$99:Y134,4,FALSE)))*EXP(-(LN(2)/$D$65+0.1)*(VLOOKUP(($F$16-$F$15)-1,U$99:Y134,5,FALSE)))*EXP(-(LN(2)/$D$65+0.04)*(VLOOKUP(($F$16-$F$15)*2-1,U$99:Y134,4,FALSE)))*EXP(-(LN(2)/$D$65+0.1)*(VLOOKUP(($F$16-$F$15)*2-1,U$99:Y134,5,FALSE)))*EXP(-(LN(2)/$D$65+0.04)*X134)*EXP(-(LN(2)/$D$65+0.1)*Y134),"-"))),"-")</f>
        <v>-</v>
      </c>
      <c r="AB135" s="271" t="str">
        <f>IFERROR(IF(V135=1,AB$100*EXP(-(LN(2)/$D$65+0.04)*X135)*EXP(-(LN(2)/$D$65+0.1)*Y135),IF(V135=2,AB$100*EXP(-(LN(2)/$D$65+0.04)*(VLOOKUP(($F$16-$F$15)-1,U$100:Y135,4,FALSE)))*EXP(-(LN(2)/$D$65+0.1)*(VLOOKUP(($F$16-$F$15)-1,U$100:Y135,5,FALSE)))*EXP(-(LN(2)/$D$65+0.04)*X135)*EXP(-(LN(2)/$D$65+0.1)*Y135),IF(V135=3,AB$100*EXP(-(LN(2)/$D$65+0.04)*(VLOOKUP(($F$16-$F$15)-1,U$100:Y135,4,FALSE)))*EXP(-(LN(2)/$D$65+0.1)*(VLOOKUP(($F$16-$F$15)-1,U$100:Y135,5,FALSE)))*EXP(-(LN(2)/$D$65+0.04)*(VLOOKUP(($F$16-$F$15)*2-1,U$100:Y135,4,FALSE)))*EXP(-(LN(2)/$D$65+0.1)*(VLOOKUP(($F$16-$F$15)*2-1,U$100:Y135,5,FALSE)))*EXP(-(LN(2)/$D$65+0.04)*X135)*EXP(-(LN(2)/$D$65+0.1)*Y135),"-"))),"-")</f>
        <v>-</v>
      </c>
      <c r="AC135" s="224">
        <f t="shared" si="45"/>
        <v>35</v>
      </c>
      <c r="AD135" s="223" t="str">
        <f t="shared" si="11"/>
        <v>-</v>
      </c>
      <c r="AE135" s="224" t="str">
        <f t="shared" si="46"/>
        <v>-</v>
      </c>
      <c r="AF135" s="224" t="str">
        <f t="shared" si="88"/>
        <v>-</v>
      </c>
      <c r="AG135" s="224" t="str">
        <f t="shared" si="89"/>
        <v>-</v>
      </c>
      <c r="AH135" s="272">
        <f t="shared" si="47"/>
        <v>0.1</v>
      </c>
      <c r="AI135" s="271" t="str">
        <f>IFERROR(IF(AD134=1,AI$100*EXP(-(LN(2)/$D$65+0.04)*AF134)*EXP(-(LN(2)/$D$65+0.1)*AG134),IF(AD134=2,AI$100*EXP(-(LN(2)/$D$65+0.04)*(VLOOKUP(($F$16-$F$15)-1,AC$99:AG134,4,FALSE)))*EXP(-(LN(2)/$D$65+0.1)*(VLOOKUP(($F$16-$F$15)-1,AC$99:AG134,5,FALSE)))*EXP(-(LN(2)/$D$65+0.04)*AF134)*EXP(-(LN(2)/$D$65+0.1)*AG134),IF(AD134=3,AI$100*EXP(-(LN(2)/$D$65+0.04)*(VLOOKUP(($F$16-$F$15)-1,AC$99:AG134,4,FALSE)))*EXP(-(LN(2)/$D$65+0.1)*(VLOOKUP(($F$16-$F$15)-1,AC$99:AG134,5,FALSE)))*EXP(-(LN(2)/$D$65+0.04)*(VLOOKUP(($F$16-$F$15)*2-1,AC$99:AG134,4,FALSE)))*EXP(-(LN(2)/$D$65+0.1)*(VLOOKUP(($F$16-$F$15)*2-1,AC$99:AG134,5,FALSE)))*EXP(-(LN(2)/$D$65+0.04)*AF134)*EXP(-(LN(2)/$D$65+0.1)*AG134),"-"))),"-")</f>
        <v>-</v>
      </c>
      <c r="AJ135" s="271" t="str">
        <f>IFERROR(IF(AD135=1,AJ$100*EXP(-(LN(2)/$D$65+0.04)*AF135)*EXP(-(LN(2)/$D$65+0.1)*AG135),IF(AD135=2,AJ$100*EXP(-(LN(2)/$D$65+0.04)*(VLOOKUP(($F$16-$F$15)-1,AC$100:AG135,4,FALSE)))*EXP(-(LN(2)/$D$65+0.1)*(VLOOKUP(($F$16-$F$15)-1,AC$100:AG135,5,FALSE)))*EXP(-(LN(2)/$D$65+0.04)*AF135)*EXP(-(LN(2)/$D$65+0.1)*AG135),IF(AD135=3,AJ$100*EXP(-(LN(2)/$D$65+0.04)*(VLOOKUP(($F$16-$F$15)-1,AC$100:AG135,4,FALSE)))*EXP(-(LN(2)/$D$65+0.1)*(VLOOKUP(($F$16-$F$15)-1,AC$100:AG135,5,FALSE)))*EXP(-(LN(2)/$D$65+0.04)*(VLOOKUP(($F$16-$F$15)*2-1,AC$100:AG135,4,FALSE)))*EXP(-(LN(2)/$D$65+0.1)*(VLOOKUP(($F$16-$F$15)*2-1,AC$100:AG135,5,FALSE)))*EXP(-(LN(2)/$D$65+0.04)*AF135)*EXP(-(LN(2)/$D$65+0.1)*AG135),"-"))),"-")</f>
        <v>-</v>
      </c>
      <c r="AK135" s="227">
        <f t="shared" si="49"/>
        <v>35</v>
      </c>
      <c r="AL135" s="226" t="str">
        <f t="shared" si="15"/>
        <v>-</v>
      </c>
      <c r="AM135" s="227" t="str">
        <f t="shared" si="50"/>
        <v>-</v>
      </c>
      <c r="AN135" s="227" t="str">
        <f t="shared" si="51"/>
        <v>-</v>
      </c>
      <c r="AO135" s="227" t="str">
        <f t="shared" si="90"/>
        <v>-</v>
      </c>
      <c r="AP135" s="273">
        <f t="shared" si="52"/>
        <v>0.1</v>
      </c>
      <c r="AQ135" s="271" t="str">
        <f>IFERROR(IF(AL134=1,AQ$100*EXP(-(LN(2)/$D$65+0.04)*AN134)*EXP(-(LN(2)/$D$65+0.1)*AO134),IF(AL134=2,AQ$100*EXP(-(LN(2)/$D$65+0.04)*(VLOOKUP(($F$16-$F$15)-1,AK$99:AO134,4,FALSE)))*EXP(-(LN(2)/$D$65+0.1)*(VLOOKUP(($F$16-$F$15)-1,AK$99:AO134,5,FALSE)))*EXP(-(LN(2)/$D$65+0.04)*AN134)*EXP(-(LN(2)/$D$65+0.1)*AO134),IF(AL134=3,AQ$100*EXP(-(LN(2)/$D$65+0.04)*(VLOOKUP(($F$16-$F$15)-1,AK$99:AO134,4,FALSE)))*EXP(-(LN(2)/$D$65+0.1)*(VLOOKUP(($F$16-$F$15)-1,AK$99:AO134,5,FALSE)))*EXP(-(LN(2)/$D$65+0.04)*(VLOOKUP(($F$16-$F$15)*2-1,AK$99:AO134,4,FALSE)))*EXP(-(LN(2)/$D$65+0.1)*(VLOOKUP(($F$16-$F$15)*2-1,AK$99:AO134,5,FALSE)))*EXP(-(LN(2)/$D$65+0.04)*AN134)*EXP(-(LN(2)/$D$65+0.1)*AO134),"-"))),"-")</f>
        <v>-</v>
      </c>
      <c r="AR135" s="271" t="str">
        <f>IFERROR(IF(AL135=1,AR$100*EXP(-(LN(2)/$D$65+0.04)*AN135)*EXP(-(LN(2)/$D$65+0.1)*AO135),IF(AL135=2,AR$100*EXP(-(LN(2)/$D$65+0.04)*(VLOOKUP(($F$16-$F$15)-1,AK$100:AO135,4,FALSE)))*EXP(-(LN(2)/$D$65+0.1)*(VLOOKUP(($F$16-$F$15)-1,AK$100:AO135,5,FALSE)))*EXP(-(LN(2)/$D$65+0.04)*AN135)*EXP(-(LN(2)/$D$65+0.1)*AO135),IF(AL135=3,AR$100*EXP(-(LN(2)/$D$65+0.04)*(VLOOKUP(($F$16-$F$15)-1,AK$100:AO135,4,FALSE)))*EXP(-(LN(2)/$D$65+0.1)*(VLOOKUP(($F$16-$F$15)-1,AK$100:AO135,5,FALSE)))*EXP(-(LN(2)/$D$65+0.04)*(VLOOKUP(($F$16-$F$15)*2-1,AK$100:AO135,4,FALSE)))*EXP(-(LN(2)/$D$65+0.1)*(VLOOKUP(($F$16-$F$15)*2-1,AK$100:AO135,5,FALSE)))*EXP(-(LN(2)/$D$65+0.04)*AN135)*EXP(-(LN(2)/$D$65+0.1)*AO135),"-"))),"-")</f>
        <v>-</v>
      </c>
      <c r="AS135" s="274">
        <f t="shared" si="91"/>
        <v>0</v>
      </c>
      <c r="AT135" s="274">
        <f t="shared" si="92"/>
        <v>0</v>
      </c>
      <c r="AU135" s="274">
        <f t="shared" si="93"/>
        <v>0</v>
      </c>
      <c r="AV135" s="190">
        <f>IF($B135&lt;$F$22,SUM($T$100:$T135),"")</f>
        <v>0</v>
      </c>
      <c r="AW135" s="190" t="str">
        <f t="shared" si="94"/>
        <v>-</v>
      </c>
      <c r="AX135" s="190" t="str">
        <f t="shared" si="56"/>
        <v/>
      </c>
      <c r="AY135"/>
      <c r="AZ135" s="190" t="str">
        <f ca="1">IF(ISNUMBER(OFFSET(AV135,-$F$21,0)),SUM(OFFSET($T$100,$F$21,0):$T135),"")</f>
        <v/>
      </c>
      <c r="BA135" s="190" t="str">
        <f t="shared" ca="1" si="95"/>
        <v/>
      </c>
      <c r="BB135" s="190" t="str">
        <f t="shared" ca="1" si="70"/>
        <v/>
      </c>
      <c r="BC135" s="190"/>
      <c r="BD135" s="190" t="str">
        <f ca="1">IFERROR(IF(AND($B135&gt;=($F$16-$F$15),$B135&lt;$F$22+($F$16-$F$15)),SUM(OFFSET($T$100,($F$16-$F$15),0):$T135),""),"")</f>
        <v/>
      </c>
      <c r="BE135" s="190" t="str">
        <f t="shared" ca="1" si="58"/>
        <v/>
      </c>
      <c r="BF135" s="190" t="str">
        <f t="shared" ca="1" si="59"/>
        <v/>
      </c>
      <c r="BG135"/>
      <c r="BH135" s="190" t="str">
        <f ca="1">IF(ISNUMBER(OFFSET(BD135,-$F$21,0)),SUM(OFFSET($T$100,($F$16-$F$15+$F$21),0):$T135),"")</f>
        <v/>
      </c>
      <c r="BI135" s="190" t="str">
        <f t="shared" ca="1" si="96"/>
        <v/>
      </c>
      <c r="BJ135" s="190" t="str">
        <f t="shared" ca="1" si="60"/>
        <v/>
      </c>
      <c r="BK135" s="190"/>
      <c r="BL135" s="190" t="str">
        <f ca="1">IFERROR(IF(AND($B135&gt;=($F$17-$F$15),$B135&lt;$F$22+($F$17-$F$15)),SUM(OFFSET($T$100,($F$17-$F$15),0):$T135),""),"")</f>
        <v/>
      </c>
      <c r="BM135" s="190" t="str">
        <f t="shared" ca="1" si="97"/>
        <v/>
      </c>
      <c r="BN135" s="190" t="str">
        <f t="shared" ca="1" si="61"/>
        <v/>
      </c>
      <c r="BO135"/>
      <c r="BP135" s="190" t="str">
        <f ca="1">IF(ISNUMBER(OFFSET(BL135,-$F$21,0)),SUM(OFFSET($T$100,($F$17-$F$15+$F$21),0):$T135),"")</f>
        <v/>
      </c>
      <c r="BQ135" s="190" t="str">
        <f t="shared" ca="1" si="98"/>
        <v/>
      </c>
      <c r="BR135" s="190" t="str">
        <f t="shared" ca="1" si="63"/>
        <v/>
      </c>
      <c r="BS135" s="190"/>
      <c r="BT135"/>
      <c r="BU135"/>
      <c r="BV135"/>
      <c r="BY135" s="99"/>
      <c r="BZ135" s="99"/>
      <c r="CA135" s="280" t="str">
        <f t="shared" si="99"/>
        <v/>
      </c>
      <c r="CB135" s="71" t="str">
        <f t="shared" si="100"/>
        <v>-</v>
      </c>
      <c r="CC135" s="33"/>
      <c r="CD135" s="261" t="str">
        <f t="shared" si="101"/>
        <v/>
      </c>
      <c r="CE135" s="280" t="str">
        <f t="shared" si="102"/>
        <v>-</v>
      </c>
      <c r="CF135" s="71" t="str">
        <f t="shared" ca="1" si="103"/>
        <v>-</v>
      </c>
      <c r="CG135" s="33" t="str">
        <f t="shared" si="104"/>
        <v>35-36</v>
      </c>
      <c r="CH135" s="261" t="str">
        <f t="shared" ca="1" si="105"/>
        <v/>
      </c>
      <c r="CI135" s="202"/>
      <c r="CP135" s="99"/>
      <c r="CQ135" s="99"/>
      <c r="CR135" s="99"/>
      <c r="CS135" s="99"/>
      <c r="CT135" s="99"/>
      <c r="CU135" s="99"/>
      <c r="CV135" s="99"/>
      <c r="CW135" s="99"/>
      <c r="CX135" s="99"/>
      <c r="CY135" s="99"/>
      <c r="CZ135" s="99"/>
      <c r="DA135" s="99"/>
      <c r="DB135" s="99"/>
      <c r="DC135" s="99"/>
    </row>
    <row r="136" spans="2:107" ht="13.5" customHeight="1" x14ac:dyDescent="0.2">
      <c r="B136" s="262">
        <v>36</v>
      </c>
      <c r="C136" s="237" t="str">
        <f t="shared" si="71"/>
        <v/>
      </c>
      <c r="D136" s="237" t="str">
        <f t="shared" si="106"/>
        <v>-</v>
      </c>
      <c r="E136" s="290" t="str">
        <f t="shared" si="32"/>
        <v/>
      </c>
      <c r="F136" s="264" t="str">
        <f t="shared" si="33"/>
        <v/>
      </c>
      <c r="G136" s="291" t="str">
        <f t="shared" si="34"/>
        <v/>
      </c>
      <c r="H136" s="240" t="str">
        <f t="shared" si="72"/>
        <v/>
      </c>
      <c r="I136" s="265" t="str">
        <f t="shared" si="73"/>
        <v/>
      </c>
      <c r="J136" s="265" t="str">
        <f t="shared" si="74"/>
        <v/>
      </c>
      <c r="K136" s="240" t="str">
        <f t="shared" si="75"/>
        <v/>
      </c>
      <c r="L136" s="265" t="str">
        <f t="shared" si="76"/>
        <v/>
      </c>
      <c r="M136" s="265" t="str">
        <f t="shared" si="77"/>
        <v/>
      </c>
      <c r="N136" s="240" t="str">
        <f t="shared" si="78"/>
        <v>-</v>
      </c>
      <c r="O136" s="265" t="str">
        <f t="shared" si="79"/>
        <v>-</v>
      </c>
      <c r="P136" s="265" t="str">
        <f t="shared" si="80"/>
        <v>-</v>
      </c>
      <c r="Q136" s="266" t="str">
        <f t="shared" si="81"/>
        <v>-</v>
      </c>
      <c r="R136" s="267" t="str">
        <f t="shared" si="82"/>
        <v>-</v>
      </c>
      <c r="S136" s="268" t="str">
        <f t="shared" si="83"/>
        <v>-</v>
      </c>
      <c r="T136" s="269" t="str">
        <f t="shared" si="84"/>
        <v/>
      </c>
      <c r="U136" s="221">
        <f t="shared" si="85"/>
        <v>36</v>
      </c>
      <c r="V136" s="220" t="str">
        <f t="shared" si="42"/>
        <v>-</v>
      </c>
      <c r="W136" s="221" t="str">
        <f t="shared" si="43"/>
        <v>-</v>
      </c>
      <c r="X136" s="221" t="str">
        <f t="shared" si="86"/>
        <v>-</v>
      </c>
      <c r="Y136" s="221" t="str">
        <f t="shared" si="87"/>
        <v>-</v>
      </c>
      <c r="Z136" s="270">
        <f t="shared" si="44"/>
        <v>0.1</v>
      </c>
      <c r="AA136" s="271" t="str">
        <f>IFERROR(IF(V135=1,AA$100*EXP(-(LN(2)/$D$65+0.04)*X135)*EXP(-(LN(2)/$D$65+0.1)*Y135),IF(V135=2,AA$100*EXP(-(LN(2)/$D$65+0.04)*(VLOOKUP(($F$16-$F$15)-1,U$99:Y135,4,FALSE)))*EXP(-(LN(2)/$D$65+0.1)*(VLOOKUP(($F$16-$F$15)-1,U$99:Y135,5,FALSE)))*EXP(-(LN(2)/$D$65+0.04)*X135)*EXP(-(LN(2)/$D$65+0.1)*Y135),IF(V135=3,AA$100*EXP(-(LN(2)/$D$65+0.04)*(VLOOKUP(($F$16-$F$15)-1,U$99:Y135,4,FALSE)))*EXP(-(LN(2)/$D$65+0.1)*(VLOOKUP(($F$16-$F$15)-1,U$99:Y135,5,FALSE)))*EXP(-(LN(2)/$D$65+0.04)*(VLOOKUP(($F$16-$F$15)*2-1,U$99:Y135,4,FALSE)))*EXP(-(LN(2)/$D$65+0.1)*(VLOOKUP(($F$16-$F$15)*2-1,U$99:Y135,5,FALSE)))*EXP(-(LN(2)/$D$65+0.04)*X135)*EXP(-(LN(2)/$D$65+0.1)*Y135),"-"))),"-")</f>
        <v>-</v>
      </c>
      <c r="AB136" s="271" t="str">
        <f>IFERROR(IF(V136=1,AB$100*EXP(-(LN(2)/$D$65+0.04)*X136)*EXP(-(LN(2)/$D$65+0.1)*Y136),IF(V136=2,AB$100*EXP(-(LN(2)/$D$65+0.04)*(VLOOKUP(($F$16-$F$15)-1,U$100:Y136,4,FALSE)))*EXP(-(LN(2)/$D$65+0.1)*(VLOOKUP(($F$16-$F$15)-1,U$100:Y136,5,FALSE)))*EXP(-(LN(2)/$D$65+0.04)*X136)*EXP(-(LN(2)/$D$65+0.1)*Y136),IF(V136=3,AB$100*EXP(-(LN(2)/$D$65+0.04)*(VLOOKUP(($F$16-$F$15)-1,U$100:Y136,4,FALSE)))*EXP(-(LN(2)/$D$65+0.1)*(VLOOKUP(($F$16-$F$15)-1,U$100:Y136,5,FALSE)))*EXP(-(LN(2)/$D$65+0.04)*(VLOOKUP(($F$16-$F$15)*2-1,U$100:Y136,4,FALSE)))*EXP(-(LN(2)/$D$65+0.1)*(VLOOKUP(($F$16-$F$15)*2-1,U$100:Y136,5,FALSE)))*EXP(-(LN(2)/$D$65+0.04)*X136)*EXP(-(LN(2)/$D$65+0.1)*Y136),"-"))),"-")</f>
        <v>-</v>
      </c>
      <c r="AC136" s="224">
        <f t="shared" si="45"/>
        <v>36</v>
      </c>
      <c r="AD136" s="223" t="str">
        <f t="shared" si="11"/>
        <v>-</v>
      </c>
      <c r="AE136" s="224" t="str">
        <f t="shared" si="46"/>
        <v>-</v>
      </c>
      <c r="AF136" s="224" t="str">
        <f t="shared" si="88"/>
        <v>-</v>
      </c>
      <c r="AG136" s="224" t="str">
        <f t="shared" si="89"/>
        <v>-</v>
      </c>
      <c r="AH136" s="272">
        <f t="shared" si="47"/>
        <v>0.1</v>
      </c>
      <c r="AI136" s="271" t="str">
        <f>IFERROR(IF(AD135=1,AI$100*EXP(-(LN(2)/$D$65+0.04)*AF135)*EXP(-(LN(2)/$D$65+0.1)*AG135),IF(AD135=2,AI$100*EXP(-(LN(2)/$D$65+0.04)*(VLOOKUP(($F$16-$F$15)-1,AC$99:AG135,4,FALSE)))*EXP(-(LN(2)/$D$65+0.1)*(VLOOKUP(($F$16-$F$15)-1,AC$99:AG135,5,FALSE)))*EXP(-(LN(2)/$D$65+0.04)*AF135)*EXP(-(LN(2)/$D$65+0.1)*AG135),IF(AD135=3,AI$100*EXP(-(LN(2)/$D$65+0.04)*(VLOOKUP(($F$16-$F$15)-1,AC$99:AG135,4,FALSE)))*EXP(-(LN(2)/$D$65+0.1)*(VLOOKUP(($F$16-$F$15)-1,AC$99:AG135,5,FALSE)))*EXP(-(LN(2)/$D$65+0.04)*(VLOOKUP(($F$16-$F$15)*2-1,AC$99:AG135,4,FALSE)))*EXP(-(LN(2)/$D$65+0.1)*(VLOOKUP(($F$16-$F$15)*2-1,AC$99:AG135,5,FALSE)))*EXP(-(LN(2)/$D$65+0.04)*AF135)*EXP(-(LN(2)/$D$65+0.1)*AG135),"-"))),"-")</f>
        <v>-</v>
      </c>
      <c r="AJ136" s="271" t="str">
        <f>IFERROR(IF(AD136=1,AJ$100*EXP(-(LN(2)/$D$65+0.04)*AF136)*EXP(-(LN(2)/$D$65+0.1)*AG136),IF(AD136=2,AJ$100*EXP(-(LN(2)/$D$65+0.04)*(VLOOKUP(($F$16-$F$15)-1,AC$100:AG136,4,FALSE)))*EXP(-(LN(2)/$D$65+0.1)*(VLOOKUP(($F$16-$F$15)-1,AC$100:AG136,5,FALSE)))*EXP(-(LN(2)/$D$65+0.04)*AF136)*EXP(-(LN(2)/$D$65+0.1)*AG136),IF(AD136=3,AJ$100*EXP(-(LN(2)/$D$65+0.04)*(VLOOKUP(($F$16-$F$15)-1,AC$100:AG136,4,FALSE)))*EXP(-(LN(2)/$D$65+0.1)*(VLOOKUP(($F$16-$F$15)-1,AC$100:AG136,5,FALSE)))*EXP(-(LN(2)/$D$65+0.04)*(VLOOKUP(($F$16-$F$15)*2-1,AC$100:AG136,4,FALSE)))*EXP(-(LN(2)/$D$65+0.1)*(VLOOKUP(($F$16-$F$15)*2-1,AC$100:AG136,5,FALSE)))*EXP(-(LN(2)/$D$65+0.04)*AF136)*EXP(-(LN(2)/$D$65+0.1)*AG136),"-"))),"-")</f>
        <v>-</v>
      </c>
      <c r="AK136" s="227">
        <f t="shared" si="49"/>
        <v>36</v>
      </c>
      <c r="AL136" s="226" t="str">
        <f t="shared" si="15"/>
        <v>-</v>
      </c>
      <c r="AM136" s="227" t="str">
        <f t="shared" si="50"/>
        <v>-</v>
      </c>
      <c r="AN136" s="227" t="str">
        <f t="shared" si="51"/>
        <v>-</v>
      </c>
      <c r="AO136" s="227" t="str">
        <f t="shared" si="90"/>
        <v>-</v>
      </c>
      <c r="AP136" s="273">
        <f t="shared" si="52"/>
        <v>0.1</v>
      </c>
      <c r="AQ136" s="271" t="str">
        <f>IFERROR(IF(AL135=1,AQ$100*EXP(-(LN(2)/$D$65+0.04)*AN135)*EXP(-(LN(2)/$D$65+0.1)*AO135),IF(AL135=2,AQ$100*EXP(-(LN(2)/$D$65+0.04)*(VLOOKUP(($F$16-$F$15)-1,AK$99:AO135,4,FALSE)))*EXP(-(LN(2)/$D$65+0.1)*(VLOOKUP(($F$16-$F$15)-1,AK$99:AO135,5,FALSE)))*EXP(-(LN(2)/$D$65+0.04)*AN135)*EXP(-(LN(2)/$D$65+0.1)*AO135),IF(AL135=3,AQ$100*EXP(-(LN(2)/$D$65+0.04)*(VLOOKUP(($F$16-$F$15)-1,AK$99:AO135,4,FALSE)))*EXP(-(LN(2)/$D$65+0.1)*(VLOOKUP(($F$16-$F$15)-1,AK$99:AO135,5,FALSE)))*EXP(-(LN(2)/$D$65+0.04)*(VLOOKUP(($F$16-$F$15)*2-1,AK$99:AO135,4,FALSE)))*EXP(-(LN(2)/$D$65+0.1)*(VLOOKUP(($F$16-$F$15)*2-1,AK$99:AO135,5,FALSE)))*EXP(-(LN(2)/$D$65+0.04)*AN135)*EXP(-(LN(2)/$D$65+0.1)*AO135),"-"))),"-")</f>
        <v>-</v>
      </c>
      <c r="AR136" s="271" t="str">
        <f>IFERROR(IF(AL136=1,AR$100*EXP(-(LN(2)/$D$65+0.04)*AN136)*EXP(-(LN(2)/$D$65+0.1)*AO136),IF(AL136=2,AR$100*EXP(-(LN(2)/$D$65+0.04)*(VLOOKUP(($F$16-$F$15)-1,AK$100:AO136,4,FALSE)))*EXP(-(LN(2)/$D$65+0.1)*(VLOOKUP(($F$16-$F$15)-1,AK$100:AO136,5,FALSE)))*EXP(-(LN(2)/$D$65+0.04)*AN136)*EXP(-(LN(2)/$D$65+0.1)*AO136),IF(AL136=3,AR$100*EXP(-(LN(2)/$D$65+0.04)*(VLOOKUP(($F$16-$F$15)-1,AK$100:AO136,4,FALSE)))*EXP(-(LN(2)/$D$65+0.1)*(VLOOKUP(($F$16-$F$15)-1,AK$100:AO136,5,FALSE)))*EXP(-(LN(2)/$D$65+0.04)*(VLOOKUP(($F$16-$F$15)*2-1,AK$100:AO136,4,FALSE)))*EXP(-(LN(2)/$D$65+0.1)*(VLOOKUP(($F$16-$F$15)*2-1,AK$100:AO136,5,FALSE)))*EXP(-(LN(2)/$D$65+0.04)*AN136)*EXP(-(LN(2)/$D$65+0.1)*AO136),"-"))),"-")</f>
        <v>-</v>
      </c>
      <c r="AS136" s="274">
        <f t="shared" si="91"/>
        <v>0</v>
      </c>
      <c r="AT136" s="274">
        <f t="shared" si="92"/>
        <v>0</v>
      </c>
      <c r="AU136" s="274">
        <f t="shared" si="93"/>
        <v>0</v>
      </c>
      <c r="AV136" s="190">
        <f>IF($B136&lt;$F$22,SUM($T$100:$T136),"")</f>
        <v>0</v>
      </c>
      <c r="AW136" s="190" t="str">
        <f t="shared" si="94"/>
        <v>-</v>
      </c>
      <c r="AX136" s="190" t="str">
        <f t="shared" si="56"/>
        <v/>
      </c>
      <c r="AY136"/>
      <c r="AZ136" s="190" t="str">
        <f ca="1">IF(ISNUMBER(OFFSET(AV136,-$F$21,0)),SUM(OFFSET($T$100,$F$21,0):$T136),"")</f>
        <v/>
      </c>
      <c r="BA136" s="190" t="str">
        <f t="shared" ca="1" si="95"/>
        <v/>
      </c>
      <c r="BB136" s="190" t="str">
        <f t="shared" ca="1" si="70"/>
        <v/>
      </c>
      <c r="BC136" s="190"/>
      <c r="BD136" s="190" t="str">
        <f ca="1">IFERROR(IF(AND($B136&gt;=($F$16-$F$15),$B136&lt;$F$22+($F$16-$F$15)),SUM(OFFSET($T$100,($F$16-$F$15),0):$T136),""),"")</f>
        <v/>
      </c>
      <c r="BE136" s="190" t="str">
        <f t="shared" ca="1" si="58"/>
        <v/>
      </c>
      <c r="BF136" s="190" t="str">
        <f t="shared" ca="1" si="59"/>
        <v/>
      </c>
      <c r="BG136"/>
      <c r="BH136" s="190" t="str">
        <f ca="1">IF(ISNUMBER(OFFSET(BD136,-$F$21,0)),SUM(OFFSET($T$100,($F$16-$F$15+$F$21),0):$T136),"")</f>
        <v/>
      </c>
      <c r="BI136" s="190" t="str">
        <f t="shared" ca="1" si="96"/>
        <v/>
      </c>
      <c r="BJ136" s="190" t="str">
        <f t="shared" ca="1" si="60"/>
        <v/>
      </c>
      <c r="BK136" s="190"/>
      <c r="BL136" s="190" t="str">
        <f ca="1">IFERROR(IF(AND($B136&gt;=($F$17-$F$15),$B136&lt;$F$22+($F$17-$F$15)),SUM(OFFSET($T$100,($F$17-$F$15),0):$T136),""),"")</f>
        <v/>
      </c>
      <c r="BM136" s="190" t="str">
        <f t="shared" ca="1" si="97"/>
        <v/>
      </c>
      <c r="BN136" s="190" t="str">
        <f t="shared" ca="1" si="61"/>
        <v/>
      </c>
      <c r="BO136"/>
      <c r="BP136" s="190" t="str">
        <f ca="1">IF(ISNUMBER(OFFSET(BL136,-$F$21,0)),SUM(OFFSET($T$100,($F$17-$F$15+$F$21),0):$T136),"")</f>
        <v/>
      </c>
      <c r="BQ136" s="190" t="str">
        <f t="shared" ca="1" si="98"/>
        <v/>
      </c>
      <c r="BR136" s="190" t="str">
        <f t="shared" ca="1" si="63"/>
        <v/>
      </c>
      <c r="BS136" s="190"/>
      <c r="BT136"/>
      <c r="BU136"/>
      <c r="BV136"/>
      <c r="BY136" s="99"/>
      <c r="BZ136" s="99"/>
      <c r="CA136" s="280" t="str">
        <f t="shared" si="99"/>
        <v/>
      </c>
      <c r="CB136" s="71" t="str">
        <f t="shared" si="100"/>
        <v>-</v>
      </c>
      <c r="CC136" s="33"/>
      <c r="CD136" s="261" t="str">
        <f t="shared" si="101"/>
        <v/>
      </c>
      <c r="CE136" s="280" t="str">
        <f t="shared" si="102"/>
        <v>-</v>
      </c>
      <c r="CF136" s="71" t="str">
        <f t="shared" ca="1" si="103"/>
        <v>-</v>
      </c>
      <c r="CG136" s="33" t="str">
        <f t="shared" si="104"/>
        <v>36-37</v>
      </c>
      <c r="CH136" s="261" t="str">
        <f t="shared" ca="1" si="105"/>
        <v/>
      </c>
      <c r="CI136" s="202"/>
      <c r="CP136" s="99"/>
      <c r="CQ136" s="99"/>
      <c r="CR136" s="99"/>
      <c r="CS136" s="99"/>
      <c r="CT136" s="99"/>
      <c r="CU136" s="99"/>
      <c r="CV136" s="99"/>
      <c r="CW136" s="99"/>
      <c r="CX136" s="99"/>
      <c r="CY136" s="99"/>
      <c r="CZ136" s="99"/>
      <c r="DA136" s="99"/>
      <c r="DB136" s="99"/>
      <c r="DC136" s="99"/>
    </row>
    <row r="137" spans="2:107" ht="13.5" customHeight="1" x14ac:dyDescent="0.2">
      <c r="B137" s="262">
        <v>37</v>
      </c>
      <c r="C137" s="237" t="str">
        <f t="shared" si="71"/>
        <v/>
      </c>
      <c r="D137" s="237" t="str">
        <f t="shared" si="106"/>
        <v>-</v>
      </c>
      <c r="E137" s="290" t="str">
        <f t="shared" si="32"/>
        <v/>
      </c>
      <c r="F137" s="264" t="str">
        <f t="shared" si="33"/>
        <v/>
      </c>
      <c r="G137" s="291" t="str">
        <f t="shared" si="34"/>
        <v/>
      </c>
      <c r="H137" s="240" t="str">
        <f t="shared" si="72"/>
        <v/>
      </c>
      <c r="I137" s="265" t="str">
        <f t="shared" si="73"/>
        <v/>
      </c>
      <c r="J137" s="265" t="str">
        <f t="shared" si="74"/>
        <v/>
      </c>
      <c r="K137" s="240" t="str">
        <f t="shared" si="75"/>
        <v/>
      </c>
      <c r="L137" s="265" t="str">
        <f t="shared" si="76"/>
        <v/>
      </c>
      <c r="M137" s="265" t="str">
        <f t="shared" si="77"/>
        <v/>
      </c>
      <c r="N137" s="240" t="str">
        <f t="shared" si="78"/>
        <v>-</v>
      </c>
      <c r="O137" s="265" t="str">
        <f t="shared" si="79"/>
        <v>-</v>
      </c>
      <c r="P137" s="265" t="str">
        <f t="shared" si="80"/>
        <v>-</v>
      </c>
      <c r="Q137" s="266" t="str">
        <f t="shared" si="81"/>
        <v>-</v>
      </c>
      <c r="R137" s="267" t="str">
        <f t="shared" si="82"/>
        <v>-</v>
      </c>
      <c r="S137" s="268" t="str">
        <f t="shared" si="83"/>
        <v>-</v>
      </c>
      <c r="T137" s="269" t="str">
        <f t="shared" si="84"/>
        <v/>
      </c>
      <c r="U137" s="221">
        <f t="shared" si="85"/>
        <v>37</v>
      </c>
      <c r="V137" s="220" t="str">
        <f t="shared" si="42"/>
        <v>-</v>
      </c>
      <c r="W137" s="221" t="str">
        <f t="shared" si="43"/>
        <v>-</v>
      </c>
      <c r="X137" s="221" t="str">
        <f t="shared" si="86"/>
        <v>-</v>
      </c>
      <c r="Y137" s="221" t="str">
        <f t="shared" si="87"/>
        <v>-</v>
      </c>
      <c r="Z137" s="270">
        <f t="shared" si="44"/>
        <v>0.1</v>
      </c>
      <c r="AA137" s="271" t="str">
        <f>IFERROR(IF(V136=1,AA$100*EXP(-(LN(2)/$D$65+0.04)*X136)*EXP(-(LN(2)/$D$65+0.1)*Y136),IF(V136=2,AA$100*EXP(-(LN(2)/$D$65+0.04)*(VLOOKUP(($F$16-$F$15)-1,U$99:Y136,4,FALSE)))*EXP(-(LN(2)/$D$65+0.1)*(VLOOKUP(($F$16-$F$15)-1,U$99:Y136,5,FALSE)))*EXP(-(LN(2)/$D$65+0.04)*X136)*EXP(-(LN(2)/$D$65+0.1)*Y136),IF(V136=3,AA$100*EXP(-(LN(2)/$D$65+0.04)*(VLOOKUP(($F$16-$F$15)-1,U$99:Y136,4,FALSE)))*EXP(-(LN(2)/$D$65+0.1)*(VLOOKUP(($F$16-$F$15)-1,U$99:Y136,5,FALSE)))*EXP(-(LN(2)/$D$65+0.04)*(VLOOKUP(($F$16-$F$15)*2-1,U$99:Y136,4,FALSE)))*EXP(-(LN(2)/$D$65+0.1)*(VLOOKUP(($F$16-$F$15)*2-1,U$99:Y136,5,FALSE)))*EXP(-(LN(2)/$D$65+0.04)*X136)*EXP(-(LN(2)/$D$65+0.1)*Y136),"-"))),"-")</f>
        <v>-</v>
      </c>
      <c r="AB137" s="271" t="str">
        <f>IFERROR(IF(V137=1,AB$100*EXP(-(LN(2)/$D$65+0.04)*X137)*EXP(-(LN(2)/$D$65+0.1)*Y137),IF(V137=2,AB$100*EXP(-(LN(2)/$D$65+0.04)*(VLOOKUP(($F$16-$F$15)-1,U$100:Y137,4,FALSE)))*EXP(-(LN(2)/$D$65+0.1)*(VLOOKUP(($F$16-$F$15)-1,U$100:Y137,5,FALSE)))*EXP(-(LN(2)/$D$65+0.04)*X137)*EXP(-(LN(2)/$D$65+0.1)*Y137),IF(V137=3,AB$100*EXP(-(LN(2)/$D$65+0.04)*(VLOOKUP(($F$16-$F$15)-1,U$100:Y137,4,FALSE)))*EXP(-(LN(2)/$D$65+0.1)*(VLOOKUP(($F$16-$F$15)-1,U$100:Y137,5,FALSE)))*EXP(-(LN(2)/$D$65+0.04)*(VLOOKUP(($F$16-$F$15)*2-1,U$100:Y137,4,FALSE)))*EXP(-(LN(2)/$D$65+0.1)*(VLOOKUP(($F$16-$F$15)*2-1,U$100:Y137,5,FALSE)))*EXP(-(LN(2)/$D$65+0.04)*X137)*EXP(-(LN(2)/$D$65+0.1)*Y137),"-"))),"-")</f>
        <v>-</v>
      </c>
      <c r="AC137" s="224">
        <f t="shared" si="45"/>
        <v>37</v>
      </c>
      <c r="AD137" s="223" t="str">
        <f t="shared" si="11"/>
        <v>-</v>
      </c>
      <c r="AE137" s="224" t="str">
        <f t="shared" si="46"/>
        <v>-</v>
      </c>
      <c r="AF137" s="224" t="str">
        <f t="shared" si="88"/>
        <v>-</v>
      </c>
      <c r="AG137" s="224" t="str">
        <f t="shared" si="89"/>
        <v>-</v>
      </c>
      <c r="AH137" s="272">
        <f t="shared" si="47"/>
        <v>0.1</v>
      </c>
      <c r="AI137" s="271" t="str">
        <f>IFERROR(IF(AD136=1,AI$100*EXP(-(LN(2)/$D$65+0.04)*AF136)*EXP(-(LN(2)/$D$65+0.1)*AG136),IF(AD136=2,AI$100*EXP(-(LN(2)/$D$65+0.04)*(VLOOKUP(($F$16-$F$15)-1,AC$99:AG136,4,FALSE)))*EXP(-(LN(2)/$D$65+0.1)*(VLOOKUP(($F$16-$F$15)-1,AC$99:AG136,5,FALSE)))*EXP(-(LN(2)/$D$65+0.04)*AF136)*EXP(-(LN(2)/$D$65+0.1)*AG136),IF(AD136=3,AI$100*EXP(-(LN(2)/$D$65+0.04)*(VLOOKUP(($F$16-$F$15)-1,AC$99:AG136,4,FALSE)))*EXP(-(LN(2)/$D$65+0.1)*(VLOOKUP(($F$16-$F$15)-1,AC$99:AG136,5,FALSE)))*EXP(-(LN(2)/$D$65+0.04)*(VLOOKUP(($F$16-$F$15)*2-1,AC$99:AG136,4,FALSE)))*EXP(-(LN(2)/$D$65+0.1)*(VLOOKUP(($F$16-$F$15)*2-1,AC$99:AG136,5,FALSE)))*EXP(-(LN(2)/$D$65+0.04)*AF136)*EXP(-(LN(2)/$D$65+0.1)*AG136),"-"))),"-")</f>
        <v>-</v>
      </c>
      <c r="AJ137" s="271" t="str">
        <f>IFERROR(IF(AD137=1,AJ$100*EXP(-(LN(2)/$D$65+0.04)*AF137)*EXP(-(LN(2)/$D$65+0.1)*AG137),IF(AD137=2,AJ$100*EXP(-(LN(2)/$D$65+0.04)*(VLOOKUP(($F$16-$F$15)-1,AC$100:AG137,4,FALSE)))*EXP(-(LN(2)/$D$65+0.1)*(VLOOKUP(($F$16-$F$15)-1,AC$100:AG137,5,FALSE)))*EXP(-(LN(2)/$D$65+0.04)*AF137)*EXP(-(LN(2)/$D$65+0.1)*AG137),IF(AD137=3,AJ$100*EXP(-(LN(2)/$D$65+0.04)*(VLOOKUP(($F$16-$F$15)-1,AC$100:AG137,4,FALSE)))*EXP(-(LN(2)/$D$65+0.1)*(VLOOKUP(($F$16-$F$15)-1,AC$100:AG137,5,FALSE)))*EXP(-(LN(2)/$D$65+0.04)*(VLOOKUP(($F$16-$F$15)*2-1,AC$100:AG137,4,FALSE)))*EXP(-(LN(2)/$D$65+0.1)*(VLOOKUP(($F$16-$F$15)*2-1,AC$100:AG137,5,FALSE)))*EXP(-(LN(2)/$D$65+0.04)*AF137)*EXP(-(LN(2)/$D$65+0.1)*AG137),"-"))),"-")</f>
        <v>-</v>
      </c>
      <c r="AK137" s="227">
        <f t="shared" si="49"/>
        <v>37</v>
      </c>
      <c r="AL137" s="226" t="str">
        <f t="shared" si="15"/>
        <v>-</v>
      </c>
      <c r="AM137" s="227" t="str">
        <f t="shared" si="50"/>
        <v>-</v>
      </c>
      <c r="AN137" s="227" t="str">
        <f t="shared" si="51"/>
        <v>-</v>
      </c>
      <c r="AO137" s="227" t="str">
        <f t="shared" si="90"/>
        <v>-</v>
      </c>
      <c r="AP137" s="273">
        <f t="shared" si="52"/>
        <v>0.1</v>
      </c>
      <c r="AQ137" s="271" t="str">
        <f>IFERROR(IF(AL136=1,AQ$100*EXP(-(LN(2)/$D$65+0.04)*AN136)*EXP(-(LN(2)/$D$65+0.1)*AO136),IF(AL136=2,AQ$100*EXP(-(LN(2)/$D$65+0.04)*(VLOOKUP(($F$16-$F$15)-1,AK$99:AO136,4,FALSE)))*EXP(-(LN(2)/$D$65+0.1)*(VLOOKUP(($F$16-$F$15)-1,AK$99:AO136,5,FALSE)))*EXP(-(LN(2)/$D$65+0.04)*AN136)*EXP(-(LN(2)/$D$65+0.1)*AO136),IF(AL136=3,AQ$100*EXP(-(LN(2)/$D$65+0.04)*(VLOOKUP(($F$16-$F$15)-1,AK$99:AO136,4,FALSE)))*EXP(-(LN(2)/$D$65+0.1)*(VLOOKUP(($F$16-$F$15)-1,AK$99:AO136,5,FALSE)))*EXP(-(LN(2)/$D$65+0.04)*(VLOOKUP(($F$16-$F$15)*2-1,AK$99:AO136,4,FALSE)))*EXP(-(LN(2)/$D$65+0.1)*(VLOOKUP(($F$16-$F$15)*2-1,AK$99:AO136,5,FALSE)))*EXP(-(LN(2)/$D$65+0.04)*AN136)*EXP(-(LN(2)/$D$65+0.1)*AO136),"-"))),"-")</f>
        <v>-</v>
      </c>
      <c r="AR137" s="271" t="str">
        <f>IFERROR(IF(AL137=1,AR$100*EXP(-(LN(2)/$D$65+0.04)*AN137)*EXP(-(LN(2)/$D$65+0.1)*AO137),IF(AL137=2,AR$100*EXP(-(LN(2)/$D$65+0.04)*(VLOOKUP(($F$16-$F$15)-1,AK$100:AO137,4,FALSE)))*EXP(-(LN(2)/$D$65+0.1)*(VLOOKUP(($F$16-$F$15)-1,AK$100:AO137,5,FALSE)))*EXP(-(LN(2)/$D$65+0.04)*AN137)*EXP(-(LN(2)/$D$65+0.1)*AO137),IF(AL137=3,AR$100*EXP(-(LN(2)/$D$65+0.04)*(VLOOKUP(($F$16-$F$15)-1,AK$100:AO137,4,FALSE)))*EXP(-(LN(2)/$D$65+0.1)*(VLOOKUP(($F$16-$F$15)-1,AK$100:AO137,5,FALSE)))*EXP(-(LN(2)/$D$65+0.04)*(VLOOKUP(($F$16-$F$15)*2-1,AK$100:AO137,4,FALSE)))*EXP(-(LN(2)/$D$65+0.1)*(VLOOKUP(($F$16-$F$15)*2-1,AK$100:AO137,5,FALSE)))*EXP(-(LN(2)/$D$65+0.04)*AN137)*EXP(-(LN(2)/$D$65+0.1)*AO137),"-"))),"-")</f>
        <v>-</v>
      </c>
      <c r="AS137" s="274">
        <f t="shared" si="91"/>
        <v>0</v>
      </c>
      <c r="AT137" s="274">
        <f t="shared" si="92"/>
        <v>0</v>
      </c>
      <c r="AU137" s="274">
        <f t="shared" si="93"/>
        <v>0</v>
      </c>
      <c r="AV137" s="190">
        <f>IF($B137&lt;$F$22,SUM($T$100:$T137),"")</f>
        <v>0</v>
      </c>
      <c r="AW137" s="190" t="str">
        <f t="shared" si="94"/>
        <v>-</v>
      </c>
      <c r="AX137" s="190" t="str">
        <f t="shared" si="56"/>
        <v/>
      </c>
      <c r="AY137"/>
      <c r="AZ137" s="190" t="str">
        <f ca="1">IF(ISNUMBER(OFFSET(AV137,-$F$21,0)),SUM(OFFSET($T$100,$F$21,0):$T137),"")</f>
        <v/>
      </c>
      <c r="BA137" s="190" t="str">
        <f t="shared" ca="1" si="95"/>
        <v/>
      </c>
      <c r="BB137" s="190" t="str">
        <f t="shared" ca="1" si="70"/>
        <v/>
      </c>
      <c r="BC137" s="190"/>
      <c r="BD137" s="190" t="str">
        <f ca="1">IFERROR(IF(AND($B137&gt;=($F$16-$F$15),$B137&lt;$F$22+($F$16-$F$15)),SUM(OFFSET($T$100,($F$16-$F$15),0):$T137),""),"")</f>
        <v/>
      </c>
      <c r="BE137" s="190" t="str">
        <f t="shared" ca="1" si="58"/>
        <v/>
      </c>
      <c r="BF137" s="190" t="str">
        <f t="shared" ca="1" si="59"/>
        <v/>
      </c>
      <c r="BG137"/>
      <c r="BH137" s="190" t="str">
        <f ca="1">IF(ISNUMBER(OFFSET(BD137,-$F$21,0)),SUM(OFFSET($T$100,($F$16-$F$15+$F$21),0):$T137),"")</f>
        <v/>
      </c>
      <c r="BI137" s="190" t="str">
        <f t="shared" ca="1" si="96"/>
        <v/>
      </c>
      <c r="BJ137" s="190" t="str">
        <f t="shared" ca="1" si="60"/>
        <v/>
      </c>
      <c r="BK137" s="190"/>
      <c r="BL137" s="190" t="str">
        <f ca="1">IFERROR(IF(AND($B137&gt;=($F$17-$F$15),$B137&lt;$F$22+($F$17-$F$15)),SUM(OFFSET($T$100,($F$17-$F$15),0):$T137),""),"")</f>
        <v/>
      </c>
      <c r="BM137" s="190" t="str">
        <f t="shared" ca="1" si="97"/>
        <v/>
      </c>
      <c r="BN137" s="190" t="str">
        <f t="shared" ca="1" si="61"/>
        <v/>
      </c>
      <c r="BO137"/>
      <c r="BP137" s="190" t="str">
        <f ca="1">IF(ISNUMBER(OFFSET(BL137,-$F$21,0)),SUM(OFFSET($T$100,($F$17-$F$15+$F$21),0):$T137),"")</f>
        <v/>
      </c>
      <c r="BQ137" s="190" t="str">
        <f t="shared" ca="1" si="98"/>
        <v/>
      </c>
      <c r="BR137" s="190" t="str">
        <f t="shared" ca="1" si="63"/>
        <v/>
      </c>
      <c r="BS137" s="190"/>
      <c r="BT137"/>
      <c r="BU137"/>
      <c r="BV137"/>
      <c r="BY137" s="99"/>
      <c r="BZ137" s="99"/>
      <c r="CA137" s="280" t="str">
        <f t="shared" si="99"/>
        <v/>
      </c>
      <c r="CB137" s="71" t="str">
        <f t="shared" si="100"/>
        <v>-</v>
      </c>
      <c r="CC137" s="33"/>
      <c r="CD137" s="261" t="str">
        <f t="shared" si="101"/>
        <v/>
      </c>
      <c r="CE137" s="280" t="str">
        <f t="shared" si="102"/>
        <v>-</v>
      </c>
      <c r="CF137" s="71" t="str">
        <f t="shared" ca="1" si="103"/>
        <v>-</v>
      </c>
      <c r="CG137" s="33" t="str">
        <f t="shared" si="104"/>
        <v>37-38</v>
      </c>
      <c r="CH137" s="261" t="str">
        <f t="shared" ca="1" si="105"/>
        <v/>
      </c>
      <c r="CI137" s="202"/>
      <c r="CP137" s="99"/>
      <c r="CQ137" s="99"/>
      <c r="CR137" s="99"/>
      <c r="CS137" s="99"/>
      <c r="CT137" s="99"/>
      <c r="CU137" s="99"/>
      <c r="CV137" s="99"/>
      <c r="CW137" s="99"/>
      <c r="CX137" s="99"/>
      <c r="CY137" s="99"/>
      <c r="CZ137" s="99"/>
      <c r="DA137" s="99"/>
      <c r="DB137" s="99"/>
      <c r="DC137" s="99"/>
    </row>
    <row r="138" spans="2:107" ht="13.5" customHeight="1" x14ac:dyDescent="0.2">
      <c r="B138" s="262">
        <v>38</v>
      </c>
      <c r="C138" s="237" t="str">
        <f t="shared" si="71"/>
        <v/>
      </c>
      <c r="D138" s="237" t="str">
        <f t="shared" si="106"/>
        <v>-</v>
      </c>
      <c r="E138" s="290" t="str">
        <f t="shared" si="32"/>
        <v/>
      </c>
      <c r="F138" s="264" t="str">
        <f t="shared" si="33"/>
        <v/>
      </c>
      <c r="G138" s="291" t="str">
        <f t="shared" si="34"/>
        <v/>
      </c>
      <c r="H138" s="240" t="str">
        <f t="shared" si="72"/>
        <v/>
      </c>
      <c r="I138" s="265" t="str">
        <f t="shared" si="73"/>
        <v/>
      </c>
      <c r="J138" s="265" t="str">
        <f t="shared" si="74"/>
        <v/>
      </c>
      <c r="K138" s="240" t="str">
        <f t="shared" si="75"/>
        <v/>
      </c>
      <c r="L138" s="265" t="str">
        <f t="shared" si="76"/>
        <v/>
      </c>
      <c r="M138" s="265" t="str">
        <f t="shared" si="77"/>
        <v/>
      </c>
      <c r="N138" s="240" t="str">
        <f t="shared" si="78"/>
        <v>-</v>
      </c>
      <c r="O138" s="265" t="str">
        <f t="shared" si="79"/>
        <v>-</v>
      </c>
      <c r="P138" s="265" t="str">
        <f t="shared" si="80"/>
        <v>-</v>
      </c>
      <c r="Q138" s="266" t="str">
        <f t="shared" si="81"/>
        <v>-</v>
      </c>
      <c r="R138" s="267" t="str">
        <f t="shared" si="82"/>
        <v>-</v>
      </c>
      <c r="S138" s="268" t="str">
        <f t="shared" si="83"/>
        <v>-</v>
      </c>
      <c r="T138" s="269" t="str">
        <f t="shared" si="84"/>
        <v/>
      </c>
      <c r="U138" s="221">
        <f t="shared" si="85"/>
        <v>38</v>
      </c>
      <c r="V138" s="220" t="str">
        <f t="shared" si="42"/>
        <v>-</v>
      </c>
      <c r="W138" s="221" t="str">
        <f t="shared" si="43"/>
        <v>-</v>
      </c>
      <c r="X138" s="221" t="str">
        <f t="shared" si="86"/>
        <v>-</v>
      </c>
      <c r="Y138" s="221" t="str">
        <f t="shared" si="87"/>
        <v>-</v>
      </c>
      <c r="Z138" s="270">
        <f t="shared" si="44"/>
        <v>0.1</v>
      </c>
      <c r="AA138" s="271" t="str">
        <f>IFERROR(IF(V137=1,AA$100*EXP(-(LN(2)/$D$65+0.04)*X137)*EXP(-(LN(2)/$D$65+0.1)*Y137),IF(V137=2,AA$100*EXP(-(LN(2)/$D$65+0.04)*(VLOOKUP(($F$16-$F$15)-1,U$99:Y137,4,FALSE)))*EXP(-(LN(2)/$D$65+0.1)*(VLOOKUP(($F$16-$F$15)-1,U$99:Y137,5,FALSE)))*EXP(-(LN(2)/$D$65+0.04)*X137)*EXP(-(LN(2)/$D$65+0.1)*Y137),IF(V137=3,AA$100*EXP(-(LN(2)/$D$65+0.04)*(VLOOKUP(($F$16-$F$15)-1,U$99:Y137,4,FALSE)))*EXP(-(LN(2)/$D$65+0.1)*(VLOOKUP(($F$16-$F$15)-1,U$99:Y137,5,FALSE)))*EXP(-(LN(2)/$D$65+0.04)*(VLOOKUP(($F$16-$F$15)*2-1,U$99:Y137,4,FALSE)))*EXP(-(LN(2)/$D$65+0.1)*(VLOOKUP(($F$16-$F$15)*2-1,U$99:Y137,5,FALSE)))*EXP(-(LN(2)/$D$65+0.04)*X137)*EXP(-(LN(2)/$D$65+0.1)*Y137),"-"))),"-")</f>
        <v>-</v>
      </c>
      <c r="AB138" s="271" t="str">
        <f>IFERROR(IF(V138=1,AB$100*EXP(-(LN(2)/$D$65+0.04)*X138)*EXP(-(LN(2)/$D$65+0.1)*Y138),IF(V138=2,AB$100*EXP(-(LN(2)/$D$65+0.04)*(VLOOKUP(($F$16-$F$15)-1,U$100:Y138,4,FALSE)))*EXP(-(LN(2)/$D$65+0.1)*(VLOOKUP(($F$16-$F$15)-1,U$100:Y138,5,FALSE)))*EXP(-(LN(2)/$D$65+0.04)*X138)*EXP(-(LN(2)/$D$65+0.1)*Y138),IF(V138=3,AB$100*EXP(-(LN(2)/$D$65+0.04)*(VLOOKUP(($F$16-$F$15)-1,U$100:Y138,4,FALSE)))*EXP(-(LN(2)/$D$65+0.1)*(VLOOKUP(($F$16-$F$15)-1,U$100:Y138,5,FALSE)))*EXP(-(LN(2)/$D$65+0.04)*(VLOOKUP(($F$16-$F$15)*2-1,U$100:Y138,4,FALSE)))*EXP(-(LN(2)/$D$65+0.1)*(VLOOKUP(($F$16-$F$15)*2-1,U$100:Y138,5,FALSE)))*EXP(-(LN(2)/$D$65+0.04)*X138)*EXP(-(LN(2)/$D$65+0.1)*Y138),"-"))),"-")</f>
        <v>-</v>
      </c>
      <c r="AC138" s="224">
        <f t="shared" si="45"/>
        <v>38</v>
      </c>
      <c r="AD138" s="223" t="str">
        <f t="shared" si="11"/>
        <v>-</v>
      </c>
      <c r="AE138" s="224" t="str">
        <f t="shared" si="46"/>
        <v>-</v>
      </c>
      <c r="AF138" s="224" t="str">
        <f t="shared" si="88"/>
        <v>-</v>
      </c>
      <c r="AG138" s="224" t="str">
        <f t="shared" si="89"/>
        <v>-</v>
      </c>
      <c r="AH138" s="272">
        <f t="shared" si="47"/>
        <v>0.1</v>
      </c>
      <c r="AI138" s="271" t="str">
        <f>IFERROR(IF(AD137=1,AI$100*EXP(-(LN(2)/$D$65+0.04)*AF137)*EXP(-(LN(2)/$D$65+0.1)*AG137),IF(AD137=2,AI$100*EXP(-(LN(2)/$D$65+0.04)*(VLOOKUP(($F$16-$F$15)-1,AC$99:AG137,4,FALSE)))*EXP(-(LN(2)/$D$65+0.1)*(VLOOKUP(($F$16-$F$15)-1,AC$99:AG137,5,FALSE)))*EXP(-(LN(2)/$D$65+0.04)*AF137)*EXP(-(LN(2)/$D$65+0.1)*AG137),IF(AD137=3,AI$100*EXP(-(LN(2)/$D$65+0.04)*(VLOOKUP(($F$16-$F$15)-1,AC$99:AG137,4,FALSE)))*EXP(-(LN(2)/$D$65+0.1)*(VLOOKUP(($F$16-$F$15)-1,AC$99:AG137,5,FALSE)))*EXP(-(LN(2)/$D$65+0.04)*(VLOOKUP(($F$16-$F$15)*2-1,AC$99:AG137,4,FALSE)))*EXP(-(LN(2)/$D$65+0.1)*(VLOOKUP(($F$16-$F$15)*2-1,AC$99:AG137,5,FALSE)))*EXP(-(LN(2)/$D$65+0.04)*AF137)*EXP(-(LN(2)/$D$65+0.1)*AG137),"-"))),"-")</f>
        <v>-</v>
      </c>
      <c r="AJ138" s="271" t="str">
        <f>IFERROR(IF(AD138=1,AJ$100*EXP(-(LN(2)/$D$65+0.04)*AF138)*EXP(-(LN(2)/$D$65+0.1)*AG138),IF(AD138=2,AJ$100*EXP(-(LN(2)/$D$65+0.04)*(VLOOKUP(($F$16-$F$15)-1,AC$100:AG138,4,FALSE)))*EXP(-(LN(2)/$D$65+0.1)*(VLOOKUP(($F$16-$F$15)-1,AC$100:AG138,5,FALSE)))*EXP(-(LN(2)/$D$65+0.04)*AF138)*EXP(-(LN(2)/$D$65+0.1)*AG138),IF(AD138=3,AJ$100*EXP(-(LN(2)/$D$65+0.04)*(VLOOKUP(($F$16-$F$15)-1,AC$100:AG138,4,FALSE)))*EXP(-(LN(2)/$D$65+0.1)*(VLOOKUP(($F$16-$F$15)-1,AC$100:AG138,5,FALSE)))*EXP(-(LN(2)/$D$65+0.04)*(VLOOKUP(($F$16-$F$15)*2-1,AC$100:AG138,4,FALSE)))*EXP(-(LN(2)/$D$65+0.1)*(VLOOKUP(($F$16-$F$15)*2-1,AC$100:AG138,5,FALSE)))*EXP(-(LN(2)/$D$65+0.04)*AF138)*EXP(-(LN(2)/$D$65+0.1)*AG138),"-"))),"-")</f>
        <v>-</v>
      </c>
      <c r="AK138" s="227">
        <f t="shared" si="49"/>
        <v>38</v>
      </c>
      <c r="AL138" s="226" t="str">
        <f t="shared" si="15"/>
        <v>-</v>
      </c>
      <c r="AM138" s="227" t="str">
        <f t="shared" si="50"/>
        <v>-</v>
      </c>
      <c r="AN138" s="227" t="str">
        <f t="shared" si="51"/>
        <v>-</v>
      </c>
      <c r="AO138" s="227" t="str">
        <f t="shared" si="90"/>
        <v>-</v>
      </c>
      <c r="AP138" s="273">
        <f t="shared" si="52"/>
        <v>0.1</v>
      </c>
      <c r="AQ138" s="271" t="str">
        <f>IFERROR(IF(AL137=1,AQ$100*EXP(-(LN(2)/$D$65+0.04)*AN137)*EXP(-(LN(2)/$D$65+0.1)*AO137),IF(AL137=2,AQ$100*EXP(-(LN(2)/$D$65+0.04)*(VLOOKUP(($F$16-$F$15)-1,AK$99:AO137,4,FALSE)))*EXP(-(LN(2)/$D$65+0.1)*(VLOOKUP(($F$16-$F$15)-1,AK$99:AO137,5,FALSE)))*EXP(-(LN(2)/$D$65+0.04)*AN137)*EXP(-(LN(2)/$D$65+0.1)*AO137),IF(AL137=3,AQ$100*EXP(-(LN(2)/$D$65+0.04)*(VLOOKUP(($F$16-$F$15)-1,AK$99:AO137,4,FALSE)))*EXP(-(LN(2)/$D$65+0.1)*(VLOOKUP(($F$16-$F$15)-1,AK$99:AO137,5,FALSE)))*EXP(-(LN(2)/$D$65+0.04)*(VLOOKUP(($F$16-$F$15)*2-1,AK$99:AO137,4,FALSE)))*EXP(-(LN(2)/$D$65+0.1)*(VLOOKUP(($F$16-$F$15)*2-1,AK$99:AO137,5,FALSE)))*EXP(-(LN(2)/$D$65+0.04)*AN137)*EXP(-(LN(2)/$D$65+0.1)*AO137),"-"))),"-")</f>
        <v>-</v>
      </c>
      <c r="AR138" s="271" t="str">
        <f>IFERROR(IF(AL138=1,AR$100*EXP(-(LN(2)/$D$65+0.04)*AN138)*EXP(-(LN(2)/$D$65+0.1)*AO138),IF(AL138=2,AR$100*EXP(-(LN(2)/$D$65+0.04)*(VLOOKUP(($F$16-$F$15)-1,AK$100:AO138,4,FALSE)))*EXP(-(LN(2)/$D$65+0.1)*(VLOOKUP(($F$16-$F$15)-1,AK$100:AO138,5,FALSE)))*EXP(-(LN(2)/$D$65+0.04)*AN138)*EXP(-(LN(2)/$D$65+0.1)*AO138),IF(AL138=3,AR$100*EXP(-(LN(2)/$D$65+0.04)*(VLOOKUP(($F$16-$F$15)-1,AK$100:AO138,4,FALSE)))*EXP(-(LN(2)/$D$65+0.1)*(VLOOKUP(($F$16-$F$15)-1,AK$100:AO138,5,FALSE)))*EXP(-(LN(2)/$D$65+0.04)*(VLOOKUP(($F$16-$F$15)*2-1,AK$100:AO138,4,FALSE)))*EXP(-(LN(2)/$D$65+0.1)*(VLOOKUP(($F$16-$F$15)*2-1,AK$100:AO138,5,FALSE)))*EXP(-(LN(2)/$D$65+0.04)*AN138)*EXP(-(LN(2)/$D$65+0.1)*AO138),"-"))),"-")</f>
        <v>-</v>
      </c>
      <c r="AS138" s="274">
        <f t="shared" si="91"/>
        <v>0</v>
      </c>
      <c r="AT138" s="274">
        <f t="shared" si="92"/>
        <v>0</v>
      </c>
      <c r="AU138" s="274">
        <f t="shared" si="93"/>
        <v>0</v>
      </c>
      <c r="AV138" s="190">
        <f>IF($B138&lt;$F$22,SUM($T$100:$T138),"")</f>
        <v>0</v>
      </c>
      <c r="AW138" s="190" t="str">
        <f t="shared" si="94"/>
        <v>-</v>
      </c>
      <c r="AX138" s="190" t="str">
        <f t="shared" si="56"/>
        <v/>
      </c>
      <c r="AY138"/>
      <c r="AZ138" s="190" t="str">
        <f ca="1">IF(ISNUMBER(OFFSET(AV138,-$F$21,0)),SUM(OFFSET($T$100,$F$21,0):$T138),"")</f>
        <v/>
      </c>
      <c r="BA138" s="190" t="str">
        <f t="shared" ca="1" si="95"/>
        <v/>
      </c>
      <c r="BB138" s="190" t="str">
        <f t="shared" ca="1" si="70"/>
        <v/>
      </c>
      <c r="BC138" s="190"/>
      <c r="BD138" s="190" t="str">
        <f ca="1">IFERROR(IF(AND($B138&gt;=($F$16-$F$15),$B138&lt;$F$22+($F$16-$F$15)),SUM(OFFSET($T$100,($F$16-$F$15),0):$T138),""),"")</f>
        <v/>
      </c>
      <c r="BE138" s="190" t="str">
        <f t="shared" ca="1" si="58"/>
        <v/>
      </c>
      <c r="BF138" s="190" t="str">
        <f t="shared" ca="1" si="59"/>
        <v/>
      </c>
      <c r="BG138"/>
      <c r="BH138" s="190" t="str">
        <f ca="1">IF(ISNUMBER(OFFSET(BD138,-$F$21,0)),SUM(OFFSET($T$100,($F$16-$F$15+$F$21),0):$T138),"")</f>
        <v/>
      </c>
      <c r="BI138" s="190" t="str">
        <f t="shared" ca="1" si="96"/>
        <v/>
      </c>
      <c r="BJ138" s="190" t="str">
        <f t="shared" ca="1" si="60"/>
        <v/>
      </c>
      <c r="BK138" s="190"/>
      <c r="BL138" s="190" t="str">
        <f ca="1">IFERROR(IF(AND($B138&gt;=($F$17-$F$15),$B138&lt;$F$22+($F$17-$F$15)),SUM(OFFSET($T$100,($F$17-$F$15),0):$T138),""),"")</f>
        <v/>
      </c>
      <c r="BM138" s="190" t="str">
        <f t="shared" ca="1" si="97"/>
        <v/>
      </c>
      <c r="BN138" s="190" t="str">
        <f t="shared" ca="1" si="61"/>
        <v/>
      </c>
      <c r="BO138"/>
      <c r="BP138" s="190" t="str">
        <f ca="1">IF(ISNUMBER(OFFSET(BL138,-$F$21,0)),SUM(OFFSET($T$100,($F$17-$F$15+$F$21),0):$T138),"")</f>
        <v/>
      </c>
      <c r="BQ138" s="190" t="str">
        <f t="shared" ca="1" si="98"/>
        <v/>
      </c>
      <c r="BR138" s="190" t="str">
        <f t="shared" ca="1" si="63"/>
        <v/>
      </c>
      <c r="BS138" s="190"/>
      <c r="BT138"/>
      <c r="BU138"/>
      <c r="BV138"/>
      <c r="BY138" s="99"/>
      <c r="BZ138" s="99"/>
      <c r="CA138" s="280" t="str">
        <f t="shared" si="99"/>
        <v/>
      </c>
      <c r="CB138" s="71" t="str">
        <f t="shared" si="100"/>
        <v>-</v>
      </c>
      <c r="CC138" s="33"/>
      <c r="CD138" s="261" t="str">
        <f t="shared" si="101"/>
        <v/>
      </c>
      <c r="CE138" s="280" t="str">
        <f t="shared" si="102"/>
        <v>-</v>
      </c>
      <c r="CF138" s="71" t="str">
        <f t="shared" ca="1" si="103"/>
        <v>-</v>
      </c>
      <c r="CG138" s="33" t="str">
        <f t="shared" si="104"/>
        <v>38-39</v>
      </c>
      <c r="CH138" s="261" t="str">
        <f t="shared" ca="1" si="105"/>
        <v/>
      </c>
      <c r="CI138" s="202"/>
      <c r="CP138" s="99"/>
      <c r="CQ138" s="99"/>
      <c r="CR138" s="99"/>
      <c r="CS138" s="99"/>
      <c r="CT138" s="99"/>
      <c r="CU138" s="99"/>
      <c r="CV138" s="99"/>
      <c r="CW138" s="99"/>
      <c r="CX138" s="99"/>
      <c r="CY138" s="99"/>
      <c r="CZ138" s="99"/>
      <c r="DA138" s="99"/>
      <c r="DB138" s="99"/>
      <c r="DC138" s="99"/>
    </row>
    <row r="139" spans="2:107" ht="13.5" customHeight="1" x14ac:dyDescent="0.2">
      <c r="B139" s="262">
        <v>39</v>
      </c>
      <c r="C139" s="237" t="str">
        <f t="shared" si="71"/>
        <v/>
      </c>
      <c r="D139" s="237" t="str">
        <f t="shared" si="106"/>
        <v>-</v>
      </c>
      <c r="E139" s="290" t="str">
        <f t="shared" si="32"/>
        <v/>
      </c>
      <c r="F139" s="264" t="str">
        <f t="shared" si="33"/>
        <v/>
      </c>
      <c r="G139" s="291" t="str">
        <f t="shared" si="34"/>
        <v/>
      </c>
      <c r="H139" s="240" t="str">
        <f t="shared" si="72"/>
        <v/>
      </c>
      <c r="I139" s="265" t="str">
        <f t="shared" si="73"/>
        <v/>
      </c>
      <c r="J139" s="265" t="str">
        <f t="shared" si="74"/>
        <v/>
      </c>
      <c r="K139" s="240" t="str">
        <f t="shared" si="75"/>
        <v/>
      </c>
      <c r="L139" s="265" t="str">
        <f t="shared" si="76"/>
        <v/>
      </c>
      <c r="M139" s="265" t="str">
        <f t="shared" si="77"/>
        <v/>
      </c>
      <c r="N139" s="240" t="str">
        <f t="shared" si="78"/>
        <v>-</v>
      </c>
      <c r="O139" s="265" t="str">
        <f t="shared" si="79"/>
        <v>-</v>
      </c>
      <c r="P139" s="265" t="str">
        <f t="shared" si="80"/>
        <v>-</v>
      </c>
      <c r="Q139" s="266" t="str">
        <f t="shared" si="81"/>
        <v>-</v>
      </c>
      <c r="R139" s="267" t="str">
        <f t="shared" si="82"/>
        <v>-</v>
      </c>
      <c r="S139" s="268" t="str">
        <f t="shared" si="83"/>
        <v>-</v>
      </c>
      <c r="T139" s="269" t="str">
        <f t="shared" si="84"/>
        <v/>
      </c>
      <c r="U139" s="221">
        <f t="shared" si="85"/>
        <v>39</v>
      </c>
      <c r="V139" s="220" t="str">
        <f t="shared" si="42"/>
        <v>-</v>
      </c>
      <c r="W139" s="221" t="str">
        <f t="shared" si="43"/>
        <v>-</v>
      </c>
      <c r="X139" s="221" t="str">
        <f t="shared" si="86"/>
        <v>-</v>
      </c>
      <c r="Y139" s="221" t="str">
        <f t="shared" si="87"/>
        <v>-</v>
      </c>
      <c r="Z139" s="270">
        <f t="shared" si="44"/>
        <v>0.1</v>
      </c>
      <c r="AA139" s="271" t="str">
        <f>IFERROR(IF(V138=1,AA$100*EXP(-(LN(2)/$D$65+0.04)*X138)*EXP(-(LN(2)/$D$65+0.1)*Y138),IF(V138=2,AA$100*EXP(-(LN(2)/$D$65+0.04)*(VLOOKUP(($F$16-$F$15)-1,U$99:Y138,4,FALSE)))*EXP(-(LN(2)/$D$65+0.1)*(VLOOKUP(($F$16-$F$15)-1,U$99:Y138,5,FALSE)))*EXP(-(LN(2)/$D$65+0.04)*X138)*EXP(-(LN(2)/$D$65+0.1)*Y138),IF(V138=3,AA$100*EXP(-(LN(2)/$D$65+0.04)*(VLOOKUP(($F$16-$F$15)-1,U$99:Y138,4,FALSE)))*EXP(-(LN(2)/$D$65+0.1)*(VLOOKUP(($F$16-$F$15)-1,U$99:Y138,5,FALSE)))*EXP(-(LN(2)/$D$65+0.04)*(VLOOKUP(($F$16-$F$15)*2-1,U$99:Y138,4,FALSE)))*EXP(-(LN(2)/$D$65+0.1)*(VLOOKUP(($F$16-$F$15)*2-1,U$99:Y138,5,FALSE)))*EXP(-(LN(2)/$D$65+0.04)*X138)*EXP(-(LN(2)/$D$65+0.1)*Y138),"-"))),"-")</f>
        <v>-</v>
      </c>
      <c r="AB139" s="271" t="str">
        <f>IFERROR(IF(V139=1,AB$100*EXP(-(LN(2)/$D$65+0.04)*X139)*EXP(-(LN(2)/$D$65+0.1)*Y139),IF(V139=2,AB$100*EXP(-(LN(2)/$D$65+0.04)*(VLOOKUP(($F$16-$F$15)-1,U$100:Y139,4,FALSE)))*EXP(-(LN(2)/$D$65+0.1)*(VLOOKUP(($F$16-$F$15)-1,U$100:Y139,5,FALSE)))*EXP(-(LN(2)/$D$65+0.04)*X139)*EXP(-(LN(2)/$D$65+0.1)*Y139),IF(V139=3,AB$100*EXP(-(LN(2)/$D$65+0.04)*(VLOOKUP(($F$16-$F$15)-1,U$100:Y139,4,FALSE)))*EXP(-(LN(2)/$D$65+0.1)*(VLOOKUP(($F$16-$F$15)-1,U$100:Y139,5,FALSE)))*EXP(-(LN(2)/$D$65+0.04)*(VLOOKUP(($F$16-$F$15)*2-1,U$100:Y139,4,FALSE)))*EXP(-(LN(2)/$D$65+0.1)*(VLOOKUP(($F$16-$F$15)*2-1,U$100:Y139,5,FALSE)))*EXP(-(LN(2)/$D$65+0.04)*X139)*EXP(-(LN(2)/$D$65+0.1)*Y139),"-"))),"-")</f>
        <v>-</v>
      </c>
      <c r="AC139" s="224">
        <f t="shared" si="45"/>
        <v>39</v>
      </c>
      <c r="AD139" s="223" t="str">
        <f t="shared" si="11"/>
        <v>-</v>
      </c>
      <c r="AE139" s="224" t="str">
        <f t="shared" si="46"/>
        <v>-</v>
      </c>
      <c r="AF139" s="224" t="str">
        <f t="shared" si="88"/>
        <v>-</v>
      </c>
      <c r="AG139" s="224" t="str">
        <f t="shared" si="89"/>
        <v>-</v>
      </c>
      <c r="AH139" s="272">
        <f t="shared" si="47"/>
        <v>0.1</v>
      </c>
      <c r="AI139" s="271" t="str">
        <f>IFERROR(IF(AD138=1,AI$100*EXP(-(LN(2)/$D$65+0.04)*AF138)*EXP(-(LN(2)/$D$65+0.1)*AG138),IF(AD138=2,AI$100*EXP(-(LN(2)/$D$65+0.04)*(VLOOKUP(($F$16-$F$15)-1,AC$99:AG138,4,FALSE)))*EXP(-(LN(2)/$D$65+0.1)*(VLOOKUP(($F$16-$F$15)-1,AC$99:AG138,5,FALSE)))*EXP(-(LN(2)/$D$65+0.04)*AF138)*EXP(-(LN(2)/$D$65+0.1)*AG138),IF(AD138=3,AI$100*EXP(-(LN(2)/$D$65+0.04)*(VLOOKUP(($F$16-$F$15)-1,AC$99:AG138,4,FALSE)))*EXP(-(LN(2)/$D$65+0.1)*(VLOOKUP(($F$16-$F$15)-1,AC$99:AG138,5,FALSE)))*EXP(-(LN(2)/$D$65+0.04)*(VLOOKUP(($F$16-$F$15)*2-1,AC$99:AG138,4,FALSE)))*EXP(-(LN(2)/$D$65+0.1)*(VLOOKUP(($F$16-$F$15)*2-1,AC$99:AG138,5,FALSE)))*EXP(-(LN(2)/$D$65+0.04)*AF138)*EXP(-(LN(2)/$D$65+0.1)*AG138),"-"))),"-")</f>
        <v>-</v>
      </c>
      <c r="AJ139" s="271" t="str">
        <f>IFERROR(IF(AD139=1,AJ$100*EXP(-(LN(2)/$D$65+0.04)*AF139)*EXP(-(LN(2)/$D$65+0.1)*AG139),IF(AD139=2,AJ$100*EXP(-(LN(2)/$D$65+0.04)*(VLOOKUP(($F$16-$F$15)-1,AC$100:AG139,4,FALSE)))*EXP(-(LN(2)/$D$65+0.1)*(VLOOKUP(($F$16-$F$15)-1,AC$100:AG139,5,FALSE)))*EXP(-(LN(2)/$D$65+0.04)*AF139)*EXP(-(LN(2)/$D$65+0.1)*AG139),IF(AD139=3,AJ$100*EXP(-(LN(2)/$D$65+0.04)*(VLOOKUP(($F$16-$F$15)-1,AC$100:AG139,4,FALSE)))*EXP(-(LN(2)/$D$65+0.1)*(VLOOKUP(($F$16-$F$15)-1,AC$100:AG139,5,FALSE)))*EXP(-(LN(2)/$D$65+0.04)*(VLOOKUP(($F$16-$F$15)*2-1,AC$100:AG139,4,FALSE)))*EXP(-(LN(2)/$D$65+0.1)*(VLOOKUP(($F$16-$F$15)*2-1,AC$100:AG139,5,FALSE)))*EXP(-(LN(2)/$D$65+0.04)*AF139)*EXP(-(LN(2)/$D$65+0.1)*AG139),"-"))),"-")</f>
        <v>-</v>
      </c>
      <c r="AK139" s="227">
        <f t="shared" si="49"/>
        <v>39</v>
      </c>
      <c r="AL139" s="226" t="str">
        <f t="shared" si="15"/>
        <v>-</v>
      </c>
      <c r="AM139" s="227" t="str">
        <f t="shared" si="50"/>
        <v>-</v>
      </c>
      <c r="AN139" s="227" t="str">
        <f t="shared" si="51"/>
        <v>-</v>
      </c>
      <c r="AO139" s="227" t="str">
        <f t="shared" si="90"/>
        <v>-</v>
      </c>
      <c r="AP139" s="273">
        <f t="shared" si="52"/>
        <v>0.1</v>
      </c>
      <c r="AQ139" s="271" t="str">
        <f>IFERROR(IF(AL138=1,AQ$100*EXP(-(LN(2)/$D$65+0.04)*AN138)*EXP(-(LN(2)/$D$65+0.1)*AO138),IF(AL138=2,AQ$100*EXP(-(LN(2)/$D$65+0.04)*(VLOOKUP(($F$16-$F$15)-1,AK$99:AO138,4,FALSE)))*EXP(-(LN(2)/$D$65+0.1)*(VLOOKUP(($F$16-$F$15)-1,AK$99:AO138,5,FALSE)))*EXP(-(LN(2)/$D$65+0.04)*AN138)*EXP(-(LN(2)/$D$65+0.1)*AO138),IF(AL138=3,AQ$100*EXP(-(LN(2)/$D$65+0.04)*(VLOOKUP(($F$16-$F$15)-1,AK$99:AO138,4,FALSE)))*EXP(-(LN(2)/$D$65+0.1)*(VLOOKUP(($F$16-$F$15)-1,AK$99:AO138,5,FALSE)))*EXP(-(LN(2)/$D$65+0.04)*(VLOOKUP(($F$16-$F$15)*2-1,AK$99:AO138,4,FALSE)))*EXP(-(LN(2)/$D$65+0.1)*(VLOOKUP(($F$16-$F$15)*2-1,AK$99:AO138,5,FALSE)))*EXP(-(LN(2)/$D$65+0.04)*AN138)*EXP(-(LN(2)/$D$65+0.1)*AO138),"-"))),"-")</f>
        <v>-</v>
      </c>
      <c r="AR139" s="271" t="str">
        <f>IFERROR(IF(AL139=1,AR$100*EXP(-(LN(2)/$D$65+0.04)*AN139)*EXP(-(LN(2)/$D$65+0.1)*AO139),IF(AL139=2,AR$100*EXP(-(LN(2)/$D$65+0.04)*(VLOOKUP(($F$16-$F$15)-1,AK$100:AO139,4,FALSE)))*EXP(-(LN(2)/$D$65+0.1)*(VLOOKUP(($F$16-$F$15)-1,AK$100:AO139,5,FALSE)))*EXP(-(LN(2)/$D$65+0.04)*AN139)*EXP(-(LN(2)/$D$65+0.1)*AO139),IF(AL139=3,AR$100*EXP(-(LN(2)/$D$65+0.04)*(VLOOKUP(($F$16-$F$15)-1,AK$100:AO139,4,FALSE)))*EXP(-(LN(2)/$D$65+0.1)*(VLOOKUP(($F$16-$F$15)-1,AK$100:AO139,5,FALSE)))*EXP(-(LN(2)/$D$65+0.04)*(VLOOKUP(($F$16-$F$15)*2-1,AK$100:AO139,4,FALSE)))*EXP(-(LN(2)/$D$65+0.1)*(VLOOKUP(($F$16-$F$15)*2-1,AK$100:AO139,5,FALSE)))*EXP(-(LN(2)/$D$65+0.04)*AN139)*EXP(-(LN(2)/$D$65+0.1)*AO139),"-"))),"-")</f>
        <v>-</v>
      </c>
      <c r="AS139" s="274">
        <f t="shared" si="91"/>
        <v>0</v>
      </c>
      <c r="AT139" s="274">
        <f t="shared" si="92"/>
        <v>0</v>
      </c>
      <c r="AU139" s="274">
        <f t="shared" si="93"/>
        <v>0</v>
      </c>
      <c r="AV139" s="190">
        <f>IF($B139&lt;$F$22,SUM($T$100:$T139),"")</f>
        <v>0</v>
      </c>
      <c r="AW139" s="190" t="str">
        <f t="shared" si="94"/>
        <v>-</v>
      </c>
      <c r="AX139" s="190" t="str">
        <f t="shared" si="56"/>
        <v/>
      </c>
      <c r="AY139"/>
      <c r="AZ139" s="190" t="str">
        <f ca="1">IF(ISNUMBER(OFFSET(AV139,-$F$21,0)),SUM(OFFSET($T$100,$F$21,0):$T139),"")</f>
        <v/>
      </c>
      <c r="BA139" s="190" t="str">
        <f t="shared" ca="1" si="95"/>
        <v/>
      </c>
      <c r="BB139" s="190" t="str">
        <f t="shared" ca="1" si="70"/>
        <v/>
      </c>
      <c r="BC139" s="190"/>
      <c r="BD139" s="190" t="str">
        <f ca="1">IFERROR(IF(AND($B139&gt;=($F$16-$F$15),$B139&lt;$F$22+($F$16-$F$15)),SUM(OFFSET($T$100,($F$16-$F$15),0):$T139),""),"")</f>
        <v/>
      </c>
      <c r="BE139" s="190" t="str">
        <f t="shared" ca="1" si="58"/>
        <v/>
      </c>
      <c r="BF139" s="190" t="str">
        <f t="shared" ca="1" si="59"/>
        <v/>
      </c>
      <c r="BG139"/>
      <c r="BH139" s="190" t="str">
        <f ca="1">IF(ISNUMBER(OFFSET(BD139,-$F$21,0)),SUM(OFFSET($T$100,($F$16-$F$15+$F$21),0):$T139),"")</f>
        <v/>
      </c>
      <c r="BI139" s="190" t="str">
        <f t="shared" ca="1" si="96"/>
        <v/>
      </c>
      <c r="BJ139" s="190" t="str">
        <f t="shared" ca="1" si="60"/>
        <v/>
      </c>
      <c r="BK139" s="190"/>
      <c r="BL139" s="190" t="str">
        <f ca="1">IFERROR(IF(AND($B139&gt;=($F$17-$F$15),$B139&lt;$F$22+($F$17-$F$15)),SUM(OFFSET($T$100,($F$17-$F$15),0):$T139),""),"")</f>
        <v/>
      </c>
      <c r="BM139" s="190" t="str">
        <f t="shared" ca="1" si="97"/>
        <v/>
      </c>
      <c r="BN139" s="190" t="str">
        <f t="shared" ca="1" si="61"/>
        <v/>
      </c>
      <c r="BO139"/>
      <c r="BP139" s="190" t="str">
        <f ca="1">IF(ISNUMBER(OFFSET(BL139,-$F$21,0)),SUM(OFFSET($T$100,($F$17-$F$15+$F$21),0):$T139),"")</f>
        <v/>
      </c>
      <c r="BQ139" s="190" t="str">
        <f t="shared" ca="1" si="98"/>
        <v/>
      </c>
      <c r="BR139" s="190" t="str">
        <f t="shared" ca="1" si="63"/>
        <v/>
      </c>
      <c r="BS139" s="190"/>
      <c r="BT139"/>
      <c r="BU139"/>
      <c r="BV139"/>
      <c r="BY139" s="99"/>
      <c r="BZ139" s="99"/>
      <c r="CA139" s="280" t="str">
        <f t="shared" si="99"/>
        <v/>
      </c>
      <c r="CB139" s="71" t="str">
        <f t="shared" si="100"/>
        <v>-</v>
      </c>
      <c r="CC139" s="33"/>
      <c r="CD139" s="261" t="str">
        <f t="shared" si="101"/>
        <v/>
      </c>
      <c r="CE139" s="280" t="str">
        <f t="shared" si="102"/>
        <v>-</v>
      </c>
      <c r="CF139" s="71" t="str">
        <f t="shared" ca="1" si="103"/>
        <v>-</v>
      </c>
      <c r="CG139" s="33" t="str">
        <f t="shared" si="104"/>
        <v>39-40</v>
      </c>
      <c r="CH139" s="261" t="str">
        <f t="shared" ca="1" si="105"/>
        <v/>
      </c>
      <c r="CI139" s="202"/>
      <c r="CP139" s="99"/>
      <c r="CQ139" s="99"/>
      <c r="CR139" s="99"/>
      <c r="CS139" s="99"/>
      <c r="CT139" s="99"/>
      <c r="CU139" s="99"/>
      <c r="CV139" s="99"/>
      <c r="CW139" s="99"/>
      <c r="CX139" s="99"/>
      <c r="CY139" s="99"/>
      <c r="CZ139" s="99"/>
      <c r="DA139" s="99"/>
      <c r="DB139" s="99"/>
      <c r="DC139" s="99"/>
    </row>
    <row r="140" spans="2:107" ht="13.5" customHeight="1" x14ac:dyDescent="0.2">
      <c r="B140" s="262">
        <v>40</v>
      </c>
      <c r="C140" s="237" t="str">
        <f t="shared" si="71"/>
        <v/>
      </c>
      <c r="D140" s="237" t="str">
        <f t="shared" si="106"/>
        <v>-</v>
      </c>
      <c r="E140" s="290" t="str">
        <f t="shared" si="32"/>
        <v/>
      </c>
      <c r="F140" s="264" t="str">
        <f t="shared" si="33"/>
        <v/>
      </c>
      <c r="G140" s="291" t="str">
        <f t="shared" si="34"/>
        <v/>
      </c>
      <c r="H140" s="240" t="str">
        <f t="shared" si="72"/>
        <v/>
      </c>
      <c r="I140" s="265" t="str">
        <f t="shared" si="73"/>
        <v/>
      </c>
      <c r="J140" s="265" t="str">
        <f t="shared" si="74"/>
        <v/>
      </c>
      <c r="K140" s="240" t="str">
        <f t="shared" si="75"/>
        <v/>
      </c>
      <c r="L140" s="265" t="str">
        <f t="shared" si="76"/>
        <v/>
      </c>
      <c r="M140" s="265" t="str">
        <f t="shared" si="77"/>
        <v/>
      </c>
      <c r="N140" s="240" t="str">
        <f t="shared" si="78"/>
        <v>-</v>
      </c>
      <c r="O140" s="265" t="str">
        <f t="shared" si="79"/>
        <v>-</v>
      </c>
      <c r="P140" s="265" t="str">
        <f t="shared" si="80"/>
        <v>-</v>
      </c>
      <c r="Q140" s="266" t="str">
        <f t="shared" si="81"/>
        <v>-</v>
      </c>
      <c r="R140" s="267" t="str">
        <f t="shared" si="82"/>
        <v>-</v>
      </c>
      <c r="S140" s="268" t="str">
        <f t="shared" si="83"/>
        <v>-</v>
      </c>
      <c r="T140" s="269" t="str">
        <f t="shared" si="84"/>
        <v/>
      </c>
      <c r="U140" s="221">
        <f t="shared" si="85"/>
        <v>40</v>
      </c>
      <c r="V140" s="220" t="str">
        <f t="shared" si="42"/>
        <v>-</v>
      </c>
      <c r="W140" s="221" t="str">
        <f t="shared" si="43"/>
        <v>-</v>
      </c>
      <c r="X140" s="221" t="str">
        <f t="shared" si="86"/>
        <v>-</v>
      </c>
      <c r="Y140" s="221" t="str">
        <f t="shared" si="87"/>
        <v>-</v>
      </c>
      <c r="Z140" s="270">
        <f t="shared" si="44"/>
        <v>0.1</v>
      </c>
      <c r="AA140" s="271" t="str">
        <f>IFERROR(IF(V139=1,AA$100*EXP(-(LN(2)/$D$65+0.04)*X139)*EXP(-(LN(2)/$D$65+0.1)*Y139),IF(V139=2,AA$100*EXP(-(LN(2)/$D$65+0.04)*(VLOOKUP(($F$16-$F$15)-1,U$99:Y139,4,FALSE)))*EXP(-(LN(2)/$D$65+0.1)*(VLOOKUP(($F$16-$F$15)-1,U$99:Y139,5,FALSE)))*EXP(-(LN(2)/$D$65+0.04)*X139)*EXP(-(LN(2)/$D$65+0.1)*Y139),IF(V139=3,AA$100*EXP(-(LN(2)/$D$65+0.04)*(VLOOKUP(($F$16-$F$15)-1,U$99:Y139,4,FALSE)))*EXP(-(LN(2)/$D$65+0.1)*(VLOOKUP(($F$16-$F$15)-1,U$99:Y139,5,FALSE)))*EXP(-(LN(2)/$D$65+0.04)*(VLOOKUP(($F$16-$F$15)*2-1,U$99:Y139,4,FALSE)))*EXP(-(LN(2)/$D$65+0.1)*(VLOOKUP(($F$16-$F$15)*2-1,U$99:Y139,5,FALSE)))*EXP(-(LN(2)/$D$65+0.04)*X139)*EXP(-(LN(2)/$D$65+0.1)*Y139),"-"))),"-")</f>
        <v>-</v>
      </c>
      <c r="AB140" s="271" t="str">
        <f>IFERROR(IF(V140=1,AB$100*EXP(-(LN(2)/$D$65+0.04)*X140)*EXP(-(LN(2)/$D$65+0.1)*Y140),IF(V140=2,AB$100*EXP(-(LN(2)/$D$65+0.04)*(VLOOKUP(($F$16-$F$15)-1,U$100:Y140,4,FALSE)))*EXP(-(LN(2)/$D$65+0.1)*(VLOOKUP(($F$16-$F$15)-1,U$100:Y140,5,FALSE)))*EXP(-(LN(2)/$D$65+0.04)*X140)*EXP(-(LN(2)/$D$65+0.1)*Y140),IF(V140=3,AB$100*EXP(-(LN(2)/$D$65+0.04)*(VLOOKUP(($F$16-$F$15)-1,U$100:Y140,4,FALSE)))*EXP(-(LN(2)/$D$65+0.1)*(VLOOKUP(($F$16-$F$15)-1,U$100:Y140,5,FALSE)))*EXP(-(LN(2)/$D$65+0.04)*(VLOOKUP(($F$16-$F$15)*2-1,U$100:Y140,4,FALSE)))*EXP(-(LN(2)/$D$65+0.1)*(VLOOKUP(($F$16-$F$15)*2-1,U$100:Y140,5,FALSE)))*EXP(-(LN(2)/$D$65+0.04)*X140)*EXP(-(LN(2)/$D$65+0.1)*Y140),"-"))),"-")</f>
        <v>-</v>
      </c>
      <c r="AC140" s="224">
        <f t="shared" si="45"/>
        <v>40</v>
      </c>
      <c r="AD140" s="223" t="str">
        <f t="shared" si="11"/>
        <v>-</v>
      </c>
      <c r="AE140" s="224" t="str">
        <f t="shared" si="46"/>
        <v>-</v>
      </c>
      <c r="AF140" s="224" t="str">
        <f t="shared" si="88"/>
        <v>-</v>
      </c>
      <c r="AG140" s="224" t="str">
        <f t="shared" si="89"/>
        <v>-</v>
      </c>
      <c r="AH140" s="272">
        <f t="shared" si="47"/>
        <v>0.1</v>
      </c>
      <c r="AI140" s="271" t="str">
        <f>IFERROR(IF(AD139=1,AI$100*EXP(-(LN(2)/$D$65+0.04)*AF139)*EXP(-(LN(2)/$D$65+0.1)*AG139),IF(AD139=2,AI$100*EXP(-(LN(2)/$D$65+0.04)*(VLOOKUP(($F$16-$F$15)-1,AC$99:AG139,4,FALSE)))*EXP(-(LN(2)/$D$65+0.1)*(VLOOKUP(($F$16-$F$15)-1,AC$99:AG139,5,FALSE)))*EXP(-(LN(2)/$D$65+0.04)*AF139)*EXP(-(LN(2)/$D$65+0.1)*AG139),IF(AD139=3,AI$100*EXP(-(LN(2)/$D$65+0.04)*(VLOOKUP(($F$16-$F$15)-1,AC$99:AG139,4,FALSE)))*EXP(-(LN(2)/$D$65+0.1)*(VLOOKUP(($F$16-$F$15)-1,AC$99:AG139,5,FALSE)))*EXP(-(LN(2)/$D$65+0.04)*(VLOOKUP(($F$16-$F$15)*2-1,AC$99:AG139,4,FALSE)))*EXP(-(LN(2)/$D$65+0.1)*(VLOOKUP(($F$16-$F$15)*2-1,AC$99:AG139,5,FALSE)))*EXP(-(LN(2)/$D$65+0.04)*AF139)*EXP(-(LN(2)/$D$65+0.1)*AG139),"-"))),"-")</f>
        <v>-</v>
      </c>
      <c r="AJ140" s="271" t="str">
        <f>IFERROR(IF(AD140=1,AJ$100*EXP(-(LN(2)/$D$65+0.04)*AF140)*EXP(-(LN(2)/$D$65+0.1)*AG140),IF(AD140=2,AJ$100*EXP(-(LN(2)/$D$65+0.04)*(VLOOKUP(($F$16-$F$15)-1,AC$100:AG140,4,FALSE)))*EXP(-(LN(2)/$D$65+0.1)*(VLOOKUP(($F$16-$F$15)-1,AC$100:AG140,5,FALSE)))*EXP(-(LN(2)/$D$65+0.04)*AF140)*EXP(-(LN(2)/$D$65+0.1)*AG140),IF(AD140=3,AJ$100*EXP(-(LN(2)/$D$65+0.04)*(VLOOKUP(($F$16-$F$15)-1,AC$100:AG140,4,FALSE)))*EXP(-(LN(2)/$D$65+0.1)*(VLOOKUP(($F$16-$F$15)-1,AC$100:AG140,5,FALSE)))*EXP(-(LN(2)/$D$65+0.04)*(VLOOKUP(($F$16-$F$15)*2-1,AC$100:AG140,4,FALSE)))*EXP(-(LN(2)/$D$65+0.1)*(VLOOKUP(($F$16-$F$15)*2-1,AC$100:AG140,5,FALSE)))*EXP(-(LN(2)/$D$65+0.04)*AF140)*EXP(-(LN(2)/$D$65+0.1)*AG140),"-"))),"-")</f>
        <v>-</v>
      </c>
      <c r="AK140" s="227">
        <f t="shared" si="49"/>
        <v>40</v>
      </c>
      <c r="AL140" s="226" t="str">
        <f t="shared" si="15"/>
        <v>-</v>
      </c>
      <c r="AM140" s="227" t="str">
        <f t="shared" si="50"/>
        <v>-</v>
      </c>
      <c r="AN140" s="227" t="str">
        <f t="shared" si="51"/>
        <v>-</v>
      </c>
      <c r="AO140" s="227" t="str">
        <f t="shared" si="90"/>
        <v>-</v>
      </c>
      <c r="AP140" s="273">
        <f t="shared" si="52"/>
        <v>0.1</v>
      </c>
      <c r="AQ140" s="271" t="str">
        <f>IFERROR(IF(AL139=1,AQ$100*EXP(-(LN(2)/$D$65+0.04)*AN139)*EXP(-(LN(2)/$D$65+0.1)*AO139),IF(AL139=2,AQ$100*EXP(-(LN(2)/$D$65+0.04)*(VLOOKUP(($F$16-$F$15)-1,AK$99:AO139,4,FALSE)))*EXP(-(LN(2)/$D$65+0.1)*(VLOOKUP(($F$16-$F$15)-1,AK$99:AO139,5,FALSE)))*EXP(-(LN(2)/$D$65+0.04)*AN139)*EXP(-(LN(2)/$D$65+0.1)*AO139),IF(AL139=3,AQ$100*EXP(-(LN(2)/$D$65+0.04)*(VLOOKUP(($F$16-$F$15)-1,AK$99:AO139,4,FALSE)))*EXP(-(LN(2)/$D$65+0.1)*(VLOOKUP(($F$16-$F$15)-1,AK$99:AO139,5,FALSE)))*EXP(-(LN(2)/$D$65+0.04)*(VLOOKUP(($F$16-$F$15)*2-1,AK$99:AO139,4,FALSE)))*EXP(-(LN(2)/$D$65+0.1)*(VLOOKUP(($F$16-$F$15)*2-1,AK$99:AO139,5,FALSE)))*EXP(-(LN(2)/$D$65+0.04)*AN139)*EXP(-(LN(2)/$D$65+0.1)*AO139),"-"))),"-")</f>
        <v>-</v>
      </c>
      <c r="AR140" s="271" t="str">
        <f>IFERROR(IF(AL140=1,AR$100*EXP(-(LN(2)/$D$65+0.04)*AN140)*EXP(-(LN(2)/$D$65+0.1)*AO140),IF(AL140=2,AR$100*EXP(-(LN(2)/$D$65+0.04)*(VLOOKUP(($F$16-$F$15)-1,AK$100:AO140,4,FALSE)))*EXP(-(LN(2)/$D$65+0.1)*(VLOOKUP(($F$16-$F$15)-1,AK$100:AO140,5,FALSE)))*EXP(-(LN(2)/$D$65+0.04)*AN140)*EXP(-(LN(2)/$D$65+0.1)*AO140),IF(AL140=3,AR$100*EXP(-(LN(2)/$D$65+0.04)*(VLOOKUP(($F$16-$F$15)-1,AK$100:AO140,4,FALSE)))*EXP(-(LN(2)/$D$65+0.1)*(VLOOKUP(($F$16-$F$15)-1,AK$100:AO140,5,FALSE)))*EXP(-(LN(2)/$D$65+0.04)*(VLOOKUP(($F$16-$F$15)*2-1,AK$100:AO140,4,FALSE)))*EXP(-(LN(2)/$D$65+0.1)*(VLOOKUP(($F$16-$F$15)*2-1,AK$100:AO140,5,FALSE)))*EXP(-(LN(2)/$D$65+0.04)*AN140)*EXP(-(LN(2)/$D$65+0.1)*AO140),"-"))),"-")</f>
        <v>-</v>
      </c>
      <c r="AS140" s="274">
        <f t="shared" si="91"/>
        <v>0</v>
      </c>
      <c r="AT140" s="274">
        <f t="shared" si="92"/>
        <v>0</v>
      </c>
      <c r="AU140" s="274">
        <f t="shared" si="93"/>
        <v>0</v>
      </c>
      <c r="AV140" s="190">
        <f>IF($B140&lt;$F$22,SUM($T$100:$T140),"")</f>
        <v>0</v>
      </c>
      <c r="AW140" s="190" t="str">
        <f t="shared" si="94"/>
        <v>-</v>
      </c>
      <c r="AX140" s="190" t="str">
        <f t="shared" si="56"/>
        <v/>
      </c>
      <c r="AY140"/>
      <c r="AZ140" s="190" t="str">
        <f ca="1">IF(ISNUMBER(OFFSET(AV140,-$F$21,0)),SUM(OFFSET($T$100,$F$21,0):$T140),"")</f>
        <v/>
      </c>
      <c r="BA140" s="190" t="str">
        <f t="shared" ca="1" si="95"/>
        <v/>
      </c>
      <c r="BB140" s="190" t="str">
        <f t="shared" ca="1" si="70"/>
        <v/>
      </c>
      <c r="BC140" s="190"/>
      <c r="BD140" s="190" t="str">
        <f ca="1">IFERROR(IF(AND($B140&gt;=($F$16-$F$15),$B140&lt;$F$22+($F$16-$F$15)),SUM(OFFSET($T$100,($F$16-$F$15),0):$T140),""),"")</f>
        <v/>
      </c>
      <c r="BE140" s="190" t="str">
        <f t="shared" ca="1" si="58"/>
        <v/>
      </c>
      <c r="BF140" s="190" t="str">
        <f t="shared" ca="1" si="59"/>
        <v/>
      </c>
      <c r="BG140"/>
      <c r="BH140" s="190" t="str">
        <f ca="1">IF(ISNUMBER(OFFSET(BD140,-$F$21,0)),SUM(OFFSET($T$100,($F$16-$F$15+$F$21),0):$T140),"")</f>
        <v/>
      </c>
      <c r="BI140" s="190" t="str">
        <f t="shared" ca="1" si="96"/>
        <v/>
      </c>
      <c r="BJ140" s="190" t="str">
        <f t="shared" ca="1" si="60"/>
        <v/>
      </c>
      <c r="BK140" s="190"/>
      <c r="BL140" s="190" t="str">
        <f ca="1">IFERROR(IF(AND($B140&gt;=($F$17-$F$15),$B140&lt;$F$22+($F$17-$F$15)),SUM(OFFSET($T$100,($F$17-$F$15),0):$T140),""),"")</f>
        <v/>
      </c>
      <c r="BM140" s="190" t="str">
        <f t="shared" ca="1" si="97"/>
        <v/>
      </c>
      <c r="BN140" s="190" t="str">
        <f t="shared" ca="1" si="61"/>
        <v/>
      </c>
      <c r="BO140"/>
      <c r="BP140" s="190" t="str">
        <f ca="1">IF(ISNUMBER(OFFSET(BL140,-$F$21,0)),SUM(OFFSET($T$100,($F$17-$F$15+$F$21),0):$T140),"")</f>
        <v/>
      </c>
      <c r="BQ140" s="190" t="str">
        <f t="shared" ca="1" si="98"/>
        <v/>
      </c>
      <c r="BR140" s="190" t="str">
        <f t="shared" ca="1" si="63"/>
        <v/>
      </c>
      <c r="BS140" s="190"/>
      <c r="BT140"/>
      <c r="BU140"/>
      <c r="BV140"/>
      <c r="BY140" s="99"/>
      <c r="BZ140" s="99"/>
      <c r="CA140" s="280" t="str">
        <f t="shared" si="99"/>
        <v/>
      </c>
      <c r="CB140" s="71" t="str">
        <f t="shared" si="100"/>
        <v>-</v>
      </c>
      <c r="CC140" s="33"/>
      <c r="CD140" s="261" t="str">
        <f t="shared" si="101"/>
        <v/>
      </c>
      <c r="CE140" s="280" t="str">
        <f t="shared" si="102"/>
        <v>-</v>
      </c>
      <c r="CF140" s="71" t="str">
        <f t="shared" ca="1" si="103"/>
        <v>-</v>
      </c>
      <c r="CG140" s="33" t="str">
        <f t="shared" si="104"/>
        <v>40-41</v>
      </c>
      <c r="CH140" s="261" t="str">
        <f t="shared" ca="1" si="105"/>
        <v/>
      </c>
      <c r="CI140" s="202"/>
      <c r="CP140" s="99"/>
      <c r="CQ140" s="99"/>
      <c r="CR140" s="99"/>
      <c r="CS140" s="99"/>
      <c r="CT140" s="99"/>
      <c r="CU140" s="99"/>
      <c r="CV140" s="99"/>
      <c r="CW140" s="99"/>
      <c r="CX140" s="99"/>
      <c r="CY140" s="99"/>
      <c r="CZ140" s="99"/>
      <c r="DA140" s="99"/>
      <c r="DB140" s="99"/>
      <c r="DC140" s="99"/>
    </row>
    <row r="141" spans="2:107" ht="13.5" customHeight="1" x14ac:dyDescent="0.2">
      <c r="B141" s="262">
        <v>41</v>
      </c>
      <c r="C141" s="237" t="str">
        <f t="shared" si="71"/>
        <v/>
      </c>
      <c r="D141" s="237" t="str">
        <f t="shared" si="106"/>
        <v>-</v>
      </c>
      <c r="E141" s="290" t="str">
        <f t="shared" si="32"/>
        <v/>
      </c>
      <c r="F141" s="264" t="str">
        <f t="shared" si="33"/>
        <v/>
      </c>
      <c r="G141" s="291" t="str">
        <f t="shared" si="34"/>
        <v/>
      </c>
      <c r="H141" s="240" t="str">
        <f t="shared" si="72"/>
        <v/>
      </c>
      <c r="I141" s="265" t="str">
        <f t="shared" si="73"/>
        <v/>
      </c>
      <c r="J141" s="265" t="str">
        <f t="shared" si="74"/>
        <v/>
      </c>
      <c r="K141" s="240" t="str">
        <f t="shared" si="75"/>
        <v/>
      </c>
      <c r="L141" s="265" t="str">
        <f t="shared" si="76"/>
        <v/>
      </c>
      <c r="M141" s="265" t="str">
        <f t="shared" si="77"/>
        <v/>
      </c>
      <c r="N141" s="240" t="str">
        <f t="shared" si="78"/>
        <v>-</v>
      </c>
      <c r="O141" s="265" t="str">
        <f t="shared" si="79"/>
        <v>-</v>
      </c>
      <c r="P141" s="265" t="str">
        <f t="shared" si="80"/>
        <v>-</v>
      </c>
      <c r="Q141" s="266" t="str">
        <f t="shared" si="81"/>
        <v>-</v>
      </c>
      <c r="R141" s="267" t="str">
        <f t="shared" si="82"/>
        <v>-</v>
      </c>
      <c r="S141" s="268" t="str">
        <f t="shared" si="83"/>
        <v>-</v>
      </c>
      <c r="T141" s="269" t="str">
        <f t="shared" si="84"/>
        <v/>
      </c>
      <c r="U141" s="221">
        <f t="shared" si="85"/>
        <v>41</v>
      </c>
      <c r="V141" s="220" t="str">
        <f t="shared" si="42"/>
        <v>-</v>
      </c>
      <c r="W141" s="221" t="str">
        <f t="shared" si="43"/>
        <v>-</v>
      </c>
      <c r="X141" s="221" t="str">
        <f t="shared" si="86"/>
        <v>-</v>
      </c>
      <c r="Y141" s="221" t="str">
        <f t="shared" si="87"/>
        <v>-</v>
      </c>
      <c r="Z141" s="270">
        <f t="shared" si="44"/>
        <v>0.1</v>
      </c>
      <c r="AA141" s="271" t="str">
        <f>IFERROR(IF(V140=1,AA$100*EXP(-(LN(2)/$D$65+0.04)*X140)*EXP(-(LN(2)/$D$65+0.1)*Y140),IF(V140=2,AA$100*EXP(-(LN(2)/$D$65+0.04)*(VLOOKUP(($F$16-$F$15)-1,U$99:Y140,4,FALSE)))*EXP(-(LN(2)/$D$65+0.1)*(VLOOKUP(($F$16-$F$15)-1,U$99:Y140,5,FALSE)))*EXP(-(LN(2)/$D$65+0.04)*X140)*EXP(-(LN(2)/$D$65+0.1)*Y140),IF(V140=3,AA$100*EXP(-(LN(2)/$D$65+0.04)*(VLOOKUP(($F$16-$F$15)-1,U$99:Y140,4,FALSE)))*EXP(-(LN(2)/$D$65+0.1)*(VLOOKUP(($F$16-$F$15)-1,U$99:Y140,5,FALSE)))*EXP(-(LN(2)/$D$65+0.04)*(VLOOKUP(($F$16-$F$15)*2-1,U$99:Y140,4,FALSE)))*EXP(-(LN(2)/$D$65+0.1)*(VLOOKUP(($F$16-$F$15)*2-1,U$99:Y140,5,FALSE)))*EXP(-(LN(2)/$D$65+0.04)*X140)*EXP(-(LN(2)/$D$65+0.1)*Y140),"-"))),"-")</f>
        <v>-</v>
      </c>
      <c r="AB141" s="271" t="str">
        <f>IFERROR(IF(V141=1,AB$100*EXP(-(LN(2)/$D$65+0.04)*X141)*EXP(-(LN(2)/$D$65+0.1)*Y141),IF(V141=2,AB$100*EXP(-(LN(2)/$D$65+0.04)*(VLOOKUP(($F$16-$F$15)-1,U$100:Y141,4,FALSE)))*EXP(-(LN(2)/$D$65+0.1)*(VLOOKUP(($F$16-$F$15)-1,U$100:Y141,5,FALSE)))*EXP(-(LN(2)/$D$65+0.04)*X141)*EXP(-(LN(2)/$D$65+0.1)*Y141),IF(V141=3,AB$100*EXP(-(LN(2)/$D$65+0.04)*(VLOOKUP(($F$16-$F$15)-1,U$100:Y141,4,FALSE)))*EXP(-(LN(2)/$D$65+0.1)*(VLOOKUP(($F$16-$F$15)-1,U$100:Y141,5,FALSE)))*EXP(-(LN(2)/$D$65+0.04)*(VLOOKUP(($F$16-$F$15)*2-1,U$100:Y141,4,FALSE)))*EXP(-(LN(2)/$D$65+0.1)*(VLOOKUP(($F$16-$F$15)*2-1,U$100:Y141,5,FALSE)))*EXP(-(LN(2)/$D$65+0.04)*X141)*EXP(-(LN(2)/$D$65+0.1)*Y141),"-"))),"-")</f>
        <v>-</v>
      </c>
      <c r="AC141" s="224">
        <f t="shared" si="45"/>
        <v>41</v>
      </c>
      <c r="AD141" s="223" t="str">
        <f t="shared" si="11"/>
        <v>-</v>
      </c>
      <c r="AE141" s="224" t="str">
        <f t="shared" si="46"/>
        <v>-</v>
      </c>
      <c r="AF141" s="224" t="str">
        <f t="shared" si="88"/>
        <v>-</v>
      </c>
      <c r="AG141" s="224" t="str">
        <f t="shared" si="89"/>
        <v>-</v>
      </c>
      <c r="AH141" s="272">
        <f t="shared" si="47"/>
        <v>0.1</v>
      </c>
      <c r="AI141" s="271" t="str">
        <f>IFERROR(IF(AD140=1,AI$100*EXP(-(LN(2)/$D$65+0.04)*AF140)*EXP(-(LN(2)/$D$65+0.1)*AG140),IF(AD140=2,AI$100*EXP(-(LN(2)/$D$65+0.04)*(VLOOKUP(($F$16-$F$15)-1,AC$99:AG140,4,FALSE)))*EXP(-(LN(2)/$D$65+0.1)*(VLOOKUP(($F$16-$F$15)-1,AC$99:AG140,5,FALSE)))*EXP(-(LN(2)/$D$65+0.04)*AF140)*EXP(-(LN(2)/$D$65+0.1)*AG140),IF(AD140=3,AI$100*EXP(-(LN(2)/$D$65+0.04)*(VLOOKUP(($F$16-$F$15)-1,AC$99:AG140,4,FALSE)))*EXP(-(LN(2)/$D$65+0.1)*(VLOOKUP(($F$16-$F$15)-1,AC$99:AG140,5,FALSE)))*EXP(-(LN(2)/$D$65+0.04)*(VLOOKUP(($F$16-$F$15)*2-1,AC$99:AG140,4,FALSE)))*EXP(-(LN(2)/$D$65+0.1)*(VLOOKUP(($F$16-$F$15)*2-1,AC$99:AG140,5,FALSE)))*EXP(-(LN(2)/$D$65+0.04)*AF140)*EXP(-(LN(2)/$D$65+0.1)*AG140),"-"))),"-")</f>
        <v>-</v>
      </c>
      <c r="AJ141" s="271" t="str">
        <f>IFERROR(IF(AD141=1,AJ$100*EXP(-(LN(2)/$D$65+0.04)*AF141)*EXP(-(LN(2)/$D$65+0.1)*AG141),IF(AD141=2,AJ$100*EXP(-(LN(2)/$D$65+0.04)*(VLOOKUP(($F$16-$F$15)-1,AC$100:AG141,4,FALSE)))*EXP(-(LN(2)/$D$65+0.1)*(VLOOKUP(($F$16-$F$15)-1,AC$100:AG141,5,FALSE)))*EXP(-(LN(2)/$D$65+0.04)*AF141)*EXP(-(LN(2)/$D$65+0.1)*AG141),IF(AD141=3,AJ$100*EXP(-(LN(2)/$D$65+0.04)*(VLOOKUP(($F$16-$F$15)-1,AC$100:AG141,4,FALSE)))*EXP(-(LN(2)/$D$65+0.1)*(VLOOKUP(($F$16-$F$15)-1,AC$100:AG141,5,FALSE)))*EXP(-(LN(2)/$D$65+0.04)*(VLOOKUP(($F$16-$F$15)*2-1,AC$100:AG141,4,FALSE)))*EXP(-(LN(2)/$D$65+0.1)*(VLOOKUP(($F$16-$F$15)*2-1,AC$100:AG141,5,FALSE)))*EXP(-(LN(2)/$D$65+0.04)*AF141)*EXP(-(LN(2)/$D$65+0.1)*AG141),"-"))),"-")</f>
        <v>-</v>
      </c>
      <c r="AK141" s="227">
        <f t="shared" si="49"/>
        <v>41</v>
      </c>
      <c r="AL141" s="226" t="str">
        <f t="shared" si="15"/>
        <v>-</v>
      </c>
      <c r="AM141" s="227" t="str">
        <f t="shared" si="50"/>
        <v>-</v>
      </c>
      <c r="AN141" s="227" t="str">
        <f t="shared" si="51"/>
        <v>-</v>
      </c>
      <c r="AO141" s="227" t="str">
        <f t="shared" si="90"/>
        <v>-</v>
      </c>
      <c r="AP141" s="273">
        <f t="shared" si="52"/>
        <v>0.1</v>
      </c>
      <c r="AQ141" s="271" t="str">
        <f>IFERROR(IF(AL140=1,AQ$100*EXP(-(LN(2)/$D$65+0.04)*AN140)*EXP(-(LN(2)/$D$65+0.1)*AO140),IF(AL140=2,AQ$100*EXP(-(LN(2)/$D$65+0.04)*(VLOOKUP(($F$16-$F$15)-1,AK$99:AO140,4,FALSE)))*EXP(-(LN(2)/$D$65+0.1)*(VLOOKUP(($F$16-$F$15)-1,AK$99:AO140,5,FALSE)))*EXP(-(LN(2)/$D$65+0.04)*AN140)*EXP(-(LN(2)/$D$65+0.1)*AO140),IF(AL140=3,AQ$100*EXP(-(LN(2)/$D$65+0.04)*(VLOOKUP(($F$16-$F$15)-1,AK$99:AO140,4,FALSE)))*EXP(-(LN(2)/$D$65+0.1)*(VLOOKUP(($F$16-$F$15)-1,AK$99:AO140,5,FALSE)))*EXP(-(LN(2)/$D$65+0.04)*(VLOOKUP(($F$16-$F$15)*2-1,AK$99:AO140,4,FALSE)))*EXP(-(LN(2)/$D$65+0.1)*(VLOOKUP(($F$16-$F$15)*2-1,AK$99:AO140,5,FALSE)))*EXP(-(LN(2)/$D$65+0.04)*AN140)*EXP(-(LN(2)/$D$65+0.1)*AO140),"-"))),"-")</f>
        <v>-</v>
      </c>
      <c r="AR141" s="271" t="str">
        <f>IFERROR(IF(AL141=1,AR$100*EXP(-(LN(2)/$D$65+0.04)*AN141)*EXP(-(LN(2)/$D$65+0.1)*AO141),IF(AL141=2,AR$100*EXP(-(LN(2)/$D$65+0.04)*(VLOOKUP(($F$16-$F$15)-1,AK$100:AO141,4,FALSE)))*EXP(-(LN(2)/$D$65+0.1)*(VLOOKUP(($F$16-$F$15)-1,AK$100:AO141,5,FALSE)))*EXP(-(LN(2)/$D$65+0.04)*AN141)*EXP(-(LN(2)/$D$65+0.1)*AO141),IF(AL141=3,AR$100*EXP(-(LN(2)/$D$65+0.04)*(VLOOKUP(($F$16-$F$15)-1,AK$100:AO141,4,FALSE)))*EXP(-(LN(2)/$D$65+0.1)*(VLOOKUP(($F$16-$F$15)-1,AK$100:AO141,5,FALSE)))*EXP(-(LN(2)/$D$65+0.04)*(VLOOKUP(($F$16-$F$15)*2-1,AK$100:AO141,4,FALSE)))*EXP(-(LN(2)/$D$65+0.1)*(VLOOKUP(($F$16-$F$15)*2-1,AK$100:AO141,5,FALSE)))*EXP(-(LN(2)/$D$65+0.04)*AN141)*EXP(-(LN(2)/$D$65+0.1)*AO141),"-"))),"-")</f>
        <v>-</v>
      </c>
      <c r="AS141" s="274">
        <f t="shared" si="91"/>
        <v>0</v>
      </c>
      <c r="AT141" s="274">
        <f t="shared" si="92"/>
        <v>0</v>
      </c>
      <c r="AU141" s="274">
        <f t="shared" si="93"/>
        <v>0</v>
      </c>
      <c r="AV141" s="190">
        <f>IF($B141&lt;$F$22,SUM($T$100:$T141),"")</f>
        <v>0</v>
      </c>
      <c r="AW141" s="190" t="str">
        <f t="shared" si="94"/>
        <v>-</v>
      </c>
      <c r="AX141" s="190" t="str">
        <f t="shared" si="56"/>
        <v/>
      </c>
      <c r="AY141"/>
      <c r="AZ141" s="190" t="str">
        <f ca="1">IF(ISNUMBER(OFFSET(AV141,-$F$21,0)),SUM(OFFSET($T$100,$F$21,0):$T141),"")</f>
        <v/>
      </c>
      <c r="BA141" s="190" t="str">
        <f t="shared" ca="1" si="95"/>
        <v/>
      </c>
      <c r="BB141" s="190" t="str">
        <f t="shared" ca="1" si="70"/>
        <v/>
      </c>
      <c r="BC141" s="190"/>
      <c r="BD141" s="190" t="str">
        <f ca="1">IFERROR(IF(AND($B141&gt;=($F$16-$F$15),$B141&lt;$F$22+($F$16-$F$15)),SUM(OFFSET($T$100,($F$16-$F$15),0):$T141),""),"")</f>
        <v/>
      </c>
      <c r="BE141" s="190" t="str">
        <f t="shared" ca="1" si="58"/>
        <v/>
      </c>
      <c r="BF141" s="190" t="str">
        <f t="shared" ca="1" si="59"/>
        <v/>
      </c>
      <c r="BG141"/>
      <c r="BH141" s="190" t="str">
        <f ca="1">IF(ISNUMBER(OFFSET(BD141,-$F$21,0)),SUM(OFFSET($T$100,($F$16-$F$15+$F$21),0):$T141),"")</f>
        <v/>
      </c>
      <c r="BI141" s="190" t="str">
        <f t="shared" ca="1" si="96"/>
        <v/>
      </c>
      <c r="BJ141" s="190" t="str">
        <f t="shared" ca="1" si="60"/>
        <v/>
      </c>
      <c r="BK141" s="190"/>
      <c r="BL141" s="190" t="str">
        <f ca="1">IFERROR(IF(AND($B141&gt;=($F$17-$F$15),$B141&lt;$F$22+($F$17-$F$15)),SUM(OFFSET($T$100,($F$17-$F$15),0):$T141),""),"")</f>
        <v/>
      </c>
      <c r="BM141" s="190" t="str">
        <f t="shared" ca="1" si="97"/>
        <v/>
      </c>
      <c r="BN141" s="190" t="str">
        <f t="shared" ca="1" si="61"/>
        <v/>
      </c>
      <c r="BO141"/>
      <c r="BP141" s="190" t="str">
        <f ca="1">IF(ISNUMBER(OFFSET(BL141,-$F$21,0)),SUM(OFFSET($T$100,($F$17-$F$15+$F$21),0):$T141),"")</f>
        <v/>
      </c>
      <c r="BQ141" s="190" t="str">
        <f t="shared" ca="1" si="98"/>
        <v/>
      </c>
      <c r="BR141" s="190" t="str">
        <f t="shared" ca="1" si="63"/>
        <v/>
      </c>
      <c r="BS141" s="190"/>
      <c r="BT141"/>
      <c r="BU141"/>
      <c r="BV141"/>
      <c r="BY141" s="99"/>
      <c r="BZ141" s="99"/>
      <c r="CA141" s="280" t="str">
        <f t="shared" si="99"/>
        <v/>
      </c>
      <c r="CB141" s="71" t="str">
        <f t="shared" si="100"/>
        <v>-</v>
      </c>
      <c r="CC141" s="33"/>
      <c r="CD141" s="261" t="str">
        <f t="shared" si="101"/>
        <v/>
      </c>
      <c r="CE141" s="280" t="str">
        <f t="shared" si="102"/>
        <v>-</v>
      </c>
      <c r="CF141" s="71" t="str">
        <f t="shared" ca="1" si="103"/>
        <v>-</v>
      </c>
      <c r="CG141" s="33" t="str">
        <f t="shared" si="104"/>
        <v>41-42</v>
      </c>
      <c r="CH141" s="261" t="str">
        <f t="shared" ca="1" si="105"/>
        <v/>
      </c>
      <c r="CI141" s="202"/>
      <c r="CP141" s="99"/>
      <c r="CQ141" s="99"/>
      <c r="CR141" s="99"/>
      <c r="CS141" s="99"/>
      <c r="CT141" s="99"/>
      <c r="CU141" s="99"/>
      <c r="CV141" s="99"/>
      <c r="CW141" s="99"/>
      <c r="CX141" s="99"/>
      <c r="CY141" s="99"/>
      <c r="CZ141" s="99"/>
      <c r="DA141" s="99"/>
      <c r="DB141" s="99"/>
      <c r="DC141" s="99"/>
    </row>
    <row r="142" spans="2:107" ht="13.5" customHeight="1" x14ac:dyDescent="0.2">
      <c r="B142" s="262">
        <v>42</v>
      </c>
      <c r="C142" s="237" t="str">
        <f t="shared" si="71"/>
        <v/>
      </c>
      <c r="D142" s="237" t="str">
        <f t="shared" si="106"/>
        <v>-</v>
      </c>
      <c r="E142" s="290" t="str">
        <f t="shared" si="32"/>
        <v/>
      </c>
      <c r="F142" s="264" t="str">
        <f t="shared" si="33"/>
        <v/>
      </c>
      <c r="G142" s="291" t="str">
        <f t="shared" si="34"/>
        <v/>
      </c>
      <c r="H142" s="240" t="str">
        <f t="shared" si="72"/>
        <v/>
      </c>
      <c r="I142" s="265" t="str">
        <f t="shared" si="73"/>
        <v/>
      </c>
      <c r="J142" s="265" t="str">
        <f t="shared" si="74"/>
        <v/>
      </c>
      <c r="K142" s="240" t="str">
        <f t="shared" si="75"/>
        <v/>
      </c>
      <c r="L142" s="265" t="str">
        <f t="shared" si="76"/>
        <v/>
      </c>
      <c r="M142" s="265" t="str">
        <f t="shared" si="77"/>
        <v/>
      </c>
      <c r="N142" s="240" t="str">
        <f t="shared" si="78"/>
        <v>-</v>
      </c>
      <c r="O142" s="265" t="str">
        <f t="shared" si="79"/>
        <v>-</v>
      </c>
      <c r="P142" s="265" t="str">
        <f t="shared" si="80"/>
        <v>-</v>
      </c>
      <c r="Q142" s="266" t="str">
        <f t="shared" si="81"/>
        <v>-</v>
      </c>
      <c r="R142" s="267" t="str">
        <f t="shared" si="82"/>
        <v>-</v>
      </c>
      <c r="S142" s="268" t="str">
        <f t="shared" si="83"/>
        <v>-</v>
      </c>
      <c r="T142" s="269" t="str">
        <f t="shared" si="84"/>
        <v/>
      </c>
      <c r="U142" s="221">
        <f t="shared" si="85"/>
        <v>42</v>
      </c>
      <c r="V142" s="220" t="str">
        <f t="shared" si="42"/>
        <v>-</v>
      </c>
      <c r="W142" s="221" t="str">
        <f t="shared" si="43"/>
        <v>-</v>
      </c>
      <c r="X142" s="221" t="str">
        <f t="shared" si="86"/>
        <v>-</v>
      </c>
      <c r="Y142" s="221" t="str">
        <f t="shared" si="87"/>
        <v>-</v>
      </c>
      <c r="Z142" s="270">
        <f t="shared" si="44"/>
        <v>0.1</v>
      </c>
      <c r="AA142" s="271" t="str">
        <f>IFERROR(IF(V141=1,AA$100*EXP(-(LN(2)/$D$65+0.04)*X141)*EXP(-(LN(2)/$D$65+0.1)*Y141),IF(V141=2,AA$100*EXP(-(LN(2)/$D$65+0.04)*(VLOOKUP(($F$16-$F$15)-1,U$99:Y141,4,FALSE)))*EXP(-(LN(2)/$D$65+0.1)*(VLOOKUP(($F$16-$F$15)-1,U$99:Y141,5,FALSE)))*EXP(-(LN(2)/$D$65+0.04)*X141)*EXP(-(LN(2)/$D$65+0.1)*Y141),IF(V141=3,AA$100*EXP(-(LN(2)/$D$65+0.04)*(VLOOKUP(($F$16-$F$15)-1,U$99:Y141,4,FALSE)))*EXP(-(LN(2)/$D$65+0.1)*(VLOOKUP(($F$16-$F$15)-1,U$99:Y141,5,FALSE)))*EXP(-(LN(2)/$D$65+0.04)*(VLOOKUP(($F$16-$F$15)*2-1,U$99:Y141,4,FALSE)))*EXP(-(LN(2)/$D$65+0.1)*(VLOOKUP(($F$16-$F$15)*2-1,U$99:Y141,5,FALSE)))*EXP(-(LN(2)/$D$65+0.04)*X141)*EXP(-(LN(2)/$D$65+0.1)*Y141),"-"))),"-")</f>
        <v>-</v>
      </c>
      <c r="AB142" s="271" t="str">
        <f>IFERROR(IF(V142=1,AB$100*EXP(-(LN(2)/$D$65+0.04)*X142)*EXP(-(LN(2)/$D$65+0.1)*Y142),IF(V142=2,AB$100*EXP(-(LN(2)/$D$65+0.04)*(VLOOKUP(($F$16-$F$15)-1,U$100:Y142,4,FALSE)))*EXP(-(LN(2)/$D$65+0.1)*(VLOOKUP(($F$16-$F$15)-1,U$100:Y142,5,FALSE)))*EXP(-(LN(2)/$D$65+0.04)*X142)*EXP(-(LN(2)/$D$65+0.1)*Y142),IF(V142=3,AB$100*EXP(-(LN(2)/$D$65+0.04)*(VLOOKUP(($F$16-$F$15)-1,U$100:Y142,4,FALSE)))*EXP(-(LN(2)/$D$65+0.1)*(VLOOKUP(($F$16-$F$15)-1,U$100:Y142,5,FALSE)))*EXP(-(LN(2)/$D$65+0.04)*(VLOOKUP(($F$16-$F$15)*2-1,U$100:Y142,4,FALSE)))*EXP(-(LN(2)/$D$65+0.1)*(VLOOKUP(($F$16-$F$15)*2-1,U$100:Y142,5,FALSE)))*EXP(-(LN(2)/$D$65+0.04)*X142)*EXP(-(LN(2)/$D$65+0.1)*Y142),"-"))),"-")</f>
        <v>-</v>
      </c>
      <c r="AC142" s="224">
        <f t="shared" si="45"/>
        <v>42</v>
      </c>
      <c r="AD142" s="223" t="str">
        <f t="shared" si="11"/>
        <v>-</v>
      </c>
      <c r="AE142" s="224" t="str">
        <f t="shared" si="46"/>
        <v>-</v>
      </c>
      <c r="AF142" s="224" t="str">
        <f t="shared" si="88"/>
        <v>-</v>
      </c>
      <c r="AG142" s="224" t="str">
        <f t="shared" si="89"/>
        <v>-</v>
      </c>
      <c r="AH142" s="272">
        <f t="shared" si="47"/>
        <v>0.1</v>
      </c>
      <c r="AI142" s="271" t="str">
        <f>IFERROR(IF(AD141=1,AI$100*EXP(-(LN(2)/$D$65+0.04)*AF141)*EXP(-(LN(2)/$D$65+0.1)*AG141),IF(AD141=2,AI$100*EXP(-(LN(2)/$D$65+0.04)*(VLOOKUP(($F$16-$F$15)-1,AC$99:AG141,4,FALSE)))*EXP(-(LN(2)/$D$65+0.1)*(VLOOKUP(($F$16-$F$15)-1,AC$99:AG141,5,FALSE)))*EXP(-(LN(2)/$D$65+0.04)*AF141)*EXP(-(LN(2)/$D$65+0.1)*AG141),IF(AD141=3,AI$100*EXP(-(LN(2)/$D$65+0.04)*(VLOOKUP(($F$16-$F$15)-1,AC$99:AG141,4,FALSE)))*EXP(-(LN(2)/$D$65+0.1)*(VLOOKUP(($F$16-$F$15)-1,AC$99:AG141,5,FALSE)))*EXP(-(LN(2)/$D$65+0.04)*(VLOOKUP(($F$16-$F$15)*2-1,AC$99:AG141,4,FALSE)))*EXP(-(LN(2)/$D$65+0.1)*(VLOOKUP(($F$16-$F$15)*2-1,AC$99:AG141,5,FALSE)))*EXP(-(LN(2)/$D$65+0.04)*AF141)*EXP(-(LN(2)/$D$65+0.1)*AG141),"-"))),"-")</f>
        <v>-</v>
      </c>
      <c r="AJ142" s="271" t="str">
        <f>IFERROR(IF(AD142=1,AJ$100*EXP(-(LN(2)/$D$65+0.04)*AF142)*EXP(-(LN(2)/$D$65+0.1)*AG142),IF(AD142=2,AJ$100*EXP(-(LN(2)/$D$65+0.04)*(VLOOKUP(($F$16-$F$15)-1,AC$100:AG142,4,FALSE)))*EXP(-(LN(2)/$D$65+0.1)*(VLOOKUP(($F$16-$F$15)-1,AC$100:AG142,5,FALSE)))*EXP(-(LN(2)/$D$65+0.04)*AF142)*EXP(-(LN(2)/$D$65+0.1)*AG142),IF(AD142=3,AJ$100*EXP(-(LN(2)/$D$65+0.04)*(VLOOKUP(($F$16-$F$15)-1,AC$100:AG142,4,FALSE)))*EXP(-(LN(2)/$D$65+0.1)*(VLOOKUP(($F$16-$F$15)-1,AC$100:AG142,5,FALSE)))*EXP(-(LN(2)/$D$65+0.04)*(VLOOKUP(($F$16-$F$15)*2-1,AC$100:AG142,4,FALSE)))*EXP(-(LN(2)/$D$65+0.1)*(VLOOKUP(($F$16-$F$15)*2-1,AC$100:AG142,5,FALSE)))*EXP(-(LN(2)/$D$65+0.04)*AF142)*EXP(-(LN(2)/$D$65+0.1)*AG142),"-"))),"-")</f>
        <v>-</v>
      </c>
      <c r="AK142" s="227">
        <f t="shared" si="49"/>
        <v>42</v>
      </c>
      <c r="AL142" s="226" t="str">
        <f t="shared" si="15"/>
        <v>-</v>
      </c>
      <c r="AM142" s="227" t="str">
        <f t="shared" si="50"/>
        <v>-</v>
      </c>
      <c r="AN142" s="227" t="str">
        <f t="shared" si="51"/>
        <v>-</v>
      </c>
      <c r="AO142" s="227" t="str">
        <f t="shared" si="90"/>
        <v>-</v>
      </c>
      <c r="AP142" s="273">
        <f t="shared" si="52"/>
        <v>0.1</v>
      </c>
      <c r="AQ142" s="271" t="str">
        <f>IFERROR(IF(AL141=1,AQ$100*EXP(-(LN(2)/$D$65+0.04)*AN141)*EXP(-(LN(2)/$D$65+0.1)*AO141),IF(AL141=2,AQ$100*EXP(-(LN(2)/$D$65+0.04)*(VLOOKUP(($F$16-$F$15)-1,AK$99:AO141,4,FALSE)))*EXP(-(LN(2)/$D$65+0.1)*(VLOOKUP(($F$16-$F$15)-1,AK$99:AO141,5,FALSE)))*EXP(-(LN(2)/$D$65+0.04)*AN141)*EXP(-(LN(2)/$D$65+0.1)*AO141),IF(AL141=3,AQ$100*EXP(-(LN(2)/$D$65+0.04)*(VLOOKUP(($F$16-$F$15)-1,AK$99:AO141,4,FALSE)))*EXP(-(LN(2)/$D$65+0.1)*(VLOOKUP(($F$16-$F$15)-1,AK$99:AO141,5,FALSE)))*EXP(-(LN(2)/$D$65+0.04)*(VLOOKUP(($F$16-$F$15)*2-1,AK$99:AO141,4,FALSE)))*EXP(-(LN(2)/$D$65+0.1)*(VLOOKUP(($F$16-$F$15)*2-1,AK$99:AO141,5,FALSE)))*EXP(-(LN(2)/$D$65+0.04)*AN141)*EXP(-(LN(2)/$D$65+0.1)*AO141),"-"))),"-")</f>
        <v>-</v>
      </c>
      <c r="AR142" s="271" t="str">
        <f>IFERROR(IF(AL142=1,AR$100*EXP(-(LN(2)/$D$65+0.04)*AN142)*EXP(-(LN(2)/$D$65+0.1)*AO142),IF(AL142=2,AR$100*EXP(-(LN(2)/$D$65+0.04)*(VLOOKUP(($F$16-$F$15)-1,AK$100:AO142,4,FALSE)))*EXP(-(LN(2)/$D$65+0.1)*(VLOOKUP(($F$16-$F$15)-1,AK$100:AO142,5,FALSE)))*EXP(-(LN(2)/$D$65+0.04)*AN142)*EXP(-(LN(2)/$D$65+0.1)*AO142),IF(AL142=3,AR$100*EXP(-(LN(2)/$D$65+0.04)*(VLOOKUP(($F$16-$F$15)-1,AK$100:AO142,4,FALSE)))*EXP(-(LN(2)/$D$65+0.1)*(VLOOKUP(($F$16-$F$15)-1,AK$100:AO142,5,FALSE)))*EXP(-(LN(2)/$D$65+0.04)*(VLOOKUP(($F$16-$F$15)*2-1,AK$100:AO142,4,FALSE)))*EXP(-(LN(2)/$D$65+0.1)*(VLOOKUP(($F$16-$F$15)*2-1,AK$100:AO142,5,FALSE)))*EXP(-(LN(2)/$D$65+0.04)*AN142)*EXP(-(LN(2)/$D$65+0.1)*AO142),"-"))),"-")</f>
        <v>-</v>
      </c>
      <c r="AS142" s="274">
        <f t="shared" si="91"/>
        <v>0</v>
      </c>
      <c r="AT142" s="274">
        <f t="shared" si="92"/>
        <v>0</v>
      </c>
      <c r="AU142" s="274">
        <f t="shared" si="93"/>
        <v>0</v>
      </c>
      <c r="AV142" s="190">
        <f>IF($B142&lt;$F$22,SUM($T$100:$T142),"")</f>
        <v>0</v>
      </c>
      <c r="AW142" s="190" t="str">
        <f t="shared" si="94"/>
        <v>-</v>
      </c>
      <c r="AX142" s="190" t="str">
        <f t="shared" si="56"/>
        <v/>
      </c>
      <c r="AY142"/>
      <c r="AZ142" s="190" t="str">
        <f ca="1">IF(ISNUMBER(OFFSET(AV142,-$F$21,0)),SUM(OFFSET($T$100,$F$21,0):$T142),"")</f>
        <v/>
      </c>
      <c r="BA142" s="190" t="str">
        <f t="shared" ca="1" si="95"/>
        <v/>
      </c>
      <c r="BB142" s="190" t="str">
        <f t="shared" ca="1" si="70"/>
        <v/>
      </c>
      <c r="BC142" s="190"/>
      <c r="BD142" s="190" t="str">
        <f ca="1">IFERROR(IF(AND($B142&gt;=($F$16-$F$15),$B142&lt;$F$22+($F$16-$F$15)),SUM(OFFSET($T$100,($F$16-$F$15),0):$T142),""),"")</f>
        <v/>
      </c>
      <c r="BE142" s="190" t="str">
        <f t="shared" ca="1" si="58"/>
        <v/>
      </c>
      <c r="BF142" s="190" t="str">
        <f t="shared" ca="1" si="59"/>
        <v/>
      </c>
      <c r="BG142"/>
      <c r="BH142" s="190" t="str">
        <f ca="1">IF(ISNUMBER(OFFSET(BD142,-$F$21,0)),SUM(OFFSET($T$100,($F$16-$F$15+$F$21),0):$T142),"")</f>
        <v/>
      </c>
      <c r="BI142" s="190" t="str">
        <f t="shared" ca="1" si="96"/>
        <v/>
      </c>
      <c r="BJ142" s="190" t="str">
        <f t="shared" ca="1" si="60"/>
        <v/>
      </c>
      <c r="BK142" s="190"/>
      <c r="BL142" s="190" t="str">
        <f ca="1">IFERROR(IF(AND($B142&gt;=($F$17-$F$15),$B142&lt;$F$22+($F$17-$F$15)),SUM(OFFSET($T$100,($F$17-$F$15),0):$T142),""),"")</f>
        <v/>
      </c>
      <c r="BM142" s="190" t="str">
        <f t="shared" ca="1" si="97"/>
        <v/>
      </c>
      <c r="BN142" s="190" t="str">
        <f t="shared" ca="1" si="61"/>
        <v/>
      </c>
      <c r="BO142"/>
      <c r="BP142" s="190" t="str">
        <f ca="1">IF(ISNUMBER(OFFSET(BL142,-$F$21,0)),SUM(OFFSET($T$100,($F$17-$F$15+$F$21),0):$T142),"")</f>
        <v/>
      </c>
      <c r="BQ142" s="190" t="str">
        <f t="shared" ca="1" si="98"/>
        <v/>
      </c>
      <c r="BR142" s="190" t="str">
        <f t="shared" ca="1" si="63"/>
        <v/>
      </c>
      <c r="BS142" s="190"/>
      <c r="BT142"/>
      <c r="BU142"/>
      <c r="BV142"/>
      <c r="BY142" s="99"/>
      <c r="BZ142" s="99"/>
      <c r="CA142" s="280" t="str">
        <f t="shared" si="99"/>
        <v/>
      </c>
      <c r="CB142" s="71" t="str">
        <f t="shared" si="100"/>
        <v>-</v>
      </c>
      <c r="CC142" s="33"/>
      <c r="CD142" s="261" t="str">
        <f t="shared" si="101"/>
        <v/>
      </c>
      <c r="CE142" s="280" t="str">
        <f t="shared" si="102"/>
        <v>-</v>
      </c>
      <c r="CF142" s="71" t="str">
        <f t="shared" ca="1" si="103"/>
        <v>-</v>
      </c>
      <c r="CG142" s="33" t="str">
        <f t="shared" si="104"/>
        <v>42-43</v>
      </c>
      <c r="CH142" s="261" t="str">
        <f t="shared" ca="1" si="105"/>
        <v/>
      </c>
      <c r="CI142" s="202"/>
      <c r="CP142" s="99"/>
      <c r="CQ142" s="99"/>
      <c r="CR142" s="99"/>
      <c r="CS142" s="99"/>
      <c r="CT142" s="99"/>
      <c r="CU142" s="99"/>
      <c r="CV142" s="99"/>
      <c r="CW142" s="99"/>
      <c r="CX142" s="99"/>
      <c r="CY142" s="99"/>
      <c r="CZ142" s="99"/>
      <c r="DA142" s="99"/>
      <c r="DB142" s="99"/>
      <c r="DC142" s="99"/>
    </row>
    <row r="143" spans="2:107" ht="13.5" customHeight="1" x14ac:dyDescent="0.2">
      <c r="B143" s="262">
        <v>43</v>
      </c>
      <c r="C143" s="237" t="str">
        <f t="shared" si="71"/>
        <v/>
      </c>
      <c r="D143" s="237" t="str">
        <f t="shared" si="106"/>
        <v>-</v>
      </c>
      <c r="E143" s="290" t="str">
        <f t="shared" si="32"/>
        <v/>
      </c>
      <c r="F143" s="264" t="str">
        <f t="shared" si="33"/>
        <v/>
      </c>
      <c r="G143" s="291" t="str">
        <f t="shared" si="34"/>
        <v/>
      </c>
      <c r="H143" s="240" t="str">
        <f t="shared" si="72"/>
        <v/>
      </c>
      <c r="I143" s="265" t="str">
        <f t="shared" si="73"/>
        <v/>
      </c>
      <c r="J143" s="265" t="str">
        <f t="shared" si="74"/>
        <v/>
      </c>
      <c r="K143" s="240" t="str">
        <f t="shared" si="75"/>
        <v/>
      </c>
      <c r="L143" s="265" t="str">
        <f t="shared" si="76"/>
        <v/>
      </c>
      <c r="M143" s="265" t="str">
        <f t="shared" si="77"/>
        <v/>
      </c>
      <c r="N143" s="240" t="str">
        <f t="shared" si="78"/>
        <v>-</v>
      </c>
      <c r="O143" s="265" t="str">
        <f t="shared" si="79"/>
        <v>-</v>
      </c>
      <c r="P143" s="265" t="str">
        <f t="shared" si="80"/>
        <v>-</v>
      </c>
      <c r="Q143" s="266" t="str">
        <f t="shared" si="81"/>
        <v>-</v>
      </c>
      <c r="R143" s="267" t="str">
        <f t="shared" si="82"/>
        <v>-</v>
      </c>
      <c r="S143" s="268" t="str">
        <f t="shared" si="83"/>
        <v>-</v>
      </c>
      <c r="T143" s="269" t="str">
        <f t="shared" si="84"/>
        <v/>
      </c>
      <c r="U143" s="221">
        <f t="shared" si="85"/>
        <v>43</v>
      </c>
      <c r="V143" s="220" t="str">
        <f t="shared" si="42"/>
        <v>-</v>
      </c>
      <c r="W143" s="221" t="str">
        <f t="shared" si="43"/>
        <v>-</v>
      </c>
      <c r="X143" s="221" t="str">
        <f t="shared" si="86"/>
        <v>-</v>
      </c>
      <c r="Y143" s="221" t="str">
        <f t="shared" si="87"/>
        <v>-</v>
      </c>
      <c r="Z143" s="270">
        <f t="shared" si="44"/>
        <v>0.1</v>
      </c>
      <c r="AA143" s="271" t="str">
        <f>IFERROR(IF(V142=1,AA$100*EXP(-(LN(2)/$D$65+0.04)*X142)*EXP(-(LN(2)/$D$65+0.1)*Y142),IF(V142=2,AA$100*EXP(-(LN(2)/$D$65+0.04)*(VLOOKUP(($F$16-$F$15)-1,U$99:Y142,4,FALSE)))*EXP(-(LN(2)/$D$65+0.1)*(VLOOKUP(($F$16-$F$15)-1,U$99:Y142,5,FALSE)))*EXP(-(LN(2)/$D$65+0.04)*X142)*EXP(-(LN(2)/$D$65+0.1)*Y142),IF(V142=3,AA$100*EXP(-(LN(2)/$D$65+0.04)*(VLOOKUP(($F$16-$F$15)-1,U$99:Y142,4,FALSE)))*EXP(-(LN(2)/$D$65+0.1)*(VLOOKUP(($F$16-$F$15)-1,U$99:Y142,5,FALSE)))*EXP(-(LN(2)/$D$65+0.04)*(VLOOKUP(($F$16-$F$15)*2-1,U$99:Y142,4,FALSE)))*EXP(-(LN(2)/$D$65+0.1)*(VLOOKUP(($F$16-$F$15)*2-1,U$99:Y142,5,FALSE)))*EXP(-(LN(2)/$D$65+0.04)*X142)*EXP(-(LN(2)/$D$65+0.1)*Y142),"-"))),"-")</f>
        <v>-</v>
      </c>
      <c r="AB143" s="271" t="str">
        <f>IFERROR(IF(V143=1,AB$100*EXP(-(LN(2)/$D$65+0.04)*X143)*EXP(-(LN(2)/$D$65+0.1)*Y143),IF(V143=2,AB$100*EXP(-(LN(2)/$D$65+0.04)*(VLOOKUP(($F$16-$F$15)-1,U$100:Y143,4,FALSE)))*EXP(-(LN(2)/$D$65+0.1)*(VLOOKUP(($F$16-$F$15)-1,U$100:Y143,5,FALSE)))*EXP(-(LN(2)/$D$65+0.04)*X143)*EXP(-(LN(2)/$D$65+0.1)*Y143),IF(V143=3,AB$100*EXP(-(LN(2)/$D$65+0.04)*(VLOOKUP(($F$16-$F$15)-1,U$100:Y143,4,FALSE)))*EXP(-(LN(2)/$D$65+0.1)*(VLOOKUP(($F$16-$F$15)-1,U$100:Y143,5,FALSE)))*EXP(-(LN(2)/$D$65+0.04)*(VLOOKUP(($F$16-$F$15)*2-1,U$100:Y143,4,FALSE)))*EXP(-(LN(2)/$D$65+0.1)*(VLOOKUP(($F$16-$F$15)*2-1,U$100:Y143,5,FALSE)))*EXP(-(LN(2)/$D$65+0.04)*X143)*EXP(-(LN(2)/$D$65+0.1)*Y143),"-"))),"-")</f>
        <v>-</v>
      </c>
      <c r="AC143" s="224">
        <f t="shared" si="45"/>
        <v>43</v>
      </c>
      <c r="AD143" s="223" t="str">
        <f t="shared" si="11"/>
        <v>-</v>
      </c>
      <c r="AE143" s="224" t="str">
        <f t="shared" si="46"/>
        <v>-</v>
      </c>
      <c r="AF143" s="224" t="str">
        <f t="shared" si="88"/>
        <v>-</v>
      </c>
      <c r="AG143" s="224" t="str">
        <f t="shared" si="89"/>
        <v>-</v>
      </c>
      <c r="AH143" s="272">
        <f t="shared" si="47"/>
        <v>0.1</v>
      </c>
      <c r="AI143" s="271" t="str">
        <f>IFERROR(IF(AD142=1,AI$100*EXP(-(LN(2)/$D$65+0.04)*AF142)*EXP(-(LN(2)/$D$65+0.1)*AG142),IF(AD142=2,AI$100*EXP(-(LN(2)/$D$65+0.04)*(VLOOKUP(($F$16-$F$15)-1,AC$99:AG142,4,FALSE)))*EXP(-(LN(2)/$D$65+0.1)*(VLOOKUP(($F$16-$F$15)-1,AC$99:AG142,5,FALSE)))*EXP(-(LN(2)/$D$65+0.04)*AF142)*EXP(-(LN(2)/$D$65+0.1)*AG142),IF(AD142=3,AI$100*EXP(-(LN(2)/$D$65+0.04)*(VLOOKUP(($F$16-$F$15)-1,AC$99:AG142,4,FALSE)))*EXP(-(LN(2)/$D$65+0.1)*(VLOOKUP(($F$16-$F$15)-1,AC$99:AG142,5,FALSE)))*EXP(-(LN(2)/$D$65+0.04)*(VLOOKUP(($F$16-$F$15)*2-1,AC$99:AG142,4,FALSE)))*EXP(-(LN(2)/$D$65+0.1)*(VLOOKUP(($F$16-$F$15)*2-1,AC$99:AG142,5,FALSE)))*EXP(-(LN(2)/$D$65+0.04)*AF142)*EXP(-(LN(2)/$D$65+0.1)*AG142),"-"))),"-")</f>
        <v>-</v>
      </c>
      <c r="AJ143" s="271" t="str">
        <f>IFERROR(IF(AD143=1,AJ$100*EXP(-(LN(2)/$D$65+0.04)*AF143)*EXP(-(LN(2)/$D$65+0.1)*AG143),IF(AD143=2,AJ$100*EXP(-(LN(2)/$D$65+0.04)*(VLOOKUP(($F$16-$F$15)-1,AC$100:AG143,4,FALSE)))*EXP(-(LN(2)/$D$65+0.1)*(VLOOKUP(($F$16-$F$15)-1,AC$100:AG143,5,FALSE)))*EXP(-(LN(2)/$D$65+0.04)*AF143)*EXP(-(LN(2)/$D$65+0.1)*AG143),IF(AD143=3,AJ$100*EXP(-(LN(2)/$D$65+0.04)*(VLOOKUP(($F$16-$F$15)-1,AC$100:AG143,4,FALSE)))*EXP(-(LN(2)/$D$65+0.1)*(VLOOKUP(($F$16-$F$15)-1,AC$100:AG143,5,FALSE)))*EXP(-(LN(2)/$D$65+0.04)*(VLOOKUP(($F$16-$F$15)*2-1,AC$100:AG143,4,FALSE)))*EXP(-(LN(2)/$D$65+0.1)*(VLOOKUP(($F$16-$F$15)*2-1,AC$100:AG143,5,FALSE)))*EXP(-(LN(2)/$D$65+0.04)*AF143)*EXP(-(LN(2)/$D$65+0.1)*AG143),"-"))),"-")</f>
        <v>-</v>
      </c>
      <c r="AK143" s="227">
        <f t="shared" si="49"/>
        <v>43</v>
      </c>
      <c r="AL143" s="226" t="str">
        <f t="shared" si="15"/>
        <v>-</v>
      </c>
      <c r="AM143" s="227" t="str">
        <f t="shared" si="50"/>
        <v>-</v>
      </c>
      <c r="AN143" s="227" t="str">
        <f t="shared" si="51"/>
        <v>-</v>
      </c>
      <c r="AO143" s="227" t="str">
        <f t="shared" si="90"/>
        <v>-</v>
      </c>
      <c r="AP143" s="273">
        <f t="shared" si="52"/>
        <v>0.1</v>
      </c>
      <c r="AQ143" s="271" t="str">
        <f>IFERROR(IF(AL142=1,AQ$100*EXP(-(LN(2)/$D$65+0.04)*AN142)*EXP(-(LN(2)/$D$65+0.1)*AO142),IF(AL142=2,AQ$100*EXP(-(LN(2)/$D$65+0.04)*(VLOOKUP(($F$16-$F$15)-1,AK$99:AO142,4,FALSE)))*EXP(-(LN(2)/$D$65+0.1)*(VLOOKUP(($F$16-$F$15)-1,AK$99:AO142,5,FALSE)))*EXP(-(LN(2)/$D$65+0.04)*AN142)*EXP(-(LN(2)/$D$65+0.1)*AO142),IF(AL142=3,AQ$100*EXP(-(LN(2)/$D$65+0.04)*(VLOOKUP(($F$16-$F$15)-1,AK$99:AO142,4,FALSE)))*EXP(-(LN(2)/$D$65+0.1)*(VLOOKUP(($F$16-$F$15)-1,AK$99:AO142,5,FALSE)))*EXP(-(LN(2)/$D$65+0.04)*(VLOOKUP(($F$16-$F$15)*2-1,AK$99:AO142,4,FALSE)))*EXP(-(LN(2)/$D$65+0.1)*(VLOOKUP(($F$16-$F$15)*2-1,AK$99:AO142,5,FALSE)))*EXP(-(LN(2)/$D$65+0.04)*AN142)*EXP(-(LN(2)/$D$65+0.1)*AO142),"-"))),"-")</f>
        <v>-</v>
      </c>
      <c r="AR143" s="271" t="str">
        <f>IFERROR(IF(AL143=1,AR$100*EXP(-(LN(2)/$D$65+0.04)*AN143)*EXP(-(LN(2)/$D$65+0.1)*AO143),IF(AL143=2,AR$100*EXP(-(LN(2)/$D$65+0.04)*(VLOOKUP(($F$16-$F$15)-1,AK$100:AO143,4,FALSE)))*EXP(-(LN(2)/$D$65+0.1)*(VLOOKUP(($F$16-$F$15)-1,AK$100:AO143,5,FALSE)))*EXP(-(LN(2)/$D$65+0.04)*AN143)*EXP(-(LN(2)/$D$65+0.1)*AO143),IF(AL143=3,AR$100*EXP(-(LN(2)/$D$65+0.04)*(VLOOKUP(($F$16-$F$15)-1,AK$100:AO143,4,FALSE)))*EXP(-(LN(2)/$D$65+0.1)*(VLOOKUP(($F$16-$F$15)-1,AK$100:AO143,5,FALSE)))*EXP(-(LN(2)/$D$65+0.04)*(VLOOKUP(($F$16-$F$15)*2-1,AK$100:AO143,4,FALSE)))*EXP(-(LN(2)/$D$65+0.1)*(VLOOKUP(($F$16-$F$15)*2-1,AK$100:AO143,5,FALSE)))*EXP(-(LN(2)/$D$65+0.04)*AN143)*EXP(-(LN(2)/$D$65+0.1)*AO143),"-"))),"-")</f>
        <v>-</v>
      </c>
      <c r="AS143" s="274">
        <f t="shared" si="91"/>
        <v>0</v>
      </c>
      <c r="AT143" s="274">
        <f t="shared" si="92"/>
        <v>0</v>
      </c>
      <c r="AU143" s="274">
        <f t="shared" si="93"/>
        <v>0</v>
      </c>
      <c r="AV143" s="190">
        <f>IF($B143&lt;$F$22,SUM($T$100:$T143),"")</f>
        <v>0</v>
      </c>
      <c r="AW143" s="190" t="str">
        <f t="shared" si="94"/>
        <v>-</v>
      </c>
      <c r="AX143" s="190" t="str">
        <f t="shared" si="56"/>
        <v/>
      </c>
      <c r="AY143"/>
      <c r="AZ143" s="190" t="str">
        <f ca="1">IF(ISNUMBER(OFFSET(AV143,-$F$21,0)),SUM(OFFSET($T$100,$F$21,0):$T143),"")</f>
        <v/>
      </c>
      <c r="BA143" s="190" t="str">
        <f t="shared" ca="1" si="95"/>
        <v/>
      </c>
      <c r="BB143" s="190" t="str">
        <f t="shared" ca="1" si="70"/>
        <v/>
      </c>
      <c r="BC143" s="190"/>
      <c r="BD143" s="190" t="str">
        <f ca="1">IFERROR(IF(AND($B143&gt;=($F$16-$F$15),$B143&lt;$F$22+($F$16-$F$15)),SUM(OFFSET($T$100,($F$16-$F$15),0):$T143),""),"")</f>
        <v/>
      </c>
      <c r="BE143" s="190" t="str">
        <f t="shared" ca="1" si="58"/>
        <v/>
      </c>
      <c r="BF143" s="190" t="str">
        <f t="shared" ca="1" si="59"/>
        <v/>
      </c>
      <c r="BG143"/>
      <c r="BH143" s="190" t="str">
        <f ca="1">IF(ISNUMBER(OFFSET(BD143,-$F$21,0)),SUM(OFFSET($T$100,($F$16-$F$15+$F$21),0):$T143),"")</f>
        <v/>
      </c>
      <c r="BI143" s="190" t="str">
        <f t="shared" ca="1" si="96"/>
        <v/>
      </c>
      <c r="BJ143" s="190" t="str">
        <f t="shared" ca="1" si="60"/>
        <v/>
      </c>
      <c r="BK143" s="190"/>
      <c r="BL143" s="190" t="str">
        <f ca="1">IFERROR(IF(AND($B143&gt;=($F$17-$F$15),$B143&lt;$F$22+($F$17-$F$15)),SUM(OFFSET($T$100,($F$17-$F$15),0):$T143),""),"")</f>
        <v/>
      </c>
      <c r="BM143" s="190" t="str">
        <f t="shared" ca="1" si="97"/>
        <v/>
      </c>
      <c r="BN143" s="190" t="str">
        <f t="shared" ca="1" si="61"/>
        <v/>
      </c>
      <c r="BO143"/>
      <c r="BP143" s="190" t="str">
        <f ca="1">IF(ISNUMBER(OFFSET(BL143,-$F$21,0)),SUM(OFFSET($T$100,($F$17-$F$15+$F$21),0):$T143),"")</f>
        <v/>
      </c>
      <c r="BQ143" s="190" t="str">
        <f t="shared" ca="1" si="98"/>
        <v/>
      </c>
      <c r="BR143" s="190" t="str">
        <f t="shared" ca="1" si="63"/>
        <v/>
      </c>
      <c r="BS143" s="190"/>
      <c r="BT143"/>
      <c r="BU143"/>
      <c r="BV143"/>
      <c r="BY143" s="99"/>
      <c r="BZ143" s="99"/>
      <c r="CA143" s="280" t="str">
        <f t="shared" si="99"/>
        <v/>
      </c>
      <c r="CB143" s="71" t="str">
        <f t="shared" si="100"/>
        <v>-</v>
      </c>
      <c r="CC143" s="33"/>
      <c r="CD143" s="261" t="str">
        <f t="shared" si="101"/>
        <v/>
      </c>
      <c r="CE143" s="280" t="str">
        <f t="shared" si="102"/>
        <v>-</v>
      </c>
      <c r="CF143" s="71" t="str">
        <f t="shared" ca="1" si="103"/>
        <v>-</v>
      </c>
      <c r="CG143" s="33" t="str">
        <f t="shared" si="104"/>
        <v>43-44</v>
      </c>
      <c r="CH143" s="261" t="str">
        <f t="shared" ca="1" si="105"/>
        <v/>
      </c>
      <c r="CI143" s="202"/>
      <c r="CP143" s="99"/>
      <c r="CQ143" s="99"/>
      <c r="CR143" s="99"/>
      <c r="CS143" s="99"/>
      <c r="CT143" s="99"/>
      <c r="CU143" s="99"/>
      <c r="CV143" s="99"/>
      <c r="CW143" s="99"/>
      <c r="CX143" s="99"/>
      <c r="CY143" s="99"/>
      <c r="CZ143" s="99"/>
      <c r="DA143" s="99"/>
      <c r="DB143" s="99"/>
      <c r="DC143" s="99"/>
    </row>
    <row r="144" spans="2:107" ht="13.5" customHeight="1" x14ac:dyDescent="0.2">
      <c r="B144" s="262">
        <v>44</v>
      </c>
      <c r="C144" s="237" t="str">
        <f t="shared" si="71"/>
        <v/>
      </c>
      <c r="D144" s="237" t="str">
        <f t="shared" si="106"/>
        <v>-</v>
      </c>
      <c r="E144" s="290" t="str">
        <f t="shared" si="32"/>
        <v/>
      </c>
      <c r="F144" s="264" t="str">
        <f t="shared" si="33"/>
        <v/>
      </c>
      <c r="G144" s="291" t="str">
        <f t="shared" si="34"/>
        <v/>
      </c>
      <c r="H144" s="240" t="str">
        <f t="shared" si="72"/>
        <v/>
      </c>
      <c r="I144" s="265" t="str">
        <f t="shared" si="73"/>
        <v/>
      </c>
      <c r="J144" s="265" t="str">
        <f t="shared" si="74"/>
        <v/>
      </c>
      <c r="K144" s="240" t="str">
        <f t="shared" si="75"/>
        <v/>
      </c>
      <c r="L144" s="265" t="str">
        <f t="shared" si="76"/>
        <v/>
      </c>
      <c r="M144" s="265" t="str">
        <f t="shared" si="77"/>
        <v/>
      </c>
      <c r="N144" s="240" t="str">
        <f t="shared" si="78"/>
        <v>-</v>
      </c>
      <c r="O144" s="265" t="str">
        <f t="shared" si="79"/>
        <v>-</v>
      </c>
      <c r="P144" s="265" t="str">
        <f t="shared" si="80"/>
        <v>-</v>
      </c>
      <c r="Q144" s="266" t="str">
        <f t="shared" si="81"/>
        <v>-</v>
      </c>
      <c r="R144" s="267" t="str">
        <f t="shared" si="82"/>
        <v>-</v>
      </c>
      <c r="S144" s="268" t="str">
        <f t="shared" si="83"/>
        <v>-</v>
      </c>
      <c r="T144" s="269" t="str">
        <f t="shared" si="84"/>
        <v/>
      </c>
      <c r="U144" s="221">
        <f t="shared" si="85"/>
        <v>44</v>
      </c>
      <c r="V144" s="220" t="str">
        <f t="shared" si="42"/>
        <v>-</v>
      </c>
      <c r="W144" s="221" t="str">
        <f t="shared" si="43"/>
        <v>-</v>
      </c>
      <c r="X144" s="221" t="str">
        <f t="shared" si="86"/>
        <v>-</v>
      </c>
      <c r="Y144" s="221" t="str">
        <f t="shared" si="87"/>
        <v>-</v>
      </c>
      <c r="Z144" s="270">
        <f t="shared" si="44"/>
        <v>0.1</v>
      </c>
      <c r="AA144" s="271" t="str">
        <f>IFERROR(IF(V143=1,AA$100*EXP(-(LN(2)/$D$65+0.04)*X143)*EXP(-(LN(2)/$D$65+0.1)*Y143),IF(V143=2,AA$100*EXP(-(LN(2)/$D$65+0.04)*(VLOOKUP(($F$16-$F$15)-1,U$99:Y143,4,FALSE)))*EXP(-(LN(2)/$D$65+0.1)*(VLOOKUP(($F$16-$F$15)-1,U$99:Y143,5,FALSE)))*EXP(-(LN(2)/$D$65+0.04)*X143)*EXP(-(LN(2)/$D$65+0.1)*Y143),IF(V143=3,AA$100*EXP(-(LN(2)/$D$65+0.04)*(VLOOKUP(($F$16-$F$15)-1,U$99:Y143,4,FALSE)))*EXP(-(LN(2)/$D$65+0.1)*(VLOOKUP(($F$16-$F$15)-1,U$99:Y143,5,FALSE)))*EXP(-(LN(2)/$D$65+0.04)*(VLOOKUP(($F$16-$F$15)*2-1,U$99:Y143,4,FALSE)))*EXP(-(LN(2)/$D$65+0.1)*(VLOOKUP(($F$16-$F$15)*2-1,U$99:Y143,5,FALSE)))*EXP(-(LN(2)/$D$65+0.04)*X143)*EXP(-(LN(2)/$D$65+0.1)*Y143),"-"))),"-")</f>
        <v>-</v>
      </c>
      <c r="AB144" s="271" t="str">
        <f>IFERROR(IF(V144=1,AB$100*EXP(-(LN(2)/$D$65+0.04)*X144)*EXP(-(LN(2)/$D$65+0.1)*Y144),IF(V144=2,AB$100*EXP(-(LN(2)/$D$65+0.04)*(VLOOKUP(($F$16-$F$15)-1,U$100:Y144,4,FALSE)))*EXP(-(LN(2)/$D$65+0.1)*(VLOOKUP(($F$16-$F$15)-1,U$100:Y144,5,FALSE)))*EXP(-(LN(2)/$D$65+0.04)*X144)*EXP(-(LN(2)/$D$65+0.1)*Y144),IF(V144=3,AB$100*EXP(-(LN(2)/$D$65+0.04)*(VLOOKUP(($F$16-$F$15)-1,U$100:Y144,4,FALSE)))*EXP(-(LN(2)/$D$65+0.1)*(VLOOKUP(($F$16-$F$15)-1,U$100:Y144,5,FALSE)))*EXP(-(LN(2)/$D$65+0.04)*(VLOOKUP(($F$16-$F$15)*2-1,U$100:Y144,4,FALSE)))*EXP(-(LN(2)/$D$65+0.1)*(VLOOKUP(($F$16-$F$15)*2-1,U$100:Y144,5,FALSE)))*EXP(-(LN(2)/$D$65+0.04)*X144)*EXP(-(LN(2)/$D$65+0.1)*Y144),"-"))),"-")</f>
        <v>-</v>
      </c>
      <c r="AC144" s="224">
        <f t="shared" si="45"/>
        <v>44</v>
      </c>
      <c r="AD144" s="223" t="str">
        <f t="shared" si="11"/>
        <v>-</v>
      </c>
      <c r="AE144" s="224" t="str">
        <f t="shared" si="46"/>
        <v>-</v>
      </c>
      <c r="AF144" s="224" t="str">
        <f t="shared" si="88"/>
        <v>-</v>
      </c>
      <c r="AG144" s="224" t="str">
        <f t="shared" si="89"/>
        <v>-</v>
      </c>
      <c r="AH144" s="272">
        <f t="shared" si="47"/>
        <v>0.1</v>
      </c>
      <c r="AI144" s="271" t="str">
        <f>IFERROR(IF(AD143=1,AI$100*EXP(-(LN(2)/$D$65+0.04)*AF143)*EXP(-(LN(2)/$D$65+0.1)*AG143),IF(AD143=2,AI$100*EXP(-(LN(2)/$D$65+0.04)*(VLOOKUP(($F$16-$F$15)-1,AC$99:AG143,4,FALSE)))*EXP(-(LN(2)/$D$65+0.1)*(VLOOKUP(($F$16-$F$15)-1,AC$99:AG143,5,FALSE)))*EXP(-(LN(2)/$D$65+0.04)*AF143)*EXP(-(LN(2)/$D$65+0.1)*AG143),IF(AD143=3,AI$100*EXP(-(LN(2)/$D$65+0.04)*(VLOOKUP(($F$16-$F$15)-1,AC$99:AG143,4,FALSE)))*EXP(-(LN(2)/$D$65+0.1)*(VLOOKUP(($F$16-$F$15)-1,AC$99:AG143,5,FALSE)))*EXP(-(LN(2)/$D$65+0.04)*(VLOOKUP(($F$16-$F$15)*2-1,AC$99:AG143,4,FALSE)))*EXP(-(LN(2)/$D$65+0.1)*(VLOOKUP(($F$16-$F$15)*2-1,AC$99:AG143,5,FALSE)))*EXP(-(LN(2)/$D$65+0.04)*AF143)*EXP(-(LN(2)/$D$65+0.1)*AG143),"-"))),"-")</f>
        <v>-</v>
      </c>
      <c r="AJ144" s="271" t="str">
        <f>IFERROR(IF(AD144=1,AJ$100*EXP(-(LN(2)/$D$65+0.04)*AF144)*EXP(-(LN(2)/$D$65+0.1)*AG144),IF(AD144=2,AJ$100*EXP(-(LN(2)/$D$65+0.04)*(VLOOKUP(($F$16-$F$15)-1,AC$100:AG144,4,FALSE)))*EXP(-(LN(2)/$D$65+0.1)*(VLOOKUP(($F$16-$F$15)-1,AC$100:AG144,5,FALSE)))*EXP(-(LN(2)/$D$65+0.04)*AF144)*EXP(-(LN(2)/$D$65+0.1)*AG144),IF(AD144=3,AJ$100*EXP(-(LN(2)/$D$65+0.04)*(VLOOKUP(($F$16-$F$15)-1,AC$100:AG144,4,FALSE)))*EXP(-(LN(2)/$D$65+0.1)*(VLOOKUP(($F$16-$F$15)-1,AC$100:AG144,5,FALSE)))*EXP(-(LN(2)/$D$65+0.04)*(VLOOKUP(($F$16-$F$15)*2-1,AC$100:AG144,4,FALSE)))*EXP(-(LN(2)/$D$65+0.1)*(VLOOKUP(($F$16-$F$15)*2-1,AC$100:AG144,5,FALSE)))*EXP(-(LN(2)/$D$65+0.04)*AF144)*EXP(-(LN(2)/$D$65+0.1)*AG144),"-"))),"-")</f>
        <v>-</v>
      </c>
      <c r="AK144" s="227">
        <f t="shared" si="49"/>
        <v>44</v>
      </c>
      <c r="AL144" s="226" t="str">
        <f t="shared" si="15"/>
        <v>-</v>
      </c>
      <c r="AM144" s="227" t="str">
        <f t="shared" si="50"/>
        <v>-</v>
      </c>
      <c r="AN144" s="227" t="str">
        <f t="shared" si="51"/>
        <v>-</v>
      </c>
      <c r="AO144" s="227" t="str">
        <f t="shared" si="90"/>
        <v>-</v>
      </c>
      <c r="AP144" s="273">
        <f t="shared" si="52"/>
        <v>0.1</v>
      </c>
      <c r="AQ144" s="271" t="str">
        <f>IFERROR(IF(AL143=1,AQ$100*EXP(-(LN(2)/$D$65+0.04)*AN143)*EXP(-(LN(2)/$D$65+0.1)*AO143),IF(AL143=2,AQ$100*EXP(-(LN(2)/$D$65+0.04)*(VLOOKUP(($F$16-$F$15)-1,AK$99:AO143,4,FALSE)))*EXP(-(LN(2)/$D$65+0.1)*(VLOOKUP(($F$16-$F$15)-1,AK$99:AO143,5,FALSE)))*EXP(-(LN(2)/$D$65+0.04)*AN143)*EXP(-(LN(2)/$D$65+0.1)*AO143),IF(AL143=3,AQ$100*EXP(-(LN(2)/$D$65+0.04)*(VLOOKUP(($F$16-$F$15)-1,AK$99:AO143,4,FALSE)))*EXP(-(LN(2)/$D$65+0.1)*(VLOOKUP(($F$16-$F$15)-1,AK$99:AO143,5,FALSE)))*EXP(-(LN(2)/$D$65+0.04)*(VLOOKUP(($F$16-$F$15)*2-1,AK$99:AO143,4,FALSE)))*EXP(-(LN(2)/$D$65+0.1)*(VLOOKUP(($F$16-$F$15)*2-1,AK$99:AO143,5,FALSE)))*EXP(-(LN(2)/$D$65+0.04)*AN143)*EXP(-(LN(2)/$D$65+0.1)*AO143),"-"))),"-")</f>
        <v>-</v>
      </c>
      <c r="AR144" s="271" t="str">
        <f>IFERROR(IF(AL144=1,AR$100*EXP(-(LN(2)/$D$65+0.04)*AN144)*EXP(-(LN(2)/$D$65+0.1)*AO144),IF(AL144=2,AR$100*EXP(-(LN(2)/$D$65+0.04)*(VLOOKUP(($F$16-$F$15)-1,AK$100:AO144,4,FALSE)))*EXP(-(LN(2)/$D$65+0.1)*(VLOOKUP(($F$16-$F$15)-1,AK$100:AO144,5,FALSE)))*EXP(-(LN(2)/$D$65+0.04)*AN144)*EXP(-(LN(2)/$D$65+0.1)*AO144),IF(AL144=3,AR$100*EXP(-(LN(2)/$D$65+0.04)*(VLOOKUP(($F$16-$F$15)-1,AK$100:AO144,4,FALSE)))*EXP(-(LN(2)/$D$65+0.1)*(VLOOKUP(($F$16-$F$15)-1,AK$100:AO144,5,FALSE)))*EXP(-(LN(2)/$D$65+0.04)*(VLOOKUP(($F$16-$F$15)*2-1,AK$100:AO144,4,FALSE)))*EXP(-(LN(2)/$D$65+0.1)*(VLOOKUP(($F$16-$F$15)*2-1,AK$100:AO144,5,FALSE)))*EXP(-(LN(2)/$D$65+0.04)*AN144)*EXP(-(LN(2)/$D$65+0.1)*AO144),"-"))),"-")</f>
        <v>-</v>
      </c>
      <c r="AS144" s="274">
        <f t="shared" si="91"/>
        <v>0</v>
      </c>
      <c r="AT144" s="274">
        <f t="shared" si="92"/>
        <v>0</v>
      </c>
      <c r="AU144" s="274">
        <f t="shared" si="93"/>
        <v>0</v>
      </c>
      <c r="AV144" s="190">
        <f>IF($B144&lt;$F$22,SUM($T$100:$T144),"")</f>
        <v>0</v>
      </c>
      <c r="AW144" s="190" t="str">
        <f t="shared" si="94"/>
        <v>-</v>
      </c>
      <c r="AX144" s="190" t="str">
        <f t="shared" si="56"/>
        <v/>
      </c>
      <c r="AY144"/>
      <c r="AZ144" s="190" t="str">
        <f ca="1">IF(ISNUMBER(OFFSET(AV144,-$F$21,0)),SUM(OFFSET($T$100,$F$21,0):$T144),"")</f>
        <v/>
      </c>
      <c r="BA144" s="190" t="str">
        <f t="shared" ca="1" si="95"/>
        <v/>
      </c>
      <c r="BB144" s="190" t="str">
        <f t="shared" ca="1" si="70"/>
        <v/>
      </c>
      <c r="BC144" s="190"/>
      <c r="BD144" s="190" t="str">
        <f ca="1">IFERROR(IF(AND($B144&gt;=($F$16-$F$15),$B144&lt;$F$22+($F$16-$F$15)),SUM(OFFSET($T$100,($F$16-$F$15),0):$T144),""),"")</f>
        <v/>
      </c>
      <c r="BE144" s="190" t="str">
        <f t="shared" ca="1" si="58"/>
        <v/>
      </c>
      <c r="BF144" s="190" t="str">
        <f t="shared" ca="1" si="59"/>
        <v/>
      </c>
      <c r="BG144"/>
      <c r="BH144" s="190" t="str">
        <f ca="1">IF(ISNUMBER(OFFSET(BD144,-$F$21,0)),SUM(OFFSET($T$100,($F$16-$F$15+$F$21),0):$T144),"")</f>
        <v/>
      </c>
      <c r="BI144" s="190" t="str">
        <f t="shared" ca="1" si="96"/>
        <v/>
      </c>
      <c r="BJ144" s="190" t="str">
        <f t="shared" ca="1" si="60"/>
        <v/>
      </c>
      <c r="BK144" s="190"/>
      <c r="BL144" s="190" t="str">
        <f ca="1">IFERROR(IF(AND($B144&gt;=($F$17-$F$15),$B144&lt;$F$22+($F$17-$F$15)),SUM(OFFSET($T$100,($F$17-$F$15),0):$T144),""),"")</f>
        <v/>
      </c>
      <c r="BM144" s="190" t="str">
        <f t="shared" ca="1" si="97"/>
        <v/>
      </c>
      <c r="BN144" s="190" t="str">
        <f t="shared" ca="1" si="61"/>
        <v/>
      </c>
      <c r="BO144"/>
      <c r="BP144" s="190" t="str">
        <f ca="1">IF(ISNUMBER(OFFSET(BL144,-$F$21,0)),SUM(OFFSET($T$100,($F$17-$F$15+$F$21),0):$T144),"")</f>
        <v/>
      </c>
      <c r="BQ144" s="190" t="str">
        <f t="shared" ca="1" si="98"/>
        <v/>
      </c>
      <c r="BR144" s="190" t="str">
        <f t="shared" ca="1" si="63"/>
        <v/>
      </c>
      <c r="BS144" s="190"/>
      <c r="BT144"/>
      <c r="BU144"/>
      <c r="BV144"/>
      <c r="BY144" s="99"/>
      <c r="BZ144" s="99"/>
      <c r="CA144" s="280" t="str">
        <f t="shared" si="99"/>
        <v/>
      </c>
      <c r="CB144" s="71" t="str">
        <f t="shared" si="100"/>
        <v>-</v>
      </c>
      <c r="CC144" s="33"/>
      <c r="CD144" s="261" t="str">
        <f t="shared" si="101"/>
        <v/>
      </c>
      <c r="CE144" s="280" t="str">
        <f t="shared" si="102"/>
        <v>-</v>
      </c>
      <c r="CF144" s="71" t="str">
        <f t="shared" ca="1" si="103"/>
        <v>-</v>
      </c>
      <c r="CG144" s="33" t="str">
        <f t="shared" si="104"/>
        <v>44-45</v>
      </c>
      <c r="CH144" s="261" t="str">
        <f t="shared" ca="1" si="105"/>
        <v/>
      </c>
      <c r="CI144" s="202"/>
      <c r="CP144" s="99"/>
      <c r="CQ144" s="99"/>
      <c r="CR144" s="99"/>
      <c r="CS144" s="99"/>
      <c r="CT144" s="99"/>
      <c r="CU144" s="99"/>
      <c r="CV144" s="99"/>
      <c r="CW144" s="99"/>
      <c r="CX144" s="99"/>
      <c r="CY144" s="99"/>
      <c r="CZ144" s="99"/>
      <c r="DA144" s="99"/>
      <c r="DB144" s="99"/>
      <c r="DC144" s="99"/>
    </row>
    <row r="145" spans="2:107" ht="13.5" customHeight="1" x14ac:dyDescent="0.2">
      <c r="B145" s="262">
        <v>45</v>
      </c>
      <c r="C145" s="237" t="str">
        <f t="shared" si="71"/>
        <v/>
      </c>
      <c r="D145" s="237" t="str">
        <f t="shared" si="106"/>
        <v>-</v>
      </c>
      <c r="E145" s="290" t="str">
        <f t="shared" si="32"/>
        <v/>
      </c>
      <c r="F145" s="264" t="str">
        <f t="shared" si="33"/>
        <v/>
      </c>
      <c r="G145" s="291" t="str">
        <f t="shared" si="34"/>
        <v/>
      </c>
      <c r="H145" s="240" t="str">
        <f t="shared" si="72"/>
        <v/>
      </c>
      <c r="I145" s="265" t="str">
        <f t="shared" si="73"/>
        <v/>
      </c>
      <c r="J145" s="265" t="str">
        <f t="shared" si="74"/>
        <v/>
      </c>
      <c r="K145" s="240" t="str">
        <f t="shared" si="75"/>
        <v/>
      </c>
      <c r="L145" s="265" t="str">
        <f t="shared" si="76"/>
        <v/>
      </c>
      <c r="M145" s="265" t="str">
        <f t="shared" si="77"/>
        <v/>
      </c>
      <c r="N145" s="240" t="str">
        <f t="shared" si="78"/>
        <v>-</v>
      </c>
      <c r="O145" s="265" t="str">
        <f t="shared" si="79"/>
        <v>-</v>
      </c>
      <c r="P145" s="265" t="str">
        <f t="shared" si="80"/>
        <v>-</v>
      </c>
      <c r="Q145" s="266" t="str">
        <f t="shared" si="81"/>
        <v>-</v>
      </c>
      <c r="R145" s="267" t="str">
        <f t="shared" si="82"/>
        <v>-</v>
      </c>
      <c r="S145" s="268" t="str">
        <f t="shared" si="83"/>
        <v>-</v>
      </c>
      <c r="T145" s="269" t="str">
        <f t="shared" si="84"/>
        <v/>
      </c>
      <c r="U145" s="221">
        <f t="shared" si="85"/>
        <v>45</v>
      </c>
      <c r="V145" s="220" t="str">
        <f t="shared" si="42"/>
        <v>-</v>
      </c>
      <c r="W145" s="221" t="str">
        <f t="shared" si="43"/>
        <v>-</v>
      </c>
      <c r="X145" s="221" t="str">
        <f t="shared" si="86"/>
        <v>-</v>
      </c>
      <c r="Y145" s="221" t="str">
        <f t="shared" si="87"/>
        <v>-</v>
      </c>
      <c r="Z145" s="270">
        <f t="shared" si="44"/>
        <v>0.1</v>
      </c>
      <c r="AA145" s="271" t="str">
        <f>IFERROR(IF(V144=1,AA$100*EXP(-(LN(2)/$D$65+0.04)*X144)*EXP(-(LN(2)/$D$65+0.1)*Y144),IF(V144=2,AA$100*EXP(-(LN(2)/$D$65+0.04)*(VLOOKUP(($F$16-$F$15)-1,U$99:Y144,4,FALSE)))*EXP(-(LN(2)/$D$65+0.1)*(VLOOKUP(($F$16-$F$15)-1,U$99:Y144,5,FALSE)))*EXP(-(LN(2)/$D$65+0.04)*X144)*EXP(-(LN(2)/$D$65+0.1)*Y144),IF(V144=3,AA$100*EXP(-(LN(2)/$D$65+0.04)*(VLOOKUP(($F$16-$F$15)-1,U$99:Y144,4,FALSE)))*EXP(-(LN(2)/$D$65+0.1)*(VLOOKUP(($F$16-$F$15)-1,U$99:Y144,5,FALSE)))*EXP(-(LN(2)/$D$65+0.04)*(VLOOKUP(($F$16-$F$15)*2-1,U$99:Y144,4,FALSE)))*EXP(-(LN(2)/$D$65+0.1)*(VLOOKUP(($F$16-$F$15)*2-1,U$99:Y144,5,FALSE)))*EXP(-(LN(2)/$D$65+0.04)*X144)*EXP(-(LN(2)/$D$65+0.1)*Y144),"-"))),"-")</f>
        <v>-</v>
      </c>
      <c r="AB145" s="271" t="str">
        <f>IFERROR(IF(V145=1,AB$100*EXP(-(LN(2)/$D$65+0.04)*X145)*EXP(-(LN(2)/$D$65+0.1)*Y145),IF(V145=2,AB$100*EXP(-(LN(2)/$D$65+0.04)*(VLOOKUP(($F$16-$F$15)-1,U$100:Y145,4,FALSE)))*EXP(-(LN(2)/$D$65+0.1)*(VLOOKUP(($F$16-$F$15)-1,U$100:Y145,5,FALSE)))*EXP(-(LN(2)/$D$65+0.04)*X145)*EXP(-(LN(2)/$D$65+0.1)*Y145),IF(V145=3,AB$100*EXP(-(LN(2)/$D$65+0.04)*(VLOOKUP(($F$16-$F$15)-1,U$100:Y145,4,FALSE)))*EXP(-(LN(2)/$D$65+0.1)*(VLOOKUP(($F$16-$F$15)-1,U$100:Y145,5,FALSE)))*EXP(-(LN(2)/$D$65+0.04)*(VLOOKUP(($F$16-$F$15)*2-1,U$100:Y145,4,FALSE)))*EXP(-(LN(2)/$D$65+0.1)*(VLOOKUP(($F$16-$F$15)*2-1,U$100:Y145,5,FALSE)))*EXP(-(LN(2)/$D$65+0.04)*X145)*EXP(-(LN(2)/$D$65+0.1)*Y145),"-"))),"-")</f>
        <v>-</v>
      </c>
      <c r="AC145" s="224">
        <f t="shared" si="45"/>
        <v>45</v>
      </c>
      <c r="AD145" s="223" t="str">
        <f t="shared" si="11"/>
        <v>-</v>
      </c>
      <c r="AE145" s="224" t="str">
        <f t="shared" si="46"/>
        <v>-</v>
      </c>
      <c r="AF145" s="224" t="str">
        <f t="shared" si="88"/>
        <v>-</v>
      </c>
      <c r="AG145" s="224" t="str">
        <f t="shared" si="89"/>
        <v>-</v>
      </c>
      <c r="AH145" s="272">
        <f t="shared" si="47"/>
        <v>0.1</v>
      </c>
      <c r="AI145" s="271" t="str">
        <f>IFERROR(IF(AD144=1,AI$100*EXP(-(LN(2)/$D$65+0.04)*AF144)*EXP(-(LN(2)/$D$65+0.1)*AG144),IF(AD144=2,AI$100*EXP(-(LN(2)/$D$65+0.04)*(VLOOKUP(($F$16-$F$15)-1,AC$99:AG144,4,FALSE)))*EXP(-(LN(2)/$D$65+0.1)*(VLOOKUP(($F$16-$F$15)-1,AC$99:AG144,5,FALSE)))*EXP(-(LN(2)/$D$65+0.04)*AF144)*EXP(-(LN(2)/$D$65+0.1)*AG144),IF(AD144=3,AI$100*EXP(-(LN(2)/$D$65+0.04)*(VLOOKUP(($F$16-$F$15)-1,AC$99:AG144,4,FALSE)))*EXP(-(LN(2)/$D$65+0.1)*(VLOOKUP(($F$16-$F$15)-1,AC$99:AG144,5,FALSE)))*EXP(-(LN(2)/$D$65+0.04)*(VLOOKUP(($F$16-$F$15)*2-1,AC$99:AG144,4,FALSE)))*EXP(-(LN(2)/$D$65+0.1)*(VLOOKUP(($F$16-$F$15)*2-1,AC$99:AG144,5,FALSE)))*EXP(-(LN(2)/$D$65+0.04)*AF144)*EXP(-(LN(2)/$D$65+0.1)*AG144),"-"))),"-")</f>
        <v>-</v>
      </c>
      <c r="AJ145" s="271" t="str">
        <f>IFERROR(IF(AD145=1,AJ$100*EXP(-(LN(2)/$D$65+0.04)*AF145)*EXP(-(LN(2)/$D$65+0.1)*AG145),IF(AD145=2,AJ$100*EXP(-(LN(2)/$D$65+0.04)*(VLOOKUP(($F$16-$F$15)-1,AC$100:AG145,4,FALSE)))*EXP(-(LN(2)/$D$65+0.1)*(VLOOKUP(($F$16-$F$15)-1,AC$100:AG145,5,FALSE)))*EXP(-(LN(2)/$D$65+0.04)*AF145)*EXP(-(LN(2)/$D$65+0.1)*AG145),IF(AD145=3,AJ$100*EXP(-(LN(2)/$D$65+0.04)*(VLOOKUP(($F$16-$F$15)-1,AC$100:AG145,4,FALSE)))*EXP(-(LN(2)/$D$65+0.1)*(VLOOKUP(($F$16-$F$15)-1,AC$100:AG145,5,FALSE)))*EXP(-(LN(2)/$D$65+0.04)*(VLOOKUP(($F$16-$F$15)*2-1,AC$100:AG145,4,FALSE)))*EXP(-(LN(2)/$D$65+0.1)*(VLOOKUP(($F$16-$F$15)*2-1,AC$100:AG145,5,FALSE)))*EXP(-(LN(2)/$D$65+0.04)*AF145)*EXP(-(LN(2)/$D$65+0.1)*AG145),"-"))),"-")</f>
        <v>-</v>
      </c>
      <c r="AK145" s="227">
        <f t="shared" si="49"/>
        <v>45</v>
      </c>
      <c r="AL145" s="226" t="str">
        <f t="shared" si="15"/>
        <v>-</v>
      </c>
      <c r="AM145" s="227" t="str">
        <f t="shared" si="50"/>
        <v>-</v>
      </c>
      <c r="AN145" s="227" t="str">
        <f t="shared" si="51"/>
        <v>-</v>
      </c>
      <c r="AO145" s="227" t="str">
        <f t="shared" si="90"/>
        <v>-</v>
      </c>
      <c r="AP145" s="273">
        <f t="shared" si="52"/>
        <v>0.1</v>
      </c>
      <c r="AQ145" s="271" t="str">
        <f>IFERROR(IF(AL144=1,AQ$100*EXP(-(LN(2)/$D$65+0.04)*AN144)*EXP(-(LN(2)/$D$65+0.1)*AO144),IF(AL144=2,AQ$100*EXP(-(LN(2)/$D$65+0.04)*(VLOOKUP(($F$16-$F$15)-1,AK$99:AO144,4,FALSE)))*EXP(-(LN(2)/$D$65+0.1)*(VLOOKUP(($F$16-$F$15)-1,AK$99:AO144,5,FALSE)))*EXP(-(LN(2)/$D$65+0.04)*AN144)*EXP(-(LN(2)/$D$65+0.1)*AO144),IF(AL144=3,AQ$100*EXP(-(LN(2)/$D$65+0.04)*(VLOOKUP(($F$16-$F$15)-1,AK$99:AO144,4,FALSE)))*EXP(-(LN(2)/$D$65+0.1)*(VLOOKUP(($F$16-$F$15)-1,AK$99:AO144,5,FALSE)))*EXP(-(LN(2)/$D$65+0.04)*(VLOOKUP(($F$16-$F$15)*2-1,AK$99:AO144,4,FALSE)))*EXP(-(LN(2)/$D$65+0.1)*(VLOOKUP(($F$16-$F$15)*2-1,AK$99:AO144,5,FALSE)))*EXP(-(LN(2)/$D$65+0.04)*AN144)*EXP(-(LN(2)/$D$65+0.1)*AO144),"-"))),"-")</f>
        <v>-</v>
      </c>
      <c r="AR145" s="271" t="str">
        <f>IFERROR(IF(AL145=1,AR$100*EXP(-(LN(2)/$D$65+0.04)*AN145)*EXP(-(LN(2)/$D$65+0.1)*AO145),IF(AL145=2,AR$100*EXP(-(LN(2)/$D$65+0.04)*(VLOOKUP(($F$16-$F$15)-1,AK$100:AO145,4,FALSE)))*EXP(-(LN(2)/$D$65+0.1)*(VLOOKUP(($F$16-$F$15)-1,AK$100:AO145,5,FALSE)))*EXP(-(LN(2)/$D$65+0.04)*AN145)*EXP(-(LN(2)/$D$65+0.1)*AO145),IF(AL145=3,AR$100*EXP(-(LN(2)/$D$65+0.04)*(VLOOKUP(($F$16-$F$15)-1,AK$100:AO145,4,FALSE)))*EXP(-(LN(2)/$D$65+0.1)*(VLOOKUP(($F$16-$F$15)-1,AK$100:AO145,5,FALSE)))*EXP(-(LN(2)/$D$65+0.04)*(VLOOKUP(($F$16-$F$15)*2-1,AK$100:AO145,4,FALSE)))*EXP(-(LN(2)/$D$65+0.1)*(VLOOKUP(($F$16-$F$15)*2-1,AK$100:AO145,5,FALSE)))*EXP(-(LN(2)/$D$65+0.04)*AN145)*EXP(-(LN(2)/$D$65+0.1)*AO145),"-"))),"-")</f>
        <v>-</v>
      </c>
      <c r="AS145" s="274">
        <f t="shared" si="91"/>
        <v>0</v>
      </c>
      <c r="AT145" s="274">
        <f t="shared" si="92"/>
        <v>0</v>
      </c>
      <c r="AU145" s="274">
        <f t="shared" si="93"/>
        <v>0</v>
      </c>
      <c r="AV145" s="190">
        <f>IF($B145&lt;$F$22,SUM($T$100:$T145),"")</f>
        <v>0</v>
      </c>
      <c r="AW145" s="190" t="str">
        <f t="shared" si="94"/>
        <v>-</v>
      </c>
      <c r="AX145" s="190" t="str">
        <f t="shared" si="56"/>
        <v/>
      </c>
      <c r="AY145"/>
      <c r="AZ145" s="190" t="str">
        <f ca="1">IF(ISNUMBER(OFFSET(AV145,-$F$21,0)),SUM(OFFSET($T$100,$F$21,0):$T145),"")</f>
        <v/>
      </c>
      <c r="BA145" s="190" t="str">
        <f t="shared" ca="1" si="95"/>
        <v/>
      </c>
      <c r="BB145" s="190" t="str">
        <f t="shared" ca="1" si="70"/>
        <v/>
      </c>
      <c r="BC145" s="190"/>
      <c r="BD145" s="190" t="str">
        <f ca="1">IFERROR(IF(AND($B145&gt;=($F$16-$F$15),$B145&lt;$F$22+($F$16-$F$15)),SUM(OFFSET($T$100,($F$16-$F$15),0):$T145),""),"")</f>
        <v/>
      </c>
      <c r="BE145" s="190" t="str">
        <f t="shared" ca="1" si="58"/>
        <v/>
      </c>
      <c r="BF145" s="190" t="str">
        <f t="shared" ca="1" si="59"/>
        <v/>
      </c>
      <c r="BG145"/>
      <c r="BH145" s="190" t="str">
        <f ca="1">IF(ISNUMBER(OFFSET(BD145,-$F$21,0)),SUM(OFFSET($T$100,($F$16-$F$15+$F$21),0):$T145),"")</f>
        <v/>
      </c>
      <c r="BI145" s="190" t="str">
        <f t="shared" ca="1" si="96"/>
        <v/>
      </c>
      <c r="BJ145" s="190" t="str">
        <f t="shared" ca="1" si="60"/>
        <v/>
      </c>
      <c r="BK145" s="190"/>
      <c r="BL145" s="190" t="str">
        <f ca="1">IFERROR(IF(AND($B145&gt;=($F$17-$F$15),$B145&lt;$F$22+($F$17-$F$15)),SUM(OFFSET($T$100,($F$17-$F$15),0):$T145),""),"")</f>
        <v/>
      </c>
      <c r="BM145" s="190" t="str">
        <f t="shared" ca="1" si="97"/>
        <v/>
      </c>
      <c r="BN145" s="190" t="str">
        <f t="shared" ca="1" si="61"/>
        <v/>
      </c>
      <c r="BO145"/>
      <c r="BP145" s="190" t="str">
        <f ca="1">IF(ISNUMBER(OFFSET(BL145,-$F$21,0)),SUM(OFFSET($T$100,($F$17-$F$15+$F$21),0):$T145),"")</f>
        <v/>
      </c>
      <c r="BQ145" s="190" t="str">
        <f t="shared" ca="1" si="98"/>
        <v/>
      </c>
      <c r="BR145" s="190" t="str">
        <f t="shared" ca="1" si="63"/>
        <v/>
      </c>
      <c r="BS145" s="190"/>
      <c r="BT145"/>
      <c r="BU145"/>
      <c r="BV145"/>
      <c r="BY145" s="99"/>
      <c r="BZ145" s="99"/>
      <c r="CA145" s="280" t="str">
        <f t="shared" si="99"/>
        <v/>
      </c>
      <c r="CB145" s="71" t="str">
        <f t="shared" si="100"/>
        <v>-</v>
      </c>
      <c r="CC145" s="33"/>
      <c r="CD145" s="261" t="str">
        <f t="shared" si="101"/>
        <v/>
      </c>
      <c r="CE145" s="280" t="str">
        <f t="shared" si="102"/>
        <v>-</v>
      </c>
      <c r="CF145" s="71" t="str">
        <f t="shared" ca="1" si="103"/>
        <v>-</v>
      </c>
      <c r="CG145" s="33" t="str">
        <f t="shared" si="104"/>
        <v>45-46</v>
      </c>
      <c r="CH145" s="261" t="str">
        <f t="shared" ca="1" si="105"/>
        <v/>
      </c>
      <c r="CI145" s="202"/>
      <c r="CP145" s="99"/>
      <c r="CQ145" s="99"/>
      <c r="CR145" s="99"/>
      <c r="CS145" s="99"/>
      <c r="CT145" s="99"/>
      <c r="CU145" s="99"/>
      <c r="CV145" s="99"/>
      <c r="CW145" s="99"/>
      <c r="CX145" s="99"/>
      <c r="CY145" s="99"/>
      <c r="CZ145" s="99"/>
      <c r="DA145" s="99"/>
      <c r="DB145" s="99"/>
      <c r="DC145" s="99"/>
    </row>
    <row r="146" spans="2:107" ht="13.5" customHeight="1" x14ac:dyDescent="0.2">
      <c r="B146" s="262">
        <v>46</v>
      </c>
      <c r="C146" s="237" t="str">
        <f t="shared" si="71"/>
        <v/>
      </c>
      <c r="D146" s="237" t="str">
        <f t="shared" si="106"/>
        <v>-</v>
      </c>
      <c r="E146" s="290" t="str">
        <f t="shared" si="32"/>
        <v/>
      </c>
      <c r="F146" s="264" t="str">
        <f t="shared" si="33"/>
        <v/>
      </c>
      <c r="G146" s="291" t="str">
        <f t="shared" si="34"/>
        <v/>
      </c>
      <c r="H146" s="240" t="str">
        <f t="shared" si="72"/>
        <v/>
      </c>
      <c r="I146" s="265" t="str">
        <f t="shared" si="73"/>
        <v/>
      </c>
      <c r="J146" s="265" t="str">
        <f t="shared" si="74"/>
        <v/>
      </c>
      <c r="K146" s="240" t="str">
        <f t="shared" si="75"/>
        <v/>
      </c>
      <c r="L146" s="265" t="str">
        <f t="shared" si="76"/>
        <v/>
      </c>
      <c r="M146" s="265" t="str">
        <f t="shared" si="77"/>
        <v/>
      </c>
      <c r="N146" s="240" t="str">
        <f t="shared" si="78"/>
        <v>-</v>
      </c>
      <c r="O146" s="265" t="str">
        <f t="shared" si="79"/>
        <v>-</v>
      </c>
      <c r="P146" s="265" t="str">
        <f t="shared" si="80"/>
        <v>-</v>
      </c>
      <c r="Q146" s="266" t="str">
        <f t="shared" si="81"/>
        <v>-</v>
      </c>
      <c r="R146" s="267" t="str">
        <f t="shared" si="82"/>
        <v>-</v>
      </c>
      <c r="S146" s="268" t="str">
        <f t="shared" si="83"/>
        <v>-</v>
      </c>
      <c r="T146" s="269" t="str">
        <f t="shared" si="84"/>
        <v/>
      </c>
      <c r="U146" s="221">
        <f t="shared" si="85"/>
        <v>46</v>
      </c>
      <c r="V146" s="220" t="str">
        <f t="shared" si="42"/>
        <v>-</v>
      </c>
      <c r="W146" s="221" t="str">
        <f t="shared" si="43"/>
        <v>-</v>
      </c>
      <c r="X146" s="221" t="str">
        <f t="shared" si="86"/>
        <v>-</v>
      </c>
      <c r="Y146" s="221" t="str">
        <f t="shared" si="87"/>
        <v>-</v>
      </c>
      <c r="Z146" s="270">
        <f t="shared" si="44"/>
        <v>0.1</v>
      </c>
      <c r="AA146" s="271" t="str">
        <f>IFERROR(IF(V145=1,AA$100*EXP(-(LN(2)/$D$65+0.04)*X145)*EXP(-(LN(2)/$D$65+0.1)*Y145),IF(V145=2,AA$100*EXP(-(LN(2)/$D$65+0.04)*(VLOOKUP(($F$16-$F$15)-1,U$99:Y145,4,FALSE)))*EXP(-(LN(2)/$D$65+0.1)*(VLOOKUP(($F$16-$F$15)-1,U$99:Y145,5,FALSE)))*EXP(-(LN(2)/$D$65+0.04)*X145)*EXP(-(LN(2)/$D$65+0.1)*Y145),IF(V145=3,AA$100*EXP(-(LN(2)/$D$65+0.04)*(VLOOKUP(($F$16-$F$15)-1,U$99:Y145,4,FALSE)))*EXP(-(LN(2)/$D$65+0.1)*(VLOOKUP(($F$16-$F$15)-1,U$99:Y145,5,FALSE)))*EXP(-(LN(2)/$D$65+0.04)*(VLOOKUP(($F$16-$F$15)*2-1,U$99:Y145,4,FALSE)))*EXP(-(LN(2)/$D$65+0.1)*(VLOOKUP(($F$16-$F$15)*2-1,U$99:Y145,5,FALSE)))*EXP(-(LN(2)/$D$65+0.04)*X145)*EXP(-(LN(2)/$D$65+0.1)*Y145),"-"))),"-")</f>
        <v>-</v>
      </c>
      <c r="AB146" s="271" t="str">
        <f>IFERROR(IF(V146=1,AB$100*EXP(-(LN(2)/$D$65+0.04)*X146)*EXP(-(LN(2)/$D$65+0.1)*Y146),IF(V146=2,AB$100*EXP(-(LN(2)/$D$65+0.04)*(VLOOKUP(($F$16-$F$15)-1,U$100:Y146,4,FALSE)))*EXP(-(LN(2)/$D$65+0.1)*(VLOOKUP(($F$16-$F$15)-1,U$100:Y146,5,FALSE)))*EXP(-(LN(2)/$D$65+0.04)*X146)*EXP(-(LN(2)/$D$65+0.1)*Y146),IF(V146=3,AB$100*EXP(-(LN(2)/$D$65+0.04)*(VLOOKUP(($F$16-$F$15)-1,U$100:Y146,4,FALSE)))*EXP(-(LN(2)/$D$65+0.1)*(VLOOKUP(($F$16-$F$15)-1,U$100:Y146,5,FALSE)))*EXP(-(LN(2)/$D$65+0.04)*(VLOOKUP(($F$16-$F$15)*2-1,U$100:Y146,4,FALSE)))*EXP(-(LN(2)/$D$65+0.1)*(VLOOKUP(($F$16-$F$15)*2-1,U$100:Y146,5,FALSE)))*EXP(-(LN(2)/$D$65+0.04)*X146)*EXP(-(LN(2)/$D$65+0.1)*Y146),"-"))),"-")</f>
        <v>-</v>
      </c>
      <c r="AC146" s="224">
        <f t="shared" si="45"/>
        <v>46</v>
      </c>
      <c r="AD146" s="223" t="str">
        <f t="shared" si="11"/>
        <v>-</v>
      </c>
      <c r="AE146" s="224" t="str">
        <f t="shared" si="46"/>
        <v>-</v>
      </c>
      <c r="AF146" s="224" t="str">
        <f t="shared" si="88"/>
        <v>-</v>
      </c>
      <c r="AG146" s="224" t="str">
        <f t="shared" si="89"/>
        <v>-</v>
      </c>
      <c r="AH146" s="272">
        <f t="shared" si="47"/>
        <v>0.1</v>
      </c>
      <c r="AI146" s="271" t="str">
        <f>IFERROR(IF(AD145=1,AI$100*EXP(-(LN(2)/$D$65+0.04)*AF145)*EXP(-(LN(2)/$D$65+0.1)*AG145),IF(AD145=2,AI$100*EXP(-(LN(2)/$D$65+0.04)*(VLOOKUP(($F$16-$F$15)-1,AC$99:AG145,4,FALSE)))*EXP(-(LN(2)/$D$65+0.1)*(VLOOKUP(($F$16-$F$15)-1,AC$99:AG145,5,FALSE)))*EXP(-(LN(2)/$D$65+0.04)*AF145)*EXP(-(LN(2)/$D$65+0.1)*AG145),IF(AD145=3,AI$100*EXP(-(LN(2)/$D$65+0.04)*(VLOOKUP(($F$16-$F$15)-1,AC$99:AG145,4,FALSE)))*EXP(-(LN(2)/$D$65+0.1)*(VLOOKUP(($F$16-$F$15)-1,AC$99:AG145,5,FALSE)))*EXP(-(LN(2)/$D$65+0.04)*(VLOOKUP(($F$16-$F$15)*2-1,AC$99:AG145,4,FALSE)))*EXP(-(LN(2)/$D$65+0.1)*(VLOOKUP(($F$16-$F$15)*2-1,AC$99:AG145,5,FALSE)))*EXP(-(LN(2)/$D$65+0.04)*AF145)*EXP(-(LN(2)/$D$65+0.1)*AG145),"-"))),"-")</f>
        <v>-</v>
      </c>
      <c r="AJ146" s="271" t="str">
        <f>IFERROR(IF(AD146=1,AJ$100*EXP(-(LN(2)/$D$65+0.04)*AF146)*EXP(-(LN(2)/$D$65+0.1)*AG146),IF(AD146=2,AJ$100*EXP(-(LN(2)/$D$65+0.04)*(VLOOKUP(($F$16-$F$15)-1,AC$100:AG146,4,FALSE)))*EXP(-(LN(2)/$D$65+0.1)*(VLOOKUP(($F$16-$F$15)-1,AC$100:AG146,5,FALSE)))*EXP(-(LN(2)/$D$65+0.04)*AF146)*EXP(-(LN(2)/$D$65+0.1)*AG146),IF(AD146=3,AJ$100*EXP(-(LN(2)/$D$65+0.04)*(VLOOKUP(($F$16-$F$15)-1,AC$100:AG146,4,FALSE)))*EXP(-(LN(2)/$D$65+0.1)*(VLOOKUP(($F$16-$F$15)-1,AC$100:AG146,5,FALSE)))*EXP(-(LN(2)/$D$65+0.04)*(VLOOKUP(($F$16-$F$15)*2-1,AC$100:AG146,4,FALSE)))*EXP(-(LN(2)/$D$65+0.1)*(VLOOKUP(($F$16-$F$15)*2-1,AC$100:AG146,5,FALSE)))*EXP(-(LN(2)/$D$65+0.04)*AF146)*EXP(-(LN(2)/$D$65+0.1)*AG146),"-"))),"-")</f>
        <v>-</v>
      </c>
      <c r="AK146" s="227">
        <f t="shared" si="49"/>
        <v>46</v>
      </c>
      <c r="AL146" s="226" t="str">
        <f t="shared" si="15"/>
        <v>-</v>
      </c>
      <c r="AM146" s="227" t="str">
        <f t="shared" si="50"/>
        <v>-</v>
      </c>
      <c r="AN146" s="227" t="str">
        <f t="shared" si="51"/>
        <v>-</v>
      </c>
      <c r="AO146" s="227" t="str">
        <f t="shared" si="90"/>
        <v>-</v>
      </c>
      <c r="AP146" s="273">
        <f t="shared" si="52"/>
        <v>0.1</v>
      </c>
      <c r="AQ146" s="271" t="str">
        <f>IFERROR(IF(AL145=1,AQ$100*EXP(-(LN(2)/$D$65+0.04)*AN145)*EXP(-(LN(2)/$D$65+0.1)*AO145),IF(AL145=2,AQ$100*EXP(-(LN(2)/$D$65+0.04)*(VLOOKUP(($F$16-$F$15)-1,AK$99:AO145,4,FALSE)))*EXP(-(LN(2)/$D$65+0.1)*(VLOOKUP(($F$16-$F$15)-1,AK$99:AO145,5,FALSE)))*EXP(-(LN(2)/$D$65+0.04)*AN145)*EXP(-(LN(2)/$D$65+0.1)*AO145),IF(AL145=3,AQ$100*EXP(-(LN(2)/$D$65+0.04)*(VLOOKUP(($F$16-$F$15)-1,AK$99:AO145,4,FALSE)))*EXP(-(LN(2)/$D$65+0.1)*(VLOOKUP(($F$16-$F$15)-1,AK$99:AO145,5,FALSE)))*EXP(-(LN(2)/$D$65+0.04)*(VLOOKUP(($F$16-$F$15)*2-1,AK$99:AO145,4,FALSE)))*EXP(-(LN(2)/$D$65+0.1)*(VLOOKUP(($F$16-$F$15)*2-1,AK$99:AO145,5,FALSE)))*EXP(-(LN(2)/$D$65+0.04)*AN145)*EXP(-(LN(2)/$D$65+0.1)*AO145),"-"))),"-")</f>
        <v>-</v>
      </c>
      <c r="AR146" s="271" t="str">
        <f>IFERROR(IF(AL146=1,AR$100*EXP(-(LN(2)/$D$65+0.04)*AN146)*EXP(-(LN(2)/$D$65+0.1)*AO146),IF(AL146=2,AR$100*EXP(-(LN(2)/$D$65+0.04)*(VLOOKUP(($F$16-$F$15)-1,AK$100:AO146,4,FALSE)))*EXP(-(LN(2)/$D$65+0.1)*(VLOOKUP(($F$16-$F$15)-1,AK$100:AO146,5,FALSE)))*EXP(-(LN(2)/$D$65+0.04)*AN146)*EXP(-(LN(2)/$D$65+0.1)*AO146),IF(AL146=3,AR$100*EXP(-(LN(2)/$D$65+0.04)*(VLOOKUP(($F$16-$F$15)-1,AK$100:AO146,4,FALSE)))*EXP(-(LN(2)/$D$65+0.1)*(VLOOKUP(($F$16-$F$15)-1,AK$100:AO146,5,FALSE)))*EXP(-(LN(2)/$D$65+0.04)*(VLOOKUP(($F$16-$F$15)*2-1,AK$100:AO146,4,FALSE)))*EXP(-(LN(2)/$D$65+0.1)*(VLOOKUP(($F$16-$F$15)*2-1,AK$100:AO146,5,FALSE)))*EXP(-(LN(2)/$D$65+0.04)*AN146)*EXP(-(LN(2)/$D$65+0.1)*AO146),"-"))),"-")</f>
        <v>-</v>
      </c>
      <c r="AS146" s="274">
        <f t="shared" si="91"/>
        <v>0</v>
      </c>
      <c r="AT146" s="274">
        <f t="shared" si="92"/>
        <v>0</v>
      </c>
      <c r="AU146" s="274">
        <f t="shared" si="93"/>
        <v>0</v>
      </c>
      <c r="AV146" s="190">
        <f>IF($B146&lt;$F$22,SUM($T$100:$T146),"")</f>
        <v>0</v>
      </c>
      <c r="AW146" s="190" t="str">
        <f t="shared" si="94"/>
        <v>-</v>
      </c>
      <c r="AX146" s="190" t="str">
        <f t="shared" si="56"/>
        <v/>
      </c>
      <c r="AY146"/>
      <c r="AZ146" s="190" t="str">
        <f ca="1">IF(ISNUMBER(OFFSET(AV146,-$F$21,0)),SUM(OFFSET($T$100,$F$21,0):$T146),"")</f>
        <v/>
      </c>
      <c r="BA146" s="190" t="str">
        <f t="shared" ca="1" si="95"/>
        <v/>
      </c>
      <c r="BB146" s="190" t="str">
        <f t="shared" ca="1" si="70"/>
        <v/>
      </c>
      <c r="BC146" s="190"/>
      <c r="BD146" s="190" t="str">
        <f ca="1">IFERROR(IF(AND($B146&gt;=($F$16-$F$15),$B146&lt;$F$22+($F$16-$F$15)),SUM(OFFSET($T$100,($F$16-$F$15),0):$T146),""),"")</f>
        <v/>
      </c>
      <c r="BE146" s="190" t="str">
        <f t="shared" ca="1" si="58"/>
        <v/>
      </c>
      <c r="BF146" s="190" t="str">
        <f t="shared" ca="1" si="59"/>
        <v/>
      </c>
      <c r="BG146"/>
      <c r="BH146" s="190" t="str">
        <f ca="1">IF(ISNUMBER(OFFSET(BD146,-$F$21,0)),SUM(OFFSET($T$100,($F$16-$F$15+$F$21),0):$T146),"")</f>
        <v/>
      </c>
      <c r="BI146" s="190" t="str">
        <f t="shared" ca="1" si="96"/>
        <v/>
      </c>
      <c r="BJ146" s="190" t="str">
        <f t="shared" ca="1" si="60"/>
        <v/>
      </c>
      <c r="BK146" s="190"/>
      <c r="BL146" s="190" t="str">
        <f ca="1">IFERROR(IF(AND($B146&gt;=($F$17-$F$15),$B146&lt;$F$22+($F$17-$F$15)),SUM(OFFSET($T$100,($F$17-$F$15),0):$T146),""),"")</f>
        <v/>
      </c>
      <c r="BM146" s="190" t="str">
        <f t="shared" ca="1" si="97"/>
        <v/>
      </c>
      <c r="BN146" s="190" t="str">
        <f t="shared" ca="1" si="61"/>
        <v/>
      </c>
      <c r="BO146"/>
      <c r="BP146" s="190" t="str">
        <f ca="1">IF(ISNUMBER(OFFSET(BL146,-$F$21,0)),SUM(OFFSET($T$100,($F$17-$F$15+$F$21),0):$T146),"")</f>
        <v/>
      </c>
      <c r="BQ146" s="190" t="str">
        <f t="shared" ca="1" si="98"/>
        <v/>
      </c>
      <c r="BR146" s="190" t="str">
        <f t="shared" ca="1" si="63"/>
        <v/>
      </c>
      <c r="BS146" s="190"/>
      <c r="BT146"/>
      <c r="BU146"/>
      <c r="BV146"/>
      <c r="BY146" s="99"/>
      <c r="BZ146" s="99"/>
      <c r="CA146" s="280" t="str">
        <f t="shared" si="99"/>
        <v/>
      </c>
      <c r="CB146" s="71" t="str">
        <f t="shared" si="100"/>
        <v>-</v>
      </c>
      <c r="CC146" s="33"/>
      <c r="CD146" s="261" t="str">
        <f t="shared" si="101"/>
        <v/>
      </c>
      <c r="CE146" s="280" t="str">
        <f t="shared" si="102"/>
        <v>-</v>
      </c>
      <c r="CF146" s="71" t="str">
        <f t="shared" ca="1" si="103"/>
        <v>-</v>
      </c>
      <c r="CG146" s="33" t="str">
        <f t="shared" si="104"/>
        <v>46-47</v>
      </c>
      <c r="CH146" s="261" t="str">
        <f t="shared" ca="1" si="105"/>
        <v/>
      </c>
      <c r="CI146" s="202"/>
      <c r="CP146" s="99"/>
      <c r="CQ146" s="99"/>
      <c r="CR146" s="99"/>
      <c r="CS146" s="99"/>
      <c r="CT146" s="99"/>
      <c r="CU146" s="99"/>
      <c r="CV146" s="99"/>
      <c r="CW146" s="99"/>
      <c r="CX146" s="99"/>
      <c r="CY146" s="99"/>
      <c r="CZ146" s="99"/>
      <c r="DA146" s="99"/>
      <c r="DB146" s="99"/>
      <c r="DC146" s="99"/>
    </row>
    <row r="147" spans="2:107" ht="13.5" customHeight="1" x14ac:dyDescent="0.2">
      <c r="B147" s="262">
        <v>47</v>
      </c>
      <c r="C147" s="237" t="str">
        <f t="shared" si="71"/>
        <v/>
      </c>
      <c r="D147" s="237" t="str">
        <f t="shared" si="106"/>
        <v>-</v>
      </c>
      <c r="E147" s="290" t="str">
        <f t="shared" si="32"/>
        <v/>
      </c>
      <c r="F147" s="264" t="str">
        <f t="shared" si="33"/>
        <v/>
      </c>
      <c r="G147" s="291" t="str">
        <f t="shared" si="34"/>
        <v/>
      </c>
      <c r="H147" s="240" t="str">
        <f t="shared" si="72"/>
        <v/>
      </c>
      <c r="I147" s="265" t="str">
        <f t="shared" si="73"/>
        <v/>
      </c>
      <c r="J147" s="265" t="str">
        <f t="shared" si="74"/>
        <v/>
      </c>
      <c r="K147" s="240" t="str">
        <f t="shared" si="75"/>
        <v/>
      </c>
      <c r="L147" s="265" t="str">
        <f t="shared" si="76"/>
        <v/>
      </c>
      <c r="M147" s="265" t="str">
        <f t="shared" si="77"/>
        <v/>
      </c>
      <c r="N147" s="240" t="str">
        <f t="shared" si="78"/>
        <v>-</v>
      </c>
      <c r="O147" s="265" t="str">
        <f t="shared" si="79"/>
        <v>-</v>
      </c>
      <c r="P147" s="265" t="str">
        <f t="shared" si="80"/>
        <v>-</v>
      </c>
      <c r="Q147" s="266" t="str">
        <f t="shared" si="81"/>
        <v>-</v>
      </c>
      <c r="R147" s="267" t="str">
        <f t="shared" si="82"/>
        <v>-</v>
      </c>
      <c r="S147" s="268" t="str">
        <f t="shared" si="83"/>
        <v>-</v>
      </c>
      <c r="T147" s="269" t="str">
        <f t="shared" si="84"/>
        <v/>
      </c>
      <c r="U147" s="221">
        <f t="shared" si="85"/>
        <v>47</v>
      </c>
      <c r="V147" s="220" t="str">
        <f t="shared" si="42"/>
        <v>-</v>
      </c>
      <c r="W147" s="221" t="str">
        <f t="shared" si="43"/>
        <v>-</v>
      </c>
      <c r="X147" s="221" t="str">
        <f t="shared" si="86"/>
        <v>-</v>
      </c>
      <c r="Y147" s="221" t="str">
        <f t="shared" si="87"/>
        <v>-</v>
      </c>
      <c r="Z147" s="270">
        <f t="shared" si="44"/>
        <v>0.1</v>
      </c>
      <c r="AA147" s="271" t="str">
        <f>IFERROR(IF(V146=1,AA$100*EXP(-(LN(2)/$D$65+0.04)*X146)*EXP(-(LN(2)/$D$65+0.1)*Y146),IF(V146=2,AA$100*EXP(-(LN(2)/$D$65+0.04)*(VLOOKUP(($F$16-$F$15)-1,U$99:Y146,4,FALSE)))*EXP(-(LN(2)/$D$65+0.1)*(VLOOKUP(($F$16-$F$15)-1,U$99:Y146,5,FALSE)))*EXP(-(LN(2)/$D$65+0.04)*X146)*EXP(-(LN(2)/$D$65+0.1)*Y146),IF(V146=3,AA$100*EXP(-(LN(2)/$D$65+0.04)*(VLOOKUP(($F$16-$F$15)-1,U$99:Y146,4,FALSE)))*EXP(-(LN(2)/$D$65+0.1)*(VLOOKUP(($F$16-$F$15)-1,U$99:Y146,5,FALSE)))*EXP(-(LN(2)/$D$65+0.04)*(VLOOKUP(($F$16-$F$15)*2-1,U$99:Y146,4,FALSE)))*EXP(-(LN(2)/$D$65+0.1)*(VLOOKUP(($F$16-$F$15)*2-1,U$99:Y146,5,FALSE)))*EXP(-(LN(2)/$D$65+0.04)*X146)*EXP(-(LN(2)/$D$65+0.1)*Y146),"-"))),"-")</f>
        <v>-</v>
      </c>
      <c r="AB147" s="271" t="str">
        <f>IFERROR(IF(V147=1,AB$100*EXP(-(LN(2)/$D$65+0.04)*X147)*EXP(-(LN(2)/$D$65+0.1)*Y147),IF(V147=2,AB$100*EXP(-(LN(2)/$D$65+0.04)*(VLOOKUP(($F$16-$F$15)-1,U$100:Y147,4,FALSE)))*EXP(-(LN(2)/$D$65+0.1)*(VLOOKUP(($F$16-$F$15)-1,U$100:Y147,5,FALSE)))*EXP(-(LN(2)/$D$65+0.04)*X147)*EXP(-(LN(2)/$D$65+0.1)*Y147),IF(V147=3,AB$100*EXP(-(LN(2)/$D$65+0.04)*(VLOOKUP(($F$16-$F$15)-1,U$100:Y147,4,FALSE)))*EXP(-(LN(2)/$D$65+0.1)*(VLOOKUP(($F$16-$F$15)-1,U$100:Y147,5,FALSE)))*EXP(-(LN(2)/$D$65+0.04)*(VLOOKUP(($F$16-$F$15)*2-1,U$100:Y147,4,FALSE)))*EXP(-(LN(2)/$D$65+0.1)*(VLOOKUP(($F$16-$F$15)*2-1,U$100:Y147,5,FALSE)))*EXP(-(LN(2)/$D$65+0.04)*X147)*EXP(-(LN(2)/$D$65+0.1)*Y147),"-"))),"-")</f>
        <v>-</v>
      </c>
      <c r="AC147" s="224">
        <f t="shared" si="45"/>
        <v>47</v>
      </c>
      <c r="AD147" s="223" t="str">
        <f t="shared" si="11"/>
        <v>-</v>
      </c>
      <c r="AE147" s="224" t="str">
        <f t="shared" si="46"/>
        <v>-</v>
      </c>
      <c r="AF147" s="224" t="str">
        <f t="shared" si="88"/>
        <v>-</v>
      </c>
      <c r="AG147" s="224" t="str">
        <f t="shared" si="89"/>
        <v>-</v>
      </c>
      <c r="AH147" s="272">
        <f t="shared" si="47"/>
        <v>0.1</v>
      </c>
      <c r="AI147" s="271" t="str">
        <f>IFERROR(IF(AD146=1,AI$100*EXP(-(LN(2)/$D$65+0.04)*AF146)*EXP(-(LN(2)/$D$65+0.1)*AG146),IF(AD146=2,AI$100*EXP(-(LN(2)/$D$65+0.04)*(VLOOKUP(($F$16-$F$15)-1,AC$99:AG146,4,FALSE)))*EXP(-(LN(2)/$D$65+0.1)*(VLOOKUP(($F$16-$F$15)-1,AC$99:AG146,5,FALSE)))*EXP(-(LN(2)/$D$65+0.04)*AF146)*EXP(-(LN(2)/$D$65+0.1)*AG146),IF(AD146=3,AI$100*EXP(-(LN(2)/$D$65+0.04)*(VLOOKUP(($F$16-$F$15)-1,AC$99:AG146,4,FALSE)))*EXP(-(LN(2)/$D$65+0.1)*(VLOOKUP(($F$16-$F$15)-1,AC$99:AG146,5,FALSE)))*EXP(-(LN(2)/$D$65+0.04)*(VLOOKUP(($F$16-$F$15)*2-1,AC$99:AG146,4,FALSE)))*EXP(-(LN(2)/$D$65+0.1)*(VLOOKUP(($F$16-$F$15)*2-1,AC$99:AG146,5,FALSE)))*EXP(-(LN(2)/$D$65+0.04)*AF146)*EXP(-(LN(2)/$D$65+0.1)*AG146),"-"))),"-")</f>
        <v>-</v>
      </c>
      <c r="AJ147" s="271" t="str">
        <f>IFERROR(IF(AD147=1,AJ$100*EXP(-(LN(2)/$D$65+0.04)*AF147)*EXP(-(LN(2)/$D$65+0.1)*AG147),IF(AD147=2,AJ$100*EXP(-(LN(2)/$D$65+0.04)*(VLOOKUP(($F$16-$F$15)-1,AC$100:AG147,4,FALSE)))*EXP(-(LN(2)/$D$65+0.1)*(VLOOKUP(($F$16-$F$15)-1,AC$100:AG147,5,FALSE)))*EXP(-(LN(2)/$D$65+0.04)*AF147)*EXP(-(LN(2)/$D$65+0.1)*AG147),IF(AD147=3,AJ$100*EXP(-(LN(2)/$D$65+0.04)*(VLOOKUP(($F$16-$F$15)-1,AC$100:AG147,4,FALSE)))*EXP(-(LN(2)/$D$65+0.1)*(VLOOKUP(($F$16-$F$15)-1,AC$100:AG147,5,FALSE)))*EXP(-(LN(2)/$D$65+0.04)*(VLOOKUP(($F$16-$F$15)*2-1,AC$100:AG147,4,FALSE)))*EXP(-(LN(2)/$D$65+0.1)*(VLOOKUP(($F$16-$F$15)*2-1,AC$100:AG147,5,FALSE)))*EXP(-(LN(2)/$D$65+0.04)*AF147)*EXP(-(LN(2)/$D$65+0.1)*AG147),"-"))),"-")</f>
        <v>-</v>
      </c>
      <c r="AK147" s="227">
        <f t="shared" si="49"/>
        <v>47</v>
      </c>
      <c r="AL147" s="226" t="str">
        <f t="shared" si="15"/>
        <v>-</v>
      </c>
      <c r="AM147" s="227" t="str">
        <f t="shared" si="50"/>
        <v>-</v>
      </c>
      <c r="AN147" s="227" t="str">
        <f t="shared" si="51"/>
        <v>-</v>
      </c>
      <c r="AO147" s="227" t="str">
        <f t="shared" si="90"/>
        <v>-</v>
      </c>
      <c r="AP147" s="273">
        <f t="shared" si="52"/>
        <v>0.1</v>
      </c>
      <c r="AQ147" s="271" t="str">
        <f>IFERROR(IF(AL146=1,AQ$100*EXP(-(LN(2)/$D$65+0.04)*AN146)*EXP(-(LN(2)/$D$65+0.1)*AO146),IF(AL146=2,AQ$100*EXP(-(LN(2)/$D$65+0.04)*(VLOOKUP(($F$16-$F$15)-1,AK$99:AO146,4,FALSE)))*EXP(-(LN(2)/$D$65+0.1)*(VLOOKUP(($F$16-$F$15)-1,AK$99:AO146,5,FALSE)))*EXP(-(LN(2)/$D$65+0.04)*AN146)*EXP(-(LN(2)/$D$65+0.1)*AO146),IF(AL146=3,AQ$100*EXP(-(LN(2)/$D$65+0.04)*(VLOOKUP(($F$16-$F$15)-1,AK$99:AO146,4,FALSE)))*EXP(-(LN(2)/$D$65+0.1)*(VLOOKUP(($F$16-$F$15)-1,AK$99:AO146,5,FALSE)))*EXP(-(LN(2)/$D$65+0.04)*(VLOOKUP(($F$16-$F$15)*2-1,AK$99:AO146,4,FALSE)))*EXP(-(LN(2)/$D$65+0.1)*(VLOOKUP(($F$16-$F$15)*2-1,AK$99:AO146,5,FALSE)))*EXP(-(LN(2)/$D$65+0.04)*AN146)*EXP(-(LN(2)/$D$65+0.1)*AO146),"-"))),"-")</f>
        <v>-</v>
      </c>
      <c r="AR147" s="271" t="str">
        <f>IFERROR(IF(AL147=1,AR$100*EXP(-(LN(2)/$D$65+0.04)*AN147)*EXP(-(LN(2)/$D$65+0.1)*AO147),IF(AL147=2,AR$100*EXP(-(LN(2)/$D$65+0.04)*(VLOOKUP(($F$16-$F$15)-1,AK$100:AO147,4,FALSE)))*EXP(-(LN(2)/$D$65+0.1)*(VLOOKUP(($F$16-$F$15)-1,AK$100:AO147,5,FALSE)))*EXP(-(LN(2)/$D$65+0.04)*AN147)*EXP(-(LN(2)/$D$65+0.1)*AO147),IF(AL147=3,AR$100*EXP(-(LN(2)/$D$65+0.04)*(VLOOKUP(($F$16-$F$15)-1,AK$100:AO147,4,FALSE)))*EXP(-(LN(2)/$D$65+0.1)*(VLOOKUP(($F$16-$F$15)-1,AK$100:AO147,5,FALSE)))*EXP(-(LN(2)/$D$65+0.04)*(VLOOKUP(($F$16-$F$15)*2-1,AK$100:AO147,4,FALSE)))*EXP(-(LN(2)/$D$65+0.1)*(VLOOKUP(($F$16-$F$15)*2-1,AK$100:AO147,5,FALSE)))*EXP(-(LN(2)/$D$65+0.04)*AN147)*EXP(-(LN(2)/$D$65+0.1)*AO147),"-"))),"-")</f>
        <v>-</v>
      </c>
      <c r="AS147" s="274">
        <f t="shared" si="91"/>
        <v>0</v>
      </c>
      <c r="AT147" s="274">
        <f t="shared" si="92"/>
        <v>0</v>
      </c>
      <c r="AU147" s="274">
        <f t="shared" si="93"/>
        <v>0</v>
      </c>
      <c r="AV147" s="190">
        <f>IF($B147&lt;$F$22,SUM($T$100:$T147),"")</f>
        <v>0</v>
      </c>
      <c r="AW147" s="190" t="str">
        <f t="shared" si="94"/>
        <v>-</v>
      </c>
      <c r="AX147" s="190" t="str">
        <f t="shared" si="56"/>
        <v/>
      </c>
      <c r="AY147"/>
      <c r="AZ147" s="190" t="str">
        <f ca="1">IF(ISNUMBER(OFFSET(AV147,-$F$21,0)),SUM(OFFSET($T$100,$F$21,0):$T147),"")</f>
        <v/>
      </c>
      <c r="BA147" s="190" t="str">
        <f t="shared" ca="1" si="95"/>
        <v/>
      </c>
      <c r="BB147" s="190" t="str">
        <f t="shared" ca="1" si="70"/>
        <v/>
      </c>
      <c r="BC147" s="190"/>
      <c r="BD147" s="190" t="str">
        <f ca="1">IFERROR(IF(AND($B147&gt;=($F$16-$F$15),$B147&lt;$F$22+($F$16-$F$15)),SUM(OFFSET($T$100,($F$16-$F$15),0):$T147),""),"")</f>
        <v/>
      </c>
      <c r="BE147" s="190" t="str">
        <f t="shared" ca="1" si="58"/>
        <v/>
      </c>
      <c r="BF147" s="190" t="str">
        <f t="shared" ca="1" si="59"/>
        <v/>
      </c>
      <c r="BG147"/>
      <c r="BH147" s="190" t="str">
        <f ca="1">IF(ISNUMBER(OFFSET(BD147,-$F$21,0)),SUM(OFFSET($T$100,($F$16-$F$15+$F$21),0):$T147),"")</f>
        <v/>
      </c>
      <c r="BI147" s="190" t="str">
        <f t="shared" ca="1" si="96"/>
        <v/>
      </c>
      <c r="BJ147" s="190" t="str">
        <f t="shared" ca="1" si="60"/>
        <v/>
      </c>
      <c r="BK147" s="190"/>
      <c r="BL147" s="190" t="str">
        <f ca="1">IFERROR(IF(AND($B147&gt;=($F$17-$F$15),$B147&lt;$F$22+($F$17-$F$15)),SUM(OFFSET($T$100,($F$17-$F$15),0):$T147),""),"")</f>
        <v/>
      </c>
      <c r="BM147" s="190" t="str">
        <f t="shared" ca="1" si="97"/>
        <v/>
      </c>
      <c r="BN147" s="190" t="str">
        <f t="shared" ca="1" si="61"/>
        <v/>
      </c>
      <c r="BO147"/>
      <c r="BP147" s="190" t="str">
        <f ca="1">IF(ISNUMBER(OFFSET(BL147,-$F$21,0)),SUM(OFFSET($T$100,($F$17-$F$15+$F$21),0):$T147),"")</f>
        <v/>
      </c>
      <c r="BQ147" s="190" t="str">
        <f t="shared" ca="1" si="98"/>
        <v/>
      </c>
      <c r="BR147" s="190" t="str">
        <f t="shared" ca="1" si="63"/>
        <v/>
      </c>
      <c r="BS147" s="190"/>
      <c r="BT147"/>
      <c r="BU147"/>
      <c r="BV147"/>
      <c r="BY147" s="99"/>
      <c r="BZ147" s="99"/>
      <c r="CA147" s="280" t="str">
        <f t="shared" si="99"/>
        <v/>
      </c>
      <c r="CB147" s="71" t="str">
        <f t="shared" si="100"/>
        <v>-</v>
      </c>
      <c r="CC147" s="33"/>
      <c r="CD147" s="261" t="str">
        <f t="shared" si="101"/>
        <v/>
      </c>
      <c r="CE147" s="280" t="str">
        <f t="shared" si="102"/>
        <v>-</v>
      </c>
      <c r="CF147" s="71" t="str">
        <f t="shared" ca="1" si="103"/>
        <v>-</v>
      </c>
      <c r="CG147" s="33" t="str">
        <f t="shared" si="104"/>
        <v>47-48</v>
      </c>
      <c r="CH147" s="261" t="str">
        <f t="shared" ca="1" si="105"/>
        <v/>
      </c>
      <c r="CI147" s="202"/>
      <c r="CP147" s="99"/>
      <c r="CQ147" s="99"/>
      <c r="CR147" s="99"/>
      <c r="CS147" s="99"/>
      <c r="CT147" s="99"/>
      <c r="CU147" s="99"/>
      <c r="CV147" s="99"/>
      <c r="CW147" s="99"/>
      <c r="CX147" s="99"/>
      <c r="CY147" s="99"/>
      <c r="CZ147" s="99"/>
      <c r="DA147" s="99"/>
      <c r="DB147" s="99"/>
      <c r="DC147" s="99"/>
    </row>
    <row r="148" spans="2:107" ht="13.5" customHeight="1" x14ac:dyDescent="0.2">
      <c r="B148" s="262">
        <v>48</v>
      </c>
      <c r="C148" s="237" t="str">
        <f t="shared" si="71"/>
        <v/>
      </c>
      <c r="D148" s="237" t="str">
        <f t="shared" si="106"/>
        <v>-</v>
      </c>
      <c r="E148" s="290" t="str">
        <f t="shared" si="32"/>
        <v/>
      </c>
      <c r="F148" s="264" t="str">
        <f t="shared" si="33"/>
        <v/>
      </c>
      <c r="G148" s="291" t="str">
        <f t="shared" si="34"/>
        <v/>
      </c>
      <c r="H148" s="240" t="str">
        <f t="shared" si="72"/>
        <v/>
      </c>
      <c r="I148" s="265" t="str">
        <f t="shared" si="73"/>
        <v/>
      </c>
      <c r="J148" s="265" t="str">
        <f t="shared" si="74"/>
        <v/>
      </c>
      <c r="K148" s="240" t="str">
        <f t="shared" si="75"/>
        <v/>
      </c>
      <c r="L148" s="265" t="str">
        <f t="shared" si="76"/>
        <v/>
      </c>
      <c r="M148" s="265" t="str">
        <f t="shared" si="77"/>
        <v/>
      </c>
      <c r="N148" s="240" t="str">
        <f t="shared" si="78"/>
        <v>-</v>
      </c>
      <c r="O148" s="265" t="str">
        <f t="shared" si="79"/>
        <v>-</v>
      </c>
      <c r="P148" s="265" t="str">
        <f t="shared" si="80"/>
        <v>-</v>
      </c>
      <c r="Q148" s="266" t="str">
        <f t="shared" si="81"/>
        <v>-</v>
      </c>
      <c r="R148" s="267" t="str">
        <f t="shared" si="82"/>
        <v>-</v>
      </c>
      <c r="S148" s="268" t="str">
        <f t="shared" si="83"/>
        <v>-</v>
      </c>
      <c r="T148" s="269" t="str">
        <f t="shared" si="84"/>
        <v/>
      </c>
      <c r="U148" s="221">
        <f t="shared" si="85"/>
        <v>48</v>
      </c>
      <c r="V148" s="220" t="str">
        <f t="shared" si="42"/>
        <v>-</v>
      </c>
      <c r="W148" s="221" t="str">
        <f t="shared" si="43"/>
        <v>-</v>
      </c>
      <c r="X148" s="221" t="str">
        <f t="shared" si="86"/>
        <v>-</v>
      </c>
      <c r="Y148" s="221" t="str">
        <f t="shared" si="87"/>
        <v>-</v>
      </c>
      <c r="Z148" s="270">
        <f t="shared" si="44"/>
        <v>0.1</v>
      </c>
      <c r="AA148" s="271" t="str">
        <f>IFERROR(IF(V147=1,AA$100*EXP(-(LN(2)/$D$65+0.04)*X147)*EXP(-(LN(2)/$D$65+0.1)*Y147),IF(V147=2,AA$100*EXP(-(LN(2)/$D$65+0.04)*(VLOOKUP(($F$16-$F$15)-1,U$99:Y147,4,FALSE)))*EXP(-(LN(2)/$D$65+0.1)*(VLOOKUP(($F$16-$F$15)-1,U$99:Y147,5,FALSE)))*EXP(-(LN(2)/$D$65+0.04)*X147)*EXP(-(LN(2)/$D$65+0.1)*Y147),IF(V147=3,AA$100*EXP(-(LN(2)/$D$65+0.04)*(VLOOKUP(($F$16-$F$15)-1,U$99:Y147,4,FALSE)))*EXP(-(LN(2)/$D$65+0.1)*(VLOOKUP(($F$16-$F$15)-1,U$99:Y147,5,FALSE)))*EXP(-(LN(2)/$D$65+0.04)*(VLOOKUP(($F$16-$F$15)*2-1,U$99:Y147,4,FALSE)))*EXP(-(LN(2)/$D$65+0.1)*(VLOOKUP(($F$16-$F$15)*2-1,U$99:Y147,5,FALSE)))*EXP(-(LN(2)/$D$65+0.04)*X147)*EXP(-(LN(2)/$D$65+0.1)*Y147),"-"))),"-")</f>
        <v>-</v>
      </c>
      <c r="AB148" s="271" t="str">
        <f>IFERROR(IF(V148=1,AB$100*EXP(-(LN(2)/$D$65+0.04)*X148)*EXP(-(LN(2)/$D$65+0.1)*Y148),IF(V148=2,AB$100*EXP(-(LN(2)/$D$65+0.04)*(VLOOKUP(($F$16-$F$15)-1,U$100:Y148,4,FALSE)))*EXP(-(LN(2)/$D$65+0.1)*(VLOOKUP(($F$16-$F$15)-1,U$100:Y148,5,FALSE)))*EXP(-(LN(2)/$D$65+0.04)*X148)*EXP(-(LN(2)/$D$65+0.1)*Y148),IF(V148=3,AB$100*EXP(-(LN(2)/$D$65+0.04)*(VLOOKUP(($F$16-$F$15)-1,U$100:Y148,4,FALSE)))*EXP(-(LN(2)/$D$65+0.1)*(VLOOKUP(($F$16-$F$15)-1,U$100:Y148,5,FALSE)))*EXP(-(LN(2)/$D$65+0.04)*(VLOOKUP(($F$16-$F$15)*2-1,U$100:Y148,4,FALSE)))*EXP(-(LN(2)/$D$65+0.1)*(VLOOKUP(($F$16-$F$15)*2-1,U$100:Y148,5,FALSE)))*EXP(-(LN(2)/$D$65+0.04)*X148)*EXP(-(LN(2)/$D$65+0.1)*Y148),"-"))),"-")</f>
        <v>-</v>
      </c>
      <c r="AC148" s="224">
        <f t="shared" si="45"/>
        <v>48</v>
      </c>
      <c r="AD148" s="223" t="str">
        <f t="shared" si="11"/>
        <v>-</v>
      </c>
      <c r="AE148" s="224" t="str">
        <f t="shared" si="46"/>
        <v>-</v>
      </c>
      <c r="AF148" s="224" t="str">
        <f t="shared" si="88"/>
        <v>-</v>
      </c>
      <c r="AG148" s="224" t="str">
        <f t="shared" si="89"/>
        <v>-</v>
      </c>
      <c r="AH148" s="272">
        <f t="shared" si="47"/>
        <v>0.1</v>
      </c>
      <c r="AI148" s="271" t="str">
        <f>IFERROR(IF(AD147=1,AI$100*EXP(-(LN(2)/$D$65+0.04)*AF147)*EXP(-(LN(2)/$D$65+0.1)*AG147),IF(AD147=2,AI$100*EXP(-(LN(2)/$D$65+0.04)*(VLOOKUP(($F$16-$F$15)-1,AC$99:AG147,4,FALSE)))*EXP(-(LN(2)/$D$65+0.1)*(VLOOKUP(($F$16-$F$15)-1,AC$99:AG147,5,FALSE)))*EXP(-(LN(2)/$D$65+0.04)*AF147)*EXP(-(LN(2)/$D$65+0.1)*AG147),IF(AD147=3,AI$100*EXP(-(LN(2)/$D$65+0.04)*(VLOOKUP(($F$16-$F$15)-1,AC$99:AG147,4,FALSE)))*EXP(-(LN(2)/$D$65+0.1)*(VLOOKUP(($F$16-$F$15)-1,AC$99:AG147,5,FALSE)))*EXP(-(LN(2)/$D$65+0.04)*(VLOOKUP(($F$16-$F$15)*2-1,AC$99:AG147,4,FALSE)))*EXP(-(LN(2)/$D$65+0.1)*(VLOOKUP(($F$16-$F$15)*2-1,AC$99:AG147,5,FALSE)))*EXP(-(LN(2)/$D$65+0.04)*AF147)*EXP(-(LN(2)/$D$65+0.1)*AG147),"-"))),"-")</f>
        <v>-</v>
      </c>
      <c r="AJ148" s="271" t="str">
        <f>IFERROR(IF(AD148=1,AJ$100*EXP(-(LN(2)/$D$65+0.04)*AF148)*EXP(-(LN(2)/$D$65+0.1)*AG148),IF(AD148=2,AJ$100*EXP(-(LN(2)/$D$65+0.04)*(VLOOKUP(($F$16-$F$15)-1,AC$100:AG148,4,FALSE)))*EXP(-(LN(2)/$D$65+0.1)*(VLOOKUP(($F$16-$F$15)-1,AC$100:AG148,5,FALSE)))*EXP(-(LN(2)/$D$65+0.04)*AF148)*EXP(-(LN(2)/$D$65+0.1)*AG148),IF(AD148=3,AJ$100*EXP(-(LN(2)/$D$65+0.04)*(VLOOKUP(($F$16-$F$15)-1,AC$100:AG148,4,FALSE)))*EXP(-(LN(2)/$D$65+0.1)*(VLOOKUP(($F$16-$F$15)-1,AC$100:AG148,5,FALSE)))*EXP(-(LN(2)/$D$65+0.04)*(VLOOKUP(($F$16-$F$15)*2-1,AC$100:AG148,4,FALSE)))*EXP(-(LN(2)/$D$65+0.1)*(VLOOKUP(($F$16-$F$15)*2-1,AC$100:AG148,5,FALSE)))*EXP(-(LN(2)/$D$65+0.04)*AF148)*EXP(-(LN(2)/$D$65+0.1)*AG148),"-"))),"-")</f>
        <v>-</v>
      </c>
      <c r="AK148" s="227">
        <f t="shared" si="49"/>
        <v>48</v>
      </c>
      <c r="AL148" s="226" t="str">
        <f t="shared" si="15"/>
        <v>-</v>
      </c>
      <c r="AM148" s="227" t="str">
        <f t="shared" si="50"/>
        <v>-</v>
      </c>
      <c r="AN148" s="227" t="str">
        <f t="shared" si="51"/>
        <v>-</v>
      </c>
      <c r="AO148" s="227" t="str">
        <f t="shared" si="90"/>
        <v>-</v>
      </c>
      <c r="AP148" s="273">
        <f t="shared" si="52"/>
        <v>0.1</v>
      </c>
      <c r="AQ148" s="271" t="str">
        <f>IFERROR(IF(AL147=1,AQ$100*EXP(-(LN(2)/$D$65+0.04)*AN147)*EXP(-(LN(2)/$D$65+0.1)*AO147),IF(AL147=2,AQ$100*EXP(-(LN(2)/$D$65+0.04)*(VLOOKUP(($F$16-$F$15)-1,AK$99:AO147,4,FALSE)))*EXP(-(LN(2)/$D$65+0.1)*(VLOOKUP(($F$16-$F$15)-1,AK$99:AO147,5,FALSE)))*EXP(-(LN(2)/$D$65+0.04)*AN147)*EXP(-(LN(2)/$D$65+0.1)*AO147),IF(AL147=3,AQ$100*EXP(-(LN(2)/$D$65+0.04)*(VLOOKUP(($F$16-$F$15)-1,AK$99:AO147,4,FALSE)))*EXP(-(LN(2)/$D$65+0.1)*(VLOOKUP(($F$16-$F$15)-1,AK$99:AO147,5,FALSE)))*EXP(-(LN(2)/$D$65+0.04)*(VLOOKUP(($F$16-$F$15)*2-1,AK$99:AO147,4,FALSE)))*EXP(-(LN(2)/$D$65+0.1)*(VLOOKUP(($F$16-$F$15)*2-1,AK$99:AO147,5,FALSE)))*EXP(-(LN(2)/$D$65+0.04)*AN147)*EXP(-(LN(2)/$D$65+0.1)*AO147),"-"))),"-")</f>
        <v>-</v>
      </c>
      <c r="AR148" s="271" t="str">
        <f>IFERROR(IF(AL148=1,AR$100*EXP(-(LN(2)/$D$65+0.04)*AN148)*EXP(-(LN(2)/$D$65+0.1)*AO148),IF(AL148=2,AR$100*EXP(-(LN(2)/$D$65+0.04)*(VLOOKUP(($F$16-$F$15)-1,AK$100:AO148,4,FALSE)))*EXP(-(LN(2)/$D$65+0.1)*(VLOOKUP(($F$16-$F$15)-1,AK$100:AO148,5,FALSE)))*EXP(-(LN(2)/$D$65+0.04)*AN148)*EXP(-(LN(2)/$D$65+0.1)*AO148),IF(AL148=3,AR$100*EXP(-(LN(2)/$D$65+0.04)*(VLOOKUP(($F$16-$F$15)-1,AK$100:AO148,4,FALSE)))*EXP(-(LN(2)/$D$65+0.1)*(VLOOKUP(($F$16-$F$15)-1,AK$100:AO148,5,FALSE)))*EXP(-(LN(2)/$D$65+0.04)*(VLOOKUP(($F$16-$F$15)*2-1,AK$100:AO148,4,FALSE)))*EXP(-(LN(2)/$D$65+0.1)*(VLOOKUP(($F$16-$F$15)*2-1,AK$100:AO148,5,FALSE)))*EXP(-(LN(2)/$D$65+0.04)*AN148)*EXP(-(LN(2)/$D$65+0.1)*AO148),"-"))),"-")</f>
        <v>-</v>
      </c>
      <c r="AS148" s="274">
        <f t="shared" si="91"/>
        <v>0</v>
      </c>
      <c r="AT148" s="274">
        <f t="shared" si="92"/>
        <v>0</v>
      </c>
      <c r="AU148" s="274">
        <f t="shared" si="93"/>
        <v>0</v>
      </c>
      <c r="AV148" s="190">
        <f>IF($B148&lt;$F$22,SUM($T$100:$T148),"")</f>
        <v>0</v>
      </c>
      <c r="AW148" s="190" t="str">
        <f t="shared" si="94"/>
        <v>-</v>
      </c>
      <c r="AX148" s="190" t="str">
        <f t="shared" si="56"/>
        <v/>
      </c>
      <c r="AY148"/>
      <c r="AZ148" s="190" t="str">
        <f ca="1">IF(ISNUMBER(OFFSET(AV148,-$F$21,0)),SUM(OFFSET($T$100,$F$21,0):$T148),"")</f>
        <v/>
      </c>
      <c r="BA148" s="190" t="str">
        <f t="shared" ca="1" si="95"/>
        <v/>
      </c>
      <c r="BB148" s="190" t="str">
        <f t="shared" ca="1" si="70"/>
        <v/>
      </c>
      <c r="BC148" s="190"/>
      <c r="BD148" s="190" t="str">
        <f ca="1">IFERROR(IF(AND($B148&gt;=($F$16-$F$15),$B148&lt;$F$22+($F$16-$F$15)),SUM(OFFSET($T$100,($F$16-$F$15),0):$T148),""),"")</f>
        <v/>
      </c>
      <c r="BE148" s="190" t="str">
        <f t="shared" ca="1" si="58"/>
        <v/>
      </c>
      <c r="BF148" s="190" t="str">
        <f t="shared" ca="1" si="59"/>
        <v/>
      </c>
      <c r="BG148"/>
      <c r="BH148" s="190" t="str">
        <f ca="1">IF(ISNUMBER(OFFSET(BD148,-$F$21,0)),SUM(OFFSET($T$100,($F$16-$F$15+$F$21),0):$T148),"")</f>
        <v/>
      </c>
      <c r="BI148" s="190" t="str">
        <f t="shared" ca="1" si="96"/>
        <v/>
      </c>
      <c r="BJ148" s="190" t="str">
        <f t="shared" ca="1" si="60"/>
        <v/>
      </c>
      <c r="BK148" s="190"/>
      <c r="BL148" s="190" t="str">
        <f ca="1">IFERROR(IF(AND($B148&gt;=($F$17-$F$15),$B148&lt;$F$22+($F$17-$F$15)),SUM(OFFSET($T$100,($F$17-$F$15),0):$T148),""),"")</f>
        <v/>
      </c>
      <c r="BM148" s="190" t="str">
        <f t="shared" ca="1" si="97"/>
        <v/>
      </c>
      <c r="BN148" s="190" t="str">
        <f t="shared" ca="1" si="61"/>
        <v/>
      </c>
      <c r="BO148"/>
      <c r="BP148" s="190" t="str">
        <f ca="1">IF(ISNUMBER(OFFSET(BL148,-$F$21,0)),SUM(OFFSET($T$100,($F$17-$F$15+$F$21),0):$T148),"")</f>
        <v/>
      </c>
      <c r="BQ148" s="190" t="str">
        <f t="shared" ca="1" si="98"/>
        <v/>
      </c>
      <c r="BR148" s="190" t="str">
        <f t="shared" ca="1" si="63"/>
        <v/>
      </c>
      <c r="BS148" s="190"/>
      <c r="BT148"/>
      <c r="BU148"/>
      <c r="BV148"/>
      <c r="BY148" s="99"/>
      <c r="BZ148" s="99"/>
      <c r="CA148" s="280" t="str">
        <f t="shared" si="99"/>
        <v/>
      </c>
      <c r="CB148" s="71" t="str">
        <f t="shared" si="100"/>
        <v>-</v>
      </c>
      <c r="CC148" s="33"/>
      <c r="CD148" s="261" t="str">
        <f t="shared" si="101"/>
        <v/>
      </c>
      <c r="CE148" s="280" t="str">
        <f t="shared" si="102"/>
        <v>-</v>
      </c>
      <c r="CF148" s="71" t="str">
        <f t="shared" ca="1" si="103"/>
        <v>-</v>
      </c>
      <c r="CG148" s="33" t="str">
        <f t="shared" si="104"/>
        <v>48-49</v>
      </c>
      <c r="CH148" s="261" t="str">
        <f t="shared" ca="1" si="105"/>
        <v/>
      </c>
      <c r="CI148" s="202"/>
      <c r="CP148" s="99"/>
      <c r="CQ148" s="99"/>
      <c r="CR148" s="99"/>
      <c r="CS148" s="99"/>
      <c r="CT148" s="99"/>
      <c r="CU148" s="99"/>
      <c r="CV148" s="99"/>
      <c r="CW148" s="99"/>
      <c r="CX148" s="99"/>
      <c r="CY148" s="99"/>
      <c r="CZ148" s="99"/>
      <c r="DA148" s="99"/>
      <c r="DB148" s="99"/>
      <c r="DC148" s="99"/>
    </row>
    <row r="149" spans="2:107" ht="13.5" customHeight="1" x14ac:dyDescent="0.2">
      <c r="B149" s="262">
        <v>49</v>
      </c>
      <c r="C149" s="237" t="str">
        <f t="shared" si="71"/>
        <v/>
      </c>
      <c r="D149" s="237" t="str">
        <f t="shared" si="106"/>
        <v>-</v>
      </c>
      <c r="E149" s="290" t="str">
        <f t="shared" si="32"/>
        <v/>
      </c>
      <c r="F149" s="264" t="str">
        <f t="shared" si="33"/>
        <v/>
      </c>
      <c r="G149" s="291" t="str">
        <f t="shared" si="34"/>
        <v/>
      </c>
      <c r="H149" s="240" t="str">
        <f t="shared" si="72"/>
        <v/>
      </c>
      <c r="I149" s="265" t="str">
        <f t="shared" si="73"/>
        <v/>
      </c>
      <c r="J149" s="265" t="str">
        <f t="shared" si="74"/>
        <v/>
      </c>
      <c r="K149" s="240" t="str">
        <f t="shared" si="75"/>
        <v/>
      </c>
      <c r="L149" s="265" t="str">
        <f t="shared" si="76"/>
        <v/>
      </c>
      <c r="M149" s="265" t="str">
        <f t="shared" si="77"/>
        <v/>
      </c>
      <c r="N149" s="240" t="str">
        <f t="shared" si="78"/>
        <v>-</v>
      </c>
      <c r="O149" s="265" t="str">
        <f t="shared" si="79"/>
        <v>-</v>
      </c>
      <c r="P149" s="265" t="str">
        <f t="shared" si="80"/>
        <v>-</v>
      </c>
      <c r="Q149" s="266" t="str">
        <f t="shared" si="81"/>
        <v>-</v>
      </c>
      <c r="R149" s="267" t="str">
        <f t="shared" si="82"/>
        <v>-</v>
      </c>
      <c r="S149" s="268" t="str">
        <f t="shared" si="83"/>
        <v>-</v>
      </c>
      <c r="T149" s="269" t="str">
        <f t="shared" si="84"/>
        <v/>
      </c>
      <c r="U149" s="221">
        <f t="shared" si="85"/>
        <v>49</v>
      </c>
      <c r="V149" s="220" t="str">
        <f t="shared" si="42"/>
        <v>-</v>
      </c>
      <c r="W149" s="221" t="str">
        <f t="shared" si="43"/>
        <v>-</v>
      </c>
      <c r="X149" s="221" t="str">
        <f t="shared" si="86"/>
        <v>-</v>
      </c>
      <c r="Y149" s="221" t="str">
        <f t="shared" si="87"/>
        <v>-</v>
      </c>
      <c r="Z149" s="270">
        <f t="shared" si="44"/>
        <v>0.1</v>
      </c>
      <c r="AA149" s="271" t="str">
        <f>IFERROR(IF(V148=1,AA$100*EXP(-(LN(2)/$D$65+0.04)*X148)*EXP(-(LN(2)/$D$65+0.1)*Y148),IF(V148=2,AA$100*EXP(-(LN(2)/$D$65+0.04)*(VLOOKUP(($F$16-$F$15)-1,U$99:Y148,4,FALSE)))*EXP(-(LN(2)/$D$65+0.1)*(VLOOKUP(($F$16-$F$15)-1,U$99:Y148,5,FALSE)))*EXP(-(LN(2)/$D$65+0.04)*X148)*EXP(-(LN(2)/$D$65+0.1)*Y148),IF(V148=3,AA$100*EXP(-(LN(2)/$D$65+0.04)*(VLOOKUP(($F$16-$F$15)-1,U$99:Y148,4,FALSE)))*EXP(-(LN(2)/$D$65+0.1)*(VLOOKUP(($F$16-$F$15)-1,U$99:Y148,5,FALSE)))*EXP(-(LN(2)/$D$65+0.04)*(VLOOKUP(($F$16-$F$15)*2-1,U$99:Y148,4,FALSE)))*EXP(-(LN(2)/$D$65+0.1)*(VLOOKUP(($F$16-$F$15)*2-1,U$99:Y148,5,FALSE)))*EXP(-(LN(2)/$D$65+0.04)*X148)*EXP(-(LN(2)/$D$65+0.1)*Y148),"-"))),"-")</f>
        <v>-</v>
      </c>
      <c r="AB149" s="271" t="str">
        <f>IFERROR(IF(V149=1,AB$100*EXP(-(LN(2)/$D$65+0.04)*X149)*EXP(-(LN(2)/$D$65+0.1)*Y149),IF(V149=2,AB$100*EXP(-(LN(2)/$D$65+0.04)*(VLOOKUP(($F$16-$F$15)-1,U$100:Y149,4,FALSE)))*EXP(-(LN(2)/$D$65+0.1)*(VLOOKUP(($F$16-$F$15)-1,U$100:Y149,5,FALSE)))*EXP(-(LN(2)/$D$65+0.04)*X149)*EXP(-(LN(2)/$D$65+0.1)*Y149),IF(V149=3,AB$100*EXP(-(LN(2)/$D$65+0.04)*(VLOOKUP(($F$16-$F$15)-1,U$100:Y149,4,FALSE)))*EXP(-(LN(2)/$D$65+0.1)*(VLOOKUP(($F$16-$F$15)-1,U$100:Y149,5,FALSE)))*EXP(-(LN(2)/$D$65+0.04)*(VLOOKUP(($F$16-$F$15)*2-1,U$100:Y149,4,FALSE)))*EXP(-(LN(2)/$D$65+0.1)*(VLOOKUP(($F$16-$F$15)*2-1,U$100:Y149,5,FALSE)))*EXP(-(LN(2)/$D$65+0.04)*X149)*EXP(-(LN(2)/$D$65+0.1)*Y149),"-"))),"-")</f>
        <v>-</v>
      </c>
      <c r="AC149" s="224">
        <f t="shared" si="45"/>
        <v>49</v>
      </c>
      <c r="AD149" s="223" t="str">
        <f t="shared" si="11"/>
        <v>-</v>
      </c>
      <c r="AE149" s="224" t="str">
        <f t="shared" si="46"/>
        <v>-</v>
      </c>
      <c r="AF149" s="224" t="str">
        <f t="shared" si="88"/>
        <v>-</v>
      </c>
      <c r="AG149" s="224" t="str">
        <f t="shared" si="89"/>
        <v>-</v>
      </c>
      <c r="AH149" s="272">
        <f t="shared" si="47"/>
        <v>0.1</v>
      </c>
      <c r="AI149" s="271" t="str">
        <f>IFERROR(IF(AD148=1,AI$100*EXP(-(LN(2)/$D$65+0.04)*AF148)*EXP(-(LN(2)/$D$65+0.1)*AG148),IF(AD148=2,AI$100*EXP(-(LN(2)/$D$65+0.04)*(VLOOKUP(($F$16-$F$15)-1,AC$99:AG148,4,FALSE)))*EXP(-(LN(2)/$D$65+0.1)*(VLOOKUP(($F$16-$F$15)-1,AC$99:AG148,5,FALSE)))*EXP(-(LN(2)/$D$65+0.04)*AF148)*EXP(-(LN(2)/$D$65+0.1)*AG148),IF(AD148=3,AI$100*EXP(-(LN(2)/$D$65+0.04)*(VLOOKUP(($F$16-$F$15)-1,AC$99:AG148,4,FALSE)))*EXP(-(LN(2)/$D$65+0.1)*(VLOOKUP(($F$16-$F$15)-1,AC$99:AG148,5,FALSE)))*EXP(-(LN(2)/$D$65+0.04)*(VLOOKUP(($F$16-$F$15)*2-1,AC$99:AG148,4,FALSE)))*EXP(-(LN(2)/$D$65+0.1)*(VLOOKUP(($F$16-$F$15)*2-1,AC$99:AG148,5,FALSE)))*EXP(-(LN(2)/$D$65+0.04)*AF148)*EXP(-(LN(2)/$D$65+0.1)*AG148),"-"))),"-")</f>
        <v>-</v>
      </c>
      <c r="AJ149" s="271" t="str">
        <f>IFERROR(IF(AD149=1,AJ$100*EXP(-(LN(2)/$D$65+0.04)*AF149)*EXP(-(LN(2)/$D$65+0.1)*AG149),IF(AD149=2,AJ$100*EXP(-(LN(2)/$D$65+0.04)*(VLOOKUP(($F$16-$F$15)-1,AC$100:AG149,4,FALSE)))*EXP(-(LN(2)/$D$65+0.1)*(VLOOKUP(($F$16-$F$15)-1,AC$100:AG149,5,FALSE)))*EXP(-(LN(2)/$D$65+0.04)*AF149)*EXP(-(LN(2)/$D$65+0.1)*AG149),IF(AD149=3,AJ$100*EXP(-(LN(2)/$D$65+0.04)*(VLOOKUP(($F$16-$F$15)-1,AC$100:AG149,4,FALSE)))*EXP(-(LN(2)/$D$65+0.1)*(VLOOKUP(($F$16-$F$15)-1,AC$100:AG149,5,FALSE)))*EXP(-(LN(2)/$D$65+0.04)*(VLOOKUP(($F$16-$F$15)*2-1,AC$100:AG149,4,FALSE)))*EXP(-(LN(2)/$D$65+0.1)*(VLOOKUP(($F$16-$F$15)*2-1,AC$100:AG149,5,FALSE)))*EXP(-(LN(2)/$D$65+0.04)*AF149)*EXP(-(LN(2)/$D$65+0.1)*AG149),"-"))),"-")</f>
        <v>-</v>
      </c>
      <c r="AK149" s="227">
        <f t="shared" si="49"/>
        <v>49</v>
      </c>
      <c r="AL149" s="226" t="str">
        <f t="shared" si="15"/>
        <v>-</v>
      </c>
      <c r="AM149" s="227" t="str">
        <f t="shared" si="50"/>
        <v>-</v>
      </c>
      <c r="AN149" s="227" t="str">
        <f t="shared" si="51"/>
        <v>-</v>
      </c>
      <c r="AO149" s="227" t="str">
        <f t="shared" si="90"/>
        <v>-</v>
      </c>
      <c r="AP149" s="273">
        <f t="shared" si="52"/>
        <v>0.1</v>
      </c>
      <c r="AQ149" s="271" t="str">
        <f>IFERROR(IF(AL148=1,AQ$100*EXP(-(LN(2)/$D$65+0.04)*AN148)*EXP(-(LN(2)/$D$65+0.1)*AO148),IF(AL148=2,AQ$100*EXP(-(LN(2)/$D$65+0.04)*(VLOOKUP(($F$16-$F$15)-1,AK$99:AO148,4,FALSE)))*EXP(-(LN(2)/$D$65+0.1)*(VLOOKUP(($F$16-$F$15)-1,AK$99:AO148,5,FALSE)))*EXP(-(LN(2)/$D$65+0.04)*AN148)*EXP(-(LN(2)/$D$65+0.1)*AO148),IF(AL148=3,AQ$100*EXP(-(LN(2)/$D$65+0.04)*(VLOOKUP(($F$16-$F$15)-1,AK$99:AO148,4,FALSE)))*EXP(-(LN(2)/$D$65+0.1)*(VLOOKUP(($F$16-$F$15)-1,AK$99:AO148,5,FALSE)))*EXP(-(LN(2)/$D$65+0.04)*(VLOOKUP(($F$16-$F$15)*2-1,AK$99:AO148,4,FALSE)))*EXP(-(LN(2)/$D$65+0.1)*(VLOOKUP(($F$16-$F$15)*2-1,AK$99:AO148,5,FALSE)))*EXP(-(LN(2)/$D$65+0.04)*AN148)*EXP(-(LN(2)/$D$65+0.1)*AO148),"-"))),"-")</f>
        <v>-</v>
      </c>
      <c r="AR149" s="271" t="str">
        <f>IFERROR(IF(AL149=1,AR$100*EXP(-(LN(2)/$D$65+0.04)*AN149)*EXP(-(LN(2)/$D$65+0.1)*AO149),IF(AL149=2,AR$100*EXP(-(LN(2)/$D$65+0.04)*(VLOOKUP(($F$16-$F$15)-1,AK$100:AO149,4,FALSE)))*EXP(-(LN(2)/$D$65+0.1)*(VLOOKUP(($F$16-$F$15)-1,AK$100:AO149,5,FALSE)))*EXP(-(LN(2)/$D$65+0.04)*AN149)*EXP(-(LN(2)/$D$65+0.1)*AO149),IF(AL149=3,AR$100*EXP(-(LN(2)/$D$65+0.04)*(VLOOKUP(($F$16-$F$15)-1,AK$100:AO149,4,FALSE)))*EXP(-(LN(2)/$D$65+0.1)*(VLOOKUP(($F$16-$F$15)-1,AK$100:AO149,5,FALSE)))*EXP(-(LN(2)/$D$65+0.04)*(VLOOKUP(($F$16-$F$15)*2-1,AK$100:AO149,4,FALSE)))*EXP(-(LN(2)/$D$65+0.1)*(VLOOKUP(($F$16-$F$15)*2-1,AK$100:AO149,5,FALSE)))*EXP(-(LN(2)/$D$65+0.04)*AN149)*EXP(-(LN(2)/$D$65+0.1)*AO149),"-"))),"-")</f>
        <v>-</v>
      </c>
      <c r="AS149" s="274">
        <f t="shared" si="91"/>
        <v>0</v>
      </c>
      <c r="AT149" s="274">
        <f t="shared" si="92"/>
        <v>0</v>
      </c>
      <c r="AU149" s="274">
        <f t="shared" si="93"/>
        <v>0</v>
      </c>
      <c r="AV149" s="190">
        <f>IF($B149&lt;$F$22,SUM($T$100:$T149),"")</f>
        <v>0</v>
      </c>
      <c r="AW149" s="190" t="str">
        <f t="shared" si="94"/>
        <v>-</v>
      </c>
      <c r="AX149" s="190" t="str">
        <f t="shared" si="56"/>
        <v/>
      </c>
      <c r="AY149"/>
      <c r="AZ149" s="190" t="str">
        <f ca="1">IF(ISNUMBER(OFFSET(AV149,-$F$21,0)),SUM(OFFSET($T$100,$F$21,0):$T149),"")</f>
        <v/>
      </c>
      <c r="BA149" s="190" t="str">
        <f t="shared" ca="1" si="95"/>
        <v/>
      </c>
      <c r="BB149" s="190" t="str">
        <f t="shared" ca="1" si="70"/>
        <v/>
      </c>
      <c r="BC149" s="190"/>
      <c r="BD149" s="190" t="str">
        <f ca="1">IFERROR(IF(AND($B149&gt;=($F$16-$F$15),$B149&lt;$F$22+($F$16-$F$15)),SUM(OFFSET($T$100,($F$16-$F$15),0):$T149),""),"")</f>
        <v/>
      </c>
      <c r="BE149" s="190" t="str">
        <f t="shared" ca="1" si="58"/>
        <v/>
      </c>
      <c r="BF149" s="190" t="str">
        <f t="shared" ca="1" si="59"/>
        <v/>
      </c>
      <c r="BG149"/>
      <c r="BH149" s="190" t="str">
        <f ca="1">IF(ISNUMBER(OFFSET(BD149,-$F$21,0)),SUM(OFFSET($T$100,($F$16-$F$15+$F$21),0):$T149),"")</f>
        <v/>
      </c>
      <c r="BI149" s="190" t="str">
        <f t="shared" ca="1" si="96"/>
        <v/>
      </c>
      <c r="BJ149" s="190" t="str">
        <f t="shared" ca="1" si="60"/>
        <v/>
      </c>
      <c r="BK149" s="190"/>
      <c r="BL149" s="190" t="str">
        <f ca="1">IFERROR(IF(AND($B149&gt;=($F$17-$F$15),$B149&lt;$F$22+($F$17-$F$15)),SUM(OFFSET($T$100,($F$17-$F$15),0):$T149),""),"")</f>
        <v/>
      </c>
      <c r="BM149" s="190" t="str">
        <f t="shared" ca="1" si="97"/>
        <v/>
      </c>
      <c r="BN149" s="190" t="str">
        <f t="shared" ca="1" si="61"/>
        <v/>
      </c>
      <c r="BO149"/>
      <c r="BP149" s="190" t="str">
        <f ca="1">IF(ISNUMBER(OFFSET(BL149,-$F$21,0)),SUM(OFFSET($T$100,($F$17-$F$15+$F$21),0):$T149),"")</f>
        <v/>
      </c>
      <c r="BQ149" s="190" t="str">
        <f t="shared" ca="1" si="98"/>
        <v/>
      </c>
      <c r="BR149" s="190" t="str">
        <f t="shared" ca="1" si="63"/>
        <v/>
      </c>
      <c r="BS149" s="190"/>
      <c r="BT149"/>
      <c r="BU149"/>
      <c r="BV149"/>
      <c r="BY149" s="99"/>
      <c r="BZ149" s="99"/>
      <c r="CA149" s="280" t="str">
        <f t="shared" si="99"/>
        <v/>
      </c>
      <c r="CB149" s="71" t="str">
        <f t="shared" si="100"/>
        <v>-</v>
      </c>
      <c r="CC149" s="33"/>
      <c r="CD149" s="261" t="str">
        <f t="shared" si="101"/>
        <v/>
      </c>
      <c r="CE149" s="280" t="str">
        <f t="shared" si="102"/>
        <v>-</v>
      </c>
      <c r="CF149" s="71" t="str">
        <f t="shared" ca="1" si="103"/>
        <v>-</v>
      </c>
      <c r="CG149" s="33" t="str">
        <f t="shared" si="104"/>
        <v>49-50</v>
      </c>
      <c r="CH149" s="261" t="str">
        <f t="shared" ca="1" si="105"/>
        <v/>
      </c>
      <c r="CI149" s="202"/>
      <c r="CP149" s="99"/>
      <c r="CQ149" s="99"/>
      <c r="CR149" s="99"/>
      <c r="CS149" s="99"/>
      <c r="CT149" s="99"/>
      <c r="CU149" s="99"/>
      <c r="CV149" s="99"/>
      <c r="CW149" s="99"/>
      <c r="CX149" s="99"/>
      <c r="CY149" s="99"/>
      <c r="CZ149" s="99"/>
      <c r="DA149" s="99"/>
      <c r="DB149" s="99"/>
      <c r="DC149" s="99"/>
    </row>
    <row r="150" spans="2:107" ht="13.5" customHeight="1" x14ac:dyDescent="0.2">
      <c r="B150" s="262">
        <v>50</v>
      </c>
      <c r="C150" s="237" t="str">
        <f t="shared" si="71"/>
        <v/>
      </c>
      <c r="D150" s="237" t="str">
        <f t="shared" si="106"/>
        <v>-</v>
      </c>
      <c r="E150" s="290" t="str">
        <f t="shared" si="32"/>
        <v/>
      </c>
      <c r="F150" s="264" t="str">
        <f t="shared" si="33"/>
        <v/>
      </c>
      <c r="G150" s="291" t="str">
        <f t="shared" si="34"/>
        <v/>
      </c>
      <c r="H150" s="240" t="str">
        <f t="shared" si="72"/>
        <v/>
      </c>
      <c r="I150" s="265" t="str">
        <f t="shared" si="73"/>
        <v/>
      </c>
      <c r="J150" s="265" t="str">
        <f t="shared" si="74"/>
        <v/>
      </c>
      <c r="K150" s="240" t="str">
        <f t="shared" si="75"/>
        <v/>
      </c>
      <c r="L150" s="265" t="str">
        <f t="shared" si="76"/>
        <v/>
      </c>
      <c r="M150" s="265" t="str">
        <f t="shared" si="77"/>
        <v/>
      </c>
      <c r="N150" s="240" t="str">
        <f t="shared" si="78"/>
        <v>-</v>
      </c>
      <c r="O150" s="265" t="str">
        <f t="shared" si="79"/>
        <v>-</v>
      </c>
      <c r="P150" s="265" t="str">
        <f t="shared" si="80"/>
        <v>-</v>
      </c>
      <c r="Q150" s="266" t="str">
        <f t="shared" si="81"/>
        <v>-</v>
      </c>
      <c r="R150" s="267" t="str">
        <f t="shared" si="82"/>
        <v>-</v>
      </c>
      <c r="S150" s="268" t="str">
        <f t="shared" si="83"/>
        <v>-</v>
      </c>
      <c r="T150" s="269" t="str">
        <f t="shared" si="84"/>
        <v/>
      </c>
      <c r="U150" s="221">
        <f t="shared" si="85"/>
        <v>50</v>
      </c>
      <c r="V150" s="220" t="str">
        <f t="shared" si="42"/>
        <v>-</v>
      </c>
      <c r="W150" s="221" t="str">
        <f t="shared" si="43"/>
        <v>-</v>
      </c>
      <c r="X150" s="221" t="str">
        <f t="shared" si="86"/>
        <v>-</v>
      </c>
      <c r="Y150" s="221" t="str">
        <f t="shared" si="87"/>
        <v>-</v>
      </c>
      <c r="Z150" s="270">
        <f t="shared" si="44"/>
        <v>0.1</v>
      </c>
      <c r="AA150" s="271" t="str">
        <f>IFERROR(IF(V149=1,AA$100*EXP(-(LN(2)/$D$65+0.04)*X149)*EXP(-(LN(2)/$D$65+0.1)*Y149),IF(V149=2,AA$100*EXP(-(LN(2)/$D$65+0.04)*(VLOOKUP(($F$16-$F$15)-1,U$99:Y149,4,FALSE)))*EXP(-(LN(2)/$D$65+0.1)*(VLOOKUP(($F$16-$F$15)-1,U$99:Y149,5,FALSE)))*EXP(-(LN(2)/$D$65+0.04)*X149)*EXP(-(LN(2)/$D$65+0.1)*Y149),IF(V149=3,AA$100*EXP(-(LN(2)/$D$65+0.04)*(VLOOKUP(($F$16-$F$15)-1,U$99:Y149,4,FALSE)))*EXP(-(LN(2)/$D$65+0.1)*(VLOOKUP(($F$16-$F$15)-1,U$99:Y149,5,FALSE)))*EXP(-(LN(2)/$D$65+0.04)*(VLOOKUP(($F$16-$F$15)*2-1,U$99:Y149,4,FALSE)))*EXP(-(LN(2)/$D$65+0.1)*(VLOOKUP(($F$16-$F$15)*2-1,U$99:Y149,5,FALSE)))*EXP(-(LN(2)/$D$65+0.04)*X149)*EXP(-(LN(2)/$D$65+0.1)*Y149),"-"))),"-")</f>
        <v>-</v>
      </c>
      <c r="AB150" s="271" t="str">
        <f>IFERROR(IF(V150=1,AB$100*EXP(-(LN(2)/$D$65+0.04)*X150)*EXP(-(LN(2)/$D$65+0.1)*Y150),IF(V150=2,AB$100*EXP(-(LN(2)/$D$65+0.04)*(VLOOKUP(($F$16-$F$15)-1,U$100:Y150,4,FALSE)))*EXP(-(LN(2)/$D$65+0.1)*(VLOOKUP(($F$16-$F$15)-1,U$100:Y150,5,FALSE)))*EXP(-(LN(2)/$D$65+0.04)*X150)*EXP(-(LN(2)/$D$65+0.1)*Y150),IF(V150=3,AB$100*EXP(-(LN(2)/$D$65+0.04)*(VLOOKUP(($F$16-$F$15)-1,U$100:Y150,4,FALSE)))*EXP(-(LN(2)/$D$65+0.1)*(VLOOKUP(($F$16-$F$15)-1,U$100:Y150,5,FALSE)))*EXP(-(LN(2)/$D$65+0.04)*(VLOOKUP(($F$16-$F$15)*2-1,U$100:Y150,4,FALSE)))*EXP(-(LN(2)/$D$65+0.1)*(VLOOKUP(($F$16-$F$15)*2-1,U$100:Y150,5,FALSE)))*EXP(-(LN(2)/$D$65+0.04)*X150)*EXP(-(LN(2)/$D$65+0.1)*Y150),"-"))),"-")</f>
        <v>-</v>
      </c>
      <c r="AC150" s="224">
        <f t="shared" si="45"/>
        <v>50</v>
      </c>
      <c r="AD150" s="223" t="str">
        <f t="shared" si="11"/>
        <v>-</v>
      </c>
      <c r="AE150" s="224" t="str">
        <f t="shared" si="46"/>
        <v>-</v>
      </c>
      <c r="AF150" s="224" t="str">
        <f t="shared" si="88"/>
        <v>-</v>
      </c>
      <c r="AG150" s="224" t="str">
        <f t="shared" si="89"/>
        <v>-</v>
      </c>
      <c r="AH150" s="272">
        <f t="shared" si="47"/>
        <v>0.1</v>
      </c>
      <c r="AI150" s="271" t="str">
        <f>IFERROR(IF(AD149=1,AI$100*EXP(-(LN(2)/$D$65+0.04)*AF149)*EXP(-(LN(2)/$D$65+0.1)*AG149),IF(AD149=2,AI$100*EXP(-(LN(2)/$D$65+0.04)*(VLOOKUP(($F$16-$F$15)-1,AC$99:AG149,4,FALSE)))*EXP(-(LN(2)/$D$65+0.1)*(VLOOKUP(($F$16-$F$15)-1,AC$99:AG149,5,FALSE)))*EXP(-(LN(2)/$D$65+0.04)*AF149)*EXP(-(LN(2)/$D$65+0.1)*AG149),IF(AD149=3,AI$100*EXP(-(LN(2)/$D$65+0.04)*(VLOOKUP(($F$16-$F$15)-1,AC$99:AG149,4,FALSE)))*EXP(-(LN(2)/$D$65+0.1)*(VLOOKUP(($F$16-$F$15)-1,AC$99:AG149,5,FALSE)))*EXP(-(LN(2)/$D$65+0.04)*(VLOOKUP(($F$16-$F$15)*2-1,AC$99:AG149,4,FALSE)))*EXP(-(LN(2)/$D$65+0.1)*(VLOOKUP(($F$16-$F$15)*2-1,AC$99:AG149,5,FALSE)))*EXP(-(LN(2)/$D$65+0.04)*AF149)*EXP(-(LN(2)/$D$65+0.1)*AG149),"-"))),"-")</f>
        <v>-</v>
      </c>
      <c r="AJ150" s="271" t="str">
        <f>IFERROR(IF(AD150=1,AJ$100*EXP(-(LN(2)/$D$65+0.04)*AF150)*EXP(-(LN(2)/$D$65+0.1)*AG150),IF(AD150=2,AJ$100*EXP(-(LN(2)/$D$65+0.04)*(VLOOKUP(($F$16-$F$15)-1,AC$100:AG150,4,FALSE)))*EXP(-(LN(2)/$D$65+0.1)*(VLOOKUP(($F$16-$F$15)-1,AC$100:AG150,5,FALSE)))*EXP(-(LN(2)/$D$65+0.04)*AF150)*EXP(-(LN(2)/$D$65+0.1)*AG150),IF(AD150=3,AJ$100*EXP(-(LN(2)/$D$65+0.04)*(VLOOKUP(($F$16-$F$15)-1,AC$100:AG150,4,FALSE)))*EXP(-(LN(2)/$D$65+0.1)*(VLOOKUP(($F$16-$F$15)-1,AC$100:AG150,5,FALSE)))*EXP(-(LN(2)/$D$65+0.04)*(VLOOKUP(($F$16-$F$15)*2-1,AC$100:AG150,4,FALSE)))*EXP(-(LN(2)/$D$65+0.1)*(VLOOKUP(($F$16-$F$15)*2-1,AC$100:AG150,5,FALSE)))*EXP(-(LN(2)/$D$65+0.04)*AF150)*EXP(-(LN(2)/$D$65+0.1)*AG150),"-"))),"-")</f>
        <v>-</v>
      </c>
      <c r="AK150" s="227">
        <f t="shared" si="49"/>
        <v>50</v>
      </c>
      <c r="AL150" s="226" t="str">
        <f t="shared" si="15"/>
        <v>-</v>
      </c>
      <c r="AM150" s="227" t="str">
        <f t="shared" si="50"/>
        <v>-</v>
      </c>
      <c r="AN150" s="227" t="str">
        <f t="shared" si="51"/>
        <v>-</v>
      </c>
      <c r="AO150" s="227" t="str">
        <f t="shared" si="90"/>
        <v>-</v>
      </c>
      <c r="AP150" s="273">
        <f t="shared" si="52"/>
        <v>0.1</v>
      </c>
      <c r="AQ150" s="271" t="str">
        <f>IFERROR(IF(AL149=1,AQ$100*EXP(-(LN(2)/$D$65+0.04)*AN149)*EXP(-(LN(2)/$D$65+0.1)*AO149),IF(AL149=2,AQ$100*EXP(-(LN(2)/$D$65+0.04)*(VLOOKUP(($F$16-$F$15)-1,AK$99:AO149,4,FALSE)))*EXP(-(LN(2)/$D$65+0.1)*(VLOOKUP(($F$16-$F$15)-1,AK$99:AO149,5,FALSE)))*EXP(-(LN(2)/$D$65+0.04)*AN149)*EXP(-(LN(2)/$D$65+0.1)*AO149),IF(AL149=3,AQ$100*EXP(-(LN(2)/$D$65+0.04)*(VLOOKUP(($F$16-$F$15)-1,AK$99:AO149,4,FALSE)))*EXP(-(LN(2)/$D$65+0.1)*(VLOOKUP(($F$16-$F$15)-1,AK$99:AO149,5,FALSE)))*EXP(-(LN(2)/$D$65+0.04)*(VLOOKUP(($F$16-$F$15)*2-1,AK$99:AO149,4,FALSE)))*EXP(-(LN(2)/$D$65+0.1)*(VLOOKUP(($F$16-$F$15)*2-1,AK$99:AO149,5,FALSE)))*EXP(-(LN(2)/$D$65+0.04)*AN149)*EXP(-(LN(2)/$D$65+0.1)*AO149),"-"))),"-")</f>
        <v>-</v>
      </c>
      <c r="AR150" s="271" t="str">
        <f>IFERROR(IF(AL150=1,AR$100*EXP(-(LN(2)/$D$65+0.04)*AN150)*EXP(-(LN(2)/$D$65+0.1)*AO150),IF(AL150=2,AR$100*EXP(-(LN(2)/$D$65+0.04)*(VLOOKUP(($F$16-$F$15)-1,AK$100:AO150,4,FALSE)))*EXP(-(LN(2)/$D$65+0.1)*(VLOOKUP(($F$16-$F$15)-1,AK$100:AO150,5,FALSE)))*EXP(-(LN(2)/$D$65+0.04)*AN150)*EXP(-(LN(2)/$D$65+0.1)*AO150),IF(AL150=3,AR$100*EXP(-(LN(2)/$D$65+0.04)*(VLOOKUP(($F$16-$F$15)-1,AK$100:AO150,4,FALSE)))*EXP(-(LN(2)/$D$65+0.1)*(VLOOKUP(($F$16-$F$15)-1,AK$100:AO150,5,FALSE)))*EXP(-(LN(2)/$D$65+0.04)*(VLOOKUP(($F$16-$F$15)*2-1,AK$100:AO150,4,FALSE)))*EXP(-(LN(2)/$D$65+0.1)*(VLOOKUP(($F$16-$F$15)*2-1,AK$100:AO150,5,FALSE)))*EXP(-(LN(2)/$D$65+0.04)*AN150)*EXP(-(LN(2)/$D$65+0.1)*AO150),"-"))),"-")</f>
        <v>-</v>
      </c>
      <c r="AS150" s="274">
        <f t="shared" si="91"/>
        <v>0</v>
      </c>
      <c r="AT150" s="274">
        <f t="shared" si="92"/>
        <v>0</v>
      </c>
      <c r="AU150" s="274">
        <f t="shared" si="93"/>
        <v>0</v>
      </c>
      <c r="AV150" s="190">
        <f>IF($B150&lt;$F$22,SUM($T$100:$T150),"")</f>
        <v>0</v>
      </c>
      <c r="AW150" s="190" t="str">
        <f t="shared" si="94"/>
        <v>-</v>
      </c>
      <c r="AX150" s="190" t="str">
        <f t="shared" si="56"/>
        <v/>
      </c>
      <c r="AY150"/>
      <c r="AZ150" s="190" t="str">
        <f ca="1">IF(ISNUMBER(OFFSET(AV150,-$F$21,0)),SUM(OFFSET($T$100,$F$21,0):$T150),"")</f>
        <v/>
      </c>
      <c r="BA150" s="190" t="str">
        <f t="shared" ca="1" si="95"/>
        <v/>
      </c>
      <c r="BB150" s="190" t="str">
        <f t="shared" ca="1" si="70"/>
        <v/>
      </c>
      <c r="BC150" s="190"/>
      <c r="BD150" s="190" t="str">
        <f ca="1">IFERROR(IF(AND($B150&gt;=($F$16-$F$15),$B150&lt;$F$22+($F$16-$F$15)),SUM(OFFSET($T$100,($F$16-$F$15),0):$T150),""),"")</f>
        <v/>
      </c>
      <c r="BE150" s="190" t="str">
        <f t="shared" ca="1" si="58"/>
        <v/>
      </c>
      <c r="BF150" s="190" t="str">
        <f t="shared" ca="1" si="59"/>
        <v/>
      </c>
      <c r="BG150"/>
      <c r="BH150" s="190" t="str">
        <f ca="1">IF(ISNUMBER(OFFSET(BD150,-$F$21,0)),SUM(OFFSET($T$100,($F$16-$F$15+$F$21),0):$T150),"")</f>
        <v/>
      </c>
      <c r="BI150" s="190" t="str">
        <f t="shared" ca="1" si="96"/>
        <v/>
      </c>
      <c r="BJ150" s="190" t="str">
        <f t="shared" ca="1" si="60"/>
        <v/>
      </c>
      <c r="BK150" s="190"/>
      <c r="BL150" s="190" t="str">
        <f ca="1">IFERROR(IF(AND($B150&gt;=($F$17-$F$15),$B150&lt;$F$22+($F$17-$F$15)),SUM(OFFSET($T$100,($F$17-$F$15),0):$T150),""),"")</f>
        <v/>
      </c>
      <c r="BM150" s="190" t="str">
        <f t="shared" ca="1" si="97"/>
        <v/>
      </c>
      <c r="BN150" s="190" t="str">
        <f t="shared" ca="1" si="61"/>
        <v/>
      </c>
      <c r="BO150"/>
      <c r="BP150" s="190" t="str">
        <f ca="1">IF(ISNUMBER(OFFSET(BL150,-$F$21,0)),SUM(OFFSET($T$100,($F$17-$F$15+$F$21),0):$T150),"")</f>
        <v/>
      </c>
      <c r="BQ150" s="190" t="str">
        <f t="shared" ca="1" si="98"/>
        <v/>
      </c>
      <c r="BR150" s="190" t="str">
        <f t="shared" ca="1" si="63"/>
        <v/>
      </c>
      <c r="BS150" s="190"/>
      <c r="BT150"/>
      <c r="BU150"/>
      <c r="BV150"/>
      <c r="BY150" s="99"/>
      <c r="BZ150" s="99"/>
      <c r="CA150" s="280" t="str">
        <f t="shared" si="99"/>
        <v/>
      </c>
      <c r="CB150" s="71" t="str">
        <f t="shared" si="100"/>
        <v>-</v>
      </c>
      <c r="CC150" s="33"/>
      <c r="CD150" s="261" t="str">
        <f t="shared" si="101"/>
        <v/>
      </c>
      <c r="CE150" s="280" t="str">
        <f t="shared" si="102"/>
        <v>-</v>
      </c>
      <c r="CF150" s="71" t="str">
        <f t="shared" ca="1" si="103"/>
        <v>-</v>
      </c>
      <c r="CG150" s="33" t="str">
        <f t="shared" si="104"/>
        <v>50-51</v>
      </c>
      <c r="CH150" s="261" t="str">
        <f t="shared" ca="1" si="105"/>
        <v/>
      </c>
      <c r="CI150" s="202"/>
      <c r="CP150" s="99"/>
      <c r="CQ150" s="99"/>
      <c r="CR150" s="99"/>
      <c r="CS150" s="99"/>
      <c r="CT150" s="99"/>
      <c r="CU150" s="99"/>
      <c r="CV150" s="99"/>
      <c r="CW150" s="99"/>
      <c r="CX150" s="99"/>
      <c r="CY150" s="99"/>
      <c r="CZ150" s="99"/>
      <c r="DA150" s="99"/>
      <c r="DB150" s="99"/>
      <c r="DC150" s="99"/>
    </row>
    <row r="151" spans="2:107" ht="13.5" customHeight="1" x14ac:dyDescent="0.2">
      <c r="B151" s="262">
        <v>51</v>
      </c>
      <c r="C151" s="237" t="str">
        <f t="shared" si="71"/>
        <v/>
      </c>
      <c r="D151" s="237" t="str">
        <f t="shared" si="106"/>
        <v>-</v>
      </c>
      <c r="E151" s="290" t="str">
        <f t="shared" si="32"/>
        <v/>
      </c>
      <c r="F151" s="264" t="str">
        <f t="shared" si="33"/>
        <v/>
      </c>
      <c r="G151" s="291" t="str">
        <f t="shared" si="34"/>
        <v/>
      </c>
      <c r="H151" s="240" t="str">
        <f t="shared" si="72"/>
        <v/>
      </c>
      <c r="I151" s="265" t="str">
        <f t="shared" si="73"/>
        <v/>
      </c>
      <c r="J151" s="265" t="str">
        <f t="shared" si="74"/>
        <v/>
      </c>
      <c r="K151" s="240" t="str">
        <f t="shared" si="75"/>
        <v/>
      </c>
      <c r="L151" s="265" t="str">
        <f t="shared" si="76"/>
        <v/>
      </c>
      <c r="M151" s="265" t="str">
        <f t="shared" si="77"/>
        <v/>
      </c>
      <c r="N151" s="240" t="str">
        <f t="shared" si="78"/>
        <v>-</v>
      </c>
      <c r="O151" s="265" t="str">
        <f t="shared" si="79"/>
        <v>-</v>
      </c>
      <c r="P151" s="265" t="str">
        <f t="shared" si="80"/>
        <v>-</v>
      </c>
      <c r="Q151" s="266" t="str">
        <f t="shared" si="81"/>
        <v>-</v>
      </c>
      <c r="R151" s="267" t="str">
        <f t="shared" si="82"/>
        <v>-</v>
      </c>
      <c r="S151" s="268" t="str">
        <f t="shared" si="83"/>
        <v>-</v>
      </c>
      <c r="T151" s="269" t="str">
        <f t="shared" si="84"/>
        <v/>
      </c>
      <c r="U151" s="221">
        <f t="shared" si="85"/>
        <v>51</v>
      </c>
      <c r="V151" s="220" t="str">
        <f t="shared" si="42"/>
        <v>-</v>
      </c>
      <c r="W151" s="221" t="str">
        <f t="shared" si="43"/>
        <v>-</v>
      </c>
      <c r="X151" s="221" t="str">
        <f t="shared" si="86"/>
        <v>-</v>
      </c>
      <c r="Y151" s="221" t="str">
        <f t="shared" si="87"/>
        <v>-</v>
      </c>
      <c r="Z151" s="270">
        <f t="shared" si="44"/>
        <v>0.1</v>
      </c>
      <c r="AA151" s="271" t="str">
        <f>IFERROR(IF(V150=1,AA$100*EXP(-(LN(2)/$D$65+0.04)*X150)*EXP(-(LN(2)/$D$65+0.1)*Y150),IF(V150=2,AA$100*EXP(-(LN(2)/$D$65+0.04)*(VLOOKUP(($F$16-$F$15)-1,U$99:Y150,4,FALSE)))*EXP(-(LN(2)/$D$65+0.1)*(VLOOKUP(($F$16-$F$15)-1,U$99:Y150,5,FALSE)))*EXP(-(LN(2)/$D$65+0.04)*X150)*EXP(-(LN(2)/$D$65+0.1)*Y150),IF(V150=3,AA$100*EXP(-(LN(2)/$D$65+0.04)*(VLOOKUP(($F$16-$F$15)-1,U$99:Y150,4,FALSE)))*EXP(-(LN(2)/$D$65+0.1)*(VLOOKUP(($F$16-$F$15)-1,U$99:Y150,5,FALSE)))*EXP(-(LN(2)/$D$65+0.04)*(VLOOKUP(($F$16-$F$15)*2-1,U$99:Y150,4,FALSE)))*EXP(-(LN(2)/$D$65+0.1)*(VLOOKUP(($F$16-$F$15)*2-1,U$99:Y150,5,FALSE)))*EXP(-(LN(2)/$D$65+0.04)*X150)*EXP(-(LN(2)/$D$65+0.1)*Y150),"-"))),"-")</f>
        <v>-</v>
      </c>
      <c r="AB151" s="271" t="str">
        <f>IFERROR(IF(V151=1,AB$100*EXP(-(LN(2)/$D$65+0.04)*X151)*EXP(-(LN(2)/$D$65+0.1)*Y151),IF(V151=2,AB$100*EXP(-(LN(2)/$D$65+0.04)*(VLOOKUP(($F$16-$F$15)-1,U$100:Y151,4,FALSE)))*EXP(-(LN(2)/$D$65+0.1)*(VLOOKUP(($F$16-$F$15)-1,U$100:Y151,5,FALSE)))*EXP(-(LN(2)/$D$65+0.04)*X151)*EXP(-(LN(2)/$D$65+0.1)*Y151),IF(V151=3,AB$100*EXP(-(LN(2)/$D$65+0.04)*(VLOOKUP(($F$16-$F$15)-1,U$100:Y151,4,FALSE)))*EXP(-(LN(2)/$D$65+0.1)*(VLOOKUP(($F$16-$F$15)-1,U$100:Y151,5,FALSE)))*EXP(-(LN(2)/$D$65+0.04)*(VLOOKUP(($F$16-$F$15)*2-1,U$100:Y151,4,FALSE)))*EXP(-(LN(2)/$D$65+0.1)*(VLOOKUP(($F$16-$F$15)*2-1,U$100:Y151,5,FALSE)))*EXP(-(LN(2)/$D$65+0.04)*X151)*EXP(-(LN(2)/$D$65+0.1)*Y151),"-"))),"-")</f>
        <v>-</v>
      </c>
      <c r="AC151" s="224">
        <f t="shared" si="45"/>
        <v>51</v>
      </c>
      <c r="AD151" s="223" t="str">
        <f t="shared" si="11"/>
        <v>-</v>
      </c>
      <c r="AE151" s="224" t="str">
        <f t="shared" si="46"/>
        <v>-</v>
      </c>
      <c r="AF151" s="224" t="str">
        <f t="shared" si="88"/>
        <v>-</v>
      </c>
      <c r="AG151" s="224" t="str">
        <f t="shared" si="89"/>
        <v>-</v>
      </c>
      <c r="AH151" s="272">
        <f t="shared" si="47"/>
        <v>0.1</v>
      </c>
      <c r="AI151" s="271" t="str">
        <f>IFERROR(IF(AD150=1,AI$100*EXP(-(LN(2)/$D$65+0.04)*AF150)*EXP(-(LN(2)/$D$65+0.1)*AG150),IF(AD150=2,AI$100*EXP(-(LN(2)/$D$65+0.04)*(VLOOKUP(($F$16-$F$15)-1,AC$99:AG150,4,FALSE)))*EXP(-(LN(2)/$D$65+0.1)*(VLOOKUP(($F$16-$F$15)-1,AC$99:AG150,5,FALSE)))*EXP(-(LN(2)/$D$65+0.04)*AF150)*EXP(-(LN(2)/$D$65+0.1)*AG150),IF(AD150=3,AI$100*EXP(-(LN(2)/$D$65+0.04)*(VLOOKUP(($F$16-$F$15)-1,AC$99:AG150,4,FALSE)))*EXP(-(LN(2)/$D$65+0.1)*(VLOOKUP(($F$16-$F$15)-1,AC$99:AG150,5,FALSE)))*EXP(-(LN(2)/$D$65+0.04)*(VLOOKUP(($F$16-$F$15)*2-1,AC$99:AG150,4,FALSE)))*EXP(-(LN(2)/$D$65+0.1)*(VLOOKUP(($F$16-$F$15)*2-1,AC$99:AG150,5,FALSE)))*EXP(-(LN(2)/$D$65+0.04)*AF150)*EXP(-(LN(2)/$D$65+0.1)*AG150),"-"))),"-")</f>
        <v>-</v>
      </c>
      <c r="AJ151" s="271" t="str">
        <f>IFERROR(IF(AD151=1,AJ$100*EXP(-(LN(2)/$D$65+0.04)*AF151)*EXP(-(LN(2)/$D$65+0.1)*AG151),IF(AD151=2,AJ$100*EXP(-(LN(2)/$D$65+0.04)*(VLOOKUP(($F$16-$F$15)-1,AC$100:AG151,4,FALSE)))*EXP(-(LN(2)/$D$65+0.1)*(VLOOKUP(($F$16-$F$15)-1,AC$100:AG151,5,FALSE)))*EXP(-(LN(2)/$D$65+0.04)*AF151)*EXP(-(LN(2)/$D$65+0.1)*AG151),IF(AD151=3,AJ$100*EXP(-(LN(2)/$D$65+0.04)*(VLOOKUP(($F$16-$F$15)-1,AC$100:AG151,4,FALSE)))*EXP(-(LN(2)/$D$65+0.1)*(VLOOKUP(($F$16-$F$15)-1,AC$100:AG151,5,FALSE)))*EXP(-(LN(2)/$D$65+0.04)*(VLOOKUP(($F$16-$F$15)*2-1,AC$100:AG151,4,FALSE)))*EXP(-(LN(2)/$D$65+0.1)*(VLOOKUP(($F$16-$F$15)*2-1,AC$100:AG151,5,FALSE)))*EXP(-(LN(2)/$D$65+0.04)*AF151)*EXP(-(LN(2)/$D$65+0.1)*AG151),"-"))),"-")</f>
        <v>-</v>
      </c>
      <c r="AK151" s="227">
        <f t="shared" si="49"/>
        <v>51</v>
      </c>
      <c r="AL151" s="226" t="str">
        <f t="shared" si="15"/>
        <v>-</v>
      </c>
      <c r="AM151" s="227" t="str">
        <f t="shared" si="50"/>
        <v>-</v>
      </c>
      <c r="AN151" s="227" t="str">
        <f t="shared" si="51"/>
        <v>-</v>
      </c>
      <c r="AO151" s="227" t="str">
        <f t="shared" si="90"/>
        <v>-</v>
      </c>
      <c r="AP151" s="273">
        <f t="shared" si="52"/>
        <v>0.1</v>
      </c>
      <c r="AQ151" s="271" t="str">
        <f>IFERROR(IF(AL150=1,AQ$100*EXP(-(LN(2)/$D$65+0.04)*AN150)*EXP(-(LN(2)/$D$65+0.1)*AO150),IF(AL150=2,AQ$100*EXP(-(LN(2)/$D$65+0.04)*(VLOOKUP(($F$16-$F$15)-1,AK$99:AO150,4,FALSE)))*EXP(-(LN(2)/$D$65+0.1)*(VLOOKUP(($F$16-$F$15)-1,AK$99:AO150,5,FALSE)))*EXP(-(LN(2)/$D$65+0.04)*AN150)*EXP(-(LN(2)/$D$65+0.1)*AO150),IF(AL150=3,AQ$100*EXP(-(LN(2)/$D$65+0.04)*(VLOOKUP(($F$16-$F$15)-1,AK$99:AO150,4,FALSE)))*EXP(-(LN(2)/$D$65+0.1)*(VLOOKUP(($F$16-$F$15)-1,AK$99:AO150,5,FALSE)))*EXP(-(LN(2)/$D$65+0.04)*(VLOOKUP(($F$16-$F$15)*2-1,AK$99:AO150,4,FALSE)))*EXP(-(LN(2)/$D$65+0.1)*(VLOOKUP(($F$16-$F$15)*2-1,AK$99:AO150,5,FALSE)))*EXP(-(LN(2)/$D$65+0.04)*AN150)*EXP(-(LN(2)/$D$65+0.1)*AO150),"-"))),"-")</f>
        <v>-</v>
      </c>
      <c r="AR151" s="271" t="str">
        <f>IFERROR(IF(AL151=1,AR$100*EXP(-(LN(2)/$D$65+0.04)*AN151)*EXP(-(LN(2)/$D$65+0.1)*AO151),IF(AL151=2,AR$100*EXP(-(LN(2)/$D$65+0.04)*(VLOOKUP(($F$16-$F$15)-1,AK$100:AO151,4,FALSE)))*EXP(-(LN(2)/$D$65+0.1)*(VLOOKUP(($F$16-$F$15)-1,AK$100:AO151,5,FALSE)))*EXP(-(LN(2)/$D$65+0.04)*AN151)*EXP(-(LN(2)/$D$65+0.1)*AO151),IF(AL151=3,AR$100*EXP(-(LN(2)/$D$65+0.04)*(VLOOKUP(($F$16-$F$15)-1,AK$100:AO151,4,FALSE)))*EXP(-(LN(2)/$D$65+0.1)*(VLOOKUP(($F$16-$F$15)-1,AK$100:AO151,5,FALSE)))*EXP(-(LN(2)/$D$65+0.04)*(VLOOKUP(($F$16-$F$15)*2-1,AK$100:AO151,4,FALSE)))*EXP(-(LN(2)/$D$65+0.1)*(VLOOKUP(($F$16-$F$15)*2-1,AK$100:AO151,5,FALSE)))*EXP(-(LN(2)/$D$65+0.04)*AN151)*EXP(-(LN(2)/$D$65+0.1)*AO151),"-"))),"-")</f>
        <v>-</v>
      </c>
      <c r="AS151" s="274">
        <f t="shared" si="91"/>
        <v>0</v>
      </c>
      <c r="AT151" s="274">
        <f t="shared" si="92"/>
        <v>0</v>
      </c>
      <c r="AU151" s="274">
        <f t="shared" si="93"/>
        <v>0</v>
      </c>
      <c r="AV151" s="190">
        <f>IF($B151&lt;$F$22,SUM($T$100:$T151),"")</f>
        <v>0</v>
      </c>
      <c r="AW151" s="190" t="str">
        <f t="shared" si="94"/>
        <v>-</v>
      </c>
      <c r="AX151" s="190" t="str">
        <f t="shared" si="56"/>
        <v/>
      </c>
      <c r="AY151"/>
      <c r="AZ151" s="190" t="str">
        <f ca="1">IF(ISNUMBER(OFFSET(AV151,-$F$21,0)),SUM(OFFSET($T$100,$F$21,0):$T151),"")</f>
        <v/>
      </c>
      <c r="BA151" s="190" t="str">
        <f t="shared" ca="1" si="95"/>
        <v/>
      </c>
      <c r="BB151" s="190" t="str">
        <f t="shared" ca="1" si="70"/>
        <v/>
      </c>
      <c r="BC151" s="190"/>
      <c r="BD151" s="190" t="str">
        <f ca="1">IFERROR(IF(AND($B151&gt;=($F$16-$F$15),$B151&lt;$F$22+($F$16-$F$15)),SUM(OFFSET($T$100,($F$16-$F$15),0):$T151),""),"")</f>
        <v/>
      </c>
      <c r="BE151" s="190" t="str">
        <f t="shared" ca="1" si="58"/>
        <v/>
      </c>
      <c r="BF151" s="190" t="str">
        <f t="shared" ca="1" si="59"/>
        <v/>
      </c>
      <c r="BG151"/>
      <c r="BH151" s="190" t="str">
        <f ca="1">IF(ISNUMBER(OFFSET(BD151,-$F$21,0)),SUM(OFFSET($T$100,($F$16-$F$15+$F$21),0):$T151),"")</f>
        <v/>
      </c>
      <c r="BI151" s="190" t="str">
        <f t="shared" ca="1" si="96"/>
        <v/>
      </c>
      <c r="BJ151" s="190" t="str">
        <f t="shared" ca="1" si="60"/>
        <v/>
      </c>
      <c r="BK151" s="190"/>
      <c r="BL151" s="190" t="str">
        <f ca="1">IFERROR(IF(AND($B151&gt;=($F$17-$F$15),$B151&lt;$F$22+($F$17-$F$15)),SUM(OFFSET($T$100,($F$17-$F$15),0):$T151),""),"")</f>
        <v/>
      </c>
      <c r="BM151" s="190" t="str">
        <f t="shared" ca="1" si="97"/>
        <v/>
      </c>
      <c r="BN151" s="190" t="str">
        <f t="shared" ca="1" si="61"/>
        <v/>
      </c>
      <c r="BO151"/>
      <c r="BP151" s="190" t="str">
        <f ca="1">IF(ISNUMBER(OFFSET(BL151,-$F$21,0)),SUM(OFFSET($T$100,($F$17-$F$15+$F$21),0):$T151),"")</f>
        <v/>
      </c>
      <c r="BQ151" s="190" t="str">
        <f t="shared" ca="1" si="98"/>
        <v/>
      </c>
      <c r="BR151" s="190" t="str">
        <f t="shared" ca="1" si="63"/>
        <v/>
      </c>
      <c r="BS151" s="190"/>
      <c r="BT151"/>
      <c r="BU151"/>
      <c r="BV151"/>
      <c r="BY151" s="99"/>
      <c r="BZ151" s="99"/>
      <c r="CA151" s="280" t="str">
        <f t="shared" si="99"/>
        <v/>
      </c>
      <c r="CB151" s="71" t="str">
        <f t="shared" si="100"/>
        <v>-</v>
      </c>
      <c r="CC151" s="33"/>
      <c r="CD151" s="261" t="str">
        <f t="shared" si="101"/>
        <v/>
      </c>
      <c r="CE151" s="280" t="str">
        <f t="shared" si="102"/>
        <v>-</v>
      </c>
      <c r="CF151" s="71" t="str">
        <f t="shared" ca="1" si="103"/>
        <v>-</v>
      </c>
      <c r="CG151" s="33" t="str">
        <f t="shared" si="104"/>
        <v>51-52</v>
      </c>
      <c r="CH151" s="261" t="str">
        <f t="shared" ca="1" si="105"/>
        <v/>
      </c>
      <c r="CI151" s="202"/>
      <c r="CP151" s="99"/>
      <c r="CQ151" s="99"/>
      <c r="CR151" s="99"/>
      <c r="CS151" s="99"/>
      <c r="CT151" s="99"/>
      <c r="CU151" s="99"/>
      <c r="CV151" s="99"/>
      <c r="CW151" s="99"/>
      <c r="CX151" s="99"/>
      <c r="CY151" s="99"/>
      <c r="CZ151" s="99"/>
      <c r="DA151" s="99"/>
      <c r="DB151" s="99"/>
      <c r="DC151" s="99"/>
    </row>
    <row r="152" spans="2:107" ht="13.5" customHeight="1" x14ac:dyDescent="0.2">
      <c r="B152" s="262">
        <v>52</v>
      </c>
      <c r="C152" s="237" t="str">
        <f t="shared" si="71"/>
        <v/>
      </c>
      <c r="D152" s="237" t="str">
        <f t="shared" si="106"/>
        <v>-</v>
      </c>
      <c r="E152" s="290" t="str">
        <f t="shared" si="32"/>
        <v/>
      </c>
      <c r="F152" s="264" t="str">
        <f t="shared" si="33"/>
        <v/>
      </c>
      <c r="G152" s="291" t="str">
        <f t="shared" si="34"/>
        <v/>
      </c>
      <c r="H152" s="240" t="str">
        <f t="shared" si="72"/>
        <v/>
      </c>
      <c r="I152" s="265" t="str">
        <f t="shared" si="73"/>
        <v/>
      </c>
      <c r="J152" s="265" t="str">
        <f t="shared" si="74"/>
        <v/>
      </c>
      <c r="K152" s="240" t="str">
        <f t="shared" si="75"/>
        <v/>
      </c>
      <c r="L152" s="265" t="str">
        <f t="shared" si="76"/>
        <v/>
      </c>
      <c r="M152" s="265" t="str">
        <f t="shared" si="77"/>
        <v/>
      </c>
      <c r="N152" s="240" t="str">
        <f t="shared" si="78"/>
        <v>-</v>
      </c>
      <c r="O152" s="265" t="str">
        <f t="shared" si="79"/>
        <v>-</v>
      </c>
      <c r="P152" s="265" t="str">
        <f t="shared" si="80"/>
        <v>-</v>
      </c>
      <c r="Q152" s="266" t="str">
        <f t="shared" si="81"/>
        <v>-</v>
      </c>
      <c r="R152" s="267" t="str">
        <f t="shared" si="82"/>
        <v>-</v>
      </c>
      <c r="S152" s="268" t="str">
        <f t="shared" si="83"/>
        <v>-</v>
      </c>
      <c r="T152" s="269" t="str">
        <f t="shared" si="84"/>
        <v/>
      </c>
      <c r="U152" s="221">
        <f t="shared" si="85"/>
        <v>52</v>
      </c>
      <c r="V152" s="220" t="str">
        <f t="shared" si="42"/>
        <v>-</v>
      </c>
      <c r="W152" s="221" t="str">
        <f t="shared" si="43"/>
        <v>-</v>
      </c>
      <c r="X152" s="221" t="str">
        <f t="shared" si="86"/>
        <v>-</v>
      </c>
      <c r="Y152" s="221" t="str">
        <f t="shared" si="87"/>
        <v>-</v>
      </c>
      <c r="Z152" s="270">
        <f t="shared" si="44"/>
        <v>0.1</v>
      </c>
      <c r="AA152" s="271" t="str">
        <f>IFERROR(IF(V151=1,AA$100*EXP(-(LN(2)/$D$65+0.04)*X151)*EXP(-(LN(2)/$D$65+0.1)*Y151),IF(V151=2,AA$100*EXP(-(LN(2)/$D$65+0.04)*(VLOOKUP(($F$16-$F$15)-1,U$99:Y151,4,FALSE)))*EXP(-(LN(2)/$D$65+0.1)*(VLOOKUP(($F$16-$F$15)-1,U$99:Y151,5,FALSE)))*EXP(-(LN(2)/$D$65+0.04)*X151)*EXP(-(LN(2)/$D$65+0.1)*Y151),IF(V151=3,AA$100*EXP(-(LN(2)/$D$65+0.04)*(VLOOKUP(($F$16-$F$15)-1,U$99:Y151,4,FALSE)))*EXP(-(LN(2)/$D$65+0.1)*(VLOOKUP(($F$16-$F$15)-1,U$99:Y151,5,FALSE)))*EXP(-(LN(2)/$D$65+0.04)*(VLOOKUP(($F$16-$F$15)*2-1,U$99:Y151,4,FALSE)))*EXP(-(LN(2)/$D$65+0.1)*(VLOOKUP(($F$16-$F$15)*2-1,U$99:Y151,5,FALSE)))*EXP(-(LN(2)/$D$65+0.04)*X151)*EXP(-(LN(2)/$D$65+0.1)*Y151),"-"))),"-")</f>
        <v>-</v>
      </c>
      <c r="AB152" s="271" t="str">
        <f>IFERROR(IF(V152=1,AB$100*EXP(-(LN(2)/$D$65+0.04)*X152)*EXP(-(LN(2)/$D$65+0.1)*Y152),IF(V152=2,AB$100*EXP(-(LN(2)/$D$65+0.04)*(VLOOKUP(($F$16-$F$15)-1,U$100:Y152,4,FALSE)))*EXP(-(LN(2)/$D$65+0.1)*(VLOOKUP(($F$16-$F$15)-1,U$100:Y152,5,FALSE)))*EXP(-(LN(2)/$D$65+0.04)*X152)*EXP(-(LN(2)/$D$65+0.1)*Y152),IF(V152=3,AB$100*EXP(-(LN(2)/$D$65+0.04)*(VLOOKUP(($F$16-$F$15)-1,U$100:Y152,4,FALSE)))*EXP(-(LN(2)/$D$65+0.1)*(VLOOKUP(($F$16-$F$15)-1,U$100:Y152,5,FALSE)))*EXP(-(LN(2)/$D$65+0.04)*(VLOOKUP(($F$16-$F$15)*2-1,U$100:Y152,4,FALSE)))*EXP(-(LN(2)/$D$65+0.1)*(VLOOKUP(($F$16-$F$15)*2-1,U$100:Y152,5,FALSE)))*EXP(-(LN(2)/$D$65+0.04)*X152)*EXP(-(LN(2)/$D$65+0.1)*Y152),"-"))),"-")</f>
        <v>-</v>
      </c>
      <c r="AC152" s="224">
        <f t="shared" si="45"/>
        <v>52</v>
      </c>
      <c r="AD152" s="223" t="str">
        <f t="shared" si="11"/>
        <v>-</v>
      </c>
      <c r="AE152" s="224" t="str">
        <f t="shared" si="46"/>
        <v>-</v>
      </c>
      <c r="AF152" s="224" t="str">
        <f t="shared" si="88"/>
        <v>-</v>
      </c>
      <c r="AG152" s="224" t="str">
        <f t="shared" si="89"/>
        <v>-</v>
      </c>
      <c r="AH152" s="272">
        <f t="shared" si="47"/>
        <v>0.1</v>
      </c>
      <c r="AI152" s="271" t="str">
        <f>IFERROR(IF(AD151=1,AI$100*EXP(-(LN(2)/$D$65+0.04)*AF151)*EXP(-(LN(2)/$D$65+0.1)*AG151),IF(AD151=2,AI$100*EXP(-(LN(2)/$D$65+0.04)*(VLOOKUP(($F$16-$F$15)-1,AC$99:AG151,4,FALSE)))*EXP(-(LN(2)/$D$65+0.1)*(VLOOKUP(($F$16-$F$15)-1,AC$99:AG151,5,FALSE)))*EXP(-(LN(2)/$D$65+0.04)*AF151)*EXP(-(LN(2)/$D$65+0.1)*AG151),IF(AD151=3,AI$100*EXP(-(LN(2)/$D$65+0.04)*(VLOOKUP(($F$16-$F$15)-1,AC$99:AG151,4,FALSE)))*EXP(-(LN(2)/$D$65+0.1)*(VLOOKUP(($F$16-$F$15)-1,AC$99:AG151,5,FALSE)))*EXP(-(LN(2)/$D$65+0.04)*(VLOOKUP(($F$16-$F$15)*2-1,AC$99:AG151,4,FALSE)))*EXP(-(LN(2)/$D$65+0.1)*(VLOOKUP(($F$16-$F$15)*2-1,AC$99:AG151,5,FALSE)))*EXP(-(LN(2)/$D$65+0.04)*AF151)*EXP(-(LN(2)/$D$65+0.1)*AG151),"-"))),"-")</f>
        <v>-</v>
      </c>
      <c r="AJ152" s="271" t="str">
        <f>IFERROR(IF(AD152=1,AJ$100*EXP(-(LN(2)/$D$65+0.04)*AF152)*EXP(-(LN(2)/$D$65+0.1)*AG152),IF(AD152=2,AJ$100*EXP(-(LN(2)/$D$65+0.04)*(VLOOKUP(($F$16-$F$15)-1,AC$100:AG152,4,FALSE)))*EXP(-(LN(2)/$D$65+0.1)*(VLOOKUP(($F$16-$F$15)-1,AC$100:AG152,5,FALSE)))*EXP(-(LN(2)/$D$65+0.04)*AF152)*EXP(-(LN(2)/$D$65+0.1)*AG152),IF(AD152=3,AJ$100*EXP(-(LN(2)/$D$65+0.04)*(VLOOKUP(($F$16-$F$15)-1,AC$100:AG152,4,FALSE)))*EXP(-(LN(2)/$D$65+0.1)*(VLOOKUP(($F$16-$F$15)-1,AC$100:AG152,5,FALSE)))*EXP(-(LN(2)/$D$65+0.04)*(VLOOKUP(($F$16-$F$15)*2-1,AC$100:AG152,4,FALSE)))*EXP(-(LN(2)/$D$65+0.1)*(VLOOKUP(($F$16-$F$15)*2-1,AC$100:AG152,5,FALSE)))*EXP(-(LN(2)/$D$65+0.04)*AF152)*EXP(-(LN(2)/$D$65+0.1)*AG152),"-"))),"-")</f>
        <v>-</v>
      </c>
      <c r="AK152" s="227">
        <f t="shared" si="49"/>
        <v>52</v>
      </c>
      <c r="AL152" s="226" t="str">
        <f t="shared" si="15"/>
        <v>-</v>
      </c>
      <c r="AM152" s="227" t="str">
        <f t="shared" si="50"/>
        <v>-</v>
      </c>
      <c r="AN152" s="227" t="str">
        <f t="shared" si="51"/>
        <v>-</v>
      </c>
      <c r="AO152" s="227" t="str">
        <f t="shared" si="90"/>
        <v>-</v>
      </c>
      <c r="AP152" s="273">
        <f t="shared" si="52"/>
        <v>0.1</v>
      </c>
      <c r="AQ152" s="271" t="str">
        <f>IFERROR(IF(AL151=1,AQ$100*EXP(-(LN(2)/$D$65+0.04)*AN151)*EXP(-(LN(2)/$D$65+0.1)*AO151),IF(AL151=2,AQ$100*EXP(-(LN(2)/$D$65+0.04)*(VLOOKUP(($F$16-$F$15)-1,AK$99:AO151,4,FALSE)))*EXP(-(LN(2)/$D$65+0.1)*(VLOOKUP(($F$16-$F$15)-1,AK$99:AO151,5,FALSE)))*EXP(-(LN(2)/$D$65+0.04)*AN151)*EXP(-(LN(2)/$D$65+0.1)*AO151),IF(AL151=3,AQ$100*EXP(-(LN(2)/$D$65+0.04)*(VLOOKUP(($F$16-$F$15)-1,AK$99:AO151,4,FALSE)))*EXP(-(LN(2)/$D$65+0.1)*(VLOOKUP(($F$16-$F$15)-1,AK$99:AO151,5,FALSE)))*EXP(-(LN(2)/$D$65+0.04)*(VLOOKUP(($F$16-$F$15)*2-1,AK$99:AO151,4,FALSE)))*EXP(-(LN(2)/$D$65+0.1)*(VLOOKUP(($F$16-$F$15)*2-1,AK$99:AO151,5,FALSE)))*EXP(-(LN(2)/$D$65+0.04)*AN151)*EXP(-(LN(2)/$D$65+0.1)*AO151),"-"))),"-")</f>
        <v>-</v>
      </c>
      <c r="AR152" s="271" t="str">
        <f>IFERROR(IF(AL152=1,AR$100*EXP(-(LN(2)/$D$65+0.04)*AN152)*EXP(-(LN(2)/$D$65+0.1)*AO152),IF(AL152=2,AR$100*EXP(-(LN(2)/$D$65+0.04)*(VLOOKUP(($F$16-$F$15)-1,AK$100:AO152,4,FALSE)))*EXP(-(LN(2)/$D$65+0.1)*(VLOOKUP(($F$16-$F$15)-1,AK$100:AO152,5,FALSE)))*EXP(-(LN(2)/$D$65+0.04)*AN152)*EXP(-(LN(2)/$D$65+0.1)*AO152),IF(AL152=3,AR$100*EXP(-(LN(2)/$D$65+0.04)*(VLOOKUP(($F$16-$F$15)-1,AK$100:AO152,4,FALSE)))*EXP(-(LN(2)/$D$65+0.1)*(VLOOKUP(($F$16-$F$15)-1,AK$100:AO152,5,FALSE)))*EXP(-(LN(2)/$D$65+0.04)*(VLOOKUP(($F$16-$F$15)*2-1,AK$100:AO152,4,FALSE)))*EXP(-(LN(2)/$D$65+0.1)*(VLOOKUP(($F$16-$F$15)*2-1,AK$100:AO152,5,FALSE)))*EXP(-(LN(2)/$D$65+0.04)*AN152)*EXP(-(LN(2)/$D$65+0.1)*AO152),"-"))),"-")</f>
        <v>-</v>
      </c>
      <c r="AS152" s="274">
        <f t="shared" si="91"/>
        <v>0</v>
      </c>
      <c r="AT152" s="274">
        <f t="shared" si="92"/>
        <v>0</v>
      </c>
      <c r="AU152" s="274">
        <f t="shared" si="93"/>
        <v>0</v>
      </c>
      <c r="AV152" s="190">
        <f>IF($B152&lt;$F$22,SUM($T$100:$T152),"")</f>
        <v>0</v>
      </c>
      <c r="AW152" s="190" t="str">
        <f t="shared" si="94"/>
        <v>-</v>
      </c>
      <c r="AX152" s="190" t="str">
        <f t="shared" si="56"/>
        <v/>
      </c>
      <c r="AY152"/>
      <c r="AZ152" s="190" t="str">
        <f ca="1">IF(ISNUMBER(OFFSET(AV152,-$F$21,0)),SUM(OFFSET($T$100,$F$21,0):$T152),"")</f>
        <v/>
      </c>
      <c r="BA152" s="190" t="str">
        <f t="shared" ca="1" si="95"/>
        <v/>
      </c>
      <c r="BB152" s="190" t="str">
        <f t="shared" ca="1" si="70"/>
        <v/>
      </c>
      <c r="BC152" s="190"/>
      <c r="BD152" s="190" t="str">
        <f ca="1">IFERROR(IF(AND($B152&gt;=($F$16-$F$15),$B152&lt;$F$22+($F$16-$F$15)),SUM(OFFSET($T$100,($F$16-$F$15),0):$T152),""),"")</f>
        <v/>
      </c>
      <c r="BE152" s="190" t="str">
        <f t="shared" ca="1" si="58"/>
        <v/>
      </c>
      <c r="BF152" s="190" t="str">
        <f t="shared" ca="1" si="59"/>
        <v/>
      </c>
      <c r="BG152"/>
      <c r="BH152" s="190" t="str">
        <f ca="1">IF(ISNUMBER(OFFSET(BD152,-$F$21,0)),SUM(OFFSET($T$100,($F$16-$F$15+$F$21),0):$T152),"")</f>
        <v/>
      </c>
      <c r="BI152" s="190" t="str">
        <f t="shared" ca="1" si="96"/>
        <v/>
      </c>
      <c r="BJ152" s="190" t="str">
        <f t="shared" ca="1" si="60"/>
        <v/>
      </c>
      <c r="BK152" s="190"/>
      <c r="BL152" s="190" t="str">
        <f ca="1">IFERROR(IF(AND($B152&gt;=($F$17-$F$15),$B152&lt;$F$22+($F$17-$F$15)),SUM(OFFSET($T$100,($F$17-$F$15),0):$T152),""),"")</f>
        <v/>
      </c>
      <c r="BM152" s="190" t="str">
        <f t="shared" ca="1" si="97"/>
        <v/>
      </c>
      <c r="BN152" s="190" t="str">
        <f t="shared" ca="1" si="61"/>
        <v/>
      </c>
      <c r="BO152"/>
      <c r="BP152" s="190" t="str">
        <f ca="1">IF(ISNUMBER(OFFSET(BL152,-$F$21,0)),SUM(OFFSET($T$100,($F$17-$F$15+$F$21),0):$T152),"")</f>
        <v/>
      </c>
      <c r="BQ152" s="190" t="str">
        <f t="shared" ca="1" si="98"/>
        <v/>
      </c>
      <c r="BR152" s="190" t="str">
        <f t="shared" ca="1" si="63"/>
        <v/>
      </c>
      <c r="BS152" s="190"/>
      <c r="BT152"/>
      <c r="BU152"/>
      <c r="BV152"/>
      <c r="BY152" s="99"/>
      <c r="BZ152" s="99"/>
      <c r="CA152" s="280" t="str">
        <f t="shared" si="99"/>
        <v/>
      </c>
      <c r="CB152" s="71" t="str">
        <f t="shared" si="100"/>
        <v>-</v>
      </c>
      <c r="CC152" s="33"/>
      <c r="CD152" s="261" t="str">
        <f t="shared" si="101"/>
        <v/>
      </c>
      <c r="CE152" s="280" t="str">
        <f t="shared" si="102"/>
        <v>-</v>
      </c>
      <c r="CF152" s="71" t="str">
        <f t="shared" ca="1" si="103"/>
        <v>-</v>
      </c>
      <c r="CG152" s="33" t="str">
        <f t="shared" si="104"/>
        <v>52-53</v>
      </c>
      <c r="CH152" s="261" t="str">
        <f t="shared" ca="1" si="105"/>
        <v/>
      </c>
      <c r="CI152" s="202"/>
      <c r="CP152" s="99"/>
      <c r="CQ152" s="99"/>
      <c r="CR152" s="99"/>
      <c r="CS152" s="99"/>
      <c r="CT152" s="99"/>
      <c r="CU152" s="99"/>
      <c r="CV152" s="99"/>
      <c r="CW152" s="99"/>
      <c r="CX152" s="99"/>
      <c r="CY152" s="99"/>
      <c r="CZ152" s="99"/>
      <c r="DA152" s="99"/>
      <c r="DB152" s="99"/>
      <c r="DC152" s="99"/>
    </row>
    <row r="153" spans="2:107" ht="13.5" customHeight="1" x14ac:dyDescent="0.2">
      <c r="B153" s="262">
        <v>53</v>
      </c>
      <c r="C153" s="237" t="str">
        <f t="shared" si="71"/>
        <v/>
      </c>
      <c r="D153" s="237" t="str">
        <f t="shared" si="106"/>
        <v>-</v>
      </c>
      <c r="E153" s="290" t="str">
        <f t="shared" si="32"/>
        <v/>
      </c>
      <c r="F153" s="264" t="str">
        <f t="shared" si="33"/>
        <v/>
      </c>
      <c r="G153" s="291" t="str">
        <f t="shared" si="34"/>
        <v/>
      </c>
      <c r="H153" s="240" t="str">
        <f t="shared" si="72"/>
        <v/>
      </c>
      <c r="I153" s="265" t="str">
        <f t="shared" si="73"/>
        <v/>
      </c>
      <c r="J153" s="265" t="str">
        <f t="shared" si="74"/>
        <v/>
      </c>
      <c r="K153" s="240" t="str">
        <f t="shared" si="75"/>
        <v/>
      </c>
      <c r="L153" s="265" t="str">
        <f t="shared" si="76"/>
        <v/>
      </c>
      <c r="M153" s="265" t="str">
        <f t="shared" si="77"/>
        <v/>
      </c>
      <c r="N153" s="240" t="str">
        <f t="shared" si="78"/>
        <v>-</v>
      </c>
      <c r="O153" s="265" t="str">
        <f t="shared" si="79"/>
        <v>-</v>
      </c>
      <c r="P153" s="265" t="str">
        <f t="shared" si="80"/>
        <v>-</v>
      </c>
      <c r="Q153" s="266" t="str">
        <f t="shared" si="81"/>
        <v>-</v>
      </c>
      <c r="R153" s="267" t="str">
        <f t="shared" si="82"/>
        <v>-</v>
      </c>
      <c r="S153" s="268" t="str">
        <f t="shared" si="83"/>
        <v>-</v>
      </c>
      <c r="T153" s="269" t="str">
        <f t="shared" si="84"/>
        <v/>
      </c>
      <c r="U153" s="221">
        <f t="shared" si="85"/>
        <v>53</v>
      </c>
      <c r="V153" s="220" t="str">
        <f t="shared" si="42"/>
        <v>-</v>
      </c>
      <c r="W153" s="221" t="str">
        <f t="shared" si="43"/>
        <v>-</v>
      </c>
      <c r="X153" s="221" t="str">
        <f t="shared" si="86"/>
        <v>-</v>
      </c>
      <c r="Y153" s="221" t="str">
        <f t="shared" si="87"/>
        <v>-</v>
      </c>
      <c r="Z153" s="270">
        <f t="shared" si="44"/>
        <v>0.1</v>
      </c>
      <c r="AA153" s="271" t="str">
        <f>IFERROR(IF(V152=1,AA$100*EXP(-(LN(2)/$D$65+0.04)*X152)*EXP(-(LN(2)/$D$65+0.1)*Y152),IF(V152=2,AA$100*EXP(-(LN(2)/$D$65+0.04)*(VLOOKUP(($F$16-$F$15)-1,U$99:Y152,4,FALSE)))*EXP(-(LN(2)/$D$65+0.1)*(VLOOKUP(($F$16-$F$15)-1,U$99:Y152,5,FALSE)))*EXP(-(LN(2)/$D$65+0.04)*X152)*EXP(-(LN(2)/$D$65+0.1)*Y152),IF(V152=3,AA$100*EXP(-(LN(2)/$D$65+0.04)*(VLOOKUP(($F$16-$F$15)-1,U$99:Y152,4,FALSE)))*EXP(-(LN(2)/$D$65+0.1)*(VLOOKUP(($F$16-$F$15)-1,U$99:Y152,5,FALSE)))*EXP(-(LN(2)/$D$65+0.04)*(VLOOKUP(($F$16-$F$15)*2-1,U$99:Y152,4,FALSE)))*EXP(-(LN(2)/$D$65+0.1)*(VLOOKUP(($F$16-$F$15)*2-1,U$99:Y152,5,FALSE)))*EXP(-(LN(2)/$D$65+0.04)*X152)*EXP(-(LN(2)/$D$65+0.1)*Y152),"-"))),"-")</f>
        <v>-</v>
      </c>
      <c r="AB153" s="271" t="str">
        <f>IFERROR(IF(V153=1,AB$100*EXP(-(LN(2)/$D$65+0.04)*X153)*EXP(-(LN(2)/$D$65+0.1)*Y153),IF(V153=2,AB$100*EXP(-(LN(2)/$D$65+0.04)*(VLOOKUP(($F$16-$F$15)-1,U$100:Y153,4,FALSE)))*EXP(-(LN(2)/$D$65+0.1)*(VLOOKUP(($F$16-$F$15)-1,U$100:Y153,5,FALSE)))*EXP(-(LN(2)/$D$65+0.04)*X153)*EXP(-(LN(2)/$D$65+0.1)*Y153),IF(V153=3,AB$100*EXP(-(LN(2)/$D$65+0.04)*(VLOOKUP(($F$16-$F$15)-1,U$100:Y153,4,FALSE)))*EXP(-(LN(2)/$D$65+0.1)*(VLOOKUP(($F$16-$F$15)-1,U$100:Y153,5,FALSE)))*EXP(-(LN(2)/$D$65+0.04)*(VLOOKUP(($F$16-$F$15)*2-1,U$100:Y153,4,FALSE)))*EXP(-(LN(2)/$D$65+0.1)*(VLOOKUP(($F$16-$F$15)*2-1,U$100:Y153,5,FALSE)))*EXP(-(LN(2)/$D$65+0.04)*X153)*EXP(-(LN(2)/$D$65+0.1)*Y153),"-"))),"-")</f>
        <v>-</v>
      </c>
      <c r="AC153" s="224">
        <f t="shared" si="45"/>
        <v>53</v>
      </c>
      <c r="AD153" s="223" t="str">
        <f t="shared" si="11"/>
        <v>-</v>
      </c>
      <c r="AE153" s="224" t="str">
        <f t="shared" si="46"/>
        <v>-</v>
      </c>
      <c r="AF153" s="224" t="str">
        <f t="shared" si="88"/>
        <v>-</v>
      </c>
      <c r="AG153" s="224" t="str">
        <f t="shared" si="89"/>
        <v>-</v>
      </c>
      <c r="AH153" s="272">
        <f t="shared" si="47"/>
        <v>0.1</v>
      </c>
      <c r="AI153" s="271" t="str">
        <f>IFERROR(IF(AD152=1,AI$100*EXP(-(LN(2)/$D$65+0.04)*AF152)*EXP(-(LN(2)/$D$65+0.1)*AG152),IF(AD152=2,AI$100*EXP(-(LN(2)/$D$65+0.04)*(VLOOKUP(($F$16-$F$15)-1,AC$99:AG152,4,FALSE)))*EXP(-(LN(2)/$D$65+0.1)*(VLOOKUP(($F$16-$F$15)-1,AC$99:AG152,5,FALSE)))*EXP(-(LN(2)/$D$65+0.04)*AF152)*EXP(-(LN(2)/$D$65+0.1)*AG152),IF(AD152=3,AI$100*EXP(-(LN(2)/$D$65+0.04)*(VLOOKUP(($F$16-$F$15)-1,AC$99:AG152,4,FALSE)))*EXP(-(LN(2)/$D$65+0.1)*(VLOOKUP(($F$16-$F$15)-1,AC$99:AG152,5,FALSE)))*EXP(-(LN(2)/$D$65+0.04)*(VLOOKUP(($F$16-$F$15)*2-1,AC$99:AG152,4,FALSE)))*EXP(-(LN(2)/$D$65+0.1)*(VLOOKUP(($F$16-$F$15)*2-1,AC$99:AG152,5,FALSE)))*EXP(-(LN(2)/$D$65+0.04)*AF152)*EXP(-(LN(2)/$D$65+0.1)*AG152),"-"))),"-")</f>
        <v>-</v>
      </c>
      <c r="AJ153" s="271" t="str">
        <f>IFERROR(IF(AD153=1,AJ$100*EXP(-(LN(2)/$D$65+0.04)*AF153)*EXP(-(LN(2)/$D$65+0.1)*AG153),IF(AD153=2,AJ$100*EXP(-(LN(2)/$D$65+0.04)*(VLOOKUP(($F$16-$F$15)-1,AC$100:AG153,4,FALSE)))*EXP(-(LN(2)/$D$65+0.1)*(VLOOKUP(($F$16-$F$15)-1,AC$100:AG153,5,FALSE)))*EXP(-(LN(2)/$D$65+0.04)*AF153)*EXP(-(LN(2)/$D$65+0.1)*AG153),IF(AD153=3,AJ$100*EXP(-(LN(2)/$D$65+0.04)*(VLOOKUP(($F$16-$F$15)-1,AC$100:AG153,4,FALSE)))*EXP(-(LN(2)/$D$65+0.1)*(VLOOKUP(($F$16-$F$15)-1,AC$100:AG153,5,FALSE)))*EXP(-(LN(2)/$D$65+0.04)*(VLOOKUP(($F$16-$F$15)*2-1,AC$100:AG153,4,FALSE)))*EXP(-(LN(2)/$D$65+0.1)*(VLOOKUP(($F$16-$F$15)*2-1,AC$100:AG153,5,FALSE)))*EXP(-(LN(2)/$D$65+0.04)*AF153)*EXP(-(LN(2)/$D$65+0.1)*AG153),"-"))),"-")</f>
        <v>-</v>
      </c>
      <c r="AK153" s="227">
        <f t="shared" si="49"/>
        <v>53</v>
      </c>
      <c r="AL153" s="226" t="str">
        <f t="shared" si="15"/>
        <v>-</v>
      </c>
      <c r="AM153" s="227" t="str">
        <f t="shared" si="50"/>
        <v>-</v>
      </c>
      <c r="AN153" s="227" t="str">
        <f t="shared" si="51"/>
        <v>-</v>
      </c>
      <c r="AO153" s="227" t="str">
        <f t="shared" si="90"/>
        <v>-</v>
      </c>
      <c r="AP153" s="273">
        <f t="shared" si="52"/>
        <v>0.1</v>
      </c>
      <c r="AQ153" s="271" t="str">
        <f>IFERROR(IF(AL152=1,AQ$100*EXP(-(LN(2)/$D$65+0.04)*AN152)*EXP(-(LN(2)/$D$65+0.1)*AO152),IF(AL152=2,AQ$100*EXP(-(LN(2)/$D$65+0.04)*(VLOOKUP(($F$16-$F$15)-1,AK$99:AO152,4,FALSE)))*EXP(-(LN(2)/$D$65+0.1)*(VLOOKUP(($F$16-$F$15)-1,AK$99:AO152,5,FALSE)))*EXP(-(LN(2)/$D$65+0.04)*AN152)*EXP(-(LN(2)/$D$65+0.1)*AO152),IF(AL152=3,AQ$100*EXP(-(LN(2)/$D$65+0.04)*(VLOOKUP(($F$16-$F$15)-1,AK$99:AO152,4,FALSE)))*EXP(-(LN(2)/$D$65+0.1)*(VLOOKUP(($F$16-$F$15)-1,AK$99:AO152,5,FALSE)))*EXP(-(LN(2)/$D$65+0.04)*(VLOOKUP(($F$16-$F$15)*2-1,AK$99:AO152,4,FALSE)))*EXP(-(LN(2)/$D$65+0.1)*(VLOOKUP(($F$16-$F$15)*2-1,AK$99:AO152,5,FALSE)))*EXP(-(LN(2)/$D$65+0.04)*AN152)*EXP(-(LN(2)/$D$65+0.1)*AO152),"-"))),"-")</f>
        <v>-</v>
      </c>
      <c r="AR153" s="271" t="str">
        <f>IFERROR(IF(AL153=1,AR$100*EXP(-(LN(2)/$D$65+0.04)*AN153)*EXP(-(LN(2)/$D$65+0.1)*AO153),IF(AL153=2,AR$100*EXP(-(LN(2)/$D$65+0.04)*(VLOOKUP(($F$16-$F$15)-1,AK$100:AO153,4,FALSE)))*EXP(-(LN(2)/$D$65+0.1)*(VLOOKUP(($F$16-$F$15)-1,AK$100:AO153,5,FALSE)))*EXP(-(LN(2)/$D$65+0.04)*AN153)*EXP(-(LN(2)/$D$65+0.1)*AO153),IF(AL153=3,AR$100*EXP(-(LN(2)/$D$65+0.04)*(VLOOKUP(($F$16-$F$15)-1,AK$100:AO153,4,FALSE)))*EXP(-(LN(2)/$D$65+0.1)*(VLOOKUP(($F$16-$F$15)-1,AK$100:AO153,5,FALSE)))*EXP(-(LN(2)/$D$65+0.04)*(VLOOKUP(($F$16-$F$15)*2-1,AK$100:AO153,4,FALSE)))*EXP(-(LN(2)/$D$65+0.1)*(VLOOKUP(($F$16-$F$15)*2-1,AK$100:AO153,5,FALSE)))*EXP(-(LN(2)/$D$65+0.04)*AN153)*EXP(-(LN(2)/$D$65+0.1)*AO153),"-"))),"-")</f>
        <v>-</v>
      </c>
      <c r="AS153" s="274">
        <f t="shared" si="91"/>
        <v>0</v>
      </c>
      <c r="AT153" s="274">
        <f t="shared" si="92"/>
        <v>0</v>
      </c>
      <c r="AU153" s="274">
        <f t="shared" si="93"/>
        <v>0</v>
      </c>
      <c r="AV153" s="190">
        <f>IF($B153&lt;$F$22,SUM($T$100:$T153),"")</f>
        <v>0</v>
      </c>
      <c r="AW153" s="190" t="str">
        <f t="shared" si="94"/>
        <v>-</v>
      </c>
      <c r="AX153" s="190" t="str">
        <f t="shared" si="56"/>
        <v/>
      </c>
      <c r="AY153"/>
      <c r="AZ153" s="190" t="str">
        <f ca="1">IF(ISNUMBER(OFFSET(AV153,-$F$21,0)),SUM(OFFSET($T$100,$F$21,0):$T153),"")</f>
        <v/>
      </c>
      <c r="BA153" s="190" t="str">
        <f t="shared" ca="1" si="95"/>
        <v/>
      </c>
      <c r="BB153" s="190" t="str">
        <f t="shared" ca="1" si="70"/>
        <v/>
      </c>
      <c r="BC153" s="190"/>
      <c r="BD153" s="190" t="str">
        <f ca="1">IFERROR(IF(AND($B153&gt;=($F$16-$F$15),$B153&lt;$F$22+($F$16-$F$15)),SUM(OFFSET($T$100,($F$16-$F$15),0):$T153),""),"")</f>
        <v/>
      </c>
      <c r="BE153" s="190" t="str">
        <f t="shared" ca="1" si="58"/>
        <v/>
      </c>
      <c r="BF153" s="190" t="str">
        <f t="shared" ca="1" si="59"/>
        <v/>
      </c>
      <c r="BG153"/>
      <c r="BH153" s="190" t="str">
        <f ca="1">IF(ISNUMBER(OFFSET(BD153,-$F$21,0)),SUM(OFFSET($T$100,($F$16-$F$15+$F$21),0):$T153),"")</f>
        <v/>
      </c>
      <c r="BI153" s="190" t="str">
        <f t="shared" ca="1" si="96"/>
        <v/>
      </c>
      <c r="BJ153" s="190" t="str">
        <f t="shared" ca="1" si="60"/>
        <v/>
      </c>
      <c r="BK153" s="190"/>
      <c r="BL153" s="190" t="str">
        <f ca="1">IFERROR(IF(AND($B153&gt;=($F$17-$F$15),$B153&lt;$F$22+($F$17-$F$15)),SUM(OFFSET($T$100,($F$17-$F$15),0):$T153),""),"")</f>
        <v/>
      </c>
      <c r="BM153" s="190" t="str">
        <f t="shared" ca="1" si="97"/>
        <v/>
      </c>
      <c r="BN153" s="190" t="str">
        <f t="shared" ca="1" si="61"/>
        <v/>
      </c>
      <c r="BO153"/>
      <c r="BP153" s="190" t="str">
        <f ca="1">IF(ISNUMBER(OFFSET(BL153,-$F$21,0)),SUM(OFFSET($T$100,($F$17-$F$15+$F$21),0):$T153),"")</f>
        <v/>
      </c>
      <c r="BQ153" s="190" t="str">
        <f t="shared" ca="1" si="98"/>
        <v/>
      </c>
      <c r="BR153" s="190" t="str">
        <f t="shared" ca="1" si="63"/>
        <v/>
      </c>
      <c r="BS153" s="190"/>
      <c r="BT153"/>
      <c r="BU153"/>
      <c r="BV153"/>
      <c r="BY153" s="99"/>
      <c r="BZ153" s="99"/>
      <c r="CA153" s="280" t="str">
        <f t="shared" si="99"/>
        <v/>
      </c>
      <c r="CB153" s="71" t="str">
        <f t="shared" si="100"/>
        <v>-</v>
      </c>
      <c r="CC153" s="33"/>
      <c r="CD153" s="261" t="str">
        <f t="shared" si="101"/>
        <v/>
      </c>
      <c r="CE153" s="280" t="str">
        <f t="shared" si="102"/>
        <v>-</v>
      </c>
      <c r="CF153" s="71" t="str">
        <f t="shared" ca="1" si="103"/>
        <v>-</v>
      </c>
      <c r="CG153" s="33" t="str">
        <f t="shared" si="104"/>
        <v>53-54</v>
      </c>
      <c r="CH153" s="261" t="str">
        <f t="shared" ca="1" si="105"/>
        <v/>
      </c>
      <c r="CI153" s="202"/>
      <c r="CP153" s="99"/>
      <c r="CQ153" s="99"/>
      <c r="CR153" s="99"/>
      <c r="CS153" s="99"/>
      <c r="CT153" s="99"/>
      <c r="CU153" s="99"/>
      <c r="CV153" s="99"/>
      <c r="CW153" s="99"/>
      <c r="CX153" s="99"/>
      <c r="CY153" s="99"/>
      <c r="CZ153" s="99"/>
      <c r="DA153" s="99"/>
      <c r="DB153" s="99"/>
      <c r="DC153" s="99"/>
    </row>
    <row r="154" spans="2:107" ht="13.5" customHeight="1" x14ac:dyDescent="0.2">
      <c r="B154" s="262">
        <v>54</v>
      </c>
      <c r="C154" s="237" t="str">
        <f t="shared" si="71"/>
        <v/>
      </c>
      <c r="D154" s="237" t="str">
        <f t="shared" si="106"/>
        <v>-</v>
      </c>
      <c r="E154" s="290" t="str">
        <f t="shared" si="32"/>
        <v/>
      </c>
      <c r="F154" s="264" t="str">
        <f t="shared" si="33"/>
        <v/>
      </c>
      <c r="G154" s="291" t="str">
        <f t="shared" si="34"/>
        <v/>
      </c>
      <c r="H154" s="240" t="str">
        <f t="shared" si="72"/>
        <v/>
      </c>
      <c r="I154" s="265" t="str">
        <f t="shared" si="73"/>
        <v/>
      </c>
      <c r="J154" s="265" t="str">
        <f t="shared" si="74"/>
        <v/>
      </c>
      <c r="K154" s="240" t="str">
        <f t="shared" si="75"/>
        <v/>
      </c>
      <c r="L154" s="265" t="str">
        <f t="shared" si="76"/>
        <v/>
      </c>
      <c r="M154" s="265" t="str">
        <f t="shared" si="77"/>
        <v/>
      </c>
      <c r="N154" s="240" t="str">
        <f t="shared" si="78"/>
        <v>-</v>
      </c>
      <c r="O154" s="265" t="str">
        <f t="shared" si="79"/>
        <v>-</v>
      </c>
      <c r="P154" s="265" t="str">
        <f t="shared" si="80"/>
        <v>-</v>
      </c>
      <c r="Q154" s="266" t="str">
        <f t="shared" si="81"/>
        <v>-</v>
      </c>
      <c r="R154" s="267" t="str">
        <f t="shared" si="82"/>
        <v>-</v>
      </c>
      <c r="S154" s="268" t="str">
        <f t="shared" si="83"/>
        <v>-</v>
      </c>
      <c r="T154" s="269" t="str">
        <f t="shared" si="84"/>
        <v/>
      </c>
      <c r="U154" s="221">
        <f t="shared" si="85"/>
        <v>54</v>
      </c>
      <c r="V154" s="220" t="str">
        <f t="shared" si="42"/>
        <v>-</v>
      </c>
      <c r="W154" s="221" t="str">
        <f t="shared" si="43"/>
        <v>-</v>
      </c>
      <c r="X154" s="221" t="str">
        <f t="shared" si="86"/>
        <v>-</v>
      </c>
      <c r="Y154" s="221" t="str">
        <f t="shared" si="87"/>
        <v>-</v>
      </c>
      <c r="Z154" s="270">
        <f t="shared" si="44"/>
        <v>0.1</v>
      </c>
      <c r="AA154" s="271" t="str">
        <f>IFERROR(IF(V153=1,AA$100*EXP(-(LN(2)/$D$65+0.04)*X153)*EXP(-(LN(2)/$D$65+0.1)*Y153),IF(V153=2,AA$100*EXP(-(LN(2)/$D$65+0.04)*(VLOOKUP(($F$16-$F$15)-1,U$99:Y153,4,FALSE)))*EXP(-(LN(2)/$D$65+0.1)*(VLOOKUP(($F$16-$F$15)-1,U$99:Y153,5,FALSE)))*EXP(-(LN(2)/$D$65+0.04)*X153)*EXP(-(LN(2)/$D$65+0.1)*Y153),IF(V153=3,AA$100*EXP(-(LN(2)/$D$65+0.04)*(VLOOKUP(($F$16-$F$15)-1,U$99:Y153,4,FALSE)))*EXP(-(LN(2)/$D$65+0.1)*(VLOOKUP(($F$16-$F$15)-1,U$99:Y153,5,FALSE)))*EXP(-(LN(2)/$D$65+0.04)*(VLOOKUP(($F$16-$F$15)*2-1,U$99:Y153,4,FALSE)))*EXP(-(LN(2)/$D$65+0.1)*(VLOOKUP(($F$16-$F$15)*2-1,U$99:Y153,5,FALSE)))*EXP(-(LN(2)/$D$65+0.04)*X153)*EXP(-(LN(2)/$D$65+0.1)*Y153),"-"))),"-")</f>
        <v>-</v>
      </c>
      <c r="AB154" s="271" t="str">
        <f>IFERROR(IF(V154=1,AB$100*EXP(-(LN(2)/$D$65+0.04)*X154)*EXP(-(LN(2)/$D$65+0.1)*Y154),IF(V154=2,AB$100*EXP(-(LN(2)/$D$65+0.04)*(VLOOKUP(($F$16-$F$15)-1,U$100:Y154,4,FALSE)))*EXP(-(LN(2)/$D$65+0.1)*(VLOOKUP(($F$16-$F$15)-1,U$100:Y154,5,FALSE)))*EXP(-(LN(2)/$D$65+0.04)*X154)*EXP(-(LN(2)/$D$65+0.1)*Y154),IF(V154=3,AB$100*EXP(-(LN(2)/$D$65+0.04)*(VLOOKUP(($F$16-$F$15)-1,U$100:Y154,4,FALSE)))*EXP(-(LN(2)/$D$65+0.1)*(VLOOKUP(($F$16-$F$15)-1,U$100:Y154,5,FALSE)))*EXP(-(LN(2)/$D$65+0.04)*(VLOOKUP(($F$16-$F$15)*2-1,U$100:Y154,4,FALSE)))*EXP(-(LN(2)/$D$65+0.1)*(VLOOKUP(($F$16-$F$15)*2-1,U$100:Y154,5,FALSE)))*EXP(-(LN(2)/$D$65+0.04)*X154)*EXP(-(LN(2)/$D$65+0.1)*Y154),"-"))),"-")</f>
        <v>-</v>
      </c>
      <c r="AC154" s="224">
        <f t="shared" si="45"/>
        <v>54</v>
      </c>
      <c r="AD154" s="223" t="str">
        <f t="shared" si="11"/>
        <v>-</v>
      </c>
      <c r="AE154" s="224" t="str">
        <f t="shared" si="46"/>
        <v>-</v>
      </c>
      <c r="AF154" s="224" t="str">
        <f t="shared" si="88"/>
        <v>-</v>
      </c>
      <c r="AG154" s="224" t="str">
        <f t="shared" si="89"/>
        <v>-</v>
      </c>
      <c r="AH154" s="272">
        <f t="shared" si="47"/>
        <v>0.1</v>
      </c>
      <c r="AI154" s="271" t="str">
        <f>IFERROR(IF(AD153=1,AI$100*EXP(-(LN(2)/$D$65+0.04)*AF153)*EXP(-(LN(2)/$D$65+0.1)*AG153),IF(AD153=2,AI$100*EXP(-(LN(2)/$D$65+0.04)*(VLOOKUP(($F$16-$F$15)-1,AC$99:AG153,4,FALSE)))*EXP(-(LN(2)/$D$65+0.1)*(VLOOKUP(($F$16-$F$15)-1,AC$99:AG153,5,FALSE)))*EXP(-(LN(2)/$D$65+0.04)*AF153)*EXP(-(LN(2)/$D$65+0.1)*AG153),IF(AD153=3,AI$100*EXP(-(LN(2)/$D$65+0.04)*(VLOOKUP(($F$16-$F$15)-1,AC$99:AG153,4,FALSE)))*EXP(-(LN(2)/$D$65+0.1)*(VLOOKUP(($F$16-$F$15)-1,AC$99:AG153,5,FALSE)))*EXP(-(LN(2)/$D$65+0.04)*(VLOOKUP(($F$16-$F$15)*2-1,AC$99:AG153,4,FALSE)))*EXP(-(LN(2)/$D$65+0.1)*(VLOOKUP(($F$16-$F$15)*2-1,AC$99:AG153,5,FALSE)))*EXP(-(LN(2)/$D$65+0.04)*AF153)*EXP(-(LN(2)/$D$65+0.1)*AG153),"-"))),"-")</f>
        <v>-</v>
      </c>
      <c r="AJ154" s="271" t="str">
        <f>IFERROR(IF(AD154=1,AJ$100*EXP(-(LN(2)/$D$65+0.04)*AF154)*EXP(-(LN(2)/$D$65+0.1)*AG154),IF(AD154=2,AJ$100*EXP(-(LN(2)/$D$65+0.04)*(VLOOKUP(($F$16-$F$15)-1,AC$100:AG154,4,FALSE)))*EXP(-(LN(2)/$D$65+0.1)*(VLOOKUP(($F$16-$F$15)-1,AC$100:AG154,5,FALSE)))*EXP(-(LN(2)/$D$65+0.04)*AF154)*EXP(-(LN(2)/$D$65+0.1)*AG154),IF(AD154=3,AJ$100*EXP(-(LN(2)/$D$65+0.04)*(VLOOKUP(($F$16-$F$15)-1,AC$100:AG154,4,FALSE)))*EXP(-(LN(2)/$D$65+0.1)*(VLOOKUP(($F$16-$F$15)-1,AC$100:AG154,5,FALSE)))*EXP(-(LN(2)/$D$65+0.04)*(VLOOKUP(($F$16-$F$15)*2-1,AC$100:AG154,4,FALSE)))*EXP(-(LN(2)/$D$65+0.1)*(VLOOKUP(($F$16-$F$15)*2-1,AC$100:AG154,5,FALSE)))*EXP(-(LN(2)/$D$65+0.04)*AF154)*EXP(-(LN(2)/$D$65+0.1)*AG154),"-"))),"-")</f>
        <v>-</v>
      </c>
      <c r="AK154" s="227">
        <f t="shared" si="49"/>
        <v>54</v>
      </c>
      <c r="AL154" s="226" t="str">
        <f t="shared" si="15"/>
        <v>-</v>
      </c>
      <c r="AM154" s="227" t="str">
        <f t="shared" si="50"/>
        <v>-</v>
      </c>
      <c r="AN154" s="227" t="str">
        <f t="shared" si="51"/>
        <v>-</v>
      </c>
      <c r="AO154" s="227" t="str">
        <f t="shared" si="90"/>
        <v>-</v>
      </c>
      <c r="AP154" s="273">
        <f t="shared" si="52"/>
        <v>0.1</v>
      </c>
      <c r="AQ154" s="271" t="str">
        <f>IFERROR(IF(AL153=1,AQ$100*EXP(-(LN(2)/$D$65+0.04)*AN153)*EXP(-(LN(2)/$D$65+0.1)*AO153),IF(AL153=2,AQ$100*EXP(-(LN(2)/$D$65+0.04)*(VLOOKUP(($F$16-$F$15)-1,AK$99:AO153,4,FALSE)))*EXP(-(LN(2)/$D$65+0.1)*(VLOOKUP(($F$16-$F$15)-1,AK$99:AO153,5,FALSE)))*EXP(-(LN(2)/$D$65+0.04)*AN153)*EXP(-(LN(2)/$D$65+0.1)*AO153),IF(AL153=3,AQ$100*EXP(-(LN(2)/$D$65+0.04)*(VLOOKUP(($F$16-$F$15)-1,AK$99:AO153,4,FALSE)))*EXP(-(LN(2)/$D$65+0.1)*(VLOOKUP(($F$16-$F$15)-1,AK$99:AO153,5,FALSE)))*EXP(-(LN(2)/$D$65+0.04)*(VLOOKUP(($F$16-$F$15)*2-1,AK$99:AO153,4,FALSE)))*EXP(-(LN(2)/$D$65+0.1)*(VLOOKUP(($F$16-$F$15)*2-1,AK$99:AO153,5,FALSE)))*EXP(-(LN(2)/$D$65+0.04)*AN153)*EXP(-(LN(2)/$D$65+0.1)*AO153),"-"))),"-")</f>
        <v>-</v>
      </c>
      <c r="AR154" s="271" t="str">
        <f>IFERROR(IF(AL154=1,AR$100*EXP(-(LN(2)/$D$65+0.04)*AN154)*EXP(-(LN(2)/$D$65+0.1)*AO154),IF(AL154=2,AR$100*EXP(-(LN(2)/$D$65+0.04)*(VLOOKUP(($F$16-$F$15)-1,AK$100:AO154,4,FALSE)))*EXP(-(LN(2)/$D$65+0.1)*(VLOOKUP(($F$16-$F$15)-1,AK$100:AO154,5,FALSE)))*EXP(-(LN(2)/$D$65+0.04)*AN154)*EXP(-(LN(2)/$D$65+0.1)*AO154),IF(AL154=3,AR$100*EXP(-(LN(2)/$D$65+0.04)*(VLOOKUP(($F$16-$F$15)-1,AK$100:AO154,4,FALSE)))*EXP(-(LN(2)/$D$65+0.1)*(VLOOKUP(($F$16-$F$15)-1,AK$100:AO154,5,FALSE)))*EXP(-(LN(2)/$D$65+0.04)*(VLOOKUP(($F$16-$F$15)*2-1,AK$100:AO154,4,FALSE)))*EXP(-(LN(2)/$D$65+0.1)*(VLOOKUP(($F$16-$F$15)*2-1,AK$100:AO154,5,FALSE)))*EXP(-(LN(2)/$D$65+0.04)*AN154)*EXP(-(LN(2)/$D$65+0.1)*AO154),"-"))),"-")</f>
        <v>-</v>
      </c>
      <c r="AS154" s="274">
        <f t="shared" si="91"/>
        <v>0</v>
      </c>
      <c r="AT154" s="274">
        <f t="shared" si="92"/>
        <v>0</v>
      </c>
      <c r="AU154" s="274">
        <f t="shared" si="93"/>
        <v>0</v>
      </c>
      <c r="AV154" s="190">
        <f>IF($B154&lt;$F$22,SUM($T$100:$T154),"")</f>
        <v>0</v>
      </c>
      <c r="AW154" s="190" t="str">
        <f t="shared" si="94"/>
        <v>-</v>
      </c>
      <c r="AX154" s="190" t="str">
        <f t="shared" si="56"/>
        <v/>
      </c>
      <c r="AY154"/>
      <c r="AZ154" s="190" t="str">
        <f ca="1">IF(ISNUMBER(OFFSET(AV154,-$F$21,0)),SUM(OFFSET($T$100,$F$21,0):$T154),"")</f>
        <v/>
      </c>
      <c r="BA154" s="190" t="str">
        <f t="shared" ca="1" si="95"/>
        <v/>
      </c>
      <c r="BB154" s="190" t="str">
        <f t="shared" ca="1" si="70"/>
        <v/>
      </c>
      <c r="BC154" s="190"/>
      <c r="BD154" s="190" t="str">
        <f ca="1">IFERROR(IF(AND($B154&gt;=($F$16-$F$15),$B154&lt;$F$22+($F$16-$F$15)),SUM(OFFSET($T$100,($F$16-$F$15),0):$T154),""),"")</f>
        <v/>
      </c>
      <c r="BE154" s="190" t="str">
        <f t="shared" ca="1" si="58"/>
        <v/>
      </c>
      <c r="BF154" s="190" t="str">
        <f t="shared" ca="1" si="59"/>
        <v/>
      </c>
      <c r="BG154"/>
      <c r="BH154" s="190" t="str">
        <f ca="1">IF(ISNUMBER(OFFSET(BD154,-$F$21,0)),SUM(OFFSET($T$100,($F$16-$F$15+$F$21),0):$T154),"")</f>
        <v/>
      </c>
      <c r="BI154" s="190" t="str">
        <f t="shared" ca="1" si="96"/>
        <v/>
      </c>
      <c r="BJ154" s="190" t="str">
        <f t="shared" ca="1" si="60"/>
        <v/>
      </c>
      <c r="BK154" s="190"/>
      <c r="BL154" s="190" t="str">
        <f ca="1">IFERROR(IF(AND($B154&gt;=($F$17-$F$15),$B154&lt;$F$22+($F$17-$F$15)),SUM(OFFSET($T$100,($F$17-$F$15),0):$T154),""),"")</f>
        <v/>
      </c>
      <c r="BM154" s="190" t="str">
        <f t="shared" ca="1" si="97"/>
        <v/>
      </c>
      <c r="BN154" s="190" t="str">
        <f t="shared" ca="1" si="61"/>
        <v/>
      </c>
      <c r="BO154"/>
      <c r="BP154" s="190" t="str">
        <f ca="1">IF(ISNUMBER(OFFSET(BL154,-$F$21,0)),SUM(OFFSET($T$100,($F$17-$F$15+$F$21),0):$T154),"")</f>
        <v/>
      </c>
      <c r="BQ154" s="190" t="str">
        <f t="shared" ca="1" si="98"/>
        <v/>
      </c>
      <c r="BR154" s="190" t="str">
        <f t="shared" ca="1" si="63"/>
        <v/>
      </c>
      <c r="BS154" s="190"/>
      <c r="BT154"/>
      <c r="BU154"/>
      <c r="BV154"/>
      <c r="BY154" s="99"/>
      <c r="BZ154" s="99"/>
      <c r="CA154" s="280" t="str">
        <f t="shared" si="99"/>
        <v/>
      </c>
      <c r="CB154" s="71" t="str">
        <f t="shared" si="100"/>
        <v>-</v>
      </c>
      <c r="CC154" s="33"/>
      <c r="CD154" s="261" t="str">
        <f t="shared" si="101"/>
        <v/>
      </c>
      <c r="CE154" s="280" t="str">
        <f t="shared" si="102"/>
        <v>-</v>
      </c>
      <c r="CF154" s="71" t="str">
        <f t="shared" ca="1" si="103"/>
        <v>-</v>
      </c>
      <c r="CG154" s="33" t="str">
        <f t="shared" si="104"/>
        <v>54-55</v>
      </c>
      <c r="CH154" s="261" t="str">
        <f t="shared" ca="1" si="105"/>
        <v/>
      </c>
      <c r="CI154" s="202"/>
      <c r="CP154" s="99"/>
      <c r="CQ154" s="99"/>
      <c r="CR154" s="99"/>
      <c r="CS154" s="99"/>
      <c r="CT154" s="99"/>
      <c r="CU154" s="99"/>
      <c r="CV154" s="99"/>
      <c r="CW154" s="99"/>
      <c r="CX154" s="99"/>
      <c r="CY154" s="99"/>
      <c r="CZ154" s="99"/>
      <c r="DA154" s="99"/>
      <c r="DB154" s="99"/>
      <c r="DC154" s="99"/>
    </row>
    <row r="155" spans="2:107" ht="13.5" customHeight="1" x14ac:dyDescent="0.2">
      <c r="B155" s="262">
        <v>55</v>
      </c>
      <c r="C155" s="237" t="str">
        <f t="shared" si="71"/>
        <v/>
      </c>
      <c r="D155" s="237" t="str">
        <f t="shared" si="106"/>
        <v>-</v>
      </c>
      <c r="E155" s="290" t="str">
        <f t="shared" si="32"/>
        <v/>
      </c>
      <c r="F155" s="264" t="str">
        <f t="shared" si="33"/>
        <v/>
      </c>
      <c r="G155" s="291" t="str">
        <f t="shared" si="34"/>
        <v/>
      </c>
      <c r="H155" s="240" t="str">
        <f t="shared" si="72"/>
        <v/>
      </c>
      <c r="I155" s="265" t="str">
        <f t="shared" si="73"/>
        <v/>
      </c>
      <c r="J155" s="265" t="str">
        <f t="shared" si="74"/>
        <v/>
      </c>
      <c r="K155" s="240" t="str">
        <f t="shared" si="75"/>
        <v/>
      </c>
      <c r="L155" s="265" t="str">
        <f t="shared" si="76"/>
        <v/>
      </c>
      <c r="M155" s="265" t="str">
        <f t="shared" si="77"/>
        <v/>
      </c>
      <c r="N155" s="240" t="str">
        <f t="shared" si="78"/>
        <v>-</v>
      </c>
      <c r="O155" s="265" t="str">
        <f t="shared" si="79"/>
        <v>-</v>
      </c>
      <c r="P155" s="265" t="str">
        <f t="shared" si="80"/>
        <v>-</v>
      </c>
      <c r="Q155" s="266" t="str">
        <f t="shared" si="81"/>
        <v>-</v>
      </c>
      <c r="R155" s="267" t="str">
        <f t="shared" si="82"/>
        <v>-</v>
      </c>
      <c r="S155" s="268" t="str">
        <f t="shared" si="83"/>
        <v>-</v>
      </c>
      <c r="T155" s="269" t="str">
        <f t="shared" si="84"/>
        <v/>
      </c>
      <c r="U155" s="221">
        <f t="shared" si="85"/>
        <v>55</v>
      </c>
      <c r="V155" s="220" t="str">
        <f t="shared" si="42"/>
        <v>-</v>
      </c>
      <c r="W155" s="221" t="str">
        <f t="shared" si="43"/>
        <v>-</v>
      </c>
      <c r="X155" s="221" t="str">
        <f t="shared" si="86"/>
        <v>-</v>
      </c>
      <c r="Y155" s="221" t="str">
        <f t="shared" si="87"/>
        <v>-</v>
      </c>
      <c r="Z155" s="270">
        <f t="shared" si="44"/>
        <v>0.1</v>
      </c>
      <c r="AA155" s="271" t="str">
        <f>IFERROR(IF(V154=1,AA$100*EXP(-(LN(2)/$D$65+0.04)*X154)*EXP(-(LN(2)/$D$65+0.1)*Y154),IF(V154=2,AA$100*EXP(-(LN(2)/$D$65+0.04)*(VLOOKUP(($F$16-$F$15)-1,U$99:Y154,4,FALSE)))*EXP(-(LN(2)/$D$65+0.1)*(VLOOKUP(($F$16-$F$15)-1,U$99:Y154,5,FALSE)))*EXP(-(LN(2)/$D$65+0.04)*X154)*EXP(-(LN(2)/$D$65+0.1)*Y154),IF(V154=3,AA$100*EXP(-(LN(2)/$D$65+0.04)*(VLOOKUP(($F$16-$F$15)-1,U$99:Y154,4,FALSE)))*EXP(-(LN(2)/$D$65+0.1)*(VLOOKUP(($F$16-$F$15)-1,U$99:Y154,5,FALSE)))*EXP(-(LN(2)/$D$65+0.04)*(VLOOKUP(($F$16-$F$15)*2-1,U$99:Y154,4,FALSE)))*EXP(-(LN(2)/$D$65+0.1)*(VLOOKUP(($F$16-$F$15)*2-1,U$99:Y154,5,FALSE)))*EXP(-(LN(2)/$D$65+0.04)*X154)*EXP(-(LN(2)/$D$65+0.1)*Y154),"-"))),"-")</f>
        <v>-</v>
      </c>
      <c r="AB155" s="271" t="str">
        <f>IFERROR(IF(V155=1,AB$100*EXP(-(LN(2)/$D$65+0.04)*X155)*EXP(-(LN(2)/$D$65+0.1)*Y155),IF(V155=2,AB$100*EXP(-(LN(2)/$D$65+0.04)*(VLOOKUP(($F$16-$F$15)-1,U$100:Y155,4,FALSE)))*EXP(-(LN(2)/$D$65+0.1)*(VLOOKUP(($F$16-$F$15)-1,U$100:Y155,5,FALSE)))*EXP(-(LN(2)/$D$65+0.04)*X155)*EXP(-(LN(2)/$D$65+0.1)*Y155),IF(V155=3,AB$100*EXP(-(LN(2)/$D$65+0.04)*(VLOOKUP(($F$16-$F$15)-1,U$100:Y155,4,FALSE)))*EXP(-(LN(2)/$D$65+0.1)*(VLOOKUP(($F$16-$F$15)-1,U$100:Y155,5,FALSE)))*EXP(-(LN(2)/$D$65+0.04)*(VLOOKUP(($F$16-$F$15)*2-1,U$100:Y155,4,FALSE)))*EXP(-(LN(2)/$D$65+0.1)*(VLOOKUP(($F$16-$F$15)*2-1,U$100:Y155,5,FALSE)))*EXP(-(LN(2)/$D$65+0.04)*X155)*EXP(-(LN(2)/$D$65+0.1)*Y155),"-"))),"-")</f>
        <v>-</v>
      </c>
      <c r="AC155" s="224">
        <f t="shared" si="45"/>
        <v>55</v>
      </c>
      <c r="AD155" s="223" t="str">
        <f t="shared" si="11"/>
        <v>-</v>
      </c>
      <c r="AE155" s="224" t="str">
        <f t="shared" si="46"/>
        <v>-</v>
      </c>
      <c r="AF155" s="224" t="str">
        <f t="shared" si="88"/>
        <v>-</v>
      </c>
      <c r="AG155" s="224" t="str">
        <f t="shared" si="89"/>
        <v>-</v>
      </c>
      <c r="AH155" s="272">
        <f t="shared" si="47"/>
        <v>0.1</v>
      </c>
      <c r="AI155" s="271" t="str">
        <f>IFERROR(IF(AD154=1,AI$100*EXP(-(LN(2)/$D$65+0.04)*AF154)*EXP(-(LN(2)/$D$65+0.1)*AG154),IF(AD154=2,AI$100*EXP(-(LN(2)/$D$65+0.04)*(VLOOKUP(($F$16-$F$15)-1,AC$99:AG154,4,FALSE)))*EXP(-(LN(2)/$D$65+0.1)*(VLOOKUP(($F$16-$F$15)-1,AC$99:AG154,5,FALSE)))*EXP(-(LN(2)/$D$65+0.04)*AF154)*EXP(-(LN(2)/$D$65+0.1)*AG154),IF(AD154=3,AI$100*EXP(-(LN(2)/$D$65+0.04)*(VLOOKUP(($F$16-$F$15)-1,AC$99:AG154,4,FALSE)))*EXP(-(LN(2)/$D$65+0.1)*(VLOOKUP(($F$16-$F$15)-1,AC$99:AG154,5,FALSE)))*EXP(-(LN(2)/$D$65+0.04)*(VLOOKUP(($F$16-$F$15)*2-1,AC$99:AG154,4,FALSE)))*EXP(-(LN(2)/$D$65+0.1)*(VLOOKUP(($F$16-$F$15)*2-1,AC$99:AG154,5,FALSE)))*EXP(-(LN(2)/$D$65+0.04)*AF154)*EXP(-(LN(2)/$D$65+0.1)*AG154),"-"))),"-")</f>
        <v>-</v>
      </c>
      <c r="AJ155" s="271" t="str">
        <f>IFERROR(IF(AD155=1,AJ$100*EXP(-(LN(2)/$D$65+0.04)*AF155)*EXP(-(LN(2)/$D$65+0.1)*AG155),IF(AD155=2,AJ$100*EXP(-(LN(2)/$D$65+0.04)*(VLOOKUP(($F$16-$F$15)-1,AC$100:AG155,4,FALSE)))*EXP(-(LN(2)/$D$65+0.1)*(VLOOKUP(($F$16-$F$15)-1,AC$100:AG155,5,FALSE)))*EXP(-(LN(2)/$D$65+0.04)*AF155)*EXP(-(LN(2)/$D$65+0.1)*AG155),IF(AD155=3,AJ$100*EXP(-(LN(2)/$D$65+0.04)*(VLOOKUP(($F$16-$F$15)-1,AC$100:AG155,4,FALSE)))*EXP(-(LN(2)/$D$65+0.1)*(VLOOKUP(($F$16-$F$15)-1,AC$100:AG155,5,FALSE)))*EXP(-(LN(2)/$D$65+0.04)*(VLOOKUP(($F$16-$F$15)*2-1,AC$100:AG155,4,FALSE)))*EXP(-(LN(2)/$D$65+0.1)*(VLOOKUP(($F$16-$F$15)*2-1,AC$100:AG155,5,FALSE)))*EXP(-(LN(2)/$D$65+0.04)*AF155)*EXP(-(LN(2)/$D$65+0.1)*AG155),"-"))),"-")</f>
        <v>-</v>
      </c>
      <c r="AK155" s="227">
        <f t="shared" si="49"/>
        <v>55</v>
      </c>
      <c r="AL155" s="226" t="str">
        <f t="shared" si="15"/>
        <v>-</v>
      </c>
      <c r="AM155" s="227" t="str">
        <f t="shared" si="50"/>
        <v>-</v>
      </c>
      <c r="AN155" s="227" t="str">
        <f t="shared" si="51"/>
        <v>-</v>
      </c>
      <c r="AO155" s="227" t="str">
        <f t="shared" si="90"/>
        <v>-</v>
      </c>
      <c r="AP155" s="273">
        <f t="shared" si="52"/>
        <v>0.1</v>
      </c>
      <c r="AQ155" s="271" t="str">
        <f>IFERROR(IF(AL154=1,AQ$100*EXP(-(LN(2)/$D$65+0.04)*AN154)*EXP(-(LN(2)/$D$65+0.1)*AO154),IF(AL154=2,AQ$100*EXP(-(LN(2)/$D$65+0.04)*(VLOOKUP(($F$16-$F$15)-1,AK$99:AO154,4,FALSE)))*EXP(-(LN(2)/$D$65+0.1)*(VLOOKUP(($F$16-$F$15)-1,AK$99:AO154,5,FALSE)))*EXP(-(LN(2)/$D$65+0.04)*AN154)*EXP(-(LN(2)/$D$65+0.1)*AO154),IF(AL154=3,AQ$100*EXP(-(LN(2)/$D$65+0.04)*(VLOOKUP(($F$16-$F$15)-1,AK$99:AO154,4,FALSE)))*EXP(-(LN(2)/$D$65+0.1)*(VLOOKUP(($F$16-$F$15)-1,AK$99:AO154,5,FALSE)))*EXP(-(LN(2)/$D$65+0.04)*(VLOOKUP(($F$16-$F$15)*2-1,AK$99:AO154,4,FALSE)))*EXP(-(LN(2)/$D$65+0.1)*(VLOOKUP(($F$16-$F$15)*2-1,AK$99:AO154,5,FALSE)))*EXP(-(LN(2)/$D$65+0.04)*AN154)*EXP(-(LN(2)/$D$65+0.1)*AO154),"-"))),"-")</f>
        <v>-</v>
      </c>
      <c r="AR155" s="271" t="str">
        <f>IFERROR(IF(AL155=1,AR$100*EXP(-(LN(2)/$D$65+0.04)*AN155)*EXP(-(LN(2)/$D$65+0.1)*AO155),IF(AL155=2,AR$100*EXP(-(LN(2)/$D$65+0.04)*(VLOOKUP(($F$16-$F$15)-1,AK$100:AO155,4,FALSE)))*EXP(-(LN(2)/$D$65+0.1)*(VLOOKUP(($F$16-$F$15)-1,AK$100:AO155,5,FALSE)))*EXP(-(LN(2)/$D$65+0.04)*AN155)*EXP(-(LN(2)/$D$65+0.1)*AO155),IF(AL155=3,AR$100*EXP(-(LN(2)/$D$65+0.04)*(VLOOKUP(($F$16-$F$15)-1,AK$100:AO155,4,FALSE)))*EXP(-(LN(2)/$D$65+0.1)*(VLOOKUP(($F$16-$F$15)-1,AK$100:AO155,5,FALSE)))*EXP(-(LN(2)/$D$65+0.04)*(VLOOKUP(($F$16-$F$15)*2-1,AK$100:AO155,4,FALSE)))*EXP(-(LN(2)/$D$65+0.1)*(VLOOKUP(($F$16-$F$15)*2-1,AK$100:AO155,5,FALSE)))*EXP(-(LN(2)/$D$65+0.04)*AN155)*EXP(-(LN(2)/$D$65+0.1)*AO155),"-"))),"-")</f>
        <v>-</v>
      </c>
      <c r="AS155" s="274">
        <f t="shared" si="91"/>
        <v>0</v>
      </c>
      <c r="AT155" s="274">
        <f t="shared" si="92"/>
        <v>0</v>
      </c>
      <c r="AU155" s="274">
        <f t="shared" si="93"/>
        <v>0</v>
      </c>
      <c r="AV155" s="190">
        <f>IF($B155&lt;$F$22,SUM($T$100:$T155),"")</f>
        <v>0</v>
      </c>
      <c r="AW155" s="190" t="str">
        <f t="shared" si="94"/>
        <v>-</v>
      </c>
      <c r="AX155" s="190" t="str">
        <f t="shared" si="56"/>
        <v/>
      </c>
      <c r="AY155"/>
      <c r="AZ155" s="190" t="str">
        <f ca="1">IF(ISNUMBER(OFFSET(AV155,-$F$21,0)),SUM(OFFSET($T$100,$F$21,0):$T155),"")</f>
        <v/>
      </c>
      <c r="BA155" s="190" t="str">
        <f t="shared" ca="1" si="95"/>
        <v/>
      </c>
      <c r="BB155" s="190" t="str">
        <f t="shared" ca="1" si="70"/>
        <v/>
      </c>
      <c r="BC155" s="190"/>
      <c r="BD155" s="190" t="str">
        <f ca="1">IFERROR(IF(AND($B155&gt;=($F$16-$F$15),$B155&lt;$F$22+($F$16-$F$15)),SUM(OFFSET($T$100,($F$16-$F$15),0):$T155),""),"")</f>
        <v/>
      </c>
      <c r="BE155" s="190" t="str">
        <f t="shared" ca="1" si="58"/>
        <v/>
      </c>
      <c r="BF155" s="190" t="str">
        <f t="shared" ca="1" si="59"/>
        <v/>
      </c>
      <c r="BG155"/>
      <c r="BH155" s="190" t="str">
        <f ca="1">IF(ISNUMBER(OFFSET(BD155,-$F$21,0)),SUM(OFFSET($T$100,($F$16-$F$15+$F$21),0):$T155),"")</f>
        <v/>
      </c>
      <c r="BI155" s="190" t="str">
        <f t="shared" ca="1" si="96"/>
        <v/>
      </c>
      <c r="BJ155" s="190" t="str">
        <f t="shared" ca="1" si="60"/>
        <v/>
      </c>
      <c r="BK155" s="190"/>
      <c r="BL155" s="190" t="str">
        <f ca="1">IFERROR(IF(AND($B155&gt;=($F$17-$F$15),$B155&lt;$F$22+($F$17-$F$15)),SUM(OFFSET($T$100,($F$17-$F$15),0):$T155),""),"")</f>
        <v/>
      </c>
      <c r="BM155" s="190" t="str">
        <f t="shared" ca="1" si="97"/>
        <v/>
      </c>
      <c r="BN155" s="190" t="str">
        <f t="shared" ca="1" si="61"/>
        <v/>
      </c>
      <c r="BO155"/>
      <c r="BP155" s="190" t="str">
        <f ca="1">IF(ISNUMBER(OFFSET(BL155,-$F$21,0)),SUM(OFFSET($T$100,($F$17-$F$15+$F$21),0):$T155),"")</f>
        <v/>
      </c>
      <c r="BQ155" s="190" t="str">
        <f t="shared" ca="1" si="98"/>
        <v/>
      </c>
      <c r="BR155" s="190" t="str">
        <f t="shared" ca="1" si="63"/>
        <v/>
      </c>
      <c r="BS155" s="190"/>
      <c r="BT155"/>
      <c r="BU155"/>
      <c r="BV155"/>
      <c r="BY155" s="99"/>
      <c r="BZ155" s="99"/>
      <c r="CA155" s="280" t="str">
        <f t="shared" si="99"/>
        <v/>
      </c>
      <c r="CB155" s="71" t="str">
        <f t="shared" si="100"/>
        <v>-</v>
      </c>
      <c r="CC155" s="33"/>
      <c r="CD155" s="261" t="str">
        <f t="shared" si="101"/>
        <v/>
      </c>
      <c r="CE155" s="280" t="str">
        <f t="shared" si="102"/>
        <v>-</v>
      </c>
      <c r="CF155" s="71" t="str">
        <f t="shared" ca="1" si="103"/>
        <v>-</v>
      </c>
      <c r="CG155" s="33" t="str">
        <f t="shared" si="104"/>
        <v>55-56</v>
      </c>
      <c r="CH155" s="261" t="str">
        <f t="shared" ca="1" si="105"/>
        <v/>
      </c>
      <c r="CI155" s="202"/>
      <c r="CP155" s="99"/>
      <c r="CQ155" s="99"/>
      <c r="CR155" s="99"/>
      <c r="CS155" s="99"/>
      <c r="CT155" s="99"/>
      <c r="CU155" s="99"/>
      <c r="CV155" s="99"/>
      <c r="CW155" s="99"/>
      <c r="CX155" s="99"/>
      <c r="CY155" s="99"/>
      <c r="CZ155" s="99"/>
      <c r="DA155" s="99"/>
      <c r="DB155" s="99"/>
      <c r="DC155" s="99"/>
    </row>
    <row r="156" spans="2:107" ht="13.5" customHeight="1" x14ac:dyDescent="0.2">
      <c r="B156" s="262">
        <v>56</v>
      </c>
      <c r="C156" s="237" t="str">
        <f t="shared" si="71"/>
        <v/>
      </c>
      <c r="D156" s="237" t="str">
        <f t="shared" si="106"/>
        <v>-</v>
      </c>
      <c r="E156" s="290" t="str">
        <f t="shared" si="32"/>
        <v/>
      </c>
      <c r="F156" s="264" t="str">
        <f t="shared" si="33"/>
        <v/>
      </c>
      <c r="G156" s="291" t="str">
        <f t="shared" si="34"/>
        <v/>
      </c>
      <c r="H156" s="240" t="str">
        <f t="shared" si="72"/>
        <v/>
      </c>
      <c r="I156" s="265" t="str">
        <f t="shared" si="73"/>
        <v/>
      </c>
      <c r="J156" s="265" t="str">
        <f t="shared" si="74"/>
        <v/>
      </c>
      <c r="K156" s="240" t="str">
        <f t="shared" si="75"/>
        <v/>
      </c>
      <c r="L156" s="265" t="str">
        <f t="shared" si="76"/>
        <v/>
      </c>
      <c r="M156" s="265" t="str">
        <f t="shared" si="77"/>
        <v/>
      </c>
      <c r="N156" s="240" t="str">
        <f t="shared" si="78"/>
        <v>-</v>
      </c>
      <c r="O156" s="265" t="str">
        <f t="shared" si="79"/>
        <v>-</v>
      </c>
      <c r="P156" s="265" t="str">
        <f t="shared" si="80"/>
        <v>-</v>
      </c>
      <c r="Q156" s="266" t="str">
        <f t="shared" si="81"/>
        <v>-</v>
      </c>
      <c r="R156" s="267" t="str">
        <f t="shared" si="82"/>
        <v>-</v>
      </c>
      <c r="S156" s="268" t="str">
        <f t="shared" si="83"/>
        <v>-</v>
      </c>
      <c r="T156" s="269" t="str">
        <f t="shared" si="84"/>
        <v/>
      </c>
      <c r="U156" s="221">
        <f t="shared" si="85"/>
        <v>56</v>
      </c>
      <c r="V156" s="220" t="str">
        <f t="shared" si="42"/>
        <v>-</v>
      </c>
      <c r="W156" s="221" t="str">
        <f t="shared" si="43"/>
        <v>-</v>
      </c>
      <c r="X156" s="221" t="str">
        <f t="shared" si="86"/>
        <v>-</v>
      </c>
      <c r="Y156" s="221" t="str">
        <f t="shared" si="87"/>
        <v>-</v>
      </c>
      <c r="Z156" s="270">
        <f t="shared" si="44"/>
        <v>0.1</v>
      </c>
      <c r="AA156" s="271" t="str">
        <f>IFERROR(IF(V155=1,AA$100*EXP(-(LN(2)/$D$65+0.04)*X155)*EXP(-(LN(2)/$D$65+0.1)*Y155),IF(V155=2,AA$100*EXP(-(LN(2)/$D$65+0.04)*(VLOOKUP(($F$16-$F$15)-1,U$99:Y155,4,FALSE)))*EXP(-(LN(2)/$D$65+0.1)*(VLOOKUP(($F$16-$F$15)-1,U$99:Y155,5,FALSE)))*EXP(-(LN(2)/$D$65+0.04)*X155)*EXP(-(LN(2)/$D$65+0.1)*Y155),IF(V155=3,AA$100*EXP(-(LN(2)/$D$65+0.04)*(VLOOKUP(($F$16-$F$15)-1,U$99:Y155,4,FALSE)))*EXP(-(LN(2)/$D$65+0.1)*(VLOOKUP(($F$16-$F$15)-1,U$99:Y155,5,FALSE)))*EXP(-(LN(2)/$D$65+0.04)*(VLOOKUP(($F$16-$F$15)*2-1,U$99:Y155,4,FALSE)))*EXP(-(LN(2)/$D$65+0.1)*(VLOOKUP(($F$16-$F$15)*2-1,U$99:Y155,5,FALSE)))*EXP(-(LN(2)/$D$65+0.04)*X155)*EXP(-(LN(2)/$D$65+0.1)*Y155),"-"))),"-")</f>
        <v>-</v>
      </c>
      <c r="AB156" s="271" t="str">
        <f>IFERROR(IF(V156=1,AB$100*EXP(-(LN(2)/$D$65+0.04)*X156)*EXP(-(LN(2)/$D$65+0.1)*Y156),IF(V156=2,AB$100*EXP(-(LN(2)/$D$65+0.04)*(VLOOKUP(($F$16-$F$15)-1,U$100:Y156,4,FALSE)))*EXP(-(LN(2)/$D$65+0.1)*(VLOOKUP(($F$16-$F$15)-1,U$100:Y156,5,FALSE)))*EXP(-(LN(2)/$D$65+0.04)*X156)*EXP(-(LN(2)/$D$65+0.1)*Y156),IF(V156=3,AB$100*EXP(-(LN(2)/$D$65+0.04)*(VLOOKUP(($F$16-$F$15)-1,U$100:Y156,4,FALSE)))*EXP(-(LN(2)/$D$65+0.1)*(VLOOKUP(($F$16-$F$15)-1,U$100:Y156,5,FALSE)))*EXP(-(LN(2)/$D$65+0.04)*(VLOOKUP(($F$16-$F$15)*2-1,U$100:Y156,4,FALSE)))*EXP(-(LN(2)/$D$65+0.1)*(VLOOKUP(($F$16-$F$15)*2-1,U$100:Y156,5,FALSE)))*EXP(-(LN(2)/$D$65+0.04)*X156)*EXP(-(LN(2)/$D$65+0.1)*Y156),"-"))),"-")</f>
        <v>-</v>
      </c>
      <c r="AC156" s="224">
        <f t="shared" si="45"/>
        <v>56</v>
      </c>
      <c r="AD156" s="223" t="str">
        <f t="shared" si="11"/>
        <v>-</v>
      </c>
      <c r="AE156" s="224" t="str">
        <f t="shared" si="46"/>
        <v>-</v>
      </c>
      <c r="AF156" s="224" t="str">
        <f t="shared" si="88"/>
        <v>-</v>
      </c>
      <c r="AG156" s="224" t="str">
        <f t="shared" si="89"/>
        <v>-</v>
      </c>
      <c r="AH156" s="272">
        <f t="shared" si="47"/>
        <v>0.1</v>
      </c>
      <c r="AI156" s="271" t="str">
        <f>IFERROR(IF(AD155=1,AI$100*EXP(-(LN(2)/$D$65+0.04)*AF155)*EXP(-(LN(2)/$D$65+0.1)*AG155),IF(AD155=2,AI$100*EXP(-(LN(2)/$D$65+0.04)*(VLOOKUP(($F$16-$F$15)-1,AC$99:AG155,4,FALSE)))*EXP(-(LN(2)/$D$65+0.1)*(VLOOKUP(($F$16-$F$15)-1,AC$99:AG155,5,FALSE)))*EXP(-(LN(2)/$D$65+0.04)*AF155)*EXP(-(LN(2)/$D$65+0.1)*AG155),IF(AD155=3,AI$100*EXP(-(LN(2)/$D$65+0.04)*(VLOOKUP(($F$16-$F$15)-1,AC$99:AG155,4,FALSE)))*EXP(-(LN(2)/$D$65+0.1)*(VLOOKUP(($F$16-$F$15)-1,AC$99:AG155,5,FALSE)))*EXP(-(LN(2)/$D$65+0.04)*(VLOOKUP(($F$16-$F$15)*2-1,AC$99:AG155,4,FALSE)))*EXP(-(LN(2)/$D$65+0.1)*(VLOOKUP(($F$16-$F$15)*2-1,AC$99:AG155,5,FALSE)))*EXP(-(LN(2)/$D$65+0.04)*AF155)*EXP(-(LN(2)/$D$65+0.1)*AG155),"-"))),"-")</f>
        <v>-</v>
      </c>
      <c r="AJ156" s="271" t="str">
        <f>IFERROR(IF(AD156=1,AJ$100*EXP(-(LN(2)/$D$65+0.04)*AF156)*EXP(-(LN(2)/$D$65+0.1)*AG156),IF(AD156=2,AJ$100*EXP(-(LN(2)/$D$65+0.04)*(VLOOKUP(($F$16-$F$15)-1,AC$100:AG156,4,FALSE)))*EXP(-(LN(2)/$D$65+0.1)*(VLOOKUP(($F$16-$F$15)-1,AC$100:AG156,5,FALSE)))*EXP(-(LN(2)/$D$65+0.04)*AF156)*EXP(-(LN(2)/$D$65+0.1)*AG156),IF(AD156=3,AJ$100*EXP(-(LN(2)/$D$65+0.04)*(VLOOKUP(($F$16-$F$15)-1,AC$100:AG156,4,FALSE)))*EXP(-(LN(2)/$D$65+0.1)*(VLOOKUP(($F$16-$F$15)-1,AC$100:AG156,5,FALSE)))*EXP(-(LN(2)/$D$65+0.04)*(VLOOKUP(($F$16-$F$15)*2-1,AC$100:AG156,4,FALSE)))*EXP(-(LN(2)/$D$65+0.1)*(VLOOKUP(($F$16-$F$15)*2-1,AC$100:AG156,5,FALSE)))*EXP(-(LN(2)/$D$65+0.04)*AF156)*EXP(-(LN(2)/$D$65+0.1)*AG156),"-"))),"-")</f>
        <v>-</v>
      </c>
      <c r="AK156" s="227">
        <f t="shared" si="49"/>
        <v>56</v>
      </c>
      <c r="AL156" s="226" t="str">
        <f t="shared" si="15"/>
        <v>-</v>
      </c>
      <c r="AM156" s="227" t="str">
        <f t="shared" si="50"/>
        <v>-</v>
      </c>
      <c r="AN156" s="227" t="str">
        <f t="shared" si="51"/>
        <v>-</v>
      </c>
      <c r="AO156" s="227" t="str">
        <f t="shared" si="90"/>
        <v>-</v>
      </c>
      <c r="AP156" s="273">
        <f t="shared" si="52"/>
        <v>0.1</v>
      </c>
      <c r="AQ156" s="271" t="str">
        <f>IFERROR(IF(AL155=1,AQ$100*EXP(-(LN(2)/$D$65+0.04)*AN155)*EXP(-(LN(2)/$D$65+0.1)*AO155),IF(AL155=2,AQ$100*EXP(-(LN(2)/$D$65+0.04)*(VLOOKUP(($F$16-$F$15)-1,AK$99:AO155,4,FALSE)))*EXP(-(LN(2)/$D$65+0.1)*(VLOOKUP(($F$16-$F$15)-1,AK$99:AO155,5,FALSE)))*EXP(-(LN(2)/$D$65+0.04)*AN155)*EXP(-(LN(2)/$D$65+0.1)*AO155),IF(AL155=3,AQ$100*EXP(-(LN(2)/$D$65+0.04)*(VLOOKUP(($F$16-$F$15)-1,AK$99:AO155,4,FALSE)))*EXP(-(LN(2)/$D$65+0.1)*(VLOOKUP(($F$16-$F$15)-1,AK$99:AO155,5,FALSE)))*EXP(-(LN(2)/$D$65+0.04)*(VLOOKUP(($F$16-$F$15)*2-1,AK$99:AO155,4,FALSE)))*EXP(-(LN(2)/$D$65+0.1)*(VLOOKUP(($F$16-$F$15)*2-1,AK$99:AO155,5,FALSE)))*EXP(-(LN(2)/$D$65+0.04)*AN155)*EXP(-(LN(2)/$D$65+0.1)*AO155),"-"))),"-")</f>
        <v>-</v>
      </c>
      <c r="AR156" s="271" t="str">
        <f>IFERROR(IF(AL156=1,AR$100*EXP(-(LN(2)/$D$65+0.04)*AN156)*EXP(-(LN(2)/$D$65+0.1)*AO156),IF(AL156=2,AR$100*EXP(-(LN(2)/$D$65+0.04)*(VLOOKUP(($F$16-$F$15)-1,AK$100:AO156,4,FALSE)))*EXP(-(LN(2)/$D$65+0.1)*(VLOOKUP(($F$16-$F$15)-1,AK$100:AO156,5,FALSE)))*EXP(-(LN(2)/$D$65+0.04)*AN156)*EXP(-(LN(2)/$D$65+0.1)*AO156),IF(AL156=3,AR$100*EXP(-(LN(2)/$D$65+0.04)*(VLOOKUP(($F$16-$F$15)-1,AK$100:AO156,4,FALSE)))*EXP(-(LN(2)/$D$65+0.1)*(VLOOKUP(($F$16-$F$15)-1,AK$100:AO156,5,FALSE)))*EXP(-(LN(2)/$D$65+0.04)*(VLOOKUP(($F$16-$F$15)*2-1,AK$100:AO156,4,FALSE)))*EXP(-(LN(2)/$D$65+0.1)*(VLOOKUP(($F$16-$F$15)*2-1,AK$100:AO156,5,FALSE)))*EXP(-(LN(2)/$D$65+0.04)*AN156)*EXP(-(LN(2)/$D$65+0.1)*AO156),"-"))),"-")</f>
        <v>-</v>
      </c>
      <c r="AS156" s="274">
        <f t="shared" si="91"/>
        <v>0</v>
      </c>
      <c r="AT156" s="274">
        <f t="shared" si="92"/>
        <v>0</v>
      </c>
      <c r="AU156" s="274">
        <f t="shared" si="93"/>
        <v>0</v>
      </c>
      <c r="AV156" s="190">
        <f>IF($B156&lt;$F$22,SUM($T$100:$T156),"")</f>
        <v>0</v>
      </c>
      <c r="AW156" s="190" t="str">
        <f t="shared" si="94"/>
        <v>-</v>
      </c>
      <c r="AX156" s="190" t="str">
        <f t="shared" si="56"/>
        <v/>
      </c>
      <c r="AY156"/>
      <c r="AZ156" s="190" t="str">
        <f ca="1">IF(ISNUMBER(OFFSET(AV156,-$F$21,0)),SUM(OFFSET($T$100,$F$21,0):$T156),"")</f>
        <v/>
      </c>
      <c r="BA156" s="190" t="str">
        <f t="shared" ca="1" si="95"/>
        <v/>
      </c>
      <c r="BB156" s="190" t="str">
        <f t="shared" ca="1" si="70"/>
        <v/>
      </c>
      <c r="BC156" s="190"/>
      <c r="BD156" s="190" t="str">
        <f ca="1">IFERROR(IF(AND($B156&gt;=($F$16-$F$15),$B156&lt;$F$22+($F$16-$F$15)),SUM(OFFSET($T$100,($F$16-$F$15),0):$T156),""),"")</f>
        <v/>
      </c>
      <c r="BE156" s="190" t="str">
        <f t="shared" ca="1" si="58"/>
        <v/>
      </c>
      <c r="BF156" s="190" t="str">
        <f t="shared" ca="1" si="59"/>
        <v/>
      </c>
      <c r="BG156"/>
      <c r="BH156" s="190" t="str">
        <f ca="1">IF(ISNUMBER(OFFSET(BD156,-$F$21,0)),SUM(OFFSET($T$100,($F$16-$F$15+$F$21),0):$T156),"")</f>
        <v/>
      </c>
      <c r="BI156" s="190" t="str">
        <f t="shared" ca="1" si="96"/>
        <v/>
      </c>
      <c r="BJ156" s="190" t="str">
        <f t="shared" ca="1" si="60"/>
        <v/>
      </c>
      <c r="BK156" s="190"/>
      <c r="BL156" s="190" t="str">
        <f ca="1">IFERROR(IF(AND($B156&gt;=($F$17-$F$15),$B156&lt;$F$22+($F$17-$F$15)),SUM(OFFSET($T$100,($F$17-$F$15),0):$T156),""),"")</f>
        <v/>
      </c>
      <c r="BM156" s="190" t="str">
        <f t="shared" ca="1" si="97"/>
        <v/>
      </c>
      <c r="BN156" s="190" t="str">
        <f t="shared" ca="1" si="61"/>
        <v/>
      </c>
      <c r="BO156"/>
      <c r="BP156" s="190" t="str">
        <f ca="1">IF(ISNUMBER(OFFSET(BL156,-$F$21,0)),SUM(OFFSET($T$100,($F$17-$F$15+$F$21),0):$T156),"")</f>
        <v/>
      </c>
      <c r="BQ156" s="190" t="str">
        <f t="shared" ca="1" si="98"/>
        <v/>
      </c>
      <c r="BR156" s="190" t="str">
        <f t="shared" ca="1" si="63"/>
        <v/>
      </c>
      <c r="BS156" s="190"/>
      <c r="BT156"/>
      <c r="BU156"/>
      <c r="BV156"/>
      <c r="BY156" s="99"/>
      <c r="BZ156" s="99"/>
      <c r="CA156" s="280" t="str">
        <f t="shared" si="99"/>
        <v/>
      </c>
      <c r="CB156" s="71" t="str">
        <f t="shared" si="100"/>
        <v>-</v>
      </c>
      <c r="CC156" s="33"/>
      <c r="CD156" s="261" t="str">
        <f t="shared" si="101"/>
        <v/>
      </c>
      <c r="CE156" s="280" t="str">
        <f t="shared" si="102"/>
        <v>-</v>
      </c>
      <c r="CF156" s="71" t="str">
        <f t="shared" ca="1" si="103"/>
        <v>-</v>
      </c>
      <c r="CG156" s="33" t="str">
        <f t="shared" si="104"/>
        <v>56-57</v>
      </c>
      <c r="CH156" s="261" t="str">
        <f t="shared" ca="1" si="105"/>
        <v/>
      </c>
      <c r="CI156" s="202"/>
      <c r="CP156" s="99"/>
      <c r="CQ156" s="99"/>
      <c r="CR156" s="99"/>
      <c r="CS156" s="99"/>
      <c r="CT156" s="99"/>
      <c r="CU156" s="99"/>
      <c r="CV156" s="99"/>
      <c r="CW156" s="99"/>
      <c r="CX156" s="99"/>
      <c r="CY156" s="99"/>
      <c r="CZ156" s="99"/>
      <c r="DA156" s="99"/>
      <c r="DB156" s="99"/>
      <c r="DC156" s="99"/>
    </row>
    <row r="157" spans="2:107" ht="13.5" customHeight="1" x14ac:dyDescent="0.2">
      <c r="B157" s="262">
        <v>57</v>
      </c>
      <c r="C157" s="237" t="str">
        <f t="shared" si="71"/>
        <v/>
      </c>
      <c r="D157" s="237" t="str">
        <f t="shared" si="106"/>
        <v>-</v>
      </c>
      <c r="E157" s="290" t="str">
        <f t="shared" si="32"/>
        <v/>
      </c>
      <c r="F157" s="264" t="str">
        <f t="shared" si="33"/>
        <v/>
      </c>
      <c r="G157" s="291" t="str">
        <f t="shared" si="34"/>
        <v/>
      </c>
      <c r="H157" s="240" t="str">
        <f t="shared" si="72"/>
        <v/>
      </c>
      <c r="I157" s="265" t="str">
        <f t="shared" si="73"/>
        <v/>
      </c>
      <c r="J157" s="265" t="str">
        <f t="shared" si="74"/>
        <v/>
      </c>
      <c r="K157" s="240" t="str">
        <f t="shared" si="75"/>
        <v/>
      </c>
      <c r="L157" s="265" t="str">
        <f t="shared" si="76"/>
        <v/>
      </c>
      <c r="M157" s="265" t="str">
        <f t="shared" si="77"/>
        <v/>
      </c>
      <c r="N157" s="240" t="str">
        <f t="shared" si="78"/>
        <v>-</v>
      </c>
      <c r="O157" s="265" t="str">
        <f t="shared" si="79"/>
        <v>-</v>
      </c>
      <c r="P157" s="265" t="str">
        <f t="shared" si="80"/>
        <v>-</v>
      </c>
      <c r="Q157" s="266" t="str">
        <f t="shared" si="81"/>
        <v>-</v>
      </c>
      <c r="R157" s="267" t="str">
        <f t="shared" si="82"/>
        <v>-</v>
      </c>
      <c r="S157" s="268" t="str">
        <f t="shared" si="83"/>
        <v>-</v>
      </c>
      <c r="T157" s="269" t="str">
        <f t="shared" si="84"/>
        <v/>
      </c>
      <c r="U157" s="221">
        <f t="shared" si="85"/>
        <v>57</v>
      </c>
      <c r="V157" s="220" t="str">
        <f t="shared" si="42"/>
        <v>-</v>
      </c>
      <c r="W157" s="221" t="str">
        <f t="shared" si="43"/>
        <v>-</v>
      </c>
      <c r="X157" s="221" t="str">
        <f t="shared" si="86"/>
        <v>-</v>
      </c>
      <c r="Y157" s="221" t="str">
        <f t="shared" si="87"/>
        <v>-</v>
      </c>
      <c r="Z157" s="270">
        <f t="shared" si="44"/>
        <v>0.1</v>
      </c>
      <c r="AA157" s="271" t="str">
        <f>IFERROR(IF(V156=1,AA$100*EXP(-(LN(2)/$D$65+0.04)*X156)*EXP(-(LN(2)/$D$65+0.1)*Y156),IF(V156=2,AA$100*EXP(-(LN(2)/$D$65+0.04)*(VLOOKUP(($F$16-$F$15)-1,U$99:Y156,4,FALSE)))*EXP(-(LN(2)/$D$65+0.1)*(VLOOKUP(($F$16-$F$15)-1,U$99:Y156,5,FALSE)))*EXP(-(LN(2)/$D$65+0.04)*X156)*EXP(-(LN(2)/$D$65+0.1)*Y156),IF(V156=3,AA$100*EXP(-(LN(2)/$D$65+0.04)*(VLOOKUP(($F$16-$F$15)-1,U$99:Y156,4,FALSE)))*EXP(-(LN(2)/$D$65+0.1)*(VLOOKUP(($F$16-$F$15)-1,U$99:Y156,5,FALSE)))*EXP(-(LN(2)/$D$65+0.04)*(VLOOKUP(($F$16-$F$15)*2-1,U$99:Y156,4,FALSE)))*EXP(-(LN(2)/$D$65+0.1)*(VLOOKUP(($F$16-$F$15)*2-1,U$99:Y156,5,FALSE)))*EXP(-(LN(2)/$D$65+0.04)*X156)*EXP(-(LN(2)/$D$65+0.1)*Y156),"-"))),"-")</f>
        <v>-</v>
      </c>
      <c r="AB157" s="271" t="str">
        <f>IFERROR(IF(V157=1,AB$100*EXP(-(LN(2)/$D$65+0.04)*X157)*EXP(-(LN(2)/$D$65+0.1)*Y157),IF(V157=2,AB$100*EXP(-(LN(2)/$D$65+0.04)*(VLOOKUP(($F$16-$F$15)-1,U$100:Y157,4,FALSE)))*EXP(-(LN(2)/$D$65+0.1)*(VLOOKUP(($F$16-$F$15)-1,U$100:Y157,5,FALSE)))*EXP(-(LN(2)/$D$65+0.04)*X157)*EXP(-(LN(2)/$D$65+0.1)*Y157),IF(V157=3,AB$100*EXP(-(LN(2)/$D$65+0.04)*(VLOOKUP(($F$16-$F$15)-1,U$100:Y157,4,FALSE)))*EXP(-(LN(2)/$D$65+0.1)*(VLOOKUP(($F$16-$F$15)-1,U$100:Y157,5,FALSE)))*EXP(-(LN(2)/$D$65+0.04)*(VLOOKUP(($F$16-$F$15)*2-1,U$100:Y157,4,FALSE)))*EXP(-(LN(2)/$D$65+0.1)*(VLOOKUP(($F$16-$F$15)*2-1,U$100:Y157,5,FALSE)))*EXP(-(LN(2)/$D$65+0.04)*X157)*EXP(-(LN(2)/$D$65+0.1)*Y157),"-"))),"-")</f>
        <v>-</v>
      </c>
      <c r="AC157" s="224">
        <f t="shared" si="45"/>
        <v>57</v>
      </c>
      <c r="AD157" s="223" t="str">
        <f t="shared" si="11"/>
        <v>-</v>
      </c>
      <c r="AE157" s="224" t="str">
        <f t="shared" si="46"/>
        <v>-</v>
      </c>
      <c r="AF157" s="224" t="str">
        <f t="shared" si="88"/>
        <v>-</v>
      </c>
      <c r="AG157" s="224" t="str">
        <f t="shared" si="89"/>
        <v>-</v>
      </c>
      <c r="AH157" s="272">
        <f t="shared" si="47"/>
        <v>0.1</v>
      </c>
      <c r="AI157" s="271" t="str">
        <f>IFERROR(IF(AD156=1,AI$100*EXP(-(LN(2)/$D$65+0.04)*AF156)*EXP(-(LN(2)/$D$65+0.1)*AG156),IF(AD156=2,AI$100*EXP(-(LN(2)/$D$65+0.04)*(VLOOKUP(($F$16-$F$15)-1,AC$99:AG156,4,FALSE)))*EXP(-(LN(2)/$D$65+0.1)*(VLOOKUP(($F$16-$F$15)-1,AC$99:AG156,5,FALSE)))*EXP(-(LN(2)/$D$65+0.04)*AF156)*EXP(-(LN(2)/$D$65+0.1)*AG156),IF(AD156=3,AI$100*EXP(-(LN(2)/$D$65+0.04)*(VLOOKUP(($F$16-$F$15)-1,AC$99:AG156,4,FALSE)))*EXP(-(LN(2)/$D$65+0.1)*(VLOOKUP(($F$16-$F$15)-1,AC$99:AG156,5,FALSE)))*EXP(-(LN(2)/$D$65+0.04)*(VLOOKUP(($F$16-$F$15)*2-1,AC$99:AG156,4,FALSE)))*EXP(-(LN(2)/$D$65+0.1)*(VLOOKUP(($F$16-$F$15)*2-1,AC$99:AG156,5,FALSE)))*EXP(-(LN(2)/$D$65+0.04)*AF156)*EXP(-(LN(2)/$D$65+0.1)*AG156),"-"))),"-")</f>
        <v>-</v>
      </c>
      <c r="AJ157" s="271" t="str">
        <f>IFERROR(IF(AD157=1,AJ$100*EXP(-(LN(2)/$D$65+0.04)*AF157)*EXP(-(LN(2)/$D$65+0.1)*AG157),IF(AD157=2,AJ$100*EXP(-(LN(2)/$D$65+0.04)*(VLOOKUP(($F$16-$F$15)-1,AC$100:AG157,4,FALSE)))*EXP(-(LN(2)/$D$65+0.1)*(VLOOKUP(($F$16-$F$15)-1,AC$100:AG157,5,FALSE)))*EXP(-(LN(2)/$D$65+0.04)*AF157)*EXP(-(LN(2)/$D$65+0.1)*AG157),IF(AD157=3,AJ$100*EXP(-(LN(2)/$D$65+0.04)*(VLOOKUP(($F$16-$F$15)-1,AC$100:AG157,4,FALSE)))*EXP(-(LN(2)/$D$65+0.1)*(VLOOKUP(($F$16-$F$15)-1,AC$100:AG157,5,FALSE)))*EXP(-(LN(2)/$D$65+0.04)*(VLOOKUP(($F$16-$F$15)*2-1,AC$100:AG157,4,FALSE)))*EXP(-(LN(2)/$D$65+0.1)*(VLOOKUP(($F$16-$F$15)*2-1,AC$100:AG157,5,FALSE)))*EXP(-(LN(2)/$D$65+0.04)*AF157)*EXP(-(LN(2)/$D$65+0.1)*AG157),"-"))),"-")</f>
        <v>-</v>
      </c>
      <c r="AK157" s="227">
        <f t="shared" si="49"/>
        <v>57</v>
      </c>
      <c r="AL157" s="226" t="str">
        <f t="shared" si="15"/>
        <v>-</v>
      </c>
      <c r="AM157" s="227" t="str">
        <f t="shared" si="50"/>
        <v>-</v>
      </c>
      <c r="AN157" s="227" t="str">
        <f t="shared" si="51"/>
        <v>-</v>
      </c>
      <c r="AO157" s="227" t="str">
        <f t="shared" si="90"/>
        <v>-</v>
      </c>
      <c r="AP157" s="273">
        <f t="shared" si="52"/>
        <v>0.1</v>
      </c>
      <c r="AQ157" s="271" t="str">
        <f>IFERROR(IF(AL156=1,AQ$100*EXP(-(LN(2)/$D$65+0.04)*AN156)*EXP(-(LN(2)/$D$65+0.1)*AO156),IF(AL156=2,AQ$100*EXP(-(LN(2)/$D$65+0.04)*(VLOOKUP(($F$16-$F$15)-1,AK$99:AO156,4,FALSE)))*EXP(-(LN(2)/$D$65+0.1)*(VLOOKUP(($F$16-$F$15)-1,AK$99:AO156,5,FALSE)))*EXP(-(LN(2)/$D$65+0.04)*AN156)*EXP(-(LN(2)/$D$65+0.1)*AO156),IF(AL156=3,AQ$100*EXP(-(LN(2)/$D$65+0.04)*(VLOOKUP(($F$16-$F$15)-1,AK$99:AO156,4,FALSE)))*EXP(-(LN(2)/$D$65+0.1)*(VLOOKUP(($F$16-$F$15)-1,AK$99:AO156,5,FALSE)))*EXP(-(LN(2)/$D$65+0.04)*(VLOOKUP(($F$16-$F$15)*2-1,AK$99:AO156,4,FALSE)))*EXP(-(LN(2)/$D$65+0.1)*(VLOOKUP(($F$16-$F$15)*2-1,AK$99:AO156,5,FALSE)))*EXP(-(LN(2)/$D$65+0.04)*AN156)*EXP(-(LN(2)/$D$65+0.1)*AO156),"-"))),"-")</f>
        <v>-</v>
      </c>
      <c r="AR157" s="271" t="str">
        <f>IFERROR(IF(AL157=1,AR$100*EXP(-(LN(2)/$D$65+0.04)*AN157)*EXP(-(LN(2)/$D$65+0.1)*AO157),IF(AL157=2,AR$100*EXP(-(LN(2)/$D$65+0.04)*(VLOOKUP(($F$16-$F$15)-1,AK$100:AO157,4,FALSE)))*EXP(-(LN(2)/$D$65+0.1)*(VLOOKUP(($F$16-$F$15)-1,AK$100:AO157,5,FALSE)))*EXP(-(LN(2)/$D$65+0.04)*AN157)*EXP(-(LN(2)/$D$65+0.1)*AO157),IF(AL157=3,AR$100*EXP(-(LN(2)/$D$65+0.04)*(VLOOKUP(($F$16-$F$15)-1,AK$100:AO157,4,FALSE)))*EXP(-(LN(2)/$D$65+0.1)*(VLOOKUP(($F$16-$F$15)-1,AK$100:AO157,5,FALSE)))*EXP(-(LN(2)/$D$65+0.04)*(VLOOKUP(($F$16-$F$15)*2-1,AK$100:AO157,4,FALSE)))*EXP(-(LN(2)/$D$65+0.1)*(VLOOKUP(($F$16-$F$15)*2-1,AK$100:AO157,5,FALSE)))*EXP(-(LN(2)/$D$65+0.04)*AN157)*EXP(-(LN(2)/$D$65+0.1)*AO157),"-"))),"-")</f>
        <v>-</v>
      </c>
      <c r="AS157" s="274">
        <f t="shared" si="91"/>
        <v>0</v>
      </c>
      <c r="AT157" s="274">
        <f t="shared" si="92"/>
        <v>0</v>
      </c>
      <c r="AU157" s="274">
        <f t="shared" si="93"/>
        <v>0</v>
      </c>
      <c r="AV157" s="190">
        <f>IF($B157&lt;$F$22,SUM($T$100:$T157),"")</f>
        <v>0</v>
      </c>
      <c r="AW157" s="190" t="str">
        <f t="shared" si="94"/>
        <v>-</v>
      </c>
      <c r="AX157" s="190" t="str">
        <f t="shared" si="56"/>
        <v/>
      </c>
      <c r="AY157"/>
      <c r="AZ157" s="190" t="str">
        <f ca="1">IF(ISNUMBER(OFFSET(AV157,-$F$21,0)),SUM(OFFSET($T$100,$F$21,0):$T157),"")</f>
        <v/>
      </c>
      <c r="BA157" s="190" t="str">
        <f t="shared" ca="1" si="95"/>
        <v/>
      </c>
      <c r="BB157" s="190" t="str">
        <f t="shared" ca="1" si="70"/>
        <v/>
      </c>
      <c r="BC157" s="190"/>
      <c r="BD157" s="190" t="str">
        <f ca="1">IFERROR(IF(AND($B157&gt;=($F$16-$F$15),$B157&lt;$F$22+($F$16-$F$15)),SUM(OFFSET($T$100,($F$16-$F$15),0):$T157),""),"")</f>
        <v/>
      </c>
      <c r="BE157" s="190" t="str">
        <f t="shared" ca="1" si="58"/>
        <v/>
      </c>
      <c r="BF157" s="190" t="str">
        <f t="shared" ca="1" si="59"/>
        <v/>
      </c>
      <c r="BG157"/>
      <c r="BH157" s="190" t="str">
        <f ca="1">IF(ISNUMBER(OFFSET(BD157,-$F$21,0)),SUM(OFFSET($T$100,($F$16-$F$15+$F$21),0):$T157),"")</f>
        <v/>
      </c>
      <c r="BI157" s="190" t="str">
        <f t="shared" ca="1" si="96"/>
        <v/>
      </c>
      <c r="BJ157" s="190" t="str">
        <f t="shared" ca="1" si="60"/>
        <v/>
      </c>
      <c r="BK157" s="190"/>
      <c r="BL157" s="190" t="str">
        <f ca="1">IFERROR(IF(AND($B157&gt;=($F$17-$F$15),$B157&lt;$F$22+($F$17-$F$15)),SUM(OFFSET($T$100,($F$17-$F$15),0):$T157),""),"")</f>
        <v/>
      </c>
      <c r="BM157" s="190" t="str">
        <f t="shared" ca="1" si="97"/>
        <v/>
      </c>
      <c r="BN157" s="190" t="str">
        <f t="shared" ca="1" si="61"/>
        <v/>
      </c>
      <c r="BO157"/>
      <c r="BP157" s="190" t="str">
        <f ca="1">IF(ISNUMBER(OFFSET(BL157,-$F$21,0)),SUM(OFFSET($T$100,($F$17-$F$15+$F$21),0):$T157),"")</f>
        <v/>
      </c>
      <c r="BQ157" s="190" t="str">
        <f t="shared" ca="1" si="98"/>
        <v/>
      </c>
      <c r="BR157" s="190" t="str">
        <f t="shared" ca="1" si="63"/>
        <v/>
      </c>
      <c r="BS157" s="190"/>
      <c r="BT157"/>
      <c r="BU157"/>
      <c r="BV157"/>
      <c r="BY157" s="99"/>
      <c r="BZ157" s="99"/>
      <c r="CA157" s="280" t="str">
        <f t="shared" si="99"/>
        <v/>
      </c>
      <c r="CB157" s="71" t="str">
        <f t="shared" si="100"/>
        <v>-</v>
      </c>
      <c r="CC157" s="33"/>
      <c r="CD157" s="261" t="str">
        <f t="shared" si="101"/>
        <v/>
      </c>
      <c r="CE157" s="280" t="str">
        <f t="shared" si="102"/>
        <v>-</v>
      </c>
      <c r="CF157" s="71" t="str">
        <f t="shared" ca="1" si="103"/>
        <v>-</v>
      </c>
      <c r="CG157" s="33" t="str">
        <f t="shared" si="104"/>
        <v>57-58</v>
      </c>
      <c r="CH157" s="261" t="str">
        <f t="shared" ca="1" si="105"/>
        <v/>
      </c>
      <c r="CI157" s="202"/>
      <c r="CP157" s="99"/>
      <c r="CQ157" s="99"/>
      <c r="CR157" s="99"/>
      <c r="CS157" s="99"/>
      <c r="CT157" s="99"/>
      <c r="CU157" s="99"/>
      <c r="CV157" s="99"/>
      <c r="CW157" s="99"/>
      <c r="CX157" s="99"/>
      <c r="CY157" s="99"/>
      <c r="CZ157" s="99"/>
      <c r="DA157" s="99"/>
      <c r="DB157" s="99"/>
      <c r="DC157" s="99"/>
    </row>
    <row r="158" spans="2:107" ht="13.5" customHeight="1" x14ac:dyDescent="0.2">
      <c r="B158" s="262">
        <v>58</v>
      </c>
      <c r="C158" s="237" t="str">
        <f t="shared" si="71"/>
        <v/>
      </c>
      <c r="D158" s="237" t="str">
        <f t="shared" si="106"/>
        <v>-</v>
      </c>
      <c r="E158" s="290" t="str">
        <f t="shared" si="32"/>
        <v/>
      </c>
      <c r="F158" s="264" t="str">
        <f t="shared" si="33"/>
        <v/>
      </c>
      <c r="G158" s="291" t="str">
        <f t="shared" si="34"/>
        <v/>
      </c>
      <c r="H158" s="240" t="str">
        <f t="shared" si="72"/>
        <v/>
      </c>
      <c r="I158" s="265" t="str">
        <f t="shared" si="73"/>
        <v/>
      </c>
      <c r="J158" s="265" t="str">
        <f t="shared" si="74"/>
        <v/>
      </c>
      <c r="K158" s="240" t="str">
        <f t="shared" si="75"/>
        <v/>
      </c>
      <c r="L158" s="265" t="str">
        <f t="shared" si="76"/>
        <v/>
      </c>
      <c r="M158" s="265" t="str">
        <f t="shared" si="77"/>
        <v/>
      </c>
      <c r="N158" s="240" t="str">
        <f t="shared" si="78"/>
        <v>-</v>
      </c>
      <c r="O158" s="265" t="str">
        <f t="shared" si="79"/>
        <v>-</v>
      </c>
      <c r="P158" s="265" t="str">
        <f t="shared" si="80"/>
        <v>-</v>
      </c>
      <c r="Q158" s="266" t="str">
        <f t="shared" si="81"/>
        <v>-</v>
      </c>
      <c r="R158" s="267" t="str">
        <f t="shared" si="82"/>
        <v>-</v>
      </c>
      <c r="S158" s="268" t="str">
        <f t="shared" si="83"/>
        <v>-</v>
      </c>
      <c r="T158" s="269" t="str">
        <f t="shared" si="84"/>
        <v/>
      </c>
      <c r="U158" s="221">
        <f t="shared" si="85"/>
        <v>58</v>
      </c>
      <c r="V158" s="220" t="str">
        <f t="shared" si="42"/>
        <v>-</v>
      </c>
      <c r="W158" s="221" t="str">
        <f t="shared" si="43"/>
        <v>-</v>
      </c>
      <c r="X158" s="221" t="str">
        <f t="shared" si="86"/>
        <v>-</v>
      </c>
      <c r="Y158" s="221" t="str">
        <f t="shared" si="87"/>
        <v>-</v>
      </c>
      <c r="Z158" s="270">
        <f t="shared" si="44"/>
        <v>0.1</v>
      </c>
      <c r="AA158" s="271" t="str">
        <f>IFERROR(IF(V157=1,AA$100*EXP(-(LN(2)/$D$65+0.04)*X157)*EXP(-(LN(2)/$D$65+0.1)*Y157),IF(V157=2,AA$100*EXP(-(LN(2)/$D$65+0.04)*(VLOOKUP(($F$16-$F$15)-1,U$99:Y157,4,FALSE)))*EXP(-(LN(2)/$D$65+0.1)*(VLOOKUP(($F$16-$F$15)-1,U$99:Y157,5,FALSE)))*EXP(-(LN(2)/$D$65+0.04)*X157)*EXP(-(LN(2)/$D$65+0.1)*Y157),IF(V157=3,AA$100*EXP(-(LN(2)/$D$65+0.04)*(VLOOKUP(($F$16-$F$15)-1,U$99:Y157,4,FALSE)))*EXP(-(LN(2)/$D$65+0.1)*(VLOOKUP(($F$16-$F$15)-1,U$99:Y157,5,FALSE)))*EXP(-(LN(2)/$D$65+0.04)*(VLOOKUP(($F$16-$F$15)*2-1,U$99:Y157,4,FALSE)))*EXP(-(LN(2)/$D$65+0.1)*(VLOOKUP(($F$16-$F$15)*2-1,U$99:Y157,5,FALSE)))*EXP(-(LN(2)/$D$65+0.04)*X157)*EXP(-(LN(2)/$D$65+0.1)*Y157),"-"))),"-")</f>
        <v>-</v>
      </c>
      <c r="AB158" s="271" t="str">
        <f>IFERROR(IF(V158=1,AB$100*EXP(-(LN(2)/$D$65+0.04)*X158)*EXP(-(LN(2)/$D$65+0.1)*Y158),IF(V158=2,AB$100*EXP(-(LN(2)/$D$65+0.04)*(VLOOKUP(($F$16-$F$15)-1,U$100:Y158,4,FALSE)))*EXP(-(LN(2)/$D$65+0.1)*(VLOOKUP(($F$16-$F$15)-1,U$100:Y158,5,FALSE)))*EXP(-(LN(2)/$D$65+0.04)*X158)*EXP(-(LN(2)/$D$65+0.1)*Y158),IF(V158=3,AB$100*EXP(-(LN(2)/$D$65+0.04)*(VLOOKUP(($F$16-$F$15)-1,U$100:Y158,4,FALSE)))*EXP(-(LN(2)/$D$65+0.1)*(VLOOKUP(($F$16-$F$15)-1,U$100:Y158,5,FALSE)))*EXP(-(LN(2)/$D$65+0.04)*(VLOOKUP(($F$16-$F$15)*2-1,U$100:Y158,4,FALSE)))*EXP(-(LN(2)/$D$65+0.1)*(VLOOKUP(($F$16-$F$15)*2-1,U$100:Y158,5,FALSE)))*EXP(-(LN(2)/$D$65+0.04)*X158)*EXP(-(LN(2)/$D$65+0.1)*Y158),"-"))),"-")</f>
        <v>-</v>
      </c>
      <c r="AC158" s="224">
        <f t="shared" si="45"/>
        <v>58</v>
      </c>
      <c r="AD158" s="223" t="str">
        <f t="shared" si="11"/>
        <v>-</v>
      </c>
      <c r="AE158" s="224" t="str">
        <f t="shared" si="46"/>
        <v>-</v>
      </c>
      <c r="AF158" s="224" t="str">
        <f t="shared" si="88"/>
        <v>-</v>
      </c>
      <c r="AG158" s="224" t="str">
        <f t="shared" si="89"/>
        <v>-</v>
      </c>
      <c r="AH158" s="272">
        <f t="shared" si="47"/>
        <v>0.1</v>
      </c>
      <c r="AI158" s="271" t="str">
        <f>IFERROR(IF(AD157=1,AI$100*EXP(-(LN(2)/$D$65+0.04)*AF157)*EXP(-(LN(2)/$D$65+0.1)*AG157),IF(AD157=2,AI$100*EXP(-(LN(2)/$D$65+0.04)*(VLOOKUP(($F$16-$F$15)-1,AC$99:AG157,4,FALSE)))*EXP(-(LN(2)/$D$65+0.1)*(VLOOKUP(($F$16-$F$15)-1,AC$99:AG157,5,FALSE)))*EXP(-(LN(2)/$D$65+0.04)*AF157)*EXP(-(LN(2)/$D$65+0.1)*AG157),IF(AD157=3,AI$100*EXP(-(LN(2)/$D$65+0.04)*(VLOOKUP(($F$16-$F$15)-1,AC$99:AG157,4,FALSE)))*EXP(-(LN(2)/$D$65+0.1)*(VLOOKUP(($F$16-$F$15)-1,AC$99:AG157,5,FALSE)))*EXP(-(LN(2)/$D$65+0.04)*(VLOOKUP(($F$16-$F$15)*2-1,AC$99:AG157,4,FALSE)))*EXP(-(LN(2)/$D$65+0.1)*(VLOOKUP(($F$16-$F$15)*2-1,AC$99:AG157,5,FALSE)))*EXP(-(LN(2)/$D$65+0.04)*AF157)*EXP(-(LN(2)/$D$65+0.1)*AG157),"-"))),"-")</f>
        <v>-</v>
      </c>
      <c r="AJ158" s="271" t="str">
        <f>IFERROR(IF(AD158=1,AJ$100*EXP(-(LN(2)/$D$65+0.04)*AF158)*EXP(-(LN(2)/$D$65+0.1)*AG158),IF(AD158=2,AJ$100*EXP(-(LN(2)/$D$65+0.04)*(VLOOKUP(($F$16-$F$15)-1,AC$100:AG158,4,FALSE)))*EXP(-(LN(2)/$D$65+0.1)*(VLOOKUP(($F$16-$F$15)-1,AC$100:AG158,5,FALSE)))*EXP(-(LN(2)/$D$65+0.04)*AF158)*EXP(-(LN(2)/$D$65+0.1)*AG158),IF(AD158=3,AJ$100*EXP(-(LN(2)/$D$65+0.04)*(VLOOKUP(($F$16-$F$15)-1,AC$100:AG158,4,FALSE)))*EXP(-(LN(2)/$D$65+0.1)*(VLOOKUP(($F$16-$F$15)-1,AC$100:AG158,5,FALSE)))*EXP(-(LN(2)/$D$65+0.04)*(VLOOKUP(($F$16-$F$15)*2-1,AC$100:AG158,4,FALSE)))*EXP(-(LN(2)/$D$65+0.1)*(VLOOKUP(($F$16-$F$15)*2-1,AC$100:AG158,5,FALSE)))*EXP(-(LN(2)/$D$65+0.04)*AF158)*EXP(-(LN(2)/$D$65+0.1)*AG158),"-"))),"-")</f>
        <v>-</v>
      </c>
      <c r="AK158" s="227">
        <f t="shared" si="49"/>
        <v>58</v>
      </c>
      <c r="AL158" s="226" t="str">
        <f t="shared" si="15"/>
        <v>-</v>
      </c>
      <c r="AM158" s="227" t="str">
        <f t="shared" si="50"/>
        <v>-</v>
      </c>
      <c r="AN158" s="227" t="str">
        <f t="shared" si="51"/>
        <v>-</v>
      </c>
      <c r="AO158" s="227" t="str">
        <f t="shared" si="90"/>
        <v>-</v>
      </c>
      <c r="AP158" s="273">
        <f t="shared" si="52"/>
        <v>0.1</v>
      </c>
      <c r="AQ158" s="271" t="str">
        <f>IFERROR(IF(AL157=1,AQ$100*EXP(-(LN(2)/$D$65+0.04)*AN157)*EXP(-(LN(2)/$D$65+0.1)*AO157),IF(AL157=2,AQ$100*EXP(-(LN(2)/$D$65+0.04)*(VLOOKUP(($F$16-$F$15)-1,AK$99:AO157,4,FALSE)))*EXP(-(LN(2)/$D$65+0.1)*(VLOOKUP(($F$16-$F$15)-1,AK$99:AO157,5,FALSE)))*EXP(-(LN(2)/$D$65+0.04)*AN157)*EXP(-(LN(2)/$D$65+0.1)*AO157),IF(AL157=3,AQ$100*EXP(-(LN(2)/$D$65+0.04)*(VLOOKUP(($F$16-$F$15)-1,AK$99:AO157,4,FALSE)))*EXP(-(LN(2)/$D$65+0.1)*(VLOOKUP(($F$16-$F$15)-1,AK$99:AO157,5,FALSE)))*EXP(-(LN(2)/$D$65+0.04)*(VLOOKUP(($F$16-$F$15)*2-1,AK$99:AO157,4,FALSE)))*EXP(-(LN(2)/$D$65+0.1)*(VLOOKUP(($F$16-$F$15)*2-1,AK$99:AO157,5,FALSE)))*EXP(-(LN(2)/$D$65+0.04)*AN157)*EXP(-(LN(2)/$D$65+0.1)*AO157),"-"))),"-")</f>
        <v>-</v>
      </c>
      <c r="AR158" s="271" t="str">
        <f>IFERROR(IF(AL158=1,AR$100*EXP(-(LN(2)/$D$65+0.04)*AN158)*EXP(-(LN(2)/$D$65+0.1)*AO158),IF(AL158=2,AR$100*EXP(-(LN(2)/$D$65+0.04)*(VLOOKUP(($F$16-$F$15)-1,AK$100:AO158,4,FALSE)))*EXP(-(LN(2)/$D$65+0.1)*(VLOOKUP(($F$16-$F$15)-1,AK$100:AO158,5,FALSE)))*EXP(-(LN(2)/$D$65+0.04)*AN158)*EXP(-(LN(2)/$D$65+0.1)*AO158),IF(AL158=3,AR$100*EXP(-(LN(2)/$D$65+0.04)*(VLOOKUP(($F$16-$F$15)-1,AK$100:AO158,4,FALSE)))*EXP(-(LN(2)/$D$65+0.1)*(VLOOKUP(($F$16-$F$15)-1,AK$100:AO158,5,FALSE)))*EXP(-(LN(2)/$D$65+0.04)*(VLOOKUP(($F$16-$F$15)*2-1,AK$100:AO158,4,FALSE)))*EXP(-(LN(2)/$D$65+0.1)*(VLOOKUP(($F$16-$F$15)*2-1,AK$100:AO158,5,FALSE)))*EXP(-(LN(2)/$D$65+0.04)*AN158)*EXP(-(LN(2)/$D$65+0.1)*AO158),"-"))),"-")</f>
        <v>-</v>
      </c>
      <c r="AS158" s="274">
        <f t="shared" si="91"/>
        <v>0</v>
      </c>
      <c r="AT158" s="274">
        <f t="shared" si="92"/>
        <v>0</v>
      </c>
      <c r="AU158" s="274">
        <f t="shared" si="93"/>
        <v>0</v>
      </c>
      <c r="AV158" s="190">
        <f>IF($B158&lt;$F$22,SUM($T$100:$T158),"")</f>
        <v>0</v>
      </c>
      <c r="AW158" s="190" t="str">
        <f t="shared" si="94"/>
        <v>-</v>
      </c>
      <c r="AX158" s="190" t="str">
        <f t="shared" si="56"/>
        <v/>
      </c>
      <c r="AY158"/>
      <c r="AZ158" s="190" t="str">
        <f ca="1">IF(ISNUMBER(OFFSET(AV158,-$F$21,0)),SUM(OFFSET($T$100,$F$21,0):$T158),"")</f>
        <v/>
      </c>
      <c r="BA158" s="190" t="str">
        <f t="shared" ca="1" si="95"/>
        <v/>
      </c>
      <c r="BB158" s="190" t="str">
        <f t="shared" ca="1" si="70"/>
        <v/>
      </c>
      <c r="BC158" s="190"/>
      <c r="BD158" s="190" t="str">
        <f ca="1">IFERROR(IF(AND($B158&gt;=($F$16-$F$15),$B158&lt;$F$22+($F$16-$F$15)),SUM(OFFSET($T$100,($F$16-$F$15),0):$T158),""),"")</f>
        <v/>
      </c>
      <c r="BE158" s="190" t="str">
        <f t="shared" ca="1" si="58"/>
        <v/>
      </c>
      <c r="BF158" s="190" t="str">
        <f t="shared" ca="1" si="59"/>
        <v/>
      </c>
      <c r="BG158"/>
      <c r="BH158" s="190" t="str">
        <f ca="1">IF(ISNUMBER(OFFSET(BD158,-$F$21,0)),SUM(OFFSET($T$100,($F$16-$F$15+$F$21),0):$T158),"")</f>
        <v/>
      </c>
      <c r="BI158" s="190" t="str">
        <f t="shared" ca="1" si="96"/>
        <v/>
      </c>
      <c r="BJ158" s="190" t="str">
        <f t="shared" ca="1" si="60"/>
        <v/>
      </c>
      <c r="BK158" s="190"/>
      <c r="BL158" s="190" t="str">
        <f ca="1">IFERROR(IF(AND($B158&gt;=($F$17-$F$15),$B158&lt;$F$22+($F$17-$F$15)),SUM(OFFSET($T$100,($F$17-$F$15),0):$T158),""),"")</f>
        <v/>
      </c>
      <c r="BM158" s="190" t="str">
        <f t="shared" ca="1" si="97"/>
        <v/>
      </c>
      <c r="BN158" s="190" t="str">
        <f t="shared" ca="1" si="61"/>
        <v/>
      </c>
      <c r="BO158"/>
      <c r="BP158" s="190" t="str">
        <f ca="1">IF(ISNUMBER(OFFSET(BL158,-$F$21,0)),SUM(OFFSET($T$100,($F$17-$F$15+$F$21),0):$T158),"")</f>
        <v/>
      </c>
      <c r="BQ158" s="190" t="str">
        <f t="shared" ca="1" si="98"/>
        <v/>
      </c>
      <c r="BR158" s="190" t="str">
        <f t="shared" ca="1" si="63"/>
        <v/>
      </c>
      <c r="BS158" s="190"/>
      <c r="BT158"/>
      <c r="BU158"/>
      <c r="BV158"/>
      <c r="BY158" s="99"/>
      <c r="BZ158" s="99"/>
      <c r="CA158" s="280" t="str">
        <f t="shared" si="99"/>
        <v/>
      </c>
      <c r="CB158" s="71" t="str">
        <f t="shared" si="100"/>
        <v>-</v>
      </c>
      <c r="CC158" s="33"/>
      <c r="CD158" s="261" t="str">
        <f t="shared" si="101"/>
        <v/>
      </c>
      <c r="CE158" s="280" t="str">
        <f t="shared" si="102"/>
        <v>-</v>
      </c>
      <c r="CF158" s="71" t="str">
        <f t="shared" ca="1" si="103"/>
        <v>-</v>
      </c>
      <c r="CG158" s="33" t="str">
        <f t="shared" si="104"/>
        <v>58-59</v>
      </c>
      <c r="CH158" s="261" t="str">
        <f t="shared" ca="1" si="105"/>
        <v/>
      </c>
      <c r="CI158" s="202"/>
      <c r="CP158" s="99"/>
      <c r="CQ158" s="99"/>
      <c r="CR158" s="99"/>
      <c r="CS158" s="99"/>
      <c r="CT158" s="99"/>
      <c r="CU158" s="99"/>
      <c r="CV158" s="99"/>
      <c r="CW158" s="99"/>
      <c r="CX158" s="99"/>
      <c r="CY158" s="99"/>
      <c r="CZ158" s="99"/>
      <c r="DA158" s="99"/>
      <c r="DB158" s="99"/>
      <c r="DC158" s="99"/>
    </row>
    <row r="159" spans="2:107" ht="13.5" customHeight="1" x14ac:dyDescent="0.2">
      <c r="B159" s="262">
        <v>59</v>
      </c>
      <c r="C159" s="237" t="str">
        <f t="shared" si="71"/>
        <v/>
      </c>
      <c r="D159" s="237" t="str">
        <f t="shared" si="106"/>
        <v>-</v>
      </c>
      <c r="E159" s="290" t="str">
        <f t="shared" si="32"/>
        <v/>
      </c>
      <c r="F159" s="264" t="str">
        <f t="shared" si="33"/>
        <v/>
      </c>
      <c r="G159" s="291" t="str">
        <f t="shared" si="34"/>
        <v/>
      </c>
      <c r="H159" s="240" t="str">
        <f t="shared" si="72"/>
        <v/>
      </c>
      <c r="I159" s="265" t="str">
        <f t="shared" si="73"/>
        <v/>
      </c>
      <c r="J159" s="265" t="str">
        <f t="shared" si="74"/>
        <v/>
      </c>
      <c r="K159" s="240" t="str">
        <f t="shared" si="75"/>
        <v/>
      </c>
      <c r="L159" s="265" t="str">
        <f t="shared" si="76"/>
        <v/>
      </c>
      <c r="M159" s="265" t="str">
        <f t="shared" si="77"/>
        <v/>
      </c>
      <c r="N159" s="240" t="str">
        <f t="shared" si="78"/>
        <v>-</v>
      </c>
      <c r="O159" s="265" t="str">
        <f t="shared" si="79"/>
        <v>-</v>
      </c>
      <c r="P159" s="265" t="str">
        <f t="shared" si="80"/>
        <v>-</v>
      </c>
      <c r="Q159" s="266" t="str">
        <f t="shared" si="81"/>
        <v>-</v>
      </c>
      <c r="R159" s="267" t="str">
        <f t="shared" si="82"/>
        <v>-</v>
      </c>
      <c r="S159" s="268" t="str">
        <f t="shared" si="83"/>
        <v>-</v>
      </c>
      <c r="T159" s="269" t="str">
        <f t="shared" si="84"/>
        <v/>
      </c>
      <c r="U159" s="221">
        <f t="shared" si="85"/>
        <v>59</v>
      </c>
      <c r="V159" s="220" t="str">
        <f t="shared" si="42"/>
        <v>-</v>
      </c>
      <c r="W159" s="221" t="str">
        <f t="shared" si="43"/>
        <v>-</v>
      </c>
      <c r="X159" s="221" t="str">
        <f t="shared" si="86"/>
        <v>-</v>
      </c>
      <c r="Y159" s="221" t="str">
        <f t="shared" si="87"/>
        <v>-</v>
      </c>
      <c r="Z159" s="270">
        <f t="shared" si="44"/>
        <v>0.1</v>
      </c>
      <c r="AA159" s="271" t="str">
        <f>IFERROR(IF(V158=1,AA$100*EXP(-(LN(2)/$D$65+0.04)*X158)*EXP(-(LN(2)/$D$65+0.1)*Y158),IF(V158=2,AA$100*EXP(-(LN(2)/$D$65+0.04)*(VLOOKUP(($F$16-$F$15)-1,U$99:Y158,4,FALSE)))*EXP(-(LN(2)/$D$65+0.1)*(VLOOKUP(($F$16-$F$15)-1,U$99:Y158,5,FALSE)))*EXP(-(LN(2)/$D$65+0.04)*X158)*EXP(-(LN(2)/$D$65+0.1)*Y158),IF(V158=3,AA$100*EXP(-(LN(2)/$D$65+0.04)*(VLOOKUP(($F$16-$F$15)-1,U$99:Y158,4,FALSE)))*EXP(-(LN(2)/$D$65+0.1)*(VLOOKUP(($F$16-$F$15)-1,U$99:Y158,5,FALSE)))*EXP(-(LN(2)/$D$65+0.04)*(VLOOKUP(($F$16-$F$15)*2-1,U$99:Y158,4,FALSE)))*EXP(-(LN(2)/$D$65+0.1)*(VLOOKUP(($F$16-$F$15)*2-1,U$99:Y158,5,FALSE)))*EXP(-(LN(2)/$D$65+0.04)*X158)*EXP(-(LN(2)/$D$65+0.1)*Y158),"-"))),"-")</f>
        <v>-</v>
      </c>
      <c r="AB159" s="271" t="str">
        <f>IFERROR(IF(V159=1,AB$100*EXP(-(LN(2)/$D$65+0.04)*X159)*EXP(-(LN(2)/$D$65+0.1)*Y159),IF(V159=2,AB$100*EXP(-(LN(2)/$D$65+0.04)*(VLOOKUP(($F$16-$F$15)-1,U$100:Y159,4,FALSE)))*EXP(-(LN(2)/$D$65+0.1)*(VLOOKUP(($F$16-$F$15)-1,U$100:Y159,5,FALSE)))*EXP(-(LN(2)/$D$65+0.04)*X159)*EXP(-(LN(2)/$D$65+0.1)*Y159),IF(V159=3,AB$100*EXP(-(LN(2)/$D$65+0.04)*(VLOOKUP(($F$16-$F$15)-1,U$100:Y159,4,FALSE)))*EXP(-(LN(2)/$D$65+0.1)*(VLOOKUP(($F$16-$F$15)-1,U$100:Y159,5,FALSE)))*EXP(-(LN(2)/$D$65+0.04)*(VLOOKUP(($F$16-$F$15)*2-1,U$100:Y159,4,FALSE)))*EXP(-(LN(2)/$D$65+0.1)*(VLOOKUP(($F$16-$F$15)*2-1,U$100:Y159,5,FALSE)))*EXP(-(LN(2)/$D$65+0.04)*X159)*EXP(-(LN(2)/$D$65+0.1)*Y159),"-"))),"-")</f>
        <v>-</v>
      </c>
      <c r="AC159" s="224">
        <f t="shared" si="45"/>
        <v>59</v>
      </c>
      <c r="AD159" s="223" t="str">
        <f t="shared" si="11"/>
        <v>-</v>
      </c>
      <c r="AE159" s="224" t="str">
        <f t="shared" si="46"/>
        <v>-</v>
      </c>
      <c r="AF159" s="224" t="str">
        <f t="shared" si="88"/>
        <v>-</v>
      </c>
      <c r="AG159" s="224" t="str">
        <f t="shared" si="89"/>
        <v>-</v>
      </c>
      <c r="AH159" s="272">
        <f t="shared" si="47"/>
        <v>0.1</v>
      </c>
      <c r="AI159" s="271" t="str">
        <f>IFERROR(IF(AD158=1,AI$100*EXP(-(LN(2)/$D$65+0.04)*AF158)*EXP(-(LN(2)/$D$65+0.1)*AG158),IF(AD158=2,AI$100*EXP(-(LN(2)/$D$65+0.04)*(VLOOKUP(($F$16-$F$15)-1,AC$99:AG158,4,FALSE)))*EXP(-(LN(2)/$D$65+0.1)*(VLOOKUP(($F$16-$F$15)-1,AC$99:AG158,5,FALSE)))*EXP(-(LN(2)/$D$65+0.04)*AF158)*EXP(-(LN(2)/$D$65+0.1)*AG158),IF(AD158=3,AI$100*EXP(-(LN(2)/$D$65+0.04)*(VLOOKUP(($F$16-$F$15)-1,AC$99:AG158,4,FALSE)))*EXP(-(LN(2)/$D$65+0.1)*(VLOOKUP(($F$16-$F$15)-1,AC$99:AG158,5,FALSE)))*EXP(-(LN(2)/$D$65+0.04)*(VLOOKUP(($F$16-$F$15)*2-1,AC$99:AG158,4,FALSE)))*EXP(-(LN(2)/$D$65+0.1)*(VLOOKUP(($F$16-$F$15)*2-1,AC$99:AG158,5,FALSE)))*EXP(-(LN(2)/$D$65+0.04)*AF158)*EXP(-(LN(2)/$D$65+0.1)*AG158),"-"))),"-")</f>
        <v>-</v>
      </c>
      <c r="AJ159" s="271" t="str">
        <f>IFERROR(IF(AD159=1,AJ$100*EXP(-(LN(2)/$D$65+0.04)*AF159)*EXP(-(LN(2)/$D$65+0.1)*AG159),IF(AD159=2,AJ$100*EXP(-(LN(2)/$D$65+0.04)*(VLOOKUP(($F$16-$F$15)-1,AC$100:AG159,4,FALSE)))*EXP(-(LN(2)/$D$65+0.1)*(VLOOKUP(($F$16-$F$15)-1,AC$100:AG159,5,FALSE)))*EXP(-(LN(2)/$D$65+0.04)*AF159)*EXP(-(LN(2)/$D$65+0.1)*AG159),IF(AD159=3,AJ$100*EXP(-(LN(2)/$D$65+0.04)*(VLOOKUP(($F$16-$F$15)-1,AC$100:AG159,4,FALSE)))*EXP(-(LN(2)/$D$65+0.1)*(VLOOKUP(($F$16-$F$15)-1,AC$100:AG159,5,FALSE)))*EXP(-(LN(2)/$D$65+0.04)*(VLOOKUP(($F$16-$F$15)*2-1,AC$100:AG159,4,FALSE)))*EXP(-(LN(2)/$D$65+0.1)*(VLOOKUP(($F$16-$F$15)*2-1,AC$100:AG159,5,FALSE)))*EXP(-(LN(2)/$D$65+0.04)*AF159)*EXP(-(LN(2)/$D$65+0.1)*AG159),"-"))),"-")</f>
        <v>-</v>
      </c>
      <c r="AK159" s="227">
        <f t="shared" si="49"/>
        <v>59</v>
      </c>
      <c r="AL159" s="226" t="str">
        <f t="shared" si="15"/>
        <v>-</v>
      </c>
      <c r="AM159" s="227" t="str">
        <f t="shared" si="50"/>
        <v>-</v>
      </c>
      <c r="AN159" s="227" t="str">
        <f t="shared" si="51"/>
        <v>-</v>
      </c>
      <c r="AO159" s="227" t="str">
        <f t="shared" si="90"/>
        <v>-</v>
      </c>
      <c r="AP159" s="273">
        <f t="shared" si="52"/>
        <v>0.1</v>
      </c>
      <c r="AQ159" s="271" t="str">
        <f>IFERROR(IF(AL158=1,AQ$100*EXP(-(LN(2)/$D$65+0.04)*AN158)*EXP(-(LN(2)/$D$65+0.1)*AO158),IF(AL158=2,AQ$100*EXP(-(LN(2)/$D$65+0.04)*(VLOOKUP(($F$16-$F$15)-1,AK$99:AO158,4,FALSE)))*EXP(-(LN(2)/$D$65+0.1)*(VLOOKUP(($F$16-$F$15)-1,AK$99:AO158,5,FALSE)))*EXP(-(LN(2)/$D$65+0.04)*AN158)*EXP(-(LN(2)/$D$65+0.1)*AO158),IF(AL158=3,AQ$100*EXP(-(LN(2)/$D$65+0.04)*(VLOOKUP(($F$16-$F$15)-1,AK$99:AO158,4,FALSE)))*EXP(-(LN(2)/$D$65+0.1)*(VLOOKUP(($F$16-$F$15)-1,AK$99:AO158,5,FALSE)))*EXP(-(LN(2)/$D$65+0.04)*(VLOOKUP(($F$16-$F$15)*2-1,AK$99:AO158,4,FALSE)))*EXP(-(LN(2)/$D$65+0.1)*(VLOOKUP(($F$16-$F$15)*2-1,AK$99:AO158,5,FALSE)))*EXP(-(LN(2)/$D$65+0.04)*AN158)*EXP(-(LN(2)/$D$65+0.1)*AO158),"-"))),"-")</f>
        <v>-</v>
      </c>
      <c r="AR159" s="271" t="str">
        <f>IFERROR(IF(AL159=1,AR$100*EXP(-(LN(2)/$D$65+0.04)*AN159)*EXP(-(LN(2)/$D$65+0.1)*AO159),IF(AL159=2,AR$100*EXP(-(LN(2)/$D$65+0.04)*(VLOOKUP(($F$16-$F$15)-1,AK$100:AO159,4,FALSE)))*EXP(-(LN(2)/$D$65+0.1)*(VLOOKUP(($F$16-$F$15)-1,AK$100:AO159,5,FALSE)))*EXP(-(LN(2)/$D$65+0.04)*AN159)*EXP(-(LN(2)/$D$65+0.1)*AO159),IF(AL159=3,AR$100*EXP(-(LN(2)/$D$65+0.04)*(VLOOKUP(($F$16-$F$15)-1,AK$100:AO159,4,FALSE)))*EXP(-(LN(2)/$D$65+0.1)*(VLOOKUP(($F$16-$F$15)-1,AK$100:AO159,5,FALSE)))*EXP(-(LN(2)/$D$65+0.04)*(VLOOKUP(($F$16-$F$15)*2-1,AK$100:AO159,4,FALSE)))*EXP(-(LN(2)/$D$65+0.1)*(VLOOKUP(($F$16-$F$15)*2-1,AK$100:AO159,5,FALSE)))*EXP(-(LN(2)/$D$65+0.04)*AN159)*EXP(-(LN(2)/$D$65+0.1)*AO159),"-"))),"-")</f>
        <v>-</v>
      </c>
      <c r="AS159" s="274">
        <f t="shared" si="91"/>
        <v>0</v>
      </c>
      <c r="AT159" s="274">
        <f t="shared" si="92"/>
        <v>0</v>
      </c>
      <c r="AU159" s="274">
        <f t="shared" si="93"/>
        <v>0</v>
      </c>
      <c r="AV159" s="190">
        <f>IF($B159&lt;$F$22,SUM($T$100:$T159),"")</f>
        <v>0</v>
      </c>
      <c r="AW159" s="190" t="str">
        <f t="shared" si="94"/>
        <v>-</v>
      </c>
      <c r="AX159" s="190" t="str">
        <f t="shared" si="56"/>
        <v/>
      </c>
      <c r="AY159"/>
      <c r="AZ159" s="190" t="str">
        <f ca="1">IF(ISNUMBER(OFFSET(AV159,-$F$21,0)),SUM(OFFSET($T$100,$F$21,0):$T159),"")</f>
        <v/>
      </c>
      <c r="BA159" s="190" t="str">
        <f t="shared" ca="1" si="95"/>
        <v/>
      </c>
      <c r="BB159" s="190" t="str">
        <f t="shared" ca="1" si="70"/>
        <v/>
      </c>
      <c r="BC159" s="190"/>
      <c r="BD159" s="190" t="str">
        <f ca="1">IFERROR(IF(AND($B159&gt;=($F$16-$F$15),$B159&lt;$F$22+($F$16-$F$15)),SUM(OFFSET($T$100,($F$16-$F$15),0):$T159),""),"")</f>
        <v/>
      </c>
      <c r="BE159" s="190" t="str">
        <f t="shared" ca="1" si="58"/>
        <v/>
      </c>
      <c r="BF159" s="190" t="str">
        <f t="shared" ca="1" si="59"/>
        <v/>
      </c>
      <c r="BG159"/>
      <c r="BH159" s="190" t="str">
        <f ca="1">IF(ISNUMBER(OFFSET(BD159,-$F$21,0)),SUM(OFFSET($T$100,($F$16-$F$15+$F$21),0):$T159),"")</f>
        <v/>
      </c>
      <c r="BI159" s="190" t="str">
        <f t="shared" ca="1" si="96"/>
        <v/>
      </c>
      <c r="BJ159" s="190" t="str">
        <f t="shared" ca="1" si="60"/>
        <v/>
      </c>
      <c r="BK159" s="190"/>
      <c r="BL159" s="190" t="str">
        <f ca="1">IFERROR(IF(AND($B159&gt;=($F$17-$F$15),$B159&lt;$F$22+($F$17-$F$15)),SUM(OFFSET($T$100,($F$17-$F$15),0):$T159),""),"")</f>
        <v/>
      </c>
      <c r="BM159" s="190" t="str">
        <f t="shared" ca="1" si="97"/>
        <v/>
      </c>
      <c r="BN159" s="190" t="str">
        <f t="shared" ca="1" si="61"/>
        <v/>
      </c>
      <c r="BO159"/>
      <c r="BP159" s="190" t="str">
        <f ca="1">IF(ISNUMBER(OFFSET(BL159,-$F$21,0)),SUM(OFFSET($T$100,($F$17-$F$15+$F$21),0):$T159),"")</f>
        <v/>
      </c>
      <c r="BQ159" s="190" t="str">
        <f t="shared" ca="1" si="98"/>
        <v/>
      </c>
      <c r="BR159" s="190" t="str">
        <f t="shared" ca="1" si="63"/>
        <v/>
      </c>
      <c r="BS159" s="190"/>
      <c r="BT159"/>
      <c r="BU159"/>
      <c r="BV159"/>
      <c r="BY159" s="99"/>
      <c r="BZ159" s="99"/>
      <c r="CA159" s="280" t="str">
        <f t="shared" si="99"/>
        <v/>
      </c>
      <c r="CB159" s="71" t="str">
        <f t="shared" si="100"/>
        <v>-</v>
      </c>
      <c r="CC159" s="33"/>
      <c r="CD159" s="261" t="str">
        <f t="shared" si="101"/>
        <v/>
      </c>
      <c r="CE159" s="280" t="str">
        <f t="shared" si="102"/>
        <v>-</v>
      </c>
      <c r="CF159" s="71" t="str">
        <f t="shared" ca="1" si="103"/>
        <v>-</v>
      </c>
      <c r="CG159" s="33" t="str">
        <f t="shared" si="104"/>
        <v>59-60</v>
      </c>
      <c r="CH159" s="261" t="str">
        <f t="shared" ca="1" si="105"/>
        <v/>
      </c>
      <c r="CI159" s="202"/>
      <c r="CP159" s="99"/>
      <c r="CQ159" s="99"/>
      <c r="CR159" s="99"/>
      <c r="CS159" s="99"/>
      <c r="CT159" s="99"/>
      <c r="CU159" s="99"/>
      <c r="CV159" s="99"/>
      <c r="CW159" s="99"/>
      <c r="CX159" s="99"/>
      <c r="CY159" s="99"/>
      <c r="CZ159" s="99"/>
      <c r="DA159" s="99"/>
      <c r="DB159" s="99"/>
      <c r="DC159" s="99"/>
    </row>
    <row r="160" spans="2:107" ht="13.5" customHeight="1" x14ac:dyDescent="0.2">
      <c r="B160" s="262">
        <v>60</v>
      </c>
      <c r="C160" s="237" t="str">
        <f t="shared" si="71"/>
        <v/>
      </c>
      <c r="D160" s="237" t="str">
        <f t="shared" si="106"/>
        <v>-</v>
      </c>
      <c r="E160" s="290" t="str">
        <f t="shared" si="32"/>
        <v/>
      </c>
      <c r="F160" s="264" t="str">
        <f t="shared" si="33"/>
        <v/>
      </c>
      <c r="G160" s="291" t="str">
        <f t="shared" si="34"/>
        <v/>
      </c>
      <c r="H160" s="240" t="str">
        <f t="shared" si="72"/>
        <v/>
      </c>
      <c r="I160" s="265" t="str">
        <f t="shared" si="73"/>
        <v/>
      </c>
      <c r="J160" s="265" t="str">
        <f t="shared" si="74"/>
        <v/>
      </c>
      <c r="K160" s="240" t="str">
        <f t="shared" si="75"/>
        <v/>
      </c>
      <c r="L160" s="265" t="str">
        <f t="shared" si="76"/>
        <v/>
      </c>
      <c r="M160" s="265" t="str">
        <f t="shared" si="77"/>
        <v/>
      </c>
      <c r="N160" s="240" t="str">
        <f t="shared" si="78"/>
        <v>-</v>
      </c>
      <c r="O160" s="265" t="str">
        <f t="shared" si="79"/>
        <v>-</v>
      </c>
      <c r="P160" s="265" t="str">
        <f t="shared" si="80"/>
        <v>-</v>
      </c>
      <c r="Q160" s="266" t="str">
        <f t="shared" si="81"/>
        <v>-</v>
      </c>
      <c r="R160" s="267" t="str">
        <f t="shared" si="82"/>
        <v>-</v>
      </c>
      <c r="S160" s="268" t="str">
        <f t="shared" si="83"/>
        <v>-</v>
      </c>
      <c r="T160" s="269" t="str">
        <f t="shared" si="84"/>
        <v/>
      </c>
      <c r="U160" s="221">
        <f t="shared" si="85"/>
        <v>60</v>
      </c>
      <c r="V160" s="220" t="str">
        <f t="shared" si="42"/>
        <v>-</v>
      </c>
      <c r="W160" s="221" t="str">
        <f t="shared" si="43"/>
        <v>-</v>
      </c>
      <c r="X160" s="221" t="str">
        <f t="shared" si="86"/>
        <v>-</v>
      </c>
      <c r="Y160" s="221" t="str">
        <f t="shared" si="87"/>
        <v>-</v>
      </c>
      <c r="Z160" s="270">
        <f t="shared" si="44"/>
        <v>0.1</v>
      </c>
      <c r="AA160" s="271" t="str">
        <f>IFERROR(IF(V159=1,AA$100*EXP(-(LN(2)/$D$65+0.04)*X159)*EXP(-(LN(2)/$D$65+0.1)*Y159),IF(V159=2,AA$100*EXP(-(LN(2)/$D$65+0.04)*(VLOOKUP(($F$16-$F$15)-1,U$99:Y159,4,FALSE)))*EXP(-(LN(2)/$D$65+0.1)*(VLOOKUP(($F$16-$F$15)-1,U$99:Y159,5,FALSE)))*EXP(-(LN(2)/$D$65+0.04)*X159)*EXP(-(LN(2)/$D$65+0.1)*Y159),IF(V159=3,AA$100*EXP(-(LN(2)/$D$65+0.04)*(VLOOKUP(($F$16-$F$15)-1,U$99:Y159,4,FALSE)))*EXP(-(LN(2)/$D$65+0.1)*(VLOOKUP(($F$16-$F$15)-1,U$99:Y159,5,FALSE)))*EXP(-(LN(2)/$D$65+0.04)*(VLOOKUP(($F$16-$F$15)*2-1,U$99:Y159,4,FALSE)))*EXP(-(LN(2)/$D$65+0.1)*(VLOOKUP(($F$16-$F$15)*2-1,U$99:Y159,5,FALSE)))*EXP(-(LN(2)/$D$65+0.04)*X159)*EXP(-(LN(2)/$D$65+0.1)*Y159),"-"))),"-")</f>
        <v>-</v>
      </c>
      <c r="AB160" s="271" t="str">
        <f>IFERROR(IF(V160=1,AB$100*EXP(-(LN(2)/$D$65+0.04)*X160)*EXP(-(LN(2)/$D$65+0.1)*Y160),IF(V160=2,AB$100*EXP(-(LN(2)/$D$65+0.04)*(VLOOKUP(($F$16-$F$15)-1,U$100:Y160,4,FALSE)))*EXP(-(LN(2)/$D$65+0.1)*(VLOOKUP(($F$16-$F$15)-1,U$100:Y160,5,FALSE)))*EXP(-(LN(2)/$D$65+0.04)*X160)*EXP(-(LN(2)/$D$65+0.1)*Y160),IF(V160=3,AB$100*EXP(-(LN(2)/$D$65+0.04)*(VLOOKUP(($F$16-$F$15)-1,U$100:Y160,4,FALSE)))*EXP(-(LN(2)/$D$65+0.1)*(VLOOKUP(($F$16-$F$15)-1,U$100:Y160,5,FALSE)))*EXP(-(LN(2)/$D$65+0.04)*(VLOOKUP(($F$16-$F$15)*2-1,U$100:Y160,4,FALSE)))*EXP(-(LN(2)/$D$65+0.1)*(VLOOKUP(($F$16-$F$15)*2-1,U$100:Y160,5,FALSE)))*EXP(-(LN(2)/$D$65+0.04)*X160)*EXP(-(LN(2)/$D$65+0.1)*Y160),"-"))),"-")</f>
        <v>-</v>
      </c>
      <c r="AC160" s="224">
        <f t="shared" si="45"/>
        <v>60</v>
      </c>
      <c r="AD160" s="223" t="str">
        <f t="shared" si="11"/>
        <v>-</v>
      </c>
      <c r="AE160" s="224" t="str">
        <f t="shared" si="46"/>
        <v>-</v>
      </c>
      <c r="AF160" s="224" t="str">
        <f t="shared" si="88"/>
        <v>-</v>
      </c>
      <c r="AG160" s="224" t="str">
        <f t="shared" si="89"/>
        <v>-</v>
      </c>
      <c r="AH160" s="272">
        <f t="shared" si="47"/>
        <v>0.1</v>
      </c>
      <c r="AI160" s="271" t="str">
        <f>IFERROR(IF(AD159=1,AI$100*EXP(-(LN(2)/$D$65+0.04)*AF159)*EXP(-(LN(2)/$D$65+0.1)*AG159),IF(AD159=2,AI$100*EXP(-(LN(2)/$D$65+0.04)*(VLOOKUP(($F$16-$F$15)-1,AC$99:AG159,4,FALSE)))*EXP(-(LN(2)/$D$65+0.1)*(VLOOKUP(($F$16-$F$15)-1,AC$99:AG159,5,FALSE)))*EXP(-(LN(2)/$D$65+0.04)*AF159)*EXP(-(LN(2)/$D$65+0.1)*AG159),IF(AD159=3,AI$100*EXP(-(LN(2)/$D$65+0.04)*(VLOOKUP(($F$16-$F$15)-1,AC$99:AG159,4,FALSE)))*EXP(-(LN(2)/$D$65+0.1)*(VLOOKUP(($F$16-$F$15)-1,AC$99:AG159,5,FALSE)))*EXP(-(LN(2)/$D$65+0.04)*(VLOOKUP(($F$16-$F$15)*2-1,AC$99:AG159,4,FALSE)))*EXP(-(LN(2)/$D$65+0.1)*(VLOOKUP(($F$16-$F$15)*2-1,AC$99:AG159,5,FALSE)))*EXP(-(LN(2)/$D$65+0.04)*AF159)*EXP(-(LN(2)/$D$65+0.1)*AG159),"-"))),"-")</f>
        <v>-</v>
      </c>
      <c r="AJ160" s="271" t="str">
        <f>IFERROR(IF(AD160=1,AJ$100*EXP(-(LN(2)/$D$65+0.04)*AF160)*EXP(-(LN(2)/$D$65+0.1)*AG160),IF(AD160=2,AJ$100*EXP(-(LN(2)/$D$65+0.04)*(VLOOKUP(($F$16-$F$15)-1,AC$100:AG160,4,FALSE)))*EXP(-(LN(2)/$D$65+0.1)*(VLOOKUP(($F$16-$F$15)-1,AC$100:AG160,5,FALSE)))*EXP(-(LN(2)/$D$65+0.04)*AF160)*EXP(-(LN(2)/$D$65+0.1)*AG160),IF(AD160=3,AJ$100*EXP(-(LN(2)/$D$65+0.04)*(VLOOKUP(($F$16-$F$15)-1,AC$100:AG160,4,FALSE)))*EXP(-(LN(2)/$D$65+0.1)*(VLOOKUP(($F$16-$F$15)-1,AC$100:AG160,5,FALSE)))*EXP(-(LN(2)/$D$65+0.04)*(VLOOKUP(($F$16-$F$15)*2-1,AC$100:AG160,4,FALSE)))*EXP(-(LN(2)/$D$65+0.1)*(VLOOKUP(($F$16-$F$15)*2-1,AC$100:AG160,5,FALSE)))*EXP(-(LN(2)/$D$65+0.04)*AF160)*EXP(-(LN(2)/$D$65+0.1)*AG160),"-"))),"-")</f>
        <v>-</v>
      </c>
      <c r="AK160" s="227">
        <f t="shared" si="49"/>
        <v>60</v>
      </c>
      <c r="AL160" s="226" t="str">
        <f t="shared" si="15"/>
        <v>-</v>
      </c>
      <c r="AM160" s="227" t="str">
        <f t="shared" si="50"/>
        <v>-</v>
      </c>
      <c r="AN160" s="227" t="str">
        <f t="shared" si="51"/>
        <v>-</v>
      </c>
      <c r="AO160" s="227" t="str">
        <f t="shared" si="90"/>
        <v>-</v>
      </c>
      <c r="AP160" s="273">
        <f t="shared" si="52"/>
        <v>0.1</v>
      </c>
      <c r="AQ160" s="271" t="str">
        <f>IFERROR(IF(AL159=1,AQ$100*EXP(-(LN(2)/$D$65+0.04)*AN159)*EXP(-(LN(2)/$D$65+0.1)*AO159),IF(AL159=2,AQ$100*EXP(-(LN(2)/$D$65+0.04)*(VLOOKUP(($F$16-$F$15)-1,AK$99:AO159,4,FALSE)))*EXP(-(LN(2)/$D$65+0.1)*(VLOOKUP(($F$16-$F$15)-1,AK$99:AO159,5,FALSE)))*EXP(-(LN(2)/$D$65+0.04)*AN159)*EXP(-(LN(2)/$D$65+0.1)*AO159),IF(AL159=3,AQ$100*EXP(-(LN(2)/$D$65+0.04)*(VLOOKUP(($F$16-$F$15)-1,AK$99:AO159,4,FALSE)))*EXP(-(LN(2)/$D$65+0.1)*(VLOOKUP(($F$16-$F$15)-1,AK$99:AO159,5,FALSE)))*EXP(-(LN(2)/$D$65+0.04)*(VLOOKUP(($F$16-$F$15)*2-1,AK$99:AO159,4,FALSE)))*EXP(-(LN(2)/$D$65+0.1)*(VLOOKUP(($F$16-$F$15)*2-1,AK$99:AO159,5,FALSE)))*EXP(-(LN(2)/$D$65+0.04)*AN159)*EXP(-(LN(2)/$D$65+0.1)*AO159),"-"))),"-")</f>
        <v>-</v>
      </c>
      <c r="AR160" s="271" t="str">
        <f>IFERROR(IF(AL160=1,AR$100*EXP(-(LN(2)/$D$65+0.04)*AN160)*EXP(-(LN(2)/$D$65+0.1)*AO160),IF(AL160=2,AR$100*EXP(-(LN(2)/$D$65+0.04)*(VLOOKUP(($F$16-$F$15)-1,AK$100:AO160,4,FALSE)))*EXP(-(LN(2)/$D$65+0.1)*(VLOOKUP(($F$16-$F$15)-1,AK$100:AO160,5,FALSE)))*EXP(-(LN(2)/$D$65+0.04)*AN160)*EXP(-(LN(2)/$D$65+0.1)*AO160),IF(AL160=3,AR$100*EXP(-(LN(2)/$D$65+0.04)*(VLOOKUP(($F$16-$F$15)-1,AK$100:AO160,4,FALSE)))*EXP(-(LN(2)/$D$65+0.1)*(VLOOKUP(($F$16-$F$15)-1,AK$100:AO160,5,FALSE)))*EXP(-(LN(2)/$D$65+0.04)*(VLOOKUP(($F$16-$F$15)*2-1,AK$100:AO160,4,FALSE)))*EXP(-(LN(2)/$D$65+0.1)*(VLOOKUP(($F$16-$F$15)*2-1,AK$100:AO160,5,FALSE)))*EXP(-(LN(2)/$D$65+0.04)*AN160)*EXP(-(LN(2)/$D$65+0.1)*AO160),"-"))),"-")</f>
        <v>-</v>
      </c>
      <c r="AS160" s="274">
        <f t="shared" si="91"/>
        <v>0</v>
      </c>
      <c r="AT160" s="274">
        <f t="shared" si="92"/>
        <v>0</v>
      </c>
      <c r="AU160" s="274">
        <f t="shared" si="93"/>
        <v>0</v>
      </c>
      <c r="AV160" s="190">
        <f>IF($B160&lt;$F$22,SUM($T$100:$T160),"")</f>
        <v>0</v>
      </c>
      <c r="AW160" s="190" t="str">
        <f t="shared" si="94"/>
        <v>-</v>
      </c>
      <c r="AX160" s="190" t="str">
        <f t="shared" si="56"/>
        <v/>
      </c>
      <c r="AY160"/>
      <c r="AZ160" s="190" t="str">
        <f ca="1">IF(ISNUMBER(OFFSET(AV160,-$F$21,0)),SUM(OFFSET($T$100,$F$21,0):$T160),"")</f>
        <v/>
      </c>
      <c r="BA160" s="190" t="str">
        <f t="shared" ca="1" si="95"/>
        <v/>
      </c>
      <c r="BB160" s="190" t="str">
        <f t="shared" ca="1" si="70"/>
        <v/>
      </c>
      <c r="BC160" s="190"/>
      <c r="BD160" s="190" t="str">
        <f ca="1">IFERROR(IF(AND($B160&gt;=($F$16-$F$15),$B160&lt;$F$22+($F$16-$F$15)),SUM(OFFSET($T$100,($F$16-$F$15),0):$T160),""),"")</f>
        <v/>
      </c>
      <c r="BE160" s="190" t="str">
        <f t="shared" ca="1" si="58"/>
        <v/>
      </c>
      <c r="BF160" s="190" t="str">
        <f t="shared" ca="1" si="59"/>
        <v/>
      </c>
      <c r="BG160"/>
      <c r="BH160" s="190" t="str">
        <f ca="1">IF(ISNUMBER(OFFSET(BD160,-$F$21,0)),SUM(OFFSET($T$100,($F$16-$F$15+$F$21),0):$T160),"")</f>
        <v/>
      </c>
      <c r="BI160" s="190" t="str">
        <f t="shared" ca="1" si="96"/>
        <v/>
      </c>
      <c r="BJ160" s="190" t="str">
        <f t="shared" ca="1" si="60"/>
        <v/>
      </c>
      <c r="BK160" s="190"/>
      <c r="BL160" s="190" t="str">
        <f ca="1">IFERROR(IF(AND($B160&gt;=($F$17-$F$15),$B160&lt;$F$22+($F$17-$F$15)),SUM(OFFSET($T$100,($F$17-$F$15),0):$T160),""),"")</f>
        <v/>
      </c>
      <c r="BM160" s="190" t="str">
        <f t="shared" ca="1" si="97"/>
        <v/>
      </c>
      <c r="BN160" s="190" t="str">
        <f t="shared" ca="1" si="61"/>
        <v/>
      </c>
      <c r="BO160"/>
      <c r="BP160" s="190" t="str">
        <f ca="1">IF(ISNUMBER(OFFSET(BL160,-$F$21,0)),SUM(OFFSET($T$100,($F$17-$F$15+$F$21),0):$T160),"")</f>
        <v/>
      </c>
      <c r="BQ160" s="190" t="str">
        <f t="shared" ca="1" si="98"/>
        <v/>
      </c>
      <c r="BR160" s="190" t="str">
        <f t="shared" ca="1" si="63"/>
        <v/>
      </c>
      <c r="BS160" s="190"/>
      <c r="BT160"/>
      <c r="BU160"/>
      <c r="BV160"/>
      <c r="BY160" s="99"/>
      <c r="BZ160" s="99"/>
      <c r="CA160" s="280" t="str">
        <f t="shared" si="99"/>
        <v/>
      </c>
      <c r="CB160" s="71" t="str">
        <f t="shared" si="100"/>
        <v>-</v>
      </c>
      <c r="CC160" s="33"/>
      <c r="CD160" s="261" t="str">
        <f t="shared" si="101"/>
        <v/>
      </c>
      <c r="CE160" s="280" t="str">
        <f t="shared" si="102"/>
        <v>-</v>
      </c>
      <c r="CF160" s="71" t="str">
        <f t="shared" ca="1" si="103"/>
        <v>-</v>
      </c>
      <c r="CG160" s="33" t="str">
        <f t="shared" si="104"/>
        <v>60-61</v>
      </c>
      <c r="CH160" s="261" t="str">
        <f t="shared" ca="1" si="105"/>
        <v/>
      </c>
      <c r="CI160" s="202"/>
      <c r="CP160" s="99"/>
      <c r="CQ160" s="99"/>
      <c r="CR160" s="99"/>
      <c r="CS160" s="99"/>
      <c r="CT160" s="99"/>
      <c r="CU160" s="99"/>
      <c r="CV160" s="99"/>
      <c r="CW160" s="99"/>
      <c r="CX160" s="99"/>
      <c r="CY160" s="99"/>
      <c r="CZ160" s="99"/>
      <c r="DA160" s="99"/>
      <c r="DB160" s="99"/>
      <c r="DC160" s="99"/>
    </row>
    <row r="161" spans="2:107" ht="13.5" customHeight="1" x14ac:dyDescent="0.2">
      <c r="B161" s="262">
        <v>61</v>
      </c>
      <c r="C161" s="237" t="str">
        <f t="shared" si="71"/>
        <v/>
      </c>
      <c r="D161" s="237" t="str">
        <f t="shared" si="106"/>
        <v>-</v>
      </c>
      <c r="E161" s="290" t="str">
        <f t="shared" si="32"/>
        <v/>
      </c>
      <c r="F161" s="264" t="str">
        <f t="shared" si="33"/>
        <v/>
      </c>
      <c r="G161" s="291" t="str">
        <f t="shared" si="34"/>
        <v/>
      </c>
      <c r="H161" s="240" t="str">
        <f t="shared" si="72"/>
        <v/>
      </c>
      <c r="I161" s="265" t="str">
        <f t="shared" si="73"/>
        <v/>
      </c>
      <c r="J161" s="265" t="str">
        <f t="shared" si="74"/>
        <v/>
      </c>
      <c r="K161" s="240" t="str">
        <f t="shared" si="75"/>
        <v/>
      </c>
      <c r="L161" s="265" t="str">
        <f t="shared" si="76"/>
        <v/>
      </c>
      <c r="M161" s="265" t="str">
        <f t="shared" si="77"/>
        <v/>
      </c>
      <c r="N161" s="240" t="str">
        <f t="shared" si="78"/>
        <v>-</v>
      </c>
      <c r="O161" s="265" t="str">
        <f t="shared" si="79"/>
        <v>-</v>
      </c>
      <c r="P161" s="265" t="str">
        <f t="shared" si="80"/>
        <v>-</v>
      </c>
      <c r="Q161" s="266" t="str">
        <f t="shared" si="81"/>
        <v>-</v>
      </c>
      <c r="R161" s="267" t="str">
        <f t="shared" si="82"/>
        <v>-</v>
      </c>
      <c r="S161" s="268" t="str">
        <f t="shared" si="83"/>
        <v>-</v>
      </c>
      <c r="T161" s="269" t="str">
        <f t="shared" si="84"/>
        <v/>
      </c>
      <c r="U161" s="221">
        <f t="shared" si="85"/>
        <v>61</v>
      </c>
      <c r="V161" s="220" t="str">
        <f t="shared" si="42"/>
        <v>-</v>
      </c>
      <c r="W161" s="221" t="str">
        <f t="shared" si="43"/>
        <v>-</v>
      </c>
      <c r="X161" s="221" t="str">
        <f t="shared" si="86"/>
        <v>-</v>
      </c>
      <c r="Y161" s="221" t="str">
        <f t="shared" si="87"/>
        <v>-</v>
      </c>
      <c r="Z161" s="270">
        <f t="shared" si="44"/>
        <v>0.1</v>
      </c>
      <c r="AA161" s="271" t="str">
        <f>IFERROR(IF(V160=1,AA$100*EXP(-(LN(2)/$D$65+0.04)*X160)*EXP(-(LN(2)/$D$65+0.1)*Y160),IF(V160=2,AA$100*EXP(-(LN(2)/$D$65+0.04)*(VLOOKUP(($F$16-$F$15)-1,U$99:Y160,4,FALSE)))*EXP(-(LN(2)/$D$65+0.1)*(VLOOKUP(($F$16-$F$15)-1,U$99:Y160,5,FALSE)))*EXP(-(LN(2)/$D$65+0.04)*X160)*EXP(-(LN(2)/$D$65+0.1)*Y160),IF(V160=3,AA$100*EXP(-(LN(2)/$D$65+0.04)*(VLOOKUP(($F$16-$F$15)-1,U$99:Y160,4,FALSE)))*EXP(-(LN(2)/$D$65+0.1)*(VLOOKUP(($F$16-$F$15)-1,U$99:Y160,5,FALSE)))*EXP(-(LN(2)/$D$65+0.04)*(VLOOKUP(($F$16-$F$15)*2-1,U$99:Y160,4,FALSE)))*EXP(-(LN(2)/$D$65+0.1)*(VLOOKUP(($F$16-$F$15)*2-1,U$99:Y160,5,FALSE)))*EXP(-(LN(2)/$D$65+0.04)*X160)*EXP(-(LN(2)/$D$65+0.1)*Y160),"-"))),"-")</f>
        <v>-</v>
      </c>
      <c r="AB161" s="271" t="str">
        <f>IFERROR(IF(V161=1,AB$100*EXP(-(LN(2)/$D$65+0.04)*X161)*EXP(-(LN(2)/$D$65+0.1)*Y161),IF(V161=2,AB$100*EXP(-(LN(2)/$D$65+0.04)*(VLOOKUP(($F$16-$F$15)-1,U$100:Y161,4,FALSE)))*EXP(-(LN(2)/$D$65+0.1)*(VLOOKUP(($F$16-$F$15)-1,U$100:Y161,5,FALSE)))*EXP(-(LN(2)/$D$65+0.04)*X161)*EXP(-(LN(2)/$D$65+0.1)*Y161),IF(V161=3,AB$100*EXP(-(LN(2)/$D$65+0.04)*(VLOOKUP(($F$16-$F$15)-1,U$100:Y161,4,FALSE)))*EXP(-(LN(2)/$D$65+0.1)*(VLOOKUP(($F$16-$F$15)-1,U$100:Y161,5,FALSE)))*EXP(-(LN(2)/$D$65+0.04)*(VLOOKUP(($F$16-$F$15)*2-1,U$100:Y161,4,FALSE)))*EXP(-(LN(2)/$D$65+0.1)*(VLOOKUP(($F$16-$F$15)*2-1,U$100:Y161,5,FALSE)))*EXP(-(LN(2)/$D$65+0.04)*X161)*EXP(-(LN(2)/$D$65+0.1)*Y161),"-"))),"-")</f>
        <v>-</v>
      </c>
      <c r="AC161" s="224">
        <f t="shared" si="45"/>
        <v>61</v>
      </c>
      <c r="AD161" s="223" t="str">
        <f t="shared" si="11"/>
        <v>-</v>
      </c>
      <c r="AE161" s="224" t="str">
        <f t="shared" si="46"/>
        <v>-</v>
      </c>
      <c r="AF161" s="224" t="str">
        <f t="shared" si="88"/>
        <v>-</v>
      </c>
      <c r="AG161" s="224" t="str">
        <f t="shared" si="89"/>
        <v>-</v>
      </c>
      <c r="AH161" s="272">
        <f t="shared" si="47"/>
        <v>0.1</v>
      </c>
      <c r="AI161" s="271" t="str">
        <f>IFERROR(IF(AD160=1,AI$100*EXP(-(LN(2)/$D$65+0.04)*AF160)*EXP(-(LN(2)/$D$65+0.1)*AG160),IF(AD160=2,AI$100*EXP(-(LN(2)/$D$65+0.04)*(VLOOKUP(($F$16-$F$15)-1,AC$99:AG160,4,FALSE)))*EXP(-(LN(2)/$D$65+0.1)*(VLOOKUP(($F$16-$F$15)-1,AC$99:AG160,5,FALSE)))*EXP(-(LN(2)/$D$65+0.04)*AF160)*EXP(-(LN(2)/$D$65+0.1)*AG160),IF(AD160=3,AI$100*EXP(-(LN(2)/$D$65+0.04)*(VLOOKUP(($F$16-$F$15)-1,AC$99:AG160,4,FALSE)))*EXP(-(LN(2)/$D$65+0.1)*(VLOOKUP(($F$16-$F$15)-1,AC$99:AG160,5,FALSE)))*EXP(-(LN(2)/$D$65+0.04)*(VLOOKUP(($F$16-$F$15)*2-1,AC$99:AG160,4,FALSE)))*EXP(-(LN(2)/$D$65+0.1)*(VLOOKUP(($F$16-$F$15)*2-1,AC$99:AG160,5,FALSE)))*EXP(-(LN(2)/$D$65+0.04)*AF160)*EXP(-(LN(2)/$D$65+0.1)*AG160),"-"))),"-")</f>
        <v>-</v>
      </c>
      <c r="AJ161" s="271" t="str">
        <f>IFERROR(IF(AD161=1,AJ$100*EXP(-(LN(2)/$D$65+0.04)*AF161)*EXP(-(LN(2)/$D$65+0.1)*AG161),IF(AD161=2,AJ$100*EXP(-(LN(2)/$D$65+0.04)*(VLOOKUP(($F$16-$F$15)-1,AC$100:AG161,4,FALSE)))*EXP(-(LN(2)/$D$65+0.1)*(VLOOKUP(($F$16-$F$15)-1,AC$100:AG161,5,FALSE)))*EXP(-(LN(2)/$D$65+0.04)*AF161)*EXP(-(LN(2)/$D$65+0.1)*AG161),IF(AD161=3,AJ$100*EXP(-(LN(2)/$D$65+0.04)*(VLOOKUP(($F$16-$F$15)-1,AC$100:AG161,4,FALSE)))*EXP(-(LN(2)/$D$65+0.1)*(VLOOKUP(($F$16-$F$15)-1,AC$100:AG161,5,FALSE)))*EXP(-(LN(2)/$D$65+0.04)*(VLOOKUP(($F$16-$F$15)*2-1,AC$100:AG161,4,FALSE)))*EXP(-(LN(2)/$D$65+0.1)*(VLOOKUP(($F$16-$F$15)*2-1,AC$100:AG161,5,FALSE)))*EXP(-(LN(2)/$D$65+0.04)*AF161)*EXP(-(LN(2)/$D$65+0.1)*AG161),"-"))),"-")</f>
        <v>-</v>
      </c>
      <c r="AK161" s="227">
        <f t="shared" si="49"/>
        <v>61</v>
      </c>
      <c r="AL161" s="226" t="str">
        <f t="shared" si="15"/>
        <v>-</v>
      </c>
      <c r="AM161" s="227" t="str">
        <f t="shared" si="50"/>
        <v>-</v>
      </c>
      <c r="AN161" s="227" t="str">
        <f t="shared" si="51"/>
        <v>-</v>
      </c>
      <c r="AO161" s="227" t="str">
        <f t="shared" si="90"/>
        <v>-</v>
      </c>
      <c r="AP161" s="273">
        <f t="shared" si="52"/>
        <v>0.1</v>
      </c>
      <c r="AQ161" s="271" t="str">
        <f>IFERROR(IF(AL160=1,AQ$100*EXP(-(LN(2)/$D$65+0.04)*AN160)*EXP(-(LN(2)/$D$65+0.1)*AO160),IF(AL160=2,AQ$100*EXP(-(LN(2)/$D$65+0.04)*(VLOOKUP(($F$16-$F$15)-1,AK$99:AO160,4,FALSE)))*EXP(-(LN(2)/$D$65+0.1)*(VLOOKUP(($F$16-$F$15)-1,AK$99:AO160,5,FALSE)))*EXP(-(LN(2)/$D$65+0.04)*AN160)*EXP(-(LN(2)/$D$65+0.1)*AO160),IF(AL160=3,AQ$100*EXP(-(LN(2)/$D$65+0.04)*(VLOOKUP(($F$16-$F$15)-1,AK$99:AO160,4,FALSE)))*EXP(-(LN(2)/$D$65+0.1)*(VLOOKUP(($F$16-$F$15)-1,AK$99:AO160,5,FALSE)))*EXP(-(LN(2)/$D$65+0.04)*(VLOOKUP(($F$16-$F$15)*2-1,AK$99:AO160,4,FALSE)))*EXP(-(LN(2)/$D$65+0.1)*(VLOOKUP(($F$16-$F$15)*2-1,AK$99:AO160,5,FALSE)))*EXP(-(LN(2)/$D$65+0.04)*AN160)*EXP(-(LN(2)/$D$65+0.1)*AO160),"-"))),"-")</f>
        <v>-</v>
      </c>
      <c r="AR161" s="271" t="str">
        <f>IFERROR(IF(AL161=1,AR$100*EXP(-(LN(2)/$D$65+0.04)*AN161)*EXP(-(LN(2)/$D$65+0.1)*AO161),IF(AL161=2,AR$100*EXP(-(LN(2)/$D$65+0.04)*(VLOOKUP(($F$16-$F$15)-1,AK$100:AO161,4,FALSE)))*EXP(-(LN(2)/$D$65+0.1)*(VLOOKUP(($F$16-$F$15)-1,AK$100:AO161,5,FALSE)))*EXP(-(LN(2)/$D$65+0.04)*AN161)*EXP(-(LN(2)/$D$65+0.1)*AO161),IF(AL161=3,AR$100*EXP(-(LN(2)/$D$65+0.04)*(VLOOKUP(($F$16-$F$15)-1,AK$100:AO161,4,FALSE)))*EXP(-(LN(2)/$D$65+0.1)*(VLOOKUP(($F$16-$F$15)-1,AK$100:AO161,5,FALSE)))*EXP(-(LN(2)/$D$65+0.04)*(VLOOKUP(($F$16-$F$15)*2-1,AK$100:AO161,4,FALSE)))*EXP(-(LN(2)/$D$65+0.1)*(VLOOKUP(($F$16-$F$15)*2-1,AK$100:AO161,5,FALSE)))*EXP(-(LN(2)/$D$65+0.04)*AN161)*EXP(-(LN(2)/$D$65+0.1)*AO161),"-"))),"-")</f>
        <v>-</v>
      </c>
      <c r="AS161" s="274">
        <f t="shared" si="91"/>
        <v>0</v>
      </c>
      <c r="AT161" s="274">
        <f t="shared" si="92"/>
        <v>0</v>
      </c>
      <c r="AU161" s="274">
        <f t="shared" si="93"/>
        <v>0</v>
      </c>
      <c r="AV161" s="190">
        <f>IF($B161&lt;$F$22,SUM($T$100:$T161),"")</f>
        <v>0</v>
      </c>
      <c r="AW161" s="190" t="str">
        <f t="shared" si="94"/>
        <v>-</v>
      </c>
      <c r="AX161" s="190" t="str">
        <f t="shared" si="56"/>
        <v/>
      </c>
      <c r="AY161"/>
      <c r="AZ161" s="190" t="str">
        <f ca="1">IF(ISNUMBER(OFFSET(AV161,-$F$21,0)),SUM(OFFSET($T$100,$F$21,0):$T161),"")</f>
        <v/>
      </c>
      <c r="BA161" s="190" t="str">
        <f t="shared" ca="1" si="95"/>
        <v/>
      </c>
      <c r="BB161" s="190" t="str">
        <f t="shared" ca="1" si="70"/>
        <v/>
      </c>
      <c r="BC161" s="190"/>
      <c r="BD161" s="190" t="str">
        <f ca="1">IFERROR(IF(AND($B161&gt;=($F$16-$F$15),$B161&lt;$F$22+($F$16-$F$15)),SUM(OFFSET($T$100,($F$16-$F$15),0):$T161),""),"")</f>
        <v/>
      </c>
      <c r="BE161" s="190" t="str">
        <f t="shared" ca="1" si="58"/>
        <v/>
      </c>
      <c r="BF161" s="190" t="str">
        <f t="shared" ca="1" si="59"/>
        <v/>
      </c>
      <c r="BG161"/>
      <c r="BH161" s="190" t="str">
        <f ca="1">IF(ISNUMBER(OFFSET(BD161,-$F$21,0)),SUM(OFFSET($T$100,($F$16-$F$15+$F$21),0):$T161),"")</f>
        <v/>
      </c>
      <c r="BI161" s="190" t="str">
        <f t="shared" ca="1" si="96"/>
        <v/>
      </c>
      <c r="BJ161" s="190" t="str">
        <f t="shared" ca="1" si="60"/>
        <v/>
      </c>
      <c r="BK161" s="190"/>
      <c r="BL161" s="190" t="str">
        <f ca="1">IFERROR(IF(AND($B161&gt;=($F$17-$F$15),$B161&lt;$F$22+($F$17-$F$15)),SUM(OFFSET($T$100,($F$17-$F$15),0):$T161),""),"")</f>
        <v/>
      </c>
      <c r="BM161" s="190" t="str">
        <f t="shared" ca="1" si="97"/>
        <v/>
      </c>
      <c r="BN161" s="190" t="str">
        <f t="shared" ca="1" si="61"/>
        <v/>
      </c>
      <c r="BO161"/>
      <c r="BP161" s="190" t="str">
        <f ca="1">IF(ISNUMBER(OFFSET(BL161,-$F$21,0)),SUM(OFFSET($T$100,($F$17-$F$15+$F$21),0):$T161),"")</f>
        <v/>
      </c>
      <c r="BQ161" s="190" t="str">
        <f t="shared" ca="1" si="98"/>
        <v/>
      </c>
      <c r="BR161" s="190" t="str">
        <f t="shared" ca="1" si="63"/>
        <v/>
      </c>
      <c r="BS161" s="190"/>
      <c r="BT161"/>
      <c r="BU161"/>
      <c r="BV161"/>
      <c r="BY161" s="99"/>
      <c r="BZ161" s="99"/>
      <c r="CA161" s="280" t="str">
        <f t="shared" si="99"/>
        <v/>
      </c>
      <c r="CB161" s="71" t="str">
        <f t="shared" si="100"/>
        <v>-</v>
      </c>
      <c r="CC161" s="33"/>
      <c r="CD161" s="261" t="str">
        <f t="shared" si="101"/>
        <v/>
      </c>
      <c r="CE161" s="280" t="str">
        <f t="shared" si="102"/>
        <v>-</v>
      </c>
      <c r="CF161" s="71" t="str">
        <f t="shared" ca="1" si="103"/>
        <v>-</v>
      </c>
      <c r="CG161" s="33" t="str">
        <f t="shared" si="104"/>
        <v>61-62</v>
      </c>
      <c r="CH161" s="261" t="str">
        <f t="shared" ca="1" si="105"/>
        <v/>
      </c>
      <c r="CI161" s="202"/>
      <c r="CP161" s="99"/>
      <c r="CQ161" s="99"/>
      <c r="CR161" s="99"/>
      <c r="CS161" s="99"/>
      <c r="CT161" s="99"/>
      <c r="CU161" s="99"/>
      <c r="CV161" s="99"/>
      <c r="CW161" s="99"/>
      <c r="CX161" s="99"/>
      <c r="CY161" s="99"/>
      <c r="CZ161" s="99"/>
      <c r="DA161" s="99"/>
      <c r="DB161" s="99"/>
      <c r="DC161" s="99"/>
    </row>
    <row r="162" spans="2:107" ht="13.5" customHeight="1" x14ac:dyDescent="0.2">
      <c r="B162" s="262">
        <v>62</v>
      </c>
      <c r="C162" s="237" t="str">
        <f t="shared" si="71"/>
        <v/>
      </c>
      <c r="D162" s="237" t="str">
        <f t="shared" si="106"/>
        <v>-</v>
      </c>
      <c r="E162" s="290" t="str">
        <f t="shared" si="32"/>
        <v/>
      </c>
      <c r="F162" s="264" t="str">
        <f t="shared" si="33"/>
        <v/>
      </c>
      <c r="G162" s="291" t="str">
        <f t="shared" si="34"/>
        <v/>
      </c>
      <c r="H162" s="240" t="str">
        <f t="shared" si="72"/>
        <v/>
      </c>
      <c r="I162" s="265" t="str">
        <f t="shared" si="73"/>
        <v/>
      </c>
      <c r="J162" s="265" t="str">
        <f t="shared" si="74"/>
        <v/>
      </c>
      <c r="K162" s="240" t="str">
        <f t="shared" si="75"/>
        <v/>
      </c>
      <c r="L162" s="265" t="str">
        <f t="shared" si="76"/>
        <v/>
      </c>
      <c r="M162" s="265" t="str">
        <f t="shared" si="77"/>
        <v/>
      </c>
      <c r="N162" s="240" t="str">
        <f t="shared" si="78"/>
        <v>-</v>
      </c>
      <c r="O162" s="265" t="str">
        <f t="shared" si="79"/>
        <v>-</v>
      </c>
      <c r="P162" s="265" t="str">
        <f t="shared" si="80"/>
        <v>-</v>
      </c>
      <c r="Q162" s="266" t="str">
        <f t="shared" si="81"/>
        <v>-</v>
      </c>
      <c r="R162" s="267" t="str">
        <f t="shared" si="82"/>
        <v>-</v>
      </c>
      <c r="S162" s="268" t="str">
        <f t="shared" si="83"/>
        <v>-</v>
      </c>
      <c r="T162" s="269" t="str">
        <f t="shared" si="84"/>
        <v/>
      </c>
      <c r="U162" s="221">
        <f t="shared" si="85"/>
        <v>62</v>
      </c>
      <c r="V162" s="220" t="str">
        <f t="shared" si="42"/>
        <v>-</v>
      </c>
      <c r="W162" s="221" t="str">
        <f t="shared" si="43"/>
        <v>-</v>
      </c>
      <c r="X162" s="221" t="str">
        <f t="shared" si="86"/>
        <v>-</v>
      </c>
      <c r="Y162" s="221" t="str">
        <f t="shared" si="87"/>
        <v>-</v>
      </c>
      <c r="Z162" s="270">
        <f t="shared" si="44"/>
        <v>0.1</v>
      </c>
      <c r="AA162" s="271" t="str">
        <f>IFERROR(IF(V161=1,AA$100*EXP(-(LN(2)/$D$65+0.04)*X161)*EXP(-(LN(2)/$D$65+0.1)*Y161),IF(V161=2,AA$100*EXP(-(LN(2)/$D$65+0.04)*(VLOOKUP(($F$16-$F$15)-1,U$99:Y161,4,FALSE)))*EXP(-(LN(2)/$D$65+0.1)*(VLOOKUP(($F$16-$F$15)-1,U$99:Y161,5,FALSE)))*EXP(-(LN(2)/$D$65+0.04)*X161)*EXP(-(LN(2)/$D$65+0.1)*Y161),IF(V161=3,AA$100*EXP(-(LN(2)/$D$65+0.04)*(VLOOKUP(($F$16-$F$15)-1,U$99:Y161,4,FALSE)))*EXP(-(LN(2)/$D$65+0.1)*(VLOOKUP(($F$16-$F$15)-1,U$99:Y161,5,FALSE)))*EXP(-(LN(2)/$D$65+0.04)*(VLOOKUP(($F$16-$F$15)*2-1,U$99:Y161,4,FALSE)))*EXP(-(LN(2)/$D$65+0.1)*(VLOOKUP(($F$16-$F$15)*2-1,U$99:Y161,5,FALSE)))*EXP(-(LN(2)/$D$65+0.04)*X161)*EXP(-(LN(2)/$D$65+0.1)*Y161),"-"))),"-")</f>
        <v>-</v>
      </c>
      <c r="AB162" s="271" t="str">
        <f>IFERROR(IF(V162=1,AB$100*EXP(-(LN(2)/$D$65+0.04)*X162)*EXP(-(LN(2)/$D$65+0.1)*Y162),IF(V162=2,AB$100*EXP(-(LN(2)/$D$65+0.04)*(VLOOKUP(($F$16-$F$15)-1,U$100:Y162,4,FALSE)))*EXP(-(LN(2)/$D$65+0.1)*(VLOOKUP(($F$16-$F$15)-1,U$100:Y162,5,FALSE)))*EXP(-(LN(2)/$D$65+0.04)*X162)*EXP(-(LN(2)/$D$65+0.1)*Y162),IF(V162=3,AB$100*EXP(-(LN(2)/$D$65+0.04)*(VLOOKUP(($F$16-$F$15)-1,U$100:Y162,4,FALSE)))*EXP(-(LN(2)/$D$65+0.1)*(VLOOKUP(($F$16-$F$15)-1,U$100:Y162,5,FALSE)))*EXP(-(LN(2)/$D$65+0.04)*(VLOOKUP(($F$16-$F$15)*2-1,U$100:Y162,4,FALSE)))*EXP(-(LN(2)/$D$65+0.1)*(VLOOKUP(($F$16-$F$15)*2-1,U$100:Y162,5,FALSE)))*EXP(-(LN(2)/$D$65+0.04)*X162)*EXP(-(LN(2)/$D$65+0.1)*Y162),"-"))),"-")</f>
        <v>-</v>
      </c>
      <c r="AC162" s="224">
        <f t="shared" si="45"/>
        <v>62</v>
      </c>
      <c r="AD162" s="223" t="str">
        <f t="shared" si="11"/>
        <v>-</v>
      </c>
      <c r="AE162" s="224" t="str">
        <f t="shared" si="46"/>
        <v>-</v>
      </c>
      <c r="AF162" s="224" t="str">
        <f t="shared" si="88"/>
        <v>-</v>
      </c>
      <c r="AG162" s="224" t="str">
        <f t="shared" si="89"/>
        <v>-</v>
      </c>
      <c r="AH162" s="272">
        <f t="shared" si="47"/>
        <v>0.1</v>
      </c>
      <c r="AI162" s="271" t="str">
        <f>IFERROR(IF(AD161=1,AI$100*EXP(-(LN(2)/$D$65+0.04)*AF161)*EXP(-(LN(2)/$D$65+0.1)*AG161),IF(AD161=2,AI$100*EXP(-(LN(2)/$D$65+0.04)*(VLOOKUP(($F$16-$F$15)-1,AC$99:AG161,4,FALSE)))*EXP(-(LN(2)/$D$65+0.1)*(VLOOKUP(($F$16-$F$15)-1,AC$99:AG161,5,FALSE)))*EXP(-(LN(2)/$D$65+0.04)*AF161)*EXP(-(LN(2)/$D$65+0.1)*AG161),IF(AD161=3,AI$100*EXP(-(LN(2)/$D$65+0.04)*(VLOOKUP(($F$16-$F$15)-1,AC$99:AG161,4,FALSE)))*EXP(-(LN(2)/$D$65+0.1)*(VLOOKUP(($F$16-$F$15)-1,AC$99:AG161,5,FALSE)))*EXP(-(LN(2)/$D$65+0.04)*(VLOOKUP(($F$16-$F$15)*2-1,AC$99:AG161,4,FALSE)))*EXP(-(LN(2)/$D$65+0.1)*(VLOOKUP(($F$16-$F$15)*2-1,AC$99:AG161,5,FALSE)))*EXP(-(LN(2)/$D$65+0.04)*AF161)*EXP(-(LN(2)/$D$65+0.1)*AG161),"-"))),"-")</f>
        <v>-</v>
      </c>
      <c r="AJ162" s="271" t="str">
        <f>IFERROR(IF(AD162=1,AJ$100*EXP(-(LN(2)/$D$65+0.04)*AF162)*EXP(-(LN(2)/$D$65+0.1)*AG162),IF(AD162=2,AJ$100*EXP(-(LN(2)/$D$65+0.04)*(VLOOKUP(($F$16-$F$15)-1,AC$100:AG162,4,FALSE)))*EXP(-(LN(2)/$D$65+0.1)*(VLOOKUP(($F$16-$F$15)-1,AC$100:AG162,5,FALSE)))*EXP(-(LN(2)/$D$65+0.04)*AF162)*EXP(-(LN(2)/$D$65+0.1)*AG162),IF(AD162=3,AJ$100*EXP(-(LN(2)/$D$65+0.04)*(VLOOKUP(($F$16-$F$15)-1,AC$100:AG162,4,FALSE)))*EXP(-(LN(2)/$D$65+0.1)*(VLOOKUP(($F$16-$F$15)-1,AC$100:AG162,5,FALSE)))*EXP(-(LN(2)/$D$65+0.04)*(VLOOKUP(($F$16-$F$15)*2-1,AC$100:AG162,4,FALSE)))*EXP(-(LN(2)/$D$65+0.1)*(VLOOKUP(($F$16-$F$15)*2-1,AC$100:AG162,5,FALSE)))*EXP(-(LN(2)/$D$65+0.04)*AF162)*EXP(-(LN(2)/$D$65+0.1)*AG162),"-"))),"-")</f>
        <v>-</v>
      </c>
      <c r="AK162" s="227">
        <f t="shared" si="49"/>
        <v>62</v>
      </c>
      <c r="AL162" s="226" t="str">
        <f t="shared" si="15"/>
        <v>-</v>
      </c>
      <c r="AM162" s="227" t="str">
        <f t="shared" si="50"/>
        <v>-</v>
      </c>
      <c r="AN162" s="227" t="str">
        <f t="shared" si="51"/>
        <v>-</v>
      </c>
      <c r="AO162" s="227" t="str">
        <f t="shared" si="90"/>
        <v>-</v>
      </c>
      <c r="AP162" s="273">
        <f t="shared" si="52"/>
        <v>0.1</v>
      </c>
      <c r="AQ162" s="271" t="str">
        <f>IFERROR(IF(AL161=1,AQ$100*EXP(-(LN(2)/$D$65+0.04)*AN161)*EXP(-(LN(2)/$D$65+0.1)*AO161),IF(AL161=2,AQ$100*EXP(-(LN(2)/$D$65+0.04)*(VLOOKUP(($F$16-$F$15)-1,AK$99:AO161,4,FALSE)))*EXP(-(LN(2)/$D$65+0.1)*(VLOOKUP(($F$16-$F$15)-1,AK$99:AO161,5,FALSE)))*EXP(-(LN(2)/$D$65+0.04)*AN161)*EXP(-(LN(2)/$D$65+0.1)*AO161),IF(AL161=3,AQ$100*EXP(-(LN(2)/$D$65+0.04)*(VLOOKUP(($F$16-$F$15)-1,AK$99:AO161,4,FALSE)))*EXP(-(LN(2)/$D$65+0.1)*(VLOOKUP(($F$16-$F$15)-1,AK$99:AO161,5,FALSE)))*EXP(-(LN(2)/$D$65+0.04)*(VLOOKUP(($F$16-$F$15)*2-1,AK$99:AO161,4,FALSE)))*EXP(-(LN(2)/$D$65+0.1)*(VLOOKUP(($F$16-$F$15)*2-1,AK$99:AO161,5,FALSE)))*EXP(-(LN(2)/$D$65+0.04)*AN161)*EXP(-(LN(2)/$D$65+0.1)*AO161),"-"))),"-")</f>
        <v>-</v>
      </c>
      <c r="AR162" s="271" t="str">
        <f>IFERROR(IF(AL162=1,AR$100*EXP(-(LN(2)/$D$65+0.04)*AN162)*EXP(-(LN(2)/$D$65+0.1)*AO162),IF(AL162=2,AR$100*EXP(-(LN(2)/$D$65+0.04)*(VLOOKUP(($F$16-$F$15)-1,AK$100:AO162,4,FALSE)))*EXP(-(LN(2)/$D$65+0.1)*(VLOOKUP(($F$16-$F$15)-1,AK$100:AO162,5,FALSE)))*EXP(-(LN(2)/$D$65+0.04)*AN162)*EXP(-(LN(2)/$D$65+0.1)*AO162),IF(AL162=3,AR$100*EXP(-(LN(2)/$D$65+0.04)*(VLOOKUP(($F$16-$F$15)-1,AK$100:AO162,4,FALSE)))*EXP(-(LN(2)/$D$65+0.1)*(VLOOKUP(($F$16-$F$15)-1,AK$100:AO162,5,FALSE)))*EXP(-(LN(2)/$D$65+0.04)*(VLOOKUP(($F$16-$F$15)*2-1,AK$100:AO162,4,FALSE)))*EXP(-(LN(2)/$D$65+0.1)*(VLOOKUP(($F$16-$F$15)*2-1,AK$100:AO162,5,FALSE)))*EXP(-(LN(2)/$D$65+0.04)*AN162)*EXP(-(LN(2)/$D$65+0.1)*AO162),"-"))),"-")</f>
        <v>-</v>
      </c>
      <c r="AS162" s="274">
        <f t="shared" si="91"/>
        <v>0</v>
      </c>
      <c r="AT162" s="274">
        <f t="shared" si="92"/>
        <v>0</v>
      </c>
      <c r="AU162" s="274">
        <f t="shared" si="93"/>
        <v>0</v>
      </c>
      <c r="AV162" s="190">
        <f>IF($B162&lt;$F$22,SUM($T$100:$T162),"")</f>
        <v>0</v>
      </c>
      <c r="AW162" s="190" t="str">
        <f t="shared" si="94"/>
        <v>-</v>
      </c>
      <c r="AX162" s="190" t="str">
        <f t="shared" si="56"/>
        <v/>
      </c>
      <c r="AY162"/>
      <c r="AZ162" s="190" t="str">
        <f ca="1">IF(ISNUMBER(OFFSET(AV162,-$F$21,0)),SUM(OFFSET($T$100,$F$21,0):$T162),"")</f>
        <v/>
      </c>
      <c r="BA162" s="190" t="str">
        <f t="shared" ca="1" si="95"/>
        <v/>
      </c>
      <c r="BB162" s="190" t="str">
        <f t="shared" ca="1" si="70"/>
        <v/>
      </c>
      <c r="BC162" s="190"/>
      <c r="BD162" s="190" t="str">
        <f ca="1">IFERROR(IF(AND($B162&gt;=($F$16-$F$15),$B162&lt;$F$22+($F$16-$F$15)),SUM(OFFSET($T$100,($F$16-$F$15),0):$T162),""),"")</f>
        <v/>
      </c>
      <c r="BE162" s="190" t="str">
        <f t="shared" ca="1" si="58"/>
        <v/>
      </c>
      <c r="BF162" s="190" t="str">
        <f t="shared" ca="1" si="59"/>
        <v/>
      </c>
      <c r="BG162"/>
      <c r="BH162" s="190" t="str">
        <f ca="1">IF(ISNUMBER(OFFSET(BD162,-$F$21,0)),SUM(OFFSET($T$100,($F$16-$F$15+$F$21),0):$T162),"")</f>
        <v/>
      </c>
      <c r="BI162" s="190" t="str">
        <f t="shared" ca="1" si="96"/>
        <v/>
      </c>
      <c r="BJ162" s="190" t="str">
        <f t="shared" ca="1" si="60"/>
        <v/>
      </c>
      <c r="BK162" s="190"/>
      <c r="BL162" s="190" t="str">
        <f ca="1">IFERROR(IF(AND($B162&gt;=($F$17-$F$15),$B162&lt;$F$22+($F$17-$F$15)),SUM(OFFSET($T$100,($F$17-$F$15),0):$T162),""),"")</f>
        <v/>
      </c>
      <c r="BM162" s="190" t="str">
        <f t="shared" ca="1" si="97"/>
        <v/>
      </c>
      <c r="BN162" s="190" t="str">
        <f t="shared" ca="1" si="61"/>
        <v/>
      </c>
      <c r="BO162"/>
      <c r="BP162" s="190" t="str">
        <f ca="1">IF(ISNUMBER(OFFSET(BL162,-$F$21,0)),SUM(OFFSET($T$100,($F$17-$F$15+$F$21),0):$T162),"")</f>
        <v/>
      </c>
      <c r="BQ162" s="190" t="str">
        <f t="shared" ca="1" si="98"/>
        <v/>
      </c>
      <c r="BR162" s="190" t="str">
        <f t="shared" ca="1" si="63"/>
        <v/>
      </c>
      <c r="BS162" s="190"/>
      <c r="BT162"/>
      <c r="BU162"/>
      <c r="BV162"/>
      <c r="BY162" s="99"/>
      <c r="BZ162" s="99"/>
      <c r="CA162" s="280" t="str">
        <f t="shared" si="99"/>
        <v/>
      </c>
      <c r="CB162" s="71" t="str">
        <f t="shared" si="100"/>
        <v>-</v>
      </c>
      <c r="CC162" s="33"/>
      <c r="CD162" s="261" t="str">
        <f t="shared" si="101"/>
        <v/>
      </c>
      <c r="CE162" s="280" t="str">
        <f t="shared" si="102"/>
        <v>-</v>
      </c>
      <c r="CF162" s="71" t="str">
        <f t="shared" ca="1" si="103"/>
        <v>-</v>
      </c>
      <c r="CG162" s="33" t="str">
        <f t="shared" si="104"/>
        <v>62-63</v>
      </c>
      <c r="CH162" s="261" t="str">
        <f t="shared" ca="1" si="105"/>
        <v/>
      </c>
      <c r="CI162" s="202"/>
      <c r="CP162" s="99"/>
      <c r="CQ162" s="99"/>
      <c r="CR162" s="99"/>
      <c r="CS162" s="99"/>
      <c r="CT162" s="99"/>
      <c r="CU162" s="99"/>
      <c r="CV162" s="99"/>
      <c r="CW162" s="99"/>
      <c r="CX162" s="99"/>
      <c r="CY162" s="99"/>
      <c r="CZ162" s="99"/>
      <c r="DA162" s="99"/>
      <c r="DB162" s="99"/>
      <c r="DC162" s="99"/>
    </row>
    <row r="163" spans="2:107" ht="13.5" customHeight="1" x14ac:dyDescent="0.2">
      <c r="B163" s="262">
        <v>63</v>
      </c>
      <c r="C163" s="237" t="str">
        <f t="shared" si="71"/>
        <v/>
      </c>
      <c r="D163" s="237" t="str">
        <f t="shared" si="106"/>
        <v>-</v>
      </c>
      <c r="E163" s="290" t="str">
        <f t="shared" si="32"/>
        <v/>
      </c>
      <c r="F163" s="264" t="str">
        <f t="shared" si="33"/>
        <v/>
      </c>
      <c r="G163" s="291" t="str">
        <f t="shared" si="34"/>
        <v/>
      </c>
      <c r="H163" s="240" t="str">
        <f t="shared" si="72"/>
        <v/>
      </c>
      <c r="I163" s="265" t="str">
        <f t="shared" si="73"/>
        <v/>
      </c>
      <c r="J163" s="265" t="str">
        <f t="shared" si="74"/>
        <v/>
      </c>
      <c r="K163" s="240" t="str">
        <f t="shared" si="75"/>
        <v/>
      </c>
      <c r="L163" s="265" t="str">
        <f t="shared" si="76"/>
        <v/>
      </c>
      <c r="M163" s="265" t="str">
        <f t="shared" si="77"/>
        <v/>
      </c>
      <c r="N163" s="240" t="str">
        <f t="shared" si="78"/>
        <v>-</v>
      </c>
      <c r="O163" s="265" t="str">
        <f t="shared" si="79"/>
        <v>-</v>
      </c>
      <c r="P163" s="265" t="str">
        <f t="shared" si="80"/>
        <v>-</v>
      </c>
      <c r="Q163" s="266" t="str">
        <f t="shared" si="81"/>
        <v>-</v>
      </c>
      <c r="R163" s="267" t="str">
        <f t="shared" si="82"/>
        <v>-</v>
      </c>
      <c r="S163" s="268" t="str">
        <f t="shared" si="83"/>
        <v>-</v>
      </c>
      <c r="T163" s="269" t="str">
        <f t="shared" si="84"/>
        <v/>
      </c>
      <c r="U163" s="221">
        <f t="shared" si="85"/>
        <v>63</v>
      </c>
      <c r="V163" s="220" t="str">
        <f t="shared" si="42"/>
        <v>-</v>
      </c>
      <c r="W163" s="221" t="str">
        <f t="shared" si="43"/>
        <v>-</v>
      </c>
      <c r="X163" s="221" t="str">
        <f t="shared" si="86"/>
        <v>-</v>
      </c>
      <c r="Y163" s="221" t="str">
        <f t="shared" si="87"/>
        <v>-</v>
      </c>
      <c r="Z163" s="270">
        <f t="shared" si="44"/>
        <v>0.1</v>
      </c>
      <c r="AA163" s="271" t="str">
        <f>IFERROR(IF(V162=1,AA$100*EXP(-(LN(2)/$D$65+0.04)*X162)*EXP(-(LN(2)/$D$65+0.1)*Y162),IF(V162=2,AA$100*EXP(-(LN(2)/$D$65+0.04)*(VLOOKUP(($F$16-$F$15)-1,U$99:Y162,4,FALSE)))*EXP(-(LN(2)/$D$65+0.1)*(VLOOKUP(($F$16-$F$15)-1,U$99:Y162,5,FALSE)))*EXP(-(LN(2)/$D$65+0.04)*X162)*EXP(-(LN(2)/$D$65+0.1)*Y162),IF(V162=3,AA$100*EXP(-(LN(2)/$D$65+0.04)*(VLOOKUP(($F$16-$F$15)-1,U$99:Y162,4,FALSE)))*EXP(-(LN(2)/$D$65+0.1)*(VLOOKUP(($F$16-$F$15)-1,U$99:Y162,5,FALSE)))*EXP(-(LN(2)/$D$65+0.04)*(VLOOKUP(($F$16-$F$15)*2-1,U$99:Y162,4,FALSE)))*EXP(-(LN(2)/$D$65+0.1)*(VLOOKUP(($F$16-$F$15)*2-1,U$99:Y162,5,FALSE)))*EXP(-(LN(2)/$D$65+0.04)*X162)*EXP(-(LN(2)/$D$65+0.1)*Y162),"-"))),"-")</f>
        <v>-</v>
      </c>
      <c r="AB163" s="271" t="str">
        <f>IFERROR(IF(V163=1,AB$100*EXP(-(LN(2)/$D$65+0.04)*X163)*EXP(-(LN(2)/$D$65+0.1)*Y163),IF(V163=2,AB$100*EXP(-(LN(2)/$D$65+0.04)*(VLOOKUP(($F$16-$F$15)-1,U$100:Y163,4,FALSE)))*EXP(-(LN(2)/$D$65+0.1)*(VLOOKUP(($F$16-$F$15)-1,U$100:Y163,5,FALSE)))*EXP(-(LN(2)/$D$65+0.04)*X163)*EXP(-(LN(2)/$D$65+0.1)*Y163),IF(V163=3,AB$100*EXP(-(LN(2)/$D$65+0.04)*(VLOOKUP(($F$16-$F$15)-1,U$100:Y163,4,FALSE)))*EXP(-(LN(2)/$D$65+0.1)*(VLOOKUP(($F$16-$F$15)-1,U$100:Y163,5,FALSE)))*EXP(-(LN(2)/$D$65+0.04)*(VLOOKUP(($F$16-$F$15)*2-1,U$100:Y163,4,FALSE)))*EXP(-(LN(2)/$D$65+0.1)*(VLOOKUP(($F$16-$F$15)*2-1,U$100:Y163,5,FALSE)))*EXP(-(LN(2)/$D$65+0.04)*X163)*EXP(-(LN(2)/$D$65+0.1)*Y163),"-"))),"-")</f>
        <v>-</v>
      </c>
      <c r="AC163" s="224">
        <f t="shared" si="45"/>
        <v>63</v>
      </c>
      <c r="AD163" s="223" t="str">
        <f t="shared" si="11"/>
        <v>-</v>
      </c>
      <c r="AE163" s="224" t="str">
        <f t="shared" si="46"/>
        <v>-</v>
      </c>
      <c r="AF163" s="224" t="str">
        <f t="shared" si="88"/>
        <v>-</v>
      </c>
      <c r="AG163" s="224" t="str">
        <f t="shared" si="89"/>
        <v>-</v>
      </c>
      <c r="AH163" s="272">
        <f t="shared" si="47"/>
        <v>0.1</v>
      </c>
      <c r="AI163" s="271" t="str">
        <f>IFERROR(IF(AD162=1,AI$100*EXP(-(LN(2)/$D$65+0.04)*AF162)*EXP(-(LN(2)/$D$65+0.1)*AG162),IF(AD162=2,AI$100*EXP(-(LN(2)/$D$65+0.04)*(VLOOKUP(($F$16-$F$15)-1,AC$99:AG162,4,FALSE)))*EXP(-(LN(2)/$D$65+0.1)*(VLOOKUP(($F$16-$F$15)-1,AC$99:AG162,5,FALSE)))*EXP(-(LN(2)/$D$65+0.04)*AF162)*EXP(-(LN(2)/$D$65+0.1)*AG162),IF(AD162=3,AI$100*EXP(-(LN(2)/$D$65+0.04)*(VLOOKUP(($F$16-$F$15)-1,AC$99:AG162,4,FALSE)))*EXP(-(LN(2)/$D$65+0.1)*(VLOOKUP(($F$16-$F$15)-1,AC$99:AG162,5,FALSE)))*EXP(-(LN(2)/$D$65+0.04)*(VLOOKUP(($F$16-$F$15)*2-1,AC$99:AG162,4,FALSE)))*EXP(-(LN(2)/$D$65+0.1)*(VLOOKUP(($F$16-$F$15)*2-1,AC$99:AG162,5,FALSE)))*EXP(-(LN(2)/$D$65+0.04)*AF162)*EXP(-(LN(2)/$D$65+0.1)*AG162),"-"))),"-")</f>
        <v>-</v>
      </c>
      <c r="AJ163" s="271" t="str">
        <f>IFERROR(IF(AD163=1,AJ$100*EXP(-(LN(2)/$D$65+0.04)*AF163)*EXP(-(LN(2)/$D$65+0.1)*AG163),IF(AD163=2,AJ$100*EXP(-(LN(2)/$D$65+0.04)*(VLOOKUP(($F$16-$F$15)-1,AC$100:AG163,4,FALSE)))*EXP(-(LN(2)/$D$65+0.1)*(VLOOKUP(($F$16-$F$15)-1,AC$100:AG163,5,FALSE)))*EXP(-(LN(2)/$D$65+0.04)*AF163)*EXP(-(LN(2)/$D$65+0.1)*AG163),IF(AD163=3,AJ$100*EXP(-(LN(2)/$D$65+0.04)*(VLOOKUP(($F$16-$F$15)-1,AC$100:AG163,4,FALSE)))*EXP(-(LN(2)/$D$65+0.1)*(VLOOKUP(($F$16-$F$15)-1,AC$100:AG163,5,FALSE)))*EXP(-(LN(2)/$D$65+0.04)*(VLOOKUP(($F$16-$F$15)*2-1,AC$100:AG163,4,FALSE)))*EXP(-(LN(2)/$D$65+0.1)*(VLOOKUP(($F$16-$F$15)*2-1,AC$100:AG163,5,FALSE)))*EXP(-(LN(2)/$D$65+0.04)*AF163)*EXP(-(LN(2)/$D$65+0.1)*AG163),"-"))),"-")</f>
        <v>-</v>
      </c>
      <c r="AK163" s="227">
        <f t="shared" si="49"/>
        <v>63</v>
      </c>
      <c r="AL163" s="226" t="str">
        <f t="shared" si="15"/>
        <v>-</v>
      </c>
      <c r="AM163" s="227" t="str">
        <f t="shared" si="50"/>
        <v>-</v>
      </c>
      <c r="AN163" s="227" t="str">
        <f t="shared" si="51"/>
        <v>-</v>
      </c>
      <c r="AO163" s="227" t="str">
        <f t="shared" si="90"/>
        <v>-</v>
      </c>
      <c r="AP163" s="273">
        <f t="shared" si="52"/>
        <v>0.1</v>
      </c>
      <c r="AQ163" s="271" t="str">
        <f>IFERROR(IF(AL162=1,AQ$100*EXP(-(LN(2)/$D$65+0.04)*AN162)*EXP(-(LN(2)/$D$65+0.1)*AO162),IF(AL162=2,AQ$100*EXP(-(LN(2)/$D$65+0.04)*(VLOOKUP(($F$16-$F$15)-1,AK$99:AO162,4,FALSE)))*EXP(-(LN(2)/$D$65+0.1)*(VLOOKUP(($F$16-$F$15)-1,AK$99:AO162,5,FALSE)))*EXP(-(LN(2)/$D$65+0.04)*AN162)*EXP(-(LN(2)/$D$65+0.1)*AO162),IF(AL162=3,AQ$100*EXP(-(LN(2)/$D$65+0.04)*(VLOOKUP(($F$16-$F$15)-1,AK$99:AO162,4,FALSE)))*EXP(-(LN(2)/$D$65+0.1)*(VLOOKUP(($F$16-$F$15)-1,AK$99:AO162,5,FALSE)))*EXP(-(LN(2)/$D$65+0.04)*(VLOOKUP(($F$16-$F$15)*2-1,AK$99:AO162,4,FALSE)))*EXP(-(LN(2)/$D$65+0.1)*(VLOOKUP(($F$16-$F$15)*2-1,AK$99:AO162,5,FALSE)))*EXP(-(LN(2)/$D$65+0.04)*AN162)*EXP(-(LN(2)/$D$65+0.1)*AO162),"-"))),"-")</f>
        <v>-</v>
      </c>
      <c r="AR163" s="271" t="str">
        <f>IFERROR(IF(AL163=1,AR$100*EXP(-(LN(2)/$D$65+0.04)*AN163)*EXP(-(LN(2)/$D$65+0.1)*AO163),IF(AL163=2,AR$100*EXP(-(LN(2)/$D$65+0.04)*(VLOOKUP(($F$16-$F$15)-1,AK$100:AO163,4,FALSE)))*EXP(-(LN(2)/$D$65+0.1)*(VLOOKUP(($F$16-$F$15)-1,AK$100:AO163,5,FALSE)))*EXP(-(LN(2)/$D$65+0.04)*AN163)*EXP(-(LN(2)/$D$65+0.1)*AO163),IF(AL163=3,AR$100*EXP(-(LN(2)/$D$65+0.04)*(VLOOKUP(($F$16-$F$15)-1,AK$100:AO163,4,FALSE)))*EXP(-(LN(2)/$D$65+0.1)*(VLOOKUP(($F$16-$F$15)-1,AK$100:AO163,5,FALSE)))*EXP(-(LN(2)/$D$65+0.04)*(VLOOKUP(($F$16-$F$15)*2-1,AK$100:AO163,4,FALSE)))*EXP(-(LN(2)/$D$65+0.1)*(VLOOKUP(($F$16-$F$15)*2-1,AK$100:AO163,5,FALSE)))*EXP(-(LN(2)/$D$65+0.04)*AN163)*EXP(-(LN(2)/$D$65+0.1)*AO163),"-"))),"-")</f>
        <v>-</v>
      </c>
      <c r="AS163" s="274">
        <f t="shared" si="91"/>
        <v>0</v>
      </c>
      <c r="AT163" s="274">
        <f t="shared" si="92"/>
        <v>0</v>
      </c>
      <c r="AU163" s="274">
        <f t="shared" si="93"/>
        <v>0</v>
      </c>
      <c r="AV163" s="190">
        <f>IF($B163&lt;$F$22,SUM($T$100:$T163),"")</f>
        <v>0</v>
      </c>
      <c r="AW163" s="190" t="str">
        <f t="shared" si="94"/>
        <v>-</v>
      </c>
      <c r="AX163" s="190" t="str">
        <f t="shared" si="56"/>
        <v/>
      </c>
      <c r="AY163"/>
      <c r="AZ163" s="190" t="str">
        <f ca="1">IF(ISNUMBER(OFFSET(AV163,-$F$21,0)),SUM(OFFSET($T$100,$F$21,0):$T163),"")</f>
        <v/>
      </c>
      <c r="BA163" s="190" t="str">
        <f t="shared" ca="1" si="95"/>
        <v/>
      </c>
      <c r="BB163" s="190" t="str">
        <f t="shared" ca="1" si="70"/>
        <v/>
      </c>
      <c r="BC163" s="190"/>
      <c r="BD163" s="190" t="str">
        <f ca="1">IFERROR(IF(AND($B163&gt;=($F$16-$F$15),$B163&lt;$F$22+($F$16-$F$15)),SUM(OFFSET($T$100,($F$16-$F$15),0):$T163),""),"")</f>
        <v/>
      </c>
      <c r="BE163" s="190" t="str">
        <f t="shared" ca="1" si="58"/>
        <v/>
      </c>
      <c r="BF163" s="190" t="str">
        <f t="shared" ca="1" si="59"/>
        <v/>
      </c>
      <c r="BG163"/>
      <c r="BH163" s="190" t="str">
        <f ca="1">IF(ISNUMBER(OFFSET(BD163,-$F$21,0)),SUM(OFFSET($T$100,($F$16-$F$15+$F$21),0):$T163),"")</f>
        <v/>
      </c>
      <c r="BI163" s="190" t="str">
        <f t="shared" ca="1" si="96"/>
        <v/>
      </c>
      <c r="BJ163" s="190" t="str">
        <f t="shared" ca="1" si="60"/>
        <v/>
      </c>
      <c r="BK163" s="190"/>
      <c r="BL163" s="190" t="str">
        <f ca="1">IFERROR(IF(AND($B163&gt;=($F$17-$F$15),$B163&lt;$F$22+($F$17-$F$15)),SUM(OFFSET($T$100,($F$17-$F$15),0):$T163),""),"")</f>
        <v/>
      </c>
      <c r="BM163" s="190" t="str">
        <f t="shared" ca="1" si="97"/>
        <v/>
      </c>
      <c r="BN163" s="190" t="str">
        <f t="shared" ca="1" si="61"/>
        <v/>
      </c>
      <c r="BO163"/>
      <c r="BP163" s="190" t="str">
        <f ca="1">IF(ISNUMBER(OFFSET(BL163,-$F$21,0)),SUM(OFFSET($T$100,($F$17-$F$15+$F$21),0):$T163),"")</f>
        <v/>
      </c>
      <c r="BQ163" s="190" t="str">
        <f t="shared" ca="1" si="98"/>
        <v/>
      </c>
      <c r="BR163" s="190" t="str">
        <f t="shared" ca="1" si="63"/>
        <v/>
      </c>
      <c r="BS163" s="190"/>
      <c r="BT163"/>
      <c r="BU163"/>
      <c r="BV163"/>
      <c r="BY163" s="99"/>
      <c r="BZ163" s="99"/>
      <c r="CA163" s="280" t="str">
        <f t="shared" si="99"/>
        <v/>
      </c>
      <c r="CB163" s="71" t="str">
        <f t="shared" si="100"/>
        <v>-</v>
      </c>
      <c r="CC163" s="33"/>
      <c r="CD163" s="261" t="str">
        <f t="shared" si="101"/>
        <v/>
      </c>
      <c r="CE163" s="280" t="str">
        <f t="shared" si="102"/>
        <v>-</v>
      </c>
      <c r="CF163" s="71" t="str">
        <f t="shared" ca="1" si="103"/>
        <v>-</v>
      </c>
      <c r="CG163" s="33" t="str">
        <f t="shared" si="104"/>
        <v>63-64</v>
      </c>
      <c r="CH163" s="261" t="str">
        <f t="shared" ca="1" si="105"/>
        <v/>
      </c>
      <c r="CI163" s="202"/>
      <c r="CP163" s="99"/>
      <c r="CQ163" s="99"/>
      <c r="CR163" s="99"/>
      <c r="CS163" s="99"/>
      <c r="CT163" s="99"/>
      <c r="CU163" s="99"/>
      <c r="CV163" s="99"/>
      <c r="CW163" s="99"/>
      <c r="CX163" s="99"/>
      <c r="CY163" s="99"/>
      <c r="CZ163" s="99"/>
      <c r="DA163" s="99"/>
      <c r="DB163" s="99"/>
      <c r="DC163" s="99"/>
    </row>
    <row r="164" spans="2:107" ht="13.5" customHeight="1" x14ac:dyDescent="0.2">
      <c r="B164" s="262">
        <v>64</v>
      </c>
      <c r="C164" s="237" t="str">
        <f t="shared" ref="C164:C195" si="107">IF(ISERROR(VLOOKUP(B164,$B$39:$C$73,2,0)),"",VLOOKUP(B164,$B$39:$C$73,2,0))</f>
        <v/>
      </c>
      <c r="D164" s="237" t="str">
        <f t="shared" si="106"/>
        <v>-</v>
      </c>
      <c r="E164" s="290" t="str">
        <f t="shared" si="32"/>
        <v/>
      </c>
      <c r="F164" s="264" t="str">
        <f t="shared" si="33"/>
        <v/>
      </c>
      <c r="G164" s="291" t="str">
        <f t="shared" si="34"/>
        <v/>
      </c>
      <c r="H164" s="240" t="str">
        <f t="shared" ref="H164:H195" si="108">IF(E164&lt;&gt;"",IF($B164&lt;$F$21,"",IF(ISNUMBER(F164),IF(ISNUMBER(I164),(E164*30*50*ffp),""),(E164*30*50*ffp))),"")</f>
        <v/>
      </c>
      <c r="I164" s="265" t="str">
        <f t="shared" ref="I164:I195" si="109">IFERROR(IF(F164&lt;&gt;"",IF($B164&lt;$F$21+$F$16,"",IF(ISNUMBER(G164),IF(ISNUMBER(J164),(F164*30*50*ffp),""),(F164*30*50*ffp))),""),"")</f>
        <v/>
      </c>
      <c r="J164" s="265" t="str">
        <f t="shared" ref="J164:J195" si="110">IFERROR(IF(G164&lt;&gt;"",IF($B164&lt;$F$21+$F$17,"",(G164*30*50*ffp)),""),"")</f>
        <v/>
      </c>
      <c r="K164" s="240" t="str">
        <f t="shared" ref="K164:K195" si="111">IF(E164&lt;&gt;"",((E164*20*50*ffp)/Klevee),"")</f>
        <v/>
      </c>
      <c r="L164" s="265" t="str">
        <f t="shared" ref="L164:L195" si="112">IF(ISNUMBER(F164),((F164*20*50*ffp)/Klevee),"")</f>
        <v/>
      </c>
      <c r="M164" s="265" t="str">
        <f t="shared" ref="M164:M195" si="113">IF(ISNUMBER(G164),((G164*20*50*ffp)/Klevee),"")</f>
        <v/>
      </c>
      <c r="N164" s="240" t="str">
        <f t="shared" ref="N164:N195" si="114">IF(AND(ISNUMBER(I),ISNUMBER($F$14),ISNUMBER($F$20)),IF($B164=0,I*($J$40/100)*$J$42*1,""),"-")</f>
        <v>-</v>
      </c>
      <c r="O164" s="265" t="str">
        <f t="shared" ref="O164:O195" si="115">IF(ISNUMBER($F$14),IF($F$14&gt;1,IF($B164=0+$F$16,I*($J$40/100)*$J$42*1,""),""),"-")</f>
        <v>-</v>
      </c>
      <c r="P164" s="265" t="str">
        <f t="shared" ref="P164:P195" si="116">IF(ISNUMBER($F$14),IF($F$14&gt;2,IF($B164=0+$F$17,I*($J$40/100)*$J$42*1,""),""),"-")</f>
        <v>-</v>
      </c>
      <c r="Q164" s="266" t="str">
        <f t="shared" ref="Q164:Q195" si="117">IF(AND(ISNUMBER(I),ISNUMBER($F$14),ISNUMBER($F$20)),IF($B164=0,I*(dt/100)*$J$45*1,""),"-")</f>
        <v>-</v>
      </c>
      <c r="R164" s="267" t="str">
        <f t="shared" ref="R164:R195" si="118">IF(ISNUMBER($F$14),IF($F$14&gt;1,IF($B164=0+$F$16,I*(dt/100)*$J$45*1,""),""),"-")</f>
        <v>-</v>
      </c>
      <c r="S164" s="268" t="str">
        <f t="shared" ref="S164:S195" si="119">IF(ISNUMBER($F$14),IF($F$14&gt;2,IF($B164=0+$F$17,I*(dt/100)*$J$45*1,""),""),"-")</f>
        <v>-</v>
      </c>
      <c r="T164" s="269" t="str">
        <f t="shared" ref="T164:T195" si="120">IF(SUM(H164:S164)=0,"",SUM(H164:S164))</f>
        <v/>
      </c>
      <c r="U164" s="221">
        <f t="shared" ref="U164:U195" si="121">B164</f>
        <v>64</v>
      </c>
      <c r="V164" s="220" t="str">
        <f t="shared" ref="V164:V227" si="122">IF(ISNUMBER($F$14),IF(B164&lt;($F$16-$F$15)*$F$14,INT(B164/($F$16-$F$15))+1,V162),"-")</f>
        <v>-</v>
      </c>
      <c r="W164" s="221" t="str">
        <f t="shared" si="43"/>
        <v>-</v>
      </c>
      <c r="X164" s="221" t="str">
        <f t="shared" ref="X164:X195" si="123">IFERROR(IF($F$21=0,0,IF(V164=V163,IF(B164-(V164-1)*($F$16-$F$15)&lt;$F$21,X163+1,X163),1)),"-")</f>
        <v>-</v>
      </c>
      <c r="Y164" s="221" t="str">
        <f t="shared" ref="Y164:Y195" si="124">IFERROR(W164-X164,"-")</f>
        <v>-</v>
      </c>
      <c r="Z164" s="270">
        <f t="shared" si="44"/>
        <v>0.1</v>
      </c>
      <c r="AA164" s="271" t="str">
        <f>IFERROR(IF(V163=1,AA$100*EXP(-(LN(2)/$D$65+0.04)*X163)*EXP(-(LN(2)/$D$65+0.1)*Y163),IF(V163=2,AA$100*EXP(-(LN(2)/$D$65+0.04)*(VLOOKUP(($F$16-$F$15)-1,U$99:Y163,4,FALSE)))*EXP(-(LN(2)/$D$65+0.1)*(VLOOKUP(($F$16-$F$15)-1,U$99:Y163,5,FALSE)))*EXP(-(LN(2)/$D$65+0.04)*X163)*EXP(-(LN(2)/$D$65+0.1)*Y163),IF(V163=3,AA$100*EXP(-(LN(2)/$D$65+0.04)*(VLOOKUP(($F$16-$F$15)-1,U$99:Y163,4,FALSE)))*EXP(-(LN(2)/$D$65+0.1)*(VLOOKUP(($F$16-$F$15)-1,U$99:Y163,5,FALSE)))*EXP(-(LN(2)/$D$65+0.04)*(VLOOKUP(($F$16-$F$15)*2-1,U$99:Y163,4,FALSE)))*EXP(-(LN(2)/$D$65+0.1)*(VLOOKUP(($F$16-$F$15)*2-1,U$99:Y163,5,FALSE)))*EXP(-(LN(2)/$D$65+0.04)*X163)*EXP(-(LN(2)/$D$65+0.1)*Y163),"-"))),"-")</f>
        <v>-</v>
      </c>
      <c r="AB164" s="271" t="str">
        <f>IFERROR(IF(V164=1,AB$100*EXP(-(LN(2)/$D$65+0.04)*X164)*EXP(-(LN(2)/$D$65+0.1)*Y164),IF(V164=2,AB$100*EXP(-(LN(2)/$D$65+0.04)*(VLOOKUP(($F$16-$F$15)-1,U$100:Y164,4,FALSE)))*EXP(-(LN(2)/$D$65+0.1)*(VLOOKUP(($F$16-$F$15)-1,U$100:Y164,5,FALSE)))*EXP(-(LN(2)/$D$65+0.04)*X164)*EXP(-(LN(2)/$D$65+0.1)*Y164),IF(V164=3,AB$100*EXP(-(LN(2)/$D$65+0.04)*(VLOOKUP(($F$16-$F$15)-1,U$100:Y164,4,FALSE)))*EXP(-(LN(2)/$D$65+0.1)*(VLOOKUP(($F$16-$F$15)-1,U$100:Y164,5,FALSE)))*EXP(-(LN(2)/$D$65+0.04)*(VLOOKUP(($F$16-$F$15)*2-1,U$100:Y164,4,FALSE)))*EXP(-(LN(2)/$D$65+0.1)*(VLOOKUP(($F$16-$F$15)*2-1,U$100:Y164,5,FALSE)))*EXP(-(LN(2)/$D$65+0.04)*X164)*EXP(-(LN(2)/$D$65+0.1)*Y164),"-"))),"-")</f>
        <v>-</v>
      </c>
      <c r="AC164" s="224">
        <f t="shared" si="45"/>
        <v>64</v>
      </c>
      <c r="AD164" s="223" t="str">
        <f t="shared" ref="AD164:AD227" si="125">IFERROR(IF($F$14-1&gt;0,IF(B164&lt;($F$16-$F$15)*($F$14-1),INT(B164/($F$16-$F$15))+1,AD162),"-"),"-")</f>
        <v>-</v>
      </c>
      <c r="AE164" s="224" t="str">
        <f t="shared" si="46"/>
        <v>-</v>
      </c>
      <c r="AF164" s="224" t="str">
        <f t="shared" ref="AF164:AF195" si="126">IFERROR(IF($F$21=0,0,IF(AD164=AD163,IF(B164-(AD164-1)*($F$16-$F$15)&lt;$F$21,AF163+1,AF163),1)),"-")</f>
        <v>-</v>
      </c>
      <c r="AG164" s="224" t="str">
        <f t="shared" ref="AG164:AG195" si="127">IFERROR(AE164-AF164,"-")</f>
        <v>-</v>
      </c>
      <c r="AH164" s="272">
        <f t="shared" si="47"/>
        <v>0.1</v>
      </c>
      <c r="AI164" s="271" t="str">
        <f>IFERROR(IF(AD163=1,AI$100*EXP(-(LN(2)/$D$65+0.04)*AF163)*EXP(-(LN(2)/$D$65+0.1)*AG163),IF(AD163=2,AI$100*EXP(-(LN(2)/$D$65+0.04)*(VLOOKUP(($F$16-$F$15)-1,AC$99:AG163,4,FALSE)))*EXP(-(LN(2)/$D$65+0.1)*(VLOOKUP(($F$16-$F$15)-1,AC$99:AG163,5,FALSE)))*EXP(-(LN(2)/$D$65+0.04)*AF163)*EXP(-(LN(2)/$D$65+0.1)*AG163),IF(AD163=3,AI$100*EXP(-(LN(2)/$D$65+0.04)*(VLOOKUP(($F$16-$F$15)-1,AC$99:AG163,4,FALSE)))*EXP(-(LN(2)/$D$65+0.1)*(VLOOKUP(($F$16-$F$15)-1,AC$99:AG163,5,FALSE)))*EXP(-(LN(2)/$D$65+0.04)*(VLOOKUP(($F$16-$F$15)*2-1,AC$99:AG163,4,FALSE)))*EXP(-(LN(2)/$D$65+0.1)*(VLOOKUP(($F$16-$F$15)*2-1,AC$99:AG163,5,FALSE)))*EXP(-(LN(2)/$D$65+0.04)*AF163)*EXP(-(LN(2)/$D$65+0.1)*AG163),"-"))),"-")</f>
        <v>-</v>
      </c>
      <c r="AJ164" s="271" t="str">
        <f>IFERROR(IF(AD164=1,AJ$100*EXP(-(LN(2)/$D$65+0.04)*AF164)*EXP(-(LN(2)/$D$65+0.1)*AG164),IF(AD164=2,AJ$100*EXP(-(LN(2)/$D$65+0.04)*(VLOOKUP(($F$16-$F$15)-1,AC$100:AG164,4,FALSE)))*EXP(-(LN(2)/$D$65+0.1)*(VLOOKUP(($F$16-$F$15)-1,AC$100:AG164,5,FALSE)))*EXP(-(LN(2)/$D$65+0.04)*AF164)*EXP(-(LN(2)/$D$65+0.1)*AG164),IF(AD164=3,AJ$100*EXP(-(LN(2)/$D$65+0.04)*(VLOOKUP(($F$16-$F$15)-1,AC$100:AG164,4,FALSE)))*EXP(-(LN(2)/$D$65+0.1)*(VLOOKUP(($F$16-$F$15)-1,AC$100:AG164,5,FALSE)))*EXP(-(LN(2)/$D$65+0.04)*(VLOOKUP(($F$16-$F$15)*2-1,AC$100:AG164,4,FALSE)))*EXP(-(LN(2)/$D$65+0.1)*(VLOOKUP(($F$16-$F$15)*2-1,AC$100:AG164,5,FALSE)))*EXP(-(LN(2)/$D$65+0.04)*AF164)*EXP(-(LN(2)/$D$65+0.1)*AG164),"-"))),"-")</f>
        <v>-</v>
      </c>
      <c r="AK164" s="227">
        <f t="shared" si="49"/>
        <v>64</v>
      </c>
      <c r="AL164" s="226" t="str">
        <f t="shared" ref="AL164:AL227" si="128">IFERROR(IF($F$14-2&gt;0,IF(B164&lt;($F$16-$F$15)*($F$14-2),INT(B164/($F$16-$F$15))+1,AL162),"-"),"-")</f>
        <v>-</v>
      </c>
      <c r="AM164" s="227" t="str">
        <f t="shared" si="50"/>
        <v>-</v>
      </c>
      <c r="AN164" s="227" t="str">
        <f t="shared" si="51"/>
        <v>-</v>
      </c>
      <c r="AO164" s="227" t="str">
        <f t="shared" ref="AO164:AO195" si="129">IFERROR(AM164-AN164,"-")</f>
        <v>-</v>
      </c>
      <c r="AP164" s="273">
        <f t="shared" si="52"/>
        <v>0.1</v>
      </c>
      <c r="AQ164" s="271" t="str">
        <f>IFERROR(IF(AL163=1,AQ$100*EXP(-(LN(2)/$D$65+0.04)*AN163)*EXP(-(LN(2)/$D$65+0.1)*AO163),IF(AL163=2,AQ$100*EXP(-(LN(2)/$D$65+0.04)*(VLOOKUP(($F$16-$F$15)-1,AK$99:AO163,4,FALSE)))*EXP(-(LN(2)/$D$65+0.1)*(VLOOKUP(($F$16-$F$15)-1,AK$99:AO163,5,FALSE)))*EXP(-(LN(2)/$D$65+0.04)*AN163)*EXP(-(LN(2)/$D$65+0.1)*AO163),IF(AL163=3,AQ$100*EXP(-(LN(2)/$D$65+0.04)*(VLOOKUP(($F$16-$F$15)-1,AK$99:AO163,4,FALSE)))*EXP(-(LN(2)/$D$65+0.1)*(VLOOKUP(($F$16-$F$15)-1,AK$99:AO163,5,FALSE)))*EXP(-(LN(2)/$D$65+0.04)*(VLOOKUP(($F$16-$F$15)*2-1,AK$99:AO163,4,FALSE)))*EXP(-(LN(2)/$D$65+0.1)*(VLOOKUP(($F$16-$F$15)*2-1,AK$99:AO163,5,FALSE)))*EXP(-(LN(2)/$D$65+0.04)*AN163)*EXP(-(LN(2)/$D$65+0.1)*AO163),"-"))),"-")</f>
        <v>-</v>
      </c>
      <c r="AR164" s="271" t="str">
        <f>IFERROR(IF(AL164=1,AR$100*EXP(-(LN(2)/$D$65+0.04)*AN164)*EXP(-(LN(2)/$D$65+0.1)*AO164),IF(AL164=2,AR$100*EXP(-(LN(2)/$D$65+0.04)*(VLOOKUP(($F$16-$F$15)-1,AK$100:AO164,4,FALSE)))*EXP(-(LN(2)/$D$65+0.1)*(VLOOKUP(($F$16-$F$15)-1,AK$100:AO164,5,FALSE)))*EXP(-(LN(2)/$D$65+0.04)*AN164)*EXP(-(LN(2)/$D$65+0.1)*AO164),IF(AL164=3,AR$100*EXP(-(LN(2)/$D$65+0.04)*(VLOOKUP(($F$16-$F$15)-1,AK$100:AO164,4,FALSE)))*EXP(-(LN(2)/$D$65+0.1)*(VLOOKUP(($F$16-$F$15)-1,AK$100:AO164,5,FALSE)))*EXP(-(LN(2)/$D$65+0.04)*(VLOOKUP(($F$16-$F$15)*2-1,AK$100:AO164,4,FALSE)))*EXP(-(LN(2)/$D$65+0.1)*(VLOOKUP(($F$16-$F$15)*2-1,AK$100:AO164,5,FALSE)))*EXP(-(LN(2)/$D$65+0.04)*AN164)*EXP(-(LN(2)/$D$65+0.1)*AO164),"-"))),"-")</f>
        <v>-</v>
      </c>
      <c r="AS164" s="274">
        <f t="shared" ref="AS164:AS195" si="130">SUM(H164:J164)</f>
        <v>0</v>
      </c>
      <c r="AT164" s="274">
        <f t="shared" ref="AT164:AT195" si="131">SUM(K164:M164)</f>
        <v>0</v>
      </c>
      <c r="AU164" s="274">
        <f t="shared" ref="AU164:AU195" si="132">SUM(N164:S164)</f>
        <v>0</v>
      </c>
      <c r="AV164" s="190">
        <f>IF($B164&lt;$F$22,SUM($T$100:$T164),"")</f>
        <v>0</v>
      </c>
      <c r="AW164" s="190" t="str">
        <f t="shared" ref="AW164:AW195" si="133">IF(ISNUMBER(Koc),IF(ISNUMBER(AV164),AV164*(Koc*(Ocse/100)*Pse*Vse)/(Koc*(Ocse/100)*Pse*Vse+1*86400*($B164+1)),""),"-")</f>
        <v>-</v>
      </c>
      <c r="AX164" s="190" t="str">
        <f t="shared" si="56"/>
        <v/>
      </c>
      <c r="AY164"/>
      <c r="AZ164" s="190" t="str">
        <f ca="1">IF(ISNUMBER(OFFSET(AV164,-$F$21,0)),SUM(OFFSET($T$100,$F$21,0):$T164),"")</f>
        <v/>
      </c>
      <c r="BA164" s="190" t="str">
        <f t="shared" ref="BA164:BA195" ca="1" si="134">IF(ISNUMBER(OFFSET(AV164,-$F$21,0)),AZ164*(Koc*(Ocse/100)*Pse*Vse)/(Koc*(Ocse/100)*Pse*Vse+1*86400*($B164+1)),"")</f>
        <v/>
      </c>
      <c r="BB164" s="190" t="str">
        <f t="shared" ca="1" si="70"/>
        <v/>
      </c>
      <c r="BC164" s="190"/>
      <c r="BD164" s="190" t="str">
        <f ca="1">IFERROR(IF(AND($B164&gt;=($F$16-$F$15),$B164&lt;$F$22+($F$16-$F$15)),SUM(OFFSET($T$100,($F$16-$F$15),0):$T164),""),"")</f>
        <v/>
      </c>
      <c r="BE164" s="190" t="str">
        <f t="shared" ca="1" si="58"/>
        <v/>
      </c>
      <c r="BF164" s="190" t="str">
        <f t="shared" ca="1" si="59"/>
        <v/>
      </c>
      <c r="BG164"/>
      <c r="BH164" s="190" t="str">
        <f ca="1">IF(ISNUMBER(OFFSET(BD164,-$F$21,0)),SUM(OFFSET($T$100,($F$16-$F$15+$F$21),0):$T164),"")</f>
        <v/>
      </c>
      <c r="BI164" s="190" t="str">
        <f t="shared" ref="BI164:BI195" ca="1" si="135">IF(ISNUMBER(OFFSET(BD164,-$F$21,0)),BH164*(Koc*(Ocse/100)*Pse*Vse)/(Koc*(Ocse/100)*Pse*Vse+1*86400*($B164+1)),"")</f>
        <v/>
      </c>
      <c r="BJ164" s="190" t="str">
        <f t="shared" ca="1" si="60"/>
        <v/>
      </c>
      <c r="BK164" s="190"/>
      <c r="BL164" s="190" t="str">
        <f ca="1">IFERROR(IF(AND($B164&gt;=($F$17-$F$15),$B164&lt;$F$22+($F$17-$F$15)),SUM(OFFSET($T$100,($F$17-$F$15),0):$T164),""),"")</f>
        <v/>
      </c>
      <c r="BM164" s="190" t="str">
        <f t="shared" ref="BM164:BM195" ca="1" si="136">IF(ISNUMBER(BL164),BL164*(Koc*(Ocse/100)*Pse*Vse)/(Koc*(Ocse/100)*Pse*Vse+1*86400*($B164+1)),"")</f>
        <v/>
      </c>
      <c r="BN164" s="190" t="str">
        <f t="shared" ca="1" si="61"/>
        <v/>
      </c>
      <c r="BO164"/>
      <c r="BP164" s="190" t="str">
        <f ca="1">IF(ISNUMBER(OFFSET(BL164,-$F$21,0)),SUM(OFFSET($T$100,($F$17-$F$15+$F$21),0):$T164),"")</f>
        <v/>
      </c>
      <c r="BQ164" s="190" t="str">
        <f t="shared" ref="BQ164:BQ195" ca="1" si="137">IF(ISNUMBER(OFFSET(BL164,-$F$21,0)),BP164*(Koc*(Ocse/100)*Pse*Vse)/(Koc*(Ocse/100)*Pse*Vse+1*86400*($B164+1)),"")</f>
        <v/>
      </c>
      <c r="BR164" s="190" t="str">
        <f t="shared" ca="1" si="63"/>
        <v/>
      </c>
      <c r="BS164" s="190"/>
      <c r="BT164"/>
      <c r="BU164"/>
      <c r="BV164"/>
      <c r="BY164" s="99"/>
      <c r="BZ164" s="99"/>
      <c r="CA164" s="280" t="str">
        <f t="shared" ref="CA164:CA195" si="138">IFERROR(IF($B164&lt;$CA$94,T164*(Koc*(Ocse/100)*Pse*Vse)/(Koc*(Ocse/100)*Pse*Vse+1*86400*$CA$94),""),"-")</f>
        <v/>
      </c>
      <c r="CB164" s="71" t="str">
        <f t="shared" ref="CB164:CB195" si="139">IF(ISNUMBER(T164),IF($B164&lt;$CA$94,(T164-CA164)/(3*86400)*1000,""),"-")</f>
        <v>-</v>
      </c>
      <c r="CC164" s="33"/>
      <c r="CD164" s="261" t="str">
        <f t="shared" ref="CD164:CD195" si="140">IF(CC164=CA$96,CB$96,"")</f>
        <v/>
      </c>
      <c r="CE164" s="280" t="str">
        <f t="shared" ref="CE164:CE195" si="141">IFERROR(IF($B164&lt;$CE$94,T164*(Koc*(Ocse/100)*Pse*Vse)/(Koc*(Ocse/100)*Pse*Vse+1*86400*$CE$94),""),"-")</f>
        <v>-</v>
      </c>
      <c r="CF164" s="71" t="str">
        <f t="shared" ref="CF164:CF195" ca="1" si="142">IFERROR(IF($B164&lt;$CE$94,IF(NOT(ISNUMBER(ffp)),"-",IF($F$70=$AX$87,AX164,IF($F$70=$BB$87,OFFSET(BB164,$F$21,0),IF($F$70=$BF$87,OFFSET(BF164,$F$16,0),IF($F$70=$BJ$87,OFFSET(BJ164,$F$16+$F$21,0),IF($F$70=$BN$87,OFFSET(BN164,$F$17,0),OFFSET(BR164,$F$17+$F$21,0))))))),""),"-")</f>
        <v>-</v>
      </c>
      <c r="CG164" s="33" t="str">
        <f t="shared" ref="CG164:CG195" si="143">IF($B164&lt;$CE$94,$B164&amp;"-"&amp;$B164+1,"")</f>
        <v>64-65</v>
      </c>
      <c r="CH164" s="261" t="str">
        <f t="shared" ref="CH164:CH195" ca="1" si="144">IF(CG164=CE$96,CF$96,"")</f>
        <v/>
      </c>
      <c r="CI164" s="202"/>
      <c r="CP164" s="99"/>
      <c r="CQ164" s="99"/>
      <c r="CR164" s="99"/>
      <c r="CS164" s="99"/>
      <c r="CT164" s="99"/>
      <c r="CU164" s="99"/>
      <c r="CV164" s="99"/>
      <c r="CW164" s="99"/>
      <c r="CX164" s="99"/>
      <c r="CY164" s="99"/>
      <c r="CZ164" s="99"/>
      <c r="DA164" s="99"/>
      <c r="DB164" s="99"/>
      <c r="DC164" s="99"/>
    </row>
    <row r="165" spans="2:107" ht="13.5" customHeight="1" x14ac:dyDescent="0.2">
      <c r="B165" s="262">
        <v>65</v>
      </c>
      <c r="C165" s="237" t="str">
        <f t="shared" si="107"/>
        <v/>
      </c>
      <c r="D165" s="237" t="str">
        <f t="shared" ref="D165:D196" si="145">IFERROR(IF(B165&lt;$F$22,IF(ISNUMBER($D$65),IF(MAX($BU$101:$BU$120)&lt;B165, "", IF(B165=VLOOKUP(B165, $BU$101:$BU$120,1,1), C165,D164-INDEX($BY$101:$BY$120, MATCH(VLOOKUP(B165, $BU$101:$BU$120,1,1), $BU$101:$BU$120)+1, 1))),D164-VLOOKUP(MAX($BU$101:$BU$120),$BU$101:$BY$120,5)),""),"-")</f>
        <v>-</v>
      </c>
      <c r="E165" s="290" t="str">
        <f t="shared" ref="E165:E228" si="146">IF(ISNUMBER($F$14),IF(ISNUMBER(AA165),AA165,""),"")</f>
        <v/>
      </c>
      <c r="F165" s="264" t="str">
        <f t="shared" ref="F165:F228" si="147">IF(OR($F$14=2,$F$14=3),IF(($F$16-$F$15)&gt;B165," ",VLOOKUP((B165-($F$16-$F$15)),$AC$100:$AI$250,7,FALSE)),"")</f>
        <v/>
      </c>
      <c r="G165" s="291" t="str">
        <f t="shared" ref="G165:G228" si="148">IF($F$14=3,IF(($F$16-$F$15)*2&gt;B165," ",VLOOKUP((B165-($F$16-$F$15)*2),$AK$100:$AQ$250,7,FALSE)),"")</f>
        <v/>
      </c>
      <c r="H165" s="240" t="str">
        <f t="shared" si="108"/>
        <v/>
      </c>
      <c r="I165" s="265" t="str">
        <f t="shared" si="109"/>
        <v/>
      </c>
      <c r="J165" s="265" t="str">
        <f t="shared" si="110"/>
        <v/>
      </c>
      <c r="K165" s="240" t="str">
        <f t="shared" si="111"/>
        <v/>
      </c>
      <c r="L165" s="265" t="str">
        <f t="shared" si="112"/>
        <v/>
      </c>
      <c r="M165" s="265" t="str">
        <f t="shared" si="113"/>
        <v/>
      </c>
      <c r="N165" s="240" t="str">
        <f t="shared" si="114"/>
        <v>-</v>
      </c>
      <c r="O165" s="265" t="str">
        <f t="shared" si="115"/>
        <v>-</v>
      </c>
      <c r="P165" s="265" t="str">
        <f t="shared" si="116"/>
        <v>-</v>
      </c>
      <c r="Q165" s="266" t="str">
        <f t="shared" si="117"/>
        <v>-</v>
      </c>
      <c r="R165" s="267" t="str">
        <f t="shared" si="118"/>
        <v>-</v>
      </c>
      <c r="S165" s="268" t="str">
        <f t="shared" si="119"/>
        <v>-</v>
      </c>
      <c r="T165" s="269" t="str">
        <f t="shared" si="120"/>
        <v/>
      </c>
      <c r="U165" s="221">
        <f t="shared" si="121"/>
        <v>65</v>
      </c>
      <c r="V165" s="220" t="str">
        <f t="shared" si="122"/>
        <v>-</v>
      </c>
      <c r="W165" s="221" t="str">
        <f t="shared" ref="W165:W228" si="149">IF(ISNUMBER($F$14),IF(B165&lt;$F$14*($F$16-$F$15),B165-INT(B165/($F$16-$F$15))*($F$16-$F$15)+1,W164+1),"-")</f>
        <v>-</v>
      </c>
      <c r="X165" s="221" t="str">
        <f t="shared" si="123"/>
        <v>-</v>
      </c>
      <c r="Y165" s="221" t="str">
        <f t="shared" si="124"/>
        <v>-</v>
      </c>
      <c r="Z165" s="270">
        <f t="shared" ref="Z165:Z228" si="150">IF(Y165&gt;0,0.1,0.04)</f>
        <v>0.1</v>
      </c>
      <c r="AA165" s="271" t="str">
        <f>IFERROR(IF(V164=1,AA$100*EXP(-(LN(2)/$D$65+0.04)*X164)*EXP(-(LN(2)/$D$65+0.1)*Y164),IF(V164=2,AA$100*EXP(-(LN(2)/$D$65+0.04)*(VLOOKUP(($F$16-$F$15)-1,U$99:Y164,4,FALSE)))*EXP(-(LN(2)/$D$65+0.1)*(VLOOKUP(($F$16-$F$15)-1,U$99:Y164,5,FALSE)))*EXP(-(LN(2)/$D$65+0.04)*X164)*EXP(-(LN(2)/$D$65+0.1)*Y164),IF(V164=3,AA$100*EXP(-(LN(2)/$D$65+0.04)*(VLOOKUP(($F$16-$F$15)-1,U$99:Y164,4,FALSE)))*EXP(-(LN(2)/$D$65+0.1)*(VLOOKUP(($F$16-$F$15)-1,U$99:Y164,5,FALSE)))*EXP(-(LN(2)/$D$65+0.04)*(VLOOKUP(($F$16-$F$15)*2-1,U$99:Y164,4,FALSE)))*EXP(-(LN(2)/$D$65+0.1)*(VLOOKUP(($F$16-$F$15)*2-1,U$99:Y164,5,FALSE)))*EXP(-(LN(2)/$D$65+0.04)*X164)*EXP(-(LN(2)/$D$65+0.1)*Y164),"-"))),"-")</f>
        <v>-</v>
      </c>
      <c r="AB165" s="271" t="str">
        <f>IFERROR(IF(V165=1,AB$100*EXP(-(LN(2)/$D$65+0.04)*X165)*EXP(-(LN(2)/$D$65+0.1)*Y165),IF(V165=2,AB$100*EXP(-(LN(2)/$D$65+0.04)*(VLOOKUP(($F$16-$F$15)-1,U$100:Y165,4,FALSE)))*EXP(-(LN(2)/$D$65+0.1)*(VLOOKUP(($F$16-$F$15)-1,U$100:Y165,5,FALSE)))*EXP(-(LN(2)/$D$65+0.04)*X165)*EXP(-(LN(2)/$D$65+0.1)*Y165),IF(V165=3,AB$100*EXP(-(LN(2)/$D$65+0.04)*(VLOOKUP(($F$16-$F$15)-1,U$100:Y165,4,FALSE)))*EXP(-(LN(2)/$D$65+0.1)*(VLOOKUP(($F$16-$F$15)-1,U$100:Y165,5,FALSE)))*EXP(-(LN(2)/$D$65+0.04)*(VLOOKUP(($F$16-$F$15)*2-1,U$100:Y165,4,FALSE)))*EXP(-(LN(2)/$D$65+0.1)*(VLOOKUP(($F$16-$F$15)*2-1,U$100:Y165,5,FALSE)))*EXP(-(LN(2)/$D$65+0.04)*X165)*EXP(-(LN(2)/$D$65+0.1)*Y165),"-"))),"-")</f>
        <v>-</v>
      </c>
      <c r="AC165" s="224">
        <f t="shared" ref="AC165:AC228" si="151">B165</f>
        <v>65</v>
      </c>
      <c r="AD165" s="223" t="str">
        <f t="shared" si="125"/>
        <v>-</v>
      </c>
      <c r="AE165" s="224" t="str">
        <f t="shared" ref="AE165:AE228" si="152">IFERROR(IF($F$14-1&gt;0,IF(B165&lt;($F$14-1)*($F$16-$F$15),B165-INT(B165/($F$16-$F$15))*($F$16-$F$15)+1,AE164+1),"-"),"-")</f>
        <v>-</v>
      </c>
      <c r="AF165" s="224" t="str">
        <f t="shared" si="126"/>
        <v>-</v>
      </c>
      <c r="AG165" s="224" t="str">
        <f t="shared" si="127"/>
        <v>-</v>
      </c>
      <c r="AH165" s="272">
        <f t="shared" ref="AH165:AH228" si="153">IF(AG165&gt;0,0.1,0.04)</f>
        <v>0.1</v>
      </c>
      <c r="AI165" s="271" t="str">
        <f>IFERROR(IF(AD164=1,AI$100*EXP(-(LN(2)/$D$65+0.04)*AF164)*EXP(-(LN(2)/$D$65+0.1)*AG164),IF(AD164=2,AI$100*EXP(-(LN(2)/$D$65+0.04)*(VLOOKUP(($F$16-$F$15)-1,AC$99:AG164,4,FALSE)))*EXP(-(LN(2)/$D$65+0.1)*(VLOOKUP(($F$16-$F$15)-1,AC$99:AG164,5,FALSE)))*EXP(-(LN(2)/$D$65+0.04)*AF164)*EXP(-(LN(2)/$D$65+0.1)*AG164),IF(AD164=3,AI$100*EXP(-(LN(2)/$D$65+0.04)*(VLOOKUP(($F$16-$F$15)-1,AC$99:AG164,4,FALSE)))*EXP(-(LN(2)/$D$65+0.1)*(VLOOKUP(($F$16-$F$15)-1,AC$99:AG164,5,FALSE)))*EXP(-(LN(2)/$D$65+0.04)*(VLOOKUP(($F$16-$F$15)*2-1,AC$99:AG164,4,FALSE)))*EXP(-(LN(2)/$D$65+0.1)*(VLOOKUP(($F$16-$F$15)*2-1,AC$99:AG164,5,FALSE)))*EXP(-(LN(2)/$D$65+0.04)*AF164)*EXP(-(LN(2)/$D$65+0.1)*AG164),"-"))),"-")</f>
        <v>-</v>
      </c>
      <c r="AJ165" s="271" t="str">
        <f>IFERROR(IF(AD165=1,AJ$100*EXP(-(LN(2)/$D$65+0.04)*AF165)*EXP(-(LN(2)/$D$65+0.1)*AG165),IF(AD165=2,AJ$100*EXP(-(LN(2)/$D$65+0.04)*(VLOOKUP(($F$16-$F$15)-1,AC$100:AG165,4,FALSE)))*EXP(-(LN(2)/$D$65+0.1)*(VLOOKUP(($F$16-$F$15)-1,AC$100:AG165,5,FALSE)))*EXP(-(LN(2)/$D$65+0.04)*AF165)*EXP(-(LN(2)/$D$65+0.1)*AG165),IF(AD165=3,AJ$100*EXP(-(LN(2)/$D$65+0.04)*(VLOOKUP(($F$16-$F$15)-1,AC$100:AG165,4,FALSE)))*EXP(-(LN(2)/$D$65+0.1)*(VLOOKUP(($F$16-$F$15)-1,AC$100:AG165,5,FALSE)))*EXP(-(LN(2)/$D$65+0.04)*(VLOOKUP(($F$16-$F$15)*2-1,AC$100:AG165,4,FALSE)))*EXP(-(LN(2)/$D$65+0.1)*(VLOOKUP(($F$16-$F$15)*2-1,AC$100:AG165,5,FALSE)))*EXP(-(LN(2)/$D$65+0.04)*AF165)*EXP(-(LN(2)/$D$65+0.1)*AG165),"-"))),"-")</f>
        <v>-</v>
      </c>
      <c r="AK165" s="227">
        <f t="shared" ref="AK165:AK228" si="154">B165</f>
        <v>65</v>
      </c>
      <c r="AL165" s="226" t="str">
        <f t="shared" si="128"/>
        <v>-</v>
      </c>
      <c r="AM165" s="227" t="str">
        <f t="shared" ref="AM165:AM228" si="155">IFERROR(IF($F$14-2&gt;0,IF(B165&lt;($F$14-2)*($F$16-$F$15),B165-INT(B165/($F$16-$F$15))*($F$16-$F$15)+1,AM164+1),"-"),"-")</f>
        <v>-</v>
      </c>
      <c r="AN165" s="227" t="str">
        <f t="shared" ref="AN165:AN228" si="156">IFERROR(IF($F$21=0,0,IF(AL165=AL164,IF(B165-(AL165-1)*($F$16-$F$15)&lt;$F$21,AN164+1,AN164),1)),"-")</f>
        <v>-</v>
      </c>
      <c r="AO165" s="227" t="str">
        <f t="shared" si="129"/>
        <v>-</v>
      </c>
      <c r="AP165" s="273">
        <f t="shared" ref="AP165:AP228" si="157">IF(AO165&gt;0,0.1,0.04)</f>
        <v>0.1</v>
      </c>
      <c r="AQ165" s="271" t="str">
        <f>IFERROR(IF(AL164=1,AQ$100*EXP(-(LN(2)/$D$65+0.04)*AN164)*EXP(-(LN(2)/$D$65+0.1)*AO164),IF(AL164=2,AQ$100*EXP(-(LN(2)/$D$65+0.04)*(VLOOKUP(($F$16-$F$15)-1,AK$99:AO164,4,FALSE)))*EXP(-(LN(2)/$D$65+0.1)*(VLOOKUP(($F$16-$F$15)-1,AK$99:AO164,5,FALSE)))*EXP(-(LN(2)/$D$65+0.04)*AN164)*EXP(-(LN(2)/$D$65+0.1)*AO164),IF(AL164=3,AQ$100*EXP(-(LN(2)/$D$65+0.04)*(VLOOKUP(($F$16-$F$15)-1,AK$99:AO164,4,FALSE)))*EXP(-(LN(2)/$D$65+0.1)*(VLOOKUP(($F$16-$F$15)-1,AK$99:AO164,5,FALSE)))*EXP(-(LN(2)/$D$65+0.04)*(VLOOKUP(($F$16-$F$15)*2-1,AK$99:AO164,4,FALSE)))*EXP(-(LN(2)/$D$65+0.1)*(VLOOKUP(($F$16-$F$15)*2-1,AK$99:AO164,5,FALSE)))*EXP(-(LN(2)/$D$65+0.04)*AN164)*EXP(-(LN(2)/$D$65+0.1)*AO164),"-"))),"-")</f>
        <v>-</v>
      </c>
      <c r="AR165" s="271" t="str">
        <f>IFERROR(IF(AL165=1,AR$100*EXP(-(LN(2)/$D$65+0.04)*AN165)*EXP(-(LN(2)/$D$65+0.1)*AO165),IF(AL165=2,AR$100*EXP(-(LN(2)/$D$65+0.04)*(VLOOKUP(($F$16-$F$15)-1,AK$100:AO165,4,FALSE)))*EXP(-(LN(2)/$D$65+0.1)*(VLOOKUP(($F$16-$F$15)-1,AK$100:AO165,5,FALSE)))*EXP(-(LN(2)/$D$65+0.04)*AN165)*EXP(-(LN(2)/$D$65+0.1)*AO165),IF(AL165=3,AR$100*EXP(-(LN(2)/$D$65+0.04)*(VLOOKUP(($F$16-$F$15)-1,AK$100:AO165,4,FALSE)))*EXP(-(LN(2)/$D$65+0.1)*(VLOOKUP(($F$16-$F$15)-1,AK$100:AO165,5,FALSE)))*EXP(-(LN(2)/$D$65+0.04)*(VLOOKUP(($F$16-$F$15)*2-1,AK$100:AO165,4,FALSE)))*EXP(-(LN(2)/$D$65+0.1)*(VLOOKUP(($F$16-$F$15)*2-1,AK$100:AO165,5,FALSE)))*EXP(-(LN(2)/$D$65+0.04)*AN165)*EXP(-(LN(2)/$D$65+0.1)*AO165),"-"))),"-")</f>
        <v>-</v>
      </c>
      <c r="AS165" s="274">
        <f t="shared" si="130"/>
        <v>0</v>
      </c>
      <c r="AT165" s="274">
        <f t="shared" si="131"/>
        <v>0</v>
      </c>
      <c r="AU165" s="274">
        <f t="shared" si="132"/>
        <v>0</v>
      </c>
      <c r="AV165" s="190">
        <f>IF($B165&lt;$F$22,SUM($T$100:$T165),"")</f>
        <v>0</v>
      </c>
      <c r="AW165" s="190" t="str">
        <f t="shared" si="133"/>
        <v>-</v>
      </c>
      <c r="AX165" s="190" t="str">
        <f t="shared" ref="AX165:AX228" si="158">IF(ISNUMBER(AW165),IF(ISNUMBER(AV165),(AV165-AW165)/(3*86400*($B165+1))*1000,""),"")</f>
        <v/>
      </c>
      <c r="AY165"/>
      <c r="AZ165" s="190" t="str">
        <f ca="1">IF(ISNUMBER(OFFSET(AV165,-$F$21,0)),SUM(OFFSET($T$100,$F$21,0):$T165),"")</f>
        <v/>
      </c>
      <c r="BA165" s="190" t="str">
        <f t="shared" ca="1" si="134"/>
        <v/>
      </c>
      <c r="BB165" s="190" t="str">
        <f t="shared" ca="1" si="70"/>
        <v/>
      </c>
      <c r="BC165" s="190"/>
      <c r="BD165" s="190" t="str">
        <f ca="1">IFERROR(IF(AND($B165&gt;=($F$16-$F$15),$B165&lt;$F$22+($F$16-$F$15)),SUM(OFFSET($T$100,($F$16-$F$15),0):$T165),""),"")</f>
        <v/>
      </c>
      <c r="BE165" s="190" t="str">
        <f t="shared" ref="BE165:BE228" ca="1" si="159">IF(ISNUMBER(BD165),BD165*(Koc*(Ocse/100)*Pse*Vse)/(Koc*(Ocse/100)*Pse*Vse+1*86400*($B165+1)),"")</f>
        <v/>
      </c>
      <c r="BF165" s="190" t="str">
        <f t="shared" ref="BF165:BF228" ca="1" si="160">IF(ISNUMBER(BD165),(BD165-BE165)/(3*86400*($B165-($F$16-$F$15)+1))*1000,"")</f>
        <v/>
      </c>
      <c r="BG165"/>
      <c r="BH165" s="190" t="str">
        <f ca="1">IF(ISNUMBER(OFFSET(BD165,-$F$21,0)),SUM(OFFSET($T$100,($F$16-$F$15+$F$21),0):$T165),"")</f>
        <v/>
      </c>
      <c r="BI165" s="190" t="str">
        <f t="shared" ca="1" si="135"/>
        <v/>
      </c>
      <c r="BJ165" s="190" t="str">
        <f t="shared" ref="BJ165:BJ228" ca="1" si="161">IF(ISNUMBER(BH165),(BH165-BI165)/(3*86400*((OFFSET($B165,-$F$21,0)-($F$16-$F$15)+1)))*1000,"")</f>
        <v/>
      </c>
      <c r="BK165" s="190"/>
      <c r="BL165" s="190" t="str">
        <f ca="1">IFERROR(IF(AND($B165&gt;=($F$17-$F$15),$B165&lt;$F$22+($F$17-$F$15)),SUM(OFFSET($T$100,($F$17-$F$15),0):$T165),""),"")</f>
        <v/>
      </c>
      <c r="BM165" s="190" t="str">
        <f t="shared" ca="1" si="136"/>
        <v/>
      </c>
      <c r="BN165" s="190" t="str">
        <f t="shared" ref="BN165:BN228" ca="1" si="162">IF(ISNUMBER(BL165),(BL165-BM165)/(3*86400*($B165-($F$17-$F$15)+1))*1000,"")</f>
        <v/>
      </c>
      <c r="BO165"/>
      <c r="BP165" s="190" t="str">
        <f ca="1">IF(ISNUMBER(OFFSET(BL165,-$F$21,0)),SUM(OFFSET($T$100,($F$17-$F$15+$F$21),0):$T165),"")</f>
        <v/>
      </c>
      <c r="BQ165" s="190" t="str">
        <f t="shared" ca="1" si="137"/>
        <v/>
      </c>
      <c r="BR165" s="190" t="str">
        <f t="shared" ref="BR165:BR228" ca="1" si="163">IF(ISNUMBER(BP165),(BP165-BQ165)/(3*86400*(OFFSET($B165,-$F$21,0)-($F$17-$F$15)+1))*1000,"")</f>
        <v/>
      </c>
      <c r="BS165" s="190"/>
      <c r="BT165"/>
      <c r="BU165"/>
      <c r="BV165"/>
      <c r="BY165" s="99"/>
      <c r="BZ165" s="99"/>
      <c r="CA165" s="280" t="str">
        <f t="shared" si="138"/>
        <v/>
      </c>
      <c r="CB165" s="71" t="str">
        <f t="shared" si="139"/>
        <v>-</v>
      </c>
      <c r="CC165" s="33"/>
      <c r="CD165" s="261" t="str">
        <f t="shared" si="140"/>
        <v/>
      </c>
      <c r="CE165" s="280" t="str">
        <f t="shared" si="141"/>
        <v>-</v>
      </c>
      <c r="CF165" s="71" t="str">
        <f t="shared" ca="1" si="142"/>
        <v>-</v>
      </c>
      <c r="CG165" s="33" t="str">
        <f t="shared" si="143"/>
        <v>65-66</v>
      </c>
      <c r="CH165" s="261" t="str">
        <f t="shared" ca="1" si="144"/>
        <v/>
      </c>
      <c r="CI165" s="202"/>
      <c r="CP165" s="99"/>
      <c r="CQ165" s="99"/>
      <c r="CR165" s="99"/>
      <c r="CS165" s="99"/>
      <c r="CT165" s="99"/>
      <c r="CU165" s="99"/>
      <c r="CV165" s="99"/>
      <c r="CW165" s="99"/>
      <c r="CX165" s="99"/>
      <c r="CY165" s="99"/>
      <c r="CZ165" s="99"/>
      <c r="DA165" s="99"/>
      <c r="DB165" s="99"/>
      <c r="DC165" s="99"/>
    </row>
    <row r="166" spans="2:107" ht="13.5" customHeight="1" x14ac:dyDescent="0.2">
      <c r="B166" s="262">
        <v>66</v>
      </c>
      <c r="C166" s="237" t="str">
        <f t="shared" si="107"/>
        <v/>
      </c>
      <c r="D166" s="237" t="str">
        <f t="shared" si="145"/>
        <v>-</v>
      </c>
      <c r="E166" s="290" t="str">
        <f t="shared" si="146"/>
        <v/>
      </c>
      <c r="F166" s="264" t="str">
        <f t="shared" si="147"/>
        <v/>
      </c>
      <c r="G166" s="291" t="str">
        <f t="shared" si="148"/>
        <v/>
      </c>
      <c r="H166" s="240" t="str">
        <f t="shared" si="108"/>
        <v/>
      </c>
      <c r="I166" s="265" t="str">
        <f t="shared" si="109"/>
        <v/>
      </c>
      <c r="J166" s="265" t="str">
        <f t="shared" si="110"/>
        <v/>
      </c>
      <c r="K166" s="240" t="str">
        <f t="shared" si="111"/>
        <v/>
      </c>
      <c r="L166" s="265" t="str">
        <f t="shared" si="112"/>
        <v/>
      </c>
      <c r="M166" s="265" t="str">
        <f t="shared" si="113"/>
        <v/>
      </c>
      <c r="N166" s="240" t="str">
        <f t="shared" si="114"/>
        <v>-</v>
      </c>
      <c r="O166" s="265" t="str">
        <f t="shared" si="115"/>
        <v>-</v>
      </c>
      <c r="P166" s="265" t="str">
        <f t="shared" si="116"/>
        <v>-</v>
      </c>
      <c r="Q166" s="266" t="str">
        <f t="shared" si="117"/>
        <v>-</v>
      </c>
      <c r="R166" s="267" t="str">
        <f t="shared" si="118"/>
        <v>-</v>
      </c>
      <c r="S166" s="268" t="str">
        <f t="shared" si="119"/>
        <v>-</v>
      </c>
      <c r="T166" s="269" t="str">
        <f t="shared" si="120"/>
        <v/>
      </c>
      <c r="U166" s="221">
        <f t="shared" si="121"/>
        <v>66</v>
      </c>
      <c r="V166" s="220" t="str">
        <f t="shared" si="122"/>
        <v>-</v>
      </c>
      <c r="W166" s="221" t="str">
        <f t="shared" si="149"/>
        <v>-</v>
      </c>
      <c r="X166" s="221" t="str">
        <f t="shared" si="123"/>
        <v>-</v>
      </c>
      <c r="Y166" s="221" t="str">
        <f t="shared" si="124"/>
        <v>-</v>
      </c>
      <c r="Z166" s="270">
        <f t="shared" si="150"/>
        <v>0.1</v>
      </c>
      <c r="AA166" s="271" t="str">
        <f>IFERROR(IF(V165=1,AA$100*EXP(-(LN(2)/$D$65+0.04)*X165)*EXP(-(LN(2)/$D$65+0.1)*Y165),IF(V165=2,AA$100*EXP(-(LN(2)/$D$65+0.04)*(VLOOKUP(($F$16-$F$15)-1,U$99:Y165,4,FALSE)))*EXP(-(LN(2)/$D$65+0.1)*(VLOOKUP(($F$16-$F$15)-1,U$99:Y165,5,FALSE)))*EXP(-(LN(2)/$D$65+0.04)*X165)*EXP(-(LN(2)/$D$65+0.1)*Y165),IF(V165=3,AA$100*EXP(-(LN(2)/$D$65+0.04)*(VLOOKUP(($F$16-$F$15)-1,U$99:Y165,4,FALSE)))*EXP(-(LN(2)/$D$65+0.1)*(VLOOKUP(($F$16-$F$15)-1,U$99:Y165,5,FALSE)))*EXP(-(LN(2)/$D$65+0.04)*(VLOOKUP(($F$16-$F$15)*2-1,U$99:Y165,4,FALSE)))*EXP(-(LN(2)/$D$65+0.1)*(VLOOKUP(($F$16-$F$15)*2-1,U$99:Y165,5,FALSE)))*EXP(-(LN(2)/$D$65+0.04)*X165)*EXP(-(LN(2)/$D$65+0.1)*Y165),"-"))),"-")</f>
        <v>-</v>
      </c>
      <c r="AB166" s="271" t="str">
        <f>IFERROR(IF(V166=1,AB$100*EXP(-(LN(2)/$D$65+0.04)*X166)*EXP(-(LN(2)/$D$65+0.1)*Y166),IF(V166=2,AB$100*EXP(-(LN(2)/$D$65+0.04)*(VLOOKUP(($F$16-$F$15)-1,U$100:Y166,4,FALSE)))*EXP(-(LN(2)/$D$65+0.1)*(VLOOKUP(($F$16-$F$15)-1,U$100:Y166,5,FALSE)))*EXP(-(LN(2)/$D$65+0.04)*X166)*EXP(-(LN(2)/$D$65+0.1)*Y166),IF(V166=3,AB$100*EXP(-(LN(2)/$D$65+0.04)*(VLOOKUP(($F$16-$F$15)-1,U$100:Y166,4,FALSE)))*EXP(-(LN(2)/$D$65+0.1)*(VLOOKUP(($F$16-$F$15)-1,U$100:Y166,5,FALSE)))*EXP(-(LN(2)/$D$65+0.04)*(VLOOKUP(($F$16-$F$15)*2-1,U$100:Y166,4,FALSE)))*EXP(-(LN(2)/$D$65+0.1)*(VLOOKUP(($F$16-$F$15)*2-1,U$100:Y166,5,FALSE)))*EXP(-(LN(2)/$D$65+0.04)*X166)*EXP(-(LN(2)/$D$65+0.1)*Y166),"-"))),"-")</f>
        <v>-</v>
      </c>
      <c r="AC166" s="224">
        <f t="shared" si="151"/>
        <v>66</v>
      </c>
      <c r="AD166" s="223" t="str">
        <f t="shared" si="125"/>
        <v>-</v>
      </c>
      <c r="AE166" s="224" t="str">
        <f t="shared" si="152"/>
        <v>-</v>
      </c>
      <c r="AF166" s="224" t="str">
        <f t="shared" si="126"/>
        <v>-</v>
      </c>
      <c r="AG166" s="224" t="str">
        <f t="shared" si="127"/>
        <v>-</v>
      </c>
      <c r="AH166" s="272">
        <f t="shared" si="153"/>
        <v>0.1</v>
      </c>
      <c r="AI166" s="271" t="str">
        <f>IFERROR(IF(AD165=1,AI$100*EXP(-(LN(2)/$D$65+0.04)*AF165)*EXP(-(LN(2)/$D$65+0.1)*AG165),IF(AD165=2,AI$100*EXP(-(LN(2)/$D$65+0.04)*(VLOOKUP(($F$16-$F$15)-1,AC$99:AG165,4,FALSE)))*EXP(-(LN(2)/$D$65+0.1)*(VLOOKUP(($F$16-$F$15)-1,AC$99:AG165,5,FALSE)))*EXP(-(LN(2)/$D$65+0.04)*AF165)*EXP(-(LN(2)/$D$65+0.1)*AG165),IF(AD165=3,AI$100*EXP(-(LN(2)/$D$65+0.04)*(VLOOKUP(($F$16-$F$15)-1,AC$99:AG165,4,FALSE)))*EXP(-(LN(2)/$D$65+0.1)*(VLOOKUP(($F$16-$F$15)-1,AC$99:AG165,5,FALSE)))*EXP(-(LN(2)/$D$65+0.04)*(VLOOKUP(($F$16-$F$15)*2-1,AC$99:AG165,4,FALSE)))*EXP(-(LN(2)/$D$65+0.1)*(VLOOKUP(($F$16-$F$15)*2-1,AC$99:AG165,5,FALSE)))*EXP(-(LN(2)/$D$65+0.04)*AF165)*EXP(-(LN(2)/$D$65+0.1)*AG165),"-"))),"-")</f>
        <v>-</v>
      </c>
      <c r="AJ166" s="271" t="str">
        <f>IFERROR(IF(AD166=1,AJ$100*EXP(-(LN(2)/$D$65+0.04)*AF166)*EXP(-(LN(2)/$D$65+0.1)*AG166),IF(AD166=2,AJ$100*EXP(-(LN(2)/$D$65+0.04)*(VLOOKUP(($F$16-$F$15)-1,AC$100:AG166,4,FALSE)))*EXP(-(LN(2)/$D$65+0.1)*(VLOOKUP(($F$16-$F$15)-1,AC$100:AG166,5,FALSE)))*EXP(-(LN(2)/$D$65+0.04)*AF166)*EXP(-(LN(2)/$D$65+0.1)*AG166),IF(AD166=3,AJ$100*EXP(-(LN(2)/$D$65+0.04)*(VLOOKUP(($F$16-$F$15)-1,AC$100:AG166,4,FALSE)))*EXP(-(LN(2)/$D$65+0.1)*(VLOOKUP(($F$16-$F$15)-1,AC$100:AG166,5,FALSE)))*EXP(-(LN(2)/$D$65+0.04)*(VLOOKUP(($F$16-$F$15)*2-1,AC$100:AG166,4,FALSE)))*EXP(-(LN(2)/$D$65+0.1)*(VLOOKUP(($F$16-$F$15)*2-1,AC$100:AG166,5,FALSE)))*EXP(-(LN(2)/$D$65+0.04)*AF166)*EXP(-(LN(2)/$D$65+0.1)*AG166),"-"))),"-")</f>
        <v>-</v>
      </c>
      <c r="AK166" s="227">
        <f t="shared" si="154"/>
        <v>66</v>
      </c>
      <c r="AL166" s="226" t="str">
        <f t="shared" si="128"/>
        <v>-</v>
      </c>
      <c r="AM166" s="227" t="str">
        <f t="shared" si="155"/>
        <v>-</v>
      </c>
      <c r="AN166" s="227" t="str">
        <f t="shared" si="156"/>
        <v>-</v>
      </c>
      <c r="AO166" s="227" t="str">
        <f t="shared" si="129"/>
        <v>-</v>
      </c>
      <c r="AP166" s="273">
        <f t="shared" si="157"/>
        <v>0.1</v>
      </c>
      <c r="AQ166" s="271" t="str">
        <f>IFERROR(IF(AL165=1,AQ$100*EXP(-(LN(2)/$D$65+0.04)*AN165)*EXP(-(LN(2)/$D$65+0.1)*AO165),IF(AL165=2,AQ$100*EXP(-(LN(2)/$D$65+0.04)*(VLOOKUP(($F$16-$F$15)-1,AK$99:AO165,4,FALSE)))*EXP(-(LN(2)/$D$65+0.1)*(VLOOKUP(($F$16-$F$15)-1,AK$99:AO165,5,FALSE)))*EXP(-(LN(2)/$D$65+0.04)*AN165)*EXP(-(LN(2)/$D$65+0.1)*AO165),IF(AL165=3,AQ$100*EXP(-(LN(2)/$D$65+0.04)*(VLOOKUP(($F$16-$F$15)-1,AK$99:AO165,4,FALSE)))*EXP(-(LN(2)/$D$65+0.1)*(VLOOKUP(($F$16-$F$15)-1,AK$99:AO165,5,FALSE)))*EXP(-(LN(2)/$D$65+0.04)*(VLOOKUP(($F$16-$F$15)*2-1,AK$99:AO165,4,FALSE)))*EXP(-(LN(2)/$D$65+0.1)*(VLOOKUP(($F$16-$F$15)*2-1,AK$99:AO165,5,FALSE)))*EXP(-(LN(2)/$D$65+0.04)*AN165)*EXP(-(LN(2)/$D$65+0.1)*AO165),"-"))),"-")</f>
        <v>-</v>
      </c>
      <c r="AR166" s="271" t="str">
        <f>IFERROR(IF(AL166=1,AR$100*EXP(-(LN(2)/$D$65+0.04)*AN166)*EXP(-(LN(2)/$D$65+0.1)*AO166),IF(AL166=2,AR$100*EXP(-(LN(2)/$D$65+0.04)*(VLOOKUP(($F$16-$F$15)-1,AK$100:AO166,4,FALSE)))*EXP(-(LN(2)/$D$65+0.1)*(VLOOKUP(($F$16-$F$15)-1,AK$100:AO166,5,FALSE)))*EXP(-(LN(2)/$D$65+0.04)*AN166)*EXP(-(LN(2)/$D$65+0.1)*AO166),IF(AL166=3,AR$100*EXP(-(LN(2)/$D$65+0.04)*(VLOOKUP(($F$16-$F$15)-1,AK$100:AO166,4,FALSE)))*EXP(-(LN(2)/$D$65+0.1)*(VLOOKUP(($F$16-$F$15)-1,AK$100:AO166,5,FALSE)))*EXP(-(LN(2)/$D$65+0.04)*(VLOOKUP(($F$16-$F$15)*2-1,AK$100:AO166,4,FALSE)))*EXP(-(LN(2)/$D$65+0.1)*(VLOOKUP(($F$16-$F$15)*2-1,AK$100:AO166,5,FALSE)))*EXP(-(LN(2)/$D$65+0.04)*AN166)*EXP(-(LN(2)/$D$65+0.1)*AO166),"-"))),"-")</f>
        <v>-</v>
      </c>
      <c r="AS166" s="274">
        <f t="shared" si="130"/>
        <v>0</v>
      </c>
      <c r="AT166" s="274">
        <f t="shared" si="131"/>
        <v>0</v>
      </c>
      <c r="AU166" s="274">
        <f t="shared" si="132"/>
        <v>0</v>
      </c>
      <c r="AV166" s="190">
        <f>IF($B166&lt;$F$22,SUM($T$100:$T166),"")</f>
        <v>0</v>
      </c>
      <c r="AW166" s="190" t="str">
        <f t="shared" si="133"/>
        <v>-</v>
      </c>
      <c r="AX166" s="190" t="str">
        <f t="shared" si="158"/>
        <v/>
      </c>
      <c r="AY166"/>
      <c r="AZ166" s="190" t="str">
        <f ca="1">IF(ISNUMBER(OFFSET(AV166,-$F$21,0)),SUM(OFFSET($T$100,$F$21,0):$T166),"")</f>
        <v/>
      </c>
      <c r="BA166" s="190" t="str">
        <f t="shared" ca="1" si="134"/>
        <v/>
      </c>
      <c r="BB166" s="190" t="str">
        <f t="shared" ca="1" si="70"/>
        <v/>
      </c>
      <c r="BC166" s="190"/>
      <c r="BD166" s="190" t="str">
        <f ca="1">IFERROR(IF(AND($B166&gt;=($F$16-$F$15),$B166&lt;$F$22+($F$16-$F$15)),SUM(OFFSET($T$100,($F$16-$F$15),0):$T166),""),"")</f>
        <v/>
      </c>
      <c r="BE166" s="190" t="str">
        <f t="shared" ca="1" si="159"/>
        <v/>
      </c>
      <c r="BF166" s="190" t="str">
        <f t="shared" ca="1" si="160"/>
        <v/>
      </c>
      <c r="BG166"/>
      <c r="BH166" s="190" t="str">
        <f ca="1">IF(ISNUMBER(OFFSET(BD166,-$F$21,0)),SUM(OFFSET($T$100,($F$16-$F$15+$F$21),0):$T166),"")</f>
        <v/>
      </c>
      <c r="BI166" s="190" t="str">
        <f t="shared" ca="1" si="135"/>
        <v/>
      </c>
      <c r="BJ166" s="190" t="str">
        <f t="shared" ca="1" si="161"/>
        <v/>
      </c>
      <c r="BK166" s="190"/>
      <c r="BL166" s="190" t="str">
        <f ca="1">IFERROR(IF(AND($B166&gt;=($F$17-$F$15),$B166&lt;$F$22+($F$17-$F$15)),SUM(OFFSET($T$100,($F$17-$F$15),0):$T166),""),"")</f>
        <v/>
      </c>
      <c r="BM166" s="190" t="str">
        <f t="shared" ca="1" si="136"/>
        <v/>
      </c>
      <c r="BN166" s="190" t="str">
        <f t="shared" ca="1" si="162"/>
        <v/>
      </c>
      <c r="BO166"/>
      <c r="BP166" s="190" t="str">
        <f ca="1">IF(ISNUMBER(OFFSET(BL166,-$F$21,0)),SUM(OFFSET($T$100,($F$17-$F$15+$F$21),0):$T166),"")</f>
        <v/>
      </c>
      <c r="BQ166" s="190" t="str">
        <f t="shared" ca="1" si="137"/>
        <v/>
      </c>
      <c r="BR166" s="190" t="str">
        <f t="shared" ca="1" si="163"/>
        <v/>
      </c>
      <c r="BS166" s="190"/>
      <c r="BT166"/>
      <c r="BU166"/>
      <c r="BV166"/>
      <c r="BY166" s="99"/>
      <c r="BZ166" s="99"/>
      <c r="CA166" s="280" t="str">
        <f t="shared" si="138"/>
        <v/>
      </c>
      <c r="CB166" s="71" t="str">
        <f t="shared" si="139"/>
        <v>-</v>
      </c>
      <c r="CC166" s="33"/>
      <c r="CD166" s="261" t="str">
        <f t="shared" si="140"/>
        <v/>
      </c>
      <c r="CE166" s="280" t="str">
        <f t="shared" si="141"/>
        <v>-</v>
      </c>
      <c r="CF166" s="71" t="str">
        <f t="shared" ca="1" si="142"/>
        <v>-</v>
      </c>
      <c r="CG166" s="33" t="str">
        <f t="shared" si="143"/>
        <v>66-67</v>
      </c>
      <c r="CH166" s="261" t="str">
        <f t="shared" ca="1" si="144"/>
        <v/>
      </c>
      <c r="CI166" s="202"/>
      <c r="CP166" s="99"/>
      <c r="CQ166" s="99"/>
      <c r="CR166" s="99"/>
      <c r="CS166" s="99"/>
      <c r="CT166" s="99"/>
      <c r="CU166" s="99"/>
      <c r="CV166" s="99"/>
      <c r="CW166" s="99"/>
      <c r="CX166" s="99"/>
      <c r="CY166" s="99"/>
      <c r="CZ166" s="99"/>
      <c r="DA166" s="99"/>
      <c r="DB166" s="99"/>
      <c r="DC166" s="99"/>
    </row>
    <row r="167" spans="2:107" ht="13.5" customHeight="1" x14ac:dyDescent="0.2">
      <c r="B167" s="262">
        <v>67</v>
      </c>
      <c r="C167" s="237" t="str">
        <f t="shared" si="107"/>
        <v/>
      </c>
      <c r="D167" s="237" t="str">
        <f t="shared" si="145"/>
        <v>-</v>
      </c>
      <c r="E167" s="290" t="str">
        <f t="shared" si="146"/>
        <v/>
      </c>
      <c r="F167" s="264" t="str">
        <f t="shared" si="147"/>
        <v/>
      </c>
      <c r="G167" s="291" t="str">
        <f t="shared" si="148"/>
        <v/>
      </c>
      <c r="H167" s="240" t="str">
        <f t="shared" si="108"/>
        <v/>
      </c>
      <c r="I167" s="265" t="str">
        <f t="shared" si="109"/>
        <v/>
      </c>
      <c r="J167" s="265" t="str">
        <f t="shared" si="110"/>
        <v/>
      </c>
      <c r="K167" s="240" t="str">
        <f t="shared" si="111"/>
        <v/>
      </c>
      <c r="L167" s="265" t="str">
        <f t="shared" si="112"/>
        <v/>
      </c>
      <c r="M167" s="265" t="str">
        <f t="shared" si="113"/>
        <v/>
      </c>
      <c r="N167" s="240" t="str">
        <f t="shared" si="114"/>
        <v>-</v>
      </c>
      <c r="O167" s="265" t="str">
        <f t="shared" si="115"/>
        <v>-</v>
      </c>
      <c r="P167" s="265" t="str">
        <f t="shared" si="116"/>
        <v>-</v>
      </c>
      <c r="Q167" s="266" t="str">
        <f t="shared" si="117"/>
        <v>-</v>
      </c>
      <c r="R167" s="267" t="str">
        <f t="shared" si="118"/>
        <v>-</v>
      </c>
      <c r="S167" s="268" t="str">
        <f t="shared" si="119"/>
        <v>-</v>
      </c>
      <c r="T167" s="269" t="str">
        <f t="shared" si="120"/>
        <v/>
      </c>
      <c r="U167" s="221">
        <f t="shared" si="121"/>
        <v>67</v>
      </c>
      <c r="V167" s="220" t="str">
        <f t="shared" si="122"/>
        <v>-</v>
      </c>
      <c r="W167" s="221" t="str">
        <f t="shared" si="149"/>
        <v>-</v>
      </c>
      <c r="X167" s="221" t="str">
        <f t="shared" si="123"/>
        <v>-</v>
      </c>
      <c r="Y167" s="221" t="str">
        <f t="shared" si="124"/>
        <v>-</v>
      </c>
      <c r="Z167" s="270">
        <f t="shared" si="150"/>
        <v>0.1</v>
      </c>
      <c r="AA167" s="271" t="str">
        <f>IFERROR(IF(V166=1,AA$100*EXP(-(LN(2)/$D$65+0.04)*X166)*EXP(-(LN(2)/$D$65+0.1)*Y166),IF(V166=2,AA$100*EXP(-(LN(2)/$D$65+0.04)*(VLOOKUP(($F$16-$F$15)-1,U$99:Y166,4,FALSE)))*EXP(-(LN(2)/$D$65+0.1)*(VLOOKUP(($F$16-$F$15)-1,U$99:Y166,5,FALSE)))*EXP(-(LN(2)/$D$65+0.04)*X166)*EXP(-(LN(2)/$D$65+0.1)*Y166),IF(V166=3,AA$100*EXP(-(LN(2)/$D$65+0.04)*(VLOOKUP(($F$16-$F$15)-1,U$99:Y166,4,FALSE)))*EXP(-(LN(2)/$D$65+0.1)*(VLOOKUP(($F$16-$F$15)-1,U$99:Y166,5,FALSE)))*EXP(-(LN(2)/$D$65+0.04)*(VLOOKUP(($F$16-$F$15)*2-1,U$99:Y166,4,FALSE)))*EXP(-(LN(2)/$D$65+0.1)*(VLOOKUP(($F$16-$F$15)*2-1,U$99:Y166,5,FALSE)))*EXP(-(LN(2)/$D$65+0.04)*X166)*EXP(-(LN(2)/$D$65+0.1)*Y166),"-"))),"-")</f>
        <v>-</v>
      </c>
      <c r="AB167" s="271" t="str">
        <f>IFERROR(IF(V167=1,AB$100*EXP(-(LN(2)/$D$65+0.04)*X167)*EXP(-(LN(2)/$D$65+0.1)*Y167),IF(V167=2,AB$100*EXP(-(LN(2)/$D$65+0.04)*(VLOOKUP(($F$16-$F$15)-1,U$100:Y167,4,FALSE)))*EXP(-(LN(2)/$D$65+0.1)*(VLOOKUP(($F$16-$F$15)-1,U$100:Y167,5,FALSE)))*EXP(-(LN(2)/$D$65+0.04)*X167)*EXP(-(LN(2)/$D$65+0.1)*Y167),IF(V167=3,AB$100*EXP(-(LN(2)/$D$65+0.04)*(VLOOKUP(($F$16-$F$15)-1,U$100:Y167,4,FALSE)))*EXP(-(LN(2)/$D$65+0.1)*(VLOOKUP(($F$16-$F$15)-1,U$100:Y167,5,FALSE)))*EXP(-(LN(2)/$D$65+0.04)*(VLOOKUP(($F$16-$F$15)*2-1,U$100:Y167,4,FALSE)))*EXP(-(LN(2)/$D$65+0.1)*(VLOOKUP(($F$16-$F$15)*2-1,U$100:Y167,5,FALSE)))*EXP(-(LN(2)/$D$65+0.04)*X167)*EXP(-(LN(2)/$D$65+0.1)*Y167),"-"))),"-")</f>
        <v>-</v>
      </c>
      <c r="AC167" s="224">
        <f t="shared" si="151"/>
        <v>67</v>
      </c>
      <c r="AD167" s="223" t="str">
        <f t="shared" si="125"/>
        <v>-</v>
      </c>
      <c r="AE167" s="224" t="str">
        <f t="shared" si="152"/>
        <v>-</v>
      </c>
      <c r="AF167" s="224" t="str">
        <f t="shared" si="126"/>
        <v>-</v>
      </c>
      <c r="AG167" s="224" t="str">
        <f t="shared" si="127"/>
        <v>-</v>
      </c>
      <c r="AH167" s="272">
        <f t="shared" si="153"/>
        <v>0.1</v>
      </c>
      <c r="AI167" s="271" t="str">
        <f>IFERROR(IF(AD166=1,AI$100*EXP(-(LN(2)/$D$65+0.04)*AF166)*EXP(-(LN(2)/$D$65+0.1)*AG166),IF(AD166=2,AI$100*EXP(-(LN(2)/$D$65+0.04)*(VLOOKUP(($F$16-$F$15)-1,AC$99:AG166,4,FALSE)))*EXP(-(LN(2)/$D$65+0.1)*(VLOOKUP(($F$16-$F$15)-1,AC$99:AG166,5,FALSE)))*EXP(-(LN(2)/$D$65+0.04)*AF166)*EXP(-(LN(2)/$D$65+0.1)*AG166),IF(AD166=3,AI$100*EXP(-(LN(2)/$D$65+0.04)*(VLOOKUP(($F$16-$F$15)-1,AC$99:AG166,4,FALSE)))*EXP(-(LN(2)/$D$65+0.1)*(VLOOKUP(($F$16-$F$15)-1,AC$99:AG166,5,FALSE)))*EXP(-(LN(2)/$D$65+0.04)*(VLOOKUP(($F$16-$F$15)*2-1,AC$99:AG166,4,FALSE)))*EXP(-(LN(2)/$D$65+0.1)*(VLOOKUP(($F$16-$F$15)*2-1,AC$99:AG166,5,FALSE)))*EXP(-(LN(2)/$D$65+0.04)*AF166)*EXP(-(LN(2)/$D$65+0.1)*AG166),"-"))),"-")</f>
        <v>-</v>
      </c>
      <c r="AJ167" s="271" t="str">
        <f>IFERROR(IF(AD167=1,AJ$100*EXP(-(LN(2)/$D$65+0.04)*AF167)*EXP(-(LN(2)/$D$65+0.1)*AG167),IF(AD167=2,AJ$100*EXP(-(LN(2)/$D$65+0.04)*(VLOOKUP(($F$16-$F$15)-1,AC$100:AG167,4,FALSE)))*EXP(-(LN(2)/$D$65+0.1)*(VLOOKUP(($F$16-$F$15)-1,AC$100:AG167,5,FALSE)))*EXP(-(LN(2)/$D$65+0.04)*AF167)*EXP(-(LN(2)/$D$65+0.1)*AG167),IF(AD167=3,AJ$100*EXP(-(LN(2)/$D$65+0.04)*(VLOOKUP(($F$16-$F$15)-1,AC$100:AG167,4,FALSE)))*EXP(-(LN(2)/$D$65+0.1)*(VLOOKUP(($F$16-$F$15)-1,AC$100:AG167,5,FALSE)))*EXP(-(LN(2)/$D$65+0.04)*(VLOOKUP(($F$16-$F$15)*2-1,AC$100:AG167,4,FALSE)))*EXP(-(LN(2)/$D$65+0.1)*(VLOOKUP(($F$16-$F$15)*2-1,AC$100:AG167,5,FALSE)))*EXP(-(LN(2)/$D$65+0.04)*AF167)*EXP(-(LN(2)/$D$65+0.1)*AG167),"-"))),"-")</f>
        <v>-</v>
      </c>
      <c r="AK167" s="227">
        <f t="shared" si="154"/>
        <v>67</v>
      </c>
      <c r="AL167" s="226" t="str">
        <f t="shared" si="128"/>
        <v>-</v>
      </c>
      <c r="AM167" s="227" t="str">
        <f t="shared" si="155"/>
        <v>-</v>
      </c>
      <c r="AN167" s="227" t="str">
        <f t="shared" si="156"/>
        <v>-</v>
      </c>
      <c r="AO167" s="227" t="str">
        <f t="shared" si="129"/>
        <v>-</v>
      </c>
      <c r="AP167" s="273">
        <f t="shared" si="157"/>
        <v>0.1</v>
      </c>
      <c r="AQ167" s="271" t="str">
        <f>IFERROR(IF(AL166=1,AQ$100*EXP(-(LN(2)/$D$65+0.04)*AN166)*EXP(-(LN(2)/$D$65+0.1)*AO166),IF(AL166=2,AQ$100*EXP(-(LN(2)/$D$65+0.04)*(VLOOKUP(($F$16-$F$15)-1,AK$99:AO166,4,FALSE)))*EXP(-(LN(2)/$D$65+0.1)*(VLOOKUP(($F$16-$F$15)-1,AK$99:AO166,5,FALSE)))*EXP(-(LN(2)/$D$65+0.04)*AN166)*EXP(-(LN(2)/$D$65+0.1)*AO166),IF(AL166=3,AQ$100*EXP(-(LN(2)/$D$65+0.04)*(VLOOKUP(($F$16-$F$15)-1,AK$99:AO166,4,FALSE)))*EXP(-(LN(2)/$D$65+0.1)*(VLOOKUP(($F$16-$F$15)-1,AK$99:AO166,5,FALSE)))*EXP(-(LN(2)/$D$65+0.04)*(VLOOKUP(($F$16-$F$15)*2-1,AK$99:AO166,4,FALSE)))*EXP(-(LN(2)/$D$65+0.1)*(VLOOKUP(($F$16-$F$15)*2-1,AK$99:AO166,5,FALSE)))*EXP(-(LN(2)/$D$65+0.04)*AN166)*EXP(-(LN(2)/$D$65+0.1)*AO166),"-"))),"-")</f>
        <v>-</v>
      </c>
      <c r="AR167" s="271" t="str">
        <f>IFERROR(IF(AL167=1,AR$100*EXP(-(LN(2)/$D$65+0.04)*AN167)*EXP(-(LN(2)/$D$65+0.1)*AO167),IF(AL167=2,AR$100*EXP(-(LN(2)/$D$65+0.04)*(VLOOKUP(($F$16-$F$15)-1,AK$100:AO167,4,FALSE)))*EXP(-(LN(2)/$D$65+0.1)*(VLOOKUP(($F$16-$F$15)-1,AK$100:AO167,5,FALSE)))*EXP(-(LN(2)/$D$65+0.04)*AN167)*EXP(-(LN(2)/$D$65+0.1)*AO167),IF(AL167=3,AR$100*EXP(-(LN(2)/$D$65+0.04)*(VLOOKUP(($F$16-$F$15)-1,AK$100:AO167,4,FALSE)))*EXP(-(LN(2)/$D$65+0.1)*(VLOOKUP(($F$16-$F$15)-1,AK$100:AO167,5,FALSE)))*EXP(-(LN(2)/$D$65+0.04)*(VLOOKUP(($F$16-$F$15)*2-1,AK$100:AO167,4,FALSE)))*EXP(-(LN(2)/$D$65+0.1)*(VLOOKUP(($F$16-$F$15)*2-1,AK$100:AO167,5,FALSE)))*EXP(-(LN(2)/$D$65+0.04)*AN167)*EXP(-(LN(2)/$D$65+0.1)*AO167),"-"))),"-")</f>
        <v>-</v>
      </c>
      <c r="AS167" s="274">
        <f t="shared" si="130"/>
        <v>0</v>
      </c>
      <c r="AT167" s="274">
        <f t="shared" si="131"/>
        <v>0</v>
      </c>
      <c r="AU167" s="274">
        <f t="shared" si="132"/>
        <v>0</v>
      </c>
      <c r="AV167" s="190">
        <f>IF($B167&lt;$F$22,SUM($T$100:$T167),"")</f>
        <v>0</v>
      </c>
      <c r="AW167" s="190" t="str">
        <f t="shared" si="133"/>
        <v>-</v>
      </c>
      <c r="AX167" s="190" t="str">
        <f t="shared" si="158"/>
        <v/>
      </c>
      <c r="AY167"/>
      <c r="AZ167" s="190" t="str">
        <f ca="1">IF(ISNUMBER(OFFSET(AV167,-$F$21,0)),SUM(OFFSET($T$100,$F$21,0):$T167),"")</f>
        <v/>
      </c>
      <c r="BA167" s="190" t="str">
        <f t="shared" ca="1" si="134"/>
        <v/>
      </c>
      <c r="BB167" s="190" t="str">
        <f t="shared" ca="1" si="70"/>
        <v/>
      </c>
      <c r="BC167" s="190"/>
      <c r="BD167" s="190" t="str">
        <f ca="1">IFERROR(IF(AND($B167&gt;=($F$16-$F$15),$B167&lt;$F$22+($F$16-$F$15)),SUM(OFFSET($T$100,($F$16-$F$15),0):$T167),""),"")</f>
        <v/>
      </c>
      <c r="BE167" s="190" t="str">
        <f t="shared" ca="1" si="159"/>
        <v/>
      </c>
      <c r="BF167" s="190" t="str">
        <f t="shared" ca="1" si="160"/>
        <v/>
      </c>
      <c r="BG167"/>
      <c r="BH167" s="190" t="str">
        <f ca="1">IF(ISNUMBER(OFFSET(BD167,-$F$21,0)),SUM(OFFSET($T$100,($F$16-$F$15+$F$21),0):$T167),"")</f>
        <v/>
      </c>
      <c r="BI167" s="190" t="str">
        <f t="shared" ca="1" si="135"/>
        <v/>
      </c>
      <c r="BJ167" s="190" t="str">
        <f t="shared" ca="1" si="161"/>
        <v/>
      </c>
      <c r="BK167" s="190"/>
      <c r="BL167" s="190" t="str">
        <f ca="1">IFERROR(IF(AND($B167&gt;=($F$17-$F$15),$B167&lt;$F$22+($F$17-$F$15)),SUM(OFFSET($T$100,($F$17-$F$15),0):$T167),""),"")</f>
        <v/>
      </c>
      <c r="BM167" s="190" t="str">
        <f t="shared" ca="1" si="136"/>
        <v/>
      </c>
      <c r="BN167" s="190" t="str">
        <f t="shared" ca="1" si="162"/>
        <v/>
      </c>
      <c r="BO167"/>
      <c r="BP167" s="190" t="str">
        <f ca="1">IF(ISNUMBER(OFFSET(BL167,-$F$21,0)),SUM(OFFSET($T$100,($F$17-$F$15+$F$21),0):$T167),"")</f>
        <v/>
      </c>
      <c r="BQ167" s="190" t="str">
        <f t="shared" ca="1" si="137"/>
        <v/>
      </c>
      <c r="BR167" s="190" t="str">
        <f t="shared" ca="1" si="163"/>
        <v/>
      </c>
      <c r="BS167" s="190"/>
      <c r="BT167"/>
      <c r="BU167"/>
      <c r="BV167"/>
      <c r="BY167" s="99"/>
      <c r="BZ167" s="99"/>
      <c r="CA167" s="280" t="str">
        <f t="shared" si="138"/>
        <v/>
      </c>
      <c r="CB167" s="71" t="str">
        <f t="shared" si="139"/>
        <v>-</v>
      </c>
      <c r="CC167" s="33"/>
      <c r="CD167" s="261" t="str">
        <f t="shared" si="140"/>
        <v/>
      </c>
      <c r="CE167" s="280" t="str">
        <f t="shared" si="141"/>
        <v>-</v>
      </c>
      <c r="CF167" s="71" t="str">
        <f t="shared" ca="1" si="142"/>
        <v>-</v>
      </c>
      <c r="CG167" s="33" t="str">
        <f t="shared" si="143"/>
        <v>67-68</v>
      </c>
      <c r="CH167" s="261" t="str">
        <f t="shared" ca="1" si="144"/>
        <v/>
      </c>
      <c r="CI167" s="202"/>
      <c r="CP167" s="99"/>
      <c r="CQ167" s="99"/>
      <c r="CR167" s="99"/>
      <c r="CS167" s="99"/>
      <c r="CT167" s="99"/>
      <c r="CU167" s="99"/>
      <c r="CV167" s="99"/>
      <c r="CW167" s="99"/>
      <c r="CX167" s="99"/>
      <c r="CY167" s="99"/>
      <c r="CZ167" s="99"/>
      <c r="DA167" s="99"/>
      <c r="DB167" s="99"/>
      <c r="DC167" s="99"/>
    </row>
    <row r="168" spans="2:107" ht="13.5" customHeight="1" x14ac:dyDescent="0.2">
      <c r="B168" s="262">
        <v>68</v>
      </c>
      <c r="C168" s="237" t="str">
        <f t="shared" si="107"/>
        <v/>
      </c>
      <c r="D168" s="237" t="str">
        <f t="shared" si="145"/>
        <v>-</v>
      </c>
      <c r="E168" s="290" t="str">
        <f t="shared" si="146"/>
        <v/>
      </c>
      <c r="F168" s="264" t="str">
        <f t="shared" si="147"/>
        <v/>
      </c>
      <c r="G168" s="291" t="str">
        <f t="shared" si="148"/>
        <v/>
      </c>
      <c r="H168" s="240" t="str">
        <f t="shared" si="108"/>
        <v/>
      </c>
      <c r="I168" s="265" t="str">
        <f t="shared" si="109"/>
        <v/>
      </c>
      <c r="J168" s="265" t="str">
        <f t="shared" si="110"/>
        <v/>
      </c>
      <c r="K168" s="240" t="str">
        <f t="shared" si="111"/>
        <v/>
      </c>
      <c r="L168" s="265" t="str">
        <f t="shared" si="112"/>
        <v/>
      </c>
      <c r="M168" s="265" t="str">
        <f t="shared" si="113"/>
        <v/>
      </c>
      <c r="N168" s="240" t="str">
        <f t="shared" si="114"/>
        <v>-</v>
      </c>
      <c r="O168" s="265" t="str">
        <f t="shared" si="115"/>
        <v>-</v>
      </c>
      <c r="P168" s="265" t="str">
        <f t="shared" si="116"/>
        <v>-</v>
      </c>
      <c r="Q168" s="266" t="str">
        <f t="shared" si="117"/>
        <v>-</v>
      </c>
      <c r="R168" s="267" t="str">
        <f t="shared" si="118"/>
        <v>-</v>
      </c>
      <c r="S168" s="268" t="str">
        <f t="shared" si="119"/>
        <v>-</v>
      </c>
      <c r="T168" s="269" t="str">
        <f t="shared" si="120"/>
        <v/>
      </c>
      <c r="U168" s="221">
        <f t="shared" si="121"/>
        <v>68</v>
      </c>
      <c r="V168" s="220" t="str">
        <f t="shared" si="122"/>
        <v>-</v>
      </c>
      <c r="W168" s="221" t="str">
        <f t="shared" si="149"/>
        <v>-</v>
      </c>
      <c r="X168" s="221" t="str">
        <f t="shared" si="123"/>
        <v>-</v>
      </c>
      <c r="Y168" s="221" t="str">
        <f t="shared" si="124"/>
        <v>-</v>
      </c>
      <c r="Z168" s="270">
        <f t="shared" si="150"/>
        <v>0.1</v>
      </c>
      <c r="AA168" s="271" t="str">
        <f>IFERROR(IF(V167=1,AA$100*EXP(-(LN(2)/$D$65+0.04)*X167)*EXP(-(LN(2)/$D$65+0.1)*Y167),IF(V167=2,AA$100*EXP(-(LN(2)/$D$65+0.04)*(VLOOKUP(($F$16-$F$15)-1,U$99:Y167,4,FALSE)))*EXP(-(LN(2)/$D$65+0.1)*(VLOOKUP(($F$16-$F$15)-1,U$99:Y167,5,FALSE)))*EXP(-(LN(2)/$D$65+0.04)*X167)*EXP(-(LN(2)/$D$65+0.1)*Y167),IF(V167=3,AA$100*EXP(-(LN(2)/$D$65+0.04)*(VLOOKUP(($F$16-$F$15)-1,U$99:Y167,4,FALSE)))*EXP(-(LN(2)/$D$65+0.1)*(VLOOKUP(($F$16-$F$15)-1,U$99:Y167,5,FALSE)))*EXP(-(LN(2)/$D$65+0.04)*(VLOOKUP(($F$16-$F$15)*2-1,U$99:Y167,4,FALSE)))*EXP(-(LN(2)/$D$65+0.1)*(VLOOKUP(($F$16-$F$15)*2-1,U$99:Y167,5,FALSE)))*EXP(-(LN(2)/$D$65+0.04)*X167)*EXP(-(LN(2)/$D$65+0.1)*Y167),"-"))),"-")</f>
        <v>-</v>
      </c>
      <c r="AB168" s="271" t="str">
        <f>IFERROR(IF(V168=1,AB$100*EXP(-(LN(2)/$D$65+0.04)*X168)*EXP(-(LN(2)/$D$65+0.1)*Y168),IF(V168=2,AB$100*EXP(-(LN(2)/$D$65+0.04)*(VLOOKUP(($F$16-$F$15)-1,U$100:Y168,4,FALSE)))*EXP(-(LN(2)/$D$65+0.1)*(VLOOKUP(($F$16-$F$15)-1,U$100:Y168,5,FALSE)))*EXP(-(LN(2)/$D$65+0.04)*X168)*EXP(-(LN(2)/$D$65+0.1)*Y168),IF(V168=3,AB$100*EXP(-(LN(2)/$D$65+0.04)*(VLOOKUP(($F$16-$F$15)-1,U$100:Y168,4,FALSE)))*EXP(-(LN(2)/$D$65+0.1)*(VLOOKUP(($F$16-$F$15)-1,U$100:Y168,5,FALSE)))*EXP(-(LN(2)/$D$65+0.04)*(VLOOKUP(($F$16-$F$15)*2-1,U$100:Y168,4,FALSE)))*EXP(-(LN(2)/$D$65+0.1)*(VLOOKUP(($F$16-$F$15)*2-1,U$100:Y168,5,FALSE)))*EXP(-(LN(2)/$D$65+0.04)*X168)*EXP(-(LN(2)/$D$65+0.1)*Y168),"-"))),"-")</f>
        <v>-</v>
      </c>
      <c r="AC168" s="224">
        <f t="shared" si="151"/>
        <v>68</v>
      </c>
      <c r="AD168" s="223" t="str">
        <f t="shared" si="125"/>
        <v>-</v>
      </c>
      <c r="AE168" s="224" t="str">
        <f t="shared" si="152"/>
        <v>-</v>
      </c>
      <c r="AF168" s="224" t="str">
        <f t="shared" si="126"/>
        <v>-</v>
      </c>
      <c r="AG168" s="224" t="str">
        <f t="shared" si="127"/>
        <v>-</v>
      </c>
      <c r="AH168" s="272">
        <f t="shared" si="153"/>
        <v>0.1</v>
      </c>
      <c r="AI168" s="271" t="str">
        <f>IFERROR(IF(AD167=1,AI$100*EXP(-(LN(2)/$D$65+0.04)*AF167)*EXP(-(LN(2)/$D$65+0.1)*AG167),IF(AD167=2,AI$100*EXP(-(LN(2)/$D$65+0.04)*(VLOOKUP(($F$16-$F$15)-1,AC$99:AG167,4,FALSE)))*EXP(-(LN(2)/$D$65+0.1)*(VLOOKUP(($F$16-$F$15)-1,AC$99:AG167,5,FALSE)))*EXP(-(LN(2)/$D$65+0.04)*AF167)*EXP(-(LN(2)/$D$65+0.1)*AG167),IF(AD167=3,AI$100*EXP(-(LN(2)/$D$65+0.04)*(VLOOKUP(($F$16-$F$15)-1,AC$99:AG167,4,FALSE)))*EXP(-(LN(2)/$D$65+0.1)*(VLOOKUP(($F$16-$F$15)-1,AC$99:AG167,5,FALSE)))*EXP(-(LN(2)/$D$65+0.04)*(VLOOKUP(($F$16-$F$15)*2-1,AC$99:AG167,4,FALSE)))*EXP(-(LN(2)/$D$65+0.1)*(VLOOKUP(($F$16-$F$15)*2-1,AC$99:AG167,5,FALSE)))*EXP(-(LN(2)/$D$65+0.04)*AF167)*EXP(-(LN(2)/$D$65+0.1)*AG167),"-"))),"-")</f>
        <v>-</v>
      </c>
      <c r="AJ168" s="271" t="str">
        <f>IFERROR(IF(AD168=1,AJ$100*EXP(-(LN(2)/$D$65+0.04)*AF168)*EXP(-(LN(2)/$D$65+0.1)*AG168),IF(AD168=2,AJ$100*EXP(-(LN(2)/$D$65+0.04)*(VLOOKUP(($F$16-$F$15)-1,AC$100:AG168,4,FALSE)))*EXP(-(LN(2)/$D$65+0.1)*(VLOOKUP(($F$16-$F$15)-1,AC$100:AG168,5,FALSE)))*EXP(-(LN(2)/$D$65+0.04)*AF168)*EXP(-(LN(2)/$D$65+0.1)*AG168),IF(AD168=3,AJ$100*EXP(-(LN(2)/$D$65+0.04)*(VLOOKUP(($F$16-$F$15)-1,AC$100:AG168,4,FALSE)))*EXP(-(LN(2)/$D$65+0.1)*(VLOOKUP(($F$16-$F$15)-1,AC$100:AG168,5,FALSE)))*EXP(-(LN(2)/$D$65+0.04)*(VLOOKUP(($F$16-$F$15)*2-1,AC$100:AG168,4,FALSE)))*EXP(-(LN(2)/$D$65+0.1)*(VLOOKUP(($F$16-$F$15)*2-1,AC$100:AG168,5,FALSE)))*EXP(-(LN(2)/$D$65+0.04)*AF168)*EXP(-(LN(2)/$D$65+0.1)*AG168),"-"))),"-")</f>
        <v>-</v>
      </c>
      <c r="AK168" s="227">
        <f t="shared" si="154"/>
        <v>68</v>
      </c>
      <c r="AL168" s="226" t="str">
        <f t="shared" si="128"/>
        <v>-</v>
      </c>
      <c r="AM168" s="227" t="str">
        <f t="shared" si="155"/>
        <v>-</v>
      </c>
      <c r="AN168" s="227" t="str">
        <f t="shared" si="156"/>
        <v>-</v>
      </c>
      <c r="AO168" s="227" t="str">
        <f t="shared" si="129"/>
        <v>-</v>
      </c>
      <c r="AP168" s="273">
        <f t="shared" si="157"/>
        <v>0.1</v>
      </c>
      <c r="AQ168" s="271" t="str">
        <f>IFERROR(IF(AL167=1,AQ$100*EXP(-(LN(2)/$D$65+0.04)*AN167)*EXP(-(LN(2)/$D$65+0.1)*AO167),IF(AL167=2,AQ$100*EXP(-(LN(2)/$D$65+0.04)*(VLOOKUP(($F$16-$F$15)-1,AK$99:AO167,4,FALSE)))*EXP(-(LN(2)/$D$65+0.1)*(VLOOKUP(($F$16-$F$15)-1,AK$99:AO167,5,FALSE)))*EXP(-(LN(2)/$D$65+0.04)*AN167)*EXP(-(LN(2)/$D$65+0.1)*AO167),IF(AL167=3,AQ$100*EXP(-(LN(2)/$D$65+0.04)*(VLOOKUP(($F$16-$F$15)-1,AK$99:AO167,4,FALSE)))*EXP(-(LN(2)/$D$65+0.1)*(VLOOKUP(($F$16-$F$15)-1,AK$99:AO167,5,FALSE)))*EXP(-(LN(2)/$D$65+0.04)*(VLOOKUP(($F$16-$F$15)*2-1,AK$99:AO167,4,FALSE)))*EXP(-(LN(2)/$D$65+0.1)*(VLOOKUP(($F$16-$F$15)*2-1,AK$99:AO167,5,FALSE)))*EXP(-(LN(2)/$D$65+0.04)*AN167)*EXP(-(LN(2)/$D$65+0.1)*AO167),"-"))),"-")</f>
        <v>-</v>
      </c>
      <c r="AR168" s="271" t="str">
        <f>IFERROR(IF(AL168=1,AR$100*EXP(-(LN(2)/$D$65+0.04)*AN168)*EXP(-(LN(2)/$D$65+0.1)*AO168),IF(AL168=2,AR$100*EXP(-(LN(2)/$D$65+0.04)*(VLOOKUP(($F$16-$F$15)-1,AK$100:AO168,4,FALSE)))*EXP(-(LN(2)/$D$65+0.1)*(VLOOKUP(($F$16-$F$15)-1,AK$100:AO168,5,FALSE)))*EXP(-(LN(2)/$D$65+0.04)*AN168)*EXP(-(LN(2)/$D$65+0.1)*AO168),IF(AL168=3,AR$100*EXP(-(LN(2)/$D$65+0.04)*(VLOOKUP(($F$16-$F$15)-1,AK$100:AO168,4,FALSE)))*EXP(-(LN(2)/$D$65+0.1)*(VLOOKUP(($F$16-$F$15)-1,AK$100:AO168,5,FALSE)))*EXP(-(LN(2)/$D$65+0.04)*(VLOOKUP(($F$16-$F$15)*2-1,AK$100:AO168,4,FALSE)))*EXP(-(LN(2)/$D$65+0.1)*(VLOOKUP(($F$16-$F$15)*2-1,AK$100:AO168,5,FALSE)))*EXP(-(LN(2)/$D$65+0.04)*AN168)*EXP(-(LN(2)/$D$65+0.1)*AO168),"-"))),"-")</f>
        <v>-</v>
      </c>
      <c r="AS168" s="274">
        <f t="shared" si="130"/>
        <v>0</v>
      </c>
      <c r="AT168" s="274">
        <f t="shared" si="131"/>
        <v>0</v>
      </c>
      <c r="AU168" s="274">
        <f t="shared" si="132"/>
        <v>0</v>
      </c>
      <c r="AV168" s="190">
        <f>IF($B168&lt;$F$22,SUM($T$100:$T168),"")</f>
        <v>0</v>
      </c>
      <c r="AW168" s="190" t="str">
        <f t="shared" si="133"/>
        <v>-</v>
      </c>
      <c r="AX168" s="190" t="str">
        <f t="shared" si="158"/>
        <v/>
      </c>
      <c r="AY168"/>
      <c r="AZ168" s="190" t="str">
        <f ca="1">IF(ISNUMBER(OFFSET(AV168,-$F$21,0)),SUM(OFFSET($T$100,$F$21,0):$T168),"")</f>
        <v/>
      </c>
      <c r="BA168" s="190" t="str">
        <f t="shared" ca="1" si="134"/>
        <v/>
      </c>
      <c r="BB168" s="190" t="str">
        <f t="shared" ca="1" si="70"/>
        <v/>
      </c>
      <c r="BC168" s="190"/>
      <c r="BD168" s="190" t="str">
        <f ca="1">IFERROR(IF(AND($B168&gt;=($F$16-$F$15),$B168&lt;$F$22+($F$16-$F$15)),SUM(OFFSET($T$100,($F$16-$F$15),0):$T168),""),"")</f>
        <v/>
      </c>
      <c r="BE168" s="190" t="str">
        <f t="shared" ca="1" si="159"/>
        <v/>
      </c>
      <c r="BF168" s="190" t="str">
        <f t="shared" ca="1" si="160"/>
        <v/>
      </c>
      <c r="BG168"/>
      <c r="BH168" s="190" t="str">
        <f ca="1">IF(ISNUMBER(OFFSET(BD168,-$F$21,0)),SUM(OFFSET($T$100,($F$16-$F$15+$F$21),0):$T168),"")</f>
        <v/>
      </c>
      <c r="BI168" s="190" t="str">
        <f t="shared" ca="1" si="135"/>
        <v/>
      </c>
      <c r="BJ168" s="190" t="str">
        <f t="shared" ca="1" si="161"/>
        <v/>
      </c>
      <c r="BK168" s="190"/>
      <c r="BL168" s="190" t="str">
        <f ca="1">IFERROR(IF(AND($B168&gt;=($F$17-$F$15),$B168&lt;$F$22+($F$17-$F$15)),SUM(OFFSET($T$100,($F$17-$F$15),0):$T168),""),"")</f>
        <v/>
      </c>
      <c r="BM168" s="190" t="str">
        <f t="shared" ca="1" si="136"/>
        <v/>
      </c>
      <c r="BN168" s="190" t="str">
        <f t="shared" ca="1" si="162"/>
        <v/>
      </c>
      <c r="BO168"/>
      <c r="BP168" s="190" t="str">
        <f ca="1">IF(ISNUMBER(OFFSET(BL168,-$F$21,0)),SUM(OFFSET($T$100,($F$17-$F$15+$F$21),0):$T168),"")</f>
        <v/>
      </c>
      <c r="BQ168" s="190" t="str">
        <f t="shared" ca="1" si="137"/>
        <v/>
      </c>
      <c r="BR168" s="190" t="str">
        <f t="shared" ca="1" si="163"/>
        <v/>
      </c>
      <c r="BS168" s="190"/>
      <c r="BT168"/>
      <c r="BU168"/>
      <c r="BV168"/>
      <c r="BY168" s="99"/>
      <c r="BZ168" s="99"/>
      <c r="CA168" s="280" t="str">
        <f t="shared" si="138"/>
        <v/>
      </c>
      <c r="CB168" s="71" t="str">
        <f t="shared" si="139"/>
        <v>-</v>
      </c>
      <c r="CC168" s="33"/>
      <c r="CD168" s="261" t="str">
        <f t="shared" si="140"/>
        <v/>
      </c>
      <c r="CE168" s="280" t="str">
        <f t="shared" si="141"/>
        <v>-</v>
      </c>
      <c r="CF168" s="71" t="str">
        <f t="shared" ca="1" si="142"/>
        <v>-</v>
      </c>
      <c r="CG168" s="33" t="str">
        <f t="shared" si="143"/>
        <v>68-69</v>
      </c>
      <c r="CH168" s="261" t="str">
        <f t="shared" ca="1" si="144"/>
        <v/>
      </c>
      <c r="CI168" s="202"/>
      <c r="CP168" s="99"/>
      <c r="CQ168" s="99"/>
      <c r="CR168" s="99"/>
      <c r="CS168" s="99"/>
      <c r="CT168" s="99"/>
      <c r="CU168" s="99"/>
      <c r="CV168" s="99"/>
      <c r="CW168" s="99"/>
      <c r="CX168" s="99"/>
      <c r="CY168" s="99"/>
      <c r="CZ168" s="99"/>
      <c r="DA168" s="99"/>
      <c r="DB168" s="99"/>
      <c r="DC168" s="99"/>
    </row>
    <row r="169" spans="2:107" ht="13.5" customHeight="1" x14ac:dyDescent="0.2">
      <c r="B169" s="262">
        <v>69</v>
      </c>
      <c r="C169" s="237" t="str">
        <f t="shared" si="107"/>
        <v/>
      </c>
      <c r="D169" s="237" t="str">
        <f t="shared" si="145"/>
        <v>-</v>
      </c>
      <c r="E169" s="290" t="str">
        <f t="shared" si="146"/>
        <v/>
      </c>
      <c r="F169" s="264" t="str">
        <f t="shared" si="147"/>
        <v/>
      </c>
      <c r="G169" s="291" t="str">
        <f t="shared" si="148"/>
        <v/>
      </c>
      <c r="H169" s="240" t="str">
        <f t="shared" si="108"/>
        <v/>
      </c>
      <c r="I169" s="265" t="str">
        <f t="shared" si="109"/>
        <v/>
      </c>
      <c r="J169" s="265" t="str">
        <f t="shared" si="110"/>
        <v/>
      </c>
      <c r="K169" s="240" t="str">
        <f t="shared" si="111"/>
        <v/>
      </c>
      <c r="L169" s="265" t="str">
        <f t="shared" si="112"/>
        <v/>
      </c>
      <c r="M169" s="265" t="str">
        <f t="shared" si="113"/>
        <v/>
      </c>
      <c r="N169" s="240" t="str">
        <f t="shared" si="114"/>
        <v>-</v>
      </c>
      <c r="O169" s="265" t="str">
        <f t="shared" si="115"/>
        <v>-</v>
      </c>
      <c r="P169" s="265" t="str">
        <f t="shared" si="116"/>
        <v>-</v>
      </c>
      <c r="Q169" s="266" t="str">
        <f t="shared" si="117"/>
        <v>-</v>
      </c>
      <c r="R169" s="267" t="str">
        <f t="shared" si="118"/>
        <v>-</v>
      </c>
      <c r="S169" s="268" t="str">
        <f t="shared" si="119"/>
        <v>-</v>
      </c>
      <c r="T169" s="269" t="str">
        <f t="shared" si="120"/>
        <v/>
      </c>
      <c r="U169" s="221">
        <f t="shared" si="121"/>
        <v>69</v>
      </c>
      <c r="V169" s="220" t="str">
        <f t="shared" si="122"/>
        <v>-</v>
      </c>
      <c r="W169" s="221" t="str">
        <f t="shared" si="149"/>
        <v>-</v>
      </c>
      <c r="X169" s="221" t="str">
        <f t="shared" si="123"/>
        <v>-</v>
      </c>
      <c r="Y169" s="221" t="str">
        <f t="shared" si="124"/>
        <v>-</v>
      </c>
      <c r="Z169" s="270">
        <f t="shared" si="150"/>
        <v>0.1</v>
      </c>
      <c r="AA169" s="271" t="str">
        <f>IFERROR(IF(V168=1,AA$100*EXP(-(LN(2)/$D$65+0.04)*X168)*EXP(-(LN(2)/$D$65+0.1)*Y168),IF(V168=2,AA$100*EXP(-(LN(2)/$D$65+0.04)*(VLOOKUP(($F$16-$F$15)-1,U$99:Y168,4,FALSE)))*EXP(-(LN(2)/$D$65+0.1)*(VLOOKUP(($F$16-$F$15)-1,U$99:Y168,5,FALSE)))*EXP(-(LN(2)/$D$65+0.04)*X168)*EXP(-(LN(2)/$D$65+0.1)*Y168),IF(V168=3,AA$100*EXP(-(LN(2)/$D$65+0.04)*(VLOOKUP(($F$16-$F$15)-1,U$99:Y168,4,FALSE)))*EXP(-(LN(2)/$D$65+0.1)*(VLOOKUP(($F$16-$F$15)-1,U$99:Y168,5,FALSE)))*EXP(-(LN(2)/$D$65+0.04)*(VLOOKUP(($F$16-$F$15)*2-1,U$99:Y168,4,FALSE)))*EXP(-(LN(2)/$D$65+0.1)*(VLOOKUP(($F$16-$F$15)*2-1,U$99:Y168,5,FALSE)))*EXP(-(LN(2)/$D$65+0.04)*X168)*EXP(-(LN(2)/$D$65+0.1)*Y168),"-"))),"-")</f>
        <v>-</v>
      </c>
      <c r="AB169" s="271" t="str">
        <f>IFERROR(IF(V169=1,AB$100*EXP(-(LN(2)/$D$65+0.04)*X169)*EXP(-(LN(2)/$D$65+0.1)*Y169),IF(V169=2,AB$100*EXP(-(LN(2)/$D$65+0.04)*(VLOOKUP(($F$16-$F$15)-1,U$100:Y169,4,FALSE)))*EXP(-(LN(2)/$D$65+0.1)*(VLOOKUP(($F$16-$F$15)-1,U$100:Y169,5,FALSE)))*EXP(-(LN(2)/$D$65+0.04)*X169)*EXP(-(LN(2)/$D$65+0.1)*Y169),IF(V169=3,AB$100*EXP(-(LN(2)/$D$65+0.04)*(VLOOKUP(($F$16-$F$15)-1,U$100:Y169,4,FALSE)))*EXP(-(LN(2)/$D$65+0.1)*(VLOOKUP(($F$16-$F$15)-1,U$100:Y169,5,FALSE)))*EXP(-(LN(2)/$D$65+0.04)*(VLOOKUP(($F$16-$F$15)*2-1,U$100:Y169,4,FALSE)))*EXP(-(LN(2)/$D$65+0.1)*(VLOOKUP(($F$16-$F$15)*2-1,U$100:Y169,5,FALSE)))*EXP(-(LN(2)/$D$65+0.04)*X169)*EXP(-(LN(2)/$D$65+0.1)*Y169),"-"))),"-")</f>
        <v>-</v>
      </c>
      <c r="AC169" s="224">
        <f t="shared" si="151"/>
        <v>69</v>
      </c>
      <c r="AD169" s="223" t="str">
        <f t="shared" si="125"/>
        <v>-</v>
      </c>
      <c r="AE169" s="224" t="str">
        <f t="shared" si="152"/>
        <v>-</v>
      </c>
      <c r="AF169" s="224" t="str">
        <f t="shared" si="126"/>
        <v>-</v>
      </c>
      <c r="AG169" s="224" t="str">
        <f t="shared" si="127"/>
        <v>-</v>
      </c>
      <c r="AH169" s="272">
        <f t="shared" si="153"/>
        <v>0.1</v>
      </c>
      <c r="AI169" s="271" t="str">
        <f>IFERROR(IF(AD168=1,AI$100*EXP(-(LN(2)/$D$65+0.04)*AF168)*EXP(-(LN(2)/$D$65+0.1)*AG168),IF(AD168=2,AI$100*EXP(-(LN(2)/$D$65+0.04)*(VLOOKUP(($F$16-$F$15)-1,AC$99:AG168,4,FALSE)))*EXP(-(LN(2)/$D$65+0.1)*(VLOOKUP(($F$16-$F$15)-1,AC$99:AG168,5,FALSE)))*EXP(-(LN(2)/$D$65+0.04)*AF168)*EXP(-(LN(2)/$D$65+0.1)*AG168),IF(AD168=3,AI$100*EXP(-(LN(2)/$D$65+0.04)*(VLOOKUP(($F$16-$F$15)-1,AC$99:AG168,4,FALSE)))*EXP(-(LN(2)/$D$65+0.1)*(VLOOKUP(($F$16-$F$15)-1,AC$99:AG168,5,FALSE)))*EXP(-(LN(2)/$D$65+0.04)*(VLOOKUP(($F$16-$F$15)*2-1,AC$99:AG168,4,FALSE)))*EXP(-(LN(2)/$D$65+0.1)*(VLOOKUP(($F$16-$F$15)*2-1,AC$99:AG168,5,FALSE)))*EXP(-(LN(2)/$D$65+0.04)*AF168)*EXP(-(LN(2)/$D$65+0.1)*AG168),"-"))),"-")</f>
        <v>-</v>
      </c>
      <c r="AJ169" s="271" t="str">
        <f>IFERROR(IF(AD169=1,AJ$100*EXP(-(LN(2)/$D$65+0.04)*AF169)*EXP(-(LN(2)/$D$65+0.1)*AG169),IF(AD169=2,AJ$100*EXP(-(LN(2)/$D$65+0.04)*(VLOOKUP(($F$16-$F$15)-1,AC$100:AG169,4,FALSE)))*EXP(-(LN(2)/$D$65+0.1)*(VLOOKUP(($F$16-$F$15)-1,AC$100:AG169,5,FALSE)))*EXP(-(LN(2)/$D$65+0.04)*AF169)*EXP(-(LN(2)/$D$65+0.1)*AG169),IF(AD169=3,AJ$100*EXP(-(LN(2)/$D$65+0.04)*(VLOOKUP(($F$16-$F$15)-1,AC$100:AG169,4,FALSE)))*EXP(-(LN(2)/$D$65+0.1)*(VLOOKUP(($F$16-$F$15)-1,AC$100:AG169,5,FALSE)))*EXP(-(LN(2)/$D$65+0.04)*(VLOOKUP(($F$16-$F$15)*2-1,AC$100:AG169,4,FALSE)))*EXP(-(LN(2)/$D$65+0.1)*(VLOOKUP(($F$16-$F$15)*2-1,AC$100:AG169,5,FALSE)))*EXP(-(LN(2)/$D$65+0.04)*AF169)*EXP(-(LN(2)/$D$65+0.1)*AG169),"-"))),"-")</f>
        <v>-</v>
      </c>
      <c r="AK169" s="227">
        <f t="shared" si="154"/>
        <v>69</v>
      </c>
      <c r="AL169" s="226" t="str">
        <f t="shared" si="128"/>
        <v>-</v>
      </c>
      <c r="AM169" s="227" t="str">
        <f t="shared" si="155"/>
        <v>-</v>
      </c>
      <c r="AN169" s="227" t="str">
        <f t="shared" si="156"/>
        <v>-</v>
      </c>
      <c r="AO169" s="227" t="str">
        <f t="shared" si="129"/>
        <v>-</v>
      </c>
      <c r="AP169" s="273">
        <f t="shared" si="157"/>
        <v>0.1</v>
      </c>
      <c r="AQ169" s="271" t="str">
        <f>IFERROR(IF(AL168=1,AQ$100*EXP(-(LN(2)/$D$65+0.04)*AN168)*EXP(-(LN(2)/$D$65+0.1)*AO168),IF(AL168=2,AQ$100*EXP(-(LN(2)/$D$65+0.04)*(VLOOKUP(($F$16-$F$15)-1,AK$99:AO168,4,FALSE)))*EXP(-(LN(2)/$D$65+0.1)*(VLOOKUP(($F$16-$F$15)-1,AK$99:AO168,5,FALSE)))*EXP(-(LN(2)/$D$65+0.04)*AN168)*EXP(-(LN(2)/$D$65+0.1)*AO168),IF(AL168=3,AQ$100*EXP(-(LN(2)/$D$65+0.04)*(VLOOKUP(($F$16-$F$15)-1,AK$99:AO168,4,FALSE)))*EXP(-(LN(2)/$D$65+0.1)*(VLOOKUP(($F$16-$F$15)-1,AK$99:AO168,5,FALSE)))*EXP(-(LN(2)/$D$65+0.04)*(VLOOKUP(($F$16-$F$15)*2-1,AK$99:AO168,4,FALSE)))*EXP(-(LN(2)/$D$65+0.1)*(VLOOKUP(($F$16-$F$15)*2-1,AK$99:AO168,5,FALSE)))*EXP(-(LN(2)/$D$65+0.04)*AN168)*EXP(-(LN(2)/$D$65+0.1)*AO168),"-"))),"-")</f>
        <v>-</v>
      </c>
      <c r="AR169" s="271" t="str">
        <f>IFERROR(IF(AL169=1,AR$100*EXP(-(LN(2)/$D$65+0.04)*AN169)*EXP(-(LN(2)/$D$65+0.1)*AO169),IF(AL169=2,AR$100*EXP(-(LN(2)/$D$65+0.04)*(VLOOKUP(($F$16-$F$15)-1,AK$100:AO169,4,FALSE)))*EXP(-(LN(2)/$D$65+0.1)*(VLOOKUP(($F$16-$F$15)-1,AK$100:AO169,5,FALSE)))*EXP(-(LN(2)/$D$65+0.04)*AN169)*EXP(-(LN(2)/$D$65+0.1)*AO169),IF(AL169=3,AR$100*EXP(-(LN(2)/$D$65+0.04)*(VLOOKUP(($F$16-$F$15)-1,AK$100:AO169,4,FALSE)))*EXP(-(LN(2)/$D$65+0.1)*(VLOOKUP(($F$16-$F$15)-1,AK$100:AO169,5,FALSE)))*EXP(-(LN(2)/$D$65+0.04)*(VLOOKUP(($F$16-$F$15)*2-1,AK$100:AO169,4,FALSE)))*EXP(-(LN(2)/$D$65+0.1)*(VLOOKUP(($F$16-$F$15)*2-1,AK$100:AO169,5,FALSE)))*EXP(-(LN(2)/$D$65+0.04)*AN169)*EXP(-(LN(2)/$D$65+0.1)*AO169),"-"))),"-")</f>
        <v>-</v>
      </c>
      <c r="AS169" s="274">
        <f t="shared" si="130"/>
        <v>0</v>
      </c>
      <c r="AT169" s="274">
        <f t="shared" si="131"/>
        <v>0</v>
      </c>
      <c r="AU169" s="274">
        <f t="shared" si="132"/>
        <v>0</v>
      </c>
      <c r="AV169" s="190">
        <f>IF($B169&lt;$F$22,SUM($T$100:$T169),"")</f>
        <v>0</v>
      </c>
      <c r="AW169" s="190" t="str">
        <f t="shared" si="133"/>
        <v>-</v>
      </c>
      <c r="AX169" s="190" t="str">
        <f t="shared" si="158"/>
        <v/>
      </c>
      <c r="AY169"/>
      <c r="AZ169" s="190" t="str">
        <f ca="1">IF(ISNUMBER(OFFSET(AV169,-$F$21,0)),SUM(OFFSET($T$100,$F$21,0):$T169),"")</f>
        <v/>
      </c>
      <c r="BA169" s="190" t="str">
        <f t="shared" ca="1" si="134"/>
        <v/>
      </c>
      <c r="BB169" s="190" t="str">
        <f t="shared" ca="1" si="70"/>
        <v/>
      </c>
      <c r="BC169" s="190"/>
      <c r="BD169" s="190" t="str">
        <f ca="1">IFERROR(IF(AND($B169&gt;=($F$16-$F$15),$B169&lt;$F$22+($F$16-$F$15)),SUM(OFFSET($T$100,($F$16-$F$15),0):$T169),""),"")</f>
        <v/>
      </c>
      <c r="BE169" s="190" t="str">
        <f t="shared" ca="1" si="159"/>
        <v/>
      </c>
      <c r="BF169" s="190" t="str">
        <f t="shared" ca="1" si="160"/>
        <v/>
      </c>
      <c r="BG169"/>
      <c r="BH169" s="190" t="str">
        <f ca="1">IF(ISNUMBER(OFFSET(BD169,-$F$21,0)),SUM(OFFSET($T$100,($F$16-$F$15+$F$21),0):$T169),"")</f>
        <v/>
      </c>
      <c r="BI169" s="190" t="str">
        <f t="shared" ca="1" si="135"/>
        <v/>
      </c>
      <c r="BJ169" s="190" t="str">
        <f t="shared" ca="1" si="161"/>
        <v/>
      </c>
      <c r="BK169" s="190"/>
      <c r="BL169" s="190" t="str">
        <f ca="1">IFERROR(IF(AND($B169&gt;=($F$17-$F$15),$B169&lt;$F$22+($F$17-$F$15)),SUM(OFFSET($T$100,($F$17-$F$15),0):$T169),""),"")</f>
        <v/>
      </c>
      <c r="BM169" s="190" t="str">
        <f t="shared" ca="1" si="136"/>
        <v/>
      </c>
      <c r="BN169" s="190" t="str">
        <f t="shared" ca="1" si="162"/>
        <v/>
      </c>
      <c r="BO169"/>
      <c r="BP169" s="190" t="str">
        <f ca="1">IF(ISNUMBER(OFFSET(BL169,-$F$21,0)),SUM(OFFSET($T$100,($F$17-$F$15+$F$21),0):$T169),"")</f>
        <v/>
      </c>
      <c r="BQ169" s="190" t="str">
        <f t="shared" ca="1" si="137"/>
        <v/>
      </c>
      <c r="BR169" s="190" t="str">
        <f t="shared" ca="1" si="163"/>
        <v/>
      </c>
      <c r="BS169" s="190"/>
      <c r="BT169"/>
      <c r="BU169"/>
      <c r="BV169"/>
      <c r="BY169" s="99"/>
      <c r="BZ169" s="99"/>
      <c r="CA169" s="280" t="str">
        <f t="shared" si="138"/>
        <v/>
      </c>
      <c r="CB169" s="71" t="str">
        <f t="shared" si="139"/>
        <v>-</v>
      </c>
      <c r="CC169" s="33"/>
      <c r="CD169" s="261" t="str">
        <f t="shared" si="140"/>
        <v/>
      </c>
      <c r="CE169" s="280" t="str">
        <f t="shared" si="141"/>
        <v>-</v>
      </c>
      <c r="CF169" s="71" t="str">
        <f t="shared" ca="1" si="142"/>
        <v>-</v>
      </c>
      <c r="CG169" s="33" t="str">
        <f t="shared" si="143"/>
        <v>69-70</v>
      </c>
      <c r="CH169" s="261" t="str">
        <f t="shared" ca="1" si="144"/>
        <v/>
      </c>
      <c r="CI169" s="202"/>
      <c r="CP169" s="99"/>
      <c r="CQ169" s="99"/>
      <c r="CR169" s="99"/>
      <c r="CS169" s="99"/>
      <c r="CT169" s="99"/>
      <c r="CU169" s="99"/>
      <c r="CV169" s="99"/>
      <c r="CW169" s="99"/>
      <c r="CX169" s="99"/>
      <c r="CY169" s="99"/>
      <c r="CZ169" s="99"/>
      <c r="DA169" s="99"/>
      <c r="DB169" s="99"/>
      <c r="DC169" s="99"/>
    </row>
    <row r="170" spans="2:107" ht="13.5" customHeight="1" x14ac:dyDescent="0.2">
      <c r="B170" s="262">
        <v>70</v>
      </c>
      <c r="C170" s="237" t="str">
        <f t="shared" si="107"/>
        <v/>
      </c>
      <c r="D170" s="237" t="str">
        <f t="shared" si="145"/>
        <v>-</v>
      </c>
      <c r="E170" s="290" t="str">
        <f t="shared" si="146"/>
        <v/>
      </c>
      <c r="F170" s="264" t="str">
        <f t="shared" si="147"/>
        <v/>
      </c>
      <c r="G170" s="291" t="str">
        <f t="shared" si="148"/>
        <v/>
      </c>
      <c r="H170" s="240" t="str">
        <f t="shared" si="108"/>
        <v/>
      </c>
      <c r="I170" s="265" t="str">
        <f t="shared" si="109"/>
        <v/>
      </c>
      <c r="J170" s="265" t="str">
        <f t="shared" si="110"/>
        <v/>
      </c>
      <c r="K170" s="240" t="str">
        <f t="shared" si="111"/>
        <v/>
      </c>
      <c r="L170" s="265" t="str">
        <f t="shared" si="112"/>
        <v/>
      </c>
      <c r="M170" s="265" t="str">
        <f t="shared" si="113"/>
        <v/>
      </c>
      <c r="N170" s="240" t="str">
        <f t="shared" si="114"/>
        <v>-</v>
      </c>
      <c r="O170" s="265" t="str">
        <f t="shared" si="115"/>
        <v>-</v>
      </c>
      <c r="P170" s="265" t="str">
        <f t="shared" si="116"/>
        <v>-</v>
      </c>
      <c r="Q170" s="266" t="str">
        <f t="shared" si="117"/>
        <v>-</v>
      </c>
      <c r="R170" s="267" t="str">
        <f t="shared" si="118"/>
        <v>-</v>
      </c>
      <c r="S170" s="268" t="str">
        <f t="shared" si="119"/>
        <v>-</v>
      </c>
      <c r="T170" s="269" t="str">
        <f t="shared" si="120"/>
        <v/>
      </c>
      <c r="U170" s="221">
        <f t="shared" si="121"/>
        <v>70</v>
      </c>
      <c r="V170" s="220" t="str">
        <f t="shared" si="122"/>
        <v>-</v>
      </c>
      <c r="W170" s="221" t="str">
        <f t="shared" si="149"/>
        <v>-</v>
      </c>
      <c r="X170" s="221" t="str">
        <f t="shared" si="123"/>
        <v>-</v>
      </c>
      <c r="Y170" s="221" t="str">
        <f t="shared" si="124"/>
        <v>-</v>
      </c>
      <c r="Z170" s="270">
        <f t="shared" si="150"/>
        <v>0.1</v>
      </c>
      <c r="AA170" s="271" t="str">
        <f>IFERROR(IF(V169=1,AA$100*EXP(-(LN(2)/$D$65+0.04)*X169)*EXP(-(LN(2)/$D$65+0.1)*Y169),IF(V169=2,AA$100*EXP(-(LN(2)/$D$65+0.04)*(VLOOKUP(($F$16-$F$15)-1,U$99:Y169,4,FALSE)))*EXP(-(LN(2)/$D$65+0.1)*(VLOOKUP(($F$16-$F$15)-1,U$99:Y169,5,FALSE)))*EXP(-(LN(2)/$D$65+0.04)*X169)*EXP(-(LN(2)/$D$65+0.1)*Y169),IF(V169=3,AA$100*EXP(-(LN(2)/$D$65+0.04)*(VLOOKUP(($F$16-$F$15)-1,U$99:Y169,4,FALSE)))*EXP(-(LN(2)/$D$65+0.1)*(VLOOKUP(($F$16-$F$15)-1,U$99:Y169,5,FALSE)))*EXP(-(LN(2)/$D$65+0.04)*(VLOOKUP(($F$16-$F$15)*2-1,U$99:Y169,4,FALSE)))*EXP(-(LN(2)/$D$65+0.1)*(VLOOKUP(($F$16-$F$15)*2-1,U$99:Y169,5,FALSE)))*EXP(-(LN(2)/$D$65+0.04)*X169)*EXP(-(LN(2)/$D$65+0.1)*Y169),"-"))),"-")</f>
        <v>-</v>
      </c>
      <c r="AB170" s="271" t="str">
        <f>IFERROR(IF(V170=1,AB$100*EXP(-(LN(2)/$D$65+0.04)*X170)*EXP(-(LN(2)/$D$65+0.1)*Y170),IF(V170=2,AB$100*EXP(-(LN(2)/$D$65+0.04)*(VLOOKUP(($F$16-$F$15)-1,U$100:Y170,4,FALSE)))*EXP(-(LN(2)/$D$65+0.1)*(VLOOKUP(($F$16-$F$15)-1,U$100:Y170,5,FALSE)))*EXP(-(LN(2)/$D$65+0.04)*X170)*EXP(-(LN(2)/$D$65+0.1)*Y170),IF(V170=3,AB$100*EXP(-(LN(2)/$D$65+0.04)*(VLOOKUP(($F$16-$F$15)-1,U$100:Y170,4,FALSE)))*EXP(-(LN(2)/$D$65+0.1)*(VLOOKUP(($F$16-$F$15)-1,U$100:Y170,5,FALSE)))*EXP(-(LN(2)/$D$65+0.04)*(VLOOKUP(($F$16-$F$15)*2-1,U$100:Y170,4,FALSE)))*EXP(-(LN(2)/$D$65+0.1)*(VLOOKUP(($F$16-$F$15)*2-1,U$100:Y170,5,FALSE)))*EXP(-(LN(2)/$D$65+0.04)*X170)*EXP(-(LN(2)/$D$65+0.1)*Y170),"-"))),"-")</f>
        <v>-</v>
      </c>
      <c r="AC170" s="224">
        <f t="shared" si="151"/>
        <v>70</v>
      </c>
      <c r="AD170" s="223" t="str">
        <f t="shared" si="125"/>
        <v>-</v>
      </c>
      <c r="AE170" s="224" t="str">
        <f t="shared" si="152"/>
        <v>-</v>
      </c>
      <c r="AF170" s="224" t="str">
        <f t="shared" si="126"/>
        <v>-</v>
      </c>
      <c r="AG170" s="224" t="str">
        <f t="shared" si="127"/>
        <v>-</v>
      </c>
      <c r="AH170" s="272">
        <f t="shared" si="153"/>
        <v>0.1</v>
      </c>
      <c r="AI170" s="271" t="str">
        <f>IFERROR(IF(AD169=1,AI$100*EXP(-(LN(2)/$D$65+0.04)*AF169)*EXP(-(LN(2)/$D$65+0.1)*AG169),IF(AD169=2,AI$100*EXP(-(LN(2)/$D$65+0.04)*(VLOOKUP(($F$16-$F$15)-1,AC$99:AG169,4,FALSE)))*EXP(-(LN(2)/$D$65+0.1)*(VLOOKUP(($F$16-$F$15)-1,AC$99:AG169,5,FALSE)))*EXP(-(LN(2)/$D$65+0.04)*AF169)*EXP(-(LN(2)/$D$65+0.1)*AG169),IF(AD169=3,AI$100*EXP(-(LN(2)/$D$65+0.04)*(VLOOKUP(($F$16-$F$15)-1,AC$99:AG169,4,FALSE)))*EXP(-(LN(2)/$D$65+0.1)*(VLOOKUP(($F$16-$F$15)-1,AC$99:AG169,5,FALSE)))*EXP(-(LN(2)/$D$65+0.04)*(VLOOKUP(($F$16-$F$15)*2-1,AC$99:AG169,4,FALSE)))*EXP(-(LN(2)/$D$65+0.1)*(VLOOKUP(($F$16-$F$15)*2-1,AC$99:AG169,5,FALSE)))*EXP(-(LN(2)/$D$65+0.04)*AF169)*EXP(-(LN(2)/$D$65+0.1)*AG169),"-"))),"-")</f>
        <v>-</v>
      </c>
      <c r="AJ170" s="271" t="str">
        <f>IFERROR(IF(AD170=1,AJ$100*EXP(-(LN(2)/$D$65+0.04)*AF170)*EXP(-(LN(2)/$D$65+0.1)*AG170),IF(AD170=2,AJ$100*EXP(-(LN(2)/$D$65+0.04)*(VLOOKUP(($F$16-$F$15)-1,AC$100:AG170,4,FALSE)))*EXP(-(LN(2)/$D$65+0.1)*(VLOOKUP(($F$16-$F$15)-1,AC$100:AG170,5,FALSE)))*EXP(-(LN(2)/$D$65+0.04)*AF170)*EXP(-(LN(2)/$D$65+0.1)*AG170),IF(AD170=3,AJ$100*EXP(-(LN(2)/$D$65+0.04)*(VLOOKUP(($F$16-$F$15)-1,AC$100:AG170,4,FALSE)))*EXP(-(LN(2)/$D$65+0.1)*(VLOOKUP(($F$16-$F$15)-1,AC$100:AG170,5,FALSE)))*EXP(-(LN(2)/$D$65+0.04)*(VLOOKUP(($F$16-$F$15)*2-1,AC$100:AG170,4,FALSE)))*EXP(-(LN(2)/$D$65+0.1)*(VLOOKUP(($F$16-$F$15)*2-1,AC$100:AG170,5,FALSE)))*EXP(-(LN(2)/$D$65+0.04)*AF170)*EXP(-(LN(2)/$D$65+0.1)*AG170),"-"))),"-")</f>
        <v>-</v>
      </c>
      <c r="AK170" s="227">
        <f t="shared" si="154"/>
        <v>70</v>
      </c>
      <c r="AL170" s="226" t="str">
        <f t="shared" si="128"/>
        <v>-</v>
      </c>
      <c r="AM170" s="227" t="str">
        <f t="shared" si="155"/>
        <v>-</v>
      </c>
      <c r="AN170" s="227" t="str">
        <f t="shared" si="156"/>
        <v>-</v>
      </c>
      <c r="AO170" s="227" t="str">
        <f t="shared" si="129"/>
        <v>-</v>
      </c>
      <c r="AP170" s="273">
        <f t="shared" si="157"/>
        <v>0.1</v>
      </c>
      <c r="AQ170" s="271" t="str">
        <f>IFERROR(IF(AL169=1,AQ$100*EXP(-(LN(2)/$D$65+0.04)*AN169)*EXP(-(LN(2)/$D$65+0.1)*AO169),IF(AL169=2,AQ$100*EXP(-(LN(2)/$D$65+0.04)*(VLOOKUP(($F$16-$F$15)-1,AK$99:AO169,4,FALSE)))*EXP(-(LN(2)/$D$65+0.1)*(VLOOKUP(($F$16-$F$15)-1,AK$99:AO169,5,FALSE)))*EXP(-(LN(2)/$D$65+0.04)*AN169)*EXP(-(LN(2)/$D$65+0.1)*AO169),IF(AL169=3,AQ$100*EXP(-(LN(2)/$D$65+0.04)*(VLOOKUP(($F$16-$F$15)-1,AK$99:AO169,4,FALSE)))*EXP(-(LN(2)/$D$65+0.1)*(VLOOKUP(($F$16-$F$15)-1,AK$99:AO169,5,FALSE)))*EXP(-(LN(2)/$D$65+0.04)*(VLOOKUP(($F$16-$F$15)*2-1,AK$99:AO169,4,FALSE)))*EXP(-(LN(2)/$D$65+0.1)*(VLOOKUP(($F$16-$F$15)*2-1,AK$99:AO169,5,FALSE)))*EXP(-(LN(2)/$D$65+0.04)*AN169)*EXP(-(LN(2)/$D$65+0.1)*AO169),"-"))),"-")</f>
        <v>-</v>
      </c>
      <c r="AR170" s="271" t="str">
        <f>IFERROR(IF(AL170=1,AR$100*EXP(-(LN(2)/$D$65+0.04)*AN170)*EXP(-(LN(2)/$D$65+0.1)*AO170),IF(AL170=2,AR$100*EXP(-(LN(2)/$D$65+0.04)*(VLOOKUP(($F$16-$F$15)-1,AK$100:AO170,4,FALSE)))*EXP(-(LN(2)/$D$65+0.1)*(VLOOKUP(($F$16-$F$15)-1,AK$100:AO170,5,FALSE)))*EXP(-(LN(2)/$D$65+0.04)*AN170)*EXP(-(LN(2)/$D$65+0.1)*AO170),IF(AL170=3,AR$100*EXP(-(LN(2)/$D$65+0.04)*(VLOOKUP(($F$16-$F$15)-1,AK$100:AO170,4,FALSE)))*EXP(-(LN(2)/$D$65+0.1)*(VLOOKUP(($F$16-$F$15)-1,AK$100:AO170,5,FALSE)))*EXP(-(LN(2)/$D$65+0.04)*(VLOOKUP(($F$16-$F$15)*2-1,AK$100:AO170,4,FALSE)))*EXP(-(LN(2)/$D$65+0.1)*(VLOOKUP(($F$16-$F$15)*2-1,AK$100:AO170,5,FALSE)))*EXP(-(LN(2)/$D$65+0.04)*AN170)*EXP(-(LN(2)/$D$65+0.1)*AO170),"-"))),"-")</f>
        <v>-</v>
      </c>
      <c r="AS170" s="274">
        <f t="shared" si="130"/>
        <v>0</v>
      </c>
      <c r="AT170" s="274">
        <f t="shared" si="131"/>
        <v>0</v>
      </c>
      <c r="AU170" s="274">
        <f t="shared" si="132"/>
        <v>0</v>
      </c>
      <c r="AV170" s="190">
        <f>IF($B170&lt;$F$22,SUM($T$100:$T170),"")</f>
        <v>0</v>
      </c>
      <c r="AW170" s="190" t="str">
        <f t="shared" si="133"/>
        <v>-</v>
      </c>
      <c r="AX170" s="190" t="str">
        <f t="shared" si="158"/>
        <v/>
      </c>
      <c r="AY170"/>
      <c r="AZ170" s="190" t="str">
        <f ca="1">IF(ISNUMBER(OFFSET(AV170,-$F$21,0)),SUM(OFFSET($T$100,$F$21,0):$T170),"")</f>
        <v/>
      </c>
      <c r="BA170" s="190" t="str">
        <f t="shared" ca="1" si="134"/>
        <v/>
      </c>
      <c r="BB170" s="190" t="str">
        <f t="shared" ca="1" si="70"/>
        <v/>
      </c>
      <c r="BC170" s="190"/>
      <c r="BD170" s="190" t="str">
        <f ca="1">IFERROR(IF(AND($B170&gt;=($F$16-$F$15),$B170&lt;$F$22+($F$16-$F$15)),SUM(OFFSET($T$100,($F$16-$F$15),0):$T170),""),"")</f>
        <v/>
      </c>
      <c r="BE170" s="190" t="str">
        <f t="shared" ca="1" si="159"/>
        <v/>
      </c>
      <c r="BF170" s="190" t="str">
        <f t="shared" ca="1" si="160"/>
        <v/>
      </c>
      <c r="BG170"/>
      <c r="BH170" s="190" t="str">
        <f ca="1">IF(ISNUMBER(OFFSET(BD170,-$F$21,0)),SUM(OFFSET($T$100,($F$16-$F$15+$F$21),0):$T170),"")</f>
        <v/>
      </c>
      <c r="BI170" s="190" t="str">
        <f t="shared" ca="1" si="135"/>
        <v/>
      </c>
      <c r="BJ170" s="190" t="str">
        <f t="shared" ca="1" si="161"/>
        <v/>
      </c>
      <c r="BK170" s="190"/>
      <c r="BL170" s="190" t="str">
        <f ca="1">IFERROR(IF(AND($B170&gt;=($F$17-$F$15),$B170&lt;$F$22+($F$17-$F$15)),SUM(OFFSET($T$100,($F$17-$F$15),0):$T170),""),"")</f>
        <v/>
      </c>
      <c r="BM170" s="190" t="str">
        <f t="shared" ca="1" si="136"/>
        <v/>
      </c>
      <c r="BN170" s="190" t="str">
        <f t="shared" ca="1" si="162"/>
        <v/>
      </c>
      <c r="BO170"/>
      <c r="BP170" s="190" t="str">
        <f ca="1">IF(ISNUMBER(OFFSET(BL170,-$F$21,0)),SUM(OFFSET($T$100,($F$17-$F$15+$F$21),0):$T170),"")</f>
        <v/>
      </c>
      <c r="BQ170" s="190" t="str">
        <f t="shared" ca="1" si="137"/>
        <v/>
      </c>
      <c r="BR170" s="190" t="str">
        <f t="shared" ca="1" si="163"/>
        <v/>
      </c>
      <c r="BS170" s="190"/>
      <c r="BT170"/>
      <c r="BU170"/>
      <c r="BV170"/>
      <c r="BY170" s="99"/>
      <c r="BZ170" s="99"/>
      <c r="CA170" s="280" t="str">
        <f t="shared" si="138"/>
        <v/>
      </c>
      <c r="CB170" s="71" t="str">
        <f t="shared" si="139"/>
        <v>-</v>
      </c>
      <c r="CC170" s="33"/>
      <c r="CD170" s="261" t="str">
        <f t="shared" si="140"/>
        <v/>
      </c>
      <c r="CE170" s="280" t="str">
        <f t="shared" si="141"/>
        <v>-</v>
      </c>
      <c r="CF170" s="71" t="str">
        <f t="shared" ca="1" si="142"/>
        <v>-</v>
      </c>
      <c r="CG170" s="33" t="str">
        <f t="shared" si="143"/>
        <v>70-71</v>
      </c>
      <c r="CH170" s="261" t="str">
        <f t="shared" ca="1" si="144"/>
        <v/>
      </c>
      <c r="CI170" s="202"/>
      <c r="CP170" s="99"/>
      <c r="CQ170" s="99"/>
      <c r="CR170" s="99"/>
      <c r="CS170" s="99"/>
      <c r="CT170" s="99"/>
      <c r="CU170" s="99"/>
      <c r="CV170" s="99"/>
      <c r="CW170" s="99"/>
      <c r="CX170" s="99"/>
      <c r="CY170" s="99"/>
      <c r="CZ170" s="99"/>
      <c r="DA170" s="99"/>
      <c r="DB170" s="99"/>
      <c r="DC170" s="99"/>
    </row>
    <row r="171" spans="2:107" ht="13.5" customHeight="1" x14ac:dyDescent="0.2">
      <c r="B171" s="262">
        <v>71</v>
      </c>
      <c r="C171" s="237" t="str">
        <f t="shared" si="107"/>
        <v/>
      </c>
      <c r="D171" s="237" t="str">
        <f t="shared" si="145"/>
        <v>-</v>
      </c>
      <c r="E171" s="290" t="str">
        <f t="shared" si="146"/>
        <v/>
      </c>
      <c r="F171" s="264" t="str">
        <f t="shared" si="147"/>
        <v/>
      </c>
      <c r="G171" s="291" t="str">
        <f t="shared" si="148"/>
        <v/>
      </c>
      <c r="H171" s="240" t="str">
        <f t="shared" si="108"/>
        <v/>
      </c>
      <c r="I171" s="265" t="str">
        <f t="shared" si="109"/>
        <v/>
      </c>
      <c r="J171" s="265" t="str">
        <f t="shared" si="110"/>
        <v/>
      </c>
      <c r="K171" s="240" t="str">
        <f t="shared" si="111"/>
        <v/>
      </c>
      <c r="L171" s="265" t="str">
        <f t="shared" si="112"/>
        <v/>
      </c>
      <c r="M171" s="265" t="str">
        <f t="shared" si="113"/>
        <v/>
      </c>
      <c r="N171" s="240" t="str">
        <f t="shared" si="114"/>
        <v>-</v>
      </c>
      <c r="O171" s="265" t="str">
        <f t="shared" si="115"/>
        <v>-</v>
      </c>
      <c r="P171" s="265" t="str">
        <f t="shared" si="116"/>
        <v>-</v>
      </c>
      <c r="Q171" s="266" t="str">
        <f t="shared" si="117"/>
        <v>-</v>
      </c>
      <c r="R171" s="267" t="str">
        <f t="shared" si="118"/>
        <v>-</v>
      </c>
      <c r="S171" s="268" t="str">
        <f t="shared" si="119"/>
        <v>-</v>
      </c>
      <c r="T171" s="269" t="str">
        <f t="shared" si="120"/>
        <v/>
      </c>
      <c r="U171" s="221">
        <f t="shared" si="121"/>
        <v>71</v>
      </c>
      <c r="V171" s="220" t="str">
        <f t="shared" si="122"/>
        <v>-</v>
      </c>
      <c r="W171" s="221" t="str">
        <f t="shared" si="149"/>
        <v>-</v>
      </c>
      <c r="X171" s="221" t="str">
        <f t="shared" si="123"/>
        <v>-</v>
      </c>
      <c r="Y171" s="221" t="str">
        <f t="shared" si="124"/>
        <v>-</v>
      </c>
      <c r="Z171" s="270">
        <f t="shared" si="150"/>
        <v>0.1</v>
      </c>
      <c r="AA171" s="271" t="str">
        <f>IFERROR(IF(V170=1,AA$100*EXP(-(LN(2)/$D$65+0.04)*X170)*EXP(-(LN(2)/$D$65+0.1)*Y170),IF(V170=2,AA$100*EXP(-(LN(2)/$D$65+0.04)*(VLOOKUP(($F$16-$F$15)-1,U$99:Y170,4,FALSE)))*EXP(-(LN(2)/$D$65+0.1)*(VLOOKUP(($F$16-$F$15)-1,U$99:Y170,5,FALSE)))*EXP(-(LN(2)/$D$65+0.04)*X170)*EXP(-(LN(2)/$D$65+0.1)*Y170),IF(V170=3,AA$100*EXP(-(LN(2)/$D$65+0.04)*(VLOOKUP(($F$16-$F$15)-1,U$99:Y170,4,FALSE)))*EXP(-(LN(2)/$D$65+0.1)*(VLOOKUP(($F$16-$F$15)-1,U$99:Y170,5,FALSE)))*EXP(-(LN(2)/$D$65+0.04)*(VLOOKUP(($F$16-$F$15)*2-1,U$99:Y170,4,FALSE)))*EXP(-(LN(2)/$D$65+0.1)*(VLOOKUP(($F$16-$F$15)*2-1,U$99:Y170,5,FALSE)))*EXP(-(LN(2)/$D$65+0.04)*X170)*EXP(-(LN(2)/$D$65+0.1)*Y170),"-"))),"-")</f>
        <v>-</v>
      </c>
      <c r="AB171" s="271" t="str">
        <f>IFERROR(IF(V171=1,AB$100*EXP(-(LN(2)/$D$65+0.04)*X171)*EXP(-(LN(2)/$D$65+0.1)*Y171),IF(V171=2,AB$100*EXP(-(LN(2)/$D$65+0.04)*(VLOOKUP(($F$16-$F$15)-1,U$100:Y171,4,FALSE)))*EXP(-(LN(2)/$D$65+0.1)*(VLOOKUP(($F$16-$F$15)-1,U$100:Y171,5,FALSE)))*EXP(-(LN(2)/$D$65+0.04)*X171)*EXP(-(LN(2)/$D$65+0.1)*Y171),IF(V171=3,AB$100*EXP(-(LN(2)/$D$65+0.04)*(VLOOKUP(($F$16-$F$15)-1,U$100:Y171,4,FALSE)))*EXP(-(LN(2)/$D$65+0.1)*(VLOOKUP(($F$16-$F$15)-1,U$100:Y171,5,FALSE)))*EXP(-(LN(2)/$D$65+0.04)*(VLOOKUP(($F$16-$F$15)*2-1,U$100:Y171,4,FALSE)))*EXP(-(LN(2)/$D$65+0.1)*(VLOOKUP(($F$16-$F$15)*2-1,U$100:Y171,5,FALSE)))*EXP(-(LN(2)/$D$65+0.04)*X171)*EXP(-(LN(2)/$D$65+0.1)*Y171),"-"))),"-")</f>
        <v>-</v>
      </c>
      <c r="AC171" s="224">
        <f t="shared" si="151"/>
        <v>71</v>
      </c>
      <c r="AD171" s="223" t="str">
        <f t="shared" si="125"/>
        <v>-</v>
      </c>
      <c r="AE171" s="224" t="str">
        <f t="shared" si="152"/>
        <v>-</v>
      </c>
      <c r="AF171" s="224" t="str">
        <f t="shared" si="126"/>
        <v>-</v>
      </c>
      <c r="AG171" s="224" t="str">
        <f t="shared" si="127"/>
        <v>-</v>
      </c>
      <c r="AH171" s="272">
        <f t="shared" si="153"/>
        <v>0.1</v>
      </c>
      <c r="AI171" s="271" t="str">
        <f>IFERROR(IF(AD170=1,AI$100*EXP(-(LN(2)/$D$65+0.04)*AF170)*EXP(-(LN(2)/$D$65+0.1)*AG170),IF(AD170=2,AI$100*EXP(-(LN(2)/$D$65+0.04)*(VLOOKUP(($F$16-$F$15)-1,AC$99:AG170,4,FALSE)))*EXP(-(LN(2)/$D$65+0.1)*(VLOOKUP(($F$16-$F$15)-1,AC$99:AG170,5,FALSE)))*EXP(-(LN(2)/$D$65+0.04)*AF170)*EXP(-(LN(2)/$D$65+0.1)*AG170),IF(AD170=3,AI$100*EXP(-(LN(2)/$D$65+0.04)*(VLOOKUP(($F$16-$F$15)-1,AC$99:AG170,4,FALSE)))*EXP(-(LN(2)/$D$65+0.1)*(VLOOKUP(($F$16-$F$15)-1,AC$99:AG170,5,FALSE)))*EXP(-(LN(2)/$D$65+0.04)*(VLOOKUP(($F$16-$F$15)*2-1,AC$99:AG170,4,FALSE)))*EXP(-(LN(2)/$D$65+0.1)*(VLOOKUP(($F$16-$F$15)*2-1,AC$99:AG170,5,FALSE)))*EXP(-(LN(2)/$D$65+0.04)*AF170)*EXP(-(LN(2)/$D$65+0.1)*AG170),"-"))),"-")</f>
        <v>-</v>
      </c>
      <c r="AJ171" s="271" t="str">
        <f>IFERROR(IF(AD171=1,AJ$100*EXP(-(LN(2)/$D$65+0.04)*AF171)*EXP(-(LN(2)/$D$65+0.1)*AG171),IF(AD171=2,AJ$100*EXP(-(LN(2)/$D$65+0.04)*(VLOOKUP(($F$16-$F$15)-1,AC$100:AG171,4,FALSE)))*EXP(-(LN(2)/$D$65+0.1)*(VLOOKUP(($F$16-$F$15)-1,AC$100:AG171,5,FALSE)))*EXP(-(LN(2)/$D$65+0.04)*AF171)*EXP(-(LN(2)/$D$65+0.1)*AG171),IF(AD171=3,AJ$100*EXP(-(LN(2)/$D$65+0.04)*(VLOOKUP(($F$16-$F$15)-1,AC$100:AG171,4,FALSE)))*EXP(-(LN(2)/$D$65+0.1)*(VLOOKUP(($F$16-$F$15)-1,AC$100:AG171,5,FALSE)))*EXP(-(LN(2)/$D$65+0.04)*(VLOOKUP(($F$16-$F$15)*2-1,AC$100:AG171,4,FALSE)))*EXP(-(LN(2)/$D$65+0.1)*(VLOOKUP(($F$16-$F$15)*2-1,AC$100:AG171,5,FALSE)))*EXP(-(LN(2)/$D$65+0.04)*AF171)*EXP(-(LN(2)/$D$65+0.1)*AG171),"-"))),"-")</f>
        <v>-</v>
      </c>
      <c r="AK171" s="227">
        <f t="shared" si="154"/>
        <v>71</v>
      </c>
      <c r="AL171" s="226" t="str">
        <f t="shared" si="128"/>
        <v>-</v>
      </c>
      <c r="AM171" s="227" t="str">
        <f t="shared" si="155"/>
        <v>-</v>
      </c>
      <c r="AN171" s="227" t="str">
        <f t="shared" si="156"/>
        <v>-</v>
      </c>
      <c r="AO171" s="227" t="str">
        <f t="shared" si="129"/>
        <v>-</v>
      </c>
      <c r="AP171" s="273">
        <f t="shared" si="157"/>
        <v>0.1</v>
      </c>
      <c r="AQ171" s="271" t="str">
        <f>IFERROR(IF(AL170=1,AQ$100*EXP(-(LN(2)/$D$65+0.04)*AN170)*EXP(-(LN(2)/$D$65+0.1)*AO170),IF(AL170=2,AQ$100*EXP(-(LN(2)/$D$65+0.04)*(VLOOKUP(($F$16-$F$15)-1,AK$99:AO170,4,FALSE)))*EXP(-(LN(2)/$D$65+0.1)*(VLOOKUP(($F$16-$F$15)-1,AK$99:AO170,5,FALSE)))*EXP(-(LN(2)/$D$65+0.04)*AN170)*EXP(-(LN(2)/$D$65+0.1)*AO170),IF(AL170=3,AQ$100*EXP(-(LN(2)/$D$65+0.04)*(VLOOKUP(($F$16-$F$15)-1,AK$99:AO170,4,FALSE)))*EXP(-(LN(2)/$D$65+0.1)*(VLOOKUP(($F$16-$F$15)-1,AK$99:AO170,5,FALSE)))*EXP(-(LN(2)/$D$65+0.04)*(VLOOKUP(($F$16-$F$15)*2-1,AK$99:AO170,4,FALSE)))*EXP(-(LN(2)/$D$65+0.1)*(VLOOKUP(($F$16-$F$15)*2-1,AK$99:AO170,5,FALSE)))*EXP(-(LN(2)/$D$65+0.04)*AN170)*EXP(-(LN(2)/$D$65+0.1)*AO170),"-"))),"-")</f>
        <v>-</v>
      </c>
      <c r="AR171" s="271" t="str">
        <f>IFERROR(IF(AL171=1,AR$100*EXP(-(LN(2)/$D$65+0.04)*AN171)*EXP(-(LN(2)/$D$65+0.1)*AO171),IF(AL171=2,AR$100*EXP(-(LN(2)/$D$65+0.04)*(VLOOKUP(($F$16-$F$15)-1,AK$100:AO171,4,FALSE)))*EXP(-(LN(2)/$D$65+0.1)*(VLOOKUP(($F$16-$F$15)-1,AK$100:AO171,5,FALSE)))*EXP(-(LN(2)/$D$65+0.04)*AN171)*EXP(-(LN(2)/$D$65+0.1)*AO171),IF(AL171=3,AR$100*EXP(-(LN(2)/$D$65+0.04)*(VLOOKUP(($F$16-$F$15)-1,AK$100:AO171,4,FALSE)))*EXP(-(LN(2)/$D$65+0.1)*(VLOOKUP(($F$16-$F$15)-1,AK$100:AO171,5,FALSE)))*EXP(-(LN(2)/$D$65+0.04)*(VLOOKUP(($F$16-$F$15)*2-1,AK$100:AO171,4,FALSE)))*EXP(-(LN(2)/$D$65+0.1)*(VLOOKUP(($F$16-$F$15)*2-1,AK$100:AO171,5,FALSE)))*EXP(-(LN(2)/$D$65+0.04)*AN171)*EXP(-(LN(2)/$D$65+0.1)*AO171),"-"))),"-")</f>
        <v>-</v>
      </c>
      <c r="AS171" s="274">
        <f t="shared" si="130"/>
        <v>0</v>
      </c>
      <c r="AT171" s="274">
        <f t="shared" si="131"/>
        <v>0</v>
      </c>
      <c r="AU171" s="274">
        <f t="shared" si="132"/>
        <v>0</v>
      </c>
      <c r="AV171" s="190">
        <f>IF($B171&lt;$F$22,SUM($T$100:$T171),"")</f>
        <v>0</v>
      </c>
      <c r="AW171" s="190" t="str">
        <f t="shared" si="133"/>
        <v>-</v>
      </c>
      <c r="AX171" s="190" t="str">
        <f t="shared" si="158"/>
        <v/>
      </c>
      <c r="AY171"/>
      <c r="AZ171" s="190" t="str">
        <f ca="1">IF(ISNUMBER(OFFSET(AV171,-$F$21,0)),SUM(OFFSET($T$100,$F$21,0):$T171),"")</f>
        <v/>
      </c>
      <c r="BA171" s="190" t="str">
        <f t="shared" ca="1" si="134"/>
        <v/>
      </c>
      <c r="BB171" s="190" t="str">
        <f t="shared" ca="1" si="70"/>
        <v/>
      </c>
      <c r="BC171" s="190"/>
      <c r="BD171" s="190" t="str">
        <f ca="1">IFERROR(IF(AND($B171&gt;=($F$16-$F$15),$B171&lt;$F$22+($F$16-$F$15)),SUM(OFFSET($T$100,($F$16-$F$15),0):$T171),""),"")</f>
        <v/>
      </c>
      <c r="BE171" s="190" t="str">
        <f t="shared" ca="1" si="159"/>
        <v/>
      </c>
      <c r="BF171" s="190" t="str">
        <f t="shared" ca="1" si="160"/>
        <v/>
      </c>
      <c r="BG171"/>
      <c r="BH171" s="190" t="str">
        <f ca="1">IF(ISNUMBER(OFFSET(BD171,-$F$21,0)),SUM(OFFSET($T$100,($F$16-$F$15+$F$21),0):$T171),"")</f>
        <v/>
      </c>
      <c r="BI171" s="190" t="str">
        <f t="shared" ca="1" si="135"/>
        <v/>
      </c>
      <c r="BJ171" s="190" t="str">
        <f t="shared" ca="1" si="161"/>
        <v/>
      </c>
      <c r="BK171" s="190"/>
      <c r="BL171" s="190" t="str">
        <f ca="1">IFERROR(IF(AND($B171&gt;=($F$17-$F$15),$B171&lt;$F$22+($F$17-$F$15)),SUM(OFFSET($T$100,($F$17-$F$15),0):$T171),""),"")</f>
        <v/>
      </c>
      <c r="BM171" s="190" t="str">
        <f t="shared" ca="1" si="136"/>
        <v/>
      </c>
      <c r="BN171" s="190" t="str">
        <f t="shared" ca="1" si="162"/>
        <v/>
      </c>
      <c r="BO171"/>
      <c r="BP171" s="190" t="str">
        <f ca="1">IF(ISNUMBER(OFFSET(BL171,-$F$21,0)),SUM(OFFSET($T$100,($F$17-$F$15+$F$21),0):$T171),"")</f>
        <v/>
      </c>
      <c r="BQ171" s="190" t="str">
        <f t="shared" ca="1" si="137"/>
        <v/>
      </c>
      <c r="BR171" s="190" t="str">
        <f t="shared" ca="1" si="163"/>
        <v/>
      </c>
      <c r="BS171" s="190"/>
      <c r="BT171"/>
      <c r="BU171"/>
      <c r="BV171"/>
      <c r="BY171" s="99"/>
      <c r="BZ171" s="99"/>
      <c r="CA171" s="280" t="str">
        <f t="shared" si="138"/>
        <v/>
      </c>
      <c r="CB171" s="71" t="str">
        <f t="shared" si="139"/>
        <v>-</v>
      </c>
      <c r="CC171" s="33"/>
      <c r="CD171" s="261" t="str">
        <f t="shared" si="140"/>
        <v/>
      </c>
      <c r="CE171" s="280" t="str">
        <f t="shared" si="141"/>
        <v>-</v>
      </c>
      <c r="CF171" s="71" t="str">
        <f t="shared" ca="1" si="142"/>
        <v>-</v>
      </c>
      <c r="CG171" s="33" t="str">
        <f t="shared" si="143"/>
        <v>71-72</v>
      </c>
      <c r="CH171" s="261" t="str">
        <f t="shared" ca="1" si="144"/>
        <v/>
      </c>
      <c r="CI171" s="202"/>
      <c r="CP171" s="99"/>
      <c r="CQ171" s="99"/>
      <c r="CR171" s="99"/>
      <c r="CS171" s="99"/>
      <c r="CT171" s="99"/>
      <c r="CU171" s="99"/>
      <c r="CV171" s="99"/>
      <c r="CW171" s="99"/>
      <c r="CX171" s="99"/>
      <c r="CY171" s="99"/>
      <c r="CZ171" s="99"/>
      <c r="DA171" s="99"/>
      <c r="DB171" s="99"/>
      <c r="DC171" s="99"/>
    </row>
    <row r="172" spans="2:107" ht="13.5" customHeight="1" x14ac:dyDescent="0.2">
      <c r="B172" s="262">
        <v>72</v>
      </c>
      <c r="C172" s="237" t="str">
        <f t="shared" si="107"/>
        <v/>
      </c>
      <c r="D172" s="237" t="str">
        <f t="shared" si="145"/>
        <v>-</v>
      </c>
      <c r="E172" s="290" t="str">
        <f t="shared" si="146"/>
        <v/>
      </c>
      <c r="F172" s="264" t="str">
        <f t="shared" si="147"/>
        <v/>
      </c>
      <c r="G172" s="291" t="str">
        <f t="shared" si="148"/>
        <v/>
      </c>
      <c r="H172" s="240" t="str">
        <f t="shared" si="108"/>
        <v/>
      </c>
      <c r="I172" s="265" t="str">
        <f t="shared" si="109"/>
        <v/>
      </c>
      <c r="J172" s="265" t="str">
        <f t="shared" si="110"/>
        <v/>
      </c>
      <c r="K172" s="240" t="str">
        <f t="shared" si="111"/>
        <v/>
      </c>
      <c r="L172" s="265" t="str">
        <f t="shared" si="112"/>
        <v/>
      </c>
      <c r="M172" s="265" t="str">
        <f t="shared" si="113"/>
        <v/>
      </c>
      <c r="N172" s="240" t="str">
        <f t="shared" si="114"/>
        <v>-</v>
      </c>
      <c r="O172" s="265" t="str">
        <f t="shared" si="115"/>
        <v>-</v>
      </c>
      <c r="P172" s="265" t="str">
        <f t="shared" si="116"/>
        <v>-</v>
      </c>
      <c r="Q172" s="266" t="str">
        <f t="shared" si="117"/>
        <v>-</v>
      </c>
      <c r="R172" s="267" t="str">
        <f t="shared" si="118"/>
        <v>-</v>
      </c>
      <c r="S172" s="268" t="str">
        <f t="shared" si="119"/>
        <v>-</v>
      </c>
      <c r="T172" s="269" t="str">
        <f t="shared" si="120"/>
        <v/>
      </c>
      <c r="U172" s="221">
        <f t="shared" si="121"/>
        <v>72</v>
      </c>
      <c r="V172" s="220" t="str">
        <f t="shared" si="122"/>
        <v>-</v>
      </c>
      <c r="W172" s="221" t="str">
        <f t="shared" si="149"/>
        <v>-</v>
      </c>
      <c r="X172" s="221" t="str">
        <f t="shared" si="123"/>
        <v>-</v>
      </c>
      <c r="Y172" s="221" t="str">
        <f t="shared" si="124"/>
        <v>-</v>
      </c>
      <c r="Z172" s="270">
        <f t="shared" si="150"/>
        <v>0.1</v>
      </c>
      <c r="AA172" s="271" t="str">
        <f>IFERROR(IF(V171=1,AA$100*EXP(-(LN(2)/$D$65+0.04)*X171)*EXP(-(LN(2)/$D$65+0.1)*Y171),IF(V171=2,AA$100*EXP(-(LN(2)/$D$65+0.04)*(VLOOKUP(($F$16-$F$15)-1,U$99:Y171,4,FALSE)))*EXP(-(LN(2)/$D$65+0.1)*(VLOOKUP(($F$16-$F$15)-1,U$99:Y171,5,FALSE)))*EXP(-(LN(2)/$D$65+0.04)*X171)*EXP(-(LN(2)/$D$65+0.1)*Y171),IF(V171=3,AA$100*EXP(-(LN(2)/$D$65+0.04)*(VLOOKUP(($F$16-$F$15)-1,U$99:Y171,4,FALSE)))*EXP(-(LN(2)/$D$65+0.1)*(VLOOKUP(($F$16-$F$15)-1,U$99:Y171,5,FALSE)))*EXP(-(LN(2)/$D$65+0.04)*(VLOOKUP(($F$16-$F$15)*2-1,U$99:Y171,4,FALSE)))*EXP(-(LN(2)/$D$65+0.1)*(VLOOKUP(($F$16-$F$15)*2-1,U$99:Y171,5,FALSE)))*EXP(-(LN(2)/$D$65+0.04)*X171)*EXP(-(LN(2)/$D$65+0.1)*Y171),"-"))),"-")</f>
        <v>-</v>
      </c>
      <c r="AB172" s="271" t="str">
        <f>IFERROR(IF(V172=1,AB$100*EXP(-(LN(2)/$D$65+0.04)*X172)*EXP(-(LN(2)/$D$65+0.1)*Y172),IF(V172=2,AB$100*EXP(-(LN(2)/$D$65+0.04)*(VLOOKUP(($F$16-$F$15)-1,U$100:Y172,4,FALSE)))*EXP(-(LN(2)/$D$65+0.1)*(VLOOKUP(($F$16-$F$15)-1,U$100:Y172,5,FALSE)))*EXP(-(LN(2)/$D$65+0.04)*X172)*EXP(-(LN(2)/$D$65+0.1)*Y172),IF(V172=3,AB$100*EXP(-(LN(2)/$D$65+0.04)*(VLOOKUP(($F$16-$F$15)-1,U$100:Y172,4,FALSE)))*EXP(-(LN(2)/$D$65+0.1)*(VLOOKUP(($F$16-$F$15)-1,U$100:Y172,5,FALSE)))*EXP(-(LN(2)/$D$65+0.04)*(VLOOKUP(($F$16-$F$15)*2-1,U$100:Y172,4,FALSE)))*EXP(-(LN(2)/$D$65+0.1)*(VLOOKUP(($F$16-$F$15)*2-1,U$100:Y172,5,FALSE)))*EXP(-(LN(2)/$D$65+0.04)*X172)*EXP(-(LN(2)/$D$65+0.1)*Y172),"-"))),"-")</f>
        <v>-</v>
      </c>
      <c r="AC172" s="224">
        <f t="shared" si="151"/>
        <v>72</v>
      </c>
      <c r="AD172" s="223" t="str">
        <f t="shared" si="125"/>
        <v>-</v>
      </c>
      <c r="AE172" s="224" t="str">
        <f t="shared" si="152"/>
        <v>-</v>
      </c>
      <c r="AF172" s="224" t="str">
        <f t="shared" si="126"/>
        <v>-</v>
      </c>
      <c r="AG172" s="224" t="str">
        <f t="shared" si="127"/>
        <v>-</v>
      </c>
      <c r="AH172" s="272">
        <f t="shared" si="153"/>
        <v>0.1</v>
      </c>
      <c r="AI172" s="271" t="str">
        <f>IFERROR(IF(AD171=1,AI$100*EXP(-(LN(2)/$D$65+0.04)*AF171)*EXP(-(LN(2)/$D$65+0.1)*AG171),IF(AD171=2,AI$100*EXP(-(LN(2)/$D$65+0.04)*(VLOOKUP(($F$16-$F$15)-1,AC$99:AG171,4,FALSE)))*EXP(-(LN(2)/$D$65+0.1)*(VLOOKUP(($F$16-$F$15)-1,AC$99:AG171,5,FALSE)))*EXP(-(LN(2)/$D$65+0.04)*AF171)*EXP(-(LN(2)/$D$65+0.1)*AG171),IF(AD171=3,AI$100*EXP(-(LN(2)/$D$65+0.04)*(VLOOKUP(($F$16-$F$15)-1,AC$99:AG171,4,FALSE)))*EXP(-(LN(2)/$D$65+0.1)*(VLOOKUP(($F$16-$F$15)-1,AC$99:AG171,5,FALSE)))*EXP(-(LN(2)/$D$65+0.04)*(VLOOKUP(($F$16-$F$15)*2-1,AC$99:AG171,4,FALSE)))*EXP(-(LN(2)/$D$65+0.1)*(VLOOKUP(($F$16-$F$15)*2-1,AC$99:AG171,5,FALSE)))*EXP(-(LN(2)/$D$65+0.04)*AF171)*EXP(-(LN(2)/$D$65+0.1)*AG171),"-"))),"-")</f>
        <v>-</v>
      </c>
      <c r="AJ172" s="271" t="str">
        <f>IFERROR(IF(AD172=1,AJ$100*EXP(-(LN(2)/$D$65+0.04)*AF172)*EXP(-(LN(2)/$D$65+0.1)*AG172),IF(AD172=2,AJ$100*EXP(-(LN(2)/$D$65+0.04)*(VLOOKUP(($F$16-$F$15)-1,AC$100:AG172,4,FALSE)))*EXP(-(LN(2)/$D$65+0.1)*(VLOOKUP(($F$16-$F$15)-1,AC$100:AG172,5,FALSE)))*EXP(-(LN(2)/$D$65+0.04)*AF172)*EXP(-(LN(2)/$D$65+0.1)*AG172),IF(AD172=3,AJ$100*EXP(-(LN(2)/$D$65+0.04)*(VLOOKUP(($F$16-$F$15)-1,AC$100:AG172,4,FALSE)))*EXP(-(LN(2)/$D$65+0.1)*(VLOOKUP(($F$16-$F$15)-1,AC$100:AG172,5,FALSE)))*EXP(-(LN(2)/$D$65+0.04)*(VLOOKUP(($F$16-$F$15)*2-1,AC$100:AG172,4,FALSE)))*EXP(-(LN(2)/$D$65+0.1)*(VLOOKUP(($F$16-$F$15)*2-1,AC$100:AG172,5,FALSE)))*EXP(-(LN(2)/$D$65+0.04)*AF172)*EXP(-(LN(2)/$D$65+0.1)*AG172),"-"))),"-")</f>
        <v>-</v>
      </c>
      <c r="AK172" s="227">
        <f t="shared" si="154"/>
        <v>72</v>
      </c>
      <c r="AL172" s="226" t="str">
        <f t="shared" si="128"/>
        <v>-</v>
      </c>
      <c r="AM172" s="227" t="str">
        <f t="shared" si="155"/>
        <v>-</v>
      </c>
      <c r="AN172" s="227" t="str">
        <f t="shared" si="156"/>
        <v>-</v>
      </c>
      <c r="AO172" s="227" t="str">
        <f t="shared" si="129"/>
        <v>-</v>
      </c>
      <c r="AP172" s="273">
        <f t="shared" si="157"/>
        <v>0.1</v>
      </c>
      <c r="AQ172" s="271" t="str">
        <f>IFERROR(IF(AL171=1,AQ$100*EXP(-(LN(2)/$D$65+0.04)*AN171)*EXP(-(LN(2)/$D$65+0.1)*AO171),IF(AL171=2,AQ$100*EXP(-(LN(2)/$D$65+0.04)*(VLOOKUP(($F$16-$F$15)-1,AK$99:AO171,4,FALSE)))*EXP(-(LN(2)/$D$65+0.1)*(VLOOKUP(($F$16-$F$15)-1,AK$99:AO171,5,FALSE)))*EXP(-(LN(2)/$D$65+0.04)*AN171)*EXP(-(LN(2)/$D$65+0.1)*AO171),IF(AL171=3,AQ$100*EXP(-(LN(2)/$D$65+0.04)*(VLOOKUP(($F$16-$F$15)-1,AK$99:AO171,4,FALSE)))*EXP(-(LN(2)/$D$65+0.1)*(VLOOKUP(($F$16-$F$15)-1,AK$99:AO171,5,FALSE)))*EXP(-(LN(2)/$D$65+0.04)*(VLOOKUP(($F$16-$F$15)*2-1,AK$99:AO171,4,FALSE)))*EXP(-(LN(2)/$D$65+0.1)*(VLOOKUP(($F$16-$F$15)*2-1,AK$99:AO171,5,FALSE)))*EXP(-(LN(2)/$D$65+0.04)*AN171)*EXP(-(LN(2)/$D$65+0.1)*AO171),"-"))),"-")</f>
        <v>-</v>
      </c>
      <c r="AR172" s="271" t="str">
        <f>IFERROR(IF(AL172=1,AR$100*EXP(-(LN(2)/$D$65+0.04)*AN172)*EXP(-(LN(2)/$D$65+0.1)*AO172),IF(AL172=2,AR$100*EXP(-(LN(2)/$D$65+0.04)*(VLOOKUP(($F$16-$F$15)-1,AK$100:AO172,4,FALSE)))*EXP(-(LN(2)/$D$65+0.1)*(VLOOKUP(($F$16-$F$15)-1,AK$100:AO172,5,FALSE)))*EXP(-(LN(2)/$D$65+0.04)*AN172)*EXP(-(LN(2)/$D$65+0.1)*AO172),IF(AL172=3,AR$100*EXP(-(LN(2)/$D$65+0.04)*(VLOOKUP(($F$16-$F$15)-1,AK$100:AO172,4,FALSE)))*EXP(-(LN(2)/$D$65+0.1)*(VLOOKUP(($F$16-$F$15)-1,AK$100:AO172,5,FALSE)))*EXP(-(LN(2)/$D$65+0.04)*(VLOOKUP(($F$16-$F$15)*2-1,AK$100:AO172,4,FALSE)))*EXP(-(LN(2)/$D$65+0.1)*(VLOOKUP(($F$16-$F$15)*2-1,AK$100:AO172,5,FALSE)))*EXP(-(LN(2)/$D$65+0.04)*AN172)*EXP(-(LN(2)/$D$65+0.1)*AO172),"-"))),"-")</f>
        <v>-</v>
      </c>
      <c r="AS172" s="274">
        <f t="shared" si="130"/>
        <v>0</v>
      </c>
      <c r="AT172" s="274">
        <f t="shared" si="131"/>
        <v>0</v>
      </c>
      <c r="AU172" s="274">
        <f t="shared" si="132"/>
        <v>0</v>
      </c>
      <c r="AV172" s="190">
        <f>IF($B172&lt;$F$22,SUM($T$100:$T172),"")</f>
        <v>0</v>
      </c>
      <c r="AW172" s="190" t="str">
        <f t="shared" si="133"/>
        <v>-</v>
      </c>
      <c r="AX172" s="190" t="str">
        <f t="shared" si="158"/>
        <v/>
      </c>
      <c r="AY172"/>
      <c r="AZ172" s="190" t="str">
        <f ca="1">IF(ISNUMBER(OFFSET(AV172,-$F$21,0)),SUM(OFFSET($T$100,$F$21,0):$T172),"")</f>
        <v/>
      </c>
      <c r="BA172" s="190" t="str">
        <f t="shared" ca="1" si="134"/>
        <v/>
      </c>
      <c r="BB172" s="190" t="str">
        <f t="shared" ca="1" si="70"/>
        <v/>
      </c>
      <c r="BC172" s="190"/>
      <c r="BD172" s="190" t="str">
        <f ca="1">IFERROR(IF(AND($B172&gt;=($F$16-$F$15),$B172&lt;$F$22+($F$16-$F$15)),SUM(OFFSET($T$100,($F$16-$F$15),0):$T172),""),"")</f>
        <v/>
      </c>
      <c r="BE172" s="190" t="str">
        <f t="shared" ca="1" si="159"/>
        <v/>
      </c>
      <c r="BF172" s="190" t="str">
        <f t="shared" ca="1" si="160"/>
        <v/>
      </c>
      <c r="BG172"/>
      <c r="BH172" s="190" t="str">
        <f ca="1">IF(ISNUMBER(OFFSET(BD172,-$F$21,0)),SUM(OFFSET($T$100,($F$16-$F$15+$F$21),0):$T172),"")</f>
        <v/>
      </c>
      <c r="BI172" s="190" t="str">
        <f t="shared" ca="1" si="135"/>
        <v/>
      </c>
      <c r="BJ172" s="190" t="str">
        <f t="shared" ca="1" si="161"/>
        <v/>
      </c>
      <c r="BK172" s="190"/>
      <c r="BL172" s="190" t="str">
        <f ca="1">IFERROR(IF(AND($B172&gt;=($F$17-$F$15),$B172&lt;$F$22+($F$17-$F$15)),SUM(OFFSET($T$100,($F$17-$F$15),0):$T172),""),"")</f>
        <v/>
      </c>
      <c r="BM172" s="190" t="str">
        <f t="shared" ca="1" si="136"/>
        <v/>
      </c>
      <c r="BN172" s="190" t="str">
        <f t="shared" ca="1" si="162"/>
        <v/>
      </c>
      <c r="BO172"/>
      <c r="BP172" s="190" t="str">
        <f ca="1">IF(ISNUMBER(OFFSET(BL172,-$F$21,0)),SUM(OFFSET($T$100,($F$17-$F$15+$F$21),0):$T172),"")</f>
        <v/>
      </c>
      <c r="BQ172" s="190" t="str">
        <f t="shared" ca="1" si="137"/>
        <v/>
      </c>
      <c r="BR172" s="190" t="str">
        <f t="shared" ca="1" si="163"/>
        <v/>
      </c>
      <c r="BS172" s="190"/>
      <c r="BT172"/>
      <c r="BU172"/>
      <c r="BV172"/>
      <c r="BY172" s="99"/>
      <c r="BZ172" s="99"/>
      <c r="CA172" s="280" t="str">
        <f t="shared" si="138"/>
        <v/>
      </c>
      <c r="CB172" s="71" t="str">
        <f t="shared" si="139"/>
        <v>-</v>
      </c>
      <c r="CC172" s="33"/>
      <c r="CD172" s="261" t="str">
        <f t="shared" si="140"/>
        <v/>
      </c>
      <c r="CE172" s="280" t="str">
        <f t="shared" si="141"/>
        <v>-</v>
      </c>
      <c r="CF172" s="71" t="str">
        <f t="shared" ca="1" si="142"/>
        <v>-</v>
      </c>
      <c r="CG172" s="33" t="str">
        <f t="shared" si="143"/>
        <v>72-73</v>
      </c>
      <c r="CH172" s="261" t="str">
        <f t="shared" ca="1" si="144"/>
        <v/>
      </c>
      <c r="CI172" s="202"/>
      <c r="CP172" s="99"/>
      <c r="CQ172" s="99"/>
      <c r="CR172" s="99"/>
      <c r="CS172" s="99"/>
      <c r="CT172" s="99"/>
      <c r="CU172" s="99"/>
      <c r="CV172" s="99"/>
      <c r="CW172" s="99"/>
      <c r="CX172" s="99"/>
      <c r="CY172" s="99"/>
      <c r="CZ172" s="99"/>
      <c r="DA172" s="99"/>
      <c r="DB172" s="99"/>
      <c r="DC172" s="99"/>
    </row>
    <row r="173" spans="2:107" ht="13.5" customHeight="1" x14ac:dyDescent="0.2">
      <c r="B173" s="262">
        <v>73</v>
      </c>
      <c r="C173" s="237" t="str">
        <f t="shared" si="107"/>
        <v/>
      </c>
      <c r="D173" s="237" t="str">
        <f t="shared" si="145"/>
        <v>-</v>
      </c>
      <c r="E173" s="290" t="str">
        <f t="shared" si="146"/>
        <v/>
      </c>
      <c r="F173" s="264" t="str">
        <f t="shared" si="147"/>
        <v/>
      </c>
      <c r="G173" s="291" t="str">
        <f t="shared" si="148"/>
        <v/>
      </c>
      <c r="H173" s="240" t="str">
        <f t="shared" si="108"/>
        <v/>
      </c>
      <c r="I173" s="265" t="str">
        <f t="shared" si="109"/>
        <v/>
      </c>
      <c r="J173" s="265" t="str">
        <f t="shared" si="110"/>
        <v/>
      </c>
      <c r="K173" s="240" t="str">
        <f t="shared" si="111"/>
        <v/>
      </c>
      <c r="L173" s="265" t="str">
        <f t="shared" si="112"/>
        <v/>
      </c>
      <c r="M173" s="265" t="str">
        <f t="shared" si="113"/>
        <v/>
      </c>
      <c r="N173" s="240" t="str">
        <f t="shared" si="114"/>
        <v>-</v>
      </c>
      <c r="O173" s="265" t="str">
        <f t="shared" si="115"/>
        <v>-</v>
      </c>
      <c r="P173" s="265" t="str">
        <f t="shared" si="116"/>
        <v>-</v>
      </c>
      <c r="Q173" s="266" t="str">
        <f t="shared" si="117"/>
        <v>-</v>
      </c>
      <c r="R173" s="267" t="str">
        <f t="shared" si="118"/>
        <v>-</v>
      </c>
      <c r="S173" s="268" t="str">
        <f t="shared" si="119"/>
        <v>-</v>
      </c>
      <c r="T173" s="269" t="str">
        <f t="shared" si="120"/>
        <v/>
      </c>
      <c r="U173" s="221">
        <f t="shared" si="121"/>
        <v>73</v>
      </c>
      <c r="V173" s="220" t="str">
        <f t="shared" si="122"/>
        <v>-</v>
      </c>
      <c r="W173" s="221" t="str">
        <f t="shared" si="149"/>
        <v>-</v>
      </c>
      <c r="X173" s="221" t="str">
        <f t="shared" si="123"/>
        <v>-</v>
      </c>
      <c r="Y173" s="221" t="str">
        <f t="shared" si="124"/>
        <v>-</v>
      </c>
      <c r="Z173" s="270">
        <f t="shared" si="150"/>
        <v>0.1</v>
      </c>
      <c r="AA173" s="271" t="str">
        <f>IFERROR(IF(V172=1,AA$100*EXP(-(LN(2)/$D$65+0.04)*X172)*EXP(-(LN(2)/$D$65+0.1)*Y172),IF(V172=2,AA$100*EXP(-(LN(2)/$D$65+0.04)*(VLOOKUP(($F$16-$F$15)-1,U$99:Y172,4,FALSE)))*EXP(-(LN(2)/$D$65+0.1)*(VLOOKUP(($F$16-$F$15)-1,U$99:Y172,5,FALSE)))*EXP(-(LN(2)/$D$65+0.04)*X172)*EXP(-(LN(2)/$D$65+0.1)*Y172),IF(V172=3,AA$100*EXP(-(LN(2)/$D$65+0.04)*(VLOOKUP(($F$16-$F$15)-1,U$99:Y172,4,FALSE)))*EXP(-(LN(2)/$D$65+0.1)*(VLOOKUP(($F$16-$F$15)-1,U$99:Y172,5,FALSE)))*EXP(-(LN(2)/$D$65+0.04)*(VLOOKUP(($F$16-$F$15)*2-1,U$99:Y172,4,FALSE)))*EXP(-(LN(2)/$D$65+0.1)*(VLOOKUP(($F$16-$F$15)*2-1,U$99:Y172,5,FALSE)))*EXP(-(LN(2)/$D$65+0.04)*X172)*EXP(-(LN(2)/$D$65+0.1)*Y172),"-"))),"-")</f>
        <v>-</v>
      </c>
      <c r="AB173" s="271" t="str">
        <f>IFERROR(IF(V173=1,AB$100*EXP(-(LN(2)/$D$65+0.04)*X173)*EXP(-(LN(2)/$D$65+0.1)*Y173),IF(V173=2,AB$100*EXP(-(LN(2)/$D$65+0.04)*(VLOOKUP(($F$16-$F$15)-1,U$100:Y173,4,FALSE)))*EXP(-(LN(2)/$D$65+0.1)*(VLOOKUP(($F$16-$F$15)-1,U$100:Y173,5,FALSE)))*EXP(-(LN(2)/$D$65+0.04)*X173)*EXP(-(LN(2)/$D$65+0.1)*Y173),IF(V173=3,AB$100*EXP(-(LN(2)/$D$65+0.04)*(VLOOKUP(($F$16-$F$15)-1,U$100:Y173,4,FALSE)))*EXP(-(LN(2)/$D$65+0.1)*(VLOOKUP(($F$16-$F$15)-1,U$100:Y173,5,FALSE)))*EXP(-(LN(2)/$D$65+0.04)*(VLOOKUP(($F$16-$F$15)*2-1,U$100:Y173,4,FALSE)))*EXP(-(LN(2)/$D$65+0.1)*(VLOOKUP(($F$16-$F$15)*2-1,U$100:Y173,5,FALSE)))*EXP(-(LN(2)/$D$65+0.04)*X173)*EXP(-(LN(2)/$D$65+0.1)*Y173),"-"))),"-")</f>
        <v>-</v>
      </c>
      <c r="AC173" s="224">
        <f t="shared" si="151"/>
        <v>73</v>
      </c>
      <c r="AD173" s="223" t="str">
        <f t="shared" si="125"/>
        <v>-</v>
      </c>
      <c r="AE173" s="224" t="str">
        <f t="shared" si="152"/>
        <v>-</v>
      </c>
      <c r="AF173" s="224" t="str">
        <f t="shared" si="126"/>
        <v>-</v>
      </c>
      <c r="AG173" s="224" t="str">
        <f t="shared" si="127"/>
        <v>-</v>
      </c>
      <c r="AH173" s="272">
        <f t="shared" si="153"/>
        <v>0.1</v>
      </c>
      <c r="AI173" s="271" t="str">
        <f>IFERROR(IF(AD172=1,AI$100*EXP(-(LN(2)/$D$65+0.04)*AF172)*EXP(-(LN(2)/$D$65+0.1)*AG172),IF(AD172=2,AI$100*EXP(-(LN(2)/$D$65+0.04)*(VLOOKUP(($F$16-$F$15)-1,AC$99:AG172,4,FALSE)))*EXP(-(LN(2)/$D$65+0.1)*(VLOOKUP(($F$16-$F$15)-1,AC$99:AG172,5,FALSE)))*EXP(-(LN(2)/$D$65+0.04)*AF172)*EXP(-(LN(2)/$D$65+0.1)*AG172),IF(AD172=3,AI$100*EXP(-(LN(2)/$D$65+0.04)*(VLOOKUP(($F$16-$F$15)-1,AC$99:AG172,4,FALSE)))*EXP(-(LN(2)/$D$65+0.1)*(VLOOKUP(($F$16-$F$15)-1,AC$99:AG172,5,FALSE)))*EXP(-(LN(2)/$D$65+0.04)*(VLOOKUP(($F$16-$F$15)*2-1,AC$99:AG172,4,FALSE)))*EXP(-(LN(2)/$D$65+0.1)*(VLOOKUP(($F$16-$F$15)*2-1,AC$99:AG172,5,FALSE)))*EXP(-(LN(2)/$D$65+0.04)*AF172)*EXP(-(LN(2)/$D$65+0.1)*AG172),"-"))),"-")</f>
        <v>-</v>
      </c>
      <c r="AJ173" s="271" t="str">
        <f>IFERROR(IF(AD173=1,AJ$100*EXP(-(LN(2)/$D$65+0.04)*AF173)*EXP(-(LN(2)/$D$65+0.1)*AG173),IF(AD173=2,AJ$100*EXP(-(LN(2)/$D$65+0.04)*(VLOOKUP(($F$16-$F$15)-1,AC$100:AG173,4,FALSE)))*EXP(-(LN(2)/$D$65+0.1)*(VLOOKUP(($F$16-$F$15)-1,AC$100:AG173,5,FALSE)))*EXP(-(LN(2)/$D$65+0.04)*AF173)*EXP(-(LN(2)/$D$65+0.1)*AG173),IF(AD173=3,AJ$100*EXP(-(LN(2)/$D$65+0.04)*(VLOOKUP(($F$16-$F$15)-1,AC$100:AG173,4,FALSE)))*EXP(-(LN(2)/$D$65+0.1)*(VLOOKUP(($F$16-$F$15)-1,AC$100:AG173,5,FALSE)))*EXP(-(LN(2)/$D$65+0.04)*(VLOOKUP(($F$16-$F$15)*2-1,AC$100:AG173,4,FALSE)))*EXP(-(LN(2)/$D$65+0.1)*(VLOOKUP(($F$16-$F$15)*2-1,AC$100:AG173,5,FALSE)))*EXP(-(LN(2)/$D$65+0.04)*AF173)*EXP(-(LN(2)/$D$65+0.1)*AG173),"-"))),"-")</f>
        <v>-</v>
      </c>
      <c r="AK173" s="227">
        <f t="shared" si="154"/>
        <v>73</v>
      </c>
      <c r="AL173" s="226" t="str">
        <f t="shared" si="128"/>
        <v>-</v>
      </c>
      <c r="AM173" s="227" t="str">
        <f t="shared" si="155"/>
        <v>-</v>
      </c>
      <c r="AN173" s="227" t="str">
        <f t="shared" si="156"/>
        <v>-</v>
      </c>
      <c r="AO173" s="227" t="str">
        <f t="shared" si="129"/>
        <v>-</v>
      </c>
      <c r="AP173" s="273">
        <f t="shared" si="157"/>
        <v>0.1</v>
      </c>
      <c r="AQ173" s="271" t="str">
        <f>IFERROR(IF(AL172=1,AQ$100*EXP(-(LN(2)/$D$65+0.04)*AN172)*EXP(-(LN(2)/$D$65+0.1)*AO172),IF(AL172=2,AQ$100*EXP(-(LN(2)/$D$65+0.04)*(VLOOKUP(($F$16-$F$15)-1,AK$99:AO172,4,FALSE)))*EXP(-(LN(2)/$D$65+0.1)*(VLOOKUP(($F$16-$F$15)-1,AK$99:AO172,5,FALSE)))*EXP(-(LN(2)/$D$65+0.04)*AN172)*EXP(-(LN(2)/$D$65+0.1)*AO172),IF(AL172=3,AQ$100*EXP(-(LN(2)/$D$65+0.04)*(VLOOKUP(($F$16-$F$15)-1,AK$99:AO172,4,FALSE)))*EXP(-(LN(2)/$D$65+0.1)*(VLOOKUP(($F$16-$F$15)-1,AK$99:AO172,5,FALSE)))*EXP(-(LN(2)/$D$65+0.04)*(VLOOKUP(($F$16-$F$15)*2-1,AK$99:AO172,4,FALSE)))*EXP(-(LN(2)/$D$65+0.1)*(VLOOKUP(($F$16-$F$15)*2-1,AK$99:AO172,5,FALSE)))*EXP(-(LN(2)/$D$65+0.04)*AN172)*EXP(-(LN(2)/$D$65+0.1)*AO172),"-"))),"-")</f>
        <v>-</v>
      </c>
      <c r="AR173" s="271" t="str">
        <f>IFERROR(IF(AL173=1,AR$100*EXP(-(LN(2)/$D$65+0.04)*AN173)*EXP(-(LN(2)/$D$65+0.1)*AO173),IF(AL173=2,AR$100*EXP(-(LN(2)/$D$65+0.04)*(VLOOKUP(($F$16-$F$15)-1,AK$100:AO173,4,FALSE)))*EXP(-(LN(2)/$D$65+0.1)*(VLOOKUP(($F$16-$F$15)-1,AK$100:AO173,5,FALSE)))*EXP(-(LN(2)/$D$65+0.04)*AN173)*EXP(-(LN(2)/$D$65+0.1)*AO173),IF(AL173=3,AR$100*EXP(-(LN(2)/$D$65+0.04)*(VLOOKUP(($F$16-$F$15)-1,AK$100:AO173,4,FALSE)))*EXP(-(LN(2)/$D$65+0.1)*(VLOOKUP(($F$16-$F$15)-1,AK$100:AO173,5,FALSE)))*EXP(-(LN(2)/$D$65+0.04)*(VLOOKUP(($F$16-$F$15)*2-1,AK$100:AO173,4,FALSE)))*EXP(-(LN(2)/$D$65+0.1)*(VLOOKUP(($F$16-$F$15)*2-1,AK$100:AO173,5,FALSE)))*EXP(-(LN(2)/$D$65+0.04)*AN173)*EXP(-(LN(2)/$D$65+0.1)*AO173),"-"))),"-")</f>
        <v>-</v>
      </c>
      <c r="AS173" s="274">
        <f t="shared" si="130"/>
        <v>0</v>
      </c>
      <c r="AT173" s="274">
        <f t="shared" si="131"/>
        <v>0</v>
      </c>
      <c r="AU173" s="274">
        <f t="shared" si="132"/>
        <v>0</v>
      </c>
      <c r="AV173" s="190">
        <f>IF($B173&lt;$F$22,SUM($T$100:$T173),"")</f>
        <v>0</v>
      </c>
      <c r="AW173" s="190" t="str">
        <f t="shared" si="133"/>
        <v>-</v>
      </c>
      <c r="AX173" s="190" t="str">
        <f t="shared" si="158"/>
        <v/>
      </c>
      <c r="AY173"/>
      <c r="AZ173" s="190" t="str">
        <f ca="1">IF(ISNUMBER(OFFSET(AV173,-$F$21,0)),SUM(OFFSET($T$100,$F$21,0):$T173),"")</f>
        <v/>
      </c>
      <c r="BA173" s="190" t="str">
        <f t="shared" ca="1" si="134"/>
        <v/>
      </c>
      <c r="BB173" s="190" t="str">
        <f t="shared" ca="1" si="70"/>
        <v/>
      </c>
      <c r="BC173" s="190"/>
      <c r="BD173" s="190" t="str">
        <f ca="1">IFERROR(IF(AND($B173&gt;=($F$16-$F$15),$B173&lt;$F$22+($F$16-$F$15)),SUM(OFFSET($T$100,($F$16-$F$15),0):$T173),""),"")</f>
        <v/>
      </c>
      <c r="BE173" s="190" t="str">
        <f t="shared" ca="1" si="159"/>
        <v/>
      </c>
      <c r="BF173" s="190" t="str">
        <f t="shared" ca="1" si="160"/>
        <v/>
      </c>
      <c r="BG173"/>
      <c r="BH173" s="190" t="str">
        <f ca="1">IF(ISNUMBER(OFFSET(BD173,-$F$21,0)),SUM(OFFSET($T$100,($F$16-$F$15+$F$21),0):$T173),"")</f>
        <v/>
      </c>
      <c r="BI173" s="190" t="str">
        <f t="shared" ca="1" si="135"/>
        <v/>
      </c>
      <c r="BJ173" s="190" t="str">
        <f t="shared" ca="1" si="161"/>
        <v/>
      </c>
      <c r="BK173" s="190"/>
      <c r="BL173" s="190" t="str">
        <f ca="1">IFERROR(IF(AND($B173&gt;=($F$17-$F$15),$B173&lt;$F$22+($F$17-$F$15)),SUM(OFFSET($T$100,($F$17-$F$15),0):$T173),""),"")</f>
        <v/>
      </c>
      <c r="BM173" s="190" t="str">
        <f t="shared" ca="1" si="136"/>
        <v/>
      </c>
      <c r="BN173" s="190" t="str">
        <f t="shared" ca="1" si="162"/>
        <v/>
      </c>
      <c r="BO173"/>
      <c r="BP173" s="190" t="str">
        <f ca="1">IF(ISNUMBER(OFFSET(BL173,-$F$21,0)),SUM(OFFSET($T$100,($F$17-$F$15+$F$21),0):$T173),"")</f>
        <v/>
      </c>
      <c r="BQ173" s="190" t="str">
        <f t="shared" ca="1" si="137"/>
        <v/>
      </c>
      <c r="BR173" s="190" t="str">
        <f t="shared" ca="1" si="163"/>
        <v/>
      </c>
      <c r="BS173" s="190"/>
      <c r="BT173"/>
      <c r="BU173"/>
      <c r="BV173"/>
      <c r="BY173" s="99"/>
      <c r="BZ173" s="99"/>
      <c r="CA173" s="280" t="str">
        <f t="shared" si="138"/>
        <v/>
      </c>
      <c r="CB173" s="71" t="str">
        <f t="shared" si="139"/>
        <v>-</v>
      </c>
      <c r="CC173" s="33"/>
      <c r="CD173" s="261" t="str">
        <f t="shared" si="140"/>
        <v/>
      </c>
      <c r="CE173" s="280" t="str">
        <f t="shared" si="141"/>
        <v>-</v>
      </c>
      <c r="CF173" s="71" t="str">
        <f t="shared" ca="1" si="142"/>
        <v>-</v>
      </c>
      <c r="CG173" s="33" t="str">
        <f t="shared" si="143"/>
        <v>73-74</v>
      </c>
      <c r="CH173" s="261" t="str">
        <f t="shared" ca="1" si="144"/>
        <v/>
      </c>
      <c r="CI173" s="202"/>
      <c r="CP173" s="99"/>
      <c r="CQ173" s="99"/>
      <c r="CR173" s="99"/>
      <c r="CS173" s="99"/>
      <c r="CT173" s="99"/>
      <c r="CU173" s="99"/>
      <c r="CV173" s="99"/>
      <c r="CW173" s="99"/>
      <c r="CX173" s="99"/>
      <c r="CY173" s="99"/>
      <c r="CZ173" s="99"/>
      <c r="DA173" s="99"/>
      <c r="DB173" s="99"/>
      <c r="DC173" s="99"/>
    </row>
    <row r="174" spans="2:107" ht="13.5" customHeight="1" x14ac:dyDescent="0.2">
      <c r="B174" s="262">
        <v>74</v>
      </c>
      <c r="C174" s="237" t="str">
        <f t="shared" si="107"/>
        <v/>
      </c>
      <c r="D174" s="237" t="str">
        <f t="shared" si="145"/>
        <v>-</v>
      </c>
      <c r="E174" s="290" t="str">
        <f t="shared" si="146"/>
        <v/>
      </c>
      <c r="F174" s="264" t="str">
        <f t="shared" si="147"/>
        <v/>
      </c>
      <c r="G174" s="291" t="str">
        <f t="shared" si="148"/>
        <v/>
      </c>
      <c r="H174" s="240" t="str">
        <f t="shared" si="108"/>
        <v/>
      </c>
      <c r="I174" s="265" t="str">
        <f t="shared" si="109"/>
        <v/>
      </c>
      <c r="J174" s="265" t="str">
        <f t="shared" si="110"/>
        <v/>
      </c>
      <c r="K174" s="240" t="str">
        <f t="shared" si="111"/>
        <v/>
      </c>
      <c r="L174" s="265" t="str">
        <f t="shared" si="112"/>
        <v/>
      </c>
      <c r="M174" s="265" t="str">
        <f t="shared" si="113"/>
        <v/>
      </c>
      <c r="N174" s="240" t="str">
        <f t="shared" si="114"/>
        <v>-</v>
      </c>
      <c r="O174" s="265" t="str">
        <f t="shared" si="115"/>
        <v>-</v>
      </c>
      <c r="P174" s="265" t="str">
        <f t="shared" si="116"/>
        <v>-</v>
      </c>
      <c r="Q174" s="266" t="str">
        <f t="shared" si="117"/>
        <v>-</v>
      </c>
      <c r="R174" s="267" t="str">
        <f t="shared" si="118"/>
        <v>-</v>
      </c>
      <c r="S174" s="268" t="str">
        <f t="shared" si="119"/>
        <v>-</v>
      </c>
      <c r="T174" s="269" t="str">
        <f t="shared" si="120"/>
        <v/>
      </c>
      <c r="U174" s="221">
        <f t="shared" si="121"/>
        <v>74</v>
      </c>
      <c r="V174" s="220" t="str">
        <f t="shared" si="122"/>
        <v>-</v>
      </c>
      <c r="W174" s="221" t="str">
        <f t="shared" si="149"/>
        <v>-</v>
      </c>
      <c r="X174" s="221" t="str">
        <f t="shared" si="123"/>
        <v>-</v>
      </c>
      <c r="Y174" s="221" t="str">
        <f t="shared" si="124"/>
        <v>-</v>
      </c>
      <c r="Z174" s="270">
        <f t="shared" si="150"/>
        <v>0.1</v>
      </c>
      <c r="AA174" s="271" t="str">
        <f>IFERROR(IF(V173=1,AA$100*EXP(-(LN(2)/$D$65+0.04)*X173)*EXP(-(LN(2)/$D$65+0.1)*Y173),IF(V173=2,AA$100*EXP(-(LN(2)/$D$65+0.04)*(VLOOKUP(($F$16-$F$15)-1,U$99:Y173,4,FALSE)))*EXP(-(LN(2)/$D$65+0.1)*(VLOOKUP(($F$16-$F$15)-1,U$99:Y173,5,FALSE)))*EXP(-(LN(2)/$D$65+0.04)*X173)*EXP(-(LN(2)/$D$65+0.1)*Y173),IF(V173=3,AA$100*EXP(-(LN(2)/$D$65+0.04)*(VLOOKUP(($F$16-$F$15)-1,U$99:Y173,4,FALSE)))*EXP(-(LN(2)/$D$65+0.1)*(VLOOKUP(($F$16-$F$15)-1,U$99:Y173,5,FALSE)))*EXP(-(LN(2)/$D$65+0.04)*(VLOOKUP(($F$16-$F$15)*2-1,U$99:Y173,4,FALSE)))*EXP(-(LN(2)/$D$65+0.1)*(VLOOKUP(($F$16-$F$15)*2-1,U$99:Y173,5,FALSE)))*EXP(-(LN(2)/$D$65+0.04)*X173)*EXP(-(LN(2)/$D$65+0.1)*Y173),"-"))),"-")</f>
        <v>-</v>
      </c>
      <c r="AB174" s="271" t="str">
        <f>IFERROR(IF(V174=1,AB$100*EXP(-(LN(2)/$D$65+0.04)*X174)*EXP(-(LN(2)/$D$65+0.1)*Y174),IF(V174=2,AB$100*EXP(-(LN(2)/$D$65+0.04)*(VLOOKUP(($F$16-$F$15)-1,U$100:Y174,4,FALSE)))*EXP(-(LN(2)/$D$65+0.1)*(VLOOKUP(($F$16-$F$15)-1,U$100:Y174,5,FALSE)))*EXP(-(LN(2)/$D$65+0.04)*X174)*EXP(-(LN(2)/$D$65+0.1)*Y174),IF(V174=3,AB$100*EXP(-(LN(2)/$D$65+0.04)*(VLOOKUP(($F$16-$F$15)-1,U$100:Y174,4,FALSE)))*EXP(-(LN(2)/$D$65+0.1)*(VLOOKUP(($F$16-$F$15)-1,U$100:Y174,5,FALSE)))*EXP(-(LN(2)/$D$65+0.04)*(VLOOKUP(($F$16-$F$15)*2-1,U$100:Y174,4,FALSE)))*EXP(-(LN(2)/$D$65+0.1)*(VLOOKUP(($F$16-$F$15)*2-1,U$100:Y174,5,FALSE)))*EXP(-(LN(2)/$D$65+0.04)*X174)*EXP(-(LN(2)/$D$65+0.1)*Y174),"-"))),"-")</f>
        <v>-</v>
      </c>
      <c r="AC174" s="224">
        <f t="shared" si="151"/>
        <v>74</v>
      </c>
      <c r="AD174" s="223" t="str">
        <f t="shared" si="125"/>
        <v>-</v>
      </c>
      <c r="AE174" s="224" t="str">
        <f t="shared" si="152"/>
        <v>-</v>
      </c>
      <c r="AF174" s="224" t="str">
        <f t="shared" si="126"/>
        <v>-</v>
      </c>
      <c r="AG174" s="224" t="str">
        <f t="shared" si="127"/>
        <v>-</v>
      </c>
      <c r="AH174" s="272">
        <f t="shared" si="153"/>
        <v>0.1</v>
      </c>
      <c r="AI174" s="271" t="str">
        <f>IFERROR(IF(AD173=1,AI$100*EXP(-(LN(2)/$D$65+0.04)*AF173)*EXP(-(LN(2)/$D$65+0.1)*AG173),IF(AD173=2,AI$100*EXP(-(LN(2)/$D$65+0.04)*(VLOOKUP(($F$16-$F$15)-1,AC$99:AG173,4,FALSE)))*EXP(-(LN(2)/$D$65+0.1)*(VLOOKUP(($F$16-$F$15)-1,AC$99:AG173,5,FALSE)))*EXP(-(LN(2)/$D$65+0.04)*AF173)*EXP(-(LN(2)/$D$65+0.1)*AG173),IF(AD173=3,AI$100*EXP(-(LN(2)/$D$65+0.04)*(VLOOKUP(($F$16-$F$15)-1,AC$99:AG173,4,FALSE)))*EXP(-(LN(2)/$D$65+0.1)*(VLOOKUP(($F$16-$F$15)-1,AC$99:AG173,5,FALSE)))*EXP(-(LN(2)/$D$65+0.04)*(VLOOKUP(($F$16-$F$15)*2-1,AC$99:AG173,4,FALSE)))*EXP(-(LN(2)/$D$65+0.1)*(VLOOKUP(($F$16-$F$15)*2-1,AC$99:AG173,5,FALSE)))*EXP(-(LN(2)/$D$65+0.04)*AF173)*EXP(-(LN(2)/$D$65+0.1)*AG173),"-"))),"-")</f>
        <v>-</v>
      </c>
      <c r="AJ174" s="271" t="str">
        <f>IFERROR(IF(AD174=1,AJ$100*EXP(-(LN(2)/$D$65+0.04)*AF174)*EXP(-(LN(2)/$D$65+0.1)*AG174),IF(AD174=2,AJ$100*EXP(-(LN(2)/$D$65+0.04)*(VLOOKUP(($F$16-$F$15)-1,AC$100:AG174,4,FALSE)))*EXP(-(LN(2)/$D$65+0.1)*(VLOOKUP(($F$16-$F$15)-1,AC$100:AG174,5,FALSE)))*EXP(-(LN(2)/$D$65+0.04)*AF174)*EXP(-(LN(2)/$D$65+0.1)*AG174),IF(AD174=3,AJ$100*EXP(-(LN(2)/$D$65+0.04)*(VLOOKUP(($F$16-$F$15)-1,AC$100:AG174,4,FALSE)))*EXP(-(LN(2)/$D$65+0.1)*(VLOOKUP(($F$16-$F$15)-1,AC$100:AG174,5,FALSE)))*EXP(-(LN(2)/$D$65+0.04)*(VLOOKUP(($F$16-$F$15)*2-1,AC$100:AG174,4,FALSE)))*EXP(-(LN(2)/$D$65+0.1)*(VLOOKUP(($F$16-$F$15)*2-1,AC$100:AG174,5,FALSE)))*EXP(-(LN(2)/$D$65+0.04)*AF174)*EXP(-(LN(2)/$D$65+0.1)*AG174),"-"))),"-")</f>
        <v>-</v>
      </c>
      <c r="AK174" s="227">
        <f t="shared" si="154"/>
        <v>74</v>
      </c>
      <c r="AL174" s="226" t="str">
        <f t="shared" si="128"/>
        <v>-</v>
      </c>
      <c r="AM174" s="227" t="str">
        <f t="shared" si="155"/>
        <v>-</v>
      </c>
      <c r="AN174" s="227" t="str">
        <f t="shared" si="156"/>
        <v>-</v>
      </c>
      <c r="AO174" s="227" t="str">
        <f t="shared" si="129"/>
        <v>-</v>
      </c>
      <c r="AP174" s="273">
        <f t="shared" si="157"/>
        <v>0.1</v>
      </c>
      <c r="AQ174" s="271" t="str">
        <f>IFERROR(IF(AL173=1,AQ$100*EXP(-(LN(2)/$D$65+0.04)*AN173)*EXP(-(LN(2)/$D$65+0.1)*AO173),IF(AL173=2,AQ$100*EXP(-(LN(2)/$D$65+0.04)*(VLOOKUP(($F$16-$F$15)-1,AK$99:AO173,4,FALSE)))*EXP(-(LN(2)/$D$65+0.1)*(VLOOKUP(($F$16-$F$15)-1,AK$99:AO173,5,FALSE)))*EXP(-(LN(2)/$D$65+0.04)*AN173)*EXP(-(LN(2)/$D$65+0.1)*AO173),IF(AL173=3,AQ$100*EXP(-(LN(2)/$D$65+0.04)*(VLOOKUP(($F$16-$F$15)-1,AK$99:AO173,4,FALSE)))*EXP(-(LN(2)/$D$65+0.1)*(VLOOKUP(($F$16-$F$15)-1,AK$99:AO173,5,FALSE)))*EXP(-(LN(2)/$D$65+0.04)*(VLOOKUP(($F$16-$F$15)*2-1,AK$99:AO173,4,FALSE)))*EXP(-(LN(2)/$D$65+0.1)*(VLOOKUP(($F$16-$F$15)*2-1,AK$99:AO173,5,FALSE)))*EXP(-(LN(2)/$D$65+0.04)*AN173)*EXP(-(LN(2)/$D$65+0.1)*AO173),"-"))),"-")</f>
        <v>-</v>
      </c>
      <c r="AR174" s="271" t="str">
        <f>IFERROR(IF(AL174=1,AR$100*EXP(-(LN(2)/$D$65+0.04)*AN174)*EXP(-(LN(2)/$D$65+0.1)*AO174),IF(AL174=2,AR$100*EXP(-(LN(2)/$D$65+0.04)*(VLOOKUP(($F$16-$F$15)-1,AK$100:AO174,4,FALSE)))*EXP(-(LN(2)/$D$65+0.1)*(VLOOKUP(($F$16-$F$15)-1,AK$100:AO174,5,FALSE)))*EXP(-(LN(2)/$D$65+0.04)*AN174)*EXP(-(LN(2)/$D$65+0.1)*AO174),IF(AL174=3,AR$100*EXP(-(LN(2)/$D$65+0.04)*(VLOOKUP(($F$16-$F$15)-1,AK$100:AO174,4,FALSE)))*EXP(-(LN(2)/$D$65+0.1)*(VLOOKUP(($F$16-$F$15)-1,AK$100:AO174,5,FALSE)))*EXP(-(LN(2)/$D$65+0.04)*(VLOOKUP(($F$16-$F$15)*2-1,AK$100:AO174,4,FALSE)))*EXP(-(LN(2)/$D$65+0.1)*(VLOOKUP(($F$16-$F$15)*2-1,AK$100:AO174,5,FALSE)))*EXP(-(LN(2)/$D$65+0.04)*AN174)*EXP(-(LN(2)/$D$65+0.1)*AO174),"-"))),"-")</f>
        <v>-</v>
      </c>
      <c r="AS174" s="274">
        <f t="shared" si="130"/>
        <v>0</v>
      </c>
      <c r="AT174" s="274">
        <f t="shared" si="131"/>
        <v>0</v>
      </c>
      <c r="AU174" s="274">
        <f t="shared" si="132"/>
        <v>0</v>
      </c>
      <c r="AV174" s="190">
        <f>IF($B174&lt;$F$22,SUM($T$100:$T174),"")</f>
        <v>0</v>
      </c>
      <c r="AW174" s="190" t="str">
        <f t="shared" si="133"/>
        <v>-</v>
      </c>
      <c r="AX174" s="190" t="str">
        <f t="shared" si="158"/>
        <v/>
      </c>
      <c r="AY174"/>
      <c r="AZ174" s="190" t="str">
        <f ca="1">IF(ISNUMBER(OFFSET(AV174,-$F$21,0)),SUM(OFFSET($T$100,$F$21,0):$T174),"")</f>
        <v/>
      </c>
      <c r="BA174" s="190" t="str">
        <f t="shared" ca="1" si="134"/>
        <v/>
      </c>
      <c r="BB174" s="190" t="str">
        <f t="shared" ca="1" si="70"/>
        <v/>
      </c>
      <c r="BC174" s="190"/>
      <c r="BD174" s="190" t="str">
        <f ca="1">IFERROR(IF(AND($B174&gt;=($F$16-$F$15),$B174&lt;$F$22+($F$16-$F$15)),SUM(OFFSET($T$100,($F$16-$F$15),0):$T174),""),"")</f>
        <v/>
      </c>
      <c r="BE174" s="190" t="str">
        <f t="shared" ca="1" si="159"/>
        <v/>
      </c>
      <c r="BF174" s="190" t="str">
        <f t="shared" ca="1" si="160"/>
        <v/>
      </c>
      <c r="BG174"/>
      <c r="BH174" s="190" t="str">
        <f ca="1">IF(ISNUMBER(OFFSET(BD174,-$F$21,0)),SUM(OFFSET($T$100,($F$16-$F$15+$F$21),0):$T174),"")</f>
        <v/>
      </c>
      <c r="BI174" s="190" t="str">
        <f t="shared" ca="1" si="135"/>
        <v/>
      </c>
      <c r="BJ174" s="190" t="str">
        <f t="shared" ca="1" si="161"/>
        <v/>
      </c>
      <c r="BK174" s="190"/>
      <c r="BL174" s="190" t="str">
        <f ca="1">IFERROR(IF(AND($B174&gt;=($F$17-$F$15),$B174&lt;$F$22+($F$17-$F$15)),SUM(OFFSET($T$100,($F$17-$F$15),0):$T174),""),"")</f>
        <v/>
      </c>
      <c r="BM174" s="190" t="str">
        <f t="shared" ca="1" si="136"/>
        <v/>
      </c>
      <c r="BN174" s="190" t="str">
        <f t="shared" ca="1" si="162"/>
        <v/>
      </c>
      <c r="BO174"/>
      <c r="BP174" s="190" t="str">
        <f ca="1">IF(ISNUMBER(OFFSET(BL174,-$F$21,0)),SUM(OFFSET($T$100,($F$17-$F$15+$F$21),0):$T174),"")</f>
        <v/>
      </c>
      <c r="BQ174" s="190" t="str">
        <f t="shared" ca="1" si="137"/>
        <v/>
      </c>
      <c r="BR174" s="190" t="str">
        <f t="shared" ca="1" si="163"/>
        <v/>
      </c>
      <c r="BS174" s="190"/>
      <c r="BT174"/>
      <c r="BU174"/>
      <c r="BV174"/>
      <c r="BY174" s="99"/>
      <c r="BZ174" s="99"/>
      <c r="CA174" s="280" t="str">
        <f t="shared" si="138"/>
        <v/>
      </c>
      <c r="CB174" s="71" t="str">
        <f t="shared" si="139"/>
        <v>-</v>
      </c>
      <c r="CC174" s="33"/>
      <c r="CD174" s="261" t="str">
        <f t="shared" si="140"/>
        <v/>
      </c>
      <c r="CE174" s="280" t="str">
        <f t="shared" si="141"/>
        <v>-</v>
      </c>
      <c r="CF174" s="71" t="str">
        <f t="shared" ca="1" si="142"/>
        <v>-</v>
      </c>
      <c r="CG174" s="33" t="str">
        <f t="shared" si="143"/>
        <v>74-75</v>
      </c>
      <c r="CH174" s="261" t="str">
        <f t="shared" ca="1" si="144"/>
        <v/>
      </c>
      <c r="CI174" s="202"/>
      <c r="CP174" s="99"/>
      <c r="CQ174" s="99"/>
      <c r="CR174" s="99"/>
      <c r="CS174" s="99"/>
      <c r="CT174" s="99"/>
      <c r="CU174" s="99"/>
      <c r="CV174" s="99"/>
      <c r="CW174" s="99"/>
      <c r="CX174" s="99"/>
      <c r="CY174" s="99"/>
      <c r="CZ174" s="99"/>
      <c r="DA174" s="99"/>
      <c r="DB174" s="99"/>
      <c r="DC174" s="99"/>
    </row>
    <row r="175" spans="2:107" ht="13.5" customHeight="1" x14ac:dyDescent="0.2">
      <c r="B175" s="262">
        <v>75</v>
      </c>
      <c r="C175" s="237" t="str">
        <f t="shared" si="107"/>
        <v/>
      </c>
      <c r="D175" s="237" t="str">
        <f t="shared" si="145"/>
        <v>-</v>
      </c>
      <c r="E175" s="290" t="str">
        <f t="shared" si="146"/>
        <v/>
      </c>
      <c r="F175" s="264" t="str">
        <f t="shared" si="147"/>
        <v/>
      </c>
      <c r="G175" s="291" t="str">
        <f t="shared" si="148"/>
        <v/>
      </c>
      <c r="H175" s="240" t="str">
        <f t="shared" si="108"/>
        <v/>
      </c>
      <c r="I175" s="265" t="str">
        <f t="shared" si="109"/>
        <v/>
      </c>
      <c r="J175" s="265" t="str">
        <f t="shared" si="110"/>
        <v/>
      </c>
      <c r="K175" s="240" t="str">
        <f t="shared" si="111"/>
        <v/>
      </c>
      <c r="L175" s="265" t="str">
        <f t="shared" si="112"/>
        <v/>
      </c>
      <c r="M175" s="265" t="str">
        <f t="shared" si="113"/>
        <v/>
      </c>
      <c r="N175" s="240" t="str">
        <f t="shared" si="114"/>
        <v>-</v>
      </c>
      <c r="O175" s="265" t="str">
        <f t="shared" si="115"/>
        <v>-</v>
      </c>
      <c r="P175" s="265" t="str">
        <f t="shared" si="116"/>
        <v>-</v>
      </c>
      <c r="Q175" s="266" t="str">
        <f t="shared" si="117"/>
        <v>-</v>
      </c>
      <c r="R175" s="267" t="str">
        <f t="shared" si="118"/>
        <v>-</v>
      </c>
      <c r="S175" s="268" t="str">
        <f t="shared" si="119"/>
        <v>-</v>
      </c>
      <c r="T175" s="269" t="str">
        <f t="shared" si="120"/>
        <v/>
      </c>
      <c r="U175" s="221">
        <f t="shared" si="121"/>
        <v>75</v>
      </c>
      <c r="V175" s="220" t="str">
        <f t="shared" si="122"/>
        <v>-</v>
      </c>
      <c r="W175" s="221" t="str">
        <f t="shared" si="149"/>
        <v>-</v>
      </c>
      <c r="X175" s="221" t="str">
        <f t="shared" si="123"/>
        <v>-</v>
      </c>
      <c r="Y175" s="221" t="str">
        <f t="shared" si="124"/>
        <v>-</v>
      </c>
      <c r="Z175" s="270">
        <f t="shared" si="150"/>
        <v>0.1</v>
      </c>
      <c r="AA175" s="271" t="str">
        <f>IFERROR(IF(V174=1,AA$100*EXP(-(LN(2)/$D$65+0.04)*X174)*EXP(-(LN(2)/$D$65+0.1)*Y174),IF(V174=2,AA$100*EXP(-(LN(2)/$D$65+0.04)*(VLOOKUP(($F$16-$F$15)-1,U$99:Y174,4,FALSE)))*EXP(-(LN(2)/$D$65+0.1)*(VLOOKUP(($F$16-$F$15)-1,U$99:Y174,5,FALSE)))*EXP(-(LN(2)/$D$65+0.04)*X174)*EXP(-(LN(2)/$D$65+0.1)*Y174),IF(V174=3,AA$100*EXP(-(LN(2)/$D$65+0.04)*(VLOOKUP(($F$16-$F$15)-1,U$99:Y174,4,FALSE)))*EXP(-(LN(2)/$D$65+0.1)*(VLOOKUP(($F$16-$F$15)-1,U$99:Y174,5,FALSE)))*EXP(-(LN(2)/$D$65+0.04)*(VLOOKUP(($F$16-$F$15)*2-1,U$99:Y174,4,FALSE)))*EXP(-(LN(2)/$D$65+0.1)*(VLOOKUP(($F$16-$F$15)*2-1,U$99:Y174,5,FALSE)))*EXP(-(LN(2)/$D$65+0.04)*X174)*EXP(-(LN(2)/$D$65+0.1)*Y174),"-"))),"-")</f>
        <v>-</v>
      </c>
      <c r="AB175" s="271" t="str">
        <f>IFERROR(IF(V175=1,AB$100*EXP(-(LN(2)/$D$65+0.04)*X175)*EXP(-(LN(2)/$D$65+0.1)*Y175),IF(V175=2,AB$100*EXP(-(LN(2)/$D$65+0.04)*(VLOOKUP(($F$16-$F$15)-1,U$100:Y175,4,FALSE)))*EXP(-(LN(2)/$D$65+0.1)*(VLOOKUP(($F$16-$F$15)-1,U$100:Y175,5,FALSE)))*EXP(-(LN(2)/$D$65+0.04)*X175)*EXP(-(LN(2)/$D$65+0.1)*Y175),IF(V175=3,AB$100*EXP(-(LN(2)/$D$65+0.04)*(VLOOKUP(($F$16-$F$15)-1,U$100:Y175,4,FALSE)))*EXP(-(LN(2)/$D$65+0.1)*(VLOOKUP(($F$16-$F$15)-1,U$100:Y175,5,FALSE)))*EXP(-(LN(2)/$D$65+0.04)*(VLOOKUP(($F$16-$F$15)*2-1,U$100:Y175,4,FALSE)))*EXP(-(LN(2)/$D$65+0.1)*(VLOOKUP(($F$16-$F$15)*2-1,U$100:Y175,5,FALSE)))*EXP(-(LN(2)/$D$65+0.04)*X175)*EXP(-(LN(2)/$D$65+0.1)*Y175),"-"))),"-")</f>
        <v>-</v>
      </c>
      <c r="AC175" s="224">
        <f t="shared" si="151"/>
        <v>75</v>
      </c>
      <c r="AD175" s="223" t="str">
        <f t="shared" si="125"/>
        <v>-</v>
      </c>
      <c r="AE175" s="224" t="str">
        <f t="shared" si="152"/>
        <v>-</v>
      </c>
      <c r="AF175" s="224" t="str">
        <f t="shared" si="126"/>
        <v>-</v>
      </c>
      <c r="AG175" s="224" t="str">
        <f t="shared" si="127"/>
        <v>-</v>
      </c>
      <c r="AH175" s="272">
        <f t="shared" si="153"/>
        <v>0.1</v>
      </c>
      <c r="AI175" s="271" t="str">
        <f>IFERROR(IF(AD174=1,AI$100*EXP(-(LN(2)/$D$65+0.04)*AF174)*EXP(-(LN(2)/$D$65+0.1)*AG174),IF(AD174=2,AI$100*EXP(-(LN(2)/$D$65+0.04)*(VLOOKUP(($F$16-$F$15)-1,AC$99:AG174,4,FALSE)))*EXP(-(LN(2)/$D$65+0.1)*(VLOOKUP(($F$16-$F$15)-1,AC$99:AG174,5,FALSE)))*EXP(-(LN(2)/$D$65+0.04)*AF174)*EXP(-(LN(2)/$D$65+0.1)*AG174),IF(AD174=3,AI$100*EXP(-(LN(2)/$D$65+0.04)*(VLOOKUP(($F$16-$F$15)-1,AC$99:AG174,4,FALSE)))*EXP(-(LN(2)/$D$65+0.1)*(VLOOKUP(($F$16-$F$15)-1,AC$99:AG174,5,FALSE)))*EXP(-(LN(2)/$D$65+0.04)*(VLOOKUP(($F$16-$F$15)*2-1,AC$99:AG174,4,FALSE)))*EXP(-(LN(2)/$D$65+0.1)*(VLOOKUP(($F$16-$F$15)*2-1,AC$99:AG174,5,FALSE)))*EXP(-(LN(2)/$D$65+0.04)*AF174)*EXP(-(LN(2)/$D$65+0.1)*AG174),"-"))),"-")</f>
        <v>-</v>
      </c>
      <c r="AJ175" s="271" t="str">
        <f>IFERROR(IF(AD175=1,AJ$100*EXP(-(LN(2)/$D$65+0.04)*AF175)*EXP(-(LN(2)/$D$65+0.1)*AG175),IF(AD175=2,AJ$100*EXP(-(LN(2)/$D$65+0.04)*(VLOOKUP(($F$16-$F$15)-1,AC$100:AG175,4,FALSE)))*EXP(-(LN(2)/$D$65+0.1)*(VLOOKUP(($F$16-$F$15)-1,AC$100:AG175,5,FALSE)))*EXP(-(LN(2)/$D$65+0.04)*AF175)*EXP(-(LN(2)/$D$65+0.1)*AG175),IF(AD175=3,AJ$100*EXP(-(LN(2)/$D$65+0.04)*(VLOOKUP(($F$16-$F$15)-1,AC$100:AG175,4,FALSE)))*EXP(-(LN(2)/$D$65+0.1)*(VLOOKUP(($F$16-$F$15)-1,AC$100:AG175,5,FALSE)))*EXP(-(LN(2)/$D$65+0.04)*(VLOOKUP(($F$16-$F$15)*2-1,AC$100:AG175,4,FALSE)))*EXP(-(LN(2)/$D$65+0.1)*(VLOOKUP(($F$16-$F$15)*2-1,AC$100:AG175,5,FALSE)))*EXP(-(LN(2)/$D$65+0.04)*AF175)*EXP(-(LN(2)/$D$65+0.1)*AG175),"-"))),"-")</f>
        <v>-</v>
      </c>
      <c r="AK175" s="227">
        <f t="shared" si="154"/>
        <v>75</v>
      </c>
      <c r="AL175" s="226" t="str">
        <f t="shared" si="128"/>
        <v>-</v>
      </c>
      <c r="AM175" s="227" t="str">
        <f t="shared" si="155"/>
        <v>-</v>
      </c>
      <c r="AN175" s="227" t="str">
        <f t="shared" si="156"/>
        <v>-</v>
      </c>
      <c r="AO175" s="227" t="str">
        <f t="shared" si="129"/>
        <v>-</v>
      </c>
      <c r="AP175" s="273">
        <f t="shared" si="157"/>
        <v>0.1</v>
      </c>
      <c r="AQ175" s="271" t="str">
        <f>IFERROR(IF(AL174=1,AQ$100*EXP(-(LN(2)/$D$65+0.04)*AN174)*EXP(-(LN(2)/$D$65+0.1)*AO174),IF(AL174=2,AQ$100*EXP(-(LN(2)/$D$65+0.04)*(VLOOKUP(($F$16-$F$15)-1,AK$99:AO174,4,FALSE)))*EXP(-(LN(2)/$D$65+0.1)*(VLOOKUP(($F$16-$F$15)-1,AK$99:AO174,5,FALSE)))*EXP(-(LN(2)/$D$65+0.04)*AN174)*EXP(-(LN(2)/$D$65+0.1)*AO174),IF(AL174=3,AQ$100*EXP(-(LN(2)/$D$65+0.04)*(VLOOKUP(($F$16-$F$15)-1,AK$99:AO174,4,FALSE)))*EXP(-(LN(2)/$D$65+0.1)*(VLOOKUP(($F$16-$F$15)-1,AK$99:AO174,5,FALSE)))*EXP(-(LN(2)/$D$65+0.04)*(VLOOKUP(($F$16-$F$15)*2-1,AK$99:AO174,4,FALSE)))*EXP(-(LN(2)/$D$65+0.1)*(VLOOKUP(($F$16-$F$15)*2-1,AK$99:AO174,5,FALSE)))*EXP(-(LN(2)/$D$65+0.04)*AN174)*EXP(-(LN(2)/$D$65+0.1)*AO174),"-"))),"-")</f>
        <v>-</v>
      </c>
      <c r="AR175" s="271" t="str">
        <f>IFERROR(IF(AL175=1,AR$100*EXP(-(LN(2)/$D$65+0.04)*AN175)*EXP(-(LN(2)/$D$65+0.1)*AO175),IF(AL175=2,AR$100*EXP(-(LN(2)/$D$65+0.04)*(VLOOKUP(($F$16-$F$15)-1,AK$100:AO175,4,FALSE)))*EXP(-(LN(2)/$D$65+0.1)*(VLOOKUP(($F$16-$F$15)-1,AK$100:AO175,5,FALSE)))*EXP(-(LN(2)/$D$65+0.04)*AN175)*EXP(-(LN(2)/$D$65+0.1)*AO175),IF(AL175=3,AR$100*EXP(-(LN(2)/$D$65+0.04)*(VLOOKUP(($F$16-$F$15)-1,AK$100:AO175,4,FALSE)))*EXP(-(LN(2)/$D$65+0.1)*(VLOOKUP(($F$16-$F$15)-1,AK$100:AO175,5,FALSE)))*EXP(-(LN(2)/$D$65+0.04)*(VLOOKUP(($F$16-$F$15)*2-1,AK$100:AO175,4,FALSE)))*EXP(-(LN(2)/$D$65+0.1)*(VLOOKUP(($F$16-$F$15)*2-1,AK$100:AO175,5,FALSE)))*EXP(-(LN(2)/$D$65+0.04)*AN175)*EXP(-(LN(2)/$D$65+0.1)*AO175),"-"))),"-")</f>
        <v>-</v>
      </c>
      <c r="AS175" s="274">
        <f t="shared" si="130"/>
        <v>0</v>
      </c>
      <c r="AT175" s="274">
        <f t="shared" si="131"/>
        <v>0</v>
      </c>
      <c r="AU175" s="274">
        <f t="shared" si="132"/>
        <v>0</v>
      </c>
      <c r="AV175" s="190">
        <f>IF($B175&lt;$F$22,SUM($T$100:$T175),"")</f>
        <v>0</v>
      </c>
      <c r="AW175" s="190" t="str">
        <f t="shared" si="133"/>
        <v>-</v>
      </c>
      <c r="AX175" s="190" t="str">
        <f t="shared" si="158"/>
        <v/>
      </c>
      <c r="AY175"/>
      <c r="AZ175" s="190" t="str">
        <f ca="1">IF(ISNUMBER(OFFSET(AV175,-$F$21,0)),SUM(OFFSET($T$100,$F$21,0):$T175),"")</f>
        <v/>
      </c>
      <c r="BA175" s="190" t="str">
        <f t="shared" ca="1" si="134"/>
        <v/>
      </c>
      <c r="BB175" s="190" t="str">
        <f t="shared" ca="1" si="70"/>
        <v/>
      </c>
      <c r="BC175" s="190"/>
      <c r="BD175" s="190" t="str">
        <f ca="1">IFERROR(IF(AND($B175&gt;=($F$16-$F$15),$B175&lt;$F$22+($F$16-$F$15)),SUM(OFFSET($T$100,($F$16-$F$15),0):$T175),""),"")</f>
        <v/>
      </c>
      <c r="BE175" s="190" t="str">
        <f t="shared" ca="1" si="159"/>
        <v/>
      </c>
      <c r="BF175" s="190" t="str">
        <f t="shared" ca="1" si="160"/>
        <v/>
      </c>
      <c r="BG175"/>
      <c r="BH175" s="190" t="str">
        <f ca="1">IF(ISNUMBER(OFFSET(BD175,-$F$21,0)),SUM(OFFSET($T$100,($F$16-$F$15+$F$21),0):$T175),"")</f>
        <v/>
      </c>
      <c r="BI175" s="190" t="str">
        <f t="shared" ca="1" si="135"/>
        <v/>
      </c>
      <c r="BJ175" s="190" t="str">
        <f t="shared" ca="1" si="161"/>
        <v/>
      </c>
      <c r="BK175" s="190"/>
      <c r="BL175" s="190" t="str">
        <f ca="1">IFERROR(IF(AND($B175&gt;=($F$17-$F$15),$B175&lt;$F$22+($F$17-$F$15)),SUM(OFFSET($T$100,($F$17-$F$15),0):$T175),""),"")</f>
        <v/>
      </c>
      <c r="BM175" s="190" t="str">
        <f t="shared" ca="1" si="136"/>
        <v/>
      </c>
      <c r="BN175" s="190" t="str">
        <f t="shared" ca="1" si="162"/>
        <v/>
      </c>
      <c r="BO175"/>
      <c r="BP175" s="190" t="str">
        <f ca="1">IF(ISNUMBER(OFFSET(BL175,-$F$21,0)),SUM(OFFSET($T$100,($F$17-$F$15+$F$21),0):$T175),"")</f>
        <v/>
      </c>
      <c r="BQ175" s="190" t="str">
        <f t="shared" ca="1" si="137"/>
        <v/>
      </c>
      <c r="BR175" s="190" t="str">
        <f t="shared" ca="1" si="163"/>
        <v/>
      </c>
      <c r="BS175" s="190"/>
      <c r="BT175"/>
      <c r="BU175"/>
      <c r="BV175"/>
      <c r="BY175" s="99"/>
      <c r="BZ175" s="99"/>
      <c r="CA175" s="280" t="str">
        <f t="shared" si="138"/>
        <v/>
      </c>
      <c r="CB175" s="71" t="str">
        <f t="shared" si="139"/>
        <v>-</v>
      </c>
      <c r="CC175" s="33"/>
      <c r="CD175" s="261" t="str">
        <f t="shared" si="140"/>
        <v/>
      </c>
      <c r="CE175" s="280" t="str">
        <f t="shared" si="141"/>
        <v>-</v>
      </c>
      <c r="CF175" s="71" t="str">
        <f t="shared" ca="1" si="142"/>
        <v>-</v>
      </c>
      <c r="CG175" s="33" t="str">
        <f t="shared" si="143"/>
        <v>75-76</v>
      </c>
      <c r="CH175" s="261" t="str">
        <f t="shared" ca="1" si="144"/>
        <v/>
      </c>
      <c r="CI175" s="202"/>
      <c r="CP175" s="99"/>
      <c r="CQ175" s="99"/>
      <c r="CR175" s="99"/>
      <c r="CS175" s="99"/>
      <c r="CT175" s="99"/>
      <c r="CU175" s="99"/>
      <c r="CV175" s="99"/>
      <c r="CW175" s="99"/>
      <c r="CX175" s="99"/>
      <c r="CY175" s="99"/>
      <c r="CZ175" s="99"/>
      <c r="DA175" s="99"/>
      <c r="DB175" s="99"/>
      <c r="DC175" s="99"/>
    </row>
    <row r="176" spans="2:107" ht="13.5" customHeight="1" x14ac:dyDescent="0.2">
      <c r="B176" s="262">
        <v>76</v>
      </c>
      <c r="C176" s="237" t="str">
        <f t="shared" si="107"/>
        <v/>
      </c>
      <c r="D176" s="237" t="str">
        <f t="shared" si="145"/>
        <v>-</v>
      </c>
      <c r="E176" s="290" t="str">
        <f t="shared" si="146"/>
        <v/>
      </c>
      <c r="F176" s="264" t="str">
        <f t="shared" si="147"/>
        <v/>
      </c>
      <c r="G176" s="291" t="str">
        <f t="shared" si="148"/>
        <v/>
      </c>
      <c r="H176" s="240" t="str">
        <f t="shared" si="108"/>
        <v/>
      </c>
      <c r="I176" s="265" t="str">
        <f t="shared" si="109"/>
        <v/>
      </c>
      <c r="J176" s="265" t="str">
        <f t="shared" si="110"/>
        <v/>
      </c>
      <c r="K176" s="240" t="str">
        <f t="shared" si="111"/>
        <v/>
      </c>
      <c r="L176" s="265" t="str">
        <f t="shared" si="112"/>
        <v/>
      </c>
      <c r="M176" s="265" t="str">
        <f t="shared" si="113"/>
        <v/>
      </c>
      <c r="N176" s="240" t="str">
        <f t="shared" si="114"/>
        <v>-</v>
      </c>
      <c r="O176" s="265" t="str">
        <f t="shared" si="115"/>
        <v>-</v>
      </c>
      <c r="P176" s="265" t="str">
        <f t="shared" si="116"/>
        <v>-</v>
      </c>
      <c r="Q176" s="266" t="str">
        <f t="shared" si="117"/>
        <v>-</v>
      </c>
      <c r="R176" s="267" t="str">
        <f t="shared" si="118"/>
        <v>-</v>
      </c>
      <c r="S176" s="268" t="str">
        <f t="shared" si="119"/>
        <v>-</v>
      </c>
      <c r="T176" s="269" t="str">
        <f t="shared" si="120"/>
        <v/>
      </c>
      <c r="U176" s="221">
        <f t="shared" si="121"/>
        <v>76</v>
      </c>
      <c r="V176" s="220" t="str">
        <f t="shared" si="122"/>
        <v>-</v>
      </c>
      <c r="W176" s="221" t="str">
        <f t="shared" si="149"/>
        <v>-</v>
      </c>
      <c r="X176" s="221" t="str">
        <f t="shared" si="123"/>
        <v>-</v>
      </c>
      <c r="Y176" s="221" t="str">
        <f t="shared" si="124"/>
        <v>-</v>
      </c>
      <c r="Z176" s="270">
        <f t="shared" si="150"/>
        <v>0.1</v>
      </c>
      <c r="AA176" s="271" t="str">
        <f>IFERROR(IF(V175=1,AA$100*EXP(-(LN(2)/$D$65+0.04)*X175)*EXP(-(LN(2)/$D$65+0.1)*Y175),IF(V175=2,AA$100*EXP(-(LN(2)/$D$65+0.04)*(VLOOKUP(($F$16-$F$15)-1,U$99:Y175,4,FALSE)))*EXP(-(LN(2)/$D$65+0.1)*(VLOOKUP(($F$16-$F$15)-1,U$99:Y175,5,FALSE)))*EXP(-(LN(2)/$D$65+0.04)*X175)*EXP(-(LN(2)/$D$65+0.1)*Y175),IF(V175=3,AA$100*EXP(-(LN(2)/$D$65+0.04)*(VLOOKUP(($F$16-$F$15)-1,U$99:Y175,4,FALSE)))*EXP(-(LN(2)/$D$65+0.1)*(VLOOKUP(($F$16-$F$15)-1,U$99:Y175,5,FALSE)))*EXP(-(LN(2)/$D$65+0.04)*(VLOOKUP(($F$16-$F$15)*2-1,U$99:Y175,4,FALSE)))*EXP(-(LN(2)/$D$65+0.1)*(VLOOKUP(($F$16-$F$15)*2-1,U$99:Y175,5,FALSE)))*EXP(-(LN(2)/$D$65+0.04)*X175)*EXP(-(LN(2)/$D$65+0.1)*Y175),"-"))),"-")</f>
        <v>-</v>
      </c>
      <c r="AB176" s="271" t="str">
        <f>IFERROR(IF(V176=1,AB$100*EXP(-(LN(2)/$D$65+0.04)*X176)*EXP(-(LN(2)/$D$65+0.1)*Y176),IF(V176=2,AB$100*EXP(-(LN(2)/$D$65+0.04)*(VLOOKUP(($F$16-$F$15)-1,U$100:Y176,4,FALSE)))*EXP(-(LN(2)/$D$65+0.1)*(VLOOKUP(($F$16-$F$15)-1,U$100:Y176,5,FALSE)))*EXP(-(LN(2)/$D$65+0.04)*X176)*EXP(-(LN(2)/$D$65+0.1)*Y176),IF(V176=3,AB$100*EXP(-(LN(2)/$D$65+0.04)*(VLOOKUP(($F$16-$F$15)-1,U$100:Y176,4,FALSE)))*EXP(-(LN(2)/$D$65+0.1)*(VLOOKUP(($F$16-$F$15)-1,U$100:Y176,5,FALSE)))*EXP(-(LN(2)/$D$65+0.04)*(VLOOKUP(($F$16-$F$15)*2-1,U$100:Y176,4,FALSE)))*EXP(-(LN(2)/$D$65+0.1)*(VLOOKUP(($F$16-$F$15)*2-1,U$100:Y176,5,FALSE)))*EXP(-(LN(2)/$D$65+0.04)*X176)*EXP(-(LN(2)/$D$65+0.1)*Y176),"-"))),"-")</f>
        <v>-</v>
      </c>
      <c r="AC176" s="224">
        <f t="shared" si="151"/>
        <v>76</v>
      </c>
      <c r="AD176" s="223" t="str">
        <f t="shared" si="125"/>
        <v>-</v>
      </c>
      <c r="AE176" s="224" t="str">
        <f t="shared" si="152"/>
        <v>-</v>
      </c>
      <c r="AF176" s="224" t="str">
        <f t="shared" si="126"/>
        <v>-</v>
      </c>
      <c r="AG176" s="224" t="str">
        <f t="shared" si="127"/>
        <v>-</v>
      </c>
      <c r="AH176" s="272">
        <f t="shared" si="153"/>
        <v>0.1</v>
      </c>
      <c r="AI176" s="271" t="str">
        <f>IFERROR(IF(AD175=1,AI$100*EXP(-(LN(2)/$D$65+0.04)*AF175)*EXP(-(LN(2)/$D$65+0.1)*AG175),IF(AD175=2,AI$100*EXP(-(LN(2)/$D$65+0.04)*(VLOOKUP(($F$16-$F$15)-1,AC$99:AG175,4,FALSE)))*EXP(-(LN(2)/$D$65+0.1)*(VLOOKUP(($F$16-$F$15)-1,AC$99:AG175,5,FALSE)))*EXP(-(LN(2)/$D$65+0.04)*AF175)*EXP(-(LN(2)/$D$65+0.1)*AG175),IF(AD175=3,AI$100*EXP(-(LN(2)/$D$65+0.04)*(VLOOKUP(($F$16-$F$15)-1,AC$99:AG175,4,FALSE)))*EXP(-(LN(2)/$D$65+0.1)*(VLOOKUP(($F$16-$F$15)-1,AC$99:AG175,5,FALSE)))*EXP(-(LN(2)/$D$65+0.04)*(VLOOKUP(($F$16-$F$15)*2-1,AC$99:AG175,4,FALSE)))*EXP(-(LN(2)/$D$65+0.1)*(VLOOKUP(($F$16-$F$15)*2-1,AC$99:AG175,5,FALSE)))*EXP(-(LN(2)/$D$65+0.04)*AF175)*EXP(-(LN(2)/$D$65+0.1)*AG175),"-"))),"-")</f>
        <v>-</v>
      </c>
      <c r="AJ176" s="271" t="str">
        <f>IFERROR(IF(AD176=1,AJ$100*EXP(-(LN(2)/$D$65+0.04)*AF176)*EXP(-(LN(2)/$D$65+0.1)*AG176),IF(AD176=2,AJ$100*EXP(-(LN(2)/$D$65+0.04)*(VLOOKUP(($F$16-$F$15)-1,AC$100:AG176,4,FALSE)))*EXP(-(LN(2)/$D$65+0.1)*(VLOOKUP(($F$16-$F$15)-1,AC$100:AG176,5,FALSE)))*EXP(-(LN(2)/$D$65+0.04)*AF176)*EXP(-(LN(2)/$D$65+0.1)*AG176),IF(AD176=3,AJ$100*EXP(-(LN(2)/$D$65+0.04)*(VLOOKUP(($F$16-$F$15)-1,AC$100:AG176,4,FALSE)))*EXP(-(LN(2)/$D$65+0.1)*(VLOOKUP(($F$16-$F$15)-1,AC$100:AG176,5,FALSE)))*EXP(-(LN(2)/$D$65+0.04)*(VLOOKUP(($F$16-$F$15)*2-1,AC$100:AG176,4,FALSE)))*EXP(-(LN(2)/$D$65+0.1)*(VLOOKUP(($F$16-$F$15)*2-1,AC$100:AG176,5,FALSE)))*EXP(-(LN(2)/$D$65+0.04)*AF176)*EXP(-(LN(2)/$D$65+0.1)*AG176),"-"))),"-")</f>
        <v>-</v>
      </c>
      <c r="AK176" s="227">
        <f t="shared" si="154"/>
        <v>76</v>
      </c>
      <c r="AL176" s="226" t="str">
        <f t="shared" si="128"/>
        <v>-</v>
      </c>
      <c r="AM176" s="227" t="str">
        <f t="shared" si="155"/>
        <v>-</v>
      </c>
      <c r="AN176" s="227" t="str">
        <f t="shared" si="156"/>
        <v>-</v>
      </c>
      <c r="AO176" s="227" t="str">
        <f t="shared" si="129"/>
        <v>-</v>
      </c>
      <c r="AP176" s="273">
        <f t="shared" si="157"/>
        <v>0.1</v>
      </c>
      <c r="AQ176" s="271" t="str">
        <f>IFERROR(IF(AL175=1,AQ$100*EXP(-(LN(2)/$D$65+0.04)*AN175)*EXP(-(LN(2)/$D$65+0.1)*AO175),IF(AL175=2,AQ$100*EXP(-(LN(2)/$D$65+0.04)*(VLOOKUP(($F$16-$F$15)-1,AK$99:AO175,4,FALSE)))*EXP(-(LN(2)/$D$65+0.1)*(VLOOKUP(($F$16-$F$15)-1,AK$99:AO175,5,FALSE)))*EXP(-(LN(2)/$D$65+0.04)*AN175)*EXP(-(LN(2)/$D$65+0.1)*AO175),IF(AL175=3,AQ$100*EXP(-(LN(2)/$D$65+0.04)*(VLOOKUP(($F$16-$F$15)-1,AK$99:AO175,4,FALSE)))*EXP(-(LN(2)/$D$65+0.1)*(VLOOKUP(($F$16-$F$15)-1,AK$99:AO175,5,FALSE)))*EXP(-(LN(2)/$D$65+0.04)*(VLOOKUP(($F$16-$F$15)*2-1,AK$99:AO175,4,FALSE)))*EXP(-(LN(2)/$D$65+0.1)*(VLOOKUP(($F$16-$F$15)*2-1,AK$99:AO175,5,FALSE)))*EXP(-(LN(2)/$D$65+0.04)*AN175)*EXP(-(LN(2)/$D$65+0.1)*AO175),"-"))),"-")</f>
        <v>-</v>
      </c>
      <c r="AR176" s="271" t="str">
        <f>IFERROR(IF(AL176=1,AR$100*EXP(-(LN(2)/$D$65+0.04)*AN176)*EXP(-(LN(2)/$D$65+0.1)*AO176),IF(AL176=2,AR$100*EXP(-(LN(2)/$D$65+0.04)*(VLOOKUP(($F$16-$F$15)-1,AK$100:AO176,4,FALSE)))*EXP(-(LN(2)/$D$65+0.1)*(VLOOKUP(($F$16-$F$15)-1,AK$100:AO176,5,FALSE)))*EXP(-(LN(2)/$D$65+0.04)*AN176)*EXP(-(LN(2)/$D$65+0.1)*AO176),IF(AL176=3,AR$100*EXP(-(LN(2)/$D$65+0.04)*(VLOOKUP(($F$16-$F$15)-1,AK$100:AO176,4,FALSE)))*EXP(-(LN(2)/$D$65+0.1)*(VLOOKUP(($F$16-$F$15)-1,AK$100:AO176,5,FALSE)))*EXP(-(LN(2)/$D$65+0.04)*(VLOOKUP(($F$16-$F$15)*2-1,AK$100:AO176,4,FALSE)))*EXP(-(LN(2)/$D$65+0.1)*(VLOOKUP(($F$16-$F$15)*2-1,AK$100:AO176,5,FALSE)))*EXP(-(LN(2)/$D$65+0.04)*AN176)*EXP(-(LN(2)/$D$65+0.1)*AO176),"-"))),"-")</f>
        <v>-</v>
      </c>
      <c r="AS176" s="274">
        <f t="shared" si="130"/>
        <v>0</v>
      </c>
      <c r="AT176" s="274">
        <f t="shared" si="131"/>
        <v>0</v>
      </c>
      <c r="AU176" s="274">
        <f t="shared" si="132"/>
        <v>0</v>
      </c>
      <c r="AV176" s="190">
        <f>IF($B176&lt;$F$22,SUM($T$100:$T176),"")</f>
        <v>0</v>
      </c>
      <c r="AW176" s="190" t="str">
        <f t="shared" si="133"/>
        <v>-</v>
      </c>
      <c r="AX176" s="190" t="str">
        <f t="shared" si="158"/>
        <v/>
      </c>
      <c r="AY176"/>
      <c r="AZ176" s="190" t="str">
        <f ca="1">IF(ISNUMBER(OFFSET(AV176,-$F$21,0)),SUM(OFFSET($T$100,$F$21,0):$T176),"")</f>
        <v/>
      </c>
      <c r="BA176" s="190" t="str">
        <f t="shared" ca="1" si="134"/>
        <v/>
      </c>
      <c r="BB176" s="190" t="str">
        <f t="shared" ca="1" si="70"/>
        <v/>
      </c>
      <c r="BC176" s="190"/>
      <c r="BD176" s="190" t="str">
        <f ca="1">IFERROR(IF(AND($B176&gt;=($F$16-$F$15),$B176&lt;$F$22+($F$16-$F$15)),SUM(OFFSET($T$100,($F$16-$F$15),0):$T176),""),"")</f>
        <v/>
      </c>
      <c r="BE176" s="190" t="str">
        <f t="shared" ca="1" si="159"/>
        <v/>
      </c>
      <c r="BF176" s="190" t="str">
        <f t="shared" ca="1" si="160"/>
        <v/>
      </c>
      <c r="BG176"/>
      <c r="BH176" s="190" t="str">
        <f ca="1">IF(ISNUMBER(OFFSET(BD176,-$F$21,0)),SUM(OFFSET($T$100,($F$16-$F$15+$F$21),0):$T176),"")</f>
        <v/>
      </c>
      <c r="BI176" s="190" t="str">
        <f t="shared" ca="1" si="135"/>
        <v/>
      </c>
      <c r="BJ176" s="190" t="str">
        <f t="shared" ca="1" si="161"/>
        <v/>
      </c>
      <c r="BK176" s="190"/>
      <c r="BL176" s="190" t="str">
        <f ca="1">IFERROR(IF(AND($B176&gt;=($F$17-$F$15),$B176&lt;$F$22+($F$17-$F$15)),SUM(OFFSET($T$100,($F$17-$F$15),0):$T176),""),"")</f>
        <v/>
      </c>
      <c r="BM176" s="190" t="str">
        <f t="shared" ca="1" si="136"/>
        <v/>
      </c>
      <c r="BN176" s="190" t="str">
        <f t="shared" ca="1" si="162"/>
        <v/>
      </c>
      <c r="BO176"/>
      <c r="BP176" s="190" t="str">
        <f ca="1">IF(ISNUMBER(OFFSET(BL176,-$F$21,0)),SUM(OFFSET($T$100,($F$17-$F$15+$F$21),0):$T176),"")</f>
        <v/>
      </c>
      <c r="BQ176" s="190" t="str">
        <f t="shared" ca="1" si="137"/>
        <v/>
      </c>
      <c r="BR176" s="190" t="str">
        <f t="shared" ca="1" si="163"/>
        <v/>
      </c>
      <c r="BS176" s="190"/>
      <c r="BT176"/>
      <c r="BU176"/>
      <c r="BV176"/>
      <c r="BY176" s="99"/>
      <c r="BZ176" s="99"/>
      <c r="CA176" s="280" t="str">
        <f t="shared" si="138"/>
        <v/>
      </c>
      <c r="CB176" s="71" t="str">
        <f t="shared" si="139"/>
        <v>-</v>
      </c>
      <c r="CC176" s="33"/>
      <c r="CD176" s="261" t="str">
        <f t="shared" si="140"/>
        <v/>
      </c>
      <c r="CE176" s="280" t="str">
        <f t="shared" si="141"/>
        <v>-</v>
      </c>
      <c r="CF176" s="71" t="str">
        <f t="shared" ca="1" si="142"/>
        <v>-</v>
      </c>
      <c r="CG176" s="33" t="str">
        <f t="shared" si="143"/>
        <v>76-77</v>
      </c>
      <c r="CH176" s="261" t="str">
        <f t="shared" ca="1" si="144"/>
        <v/>
      </c>
      <c r="CI176" s="202"/>
      <c r="CP176" s="99"/>
      <c r="CQ176" s="99"/>
      <c r="CR176" s="99"/>
      <c r="CS176" s="99"/>
      <c r="CT176" s="99"/>
      <c r="CU176" s="99"/>
      <c r="CV176" s="99"/>
      <c r="CW176" s="99"/>
      <c r="CX176" s="99"/>
      <c r="CY176" s="99"/>
      <c r="CZ176" s="99"/>
      <c r="DA176" s="99"/>
      <c r="DB176" s="99"/>
      <c r="DC176" s="99"/>
    </row>
    <row r="177" spans="2:107" ht="13.5" customHeight="1" x14ac:dyDescent="0.2">
      <c r="B177" s="262">
        <v>77</v>
      </c>
      <c r="C177" s="237" t="str">
        <f t="shared" si="107"/>
        <v/>
      </c>
      <c r="D177" s="237" t="str">
        <f t="shared" si="145"/>
        <v>-</v>
      </c>
      <c r="E177" s="290" t="str">
        <f t="shared" si="146"/>
        <v/>
      </c>
      <c r="F177" s="264" t="str">
        <f t="shared" si="147"/>
        <v/>
      </c>
      <c r="G177" s="291" t="str">
        <f t="shared" si="148"/>
        <v/>
      </c>
      <c r="H177" s="240" t="str">
        <f t="shared" si="108"/>
        <v/>
      </c>
      <c r="I177" s="265" t="str">
        <f t="shared" si="109"/>
        <v/>
      </c>
      <c r="J177" s="265" t="str">
        <f t="shared" si="110"/>
        <v/>
      </c>
      <c r="K177" s="240" t="str">
        <f t="shared" si="111"/>
        <v/>
      </c>
      <c r="L177" s="265" t="str">
        <f t="shared" si="112"/>
        <v/>
      </c>
      <c r="M177" s="265" t="str">
        <f t="shared" si="113"/>
        <v/>
      </c>
      <c r="N177" s="240" t="str">
        <f t="shared" si="114"/>
        <v>-</v>
      </c>
      <c r="O177" s="265" t="str">
        <f t="shared" si="115"/>
        <v>-</v>
      </c>
      <c r="P177" s="265" t="str">
        <f t="shared" si="116"/>
        <v>-</v>
      </c>
      <c r="Q177" s="266" t="str">
        <f t="shared" si="117"/>
        <v>-</v>
      </c>
      <c r="R177" s="267" t="str">
        <f t="shared" si="118"/>
        <v>-</v>
      </c>
      <c r="S177" s="268" t="str">
        <f t="shared" si="119"/>
        <v>-</v>
      </c>
      <c r="T177" s="269" t="str">
        <f t="shared" si="120"/>
        <v/>
      </c>
      <c r="U177" s="221">
        <f t="shared" si="121"/>
        <v>77</v>
      </c>
      <c r="V177" s="220" t="str">
        <f t="shared" si="122"/>
        <v>-</v>
      </c>
      <c r="W177" s="221" t="str">
        <f t="shared" si="149"/>
        <v>-</v>
      </c>
      <c r="X177" s="221" t="str">
        <f t="shared" si="123"/>
        <v>-</v>
      </c>
      <c r="Y177" s="221" t="str">
        <f t="shared" si="124"/>
        <v>-</v>
      </c>
      <c r="Z177" s="270">
        <f t="shared" si="150"/>
        <v>0.1</v>
      </c>
      <c r="AA177" s="271" t="str">
        <f>IFERROR(IF(V176=1,AA$100*EXP(-(LN(2)/$D$65+0.04)*X176)*EXP(-(LN(2)/$D$65+0.1)*Y176),IF(V176=2,AA$100*EXP(-(LN(2)/$D$65+0.04)*(VLOOKUP(($F$16-$F$15)-1,U$99:Y176,4,FALSE)))*EXP(-(LN(2)/$D$65+0.1)*(VLOOKUP(($F$16-$F$15)-1,U$99:Y176,5,FALSE)))*EXP(-(LN(2)/$D$65+0.04)*X176)*EXP(-(LN(2)/$D$65+0.1)*Y176),IF(V176=3,AA$100*EXP(-(LN(2)/$D$65+0.04)*(VLOOKUP(($F$16-$F$15)-1,U$99:Y176,4,FALSE)))*EXP(-(LN(2)/$D$65+0.1)*(VLOOKUP(($F$16-$F$15)-1,U$99:Y176,5,FALSE)))*EXP(-(LN(2)/$D$65+0.04)*(VLOOKUP(($F$16-$F$15)*2-1,U$99:Y176,4,FALSE)))*EXP(-(LN(2)/$D$65+0.1)*(VLOOKUP(($F$16-$F$15)*2-1,U$99:Y176,5,FALSE)))*EXP(-(LN(2)/$D$65+0.04)*X176)*EXP(-(LN(2)/$D$65+0.1)*Y176),"-"))),"-")</f>
        <v>-</v>
      </c>
      <c r="AB177" s="271" t="str">
        <f>IFERROR(IF(V177=1,AB$100*EXP(-(LN(2)/$D$65+0.04)*X177)*EXP(-(LN(2)/$D$65+0.1)*Y177),IF(V177=2,AB$100*EXP(-(LN(2)/$D$65+0.04)*(VLOOKUP(($F$16-$F$15)-1,U$100:Y177,4,FALSE)))*EXP(-(LN(2)/$D$65+0.1)*(VLOOKUP(($F$16-$F$15)-1,U$100:Y177,5,FALSE)))*EXP(-(LN(2)/$D$65+0.04)*X177)*EXP(-(LN(2)/$D$65+0.1)*Y177),IF(V177=3,AB$100*EXP(-(LN(2)/$D$65+0.04)*(VLOOKUP(($F$16-$F$15)-1,U$100:Y177,4,FALSE)))*EXP(-(LN(2)/$D$65+0.1)*(VLOOKUP(($F$16-$F$15)-1,U$100:Y177,5,FALSE)))*EXP(-(LN(2)/$D$65+0.04)*(VLOOKUP(($F$16-$F$15)*2-1,U$100:Y177,4,FALSE)))*EXP(-(LN(2)/$D$65+0.1)*(VLOOKUP(($F$16-$F$15)*2-1,U$100:Y177,5,FALSE)))*EXP(-(LN(2)/$D$65+0.04)*X177)*EXP(-(LN(2)/$D$65+0.1)*Y177),"-"))),"-")</f>
        <v>-</v>
      </c>
      <c r="AC177" s="224">
        <f t="shared" si="151"/>
        <v>77</v>
      </c>
      <c r="AD177" s="223" t="str">
        <f t="shared" si="125"/>
        <v>-</v>
      </c>
      <c r="AE177" s="224" t="str">
        <f t="shared" si="152"/>
        <v>-</v>
      </c>
      <c r="AF177" s="224" t="str">
        <f t="shared" si="126"/>
        <v>-</v>
      </c>
      <c r="AG177" s="224" t="str">
        <f t="shared" si="127"/>
        <v>-</v>
      </c>
      <c r="AH177" s="272">
        <f t="shared" si="153"/>
        <v>0.1</v>
      </c>
      <c r="AI177" s="271" t="str">
        <f>IFERROR(IF(AD176=1,AI$100*EXP(-(LN(2)/$D$65+0.04)*AF176)*EXP(-(LN(2)/$D$65+0.1)*AG176),IF(AD176=2,AI$100*EXP(-(LN(2)/$D$65+0.04)*(VLOOKUP(($F$16-$F$15)-1,AC$99:AG176,4,FALSE)))*EXP(-(LN(2)/$D$65+0.1)*(VLOOKUP(($F$16-$F$15)-1,AC$99:AG176,5,FALSE)))*EXP(-(LN(2)/$D$65+0.04)*AF176)*EXP(-(LN(2)/$D$65+0.1)*AG176),IF(AD176=3,AI$100*EXP(-(LN(2)/$D$65+0.04)*(VLOOKUP(($F$16-$F$15)-1,AC$99:AG176,4,FALSE)))*EXP(-(LN(2)/$D$65+0.1)*(VLOOKUP(($F$16-$F$15)-1,AC$99:AG176,5,FALSE)))*EXP(-(LN(2)/$D$65+0.04)*(VLOOKUP(($F$16-$F$15)*2-1,AC$99:AG176,4,FALSE)))*EXP(-(LN(2)/$D$65+0.1)*(VLOOKUP(($F$16-$F$15)*2-1,AC$99:AG176,5,FALSE)))*EXP(-(LN(2)/$D$65+0.04)*AF176)*EXP(-(LN(2)/$D$65+0.1)*AG176),"-"))),"-")</f>
        <v>-</v>
      </c>
      <c r="AJ177" s="271" t="str">
        <f>IFERROR(IF(AD177=1,AJ$100*EXP(-(LN(2)/$D$65+0.04)*AF177)*EXP(-(LN(2)/$D$65+0.1)*AG177),IF(AD177=2,AJ$100*EXP(-(LN(2)/$D$65+0.04)*(VLOOKUP(($F$16-$F$15)-1,AC$100:AG177,4,FALSE)))*EXP(-(LN(2)/$D$65+0.1)*(VLOOKUP(($F$16-$F$15)-1,AC$100:AG177,5,FALSE)))*EXP(-(LN(2)/$D$65+0.04)*AF177)*EXP(-(LN(2)/$D$65+0.1)*AG177),IF(AD177=3,AJ$100*EXP(-(LN(2)/$D$65+0.04)*(VLOOKUP(($F$16-$F$15)-1,AC$100:AG177,4,FALSE)))*EXP(-(LN(2)/$D$65+0.1)*(VLOOKUP(($F$16-$F$15)-1,AC$100:AG177,5,FALSE)))*EXP(-(LN(2)/$D$65+0.04)*(VLOOKUP(($F$16-$F$15)*2-1,AC$100:AG177,4,FALSE)))*EXP(-(LN(2)/$D$65+0.1)*(VLOOKUP(($F$16-$F$15)*2-1,AC$100:AG177,5,FALSE)))*EXP(-(LN(2)/$D$65+0.04)*AF177)*EXP(-(LN(2)/$D$65+0.1)*AG177),"-"))),"-")</f>
        <v>-</v>
      </c>
      <c r="AK177" s="227">
        <f t="shared" si="154"/>
        <v>77</v>
      </c>
      <c r="AL177" s="226" t="str">
        <f t="shared" si="128"/>
        <v>-</v>
      </c>
      <c r="AM177" s="227" t="str">
        <f t="shared" si="155"/>
        <v>-</v>
      </c>
      <c r="AN177" s="227" t="str">
        <f t="shared" si="156"/>
        <v>-</v>
      </c>
      <c r="AO177" s="227" t="str">
        <f t="shared" si="129"/>
        <v>-</v>
      </c>
      <c r="AP177" s="273">
        <f t="shared" si="157"/>
        <v>0.1</v>
      </c>
      <c r="AQ177" s="271" t="str">
        <f>IFERROR(IF(AL176=1,AQ$100*EXP(-(LN(2)/$D$65+0.04)*AN176)*EXP(-(LN(2)/$D$65+0.1)*AO176),IF(AL176=2,AQ$100*EXP(-(LN(2)/$D$65+0.04)*(VLOOKUP(($F$16-$F$15)-1,AK$99:AO176,4,FALSE)))*EXP(-(LN(2)/$D$65+0.1)*(VLOOKUP(($F$16-$F$15)-1,AK$99:AO176,5,FALSE)))*EXP(-(LN(2)/$D$65+0.04)*AN176)*EXP(-(LN(2)/$D$65+0.1)*AO176),IF(AL176=3,AQ$100*EXP(-(LN(2)/$D$65+0.04)*(VLOOKUP(($F$16-$F$15)-1,AK$99:AO176,4,FALSE)))*EXP(-(LN(2)/$D$65+0.1)*(VLOOKUP(($F$16-$F$15)-1,AK$99:AO176,5,FALSE)))*EXP(-(LN(2)/$D$65+0.04)*(VLOOKUP(($F$16-$F$15)*2-1,AK$99:AO176,4,FALSE)))*EXP(-(LN(2)/$D$65+0.1)*(VLOOKUP(($F$16-$F$15)*2-1,AK$99:AO176,5,FALSE)))*EXP(-(LN(2)/$D$65+0.04)*AN176)*EXP(-(LN(2)/$D$65+0.1)*AO176),"-"))),"-")</f>
        <v>-</v>
      </c>
      <c r="AR177" s="271" t="str">
        <f>IFERROR(IF(AL177=1,AR$100*EXP(-(LN(2)/$D$65+0.04)*AN177)*EXP(-(LN(2)/$D$65+0.1)*AO177),IF(AL177=2,AR$100*EXP(-(LN(2)/$D$65+0.04)*(VLOOKUP(($F$16-$F$15)-1,AK$100:AO177,4,FALSE)))*EXP(-(LN(2)/$D$65+0.1)*(VLOOKUP(($F$16-$F$15)-1,AK$100:AO177,5,FALSE)))*EXP(-(LN(2)/$D$65+0.04)*AN177)*EXP(-(LN(2)/$D$65+0.1)*AO177),IF(AL177=3,AR$100*EXP(-(LN(2)/$D$65+0.04)*(VLOOKUP(($F$16-$F$15)-1,AK$100:AO177,4,FALSE)))*EXP(-(LN(2)/$D$65+0.1)*(VLOOKUP(($F$16-$F$15)-1,AK$100:AO177,5,FALSE)))*EXP(-(LN(2)/$D$65+0.04)*(VLOOKUP(($F$16-$F$15)*2-1,AK$100:AO177,4,FALSE)))*EXP(-(LN(2)/$D$65+0.1)*(VLOOKUP(($F$16-$F$15)*2-1,AK$100:AO177,5,FALSE)))*EXP(-(LN(2)/$D$65+0.04)*AN177)*EXP(-(LN(2)/$D$65+0.1)*AO177),"-"))),"-")</f>
        <v>-</v>
      </c>
      <c r="AS177" s="274">
        <f t="shared" si="130"/>
        <v>0</v>
      </c>
      <c r="AT177" s="274">
        <f t="shared" si="131"/>
        <v>0</v>
      </c>
      <c r="AU177" s="274">
        <f t="shared" si="132"/>
        <v>0</v>
      </c>
      <c r="AV177" s="190">
        <f>IF($B177&lt;$F$22,SUM($T$100:$T177),"")</f>
        <v>0</v>
      </c>
      <c r="AW177" s="190" t="str">
        <f t="shared" si="133"/>
        <v>-</v>
      </c>
      <c r="AX177" s="190" t="str">
        <f t="shared" si="158"/>
        <v/>
      </c>
      <c r="AY177"/>
      <c r="AZ177" s="190" t="str">
        <f ca="1">IF(ISNUMBER(OFFSET(AV177,-$F$21,0)),SUM(OFFSET($T$100,$F$21,0):$T177),"")</f>
        <v/>
      </c>
      <c r="BA177" s="190" t="str">
        <f t="shared" ca="1" si="134"/>
        <v/>
      </c>
      <c r="BB177" s="190" t="str">
        <f t="shared" ca="1" si="70"/>
        <v/>
      </c>
      <c r="BC177" s="190"/>
      <c r="BD177" s="190" t="str">
        <f ca="1">IFERROR(IF(AND($B177&gt;=($F$16-$F$15),$B177&lt;$F$22+($F$16-$F$15)),SUM(OFFSET($T$100,($F$16-$F$15),0):$T177),""),"")</f>
        <v/>
      </c>
      <c r="BE177" s="190" t="str">
        <f t="shared" ca="1" si="159"/>
        <v/>
      </c>
      <c r="BF177" s="190" t="str">
        <f t="shared" ca="1" si="160"/>
        <v/>
      </c>
      <c r="BG177"/>
      <c r="BH177" s="190" t="str">
        <f ca="1">IF(ISNUMBER(OFFSET(BD177,-$F$21,0)),SUM(OFFSET($T$100,($F$16-$F$15+$F$21),0):$T177),"")</f>
        <v/>
      </c>
      <c r="BI177" s="190" t="str">
        <f t="shared" ca="1" si="135"/>
        <v/>
      </c>
      <c r="BJ177" s="190" t="str">
        <f t="shared" ca="1" si="161"/>
        <v/>
      </c>
      <c r="BK177" s="190"/>
      <c r="BL177" s="190" t="str">
        <f ca="1">IFERROR(IF(AND($B177&gt;=($F$17-$F$15),$B177&lt;$F$22+($F$17-$F$15)),SUM(OFFSET($T$100,($F$17-$F$15),0):$T177),""),"")</f>
        <v/>
      </c>
      <c r="BM177" s="190" t="str">
        <f t="shared" ca="1" si="136"/>
        <v/>
      </c>
      <c r="BN177" s="190" t="str">
        <f t="shared" ca="1" si="162"/>
        <v/>
      </c>
      <c r="BO177"/>
      <c r="BP177" s="190" t="str">
        <f ca="1">IF(ISNUMBER(OFFSET(BL177,-$F$21,0)),SUM(OFFSET($T$100,($F$17-$F$15+$F$21),0):$T177),"")</f>
        <v/>
      </c>
      <c r="BQ177" s="190" t="str">
        <f t="shared" ca="1" si="137"/>
        <v/>
      </c>
      <c r="BR177" s="190" t="str">
        <f t="shared" ca="1" si="163"/>
        <v/>
      </c>
      <c r="BS177" s="190"/>
      <c r="BT177"/>
      <c r="BU177"/>
      <c r="BV177"/>
      <c r="BY177" s="99"/>
      <c r="BZ177" s="99"/>
      <c r="CA177" s="280" t="str">
        <f t="shared" si="138"/>
        <v/>
      </c>
      <c r="CB177" s="71" t="str">
        <f t="shared" si="139"/>
        <v>-</v>
      </c>
      <c r="CC177" s="33"/>
      <c r="CD177" s="261" t="str">
        <f t="shared" si="140"/>
        <v/>
      </c>
      <c r="CE177" s="280" t="str">
        <f t="shared" si="141"/>
        <v>-</v>
      </c>
      <c r="CF177" s="71" t="str">
        <f t="shared" ca="1" si="142"/>
        <v>-</v>
      </c>
      <c r="CG177" s="33" t="str">
        <f t="shared" si="143"/>
        <v>77-78</v>
      </c>
      <c r="CH177" s="261" t="str">
        <f t="shared" ca="1" si="144"/>
        <v/>
      </c>
      <c r="CI177" s="202"/>
      <c r="CP177" s="99"/>
      <c r="CQ177" s="99"/>
      <c r="CR177" s="99"/>
      <c r="CS177" s="99"/>
      <c r="CT177" s="99"/>
      <c r="CU177" s="99"/>
      <c r="CV177" s="99"/>
      <c r="CW177" s="99"/>
      <c r="CX177" s="99"/>
      <c r="CY177" s="99"/>
      <c r="CZ177" s="99"/>
      <c r="DA177" s="99"/>
      <c r="DB177" s="99"/>
      <c r="DC177" s="99"/>
    </row>
    <row r="178" spans="2:107" ht="13.5" customHeight="1" x14ac:dyDescent="0.2">
      <c r="B178" s="262">
        <v>78</v>
      </c>
      <c r="C178" s="237" t="str">
        <f t="shared" si="107"/>
        <v/>
      </c>
      <c r="D178" s="237" t="str">
        <f t="shared" si="145"/>
        <v>-</v>
      </c>
      <c r="E178" s="290" t="str">
        <f t="shared" si="146"/>
        <v/>
      </c>
      <c r="F178" s="264" t="str">
        <f t="shared" si="147"/>
        <v/>
      </c>
      <c r="G178" s="291" t="str">
        <f t="shared" si="148"/>
        <v/>
      </c>
      <c r="H178" s="240" t="str">
        <f t="shared" si="108"/>
        <v/>
      </c>
      <c r="I178" s="265" t="str">
        <f t="shared" si="109"/>
        <v/>
      </c>
      <c r="J178" s="265" t="str">
        <f t="shared" si="110"/>
        <v/>
      </c>
      <c r="K178" s="240" t="str">
        <f t="shared" si="111"/>
        <v/>
      </c>
      <c r="L178" s="265" t="str">
        <f t="shared" si="112"/>
        <v/>
      </c>
      <c r="M178" s="265" t="str">
        <f t="shared" si="113"/>
        <v/>
      </c>
      <c r="N178" s="240" t="str">
        <f t="shared" si="114"/>
        <v>-</v>
      </c>
      <c r="O178" s="265" t="str">
        <f t="shared" si="115"/>
        <v>-</v>
      </c>
      <c r="P178" s="265" t="str">
        <f t="shared" si="116"/>
        <v>-</v>
      </c>
      <c r="Q178" s="266" t="str">
        <f t="shared" si="117"/>
        <v>-</v>
      </c>
      <c r="R178" s="267" t="str">
        <f t="shared" si="118"/>
        <v>-</v>
      </c>
      <c r="S178" s="268" t="str">
        <f t="shared" si="119"/>
        <v>-</v>
      </c>
      <c r="T178" s="269" t="str">
        <f t="shared" si="120"/>
        <v/>
      </c>
      <c r="U178" s="221">
        <f t="shared" si="121"/>
        <v>78</v>
      </c>
      <c r="V178" s="220" t="str">
        <f t="shared" si="122"/>
        <v>-</v>
      </c>
      <c r="W178" s="221" t="str">
        <f t="shared" si="149"/>
        <v>-</v>
      </c>
      <c r="X178" s="221" t="str">
        <f t="shared" si="123"/>
        <v>-</v>
      </c>
      <c r="Y178" s="221" t="str">
        <f t="shared" si="124"/>
        <v>-</v>
      </c>
      <c r="Z178" s="270">
        <f t="shared" si="150"/>
        <v>0.1</v>
      </c>
      <c r="AA178" s="271" t="str">
        <f>IFERROR(IF(V177=1,AA$100*EXP(-(LN(2)/$D$65+0.04)*X177)*EXP(-(LN(2)/$D$65+0.1)*Y177),IF(V177=2,AA$100*EXP(-(LN(2)/$D$65+0.04)*(VLOOKUP(($F$16-$F$15)-1,U$99:Y177,4,FALSE)))*EXP(-(LN(2)/$D$65+0.1)*(VLOOKUP(($F$16-$F$15)-1,U$99:Y177,5,FALSE)))*EXP(-(LN(2)/$D$65+0.04)*X177)*EXP(-(LN(2)/$D$65+0.1)*Y177),IF(V177=3,AA$100*EXP(-(LN(2)/$D$65+0.04)*(VLOOKUP(($F$16-$F$15)-1,U$99:Y177,4,FALSE)))*EXP(-(LN(2)/$D$65+0.1)*(VLOOKUP(($F$16-$F$15)-1,U$99:Y177,5,FALSE)))*EXP(-(LN(2)/$D$65+0.04)*(VLOOKUP(($F$16-$F$15)*2-1,U$99:Y177,4,FALSE)))*EXP(-(LN(2)/$D$65+0.1)*(VLOOKUP(($F$16-$F$15)*2-1,U$99:Y177,5,FALSE)))*EXP(-(LN(2)/$D$65+0.04)*X177)*EXP(-(LN(2)/$D$65+0.1)*Y177),"-"))),"-")</f>
        <v>-</v>
      </c>
      <c r="AB178" s="271" t="str">
        <f>IFERROR(IF(V178=1,AB$100*EXP(-(LN(2)/$D$65+0.04)*X178)*EXP(-(LN(2)/$D$65+0.1)*Y178),IF(V178=2,AB$100*EXP(-(LN(2)/$D$65+0.04)*(VLOOKUP(($F$16-$F$15)-1,U$100:Y178,4,FALSE)))*EXP(-(LN(2)/$D$65+0.1)*(VLOOKUP(($F$16-$F$15)-1,U$100:Y178,5,FALSE)))*EXP(-(LN(2)/$D$65+0.04)*X178)*EXP(-(LN(2)/$D$65+0.1)*Y178),IF(V178=3,AB$100*EXP(-(LN(2)/$D$65+0.04)*(VLOOKUP(($F$16-$F$15)-1,U$100:Y178,4,FALSE)))*EXP(-(LN(2)/$D$65+0.1)*(VLOOKUP(($F$16-$F$15)-1,U$100:Y178,5,FALSE)))*EXP(-(LN(2)/$D$65+0.04)*(VLOOKUP(($F$16-$F$15)*2-1,U$100:Y178,4,FALSE)))*EXP(-(LN(2)/$D$65+0.1)*(VLOOKUP(($F$16-$F$15)*2-1,U$100:Y178,5,FALSE)))*EXP(-(LN(2)/$D$65+0.04)*X178)*EXP(-(LN(2)/$D$65+0.1)*Y178),"-"))),"-")</f>
        <v>-</v>
      </c>
      <c r="AC178" s="224">
        <f t="shared" si="151"/>
        <v>78</v>
      </c>
      <c r="AD178" s="223" t="str">
        <f t="shared" si="125"/>
        <v>-</v>
      </c>
      <c r="AE178" s="224" t="str">
        <f t="shared" si="152"/>
        <v>-</v>
      </c>
      <c r="AF178" s="224" t="str">
        <f t="shared" si="126"/>
        <v>-</v>
      </c>
      <c r="AG178" s="224" t="str">
        <f t="shared" si="127"/>
        <v>-</v>
      </c>
      <c r="AH178" s="272">
        <f t="shared" si="153"/>
        <v>0.1</v>
      </c>
      <c r="AI178" s="271" t="str">
        <f>IFERROR(IF(AD177=1,AI$100*EXP(-(LN(2)/$D$65+0.04)*AF177)*EXP(-(LN(2)/$D$65+0.1)*AG177),IF(AD177=2,AI$100*EXP(-(LN(2)/$D$65+0.04)*(VLOOKUP(($F$16-$F$15)-1,AC$99:AG177,4,FALSE)))*EXP(-(LN(2)/$D$65+0.1)*(VLOOKUP(($F$16-$F$15)-1,AC$99:AG177,5,FALSE)))*EXP(-(LN(2)/$D$65+0.04)*AF177)*EXP(-(LN(2)/$D$65+0.1)*AG177),IF(AD177=3,AI$100*EXP(-(LN(2)/$D$65+0.04)*(VLOOKUP(($F$16-$F$15)-1,AC$99:AG177,4,FALSE)))*EXP(-(LN(2)/$D$65+0.1)*(VLOOKUP(($F$16-$F$15)-1,AC$99:AG177,5,FALSE)))*EXP(-(LN(2)/$D$65+0.04)*(VLOOKUP(($F$16-$F$15)*2-1,AC$99:AG177,4,FALSE)))*EXP(-(LN(2)/$D$65+0.1)*(VLOOKUP(($F$16-$F$15)*2-1,AC$99:AG177,5,FALSE)))*EXP(-(LN(2)/$D$65+0.04)*AF177)*EXP(-(LN(2)/$D$65+0.1)*AG177),"-"))),"-")</f>
        <v>-</v>
      </c>
      <c r="AJ178" s="271" t="str">
        <f>IFERROR(IF(AD178=1,AJ$100*EXP(-(LN(2)/$D$65+0.04)*AF178)*EXP(-(LN(2)/$D$65+0.1)*AG178),IF(AD178=2,AJ$100*EXP(-(LN(2)/$D$65+0.04)*(VLOOKUP(($F$16-$F$15)-1,AC$100:AG178,4,FALSE)))*EXP(-(LN(2)/$D$65+0.1)*(VLOOKUP(($F$16-$F$15)-1,AC$100:AG178,5,FALSE)))*EXP(-(LN(2)/$D$65+0.04)*AF178)*EXP(-(LN(2)/$D$65+0.1)*AG178),IF(AD178=3,AJ$100*EXP(-(LN(2)/$D$65+0.04)*(VLOOKUP(($F$16-$F$15)-1,AC$100:AG178,4,FALSE)))*EXP(-(LN(2)/$D$65+0.1)*(VLOOKUP(($F$16-$F$15)-1,AC$100:AG178,5,FALSE)))*EXP(-(LN(2)/$D$65+0.04)*(VLOOKUP(($F$16-$F$15)*2-1,AC$100:AG178,4,FALSE)))*EXP(-(LN(2)/$D$65+0.1)*(VLOOKUP(($F$16-$F$15)*2-1,AC$100:AG178,5,FALSE)))*EXP(-(LN(2)/$D$65+0.04)*AF178)*EXP(-(LN(2)/$D$65+0.1)*AG178),"-"))),"-")</f>
        <v>-</v>
      </c>
      <c r="AK178" s="227">
        <f t="shared" si="154"/>
        <v>78</v>
      </c>
      <c r="AL178" s="226" t="str">
        <f t="shared" si="128"/>
        <v>-</v>
      </c>
      <c r="AM178" s="227" t="str">
        <f t="shared" si="155"/>
        <v>-</v>
      </c>
      <c r="AN178" s="227" t="str">
        <f t="shared" si="156"/>
        <v>-</v>
      </c>
      <c r="AO178" s="227" t="str">
        <f t="shared" si="129"/>
        <v>-</v>
      </c>
      <c r="AP178" s="273">
        <f t="shared" si="157"/>
        <v>0.1</v>
      </c>
      <c r="AQ178" s="271" t="str">
        <f>IFERROR(IF(AL177=1,AQ$100*EXP(-(LN(2)/$D$65+0.04)*AN177)*EXP(-(LN(2)/$D$65+0.1)*AO177),IF(AL177=2,AQ$100*EXP(-(LN(2)/$D$65+0.04)*(VLOOKUP(($F$16-$F$15)-1,AK$99:AO177,4,FALSE)))*EXP(-(LN(2)/$D$65+0.1)*(VLOOKUP(($F$16-$F$15)-1,AK$99:AO177,5,FALSE)))*EXP(-(LN(2)/$D$65+0.04)*AN177)*EXP(-(LN(2)/$D$65+0.1)*AO177),IF(AL177=3,AQ$100*EXP(-(LN(2)/$D$65+0.04)*(VLOOKUP(($F$16-$F$15)-1,AK$99:AO177,4,FALSE)))*EXP(-(LN(2)/$D$65+0.1)*(VLOOKUP(($F$16-$F$15)-1,AK$99:AO177,5,FALSE)))*EXP(-(LN(2)/$D$65+0.04)*(VLOOKUP(($F$16-$F$15)*2-1,AK$99:AO177,4,FALSE)))*EXP(-(LN(2)/$D$65+0.1)*(VLOOKUP(($F$16-$F$15)*2-1,AK$99:AO177,5,FALSE)))*EXP(-(LN(2)/$D$65+0.04)*AN177)*EXP(-(LN(2)/$D$65+0.1)*AO177),"-"))),"-")</f>
        <v>-</v>
      </c>
      <c r="AR178" s="271" t="str">
        <f>IFERROR(IF(AL178=1,AR$100*EXP(-(LN(2)/$D$65+0.04)*AN178)*EXP(-(LN(2)/$D$65+0.1)*AO178),IF(AL178=2,AR$100*EXP(-(LN(2)/$D$65+0.04)*(VLOOKUP(($F$16-$F$15)-1,AK$100:AO178,4,FALSE)))*EXP(-(LN(2)/$D$65+0.1)*(VLOOKUP(($F$16-$F$15)-1,AK$100:AO178,5,FALSE)))*EXP(-(LN(2)/$D$65+0.04)*AN178)*EXP(-(LN(2)/$D$65+0.1)*AO178),IF(AL178=3,AR$100*EXP(-(LN(2)/$D$65+0.04)*(VLOOKUP(($F$16-$F$15)-1,AK$100:AO178,4,FALSE)))*EXP(-(LN(2)/$D$65+0.1)*(VLOOKUP(($F$16-$F$15)-1,AK$100:AO178,5,FALSE)))*EXP(-(LN(2)/$D$65+0.04)*(VLOOKUP(($F$16-$F$15)*2-1,AK$100:AO178,4,FALSE)))*EXP(-(LN(2)/$D$65+0.1)*(VLOOKUP(($F$16-$F$15)*2-1,AK$100:AO178,5,FALSE)))*EXP(-(LN(2)/$D$65+0.04)*AN178)*EXP(-(LN(2)/$D$65+0.1)*AO178),"-"))),"-")</f>
        <v>-</v>
      </c>
      <c r="AS178" s="274">
        <f t="shared" si="130"/>
        <v>0</v>
      </c>
      <c r="AT178" s="274">
        <f t="shared" si="131"/>
        <v>0</v>
      </c>
      <c r="AU178" s="274">
        <f t="shared" si="132"/>
        <v>0</v>
      </c>
      <c r="AV178" s="190">
        <f>IF($B178&lt;$F$22,SUM($T$100:$T178),"")</f>
        <v>0</v>
      </c>
      <c r="AW178" s="190" t="str">
        <f t="shared" si="133"/>
        <v>-</v>
      </c>
      <c r="AX178" s="190" t="str">
        <f t="shared" si="158"/>
        <v/>
      </c>
      <c r="AY178"/>
      <c r="AZ178" s="190" t="str">
        <f ca="1">IF(ISNUMBER(OFFSET(AV178,-$F$21,0)),SUM(OFFSET($T$100,$F$21,0):$T178),"")</f>
        <v/>
      </c>
      <c r="BA178" s="190" t="str">
        <f t="shared" ca="1" si="134"/>
        <v/>
      </c>
      <c r="BB178" s="190" t="str">
        <f t="shared" ca="1" si="70"/>
        <v/>
      </c>
      <c r="BC178" s="190"/>
      <c r="BD178" s="190" t="str">
        <f ca="1">IFERROR(IF(AND($B178&gt;=($F$16-$F$15),$B178&lt;$F$22+($F$16-$F$15)),SUM(OFFSET($T$100,($F$16-$F$15),0):$T178),""),"")</f>
        <v/>
      </c>
      <c r="BE178" s="190" t="str">
        <f t="shared" ca="1" si="159"/>
        <v/>
      </c>
      <c r="BF178" s="190" t="str">
        <f t="shared" ca="1" si="160"/>
        <v/>
      </c>
      <c r="BG178"/>
      <c r="BH178" s="190" t="str">
        <f ca="1">IF(ISNUMBER(OFFSET(BD178,-$F$21,0)),SUM(OFFSET($T$100,($F$16-$F$15+$F$21),0):$T178),"")</f>
        <v/>
      </c>
      <c r="BI178" s="190" t="str">
        <f t="shared" ca="1" si="135"/>
        <v/>
      </c>
      <c r="BJ178" s="190" t="str">
        <f t="shared" ca="1" si="161"/>
        <v/>
      </c>
      <c r="BK178" s="190"/>
      <c r="BL178" s="190" t="str">
        <f ca="1">IFERROR(IF(AND($B178&gt;=($F$17-$F$15),$B178&lt;$F$22+($F$17-$F$15)),SUM(OFFSET($T$100,($F$17-$F$15),0):$T178),""),"")</f>
        <v/>
      </c>
      <c r="BM178" s="190" t="str">
        <f t="shared" ca="1" si="136"/>
        <v/>
      </c>
      <c r="BN178" s="190" t="str">
        <f t="shared" ca="1" si="162"/>
        <v/>
      </c>
      <c r="BO178"/>
      <c r="BP178" s="190" t="str">
        <f ca="1">IF(ISNUMBER(OFFSET(BL178,-$F$21,0)),SUM(OFFSET($T$100,($F$17-$F$15+$F$21),0):$T178),"")</f>
        <v/>
      </c>
      <c r="BQ178" s="190" t="str">
        <f t="shared" ca="1" si="137"/>
        <v/>
      </c>
      <c r="BR178" s="190" t="str">
        <f t="shared" ca="1" si="163"/>
        <v/>
      </c>
      <c r="BS178" s="190"/>
      <c r="BT178"/>
      <c r="BU178"/>
      <c r="BV178"/>
      <c r="BY178" s="99"/>
      <c r="BZ178" s="99"/>
      <c r="CA178" s="280" t="str">
        <f t="shared" si="138"/>
        <v/>
      </c>
      <c r="CB178" s="71" t="str">
        <f t="shared" si="139"/>
        <v>-</v>
      </c>
      <c r="CC178" s="33"/>
      <c r="CD178" s="261" t="str">
        <f t="shared" si="140"/>
        <v/>
      </c>
      <c r="CE178" s="280" t="str">
        <f t="shared" si="141"/>
        <v>-</v>
      </c>
      <c r="CF178" s="71" t="str">
        <f t="shared" ca="1" si="142"/>
        <v>-</v>
      </c>
      <c r="CG178" s="33" t="str">
        <f t="shared" si="143"/>
        <v>78-79</v>
      </c>
      <c r="CH178" s="261" t="str">
        <f t="shared" ca="1" si="144"/>
        <v/>
      </c>
      <c r="CI178" s="202"/>
      <c r="CP178" s="99"/>
      <c r="CQ178" s="99"/>
      <c r="CR178" s="99"/>
      <c r="CS178" s="99"/>
      <c r="CT178" s="99"/>
      <c r="CU178" s="99"/>
      <c r="CV178" s="99"/>
      <c r="CW178" s="99"/>
      <c r="CX178" s="99"/>
      <c r="CY178" s="99"/>
      <c r="CZ178" s="99"/>
      <c r="DA178" s="99"/>
      <c r="DB178" s="99"/>
      <c r="DC178" s="99"/>
    </row>
    <row r="179" spans="2:107" ht="13.5" customHeight="1" x14ac:dyDescent="0.2">
      <c r="B179" s="262">
        <v>79</v>
      </c>
      <c r="C179" s="237" t="str">
        <f t="shared" si="107"/>
        <v/>
      </c>
      <c r="D179" s="237" t="str">
        <f t="shared" si="145"/>
        <v>-</v>
      </c>
      <c r="E179" s="290" t="str">
        <f t="shared" si="146"/>
        <v/>
      </c>
      <c r="F179" s="264" t="str">
        <f t="shared" si="147"/>
        <v/>
      </c>
      <c r="G179" s="291" t="str">
        <f t="shared" si="148"/>
        <v/>
      </c>
      <c r="H179" s="240" t="str">
        <f t="shared" si="108"/>
        <v/>
      </c>
      <c r="I179" s="265" t="str">
        <f t="shared" si="109"/>
        <v/>
      </c>
      <c r="J179" s="265" t="str">
        <f t="shared" si="110"/>
        <v/>
      </c>
      <c r="K179" s="240" t="str">
        <f t="shared" si="111"/>
        <v/>
      </c>
      <c r="L179" s="265" t="str">
        <f t="shared" si="112"/>
        <v/>
      </c>
      <c r="M179" s="265" t="str">
        <f t="shared" si="113"/>
        <v/>
      </c>
      <c r="N179" s="240" t="str">
        <f t="shared" si="114"/>
        <v>-</v>
      </c>
      <c r="O179" s="265" t="str">
        <f t="shared" si="115"/>
        <v>-</v>
      </c>
      <c r="P179" s="265" t="str">
        <f t="shared" si="116"/>
        <v>-</v>
      </c>
      <c r="Q179" s="266" t="str">
        <f t="shared" si="117"/>
        <v>-</v>
      </c>
      <c r="R179" s="267" t="str">
        <f t="shared" si="118"/>
        <v>-</v>
      </c>
      <c r="S179" s="268" t="str">
        <f t="shared" si="119"/>
        <v>-</v>
      </c>
      <c r="T179" s="269" t="str">
        <f t="shared" si="120"/>
        <v/>
      </c>
      <c r="U179" s="221">
        <f t="shared" si="121"/>
        <v>79</v>
      </c>
      <c r="V179" s="220" t="str">
        <f t="shared" si="122"/>
        <v>-</v>
      </c>
      <c r="W179" s="221" t="str">
        <f t="shared" si="149"/>
        <v>-</v>
      </c>
      <c r="X179" s="221" t="str">
        <f t="shared" si="123"/>
        <v>-</v>
      </c>
      <c r="Y179" s="221" t="str">
        <f t="shared" si="124"/>
        <v>-</v>
      </c>
      <c r="Z179" s="270">
        <f t="shared" si="150"/>
        <v>0.1</v>
      </c>
      <c r="AA179" s="271" t="str">
        <f>IFERROR(IF(V178=1,AA$100*EXP(-(LN(2)/$D$65+0.04)*X178)*EXP(-(LN(2)/$D$65+0.1)*Y178),IF(V178=2,AA$100*EXP(-(LN(2)/$D$65+0.04)*(VLOOKUP(($F$16-$F$15)-1,U$99:Y178,4,FALSE)))*EXP(-(LN(2)/$D$65+0.1)*(VLOOKUP(($F$16-$F$15)-1,U$99:Y178,5,FALSE)))*EXP(-(LN(2)/$D$65+0.04)*X178)*EXP(-(LN(2)/$D$65+0.1)*Y178),IF(V178=3,AA$100*EXP(-(LN(2)/$D$65+0.04)*(VLOOKUP(($F$16-$F$15)-1,U$99:Y178,4,FALSE)))*EXP(-(LN(2)/$D$65+0.1)*(VLOOKUP(($F$16-$F$15)-1,U$99:Y178,5,FALSE)))*EXP(-(LN(2)/$D$65+0.04)*(VLOOKUP(($F$16-$F$15)*2-1,U$99:Y178,4,FALSE)))*EXP(-(LN(2)/$D$65+0.1)*(VLOOKUP(($F$16-$F$15)*2-1,U$99:Y178,5,FALSE)))*EXP(-(LN(2)/$D$65+0.04)*X178)*EXP(-(LN(2)/$D$65+0.1)*Y178),"-"))),"-")</f>
        <v>-</v>
      </c>
      <c r="AB179" s="271" t="str">
        <f>IFERROR(IF(V179=1,AB$100*EXP(-(LN(2)/$D$65+0.04)*X179)*EXP(-(LN(2)/$D$65+0.1)*Y179),IF(V179=2,AB$100*EXP(-(LN(2)/$D$65+0.04)*(VLOOKUP(($F$16-$F$15)-1,U$100:Y179,4,FALSE)))*EXP(-(LN(2)/$D$65+0.1)*(VLOOKUP(($F$16-$F$15)-1,U$100:Y179,5,FALSE)))*EXP(-(LN(2)/$D$65+0.04)*X179)*EXP(-(LN(2)/$D$65+0.1)*Y179),IF(V179=3,AB$100*EXP(-(LN(2)/$D$65+0.04)*(VLOOKUP(($F$16-$F$15)-1,U$100:Y179,4,FALSE)))*EXP(-(LN(2)/$D$65+0.1)*(VLOOKUP(($F$16-$F$15)-1,U$100:Y179,5,FALSE)))*EXP(-(LN(2)/$D$65+0.04)*(VLOOKUP(($F$16-$F$15)*2-1,U$100:Y179,4,FALSE)))*EXP(-(LN(2)/$D$65+0.1)*(VLOOKUP(($F$16-$F$15)*2-1,U$100:Y179,5,FALSE)))*EXP(-(LN(2)/$D$65+0.04)*X179)*EXP(-(LN(2)/$D$65+0.1)*Y179),"-"))),"-")</f>
        <v>-</v>
      </c>
      <c r="AC179" s="224">
        <f t="shared" si="151"/>
        <v>79</v>
      </c>
      <c r="AD179" s="223" t="str">
        <f t="shared" si="125"/>
        <v>-</v>
      </c>
      <c r="AE179" s="224" t="str">
        <f t="shared" si="152"/>
        <v>-</v>
      </c>
      <c r="AF179" s="224" t="str">
        <f t="shared" si="126"/>
        <v>-</v>
      </c>
      <c r="AG179" s="224" t="str">
        <f t="shared" si="127"/>
        <v>-</v>
      </c>
      <c r="AH179" s="272">
        <f t="shared" si="153"/>
        <v>0.1</v>
      </c>
      <c r="AI179" s="271" t="str">
        <f>IFERROR(IF(AD178=1,AI$100*EXP(-(LN(2)/$D$65+0.04)*AF178)*EXP(-(LN(2)/$D$65+0.1)*AG178),IF(AD178=2,AI$100*EXP(-(LN(2)/$D$65+0.04)*(VLOOKUP(($F$16-$F$15)-1,AC$99:AG178,4,FALSE)))*EXP(-(LN(2)/$D$65+0.1)*(VLOOKUP(($F$16-$F$15)-1,AC$99:AG178,5,FALSE)))*EXP(-(LN(2)/$D$65+0.04)*AF178)*EXP(-(LN(2)/$D$65+0.1)*AG178),IF(AD178=3,AI$100*EXP(-(LN(2)/$D$65+0.04)*(VLOOKUP(($F$16-$F$15)-1,AC$99:AG178,4,FALSE)))*EXP(-(LN(2)/$D$65+0.1)*(VLOOKUP(($F$16-$F$15)-1,AC$99:AG178,5,FALSE)))*EXP(-(LN(2)/$D$65+0.04)*(VLOOKUP(($F$16-$F$15)*2-1,AC$99:AG178,4,FALSE)))*EXP(-(LN(2)/$D$65+0.1)*(VLOOKUP(($F$16-$F$15)*2-1,AC$99:AG178,5,FALSE)))*EXP(-(LN(2)/$D$65+0.04)*AF178)*EXP(-(LN(2)/$D$65+0.1)*AG178),"-"))),"-")</f>
        <v>-</v>
      </c>
      <c r="AJ179" s="271" t="str">
        <f>IFERROR(IF(AD179=1,AJ$100*EXP(-(LN(2)/$D$65+0.04)*AF179)*EXP(-(LN(2)/$D$65+0.1)*AG179),IF(AD179=2,AJ$100*EXP(-(LN(2)/$D$65+0.04)*(VLOOKUP(($F$16-$F$15)-1,AC$100:AG179,4,FALSE)))*EXP(-(LN(2)/$D$65+0.1)*(VLOOKUP(($F$16-$F$15)-1,AC$100:AG179,5,FALSE)))*EXP(-(LN(2)/$D$65+0.04)*AF179)*EXP(-(LN(2)/$D$65+0.1)*AG179),IF(AD179=3,AJ$100*EXP(-(LN(2)/$D$65+0.04)*(VLOOKUP(($F$16-$F$15)-1,AC$100:AG179,4,FALSE)))*EXP(-(LN(2)/$D$65+0.1)*(VLOOKUP(($F$16-$F$15)-1,AC$100:AG179,5,FALSE)))*EXP(-(LN(2)/$D$65+0.04)*(VLOOKUP(($F$16-$F$15)*2-1,AC$100:AG179,4,FALSE)))*EXP(-(LN(2)/$D$65+0.1)*(VLOOKUP(($F$16-$F$15)*2-1,AC$100:AG179,5,FALSE)))*EXP(-(LN(2)/$D$65+0.04)*AF179)*EXP(-(LN(2)/$D$65+0.1)*AG179),"-"))),"-")</f>
        <v>-</v>
      </c>
      <c r="AK179" s="227">
        <f t="shared" si="154"/>
        <v>79</v>
      </c>
      <c r="AL179" s="226" t="str">
        <f t="shared" si="128"/>
        <v>-</v>
      </c>
      <c r="AM179" s="227" t="str">
        <f t="shared" si="155"/>
        <v>-</v>
      </c>
      <c r="AN179" s="227" t="str">
        <f t="shared" si="156"/>
        <v>-</v>
      </c>
      <c r="AO179" s="227" t="str">
        <f t="shared" si="129"/>
        <v>-</v>
      </c>
      <c r="AP179" s="273">
        <f t="shared" si="157"/>
        <v>0.1</v>
      </c>
      <c r="AQ179" s="271" t="str">
        <f>IFERROR(IF(AL178=1,AQ$100*EXP(-(LN(2)/$D$65+0.04)*AN178)*EXP(-(LN(2)/$D$65+0.1)*AO178),IF(AL178=2,AQ$100*EXP(-(LN(2)/$D$65+0.04)*(VLOOKUP(($F$16-$F$15)-1,AK$99:AO178,4,FALSE)))*EXP(-(LN(2)/$D$65+0.1)*(VLOOKUP(($F$16-$F$15)-1,AK$99:AO178,5,FALSE)))*EXP(-(LN(2)/$D$65+0.04)*AN178)*EXP(-(LN(2)/$D$65+0.1)*AO178),IF(AL178=3,AQ$100*EXP(-(LN(2)/$D$65+0.04)*(VLOOKUP(($F$16-$F$15)-1,AK$99:AO178,4,FALSE)))*EXP(-(LN(2)/$D$65+0.1)*(VLOOKUP(($F$16-$F$15)-1,AK$99:AO178,5,FALSE)))*EXP(-(LN(2)/$D$65+0.04)*(VLOOKUP(($F$16-$F$15)*2-1,AK$99:AO178,4,FALSE)))*EXP(-(LN(2)/$D$65+0.1)*(VLOOKUP(($F$16-$F$15)*2-1,AK$99:AO178,5,FALSE)))*EXP(-(LN(2)/$D$65+0.04)*AN178)*EXP(-(LN(2)/$D$65+0.1)*AO178),"-"))),"-")</f>
        <v>-</v>
      </c>
      <c r="AR179" s="271" t="str">
        <f>IFERROR(IF(AL179=1,AR$100*EXP(-(LN(2)/$D$65+0.04)*AN179)*EXP(-(LN(2)/$D$65+0.1)*AO179),IF(AL179=2,AR$100*EXP(-(LN(2)/$D$65+0.04)*(VLOOKUP(($F$16-$F$15)-1,AK$100:AO179,4,FALSE)))*EXP(-(LN(2)/$D$65+0.1)*(VLOOKUP(($F$16-$F$15)-1,AK$100:AO179,5,FALSE)))*EXP(-(LN(2)/$D$65+0.04)*AN179)*EXP(-(LN(2)/$D$65+0.1)*AO179),IF(AL179=3,AR$100*EXP(-(LN(2)/$D$65+0.04)*(VLOOKUP(($F$16-$F$15)-1,AK$100:AO179,4,FALSE)))*EXP(-(LN(2)/$D$65+0.1)*(VLOOKUP(($F$16-$F$15)-1,AK$100:AO179,5,FALSE)))*EXP(-(LN(2)/$D$65+0.04)*(VLOOKUP(($F$16-$F$15)*2-1,AK$100:AO179,4,FALSE)))*EXP(-(LN(2)/$D$65+0.1)*(VLOOKUP(($F$16-$F$15)*2-1,AK$100:AO179,5,FALSE)))*EXP(-(LN(2)/$D$65+0.04)*AN179)*EXP(-(LN(2)/$D$65+0.1)*AO179),"-"))),"-")</f>
        <v>-</v>
      </c>
      <c r="AS179" s="274">
        <f t="shared" si="130"/>
        <v>0</v>
      </c>
      <c r="AT179" s="274">
        <f t="shared" si="131"/>
        <v>0</v>
      </c>
      <c r="AU179" s="274">
        <f t="shared" si="132"/>
        <v>0</v>
      </c>
      <c r="AV179" s="190">
        <f>IF($B179&lt;$F$22,SUM($T$100:$T179),"")</f>
        <v>0</v>
      </c>
      <c r="AW179" s="190" t="str">
        <f t="shared" si="133"/>
        <v>-</v>
      </c>
      <c r="AX179" s="190" t="str">
        <f t="shared" si="158"/>
        <v/>
      </c>
      <c r="AY179"/>
      <c r="AZ179" s="190" t="str">
        <f ca="1">IF(ISNUMBER(OFFSET(AV179,-$F$21,0)),SUM(OFFSET($T$100,$F$21,0):$T179),"")</f>
        <v/>
      </c>
      <c r="BA179" s="190" t="str">
        <f t="shared" ca="1" si="134"/>
        <v/>
      </c>
      <c r="BB179" s="190" t="str">
        <f t="shared" ca="1" si="70"/>
        <v/>
      </c>
      <c r="BC179" s="190"/>
      <c r="BD179" s="190" t="str">
        <f ca="1">IFERROR(IF(AND($B179&gt;=($F$16-$F$15),$B179&lt;$F$22+($F$16-$F$15)),SUM(OFFSET($T$100,($F$16-$F$15),0):$T179),""),"")</f>
        <v/>
      </c>
      <c r="BE179" s="190" t="str">
        <f t="shared" ca="1" si="159"/>
        <v/>
      </c>
      <c r="BF179" s="190" t="str">
        <f t="shared" ca="1" si="160"/>
        <v/>
      </c>
      <c r="BG179"/>
      <c r="BH179" s="190" t="str">
        <f ca="1">IF(ISNUMBER(OFFSET(BD179,-$F$21,0)),SUM(OFFSET($T$100,($F$16-$F$15+$F$21),0):$T179),"")</f>
        <v/>
      </c>
      <c r="BI179" s="190" t="str">
        <f t="shared" ca="1" si="135"/>
        <v/>
      </c>
      <c r="BJ179" s="190" t="str">
        <f t="shared" ca="1" si="161"/>
        <v/>
      </c>
      <c r="BK179" s="190"/>
      <c r="BL179" s="190" t="str">
        <f ca="1">IFERROR(IF(AND($B179&gt;=($F$17-$F$15),$B179&lt;$F$22+($F$17-$F$15)),SUM(OFFSET($T$100,($F$17-$F$15),0):$T179),""),"")</f>
        <v/>
      </c>
      <c r="BM179" s="190" t="str">
        <f t="shared" ca="1" si="136"/>
        <v/>
      </c>
      <c r="BN179" s="190" t="str">
        <f t="shared" ca="1" si="162"/>
        <v/>
      </c>
      <c r="BO179"/>
      <c r="BP179" s="190" t="str">
        <f ca="1">IF(ISNUMBER(OFFSET(BL179,-$F$21,0)),SUM(OFFSET($T$100,($F$17-$F$15+$F$21),0):$T179),"")</f>
        <v/>
      </c>
      <c r="BQ179" s="190" t="str">
        <f t="shared" ca="1" si="137"/>
        <v/>
      </c>
      <c r="BR179" s="190" t="str">
        <f t="shared" ca="1" si="163"/>
        <v/>
      </c>
      <c r="BS179" s="190"/>
      <c r="BT179"/>
      <c r="BU179"/>
      <c r="BV179"/>
      <c r="BY179" s="99"/>
      <c r="BZ179" s="99"/>
      <c r="CA179" s="280" t="str">
        <f t="shared" si="138"/>
        <v/>
      </c>
      <c r="CB179" s="71" t="str">
        <f t="shared" si="139"/>
        <v>-</v>
      </c>
      <c r="CC179" s="33"/>
      <c r="CD179" s="261" t="str">
        <f t="shared" si="140"/>
        <v/>
      </c>
      <c r="CE179" s="280" t="str">
        <f t="shared" si="141"/>
        <v>-</v>
      </c>
      <c r="CF179" s="71" t="str">
        <f t="shared" ca="1" si="142"/>
        <v>-</v>
      </c>
      <c r="CG179" s="33" t="str">
        <f t="shared" si="143"/>
        <v>79-80</v>
      </c>
      <c r="CH179" s="261" t="str">
        <f t="shared" ca="1" si="144"/>
        <v/>
      </c>
      <c r="CI179" s="202"/>
      <c r="CP179" s="99"/>
      <c r="CQ179" s="99"/>
      <c r="CR179" s="99"/>
      <c r="CS179" s="99"/>
      <c r="CT179" s="99"/>
      <c r="CU179" s="99"/>
      <c r="CV179" s="99"/>
      <c r="CW179" s="99"/>
      <c r="CX179" s="99"/>
      <c r="CY179" s="99"/>
      <c r="CZ179" s="99"/>
      <c r="DA179" s="99"/>
      <c r="DB179" s="99"/>
      <c r="DC179" s="99"/>
    </row>
    <row r="180" spans="2:107" ht="13.5" customHeight="1" x14ac:dyDescent="0.2">
      <c r="B180" s="262">
        <v>80</v>
      </c>
      <c r="C180" s="237" t="str">
        <f t="shared" si="107"/>
        <v/>
      </c>
      <c r="D180" s="237" t="str">
        <f t="shared" si="145"/>
        <v>-</v>
      </c>
      <c r="E180" s="263" t="str">
        <f t="shared" si="146"/>
        <v/>
      </c>
      <c r="F180" s="264" t="str">
        <f t="shared" si="147"/>
        <v/>
      </c>
      <c r="G180" s="306" t="str">
        <f t="shared" si="148"/>
        <v/>
      </c>
      <c r="H180" s="240" t="str">
        <f t="shared" si="108"/>
        <v/>
      </c>
      <c r="I180" s="265" t="str">
        <f t="shared" si="109"/>
        <v/>
      </c>
      <c r="J180" s="265" t="str">
        <f t="shared" si="110"/>
        <v/>
      </c>
      <c r="K180" s="240" t="str">
        <f t="shared" si="111"/>
        <v/>
      </c>
      <c r="L180" s="265" t="str">
        <f t="shared" si="112"/>
        <v/>
      </c>
      <c r="M180" s="265" t="str">
        <f t="shared" si="113"/>
        <v/>
      </c>
      <c r="N180" s="240" t="str">
        <f t="shared" si="114"/>
        <v>-</v>
      </c>
      <c r="O180" s="265" t="str">
        <f t="shared" si="115"/>
        <v>-</v>
      </c>
      <c r="P180" s="265" t="str">
        <f t="shared" si="116"/>
        <v>-</v>
      </c>
      <c r="Q180" s="266" t="str">
        <f t="shared" si="117"/>
        <v>-</v>
      </c>
      <c r="R180" s="267" t="str">
        <f t="shared" si="118"/>
        <v>-</v>
      </c>
      <c r="S180" s="268" t="str">
        <f t="shared" si="119"/>
        <v>-</v>
      </c>
      <c r="T180" s="269" t="str">
        <f t="shared" si="120"/>
        <v/>
      </c>
      <c r="U180" s="221">
        <f t="shared" si="121"/>
        <v>80</v>
      </c>
      <c r="V180" s="220" t="str">
        <f t="shared" si="122"/>
        <v>-</v>
      </c>
      <c r="W180" s="221" t="str">
        <f t="shared" si="149"/>
        <v>-</v>
      </c>
      <c r="X180" s="221" t="str">
        <f t="shared" si="123"/>
        <v>-</v>
      </c>
      <c r="Y180" s="221" t="str">
        <f t="shared" si="124"/>
        <v>-</v>
      </c>
      <c r="Z180" s="270">
        <f t="shared" si="150"/>
        <v>0.1</v>
      </c>
      <c r="AA180" s="271" t="str">
        <f>IFERROR(IF(V179=1,AA$100*EXP(-(LN(2)/$D$65+0.04)*X179)*EXP(-(LN(2)/$D$65+0.1)*Y179),IF(V179=2,AA$100*EXP(-(LN(2)/$D$65+0.04)*(VLOOKUP(($F$16-$F$15)-1,U$99:Y179,4,FALSE)))*EXP(-(LN(2)/$D$65+0.1)*(VLOOKUP(($F$16-$F$15)-1,U$99:Y179,5,FALSE)))*EXP(-(LN(2)/$D$65+0.04)*X179)*EXP(-(LN(2)/$D$65+0.1)*Y179),IF(V179=3,AA$100*EXP(-(LN(2)/$D$65+0.04)*(VLOOKUP(($F$16-$F$15)-1,U$99:Y179,4,FALSE)))*EXP(-(LN(2)/$D$65+0.1)*(VLOOKUP(($F$16-$F$15)-1,U$99:Y179,5,FALSE)))*EXP(-(LN(2)/$D$65+0.04)*(VLOOKUP(($F$16-$F$15)*2-1,U$99:Y179,4,FALSE)))*EXP(-(LN(2)/$D$65+0.1)*(VLOOKUP(($F$16-$F$15)*2-1,U$99:Y179,5,FALSE)))*EXP(-(LN(2)/$D$65+0.04)*X179)*EXP(-(LN(2)/$D$65+0.1)*Y179),"-"))),"-")</f>
        <v>-</v>
      </c>
      <c r="AB180" s="271" t="str">
        <f>IFERROR(IF(V180=1,AB$100*EXP(-(LN(2)/$D$65+0.04)*X180)*EXP(-(LN(2)/$D$65+0.1)*Y180),IF(V180=2,AB$100*EXP(-(LN(2)/$D$65+0.04)*(VLOOKUP(($F$16-$F$15)-1,U$100:Y180,4,FALSE)))*EXP(-(LN(2)/$D$65+0.1)*(VLOOKUP(($F$16-$F$15)-1,U$100:Y180,5,FALSE)))*EXP(-(LN(2)/$D$65+0.04)*X180)*EXP(-(LN(2)/$D$65+0.1)*Y180),IF(V180=3,AB$100*EXP(-(LN(2)/$D$65+0.04)*(VLOOKUP(($F$16-$F$15)-1,U$100:Y180,4,FALSE)))*EXP(-(LN(2)/$D$65+0.1)*(VLOOKUP(($F$16-$F$15)-1,U$100:Y180,5,FALSE)))*EXP(-(LN(2)/$D$65+0.04)*(VLOOKUP(($F$16-$F$15)*2-1,U$100:Y180,4,FALSE)))*EXP(-(LN(2)/$D$65+0.1)*(VLOOKUP(($F$16-$F$15)*2-1,U$100:Y180,5,FALSE)))*EXP(-(LN(2)/$D$65+0.04)*X180)*EXP(-(LN(2)/$D$65+0.1)*Y180),"-"))),"-")</f>
        <v>-</v>
      </c>
      <c r="AC180" s="224">
        <f t="shared" si="151"/>
        <v>80</v>
      </c>
      <c r="AD180" s="223" t="str">
        <f t="shared" si="125"/>
        <v>-</v>
      </c>
      <c r="AE180" s="224" t="str">
        <f t="shared" si="152"/>
        <v>-</v>
      </c>
      <c r="AF180" s="224" t="str">
        <f t="shared" si="126"/>
        <v>-</v>
      </c>
      <c r="AG180" s="224" t="str">
        <f t="shared" si="127"/>
        <v>-</v>
      </c>
      <c r="AH180" s="272">
        <f t="shared" si="153"/>
        <v>0.1</v>
      </c>
      <c r="AI180" s="271" t="str">
        <f>IFERROR(IF(AD179=1,AI$100*EXP(-(LN(2)/$D$65+0.04)*AF179)*EXP(-(LN(2)/$D$65+0.1)*AG179),IF(AD179=2,AI$100*EXP(-(LN(2)/$D$65+0.04)*(VLOOKUP(($F$16-$F$15)-1,AC$99:AG179,4,FALSE)))*EXP(-(LN(2)/$D$65+0.1)*(VLOOKUP(($F$16-$F$15)-1,AC$99:AG179,5,FALSE)))*EXP(-(LN(2)/$D$65+0.04)*AF179)*EXP(-(LN(2)/$D$65+0.1)*AG179),IF(AD179=3,AI$100*EXP(-(LN(2)/$D$65+0.04)*(VLOOKUP(($F$16-$F$15)-1,AC$99:AG179,4,FALSE)))*EXP(-(LN(2)/$D$65+0.1)*(VLOOKUP(($F$16-$F$15)-1,AC$99:AG179,5,FALSE)))*EXP(-(LN(2)/$D$65+0.04)*(VLOOKUP(($F$16-$F$15)*2-1,AC$99:AG179,4,FALSE)))*EXP(-(LN(2)/$D$65+0.1)*(VLOOKUP(($F$16-$F$15)*2-1,AC$99:AG179,5,FALSE)))*EXP(-(LN(2)/$D$65+0.04)*AF179)*EXP(-(LN(2)/$D$65+0.1)*AG179),"-"))),"-")</f>
        <v>-</v>
      </c>
      <c r="AJ180" s="271" t="str">
        <f>IFERROR(IF(AD180=1,AJ$100*EXP(-(LN(2)/$D$65+0.04)*AF180)*EXP(-(LN(2)/$D$65+0.1)*AG180),IF(AD180=2,AJ$100*EXP(-(LN(2)/$D$65+0.04)*(VLOOKUP(($F$16-$F$15)-1,AC$100:AG180,4,FALSE)))*EXP(-(LN(2)/$D$65+0.1)*(VLOOKUP(($F$16-$F$15)-1,AC$100:AG180,5,FALSE)))*EXP(-(LN(2)/$D$65+0.04)*AF180)*EXP(-(LN(2)/$D$65+0.1)*AG180),IF(AD180=3,AJ$100*EXP(-(LN(2)/$D$65+0.04)*(VLOOKUP(($F$16-$F$15)-1,AC$100:AG180,4,FALSE)))*EXP(-(LN(2)/$D$65+0.1)*(VLOOKUP(($F$16-$F$15)-1,AC$100:AG180,5,FALSE)))*EXP(-(LN(2)/$D$65+0.04)*(VLOOKUP(($F$16-$F$15)*2-1,AC$100:AG180,4,FALSE)))*EXP(-(LN(2)/$D$65+0.1)*(VLOOKUP(($F$16-$F$15)*2-1,AC$100:AG180,5,FALSE)))*EXP(-(LN(2)/$D$65+0.04)*AF180)*EXP(-(LN(2)/$D$65+0.1)*AG180),"-"))),"-")</f>
        <v>-</v>
      </c>
      <c r="AK180" s="227">
        <f t="shared" si="154"/>
        <v>80</v>
      </c>
      <c r="AL180" s="226" t="str">
        <f t="shared" si="128"/>
        <v>-</v>
      </c>
      <c r="AM180" s="227" t="str">
        <f t="shared" si="155"/>
        <v>-</v>
      </c>
      <c r="AN180" s="227" t="str">
        <f t="shared" si="156"/>
        <v>-</v>
      </c>
      <c r="AO180" s="227" t="str">
        <f t="shared" si="129"/>
        <v>-</v>
      </c>
      <c r="AP180" s="273">
        <f t="shared" si="157"/>
        <v>0.1</v>
      </c>
      <c r="AQ180" s="271" t="str">
        <f>IFERROR(IF(AL179=1,AQ$100*EXP(-(LN(2)/$D$65+0.04)*AN179)*EXP(-(LN(2)/$D$65+0.1)*AO179),IF(AL179=2,AQ$100*EXP(-(LN(2)/$D$65+0.04)*(VLOOKUP(($F$16-$F$15)-1,AK$99:AO179,4,FALSE)))*EXP(-(LN(2)/$D$65+0.1)*(VLOOKUP(($F$16-$F$15)-1,AK$99:AO179,5,FALSE)))*EXP(-(LN(2)/$D$65+0.04)*AN179)*EXP(-(LN(2)/$D$65+0.1)*AO179),IF(AL179=3,AQ$100*EXP(-(LN(2)/$D$65+0.04)*(VLOOKUP(($F$16-$F$15)-1,AK$99:AO179,4,FALSE)))*EXP(-(LN(2)/$D$65+0.1)*(VLOOKUP(($F$16-$F$15)-1,AK$99:AO179,5,FALSE)))*EXP(-(LN(2)/$D$65+0.04)*(VLOOKUP(($F$16-$F$15)*2-1,AK$99:AO179,4,FALSE)))*EXP(-(LN(2)/$D$65+0.1)*(VLOOKUP(($F$16-$F$15)*2-1,AK$99:AO179,5,FALSE)))*EXP(-(LN(2)/$D$65+0.04)*AN179)*EXP(-(LN(2)/$D$65+0.1)*AO179),"-"))),"-")</f>
        <v>-</v>
      </c>
      <c r="AR180" s="271" t="str">
        <f>IFERROR(IF(AL180=1,AR$100*EXP(-(LN(2)/$D$65+0.04)*AN180)*EXP(-(LN(2)/$D$65+0.1)*AO180),IF(AL180=2,AR$100*EXP(-(LN(2)/$D$65+0.04)*(VLOOKUP(($F$16-$F$15)-1,AK$100:AO180,4,FALSE)))*EXP(-(LN(2)/$D$65+0.1)*(VLOOKUP(($F$16-$F$15)-1,AK$100:AO180,5,FALSE)))*EXP(-(LN(2)/$D$65+0.04)*AN180)*EXP(-(LN(2)/$D$65+0.1)*AO180),IF(AL180=3,AR$100*EXP(-(LN(2)/$D$65+0.04)*(VLOOKUP(($F$16-$F$15)-1,AK$100:AO180,4,FALSE)))*EXP(-(LN(2)/$D$65+0.1)*(VLOOKUP(($F$16-$F$15)-1,AK$100:AO180,5,FALSE)))*EXP(-(LN(2)/$D$65+0.04)*(VLOOKUP(($F$16-$F$15)*2-1,AK$100:AO180,4,FALSE)))*EXP(-(LN(2)/$D$65+0.1)*(VLOOKUP(($F$16-$F$15)*2-1,AK$100:AO180,5,FALSE)))*EXP(-(LN(2)/$D$65+0.04)*AN180)*EXP(-(LN(2)/$D$65+0.1)*AO180),"-"))),"-")</f>
        <v>-</v>
      </c>
      <c r="AS180" s="274">
        <f t="shared" si="130"/>
        <v>0</v>
      </c>
      <c r="AT180" s="274">
        <f t="shared" si="131"/>
        <v>0</v>
      </c>
      <c r="AU180" s="274">
        <f t="shared" si="132"/>
        <v>0</v>
      </c>
      <c r="AV180" s="190">
        <f>IF($B180&lt;$F$22,SUM($T$100:$T180),"")</f>
        <v>0</v>
      </c>
      <c r="AW180" s="190" t="str">
        <f t="shared" si="133"/>
        <v>-</v>
      </c>
      <c r="AX180" s="190" t="str">
        <f t="shared" si="158"/>
        <v/>
      </c>
      <c r="AY180"/>
      <c r="AZ180" s="190" t="str">
        <f ca="1">IF(ISNUMBER(OFFSET(AV180,-$F$21,0)),SUM(OFFSET($T$100,$F$21,0):$T180),"")</f>
        <v/>
      </c>
      <c r="BA180" s="190" t="str">
        <f t="shared" ca="1" si="134"/>
        <v/>
      </c>
      <c r="BB180" s="190" t="str">
        <f t="shared" ca="1" si="70"/>
        <v/>
      </c>
      <c r="BC180" s="190"/>
      <c r="BD180" s="190" t="str">
        <f ca="1">IFERROR(IF(AND($B180&gt;=($F$16-$F$15),$B180&lt;$F$22+($F$16-$F$15)),SUM(OFFSET($T$100,($F$16-$F$15),0):$T180),""),"")</f>
        <v/>
      </c>
      <c r="BE180" s="190" t="str">
        <f t="shared" ca="1" si="159"/>
        <v/>
      </c>
      <c r="BF180" s="190" t="str">
        <f t="shared" ca="1" si="160"/>
        <v/>
      </c>
      <c r="BG180"/>
      <c r="BH180" s="190" t="str">
        <f ca="1">IF(ISNUMBER(OFFSET(BD180,-$F$21,0)),SUM(OFFSET($T$100,($F$16-$F$15+$F$21),0):$T180),"")</f>
        <v/>
      </c>
      <c r="BI180" s="190" t="str">
        <f t="shared" ca="1" si="135"/>
        <v/>
      </c>
      <c r="BJ180" s="190" t="str">
        <f t="shared" ca="1" si="161"/>
        <v/>
      </c>
      <c r="BK180" s="190"/>
      <c r="BL180" s="190" t="str">
        <f ca="1">IFERROR(IF(AND($B180&gt;=($F$17-$F$15),$B180&lt;$F$22+($F$17-$F$15)),SUM(OFFSET($T$100,($F$17-$F$15),0):$T180),""),"")</f>
        <v/>
      </c>
      <c r="BM180" s="190" t="str">
        <f t="shared" ca="1" si="136"/>
        <v/>
      </c>
      <c r="BN180" s="190" t="str">
        <f t="shared" ca="1" si="162"/>
        <v/>
      </c>
      <c r="BO180"/>
      <c r="BP180" s="190" t="str">
        <f ca="1">IF(ISNUMBER(OFFSET(BL180,-$F$21,0)),SUM(OFFSET($T$100,($F$17-$F$15+$F$21),0):$T180),"")</f>
        <v/>
      </c>
      <c r="BQ180" s="190" t="str">
        <f t="shared" ca="1" si="137"/>
        <v/>
      </c>
      <c r="BR180" s="190" t="str">
        <f t="shared" ca="1" si="163"/>
        <v/>
      </c>
      <c r="BS180" s="190"/>
      <c r="BT180"/>
      <c r="BU180"/>
      <c r="BV180"/>
      <c r="BY180" s="99"/>
      <c r="BZ180" s="99"/>
      <c r="CA180" s="280" t="str">
        <f t="shared" si="138"/>
        <v/>
      </c>
      <c r="CB180" s="71" t="str">
        <f t="shared" si="139"/>
        <v>-</v>
      </c>
      <c r="CC180" s="33"/>
      <c r="CD180" s="261" t="str">
        <f t="shared" si="140"/>
        <v/>
      </c>
      <c r="CE180" s="280" t="str">
        <f t="shared" si="141"/>
        <v>-</v>
      </c>
      <c r="CF180" s="71" t="str">
        <f t="shared" ca="1" si="142"/>
        <v>-</v>
      </c>
      <c r="CG180" s="33" t="str">
        <f t="shared" si="143"/>
        <v>80-81</v>
      </c>
      <c r="CH180" s="261" t="str">
        <f t="shared" ca="1" si="144"/>
        <v/>
      </c>
      <c r="CI180" s="202"/>
      <c r="CP180" s="99"/>
      <c r="CQ180" s="99"/>
      <c r="CR180" s="99"/>
      <c r="CS180" s="99"/>
      <c r="CT180" s="99"/>
      <c r="CU180" s="99"/>
      <c r="CV180" s="99"/>
      <c r="CW180" s="99"/>
      <c r="CX180" s="99"/>
      <c r="CY180" s="99"/>
      <c r="CZ180" s="99"/>
      <c r="DA180" s="99"/>
      <c r="DB180" s="99"/>
      <c r="DC180" s="99"/>
    </row>
    <row r="181" spans="2:107" ht="13.5" customHeight="1" x14ac:dyDescent="0.2">
      <c r="B181" s="262">
        <v>81</v>
      </c>
      <c r="C181" s="237" t="str">
        <f t="shared" si="107"/>
        <v/>
      </c>
      <c r="D181" s="237" t="str">
        <f t="shared" si="145"/>
        <v>-</v>
      </c>
      <c r="E181" s="263" t="str">
        <f t="shared" si="146"/>
        <v/>
      </c>
      <c r="F181" s="264" t="str">
        <f t="shared" si="147"/>
        <v/>
      </c>
      <c r="G181" s="306" t="str">
        <f t="shared" si="148"/>
        <v/>
      </c>
      <c r="H181" s="240" t="str">
        <f t="shared" si="108"/>
        <v/>
      </c>
      <c r="I181" s="265" t="str">
        <f t="shared" si="109"/>
        <v/>
      </c>
      <c r="J181" s="265" t="str">
        <f t="shared" si="110"/>
        <v/>
      </c>
      <c r="K181" s="240" t="str">
        <f t="shared" si="111"/>
        <v/>
      </c>
      <c r="L181" s="265" t="str">
        <f t="shared" si="112"/>
        <v/>
      </c>
      <c r="M181" s="265" t="str">
        <f t="shared" si="113"/>
        <v/>
      </c>
      <c r="N181" s="240" t="str">
        <f t="shared" si="114"/>
        <v>-</v>
      </c>
      <c r="O181" s="265" t="str">
        <f t="shared" si="115"/>
        <v>-</v>
      </c>
      <c r="P181" s="265" t="str">
        <f t="shared" si="116"/>
        <v>-</v>
      </c>
      <c r="Q181" s="266" t="str">
        <f t="shared" si="117"/>
        <v>-</v>
      </c>
      <c r="R181" s="267" t="str">
        <f t="shared" si="118"/>
        <v>-</v>
      </c>
      <c r="S181" s="268" t="str">
        <f t="shared" si="119"/>
        <v>-</v>
      </c>
      <c r="T181" s="269" t="str">
        <f t="shared" si="120"/>
        <v/>
      </c>
      <c r="U181" s="221">
        <f t="shared" si="121"/>
        <v>81</v>
      </c>
      <c r="V181" s="220" t="str">
        <f t="shared" si="122"/>
        <v>-</v>
      </c>
      <c r="W181" s="221" t="str">
        <f t="shared" si="149"/>
        <v>-</v>
      </c>
      <c r="X181" s="221" t="str">
        <f t="shared" si="123"/>
        <v>-</v>
      </c>
      <c r="Y181" s="221" t="str">
        <f t="shared" si="124"/>
        <v>-</v>
      </c>
      <c r="Z181" s="270">
        <f t="shared" si="150"/>
        <v>0.1</v>
      </c>
      <c r="AA181" s="271" t="str">
        <f>IFERROR(IF(V180=1,AA$100*EXP(-(LN(2)/$D$65+0.04)*X180)*EXP(-(LN(2)/$D$65+0.1)*Y180),IF(V180=2,AA$100*EXP(-(LN(2)/$D$65+0.04)*(VLOOKUP(($F$16-$F$15)-1,U$99:Y180,4,FALSE)))*EXP(-(LN(2)/$D$65+0.1)*(VLOOKUP(($F$16-$F$15)-1,U$99:Y180,5,FALSE)))*EXP(-(LN(2)/$D$65+0.04)*X180)*EXP(-(LN(2)/$D$65+0.1)*Y180),IF(V180=3,AA$100*EXP(-(LN(2)/$D$65+0.04)*(VLOOKUP(($F$16-$F$15)-1,U$99:Y180,4,FALSE)))*EXP(-(LN(2)/$D$65+0.1)*(VLOOKUP(($F$16-$F$15)-1,U$99:Y180,5,FALSE)))*EXP(-(LN(2)/$D$65+0.04)*(VLOOKUP(($F$16-$F$15)*2-1,U$99:Y180,4,FALSE)))*EXP(-(LN(2)/$D$65+0.1)*(VLOOKUP(($F$16-$F$15)*2-1,U$99:Y180,5,FALSE)))*EXP(-(LN(2)/$D$65+0.04)*X180)*EXP(-(LN(2)/$D$65+0.1)*Y180),"-"))),"-")</f>
        <v>-</v>
      </c>
      <c r="AB181" s="271" t="str">
        <f>IFERROR(IF(V181=1,AB$100*EXP(-(LN(2)/$D$65+0.04)*X181)*EXP(-(LN(2)/$D$65+0.1)*Y181),IF(V181=2,AB$100*EXP(-(LN(2)/$D$65+0.04)*(VLOOKUP(($F$16-$F$15)-1,U$100:Y181,4,FALSE)))*EXP(-(LN(2)/$D$65+0.1)*(VLOOKUP(($F$16-$F$15)-1,U$100:Y181,5,FALSE)))*EXP(-(LN(2)/$D$65+0.04)*X181)*EXP(-(LN(2)/$D$65+0.1)*Y181),IF(V181=3,AB$100*EXP(-(LN(2)/$D$65+0.04)*(VLOOKUP(($F$16-$F$15)-1,U$100:Y181,4,FALSE)))*EXP(-(LN(2)/$D$65+0.1)*(VLOOKUP(($F$16-$F$15)-1,U$100:Y181,5,FALSE)))*EXP(-(LN(2)/$D$65+0.04)*(VLOOKUP(($F$16-$F$15)*2-1,U$100:Y181,4,FALSE)))*EXP(-(LN(2)/$D$65+0.1)*(VLOOKUP(($F$16-$F$15)*2-1,U$100:Y181,5,FALSE)))*EXP(-(LN(2)/$D$65+0.04)*X181)*EXP(-(LN(2)/$D$65+0.1)*Y181),"-"))),"-")</f>
        <v>-</v>
      </c>
      <c r="AC181" s="224">
        <f t="shared" si="151"/>
        <v>81</v>
      </c>
      <c r="AD181" s="223" t="str">
        <f t="shared" si="125"/>
        <v>-</v>
      </c>
      <c r="AE181" s="224" t="str">
        <f t="shared" si="152"/>
        <v>-</v>
      </c>
      <c r="AF181" s="224" t="str">
        <f t="shared" si="126"/>
        <v>-</v>
      </c>
      <c r="AG181" s="224" t="str">
        <f t="shared" si="127"/>
        <v>-</v>
      </c>
      <c r="AH181" s="272">
        <f t="shared" si="153"/>
        <v>0.1</v>
      </c>
      <c r="AI181" s="271" t="str">
        <f>IFERROR(IF(AD180=1,AI$100*EXP(-(LN(2)/$D$65+0.04)*AF180)*EXP(-(LN(2)/$D$65+0.1)*AG180),IF(AD180=2,AI$100*EXP(-(LN(2)/$D$65+0.04)*(VLOOKUP(($F$16-$F$15)-1,AC$99:AG180,4,FALSE)))*EXP(-(LN(2)/$D$65+0.1)*(VLOOKUP(($F$16-$F$15)-1,AC$99:AG180,5,FALSE)))*EXP(-(LN(2)/$D$65+0.04)*AF180)*EXP(-(LN(2)/$D$65+0.1)*AG180),IF(AD180=3,AI$100*EXP(-(LN(2)/$D$65+0.04)*(VLOOKUP(($F$16-$F$15)-1,AC$99:AG180,4,FALSE)))*EXP(-(LN(2)/$D$65+0.1)*(VLOOKUP(($F$16-$F$15)-1,AC$99:AG180,5,FALSE)))*EXP(-(LN(2)/$D$65+0.04)*(VLOOKUP(($F$16-$F$15)*2-1,AC$99:AG180,4,FALSE)))*EXP(-(LN(2)/$D$65+0.1)*(VLOOKUP(($F$16-$F$15)*2-1,AC$99:AG180,5,FALSE)))*EXP(-(LN(2)/$D$65+0.04)*AF180)*EXP(-(LN(2)/$D$65+0.1)*AG180),"-"))),"-")</f>
        <v>-</v>
      </c>
      <c r="AJ181" s="271" t="str">
        <f>IFERROR(IF(AD181=1,AJ$100*EXP(-(LN(2)/$D$65+0.04)*AF181)*EXP(-(LN(2)/$D$65+0.1)*AG181),IF(AD181=2,AJ$100*EXP(-(LN(2)/$D$65+0.04)*(VLOOKUP(($F$16-$F$15)-1,AC$100:AG181,4,FALSE)))*EXP(-(LN(2)/$D$65+0.1)*(VLOOKUP(($F$16-$F$15)-1,AC$100:AG181,5,FALSE)))*EXP(-(LN(2)/$D$65+0.04)*AF181)*EXP(-(LN(2)/$D$65+0.1)*AG181),IF(AD181=3,AJ$100*EXP(-(LN(2)/$D$65+0.04)*(VLOOKUP(($F$16-$F$15)-1,AC$100:AG181,4,FALSE)))*EXP(-(LN(2)/$D$65+0.1)*(VLOOKUP(($F$16-$F$15)-1,AC$100:AG181,5,FALSE)))*EXP(-(LN(2)/$D$65+0.04)*(VLOOKUP(($F$16-$F$15)*2-1,AC$100:AG181,4,FALSE)))*EXP(-(LN(2)/$D$65+0.1)*(VLOOKUP(($F$16-$F$15)*2-1,AC$100:AG181,5,FALSE)))*EXP(-(LN(2)/$D$65+0.04)*AF181)*EXP(-(LN(2)/$D$65+0.1)*AG181),"-"))),"-")</f>
        <v>-</v>
      </c>
      <c r="AK181" s="227">
        <f t="shared" si="154"/>
        <v>81</v>
      </c>
      <c r="AL181" s="226" t="str">
        <f t="shared" si="128"/>
        <v>-</v>
      </c>
      <c r="AM181" s="227" t="str">
        <f t="shared" si="155"/>
        <v>-</v>
      </c>
      <c r="AN181" s="227" t="str">
        <f t="shared" si="156"/>
        <v>-</v>
      </c>
      <c r="AO181" s="227" t="str">
        <f t="shared" si="129"/>
        <v>-</v>
      </c>
      <c r="AP181" s="273">
        <f t="shared" si="157"/>
        <v>0.1</v>
      </c>
      <c r="AQ181" s="271" t="str">
        <f>IFERROR(IF(AL180=1,AQ$100*EXP(-(LN(2)/$D$65+0.04)*AN180)*EXP(-(LN(2)/$D$65+0.1)*AO180),IF(AL180=2,AQ$100*EXP(-(LN(2)/$D$65+0.04)*(VLOOKUP(($F$16-$F$15)-1,AK$99:AO180,4,FALSE)))*EXP(-(LN(2)/$D$65+0.1)*(VLOOKUP(($F$16-$F$15)-1,AK$99:AO180,5,FALSE)))*EXP(-(LN(2)/$D$65+0.04)*AN180)*EXP(-(LN(2)/$D$65+0.1)*AO180),IF(AL180=3,AQ$100*EXP(-(LN(2)/$D$65+0.04)*(VLOOKUP(($F$16-$F$15)-1,AK$99:AO180,4,FALSE)))*EXP(-(LN(2)/$D$65+0.1)*(VLOOKUP(($F$16-$F$15)-1,AK$99:AO180,5,FALSE)))*EXP(-(LN(2)/$D$65+0.04)*(VLOOKUP(($F$16-$F$15)*2-1,AK$99:AO180,4,FALSE)))*EXP(-(LN(2)/$D$65+0.1)*(VLOOKUP(($F$16-$F$15)*2-1,AK$99:AO180,5,FALSE)))*EXP(-(LN(2)/$D$65+0.04)*AN180)*EXP(-(LN(2)/$D$65+0.1)*AO180),"-"))),"-")</f>
        <v>-</v>
      </c>
      <c r="AR181" s="271" t="str">
        <f>IFERROR(IF(AL181=1,AR$100*EXP(-(LN(2)/$D$65+0.04)*AN181)*EXP(-(LN(2)/$D$65+0.1)*AO181),IF(AL181=2,AR$100*EXP(-(LN(2)/$D$65+0.04)*(VLOOKUP(($F$16-$F$15)-1,AK$100:AO181,4,FALSE)))*EXP(-(LN(2)/$D$65+0.1)*(VLOOKUP(($F$16-$F$15)-1,AK$100:AO181,5,FALSE)))*EXP(-(LN(2)/$D$65+0.04)*AN181)*EXP(-(LN(2)/$D$65+0.1)*AO181),IF(AL181=3,AR$100*EXP(-(LN(2)/$D$65+0.04)*(VLOOKUP(($F$16-$F$15)-1,AK$100:AO181,4,FALSE)))*EXP(-(LN(2)/$D$65+0.1)*(VLOOKUP(($F$16-$F$15)-1,AK$100:AO181,5,FALSE)))*EXP(-(LN(2)/$D$65+0.04)*(VLOOKUP(($F$16-$F$15)*2-1,AK$100:AO181,4,FALSE)))*EXP(-(LN(2)/$D$65+0.1)*(VLOOKUP(($F$16-$F$15)*2-1,AK$100:AO181,5,FALSE)))*EXP(-(LN(2)/$D$65+0.04)*AN181)*EXP(-(LN(2)/$D$65+0.1)*AO181),"-"))),"-")</f>
        <v>-</v>
      </c>
      <c r="AS181" s="274">
        <f t="shared" si="130"/>
        <v>0</v>
      </c>
      <c r="AT181" s="274">
        <f t="shared" si="131"/>
        <v>0</v>
      </c>
      <c r="AU181" s="274">
        <f t="shared" si="132"/>
        <v>0</v>
      </c>
      <c r="AV181" s="190">
        <f>IF($B181&lt;$F$22,SUM($T$100:$T181),"")</f>
        <v>0</v>
      </c>
      <c r="AW181" s="190" t="str">
        <f t="shared" si="133"/>
        <v>-</v>
      </c>
      <c r="AX181" s="190" t="str">
        <f t="shared" si="158"/>
        <v/>
      </c>
      <c r="AY181"/>
      <c r="AZ181" s="190" t="str">
        <f ca="1">IF(ISNUMBER(OFFSET(AV181,-$F$21,0)),SUM(OFFSET($T$100,$F$21,0):$T181),"")</f>
        <v/>
      </c>
      <c r="BA181" s="190" t="str">
        <f t="shared" ca="1" si="134"/>
        <v/>
      </c>
      <c r="BB181" s="190" t="str">
        <f t="shared" ca="1" si="70"/>
        <v/>
      </c>
      <c r="BC181" s="190"/>
      <c r="BD181" s="190" t="str">
        <f ca="1">IFERROR(IF(AND($B181&gt;=($F$16-$F$15),$B181&lt;$F$22+($F$16-$F$15)),SUM(OFFSET($T$100,($F$16-$F$15),0):$T181),""),"")</f>
        <v/>
      </c>
      <c r="BE181" s="190" t="str">
        <f t="shared" ca="1" si="159"/>
        <v/>
      </c>
      <c r="BF181" s="190" t="str">
        <f t="shared" ca="1" si="160"/>
        <v/>
      </c>
      <c r="BG181"/>
      <c r="BH181" s="190" t="str">
        <f ca="1">IF(ISNUMBER(OFFSET(BD181,-$F$21,0)),SUM(OFFSET($T$100,($F$16-$F$15+$F$21),0):$T181),"")</f>
        <v/>
      </c>
      <c r="BI181" s="190" t="str">
        <f t="shared" ca="1" si="135"/>
        <v/>
      </c>
      <c r="BJ181" s="190" t="str">
        <f t="shared" ca="1" si="161"/>
        <v/>
      </c>
      <c r="BK181" s="190"/>
      <c r="BL181" s="190" t="str">
        <f ca="1">IFERROR(IF(AND($B181&gt;=($F$17-$F$15),$B181&lt;$F$22+($F$17-$F$15)),SUM(OFFSET($T$100,($F$17-$F$15),0):$T181),""),"")</f>
        <v/>
      </c>
      <c r="BM181" s="190" t="str">
        <f t="shared" ca="1" si="136"/>
        <v/>
      </c>
      <c r="BN181" s="190" t="str">
        <f t="shared" ca="1" si="162"/>
        <v/>
      </c>
      <c r="BO181"/>
      <c r="BP181" s="190" t="str">
        <f ca="1">IF(ISNUMBER(OFFSET(BL181,-$F$21,0)),SUM(OFFSET($T$100,($F$17-$F$15+$F$21),0):$T181),"")</f>
        <v/>
      </c>
      <c r="BQ181" s="190" t="str">
        <f t="shared" ca="1" si="137"/>
        <v/>
      </c>
      <c r="BR181" s="190" t="str">
        <f t="shared" ca="1" si="163"/>
        <v/>
      </c>
      <c r="BS181" s="190"/>
      <c r="BT181"/>
      <c r="BU181"/>
      <c r="BV181"/>
      <c r="BY181" s="99"/>
      <c r="BZ181" s="99"/>
      <c r="CA181" s="280" t="str">
        <f t="shared" si="138"/>
        <v/>
      </c>
      <c r="CB181" s="71" t="str">
        <f t="shared" si="139"/>
        <v>-</v>
      </c>
      <c r="CC181" s="33"/>
      <c r="CD181" s="261" t="str">
        <f t="shared" si="140"/>
        <v/>
      </c>
      <c r="CE181" s="280" t="str">
        <f t="shared" si="141"/>
        <v>-</v>
      </c>
      <c r="CF181" s="71" t="str">
        <f t="shared" ca="1" si="142"/>
        <v>-</v>
      </c>
      <c r="CG181" s="33" t="str">
        <f t="shared" si="143"/>
        <v>81-82</v>
      </c>
      <c r="CH181" s="261" t="str">
        <f t="shared" ca="1" si="144"/>
        <v/>
      </c>
      <c r="CI181" s="202"/>
      <c r="CP181" s="99"/>
      <c r="CQ181" s="99"/>
      <c r="CR181" s="99"/>
      <c r="CS181" s="99"/>
      <c r="CT181" s="99"/>
      <c r="CU181" s="99"/>
      <c r="CV181" s="99"/>
      <c r="CW181" s="99"/>
      <c r="CX181" s="99"/>
      <c r="CY181" s="99"/>
      <c r="CZ181" s="99"/>
      <c r="DA181" s="99"/>
      <c r="DB181" s="99"/>
      <c r="DC181" s="99"/>
    </row>
    <row r="182" spans="2:107" ht="13.5" customHeight="1" x14ac:dyDescent="0.2">
      <c r="B182" s="262">
        <v>82</v>
      </c>
      <c r="C182" s="237" t="str">
        <f t="shared" si="107"/>
        <v/>
      </c>
      <c r="D182" s="237" t="str">
        <f t="shared" si="145"/>
        <v>-</v>
      </c>
      <c r="E182" s="263" t="str">
        <f t="shared" si="146"/>
        <v/>
      </c>
      <c r="F182" s="264" t="str">
        <f t="shared" si="147"/>
        <v/>
      </c>
      <c r="G182" s="306" t="str">
        <f t="shared" si="148"/>
        <v/>
      </c>
      <c r="H182" s="240" t="str">
        <f t="shared" si="108"/>
        <v/>
      </c>
      <c r="I182" s="265" t="str">
        <f t="shared" si="109"/>
        <v/>
      </c>
      <c r="J182" s="265" t="str">
        <f t="shared" si="110"/>
        <v/>
      </c>
      <c r="K182" s="240" t="str">
        <f t="shared" si="111"/>
        <v/>
      </c>
      <c r="L182" s="265" t="str">
        <f t="shared" si="112"/>
        <v/>
      </c>
      <c r="M182" s="265" t="str">
        <f t="shared" si="113"/>
        <v/>
      </c>
      <c r="N182" s="240" t="str">
        <f t="shared" si="114"/>
        <v>-</v>
      </c>
      <c r="O182" s="265" t="str">
        <f t="shared" si="115"/>
        <v>-</v>
      </c>
      <c r="P182" s="265" t="str">
        <f t="shared" si="116"/>
        <v>-</v>
      </c>
      <c r="Q182" s="266" t="str">
        <f t="shared" si="117"/>
        <v>-</v>
      </c>
      <c r="R182" s="267" t="str">
        <f t="shared" si="118"/>
        <v>-</v>
      </c>
      <c r="S182" s="268" t="str">
        <f t="shared" si="119"/>
        <v>-</v>
      </c>
      <c r="T182" s="269" t="str">
        <f t="shared" si="120"/>
        <v/>
      </c>
      <c r="U182" s="221">
        <f t="shared" si="121"/>
        <v>82</v>
      </c>
      <c r="V182" s="220" t="str">
        <f t="shared" si="122"/>
        <v>-</v>
      </c>
      <c r="W182" s="221" t="str">
        <f t="shared" si="149"/>
        <v>-</v>
      </c>
      <c r="X182" s="221" t="str">
        <f t="shared" si="123"/>
        <v>-</v>
      </c>
      <c r="Y182" s="221" t="str">
        <f t="shared" si="124"/>
        <v>-</v>
      </c>
      <c r="Z182" s="270">
        <f t="shared" si="150"/>
        <v>0.1</v>
      </c>
      <c r="AA182" s="271" t="str">
        <f>IFERROR(IF(V181=1,AA$100*EXP(-(LN(2)/$D$65+0.04)*X181)*EXP(-(LN(2)/$D$65+0.1)*Y181),IF(V181=2,AA$100*EXP(-(LN(2)/$D$65+0.04)*(VLOOKUP(($F$16-$F$15)-1,U$99:Y181,4,FALSE)))*EXP(-(LN(2)/$D$65+0.1)*(VLOOKUP(($F$16-$F$15)-1,U$99:Y181,5,FALSE)))*EXP(-(LN(2)/$D$65+0.04)*X181)*EXP(-(LN(2)/$D$65+0.1)*Y181),IF(V181=3,AA$100*EXP(-(LN(2)/$D$65+0.04)*(VLOOKUP(($F$16-$F$15)-1,U$99:Y181,4,FALSE)))*EXP(-(LN(2)/$D$65+0.1)*(VLOOKUP(($F$16-$F$15)-1,U$99:Y181,5,FALSE)))*EXP(-(LN(2)/$D$65+0.04)*(VLOOKUP(($F$16-$F$15)*2-1,U$99:Y181,4,FALSE)))*EXP(-(LN(2)/$D$65+0.1)*(VLOOKUP(($F$16-$F$15)*2-1,U$99:Y181,5,FALSE)))*EXP(-(LN(2)/$D$65+0.04)*X181)*EXP(-(LN(2)/$D$65+0.1)*Y181),"-"))),"-")</f>
        <v>-</v>
      </c>
      <c r="AB182" s="271" t="str">
        <f>IFERROR(IF(V182=1,AB$100*EXP(-(LN(2)/$D$65+0.04)*X182)*EXP(-(LN(2)/$D$65+0.1)*Y182),IF(V182=2,AB$100*EXP(-(LN(2)/$D$65+0.04)*(VLOOKUP(($F$16-$F$15)-1,U$100:Y182,4,FALSE)))*EXP(-(LN(2)/$D$65+0.1)*(VLOOKUP(($F$16-$F$15)-1,U$100:Y182,5,FALSE)))*EXP(-(LN(2)/$D$65+0.04)*X182)*EXP(-(LN(2)/$D$65+0.1)*Y182),IF(V182=3,AB$100*EXP(-(LN(2)/$D$65+0.04)*(VLOOKUP(($F$16-$F$15)-1,U$100:Y182,4,FALSE)))*EXP(-(LN(2)/$D$65+0.1)*(VLOOKUP(($F$16-$F$15)-1,U$100:Y182,5,FALSE)))*EXP(-(LN(2)/$D$65+0.04)*(VLOOKUP(($F$16-$F$15)*2-1,U$100:Y182,4,FALSE)))*EXP(-(LN(2)/$D$65+0.1)*(VLOOKUP(($F$16-$F$15)*2-1,U$100:Y182,5,FALSE)))*EXP(-(LN(2)/$D$65+0.04)*X182)*EXP(-(LN(2)/$D$65+0.1)*Y182),"-"))),"-")</f>
        <v>-</v>
      </c>
      <c r="AC182" s="224">
        <f t="shared" si="151"/>
        <v>82</v>
      </c>
      <c r="AD182" s="223" t="str">
        <f t="shared" si="125"/>
        <v>-</v>
      </c>
      <c r="AE182" s="224" t="str">
        <f t="shared" si="152"/>
        <v>-</v>
      </c>
      <c r="AF182" s="224" t="str">
        <f t="shared" si="126"/>
        <v>-</v>
      </c>
      <c r="AG182" s="224" t="str">
        <f t="shared" si="127"/>
        <v>-</v>
      </c>
      <c r="AH182" s="272">
        <f t="shared" si="153"/>
        <v>0.1</v>
      </c>
      <c r="AI182" s="271" t="str">
        <f>IFERROR(IF(AD181=1,AI$100*EXP(-(LN(2)/$D$65+0.04)*AF181)*EXP(-(LN(2)/$D$65+0.1)*AG181),IF(AD181=2,AI$100*EXP(-(LN(2)/$D$65+0.04)*(VLOOKUP(($F$16-$F$15)-1,AC$99:AG181,4,FALSE)))*EXP(-(LN(2)/$D$65+0.1)*(VLOOKUP(($F$16-$F$15)-1,AC$99:AG181,5,FALSE)))*EXP(-(LN(2)/$D$65+0.04)*AF181)*EXP(-(LN(2)/$D$65+0.1)*AG181),IF(AD181=3,AI$100*EXP(-(LN(2)/$D$65+0.04)*(VLOOKUP(($F$16-$F$15)-1,AC$99:AG181,4,FALSE)))*EXP(-(LN(2)/$D$65+0.1)*(VLOOKUP(($F$16-$F$15)-1,AC$99:AG181,5,FALSE)))*EXP(-(LN(2)/$D$65+0.04)*(VLOOKUP(($F$16-$F$15)*2-1,AC$99:AG181,4,FALSE)))*EXP(-(LN(2)/$D$65+0.1)*(VLOOKUP(($F$16-$F$15)*2-1,AC$99:AG181,5,FALSE)))*EXP(-(LN(2)/$D$65+0.04)*AF181)*EXP(-(LN(2)/$D$65+0.1)*AG181),"-"))),"-")</f>
        <v>-</v>
      </c>
      <c r="AJ182" s="271" t="str">
        <f>IFERROR(IF(AD182=1,AJ$100*EXP(-(LN(2)/$D$65+0.04)*AF182)*EXP(-(LN(2)/$D$65+0.1)*AG182),IF(AD182=2,AJ$100*EXP(-(LN(2)/$D$65+0.04)*(VLOOKUP(($F$16-$F$15)-1,AC$100:AG182,4,FALSE)))*EXP(-(LN(2)/$D$65+0.1)*(VLOOKUP(($F$16-$F$15)-1,AC$100:AG182,5,FALSE)))*EXP(-(LN(2)/$D$65+0.04)*AF182)*EXP(-(LN(2)/$D$65+0.1)*AG182),IF(AD182=3,AJ$100*EXP(-(LN(2)/$D$65+0.04)*(VLOOKUP(($F$16-$F$15)-1,AC$100:AG182,4,FALSE)))*EXP(-(LN(2)/$D$65+0.1)*(VLOOKUP(($F$16-$F$15)-1,AC$100:AG182,5,FALSE)))*EXP(-(LN(2)/$D$65+0.04)*(VLOOKUP(($F$16-$F$15)*2-1,AC$100:AG182,4,FALSE)))*EXP(-(LN(2)/$D$65+0.1)*(VLOOKUP(($F$16-$F$15)*2-1,AC$100:AG182,5,FALSE)))*EXP(-(LN(2)/$D$65+0.04)*AF182)*EXP(-(LN(2)/$D$65+0.1)*AG182),"-"))),"-")</f>
        <v>-</v>
      </c>
      <c r="AK182" s="227">
        <f t="shared" si="154"/>
        <v>82</v>
      </c>
      <c r="AL182" s="226" t="str">
        <f t="shared" si="128"/>
        <v>-</v>
      </c>
      <c r="AM182" s="227" t="str">
        <f t="shared" si="155"/>
        <v>-</v>
      </c>
      <c r="AN182" s="227" t="str">
        <f t="shared" si="156"/>
        <v>-</v>
      </c>
      <c r="AO182" s="227" t="str">
        <f t="shared" si="129"/>
        <v>-</v>
      </c>
      <c r="AP182" s="273">
        <f t="shared" si="157"/>
        <v>0.1</v>
      </c>
      <c r="AQ182" s="271" t="str">
        <f>IFERROR(IF(AL181=1,AQ$100*EXP(-(LN(2)/$D$65+0.04)*AN181)*EXP(-(LN(2)/$D$65+0.1)*AO181),IF(AL181=2,AQ$100*EXP(-(LN(2)/$D$65+0.04)*(VLOOKUP(($F$16-$F$15)-1,AK$99:AO181,4,FALSE)))*EXP(-(LN(2)/$D$65+0.1)*(VLOOKUP(($F$16-$F$15)-1,AK$99:AO181,5,FALSE)))*EXP(-(LN(2)/$D$65+0.04)*AN181)*EXP(-(LN(2)/$D$65+0.1)*AO181),IF(AL181=3,AQ$100*EXP(-(LN(2)/$D$65+0.04)*(VLOOKUP(($F$16-$F$15)-1,AK$99:AO181,4,FALSE)))*EXP(-(LN(2)/$D$65+0.1)*(VLOOKUP(($F$16-$F$15)-1,AK$99:AO181,5,FALSE)))*EXP(-(LN(2)/$D$65+0.04)*(VLOOKUP(($F$16-$F$15)*2-1,AK$99:AO181,4,FALSE)))*EXP(-(LN(2)/$D$65+0.1)*(VLOOKUP(($F$16-$F$15)*2-1,AK$99:AO181,5,FALSE)))*EXP(-(LN(2)/$D$65+0.04)*AN181)*EXP(-(LN(2)/$D$65+0.1)*AO181),"-"))),"-")</f>
        <v>-</v>
      </c>
      <c r="AR182" s="271" t="str">
        <f>IFERROR(IF(AL182=1,AR$100*EXP(-(LN(2)/$D$65+0.04)*AN182)*EXP(-(LN(2)/$D$65+0.1)*AO182),IF(AL182=2,AR$100*EXP(-(LN(2)/$D$65+0.04)*(VLOOKUP(($F$16-$F$15)-1,AK$100:AO182,4,FALSE)))*EXP(-(LN(2)/$D$65+0.1)*(VLOOKUP(($F$16-$F$15)-1,AK$100:AO182,5,FALSE)))*EXP(-(LN(2)/$D$65+0.04)*AN182)*EXP(-(LN(2)/$D$65+0.1)*AO182),IF(AL182=3,AR$100*EXP(-(LN(2)/$D$65+0.04)*(VLOOKUP(($F$16-$F$15)-1,AK$100:AO182,4,FALSE)))*EXP(-(LN(2)/$D$65+0.1)*(VLOOKUP(($F$16-$F$15)-1,AK$100:AO182,5,FALSE)))*EXP(-(LN(2)/$D$65+0.04)*(VLOOKUP(($F$16-$F$15)*2-1,AK$100:AO182,4,FALSE)))*EXP(-(LN(2)/$D$65+0.1)*(VLOOKUP(($F$16-$F$15)*2-1,AK$100:AO182,5,FALSE)))*EXP(-(LN(2)/$D$65+0.04)*AN182)*EXP(-(LN(2)/$D$65+0.1)*AO182),"-"))),"-")</f>
        <v>-</v>
      </c>
      <c r="AS182" s="274">
        <f t="shared" si="130"/>
        <v>0</v>
      </c>
      <c r="AT182" s="274">
        <f t="shared" si="131"/>
        <v>0</v>
      </c>
      <c r="AU182" s="274">
        <f t="shared" si="132"/>
        <v>0</v>
      </c>
      <c r="AV182" s="190">
        <f>IF($B182&lt;$F$22,SUM($T$100:$T182),"")</f>
        <v>0</v>
      </c>
      <c r="AW182" s="190" t="str">
        <f t="shared" si="133"/>
        <v>-</v>
      </c>
      <c r="AX182" s="190" t="str">
        <f t="shared" si="158"/>
        <v/>
      </c>
      <c r="AY182"/>
      <c r="AZ182" s="190" t="str">
        <f ca="1">IF(ISNUMBER(OFFSET(AV182,-$F$21,0)),SUM(OFFSET($T$100,$F$21,0):$T182),"")</f>
        <v/>
      </c>
      <c r="BA182" s="190" t="str">
        <f t="shared" ca="1" si="134"/>
        <v/>
      </c>
      <c r="BB182" s="190" t="str">
        <f t="shared" ca="1" si="70"/>
        <v/>
      </c>
      <c r="BC182" s="190"/>
      <c r="BD182" s="190" t="str">
        <f ca="1">IFERROR(IF(AND($B182&gt;=($F$16-$F$15),$B182&lt;$F$22+($F$16-$F$15)),SUM(OFFSET($T$100,($F$16-$F$15),0):$T182),""),"")</f>
        <v/>
      </c>
      <c r="BE182" s="190" t="str">
        <f t="shared" ca="1" si="159"/>
        <v/>
      </c>
      <c r="BF182" s="190" t="str">
        <f t="shared" ca="1" si="160"/>
        <v/>
      </c>
      <c r="BG182"/>
      <c r="BH182" s="190" t="str">
        <f ca="1">IF(ISNUMBER(OFFSET(BD182,-$F$21,0)),SUM(OFFSET($T$100,($F$16-$F$15+$F$21),0):$T182),"")</f>
        <v/>
      </c>
      <c r="BI182" s="190" t="str">
        <f t="shared" ca="1" si="135"/>
        <v/>
      </c>
      <c r="BJ182" s="190" t="str">
        <f t="shared" ca="1" si="161"/>
        <v/>
      </c>
      <c r="BK182" s="190"/>
      <c r="BL182" s="190" t="str">
        <f ca="1">IFERROR(IF(AND($B182&gt;=($F$17-$F$15),$B182&lt;$F$22+($F$17-$F$15)),SUM(OFFSET($T$100,($F$17-$F$15),0):$T182),""),"")</f>
        <v/>
      </c>
      <c r="BM182" s="190" t="str">
        <f t="shared" ca="1" si="136"/>
        <v/>
      </c>
      <c r="BN182" s="190" t="str">
        <f t="shared" ca="1" si="162"/>
        <v/>
      </c>
      <c r="BO182"/>
      <c r="BP182" s="190" t="str">
        <f ca="1">IF(ISNUMBER(OFFSET(BL182,-$F$21,0)),SUM(OFFSET($T$100,($F$17-$F$15+$F$21),0):$T182),"")</f>
        <v/>
      </c>
      <c r="BQ182" s="190" t="str">
        <f t="shared" ca="1" si="137"/>
        <v/>
      </c>
      <c r="BR182" s="190" t="str">
        <f t="shared" ca="1" si="163"/>
        <v/>
      </c>
      <c r="BS182" s="190"/>
      <c r="BT182"/>
      <c r="BU182"/>
      <c r="BV182"/>
      <c r="BY182" s="99"/>
      <c r="BZ182" s="99"/>
      <c r="CA182" s="280" t="str">
        <f t="shared" si="138"/>
        <v/>
      </c>
      <c r="CB182" s="71" t="str">
        <f t="shared" si="139"/>
        <v>-</v>
      </c>
      <c r="CC182" s="33"/>
      <c r="CD182" s="261" t="str">
        <f t="shared" si="140"/>
        <v/>
      </c>
      <c r="CE182" s="280" t="str">
        <f t="shared" si="141"/>
        <v>-</v>
      </c>
      <c r="CF182" s="71" t="str">
        <f t="shared" ca="1" si="142"/>
        <v>-</v>
      </c>
      <c r="CG182" s="33" t="str">
        <f t="shared" si="143"/>
        <v>82-83</v>
      </c>
      <c r="CH182" s="261" t="str">
        <f t="shared" ca="1" si="144"/>
        <v/>
      </c>
      <c r="CI182" s="202"/>
      <c r="CP182" s="99"/>
      <c r="CQ182" s="99"/>
      <c r="CR182" s="99"/>
      <c r="CS182" s="99"/>
      <c r="CT182" s="99"/>
      <c r="CU182" s="99"/>
      <c r="CV182" s="99"/>
      <c r="CW182" s="99"/>
      <c r="CX182" s="99"/>
      <c r="CY182" s="99"/>
      <c r="CZ182" s="99"/>
      <c r="DA182" s="99"/>
      <c r="DB182" s="99"/>
      <c r="DC182" s="99"/>
    </row>
    <row r="183" spans="2:107" ht="13.5" customHeight="1" x14ac:dyDescent="0.2">
      <c r="B183" s="262">
        <v>83</v>
      </c>
      <c r="C183" s="237" t="str">
        <f t="shared" si="107"/>
        <v/>
      </c>
      <c r="D183" s="237" t="str">
        <f t="shared" si="145"/>
        <v>-</v>
      </c>
      <c r="E183" s="263" t="str">
        <f t="shared" si="146"/>
        <v/>
      </c>
      <c r="F183" s="264" t="str">
        <f t="shared" si="147"/>
        <v/>
      </c>
      <c r="G183" s="306" t="str">
        <f t="shared" si="148"/>
        <v/>
      </c>
      <c r="H183" s="240" t="str">
        <f t="shared" si="108"/>
        <v/>
      </c>
      <c r="I183" s="265" t="str">
        <f t="shared" si="109"/>
        <v/>
      </c>
      <c r="J183" s="265" t="str">
        <f t="shared" si="110"/>
        <v/>
      </c>
      <c r="K183" s="240" t="str">
        <f t="shared" si="111"/>
        <v/>
      </c>
      <c r="L183" s="265" t="str">
        <f t="shared" si="112"/>
        <v/>
      </c>
      <c r="M183" s="265" t="str">
        <f t="shared" si="113"/>
        <v/>
      </c>
      <c r="N183" s="240" t="str">
        <f t="shared" si="114"/>
        <v>-</v>
      </c>
      <c r="O183" s="265" t="str">
        <f t="shared" si="115"/>
        <v>-</v>
      </c>
      <c r="P183" s="265" t="str">
        <f t="shared" si="116"/>
        <v>-</v>
      </c>
      <c r="Q183" s="266" t="str">
        <f t="shared" si="117"/>
        <v>-</v>
      </c>
      <c r="R183" s="267" t="str">
        <f t="shared" si="118"/>
        <v>-</v>
      </c>
      <c r="S183" s="268" t="str">
        <f t="shared" si="119"/>
        <v>-</v>
      </c>
      <c r="T183" s="269" t="str">
        <f t="shared" si="120"/>
        <v/>
      </c>
      <c r="U183" s="221">
        <f t="shared" si="121"/>
        <v>83</v>
      </c>
      <c r="V183" s="220" t="str">
        <f t="shared" si="122"/>
        <v>-</v>
      </c>
      <c r="W183" s="221" t="str">
        <f t="shared" si="149"/>
        <v>-</v>
      </c>
      <c r="X183" s="221" t="str">
        <f t="shared" si="123"/>
        <v>-</v>
      </c>
      <c r="Y183" s="221" t="str">
        <f t="shared" si="124"/>
        <v>-</v>
      </c>
      <c r="Z183" s="270">
        <f t="shared" si="150"/>
        <v>0.1</v>
      </c>
      <c r="AA183" s="271" t="str">
        <f>IFERROR(IF(V182=1,AA$100*EXP(-(LN(2)/$D$65+0.04)*X182)*EXP(-(LN(2)/$D$65+0.1)*Y182),IF(V182=2,AA$100*EXP(-(LN(2)/$D$65+0.04)*(VLOOKUP(($F$16-$F$15)-1,U$99:Y182,4,FALSE)))*EXP(-(LN(2)/$D$65+0.1)*(VLOOKUP(($F$16-$F$15)-1,U$99:Y182,5,FALSE)))*EXP(-(LN(2)/$D$65+0.04)*X182)*EXP(-(LN(2)/$D$65+0.1)*Y182),IF(V182=3,AA$100*EXP(-(LN(2)/$D$65+0.04)*(VLOOKUP(($F$16-$F$15)-1,U$99:Y182,4,FALSE)))*EXP(-(LN(2)/$D$65+0.1)*(VLOOKUP(($F$16-$F$15)-1,U$99:Y182,5,FALSE)))*EXP(-(LN(2)/$D$65+0.04)*(VLOOKUP(($F$16-$F$15)*2-1,U$99:Y182,4,FALSE)))*EXP(-(LN(2)/$D$65+0.1)*(VLOOKUP(($F$16-$F$15)*2-1,U$99:Y182,5,FALSE)))*EXP(-(LN(2)/$D$65+0.04)*X182)*EXP(-(LN(2)/$D$65+0.1)*Y182),"-"))),"-")</f>
        <v>-</v>
      </c>
      <c r="AB183" s="271" t="str">
        <f>IFERROR(IF(V183=1,AB$100*EXP(-(LN(2)/$D$65+0.04)*X183)*EXP(-(LN(2)/$D$65+0.1)*Y183),IF(V183=2,AB$100*EXP(-(LN(2)/$D$65+0.04)*(VLOOKUP(($F$16-$F$15)-1,U$100:Y183,4,FALSE)))*EXP(-(LN(2)/$D$65+0.1)*(VLOOKUP(($F$16-$F$15)-1,U$100:Y183,5,FALSE)))*EXP(-(LN(2)/$D$65+0.04)*X183)*EXP(-(LN(2)/$D$65+0.1)*Y183),IF(V183=3,AB$100*EXP(-(LN(2)/$D$65+0.04)*(VLOOKUP(($F$16-$F$15)-1,U$100:Y183,4,FALSE)))*EXP(-(LN(2)/$D$65+0.1)*(VLOOKUP(($F$16-$F$15)-1,U$100:Y183,5,FALSE)))*EXP(-(LN(2)/$D$65+0.04)*(VLOOKUP(($F$16-$F$15)*2-1,U$100:Y183,4,FALSE)))*EXP(-(LN(2)/$D$65+0.1)*(VLOOKUP(($F$16-$F$15)*2-1,U$100:Y183,5,FALSE)))*EXP(-(LN(2)/$D$65+0.04)*X183)*EXP(-(LN(2)/$D$65+0.1)*Y183),"-"))),"-")</f>
        <v>-</v>
      </c>
      <c r="AC183" s="224">
        <f t="shared" si="151"/>
        <v>83</v>
      </c>
      <c r="AD183" s="223" t="str">
        <f t="shared" si="125"/>
        <v>-</v>
      </c>
      <c r="AE183" s="224" t="str">
        <f t="shared" si="152"/>
        <v>-</v>
      </c>
      <c r="AF183" s="224" t="str">
        <f t="shared" si="126"/>
        <v>-</v>
      </c>
      <c r="AG183" s="224" t="str">
        <f t="shared" si="127"/>
        <v>-</v>
      </c>
      <c r="AH183" s="272">
        <f t="shared" si="153"/>
        <v>0.1</v>
      </c>
      <c r="AI183" s="271" t="str">
        <f>IFERROR(IF(AD182=1,AI$100*EXP(-(LN(2)/$D$65+0.04)*AF182)*EXP(-(LN(2)/$D$65+0.1)*AG182),IF(AD182=2,AI$100*EXP(-(LN(2)/$D$65+0.04)*(VLOOKUP(($F$16-$F$15)-1,AC$99:AG182,4,FALSE)))*EXP(-(LN(2)/$D$65+0.1)*(VLOOKUP(($F$16-$F$15)-1,AC$99:AG182,5,FALSE)))*EXP(-(LN(2)/$D$65+0.04)*AF182)*EXP(-(LN(2)/$D$65+0.1)*AG182),IF(AD182=3,AI$100*EXP(-(LN(2)/$D$65+0.04)*(VLOOKUP(($F$16-$F$15)-1,AC$99:AG182,4,FALSE)))*EXP(-(LN(2)/$D$65+0.1)*(VLOOKUP(($F$16-$F$15)-1,AC$99:AG182,5,FALSE)))*EXP(-(LN(2)/$D$65+0.04)*(VLOOKUP(($F$16-$F$15)*2-1,AC$99:AG182,4,FALSE)))*EXP(-(LN(2)/$D$65+0.1)*(VLOOKUP(($F$16-$F$15)*2-1,AC$99:AG182,5,FALSE)))*EXP(-(LN(2)/$D$65+0.04)*AF182)*EXP(-(LN(2)/$D$65+0.1)*AG182),"-"))),"-")</f>
        <v>-</v>
      </c>
      <c r="AJ183" s="271" t="str">
        <f>IFERROR(IF(AD183=1,AJ$100*EXP(-(LN(2)/$D$65+0.04)*AF183)*EXP(-(LN(2)/$D$65+0.1)*AG183),IF(AD183=2,AJ$100*EXP(-(LN(2)/$D$65+0.04)*(VLOOKUP(($F$16-$F$15)-1,AC$100:AG183,4,FALSE)))*EXP(-(LN(2)/$D$65+0.1)*(VLOOKUP(($F$16-$F$15)-1,AC$100:AG183,5,FALSE)))*EXP(-(LN(2)/$D$65+0.04)*AF183)*EXP(-(LN(2)/$D$65+0.1)*AG183),IF(AD183=3,AJ$100*EXP(-(LN(2)/$D$65+0.04)*(VLOOKUP(($F$16-$F$15)-1,AC$100:AG183,4,FALSE)))*EXP(-(LN(2)/$D$65+0.1)*(VLOOKUP(($F$16-$F$15)-1,AC$100:AG183,5,FALSE)))*EXP(-(LN(2)/$D$65+0.04)*(VLOOKUP(($F$16-$F$15)*2-1,AC$100:AG183,4,FALSE)))*EXP(-(LN(2)/$D$65+0.1)*(VLOOKUP(($F$16-$F$15)*2-1,AC$100:AG183,5,FALSE)))*EXP(-(LN(2)/$D$65+0.04)*AF183)*EXP(-(LN(2)/$D$65+0.1)*AG183),"-"))),"-")</f>
        <v>-</v>
      </c>
      <c r="AK183" s="227">
        <f t="shared" si="154"/>
        <v>83</v>
      </c>
      <c r="AL183" s="226" t="str">
        <f t="shared" si="128"/>
        <v>-</v>
      </c>
      <c r="AM183" s="227" t="str">
        <f t="shared" si="155"/>
        <v>-</v>
      </c>
      <c r="AN183" s="227" t="str">
        <f t="shared" si="156"/>
        <v>-</v>
      </c>
      <c r="AO183" s="227" t="str">
        <f t="shared" si="129"/>
        <v>-</v>
      </c>
      <c r="AP183" s="273">
        <f t="shared" si="157"/>
        <v>0.1</v>
      </c>
      <c r="AQ183" s="271" t="str">
        <f>IFERROR(IF(AL182=1,AQ$100*EXP(-(LN(2)/$D$65+0.04)*AN182)*EXP(-(LN(2)/$D$65+0.1)*AO182),IF(AL182=2,AQ$100*EXP(-(LN(2)/$D$65+0.04)*(VLOOKUP(($F$16-$F$15)-1,AK$99:AO182,4,FALSE)))*EXP(-(LN(2)/$D$65+0.1)*(VLOOKUP(($F$16-$F$15)-1,AK$99:AO182,5,FALSE)))*EXP(-(LN(2)/$D$65+0.04)*AN182)*EXP(-(LN(2)/$D$65+0.1)*AO182),IF(AL182=3,AQ$100*EXP(-(LN(2)/$D$65+0.04)*(VLOOKUP(($F$16-$F$15)-1,AK$99:AO182,4,FALSE)))*EXP(-(LN(2)/$D$65+0.1)*(VLOOKUP(($F$16-$F$15)-1,AK$99:AO182,5,FALSE)))*EXP(-(LN(2)/$D$65+0.04)*(VLOOKUP(($F$16-$F$15)*2-1,AK$99:AO182,4,FALSE)))*EXP(-(LN(2)/$D$65+0.1)*(VLOOKUP(($F$16-$F$15)*2-1,AK$99:AO182,5,FALSE)))*EXP(-(LN(2)/$D$65+0.04)*AN182)*EXP(-(LN(2)/$D$65+0.1)*AO182),"-"))),"-")</f>
        <v>-</v>
      </c>
      <c r="AR183" s="271" t="str">
        <f>IFERROR(IF(AL183=1,AR$100*EXP(-(LN(2)/$D$65+0.04)*AN183)*EXP(-(LN(2)/$D$65+0.1)*AO183),IF(AL183=2,AR$100*EXP(-(LN(2)/$D$65+0.04)*(VLOOKUP(($F$16-$F$15)-1,AK$100:AO183,4,FALSE)))*EXP(-(LN(2)/$D$65+0.1)*(VLOOKUP(($F$16-$F$15)-1,AK$100:AO183,5,FALSE)))*EXP(-(LN(2)/$D$65+0.04)*AN183)*EXP(-(LN(2)/$D$65+0.1)*AO183),IF(AL183=3,AR$100*EXP(-(LN(2)/$D$65+0.04)*(VLOOKUP(($F$16-$F$15)-1,AK$100:AO183,4,FALSE)))*EXP(-(LN(2)/$D$65+0.1)*(VLOOKUP(($F$16-$F$15)-1,AK$100:AO183,5,FALSE)))*EXP(-(LN(2)/$D$65+0.04)*(VLOOKUP(($F$16-$F$15)*2-1,AK$100:AO183,4,FALSE)))*EXP(-(LN(2)/$D$65+0.1)*(VLOOKUP(($F$16-$F$15)*2-1,AK$100:AO183,5,FALSE)))*EXP(-(LN(2)/$D$65+0.04)*AN183)*EXP(-(LN(2)/$D$65+0.1)*AO183),"-"))),"-")</f>
        <v>-</v>
      </c>
      <c r="AS183" s="274">
        <f t="shared" si="130"/>
        <v>0</v>
      </c>
      <c r="AT183" s="274">
        <f t="shared" si="131"/>
        <v>0</v>
      </c>
      <c r="AU183" s="274">
        <f t="shared" si="132"/>
        <v>0</v>
      </c>
      <c r="AV183" s="190">
        <f>IF($B183&lt;$F$22,SUM($T$100:$T183),"")</f>
        <v>0</v>
      </c>
      <c r="AW183" s="190" t="str">
        <f t="shared" si="133"/>
        <v>-</v>
      </c>
      <c r="AX183" s="190" t="str">
        <f t="shared" si="158"/>
        <v/>
      </c>
      <c r="AY183"/>
      <c r="AZ183" s="190" t="str">
        <f ca="1">IF(ISNUMBER(OFFSET(AV183,-$F$21,0)),SUM(OFFSET($T$100,$F$21,0):$T183),"")</f>
        <v/>
      </c>
      <c r="BA183" s="190" t="str">
        <f t="shared" ca="1" si="134"/>
        <v/>
      </c>
      <c r="BB183" s="190" t="str">
        <f t="shared" ca="1" si="70"/>
        <v/>
      </c>
      <c r="BC183" s="190"/>
      <c r="BD183" s="190" t="str">
        <f ca="1">IFERROR(IF(AND($B183&gt;=($F$16-$F$15),$B183&lt;$F$22+($F$16-$F$15)),SUM(OFFSET($T$100,($F$16-$F$15),0):$T183),""),"")</f>
        <v/>
      </c>
      <c r="BE183" s="190" t="str">
        <f t="shared" ca="1" si="159"/>
        <v/>
      </c>
      <c r="BF183" s="190" t="str">
        <f t="shared" ca="1" si="160"/>
        <v/>
      </c>
      <c r="BG183"/>
      <c r="BH183" s="190" t="str">
        <f ca="1">IF(ISNUMBER(OFFSET(BD183,-$F$21,0)),SUM(OFFSET($T$100,($F$16-$F$15+$F$21),0):$T183),"")</f>
        <v/>
      </c>
      <c r="BI183" s="190" t="str">
        <f t="shared" ca="1" si="135"/>
        <v/>
      </c>
      <c r="BJ183" s="190" t="str">
        <f t="shared" ca="1" si="161"/>
        <v/>
      </c>
      <c r="BK183" s="190"/>
      <c r="BL183" s="190" t="str">
        <f ca="1">IFERROR(IF(AND($B183&gt;=($F$17-$F$15),$B183&lt;$F$22+($F$17-$F$15)),SUM(OFFSET($T$100,($F$17-$F$15),0):$T183),""),"")</f>
        <v/>
      </c>
      <c r="BM183" s="190" t="str">
        <f t="shared" ca="1" si="136"/>
        <v/>
      </c>
      <c r="BN183" s="190" t="str">
        <f t="shared" ca="1" si="162"/>
        <v/>
      </c>
      <c r="BO183"/>
      <c r="BP183" s="190" t="str">
        <f ca="1">IF(ISNUMBER(OFFSET(BL183,-$F$21,0)),SUM(OFFSET($T$100,($F$17-$F$15+$F$21),0):$T183),"")</f>
        <v/>
      </c>
      <c r="BQ183" s="190" t="str">
        <f t="shared" ca="1" si="137"/>
        <v/>
      </c>
      <c r="BR183" s="190" t="str">
        <f t="shared" ca="1" si="163"/>
        <v/>
      </c>
      <c r="BS183" s="190"/>
      <c r="BT183"/>
      <c r="BU183"/>
      <c r="BV183"/>
      <c r="BY183" s="99"/>
      <c r="BZ183" s="99"/>
      <c r="CA183" s="280" t="str">
        <f t="shared" si="138"/>
        <v/>
      </c>
      <c r="CB183" s="71" t="str">
        <f t="shared" si="139"/>
        <v>-</v>
      </c>
      <c r="CC183" s="33"/>
      <c r="CD183" s="261" t="str">
        <f t="shared" si="140"/>
        <v/>
      </c>
      <c r="CE183" s="280" t="str">
        <f t="shared" si="141"/>
        <v>-</v>
      </c>
      <c r="CF183" s="71" t="str">
        <f t="shared" ca="1" si="142"/>
        <v>-</v>
      </c>
      <c r="CG183" s="33" t="str">
        <f t="shared" si="143"/>
        <v>83-84</v>
      </c>
      <c r="CH183" s="261" t="str">
        <f t="shared" ca="1" si="144"/>
        <v/>
      </c>
      <c r="CI183" s="202"/>
      <c r="CP183" s="99"/>
      <c r="CQ183" s="99"/>
      <c r="CR183" s="99"/>
      <c r="CS183" s="99"/>
      <c r="CT183" s="99"/>
      <c r="CU183" s="99"/>
      <c r="CV183" s="99"/>
      <c r="CW183" s="99"/>
      <c r="CX183" s="99"/>
      <c r="CY183" s="99"/>
      <c r="CZ183" s="99"/>
      <c r="DA183" s="99"/>
      <c r="DB183" s="99"/>
      <c r="DC183" s="99"/>
    </row>
    <row r="184" spans="2:107" ht="13.5" customHeight="1" x14ac:dyDescent="0.2">
      <c r="B184" s="262">
        <v>84</v>
      </c>
      <c r="C184" s="237" t="str">
        <f t="shared" si="107"/>
        <v/>
      </c>
      <c r="D184" s="237" t="str">
        <f t="shared" si="145"/>
        <v>-</v>
      </c>
      <c r="E184" s="263" t="str">
        <f t="shared" si="146"/>
        <v/>
      </c>
      <c r="F184" s="264" t="str">
        <f t="shared" si="147"/>
        <v/>
      </c>
      <c r="G184" s="306" t="str">
        <f t="shared" si="148"/>
        <v/>
      </c>
      <c r="H184" s="240" t="str">
        <f t="shared" si="108"/>
        <v/>
      </c>
      <c r="I184" s="265" t="str">
        <f t="shared" si="109"/>
        <v/>
      </c>
      <c r="J184" s="265" t="str">
        <f t="shared" si="110"/>
        <v/>
      </c>
      <c r="K184" s="240" t="str">
        <f t="shared" si="111"/>
        <v/>
      </c>
      <c r="L184" s="265" t="str">
        <f t="shared" si="112"/>
        <v/>
      </c>
      <c r="M184" s="265" t="str">
        <f t="shared" si="113"/>
        <v/>
      </c>
      <c r="N184" s="240" t="str">
        <f t="shared" si="114"/>
        <v>-</v>
      </c>
      <c r="O184" s="265" t="str">
        <f t="shared" si="115"/>
        <v>-</v>
      </c>
      <c r="P184" s="265" t="str">
        <f t="shared" si="116"/>
        <v>-</v>
      </c>
      <c r="Q184" s="266" t="str">
        <f t="shared" si="117"/>
        <v>-</v>
      </c>
      <c r="R184" s="267" t="str">
        <f t="shared" si="118"/>
        <v>-</v>
      </c>
      <c r="S184" s="268" t="str">
        <f t="shared" si="119"/>
        <v>-</v>
      </c>
      <c r="T184" s="269" t="str">
        <f t="shared" si="120"/>
        <v/>
      </c>
      <c r="U184" s="221">
        <f t="shared" si="121"/>
        <v>84</v>
      </c>
      <c r="V184" s="220" t="str">
        <f t="shared" si="122"/>
        <v>-</v>
      </c>
      <c r="W184" s="221" t="str">
        <f t="shared" si="149"/>
        <v>-</v>
      </c>
      <c r="X184" s="221" t="str">
        <f t="shared" si="123"/>
        <v>-</v>
      </c>
      <c r="Y184" s="221" t="str">
        <f t="shared" si="124"/>
        <v>-</v>
      </c>
      <c r="Z184" s="270">
        <f t="shared" si="150"/>
        <v>0.1</v>
      </c>
      <c r="AA184" s="271" t="str">
        <f>IFERROR(IF(V183=1,AA$100*EXP(-(LN(2)/$D$65+0.04)*X183)*EXP(-(LN(2)/$D$65+0.1)*Y183),IF(V183=2,AA$100*EXP(-(LN(2)/$D$65+0.04)*(VLOOKUP(($F$16-$F$15)-1,U$99:Y183,4,FALSE)))*EXP(-(LN(2)/$D$65+0.1)*(VLOOKUP(($F$16-$F$15)-1,U$99:Y183,5,FALSE)))*EXP(-(LN(2)/$D$65+0.04)*X183)*EXP(-(LN(2)/$D$65+0.1)*Y183),IF(V183=3,AA$100*EXP(-(LN(2)/$D$65+0.04)*(VLOOKUP(($F$16-$F$15)-1,U$99:Y183,4,FALSE)))*EXP(-(LN(2)/$D$65+0.1)*(VLOOKUP(($F$16-$F$15)-1,U$99:Y183,5,FALSE)))*EXP(-(LN(2)/$D$65+0.04)*(VLOOKUP(($F$16-$F$15)*2-1,U$99:Y183,4,FALSE)))*EXP(-(LN(2)/$D$65+0.1)*(VLOOKUP(($F$16-$F$15)*2-1,U$99:Y183,5,FALSE)))*EXP(-(LN(2)/$D$65+0.04)*X183)*EXP(-(LN(2)/$D$65+0.1)*Y183),"-"))),"-")</f>
        <v>-</v>
      </c>
      <c r="AB184" s="271" t="str">
        <f>IFERROR(IF(V184=1,AB$100*EXP(-(LN(2)/$D$65+0.04)*X184)*EXP(-(LN(2)/$D$65+0.1)*Y184),IF(V184=2,AB$100*EXP(-(LN(2)/$D$65+0.04)*(VLOOKUP(($F$16-$F$15)-1,U$100:Y184,4,FALSE)))*EXP(-(LN(2)/$D$65+0.1)*(VLOOKUP(($F$16-$F$15)-1,U$100:Y184,5,FALSE)))*EXP(-(LN(2)/$D$65+0.04)*X184)*EXP(-(LN(2)/$D$65+0.1)*Y184),IF(V184=3,AB$100*EXP(-(LN(2)/$D$65+0.04)*(VLOOKUP(($F$16-$F$15)-1,U$100:Y184,4,FALSE)))*EXP(-(LN(2)/$D$65+0.1)*(VLOOKUP(($F$16-$F$15)-1,U$100:Y184,5,FALSE)))*EXP(-(LN(2)/$D$65+0.04)*(VLOOKUP(($F$16-$F$15)*2-1,U$100:Y184,4,FALSE)))*EXP(-(LN(2)/$D$65+0.1)*(VLOOKUP(($F$16-$F$15)*2-1,U$100:Y184,5,FALSE)))*EXP(-(LN(2)/$D$65+0.04)*X184)*EXP(-(LN(2)/$D$65+0.1)*Y184),"-"))),"-")</f>
        <v>-</v>
      </c>
      <c r="AC184" s="224">
        <f t="shared" si="151"/>
        <v>84</v>
      </c>
      <c r="AD184" s="223" t="str">
        <f t="shared" si="125"/>
        <v>-</v>
      </c>
      <c r="AE184" s="224" t="str">
        <f t="shared" si="152"/>
        <v>-</v>
      </c>
      <c r="AF184" s="224" t="str">
        <f t="shared" si="126"/>
        <v>-</v>
      </c>
      <c r="AG184" s="224" t="str">
        <f t="shared" si="127"/>
        <v>-</v>
      </c>
      <c r="AH184" s="272">
        <f t="shared" si="153"/>
        <v>0.1</v>
      </c>
      <c r="AI184" s="271" t="str">
        <f>IFERROR(IF(AD183=1,AI$100*EXP(-(LN(2)/$D$65+0.04)*AF183)*EXP(-(LN(2)/$D$65+0.1)*AG183),IF(AD183=2,AI$100*EXP(-(LN(2)/$D$65+0.04)*(VLOOKUP(($F$16-$F$15)-1,AC$99:AG183,4,FALSE)))*EXP(-(LN(2)/$D$65+0.1)*(VLOOKUP(($F$16-$F$15)-1,AC$99:AG183,5,FALSE)))*EXP(-(LN(2)/$D$65+0.04)*AF183)*EXP(-(LN(2)/$D$65+0.1)*AG183),IF(AD183=3,AI$100*EXP(-(LN(2)/$D$65+0.04)*(VLOOKUP(($F$16-$F$15)-1,AC$99:AG183,4,FALSE)))*EXP(-(LN(2)/$D$65+0.1)*(VLOOKUP(($F$16-$F$15)-1,AC$99:AG183,5,FALSE)))*EXP(-(LN(2)/$D$65+0.04)*(VLOOKUP(($F$16-$F$15)*2-1,AC$99:AG183,4,FALSE)))*EXP(-(LN(2)/$D$65+0.1)*(VLOOKUP(($F$16-$F$15)*2-1,AC$99:AG183,5,FALSE)))*EXP(-(LN(2)/$D$65+0.04)*AF183)*EXP(-(LN(2)/$D$65+0.1)*AG183),"-"))),"-")</f>
        <v>-</v>
      </c>
      <c r="AJ184" s="271" t="str">
        <f>IFERROR(IF(AD184=1,AJ$100*EXP(-(LN(2)/$D$65+0.04)*AF184)*EXP(-(LN(2)/$D$65+0.1)*AG184),IF(AD184=2,AJ$100*EXP(-(LN(2)/$D$65+0.04)*(VLOOKUP(($F$16-$F$15)-1,AC$100:AG184,4,FALSE)))*EXP(-(LN(2)/$D$65+0.1)*(VLOOKUP(($F$16-$F$15)-1,AC$100:AG184,5,FALSE)))*EXP(-(LN(2)/$D$65+0.04)*AF184)*EXP(-(LN(2)/$D$65+0.1)*AG184),IF(AD184=3,AJ$100*EXP(-(LN(2)/$D$65+0.04)*(VLOOKUP(($F$16-$F$15)-1,AC$100:AG184,4,FALSE)))*EXP(-(LN(2)/$D$65+0.1)*(VLOOKUP(($F$16-$F$15)-1,AC$100:AG184,5,FALSE)))*EXP(-(LN(2)/$D$65+0.04)*(VLOOKUP(($F$16-$F$15)*2-1,AC$100:AG184,4,FALSE)))*EXP(-(LN(2)/$D$65+0.1)*(VLOOKUP(($F$16-$F$15)*2-1,AC$100:AG184,5,FALSE)))*EXP(-(LN(2)/$D$65+0.04)*AF184)*EXP(-(LN(2)/$D$65+0.1)*AG184),"-"))),"-")</f>
        <v>-</v>
      </c>
      <c r="AK184" s="227">
        <f t="shared" si="154"/>
        <v>84</v>
      </c>
      <c r="AL184" s="226" t="str">
        <f t="shared" si="128"/>
        <v>-</v>
      </c>
      <c r="AM184" s="227" t="str">
        <f t="shared" si="155"/>
        <v>-</v>
      </c>
      <c r="AN184" s="227" t="str">
        <f t="shared" si="156"/>
        <v>-</v>
      </c>
      <c r="AO184" s="227" t="str">
        <f t="shared" si="129"/>
        <v>-</v>
      </c>
      <c r="AP184" s="273">
        <f t="shared" si="157"/>
        <v>0.1</v>
      </c>
      <c r="AQ184" s="271" t="str">
        <f>IFERROR(IF(AL183=1,AQ$100*EXP(-(LN(2)/$D$65+0.04)*AN183)*EXP(-(LN(2)/$D$65+0.1)*AO183),IF(AL183=2,AQ$100*EXP(-(LN(2)/$D$65+0.04)*(VLOOKUP(($F$16-$F$15)-1,AK$99:AO183,4,FALSE)))*EXP(-(LN(2)/$D$65+0.1)*(VLOOKUP(($F$16-$F$15)-1,AK$99:AO183,5,FALSE)))*EXP(-(LN(2)/$D$65+0.04)*AN183)*EXP(-(LN(2)/$D$65+0.1)*AO183),IF(AL183=3,AQ$100*EXP(-(LN(2)/$D$65+0.04)*(VLOOKUP(($F$16-$F$15)-1,AK$99:AO183,4,FALSE)))*EXP(-(LN(2)/$D$65+0.1)*(VLOOKUP(($F$16-$F$15)-1,AK$99:AO183,5,FALSE)))*EXP(-(LN(2)/$D$65+0.04)*(VLOOKUP(($F$16-$F$15)*2-1,AK$99:AO183,4,FALSE)))*EXP(-(LN(2)/$D$65+0.1)*(VLOOKUP(($F$16-$F$15)*2-1,AK$99:AO183,5,FALSE)))*EXP(-(LN(2)/$D$65+0.04)*AN183)*EXP(-(LN(2)/$D$65+0.1)*AO183),"-"))),"-")</f>
        <v>-</v>
      </c>
      <c r="AR184" s="271" t="str">
        <f>IFERROR(IF(AL184=1,AR$100*EXP(-(LN(2)/$D$65+0.04)*AN184)*EXP(-(LN(2)/$D$65+0.1)*AO184),IF(AL184=2,AR$100*EXP(-(LN(2)/$D$65+0.04)*(VLOOKUP(($F$16-$F$15)-1,AK$100:AO184,4,FALSE)))*EXP(-(LN(2)/$D$65+0.1)*(VLOOKUP(($F$16-$F$15)-1,AK$100:AO184,5,FALSE)))*EXP(-(LN(2)/$D$65+0.04)*AN184)*EXP(-(LN(2)/$D$65+0.1)*AO184),IF(AL184=3,AR$100*EXP(-(LN(2)/$D$65+0.04)*(VLOOKUP(($F$16-$F$15)-1,AK$100:AO184,4,FALSE)))*EXP(-(LN(2)/$D$65+0.1)*(VLOOKUP(($F$16-$F$15)-1,AK$100:AO184,5,FALSE)))*EXP(-(LN(2)/$D$65+0.04)*(VLOOKUP(($F$16-$F$15)*2-1,AK$100:AO184,4,FALSE)))*EXP(-(LN(2)/$D$65+0.1)*(VLOOKUP(($F$16-$F$15)*2-1,AK$100:AO184,5,FALSE)))*EXP(-(LN(2)/$D$65+0.04)*AN184)*EXP(-(LN(2)/$D$65+0.1)*AO184),"-"))),"-")</f>
        <v>-</v>
      </c>
      <c r="AS184" s="274">
        <f t="shared" si="130"/>
        <v>0</v>
      </c>
      <c r="AT184" s="274">
        <f t="shared" si="131"/>
        <v>0</v>
      </c>
      <c r="AU184" s="274">
        <f t="shared" si="132"/>
        <v>0</v>
      </c>
      <c r="AV184" s="190">
        <f>IF($B184&lt;$F$22,SUM($T$100:$T184),"")</f>
        <v>0</v>
      </c>
      <c r="AW184" s="190" t="str">
        <f t="shared" si="133"/>
        <v>-</v>
      </c>
      <c r="AX184" s="190" t="str">
        <f t="shared" si="158"/>
        <v/>
      </c>
      <c r="AY184"/>
      <c r="AZ184" s="190" t="str">
        <f ca="1">IF(ISNUMBER(OFFSET(AV184,-$F$21,0)),SUM(OFFSET($T$100,$F$21,0):$T184),"")</f>
        <v/>
      </c>
      <c r="BA184" s="190" t="str">
        <f t="shared" ca="1" si="134"/>
        <v/>
      </c>
      <c r="BB184" s="190" t="str">
        <f t="shared" ca="1" si="70"/>
        <v/>
      </c>
      <c r="BC184" s="190"/>
      <c r="BD184" s="190" t="str">
        <f ca="1">IFERROR(IF(AND($B184&gt;=($F$16-$F$15),$B184&lt;$F$22+($F$16-$F$15)),SUM(OFFSET($T$100,($F$16-$F$15),0):$T184),""),"")</f>
        <v/>
      </c>
      <c r="BE184" s="190" t="str">
        <f t="shared" ca="1" si="159"/>
        <v/>
      </c>
      <c r="BF184" s="190" t="str">
        <f t="shared" ca="1" si="160"/>
        <v/>
      </c>
      <c r="BG184"/>
      <c r="BH184" s="190" t="str">
        <f ca="1">IF(ISNUMBER(OFFSET(BD184,-$F$21,0)),SUM(OFFSET($T$100,($F$16-$F$15+$F$21),0):$T184),"")</f>
        <v/>
      </c>
      <c r="BI184" s="190" t="str">
        <f t="shared" ca="1" si="135"/>
        <v/>
      </c>
      <c r="BJ184" s="190" t="str">
        <f t="shared" ca="1" si="161"/>
        <v/>
      </c>
      <c r="BK184" s="190"/>
      <c r="BL184" s="190" t="str">
        <f ca="1">IFERROR(IF(AND($B184&gt;=($F$17-$F$15),$B184&lt;$F$22+($F$17-$F$15)),SUM(OFFSET($T$100,($F$17-$F$15),0):$T184),""),"")</f>
        <v/>
      </c>
      <c r="BM184" s="190" t="str">
        <f t="shared" ca="1" si="136"/>
        <v/>
      </c>
      <c r="BN184" s="190" t="str">
        <f t="shared" ca="1" si="162"/>
        <v/>
      </c>
      <c r="BO184"/>
      <c r="BP184" s="190" t="str">
        <f ca="1">IF(ISNUMBER(OFFSET(BL184,-$F$21,0)),SUM(OFFSET($T$100,($F$17-$F$15+$F$21),0):$T184),"")</f>
        <v/>
      </c>
      <c r="BQ184" s="190" t="str">
        <f t="shared" ca="1" si="137"/>
        <v/>
      </c>
      <c r="BR184" s="190" t="str">
        <f t="shared" ca="1" si="163"/>
        <v/>
      </c>
      <c r="BS184" s="190"/>
      <c r="BT184"/>
      <c r="BU184"/>
      <c r="BV184"/>
      <c r="BY184" s="99"/>
      <c r="BZ184" s="99"/>
      <c r="CA184" s="280" t="str">
        <f t="shared" si="138"/>
        <v/>
      </c>
      <c r="CB184" s="71" t="str">
        <f t="shared" si="139"/>
        <v>-</v>
      </c>
      <c r="CC184" s="33"/>
      <c r="CD184" s="261" t="str">
        <f t="shared" si="140"/>
        <v/>
      </c>
      <c r="CE184" s="280" t="str">
        <f t="shared" si="141"/>
        <v>-</v>
      </c>
      <c r="CF184" s="71" t="str">
        <f t="shared" ca="1" si="142"/>
        <v>-</v>
      </c>
      <c r="CG184" s="33" t="str">
        <f t="shared" si="143"/>
        <v>84-85</v>
      </c>
      <c r="CH184" s="261" t="str">
        <f t="shared" ca="1" si="144"/>
        <v/>
      </c>
      <c r="CI184" s="202"/>
      <c r="CP184" s="99"/>
      <c r="CQ184" s="99"/>
      <c r="CR184" s="99"/>
      <c r="CS184" s="99"/>
      <c r="CT184" s="99"/>
      <c r="CU184" s="99"/>
      <c r="CV184" s="99"/>
      <c r="CW184" s="99"/>
      <c r="CX184" s="99"/>
      <c r="CY184" s="99"/>
      <c r="CZ184" s="99"/>
      <c r="DA184" s="99"/>
      <c r="DB184" s="99"/>
      <c r="DC184" s="99"/>
    </row>
    <row r="185" spans="2:107" ht="13.5" customHeight="1" x14ac:dyDescent="0.2">
      <c r="B185" s="262">
        <v>85</v>
      </c>
      <c r="C185" s="237" t="str">
        <f t="shared" si="107"/>
        <v/>
      </c>
      <c r="D185" s="237" t="str">
        <f t="shared" si="145"/>
        <v>-</v>
      </c>
      <c r="E185" s="263" t="str">
        <f t="shared" si="146"/>
        <v/>
      </c>
      <c r="F185" s="264" t="str">
        <f t="shared" si="147"/>
        <v/>
      </c>
      <c r="G185" s="306" t="str">
        <f t="shared" si="148"/>
        <v/>
      </c>
      <c r="H185" s="240" t="str">
        <f t="shared" si="108"/>
        <v/>
      </c>
      <c r="I185" s="265" t="str">
        <f t="shared" si="109"/>
        <v/>
      </c>
      <c r="J185" s="265" t="str">
        <f t="shared" si="110"/>
        <v/>
      </c>
      <c r="K185" s="240" t="str">
        <f t="shared" si="111"/>
        <v/>
      </c>
      <c r="L185" s="265" t="str">
        <f t="shared" si="112"/>
        <v/>
      </c>
      <c r="M185" s="265" t="str">
        <f t="shared" si="113"/>
        <v/>
      </c>
      <c r="N185" s="240" t="str">
        <f t="shared" si="114"/>
        <v>-</v>
      </c>
      <c r="O185" s="265" t="str">
        <f t="shared" si="115"/>
        <v>-</v>
      </c>
      <c r="P185" s="265" t="str">
        <f t="shared" si="116"/>
        <v>-</v>
      </c>
      <c r="Q185" s="266" t="str">
        <f t="shared" si="117"/>
        <v>-</v>
      </c>
      <c r="R185" s="267" t="str">
        <f t="shared" si="118"/>
        <v>-</v>
      </c>
      <c r="S185" s="268" t="str">
        <f t="shared" si="119"/>
        <v>-</v>
      </c>
      <c r="T185" s="269" t="str">
        <f t="shared" si="120"/>
        <v/>
      </c>
      <c r="U185" s="221">
        <f t="shared" si="121"/>
        <v>85</v>
      </c>
      <c r="V185" s="220" t="str">
        <f t="shared" si="122"/>
        <v>-</v>
      </c>
      <c r="W185" s="221" t="str">
        <f t="shared" si="149"/>
        <v>-</v>
      </c>
      <c r="X185" s="221" t="str">
        <f t="shared" si="123"/>
        <v>-</v>
      </c>
      <c r="Y185" s="221" t="str">
        <f t="shared" si="124"/>
        <v>-</v>
      </c>
      <c r="Z185" s="270">
        <f t="shared" si="150"/>
        <v>0.1</v>
      </c>
      <c r="AA185" s="271" t="str">
        <f>IFERROR(IF(V184=1,AA$100*EXP(-(LN(2)/$D$65+0.04)*X184)*EXP(-(LN(2)/$D$65+0.1)*Y184),IF(V184=2,AA$100*EXP(-(LN(2)/$D$65+0.04)*(VLOOKUP(($F$16-$F$15)-1,U$99:Y184,4,FALSE)))*EXP(-(LN(2)/$D$65+0.1)*(VLOOKUP(($F$16-$F$15)-1,U$99:Y184,5,FALSE)))*EXP(-(LN(2)/$D$65+0.04)*X184)*EXP(-(LN(2)/$D$65+0.1)*Y184),IF(V184=3,AA$100*EXP(-(LN(2)/$D$65+0.04)*(VLOOKUP(($F$16-$F$15)-1,U$99:Y184,4,FALSE)))*EXP(-(LN(2)/$D$65+0.1)*(VLOOKUP(($F$16-$F$15)-1,U$99:Y184,5,FALSE)))*EXP(-(LN(2)/$D$65+0.04)*(VLOOKUP(($F$16-$F$15)*2-1,U$99:Y184,4,FALSE)))*EXP(-(LN(2)/$D$65+0.1)*(VLOOKUP(($F$16-$F$15)*2-1,U$99:Y184,5,FALSE)))*EXP(-(LN(2)/$D$65+0.04)*X184)*EXP(-(LN(2)/$D$65+0.1)*Y184),"-"))),"-")</f>
        <v>-</v>
      </c>
      <c r="AB185" s="271" t="str">
        <f>IFERROR(IF(V185=1,AB$100*EXP(-(LN(2)/$D$65+0.04)*X185)*EXP(-(LN(2)/$D$65+0.1)*Y185),IF(V185=2,AB$100*EXP(-(LN(2)/$D$65+0.04)*(VLOOKUP(($F$16-$F$15)-1,U$100:Y185,4,FALSE)))*EXP(-(LN(2)/$D$65+0.1)*(VLOOKUP(($F$16-$F$15)-1,U$100:Y185,5,FALSE)))*EXP(-(LN(2)/$D$65+0.04)*X185)*EXP(-(LN(2)/$D$65+0.1)*Y185),IF(V185=3,AB$100*EXP(-(LN(2)/$D$65+0.04)*(VLOOKUP(($F$16-$F$15)-1,U$100:Y185,4,FALSE)))*EXP(-(LN(2)/$D$65+0.1)*(VLOOKUP(($F$16-$F$15)-1,U$100:Y185,5,FALSE)))*EXP(-(LN(2)/$D$65+0.04)*(VLOOKUP(($F$16-$F$15)*2-1,U$100:Y185,4,FALSE)))*EXP(-(LN(2)/$D$65+0.1)*(VLOOKUP(($F$16-$F$15)*2-1,U$100:Y185,5,FALSE)))*EXP(-(LN(2)/$D$65+0.04)*X185)*EXP(-(LN(2)/$D$65+0.1)*Y185),"-"))),"-")</f>
        <v>-</v>
      </c>
      <c r="AC185" s="224">
        <f t="shared" si="151"/>
        <v>85</v>
      </c>
      <c r="AD185" s="223" t="str">
        <f t="shared" si="125"/>
        <v>-</v>
      </c>
      <c r="AE185" s="224" t="str">
        <f t="shared" si="152"/>
        <v>-</v>
      </c>
      <c r="AF185" s="224" t="str">
        <f t="shared" si="126"/>
        <v>-</v>
      </c>
      <c r="AG185" s="224" t="str">
        <f t="shared" si="127"/>
        <v>-</v>
      </c>
      <c r="AH185" s="272">
        <f t="shared" si="153"/>
        <v>0.1</v>
      </c>
      <c r="AI185" s="271" t="str">
        <f>IFERROR(IF(AD184=1,AI$100*EXP(-(LN(2)/$D$65+0.04)*AF184)*EXP(-(LN(2)/$D$65+0.1)*AG184),IF(AD184=2,AI$100*EXP(-(LN(2)/$D$65+0.04)*(VLOOKUP(($F$16-$F$15)-1,AC$99:AG184,4,FALSE)))*EXP(-(LN(2)/$D$65+0.1)*(VLOOKUP(($F$16-$F$15)-1,AC$99:AG184,5,FALSE)))*EXP(-(LN(2)/$D$65+0.04)*AF184)*EXP(-(LN(2)/$D$65+0.1)*AG184),IF(AD184=3,AI$100*EXP(-(LN(2)/$D$65+0.04)*(VLOOKUP(($F$16-$F$15)-1,AC$99:AG184,4,FALSE)))*EXP(-(LN(2)/$D$65+0.1)*(VLOOKUP(($F$16-$F$15)-1,AC$99:AG184,5,FALSE)))*EXP(-(LN(2)/$D$65+0.04)*(VLOOKUP(($F$16-$F$15)*2-1,AC$99:AG184,4,FALSE)))*EXP(-(LN(2)/$D$65+0.1)*(VLOOKUP(($F$16-$F$15)*2-1,AC$99:AG184,5,FALSE)))*EXP(-(LN(2)/$D$65+0.04)*AF184)*EXP(-(LN(2)/$D$65+0.1)*AG184),"-"))),"-")</f>
        <v>-</v>
      </c>
      <c r="AJ185" s="271" t="str">
        <f>IFERROR(IF(AD185=1,AJ$100*EXP(-(LN(2)/$D$65+0.04)*AF185)*EXP(-(LN(2)/$D$65+0.1)*AG185),IF(AD185=2,AJ$100*EXP(-(LN(2)/$D$65+0.04)*(VLOOKUP(($F$16-$F$15)-1,AC$100:AG185,4,FALSE)))*EXP(-(LN(2)/$D$65+0.1)*(VLOOKUP(($F$16-$F$15)-1,AC$100:AG185,5,FALSE)))*EXP(-(LN(2)/$D$65+0.04)*AF185)*EXP(-(LN(2)/$D$65+0.1)*AG185),IF(AD185=3,AJ$100*EXP(-(LN(2)/$D$65+0.04)*(VLOOKUP(($F$16-$F$15)-1,AC$100:AG185,4,FALSE)))*EXP(-(LN(2)/$D$65+0.1)*(VLOOKUP(($F$16-$F$15)-1,AC$100:AG185,5,FALSE)))*EXP(-(LN(2)/$D$65+0.04)*(VLOOKUP(($F$16-$F$15)*2-1,AC$100:AG185,4,FALSE)))*EXP(-(LN(2)/$D$65+0.1)*(VLOOKUP(($F$16-$F$15)*2-1,AC$100:AG185,5,FALSE)))*EXP(-(LN(2)/$D$65+0.04)*AF185)*EXP(-(LN(2)/$D$65+0.1)*AG185),"-"))),"-")</f>
        <v>-</v>
      </c>
      <c r="AK185" s="227">
        <f t="shared" si="154"/>
        <v>85</v>
      </c>
      <c r="AL185" s="226" t="str">
        <f t="shared" si="128"/>
        <v>-</v>
      </c>
      <c r="AM185" s="227" t="str">
        <f t="shared" si="155"/>
        <v>-</v>
      </c>
      <c r="AN185" s="227" t="str">
        <f t="shared" si="156"/>
        <v>-</v>
      </c>
      <c r="AO185" s="227" t="str">
        <f t="shared" si="129"/>
        <v>-</v>
      </c>
      <c r="AP185" s="273">
        <f t="shared" si="157"/>
        <v>0.1</v>
      </c>
      <c r="AQ185" s="271" t="str">
        <f>IFERROR(IF(AL184=1,AQ$100*EXP(-(LN(2)/$D$65+0.04)*AN184)*EXP(-(LN(2)/$D$65+0.1)*AO184),IF(AL184=2,AQ$100*EXP(-(LN(2)/$D$65+0.04)*(VLOOKUP(($F$16-$F$15)-1,AK$99:AO184,4,FALSE)))*EXP(-(LN(2)/$D$65+0.1)*(VLOOKUP(($F$16-$F$15)-1,AK$99:AO184,5,FALSE)))*EXP(-(LN(2)/$D$65+0.04)*AN184)*EXP(-(LN(2)/$D$65+0.1)*AO184),IF(AL184=3,AQ$100*EXP(-(LN(2)/$D$65+0.04)*(VLOOKUP(($F$16-$F$15)-1,AK$99:AO184,4,FALSE)))*EXP(-(LN(2)/$D$65+0.1)*(VLOOKUP(($F$16-$F$15)-1,AK$99:AO184,5,FALSE)))*EXP(-(LN(2)/$D$65+0.04)*(VLOOKUP(($F$16-$F$15)*2-1,AK$99:AO184,4,FALSE)))*EXP(-(LN(2)/$D$65+0.1)*(VLOOKUP(($F$16-$F$15)*2-1,AK$99:AO184,5,FALSE)))*EXP(-(LN(2)/$D$65+0.04)*AN184)*EXP(-(LN(2)/$D$65+0.1)*AO184),"-"))),"-")</f>
        <v>-</v>
      </c>
      <c r="AR185" s="271" t="str">
        <f>IFERROR(IF(AL185=1,AR$100*EXP(-(LN(2)/$D$65+0.04)*AN185)*EXP(-(LN(2)/$D$65+0.1)*AO185),IF(AL185=2,AR$100*EXP(-(LN(2)/$D$65+0.04)*(VLOOKUP(($F$16-$F$15)-1,AK$100:AO185,4,FALSE)))*EXP(-(LN(2)/$D$65+0.1)*(VLOOKUP(($F$16-$F$15)-1,AK$100:AO185,5,FALSE)))*EXP(-(LN(2)/$D$65+0.04)*AN185)*EXP(-(LN(2)/$D$65+0.1)*AO185),IF(AL185=3,AR$100*EXP(-(LN(2)/$D$65+0.04)*(VLOOKUP(($F$16-$F$15)-1,AK$100:AO185,4,FALSE)))*EXP(-(LN(2)/$D$65+0.1)*(VLOOKUP(($F$16-$F$15)-1,AK$100:AO185,5,FALSE)))*EXP(-(LN(2)/$D$65+0.04)*(VLOOKUP(($F$16-$F$15)*2-1,AK$100:AO185,4,FALSE)))*EXP(-(LN(2)/$D$65+0.1)*(VLOOKUP(($F$16-$F$15)*2-1,AK$100:AO185,5,FALSE)))*EXP(-(LN(2)/$D$65+0.04)*AN185)*EXP(-(LN(2)/$D$65+0.1)*AO185),"-"))),"-")</f>
        <v>-</v>
      </c>
      <c r="AS185" s="274">
        <f t="shared" si="130"/>
        <v>0</v>
      </c>
      <c r="AT185" s="274">
        <f t="shared" si="131"/>
        <v>0</v>
      </c>
      <c r="AU185" s="274">
        <f t="shared" si="132"/>
        <v>0</v>
      </c>
      <c r="AV185" s="190">
        <f>IF($B185&lt;$F$22,SUM($T$100:$T185),"")</f>
        <v>0</v>
      </c>
      <c r="AW185" s="190" t="str">
        <f t="shared" si="133"/>
        <v>-</v>
      </c>
      <c r="AX185" s="190" t="str">
        <f t="shared" si="158"/>
        <v/>
      </c>
      <c r="AY185"/>
      <c r="AZ185" s="190" t="str">
        <f ca="1">IF(ISNUMBER(OFFSET(AV185,-$F$21,0)),SUM(OFFSET($T$100,$F$21,0):$T185),"")</f>
        <v/>
      </c>
      <c r="BA185" s="190" t="str">
        <f t="shared" ca="1" si="134"/>
        <v/>
      </c>
      <c r="BB185" s="190" t="str">
        <f t="shared" ref="BB185:BB248" ca="1" si="164">IF(ISNUMBER(AZ185),(AZ185-BA185)/(3*86400*(OFFSET($B185,-$F$21,0)+1))*1000,"")</f>
        <v/>
      </c>
      <c r="BC185" s="190"/>
      <c r="BD185" s="190" t="str">
        <f ca="1">IFERROR(IF(AND($B185&gt;=($F$16-$F$15),$B185&lt;$F$22+($F$16-$F$15)),SUM(OFFSET($T$100,($F$16-$F$15),0):$T185),""),"")</f>
        <v/>
      </c>
      <c r="BE185" s="190" t="str">
        <f t="shared" ca="1" si="159"/>
        <v/>
      </c>
      <c r="BF185" s="190" t="str">
        <f t="shared" ca="1" si="160"/>
        <v/>
      </c>
      <c r="BG185"/>
      <c r="BH185" s="190" t="str">
        <f ca="1">IF(ISNUMBER(OFFSET(BD185,-$F$21,0)),SUM(OFFSET($T$100,($F$16-$F$15+$F$21),0):$T185),"")</f>
        <v/>
      </c>
      <c r="BI185" s="190" t="str">
        <f t="shared" ca="1" si="135"/>
        <v/>
      </c>
      <c r="BJ185" s="190" t="str">
        <f t="shared" ca="1" si="161"/>
        <v/>
      </c>
      <c r="BK185" s="190"/>
      <c r="BL185" s="190" t="str">
        <f ca="1">IFERROR(IF(AND($B185&gt;=($F$17-$F$15),$B185&lt;$F$22+($F$17-$F$15)),SUM(OFFSET($T$100,($F$17-$F$15),0):$T185),""),"")</f>
        <v/>
      </c>
      <c r="BM185" s="190" t="str">
        <f t="shared" ca="1" si="136"/>
        <v/>
      </c>
      <c r="BN185" s="190" t="str">
        <f t="shared" ca="1" si="162"/>
        <v/>
      </c>
      <c r="BO185"/>
      <c r="BP185" s="190" t="str">
        <f ca="1">IF(ISNUMBER(OFFSET(BL185,-$F$21,0)),SUM(OFFSET($T$100,($F$17-$F$15+$F$21),0):$T185),"")</f>
        <v/>
      </c>
      <c r="BQ185" s="190" t="str">
        <f t="shared" ca="1" si="137"/>
        <v/>
      </c>
      <c r="BR185" s="190" t="str">
        <f t="shared" ca="1" si="163"/>
        <v/>
      </c>
      <c r="BS185" s="190"/>
      <c r="BT185"/>
      <c r="BU185"/>
      <c r="BV185"/>
      <c r="BY185" s="99"/>
      <c r="BZ185" s="99"/>
      <c r="CA185" s="280" t="str">
        <f t="shared" si="138"/>
        <v/>
      </c>
      <c r="CB185" s="71" t="str">
        <f t="shared" si="139"/>
        <v>-</v>
      </c>
      <c r="CC185" s="33"/>
      <c r="CD185" s="261" t="str">
        <f t="shared" si="140"/>
        <v/>
      </c>
      <c r="CE185" s="280" t="str">
        <f t="shared" si="141"/>
        <v>-</v>
      </c>
      <c r="CF185" s="71" t="str">
        <f t="shared" ca="1" si="142"/>
        <v>-</v>
      </c>
      <c r="CG185" s="33" t="str">
        <f t="shared" si="143"/>
        <v>85-86</v>
      </c>
      <c r="CH185" s="261" t="str">
        <f t="shared" ca="1" si="144"/>
        <v/>
      </c>
      <c r="CI185" s="202"/>
      <c r="CP185" s="99"/>
      <c r="CQ185" s="99"/>
      <c r="CR185" s="99"/>
      <c r="CS185" s="99"/>
      <c r="CT185" s="99"/>
      <c r="CU185" s="99"/>
      <c r="CV185" s="99"/>
      <c r="CW185" s="99"/>
      <c r="CX185" s="99"/>
      <c r="CY185" s="99"/>
      <c r="CZ185" s="99"/>
      <c r="DA185" s="99"/>
      <c r="DB185" s="99"/>
      <c r="DC185" s="99"/>
    </row>
    <row r="186" spans="2:107" ht="13.5" customHeight="1" x14ac:dyDescent="0.2">
      <c r="B186" s="262">
        <v>86</v>
      </c>
      <c r="C186" s="237" t="str">
        <f t="shared" si="107"/>
        <v/>
      </c>
      <c r="D186" s="237" t="str">
        <f t="shared" si="145"/>
        <v>-</v>
      </c>
      <c r="E186" s="263" t="str">
        <f t="shared" si="146"/>
        <v/>
      </c>
      <c r="F186" s="264" t="str">
        <f t="shared" si="147"/>
        <v/>
      </c>
      <c r="G186" s="264" t="str">
        <f t="shared" si="148"/>
        <v/>
      </c>
      <c r="H186" s="240" t="str">
        <f t="shared" si="108"/>
        <v/>
      </c>
      <c r="I186" s="265" t="str">
        <f t="shared" si="109"/>
        <v/>
      </c>
      <c r="J186" s="265" t="str">
        <f t="shared" si="110"/>
        <v/>
      </c>
      <c r="K186" s="240" t="str">
        <f t="shared" si="111"/>
        <v/>
      </c>
      <c r="L186" s="265" t="str">
        <f t="shared" si="112"/>
        <v/>
      </c>
      <c r="M186" s="265" t="str">
        <f t="shared" si="113"/>
        <v/>
      </c>
      <c r="N186" s="240" t="str">
        <f t="shared" si="114"/>
        <v>-</v>
      </c>
      <c r="O186" s="265" t="str">
        <f t="shared" si="115"/>
        <v>-</v>
      </c>
      <c r="P186" s="265" t="str">
        <f t="shared" si="116"/>
        <v>-</v>
      </c>
      <c r="Q186" s="266" t="str">
        <f t="shared" si="117"/>
        <v>-</v>
      </c>
      <c r="R186" s="267" t="str">
        <f t="shared" si="118"/>
        <v>-</v>
      </c>
      <c r="S186" s="268" t="str">
        <f t="shared" si="119"/>
        <v>-</v>
      </c>
      <c r="T186" s="269" t="str">
        <f t="shared" si="120"/>
        <v/>
      </c>
      <c r="U186" s="221">
        <f t="shared" si="121"/>
        <v>86</v>
      </c>
      <c r="V186" s="220" t="str">
        <f t="shared" si="122"/>
        <v>-</v>
      </c>
      <c r="W186" s="221" t="str">
        <f t="shared" si="149"/>
        <v>-</v>
      </c>
      <c r="X186" s="221" t="str">
        <f t="shared" si="123"/>
        <v>-</v>
      </c>
      <c r="Y186" s="221" t="str">
        <f t="shared" si="124"/>
        <v>-</v>
      </c>
      <c r="Z186" s="270">
        <f t="shared" si="150"/>
        <v>0.1</v>
      </c>
      <c r="AA186" s="271" t="str">
        <f>IFERROR(IF(V185=1,AA$100*EXP(-(LN(2)/$D$65+0.04)*X185)*EXP(-(LN(2)/$D$65+0.1)*Y185),IF(V185=2,AA$100*EXP(-(LN(2)/$D$65+0.04)*(VLOOKUP(($F$16-$F$15)-1,U$99:Y185,4,FALSE)))*EXP(-(LN(2)/$D$65+0.1)*(VLOOKUP(($F$16-$F$15)-1,U$99:Y185,5,FALSE)))*EXP(-(LN(2)/$D$65+0.04)*X185)*EXP(-(LN(2)/$D$65+0.1)*Y185),IF(V185=3,AA$100*EXP(-(LN(2)/$D$65+0.04)*(VLOOKUP(($F$16-$F$15)-1,U$99:Y185,4,FALSE)))*EXP(-(LN(2)/$D$65+0.1)*(VLOOKUP(($F$16-$F$15)-1,U$99:Y185,5,FALSE)))*EXP(-(LN(2)/$D$65+0.04)*(VLOOKUP(($F$16-$F$15)*2-1,U$99:Y185,4,FALSE)))*EXP(-(LN(2)/$D$65+0.1)*(VLOOKUP(($F$16-$F$15)*2-1,U$99:Y185,5,FALSE)))*EXP(-(LN(2)/$D$65+0.04)*X185)*EXP(-(LN(2)/$D$65+0.1)*Y185),"-"))),"-")</f>
        <v>-</v>
      </c>
      <c r="AB186" s="271" t="str">
        <f>IFERROR(IF(V186=1,AB$100*EXP(-(LN(2)/$D$65+0.04)*X186)*EXP(-(LN(2)/$D$65+0.1)*Y186),IF(V186=2,AB$100*EXP(-(LN(2)/$D$65+0.04)*(VLOOKUP(($F$16-$F$15)-1,U$100:Y186,4,FALSE)))*EXP(-(LN(2)/$D$65+0.1)*(VLOOKUP(($F$16-$F$15)-1,U$100:Y186,5,FALSE)))*EXP(-(LN(2)/$D$65+0.04)*X186)*EXP(-(LN(2)/$D$65+0.1)*Y186),IF(V186=3,AB$100*EXP(-(LN(2)/$D$65+0.04)*(VLOOKUP(($F$16-$F$15)-1,U$100:Y186,4,FALSE)))*EXP(-(LN(2)/$D$65+0.1)*(VLOOKUP(($F$16-$F$15)-1,U$100:Y186,5,FALSE)))*EXP(-(LN(2)/$D$65+0.04)*(VLOOKUP(($F$16-$F$15)*2-1,U$100:Y186,4,FALSE)))*EXP(-(LN(2)/$D$65+0.1)*(VLOOKUP(($F$16-$F$15)*2-1,U$100:Y186,5,FALSE)))*EXP(-(LN(2)/$D$65+0.04)*X186)*EXP(-(LN(2)/$D$65+0.1)*Y186),"-"))),"-")</f>
        <v>-</v>
      </c>
      <c r="AC186" s="224">
        <f t="shared" si="151"/>
        <v>86</v>
      </c>
      <c r="AD186" s="223" t="str">
        <f t="shared" si="125"/>
        <v>-</v>
      </c>
      <c r="AE186" s="224" t="str">
        <f t="shared" si="152"/>
        <v>-</v>
      </c>
      <c r="AF186" s="224" t="str">
        <f t="shared" si="126"/>
        <v>-</v>
      </c>
      <c r="AG186" s="224" t="str">
        <f t="shared" si="127"/>
        <v>-</v>
      </c>
      <c r="AH186" s="272">
        <f t="shared" si="153"/>
        <v>0.1</v>
      </c>
      <c r="AI186" s="271" t="str">
        <f>IFERROR(IF(AD185=1,AI$100*EXP(-(LN(2)/$D$65+0.04)*AF185)*EXP(-(LN(2)/$D$65+0.1)*AG185),IF(AD185=2,AI$100*EXP(-(LN(2)/$D$65+0.04)*(VLOOKUP(($F$16-$F$15)-1,AC$99:AG185,4,FALSE)))*EXP(-(LN(2)/$D$65+0.1)*(VLOOKUP(($F$16-$F$15)-1,AC$99:AG185,5,FALSE)))*EXP(-(LN(2)/$D$65+0.04)*AF185)*EXP(-(LN(2)/$D$65+0.1)*AG185),IF(AD185=3,AI$100*EXP(-(LN(2)/$D$65+0.04)*(VLOOKUP(($F$16-$F$15)-1,AC$99:AG185,4,FALSE)))*EXP(-(LN(2)/$D$65+0.1)*(VLOOKUP(($F$16-$F$15)-1,AC$99:AG185,5,FALSE)))*EXP(-(LN(2)/$D$65+0.04)*(VLOOKUP(($F$16-$F$15)*2-1,AC$99:AG185,4,FALSE)))*EXP(-(LN(2)/$D$65+0.1)*(VLOOKUP(($F$16-$F$15)*2-1,AC$99:AG185,5,FALSE)))*EXP(-(LN(2)/$D$65+0.04)*AF185)*EXP(-(LN(2)/$D$65+0.1)*AG185),"-"))),"-")</f>
        <v>-</v>
      </c>
      <c r="AJ186" s="271" t="str">
        <f>IFERROR(IF(AD186=1,AJ$100*EXP(-(LN(2)/$D$65+0.04)*AF186)*EXP(-(LN(2)/$D$65+0.1)*AG186),IF(AD186=2,AJ$100*EXP(-(LN(2)/$D$65+0.04)*(VLOOKUP(($F$16-$F$15)-1,AC$100:AG186,4,FALSE)))*EXP(-(LN(2)/$D$65+0.1)*(VLOOKUP(($F$16-$F$15)-1,AC$100:AG186,5,FALSE)))*EXP(-(LN(2)/$D$65+0.04)*AF186)*EXP(-(LN(2)/$D$65+0.1)*AG186),IF(AD186=3,AJ$100*EXP(-(LN(2)/$D$65+0.04)*(VLOOKUP(($F$16-$F$15)-1,AC$100:AG186,4,FALSE)))*EXP(-(LN(2)/$D$65+0.1)*(VLOOKUP(($F$16-$F$15)-1,AC$100:AG186,5,FALSE)))*EXP(-(LN(2)/$D$65+0.04)*(VLOOKUP(($F$16-$F$15)*2-1,AC$100:AG186,4,FALSE)))*EXP(-(LN(2)/$D$65+0.1)*(VLOOKUP(($F$16-$F$15)*2-1,AC$100:AG186,5,FALSE)))*EXP(-(LN(2)/$D$65+0.04)*AF186)*EXP(-(LN(2)/$D$65+0.1)*AG186),"-"))),"-")</f>
        <v>-</v>
      </c>
      <c r="AK186" s="227">
        <f t="shared" si="154"/>
        <v>86</v>
      </c>
      <c r="AL186" s="226" t="str">
        <f t="shared" si="128"/>
        <v>-</v>
      </c>
      <c r="AM186" s="227" t="str">
        <f t="shared" si="155"/>
        <v>-</v>
      </c>
      <c r="AN186" s="227" t="str">
        <f t="shared" si="156"/>
        <v>-</v>
      </c>
      <c r="AO186" s="227" t="str">
        <f t="shared" si="129"/>
        <v>-</v>
      </c>
      <c r="AP186" s="273">
        <f t="shared" si="157"/>
        <v>0.1</v>
      </c>
      <c r="AQ186" s="271" t="str">
        <f>IFERROR(IF(AL185=1,AQ$100*EXP(-(LN(2)/$D$65+0.04)*AN185)*EXP(-(LN(2)/$D$65+0.1)*AO185),IF(AL185=2,AQ$100*EXP(-(LN(2)/$D$65+0.04)*(VLOOKUP(($F$16-$F$15)-1,AK$99:AO185,4,FALSE)))*EXP(-(LN(2)/$D$65+0.1)*(VLOOKUP(($F$16-$F$15)-1,AK$99:AO185,5,FALSE)))*EXP(-(LN(2)/$D$65+0.04)*AN185)*EXP(-(LN(2)/$D$65+0.1)*AO185),IF(AL185=3,AQ$100*EXP(-(LN(2)/$D$65+0.04)*(VLOOKUP(($F$16-$F$15)-1,AK$99:AO185,4,FALSE)))*EXP(-(LN(2)/$D$65+0.1)*(VLOOKUP(($F$16-$F$15)-1,AK$99:AO185,5,FALSE)))*EXP(-(LN(2)/$D$65+0.04)*(VLOOKUP(($F$16-$F$15)*2-1,AK$99:AO185,4,FALSE)))*EXP(-(LN(2)/$D$65+0.1)*(VLOOKUP(($F$16-$F$15)*2-1,AK$99:AO185,5,FALSE)))*EXP(-(LN(2)/$D$65+0.04)*AN185)*EXP(-(LN(2)/$D$65+0.1)*AO185),"-"))),"-")</f>
        <v>-</v>
      </c>
      <c r="AR186" s="271" t="str">
        <f>IFERROR(IF(AL186=1,AR$100*EXP(-(LN(2)/$D$65+0.04)*AN186)*EXP(-(LN(2)/$D$65+0.1)*AO186),IF(AL186=2,AR$100*EXP(-(LN(2)/$D$65+0.04)*(VLOOKUP(($F$16-$F$15)-1,AK$100:AO186,4,FALSE)))*EXP(-(LN(2)/$D$65+0.1)*(VLOOKUP(($F$16-$F$15)-1,AK$100:AO186,5,FALSE)))*EXP(-(LN(2)/$D$65+0.04)*AN186)*EXP(-(LN(2)/$D$65+0.1)*AO186),IF(AL186=3,AR$100*EXP(-(LN(2)/$D$65+0.04)*(VLOOKUP(($F$16-$F$15)-1,AK$100:AO186,4,FALSE)))*EXP(-(LN(2)/$D$65+0.1)*(VLOOKUP(($F$16-$F$15)-1,AK$100:AO186,5,FALSE)))*EXP(-(LN(2)/$D$65+0.04)*(VLOOKUP(($F$16-$F$15)*2-1,AK$100:AO186,4,FALSE)))*EXP(-(LN(2)/$D$65+0.1)*(VLOOKUP(($F$16-$F$15)*2-1,AK$100:AO186,5,FALSE)))*EXP(-(LN(2)/$D$65+0.04)*AN186)*EXP(-(LN(2)/$D$65+0.1)*AO186),"-"))),"-")</f>
        <v>-</v>
      </c>
      <c r="AS186" s="274">
        <f t="shared" si="130"/>
        <v>0</v>
      </c>
      <c r="AT186" s="274">
        <f t="shared" si="131"/>
        <v>0</v>
      </c>
      <c r="AU186" s="274">
        <f t="shared" si="132"/>
        <v>0</v>
      </c>
      <c r="AV186" s="190">
        <f>IF($B186&lt;$F$22,SUM($T$100:$T186),"")</f>
        <v>0</v>
      </c>
      <c r="AW186" s="190" t="str">
        <f t="shared" si="133"/>
        <v>-</v>
      </c>
      <c r="AX186" s="190" t="str">
        <f t="shared" si="158"/>
        <v/>
      </c>
      <c r="AY186"/>
      <c r="AZ186" s="190" t="str">
        <f ca="1">IF(ISNUMBER(OFFSET(AV186,-$F$21,0)),SUM(OFFSET($T$100,$F$21,0):$T186),"")</f>
        <v/>
      </c>
      <c r="BA186" s="190" t="str">
        <f t="shared" ca="1" si="134"/>
        <v/>
      </c>
      <c r="BB186" s="190" t="str">
        <f t="shared" ca="1" si="164"/>
        <v/>
      </c>
      <c r="BC186" s="190"/>
      <c r="BD186" s="190" t="str">
        <f ca="1">IFERROR(IF(AND($B186&gt;=($F$16-$F$15),$B186&lt;$F$22+($F$16-$F$15)),SUM(OFFSET($T$100,($F$16-$F$15),0):$T186),""),"")</f>
        <v/>
      </c>
      <c r="BE186" s="190" t="str">
        <f t="shared" ca="1" si="159"/>
        <v/>
      </c>
      <c r="BF186" s="190" t="str">
        <f t="shared" ca="1" si="160"/>
        <v/>
      </c>
      <c r="BG186"/>
      <c r="BH186" s="190" t="str">
        <f ca="1">IF(ISNUMBER(OFFSET(BD186,-$F$21,0)),SUM(OFFSET($T$100,($F$16-$F$15+$F$21),0):$T186),"")</f>
        <v/>
      </c>
      <c r="BI186" s="190" t="str">
        <f t="shared" ca="1" si="135"/>
        <v/>
      </c>
      <c r="BJ186" s="190" t="str">
        <f t="shared" ca="1" si="161"/>
        <v/>
      </c>
      <c r="BK186" s="190"/>
      <c r="BL186" s="190" t="str">
        <f ca="1">IFERROR(IF(AND($B186&gt;=($F$17-$F$15),$B186&lt;$F$22+($F$17-$F$15)),SUM(OFFSET($T$100,($F$17-$F$15),0):$T186),""),"")</f>
        <v/>
      </c>
      <c r="BM186" s="190" t="str">
        <f t="shared" ca="1" si="136"/>
        <v/>
      </c>
      <c r="BN186" s="190" t="str">
        <f t="shared" ca="1" si="162"/>
        <v/>
      </c>
      <c r="BO186"/>
      <c r="BP186" s="190" t="str">
        <f ca="1">IF(ISNUMBER(OFFSET(BL186,-$F$21,0)),SUM(OFFSET($T$100,($F$17-$F$15+$F$21),0):$T186),"")</f>
        <v/>
      </c>
      <c r="BQ186" s="190" t="str">
        <f t="shared" ca="1" si="137"/>
        <v/>
      </c>
      <c r="BR186" s="190" t="str">
        <f t="shared" ca="1" si="163"/>
        <v/>
      </c>
      <c r="BS186" s="190"/>
      <c r="BT186"/>
      <c r="BU186"/>
      <c r="BV186"/>
      <c r="BY186" s="99"/>
      <c r="BZ186" s="99"/>
      <c r="CA186" s="280" t="str">
        <f t="shared" si="138"/>
        <v/>
      </c>
      <c r="CB186" s="71" t="str">
        <f t="shared" si="139"/>
        <v>-</v>
      </c>
      <c r="CC186" s="33"/>
      <c r="CD186" s="261" t="str">
        <f t="shared" si="140"/>
        <v/>
      </c>
      <c r="CE186" s="280" t="str">
        <f t="shared" si="141"/>
        <v>-</v>
      </c>
      <c r="CF186" s="71" t="str">
        <f t="shared" ca="1" si="142"/>
        <v>-</v>
      </c>
      <c r="CG186" s="33" t="str">
        <f t="shared" si="143"/>
        <v>86-87</v>
      </c>
      <c r="CH186" s="261" t="str">
        <f t="shared" ca="1" si="144"/>
        <v/>
      </c>
      <c r="CI186" s="202"/>
      <c r="CP186" s="99"/>
      <c r="CQ186" s="99"/>
      <c r="CR186" s="99"/>
      <c r="CS186" s="99"/>
      <c r="CT186" s="99"/>
      <c r="CU186" s="99"/>
      <c r="CV186" s="99"/>
      <c r="CW186" s="99"/>
      <c r="CX186" s="99"/>
      <c r="CY186" s="99"/>
      <c r="CZ186" s="99"/>
      <c r="DA186" s="99"/>
      <c r="DB186" s="99"/>
      <c r="DC186" s="99"/>
    </row>
    <row r="187" spans="2:107" ht="13.5" customHeight="1" x14ac:dyDescent="0.2">
      <c r="B187" s="262">
        <v>87</v>
      </c>
      <c r="C187" s="237" t="str">
        <f t="shared" si="107"/>
        <v/>
      </c>
      <c r="D187" s="237" t="str">
        <f t="shared" si="145"/>
        <v>-</v>
      </c>
      <c r="E187" s="263" t="str">
        <f t="shared" si="146"/>
        <v/>
      </c>
      <c r="F187" s="264" t="str">
        <f t="shared" si="147"/>
        <v/>
      </c>
      <c r="G187" s="264" t="str">
        <f t="shared" si="148"/>
        <v/>
      </c>
      <c r="H187" s="240" t="str">
        <f t="shared" si="108"/>
        <v/>
      </c>
      <c r="I187" s="265" t="str">
        <f t="shared" si="109"/>
        <v/>
      </c>
      <c r="J187" s="265" t="str">
        <f t="shared" si="110"/>
        <v/>
      </c>
      <c r="K187" s="240" t="str">
        <f t="shared" si="111"/>
        <v/>
      </c>
      <c r="L187" s="265" t="str">
        <f t="shared" si="112"/>
        <v/>
      </c>
      <c r="M187" s="265" t="str">
        <f t="shared" si="113"/>
        <v/>
      </c>
      <c r="N187" s="240" t="str">
        <f t="shared" si="114"/>
        <v>-</v>
      </c>
      <c r="O187" s="265" t="str">
        <f t="shared" si="115"/>
        <v>-</v>
      </c>
      <c r="P187" s="265" t="str">
        <f t="shared" si="116"/>
        <v>-</v>
      </c>
      <c r="Q187" s="266" t="str">
        <f t="shared" si="117"/>
        <v>-</v>
      </c>
      <c r="R187" s="267" t="str">
        <f t="shared" si="118"/>
        <v>-</v>
      </c>
      <c r="S187" s="268" t="str">
        <f t="shared" si="119"/>
        <v>-</v>
      </c>
      <c r="T187" s="269" t="str">
        <f t="shared" si="120"/>
        <v/>
      </c>
      <c r="U187" s="221">
        <f t="shared" si="121"/>
        <v>87</v>
      </c>
      <c r="V187" s="220" t="str">
        <f t="shared" si="122"/>
        <v>-</v>
      </c>
      <c r="W187" s="221" t="str">
        <f t="shared" si="149"/>
        <v>-</v>
      </c>
      <c r="X187" s="221" t="str">
        <f t="shared" si="123"/>
        <v>-</v>
      </c>
      <c r="Y187" s="221" t="str">
        <f t="shared" si="124"/>
        <v>-</v>
      </c>
      <c r="Z187" s="270">
        <f t="shared" si="150"/>
        <v>0.1</v>
      </c>
      <c r="AA187" s="271" t="str">
        <f>IFERROR(IF(V186=1,AA$100*EXP(-(LN(2)/$D$65+0.04)*X186)*EXP(-(LN(2)/$D$65+0.1)*Y186),IF(V186=2,AA$100*EXP(-(LN(2)/$D$65+0.04)*(VLOOKUP(($F$16-$F$15)-1,U$99:Y186,4,FALSE)))*EXP(-(LN(2)/$D$65+0.1)*(VLOOKUP(($F$16-$F$15)-1,U$99:Y186,5,FALSE)))*EXP(-(LN(2)/$D$65+0.04)*X186)*EXP(-(LN(2)/$D$65+0.1)*Y186),IF(V186=3,AA$100*EXP(-(LN(2)/$D$65+0.04)*(VLOOKUP(($F$16-$F$15)-1,U$99:Y186,4,FALSE)))*EXP(-(LN(2)/$D$65+0.1)*(VLOOKUP(($F$16-$F$15)-1,U$99:Y186,5,FALSE)))*EXP(-(LN(2)/$D$65+0.04)*(VLOOKUP(($F$16-$F$15)*2-1,U$99:Y186,4,FALSE)))*EXP(-(LN(2)/$D$65+0.1)*(VLOOKUP(($F$16-$F$15)*2-1,U$99:Y186,5,FALSE)))*EXP(-(LN(2)/$D$65+0.04)*X186)*EXP(-(LN(2)/$D$65+0.1)*Y186),"-"))),"-")</f>
        <v>-</v>
      </c>
      <c r="AB187" s="271" t="str">
        <f>IFERROR(IF(V187=1,AB$100*EXP(-(LN(2)/$D$65+0.04)*X187)*EXP(-(LN(2)/$D$65+0.1)*Y187),IF(V187=2,AB$100*EXP(-(LN(2)/$D$65+0.04)*(VLOOKUP(($F$16-$F$15)-1,U$100:Y187,4,FALSE)))*EXP(-(LN(2)/$D$65+0.1)*(VLOOKUP(($F$16-$F$15)-1,U$100:Y187,5,FALSE)))*EXP(-(LN(2)/$D$65+0.04)*X187)*EXP(-(LN(2)/$D$65+0.1)*Y187),IF(V187=3,AB$100*EXP(-(LN(2)/$D$65+0.04)*(VLOOKUP(($F$16-$F$15)-1,U$100:Y187,4,FALSE)))*EXP(-(LN(2)/$D$65+0.1)*(VLOOKUP(($F$16-$F$15)-1,U$100:Y187,5,FALSE)))*EXP(-(LN(2)/$D$65+0.04)*(VLOOKUP(($F$16-$F$15)*2-1,U$100:Y187,4,FALSE)))*EXP(-(LN(2)/$D$65+0.1)*(VLOOKUP(($F$16-$F$15)*2-1,U$100:Y187,5,FALSE)))*EXP(-(LN(2)/$D$65+0.04)*X187)*EXP(-(LN(2)/$D$65+0.1)*Y187),"-"))),"-")</f>
        <v>-</v>
      </c>
      <c r="AC187" s="224">
        <f t="shared" si="151"/>
        <v>87</v>
      </c>
      <c r="AD187" s="223" t="str">
        <f t="shared" si="125"/>
        <v>-</v>
      </c>
      <c r="AE187" s="224" t="str">
        <f t="shared" si="152"/>
        <v>-</v>
      </c>
      <c r="AF187" s="224" t="str">
        <f t="shared" si="126"/>
        <v>-</v>
      </c>
      <c r="AG187" s="224" t="str">
        <f t="shared" si="127"/>
        <v>-</v>
      </c>
      <c r="AH187" s="272">
        <f t="shared" si="153"/>
        <v>0.1</v>
      </c>
      <c r="AI187" s="271" t="str">
        <f>IFERROR(IF(AD186=1,AI$100*EXP(-(LN(2)/$D$65+0.04)*AF186)*EXP(-(LN(2)/$D$65+0.1)*AG186),IF(AD186=2,AI$100*EXP(-(LN(2)/$D$65+0.04)*(VLOOKUP(($F$16-$F$15)-1,AC$99:AG186,4,FALSE)))*EXP(-(LN(2)/$D$65+0.1)*(VLOOKUP(($F$16-$F$15)-1,AC$99:AG186,5,FALSE)))*EXP(-(LN(2)/$D$65+0.04)*AF186)*EXP(-(LN(2)/$D$65+0.1)*AG186),IF(AD186=3,AI$100*EXP(-(LN(2)/$D$65+0.04)*(VLOOKUP(($F$16-$F$15)-1,AC$99:AG186,4,FALSE)))*EXP(-(LN(2)/$D$65+0.1)*(VLOOKUP(($F$16-$F$15)-1,AC$99:AG186,5,FALSE)))*EXP(-(LN(2)/$D$65+0.04)*(VLOOKUP(($F$16-$F$15)*2-1,AC$99:AG186,4,FALSE)))*EXP(-(LN(2)/$D$65+0.1)*(VLOOKUP(($F$16-$F$15)*2-1,AC$99:AG186,5,FALSE)))*EXP(-(LN(2)/$D$65+0.04)*AF186)*EXP(-(LN(2)/$D$65+0.1)*AG186),"-"))),"-")</f>
        <v>-</v>
      </c>
      <c r="AJ187" s="271" t="str">
        <f>IFERROR(IF(AD187=1,AJ$100*EXP(-(LN(2)/$D$65+0.04)*AF187)*EXP(-(LN(2)/$D$65+0.1)*AG187),IF(AD187=2,AJ$100*EXP(-(LN(2)/$D$65+0.04)*(VLOOKUP(($F$16-$F$15)-1,AC$100:AG187,4,FALSE)))*EXP(-(LN(2)/$D$65+0.1)*(VLOOKUP(($F$16-$F$15)-1,AC$100:AG187,5,FALSE)))*EXP(-(LN(2)/$D$65+0.04)*AF187)*EXP(-(LN(2)/$D$65+0.1)*AG187),IF(AD187=3,AJ$100*EXP(-(LN(2)/$D$65+0.04)*(VLOOKUP(($F$16-$F$15)-1,AC$100:AG187,4,FALSE)))*EXP(-(LN(2)/$D$65+0.1)*(VLOOKUP(($F$16-$F$15)-1,AC$100:AG187,5,FALSE)))*EXP(-(LN(2)/$D$65+0.04)*(VLOOKUP(($F$16-$F$15)*2-1,AC$100:AG187,4,FALSE)))*EXP(-(LN(2)/$D$65+0.1)*(VLOOKUP(($F$16-$F$15)*2-1,AC$100:AG187,5,FALSE)))*EXP(-(LN(2)/$D$65+0.04)*AF187)*EXP(-(LN(2)/$D$65+0.1)*AG187),"-"))),"-")</f>
        <v>-</v>
      </c>
      <c r="AK187" s="227">
        <f t="shared" si="154"/>
        <v>87</v>
      </c>
      <c r="AL187" s="226" t="str">
        <f t="shared" si="128"/>
        <v>-</v>
      </c>
      <c r="AM187" s="227" t="str">
        <f t="shared" si="155"/>
        <v>-</v>
      </c>
      <c r="AN187" s="227" t="str">
        <f t="shared" si="156"/>
        <v>-</v>
      </c>
      <c r="AO187" s="227" t="str">
        <f t="shared" si="129"/>
        <v>-</v>
      </c>
      <c r="AP187" s="273">
        <f t="shared" si="157"/>
        <v>0.1</v>
      </c>
      <c r="AQ187" s="271" t="str">
        <f>IFERROR(IF(AL186=1,AQ$100*EXP(-(LN(2)/$D$65+0.04)*AN186)*EXP(-(LN(2)/$D$65+0.1)*AO186),IF(AL186=2,AQ$100*EXP(-(LN(2)/$D$65+0.04)*(VLOOKUP(($F$16-$F$15)-1,AK$99:AO186,4,FALSE)))*EXP(-(LN(2)/$D$65+0.1)*(VLOOKUP(($F$16-$F$15)-1,AK$99:AO186,5,FALSE)))*EXP(-(LN(2)/$D$65+0.04)*AN186)*EXP(-(LN(2)/$D$65+0.1)*AO186),IF(AL186=3,AQ$100*EXP(-(LN(2)/$D$65+0.04)*(VLOOKUP(($F$16-$F$15)-1,AK$99:AO186,4,FALSE)))*EXP(-(LN(2)/$D$65+0.1)*(VLOOKUP(($F$16-$F$15)-1,AK$99:AO186,5,FALSE)))*EXP(-(LN(2)/$D$65+0.04)*(VLOOKUP(($F$16-$F$15)*2-1,AK$99:AO186,4,FALSE)))*EXP(-(LN(2)/$D$65+0.1)*(VLOOKUP(($F$16-$F$15)*2-1,AK$99:AO186,5,FALSE)))*EXP(-(LN(2)/$D$65+0.04)*AN186)*EXP(-(LN(2)/$D$65+0.1)*AO186),"-"))),"-")</f>
        <v>-</v>
      </c>
      <c r="AR187" s="271" t="str">
        <f>IFERROR(IF(AL187=1,AR$100*EXP(-(LN(2)/$D$65+0.04)*AN187)*EXP(-(LN(2)/$D$65+0.1)*AO187),IF(AL187=2,AR$100*EXP(-(LN(2)/$D$65+0.04)*(VLOOKUP(($F$16-$F$15)-1,AK$100:AO187,4,FALSE)))*EXP(-(LN(2)/$D$65+0.1)*(VLOOKUP(($F$16-$F$15)-1,AK$100:AO187,5,FALSE)))*EXP(-(LN(2)/$D$65+0.04)*AN187)*EXP(-(LN(2)/$D$65+0.1)*AO187),IF(AL187=3,AR$100*EXP(-(LN(2)/$D$65+0.04)*(VLOOKUP(($F$16-$F$15)-1,AK$100:AO187,4,FALSE)))*EXP(-(LN(2)/$D$65+0.1)*(VLOOKUP(($F$16-$F$15)-1,AK$100:AO187,5,FALSE)))*EXP(-(LN(2)/$D$65+0.04)*(VLOOKUP(($F$16-$F$15)*2-1,AK$100:AO187,4,FALSE)))*EXP(-(LN(2)/$D$65+0.1)*(VLOOKUP(($F$16-$F$15)*2-1,AK$100:AO187,5,FALSE)))*EXP(-(LN(2)/$D$65+0.04)*AN187)*EXP(-(LN(2)/$D$65+0.1)*AO187),"-"))),"-")</f>
        <v>-</v>
      </c>
      <c r="AS187" s="274">
        <f t="shared" si="130"/>
        <v>0</v>
      </c>
      <c r="AT187" s="274">
        <f t="shared" si="131"/>
        <v>0</v>
      </c>
      <c r="AU187" s="274">
        <f t="shared" si="132"/>
        <v>0</v>
      </c>
      <c r="AV187" s="190">
        <f>IF($B187&lt;$F$22,SUM($T$100:$T187),"")</f>
        <v>0</v>
      </c>
      <c r="AW187" s="190" t="str">
        <f t="shared" si="133"/>
        <v>-</v>
      </c>
      <c r="AX187" s="190" t="str">
        <f t="shared" si="158"/>
        <v/>
      </c>
      <c r="AY187"/>
      <c r="AZ187" s="190" t="str">
        <f ca="1">IF(ISNUMBER(OFFSET(AV187,-$F$21,0)),SUM(OFFSET($T$100,$F$21,0):$T187),"")</f>
        <v/>
      </c>
      <c r="BA187" s="190" t="str">
        <f t="shared" ca="1" si="134"/>
        <v/>
      </c>
      <c r="BB187" s="190" t="str">
        <f t="shared" ca="1" si="164"/>
        <v/>
      </c>
      <c r="BC187" s="190"/>
      <c r="BD187" s="190" t="str">
        <f ca="1">IFERROR(IF(AND($B187&gt;=($F$16-$F$15),$B187&lt;$F$22+($F$16-$F$15)),SUM(OFFSET($T$100,($F$16-$F$15),0):$T187),""),"")</f>
        <v/>
      </c>
      <c r="BE187" s="190" t="str">
        <f t="shared" ca="1" si="159"/>
        <v/>
      </c>
      <c r="BF187" s="190" t="str">
        <f t="shared" ca="1" si="160"/>
        <v/>
      </c>
      <c r="BG187"/>
      <c r="BH187" s="190" t="str">
        <f ca="1">IF(ISNUMBER(OFFSET(BD187,-$F$21,0)),SUM(OFFSET($T$100,($F$16-$F$15+$F$21),0):$T187),"")</f>
        <v/>
      </c>
      <c r="BI187" s="190" t="str">
        <f t="shared" ca="1" si="135"/>
        <v/>
      </c>
      <c r="BJ187" s="190" t="str">
        <f t="shared" ca="1" si="161"/>
        <v/>
      </c>
      <c r="BK187" s="190"/>
      <c r="BL187" s="190" t="str">
        <f ca="1">IFERROR(IF(AND($B187&gt;=($F$17-$F$15),$B187&lt;$F$22+($F$17-$F$15)),SUM(OFFSET($T$100,($F$17-$F$15),0):$T187),""),"")</f>
        <v/>
      </c>
      <c r="BM187" s="190" t="str">
        <f t="shared" ca="1" si="136"/>
        <v/>
      </c>
      <c r="BN187" s="190" t="str">
        <f t="shared" ca="1" si="162"/>
        <v/>
      </c>
      <c r="BO187"/>
      <c r="BP187" s="190" t="str">
        <f ca="1">IF(ISNUMBER(OFFSET(BL187,-$F$21,0)),SUM(OFFSET($T$100,($F$17-$F$15+$F$21),0):$T187),"")</f>
        <v/>
      </c>
      <c r="BQ187" s="190" t="str">
        <f t="shared" ca="1" si="137"/>
        <v/>
      </c>
      <c r="BR187" s="190" t="str">
        <f t="shared" ca="1" si="163"/>
        <v/>
      </c>
      <c r="BS187" s="190"/>
      <c r="BT187"/>
      <c r="BU187"/>
      <c r="BV187"/>
      <c r="BY187" s="99"/>
      <c r="BZ187" s="99"/>
      <c r="CA187" s="280" t="str">
        <f t="shared" si="138"/>
        <v/>
      </c>
      <c r="CB187" s="71" t="str">
        <f t="shared" si="139"/>
        <v>-</v>
      </c>
      <c r="CC187" s="33"/>
      <c r="CD187" s="261" t="str">
        <f t="shared" si="140"/>
        <v/>
      </c>
      <c r="CE187" s="280" t="str">
        <f t="shared" si="141"/>
        <v>-</v>
      </c>
      <c r="CF187" s="71" t="str">
        <f t="shared" ca="1" si="142"/>
        <v>-</v>
      </c>
      <c r="CG187" s="33" t="str">
        <f t="shared" si="143"/>
        <v>87-88</v>
      </c>
      <c r="CH187" s="261" t="str">
        <f t="shared" ca="1" si="144"/>
        <v/>
      </c>
      <c r="CI187" s="202"/>
      <c r="CP187" s="99"/>
      <c r="CQ187" s="99"/>
      <c r="CR187" s="99"/>
      <c r="CS187" s="99"/>
      <c r="CT187" s="99"/>
      <c r="CU187" s="99"/>
      <c r="CV187" s="99"/>
      <c r="CW187" s="99"/>
      <c r="CX187" s="99"/>
      <c r="CY187" s="99"/>
      <c r="CZ187" s="99"/>
      <c r="DA187" s="99"/>
      <c r="DB187" s="99"/>
      <c r="DC187" s="99"/>
    </row>
    <row r="188" spans="2:107" ht="13.5" customHeight="1" x14ac:dyDescent="0.2">
      <c r="B188" s="262">
        <v>88</v>
      </c>
      <c r="C188" s="237" t="str">
        <f t="shared" si="107"/>
        <v/>
      </c>
      <c r="D188" s="237" t="str">
        <f t="shared" si="145"/>
        <v>-</v>
      </c>
      <c r="E188" s="263" t="str">
        <f t="shared" si="146"/>
        <v/>
      </c>
      <c r="F188" s="264" t="str">
        <f t="shared" si="147"/>
        <v/>
      </c>
      <c r="G188" s="264" t="str">
        <f t="shared" si="148"/>
        <v/>
      </c>
      <c r="H188" s="240" t="str">
        <f t="shared" si="108"/>
        <v/>
      </c>
      <c r="I188" s="265" t="str">
        <f t="shared" si="109"/>
        <v/>
      </c>
      <c r="J188" s="265" t="str">
        <f t="shared" si="110"/>
        <v/>
      </c>
      <c r="K188" s="240" t="str">
        <f t="shared" si="111"/>
        <v/>
      </c>
      <c r="L188" s="265" t="str">
        <f t="shared" si="112"/>
        <v/>
      </c>
      <c r="M188" s="265" t="str">
        <f t="shared" si="113"/>
        <v/>
      </c>
      <c r="N188" s="240" t="str">
        <f t="shared" si="114"/>
        <v>-</v>
      </c>
      <c r="O188" s="265" t="str">
        <f t="shared" si="115"/>
        <v>-</v>
      </c>
      <c r="P188" s="265" t="str">
        <f t="shared" si="116"/>
        <v>-</v>
      </c>
      <c r="Q188" s="266" t="str">
        <f t="shared" si="117"/>
        <v>-</v>
      </c>
      <c r="R188" s="267" t="str">
        <f t="shared" si="118"/>
        <v>-</v>
      </c>
      <c r="S188" s="268" t="str">
        <f t="shared" si="119"/>
        <v>-</v>
      </c>
      <c r="T188" s="269" t="str">
        <f t="shared" si="120"/>
        <v/>
      </c>
      <c r="U188" s="221">
        <f t="shared" si="121"/>
        <v>88</v>
      </c>
      <c r="V188" s="220" t="str">
        <f t="shared" si="122"/>
        <v>-</v>
      </c>
      <c r="W188" s="221" t="str">
        <f t="shared" si="149"/>
        <v>-</v>
      </c>
      <c r="X188" s="221" t="str">
        <f t="shared" si="123"/>
        <v>-</v>
      </c>
      <c r="Y188" s="221" t="str">
        <f t="shared" si="124"/>
        <v>-</v>
      </c>
      <c r="Z188" s="270">
        <f t="shared" si="150"/>
        <v>0.1</v>
      </c>
      <c r="AA188" s="271" t="str">
        <f>IFERROR(IF(V187=1,AA$100*EXP(-(LN(2)/$D$65+0.04)*X187)*EXP(-(LN(2)/$D$65+0.1)*Y187),IF(V187=2,AA$100*EXP(-(LN(2)/$D$65+0.04)*(VLOOKUP(($F$16-$F$15)-1,U$99:Y187,4,FALSE)))*EXP(-(LN(2)/$D$65+0.1)*(VLOOKUP(($F$16-$F$15)-1,U$99:Y187,5,FALSE)))*EXP(-(LN(2)/$D$65+0.04)*X187)*EXP(-(LN(2)/$D$65+0.1)*Y187),IF(V187=3,AA$100*EXP(-(LN(2)/$D$65+0.04)*(VLOOKUP(($F$16-$F$15)-1,U$99:Y187,4,FALSE)))*EXP(-(LN(2)/$D$65+0.1)*(VLOOKUP(($F$16-$F$15)-1,U$99:Y187,5,FALSE)))*EXP(-(LN(2)/$D$65+0.04)*(VLOOKUP(($F$16-$F$15)*2-1,U$99:Y187,4,FALSE)))*EXP(-(LN(2)/$D$65+0.1)*(VLOOKUP(($F$16-$F$15)*2-1,U$99:Y187,5,FALSE)))*EXP(-(LN(2)/$D$65+0.04)*X187)*EXP(-(LN(2)/$D$65+0.1)*Y187),"-"))),"-")</f>
        <v>-</v>
      </c>
      <c r="AB188" s="271" t="str">
        <f>IFERROR(IF(V188=1,AB$100*EXP(-(LN(2)/$D$65+0.04)*X188)*EXP(-(LN(2)/$D$65+0.1)*Y188),IF(V188=2,AB$100*EXP(-(LN(2)/$D$65+0.04)*(VLOOKUP(($F$16-$F$15)-1,U$100:Y188,4,FALSE)))*EXP(-(LN(2)/$D$65+0.1)*(VLOOKUP(($F$16-$F$15)-1,U$100:Y188,5,FALSE)))*EXP(-(LN(2)/$D$65+0.04)*X188)*EXP(-(LN(2)/$D$65+0.1)*Y188),IF(V188=3,AB$100*EXP(-(LN(2)/$D$65+0.04)*(VLOOKUP(($F$16-$F$15)-1,U$100:Y188,4,FALSE)))*EXP(-(LN(2)/$D$65+0.1)*(VLOOKUP(($F$16-$F$15)-1,U$100:Y188,5,FALSE)))*EXP(-(LN(2)/$D$65+0.04)*(VLOOKUP(($F$16-$F$15)*2-1,U$100:Y188,4,FALSE)))*EXP(-(LN(2)/$D$65+0.1)*(VLOOKUP(($F$16-$F$15)*2-1,U$100:Y188,5,FALSE)))*EXP(-(LN(2)/$D$65+0.04)*X188)*EXP(-(LN(2)/$D$65+0.1)*Y188),"-"))),"-")</f>
        <v>-</v>
      </c>
      <c r="AC188" s="224">
        <f t="shared" si="151"/>
        <v>88</v>
      </c>
      <c r="AD188" s="223" t="str">
        <f t="shared" si="125"/>
        <v>-</v>
      </c>
      <c r="AE188" s="224" t="str">
        <f t="shared" si="152"/>
        <v>-</v>
      </c>
      <c r="AF188" s="224" t="str">
        <f t="shared" si="126"/>
        <v>-</v>
      </c>
      <c r="AG188" s="224" t="str">
        <f t="shared" si="127"/>
        <v>-</v>
      </c>
      <c r="AH188" s="272">
        <f t="shared" si="153"/>
        <v>0.1</v>
      </c>
      <c r="AI188" s="271" t="str">
        <f>IFERROR(IF(AD187=1,AI$100*EXP(-(LN(2)/$D$65+0.04)*AF187)*EXP(-(LN(2)/$D$65+0.1)*AG187),IF(AD187=2,AI$100*EXP(-(LN(2)/$D$65+0.04)*(VLOOKUP(($F$16-$F$15)-1,AC$99:AG187,4,FALSE)))*EXP(-(LN(2)/$D$65+0.1)*(VLOOKUP(($F$16-$F$15)-1,AC$99:AG187,5,FALSE)))*EXP(-(LN(2)/$D$65+0.04)*AF187)*EXP(-(LN(2)/$D$65+0.1)*AG187),IF(AD187=3,AI$100*EXP(-(LN(2)/$D$65+0.04)*(VLOOKUP(($F$16-$F$15)-1,AC$99:AG187,4,FALSE)))*EXP(-(LN(2)/$D$65+0.1)*(VLOOKUP(($F$16-$F$15)-1,AC$99:AG187,5,FALSE)))*EXP(-(LN(2)/$D$65+0.04)*(VLOOKUP(($F$16-$F$15)*2-1,AC$99:AG187,4,FALSE)))*EXP(-(LN(2)/$D$65+0.1)*(VLOOKUP(($F$16-$F$15)*2-1,AC$99:AG187,5,FALSE)))*EXP(-(LN(2)/$D$65+0.04)*AF187)*EXP(-(LN(2)/$D$65+0.1)*AG187),"-"))),"-")</f>
        <v>-</v>
      </c>
      <c r="AJ188" s="271" t="str">
        <f>IFERROR(IF(AD188=1,AJ$100*EXP(-(LN(2)/$D$65+0.04)*AF188)*EXP(-(LN(2)/$D$65+0.1)*AG188),IF(AD188=2,AJ$100*EXP(-(LN(2)/$D$65+0.04)*(VLOOKUP(($F$16-$F$15)-1,AC$100:AG188,4,FALSE)))*EXP(-(LN(2)/$D$65+0.1)*(VLOOKUP(($F$16-$F$15)-1,AC$100:AG188,5,FALSE)))*EXP(-(LN(2)/$D$65+0.04)*AF188)*EXP(-(LN(2)/$D$65+0.1)*AG188),IF(AD188=3,AJ$100*EXP(-(LN(2)/$D$65+0.04)*(VLOOKUP(($F$16-$F$15)-1,AC$100:AG188,4,FALSE)))*EXP(-(LN(2)/$D$65+0.1)*(VLOOKUP(($F$16-$F$15)-1,AC$100:AG188,5,FALSE)))*EXP(-(LN(2)/$D$65+0.04)*(VLOOKUP(($F$16-$F$15)*2-1,AC$100:AG188,4,FALSE)))*EXP(-(LN(2)/$D$65+0.1)*(VLOOKUP(($F$16-$F$15)*2-1,AC$100:AG188,5,FALSE)))*EXP(-(LN(2)/$D$65+0.04)*AF188)*EXP(-(LN(2)/$D$65+0.1)*AG188),"-"))),"-")</f>
        <v>-</v>
      </c>
      <c r="AK188" s="227">
        <f t="shared" si="154"/>
        <v>88</v>
      </c>
      <c r="AL188" s="226" t="str">
        <f t="shared" si="128"/>
        <v>-</v>
      </c>
      <c r="AM188" s="227" t="str">
        <f t="shared" si="155"/>
        <v>-</v>
      </c>
      <c r="AN188" s="227" t="str">
        <f t="shared" si="156"/>
        <v>-</v>
      </c>
      <c r="AO188" s="227" t="str">
        <f t="shared" si="129"/>
        <v>-</v>
      </c>
      <c r="AP188" s="273">
        <f t="shared" si="157"/>
        <v>0.1</v>
      </c>
      <c r="AQ188" s="271" t="str">
        <f>IFERROR(IF(AL187=1,AQ$100*EXP(-(LN(2)/$D$65+0.04)*AN187)*EXP(-(LN(2)/$D$65+0.1)*AO187),IF(AL187=2,AQ$100*EXP(-(LN(2)/$D$65+0.04)*(VLOOKUP(($F$16-$F$15)-1,AK$99:AO187,4,FALSE)))*EXP(-(LN(2)/$D$65+0.1)*(VLOOKUP(($F$16-$F$15)-1,AK$99:AO187,5,FALSE)))*EXP(-(LN(2)/$D$65+0.04)*AN187)*EXP(-(LN(2)/$D$65+0.1)*AO187),IF(AL187=3,AQ$100*EXP(-(LN(2)/$D$65+0.04)*(VLOOKUP(($F$16-$F$15)-1,AK$99:AO187,4,FALSE)))*EXP(-(LN(2)/$D$65+0.1)*(VLOOKUP(($F$16-$F$15)-1,AK$99:AO187,5,FALSE)))*EXP(-(LN(2)/$D$65+0.04)*(VLOOKUP(($F$16-$F$15)*2-1,AK$99:AO187,4,FALSE)))*EXP(-(LN(2)/$D$65+0.1)*(VLOOKUP(($F$16-$F$15)*2-1,AK$99:AO187,5,FALSE)))*EXP(-(LN(2)/$D$65+0.04)*AN187)*EXP(-(LN(2)/$D$65+0.1)*AO187),"-"))),"-")</f>
        <v>-</v>
      </c>
      <c r="AR188" s="271" t="str">
        <f>IFERROR(IF(AL188=1,AR$100*EXP(-(LN(2)/$D$65+0.04)*AN188)*EXP(-(LN(2)/$D$65+0.1)*AO188),IF(AL188=2,AR$100*EXP(-(LN(2)/$D$65+0.04)*(VLOOKUP(($F$16-$F$15)-1,AK$100:AO188,4,FALSE)))*EXP(-(LN(2)/$D$65+0.1)*(VLOOKUP(($F$16-$F$15)-1,AK$100:AO188,5,FALSE)))*EXP(-(LN(2)/$D$65+0.04)*AN188)*EXP(-(LN(2)/$D$65+0.1)*AO188),IF(AL188=3,AR$100*EXP(-(LN(2)/$D$65+0.04)*(VLOOKUP(($F$16-$F$15)-1,AK$100:AO188,4,FALSE)))*EXP(-(LN(2)/$D$65+0.1)*(VLOOKUP(($F$16-$F$15)-1,AK$100:AO188,5,FALSE)))*EXP(-(LN(2)/$D$65+0.04)*(VLOOKUP(($F$16-$F$15)*2-1,AK$100:AO188,4,FALSE)))*EXP(-(LN(2)/$D$65+0.1)*(VLOOKUP(($F$16-$F$15)*2-1,AK$100:AO188,5,FALSE)))*EXP(-(LN(2)/$D$65+0.04)*AN188)*EXP(-(LN(2)/$D$65+0.1)*AO188),"-"))),"-")</f>
        <v>-</v>
      </c>
      <c r="AS188" s="274">
        <f t="shared" si="130"/>
        <v>0</v>
      </c>
      <c r="AT188" s="274">
        <f t="shared" si="131"/>
        <v>0</v>
      </c>
      <c r="AU188" s="274">
        <f t="shared" si="132"/>
        <v>0</v>
      </c>
      <c r="AV188" s="190">
        <f>IF($B188&lt;$F$22,SUM($T$100:$T188),"")</f>
        <v>0</v>
      </c>
      <c r="AW188" s="190" t="str">
        <f t="shared" si="133"/>
        <v>-</v>
      </c>
      <c r="AX188" s="190" t="str">
        <f t="shared" si="158"/>
        <v/>
      </c>
      <c r="AY188"/>
      <c r="AZ188" s="190" t="str">
        <f ca="1">IF(ISNUMBER(OFFSET(AV188,-$F$21,0)),SUM(OFFSET($T$100,$F$21,0):$T188),"")</f>
        <v/>
      </c>
      <c r="BA188" s="190" t="str">
        <f t="shared" ca="1" si="134"/>
        <v/>
      </c>
      <c r="BB188" s="190" t="str">
        <f t="shared" ca="1" si="164"/>
        <v/>
      </c>
      <c r="BC188" s="190"/>
      <c r="BD188" s="190" t="str">
        <f ca="1">IFERROR(IF(AND($B188&gt;=($F$16-$F$15),$B188&lt;$F$22+($F$16-$F$15)),SUM(OFFSET($T$100,($F$16-$F$15),0):$T188),""),"")</f>
        <v/>
      </c>
      <c r="BE188" s="190" t="str">
        <f t="shared" ca="1" si="159"/>
        <v/>
      </c>
      <c r="BF188" s="190" t="str">
        <f t="shared" ca="1" si="160"/>
        <v/>
      </c>
      <c r="BG188"/>
      <c r="BH188" s="190" t="str">
        <f ca="1">IF(ISNUMBER(OFFSET(BD188,-$F$21,0)),SUM(OFFSET($T$100,($F$16-$F$15+$F$21),0):$T188),"")</f>
        <v/>
      </c>
      <c r="BI188" s="190" t="str">
        <f t="shared" ca="1" si="135"/>
        <v/>
      </c>
      <c r="BJ188" s="190" t="str">
        <f t="shared" ca="1" si="161"/>
        <v/>
      </c>
      <c r="BK188" s="190"/>
      <c r="BL188" s="190" t="str">
        <f ca="1">IFERROR(IF(AND($B188&gt;=($F$17-$F$15),$B188&lt;$F$22+($F$17-$F$15)),SUM(OFFSET($T$100,($F$17-$F$15),0):$T188),""),"")</f>
        <v/>
      </c>
      <c r="BM188" s="190" t="str">
        <f t="shared" ca="1" si="136"/>
        <v/>
      </c>
      <c r="BN188" s="190" t="str">
        <f t="shared" ca="1" si="162"/>
        <v/>
      </c>
      <c r="BO188"/>
      <c r="BP188" s="190" t="str">
        <f ca="1">IF(ISNUMBER(OFFSET(BL188,-$F$21,0)),SUM(OFFSET($T$100,($F$17-$F$15+$F$21),0):$T188),"")</f>
        <v/>
      </c>
      <c r="BQ188" s="190" t="str">
        <f t="shared" ca="1" si="137"/>
        <v/>
      </c>
      <c r="BR188" s="190" t="str">
        <f t="shared" ca="1" si="163"/>
        <v/>
      </c>
      <c r="BS188" s="190"/>
      <c r="BT188"/>
      <c r="BU188"/>
      <c r="BV188"/>
      <c r="BY188" s="99"/>
      <c r="BZ188" s="99"/>
      <c r="CA188" s="280" t="str">
        <f t="shared" si="138"/>
        <v/>
      </c>
      <c r="CB188" s="71" t="str">
        <f t="shared" si="139"/>
        <v>-</v>
      </c>
      <c r="CC188" s="33"/>
      <c r="CD188" s="261" t="str">
        <f t="shared" si="140"/>
        <v/>
      </c>
      <c r="CE188" s="280" t="str">
        <f t="shared" si="141"/>
        <v>-</v>
      </c>
      <c r="CF188" s="71" t="str">
        <f t="shared" ca="1" si="142"/>
        <v>-</v>
      </c>
      <c r="CG188" s="33" t="str">
        <f t="shared" si="143"/>
        <v>88-89</v>
      </c>
      <c r="CH188" s="261" t="str">
        <f t="shared" ca="1" si="144"/>
        <v/>
      </c>
      <c r="CP188" s="99"/>
      <c r="CQ188" s="99"/>
      <c r="CR188" s="99"/>
      <c r="CS188" s="99"/>
      <c r="CT188" s="99"/>
      <c r="CU188" s="99"/>
      <c r="CV188" s="99"/>
      <c r="CW188" s="99"/>
      <c r="CX188" s="99"/>
      <c r="CY188" s="99"/>
      <c r="CZ188" s="99"/>
      <c r="DA188" s="99"/>
      <c r="DB188" s="99"/>
      <c r="DC188" s="99"/>
    </row>
    <row r="189" spans="2:107" ht="13.5" customHeight="1" x14ac:dyDescent="0.2">
      <c r="B189" s="262">
        <v>89</v>
      </c>
      <c r="C189" s="237" t="str">
        <f t="shared" si="107"/>
        <v/>
      </c>
      <c r="D189" s="237" t="str">
        <f t="shared" si="145"/>
        <v>-</v>
      </c>
      <c r="E189" s="263" t="str">
        <f t="shared" si="146"/>
        <v/>
      </c>
      <c r="F189" s="264" t="str">
        <f t="shared" si="147"/>
        <v/>
      </c>
      <c r="G189" s="264" t="str">
        <f t="shared" si="148"/>
        <v/>
      </c>
      <c r="H189" s="240" t="str">
        <f t="shared" si="108"/>
        <v/>
      </c>
      <c r="I189" s="265" t="str">
        <f t="shared" si="109"/>
        <v/>
      </c>
      <c r="J189" s="265" t="str">
        <f t="shared" si="110"/>
        <v/>
      </c>
      <c r="K189" s="240" t="str">
        <f t="shared" si="111"/>
        <v/>
      </c>
      <c r="L189" s="265" t="str">
        <f t="shared" si="112"/>
        <v/>
      </c>
      <c r="M189" s="265" t="str">
        <f t="shared" si="113"/>
        <v/>
      </c>
      <c r="N189" s="240" t="str">
        <f t="shared" si="114"/>
        <v>-</v>
      </c>
      <c r="O189" s="265" t="str">
        <f t="shared" si="115"/>
        <v>-</v>
      </c>
      <c r="P189" s="265" t="str">
        <f t="shared" si="116"/>
        <v>-</v>
      </c>
      <c r="Q189" s="266" t="str">
        <f t="shared" si="117"/>
        <v>-</v>
      </c>
      <c r="R189" s="267" t="str">
        <f t="shared" si="118"/>
        <v>-</v>
      </c>
      <c r="S189" s="268" t="str">
        <f t="shared" si="119"/>
        <v>-</v>
      </c>
      <c r="T189" s="269" t="str">
        <f t="shared" si="120"/>
        <v/>
      </c>
      <c r="U189" s="221">
        <f t="shared" si="121"/>
        <v>89</v>
      </c>
      <c r="V189" s="220" t="str">
        <f t="shared" si="122"/>
        <v>-</v>
      </c>
      <c r="W189" s="221" t="str">
        <f t="shared" si="149"/>
        <v>-</v>
      </c>
      <c r="X189" s="221" t="str">
        <f t="shared" si="123"/>
        <v>-</v>
      </c>
      <c r="Y189" s="221" t="str">
        <f t="shared" si="124"/>
        <v>-</v>
      </c>
      <c r="Z189" s="270">
        <f t="shared" si="150"/>
        <v>0.1</v>
      </c>
      <c r="AA189" s="271" t="str">
        <f>IFERROR(IF(V188=1,AA$100*EXP(-(LN(2)/$D$65+0.04)*X188)*EXP(-(LN(2)/$D$65+0.1)*Y188),IF(V188=2,AA$100*EXP(-(LN(2)/$D$65+0.04)*(VLOOKUP(($F$16-$F$15)-1,U$99:Y188,4,FALSE)))*EXP(-(LN(2)/$D$65+0.1)*(VLOOKUP(($F$16-$F$15)-1,U$99:Y188,5,FALSE)))*EXP(-(LN(2)/$D$65+0.04)*X188)*EXP(-(LN(2)/$D$65+0.1)*Y188),IF(V188=3,AA$100*EXP(-(LN(2)/$D$65+0.04)*(VLOOKUP(($F$16-$F$15)-1,U$99:Y188,4,FALSE)))*EXP(-(LN(2)/$D$65+0.1)*(VLOOKUP(($F$16-$F$15)-1,U$99:Y188,5,FALSE)))*EXP(-(LN(2)/$D$65+0.04)*(VLOOKUP(($F$16-$F$15)*2-1,U$99:Y188,4,FALSE)))*EXP(-(LN(2)/$D$65+0.1)*(VLOOKUP(($F$16-$F$15)*2-1,U$99:Y188,5,FALSE)))*EXP(-(LN(2)/$D$65+0.04)*X188)*EXP(-(LN(2)/$D$65+0.1)*Y188),"-"))),"-")</f>
        <v>-</v>
      </c>
      <c r="AB189" s="271" t="str">
        <f>IFERROR(IF(V189=1,AB$100*EXP(-(LN(2)/$D$65+0.04)*X189)*EXP(-(LN(2)/$D$65+0.1)*Y189),IF(V189=2,AB$100*EXP(-(LN(2)/$D$65+0.04)*(VLOOKUP(($F$16-$F$15)-1,U$100:Y189,4,FALSE)))*EXP(-(LN(2)/$D$65+0.1)*(VLOOKUP(($F$16-$F$15)-1,U$100:Y189,5,FALSE)))*EXP(-(LN(2)/$D$65+0.04)*X189)*EXP(-(LN(2)/$D$65+0.1)*Y189),IF(V189=3,AB$100*EXP(-(LN(2)/$D$65+0.04)*(VLOOKUP(($F$16-$F$15)-1,U$100:Y189,4,FALSE)))*EXP(-(LN(2)/$D$65+0.1)*(VLOOKUP(($F$16-$F$15)-1,U$100:Y189,5,FALSE)))*EXP(-(LN(2)/$D$65+0.04)*(VLOOKUP(($F$16-$F$15)*2-1,U$100:Y189,4,FALSE)))*EXP(-(LN(2)/$D$65+0.1)*(VLOOKUP(($F$16-$F$15)*2-1,U$100:Y189,5,FALSE)))*EXP(-(LN(2)/$D$65+0.04)*X189)*EXP(-(LN(2)/$D$65+0.1)*Y189),"-"))),"-")</f>
        <v>-</v>
      </c>
      <c r="AC189" s="224">
        <f t="shared" si="151"/>
        <v>89</v>
      </c>
      <c r="AD189" s="223" t="str">
        <f t="shared" si="125"/>
        <v>-</v>
      </c>
      <c r="AE189" s="224" t="str">
        <f t="shared" si="152"/>
        <v>-</v>
      </c>
      <c r="AF189" s="224" t="str">
        <f t="shared" si="126"/>
        <v>-</v>
      </c>
      <c r="AG189" s="224" t="str">
        <f t="shared" si="127"/>
        <v>-</v>
      </c>
      <c r="AH189" s="272">
        <f t="shared" si="153"/>
        <v>0.1</v>
      </c>
      <c r="AI189" s="271" t="str">
        <f>IFERROR(IF(AD188=1,AI$100*EXP(-(LN(2)/$D$65+0.04)*AF188)*EXP(-(LN(2)/$D$65+0.1)*AG188),IF(AD188=2,AI$100*EXP(-(LN(2)/$D$65+0.04)*(VLOOKUP(($F$16-$F$15)-1,AC$99:AG188,4,FALSE)))*EXP(-(LN(2)/$D$65+0.1)*(VLOOKUP(($F$16-$F$15)-1,AC$99:AG188,5,FALSE)))*EXP(-(LN(2)/$D$65+0.04)*AF188)*EXP(-(LN(2)/$D$65+0.1)*AG188),IF(AD188=3,AI$100*EXP(-(LN(2)/$D$65+0.04)*(VLOOKUP(($F$16-$F$15)-1,AC$99:AG188,4,FALSE)))*EXP(-(LN(2)/$D$65+0.1)*(VLOOKUP(($F$16-$F$15)-1,AC$99:AG188,5,FALSE)))*EXP(-(LN(2)/$D$65+0.04)*(VLOOKUP(($F$16-$F$15)*2-1,AC$99:AG188,4,FALSE)))*EXP(-(LN(2)/$D$65+0.1)*(VLOOKUP(($F$16-$F$15)*2-1,AC$99:AG188,5,FALSE)))*EXP(-(LN(2)/$D$65+0.04)*AF188)*EXP(-(LN(2)/$D$65+0.1)*AG188),"-"))),"-")</f>
        <v>-</v>
      </c>
      <c r="AJ189" s="271" t="str">
        <f>IFERROR(IF(AD189=1,AJ$100*EXP(-(LN(2)/$D$65+0.04)*AF189)*EXP(-(LN(2)/$D$65+0.1)*AG189),IF(AD189=2,AJ$100*EXP(-(LN(2)/$D$65+0.04)*(VLOOKUP(($F$16-$F$15)-1,AC$100:AG189,4,FALSE)))*EXP(-(LN(2)/$D$65+0.1)*(VLOOKUP(($F$16-$F$15)-1,AC$100:AG189,5,FALSE)))*EXP(-(LN(2)/$D$65+0.04)*AF189)*EXP(-(LN(2)/$D$65+0.1)*AG189),IF(AD189=3,AJ$100*EXP(-(LN(2)/$D$65+0.04)*(VLOOKUP(($F$16-$F$15)-1,AC$100:AG189,4,FALSE)))*EXP(-(LN(2)/$D$65+0.1)*(VLOOKUP(($F$16-$F$15)-1,AC$100:AG189,5,FALSE)))*EXP(-(LN(2)/$D$65+0.04)*(VLOOKUP(($F$16-$F$15)*2-1,AC$100:AG189,4,FALSE)))*EXP(-(LN(2)/$D$65+0.1)*(VLOOKUP(($F$16-$F$15)*2-1,AC$100:AG189,5,FALSE)))*EXP(-(LN(2)/$D$65+0.04)*AF189)*EXP(-(LN(2)/$D$65+0.1)*AG189),"-"))),"-")</f>
        <v>-</v>
      </c>
      <c r="AK189" s="227">
        <f t="shared" si="154"/>
        <v>89</v>
      </c>
      <c r="AL189" s="226" t="str">
        <f t="shared" si="128"/>
        <v>-</v>
      </c>
      <c r="AM189" s="227" t="str">
        <f t="shared" si="155"/>
        <v>-</v>
      </c>
      <c r="AN189" s="227" t="str">
        <f t="shared" si="156"/>
        <v>-</v>
      </c>
      <c r="AO189" s="227" t="str">
        <f t="shared" si="129"/>
        <v>-</v>
      </c>
      <c r="AP189" s="273">
        <f t="shared" si="157"/>
        <v>0.1</v>
      </c>
      <c r="AQ189" s="271" t="str">
        <f>IFERROR(IF(AL188=1,AQ$100*EXP(-(LN(2)/$D$65+0.04)*AN188)*EXP(-(LN(2)/$D$65+0.1)*AO188),IF(AL188=2,AQ$100*EXP(-(LN(2)/$D$65+0.04)*(VLOOKUP(($F$16-$F$15)-1,AK$99:AO188,4,FALSE)))*EXP(-(LN(2)/$D$65+0.1)*(VLOOKUP(($F$16-$F$15)-1,AK$99:AO188,5,FALSE)))*EXP(-(LN(2)/$D$65+0.04)*AN188)*EXP(-(LN(2)/$D$65+0.1)*AO188),IF(AL188=3,AQ$100*EXP(-(LN(2)/$D$65+0.04)*(VLOOKUP(($F$16-$F$15)-1,AK$99:AO188,4,FALSE)))*EXP(-(LN(2)/$D$65+0.1)*(VLOOKUP(($F$16-$F$15)-1,AK$99:AO188,5,FALSE)))*EXP(-(LN(2)/$D$65+0.04)*(VLOOKUP(($F$16-$F$15)*2-1,AK$99:AO188,4,FALSE)))*EXP(-(LN(2)/$D$65+0.1)*(VLOOKUP(($F$16-$F$15)*2-1,AK$99:AO188,5,FALSE)))*EXP(-(LN(2)/$D$65+0.04)*AN188)*EXP(-(LN(2)/$D$65+0.1)*AO188),"-"))),"-")</f>
        <v>-</v>
      </c>
      <c r="AR189" s="271" t="str">
        <f>IFERROR(IF(AL189=1,AR$100*EXP(-(LN(2)/$D$65+0.04)*AN189)*EXP(-(LN(2)/$D$65+0.1)*AO189),IF(AL189=2,AR$100*EXP(-(LN(2)/$D$65+0.04)*(VLOOKUP(($F$16-$F$15)-1,AK$100:AO189,4,FALSE)))*EXP(-(LN(2)/$D$65+0.1)*(VLOOKUP(($F$16-$F$15)-1,AK$100:AO189,5,FALSE)))*EXP(-(LN(2)/$D$65+0.04)*AN189)*EXP(-(LN(2)/$D$65+0.1)*AO189),IF(AL189=3,AR$100*EXP(-(LN(2)/$D$65+0.04)*(VLOOKUP(($F$16-$F$15)-1,AK$100:AO189,4,FALSE)))*EXP(-(LN(2)/$D$65+0.1)*(VLOOKUP(($F$16-$F$15)-1,AK$100:AO189,5,FALSE)))*EXP(-(LN(2)/$D$65+0.04)*(VLOOKUP(($F$16-$F$15)*2-1,AK$100:AO189,4,FALSE)))*EXP(-(LN(2)/$D$65+0.1)*(VLOOKUP(($F$16-$F$15)*2-1,AK$100:AO189,5,FALSE)))*EXP(-(LN(2)/$D$65+0.04)*AN189)*EXP(-(LN(2)/$D$65+0.1)*AO189),"-"))),"-")</f>
        <v>-</v>
      </c>
      <c r="AS189" s="274">
        <f t="shared" si="130"/>
        <v>0</v>
      </c>
      <c r="AT189" s="274">
        <f t="shared" si="131"/>
        <v>0</v>
      </c>
      <c r="AU189" s="274">
        <f t="shared" si="132"/>
        <v>0</v>
      </c>
      <c r="AV189" s="190">
        <f>IF($B189&lt;$F$22,SUM($T$100:$T189),"")</f>
        <v>0</v>
      </c>
      <c r="AW189" s="190" t="str">
        <f t="shared" si="133"/>
        <v>-</v>
      </c>
      <c r="AX189" s="190" t="str">
        <f t="shared" si="158"/>
        <v/>
      </c>
      <c r="AY189"/>
      <c r="AZ189" s="190" t="str">
        <f ca="1">IF(ISNUMBER(OFFSET(AV189,-$F$21,0)),SUM(OFFSET($T$100,$F$21,0):$T189),"")</f>
        <v/>
      </c>
      <c r="BA189" s="190" t="str">
        <f t="shared" ca="1" si="134"/>
        <v/>
      </c>
      <c r="BB189" s="190" t="str">
        <f t="shared" ca="1" si="164"/>
        <v/>
      </c>
      <c r="BC189" s="190"/>
      <c r="BD189" s="190" t="str">
        <f ca="1">IFERROR(IF(AND($B189&gt;=($F$16-$F$15),$B189&lt;$F$22+($F$16-$F$15)),SUM(OFFSET($T$100,($F$16-$F$15),0):$T189),""),"")</f>
        <v/>
      </c>
      <c r="BE189" s="190" t="str">
        <f t="shared" ca="1" si="159"/>
        <v/>
      </c>
      <c r="BF189" s="190" t="str">
        <f t="shared" ca="1" si="160"/>
        <v/>
      </c>
      <c r="BG189"/>
      <c r="BH189" s="190" t="str">
        <f ca="1">IF(ISNUMBER(OFFSET(BD189,-$F$21,0)),SUM(OFFSET($T$100,($F$16-$F$15+$F$21),0):$T189),"")</f>
        <v/>
      </c>
      <c r="BI189" s="190" t="str">
        <f t="shared" ca="1" si="135"/>
        <v/>
      </c>
      <c r="BJ189" s="190" t="str">
        <f t="shared" ca="1" si="161"/>
        <v/>
      </c>
      <c r="BK189" s="190"/>
      <c r="BL189" s="190" t="str">
        <f ca="1">IFERROR(IF(AND($B189&gt;=($F$17-$F$15),$B189&lt;$F$22+($F$17-$F$15)),SUM(OFFSET($T$100,($F$17-$F$15),0):$T189),""),"")</f>
        <v/>
      </c>
      <c r="BM189" s="190" t="str">
        <f t="shared" ca="1" si="136"/>
        <v/>
      </c>
      <c r="BN189" s="190" t="str">
        <f t="shared" ca="1" si="162"/>
        <v/>
      </c>
      <c r="BO189"/>
      <c r="BP189" s="190" t="str">
        <f ca="1">IF(ISNUMBER(OFFSET(BL189,-$F$21,0)),SUM(OFFSET($T$100,($F$17-$F$15+$F$21),0):$T189),"")</f>
        <v/>
      </c>
      <c r="BQ189" s="190" t="str">
        <f t="shared" ca="1" si="137"/>
        <v/>
      </c>
      <c r="BR189" s="190" t="str">
        <f t="shared" ca="1" si="163"/>
        <v/>
      </c>
      <c r="BS189" s="190"/>
      <c r="BT189"/>
      <c r="BU189"/>
      <c r="BV189"/>
      <c r="BY189" s="99"/>
      <c r="BZ189" s="99"/>
      <c r="CA189" s="280" t="str">
        <f t="shared" si="138"/>
        <v/>
      </c>
      <c r="CB189" s="71" t="str">
        <f t="shared" si="139"/>
        <v>-</v>
      </c>
      <c r="CC189" s="33"/>
      <c r="CD189" s="261" t="str">
        <f t="shared" si="140"/>
        <v/>
      </c>
      <c r="CE189" s="280" t="str">
        <f t="shared" si="141"/>
        <v>-</v>
      </c>
      <c r="CF189" s="71" t="str">
        <f t="shared" ca="1" si="142"/>
        <v>-</v>
      </c>
      <c r="CG189" s="33" t="str">
        <f t="shared" si="143"/>
        <v>89-90</v>
      </c>
      <c r="CH189" s="261" t="str">
        <f t="shared" ca="1" si="144"/>
        <v/>
      </c>
      <c r="CP189" s="99"/>
      <c r="CQ189" s="99"/>
    </row>
    <row r="190" spans="2:107" ht="13.5" customHeight="1" x14ac:dyDescent="0.2">
      <c r="B190" s="262">
        <v>90</v>
      </c>
      <c r="C190" s="237" t="str">
        <f t="shared" si="107"/>
        <v/>
      </c>
      <c r="D190" s="237" t="str">
        <f t="shared" si="145"/>
        <v>-</v>
      </c>
      <c r="E190" s="263" t="str">
        <f t="shared" si="146"/>
        <v/>
      </c>
      <c r="F190" s="264" t="str">
        <f t="shared" si="147"/>
        <v/>
      </c>
      <c r="G190" s="264" t="str">
        <f t="shared" si="148"/>
        <v/>
      </c>
      <c r="H190" s="240" t="str">
        <f t="shared" si="108"/>
        <v/>
      </c>
      <c r="I190" s="265" t="str">
        <f t="shared" si="109"/>
        <v/>
      </c>
      <c r="J190" s="265" t="str">
        <f t="shared" si="110"/>
        <v/>
      </c>
      <c r="K190" s="240" t="str">
        <f t="shared" si="111"/>
        <v/>
      </c>
      <c r="L190" s="265" t="str">
        <f t="shared" si="112"/>
        <v/>
      </c>
      <c r="M190" s="265" t="str">
        <f t="shared" si="113"/>
        <v/>
      </c>
      <c r="N190" s="240" t="str">
        <f t="shared" si="114"/>
        <v>-</v>
      </c>
      <c r="O190" s="265" t="str">
        <f t="shared" si="115"/>
        <v>-</v>
      </c>
      <c r="P190" s="265" t="str">
        <f t="shared" si="116"/>
        <v>-</v>
      </c>
      <c r="Q190" s="266" t="str">
        <f t="shared" si="117"/>
        <v>-</v>
      </c>
      <c r="R190" s="267" t="str">
        <f t="shared" si="118"/>
        <v>-</v>
      </c>
      <c r="S190" s="268" t="str">
        <f t="shared" si="119"/>
        <v>-</v>
      </c>
      <c r="T190" s="269" t="str">
        <f t="shared" si="120"/>
        <v/>
      </c>
      <c r="U190" s="221">
        <f t="shared" si="121"/>
        <v>90</v>
      </c>
      <c r="V190" s="220" t="str">
        <f t="shared" si="122"/>
        <v>-</v>
      </c>
      <c r="W190" s="221" t="str">
        <f t="shared" si="149"/>
        <v>-</v>
      </c>
      <c r="X190" s="221" t="str">
        <f t="shared" si="123"/>
        <v>-</v>
      </c>
      <c r="Y190" s="221" t="str">
        <f t="shared" si="124"/>
        <v>-</v>
      </c>
      <c r="Z190" s="270">
        <f t="shared" si="150"/>
        <v>0.1</v>
      </c>
      <c r="AA190" s="271" t="str">
        <f>IFERROR(IF(V189=1,AA$100*EXP(-(LN(2)/$D$65+0.04)*X189)*EXP(-(LN(2)/$D$65+0.1)*Y189),IF(V189=2,AA$100*EXP(-(LN(2)/$D$65+0.04)*(VLOOKUP(($F$16-$F$15)-1,U$99:Y189,4,FALSE)))*EXP(-(LN(2)/$D$65+0.1)*(VLOOKUP(($F$16-$F$15)-1,U$99:Y189,5,FALSE)))*EXP(-(LN(2)/$D$65+0.04)*X189)*EXP(-(LN(2)/$D$65+0.1)*Y189),IF(V189=3,AA$100*EXP(-(LN(2)/$D$65+0.04)*(VLOOKUP(($F$16-$F$15)-1,U$99:Y189,4,FALSE)))*EXP(-(LN(2)/$D$65+0.1)*(VLOOKUP(($F$16-$F$15)-1,U$99:Y189,5,FALSE)))*EXP(-(LN(2)/$D$65+0.04)*(VLOOKUP(($F$16-$F$15)*2-1,U$99:Y189,4,FALSE)))*EXP(-(LN(2)/$D$65+0.1)*(VLOOKUP(($F$16-$F$15)*2-1,U$99:Y189,5,FALSE)))*EXP(-(LN(2)/$D$65+0.04)*X189)*EXP(-(LN(2)/$D$65+0.1)*Y189),"-"))),"-")</f>
        <v>-</v>
      </c>
      <c r="AB190" s="271" t="str">
        <f>IFERROR(IF(V190=1,AB$100*EXP(-(LN(2)/$D$65+0.04)*X190)*EXP(-(LN(2)/$D$65+0.1)*Y190),IF(V190=2,AB$100*EXP(-(LN(2)/$D$65+0.04)*(VLOOKUP(($F$16-$F$15)-1,U$100:Y190,4,FALSE)))*EXP(-(LN(2)/$D$65+0.1)*(VLOOKUP(($F$16-$F$15)-1,U$100:Y190,5,FALSE)))*EXP(-(LN(2)/$D$65+0.04)*X190)*EXP(-(LN(2)/$D$65+0.1)*Y190),IF(V190=3,AB$100*EXP(-(LN(2)/$D$65+0.04)*(VLOOKUP(($F$16-$F$15)-1,U$100:Y190,4,FALSE)))*EXP(-(LN(2)/$D$65+0.1)*(VLOOKUP(($F$16-$F$15)-1,U$100:Y190,5,FALSE)))*EXP(-(LN(2)/$D$65+0.04)*(VLOOKUP(($F$16-$F$15)*2-1,U$100:Y190,4,FALSE)))*EXP(-(LN(2)/$D$65+0.1)*(VLOOKUP(($F$16-$F$15)*2-1,U$100:Y190,5,FALSE)))*EXP(-(LN(2)/$D$65+0.04)*X190)*EXP(-(LN(2)/$D$65+0.1)*Y190),"-"))),"-")</f>
        <v>-</v>
      </c>
      <c r="AC190" s="224">
        <f t="shared" si="151"/>
        <v>90</v>
      </c>
      <c r="AD190" s="223" t="str">
        <f t="shared" si="125"/>
        <v>-</v>
      </c>
      <c r="AE190" s="224" t="str">
        <f t="shared" si="152"/>
        <v>-</v>
      </c>
      <c r="AF190" s="224" t="str">
        <f t="shared" si="126"/>
        <v>-</v>
      </c>
      <c r="AG190" s="224" t="str">
        <f t="shared" si="127"/>
        <v>-</v>
      </c>
      <c r="AH190" s="272">
        <f t="shared" si="153"/>
        <v>0.1</v>
      </c>
      <c r="AI190" s="271" t="str">
        <f>IFERROR(IF(AD189=1,AI$100*EXP(-(LN(2)/$D$65+0.04)*AF189)*EXP(-(LN(2)/$D$65+0.1)*AG189),IF(AD189=2,AI$100*EXP(-(LN(2)/$D$65+0.04)*(VLOOKUP(($F$16-$F$15)-1,AC$99:AG189,4,FALSE)))*EXP(-(LN(2)/$D$65+0.1)*(VLOOKUP(($F$16-$F$15)-1,AC$99:AG189,5,FALSE)))*EXP(-(LN(2)/$D$65+0.04)*AF189)*EXP(-(LN(2)/$D$65+0.1)*AG189),IF(AD189=3,AI$100*EXP(-(LN(2)/$D$65+0.04)*(VLOOKUP(($F$16-$F$15)-1,AC$99:AG189,4,FALSE)))*EXP(-(LN(2)/$D$65+0.1)*(VLOOKUP(($F$16-$F$15)-1,AC$99:AG189,5,FALSE)))*EXP(-(LN(2)/$D$65+0.04)*(VLOOKUP(($F$16-$F$15)*2-1,AC$99:AG189,4,FALSE)))*EXP(-(LN(2)/$D$65+0.1)*(VLOOKUP(($F$16-$F$15)*2-1,AC$99:AG189,5,FALSE)))*EXP(-(LN(2)/$D$65+0.04)*AF189)*EXP(-(LN(2)/$D$65+0.1)*AG189),"-"))),"-")</f>
        <v>-</v>
      </c>
      <c r="AJ190" s="271" t="str">
        <f>IFERROR(IF(AD190=1,AJ$100*EXP(-(LN(2)/$D$65+0.04)*AF190)*EXP(-(LN(2)/$D$65+0.1)*AG190),IF(AD190=2,AJ$100*EXP(-(LN(2)/$D$65+0.04)*(VLOOKUP(($F$16-$F$15)-1,AC$100:AG190,4,FALSE)))*EXP(-(LN(2)/$D$65+0.1)*(VLOOKUP(($F$16-$F$15)-1,AC$100:AG190,5,FALSE)))*EXP(-(LN(2)/$D$65+0.04)*AF190)*EXP(-(LN(2)/$D$65+0.1)*AG190),IF(AD190=3,AJ$100*EXP(-(LN(2)/$D$65+0.04)*(VLOOKUP(($F$16-$F$15)-1,AC$100:AG190,4,FALSE)))*EXP(-(LN(2)/$D$65+0.1)*(VLOOKUP(($F$16-$F$15)-1,AC$100:AG190,5,FALSE)))*EXP(-(LN(2)/$D$65+0.04)*(VLOOKUP(($F$16-$F$15)*2-1,AC$100:AG190,4,FALSE)))*EXP(-(LN(2)/$D$65+0.1)*(VLOOKUP(($F$16-$F$15)*2-1,AC$100:AG190,5,FALSE)))*EXP(-(LN(2)/$D$65+0.04)*AF190)*EXP(-(LN(2)/$D$65+0.1)*AG190),"-"))),"-")</f>
        <v>-</v>
      </c>
      <c r="AK190" s="227">
        <f t="shared" si="154"/>
        <v>90</v>
      </c>
      <c r="AL190" s="226" t="str">
        <f t="shared" si="128"/>
        <v>-</v>
      </c>
      <c r="AM190" s="227" t="str">
        <f t="shared" si="155"/>
        <v>-</v>
      </c>
      <c r="AN190" s="227" t="str">
        <f t="shared" si="156"/>
        <v>-</v>
      </c>
      <c r="AO190" s="227" t="str">
        <f t="shared" si="129"/>
        <v>-</v>
      </c>
      <c r="AP190" s="273">
        <f t="shared" si="157"/>
        <v>0.1</v>
      </c>
      <c r="AQ190" s="271" t="str">
        <f>IFERROR(IF(AL189=1,AQ$100*EXP(-(LN(2)/$D$65+0.04)*AN189)*EXP(-(LN(2)/$D$65+0.1)*AO189),IF(AL189=2,AQ$100*EXP(-(LN(2)/$D$65+0.04)*(VLOOKUP(($F$16-$F$15)-1,AK$99:AO189,4,FALSE)))*EXP(-(LN(2)/$D$65+0.1)*(VLOOKUP(($F$16-$F$15)-1,AK$99:AO189,5,FALSE)))*EXP(-(LN(2)/$D$65+0.04)*AN189)*EXP(-(LN(2)/$D$65+0.1)*AO189),IF(AL189=3,AQ$100*EXP(-(LN(2)/$D$65+0.04)*(VLOOKUP(($F$16-$F$15)-1,AK$99:AO189,4,FALSE)))*EXP(-(LN(2)/$D$65+0.1)*(VLOOKUP(($F$16-$F$15)-1,AK$99:AO189,5,FALSE)))*EXP(-(LN(2)/$D$65+0.04)*(VLOOKUP(($F$16-$F$15)*2-1,AK$99:AO189,4,FALSE)))*EXP(-(LN(2)/$D$65+0.1)*(VLOOKUP(($F$16-$F$15)*2-1,AK$99:AO189,5,FALSE)))*EXP(-(LN(2)/$D$65+0.04)*AN189)*EXP(-(LN(2)/$D$65+0.1)*AO189),"-"))),"-")</f>
        <v>-</v>
      </c>
      <c r="AR190" s="271" t="str">
        <f>IFERROR(IF(AL190=1,AR$100*EXP(-(LN(2)/$D$65+0.04)*AN190)*EXP(-(LN(2)/$D$65+0.1)*AO190),IF(AL190=2,AR$100*EXP(-(LN(2)/$D$65+0.04)*(VLOOKUP(($F$16-$F$15)-1,AK$100:AO190,4,FALSE)))*EXP(-(LN(2)/$D$65+0.1)*(VLOOKUP(($F$16-$F$15)-1,AK$100:AO190,5,FALSE)))*EXP(-(LN(2)/$D$65+0.04)*AN190)*EXP(-(LN(2)/$D$65+0.1)*AO190),IF(AL190=3,AR$100*EXP(-(LN(2)/$D$65+0.04)*(VLOOKUP(($F$16-$F$15)-1,AK$100:AO190,4,FALSE)))*EXP(-(LN(2)/$D$65+0.1)*(VLOOKUP(($F$16-$F$15)-1,AK$100:AO190,5,FALSE)))*EXP(-(LN(2)/$D$65+0.04)*(VLOOKUP(($F$16-$F$15)*2-1,AK$100:AO190,4,FALSE)))*EXP(-(LN(2)/$D$65+0.1)*(VLOOKUP(($F$16-$F$15)*2-1,AK$100:AO190,5,FALSE)))*EXP(-(LN(2)/$D$65+0.04)*AN190)*EXP(-(LN(2)/$D$65+0.1)*AO190),"-"))),"-")</f>
        <v>-</v>
      </c>
      <c r="AS190" s="274">
        <f t="shared" si="130"/>
        <v>0</v>
      </c>
      <c r="AT190" s="274">
        <f t="shared" si="131"/>
        <v>0</v>
      </c>
      <c r="AU190" s="274">
        <f t="shared" si="132"/>
        <v>0</v>
      </c>
      <c r="AV190" s="190">
        <f>IF($B190&lt;$F$22,SUM($T$100:$T190),"")</f>
        <v>0</v>
      </c>
      <c r="AW190" s="190" t="str">
        <f t="shared" si="133"/>
        <v>-</v>
      </c>
      <c r="AX190" s="190" t="str">
        <f t="shared" si="158"/>
        <v/>
      </c>
      <c r="AY190"/>
      <c r="AZ190" s="190" t="str">
        <f ca="1">IF(ISNUMBER(OFFSET(AV190,-$F$21,0)),SUM(OFFSET($T$100,$F$21,0):$T190),"")</f>
        <v/>
      </c>
      <c r="BA190" s="190" t="str">
        <f t="shared" ca="1" si="134"/>
        <v/>
      </c>
      <c r="BB190" s="190" t="str">
        <f t="shared" ca="1" si="164"/>
        <v/>
      </c>
      <c r="BC190" s="190"/>
      <c r="BD190" s="190" t="str">
        <f ca="1">IFERROR(IF(AND($B190&gt;=($F$16-$F$15),$B190&lt;$F$22+($F$16-$F$15)),SUM(OFFSET($T$100,($F$16-$F$15),0):$T190),""),"")</f>
        <v/>
      </c>
      <c r="BE190" s="190" t="str">
        <f t="shared" ca="1" si="159"/>
        <v/>
      </c>
      <c r="BF190" s="190" t="str">
        <f t="shared" ca="1" si="160"/>
        <v/>
      </c>
      <c r="BG190"/>
      <c r="BH190" s="190" t="str">
        <f ca="1">IF(ISNUMBER(OFFSET(BD190,-$F$21,0)),SUM(OFFSET($T$100,($F$16-$F$15+$F$21),0):$T190),"")</f>
        <v/>
      </c>
      <c r="BI190" s="190" t="str">
        <f t="shared" ca="1" si="135"/>
        <v/>
      </c>
      <c r="BJ190" s="190" t="str">
        <f t="shared" ca="1" si="161"/>
        <v/>
      </c>
      <c r="BK190" s="190"/>
      <c r="BL190" s="190" t="str">
        <f ca="1">IFERROR(IF(AND($B190&gt;=($F$17-$F$15),$B190&lt;$F$22+($F$17-$F$15)),SUM(OFFSET($T$100,($F$17-$F$15),0):$T190),""),"")</f>
        <v/>
      </c>
      <c r="BM190" s="190" t="str">
        <f t="shared" ca="1" si="136"/>
        <v/>
      </c>
      <c r="BN190" s="190" t="str">
        <f t="shared" ca="1" si="162"/>
        <v/>
      </c>
      <c r="BO190"/>
      <c r="BP190" s="190" t="str">
        <f ca="1">IF(ISNUMBER(OFFSET(BL190,-$F$21,0)),SUM(OFFSET($T$100,($F$17-$F$15+$F$21),0):$T190),"")</f>
        <v/>
      </c>
      <c r="BQ190" s="190" t="str">
        <f t="shared" ca="1" si="137"/>
        <v/>
      </c>
      <c r="BR190" s="190" t="str">
        <f t="shared" ca="1" si="163"/>
        <v/>
      </c>
      <c r="BS190" s="190"/>
      <c r="BT190"/>
      <c r="BU190"/>
      <c r="BV190"/>
      <c r="BY190" s="99"/>
      <c r="BZ190" s="99"/>
      <c r="CA190" s="280" t="str">
        <f t="shared" si="138"/>
        <v/>
      </c>
      <c r="CB190" s="71" t="str">
        <f t="shared" si="139"/>
        <v>-</v>
      </c>
      <c r="CC190" s="33"/>
      <c r="CD190" s="261" t="str">
        <f t="shared" si="140"/>
        <v/>
      </c>
      <c r="CE190" s="280" t="str">
        <f t="shared" si="141"/>
        <v>-</v>
      </c>
      <c r="CF190" s="71" t="str">
        <f t="shared" ca="1" si="142"/>
        <v>-</v>
      </c>
      <c r="CG190" s="33" t="str">
        <f t="shared" si="143"/>
        <v>90-91</v>
      </c>
      <c r="CH190" s="261" t="str">
        <f t="shared" ca="1" si="144"/>
        <v/>
      </c>
      <c r="CP190" s="99"/>
      <c r="CQ190" s="99"/>
    </row>
    <row r="191" spans="2:107" ht="13.5" customHeight="1" x14ac:dyDescent="0.2">
      <c r="B191" s="262">
        <v>91</v>
      </c>
      <c r="C191" s="237" t="str">
        <f t="shared" si="107"/>
        <v/>
      </c>
      <c r="D191" s="237" t="str">
        <f t="shared" si="145"/>
        <v>-</v>
      </c>
      <c r="E191" s="263" t="str">
        <f t="shared" si="146"/>
        <v/>
      </c>
      <c r="F191" s="264" t="str">
        <f t="shared" si="147"/>
        <v/>
      </c>
      <c r="G191" s="264" t="str">
        <f t="shared" si="148"/>
        <v/>
      </c>
      <c r="H191" s="240" t="str">
        <f t="shared" si="108"/>
        <v/>
      </c>
      <c r="I191" s="265" t="str">
        <f t="shared" si="109"/>
        <v/>
      </c>
      <c r="J191" s="265" t="str">
        <f t="shared" si="110"/>
        <v/>
      </c>
      <c r="K191" s="240" t="str">
        <f t="shared" si="111"/>
        <v/>
      </c>
      <c r="L191" s="265" t="str">
        <f t="shared" si="112"/>
        <v/>
      </c>
      <c r="M191" s="265" t="str">
        <f t="shared" si="113"/>
        <v/>
      </c>
      <c r="N191" s="240" t="str">
        <f t="shared" si="114"/>
        <v>-</v>
      </c>
      <c r="O191" s="265" t="str">
        <f t="shared" si="115"/>
        <v>-</v>
      </c>
      <c r="P191" s="265" t="str">
        <f t="shared" si="116"/>
        <v>-</v>
      </c>
      <c r="Q191" s="266" t="str">
        <f t="shared" si="117"/>
        <v>-</v>
      </c>
      <c r="R191" s="267" t="str">
        <f t="shared" si="118"/>
        <v>-</v>
      </c>
      <c r="S191" s="268" t="str">
        <f t="shared" si="119"/>
        <v>-</v>
      </c>
      <c r="T191" s="269" t="str">
        <f t="shared" si="120"/>
        <v/>
      </c>
      <c r="U191" s="221">
        <f t="shared" si="121"/>
        <v>91</v>
      </c>
      <c r="V191" s="220" t="str">
        <f t="shared" si="122"/>
        <v>-</v>
      </c>
      <c r="W191" s="221" t="str">
        <f t="shared" si="149"/>
        <v>-</v>
      </c>
      <c r="X191" s="221" t="str">
        <f t="shared" si="123"/>
        <v>-</v>
      </c>
      <c r="Y191" s="221" t="str">
        <f t="shared" si="124"/>
        <v>-</v>
      </c>
      <c r="Z191" s="270">
        <f t="shared" si="150"/>
        <v>0.1</v>
      </c>
      <c r="AA191" s="271" t="str">
        <f>IFERROR(IF(V190=1,AA$100*EXP(-(LN(2)/$D$65+0.04)*X190)*EXP(-(LN(2)/$D$65+0.1)*Y190),IF(V190=2,AA$100*EXP(-(LN(2)/$D$65+0.04)*(VLOOKUP(($F$16-$F$15)-1,U$99:Y190,4,FALSE)))*EXP(-(LN(2)/$D$65+0.1)*(VLOOKUP(($F$16-$F$15)-1,U$99:Y190,5,FALSE)))*EXP(-(LN(2)/$D$65+0.04)*X190)*EXP(-(LN(2)/$D$65+0.1)*Y190),IF(V190=3,AA$100*EXP(-(LN(2)/$D$65+0.04)*(VLOOKUP(($F$16-$F$15)-1,U$99:Y190,4,FALSE)))*EXP(-(LN(2)/$D$65+0.1)*(VLOOKUP(($F$16-$F$15)-1,U$99:Y190,5,FALSE)))*EXP(-(LN(2)/$D$65+0.04)*(VLOOKUP(($F$16-$F$15)*2-1,U$99:Y190,4,FALSE)))*EXP(-(LN(2)/$D$65+0.1)*(VLOOKUP(($F$16-$F$15)*2-1,U$99:Y190,5,FALSE)))*EXP(-(LN(2)/$D$65+0.04)*X190)*EXP(-(LN(2)/$D$65+0.1)*Y190),"-"))),"-")</f>
        <v>-</v>
      </c>
      <c r="AB191" s="271" t="str">
        <f>IFERROR(IF(V191=1,AB$100*EXP(-(LN(2)/$D$65+0.04)*X191)*EXP(-(LN(2)/$D$65+0.1)*Y191),IF(V191=2,AB$100*EXP(-(LN(2)/$D$65+0.04)*(VLOOKUP(($F$16-$F$15)-1,U$100:Y191,4,FALSE)))*EXP(-(LN(2)/$D$65+0.1)*(VLOOKUP(($F$16-$F$15)-1,U$100:Y191,5,FALSE)))*EXP(-(LN(2)/$D$65+0.04)*X191)*EXP(-(LN(2)/$D$65+0.1)*Y191),IF(V191=3,AB$100*EXP(-(LN(2)/$D$65+0.04)*(VLOOKUP(($F$16-$F$15)-1,U$100:Y191,4,FALSE)))*EXP(-(LN(2)/$D$65+0.1)*(VLOOKUP(($F$16-$F$15)-1,U$100:Y191,5,FALSE)))*EXP(-(LN(2)/$D$65+0.04)*(VLOOKUP(($F$16-$F$15)*2-1,U$100:Y191,4,FALSE)))*EXP(-(LN(2)/$D$65+0.1)*(VLOOKUP(($F$16-$F$15)*2-1,U$100:Y191,5,FALSE)))*EXP(-(LN(2)/$D$65+0.04)*X191)*EXP(-(LN(2)/$D$65+0.1)*Y191),"-"))),"-")</f>
        <v>-</v>
      </c>
      <c r="AC191" s="224">
        <f t="shared" si="151"/>
        <v>91</v>
      </c>
      <c r="AD191" s="223" t="str">
        <f t="shared" si="125"/>
        <v>-</v>
      </c>
      <c r="AE191" s="224" t="str">
        <f t="shared" si="152"/>
        <v>-</v>
      </c>
      <c r="AF191" s="224" t="str">
        <f t="shared" si="126"/>
        <v>-</v>
      </c>
      <c r="AG191" s="224" t="str">
        <f t="shared" si="127"/>
        <v>-</v>
      </c>
      <c r="AH191" s="272">
        <f t="shared" si="153"/>
        <v>0.1</v>
      </c>
      <c r="AI191" s="271" t="str">
        <f>IFERROR(IF(AD190=1,AI$100*EXP(-(LN(2)/$D$65+0.04)*AF190)*EXP(-(LN(2)/$D$65+0.1)*AG190),IF(AD190=2,AI$100*EXP(-(LN(2)/$D$65+0.04)*(VLOOKUP(($F$16-$F$15)-1,AC$99:AG190,4,FALSE)))*EXP(-(LN(2)/$D$65+0.1)*(VLOOKUP(($F$16-$F$15)-1,AC$99:AG190,5,FALSE)))*EXP(-(LN(2)/$D$65+0.04)*AF190)*EXP(-(LN(2)/$D$65+0.1)*AG190),IF(AD190=3,AI$100*EXP(-(LN(2)/$D$65+0.04)*(VLOOKUP(($F$16-$F$15)-1,AC$99:AG190,4,FALSE)))*EXP(-(LN(2)/$D$65+0.1)*(VLOOKUP(($F$16-$F$15)-1,AC$99:AG190,5,FALSE)))*EXP(-(LN(2)/$D$65+0.04)*(VLOOKUP(($F$16-$F$15)*2-1,AC$99:AG190,4,FALSE)))*EXP(-(LN(2)/$D$65+0.1)*(VLOOKUP(($F$16-$F$15)*2-1,AC$99:AG190,5,FALSE)))*EXP(-(LN(2)/$D$65+0.04)*AF190)*EXP(-(LN(2)/$D$65+0.1)*AG190),"-"))),"-")</f>
        <v>-</v>
      </c>
      <c r="AJ191" s="271" t="str">
        <f>IFERROR(IF(AD191=1,AJ$100*EXP(-(LN(2)/$D$65+0.04)*AF191)*EXP(-(LN(2)/$D$65+0.1)*AG191),IF(AD191=2,AJ$100*EXP(-(LN(2)/$D$65+0.04)*(VLOOKUP(($F$16-$F$15)-1,AC$100:AG191,4,FALSE)))*EXP(-(LN(2)/$D$65+0.1)*(VLOOKUP(($F$16-$F$15)-1,AC$100:AG191,5,FALSE)))*EXP(-(LN(2)/$D$65+0.04)*AF191)*EXP(-(LN(2)/$D$65+0.1)*AG191),IF(AD191=3,AJ$100*EXP(-(LN(2)/$D$65+0.04)*(VLOOKUP(($F$16-$F$15)-1,AC$100:AG191,4,FALSE)))*EXP(-(LN(2)/$D$65+0.1)*(VLOOKUP(($F$16-$F$15)-1,AC$100:AG191,5,FALSE)))*EXP(-(LN(2)/$D$65+0.04)*(VLOOKUP(($F$16-$F$15)*2-1,AC$100:AG191,4,FALSE)))*EXP(-(LN(2)/$D$65+0.1)*(VLOOKUP(($F$16-$F$15)*2-1,AC$100:AG191,5,FALSE)))*EXP(-(LN(2)/$D$65+0.04)*AF191)*EXP(-(LN(2)/$D$65+0.1)*AG191),"-"))),"-")</f>
        <v>-</v>
      </c>
      <c r="AK191" s="227">
        <f t="shared" si="154"/>
        <v>91</v>
      </c>
      <c r="AL191" s="226" t="str">
        <f t="shared" si="128"/>
        <v>-</v>
      </c>
      <c r="AM191" s="227" t="str">
        <f t="shared" si="155"/>
        <v>-</v>
      </c>
      <c r="AN191" s="227" t="str">
        <f t="shared" si="156"/>
        <v>-</v>
      </c>
      <c r="AO191" s="227" t="str">
        <f t="shared" si="129"/>
        <v>-</v>
      </c>
      <c r="AP191" s="273">
        <f t="shared" si="157"/>
        <v>0.1</v>
      </c>
      <c r="AQ191" s="271" t="str">
        <f>IFERROR(IF(AL190=1,AQ$100*EXP(-(LN(2)/$D$65+0.04)*AN190)*EXP(-(LN(2)/$D$65+0.1)*AO190),IF(AL190=2,AQ$100*EXP(-(LN(2)/$D$65+0.04)*(VLOOKUP(($F$16-$F$15)-1,AK$99:AO190,4,FALSE)))*EXP(-(LN(2)/$D$65+0.1)*(VLOOKUP(($F$16-$F$15)-1,AK$99:AO190,5,FALSE)))*EXP(-(LN(2)/$D$65+0.04)*AN190)*EXP(-(LN(2)/$D$65+0.1)*AO190),IF(AL190=3,AQ$100*EXP(-(LN(2)/$D$65+0.04)*(VLOOKUP(($F$16-$F$15)-1,AK$99:AO190,4,FALSE)))*EXP(-(LN(2)/$D$65+0.1)*(VLOOKUP(($F$16-$F$15)-1,AK$99:AO190,5,FALSE)))*EXP(-(LN(2)/$D$65+0.04)*(VLOOKUP(($F$16-$F$15)*2-1,AK$99:AO190,4,FALSE)))*EXP(-(LN(2)/$D$65+0.1)*(VLOOKUP(($F$16-$F$15)*2-1,AK$99:AO190,5,FALSE)))*EXP(-(LN(2)/$D$65+0.04)*AN190)*EXP(-(LN(2)/$D$65+0.1)*AO190),"-"))),"-")</f>
        <v>-</v>
      </c>
      <c r="AR191" s="271" t="str">
        <f>IFERROR(IF(AL191=1,AR$100*EXP(-(LN(2)/$D$65+0.04)*AN191)*EXP(-(LN(2)/$D$65+0.1)*AO191),IF(AL191=2,AR$100*EXP(-(LN(2)/$D$65+0.04)*(VLOOKUP(($F$16-$F$15)-1,AK$100:AO191,4,FALSE)))*EXP(-(LN(2)/$D$65+0.1)*(VLOOKUP(($F$16-$F$15)-1,AK$100:AO191,5,FALSE)))*EXP(-(LN(2)/$D$65+0.04)*AN191)*EXP(-(LN(2)/$D$65+0.1)*AO191),IF(AL191=3,AR$100*EXP(-(LN(2)/$D$65+0.04)*(VLOOKUP(($F$16-$F$15)-1,AK$100:AO191,4,FALSE)))*EXP(-(LN(2)/$D$65+0.1)*(VLOOKUP(($F$16-$F$15)-1,AK$100:AO191,5,FALSE)))*EXP(-(LN(2)/$D$65+0.04)*(VLOOKUP(($F$16-$F$15)*2-1,AK$100:AO191,4,FALSE)))*EXP(-(LN(2)/$D$65+0.1)*(VLOOKUP(($F$16-$F$15)*2-1,AK$100:AO191,5,FALSE)))*EXP(-(LN(2)/$D$65+0.04)*AN191)*EXP(-(LN(2)/$D$65+0.1)*AO191),"-"))),"-")</f>
        <v>-</v>
      </c>
      <c r="AS191" s="274">
        <f t="shared" si="130"/>
        <v>0</v>
      </c>
      <c r="AT191" s="274">
        <f t="shared" si="131"/>
        <v>0</v>
      </c>
      <c r="AU191" s="274">
        <f t="shared" si="132"/>
        <v>0</v>
      </c>
      <c r="AV191" s="190">
        <f>IF($B191&lt;$F$22,SUM($T$100:$T191),"")</f>
        <v>0</v>
      </c>
      <c r="AW191" s="190" t="str">
        <f t="shared" si="133"/>
        <v>-</v>
      </c>
      <c r="AX191" s="190" t="str">
        <f t="shared" si="158"/>
        <v/>
      </c>
      <c r="AY191"/>
      <c r="AZ191" s="190" t="str">
        <f ca="1">IF(ISNUMBER(OFFSET(AV191,-$F$21,0)),SUM(OFFSET($T$100,$F$21,0):$T191),"")</f>
        <v/>
      </c>
      <c r="BA191" s="190" t="str">
        <f t="shared" ca="1" si="134"/>
        <v/>
      </c>
      <c r="BB191" s="190" t="str">
        <f t="shared" ca="1" si="164"/>
        <v/>
      </c>
      <c r="BC191" s="190"/>
      <c r="BD191" s="190" t="str">
        <f ca="1">IFERROR(IF(AND($B191&gt;=($F$16-$F$15),$B191&lt;$F$22+($F$16-$F$15)),SUM(OFFSET($T$100,($F$16-$F$15),0):$T191),""),"")</f>
        <v/>
      </c>
      <c r="BE191" s="190" t="str">
        <f t="shared" ca="1" si="159"/>
        <v/>
      </c>
      <c r="BF191" s="190" t="str">
        <f t="shared" ca="1" si="160"/>
        <v/>
      </c>
      <c r="BG191"/>
      <c r="BH191" s="190" t="str">
        <f ca="1">IF(ISNUMBER(OFFSET(BD191,-$F$21,0)),SUM(OFFSET($T$100,($F$16-$F$15+$F$21),0):$T191),"")</f>
        <v/>
      </c>
      <c r="BI191" s="190" t="str">
        <f t="shared" ca="1" si="135"/>
        <v/>
      </c>
      <c r="BJ191" s="190" t="str">
        <f t="shared" ca="1" si="161"/>
        <v/>
      </c>
      <c r="BK191" s="190"/>
      <c r="BL191" s="190" t="str">
        <f ca="1">IFERROR(IF(AND($B191&gt;=($F$17-$F$15),$B191&lt;$F$22+($F$17-$F$15)),SUM(OFFSET($T$100,($F$17-$F$15),0):$T191),""),"")</f>
        <v/>
      </c>
      <c r="BM191" s="190" t="str">
        <f t="shared" ca="1" si="136"/>
        <v/>
      </c>
      <c r="BN191" s="190" t="str">
        <f t="shared" ca="1" si="162"/>
        <v/>
      </c>
      <c r="BO191"/>
      <c r="BP191" s="190" t="str">
        <f ca="1">IF(ISNUMBER(OFFSET(BL191,-$F$21,0)),SUM(OFFSET($T$100,($F$17-$F$15+$F$21),0):$T191),"")</f>
        <v/>
      </c>
      <c r="BQ191" s="190" t="str">
        <f t="shared" ca="1" si="137"/>
        <v/>
      </c>
      <c r="BR191" s="190" t="str">
        <f t="shared" ca="1" si="163"/>
        <v/>
      </c>
      <c r="BS191" s="190"/>
      <c r="BT191"/>
      <c r="BU191"/>
      <c r="BV191"/>
      <c r="BY191" s="99"/>
      <c r="BZ191" s="99"/>
      <c r="CA191" s="280" t="str">
        <f t="shared" si="138"/>
        <v/>
      </c>
      <c r="CB191" s="71" t="str">
        <f t="shared" si="139"/>
        <v>-</v>
      </c>
      <c r="CC191" s="33"/>
      <c r="CD191" s="261" t="str">
        <f t="shared" si="140"/>
        <v/>
      </c>
      <c r="CE191" s="280" t="str">
        <f t="shared" si="141"/>
        <v>-</v>
      </c>
      <c r="CF191" s="71" t="str">
        <f t="shared" ca="1" si="142"/>
        <v>-</v>
      </c>
      <c r="CG191" s="33" t="str">
        <f t="shared" si="143"/>
        <v>91-92</v>
      </c>
      <c r="CH191" s="261" t="str">
        <f t="shared" ca="1" si="144"/>
        <v/>
      </c>
      <c r="CP191" s="99"/>
      <c r="CQ191" s="99"/>
    </row>
    <row r="192" spans="2:107" ht="13.5" customHeight="1" x14ac:dyDescent="0.2">
      <c r="B192" s="262">
        <v>92</v>
      </c>
      <c r="C192" s="237" t="str">
        <f t="shared" si="107"/>
        <v/>
      </c>
      <c r="D192" s="237" t="str">
        <f t="shared" si="145"/>
        <v>-</v>
      </c>
      <c r="E192" s="263" t="str">
        <f t="shared" si="146"/>
        <v/>
      </c>
      <c r="F192" s="264" t="str">
        <f t="shared" si="147"/>
        <v/>
      </c>
      <c r="G192" s="264" t="str">
        <f t="shared" si="148"/>
        <v/>
      </c>
      <c r="H192" s="240" t="str">
        <f t="shared" si="108"/>
        <v/>
      </c>
      <c r="I192" s="265" t="str">
        <f t="shared" si="109"/>
        <v/>
      </c>
      <c r="J192" s="265" t="str">
        <f t="shared" si="110"/>
        <v/>
      </c>
      <c r="K192" s="240" t="str">
        <f t="shared" si="111"/>
        <v/>
      </c>
      <c r="L192" s="265" t="str">
        <f t="shared" si="112"/>
        <v/>
      </c>
      <c r="M192" s="265" t="str">
        <f t="shared" si="113"/>
        <v/>
      </c>
      <c r="N192" s="240" t="str">
        <f t="shared" si="114"/>
        <v>-</v>
      </c>
      <c r="O192" s="265" t="str">
        <f t="shared" si="115"/>
        <v>-</v>
      </c>
      <c r="P192" s="265" t="str">
        <f t="shared" si="116"/>
        <v>-</v>
      </c>
      <c r="Q192" s="266" t="str">
        <f t="shared" si="117"/>
        <v>-</v>
      </c>
      <c r="R192" s="267" t="str">
        <f t="shared" si="118"/>
        <v>-</v>
      </c>
      <c r="S192" s="268" t="str">
        <f t="shared" si="119"/>
        <v>-</v>
      </c>
      <c r="T192" s="269" t="str">
        <f t="shared" si="120"/>
        <v/>
      </c>
      <c r="U192" s="221">
        <f t="shared" si="121"/>
        <v>92</v>
      </c>
      <c r="V192" s="220" t="str">
        <f t="shared" si="122"/>
        <v>-</v>
      </c>
      <c r="W192" s="221" t="str">
        <f t="shared" si="149"/>
        <v>-</v>
      </c>
      <c r="X192" s="221" t="str">
        <f t="shared" si="123"/>
        <v>-</v>
      </c>
      <c r="Y192" s="221" t="str">
        <f t="shared" si="124"/>
        <v>-</v>
      </c>
      <c r="Z192" s="270">
        <f t="shared" si="150"/>
        <v>0.1</v>
      </c>
      <c r="AA192" s="271" t="str">
        <f>IFERROR(IF(V191=1,AA$100*EXP(-(LN(2)/$D$65+0.04)*X191)*EXP(-(LN(2)/$D$65+0.1)*Y191),IF(V191=2,AA$100*EXP(-(LN(2)/$D$65+0.04)*(VLOOKUP(($F$16-$F$15)-1,U$99:Y191,4,FALSE)))*EXP(-(LN(2)/$D$65+0.1)*(VLOOKUP(($F$16-$F$15)-1,U$99:Y191,5,FALSE)))*EXP(-(LN(2)/$D$65+0.04)*X191)*EXP(-(LN(2)/$D$65+0.1)*Y191),IF(V191=3,AA$100*EXP(-(LN(2)/$D$65+0.04)*(VLOOKUP(($F$16-$F$15)-1,U$99:Y191,4,FALSE)))*EXP(-(LN(2)/$D$65+0.1)*(VLOOKUP(($F$16-$F$15)-1,U$99:Y191,5,FALSE)))*EXP(-(LN(2)/$D$65+0.04)*(VLOOKUP(($F$16-$F$15)*2-1,U$99:Y191,4,FALSE)))*EXP(-(LN(2)/$D$65+0.1)*(VLOOKUP(($F$16-$F$15)*2-1,U$99:Y191,5,FALSE)))*EXP(-(LN(2)/$D$65+0.04)*X191)*EXP(-(LN(2)/$D$65+0.1)*Y191),"-"))),"-")</f>
        <v>-</v>
      </c>
      <c r="AB192" s="271" t="str">
        <f>IFERROR(IF(V192=1,AB$100*EXP(-(LN(2)/$D$65+0.04)*X192)*EXP(-(LN(2)/$D$65+0.1)*Y192),IF(V192=2,AB$100*EXP(-(LN(2)/$D$65+0.04)*(VLOOKUP(($F$16-$F$15)-1,U$100:Y192,4,FALSE)))*EXP(-(LN(2)/$D$65+0.1)*(VLOOKUP(($F$16-$F$15)-1,U$100:Y192,5,FALSE)))*EXP(-(LN(2)/$D$65+0.04)*X192)*EXP(-(LN(2)/$D$65+0.1)*Y192),IF(V192=3,AB$100*EXP(-(LN(2)/$D$65+0.04)*(VLOOKUP(($F$16-$F$15)-1,U$100:Y192,4,FALSE)))*EXP(-(LN(2)/$D$65+0.1)*(VLOOKUP(($F$16-$F$15)-1,U$100:Y192,5,FALSE)))*EXP(-(LN(2)/$D$65+0.04)*(VLOOKUP(($F$16-$F$15)*2-1,U$100:Y192,4,FALSE)))*EXP(-(LN(2)/$D$65+0.1)*(VLOOKUP(($F$16-$F$15)*2-1,U$100:Y192,5,FALSE)))*EXP(-(LN(2)/$D$65+0.04)*X192)*EXP(-(LN(2)/$D$65+0.1)*Y192),"-"))),"-")</f>
        <v>-</v>
      </c>
      <c r="AC192" s="224">
        <f t="shared" si="151"/>
        <v>92</v>
      </c>
      <c r="AD192" s="223" t="str">
        <f t="shared" si="125"/>
        <v>-</v>
      </c>
      <c r="AE192" s="224" t="str">
        <f t="shared" si="152"/>
        <v>-</v>
      </c>
      <c r="AF192" s="224" t="str">
        <f t="shared" si="126"/>
        <v>-</v>
      </c>
      <c r="AG192" s="224" t="str">
        <f t="shared" si="127"/>
        <v>-</v>
      </c>
      <c r="AH192" s="272">
        <f t="shared" si="153"/>
        <v>0.1</v>
      </c>
      <c r="AI192" s="271" t="str">
        <f>IFERROR(IF(AD191=1,AI$100*EXP(-(LN(2)/$D$65+0.04)*AF191)*EXP(-(LN(2)/$D$65+0.1)*AG191),IF(AD191=2,AI$100*EXP(-(LN(2)/$D$65+0.04)*(VLOOKUP(($F$16-$F$15)-1,AC$99:AG191,4,FALSE)))*EXP(-(LN(2)/$D$65+0.1)*(VLOOKUP(($F$16-$F$15)-1,AC$99:AG191,5,FALSE)))*EXP(-(LN(2)/$D$65+0.04)*AF191)*EXP(-(LN(2)/$D$65+0.1)*AG191),IF(AD191=3,AI$100*EXP(-(LN(2)/$D$65+0.04)*(VLOOKUP(($F$16-$F$15)-1,AC$99:AG191,4,FALSE)))*EXP(-(LN(2)/$D$65+0.1)*(VLOOKUP(($F$16-$F$15)-1,AC$99:AG191,5,FALSE)))*EXP(-(LN(2)/$D$65+0.04)*(VLOOKUP(($F$16-$F$15)*2-1,AC$99:AG191,4,FALSE)))*EXP(-(LN(2)/$D$65+0.1)*(VLOOKUP(($F$16-$F$15)*2-1,AC$99:AG191,5,FALSE)))*EXP(-(LN(2)/$D$65+0.04)*AF191)*EXP(-(LN(2)/$D$65+0.1)*AG191),"-"))),"-")</f>
        <v>-</v>
      </c>
      <c r="AJ192" s="271" t="str">
        <f>IFERROR(IF(AD192=1,AJ$100*EXP(-(LN(2)/$D$65+0.04)*AF192)*EXP(-(LN(2)/$D$65+0.1)*AG192),IF(AD192=2,AJ$100*EXP(-(LN(2)/$D$65+0.04)*(VLOOKUP(($F$16-$F$15)-1,AC$100:AG192,4,FALSE)))*EXP(-(LN(2)/$D$65+0.1)*(VLOOKUP(($F$16-$F$15)-1,AC$100:AG192,5,FALSE)))*EXP(-(LN(2)/$D$65+0.04)*AF192)*EXP(-(LN(2)/$D$65+0.1)*AG192),IF(AD192=3,AJ$100*EXP(-(LN(2)/$D$65+0.04)*(VLOOKUP(($F$16-$F$15)-1,AC$100:AG192,4,FALSE)))*EXP(-(LN(2)/$D$65+0.1)*(VLOOKUP(($F$16-$F$15)-1,AC$100:AG192,5,FALSE)))*EXP(-(LN(2)/$D$65+0.04)*(VLOOKUP(($F$16-$F$15)*2-1,AC$100:AG192,4,FALSE)))*EXP(-(LN(2)/$D$65+0.1)*(VLOOKUP(($F$16-$F$15)*2-1,AC$100:AG192,5,FALSE)))*EXP(-(LN(2)/$D$65+0.04)*AF192)*EXP(-(LN(2)/$D$65+0.1)*AG192),"-"))),"-")</f>
        <v>-</v>
      </c>
      <c r="AK192" s="227">
        <f t="shared" si="154"/>
        <v>92</v>
      </c>
      <c r="AL192" s="226" t="str">
        <f t="shared" si="128"/>
        <v>-</v>
      </c>
      <c r="AM192" s="227" t="str">
        <f t="shared" si="155"/>
        <v>-</v>
      </c>
      <c r="AN192" s="227" t="str">
        <f t="shared" si="156"/>
        <v>-</v>
      </c>
      <c r="AO192" s="227" t="str">
        <f t="shared" si="129"/>
        <v>-</v>
      </c>
      <c r="AP192" s="273">
        <f t="shared" si="157"/>
        <v>0.1</v>
      </c>
      <c r="AQ192" s="271" t="str">
        <f>IFERROR(IF(AL191=1,AQ$100*EXP(-(LN(2)/$D$65+0.04)*AN191)*EXP(-(LN(2)/$D$65+0.1)*AO191),IF(AL191=2,AQ$100*EXP(-(LN(2)/$D$65+0.04)*(VLOOKUP(($F$16-$F$15)-1,AK$99:AO191,4,FALSE)))*EXP(-(LN(2)/$D$65+0.1)*(VLOOKUP(($F$16-$F$15)-1,AK$99:AO191,5,FALSE)))*EXP(-(LN(2)/$D$65+0.04)*AN191)*EXP(-(LN(2)/$D$65+0.1)*AO191),IF(AL191=3,AQ$100*EXP(-(LN(2)/$D$65+0.04)*(VLOOKUP(($F$16-$F$15)-1,AK$99:AO191,4,FALSE)))*EXP(-(LN(2)/$D$65+0.1)*(VLOOKUP(($F$16-$F$15)-1,AK$99:AO191,5,FALSE)))*EXP(-(LN(2)/$D$65+0.04)*(VLOOKUP(($F$16-$F$15)*2-1,AK$99:AO191,4,FALSE)))*EXP(-(LN(2)/$D$65+0.1)*(VLOOKUP(($F$16-$F$15)*2-1,AK$99:AO191,5,FALSE)))*EXP(-(LN(2)/$D$65+0.04)*AN191)*EXP(-(LN(2)/$D$65+0.1)*AO191),"-"))),"-")</f>
        <v>-</v>
      </c>
      <c r="AR192" s="271" t="str">
        <f>IFERROR(IF(AL192=1,AR$100*EXP(-(LN(2)/$D$65+0.04)*AN192)*EXP(-(LN(2)/$D$65+0.1)*AO192),IF(AL192=2,AR$100*EXP(-(LN(2)/$D$65+0.04)*(VLOOKUP(($F$16-$F$15)-1,AK$100:AO192,4,FALSE)))*EXP(-(LN(2)/$D$65+0.1)*(VLOOKUP(($F$16-$F$15)-1,AK$100:AO192,5,FALSE)))*EXP(-(LN(2)/$D$65+0.04)*AN192)*EXP(-(LN(2)/$D$65+0.1)*AO192),IF(AL192=3,AR$100*EXP(-(LN(2)/$D$65+0.04)*(VLOOKUP(($F$16-$F$15)-1,AK$100:AO192,4,FALSE)))*EXP(-(LN(2)/$D$65+0.1)*(VLOOKUP(($F$16-$F$15)-1,AK$100:AO192,5,FALSE)))*EXP(-(LN(2)/$D$65+0.04)*(VLOOKUP(($F$16-$F$15)*2-1,AK$100:AO192,4,FALSE)))*EXP(-(LN(2)/$D$65+0.1)*(VLOOKUP(($F$16-$F$15)*2-1,AK$100:AO192,5,FALSE)))*EXP(-(LN(2)/$D$65+0.04)*AN192)*EXP(-(LN(2)/$D$65+0.1)*AO192),"-"))),"-")</f>
        <v>-</v>
      </c>
      <c r="AS192" s="274">
        <f t="shared" si="130"/>
        <v>0</v>
      </c>
      <c r="AT192" s="274">
        <f t="shared" si="131"/>
        <v>0</v>
      </c>
      <c r="AU192" s="274">
        <f t="shared" si="132"/>
        <v>0</v>
      </c>
      <c r="AV192" s="190">
        <f>IF($B192&lt;$F$22,SUM($T$100:$T192),"")</f>
        <v>0</v>
      </c>
      <c r="AW192" s="190" t="str">
        <f t="shared" si="133"/>
        <v>-</v>
      </c>
      <c r="AX192" s="190" t="str">
        <f t="shared" si="158"/>
        <v/>
      </c>
      <c r="AY192"/>
      <c r="AZ192" s="190" t="str">
        <f ca="1">IF(ISNUMBER(OFFSET(AV192,-$F$21,0)),SUM(OFFSET($T$100,$F$21,0):$T192),"")</f>
        <v/>
      </c>
      <c r="BA192" s="190" t="str">
        <f t="shared" ca="1" si="134"/>
        <v/>
      </c>
      <c r="BB192" s="190" t="str">
        <f t="shared" ca="1" si="164"/>
        <v/>
      </c>
      <c r="BC192" s="190"/>
      <c r="BD192" s="190" t="str">
        <f ca="1">IFERROR(IF(AND($B192&gt;=($F$16-$F$15),$B192&lt;$F$22+($F$16-$F$15)),SUM(OFFSET($T$100,($F$16-$F$15),0):$T192),""),"")</f>
        <v/>
      </c>
      <c r="BE192" s="190" t="str">
        <f t="shared" ca="1" si="159"/>
        <v/>
      </c>
      <c r="BF192" s="190" t="str">
        <f t="shared" ca="1" si="160"/>
        <v/>
      </c>
      <c r="BG192"/>
      <c r="BH192" s="190" t="str">
        <f ca="1">IF(ISNUMBER(OFFSET(BD192,-$F$21,0)),SUM(OFFSET($T$100,($F$16-$F$15+$F$21),0):$T192),"")</f>
        <v/>
      </c>
      <c r="BI192" s="190" t="str">
        <f t="shared" ca="1" si="135"/>
        <v/>
      </c>
      <c r="BJ192" s="190" t="str">
        <f t="shared" ca="1" si="161"/>
        <v/>
      </c>
      <c r="BK192" s="190"/>
      <c r="BL192" s="190" t="str">
        <f ca="1">IFERROR(IF(AND($B192&gt;=($F$17-$F$15),$B192&lt;$F$22+($F$17-$F$15)),SUM(OFFSET($T$100,($F$17-$F$15),0):$T192),""),"")</f>
        <v/>
      </c>
      <c r="BM192" s="190" t="str">
        <f t="shared" ca="1" si="136"/>
        <v/>
      </c>
      <c r="BN192" s="190" t="str">
        <f t="shared" ca="1" si="162"/>
        <v/>
      </c>
      <c r="BO192"/>
      <c r="BP192" s="190" t="str">
        <f ca="1">IF(ISNUMBER(OFFSET(BL192,-$F$21,0)),SUM(OFFSET($T$100,($F$17-$F$15+$F$21),0):$T192),"")</f>
        <v/>
      </c>
      <c r="BQ192" s="190" t="str">
        <f t="shared" ca="1" si="137"/>
        <v/>
      </c>
      <c r="BR192" s="190" t="str">
        <f t="shared" ca="1" si="163"/>
        <v/>
      </c>
      <c r="BS192" s="190"/>
      <c r="BT192"/>
      <c r="BU192"/>
      <c r="BV192"/>
      <c r="BY192" s="99"/>
      <c r="BZ192" s="99"/>
      <c r="CA192" s="280" t="str">
        <f t="shared" si="138"/>
        <v/>
      </c>
      <c r="CB192" s="71" t="str">
        <f t="shared" si="139"/>
        <v>-</v>
      </c>
      <c r="CC192" s="33"/>
      <c r="CD192" s="261" t="str">
        <f t="shared" si="140"/>
        <v/>
      </c>
      <c r="CE192" s="280" t="str">
        <f t="shared" si="141"/>
        <v>-</v>
      </c>
      <c r="CF192" s="71" t="str">
        <f t="shared" ca="1" si="142"/>
        <v>-</v>
      </c>
      <c r="CG192" s="33" t="str">
        <f t="shared" si="143"/>
        <v>92-93</v>
      </c>
      <c r="CH192" s="261" t="str">
        <f t="shared" ca="1" si="144"/>
        <v/>
      </c>
      <c r="CP192" s="99"/>
      <c r="CQ192" s="99"/>
    </row>
    <row r="193" spans="2:95" ht="13.5" customHeight="1" x14ac:dyDescent="0.2">
      <c r="B193" s="262">
        <v>93</v>
      </c>
      <c r="C193" s="237" t="str">
        <f t="shared" si="107"/>
        <v/>
      </c>
      <c r="D193" s="237" t="str">
        <f t="shared" si="145"/>
        <v>-</v>
      </c>
      <c r="E193" s="263" t="str">
        <f t="shared" si="146"/>
        <v/>
      </c>
      <c r="F193" s="264" t="str">
        <f t="shared" si="147"/>
        <v/>
      </c>
      <c r="G193" s="264" t="str">
        <f t="shared" si="148"/>
        <v/>
      </c>
      <c r="H193" s="240" t="str">
        <f t="shared" si="108"/>
        <v/>
      </c>
      <c r="I193" s="265" t="str">
        <f t="shared" si="109"/>
        <v/>
      </c>
      <c r="J193" s="265" t="str">
        <f t="shared" si="110"/>
        <v/>
      </c>
      <c r="K193" s="240" t="str">
        <f t="shared" si="111"/>
        <v/>
      </c>
      <c r="L193" s="265" t="str">
        <f t="shared" si="112"/>
        <v/>
      </c>
      <c r="M193" s="265" t="str">
        <f t="shared" si="113"/>
        <v/>
      </c>
      <c r="N193" s="240" t="str">
        <f t="shared" si="114"/>
        <v>-</v>
      </c>
      <c r="O193" s="265" t="str">
        <f t="shared" si="115"/>
        <v>-</v>
      </c>
      <c r="P193" s="265" t="str">
        <f t="shared" si="116"/>
        <v>-</v>
      </c>
      <c r="Q193" s="266" t="str">
        <f t="shared" si="117"/>
        <v>-</v>
      </c>
      <c r="R193" s="267" t="str">
        <f t="shared" si="118"/>
        <v>-</v>
      </c>
      <c r="S193" s="268" t="str">
        <f t="shared" si="119"/>
        <v>-</v>
      </c>
      <c r="T193" s="269" t="str">
        <f t="shared" si="120"/>
        <v/>
      </c>
      <c r="U193" s="221">
        <f t="shared" si="121"/>
        <v>93</v>
      </c>
      <c r="V193" s="220" t="str">
        <f t="shared" si="122"/>
        <v>-</v>
      </c>
      <c r="W193" s="221" t="str">
        <f t="shared" si="149"/>
        <v>-</v>
      </c>
      <c r="X193" s="221" t="str">
        <f t="shared" si="123"/>
        <v>-</v>
      </c>
      <c r="Y193" s="221" t="str">
        <f t="shared" si="124"/>
        <v>-</v>
      </c>
      <c r="Z193" s="270">
        <f t="shared" si="150"/>
        <v>0.1</v>
      </c>
      <c r="AA193" s="271" t="str">
        <f>IFERROR(IF(V192=1,AA$100*EXP(-(LN(2)/$D$65+0.04)*X192)*EXP(-(LN(2)/$D$65+0.1)*Y192),IF(V192=2,AA$100*EXP(-(LN(2)/$D$65+0.04)*(VLOOKUP(($F$16-$F$15)-1,U$99:Y192,4,FALSE)))*EXP(-(LN(2)/$D$65+0.1)*(VLOOKUP(($F$16-$F$15)-1,U$99:Y192,5,FALSE)))*EXP(-(LN(2)/$D$65+0.04)*X192)*EXP(-(LN(2)/$D$65+0.1)*Y192),IF(V192=3,AA$100*EXP(-(LN(2)/$D$65+0.04)*(VLOOKUP(($F$16-$F$15)-1,U$99:Y192,4,FALSE)))*EXP(-(LN(2)/$D$65+0.1)*(VLOOKUP(($F$16-$F$15)-1,U$99:Y192,5,FALSE)))*EXP(-(LN(2)/$D$65+0.04)*(VLOOKUP(($F$16-$F$15)*2-1,U$99:Y192,4,FALSE)))*EXP(-(LN(2)/$D$65+0.1)*(VLOOKUP(($F$16-$F$15)*2-1,U$99:Y192,5,FALSE)))*EXP(-(LN(2)/$D$65+0.04)*X192)*EXP(-(LN(2)/$D$65+0.1)*Y192),"-"))),"-")</f>
        <v>-</v>
      </c>
      <c r="AB193" s="271" t="str">
        <f>IFERROR(IF(V193=1,AB$100*EXP(-(LN(2)/$D$65+0.04)*X193)*EXP(-(LN(2)/$D$65+0.1)*Y193),IF(V193=2,AB$100*EXP(-(LN(2)/$D$65+0.04)*(VLOOKUP(($F$16-$F$15)-1,U$100:Y193,4,FALSE)))*EXP(-(LN(2)/$D$65+0.1)*(VLOOKUP(($F$16-$F$15)-1,U$100:Y193,5,FALSE)))*EXP(-(LN(2)/$D$65+0.04)*X193)*EXP(-(LN(2)/$D$65+0.1)*Y193),IF(V193=3,AB$100*EXP(-(LN(2)/$D$65+0.04)*(VLOOKUP(($F$16-$F$15)-1,U$100:Y193,4,FALSE)))*EXP(-(LN(2)/$D$65+0.1)*(VLOOKUP(($F$16-$F$15)-1,U$100:Y193,5,FALSE)))*EXP(-(LN(2)/$D$65+0.04)*(VLOOKUP(($F$16-$F$15)*2-1,U$100:Y193,4,FALSE)))*EXP(-(LN(2)/$D$65+0.1)*(VLOOKUP(($F$16-$F$15)*2-1,U$100:Y193,5,FALSE)))*EXP(-(LN(2)/$D$65+0.04)*X193)*EXP(-(LN(2)/$D$65+0.1)*Y193),"-"))),"-")</f>
        <v>-</v>
      </c>
      <c r="AC193" s="224">
        <f t="shared" si="151"/>
        <v>93</v>
      </c>
      <c r="AD193" s="223" t="str">
        <f t="shared" si="125"/>
        <v>-</v>
      </c>
      <c r="AE193" s="224" t="str">
        <f t="shared" si="152"/>
        <v>-</v>
      </c>
      <c r="AF193" s="224" t="str">
        <f t="shared" si="126"/>
        <v>-</v>
      </c>
      <c r="AG193" s="224" t="str">
        <f t="shared" si="127"/>
        <v>-</v>
      </c>
      <c r="AH193" s="272">
        <f t="shared" si="153"/>
        <v>0.1</v>
      </c>
      <c r="AI193" s="271" t="str">
        <f>IFERROR(IF(AD192=1,AI$100*EXP(-(LN(2)/$D$65+0.04)*AF192)*EXP(-(LN(2)/$D$65+0.1)*AG192),IF(AD192=2,AI$100*EXP(-(LN(2)/$D$65+0.04)*(VLOOKUP(($F$16-$F$15)-1,AC$99:AG192,4,FALSE)))*EXP(-(LN(2)/$D$65+0.1)*(VLOOKUP(($F$16-$F$15)-1,AC$99:AG192,5,FALSE)))*EXP(-(LN(2)/$D$65+0.04)*AF192)*EXP(-(LN(2)/$D$65+0.1)*AG192),IF(AD192=3,AI$100*EXP(-(LN(2)/$D$65+0.04)*(VLOOKUP(($F$16-$F$15)-1,AC$99:AG192,4,FALSE)))*EXP(-(LN(2)/$D$65+0.1)*(VLOOKUP(($F$16-$F$15)-1,AC$99:AG192,5,FALSE)))*EXP(-(LN(2)/$D$65+0.04)*(VLOOKUP(($F$16-$F$15)*2-1,AC$99:AG192,4,FALSE)))*EXP(-(LN(2)/$D$65+0.1)*(VLOOKUP(($F$16-$F$15)*2-1,AC$99:AG192,5,FALSE)))*EXP(-(LN(2)/$D$65+0.04)*AF192)*EXP(-(LN(2)/$D$65+0.1)*AG192),"-"))),"-")</f>
        <v>-</v>
      </c>
      <c r="AJ193" s="271" t="str">
        <f>IFERROR(IF(AD193=1,AJ$100*EXP(-(LN(2)/$D$65+0.04)*AF193)*EXP(-(LN(2)/$D$65+0.1)*AG193),IF(AD193=2,AJ$100*EXP(-(LN(2)/$D$65+0.04)*(VLOOKUP(($F$16-$F$15)-1,AC$100:AG193,4,FALSE)))*EXP(-(LN(2)/$D$65+0.1)*(VLOOKUP(($F$16-$F$15)-1,AC$100:AG193,5,FALSE)))*EXP(-(LN(2)/$D$65+0.04)*AF193)*EXP(-(LN(2)/$D$65+0.1)*AG193),IF(AD193=3,AJ$100*EXP(-(LN(2)/$D$65+0.04)*(VLOOKUP(($F$16-$F$15)-1,AC$100:AG193,4,FALSE)))*EXP(-(LN(2)/$D$65+0.1)*(VLOOKUP(($F$16-$F$15)-1,AC$100:AG193,5,FALSE)))*EXP(-(LN(2)/$D$65+0.04)*(VLOOKUP(($F$16-$F$15)*2-1,AC$100:AG193,4,FALSE)))*EXP(-(LN(2)/$D$65+0.1)*(VLOOKUP(($F$16-$F$15)*2-1,AC$100:AG193,5,FALSE)))*EXP(-(LN(2)/$D$65+0.04)*AF193)*EXP(-(LN(2)/$D$65+0.1)*AG193),"-"))),"-")</f>
        <v>-</v>
      </c>
      <c r="AK193" s="227">
        <f t="shared" si="154"/>
        <v>93</v>
      </c>
      <c r="AL193" s="226" t="str">
        <f t="shared" si="128"/>
        <v>-</v>
      </c>
      <c r="AM193" s="227" t="str">
        <f t="shared" si="155"/>
        <v>-</v>
      </c>
      <c r="AN193" s="227" t="str">
        <f t="shared" si="156"/>
        <v>-</v>
      </c>
      <c r="AO193" s="227" t="str">
        <f t="shared" si="129"/>
        <v>-</v>
      </c>
      <c r="AP193" s="273">
        <f t="shared" si="157"/>
        <v>0.1</v>
      </c>
      <c r="AQ193" s="271" t="str">
        <f>IFERROR(IF(AL192=1,AQ$100*EXP(-(LN(2)/$D$65+0.04)*AN192)*EXP(-(LN(2)/$D$65+0.1)*AO192),IF(AL192=2,AQ$100*EXP(-(LN(2)/$D$65+0.04)*(VLOOKUP(($F$16-$F$15)-1,AK$99:AO192,4,FALSE)))*EXP(-(LN(2)/$D$65+0.1)*(VLOOKUP(($F$16-$F$15)-1,AK$99:AO192,5,FALSE)))*EXP(-(LN(2)/$D$65+0.04)*AN192)*EXP(-(LN(2)/$D$65+0.1)*AO192),IF(AL192=3,AQ$100*EXP(-(LN(2)/$D$65+0.04)*(VLOOKUP(($F$16-$F$15)-1,AK$99:AO192,4,FALSE)))*EXP(-(LN(2)/$D$65+0.1)*(VLOOKUP(($F$16-$F$15)-1,AK$99:AO192,5,FALSE)))*EXP(-(LN(2)/$D$65+0.04)*(VLOOKUP(($F$16-$F$15)*2-1,AK$99:AO192,4,FALSE)))*EXP(-(LN(2)/$D$65+0.1)*(VLOOKUP(($F$16-$F$15)*2-1,AK$99:AO192,5,FALSE)))*EXP(-(LN(2)/$D$65+0.04)*AN192)*EXP(-(LN(2)/$D$65+0.1)*AO192),"-"))),"-")</f>
        <v>-</v>
      </c>
      <c r="AR193" s="271" t="str">
        <f>IFERROR(IF(AL193=1,AR$100*EXP(-(LN(2)/$D$65+0.04)*AN193)*EXP(-(LN(2)/$D$65+0.1)*AO193),IF(AL193=2,AR$100*EXP(-(LN(2)/$D$65+0.04)*(VLOOKUP(($F$16-$F$15)-1,AK$100:AO193,4,FALSE)))*EXP(-(LN(2)/$D$65+0.1)*(VLOOKUP(($F$16-$F$15)-1,AK$100:AO193,5,FALSE)))*EXP(-(LN(2)/$D$65+0.04)*AN193)*EXP(-(LN(2)/$D$65+0.1)*AO193),IF(AL193=3,AR$100*EXP(-(LN(2)/$D$65+0.04)*(VLOOKUP(($F$16-$F$15)-1,AK$100:AO193,4,FALSE)))*EXP(-(LN(2)/$D$65+0.1)*(VLOOKUP(($F$16-$F$15)-1,AK$100:AO193,5,FALSE)))*EXP(-(LN(2)/$D$65+0.04)*(VLOOKUP(($F$16-$F$15)*2-1,AK$100:AO193,4,FALSE)))*EXP(-(LN(2)/$D$65+0.1)*(VLOOKUP(($F$16-$F$15)*2-1,AK$100:AO193,5,FALSE)))*EXP(-(LN(2)/$D$65+0.04)*AN193)*EXP(-(LN(2)/$D$65+0.1)*AO193),"-"))),"-")</f>
        <v>-</v>
      </c>
      <c r="AS193" s="274">
        <f t="shared" si="130"/>
        <v>0</v>
      </c>
      <c r="AT193" s="274">
        <f t="shared" si="131"/>
        <v>0</v>
      </c>
      <c r="AU193" s="274">
        <f t="shared" si="132"/>
        <v>0</v>
      </c>
      <c r="AV193" s="190">
        <f>IF($B193&lt;$F$22,SUM($T$100:$T193),"")</f>
        <v>0</v>
      </c>
      <c r="AW193" s="190" t="str">
        <f t="shared" si="133"/>
        <v>-</v>
      </c>
      <c r="AX193" s="190" t="str">
        <f t="shared" si="158"/>
        <v/>
      </c>
      <c r="AY193"/>
      <c r="AZ193" s="190" t="str">
        <f ca="1">IF(ISNUMBER(OFFSET(AV193,-$F$21,0)),SUM(OFFSET($T$100,$F$21,0):$T193),"")</f>
        <v/>
      </c>
      <c r="BA193" s="190" t="str">
        <f t="shared" ca="1" si="134"/>
        <v/>
      </c>
      <c r="BB193" s="190" t="str">
        <f t="shared" ca="1" si="164"/>
        <v/>
      </c>
      <c r="BC193" s="190"/>
      <c r="BD193" s="190" t="str">
        <f ca="1">IFERROR(IF(AND($B193&gt;=($F$16-$F$15),$B193&lt;$F$22+($F$16-$F$15)),SUM(OFFSET($T$100,($F$16-$F$15),0):$T193),""),"")</f>
        <v/>
      </c>
      <c r="BE193" s="190" t="str">
        <f t="shared" ca="1" si="159"/>
        <v/>
      </c>
      <c r="BF193" s="190" t="str">
        <f t="shared" ca="1" si="160"/>
        <v/>
      </c>
      <c r="BG193"/>
      <c r="BH193" s="190" t="str">
        <f ca="1">IF(ISNUMBER(OFFSET(BD193,-$F$21,0)),SUM(OFFSET($T$100,($F$16-$F$15+$F$21),0):$T193),"")</f>
        <v/>
      </c>
      <c r="BI193" s="190" t="str">
        <f t="shared" ca="1" si="135"/>
        <v/>
      </c>
      <c r="BJ193" s="190" t="str">
        <f t="shared" ca="1" si="161"/>
        <v/>
      </c>
      <c r="BK193" s="190"/>
      <c r="BL193" s="190" t="str">
        <f ca="1">IFERROR(IF(AND($B193&gt;=($F$17-$F$15),$B193&lt;$F$22+($F$17-$F$15)),SUM(OFFSET($T$100,($F$17-$F$15),0):$T193),""),"")</f>
        <v/>
      </c>
      <c r="BM193" s="190" t="str">
        <f t="shared" ca="1" si="136"/>
        <v/>
      </c>
      <c r="BN193" s="190" t="str">
        <f t="shared" ca="1" si="162"/>
        <v/>
      </c>
      <c r="BO193"/>
      <c r="BP193" s="190" t="str">
        <f ca="1">IF(ISNUMBER(OFFSET(BL193,-$F$21,0)),SUM(OFFSET($T$100,($F$17-$F$15+$F$21),0):$T193),"")</f>
        <v/>
      </c>
      <c r="BQ193" s="190" t="str">
        <f t="shared" ca="1" si="137"/>
        <v/>
      </c>
      <c r="BR193" s="190" t="str">
        <f t="shared" ca="1" si="163"/>
        <v/>
      </c>
      <c r="BS193" s="190"/>
      <c r="BT193"/>
      <c r="BU193"/>
      <c r="BV193"/>
      <c r="BY193" s="99"/>
      <c r="BZ193" s="99"/>
      <c r="CA193" s="280" t="str">
        <f t="shared" si="138"/>
        <v/>
      </c>
      <c r="CB193" s="71" t="str">
        <f t="shared" si="139"/>
        <v>-</v>
      </c>
      <c r="CC193" s="33"/>
      <c r="CD193" s="261" t="str">
        <f t="shared" si="140"/>
        <v/>
      </c>
      <c r="CE193" s="280" t="str">
        <f t="shared" si="141"/>
        <v>-</v>
      </c>
      <c r="CF193" s="71" t="str">
        <f t="shared" ca="1" si="142"/>
        <v>-</v>
      </c>
      <c r="CG193" s="33" t="str">
        <f t="shared" si="143"/>
        <v>93-94</v>
      </c>
      <c r="CH193" s="261" t="str">
        <f t="shared" ca="1" si="144"/>
        <v/>
      </c>
      <c r="CP193" s="99"/>
      <c r="CQ193" s="99"/>
    </row>
    <row r="194" spans="2:95" ht="13.5" customHeight="1" x14ac:dyDescent="0.2">
      <c r="B194" s="262">
        <v>94</v>
      </c>
      <c r="C194" s="237" t="str">
        <f t="shared" si="107"/>
        <v/>
      </c>
      <c r="D194" s="237" t="str">
        <f t="shared" si="145"/>
        <v>-</v>
      </c>
      <c r="E194" s="263" t="str">
        <f t="shared" si="146"/>
        <v/>
      </c>
      <c r="F194" s="264" t="str">
        <f t="shared" si="147"/>
        <v/>
      </c>
      <c r="G194" s="264" t="str">
        <f t="shared" si="148"/>
        <v/>
      </c>
      <c r="H194" s="240" t="str">
        <f t="shared" si="108"/>
        <v/>
      </c>
      <c r="I194" s="265" t="str">
        <f t="shared" si="109"/>
        <v/>
      </c>
      <c r="J194" s="265" t="str">
        <f t="shared" si="110"/>
        <v/>
      </c>
      <c r="K194" s="240" t="str">
        <f t="shared" si="111"/>
        <v/>
      </c>
      <c r="L194" s="265" t="str">
        <f t="shared" si="112"/>
        <v/>
      </c>
      <c r="M194" s="265" t="str">
        <f t="shared" si="113"/>
        <v/>
      </c>
      <c r="N194" s="240" t="str">
        <f t="shared" si="114"/>
        <v>-</v>
      </c>
      <c r="O194" s="265" t="str">
        <f t="shared" si="115"/>
        <v>-</v>
      </c>
      <c r="P194" s="265" t="str">
        <f t="shared" si="116"/>
        <v>-</v>
      </c>
      <c r="Q194" s="266" t="str">
        <f t="shared" si="117"/>
        <v>-</v>
      </c>
      <c r="R194" s="267" t="str">
        <f t="shared" si="118"/>
        <v>-</v>
      </c>
      <c r="S194" s="268" t="str">
        <f t="shared" si="119"/>
        <v>-</v>
      </c>
      <c r="T194" s="269" t="str">
        <f t="shared" si="120"/>
        <v/>
      </c>
      <c r="U194" s="221">
        <f t="shared" si="121"/>
        <v>94</v>
      </c>
      <c r="V194" s="220" t="str">
        <f t="shared" si="122"/>
        <v>-</v>
      </c>
      <c r="W194" s="221" t="str">
        <f t="shared" si="149"/>
        <v>-</v>
      </c>
      <c r="X194" s="221" t="str">
        <f t="shared" si="123"/>
        <v>-</v>
      </c>
      <c r="Y194" s="221" t="str">
        <f t="shared" si="124"/>
        <v>-</v>
      </c>
      <c r="Z194" s="270">
        <f t="shared" si="150"/>
        <v>0.1</v>
      </c>
      <c r="AA194" s="271" t="str">
        <f>IFERROR(IF(V193=1,AA$100*EXP(-(LN(2)/$D$65+0.04)*X193)*EXP(-(LN(2)/$D$65+0.1)*Y193),IF(V193=2,AA$100*EXP(-(LN(2)/$D$65+0.04)*(VLOOKUP(($F$16-$F$15)-1,U$99:Y193,4,FALSE)))*EXP(-(LN(2)/$D$65+0.1)*(VLOOKUP(($F$16-$F$15)-1,U$99:Y193,5,FALSE)))*EXP(-(LN(2)/$D$65+0.04)*X193)*EXP(-(LN(2)/$D$65+0.1)*Y193),IF(V193=3,AA$100*EXP(-(LN(2)/$D$65+0.04)*(VLOOKUP(($F$16-$F$15)-1,U$99:Y193,4,FALSE)))*EXP(-(LN(2)/$D$65+0.1)*(VLOOKUP(($F$16-$F$15)-1,U$99:Y193,5,FALSE)))*EXP(-(LN(2)/$D$65+0.04)*(VLOOKUP(($F$16-$F$15)*2-1,U$99:Y193,4,FALSE)))*EXP(-(LN(2)/$D$65+0.1)*(VLOOKUP(($F$16-$F$15)*2-1,U$99:Y193,5,FALSE)))*EXP(-(LN(2)/$D$65+0.04)*X193)*EXP(-(LN(2)/$D$65+0.1)*Y193),"-"))),"-")</f>
        <v>-</v>
      </c>
      <c r="AB194" s="271" t="str">
        <f>IFERROR(IF(V194=1,AB$100*EXP(-(LN(2)/$D$65+0.04)*X194)*EXP(-(LN(2)/$D$65+0.1)*Y194),IF(V194=2,AB$100*EXP(-(LN(2)/$D$65+0.04)*(VLOOKUP(($F$16-$F$15)-1,U$100:Y194,4,FALSE)))*EXP(-(LN(2)/$D$65+0.1)*(VLOOKUP(($F$16-$F$15)-1,U$100:Y194,5,FALSE)))*EXP(-(LN(2)/$D$65+0.04)*X194)*EXP(-(LN(2)/$D$65+0.1)*Y194),IF(V194=3,AB$100*EXP(-(LN(2)/$D$65+0.04)*(VLOOKUP(($F$16-$F$15)-1,U$100:Y194,4,FALSE)))*EXP(-(LN(2)/$D$65+0.1)*(VLOOKUP(($F$16-$F$15)-1,U$100:Y194,5,FALSE)))*EXP(-(LN(2)/$D$65+0.04)*(VLOOKUP(($F$16-$F$15)*2-1,U$100:Y194,4,FALSE)))*EXP(-(LN(2)/$D$65+0.1)*(VLOOKUP(($F$16-$F$15)*2-1,U$100:Y194,5,FALSE)))*EXP(-(LN(2)/$D$65+0.04)*X194)*EXP(-(LN(2)/$D$65+0.1)*Y194),"-"))),"-")</f>
        <v>-</v>
      </c>
      <c r="AC194" s="224">
        <f t="shared" si="151"/>
        <v>94</v>
      </c>
      <c r="AD194" s="223" t="str">
        <f t="shared" si="125"/>
        <v>-</v>
      </c>
      <c r="AE194" s="224" t="str">
        <f t="shared" si="152"/>
        <v>-</v>
      </c>
      <c r="AF194" s="224" t="str">
        <f t="shared" si="126"/>
        <v>-</v>
      </c>
      <c r="AG194" s="224" t="str">
        <f t="shared" si="127"/>
        <v>-</v>
      </c>
      <c r="AH194" s="272">
        <f t="shared" si="153"/>
        <v>0.1</v>
      </c>
      <c r="AI194" s="271" t="str">
        <f>IFERROR(IF(AD193=1,AI$100*EXP(-(LN(2)/$D$65+0.04)*AF193)*EXP(-(LN(2)/$D$65+0.1)*AG193),IF(AD193=2,AI$100*EXP(-(LN(2)/$D$65+0.04)*(VLOOKUP(($F$16-$F$15)-1,AC$99:AG193,4,FALSE)))*EXP(-(LN(2)/$D$65+0.1)*(VLOOKUP(($F$16-$F$15)-1,AC$99:AG193,5,FALSE)))*EXP(-(LN(2)/$D$65+0.04)*AF193)*EXP(-(LN(2)/$D$65+0.1)*AG193),IF(AD193=3,AI$100*EXP(-(LN(2)/$D$65+0.04)*(VLOOKUP(($F$16-$F$15)-1,AC$99:AG193,4,FALSE)))*EXP(-(LN(2)/$D$65+0.1)*(VLOOKUP(($F$16-$F$15)-1,AC$99:AG193,5,FALSE)))*EXP(-(LN(2)/$D$65+0.04)*(VLOOKUP(($F$16-$F$15)*2-1,AC$99:AG193,4,FALSE)))*EXP(-(LN(2)/$D$65+0.1)*(VLOOKUP(($F$16-$F$15)*2-1,AC$99:AG193,5,FALSE)))*EXP(-(LN(2)/$D$65+0.04)*AF193)*EXP(-(LN(2)/$D$65+0.1)*AG193),"-"))),"-")</f>
        <v>-</v>
      </c>
      <c r="AJ194" s="271" t="str">
        <f>IFERROR(IF(AD194=1,AJ$100*EXP(-(LN(2)/$D$65+0.04)*AF194)*EXP(-(LN(2)/$D$65+0.1)*AG194),IF(AD194=2,AJ$100*EXP(-(LN(2)/$D$65+0.04)*(VLOOKUP(($F$16-$F$15)-1,AC$100:AG194,4,FALSE)))*EXP(-(LN(2)/$D$65+0.1)*(VLOOKUP(($F$16-$F$15)-1,AC$100:AG194,5,FALSE)))*EXP(-(LN(2)/$D$65+0.04)*AF194)*EXP(-(LN(2)/$D$65+0.1)*AG194),IF(AD194=3,AJ$100*EXP(-(LN(2)/$D$65+0.04)*(VLOOKUP(($F$16-$F$15)-1,AC$100:AG194,4,FALSE)))*EXP(-(LN(2)/$D$65+0.1)*(VLOOKUP(($F$16-$F$15)-1,AC$100:AG194,5,FALSE)))*EXP(-(LN(2)/$D$65+0.04)*(VLOOKUP(($F$16-$F$15)*2-1,AC$100:AG194,4,FALSE)))*EXP(-(LN(2)/$D$65+0.1)*(VLOOKUP(($F$16-$F$15)*2-1,AC$100:AG194,5,FALSE)))*EXP(-(LN(2)/$D$65+0.04)*AF194)*EXP(-(LN(2)/$D$65+0.1)*AG194),"-"))),"-")</f>
        <v>-</v>
      </c>
      <c r="AK194" s="227">
        <f t="shared" si="154"/>
        <v>94</v>
      </c>
      <c r="AL194" s="226" t="str">
        <f t="shared" si="128"/>
        <v>-</v>
      </c>
      <c r="AM194" s="227" t="str">
        <f t="shared" si="155"/>
        <v>-</v>
      </c>
      <c r="AN194" s="227" t="str">
        <f t="shared" si="156"/>
        <v>-</v>
      </c>
      <c r="AO194" s="227" t="str">
        <f t="shared" si="129"/>
        <v>-</v>
      </c>
      <c r="AP194" s="273">
        <f t="shared" si="157"/>
        <v>0.1</v>
      </c>
      <c r="AQ194" s="271" t="str">
        <f>IFERROR(IF(AL193=1,AQ$100*EXP(-(LN(2)/$D$65+0.04)*AN193)*EXP(-(LN(2)/$D$65+0.1)*AO193),IF(AL193=2,AQ$100*EXP(-(LN(2)/$D$65+0.04)*(VLOOKUP(($F$16-$F$15)-1,AK$99:AO193,4,FALSE)))*EXP(-(LN(2)/$D$65+0.1)*(VLOOKUP(($F$16-$F$15)-1,AK$99:AO193,5,FALSE)))*EXP(-(LN(2)/$D$65+0.04)*AN193)*EXP(-(LN(2)/$D$65+0.1)*AO193),IF(AL193=3,AQ$100*EXP(-(LN(2)/$D$65+0.04)*(VLOOKUP(($F$16-$F$15)-1,AK$99:AO193,4,FALSE)))*EXP(-(LN(2)/$D$65+0.1)*(VLOOKUP(($F$16-$F$15)-1,AK$99:AO193,5,FALSE)))*EXP(-(LN(2)/$D$65+0.04)*(VLOOKUP(($F$16-$F$15)*2-1,AK$99:AO193,4,FALSE)))*EXP(-(LN(2)/$D$65+0.1)*(VLOOKUP(($F$16-$F$15)*2-1,AK$99:AO193,5,FALSE)))*EXP(-(LN(2)/$D$65+0.04)*AN193)*EXP(-(LN(2)/$D$65+0.1)*AO193),"-"))),"-")</f>
        <v>-</v>
      </c>
      <c r="AR194" s="271" t="str">
        <f>IFERROR(IF(AL194=1,AR$100*EXP(-(LN(2)/$D$65+0.04)*AN194)*EXP(-(LN(2)/$D$65+0.1)*AO194),IF(AL194=2,AR$100*EXP(-(LN(2)/$D$65+0.04)*(VLOOKUP(($F$16-$F$15)-1,AK$100:AO194,4,FALSE)))*EXP(-(LN(2)/$D$65+0.1)*(VLOOKUP(($F$16-$F$15)-1,AK$100:AO194,5,FALSE)))*EXP(-(LN(2)/$D$65+0.04)*AN194)*EXP(-(LN(2)/$D$65+0.1)*AO194),IF(AL194=3,AR$100*EXP(-(LN(2)/$D$65+0.04)*(VLOOKUP(($F$16-$F$15)-1,AK$100:AO194,4,FALSE)))*EXP(-(LN(2)/$D$65+0.1)*(VLOOKUP(($F$16-$F$15)-1,AK$100:AO194,5,FALSE)))*EXP(-(LN(2)/$D$65+0.04)*(VLOOKUP(($F$16-$F$15)*2-1,AK$100:AO194,4,FALSE)))*EXP(-(LN(2)/$D$65+0.1)*(VLOOKUP(($F$16-$F$15)*2-1,AK$100:AO194,5,FALSE)))*EXP(-(LN(2)/$D$65+0.04)*AN194)*EXP(-(LN(2)/$D$65+0.1)*AO194),"-"))),"-")</f>
        <v>-</v>
      </c>
      <c r="AS194" s="274">
        <f t="shared" si="130"/>
        <v>0</v>
      </c>
      <c r="AT194" s="274">
        <f t="shared" si="131"/>
        <v>0</v>
      </c>
      <c r="AU194" s="274">
        <f t="shared" si="132"/>
        <v>0</v>
      </c>
      <c r="AV194" s="190">
        <f>IF($B194&lt;$F$22,SUM($T$100:$T194),"")</f>
        <v>0</v>
      </c>
      <c r="AW194" s="190" t="str">
        <f t="shared" si="133"/>
        <v>-</v>
      </c>
      <c r="AX194" s="190" t="str">
        <f t="shared" si="158"/>
        <v/>
      </c>
      <c r="AY194"/>
      <c r="AZ194" s="190" t="str">
        <f ca="1">IF(ISNUMBER(OFFSET(AV194,-$F$21,0)),SUM(OFFSET($T$100,$F$21,0):$T194),"")</f>
        <v/>
      </c>
      <c r="BA194" s="190" t="str">
        <f t="shared" ca="1" si="134"/>
        <v/>
      </c>
      <c r="BB194" s="190" t="str">
        <f t="shared" ca="1" si="164"/>
        <v/>
      </c>
      <c r="BC194" s="190"/>
      <c r="BD194" s="190" t="str">
        <f ca="1">IFERROR(IF(AND($B194&gt;=($F$16-$F$15),$B194&lt;$F$22+($F$16-$F$15)),SUM(OFFSET($T$100,($F$16-$F$15),0):$T194),""),"")</f>
        <v/>
      </c>
      <c r="BE194" s="190" t="str">
        <f t="shared" ca="1" si="159"/>
        <v/>
      </c>
      <c r="BF194" s="190" t="str">
        <f t="shared" ca="1" si="160"/>
        <v/>
      </c>
      <c r="BG194"/>
      <c r="BH194" s="190" t="str">
        <f ca="1">IF(ISNUMBER(OFFSET(BD194,-$F$21,0)),SUM(OFFSET($T$100,($F$16-$F$15+$F$21),0):$T194),"")</f>
        <v/>
      </c>
      <c r="BI194" s="190" t="str">
        <f t="shared" ca="1" si="135"/>
        <v/>
      </c>
      <c r="BJ194" s="190" t="str">
        <f t="shared" ca="1" si="161"/>
        <v/>
      </c>
      <c r="BK194" s="190"/>
      <c r="BL194" s="190" t="str">
        <f ca="1">IFERROR(IF(AND($B194&gt;=($F$17-$F$15),$B194&lt;$F$22+($F$17-$F$15)),SUM(OFFSET($T$100,($F$17-$F$15),0):$T194),""),"")</f>
        <v/>
      </c>
      <c r="BM194" s="190" t="str">
        <f t="shared" ca="1" si="136"/>
        <v/>
      </c>
      <c r="BN194" s="190" t="str">
        <f t="shared" ca="1" si="162"/>
        <v/>
      </c>
      <c r="BO194"/>
      <c r="BP194" s="190" t="str">
        <f ca="1">IF(ISNUMBER(OFFSET(BL194,-$F$21,0)),SUM(OFFSET($T$100,($F$17-$F$15+$F$21),0):$T194),"")</f>
        <v/>
      </c>
      <c r="BQ194" s="190" t="str">
        <f t="shared" ca="1" si="137"/>
        <v/>
      </c>
      <c r="BR194" s="190" t="str">
        <f t="shared" ca="1" si="163"/>
        <v/>
      </c>
      <c r="BS194" s="190"/>
      <c r="BT194"/>
      <c r="BU194"/>
      <c r="BV194"/>
      <c r="BY194" s="99"/>
      <c r="BZ194" s="99"/>
      <c r="CA194" s="280" t="str">
        <f t="shared" si="138"/>
        <v/>
      </c>
      <c r="CB194" s="71" t="str">
        <f t="shared" si="139"/>
        <v>-</v>
      </c>
      <c r="CC194" s="33"/>
      <c r="CD194" s="261" t="str">
        <f t="shared" si="140"/>
        <v/>
      </c>
      <c r="CE194" s="280" t="str">
        <f t="shared" si="141"/>
        <v>-</v>
      </c>
      <c r="CF194" s="71" t="str">
        <f t="shared" ca="1" si="142"/>
        <v>-</v>
      </c>
      <c r="CG194" s="33" t="str">
        <f t="shared" si="143"/>
        <v>94-95</v>
      </c>
      <c r="CH194" s="261" t="str">
        <f t="shared" ca="1" si="144"/>
        <v/>
      </c>
      <c r="CP194" s="99"/>
      <c r="CQ194" s="99"/>
    </row>
    <row r="195" spans="2:95" ht="13.5" customHeight="1" x14ac:dyDescent="0.2">
      <c r="B195" s="262">
        <v>95</v>
      </c>
      <c r="C195" s="237" t="str">
        <f t="shared" si="107"/>
        <v/>
      </c>
      <c r="D195" s="237" t="str">
        <f t="shared" si="145"/>
        <v>-</v>
      </c>
      <c r="E195" s="263" t="str">
        <f t="shared" si="146"/>
        <v/>
      </c>
      <c r="F195" s="264" t="str">
        <f t="shared" si="147"/>
        <v/>
      </c>
      <c r="G195" s="264" t="str">
        <f t="shared" si="148"/>
        <v/>
      </c>
      <c r="H195" s="240" t="str">
        <f t="shared" si="108"/>
        <v/>
      </c>
      <c r="I195" s="265" t="str">
        <f t="shared" si="109"/>
        <v/>
      </c>
      <c r="J195" s="265" t="str">
        <f t="shared" si="110"/>
        <v/>
      </c>
      <c r="K195" s="240" t="str">
        <f t="shared" si="111"/>
        <v/>
      </c>
      <c r="L195" s="265" t="str">
        <f t="shared" si="112"/>
        <v/>
      </c>
      <c r="M195" s="265" t="str">
        <f t="shared" si="113"/>
        <v/>
      </c>
      <c r="N195" s="240" t="str">
        <f t="shared" si="114"/>
        <v>-</v>
      </c>
      <c r="O195" s="265" t="str">
        <f t="shared" si="115"/>
        <v>-</v>
      </c>
      <c r="P195" s="265" t="str">
        <f t="shared" si="116"/>
        <v>-</v>
      </c>
      <c r="Q195" s="266" t="str">
        <f t="shared" si="117"/>
        <v>-</v>
      </c>
      <c r="R195" s="267" t="str">
        <f t="shared" si="118"/>
        <v>-</v>
      </c>
      <c r="S195" s="268" t="str">
        <f t="shared" si="119"/>
        <v>-</v>
      </c>
      <c r="T195" s="269" t="str">
        <f t="shared" si="120"/>
        <v/>
      </c>
      <c r="U195" s="221">
        <f t="shared" si="121"/>
        <v>95</v>
      </c>
      <c r="V195" s="220" t="str">
        <f t="shared" si="122"/>
        <v>-</v>
      </c>
      <c r="W195" s="221" t="str">
        <f t="shared" si="149"/>
        <v>-</v>
      </c>
      <c r="X195" s="221" t="str">
        <f t="shared" si="123"/>
        <v>-</v>
      </c>
      <c r="Y195" s="221" t="str">
        <f t="shared" si="124"/>
        <v>-</v>
      </c>
      <c r="Z195" s="270">
        <f t="shared" si="150"/>
        <v>0.1</v>
      </c>
      <c r="AA195" s="271" t="str">
        <f>IFERROR(IF(V194=1,AA$100*EXP(-(LN(2)/$D$65+0.04)*X194)*EXP(-(LN(2)/$D$65+0.1)*Y194),IF(V194=2,AA$100*EXP(-(LN(2)/$D$65+0.04)*(VLOOKUP(($F$16-$F$15)-1,U$99:Y194,4,FALSE)))*EXP(-(LN(2)/$D$65+0.1)*(VLOOKUP(($F$16-$F$15)-1,U$99:Y194,5,FALSE)))*EXP(-(LN(2)/$D$65+0.04)*X194)*EXP(-(LN(2)/$D$65+0.1)*Y194),IF(V194=3,AA$100*EXP(-(LN(2)/$D$65+0.04)*(VLOOKUP(($F$16-$F$15)-1,U$99:Y194,4,FALSE)))*EXP(-(LN(2)/$D$65+0.1)*(VLOOKUP(($F$16-$F$15)-1,U$99:Y194,5,FALSE)))*EXP(-(LN(2)/$D$65+0.04)*(VLOOKUP(($F$16-$F$15)*2-1,U$99:Y194,4,FALSE)))*EXP(-(LN(2)/$D$65+0.1)*(VLOOKUP(($F$16-$F$15)*2-1,U$99:Y194,5,FALSE)))*EXP(-(LN(2)/$D$65+0.04)*X194)*EXP(-(LN(2)/$D$65+0.1)*Y194),"-"))),"-")</f>
        <v>-</v>
      </c>
      <c r="AB195" s="271" t="str">
        <f>IFERROR(IF(V195=1,AB$100*EXP(-(LN(2)/$D$65+0.04)*X195)*EXP(-(LN(2)/$D$65+0.1)*Y195),IF(V195=2,AB$100*EXP(-(LN(2)/$D$65+0.04)*(VLOOKUP(($F$16-$F$15)-1,U$100:Y195,4,FALSE)))*EXP(-(LN(2)/$D$65+0.1)*(VLOOKUP(($F$16-$F$15)-1,U$100:Y195,5,FALSE)))*EXP(-(LN(2)/$D$65+0.04)*X195)*EXP(-(LN(2)/$D$65+0.1)*Y195),IF(V195=3,AB$100*EXP(-(LN(2)/$D$65+0.04)*(VLOOKUP(($F$16-$F$15)-1,U$100:Y195,4,FALSE)))*EXP(-(LN(2)/$D$65+0.1)*(VLOOKUP(($F$16-$F$15)-1,U$100:Y195,5,FALSE)))*EXP(-(LN(2)/$D$65+0.04)*(VLOOKUP(($F$16-$F$15)*2-1,U$100:Y195,4,FALSE)))*EXP(-(LN(2)/$D$65+0.1)*(VLOOKUP(($F$16-$F$15)*2-1,U$100:Y195,5,FALSE)))*EXP(-(LN(2)/$D$65+0.04)*X195)*EXP(-(LN(2)/$D$65+0.1)*Y195),"-"))),"-")</f>
        <v>-</v>
      </c>
      <c r="AC195" s="224">
        <f t="shared" si="151"/>
        <v>95</v>
      </c>
      <c r="AD195" s="223" t="str">
        <f t="shared" si="125"/>
        <v>-</v>
      </c>
      <c r="AE195" s="224" t="str">
        <f t="shared" si="152"/>
        <v>-</v>
      </c>
      <c r="AF195" s="224" t="str">
        <f t="shared" si="126"/>
        <v>-</v>
      </c>
      <c r="AG195" s="224" t="str">
        <f t="shared" si="127"/>
        <v>-</v>
      </c>
      <c r="AH195" s="272">
        <f t="shared" si="153"/>
        <v>0.1</v>
      </c>
      <c r="AI195" s="271" t="str">
        <f>IFERROR(IF(AD194=1,AI$100*EXP(-(LN(2)/$D$65+0.04)*AF194)*EXP(-(LN(2)/$D$65+0.1)*AG194),IF(AD194=2,AI$100*EXP(-(LN(2)/$D$65+0.04)*(VLOOKUP(($F$16-$F$15)-1,AC$99:AG194,4,FALSE)))*EXP(-(LN(2)/$D$65+0.1)*(VLOOKUP(($F$16-$F$15)-1,AC$99:AG194,5,FALSE)))*EXP(-(LN(2)/$D$65+0.04)*AF194)*EXP(-(LN(2)/$D$65+0.1)*AG194),IF(AD194=3,AI$100*EXP(-(LN(2)/$D$65+0.04)*(VLOOKUP(($F$16-$F$15)-1,AC$99:AG194,4,FALSE)))*EXP(-(LN(2)/$D$65+0.1)*(VLOOKUP(($F$16-$F$15)-1,AC$99:AG194,5,FALSE)))*EXP(-(LN(2)/$D$65+0.04)*(VLOOKUP(($F$16-$F$15)*2-1,AC$99:AG194,4,FALSE)))*EXP(-(LN(2)/$D$65+0.1)*(VLOOKUP(($F$16-$F$15)*2-1,AC$99:AG194,5,FALSE)))*EXP(-(LN(2)/$D$65+0.04)*AF194)*EXP(-(LN(2)/$D$65+0.1)*AG194),"-"))),"-")</f>
        <v>-</v>
      </c>
      <c r="AJ195" s="271" t="str">
        <f>IFERROR(IF(AD195=1,AJ$100*EXP(-(LN(2)/$D$65+0.04)*AF195)*EXP(-(LN(2)/$D$65+0.1)*AG195),IF(AD195=2,AJ$100*EXP(-(LN(2)/$D$65+0.04)*(VLOOKUP(($F$16-$F$15)-1,AC$100:AG195,4,FALSE)))*EXP(-(LN(2)/$D$65+0.1)*(VLOOKUP(($F$16-$F$15)-1,AC$100:AG195,5,FALSE)))*EXP(-(LN(2)/$D$65+0.04)*AF195)*EXP(-(LN(2)/$D$65+0.1)*AG195),IF(AD195=3,AJ$100*EXP(-(LN(2)/$D$65+0.04)*(VLOOKUP(($F$16-$F$15)-1,AC$100:AG195,4,FALSE)))*EXP(-(LN(2)/$D$65+0.1)*(VLOOKUP(($F$16-$F$15)-1,AC$100:AG195,5,FALSE)))*EXP(-(LN(2)/$D$65+0.04)*(VLOOKUP(($F$16-$F$15)*2-1,AC$100:AG195,4,FALSE)))*EXP(-(LN(2)/$D$65+0.1)*(VLOOKUP(($F$16-$F$15)*2-1,AC$100:AG195,5,FALSE)))*EXP(-(LN(2)/$D$65+0.04)*AF195)*EXP(-(LN(2)/$D$65+0.1)*AG195),"-"))),"-")</f>
        <v>-</v>
      </c>
      <c r="AK195" s="227">
        <f t="shared" si="154"/>
        <v>95</v>
      </c>
      <c r="AL195" s="226" t="str">
        <f t="shared" si="128"/>
        <v>-</v>
      </c>
      <c r="AM195" s="227" t="str">
        <f t="shared" si="155"/>
        <v>-</v>
      </c>
      <c r="AN195" s="227" t="str">
        <f t="shared" si="156"/>
        <v>-</v>
      </c>
      <c r="AO195" s="227" t="str">
        <f t="shared" si="129"/>
        <v>-</v>
      </c>
      <c r="AP195" s="273">
        <f t="shared" si="157"/>
        <v>0.1</v>
      </c>
      <c r="AQ195" s="271" t="str">
        <f>IFERROR(IF(AL194=1,AQ$100*EXP(-(LN(2)/$D$65+0.04)*AN194)*EXP(-(LN(2)/$D$65+0.1)*AO194),IF(AL194=2,AQ$100*EXP(-(LN(2)/$D$65+0.04)*(VLOOKUP(($F$16-$F$15)-1,AK$99:AO194,4,FALSE)))*EXP(-(LN(2)/$D$65+0.1)*(VLOOKUP(($F$16-$F$15)-1,AK$99:AO194,5,FALSE)))*EXP(-(LN(2)/$D$65+0.04)*AN194)*EXP(-(LN(2)/$D$65+0.1)*AO194),IF(AL194=3,AQ$100*EXP(-(LN(2)/$D$65+0.04)*(VLOOKUP(($F$16-$F$15)-1,AK$99:AO194,4,FALSE)))*EXP(-(LN(2)/$D$65+0.1)*(VLOOKUP(($F$16-$F$15)-1,AK$99:AO194,5,FALSE)))*EXP(-(LN(2)/$D$65+0.04)*(VLOOKUP(($F$16-$F$15)*2-1,AK$99:AO194,4,FALSE)))*EXP(-(LN(2)/$D$65+0.1)*(VLOOKUP(($F$16-$F$15)*2-1,AK$99:AO194,5,FALSE)))*EXP(-(LN(2)/$D$65+0.04)*AN194)*EXP(-(LN(2)/$D$65+0.1)*AO194),"-"))),"-")</f>
        <v>-</v>
      </c>
      <c r="AR195" s="271" t="str">
        <f>IFERROR(IF(AL195=1,AR$100*EXP(-(LN(2)/$D$65+0.04)*AN195)*EXP(-(LN(2)/$D$65+0.1)*AO195),IF(AL195=2,AR$100*EXP(-(LN(2)/$D$65+0.04)*(VLOOKUP(($F$16-$F$15)-1,AK$100:AO195,4,FALSE)))*EXP(-(LN(2)/$D$65+0.1)*(VLOOKUP(($F$16-$F$15)-1,AK$100:AO195,5,FALSE)))*EXP(-(LN(2)/$D$65+0.04)*AN195)*EXP(-(LN(2)/$D$65+0.1)*AO195),IF(AL195=3,AR$100*EXP(-(LN(2)/$D$65+0.04)*(VLOOKUP(($F$16-$F$15)-1,AK$100:AO195,4,FALSE)))*EXP(-(LN(2)/$D$65+0.1)*(VLOOKUP(($F$16-$F$15)-1,AK$100:AO195,5,FALSE)))*EXP(-(LN(2)/$D$65+0.04)*(VLOOKUP(($F$16-$F$15)*2-1,AK$100:AO195,4,FALSE)))*EXP(-(LN(2)/$D$65+0.1)*(VLOOKUP(($F$16-$F$15)*2-1,AK$100:AO195,5,FALSE)))*EXP(-(LN(2)/$D$65+0.04)*AN195)*EXP(-(LN(2)/$D$65+0.1)*AO195),"-"))),"-")</f>
        <v>-</v>
      </c>
      <c r="AS195" s="274">
        <f t="shared" si="130"/>
        <v>0</v>
      </c>
      <c r="AT195" s="274">
        <f t="shared" si="131"/>
        <v>0</v>
      </c>
      <c r="AU195" s="274">
        <f t="shared" si="132"/>
        <v>0</v>
      </c>
      <c r="AV195" s="190">
        <f>IF($B195&lt;$F$22,SUM($T$100:$T195),"")</f>
        <v>0</v>
      </c>
      <c r="AW195" s="190" t="str">
        <f t="shared" si="133"/>
        <v>-</v>
      </c>
      <c r="AX195" s="190" t="str">
        <f t="shared" si="158"/>
        <v/>
      </c>
      <c r="AY195"/>
      <c r="AZ195" s="190" t="str">
        <f ca="1">IF(ISNUMBER(OFFSET(AV195,-$F$21,0)),SUM(OFFSET($T$100,$F$21,0):$T195),"")</f>
        <v/>
      </c>
      <c r="BA195" s="190" t="str">
        <f t="shared" ca="1" si="134"/>
        <v/>
      </c>
      <c r="BB195" s="190" t="str">
        <f t="shared" ca="1" si="164"/>
        <v/>
      </c>
      <c r="BC195" s="190"/>
      <c r="BD195" s="190" t="str">
        <f ca="1">IFERROR(IF(AND($B195&gt;=($F$16-$F$15),$B195&lt;$F$22+($F$16-$F$15)),SUM(OFFSET($T$100,($F$16-$F$15),0):$T195),""),"")</f>
        <v/>
      </c>
      <c r="BE195" s="190" t="str">
        <f t="shared" ca="1" si="159"/>
        <v/>
      </c>
      <c r="BF195" s="190" t="str">
        <f t="shared" ca="1" si="160"/>
        <v/>
      </c>
      <c r="BG195"/>
      <c r="BH195" s="190" t="str">
        <f ca="1">IF(ISNUMBER(OFFSET(BD195,-$F$21,0)),SUM(OFFSET($T$100,($F$16-$F$15+$F$21),0):$T195),"")</f>
        <v/>
      </c>
      <c r="BI195" s="190" t="str">
        <f t="shared" ca="1" si="135"/>
        <v/>
      </c>
      <c r="BJ195" s="190" t="str">
        <f t="shared" ca="1" si="161"/>
        <v/>
      </c>
      <c r="BK195" s="190"/>
      <c r="BL195" s="190" t="str">
        <f ca="1">IFERROR(IF(AND($B195&gt;=($F$17-$F$15),$B195&lt;$F$22+($F$17-$F$15)),SUM(OFFSET($T$100,($F$17-$F$15),0):$T195),""),"")</f>
        <v/>
      </c>
      <c r="BM195" s="190" t="str">
        <f t="shared" ca="1" si="136"/>
        <v/>
      </c>
      <c r="BN195" s="190" t="str">
        <f t="shared" ca="1" si="162"/>
        <v/>
      </c>
      <c r="BO195"/>
      <c r="BP195" s="190" t="str">
        <f ca="1">IF(ISNUMBER(OFFSET(BL195,-$F$21,0)),SUM(OFFSET($T$100,($F$17-$F$15+$F$21),0):$T195),"")</f>
        <v/>
      </c>
      <c r="BQ195" s="190" t="str">
        <f t="shared" ca="1" si="137"/>
        <v/>
      </c>
      <c r="BR195" s="190" t="str">
        <f t="shared" ca="1" si="163"/>
        <v/>
      </c>
      <c r="BS195" s="190"/>
      <c r="BT195"/>
      <c r="BU195"/>
      <c r="BV195"/>
      <c r="BY195" s="99"/>
      <c r="BZ195" s="99"/>
      <c r="CA195" s="280" t="str">
        <f t="shared" si="138"/>
        <v/>
      </c>
      <c r="CB195" s="71" t="str">
        <f t="shared" si="139"/>
        <v>-</v>
      </c>
      <c r="CC195" s="33"/>
      <c r="CD195" s="261" t="str">
        <f t="shared" si="140"/>
        <v/>
      </c>
      <c r="CE195" s="280" t="str">
        <f t="shared" si="141"/>
        <v>-</v>
      </c>
      <c r="CF195" s="71" t="str">
        <f t="shared" ca="1" si="142"/>
        <v>-</v>
      </c>
      <c r="CG195" s="33" t="str">
        <f t="shared" si="143"/>
        <v>95-96</v>
      </c>
      <c r="CH195" s="261" t="str">
        <f t="shared" ca="1" si="144"/>
        <v/>
      </c>
      <c r="CP195" s="99"/>
      <c r="CQ195" s="99"/>
    </row>
    <row r="196" spans="2:95" ht="13.5" customHeight="1" x14ac:dyDescent="0.2">
      <c r="B196" s="262">
        <v>96</v>
      </c>
      <c r="C196" s="237" t="str">
        <f t="shared" ref="C196:C227" si="165">IF(ISERROR(VLOOKUP(B196,$B$39:$C$73,2,0)),"",VLOOKUP(B196,$B$39:$C$73,2,0))</f>
        <v/>
      </c>
      <c r="D196" s="237" t="str">
        <f t="shared" si="145"/>
        <v>-</v>
      </c>
      <c r="E196" s="263" t="str">
        <f t="shared" si="146"/>
        <v/>
      </c>
      <c r="F196" s="264" t="str">
        <f t="shared" si="147"/>
        <v/>
      </c>
      <c r="G196" s="264" t="str">
        <f t="shared" si="148"/>
        <v/>
      </c>
      <c r="H196" s="240" t="str">
        <f t="shared" ref="H196:H227" si="166">IF(E196&lt;&gt;"",IF($B196&lt;$F$21,"",IF(ISNUMBER(F196),IF(ISNUMBER(I196),(E196*30*50*ffp),""),(E196*30*50*ffp))),"")</f>
        <v/>
      </c>
      <c r="I196" s="265" t="str">
        <f t="shared" ref="I196:I227" si="167">IFERROR(IF(F196&lt;&gt;"",IF($B196&lt;$F$21+$F$16,"",IF(ISNUMBER(G196),IF(ISNUMBER(J196),(F196*30*50*ffp),""),(F196*30*50*ffp))),""),"")</f>
        <v/>
      </c>
      <c r="J196" s="265" t="str">
        <f t="shared" ref="J196:J227" si="168">IFERROR(IF(G196&lt;&gt;"",IF($B196&lt;$F$21+$F$17,"",(G196*30*50*ffp)),""),"")</f>
        <v/>
      </c>
      <c r="K196" s="240" t="str">
        <f t="shared" ref="K196:K227" si="169">IF(E196&lt;&gt;"",((E196*20*50*ffp)/Klevee),"")</f>
        <v/>
      </c>
      <c r="L196" s="265" t="str">
        <f t="shared" ref="L196:L227" si="170">IF(ISNUMBER(F196),((F196*20*50*ffp)/Klevee),"")</f>
        <v/>
      </c>
      <c r="M196" s="265" t="str">
        <f t="shared" ref="M196:M227" si="171">IF(ISNUMBER(G196),((G196*20*50*ffp)/Klevee),"")</f>
        <v/>
      </c>
      <c r="N196" s="240" t="str">
        <f t="shared" ref="N196:N227" si="172">IF(AND(ISNUMBER(I),ISNUMBER($F$14),ISNUMBER($F$20)),IF($B196=0,I*($J$40/100)*$J$42*1,""),"-")</f>
        <v>-</v>
      </c>
      <c r="O196" s="265" t="str">
        <f t="shared" ref="O196:O227" si="173">IF(ISNUMBER($F$14),IF($F$14&gt;1,IF($B196=0+$F$16,I*($J$40/100)*$J$42*1,""),""),"-")</f>
        <v>-</v>
      </c>
      <c r="P196" s="265" t="str">
        <f t="shared" ref="P196:P227" si="174">IF(ISNUMBER($F$14),IF($F$14&gt;2,IF($B196=0+$F$17,I*($J$40/100)*$J$42*1,""),""),"-")</f>
        <v>-</v>
      </c>
      <c r="Q196" s="266" t="str">
        <f t="shared" ref="Q196:Q227" si="175">IF(AND(ISNUMBER(I),ISNUMBER($F$14),ISNUMBER($F$20)),IF($B196=0,I*(dt/100)*$J$45*1,""),"-")</f>
        <v>-</v>
      </c>
      <c r="R196" s="267" t="str">
        <f t="shared" ref="R196:R227" si="176">IF(ISNUMBER($F$14),IF($F$14&gt;1,IF($B196=0+$F$16,I*(dt/100)*$J$45*1,""),""),"-")</f>
        <v>-</v>
      </c>
      <c r="S196" s="268" t="str">
        <f t="shared" ref="S196:S227" si="177">IF(ISNUMBER($F$14),IF($F$14&gt;2,IF($B196=0+$F$17,I*(dt/100)*$J$45*1,""),""),"-")</f>
        <v>-</v>
      </c>
      <c r="T196" s="269" t="str">
        <f t="shared" ref="T196:T227" si="178">IF(SUM(H196:S196)=0,"",SUM(H196:S196))</f>
        <v/>
      </c>
      <c r="U196" s="221">
        <f t="shared" ref="U196:U227" si="179">B196</f>
        <v>96</v>
      </c>
      <c r="V196" s="220" t="str">
        <f t="shared" si="122"/>
        <v>-</v>
      </c>
      <c r="W196" s="221" t="str">
        <f t="shared" si="149"/>
        <v>-</v>
      </c>
      <c r="X196" s="221" t="str">
        <f t="shared" ref="X196:X227" si="180">IFERROR(IF($F$21=0,0,IF(V196=V195,IF(B196-(V196-1)*($F$16-$F$15)&lt;$F$21,X195+1,X195),1)),"-")</f>
        <v>-</v>
      </c>
      <c r="Y196" s="221" t="str">
        <f t="shared" ref="Y196:Y227" si="181">IFERROR(W196-X196,"-")</f>
        <v>-</v>
      </c>
      <c r="Z196" s="270">
        <f t="shared" si="150"/>
        <v>0.1</v>
      </c>
      <c r="AA196" s="271" t="str">
        <f>IFERROR(IF(V195=1,AA$100*EXP(-(LN(2)/$D$65+0.04)*X195)*EXP(-(LN(2)/$D$65+0.1)*Y195),IF(V195=2,AA$100*EXP(-(LN(2)/$D$65+0.04)*(VLOOKUP(($F$16-$F$15)-1,U$99:Y195,4,FALSE)))*EXP(-(LN(2)/$D$65+0.1)*(VLOOKUP(($F$16-$F$15)-1,U$99:Y195,5,FALSE)))*EXP(-(LN(2)/$D$65+0.04)*X195)*EXP(-(LN(2)/$D$65+0.1)*Y195),IF(V195=3,AA$100*EXP(-(LN(2)/$D$65+0.04)*(VLOOKUP(($F$16-$F$15)-1,U$99:Y195,4,FALSE)))*EXP(-(LN(2)/$D$65+0.1)*(VLOOKUP(($F$16-$F$15)-1,U$99:Y195,5,FALSE)))*EXP(-(LN(2)/$D$65+0.04)*(VLOOKUP(($F$16-$F$15)*2-1,U$99:Y195,4,FALSE)))*EXP(-(LN(2)/$D$65+0.1)*(VLOOKUP(($F$16-$F$15)*2-1,U$99:Y195,5,FALSE)))*EXP(-(LN(2)/$D$65+0.04)*X195)*EXP(-(LN(2)/$D$65+0.1)*Y195),"-"))),"-")</f>
        <v>-</v>
      </c>
      <c r="AB196" s="271" t="str">
        <f>IFERROR(IF(V196=1,AB$100*EXP(-(LN(2)/$D$65+0.04)*X196)*EXP(-(LN(2)/$D$65+0.1)*Y196),IF(V196=2,AB$100*EXP(-(LN(2)/$D$65+0.04)*(VLOOKUP(($F$16-$F$15)-1,U$100:Y196,4,FALSE)))*EXP(-(LN(2)/$D$65+0.1)*(VLOOKUP(($F$16-$F$15)-1,U$100:Y196,5,FALSE)))*EXP(-(LN(2)/$D$65+0.04)*X196)*EXP(-(LN(2)/$D$65+0.1)*Y196),IF(V196=3,AB$100*EXP(-(LN(2)/$D$65+0.04)*(VLOOKUP(($F$16-$F$15)-1,U$100:Y196,4,FALSE)))*EXP(-(LN(2)/$D$65+0.1)*(VLOOKUP(($F$16-$F$15)-1,U$100:Y196,5,FALSE)))*EXP(-(LN(2)/$D$65+0.04)*(VLOOKUP(($F$16-$F$15)*2-1,U$100:Y196,4,FALSE)))*EXP(-(LN(2)/$D$65+0.1)*(VLOOKUP(($F$16-$F$15)*2-1,U$100:Y196,5,FALSE)))*EXP(-(LN(2)/$D$65+0.04)*X196)*EXP(-(LN(2)/$D$65+0.1)*Y196),"-"))),"-")</f>
        <v>-</v>
      </c>
      <c r="AC196" s="224">
        <f t="shared" si="151"/>
        <v>96</v>
      </c>
      <c r="AD196" s="223" t="str">
        <f t="shared" si="125"/>
        <v>-</v>
      </c>
      <c r="AE196" s="224" t="str">
        <f t="shared" si="152"/>
        <v>-</v>
      </c>
      <c r="AF196" s="224" t="str">
        <f t="shared" ref="AF196:AF227" si="182">IFERROR(IF($F$21=0,0,IF(AD196=AD195,IF(B196-(AD196-1)*($F$16-$F$15)&lt;$F$21,AF195+1,AF195),1)),"-")</f>
        <v>-</v>
      </c>
      <c r="AG196" s="224" t="str">
        <f t="shared" ref="AG196:AG227" si="183">IFERROR(AE196-AF196,"-")</f>
        <v>-</v>
      </c>
      <c r="AH196" s="272">
        <f t="shared" si="153"/>
        <v>0.1</v>
      </c>
      <c r="AI196" s="271" t="str">
        <f>IFERROR(IF(AD195=1,AI$100*EXP(-(LN(2)/$D$65+0.04)*AF195)*EXP(-(LN(2)/$D$65+0.1)*AG195),IF(AD195=2,AI$100*EXP(-(LN(2)/$D$65+0.04)*(VLOOKUP(($F$16-$F$15)-1,AC$99:AG195,4,FALSE)))*EXP(-(LN(2)/$D$65+0.1)*(VLOOKUP(($F$16-$F$15)-1,AC$99:AG195,5,FALSE)))*EXP(-(LN(2)/$D$65+0.04)*AF195)*EXP(-(LN(2)/$D$65+0.1)*AG195),IF(AD195=3,AI$100*EXP(-(LN(2)/$D$65+0.04)*(VLOOKUP(($F$16-$F$15)-1,AC$99:AG195,4,FALSE)))*EXP(-(LN(2)/$D$65+0.1)*(VLOOKUP(($F$16-$F$15)-1,AC$99:AG195,5,FALSE)))*EXP(-(LN(2)/$D$65+0.04)*(VLOOKUP(($F$16-$F$15)*2-1,AC$99:AG195,4,FALSE)))*EXP(-(LN(2)/$D$65+0.1)*(VLOOKUP(($F$16-$F$15)*2-1,AC$99:AG195,5,FALSE)))*EXP(-(LN(2)/$D$65+0.04)*AF195)*EXP(-(LN(2)/$D$65+0.1)*AG195),"-"))),"-")</f>
        <v>-</v>
      </c>
      <c r="AJ196" s="271" t="str">
        <f>IFERROR(IF(AD196=1,AJ$100*EXP(-(LN(2)/$D$65+0.04)*AF196)*EXP(-(LN(2)/$D$65+0.1)*AG196),IF(AD196=2,AJ$100*EXP(-(LN(2)/$D$65+0.04)*(VLOOKUP(($F$16-$F$15)-1,AC$100:AG196,4,FALSE)))*EXP(-(LN(2)/$D$65+0.1)*(VLOOKUP(($F$16-$F$15)-1,AC$100:AG196,5,FALSE)))*EXP(-(LN(2)/$D$65+0.04)*AF196)*EXP(-(LN(2)/$D$65+0.1)*AG196),IF(AD196=3,AJ$100*EXP(-(LN(2)/$D$65+0.04)*(VLOOKUP(($F$16-$F$15)-1,AC$100:AG196,4,FALSE)))*EXP(-(LN(2)/$D$65+0.1)*(VLOOKUP(($F$16-$F$15)-1,AC$100:AG196,5,FALSE)))*EXP(-(LN(2)/$D$65+0.04)*(VLOOKUP(($F$16-$F$15)*2-1,AC$100:AG196,4,FALSE)))*EXP(-(LN(2)/$D$65+0.1)*(VLOOKUP(($F$16-$F$15)*2-1,AC$100:AG196,5,FALSE)))*EXP(-(LN(2)/$D$65+0.04)*AF196)*EXP(-(LN(2)/$D$65+0.1)*AG196),"-"))),"-")</f>
        <v>-</v>
      </c>
      <c r="AK196" s="227">
        <f t="shared" si="154"/>
        <v>96</v>
      </c>
      <c r="AL196" s="226" t="str">
        <f t="shared" si="128"/>
        <v>-</v>
      </c>
      <c r="AM196" s="227" t="str">
        <f t="shared" si="155"/>
        <v>-</v>
      </c>
      <c r="AN196" s="227" t="str">
        <f t="shared" si="156"/>
        <v>-</v>
      </c>
      <c r="AO196" s="227" t="str">
        <f t="shared" ref="AO196:AO227" si="184">IFERROR(AM196-AN196,"-")</f>
        <v>-</v>
      </c>
      <c r="AP196" s="273">
        <f t="shared" si="157"/>
        <v>0.1</v>
      </c>
      <c r="AQ196" s="271" t="str">
        <f>IFERROR(IF(AL195=1,AQ$100*EXP(-(LN(2)/$D$65+0.04)*AN195)*EXP(-(LN(2)/$D$65+0.1)*AO195),IF(AL195=2,AQ$100*EXP(-(LN(2)/$D$65+0.04)*(VLOOKUP(($F$16-$F$15)-1,AK$99:AO195,4,FALSE)))*EXP(-(LN(2)/$D$65+0.1)*(VLOOKUP(($F$16-$F$15)-1,AK$99:AO195,5,FALSE)))*EXP(-(LN(2)/$D$65+0.04)*AN195)*EXP(-(LN(2)/$D$65+0.1)*AO195),IF(AL195=3,AQ$100*EXP(-(LN(2)/$D$65+0.04)*(VLOOKUP(($F$16-$F$15)-1,AK$99:AO195,4,FALSE)))*EXP(-(LN(2)/$D$65+0.1)*(VLOOKUP(($F$16-$F$15)-1,AK$99:AO195,5,FALSE)))*EXP(-(LN(2)/$D$65+0.04)*(VLOOKUP(($F$16-$F$15)*2-1,AK$99:AO195,4,FALSE)))*EXP(-(LN(2)/$D$65+0.1)*(VLOOKUP(($F$16-$F$15)*2-1,AK$99:AO195,5,FALSE)))*EXP(-(LN(2)/$D$65+0.04)*AN195)*EXP(-(LN(2)/$D$65+0.1)*AO195),"-"))),"-")</f>
        <v>-</v>
      </c>
      <c r="AR196" s="271" t="str">
        <f>IFERROR(IF(AL196=1,AR$100*EXP(-(LN(2)/$D$65+0.04)*AN196)*EXP(-(LN(2)/$D$65+0.1)*AO196),IF(AL196=2,AR$100*EXP(-(LN(2)/$D$65+0.04)*(VLOOKUP(($F$16-$F$15)-1,AK$100:AO196,4,FALSE)))*EXP(-(LN(2)/$D$65+0.1)*(VLOOKUP(($F$16-$F$15)-1,AK$100:AO196,5,FALSE)))*EXP(-(LN(2)/$D$65+0.04)*AN196)*EXP(-(LN(2)/$D$65+0.1)*AO196),IF(AL196=3,AR$100*EXP(-(LN(2)/$D$65+0.04)*(VLOOKUP(($F$16-$F$15)-1,AK$100:AO196,4,FALSE)))*EXP(-(LN(2)/$D$65+0.1)*(VLOOKUP(($F$16-$F$15)-1,AK$100:AO196,5,FALSE)))*EXP(-(LN(2)/$D$65+0.04)*(VLOOKUP(($F$16-$F$15)*2-1,AK$100:AO196,4,FALSE)))*EXP(-(LN(2)/$D$65+0.1)*(VLOOKUP(($F$16-$F$15)*2-1,AK$100:AO196,5,FALSE)))*EXP(-(LN(2)/$D$65+0.04)*AN196)*EXP(-(LN(2)/$D$65+0.1)*AO196),"-"))),"-")</f>
        <v>-</v>
      </c>
      <c r="AS196" s="274">
        <f t="shared" ref="AS196:AS227" si="185">SUM(H196:J196)</f>
        <v>0</v>
      </c>
      <c r="AT196" s="274">
        <f t="shared" ref="AT196:AT227" si="186">SUM(K196:M196)</f>
        <v>0</v>
      </c>
      <c r="AU196" s="274">
        <f t="shared" ref="AU196:AU227" si="187">SUM(N196:S196)</f>
        <v>0</v>
      </c>
      <c r="AV196" s="190">
        <f>IF($B196&lt;$F$22,SUM($T$100:$T196),"")</f>
        <v>0</v>
      </c>
      <c r="AW196" s="190" t="str">
        <f t="shared" ref="AW196:AW227" si="188">IF(ISNUMBER(Koc),IF(ISNUMBER(AV196),AV196*(Koc*(Ocse/100)*Pse*Vse)/(Koc*(Ocse/100)*Pse*Vse+1*86400*($B196+1)),""),"-")</f>
        <v>-</v>
      </c>
      <c r="AX196" s="190" t="str">
        <f t="shared" si="158"/>
        <v/>
      </c>
      <c r="AY196"/>
      <c r="AZ196" s="190" t="str">
        <f ca="1">IF(ISNUMBER(OFFSET(AV196,-$F$21,0)),SUM(OFFSET($T$100,$F$21,0):$T196),"")</f>
        <v/>
      </c>
      <c r="BA196" s="190" t="str">
        <f t="shared" ref="BA196:BA227" ca="1" si="189">IF(ISNUMBER(OFFSET(AV196,-$F$21,0)),AZ196*(Koc*(Ocse/100)*Pse*Vse)/(Koc*(Ocse/100)*Pse*Vse+1*86400*($B196+1)),"")</f>
        <v/>
      </c>
      <c r="BB196" s="190" t="str">
        <f t="shared" ca="1" si="164"/>
        <v/>
      </c>
      <c r="BC196" s="190"/>
      <c r="BD196" s="190" t="str">
        <f ca="1">IFERROR(IF(AND($B196&gt;=($F$16-$F$15),$B196&lt;$F$22+($F$16-$F$15)),SUM(OFFSET($T$100,($F$16-$F$15),0):$T196),""),"")</f>
        <v/>
      </c>
      <c r="BE196" s="190" t="str">
        <f t="shared" ca="1" si="159"/>
        <v/>
      </c>
      <c r="BF196" s="190" t="str">
        <f t="shared" ca="1" si="160"/>
        <v/>
      </c>
      <c r="BG196"/>
      <c r="BH196" s="190" t="str">
        <f ca="1">IF(ISNUMBER(OFFSET(BD196,-$F$21,0)),SUM(OFFSET($T$100,($F$16-$F$15+$F$21),0):$T196),"")</f>
        <v/>
      </c>
      <c r="BI196" s="190" t="str">
        <f t="shared" ref="BI196:BI227" ca="1" si="190">IF(ISNUMBER(OFFSET(BD196,-$F$21,0)),BH196*(Koc*(Ocse/100)*Pse*Vse)/(Koc*(Ocse/100)*Pse*Vse+1*86400*($B196+1)),"")</f>
        <v/>
      </c>
      <c r="BJ196" s="190" t="str">
        <f t="shared" ca="1" si="161"/>
        <v/>
      </c>
      <c r="BK196" s="190"/>
      <c r="BL196" s="190" t="str">
        <f ca="1">IFERROR(IF(AND($B196&gt;=($F$17-$F$15),$B196&lt;$F$22+($F$17-$F$15)),SUM(OFFSET($T$100,($F$17-$F$15),0):$T196),""),"")</f>
        <v/>
      </c>
      <c r="BM196" s="190" t="str">
        <f t="shared" ref="BM196:BM227" ca="1" si="191">IF(ISNUMBER(BL196),BL196*(Koc*(Ocse/100)*Pse*Vse)/(Koc*(Ocse/100)*Pse*Vse+1*86400*($B196+1)),"")</f>
        <v/>
      </c>
      <c r="BN196" s="190" t="str">
        <f t="shared" ca="1" si="162"/>
        <v/>
      </c>
      <c r="BO196"/>
      <c r="BP196" s="190" t="str">
        <f ca="1">IF(ISNUMBER(OFFSET(BL196,-$F$21,0)),SUM(OFFSET($T$100,($F$17-$F$15+$F$21),0):$T196),"")</f>
        <v/>
      </c>
      <c r="BQ196" s="190" t="str">
        <f t="shared" ref="BQ196:BQ227" ca="1" si="192">IF(ISNUMBER(OFFSET(BL196,-$F$21,0)),BP196*(Koc*(Ocse/100)*Pse*Vse)/(Koc*(Ocse/100)*Pse*Vse+1*86400*($B196+1)),"")</f>
        <v/>
      </c>
      <c r="BR196" s="190" t="str">
        <f t="shared" ca="1" si="163"/>
        <v/>
      </c>
      <c r="BS196" s="190"/>
      <c r="BT196"/>
      <c r="BU196"/>
      <c r="BV196"/>
      <c r="BY196" s="99"/>
      <c r="BZ196" s="99"/>
      <c r="CA196" s="280" t="str">
        <f t="shared" ref="CA196:CA227" si="193">IFERROR(IF($B196&lt;$CA$94,T196*(Koc*(Ocse/100)*Pse*Vse)/(Koc*(Ocse/100)*Pse*Vse+1*86400*$CA$94),""),"-")</f>
        <v/>
      </c>
      <c r="CB196" s="71" t="str">
        <f t="shared" ref="CB196:CB227" si="194">IF(ISNUMBER(T196),IF($B196&lt;$CA$94,(T196-CA196)/(3*86400)*1000,""),"-")</f>
        <v>-</v>
      </c>
      <c r="CC196" s="33"/>
      <c r="CD196" s="261" t="str">
        <f t="shared" ref="CD196:CD227" si="195">IF(CC196=CA$96,CB$96,"")</f>
        <v/>
      </c>
      <c r="CE196" s="280" t="str">
        <f t="shared" ref="CE196:CE227" si="196">IFERROR(IF($B196&lt;$CE$94,T196*(Koc*(Ocse/100)*Pse*Vse)/(Koc*(Ocse/100)*Pse*Vse+1*86400*$CE$94),""),"-")</f>
        <v>-</v>
      </c>
      <c r="CF196" s="71" t="str">
        <f t="shared" ref="CF196:CF227" ca="1" si="197">IFERROR(IF($B196&lt;$CE$94,IF(NOT(ISNUMBER(ffp)),"-",IF($F$70=$AX$87,AX196,IF($F$70=$BB$87,OFFSET(BB196,$F$21,0),IF($F$70=$BF$87,OFFSET(BF196,$F$16,0),IF($F$70=$BJ$87,OFFSET(BJ196,$F$16+$F$21,0),IF($F$70=$BN$87,OFFSET(BN196,$F$17,0),OFFSET(BR196,$F$17+$F$21,0))))))),""),"-")</f>
        <v>-</v>
      </c>
      <c r="CG196" s="33" t="str">
        <f t="shared" ref="CG196:CG227" si="198">IF($B196&lt;$CE$94,$B196&amp;"-"&amp;$B196+1,"")</f>
        <v>96-97</v>
      </c>
      <c r="CH196" s="261" t="str">
        <f t="shared" ref="CH196:CH227" ca="1" si="199">IF(CG196=CE$96,CF$96,"")</f>
        <v/>
      </c>
      <c r="CP196" s="99"/>
      <c r="CQ196" s="99"/>
    </row>
    <row r="197" spans="2:95" ht="13.5" customHeight="1" x14ac:dyDescent="0.2">
      <c r="B197" s="262">
        <v>97</v>
      </c>
      <c r="C197" s="237" t="str">
        <f t="shared" si="165"/>
        <v/>
      </c>
      <c r="D197" s="237" t="str">
        <f t="shared" ref="D197:D228" si="200">IFERROR(IF(B197&lt;$F$22,IF(ISNUMBER($D$65),IF(MAX($BU$101:$BU$120)&lt;B197, "", IF(B197=VLOOKUP(B197, $BU$101:$BU$120,1,1), C197,D196-INDEX($BY$101:$BY$120, MATCH(VLOOKUP(B197, $BU$101:$BU$120,1,1), $BU$101:$BU$120)+1, 1))),D196-VLOOKUP(MAX($BU$101:$BU$120),$BU$101:$BY$120,5)),""),"-")</f>
        <v>-</v>
      </c>
      <c r="E197" s="263" t="str">
        <f t="shared" si="146"/>
        <v/>
      </c>
      <c r="F197" s="264" t="str">
        <f t="shared" si="147"/>
        <v/>
      </c>
      <c r="G197" s="264" t="str">
        <f t="shared" si="148"/>
        <v/>
      </c>
      <c r="H197" s="240" t="str">
        <f t="shared" si="166"/>
        <v/>
      </c>
      <c r="I197" s="265" t="str">
        <f t="shared" si="167"/>
        <v/>
      </c>
      <c r="J197" s="265" t="str">
        <f t="shared" si="168"/>
        <v/>
      </c>
      <c r="K197" s="240" t="str">
        <f t="shared" si="169"/>
        <v/>
      </c>
      <c r="L197" s="265" t="str">
        <f t="shared" si="170"/>
        <v/>
      </c>
      <c r="M197" s="265" t="str">
        <f t="shared" si="171"/>
        <v/>
      </c>
      <c r="N197" s="240" t="str">
        <f t="shared" si="172"/>
        <v>-</v>
      </c>
      <c r="O197" s="265" t="str">
        <f t="shared" si="173"/>
        <v>-</v>
      </c>
      <c r="P197" s="265" t="str">
        <f t="shared" si="174"/>
        <v>-</v>
      </c>
      <c r="Q197" s="266" t="str">
        <f t="shared" si="175"/>
        <v>-</v>
      </c>
      <c r="R197" s="267" t="str">
        <f t="shared" si="176"/>
        <v>-</v>
      </c>
      <c r="S197" s="268" t="str">
        <f t="shared" si="177"/>
        <v>-</v>
      </c>
      <c r="T197" s="269" t="str">
        <f t="shared" si="178"/>
        <v/>
      </c>
      <c r="U197" s="221">
        <f t="shared" si="179"/>
        <v>97</v>
      </c>
      <c r="V197" s="220" t="str">
        <f t="shared" si="122"/>
        <v>-</v>
      </c>
      <c r="W197" s="221" t="str">
        <f t="shared" si="149"/>
        <v>-</v>
      </c>
      <c r="X197" s="221" t="str">
        <f t="shared" si="180"/>
        <v>-</v>
      </c>
      <c r="Y197" s="221" t="str">
        <f t="shared" si="181"/>
        <v>-</v>
      </c>
      <c r="Z197" s="270">
        <f t="shared" si="150"/>
        <v>0.1</v>
      </c>
      <c r="AA197" s="271" t="str">
        <f>IFERROR(IF(V196=1,AA$100*EXP(-(LN(2)/$D$65+0.04)*X196)*EXP(-(LN(2)/$D$65+0.1)*Y196),IF(V196=2,AA$100*EXP(-(LN(2)/$D$65+0.04)*(VLOOKUP(($F$16-$F$15)-1,U$99:Y196,4,FALSE)))*EXP(-(LN(2)/$D$65+0.1)*(VLOOKUP(($F$16-$F$15)-1,U$99:Y196,5,FALSE)))*EXP(-(LN(2)/$D$65+0.04)*X196)*EXP(-(LN(2)/$D$65+0.1)*Y196),IF(V196=3,AA$100*EXP(-(LN(2)/$D$65+0.04)*(VLOOKUP(($F$16-$F$15)-1,U$99:Y196,4,FALSE)))*EXP(-(LN(2)/$D$65+0.1)*(VLOOKUP(($F$16-$F$15)-1,U$99:Y196,5,FALSE)))*EXP(-(LN(2)/$D$65+0.04)*(VLOOKUP(($F$16-$F$15)*2-1,U$99:Y196,4,FALSE)))*EXP(-(LN(2)/$D$65+0.1)*(VLOOKUP(($F$16-$F$15)*2-1,U$99:Y196,5,FALSE)))*EXP(-(LN(2)/$D$65+0.04)*X196)*EXP(-(LN(2)/$D$65+0.1)*Y196),"-"))),"-")</f>
        <v>-</v>
      </c>
      <c r="AB197" s="271" t="str">
        <f>IFERROR(IF(V197=1,AB$100*EXP(-(LN(2)/$D$65+0.04)*X197)*EXP(-(LN(2)/$D$65+0.1)*Y197),IF(V197=2,AB$100*EXP(-(LN(2)/$D$65+0.04)*(VLOOKUP(($F$16-$F$15)-1,U$100:Y197,4,FALSE)))*EXP(-(LN(2)/$D$65+0.1)*(VLOOKUP(($F$16-$F$15)-1,U$100:Y197,5,FALSE)))*EXP(-(LN(2)/$D$65+0.04)*X197)*EXP(-(LN(2)/$D$65+0.1)*Y197),IF(V197=3,AB$100*EXP(-(LN(2)/$D$65+0.04)*(VLOOKUP(($F$16-$F$15)-1,U$100:Y197,4,FALSE)))*EXP(-(LN(2)/$D$65+0.1)*(VLOOKUP(($F$16-$F$15)-1,U$100:Y197,5,FALSE)))*EXP(-(LN(2)/$D$65+0.04)*(VLOOKUP(($F$16-$F$15)*2-1,U$100:Y197,4,FALSE)))*EXP(-(LN(2)/$D$65+0.1)*(VLOOKUP(($F$16-$F$15)*2-1,U$100:Y197,5,FALSE)))*EXP(-(LN(2)/$D$65+0.04)*X197)*EXP(-(LN(2)/$D$65+0.1)*Y197),"-"))),"-")</f>
        <v>-</v>
      </c>
      <c r="AC197" s="224">
        <f t="shared" si="151"/>
        <v>97</v>
      </c>
      <c r="AD197" s="223" t="str">
        <f t="shared" si="125"/>
        <v>-</v>
      </c>
      <c r="AE197" s="224" t="str">
        <f t="shared" si="152"/>
        <v>-</v>
      </c>
      <c r="AF197" s="224" t="str">
        <f t="shared" si="182"/>
        <v>-</v>
      </c>
      <c r="AG197" s="224" t="str">
        <f t="shared" si="183"/>
        <v>-</v>
      </c>
      <c r="AH197" s="272">
        <f t="shared" si="153"/>
        <v>0.1</v>
      </c>
      <c r="AI197" s="271" t="str">
        <f>IFERROR(IF(AD196=1,AI$100*EXP(-(LN(2)/$D$65+0.04)*AF196)*EXP(-(LN(2)/$D$65+0.1)*AG196),IF(AD196=2,AI$100*EXP(-(LN(2)/$D$65+0.04)*(VLOOKUP(($F$16-$F$15)-1,AC$99:AG196,4,FALSE)))*EXP(-(LN(2)/$D$65+0.1)*(VLOOKUP(($F$16-$F$15)-1,AC$99:AG196,5,FALSE)))*EXP(-(LN(2)/$D$65+0.04)*AF196)*EXP(-(LN(2)/$D$65+0.1)*AG196),IF(AD196=3,AI$100*EXP(-(LN(2)/$D$65+0.04)*(VLOOKUP(($F$16-$F$15)-1,AC$99:AG196,4,FALSE)))*EXP(-(LN(2)/$D$65+0.1)*(VLOOKUP(($F$16-$F$15)-1,AC$99:AG196,5,FALSE)))*EXP(-(LN(2)/$D$65+0.04)*(VLOOKUP(($F$16-$F$15)*2-1,AC$99:AG196,4,FALSE)))*EXP(-(LN(2)/$D$65+0.1)*(VLOOKUP(($F$16-$F$15)*2-1,AC$99:AG196,5,FALSE)))*EXP(-(LN(2)/$D$65+0.04)*AF196)*EXP(-(LN(2)/$D$65+0.1)*AG196),"-"))),"-")</f>
        <v>-</v>
      </c>
      <c r="AJ197" s="271" t="str">
        <f>IFERROR(IF(AD197=1,AJ$100*EXP(-(LN(2)/$D$65+0.04)*AF197)*EXP(-(LN(2)/$D$65+0.1)*AG197),IF(AD197=2,AJ$100*EXP(-(LN(2)/$D$65+0.04)*(VLOOKUP(($F$16-$F$15)-1,AC$100:AG197,4,FALSE)))*EXP(-(LN(2)/$D$65+0.1)*(VLOOKUP(($F$16-$F$15)-1,AC$100:AG197,5,FALSE)))*EXP(-(LN(2)/$D$65+0.04)*AF197)*EXP(-(LN(2)/$D$65+0.1)*AG197),IF(AD197=3,AJ$100*EXP(-(LN(2)/$D$65+0.04)*(VLOOKUP(($F$16-$F$15)-1,AC$100:AG197,4,FALSE)))*EXP(-(LN(2)/$D$65+0.1)*(VLOOKUP(($F$16-$F$15)-1,AC$100:AG197,5,FALSE)))*EXP(-(LN(2)/$D$65+0.04)*(VLOOKUP(($F$16-$F$15)*2-1,AC$100:AG197,4,FALSE)))*EXP(-(LN(2)/$D$65+0.1)*(VLOOKUP(($F$16-$F$15)*2-1,AC$100:AG197,5,FALSE)))*EXP(-(LN(2)/$D$65+0.04)*AF197)*EXP(-(LN(2)/$D$65+0.1)*AG197),"-"))),"-")</f>
        <v>-</v>
      </c>
      <c r="AK197" s="227">
        <f t="shared" si="154"/>
        <v>97</v>
      </c>
      <c r="AL197" s="226" t="str">
        <f t="shared" si="128"/>
        <v>-</v>
      </c>
      <c r="AM197" s="227" t="str">
        <f t="shared" si="155"/>
        <v>-</v>
      </c>
      <c r="AN197" s="227" t="str">
        <f t="shared" si="156"/>
        <v>-</v>
      </c>
      <c r="AO197" s="227" t="str">
        <f t="shared" si="184"/>
        <v>-</v>
      </c>
      <c r="AP197" s="273">
        <f t="shared" si="157"/>
        <v>0.1</v>
      </c>
      <c r="AQ197" s="271" t="str">
        <f>IFERROR(IF(AL196=1,AQ$100*EXP(-(LN(2)/$D$65+0.04)*AN196)*EXP(-(LN(2)/$D$65+0.1)*AO196),IF(AL196=2,AQ$100*EXP(-(LN(2)/$D$65+0.04)*(VLOOKUP(($F$16-$F$15)-1,AK$99:AO196,4,FALSE)))*EXP(-(LN(2)/$D$65+0.1)*(VLOOKUP(($F$16-$F$15)-1,AK$99:AO196,5,FALSE)))*EXP(-(LN(2)/$D$65+0.04)*AN196)*EXP(-(LN(2)/$D$65+0.1)*AO196),IF(AL196=3,AQ$100*EXP(-(LN(2)/$D$65+0.04)*(VLOOKUP(($F$16-$F$15)-1,AK$99:AO196,4,FALSE)))*EXP(-(LN(2)/$D$65+0.1)*(VLOOKUP(($F$16-$F$15)-1,AK$99:AO196,5,FALSE)))*EXP(-(LN(2)/$D$65+0.04)*(VLOOKUP(($F$16-$F$15)*2-1,AK$99:AO196,4,FALSE)))*EXP(-(LN(2)/$D$65+0.1)*(VLOOKUP(($F$16-$F$15)*2-1,AK$99:AO196,5,FALSE)))*EXP(-(LN(2)/$D$65+0.04)*AN196)*EXP(-(LN(2)/$D$65+0.1)*AO196),"-"))),"-")</f>
        <v>-</v>
      </c>
      <c r="AR197" s="271" t="str">
        <f>IFERROR(IF(AL197=1,AR$100*EXP(-(LN(2)/$D$65+0.04)*AN197)*EXP(-(LN(2)/$D$65+0.1)*AO197),IF(AL197=2,AR$100*EXP(-(LN(2)/$D$65+0.04)*(VLOOKUP(($F$16-$F$15)-1,AK$100:AO197,4,FALSE)))*EXP(-(LN(2)/$D$65+0.1)*(VLOOKUP(($F$16-$F$15)-1,AK$100:AO197,5,FALSE)))*EXP(-(LN(2)/$D$65+0.04)*AN197)*EXP(-(LN(2)/$D$65+0.1)*AO197),IF(AL197=3,AR$100*EXP(-(LN(2)/$D$65+0.04)*(VLOOKUP(($F$16-$F$15)-1,AK$100:AO197,4,FALSE)))*EXP(-(LN(2)/$D$65+0.1)*(VLOOKUP(($F$16-$F$15)-1,AK$100:AO197,5,FALSE)))*EXP(-(LN(2)/$D$65+0.04)*(VLOOKUP(($F$16-$F$15)*2-1,AK$100:AO197,4,FALSE)))*EXP(-(LN(2)/$D$65+0.1)*(VLOOKUP(($F$16-$F$15)*2-1,AK$100:AO197,5,FALSE)))*EXP(-(LN(2)/$D$65+0.04)*AN197)*EXP(-(LN(2)/$D$65+0.1)*AO197),"-"))),"-")</f>
        <v>-</v>
      </c>
      <c r="AS197" s="274">
        <f t="shared" si="185"/>
        <v>0</v>
      </c>
      <c r="AT197" s="274">
        <f t="shared" si="186"/>
        <v>0</v>
      </c>
      <c r="AU197" s="274">
        <f t="shared" si="187"/>
        <v>0</v>
      </c>
      <c r="AV197" s="190">
        <f>IF($B197&lt;$F$22,SUM($T$100:$T197),"")</f>
        <v>0</v>
      </c>
      <c r="AW197" s="190" t="str">
        <f t="shared" si="188"/>
        <v>-</v>
      </c>
      <c r="AX197" s="190" t="str">
        <f t="shared" si="158"/>
        <v/>
      </c>
      <c r="AY197"/>
      <c r="AZ197" s="190" t="str">
        <f ca="1">IF(ISNUMBER(OFFSET(AV197,-$F$21,0)),SUM(OFFSET($T$100,$F$21,0):$T197),"")</f>
        <v/>
      </c>
      <c r="BA197" s="190" t="str">
        <f t="shared" ca="1" si="189"/>
        <v/>
      </c>
      <c r="BB197" s="190" t="str">
        <f t="shared" ca="1" si="164"/>
        <v/>
      </c>
      <c r="BC197" s="190"/>
      <c r="BD197" s="190" t="str">
        <f ca="1">IFERROR(IF(AND($B197&gt;=($F$16-$F$15),$B197&lt;$F$22+($F$16-$F$15)),SUM(OFFSET($T$100,($F$16-$F$15),0):$T197),""),"")</f>
        <v/>
      </c>
      <c r="BE197" s="190" t="str">
        <f t="shared" ca="1" si="159"/>
        <v/>
      </c>
      <c r="BF197" s="190" t="str">
        <f t="shared" ca="1" si="160"/>
        <v/>
      </c>
      <c r="BG197"/>
      <c r="BH197" s="190" t="str">
        <f ca="1">IF(ISNUMBER(OFFSET(BD197,-$F$21,0)),SUM(OFFSET($T$100,($F$16-$F$15+$F$21),0):$T197),"")</f>
        <v/>
      </c>
      <c r="BI197" s="190" t="str">
        <f t="shared" ca="1" si="190"/>
        <v/>
      </c>
      <c r="BJ197" s="190" t="str">
        <f t="shared" ca="1" si="161"/>
        <v/>
      </c>
      <c r="BK197" s="190"/>
      <c r="BL197" s="190" t="str">
        <f ca="1">IFERROR(IF(AND($B197&gt;=($F$17-$F$15),$B197&lt;$F$22+($F$17-$F$15)),SUM(OFFSET($T$100,($F$17-$F$15),0):$T197),""),"")</f>
        <v/>
      </c>
      <c r="BM197" s="190" t="str">
        <f t="shared" ca="1" si="191"/>
        <v/>
      </c>
      <c r="BN197" s="190" t="str">
        <f t="shared" ca="1" si="162"/>
        <v/>
      </c>
      <c r="BO197"/>
      <c r="BP197" s="190" t="str">
        <f ca="1">IF(ISNUMBER(OFFSET(BL197,-$F$21,0)),SUM(OFFSET($T$100,($F$17-$F$15+$F$21),0):$T197),"")</f>
        <v/>
      </c>
      <c r="BQ197" s="190" t="str">
        <f t="shared" ca="1" si="192"/>
        <v/>
      </c>
      <c r="BR197" s="190" t="str">
        <f t="shared" ca="1" si="163"/>
        <v/>
      </c>
      <c r="BS197" s="190"/>
      <c r="BT197"/>
      <c r="BU197"/>
      <c r="BV197"/>
      <c r="BY197" s="99"/>
      <c r="BZ197" s="99"/>
      <c r="CA197" s="280" t="str">
        <f t="shared" si="193"/>
        <v/>
      </c>
      <c r="CB197" s="71" t="str">
        <f t="shared" si="194"/>
        <v>-</v>
      </c>
      <c r="CC197" s="33"/>
      <c r="CD197" s="261" t="str">
        <f t="shared" si="195"/>
        <v/>
      </c>
      <c r="CE197" s="280" t="str">
        <f t="shared" si="196"/>
        <v>-</v>
      </c>
      <c r="CF197" s="71" t="str">
        <f t="shared" ca="1" si="197"/>
        <v>-</v>
      </c>
      <c r="CG197" s="33" t="str">
        <f t="shared" si="198"/>
        <v>97-98</v>
      </c>
      <c r="CH197" s="261" t="str">
        <f t="shared" ca="1" si="199"/>
        <v/>
      </c>
      <c r="CP197" s="99"/>
      <c r="CQ197" s="99"/>
    </row>
    <row r="198" spans="2:95" ht="13.5" customHeight="1" x14ac:dyDescent="0.2">
      <c r="B198" s="262">
        <v>98</v>
      </c>
      <c r="C198" s="237" t="str">
        <f t="shared" si="165"/>
        <v/>
      </c>
      <c r="D198" s="237" t="str">
        <f t="shared" si="200"/>
        <v>-</v>
      </c>
      <c r="E198" s="263" t="str">
        <f t="shared" si="146"/>
        <v/>
      </c>
      <c r="F198" s="264" t="str">
        <f t="shared" si="147"/>
        <v/>
      </c>
      <c r="G198" s="264" t="str">
        <f t="shared" si="148"/>
        <v/>
      </c>
      <c r="H198" s="240" t="str">
        <f t="shared" si="166"/>
        <v/>
      </c>
      <c r="I198" s="265" t="str">
        <f t="shared" si="167"/>
        <v/>
      </c>
      <c r="J198" s="265" t="str">
        <f t="shared" si="168"/>
        <v/>
      </c>
      <c r="K198" s="240" t="str">
        <f t="shared" si="169"/>
        <v/>
      </c>
      <c r="L198" s="265" t="str">
        <f t="shared" si="170"/>
        <v/>
      </c>
      <c r="M198" s="265" t="str">
        <f t="shared" si="171"/>
        <v/>
      </c>
      <c r="N198" s="240" t="str">
        <f t="shared" si="172"/>
        <v>-</v>
      </c>
      <c r="O198" s="265" t="str">
        <f t="shared" si="173"/>
        <v>-</v>
      </c>
      <c r="P198" s="265" t="str">
        <f t="shared" si="174"/>
        <v>-</v>
      </c>
      <c r="Q198" s="266" t="str">
        <f t="shared" si="175"/>
        <v>-</v>
      </c>
      <c r="R198" s="267" t="str">
        <f t="shared" si="176"/>
        <v>-</v>
      </c>
      <c r="S198" s="268" t="str">
        <f t="shared" si="177"/>
        <v>-</v>
      </c>
      <c r="T198" s="269" t="str">
        <f t="shared" si="178"/>
        <v/>
      </c>
      <c r="U198" s="221">
        <f t="shared" si="179"/>
        <v>98</v>
      </c>
      <c r="V198" s="220" t="str">
        <f t="shared" si="122"/>
        <v>-</v>
      </c>
      <c r="W198" s="221" t="str">
        <f t="shared" si="149"/>
        <v>-</v>
      </c>
      <c r="X198" s="221" t="str">
        <f t="shared" si="180"/>
        <v>-</v>
      </c>
      <c r="Y198" s="221" t="str">
        <f t="shared" si="181"/>
        <v>-</v>
      </c>
      <c r="Z198" s="270">
        <f t="shared" si="150"/>
        <v>0.1</v>
      </c>
      <c r="AA198" s="271" t="str">
        <f>IFERROR(IF(V197=1,AA$100*EXP(-(LN(2)/$D$65+0.04)*X197)*EXP(-(LN(2)/$D$65+0.1)*Y197),IF(V197=2,AA$100*EXP(-(LN(2)/$D$65+0.04)*(VLOOKUP(($F$16-$F$15)-1,U$99:Y197,4,FALSE)))*EXP(-(LN(2)/$D$65+0.1)*(VLOOKUP(($F$16-$F$15)-1,U$99:Y197,5,FALSE)))*EXP(-(LN(2)/$D$65+0.04)*X197)*EXP(-(LN(2)/$D$65+0.1)*Y197),IF(V197=3,AA$100*EXP(-(LN(2)/$D$65+0.04)*(VLOOKUP(($F$16-$F$15)-1,U$99:Y197,4,FALSE)))*EXP(-(LN(2)/$D$65+0.1)*(VLOOKUP(($F$16-$F$15)-1,U$99:Y197,5,FALSE)))*EXP(-(LN(2)/$D$65+0.04)*(VLOOKUP(($F$16-$F$15)*2-1,U$99:Y197,4,FALSE)))*EXP(-(LN(2)/$D$65+0.1)*(VLOOKUP(($F$16-$F$15)*2-1,U$99:Y197,5,FALSE)))*EXP(-(LN(2)/$D$65+0.04)*X197)*EXP(-(LN(2)/$D$65+0.1)*Y197),"-"))),"-")</f>
        <v>-</v>
      </c>
      <c r="AB198" s="271" t="str">
        <f>IFERROR(IF(V198=1,AB$100*EXP(-(LN(2)/$D$65+0.04)*X198)*EXP(-(LN(2)/$D$65+0.1)*Y198),IF(V198=2,AB$100*EXP(-(LN(2)/$D$65+0.04)*(VLOOKUP(($F$16-$F$15)-1,U$100:Y198,4,FALSE)))*EXP(-(LN(2)/$D$65+0.1)*(VLOOKUP(($F$16-$F$15)-1,U$100:Y198,5,FALSE)))*EXP(-(LN(2)/$D$65+0.04)*X198)*EXP(-(LN(2)/$D$65+0.1)*Y198),IF(V198=3,AB$100*EXP(-(LN(2)/$D$65+0.04)*(VLOOKUP(($F$16-$F$15)-1,U$100:Y198,4,FALSE)))*EXP(-(LN(2)/$D$65+0.1)*(VLOOKUP(($F$16-$F$15)-1,U$100:Y198,5,FALSE)))*EXP(-(LN(2)/$D$65+0.04)*(VLOOKUP(($F$16-$F$15)*2-1,U$100:Y198,4,FALSE)))*EXP(-(LN(2)/$D$65+0.1)*(VLOOKUP(($F$16-$F$15)*2-1,U$100:Y198,5,FALSE)))*EXP(-(LN(2)/$D$65+0.04)*X198)*EXP(-(LN(2)/$D$65+0.1)*Y198),"-"))),"-")</f>
        <v>-</v>
      </c>
      <c r="AC198" s="224">
        <f t="shared" si="151"/>
        <v>98</v>
      </c>
      <c r="AD198" s="223" t="str">
        <f t="shared" si="125"/>
        <v>-</v>
      </c>
      <c r="AE198" s="224" t="str">
        <f t="shared" si="152"/>
        <v>-</v>
      </c>
      <c r="AF198" s="224" t="str">
        <f t="shared" si="182"/>
        <v>-</v>
      </c>
      <c r="AG198" s="224" t="str">
        <f t="shared" si="183"/>
        <v>-</v>
      </c>
      <c r="AH198" s="272">
        <f t="shared" si="153"/>
        <v>0.1</v>
      </c>
      <c r="AI198" s="271" t="str">
        <f>IFERROR(IF(AD197=1,AI$100*EXP(-(LN(2)/$D$65+0.04)*AF197)*EXP(-(LN(2)/$D$65+0.1)*AG197),IF(AD197=2,AI$100*EXP(-(LN(2)/$D$65+0.04)*(VLOOKUP(($F$16-$F$15)-1,AC$99:AG197,4,FALSE)))*EXP(-(LN(2)/$D$65+0.1)*(VLOOKUP(($F$16-$F$15)-1,AC$99:AG197,5,FALSE)))*EXP(-(LN(2)/$D$65+0.04)*AF197)*EXP(-(LN(2)/$D$65+0.1)*AG197),IF(AD197=3,AI$100*EXP(-(LN(2)/$D$65+0.04)*(VLOOKUP(($F$16-$F$15)-1,AC$99:AG197,4,FALSE)))*EXP(-(LN(2)/$D$65+0.1)*(VLOOKUP(($F$16-$F$15)-1,AC$99:AG197,5,FALSE)))*EXP(-(LN(2)/$D$65+0.04)*(VLOOKUP(($F$16-$F$15)*2-1,AC$99:AG197,4,FALSE)))*EXP(-(LN(2)/$D$65+0.1)*(VLOOKUP(($F$16-$F$15)*2-1,AC$99:AG197,5,FALSE)))*EXP(-(LN(2)/$D$65+0.04)*AF197)*EXP(-(LN(2)/$D$65+0.1)*AG197),"-"))),"-")</f>
        <v>-</v>
      </c>
      <c r="AJ198" s="271" t="str">
        <f>IFERROR(IF(AD198=1,AJ$100*EXP(-(LN(2)/$D$65+0.04)*AF198)*EXP(-(LN(2)/$D$65+0.1)*AG198),IF(AD198=2,AJ$100*EXP(-(LN(2)/$D$65+0.04)*(VLOOKUP(($F$16-$F$15)-1,AC$100:AG198,4,FALSE)))*EXP(-(LN(2)/$D$65+0.1)*(VLOOKUP(($F$16-$F$15)-1,AC$100:AG198,5,FALSE)))*EXP(-(LN(2)/$D$65+0.04)*AF198)*EXP(-(LN(2)/$D$65+0.1)*AG198),IF(AD198=3,AJ$100*EXP(-(LN(2)/$D$65+0.04)*(VLOOKUP(($F$16-$F$15)-1,AC$100:AG198,4,FALSE)))*EXP(-(LN(2)/$D$65+0.1)*(VLOOKUP(($F$16-$F$15)-1,AC$100:AG198,5,FALSE)))*EXP(-(LN(2)/$D$65+0.04)*(VLOOKUP(($F$16-$F$15)*2-1,AC$100:AG198,4,FALSE)))*EXP(-(LN(2)/$D$65+0.1)*(VLOOKUP(($F$16-$F$15)*2-1,AC$100:AG198,5,FALSE)))*EXP(-(LN(2)/$D$65+0.04)*AF198)*EXP(-(LN(2)/$D$65+0.1)*AG198),"-"))),"-")</f>
        <v>-</v>
      </c>
      <c r="AK198" s="227">
        <f t="shared" si="154"/>
        <v>98</v>
      </c>
      <c r="AL198" s="226" t="str">
        <f t="shared" si="128"/>
        <v>-</v>
      </c>
      <c r="AM198" s="227" t="str">
        <f t="shared" si="155"/>
        <v>-</v>
      </c>
      <c r="AN198" s="227" t="str">
        <f t="shared" si="156"/>
        <v>-</v>
      </c>
      <c r="AO198" s="227" t="str">
        <f t="shared" si="184"/>
        <v>-</v>
      </c>
      <c r="AP198" s="273">
        <f t="shared" si="157"/>
        <v>0.1</v>
      </c>
      <c r="AQ198" s="271" t="str">
        <f>IFERROR(IF(AL197=1,AQ$100*EXP(-(LN(2)/$D$65+0.04)*AN197)*EXP(-(LN(2)/$D$65+0.1)*AO197),IF(AL197=2,AQ$100*EXP(-(LN(2)/$D$65+0.04)*(VLOOKUP(($F$16-$F$15)-1,AK$99:AO197,4,FALSE)))*EXP(-(LN(2)/$D$65+0.1)*(VLOOKUP(($F$16-$F$15)-1,AK$99:AO197,5,FALSE)))*EXP(-(LN(2)/$D$65+0.04)*AN197)*EXP(-(LN(2)/$D$65+0.1)*AO197),IF(AL197=3,AQ$100*EXP(-(LN(2)/$D$65+0.04)*(VLOOKUP(($F$16-$F$15)-1,AK$99:AO197,4,FALSE)))*EXP(-(LN(2)/$D$65+0.1)*(VLOOKUP(($F$16-$F$15)-1,AK$99:AO197,5,FALSE)))*EXP(-(LN(2)/$D$65+0.04)*(VLOOKUP(($F$16-$F$15)*2-1,AK$99:AO197,4,FALSE)))*EXP(-(LN(2)/$D$65+0.1)*(VLOOKUP(($F$16-$F$15)*2-1,AK$99:AO197,5,FALSE)))*EXP(-(LN(2)/$D$65+0.04)*AN197)*EXP(-(LN(2)/$D$65+0.1)*AO197),"-"))),"-")</f>
        <v>-</v>
      </c>
      <c r="AR198" s="271" t="str">
        <f>IFERROR(IF(AL198=1,AR$100*EXP(-(LN(2)/$D$65+0.04)*AN198)*EXP(-(LN(2)/$D$65+0.1)*AO198),IF(AL198=2,AR$100*EXP(-(LN(2)/$D$65+0.04)*(VLOOKUP(($F$16-$F$15)-1,AK$100:AO198,4,FALSE)))*EXP(-(LN(2)/$D$65+0.1)*(VLOOKUP(($F$16-$F$15)-1,AK$100:AO198,5,FALSE)))*EXP(-(LN(2)/$D$65+0.04)*AN198)*EXP(-(LN(2)/$D$65+0.1)*AO198),IF(AL198=3,AR$100*EXP(-(LN(2)/$D$65+0.04)*(VLOOKUP(($F$16-$F$15)-1,AK$100:AO198,4,FALSE)))*EXP(-(LN(2)/$D$65+0.1)*(VLOOKUP(($F$16-$F$15)-1,AK$100:AO198,5,FALSE)))*EXP(-(LN(2)/$D$65+0.04)*(VLOOKUP(($F$16-$F$15)*2-1,AK$100:AO198,4,FALSE)))*EXP(-(LN(2)/$D$65+0.1)*(VLOOKUP(($F$16-$F$15)*2-1,AK$100:AO198,5,FALSE)))*EXP(-(LN(2)/$D$65+0.04)*AN198)*EXP(-(LN(2)/$D$65+0.1)*AO198),"-"))),"-")</f>
        <v>-</v>
      </c>
      <c r="AS198" s="274">
        <f t="shared" si="185"/>
        <v>0</v>
      </c>
      <c r="AT198" s="274">
        <f t="shared" si="186"/>
        <v>0</v>
      </c>
      <c r="AU198" s="274">
        <f t="shared" si="187"/>
        <v>0</v>
      </c>
      <c r="AV198" s="190">
        <f>IF($B198&lt;$F$22,SUM($T$100:$T198),"")</f>
        <v>0</v>
      </c>
      <c r="AW198" s="190" t="str">
        <f t="shared" si="188"/>
        <v>-</v>
      </c>
      <c r="AX198" s="190" t="str">
        <f t="shared" si="158"/>
        <v/>
      </c>
      <c r="AY198"/>
      <c r="AZ198" s="190" t="str">
        <f ca="1">IF(ISNUMBER(OFFSET(AV198,-$F$21,0)),SUM(OFFSET($T$100,$F$21,0):$T198),"")</f>
        <v/>
      </c>
      <c r="BA198" s="190" t="str">
        <f t="shared" ca="1" si="189"/>
        <v/>
      </c>
      <c r="BB198" s="190" t="str">
        <f t="shared" ca="1" si="164"/>
        <v/>
      </c>
      <c r="BC198" s="190"/>
      <c r="BD198" s="190" t="str">
        <f ca="1">IFERROR(IF(AND($B198&gt;=($F$16-$F$15),$B198&lt;$F$22+($F$16-$F$15)),SUM(OFFSET($T$100,($F$16-$F$15),0):$T198),""),"")</f>
        <v/>
      </c>
      <c r="BE198" s="190" t="str">
        <f t="shared" ca="1" si="159"/>
        <v/>
      </c>
      <c r="BF198" s="190" t="str">
        <f t="shared" ca="1" si="160"/>
        <v/>
      </c>
      <c r="BG198"/>
      <c r="BH198" s="190" t="str">
        <f ca="1">IF(ISNUMBER(OFFSET(BD198,-$F$21,0)),SUM(OFFSET($T$100,($F$16-$F$15+$F$21),0):$T198),"")</f>
        <v/>
      </c>
      <c r="BI198" s="190" t="str">
        <f t="shared" ca="1" si="190"/>
        <v/>
      </c>
      <c r="BJ198" s="190" t="str">
        <f t="shared" ca="1" si="161"/>
        <v/>
      </c>
      <c r="BK198" s="190"/>
      <c r="BL198" s="190" t="str">
        <f ca="1">IFERROR(IF(AND($B198&gt;=($F$17-$F$15),$B198&lt;$F$22+($F$17-$F$15)),SUM(OFFSET($T$100,($F$17-$F$15),0):$T198),""),"")</f>
        <v/>
      </c>
      <c r="BM198" s="190" t="str">
        <f t="shared" ca="1" si="191"/>
        <v/>
      </c>
      <c r="BN198" s="190" t="str">
        <f t="shared" ca="1" si="162"/>
        <v/>
      </c>
      <c r="BO198"/>
      <c r="BP198" s="190" t="str">
        <f ca="1">IF(ISNUMBER(OFFSET(BL198,-$F$21,0)),SUM(OFFSET($T$100,($F$17-$F$15+$F$21),0):$T198),"")</f>
        <v/>
      </c>
      <c r="BQ198" s="190" t="str">
        <f t="shared" ca="1" si="192"/>
        <v/>
      </c>
      <c r="BR198" s="190" t="str">
        <f t="shared" ca="1" si="163"/>
        <v/>
      </c>
      <c r="BS198" s="190"/>
      <c r="BT198"/>
      <c r="BU198"/>
      <c r="BV198"/>
      <c r="BY198" s="99"/>
      <c r="BZ198" s="99"/>
      <c r="CA198" s="280" t="str">
        <f t="shared" si="193"/>
        <v/>
      </c>
      <c r="CB198" s="71" t="str">
        <f t="shared" si="194"/>
        <v>-</v>
      </c>
      <c r="CC198" s="33"/>
      <c r="CD198" s="261" t="str">
        <f t="shared" si="195"/>
        <v/>
      </c>
      <c r="CE198" s="280" t="str">
        <f t="shared" si="196"/>
        <v>-</v>
      </c>
      <c r="CF198" s="71" t="str">
        <f t="shared" ca="1" si="197"/>
        <v>-</v>
      </c>
      <c r="CG198" s="33" t="str">
        <f t="shared" si="198"/>
        <v>98-99</v>
      </c>
      <c r="CH198" s="261" t="str">
        <f t="shared" ca="1" si="199"/>
        <v/>
      </c>
      <c r="CP198" s="99"/>
      <c r="CQ198" s="99"/>
    </row>
    <row r="199" spans="2:95" ht="13.5" customHeight="1" x14ac:dyDescent="0.2">
      <c r="B199" s="262">
        <v>99</v>
      </c>
      <c r="C199" s="237" t="str">
        <f t="shared" si="165"/>
        <v/>
      </c>
      <c r="D199" s="237" t="str">
        <f t="shared" si="200"/>
        <v>-</v>
      </c>
      <c r="E199" s="263" t="str">
        <f t="shared" si="146"/>
        <v/>
      </c>
      <c r="F199" s="264" t="str">
        <f t="shared" si="147"/>
        <v/>
      </c>
      <c r="G199" s="264" t="str">
        <f t="shared" si="148"/>
        <v/>
      </c>
      <c r="H199" s="240" t="str">
        <f t="shared" si="166"/>
        <v/>
      </c>
      <c r="I199" s="265" t="str">
        <f t="shared" si="167"/>
        <v/>
      </c>
      <c r="J199" s="265" t="str">
        <f t="shared" si="168"/>
        <v/>
      </c>
      <c r="K199" s="240" t="str">
        <f t="shared" si="169"/>
        <v/>
      </c>
      <c r="L199" s="265" t="str">
        <f t="shared" si="170"/>
        <v/>
      </c>
      <c r="M199" s="265" t="str">
        <f t="shared" si="171"/>
        <v/>
      </c>
      <c r="N199" s="240" t="str">
        <f t="shared" si="172"/>
        <v>-</v>
      </c>
      <c r="O199" s="265" t="str">
        <f t="shared" si="173"/>
        <v>-</v>
      </c>
      <c r="P199" s="265" t="str">
        <f t="shared" si="174"/>
        <v>-</v>
      </c>
      <c r="Q199" s="266" t="str">
        <f t="shared" si="175"/>
        <v>-</v>
      </c>
      <c r="R199" s="267" t="str">
        <f t="shared" si="176"/>
        <v>-</v>
      </c>
      <c r="S199" s="268" t="str">
        <f t="shared" si="177"/>
        <v>-</v>
      </c>
      <c r="T199" s="269" t="str">
        <f t="shared" si="178"/>
        <v/>
      </c>
      <c r="U199" s="221">
        <f t="shared" si="179"/>
        <v>99</v>
      </c>
      <c r="V199" s="220" t="str">
        <f t="shared" si="122"/>
        <v>-</v>
      </c>
      <c r="W199" s="221" t="str">
        <f t="shared" si="149"/>
        <v>-</v>
      </c>
      <c r="X199" s="221" t="str">
        <f t="shared" si="180"/>
        <v>-</v>
      </c>
      <c r="Y199" s="221" t="str">
        <f t="shared" si="181"/>
        <v>-</v>
      </c>
      <c r="Z199" s="270">
        <f t="shared" si="150"/>
        <v>0.1</v>
      </c>
      <c r="AA199" s="271" t="str">
        <f>IFERROR(IF(V198=1,AA$100*EXP(-(LN(2)/$D$65+0.04)*X198)*EXP(-(LN(2)/$D$65+0.1)*Y198),IF(V198=2,AA$100*EXP(-(LN(2)/$D$65+0.04)*(VLOOKUP(($F$16-$F$15)-1,U$99:Y198,4,FALSE)))*EXP(-(LN(2)/$D$65+0.1)*(VLOOKUP(($F$16-$F$15)-1,U$99:Y198,5,FALSE)))*EXP(-(LN(2)/$D$65+0.04)*X198)*EXP(-(LN(2)/$D$65+0.1)*Y198),IF(V198=3,AA$100*EXP(-(LN(2)/$D$65+0.04)*(VLOOKUP(($F$16-$F$15)-1,U$99:Y198,4,FALSE)))*EXP(-(LN(2)/$D$65+0.1)*(VLOOKUP(($F$16-$F$15)-1,U$99:Y198,5,FALSE)))*EXP(-(LN(2)/$D$65+0.04)*(VLOOKUP(($F$16-$F$15)*2-1,U$99:Y198,4,FALSE)))*EXP(-(LN(2)/$D$65+0.1)*(VLOOKUP(($F$16-$F$15)*2-1,U$99:Y198,5,FALSE)))*EXP(-(LN(2)/$D$65+0.04)*X198)*EXP(-(LN(2)/$D$65+0.1)*Y198),"-"))),"-")</f>
        <v>-</v>
      </c>
      <c r="AB199" s="271" t="str">
        <f>IFERROR(IF(V199=1,AB$100*EXP(-(LN(2)/$D$65+0.04)*X199)*EXP(-(LN(2)/$D$65+0.1)*Y199),IF(V199=2,AB$100*EXP(-(LN(2)/$D$65+0.04)*(VLOOKUP(($F$16-$F$15)-1,U$100:Y199,4,FALSE)))*EXP(-(LN(2)/$D$65+0.1)*(VLOOKUP(($F$16-$F$15)-1,U$100:Y199,5,FALSE)))*EXP(-(LN(2)/$D$65+0.04)*X199)*EXP(-(LN(2)/$D$65+0.1)*Y199),IF(V199=3,AB$100*EXP(-(LN(2)/$D$65+0.04)*(VLOOKUP(($F$16-$F$15)-1,U$100:Y199,4,FALSE)))*EXP(-(LN(2)/$D$65+0.1)*(VLOOKUP(($F$16-$F$15)-1,U$100:Y199,5,FALSE)))*EXP(-(LN(2)/$D$65+0.04)*(VLOOKUP(($F$16-$F$15)*2-1,U$100:Y199,4,FALSE)))*EXP(-(LN(2)/$D$65+0.1)*(VLOOKUP(($F$16-$F$15)*2-1,U$100:Y199,5,FALSE)))*EXP(-(LN(2)/$D$65+0.04)*X199)*EXP(-(LN(2)/$D$65+0.1)*Y199),"-"))),"-")</f>
        <v>-</v>
      </c>
      <c r="AC199" s="224">
        <f t="shared" si="151"/>
        <v>99</v>
      </c>
      <c r="AD199" s="223" t="str">
        <f t="shared" si="125"/>
        <v>-</v>
      </c>
      <c r="AE199" s="224" t="str">
        <f t="shared" si="152"/>
        <v>-</v>
      </c>
      <c r="AF199" s="224" t="str">
        <f t="shared" si="182"/>
        <v>-</v>
      </c>
      <c r="AG199" s="224" t="str">
        <f t="shared" si="183"/>
        <v>-</v>
      </c>
      <c r="AH199" s="272">
        <f t="shared" si="153"/>
        <v>0.1</v>
      </c>
      <c r="AI199" s="271" t="str">
        <f>IFERROR(IF(AD198=1,AI$100*EXP(-(LN(2)/$D$65+0.04)*AF198)*EXP(-(LN(2)/$D$65+0.1)*AG198),IF(AD198=2,AI$100*EXP(-(LN(2)/$D$65+0.04)*(VLOOKUP(($F$16-$F$15)-1,AC$99:AG198,4,FALSE)))*EXP(-(LN(2)/$D$65+0.1)*(VLOOKUP(($F$16-$F$15)-1,AC$99:AG198,5,FALSE)))*EXP(-(LN(2)/$D$65+0.04)*AF198)*EXP(-(LN(2)/$D$65+0.1)*AG198),IF(AD198=3,AI$100*EXP(-(LN(2)/$D$65+0.04)*(VLOOKUP(($F$16-$F$15)-1,AC$99:AG198,4,FALSE)))*EXP(-(LN(2)/$D$65+0.1)*(VLOOKUP(($F$16-$F$15)-1,AC$99:AG198,5,FALSE)))*EXP(-(LN(2)/$D$65+0.04)*(VLOOKUP(($F$16-$F$15)*2-1,AC$99:AG198,4,FALSE)))*EXP(-(LN(2)/$D$65+0.1)*(VLOOKUP(($F$16-$F$15)*2-1,AC$99:AG198,5,FALSE)))*EXP(-(LN(2)/$D$65+0.04)*AF198)*EXP(-(LN(2)/$D$65+0.1)*AG198),"-"))),"-")</f>
        <v>-</v>
      </c>
      <c r="AJ199" s="271" t="str">
        <f>IFERROR(IF(AD199=1,AJ$100*EXP(-(LN(2)/$D$65+0.04)*AF199)*EXP(-(LN(2)/$D$65+0.1)*AG199),IF(AD199=2,AJ$100*EXP(-(LN(2)/$D$65+0.04)*(VLOOKUP(($F$16-$F$15)-1,AC$100:AG199,4,FALSE)))*EXP(-(LN(2)/$D$65+0.1)*(VLOOKUP(($F$16-$F$15)-1,AC$100:AG199,5,FALSE)))*EXP(-(LN(2)/$D$65+0.04)*AF199)*EXP(-(LN(2)/$D$65+0.1)*AG199),IF(AD199=3,AJ$100*EXP(-(LN(2)/$D$65+0.04)*(VLOOKUP(($F$16-$F$15)-1,AC$100:AG199,4,FALSE)))*EXP(-(LN(2)/$D$65+0.1)*(VLOOKUP(($F$16-$F$15)-1,AC$100:AG199,5,FALSE)))*EXP(-(LN(2)/$D$65+0.04)*(VLOOKUP(($F$16-$F$15)*2-1,AC$100:AG199,4,FALSE)))*EXP(-(LN(2)/$D$65+0.1)*(VLOOKUP(($F$16-$F$15)*2-1,AC$100:AG199,5,FALSE)))*EXP(-(LN(2)/$D$65+0.04)*AF199)*EXP(-(LN(2)/$D$65+0.1)*AG199),"-"))),"-")</f>
        <v>-</v>
      </c>
      <c r="AK199" s="227">
        <f t="shared" si="154"/>
        <v>99</v>
      </c>
      <c r="AL199" s="226" t="str">
        <f t="shared" si="128"/>
        <v>-</v>
      </c>
      <c r="AM199" s="227" t="str">
        <f t="shared" si="155"/>
        <v>-</v>
      </c>
      <c r="AN199" s="227" t="str">
        <f t="shared" si="156"/>
        <v>-</v>
      </c>
      <c r="AO199" s="227" t="str">
        <f t="shared" si="184"/>
        <v>-</v>
      </c>
      <c r="AP199" s="273">
        <f t="shared" si="157"/>
        <v>0.1</v>
      </c>
      <c r="AQ199" s="271" t="str">
        <f>IFERROR(IF(AL198=1,AQ$100*EXP(-(LN(2)/$D$65+0.04)*AN198)*EXP(-(LN(2)/$D$65+0.1)*AO198),IF(AL198=2,AQ$100*EXP(-(LN(2)/$D$65+0.04)*(VLOOKUP(($F$16-$F$15)-1,AK$99:AO198,4,FALSE)))*EXP(-(LN(2)/$D$65+0.1)*(VLOOKUP(($F$16-$F$15)-1,AK$99:AO198,5,FALSE)))*EXP(-(LN(2)/$D$65+0.04)*AN198)*EXP(-(LN(2)/$D$65+0.1)*AO198),IF(AL198=3,AQ$100*EXP(-(LN(2)/$D$65+0.04)*(VLOOKUP(($F$16-$F$15)-1,AK$99:AO198,4,FALSE)))*EXP(-(LN(2)/$D$65+0.1)*(VLOOKUP(($F$16-$F$15)-1,AK$99:AO198,5,FALSE)))*EXP(-(LN(2)/$D$65+0.04)*(VLOOKUP(($F$16-$F$15)*2-1,AK$99:AO198,4,FALSE)))*EXP(-(LN(2)/$D$65+0.1)*(VLOOKUP(($F$16-$F$15)*2-1,AK$99:AO198,5,FALSE)))*EXP(-(LN(2)/$D$65+0.04)*AN198)*EXP(-(LN(2)/$D$65+0.1)*AO198),"-"))),"-")</f>
        <v>-</v>
      </c>
      <c r="AR199" s="271" t="str">
        <f>IFERROR(IF(AL199=1,AR$100*EXP(-(LN(2)/$D$65+0.04)*AN199)*EXP(-(LN(2)/$D$65+0.1)*AO199),IF(AL199=2,AR$100*EXP(-(LN(2)/$D$65+0.04)*(VLOOKUP(($F$16-$F$15)-1,AK$100:AO199,4,FALSE)))*EXP(-(LN(2)/$D$65+0.1)*(VLOOKUP(($F$16-$F$15)-1,AK$100:AO199,5,FALSE)))*EXP(-(LN(2)/$D$65+0.04)*AN199)*EXP(-(LN(2)/$D$65+0.1)*AO199),IF(AL199=3,AR$100*EXP(-(LN(2)/$D$65+0.04)*(VLOOKUP(($F$16-$F$15)-1,AK$100:AO199,4,FALSE)))*EXP(-(LN(2)/$D$65+0.1)*(VLOOKUP(($F$16-$F$15)-1,AK$100:AO199,5,FALSE)))*EXP(-(LN(2)/$D$65+0.04)*(VLOOKUP(($F$16-$F$15)*2-1,AK$100:AO199,4,FALSE)))*EXP(-(LN(2)/$D$65+0.1)*(VLOOKUP(($F$16-$F$15)*2-1,AK$100:AO199,5,FALSE)))*EXP(-(LN(2)/$D$65+0.04)*AN199)*EXP(-(LN(2)/$D$65+0.1)*AO199),"-"))),"-")</f>
        <v>-</v>
      </c>
      <c r="AS199" s="274">
        <f t="shared" si="185"/>
        <v>0</v>
      </c>
      <c r="AT199" s="274">
        <f t="shared" si="186"/>
        <v>0</v>
      </c>
      <c r="AU199" s="274">
        <f t="shared" si="187"/>
        <v>0</v>
      </c>
      <c r="AV199" s="190">
        <f>IF($B199&lt;$F$22,SUM($T$100:$T199),"")</f>
        <v>0</v>
      </c>
      <c r="AW199" s="190" t="str">
        <f t="shared" si="188"/>
        <v>-</v>
      </c>
      <c r="AX199" s="190" t="str">
        <f t="shared" si="158"/>
        <v/>
      </c>
      <c r="AY199"/>
      <c r="AZ199" s="190" t="str">
        <f ca="1">IF(ISNUMBER(OFFSET(AV199,-$F$21,0)),SUM(OFFSET($T$100,$F$21,0):$T199),"")</f>
        <v/>
      </c>
      <c r="BA199" s="190" t="str">
        <f t="shared" ca="1" si="189"/>
        <v/>
      </c>
      <c r="BB199" s="190" t="str">
        <f t="shared" ca="1" si="164"/>
        <v/>
      </c>
      <c r="BC199" s="190"/>
      <c r="BD199" s="190" t="str">
        <f ca="1">IFERROR(IF(AND($B199&gt;=($F$16-$F$15),$B199&lt;$F$22+($F$16-$F$15)),SUM(OFFSET($T$100,($F$16-$F$15),0):$T199),""),"")</f>
        <v/>
      </c>
      <c r="BE199" s="190" t="str">
        <f t="shared" ca="1" si="159"/>
        <v/>
      </c>
      <c r="BF199" s="190" t="str">
        <f t="shared" ca="1" si="160"/>
        <v/>
      </c>
      <c r="BG199"/>
      <c r="BH199" s="190" t="str">
        <f ca="1">IF(ISNUMBER(OFFSET(BD199,-$F$21,0)),SUM(OFFSET($T$100,($F$16-$F$15+$F$21),0):$T199),"")</f>
        <v/>
      </c>
      <c r="BI199" s="190" t="str">
        <f t="shared" ca="1" si="190"/>
        <v/>
      </c>
      <c r="BJ199" s="190" t="str">
        <f t="shared" ca="1" si="161"/>
        <v/>
      </c>
      <c r="BK199" s="190"/>
      <c r="BL199" s="190" t="str">
        <f ca="1">IFERROR(IF(AND($B199&gt;=($F$17-$F$15),$B199&lt;$F$22+($F$17-$F$15)),SUM(OFFSET($T$100,($F$17-$F$15),0):$T199),""),"")</f>
        <v/>
      </c>
      <c r="BM199" s="190" t="str">
        <f t="shared" ca="1" si="191"/>
        <v/>
      </c>
      <c r="BN199" s="190" t="str">
        <f t="shared" ca="1" si="162"/>
        <v/>
      </c>
      <c r="BO199"/>
      <c r="BP199" s="190" t="str">
        <f ca="1">IF(ISNUMBER(OFFSET(BL199,-$F$21,0)),SUM(OFFSET($T$100,($F$17-$F$15+$F$21),0):$T199),"")</f>
        <v/>
      </c>
      <c r="BQ199" s="190" t="str">
        <f t="shared" ca="1" si="192"/>
        <v/>
      </c>
      <c r="BR199" s="190" t="str">
        <f t="shared" ca="1" si="163"/>
        <v/>
      </c>
      <c r="BS199" s="190"/>
      <c r="BT199"/>
      <c r="BU199"/>
      <c r="BV199"/>
      <c r="BY199" s="99"/>
      <c r="BZ199" s="99"/>
      <c r="CA199" s="280" t="str">
        <f t="shared" si="193"/>
        <v/>
      </c>
      <c r="CB199" s="71" t="str">
        <f t="shared" si="194"/>
        <v>-</v>
      </c>
      <c r="CC199" s="33"/>
      <c r="CD199" s="261" t="str">
        <f t="shared" si="195"/>
        <v/>
      </c>
      <c r="CE199" s="280" t="str">
        <f t="shared" si="196"/>
        <v>-</v>
      </c>
      <c r="CF199" s="71" t="str">
        <f t="shared" ca="1" si="197"/>
        <v>-</v>
      </c>
      <c r="CG199" s="33" t="str">
        <f t="shared" si="198"/>
        <v>99-100</v>
      </c>
      <c r="CH199" s="261" t="str">
        <f t="shared" ca="1" si="199"/>
        <v/>
      </c>
      <c r="CP199" s="99"/>
      <c r="CQ199" s="99"/>
    </row>
    <row r="200" spans="2:95" ht="13.5" customHeight="1" x14ac:dyDescent="0.2">
      <c r="B200" s="262">
        <v>100</v>
      </c>
      <c r="C200" s="237" t="str">
        <f t="shared" si="165"/>
        <v/>
      </c>
      <c r="D200" s="237" t="str">
        <f t="shared" si="200"/>
        <v>-</v>
      </c>
      <c r="E200" s="263" t="str">
        <f t="shared" si="146"/>
        <v/>
      </c>
      <c r="F200" s="264" t="str">
        <f t="shared" si="147"/>
        <v/>
      </c>
      <c r="G200" s="264" t="str">
        <f t="shared" si="148"/>
        <v/>
      </c>
      <c r="H200" s="240" t="str">
        <f t="shared" si="166"/>
        <v/>
      </c>
      <c r="I200" s="265" t="str">
        <f t="shared" si="167"/>
        <v/>
      </c>
      <c r="J200" s="265" t="str">
        <f t="shared" si="168"/>
        <v/>
      </c>
      <c r="K200" s="240" t="str">
        <f t="shared" si="169"/>
        <v/>
      </c>
      <c r="L200" s="265" t="str">
        <f t="shared" si="170"/>
        <v/>
      </c>
      <c r="M200" s="265" t="str">
        <f t="shared" si="171"/>
        <v/>
      </c>
      <c r="N200" s="240" t="str">
        <f t="shared" si="172"/>
        <v>-</v>
      </c>
      <c r="O200" s="265" t="str">
        <f t="shared" si="173"/>
        <v>-</v>
      </c>
      <c r="P200" s="265" t="str">
        <f t="shared" si="174"/>
        <v>-</v>
      </c>
      <c r="Q200" s="266" t="str">
        <f t="shared" si="175"/>
        <v>-</v>
      </c>
      <c r="R200" s="267" t="str">
        <f t="shared" si="176"/>
        <v>-</v>
      </c>
      <c r="S200" s="268" t="str">
        <f t="shared" si="177"/>
        <v>-</v>
      </c>
      <c r="T200" s="269" t="str">
        <f t="shared" si="178"/>
        <v/>
      </c>
      <c r="U200" s="221">
        <f t="shared" si="179"/>
        <v>100</v>
      </c>
      <c r="V200" s="220" t="str">
        <f t="shared" si="122"/>
        <v>-</v>
      </c>
      <c r="W200" s="221" t="str">
        <f t="shared" si="149"/>
        <v>-</v>
      </c>
      <c r="X200" s="221" t="str">
        <f t="shared" si="180"/>
        <v>-</v>
      </c>
      <c r="Y200" s="221" t="str">
        <f t="shared" si="181"/>
        <v>-</v>
      </c>
      <c r="Z200" s="270">
        <f t="shared" si="150"/>
        <v>0.1</v>
      </c>
      <c r="AA200" s="271" t="str">
        <f>IFERROR(IF(V199=1,AA$100*EXP(-(LN(2)/$D$65+0.04)*X199)*EXP(-(LN(2)/$D$65+0.1)*Y199),IF(V199=2,AA$100*EXP(-(LN(2)/$D$65+0.04)*(VLOOKUP(($F$16-$F$15)-1,U$99:Y199,4,FALSE)))*EXP(-(LN(2)/$D$65+0.1)*(VLOOKUP(($F$16-$F$15)-1,U$99:Y199,5,FALSE)))*EXP(-(LN(2)/$D$65+0.04)*X199)*EXP(-(LN(2)/$D$65+0.1)*Y199),IF(V199=3,AA$100*EXP(-(LN(2)/$D$65+0.04)*(VLOOKUP(($F$16-$F$15)-1,U$99:Y199,4,FALSE)))*EXP(-(LN(2)/$D$65+0.1)*(VLOOKUP(($F$16-$F$15)-1,U$99:Y199,5,FALSE)))*EXP(-(LN(2)/$D$65+0.04)*(VLOOKUP(($F$16-$F$15)*2-1,U$99:Y199,4,FALSE)))*EXP(-(LN(2)/$D$65+0.1)*(VLOOKUP(($F$16-$F$15)*2-1,U$99:Y199,5,FALSE)))*EXP(-(LN(2)/$D$65+0.04)*X199)*EXP(-(LN(2)/$D$65+0.1)*Y199),"-"))),"-")</f>
        <v>-</v>
      </c>
      <c r="AB200" s="271" t="str">
        <f>IFERROR(IF(V200=1,AB$100*EXP(-(LN(2)/$D$65+0.04)*X200)*EXP(-(LN(2)/$D$65+0.1)*Y200),IF(V200=2,AB$100*EXP(-(LN(2)/$D$65+0.04)*(VLOOKUP(($F$16-$F$15)-1,U$100:Y200,4,FALSE)))*EXP(-(LN(2)/$D$65+0.1)*(VLOOKUP(($F$16-$F$15)-1,U$100:Y200,5,FALSE)))*EXP(-(LN(2)/$D$65+0.04)*X200)*EXP(-(LN(2)/$D$65+0.1)*Y200),IF(V200=3,AB$100*EXP(-(LN(2)/$D$65+0.04)*(VLOOKUP(($F$16-$F$15)-1,U$100:Y200,4,FALSE)))*EXP(-(LN(2)/$D$65+0.1)*(VLOOKUP(($F$16-$F$15)-1,U$100:Y200,5,FALSE)))*EXP(-(LN(2)/$D$65+0.04)*(VLOOKUP(($F$16-$F$15)*2-1,U$100:Y200,4,FALSE)))*EXP(-(LN(2)/$D$65+0.1)*(VLOOKUP(($F$16-$F$15)*2-1,U$100:Y200,5,FALSE)))*EXP(-(LN(2)/$D$65+0.04)*X200)*EXP(-(LN(2)/$D$65+0.1)*Y200),"-"))),"-")</f>
        <v>-</v>
      </c>
      <c r="AC200" s="224">
        <f t="shared" si="151"/>
        <v>100</v>
      </c>
      <c r="AD200" s="223" t="str">
        <f t="shared" si="125"/>
        <v>-</v>
      </c>
      <c r="AE200" s="224" t="str">
        <f t="shared" si="152"/>
        <v>-</v>
      </c>
      <c r="AF200" s="224" t="str">
        <f t="shared" si="182"/>
        <v>-</v>
      </c>
      <c r="AG200" s="224" t="str">
        <f t="shared" si="183"/>
        <v>-</v>
      </c>
      <c r="AH200" s="272">
        <f t="shared" si="153"/>
        <v>0.1</v>
      </c>
      <c r="AI200" s="271" t="str">
        <f>IFERROR(IF(AD199=1,AI$100*EXP(-(LN(2)/$D$65+0.04)*AF199)*EXP(-(LN(2)/$D$65+0.1)*AG199),IF(AD199=2,AI$100*EXP(-(LN(2)/$D$65+0.04)*(VLOOKUP(($F$16-$F$15)-1,AC$99:AG199,4,FALSE)))*EXP(-(LN(2)/$D$65+0.1)*(VLOOKUP(($F$16-$F$15)-1,AC$99:AG199,5,FALSE)))*EXP(-(LN(2)/$D$65+0.04)*AF199)*EXP(-(LN(2)/$D$65+0.1)*AG199),IF(AD199=3,AI$100*EXP(-(LN(2)/$D$65+0.04)*(VLOOKUP(($F$16-$F$15)-1,AC$99:AG199,4,FALSE)))*EXP(-(LN(2)/$D$65+0.1)*(VLOOKUP(($F$16-$F$15)-1,AC$99:AG199,5,FALSE)))*EXP(-(LN(2)/$D$65+0.04)*(VLOOKUP(($F$16-$F$15)*2-1,AC$99:AG199,4,FALSE)))*EXP(-(LN(2)/$D$65+0.1)*(VLOOKUP(($F$16-$F$15)*2-1,AC$99:AG199,5,FALSE)))*EXP(-(LN(2)/$D$65+0.04)*AF199)*EXP(-(LN(2)/$D$65+0.1)*AG199),"-"))),"-")</f>
        <v>-</v>
      </c>
      <c r="AJ200" s="271" t="str">
        <f>IFERROR(IF(AD200=1,AJ$100*EXP(-(LN(2)/$D$65+0.04)*AF200)*EXP(-(LN(2)/$D$65+0.1)*AG200),IF(AD200=2,AJ$100*EXP(-(LN(2)/$D$65+0.04)*(VLOOKUP(($F$16-$F$15)-1,AC$100:AG200,4,FALSE)))*EXP(-(LN(2)/$D$65+0.1)*(VLOOKUP(($F$16-$F$15)-1,AC$100:AG200,5,FALSE)))*EXP(-(LN(2)/$D$65+0.04)*AF200)*EXP(-(LN(2)/$D$65+0.1)*AG200),IF(AD200=3,AJ$100*EXP(-(LN(2)/$D$65+0.04)*(VLOOKUP(($F$16-$F$15)-1,AC$100:AG200,4,FALSE)))*EXP(-(LN(2)/$D$65+0.1)*(VLOOKUP(($F$16-$F$15)-1,AC$100:AG200,5,FALSE)))*EXP(-(LN(2)/$D$65+0.04)*(VLOOKUP(($F$16-$F$15)*2-1,AC$100:AG200,4,FALSE)))*EXP(-(LN(2)/$D$65+0.1)*(VLOOKUP(($F$16-$F$15)*2-1,AC$100:AG200,5,FALSE)))*EXP(-(LN(2)/$D$65+0.04)*AF200)*EXP(-(LN(2)/$D$65+0.1)*AG200),"-"))),"-")</f>
        <v>-</v>
      </c>
      <c r="AK200" s="227">
        <f t="shared" si="154"/>
        <v>100</v>
      </c>
      <c r="AL200" s="226" t="str">
        <f t="shared" si="128"/>
        <v>-</v>
      </c>
      <c r="AM200" s="227" t="str">
        <f t="shared" si="155"/>
        <v>-</v>
      </c>
      <c r="AN200" s="227" t="str">
        <f t="shared" si="156"/>
        <v>-</v>
      </c>
      <c r="AO200" s="227" t="str">
        <f t="shared" si="184"/>
        <v>-</v>
      </c>
      <c r="AP200" s="273">
        <f t="shared" si="157"/>
        <v>0.1</v>
      </c>
      <c r="AQ200" s="271" t="str">
        <f>IFERROR(IF(AL199=1,AQ$100*EXP(-(LN(2)/$D$65+0.04)*AN199)*EXP(-(LN(2)/$D$65+0.1)*AO199),IF(AL199=2,AQ$100*EXP(-(LN(2)/$D$65+0.04)*(VLOOKUP(($F$16-$F$15)-1,AK$99:AO199,4,FALSE)))*EXP(-(LN(2)/$D$65+0.1)*(VLOOKUP(($F$16-$F$15)-1,AK$99:AO199,5,FALSE)))*EXP(-(LN(2)/$D$65+0.04)*AN199)*EXP(-(LN(2)/$D$65+0.1)*AO199),IF(AL199=3,AQ$100*EXP(-(LN(2)/$D$65+0.04)*(VLOOKUP(($F$16-$F$15)-1,AK$99:AO199,4,FALSE)))*EXP(-(LN(2)/$D$65+0.1)*(VLOOKUP(($F$16-$F$15)-1,AK$99:AO199,5,FALSE)))*EXP(-(LN(2)/$D$65+0.04)*(VLOOKUP(($F$16-$F$15)*2-1,AK$99:AO199,4,FALSE)))*EXP(-(LN(2)/$D$65+0.1)*(VLOOKUP(($F$16-$F$15)*2-1,AK$99:AO199,5,FALSE)))*EXP(-(LN(2)/$D$65+0.04)*AN199)*EXP(-(LN(2)/$D$65+0.1)*AO199),"-"))),"-")</f>
        <v>-</v>
      </c>
      <c r="AR200" s="271" t="str">
        <f>IFERROR(IF(AL200=1,AR$100*EXP(-(LN(2)/$D$65+0.04)*AN200)*EXP(-(LN(2)/$D$65+0.1)*AO200),IF(AL200=2,AR$100*EXP(-(LN(2)/$D$65+0.04)*(VLOOKUP(($F$16-$F$15)-1,AK$100:AO200,4,FALSE)))*EXP(-(LN(2)/$D$65+0.1)*(VLOOKUP(($F$16-$F$15)-1,AK$100:AO200,5,FALSE)))*EXP(-(LN(2)/$D$65+0.04)*AN200)*EXP(-(LN(2)/$D$65+0.1)*AO200),IF(AL200=3,AR$100*EXP(-(LN(2)/$D$65+0.04)*(VLOOKUP(($F$16-$F$15)-1,AK$100:AO200,4,FALSE)))*EXP(-(LN(2)/$D$65+0.1)*(VLOOKUP(($F$16-$F$15)-1,AK$100:AO200,5,FALSE)))*EXP(-(LN(2)/$D$65+0.04)*(VLOOKUP(($F$16-$F$15)*2-1,AK$100:AO200,4,FALSE)))*EXP(-(LN(2)/$D$65+0.1)*(VLOOKUP(($F$16-$F$15)*2-1,AK$100:AO200,5,FALSE)))*EXP(-(LN(2)/$D$65+0.04)*AN200)*EXP(-(LN(2)/$D$65+0.1)*AO200),"-"))),"-")</f>
        <v>-</v>
      </c>
      <c r="AS200" s="274">
        <f t="shared" si="185"/>
        <v>0</v>
      </c>
      <c r="AT200" s="274">
        <f t="shared" si="186"/>
        <v>0</v>
      </c>
      <c r="AU200" s="274">
        <f t="shared" si="187"/>
        <v>0</v>
      </c>
      <c r="AV200" s="190">
        <f>IF($B200&lt;$F$22,SUM($T$100:$T200),"")</f>
        <v>0</v>
      </c>
      <c r="AW200" s="190" t="str">
        <f t="shared" si="188"/>
        <v>-</v>
      </c>
      <c r="AX200" s="190" t="str">
        <f t="shared" si="158"/>
        <v/>
      </c>
      <c r="AY200"/>
      <c r="AZ200" s="190" t="str">
        <f ca="1">IF(ISNUMBER(OFFSET(AV200,-$F$21,0)),SUM(OFFSET($T$100,$F$21,0):$T200),"")</f>
        <v/>
      </c>
      <c r="BA200" s="190" t="str">
        <f t="shared" ca="1" si="189"/>
        <v/>
      </c>
      <c r="BB200" s="190" t="str">
        <f t="shared" ca="1" si="164"/>
        <v/>
      </c>
      <c r="BC200" s="190"/>
      <c r="BD200" s="190" t="str">
        <f ca="1">IFERROR(IF(AND($B200&gt;=($F$16-$F$15),$B200&lt;$F$22+($F$16-$F$15)),SUM(OFFSET($T$100,($F$16-$F$15),0):$T200),""),"")</f>
        <v/>
      </c>
      <c r="BE200" s="190" t="str">
        <f t="shared" ca="1" si="159"/>
        <v/>
      </c>
      <c r="BF200" s="190" t="str">
        <f t="shared" ca="1" si="160"/>
        <v/>
      </c>
      <c r="BG200"/>
      <c r="BH200" s="190" t="str">
        <f ca="1">IF(ISNUMBER(OFFSET(BD200,-$F$21,0)),SUM(OFFSET($T$100,($F$16-$F$15+$F$21),0):$T200),"")</f>
        <v/>
      </c>
      <c r="BI200" s="190" t="str">
        <f t="shared" ca="1" si="190"/>
        <v/>
      </c>
      <c r="BJ200" s="190" t="str">
        <f t="shared" ca="1" si="161"/>
        <v/>
      </c>
      <c r="BK200" s="190"/>
      <c r="BL200" s="190" t="str">
        <f ca="1">IFERROR(IF(AND($B200&gt;=($F$17-$F$15),$B200&lt;$F$22+($F$17-$F$15)),SUM(OFFSET($T$100,($F$17-$F$15),0):$T200),""),"")</f>
        <v/>
      </c>
      <c r="BM200" s="190" t="str">
        <f t="shared" ca="1" si="191"/>
        <v/>
      </c>
      <c r="BN200" s="190" t="str">
        <f t="shared" ca="1" si="162"/>
        <v/>
      </c>
      <c r="BO200"/>
      <c r="BP200" s="190" t="str">
        <f ca="1">IF(ISNUMBER(OFFSET(BL200,-$F$21,0)),SUM(OFFSET($T$100,($F$17-$F$15+$F$21),0):$T200),"")</f>
        <v/>
      </c>
      <c r="BQ200" s="190" t="str">
        <f t="shared" ca="1" si="192"/>
        <v/>
      </c>
      <c r="BR200" s="190" t="str">
        <f t="shared" ca="1" si="163"/>
        <v/>
      </c>
      <c r="BS200" s="190"/>
      <c r="BT200"/>
      <c r="BU200"/>
      <c r="BV200"/>
      <c r="BY200" s="99"/>
      <c r="BZ200" s="99"/>
      <c r="CA200" s="280" t="str">
        <f t="shared" si="193"/>
        <v/>
      </c>
      <c r="CB200" s="71" t="str">
        <f t="shared" si="194"/>
        <v>-</v>
      </c>
      <c r="CC200" s="33"/>
      <c r="CD200" s="261" t="str">
        <f t="shared" si="195"/>
        <v/>
      </c>
      <c r="CE200" s="280" t="str">
        <f t="shared" si="196"/>
        <v>-</v>
      </c>
      <c r="CF200" s="71" t="str">
        <f t="shared" ca="1" si="197"/>
        <v>-</v>
      </c>
      <c r="CG200" s="33" t="str">
        <f t="shared" si="198"/>
        <v>100-101</v>
      </c>
      <c r="CH200" s="261" t="str">
        <f t="shared" ca="1" si="199"/>
        <v/>
      </c>
      <c r="CP200" s="99"/>
      <c r="CQ200" s="99"/>
    </row>
    <row r="201" spans="2:95" ht="13.5" customHeight="1" x14ac:dyDescent="0.2">
      <c r="B201" s="262">
        <v>101</v>
      </c>
      <c r="C201" s="237" t="str">
        <f t="shared" si="165"/>
        <v/>
      </c>
      <c r="D201" s="237" t="str">
        <f t="shared" si="200"/>
        <v>-</v>
      </c>
      <c r="E201" s="263" t="str">
        <f t="shared" si="146"/>
        <v/>
      </c>
      <c r="F201" s="264" t="str">
        <f t="shared" si="147"/>
        <v/>
      </c>
      <c r="G201" s="264" t="str">
        <f t="shared" si="148"/>
        <v/>
      </c>
      <c r="H201" s="240" t="str">
        <f t="shared" si="166"/>
        <v/>
      </c>
      <c r="I201" s="265" t="str">
        <f t="shared" si="167"/>
        <v/>
      </c>
      <c r="J201" s="265" t="str">
        <f t="shared" si="168"/>
        <v/>
      </c>
      <c r="K201" s="240" t="str">
        <f t="shared" si="169"/>
        <v/>
      </c>
      <c r="L201" s="265" t="str">
        <f t="shared" si="170"/>
        <v/>
      </c>
      <c r="M201" s="265" t="str">
        <f t="shared" si="171"/>
        <v/>
      </c>
      <c r="N201" s="240" t="str">
        <f t="shared" si="172"/>
        <v>-</v>
      </c>
      <c r="O201" s="265" t="str">
        <f t="shared" si="173"/>
        <v>-</v>
      </c>
      <c r="P201" s="265" t="str">
        <f t="shared" si="174"/>
        <v>-</v>
      </c>
      <c r="Q201" s="266" t="str">
        <f t="shared" si="175"/>
        <v>-</v>
      </c>
      <c r="R201" s="267" t="str">
        <f t="shared" si="176"/>
        <v>-</v>
      </c>
      <c r="S201" s="268" t="str">
        <f t="shared" si="177"/>
        <v>-</v>
      </c>
      <c r="T201" s="269" t="str">
        <f t="shared" si="178"/>
        <v/>
      </c>
      <c r="U201" s="221">
        <f t="shared" si="179"/>
        <v>101</v>
      </c>
      <c r="V201" s="220" t="str">
        <f t="shared" si="122"/>
        <v>-</v>
      </c>
      <c r="W201" s="221" t="str">
        <f t="shared" si="149"/>
        <v>-</v>
      </c>
      <c r="X201" s="221" t="str">
        <f t="shared" si="180"/>
        <v>-</v>
      </c>
      <c r="Y201" s="221" t="str">
        <f t="shared" si="181"/>
        <v>-</v>
      </c>
      <c r="Z201" s="270">
        <f t="shared" si="150"/>
        <v>0.1</v>
      </c>
      <c r="AA201" s="271" t="str">
        <f>IFERROR(IF(V200=1,AA$100*EXP(-(LN(2)/$D$65+0.04)*X200)*EXP(-(LN(2)/$D$65+0.1)*Y200),IF(V200=2,AA$100*EXP(-(LN(2)/$D$65+0.04)*(VLOOKUP(($F$16-$F$15)-1,U$99:Y200,4,FALSE)))*EXP(-(LN(2)/$D$65+0.1)*(VLOOKUP(($F$16-$F$15)-1,U$99:Y200,5,FALSE)))*EXP(-(LN(2)/$D$65+0.04)*X200)*EXP(-(LN(2)/$D$65+0.1)*Y200),IF(V200=3,AA$100*EXP(-(LN(2)/$D$65+0.04)*(VLOOKUP(($F$16-$F$15)-1,U$99:Y200,4,FALSE)))*EXP(-(LN(2)/$D$65+0.1)*(VLOOKUP(($F$16-$F$15)-1,U$99:Y200,5,FALSE)))*EXP(-(LN(2)/$D$65+0.04)*(VLOOKUP(($F$16-$F$15)*2-1,U$99:Y200,4,FALSE)))*EXP(-(LN(2)/$D$65+0.1)*(VLOOKUP(($F$16-$F$15)*2-1,U$99:Y200,5,FALSE)))*EXP(-(LN(2)/$D$65+0.04)*X200)*EXP(-(LN(2)/$D$65+0.1)*Y200),"-"))),"-")</f>
        <v>-</v>
      </c>
      <c r="AB201" s="271" t="str">
        <f>IFERROR(IF(V201=1,AB$100*EXP(-(LN(2)/$D$65+0.04)*X201)*EXP(-(LN(2)/$D$65+0.1)*Y201),IF(V201=2,AB$100*EXP(-(LN(2)/$D$65+0.04)*(VLOOKUP(($F$16-$F$15)-1,U$100:Y201,4,FALSE)))*EXP(-(LN(2)/$D$65+0.1)*(VLOOKUP(($F$16-$F$15)-1,U$100:Y201,5,FALSE)))*EXP(-(LN(2)/$D$65+0.04)*X201)*EXP(-(LN(2)/$D$65+0.1)*Y201),IF(V201=3,AB$100*EXP(-(LN(2)/$D$65+0.04)*(VLOOKUP(($F$16-$F$15)-1,U$100:Y201,4,FALSE)))*EXP(-(LN(2)/$D$65+0.1)*(VLOOKUP(($F$16-$F$15)-1,U$100:Y201,5,FALSE)))*EXP(-(LN(2)/$D$65+0.04)*(VLOOKUP(($F$16-$F$15)*2-1,U$100:Y201,4,FALSE)))*EXP(-(LN(2)/$D$65+0.1)*(VLOOKUP(($F$16-$F$15)*2-1,U$100:Y201,5,FALSE)))*EXP(-(LN(2)/$D$65+0.04)*X201)*EXP(-(LN(2)/$D$65+0.1)*Y201),"-"))),"-")</f>
        <v>-</v>
      </c>
      <c r="AC201" s="224">
        <f t="shared" si="151"/>
        <v>101</v>
      </c>
      <c r="AD201" s="223" t="str">
        <f t="shared" si="125"/>
        <v>-</v>
      </c>
      <c r="AE201" s="224" t="str">
        <f t="shared" si="152"/>
        <v>-</v>
      </c>
      <c r="AF201" s="224" t="str">
        <f t="shared" si="182"/>
        <v>-</v>
      </c>
      <c r="AG201" s="224" t="str">
        <f t="shared" si="183"/>
        <v>-</v>
      </c>
      <c r="AH201" s="272">
        <f t="shared" si="153"/>
        <v>0.1</v>
      </c>
      <c r="AI201" s="271" t="str">
        <f>IFERROR(IF(AD200=1,AI$100*EXP(-(LN(2)/$D$65+0.04)*AF200)*EXP(-(LN(2)/$D$65+0.1)*AG200),IF(AD200=2,AI$100*EXP(-(LN(2)/$D$65+0.04)*(VLOOKUP(($F$16-$F$15)-1,AC$99:AG200,4,FALSE)))*EXP(-(LN(2)/$D$65+0.1)*(VLOOKUP(($F$16-$F$15)-1,AC$99:AG200,5,FALSE)))*EXP(-(LN(2)/$D$65+0.04)*AF200)*EXP(-(LN(2)/$D$65+0.1)*AG200),IF(AD200=3,AI$100*EXP(-(LN(2)/$D$65+0.04)*(VLOOKUP(($F$16-$F$15)-1,AC$99:AG200,4,FALSE)))*EXP(-(LN(2)/$D$65+0.1)*(VLOOKUP(($F$16-$F$15)-1,AC$99:AG200,5,FALSE)))*EXP(-(LN(2)/$D$65+0.04)*(VLOOKUP(($F$16-$F$15)*2-1,AC$99:AG200,4,FALSE)))*EXP(-(LN(2)/$D$65+0.1)*(VLOOKUP(($F$16-$F$15)*2-1,AC$99:AG200,5,FALSE)))*EXP(-(LN(2)/$D$65+0.04)*AF200)*EXP(-(LN(2)/$D$65+0.1)*AG200),"-"))),"-")</f>
        <v>-</v>
      </c>
      <c r="AJ201" s="271" t="str">
        <f>IFERROR(IF(AD201=1,AJ$100*EXP(-(LN(2)/$D$65+0.04)*AF201)*EXP(-(LN(2)/$D$65+0.1)*AG201),IF(AD201=2,AJ$100*EXP(-(LN(2)/$D$65+0.04)*(VLOOKUP(($F$16-$F$15)-1,AC$100:AG201,4,FALSE)))*EXP(-(LN(2)/$D$65+0.1)*(VLOOKUP(($F$16-$F$15)-1,AC$100:AG201,5,FALSE)))*EXP(-(LN(2)/$D$65+0.04)*AF201)*EXP(-(LN(2)/$D$65+0.1)*AG201),IF(AD201=3,AJ$100*EXP(-(LN(2)/$D$65+0.04)*(VLOOKUP(($F$16-$F$15)-1,AC$100:AG201,4,FALSE)))*EXP(-(LN(2)/$D$65+0.1)*(VLOOKUP(($F$16-$F$15)-1,AC$100:AG201,5,FALSE)))*EXP(-(LN(2)/$D$65+0.04)*(VLOOKUP(($F$16-$F$15)*2-1,AC$100:AG201,4,FALSE)))*EXP(-(LN(2)/$D$65+0.1)*(VLOOKUP(($F$16-$F$15)*2-1,AC$100:AG201,5,FALSE)))*EXP(-(LN(2)/$D$65+0.04)*AF201)*EXP(-(LN(2)/$D$65+0.1)*AG201),"-"))),"-")</f>
        <v>-</v>
      </c>
      <c r="AK201" s="227">
        <f t="shared" si="154"/>
        <v>101</v>
      </c>
      <c r="AL201" s="226" t="str">
        <f t="shared" si="128"/>
        <v>-</v>
      </c>
      <c r="AM201" s="227" t="str">
        <f t="shared" si="155"/>
        <v>-</v>
      </c>
      <c r="AN201" s="227" t="str">
        <f t="shared" si="156"/>
        <v>-</v>
      </c>
      <c r="AO201" s="227" t="str">
        <f t="shared" si="184"/>
        <v>-</v>
      </c>
      <c r="AP201" s="273">
        <f t="shared" si="157"/>
        <v>0.1</v>
      </c>
      <c r="AQ201" s="271" t="str">
        <f>IFERROR(IF(AL200=1,AQ$100*EXP(-(LN(2)/$D$65+0.04)*AN200)*EXP(-(LN(2)/$D$65+0.1)*AO200),IF(AL200=2,AQ$100*EXP(-(LN(2)/$D$65+0.04)*(VLOOKUP(($F$16-$F$15)-1,AK$99:AO200,4,FALSE)))*EXP(-(LN(2)/$D$65+0.1)*(VLOOKUP(($F$16-$F$15)-1,AK$99:AO200,5,FALSE)))*EXP(-(LN(2)/$D$65+0.04)*AN200)*EXP(-(LN(2)/$D$65+0.1)*AO200),IF(AL200=3,AQ$100*EXP(-(LN(2)/$D$65+0.04)*(VLOOKUP(($F$16-$F$15)-1,AK$99:AO200,4,FALSE)))*EXP(-(LN(2)/$D$65+0.1)*(VLOOKUP(($F$16-$F$15)-1,AK$99:AO200,5,FALSE)))*EXP(-(LN(2)/$D$65+0.04)*(VLOOKUP(($F$16-$F$15)*2-1,AK$99:AO200,4,FALSE)))*EXP(-(LN(2)/$D$65+0.1)*(VLOOKUP(($F$16-$F$15)*2-1,AK$99:AO200,5,FALSE)))*EXP(-(LN(2)/$D$65+0.04)*AN200)*EXP(-(LN(2)/$D$65+0.1)*AO200),"-"))),"-")</f>
        <v>-</v>
      </c>
      <c r="AR201" s="271" t="str">
        <f>IFERROR(IF(AL201=1,AR$100*EXP(-(LN(2)/$D$65+0.04)*AN201)*EXP(-(LN(2)/$D$65+0.1)*AO201),IF(AL201=2,AR$100*EXP(-(LN(2)/$D$65+0.04)*(VLOOKUP(($F$16-$F$15)-1,AK$100:AO201,4,FALSE)))*EXP(-(LN(2)/$D$65+0.1)*(VLOOKUP(($F$16-$F$15)-1,AK$100:AO201,5,FALSE)))*EXP(-(LN(2)/$D$65+0.04)*AN201)*EXP(-(LN(2)/$D$65+0.1)*AO201),IF(AL201=3,AR$100*EXP(-(LN(2)/$D$65+0.04)*(VLOOKUP(($F$16-$F$15)-1,AK$100:AO201,4,FALSE)))*EXP(-(LN(2)/$D$65+0.1)*(VLOOKUP(($F$16-$F$15)-1,AK$100:AO201,5,FALSE)))*EXP(-(LN(2)/$D$65+0.04)*(VLOOKUP(($F$16-$F$15)*2-1,AK$100:AO201,4,FALSE)))*EXP(-(LN(2)/$D$65+0.1)*(VLOOKUP(($F$16-$F$15)*2-1,AK$100:AO201,5,FALSE)))*EXP(-(LN(2)/$D$65+0.04)*AN201)*EXP(-(LN(2)/$D$65+0.1)*AO201),"-"))),"-")</f>
        <v>-</v>
      </c>
      <c r="AS201" s="274">
        <f t="shared" si="185"/>
        <v>0</v>
      </c>
      <c r="AT201" s="274">
        <f t="shared" si="186"/>
        <v>0</v>
      </c>
      <c r="AU201" s="274">
        <f t="shared" si="187"/>
        <v>0</v>
      </c>
      <c r="AV201" s="190">
        <f>IF($B201&lt;$F$22,SUM($T$100:$T201),"")</f>
        <v>0</v>
      </c>
      <c r="AW201" s="190" t="str">
        <f t="shared" si="188"/>
        <v>-</v>
      </c>
      <c r="AX201" s="190" t="str">
        <f t="shared" si="158"/>
        <v/>
      </c>
      <c r="AY201"/>
      <c r="AZ201" s="190" t="str">
        <f ca="1">IF(ISNUMBER(OFFSET(AV201,-$F$21,0)),SUM(OFFSET($T$100,$F$21,0):$T201),"")</f>
        <v/>
      </c>
      <c r="BA201" s="190" t="str">
        <f t="shared" ca="1" si="189"/>
        <v/>
      </c>
      <c r="BB201" s="190" t="str">
        <f t="shared" ca="1" si="164"/>
        <v/>
      </c>
      <c r="BC201" s="190"/>
      <c r="BD201" s="190" t="str">
        <f ca="1">IFERROR(IF(AND($B201&gt;=($F$16-$F$15),$B201&lt;$F$22+($F$16-$F$15)),SUM(OFFSET($T$100,($F$16-$F$15),0):$T201),""),"")</f>
        <v/>
      </c>
      <c r="BE201" s="190" t="str">
        <f t="shared" ca="1" si="159"/>
        <v/>
      </c>
      <c r="BF201" s="190" t="str">
        <f t="shared" ca="1" si="160"/>
        <v/>
      </c>
      <c r="BG201"/>
      <c r="BH201" s="190" t="str">
        <f ca="1">IF(ISNUMBER(OFFSET(BD201,-$F$21,0)),SUM(OFFSET($T$100,($F$16-$F$15+$F$21),0):$T201),"")</f>
        <v/>
      </c>
      <c r="BI201" s="190" t="str">
        <f t="shared" ca="1" si="190"/>
        <v/>
      </c>
      <c r="BJ201" s="190" t="str">
        <f t="shared" ca="1" si="161"/>
        <v/>
      </c>
      <c r="BK201" s="190"/>
      <c r="BL201" s="190" t="str">
        <f ca="1">IFERROR(IF(AND($B201&gt;=($F$17-$F$15),$B201&lt;$F$22+($F$17-$F$15)),SUM(OFFSET($T$100,($F$17-$F$15),0):$T201),""),"")</f>
        <v/>
      </c>
      <c r="BM201" s="190" t="str">
        <f t="shared" ca="1" si="191"/>
        <v/>
      </c>
      <c r="BN201" s="190" t="str">
        <f t="shared" ca="1" si="162"/>
        <v/>
      </c>
      <c r="BO201"/>
      <c r="BP201" s="190" t="str">
        <f ca="1">IF(ISNUMBER(OFFSET(BL201,-$F$21,0)),SUM(OFFSET($T$100,($F$17-$F$15+$F$21),0):$T201),"")</f>
        <v/>
      </c>
      <c r="BQ201" s="190" t="str">
        <f t="shared" ca="1" si="192"/>
        <v/>
      </c>
      <c r="BR201" s="190" t="str">
        <f t="shared" ca="1" si="163"/>
        <v/>
      </c>
      <c r="BS201" s="190"/>
      <c r="BT201"/>
      <c r="BU201"/>
      <c r="BV201"/>
      <c r="BY201" s="99"/>
      <c r="BZ201" s="99"/>
      <c r="CA201" s="280" t="str">
        <f t="shared" si="193"/>
        <v/>
      </c>
      <c r="CB201" s="71" t="str">
        <f t="shared" si="194"/>
        <v>-</v>
      </c>
      <c r="CC201" s="33"/>
      <c r="CD201" s="261" t="str">
        <f t="shared" si="195"/>
        <v/>
      </c>
      <c r="CE201" s="280" t="str">
        <f t="shared" si="196"/>
        <v>-</v>
      </c>
      <c r="CF201" s="71" t="str">
        <f t="shared" ca="1" si="197"/>
        <v>-</v>
      </c>
      <c r="CG201" s="33" t="str">
        <f t="shared" si="198"/>
        <v>101-102</v>
      </c>
      <c r="CH201" s="261" t="str">
        <f t="shared" ca="1" si="199"/>
        <v/>
      </c>
      <c r="CP201" s="99"/>
      <c r="CQ201" s="99"/>
    </row>
    <row r="202" spans="2:95" ht="13.5" customHeight="1" x14ac:dyDescent="0.2">
      <c r="B202" s="262">
        <v>102</v>
      </c>
      <c r="C202" s="237" t="str">
        <f t="shared" si="165"/>
        <v/>
      </c>
      <c r="D202" s="237" t="str">
        <f t="shared" si="200"/>
        <v>-</v>
      </c>
      <c r="E202" s="263" t="str">
        <f t="shared" si="146"/>
        <v/>
      </c>
      <c r="F202" s="264" t="str">
        <f t="shared" si="147"/>
        <v/>
      </c>
      <c r="G202" s="264" t="str">
        <f t="shared" si="148"/>
        <v/>
      </c>
      <c r="H202" s="240" t="str">
        <f t="shared" si="166"/>
        <v/>
      </c>
      <c r="I202" s="265" t="str">
        <f t="shared" si="167"/>
        <v/>
      </c>
      <c r="J202" s="265" t="str">
        <f t="shared" si="168"/>
        <v/>
      </c>
      <c r="K202" s="240" t="str">
        <f t="shared" si="169"/>
        <v/>
      </c>
      <c r="L202" s="265" t="str">
        <f t="shared" si="170"/>
        <v/>
      </c>
      <c r="M202" s="265" t="str">
        <f t="shared" si="171"/>
        <v/>
      </c>
      <c r="N202" s="240" t="str">
        <f t="shared" si="172"/>
        <v>-</v>
      </c>
      <c r="O202" s="265" t="str">
        <f t="shared" si="173"/>
        <v>-</v>
      </c>
      <c r="P202" s="265" t="str">
        <f t="shared" si="174"/>
        <v>-</v>
      </c>
      <c r="Q202" s="266" t="str">
        <f t="shared" si="175"/>
        <v>-</v>
      </c>
      <c r="R202" s="267" t="str">
        <f t="shared" si="176"/>
        <v>-</v>
      </c>
      <c r="S202" s="268" t="str">
        <f t="shared" si="177"/>
        <v>-</v>
      </c>
      <c r="T202" s="269" t="str">
        <f t="shared" si="178"/>
        <v/>
      </c>
      <c r="U202" s="221">
        <f t="shared" si="179"/>
        <v>102</v>
      </c>
      <c r="V202" s="220" t="str">
        <f t="shared" si="122"/>
        <v>-</v>
      </c>
      <c r="W202" s="221" t="str">
        <f t="shared" si="149"/>
        <v>-</v>
      </c>
      <c r="X202" s="221" t="str">
        <f t="shared" si="180"/>
        <v>-</v>
      </c>
      <c r="Y202" s="221" t="str">
        <f t="shared" si="181"/>
        <v>-</v>
      </c>
      <c r="Z202" s="270">
        <f t="shared" si="150"/>
        <v>0.1</v>
      </c>
      <c r="AA202" s="271" t="str">
        <f>IFERROR(IF(V201=1,AA$100*EXP(-(LN(2)/$D$65+0.04)*X201)*EXP(-(LN(2)/$D$65+0.1)*Y201),IF(V201=2,AA$100*EXP(-(LN(2)/$D$65+0.04)*(VLOOKUP(($F$16-$F$15)-1,U$99:Y201,4,FALSE)))*EXP(-(LN(2)/$D$65+0.1)*(VLOOKUP(($F$16-$F$15)-1,U$99:Y201,5,FALSE)))*EXP(-(LN(2)/$D$65+0.04)*X201)*EXP(-(LN(2)/$D$65+0.1)*Y201),IF(V201=3,AA$100*EXP(-(LN(2)/$D$65+0.04)*(VLOOKUP(($F$16-$F$15)-1,U$99:Y201,4,FALSE)))*EXP(-(LN(2)/$D$65+0.1)*(VLOOKUP(($F$16-$F$15)-1,U$99:Y201,5,FALSE)))*EXP(-(LN(2)/$D$65+0.04)*(VLOOKUP(($F$16-$F$15)*2-1,U$99:Y201,4,FALSE)))*EXP(-(LN(2)/$D$65+0.1)*(VLOOKUP(($F$16-$F$15)*2-1,U$99:Y201,5,FALSE)))*EXP(-(LN(2)/$D$65+0.04)*X201)*EXP(-(LN(2)/$D$65+0.1)*Y201),"-"))),"-")</f>
        <v>-</v>
      </c>
      <c r="AB202" s="271" t="str">
        <f>IFERROR(IF(V202=1,AB$100*EXP(-(LN(2)/$D$65+0.04)*X202)*EXP(-(LN(2)/$D$65+0.1)*Y202),IF(V202=2,AB$100*EXP(-(LN(2)/$D$65+0.04)*(VLOOKUP(($F$16-$F$15)-1,U$100:Y202,4,FALSE)))*EXP(-(LN(2)/$D$65+0.1)*(VLOOKUP(($F$16-$F$15)-1,U$100:Y202,5,FALSE)))*EXP(-(LN(2)/$D$65+0.04)*X202)*EXP(-(LN(2)/$D$65+0.1)*Y202),IF(V202=3,AB$100*EXP(-(LN(2)/$D$65+0.04)*(VLOOKUP(($F$16-$F$15)-1,U$100:Y202,4,FALSE)))*EXP(-(LN(2)/$D$65+0.1)*(VLOOKUP(($F$16-$F$15)-1,U$100:Y202,5,FALSE)))*EXP(-(LN(2)/$D$65+0.04)*(VLOOKUP(($F$16-$F$15)*2-1,U$100:Y202,4,FALSE)))*EXP(-(LN(2)/$D$65+0.1)*(VLOOKUP(($F$16-$F$15)*2-1,U$100:Y202,5,FALSE)))*EXP(-(LN(2)/$D$65+0.04)*X202)*EXP(-(LN(2)/$D$65+0.1)*Y202),"-"))),"-")</f>
        <v>-</v>
      </c>
      <c r="AC202" s="224">
        <f t="shared" si="151"/>
        <v>102</v>
      </c>
      <c r="AD202" s="223" t="str">
        <f t="shared" si="125"/>
        <v>-</v>
      </c>
      <c r="AE202" s="224" t="str">
        <f t="shared" si="152"/>
        <v>-</v>
      </c>
      <c r="AF202" s="224" t="str">
        <f t="shared" si="182"/>
        <v>-</v>
      </c>
      <c r="AG202" s="224" t="str">
        <f t="shared" si="183"/>
        <v>-</v>
      </c>
      <c r="AH202" s="272">
        <f t="shared" si="153"/>
        <v>0.1</v>
      </c>
      <c r="AI202" s="271" t="str">
        <f>IFERROR(IF(AD201=1,AI$100*EXP(-(LN(2)/$D$65+0.04)*AF201)*EXP(-(LN(2)/$D$65+0.1)*AG201),IF(AD201=2,AI$100*EXP(-(LN(2)/$D$65+0.04)*(VLOOKUP(($F$16-$F$15)-1,AC$99:AG201,4,FALSE)))*EXP(-(LN(2)/$D$65+0.1)*(VLOOKUP(($F$16-$F$15)-1,AC$99:AG201,5,FALSE)))*EXP(-(LN(2)/$D$65+0.04)*AF201)*EXP(-(LN(2)/$D$65+0.1)*AG201),IF(AD201=3,AI$100*EXP(-(LN(2)/$D$65+0.04)*(VLOOKUP(($F$16-$F$15)-1,AC$99:AG201,4,FALSE)))*EXP(-(LN(2)/$D$65+0.1)*(VLOOKUP(($F$16-$F$15)-1,AC$99:AG201,5,FALSE)))*EXP(-(LN(2)/$D$65+0.04)*(VLOOKUP(($F$16-$F$15)*2-1,AC$99:AG201,4,FALSE)))*EXP(-(LN(2)/$D$65+0.1)*(VLOOKUP(($F$16-$F$15)*2-1,AC$99:AG201,5,FALSE)))*EXP(-(LN(2)/$D$65+0.04)*AF201)*EXP(-(LN(2)/$D$65+0.1)*AG201),"-"))),"-")</f>
        <v>-</v>
      </c>
      <c r="AJ202" s="271" t="str">
        <f>IFERROR(IF(AD202=1,AJ$100*EXP(-(LN(2)/$D$65+0.04)*AF202)*EXP(-(LN(2)/$D$65+0.1)*AG202),IF(AD202=2,AJ$100*EXP(-(LN(2)/$D$65+0.04)*(VLOOKUP(($F$16-$F$15)-1,AC$100:AG202,4,FALSE)))*EXP(-(LN(2)/$D$65+0.1)*(VLOOKUP(($F$16-$F$15)-1,AC$100:AG202,5,FALSE)))*EXP(-(LN(2)/$D$65+0.04)*AF202)*EXP(-(LN(2)/$D$65+0.1)*AG202),IF(AD202=3,AJ$100*EXP(-(LN(2)/$D$65+0.04)*(VLOOKUP(($F$16-$F$15)-1,AC$100:AG202,4,FALSE)))*EXP(-(LN(2)/$D$65+0.1)*(VLOOKUP(($F$16-$F$15)-1,AC$100:AG202,5,FALSE)))*EXP(-(LN(2)/$D$65+0.04)*(VLOOKUP(($F$16-$F$15)*2-1,AC$100:AG202,4,FALSE)))*EXP(-(LN(2)/$D$65+0.1)*(VLOOKUP(($F$16-$F$15)*2-1,AC$100:AG202,5,FALSE)))*EXP(-(LN(2)/$D$65+0.04)*AF202)*EXP(-(LN(2)/$D$65+0.1)*AG202),"-"))),"-")</f>
        <v>-</v>
      </c>
      <c r="AK202" s="227">
        <f t="shared" si="154"/>
        <v>102</v>
      </c>
      <c r="AL202" s="226" t="str">
        <f t="shared" si="128"/>
        <v>-</v>
      </c>
      <c r="AM202" s="227" t="str">
        <f t="shared" si="155"/>
        <v>-</v>
      </c>
      <c r="AN202" s="227" t="str">
        <f t="shared" si="156"/>
        <v>-</v>
      </c>
      <c r="AO202" s="227" t="str">
        <f t="shared" si="184"/>
        <v>-</v>
      </c>
      <c r="AP202" s="273">
        <f t="shared" si="157"/>
        <v>0.1</v>
      </c>
      <c r="AQ202" s="271" t="str">
        <f>IFERROR(IF(AL201=1,AQ$100*EXP(-(LN(2)/$D$65+0.04)*AN201)*EXP(-(LN(2)/$D$65+0.1)*AO201),IF(AL201=2,AQ$100*EXP(-(LN(2)/$D$65+0.04)*(VLOOKUP(($F$16-$F$15)-1,AK$99:AO201,4,FALSE)))*EXP(-(LN(2)/$D$65+0.1)*(VLOOKUP(($F$16-$F$15)-1,AK$99:AO201,5,FALSE)))*EXP(-(LN(2)/$D$65+0.04)*AN201)*EXP(-(LN(2)/$D$65+0.1)*AO201),IF(AL201=3,AQ$100*EXP(-(LN(2)/$D$65+0.04)*(VLOOKUP(($F$16-$F$15)-1,AK$99:AO201,4,FALSE)))*EXP(-(LN(2)/$D$65+0.1)*(VLOOKUP(($F$16-$F$15)-1,AK$99:AO201,5,FALSE)))*EXP(-(LN(2)/$D$65+0.04)*(VLOOKUP(($F$16-$F$15)*2-1,AK$99:AO201,4,FALSE)))*EXP(-(LN(2)/$D$65+0.1)*(VLOOKUP(($F$16-$F$15)*2-1,AK$99:AO201,5,FALSE)))*EXP(-(LN(2)/$D$65+0.04)*AN201)*EXP(-(LN(2)/$D$65+0.1)*AO201),"-"))),"-")</f>
        <v>-</v>
      </c>
      <c r="AR202" s="271" t="str">
        <f>IFERROR(IF(AL202=1,AR$100*EXP(-(LN(2)/$D$65+0.04)*AN202)*EXP(-(LN(2)/$D$65+0.1)*AO202),IF(AL202=2,AR$100*EXP(-(LN(2)/$D$65+0.04)*(VLOOKUP(($F$16-$F$15)-1,AK$100:AO202,4,FALSE)))*EXP(-(LN(2)/$D$65+0.1)*(VLOOKUP(($F$16-$F$15)-1,AK$100:AO202,5,FALSE)))*EXP(-(LN(2)/$D$65+0.04)*AN202)*EXP(-(LN(2)/$D$65+0.1)*AO202),IF(AL202=3,AR$100*EXP(-(LN(2)/$D$65+0.04)*(VLOOKUP(($F$16-$F$15)-1,AK$100:AO202,4,FALSE)))*EXP(-(LN(2)/$D$65+0.1)*(VLOOKUP(($F$16-$F$15)-1,AK$100:AO202,5,FALSE)))*EXP(-(LN(2)/$D$65+0.04)*(VLOOKUP(($F$16-$F$15)*2-1,AK$100:AO202,4,FALSE)))*EXP(-(LN(2)/$D$65+0.1)*(VLOOKUP(($F$16-$F$15)*2-1,AK$100:AO202,5,FALSE)))*EXP(-(LN(2)/$D$65+0.04)*AN202)*EXP(-(LN(2)/$D$65+0.1)*AO202),"-"))),"-")</f>
        <v>-</v>
      </c>
      <c r="AS202" s="274">
        <f t="shared" si="185"/>
        <v>0</v>
      </c>
      <c r="AT202" s="274">
        <f t="shared" si="186"/>
        <v>0</v>
      </c>
      <c r="AU202" s="274">
        <f t="shared" si="187"/>
        <v>0</v>
      </c>
      <c r="AV202" s="190">
        <f>IF($B202&lt;$F$22,SUM($T$100:$T202),"")</f>
        <v>0</v>
      </c>
      <c r="AW202" s="190" t="str">
        <f t="shared" si="188"/>
        <v>-</v>
      </c>
      <c r="AX202" s="190" t="str">
        <f t="shared" si="158"/>
        <v/>
      </c>
      <c r="AY202"/>
      <c r="AZ202" s="190" t="str">
        <f ca="1">IF(ISNUMBER(OFFSET(AV202,-$F$21,0)),SUM(OFFSET($T$100,$F$21,0):$T202),"")</f>
        <v/>
      </c>
      <c r="BA202" s="190" t="str">
        <f t="shared" ca="1" si="189"/>
        <v/>
      </c>
      <c r="BB202" s="190" t="str">
        <f t="shared" ca="1" si="164"/>
        <v/>
      </c>
      <c r="BC202" s="190"/>
      <c r="BD202" s="190" t="str">
        <f ca="1">IFERROR(IF(AND($B202&gt;=($F$16-$F$15),$B202&lt;$F$22+($F$16-$F$15)),SUM(OFFSET($T$100,($F$16-$F$15),0):$T202),""),"")</f>
        <v/>
      </c>
      <c r="BE202" s="190" t="str">
        <f t="shared" ca="1" si="159"/>
        <v/>
      </c>
      <c r="BF202" s="190" t="str">
        <f t="shared" ca="1" si="160"/>
        <v/>
      </c>
      <c r="BG202"/>
      <c r="BH202" s="190" t="str">
        <f ca="1">IF(ISNUMBER(OFFSET(BD202,-$F$21,0)),SUM(OFFSET($T$100,($F$16-$F$15+$F$21),0):$T202),"")</f>
        <v/>
      </c>
      <c r="BI202" s="190" t="str">
        <f t="shared" ca="1" si="190"/>
        <v/>
      </c>
      <c r="BJ202" s="190" t="str">
        <f t="shared" ca="1" si="161"/>
        <v/>
      </c>
      <c r="BK202" s="190"/>
      <c r="BL202" s="190" t="str">
        <f ca="1">IFERROR(IF(AND($B202&gt;=($F$17-$F$15),$B202&lt;$F$22+($F$17-$F$15)),SUM(OFFSET($T$100,($F$17-$F$15),0):$T202),""),"")</f>
        <v/>
      </c>
      <c r="BM202" s="190" t="str">
        <f t="shared" ca="1" si="191"/>
        <v/>
      </c>
      <c r="BN202" s="190" t="str">
        <f t="shared" ca="1" si="162"/>
        <v/>
      </c>
      <c r="BO202"/>
      <c r="BP202" s="190" t="str">
        <f ca="1">IF(ISNUMBER(OFFSET(BL202,-$F$21,0)),SUM(OFFSET($T$100,($F$17-$F$15+$F$21),0):$T202),"")</f>
        <v/>
      </c>
      <c r="BQ202" s="190" t="str">
        <f t="shared" ca="1" si="192"/>
        <v/>
      </c>
      <c r="BR202" s="190" t="str">
        <f t="shared" ca="1" si="163"/>
        <v/>
      </c>
      <c r="BS202" s="190"/>
      <c r="BT202"/>
      <c r="BU202"/>
      <c r="BV202"/>
      <c r="BY202" s="99"/>
      <c r="BZ202" s="99"/>
      <c r="CA202" s="280" t="str">
        <f t="shared" si="193"/>
        <v/>
      </c>
      <c r="CB202" s="71" t="str">
        <f t="shared" si="194"/>
        <v>-</v>
      </c>
      <c r="CC202" s="33"/>
      <c r="CD202" s="261" t="str">
        <f t="shared" si="195"/>
        <v/>
      </c>
      <c r="CE202" s="280" t="str">
        <f t="shared" si="196"/>
        <v>-</v>
      </c>
      <c r="CF202" s="71" t="str">
        <f t="shared" ca="1" si="197"/>
        <v>-</v>
      </c>
      <c r="CG202" s="33" t="str">
        <f t="shared" si="198"/>
        <v>102-103</v>
      </c>
      <c r="CH202" s="261" t="str">
        <f t="shared" ca="1" si="199"/>
        <v/>
      </c>
      <c r="CP202" s="99"/>
      <c r="CQ202" s="99"/>
    </row>
    <row r="203" spans="2:95" ht="13.5" customHeight="1" x14ac:dyDescent="0.2">
      <c r="B203" s="262">
        <v>103</v>
      </c>
      <c r="C203" s="237" t="str">
        <f t="shared" si="165"/>
        <v/>
      </c>
      <c r="D203" s="237" t="str">
        <f t="shared" si="200"/>
        <v>-</v>
      </c>
      <c r="E203" s="263" t="str">
        <f t="shared" si="146"/>
        <v/>
      </c>
      <c r="F203" s="264" t="str">
        <f t="shared" si="147"/>
        <v/>
      </c>
      <c r="G203" s="264" t="str">
        <f t="shared" si="148"/>
        <v/>
      </c>
      <c r="H203" s="240" t="str">
        <f t="shared" si="166"/>
        <v/>
      </c>
      <c r="I203" s="265" t="str">
        <f t="shared" si="167"/>
        <v/>
      </c>
      <c r="J203" s="265" t="str">
        <f t="shared" si="168"/>
        <v/>
      </c>
      <c r="K203" s="240" t="str">
        <f t="shared" si="169"/>
        <v/>
      </c>
      <c r="L203" s="265" t="str">
        <f t="shared" si="170"/>
        <v/>
      </c>
      <c r="M203" s="265" t="str">
        <f t="shared" si="171"/>
        <v/>
      </c>
      <c r="N203" s="240" t="str">
        <f t="shared" si="172"/>
        <v>-</v>
      </c>
      <c r="O203" s="265" t="str">
        <f t="shared" si="173"/>
        <v>-</v>
      </c>
      <c r="P203" s="265" t="str">
        <f t="shared" si="174"/>
        <v>-</v>
      </c>
      <c r="Q203" s="266" t="str">
        <f t="shared" si="175"/>
        <v>-</v>
      </c>
      <c r="R203" s="267" t="str">
        <f t="shared" si="176"/>
        <v>-</v>
      </c>
      <c r="S203" s="268" t="str">
        <f t="shared" si="177"/>
        <v>-</v>
      </c>
      <c r="T203" s="269" t="str">
        <f t="shared" si="178"/>
        <v/>
      </c>
      <c r="U203" s="221">
        <f t="shared" si="179"/>
        <v>103</v>
      </c>
      <c r="V203" s="220" t="str">
        <f t="shared" si="122"/>
        <v>-</v>
      </c>
      <c r="W203" s="221" t="str">
        <f t="shared" si="149"/>
        <v>-</v>
      </c>
      <c r="X203" s="221" t="str">
        <f t="shared" si="180"/>
        <v>-</v>
      </c>
      <c r="Y203" s="221" t="str">
        <f t="shared" si="181"/>
        <v>-</v>
      </c>
      <c r="Z203" s="270">
        <f t="shared" si="150"/>
        <v>0.1</v>
      </c>
      <c r="AA203" s="271" t="str">
        <f>IFERROR(IF(V202=1,AA$100*EXP(-(LN(2)/$D$65+0.04)*X202)*EXP(-(LN(2)/$D$65+0.1)*Y202),IF(V202=2,AA$100*EXP(-(LN(2)/$D$65+0.04)*(VLOOKUP(($F$16-$F$15)-1,U$99:Y202,4,FALSE)))*EXP(-(LN(2)/$D$65+0.1)*(VLOOKUP(($F$16-$F$15)-1,U$99:Y202,5,FALSE)))*EXP(-(LN(2)/$D$65+0.04)*X202)*EXP(-(LN(2)/$D$65+0.1)*Y202),IF(V202=3,AA$100*EXP(-(LN(2)/$D$65+0.04)*(VLOOKUP(($F$16-$F$15)-1,U$99:Y202,4,FALSE)))*EXP(-(LN(2)/$D$65+0.1)*(VLOOKUP(($F$16-$F$15)-1,U$99:Y202,5,FALSE)))*EXP(-(LN(2)/$D$65+0.04)*(VLOOKUP(($F$16-$F$15)*2-1,U$99:Y202,4,FALSE)))*EXP(-(LN(2)/$D$65+0.1)*(VLOOKUP(($F$16-$F$15)*2-1,U$99:Y202,5,FALSE)))*EXP(-(LN(2)/$D$65+0.04)*X202)*EXP(-(LN(2)/$D$65+0.1)*Y202),"-"))),"-")</f>
        <v>-</v>
      </c>
      <c r="AB203" s="271" t="str">
        <f>IFERROR(IF(V203=1,AB$100*EXP(-(LN(2)/$D$65+0.04)*X203)*EXP(-(LN(2)/$D$65+0.1)*Y203),IF(V203=2,AB$100*EXP(-(LN(2)/$D$65+0.04)*(VLOOKUP(($F$16-$F$15)-1,U$100:Y203,4,FALSE)))*EXP(-(LN(2)/$D$65+0.1)*(VLOOKUP(($F$16-$F$15)-1,U$100:Y203,5,FALSE)))*EXP(-(LN(2)/$D$65+0.04)*X203)*EXP(-(LN(2)/$D$65+0.1)*Y203),IF(V203=3,AB$100*EXP(-(LN(2)/$D$65+0.04)*(VLOOKUP(($F$16-$F$15)-1,U$100:Y203,4,FALSE)))*EXP(-(LN(2)/$D$65+0.1)*(VLOOKUP(($F$16-$F$15)-1,U$100:Y203,5,FALSE)))*EXP(-(LN(2)/$D$65+0.04)*(VLOOKUP(($F$16-$F$15)*2-1,U$100:Y203,4,FALSE)))*EXP(-(LN(2)/$D$65+0.1)*(VLOOKUP(($F$16-$F$15)*2-1,U$100:Y203,5,FALSE)))*EXP(-(LN(2)/$D$65+0.04)*X203)*EXP(-(LN(2)/$D$65+0.1)*Y203),"-"))),"-")</f>
        <v>-</v>
      </c>
      <c r="AC203" s="224">
        <f t="shared" si="151"/>
        <v>103</v>
      </c>
      <c r="AD203" s="223" t="str">
        <f t="shared" si="125"/>
        <v>-</v>
      </c>
      <c r="AE203" s="224" t="str">
        <f t="shared" si="152"/>
        <v>-</v>
      </c>
      <c r="AF203" s="224" t="str">
        <f t="shared" si="182"/>
        <v>-</v>
      </c>
      <c r="AG203" s="224" t="str">
        <f t="shared" si="183"/>
        <v>-</v>
      </c>
      <c r="AH203" s="272">
        <f t="shared" si="153"/>
        <v>0.1</v>
      </c>
      <c r="AI203" s="271" t="str">
        <f>IFERROR(IF(AD202=1,AI$100*EXP(-(LN(2)/$D$65+0.04)*AF202)*EXP(-(LN(2)/$D$65+0.1)*AG202),IF(AD202=2,AI$100*EXP(-(LN(2)/$D$65+0.04)*(VLOOKUP(($F$16-$F$15)-1,AC$99:AG202,4,FALSE)))*EXP(-(LN(2)/$D$65+0.1)*(VLOOKUP(($F$16-$F$15)-1,AC$99:AG202,5,FALSE)))*EXP(-(LN(2)/$D$65+0.04)*AF202)*EXP(-(LN(2)/$D$65+0.1)*AG202),IF(AD202=3,AI$100*EXP(-(LN(2)/$D$65+0.04)*(VLOOKUP(($F$16-$F$15)-1,AC$99:AG202,4,FALSE)))*EXP(-(LN(2)/$D$65+0.1)*(VLOOKUP(($F$16-$F$15)-1,AC$99:AG202,5,FALSE)))*EXP(-(LN(2)/$D$65+0.04)*(VLOOKUP(($F$16-$F$15)*2-1,AC$99:AG202,4,FALSE)))*EXP(-(LN(2)/$D$65+0.1)*(VLOOKUP(($F$16-$F$15)*2-1,AC$99:AG202,5,FALSE)))*EXP(-(LN(2)/$D$65+0.04)*AF202)*EXP(-(LN(2)/$D$65+0.1)*AG202),"-"))),"-")</f>
        <v>-</v>
      </c>
      <c r="AJ203" s="271" t="str">
        <f>IFERROR(IF(AD203=1,AJ$100*EXP(-(LN(2)/$D$65+0.04)*AF203)*EXP(-(LN(2)/$D$65+0.1)*AG203),IF(AD203=2,AJ$100*EXP(-(LN(2)/$D$65+0.04)*(VLOOKUP(($F$16-$F$15)-1,AC$100:AG203,4,FALSE)))*EXP(-(LN(2)/$D$65+0.1)*(VLOOKUP(($F$16-$F$15)-1,AC$100:AG203,5,FALSE)))*EXP(-(LN(2)/$D$65+0.04)*AF203)*EXP(-(LN(2)/$D$65+0.1)*AG203),IF(AD203=3,AJ$100*EXP(-(LN(2)/$D$65+0.04)*(VLOOKUP(($F$16-$F$15)-1,AC$100:AG203,4,FALSE)))*EXP(-(LN(2)/$D$65+0.1)*(VLOOKUP(($F$16-$F$15)-1,AC$100:AG203,5,FALSE)))*EXP(-(LN(2)/$D$65+0.04)*(VLOOKUP(($F$16-$F$15)*2-1,AC$100:AG203,4,FALSE)))*EXP(-(LN(2)/$D$65+0.1)*(VLOOKUP(($F$16-$F$15)*2-1,AC$100:AG203,5,FALSE)))*EXP(-(LN(2)/$D$65+0.04)*AF203)*EXP(-(LN(2)/$D$65+0.1)*AG203),"-"))),"-")</f>
        <v>-</v>
      </c>
      <c r="AK203" s="227">
        <f t="shared" si="154"/>
        <v>103</v>
      </c>
      <c r="AL203" s="226" t="str">
        <f t="shared" si="128"/>
        <v>-</v>
      </c>
      <c r="AM203" s="227" t="str">
        <f t="shared" si="155"/>
        <v>-</v>
      </c>
      <c r="AN203" s="227" t="str">
        <f t="shared" si="156"/>
        <v>-</v>
      </c>
      <c r="AO203" s="227" t="str">
        <f t="shared" si="184"/>
        <v>-</v>
      </c>
      <c r="AP203" s="273">
        <f t="shared" si="157"/>
        <v>0.1</v>
      </c>
      <c r="AQ203" s="271" t="str">
        <f>IFERROR(IF(AL202=1,AQ$100*EXP(-(LN(2)/$D$65+0.04)*AN202)*EXP(-(LN(2)/$D$65+0.1)*AO202),IF(AL202=2,AQ$100*EXP(-(LN(2)/$D$65+0.04)*(VLOOKUP(($F$16-$F$15)-1,AK$99:AO202,4,FALSE)))*EXP(-(LN(2)/$D$65+0.1)*(VLOOKUP(($F$16-$F$15)-1,AK$99:AO202,5,FALSE)))*EXP(-(LN(2)/$D$65+0.04)*AN202)*EXP(-(LN(2)/$D$65+0.1)*AO202),IF(AL202=3,AQ$100*EXP(-(LN(2)/$D$65+0.04)*(VLOOKUP(($F$16-$F$15)-1,AK$99:AO202,4,FALSE)))*EXP(-(LN(2)/$D$65+0.1)*(VLOOKUP(($F$16-$F$15)-1,AK$99:AO202,5,FALSE)))*EXP(-(LN(2)/$D$65+0.04)*(VLOOKUP(($F$16-$F$15)*2-1,AK$99:AO202,4,FALSE)))*EXP(-(LN(2)/$D$65+0.1)*(VLOOKUP(($F$16-$F$15)*2-1,AK$99:AO202,5,FALSE)))*EXP(-(LN(2)/$D$65+0.04)*AN202)*EXP(-(LN(2)/$D$65+0.1)*AO202),"-"))),"-")</f>
        <v>-</v>
      </c>
      <c r="AR203" s="271" t="str">
        <f>IFERROR(IF(AL203=1,AR$100*EXP(-(LN(2)/$D$65+0.04)*AN203)*EXP(-(LN(2)/$D$65+0.1)*AO203),IF(AL203=2,AR$100*EXP(-(LN(2)/$D$65+0.04)*(VLOOKUP(($F$16-$F$15)-1,AK$100:AO203,4,FALSE)))*EXP(-(LN(2)/$D$65+0.1)*(VLOOKUP(($F$16-$F$15)-1,AK$100:AO203,5,FALSE)))*EXP(-(LN(2)/$D$65+0.04)*AN203)*EXP(-(LN(2)/$D$65+0.1)*AO203),IF(AL203=3,AR$100*EXP(-(LN(2)/$D$65+0.04)*(VLOOKUP(($F$16-$F$15)-1,AK$100:AO203,4,FALSE)))*EXP(-(LN(2)/$D$65+0.1)*(VLOOKUP(($F$16-$F$15)-1,AK$100:AO203,5,FALSE)))*EXP(-(LN(2)/$D$65+0.04)*(VLOOKUP(($F$16-$F$15)*2-1,AK$100:AO203,4,FALSE)))*EXP(-(LN(2)/$D$65+0.1)*(VLOOKUP(($F$16-$F$15)*2-1,AK$100:AO203,5,FALSE)))*EXP(-(LN(2)/$D$65+0.04)*AN203)*EXP(-(LN(2)/$D$65+0.1)*AO203),"-"))),"-")</f>
        <v>-</v>
      </c>
      <c r="AS203" s="274">
        <f t="shared" si="185"/>
        <v>0</v>
      </c>
      <c r="AT203" s="274">
        <f t="shared" si="186"/>
        <v>0</v>
      </c>
      <c r="AU203" s="274">
        <f t="shared" si="187"/>
        <v>0</v>
      </c>
      <c r="AV203" s="190">
        <f>IF($B203&lt;$F$22,SUM($T$100:$T203),"")</f>
        <v>0</v>
      </c>
      <c r="AW203" s="190" t="str">
        <f t="shared" si="188"/>
        <v>-</v>
      </c>
      <c r="AX203" s="190" t="str">
        <f t="shared" si="158"/>
        <v/>
      </c>
      <c r="AY203"/>
      <c r="AZ203" s="190" t="str">
        <f ca="1">IF(ISNUMBER(OFFSET(AV203,-$F$21,0)),SUM(OFFSET($T$100,$F$21,0):$T203),"")</f>
        <v/>
      </c>
      <c r="BA203" s="190" t="str">
        <f t="shared" ca="1" si="189"/>
        <v/>
      </c>
      <c r="BB203" s="190" t="str">
        <f t="shared" ca="1" si="164"/>
        <v/>
      </c>
      <c r="BC203" s="190"/>
      <c r="BD203" s="190" t="str">
        <f ca="1">IFERROR(IF(AND($B203&gt;=($F$16-$F$15),$B203&lt;$F$22+($F$16-$F$15)),SUM(OFFSET($T$100,($F$16-$F$15),0):$T203),""),"")</f>
        <v/>
      </c>
      <c r="BE203" s="190" t="str">
        <f t="shared" ca="1" si="159"/>
        <v/>
      </c>
      <c r="BF203" s="190" t="str">
        <f t="shared" ca="1" si="160"/>
        <v/>
      </c>
      <c r="BG203"/>
      <c r="BH203" s="190" t="str">
        <f ca="1">IF(ISNUMBER(OFFSET(BD203,-$F$21,0)),SUM(OFFSET($T$100,($F$16-$F$15+$F$21),0):$T203),"")</f>
        <v/>
      </c>
      <c r="BI203" s="190" t="str">
        <f t="shared" ca="1" si="190"/>
        <v/>
      </c>
      <c r="BJ203" s="190" t="str">
        <f t="shared" ca="1" si="161"/>
        <v/>
      </c>
      <c r="BK203" s="190"/>
      <c r="BL203" s="190" t="str">
        <f ca="1">IFERROR(IF(AND($B203&gt;=($F$17-$F$15),$B203&lt;$F$22+($F$17-$F$15)),SUM(OFFSET($T$100,($F$17-$F$15),0):$T203),""),"")</f>
        <v/>
      </c>
      <c r="BM203" s="190" t="str">
        <f t="shared" ca="1" si="191"/>
        <v/>
      </c>
      <c r="BN203" s="190" t="str">
        <f t="shared" ca="1" si="162"/>
        <v/>
      </c>
      <c r="BO203"/>
      <c r="BP203" s="190" t="str">
        <f ca="1">IF(ISNUMBER(OFFSET(BL203,-$F$21,0)),SUM(OFFSET($T$100,($F$17-$F$15+$F$21),0):$T203),"")</f>
        <v/>
      </c>
      <c r="BQ203" s="190" t="str">
        <f t="shared" ca="1" si="192"/>
        <v/>
      </c>
      <c r="BR203" s="190" t="str">
        <f t="shared" ca="1" si="163"/>
        <v/>
      </c>
      <c r="BS203" s="190"/>
      <c r="BT203"/>
      <c r="BU203"/>
      <c r="BV203"/>
      <c r="BY203" s="99"/>
      <c r="BZ203" s="99"/>
      <c r="CA203" s="280" t="str">
        <f t="shared" si="193"/>
        <v/>
      </c>
      <c r="CB203" s="71" t="str">
        <f t="shared" si="194"/>
        <v>-</v>
      </c>
      <c r="CC203" s="33"/>
      <c r="CD203" s="261" t="str">
        <f t="shared" si="195"/>
        <v/>
      </c>
      <c r="CE203" s="280" t="str">
        <f t="shared" si="196"/>
        <v>-</v>
      </c>
      <c r="CF203" s="71" t="str">
        <f t="shared" ca="1" si="197"/>
        <v>-</v>
      </c>
      <c r="CG203" s="33" t="str">
        <f t="shared" si="198"/>
        <v>103-104</v>
      </c>
      <c r="CH203" s="261" t="str">
        <f t="shared" ca="1" si="199"/>
        <v/>
      </c>
      <c r="CP203" s="99"/>
      <c r="CQ203" s="99"/>
    </row>
    <row r="204" spans="2:95" ht="13.5" customHeight="1" x14ac:dyDescent="0.2">
      <c r="B204" s="262">
        <v>104</v>
      </c>
      <c r="C204" s="237" t="str">
        <f t="shared" si="165"/>
        <v/>
      </c>
      <c r="D204" s="237" t="str">
        <f t="shared" si="200"/>
        <v>-</v>
      </c>
      <c r="E204" s="263" t="str">
        <f t="shared" si="146"/>
        <v/>
      </c>
      <c r="F204" s="264" t="str">
        <f t="shared" si="147"/>
        <v/>
      </c>
      <c r="G204" s="264" t="str">
        <f t="shared" si="148"/>
        <v/>
      </c>
      <c r="H204" s="240" t="str">
        <f t="shared" si="166"/>
        <v/>
      </c>
      <c r="I204" s="265" t="str">
        <f t="shared" si="167"/>
        <v/>
      </c>
      <c r="J204" s="265" t="str">
        <f t="shared" si="168"/>
        <v/>
      </c>
      <c r="K204" s="240" t="str">
        <f t="shared" si="169"/>
        <v/>
      </c>
      <c r="L204" s="265" t="str">
        <f t="shared" si="170"/>
        <v/>
      </c>
      <c r="M204" s="265" t="str">
        <f t="shared" si="171"/>
        <v/>
      </c>
      <c r="N204" s="240" t="str">
        <f t="shared" si="172"/>
        <v>-</v>
      </c>
      <c r="O204" s="265" t="str">
        <f t="shared" si="173"/>
        <v>-</v>
      </c>
      <c r="P204" s="265" t="str">
        <f t="shared" si="174"/>
        <v>-</v>
      </c>
      <c r="Q204" s="266" t="str">
        <f t="shared" si="175"/>
        <v>-</v>
      </c>
      <c r="R204" s="267" t="str">
        <f t="shared" si="176"/>
        <v>-</v>
      </c>
      <c r="S204" s="268" t="str">
        <f t="shared" si="177"/>
        <v>-</v>
      </c>
      <c r="T204" s="269" t="str">
        <f t="shared" si="178"/>
        <v/>
      </c>
      <c r="U204" s="221">
        <f t="shared" si="179"/>
        <v>104</v>
      </c>
      <c r="V204" s="220" t="str">
        <f t="shared" si="122"/>
        <v>-</v>
      </c>
      <c r="W204" s="221" t="str">
        <f t="shared" si="149"/>
        <v>-</v>
      </c>
      <c r="X204" s="221" t="str">
        <f t="shared" si="180"/>
        <v>-</v>
      </c>
      <c r="Y204" s="221" t="str">
        <f t="shared" si="181"/>
        <v>-</v>
      </c>
      <c r="Z204" s="270">
        <f t="shared" si="150"/>
        <v>0.1</v>
      </c>
      <c r="AA204" s="271" t="str">
        <f>IFERROR(IF(V203=1,AA$100*EXP(-(LN(2)/$D$65+0.04)*X203)*EXP(-(LN(2)/$D$65+0.1)*Y203),IF(V203=2,AA$100*EXP(-(LN(2)/$D$65+0.04)*(VLOOKUP(($F$16-$F$15)-1,U$99:Y203,4,FALSE)))*EXP(-(LN(2)/$D$65+0.1)*(VLOOKUP(($F$16-$F$15)-1,U$99:Y203,5,FALSE)))*EXP(-(LN(2)/$D$65+0.04)*X203)*EXP(-(LN(2)/$D$65+0.1)*Y203),IF(V203=3,AA$100*EXP(-(LN(2)/$D$65+0.04)*(VLOOKUP(($F$16-$F$15)-1,U$99:Y203,4,FALSE)))*EXP(-(LN(2)/$D$65+0.1)*(VLOOKUP(($F$16-$F$15)-1,U$99:Y203,5,FALSE)))*EXP(-(LN(2)/$D$65+0.04)*(VLOOKUP(($F$16-$F$15)*2-1,U$99:Y203,4,FALSE)))*EXP(-(LN(2)/$D$65+0.1)*(VLOOKUP(($F$16-$F$15)*2-1,U$99:Y203,5,FALSE)))*EXP(-(LN(2)/$D$65+0.04)*X203)*EXP(-(LN(2)/$D$65+0.1)*Y203),"-"))),"-")</f>
        <v>-</v>
      </c>
      <c r="AB204" s="271" t="str">
        <f>IFERROR(IF(V204=1,AB$100*EXP(-(LN(2)/$D$65+0.04)*X204)*EXP(-(LN(2)/$D$65+0.1)*Y204),IF(V204=2,AB$100*EXP(-(LN(2)/$D$65+0.04)*(VLOOKUP(($F$16-$F$15)-1,U$100:Y204,4,FALSE)))*EXP(-(LN(2)/$D$65+0.1)*(VLOOKUP(($F$16-$F$15)-1,U$100:Y204,5,FALSE)))*EXP(-(LN(2)/$D$65+0.04)*X204)*EXP(-(LN(2)/$D$65+0.1)*Y204),IF(V204=3,AB$100*EXP(-(LN(2)/$D$65+0.04)*(VLOOKUP(($F$16-$F$15)-1,U$100:Y204,4,FALSE)))*EXP(-(LN(2)/$D$65+0.1)*(VLOOKUP(($F$16-$F$15)-1,U$100:Y204,5,FALSE)))*EXP(-(LN(2)/$D$65+0.04)*(VLOOKUP(($F$16-$F$15)*2-1,U$100:Y204,4,FALSE)))*EXP(-(LN(2)/$D$65+0.1)*(VLOOKUP(($F$16-$F$15)*2-1,U$100:Y204,5,FALSE)))*EXP(-(LN(2)/$D$65+0.04)*X204)*EXP(-(LN(2)/$D$65+0.1)*Y204),"-"))),"-")</f>
        <v>-</v>
      </c>
      <c r="AC204" s="224">
        <f t="shared" si="151"/>
        <v>104</v>
      </c>
      <c r="AD204" s="223" t="str">
        <f t="shared" si="125"/>
        <v>-</v>
      </c>
      <c r="AE204" s="224" t="str">
        <f t="shared" si="152"/>
        <v>-</v>
      </c>
      <c r="AF204" s="224" t="str">
        <f t="shared" si="182"/>
        <v>-</v>
      </c>
      <c r="AG204" s="224" t="str">
        <f t="shared" si="183"/>
        <v>-</v>
      </c>
      <c r="AH204" s="272">
        <f t="shared" si="153"/>
        <v>0.1</v>
      </c>
      <c r="AI204" s="271" t="str">
        <f>IFERROR(IF(AD203=1,AI$100*EXP(-(LN(2)/$D$65+0.04)*AF203)*EXP(-(LN(2)/$D$65+0.1)*AG203),IF(AD203=2,AI$100*EXP(-(LN(2)/$D$65+0.04)*(VLOOKUP(($F$16-$F$15)-1,AC$99:AG203,4,FALSE)))*EXP(-(LN(2)/$D$65+0.1)*(VLOOKUP(($F$16-$F$15)-1,AC$99:AG203,5,FALSE)))*EXP(-(LN(2)/$D$65+0.04)*AF203)*EXP(-(LN(2)/$D$65+0.1)*AG203),IF(AD203=3,AI$100*EXP(-(LN(2)/$D$65+0.04)*(VLOOKUP(($F$16-$F$15)-1,AC$99:AG203,4,FALSE)))*EXP(-(LN(2)/$D$65+0.1)*(VLOOKUP(($F$16-$F$15)-1,AC$99:AG203,5,FALSE)))*EXP(-(LN(2)/$D$65+0.04)*(VLOOKUP(($F$16-$F$15)*2-1,AC$99:AG203,4,FALSE)))*EXP(-(LN(2)/$D$65+0.1)*(VLOOKUP(($F$16-$F$15)*2-1,AC$99:AG203,5,FALSE)))*EXP(-(LN(2)/$D$65+0.04)*AF203)*EXP(-(LN(2)/$D$65+0.1)*AG203),"-"))),"-")</f>
        <v>-</v>
      </c>
      <c r="AJ204" s="271" t="str">
        <f>IFERROR(IF(AD204=1,AJ$100*EXP(-(LN(2)/$D$65+0.04)*AF204)*EXP(-(LN(2)/$D$65+0.1)*AG204),IF(AD204=2,AJ$100*EXP(-(LN(2)/$D$65+0.04)*(VLOOKUP(($F$16-$F$15)-1,AC$100:AG204,4,FALSE)))*EXP(-(LN(2)/$D$65+0.1)*(VLOOKUP(($F$16-$F$15)-1,AC$100:AG204,5,FALSE)))*EXP(-(LN(2)/$D$65+0.04)*AF204)*EXP(-(LN(2)/$D$65+0.1)*AG204),IF(AD204=3,AJ$100*EXP(-(LN(2)/$D$65+0.04)*(VLOOKUP(($F$16-$F$15)-1,AC$100:AG204,4,FALSE)))*EXP(-(LN(2)/$D$65+0.1)*(VLOOKUP(($F$16-$F$15)-1,AC$100:AG204,5,FALSE)))*EXP(-(LN(2)/$D$65+0.04)*(VLOOKUP(($F$16-$F$15)*2-1,AC$100:AG204,4,FALSE)))*EXP(-(LN(2)/$D$65+0.1)*(VLOOKUP(($F$16-$F$15)*2-1,AC$100:AG204,5,FALSE)))*EXP(-(LN(2)/$D$65+0.04)*AF204)*EXP(-(LN(2)/$D$65+0.1)*AG204),"-"))),"-")</f>
        <v>-</v>
      </c>
      <c r="AK204" s="227">
        <f t="shared" si="154"/>
        <v>104</v>
      </c>
      <c r="AL204" s="226" t="str">
        <f t="shared" si="128"/>
        <v>-</v>
      </c>
      <c r="AM204" s="227" t="str">
        <f t="shared" si="155"/>
        <v>-</v>
      </c>
      <c r="AN204" s="227" t="str">
        <f t="shared" si="156"/>
        <v>-</v>
      </c>
      <c r="AO204" s="227" t="str">
        <f t="shared" si="184"/>
        <v>-</v>
      </c>
      <c r="AP204" s="273">
        <f t="shared" si="157"/>
        <v>0.1</v>
      </c>
      <c r="AQ204" s="271" t="str">
        <f>IFERROR(IF(AL203=1,AQ$100*EXP(-(LN(2)/$D$65+0.04)*AN203)*EXP(-(LN(2)/$D$65+0.1)*AO203),IF(AL203=2,AQ$100*EXP(-(LN(2)/$D$65+0.04)*(VLOOKUP(($F$16-$F$15)-1,AK$99:AO203,4,FALSE)))*EXP(-(LN(2)/$D$65+0.1)*(VLOOKUP(($F$16-$F$15)-1,AK$99:AO203,5,FALSE)))*EXP(-(LN(2)/$D$65+0.04)*AN203)*EXP(-(LN(2)/$D$65+0.1)*AO203),IF(AL203=3,AQ$100*EXP(-(LN(2)/$D$65+0.04)*(VLOOKUP(($F$16-$F$15)-1,AK$99:AO203,4,FALSE)))*EXP(-(LN(2)/$D$65+0.1)*(VLOOKUP(($F$16-$F$15)-1,AK$99:AO203,5,FALSE)))*EXP(-(LN(2)/$D$65+0.04)*(VLOOKUP(($F$16-$F$15)*2-1,AK$99:AO203,4,FALSE)))*EXP(-(LN(2)/$D$65+0.1)*(VLOOKUP(($F$16-$F$15)*2-1,AK$99:AO203,5,FALSE)))*EXP(-(LN(2)/$D$65+0.04)*AN203)*EXP(-(LN(2)/$D$65+0.1)*AO203),"-"))),"-")</f>
        <v>-</v>
      </c>
      <c r="AR204" s="271" t="str">
        <f>IFERROR(IF(AL204=1,AR$100*EXP(-(LN(2)/$D$65+0.04)*AN204)*EXP(-(LN(2)/$D$65+0.1)*AO204),IF(AL204=2,AR$100*EXP(-(LN(2)/$D$65+0.04)*(VLOOKUP(($F$16-$F$15)-1,AK$100:AO204,4,FALSE)))*EXP(-(LN(2)/$D$65+0.1)*(VLOOKUP(($F$16-$F$15)-1,AK$100:AO204,5,FALSE)))*EXP(-(LN(2)/$D$65+0.04)*AN204)*EXP(-(LN(2)/$D$65+0.1)*AO204),IF(AL204=3,AR$100*EXP(-(LN(2)/$D$65+0.04)*(VLOOKUP(($F$16-$F$15)-1,AK$100:AO204,4,FALSE)))*EXP(-(LN(2)/$D$65+0.1)*(VLOOKUP(($F$16-$F$15)-1,AK$100:AO204,5,FALSE)))*EXP(-(LN(2)/$D$65+0.04)*(VLOOKUP(($F$16-$F$15)*2-1,AK$100:AO204,4,FALSE)))*EXP(-(LN(2)/$D$65+0.1)*(VLOOKUP(($F$16-$F$15)*2-1,AK$100:AO204,5,FALSE)))*EXP(-(LN(2)/$D$65+0.04)*AN204)*EXP(-(LN(2)/$D$65+0.1)*AO204),"-"))),"-")</f>
        <v>-</v>
      </c>
      <c r="AS204" s="274">
        <f t="shared" si="185"/>
        <v>0</v>
      </c>
      <c r="AT204" s="274">
        <f t="shared" si="186"/>
        <v>0</v>
      </c>
      <c r="AU204" s="274">
        <f t="shared" si="187"/>
        <v>0</v>
      </c>
      <c r="AV204" s="190">
        <f>IF($B204&lt;$F$22,SUM($T$100:$T204),"")</f>
        <v>0</v>
      </c>
      <c r="AW204" s="190" t="str">
        <f t="shared" si="188"/>
        <v>-</v>
      </c>
      <c r="AX204" s="190" t="str">
        <f t="shared" si="158"/>
        <v/>
      </c>
      <c r="AY204"/>
      <c r="AZ204" s="190" t="str">
        <f ca="1">IF(ISNUMBER(OFFSET(AV204,-$F$21,0)),SUM(OFFSET($T$100,$F$21,0):$T204),"")</f>
        <v/>
      </c>
      <c r="BA204" s="190" t="str">
        <f t="shared" ca="1" si="189"/>
        <v/>
      </c>
      <c r="BB204" s="190" t="str">
        <f t="shared" ca="1" si="164"/>
        <v/>
      </c>
      <c r="BC204" s="190"/>
      <c r="BD204" s="190" t="str">
        <f ca="1">IFERROR(IF(AND($B204&gt;=($F$16-$F$15),$B204&lt;$F$22+($F$16-$F$15)),SUM(OFFSET($T$100,($F$16-$F$15),0):$T204),""),"")</f>
        <v/>
      </c>
      <c r="BE204" s="190" t="str">
        <f t="shared" ca="1" si="159"/>
        <v/>
      </c>
      <c r="BF204" s="190" t="str">
        <f t="shared" ca="1" si="160"/>
        <v/>
      </c>
      <c r="BG204"/>
      <c r="BH204" s="190" t="str">
        <f ca="1">IF(ISNUMBER(OFFSET(BD204,-$F$21,0)),SUM(OFFSET($T$100,($F$16-$F$15+$F$21),0):$T204),"")</f>
        <v/>
      </c>
      <c r="BI204" s="190" t="str">
        <f t="shared" ca="1" si="190"/>
        <v/>
      </c>
      <c r="BJ204" s="190" t="str">
        <f t="shared" ca="1" si="161"/>
        <v/>
      </c>
      <c r="BK204" s="190"/>
      <c r="BL204" s="190" t="str">
        <f ca="1">IFERROR(IF(AND($B204&gt;=($F$17-$F$15),$B204&lt;$F$22+($F$17-$F$15)),SUM(OFFSET($T$100,($F$17-$F$15),0):$T204),""),"")</f>
        <v/>
      </c>
      <c r="BM204" s="190" t="str">
        <f t="shared" ca="1" si="191"/>
        <v/>
      </c>
      <c r="BN204" s="190" t="str">
        <f t="shared" ca="1" si="162"/>
        <v/>
      </c>
      <c r="BO204"/>
      <c r="BP204" s="190" t="str">
        <f ca="1">IF(ISNUMBER(OFFSET(BL204,-$F$21,0)),SUM(OFFSET($T$100,($F$17-$F$15+$F$21),0):$T204),"")</f>
        <v/>
      </c>
      <c r="BQ204" s="190" t="str">
        <f t="shared" ca="1" si="192"/>
        <v/>
      </c>
      <c r="BR204" s="190" t="str">
        <f t="shared" ca="1" si="163"/>
        <v/>
      </c>
      <c r="BS204" s="190"/>
      <c r="BT204"/>
      <c r="BU204"/>
      <c r="BV204"/>
      <c r="BY204" s="99"/>
      <c r="BZ204" s="99"/>
      <c r="CA204" s="280" t="str">
        <f t="shared" si="193"/>
        <v/>
      </c>
      <c r="CB204" s="71" t="str">
        <f t="shared" si="194"/>
        <v>-</v>
      </c>
      <c r="CC204" s="33"/>
      <c r="CD204" s="261" t="str">
        <f t="shared" si="195"/>
        <v/>
      </c>
      <c r="CE204" s="280" t="str">
        <f t="shared" si="196"/>
        <v>-</v>
      </c>
      <c r="CF204" s="71" t="str">
        <f t="shared" ca="1" si="197"/>
        <v>-</v>
      </c>
      <c r="CG204" s="33" t="str">
        <f t="shared" si="198"/>
        <v>104-105</v>
      </c>
      <c r="CH204" s="261" t="str">
        <f t="shared" ca="1" si="199"/>
        <v/>
      </c>
      <c r="CP204" s="99"/>
      <c r="CQ204" s="99"/>
    </row>
    <row r="205" spans="2:95" ht="13.5" customHeight="1" x14ac:dyDescent="0.2">
      <c r="B205" s="262">
        <v>105</v>
      </c>
      <c r="C205" s="237" t="str">
        <f t="shared" si="165"/>
        <v/>
      </c>
      <c r="D205" s="237" t="str">
        <f t="shared" si="200"/>
        <v>-</v>
      </c>
      <c r="E205" s="263" t="str">
        <f t="shared" si="146"/>
        <v/>
      </c>
      <c r="F205" s="264" t="str">
        <f t="shared" si="147"/>
        <v/>
      </c>
      <c r="G205" s="264" t="str">
        <f t="shared" si="148"/>
        <v/>
      </c>
      <c r="H205" s="240" t="str">
        <f t="shared" si="166"/>
        <v/>
      </c>
      <c r="I205" s="265" t="str">
        <f t="shared" si="167"/>
        <v/>
      </c>
      <c r="J205" s="265" t="str">
        <f t="shared" si="168"/>
        <v/>
      </c>
      <c r="K205" s="240" t="str">
        <f t="shared" si="169"/>
        <v/>
      </c>
      <c r="L205" s="265" t="str">
        <f t="shared" si="170"/>
        <v/>
      </c>
      <c r="M205" s="265" t="str">
        <f t="shared" si="171"/>
        <v/>
      </c>
      <c r="N205" s="240" t="str">
        <f t="shared" si="172"/>
        <v>-</v>
      </c>
      <c r="O205" s="265" t="str">
        <f t="shared" si="173"/>
        <v>-</v>
      </c>
      <c r="P205" s="265" t="str">
        <f t="shared" si="174"/>
        <v>-</v>
      </c>
      <c r="Q205" s="266" t="str">
        <f t="shared" si="175"/>
        <v>-</v>
      </c>
      <c r="R205" s="267" t="str">
        <f t="shared" si="176"/>
        <v>-</v>
      </c>
      <c r="S205" s="268" t="str">
        <f t="shared" si="177"/>
        <v>-</v>
      </c>
      <c r="T205" s="269" t="str">
        <f t="shared" si="178"/>
        <v/>
      </c>
      <c r="U205" s="221">
        <f t="shared" si="179"/>
        <v>105</v>
      </c>
      <c r="V205" s="220" t="str">
        <f t="shared" si="122"/>
        <v>-</v>
      </c>
      <c r="W205" s="221" t="str">
        <f t="shared" si="149"/>
        <v>-</v>
      </c>
      <c r="X205" s="221" t="str">
        <f t="shared" si="180"/>
        <v>-</v>
      </c>
      <c r="Y205" s="221" t="str">
        <f t="shared" si="181"/>
        <v>-</v>
      </c>
      <c r="Z205" s="270">
        <f t="shared" si="150"/>
        <v>0.1</v>
      </c>
      <c r="AA205" s="271" t="str">
        <f>IFERROR(IF(V204=1,AA$100*EXP(-(LN(2)/$D$65+0.04)*X204)*EXP(-(LN(2)/$D$65+0.1)*Y204),IF(V204=2,AA$100*EXP(-(LN(2)/$D$65+0.04)*(VLOOKUP(($F$16-$F$15)-1,U$99:Y204,4,FALSE)))*EXP(-(LN(2)/$D$65+0.1)*(VLOOKUP(($F$16-$F$15)-1,U$99:Y204,5,FALSE)))*EXP(-(LN(2)/$D$65+0.04)*X204)*EXP(-(LN(2)/$D$65+0.1)*Y204),IF(V204=3,AA$100*EXP(-(LN(2)/$D$65+0.04)*(VLOOKUP(($F$16-$F$15)-1,U$99:Y204,4,FALSE)))*EXP(-(LN(2)/$D$65+0.1)*(VLOOKUP(($F$16-$F$15)-1,U$99:Y204,5,FALSE)))*EXP(-(LN(2)/$D$65+0.04)*(VLOOKUP(($F$16-$F$15)*2-1,U$99:Y204,4,FALSE)))*EXP(-(LN(2)/$D$65+0.1)*(VLOOKUP(($F$16-$F$15)*2-1,U$99:Y204,5,FALSE)))*EXP(-(LN(2)/$D$65+0.04)*X204)*EXP(-(LN(2)/$D$65+0.1)*Y204),"-"))),"-")</f>
        <v>-</v>
      </c>
      <c r="AB205" s="271" t="str">
        <f>IFERROR(IF(V205=1,AB$100*EXP(-(LN(2)/$D$65+0.04)*X205)*EXP(-(LN(2)/$D$65+0.1)*Y205),IF(V205=2,AB$100*EXP(-(LN(2)/$D$65+0.04)*(VLOOKUP(($F$16-$F$15)-1,U$100:Y205,4,FALSE)))*EXP(-(LN(2)/$D$65+0.1)*(VLOOKUP(($F$16-$F$15)-1,U$100:Y205,5,FALSE)))*EXP(-(LN(2)/$D$65+0.04)*X205)*EXP(-(LN(2)/$D$65+0.1)*Y205),IF(V205=3,AB$100*EXP(-(LN(2)/$D$65+0.04)*(VLOOKUP(($F$16-$F$15)-1,U$100:Y205,4,FALSE)))*EXP(-(LN(2)/$D$65+0.1)*(VLOOKUP(($F$16-$F$15)-1,U$100:Y205,5,FALSE)))*EXP(-(LN(2)/$D$65+0.04)*(VLOOKUP(($F$16-$F$15)*2-1,U$100:Y205,4,FALSE)))*EXP(-(LN(2)/$D$65+0.1)*(VLOOKUP(($F$16-$F$15)*2-1,U$100:Y205,5,FALSE)))*EXP(-(LN(2)/$D$65+0.04)*X205)*EXP(-(LN(2)/$D$65+0.1)*Y205),"-"))),"-")</f>
        <v>-</v>
      </c>
      <c r="AC205" s="224">
        <f t="shared" si="151"/>
        <v>105</v>
      </c>
      <c r="AD205" s="223" t="str">
        <f t="shared" si="125"/>
        <v>-</v>
      </c>
      <c r="AE205" s="224" t="str">
        <f t="shared" si="152"/>
        <v>-</v>
      </c>
      <c r="AF205" s="224" t="str">
        <f t="shared" si="182"/>
        <v>-</v>
      </c>
      <c r="AG205" s="224" t="str">
        <f t="shared" si="183"/>
        <v>-</v>
      </c>
      <c r="AH205" s="272">
        <f t="shared" si="153"/>
        <v>0.1</v>
      </c>
      <c r="AI205" s="271" t="str">
        <f>IFERROR(IF(AD204=1,AI$100*EXP(-(LN(2)/$D$65+0.04)*AF204)*EXP(-(LN(2)/$D$65+0.1)*AG204),IF(AD204=2,AI$100*EXP(-(LN(2)/$D$65+0.04)*(VLOOKUP(($F$16-$F$15)-1,AC$99:AG204,4,FALSE)))*EXP(-(LN(2)/$D$65+0.1)*(VLOOKUP(($F$16-$F$15)-1,AC$99:AG204,5,FALSE)))*EXP(-(LN(2)/$D$65+0.04)*AF204)*EXP(-(LN(2)/$D$65+0.1)*AG204),IF(AD204=3,AI$100*EXP(-(LN(2)/$D$65+0.04)*(VLOOKUP(($F$16-$F$15)-1,AC$99:AG204,4,FALSE)))*EXP(-(LN(2)/$D$65+0.1)*(VLOOKUP(($F$16-$F$15)-1,AC$99:AG204,5,FALSE)))*EXP(-(LN(2)/$D$65+0.04)*(VLOOKUP(($F$16-$F$15)*2-1,AC$99:AG204,4,FALSE)))*EXP(-(LN(2)/$D$65+0.1)*(VLOOKUP(($F$16-$F$15)*2-1,AC$99:AG204,5,FALSE)))*EXP(-(LN(2)/$D$65+0.04)*AF204)*EXP(-(LN(2)/$D$65+0.1)*AG204),"-"))),"-")</f>
        <v>-</v>
      </c>
      <c r="AJ205" s="271" t="str">
        <f>IFERROR(IF(AD205=1,AJ$100*EXP(-(LN(2)/$D$65+0.04)*AF205)*EXP(-(LN(2)/$D$65+0.1)*AG205),IF(AD205=2,AJ$100*EXP(-(LN(2)/$D$65+0.04)*(VLOOKUP(($F$16-$F$15)-1,AC$100:AG205,4,FALSE)))*EXP(-(LN(2)/$D$65+0.1)*(VLOOKUP(($F$16-$F$15)-1,AC$100:AG205,5,FALSE)))*EXP(-(LN(2)/$D$65+0.04)*AF205)*EXP(-(LN(2)/$D$65+0.1)*AG205),IF(AD205=3,AJ$100*EXP(-(LN(2)/$D$65+0.04)*(VLOOKUP(($F$16-$F$15)-1,AC$100:AG205,4,FALSE)))*EXP(-(LN(2)/$D$65+0.1)*(VLOOKUP(($F$16-$F$15)-1,AC$100:AG205,5,FALSE)))*EXP(-(LN(2)/$D$65+0.04)*(VLOOKUP(($F$16-$F$15)*2-1,AC$100:AG205,4,FALSE)))*EXP(-(LN(2)/$D$65+0.1)*(VLOOKUP(($F$16-$F$15)*2-1,AC$100:AG205,5,FALSE)))*EXP(-(LN(2)/$D$65+0.04)*AF205)*EXP(-(LN(2)/$D$65+0.1)*AG205),"-"))),"-")</f>
        <v>-</v>
      </c>
      <c r="AK205" s="227">
        <f t="shared" si="154"/>
        <v>105</v>
      </c>
      <c r="AL205" s="226" t="str">
        <f t="shared" si="128"/>
        <v>-</v>
      </c>
      <c r="AM205" s="227" t="str">
        <f t="shared" si="155"/>
        <v>-</v>
      </c>
      <c r="AN205" s="227" t="str">
        <f t="shared" si="156"/>
        <v>-</v>
      </c>
      <c r="AO205" s="227" t="str">
        <f t="shared" si="184"/>
        <v>-</v>
      </c>
      <c r="AP205" s="273">
        <f t="shared" si="157"/>
        <v>0.1</v>
      </c>
      <c r="AQ205" s="271" t="str">
        <f>IFERROR(IF(AL204=1,AQ$100*EXP(-(LN(2)/$D$65+0.04)*AN204)*EXP(-(LN(2)/$D$65+0.1)*AO204),IF(AL204=2,AQ$100*EXP(-(LN(2)/$D$65+0.04)*(VLOOKUP(($F$16-$F$15)-1,AK$99:AO204,4,FALSE)))*EXP(-(LN(2)/$D$65+0.1)*(VLOOKUP(($F$16-$F$15)-1,AK$99:AO204,5,FALSE)))*EXP(-(LN(2)/$D$65+0.04)*AN204)*EXP(-(LN(2)/$D$65+0.1)*AO204),IF(AL204=3,AQ$100*EXP(-(LN(2)/$D$65+0.04)*(VLOOKUP(($F$16-$F$15)-1,AK$99:AO204,4,FALSE)))*EXP(-(LN(2)/$D$65+0.1)*(VLOOKUP(($F$16-$F$15)-1,AK$99:AO204,5,FALSE)))*EXP(-(LN(2)/$D$65+0.04)*(VLOOKUP(($F$16-$F$15)*2-1,AK$99:AO204,4,FALSE)))*EXP(-(LN(2)/$D$65+0.1)*(VLOOKUP(($F$16-$F$15)*2-1,AK$99:AO204,5,FALSE)))*EXP(-(LN(2)/$D$65+0.04)*AN204)*EXP(-(LN(2)/$D$65+0.1)*AO204),"-"))),"-")</f>
        <v>-</v>
      </c>
      <c r="AR205" s="271" t="str">
        <f>IFERROR(IF(AL205=1,AR$100*EXP(-(LN(2)/$D$65+0.04)*AN205)*EXP(-(LN(2)/$D$65+0.1)*AO205),IF(AL205=2,AR$100*EXP(-(LN(2)/$D$65+0.04)*(VLOOKUP(($F$16-$F$15)-1,AK$100:AO205,4,FALSE)))*EXP(-(LN(2)/$D$65+0.1)*(VLOOKUP(($F$16-$F$15)-1,AK$100:AO205,5,FALSE)))*EXP(-(LN(2)/$D$65+0.04)*AN205)*EXP(-(LN(2)/$D$65+0.1)*AO205),IF(AL205=3,AR$100*EXP(-(LN(2)/$D$65+0.04)*(VLOOKUP(($F$16-$F$15)-1,AK$100:AO205,4,FALSE)))*EXP(-(LN(2)/$D$65+0.1)*(VLOOKUP(($F$16-$F$15)-1,AK$100:AO205,5,FALSE)))*EXP(-(LN(2)/$D$65+0.04)*(VLOOKUP(($F$16-$F$15)*2-1,AK$100:AO205,4,FALSE)))*EXP(-(LN(2)/$D$65+0.1)*(VLOOKUP(($F$16-$F$15)*2-1,AK$100:AO205,5,FALSE)))*EXP(-(LN(2)/$D$65+0.04)*AN205)*EXP(-(LN(2)/$D$65+0.1)*AO205),"-"))),"-")</f>
        <v>-</v>
      </c>
      <c r="AS205" s="274">
        <f t="shared" si="185"/>
        <v>0</v>
      </c>
      <c r="AT205" s="274">
        <f t="shared" si="186"/>
        <v>0</v>
      </c>
      <c r="AU205" s="274">
        <f t="shared" si="187"/>
        <v>0</v>
      </c>
      <c r="AV205" s="190">
        <f>IF($B205&lt;$F$22,SUM($T$100:$T205),"")</f>
        <v>0</v>
      </c>
      <c r="AW205" s="190" t="str">
        <f t="shared" si="188"/>
        <v>-</v>
      </c>
      <c r="AX205" s="190" t="str">
        <f t="shared" si="158"/>
        <v/>
      </c>
      <c r="AY205"/>
      <c r="AZ205" s="190" t="str">
        <f ca="1">IF(ISNUMBER(OFFSET(AV205,-$F$21,0)),SUM(OFFSET($T$100,$F$21,0):$T205),"")</f>
        <v/>
      </c>
      <c r="BA205" s="190" t="str">
        <f t="shared" ca="1" si="189"/>
        <v/>
      </c>
      <c r="BB205" s="190" t="str">
        <f t="shared" ca="1" si="164"/>
        <v/>
      </c>
      <c r="BC205" s="190"/>
      <c r="BD205" s="190" t="str">
        <f ca="1">IFERROR(IF(AND($B205&gt;=($F$16-$F$15),$B205&lt;$F$22+($F$16-$F$15)),SUM(OFFSET($T$100,($F$16-$F$15),0):$T205),""),"")</f>
        <v/>
      </c>
      <c r="BE205" s="190" t="str">
        <f t="shared" ca="1" si="159"/>
        <v/>
      </c>
      <c r="BF205" s="190" t="str">
        <f t="shared" ca="1" si="160"/>
        <v/>
      </c>
      <c r="BG205"/>
      <c r="BH205" s="190" t="str">
        <f ca="1">IF(ISNUMBER(OFFSET(BD205,-$F$21,0)),SUM(OFFSET($T$100,($F$16-$F$15+$F$21),0):$T205),"")</f>
        <v/>
      </c>
      <c r="BI205" s="190" t="str">
        <f t="shared" ca="1" si="190"/>
        <v/>
      </c>
      <c r="BJ205" s="190" t="str">
        <f t="shared" ca="1" si="161"/>
        <v/>
      </c>
      <c r="BK205" s="190"/>
      <c r="BL205" s="190" t="str">
        <f ca="1">IFERROR(IF(AND($B205&gt;=($F$17-$F$15),$B205&lt;$F$22+($F$17-$F$15)),SUM(OFFSET($T$100,($F$17-$F$15),0):$T205),""),"")</f>
        <v/>
      </c>
      <c r="BM205" s="190" t="str">
        <f t="shared" ca="1" si="191"/>
        <v/>
      </c>
      <c r="BN205" s="190" t="str">
        <f t="shared" ca="1" si="162"/>
        <v/>
      </c>
      <c r="BO205"/>
      <c r="BP205" s="190" t="str">
        <f ca="1">IF(ISNUMBER(OFFSET(BL205,-$F$21,0)),SUM(OFFSET($T$100,($F$17-$F$15+$F$21),0):$T205),"")</f>
        <v/>
      </c>
      <c r="BQ205" s="190" t="str">
        <f t="shared" ca="1" si="192"/>
        <v/>
      </c>
      <c r="BR205" s="190" t="str">
        <f t="shared" ca="1" si="163"/>
        <v/>
      </c>
      <c r="BS205" s="190"/>
      <c r="BT205"/>
      <c r="BU205"/>
      <c r="BV205"/>
      <c r="BY205" s="99"/>
      <c r="BZ205" s="99"/>
      <c r="CA205" s="280" t="str">
        <f t="shared" si="193"/>
        <v/>
      </c>
      <c r="CB205" s="71" t="str">
        <f t="shared" si="194"/>
        <v>-</v>
      </c>
      <c r="CC205" s="33"/>
      <c r="CD205" s="261" t="str">
        <f t="shared" si="195"/>
        <v/>
      </c>
      <c r="CE205" s="280" t="str">
        <f t="shared" si="196"/>
        <v>-</v>
      </c>
      <c r="CF205" s="71" t="str">
        <f t="shared" ca="1" si="197"/>
        <v>-</v>
      </c>
      <c r="CG205" s="33" t="str">
        <f t="shared" si="198"/>
        <v>105-106</v>
      </c>
      <c r="CH205" s="261" t="str">
        <f t="shared" ca="1" si="199"/>
        <v/>
      </c>
      <c r="CP205" s="99"/>
      <c r="CQ205" s="99"/>
    </row>
    <row r="206" spans="2:95" ht="13.5" customHeight="1" x14ac:dyDescent="0.2">
      <c r="B206" s="262">
        <v>106</v>
      </c>
      <c r="C206" s="237" t="str">
        <f t="shared" si="165"/>
        <v/>
      </c>
      <c r="D206" s="237" t="str">
        <f t="shared" si="200"/>
        <v>-</v>
      </c>
      <c r="E206" s="263" t="str">
        <f t="shared" si="146"/>
        <v/>
      </c>
      <c r="F206" s="264" t="str">
        <f t="shared" si="147"/>
        <v/>
      </c>
      <c r="G206" s="264" t="str">
        <f t="shared" si="148"/>
        <v/>
      </c>
      <c r="H206" s="240" t="str">
        <f t="shared" si="166"/>
        <v/>
      </c>
      <c r="I206" s="265" t="str">
        <f t="shared" si="167"/>
        <v/>
      </c>
      <c r="J206" s="265" t="str">
        <f t="shared" si="168"/>
        <v/>
      </c>
      <c r="K206" s="240" t="str">
        <f t="shared" si="169"/>
        <v/>
      </c>
      <c r="L206" s="265" t="str">
        <f t="shared" si="170"/>
        <v/>
      </c>
      <c r="M206" s="265" t="str">
        <f t="shared" si="171"/>
        <v/>
      </c>
      <c r="N206" s="240" t="str">
        <f t="shared" si="172"/>
        <v>-</v>
      </c>
      <c r="O206" s="265" t="str">
        <f t="shared" si="173"/>
        <v>-</v>
      </c>
      <c r="P206" s="265" t="str">
        <f t="shared" si="174"/>
        <v>-</v>
      </c>
      <c r="Q206" s="266" t="str">
        <f t="shared" si="175"/>
        <v>-</v>
      </c>
      <c r="R206" s="267" t="str">
        <f t="shared" si="176"/>
        <v>-</v>
      </c>
      <c r="S206" s="268" t="str">
        <f t="shared" si="177"/>
        <v>-</v>
      </c>
      <c r="T206" s="269" t="str">
        <f t="shared" si="178"/>
        <v/>
      </c>
      <c r="U206" s="221">
        <f t="shared" si="179"/>
        <v>106</v>
      </c>
      <c r="V206" s="220" t="str">
        <f t="shared" si="122"/>
        <v>-</v>
      </c>
      <c r="W206" s="221" t="str">
        <f t="shared" si="149"/>
        <v>-</v>
      </c>
      <c r="X206" s="221" t="str">
        <f t="shared" si="180"/>
        <v>-</v>
      </c>
      <c r="Y206" s="221" t="str">
        <f t="shared" si="181"/>
        <v>-</v>
      </c>
      <c r="Z206" s="270">
        <f t="shared" si="150"/>
        <v>0.1</v>
      </c>
      <c r="AA206" s="271" t="str">
        <f>IFERROR(IF(V205=1,AA$100*EXP(-(LN(2)/$D$65+0.04)*X205)*EXP(-(LN(2)/$D$65+0.1)*Y205),IF(V205=2,AA$100*EXP(-(LN(2)/$D$65+0.04)*(VLOOKUP(($F$16-$F$15)-1,U$99:Y205,4,FALSE)))*EXP(-(LN(2)/$D$65+0.1)*(VLOOKUP(($F$16-$F$15)-1,U$99:Y205,5,FALSE)))*EXP(-(LN(2)/$D$65+0.04)*X205)*EXP(-(LN(2)/$D$65+0.1)*Y205),IF(V205=3,AA$100*EXP(-(LN(2)/$D$65+0.04)*(VLOOKUP(($F$16-$F$15)-1,U$99:Y205,4,FALSE)))*EXP(-(LN(2)/$D$65+0.1)*(VLOOKUP(($F$16-$F$15)-1,U$99:Y205,5,FALSE)))*EXP(-(LN(2)/$D$65+0.04)*(VLOOKUP(($F$16-$F$15)*2-1,U$99:Y205,4,FALSE)))*EXP(-(LN(2)/$D$65+0.1)*(VLOOKUP(($F$16-$F$15)*2-1,U$99:Y205,5,FALSE)))*EXP(-(LN(2)/$D$65+0.04)*X205)*EXP(-(LN(2)/$D$65+0.1)*Y205),"-"))),"-")</f>
        <v>-</v>
      </c>
      <c r="AB206" s="271" t="str">
        <f>IFERROR(IF(V206=1,AB$100*EXP(-(LN(2)/$D$65+0.04)*X206)*EXP(-(LN(2)/$D$65+0.1)*Y206),IF(V206=2,AB$100*EXP(-(LN(2)/$D$65+0.04)*(VLOOKUP(($F$16-$F$15)-1,U$100:Y206,4,FALSE)))*EXP(-(LN(2)/$D$65+0.1)*(VLOOKUP(($F$16-$F$15)-1,U$100:Y206,5,FALSE)))*EXP(-(LN(2)/$D$65+0.04)*X206)*EXP(-(LN(2)/$D$65+0.1)*Y206),IF(V206=3,AB$100*EXP(-(LN(2)/$D$65+0.04)*(VLOOKUP(($F$16-$F$15)-1,U$100:Y206,4,FALSE)))*EXP(-(LN(2)/$D$65+0.1)*(VLOOKUP(($F$16-$F$15)-1,U$100:Y206,5,FALSE)))*EXP(-(LN(2)/$D$65+0.04)*(VLOOKUP(($F$16-$F$15)*2-1,U$100:Y206,4,FALSE)))*EXP(-(LN(2)/$D$65+0.1)*(VLOOKUP(($F$16-$F$15)*2-1,U$100:Y206,5,FALSE)))*EXP(-(LN(2)/$D$65+0.04)*X206)*EXP(-(LN(2)/$D$65+0.1)*Y206),"-"))),"-")</f>
        <v>-</v>
      </c>
      <c r="AC206" s="224">
        <f t="shared" si="151"/>
        <v>106</v>
      </c>
      <c r="AD206" s="223" t="str">
        <f t="shared" si="125"/>
        <v>-</v>
      </c>
      <c r="AE206" s="224" t="str">
        <f t="shared" si="152"/>
        <v>-</v>
      </c>
      <c r="AF206" s="224" t="str">
        <f t="shared" si="182"/>
        <v>-</v>
      </c>
      <c r="AG206" s="224" t="str">
        <f t="shared" si="183"/>
        <v>-</v>
      </c>
      <c r="AH206" s="272">
        <f t="shared" si="153"/>
        <v>0.1</v>
      </c>
      <c r="AI206" s="271" t="str">
        <f>IFERROR(IF(AD205=1,AI$100*EXP(-(LN(2)/$D$65+0.04)*AF205)*EXP(-(LN(2)/$D$65+0.1)*AG205),IF(AD205=2,AI$100*EXP(-(LN(2)/$D$65+0.04)*(VLOOKUP(($F$16-$F$15)-1,AC$99:AG205,4,FALSE)))*EXP(-(LN(2)/$D$65+0.1)*(VLOOKUP(($F$16-$F$15)-1,AC$99:AG205,5,FALSE)))*EXP(-(LN(2)/$D$65+0.04)*AF205)*EXP(-(LN(2)/$D$65+0.1)*AG205),IF(AD205=3,AI$100*EXP(-(LN(2)/$D$65+0.04)*(VLOOKUP(($F$16-$F$15)-1,AC$99:AG205,4,FALSE)))*EXP(-(LN(2)/$D$65+0.1)*(VLOOKUP(($F$16-$F$15)-1,AC$99:AG205,5,FALSE)))*EXP(-(LN(2)/$D$65+0.04)*(VLOOKUP(($F$16-$F$15)*2-1,AC$99:AG205,4,FALSE)))*EXP(-(LN(2)/$D$65+0.1)*(VLOOKUP(($F$16-$F$15)*2-1,AC$99:AG205,5,FALSE)))*EXP(-(LN(2)/$D$65+0.04)*AF205)*EXP(-(LN(2)/$D$65+0.1)*AG205),"-"))),"-")</f>
        <v>-</v>
      </c>
      <c r="AJ206" s="271" t="str">
        <f>IFERROR(IF(AD206=1,AJ$100*EXP(-(LN(2)/$D$65+0.04)*AF206)*EXP(-(LN(2)/$D$65+0.1)*AG206),IF(AD206=2,AJ$100*EXP(-(LN(2)/$D$65+0.04)*(VLOOKUP(($F$16-$F$15)-1,AC$100:AG206,4,FALSE)))*EXP(-(LN(2)/$D$65+0.1)*(VLOOKUP(($F$16-$F$15)-1,AC$100:AG206,5,FALSE)))*EXP(-(LN(2)/$D$65+0.04)*AF206)*EXP(-(LN(2)/$D$65+0.1)*AG206),IF(AD206=3,AJ$100*EXP(-(LN(2)/$D$65+0.04)*(VLOOKUP(($F$16-$F$15)-1,AC$100:AG206,4,FALSE)))*EXP(-(LN(2)/$D$65+0.1)*(VLOOKUP(($F$16-$F$15)-1,AC$100:AG206,5,FALSE)))*EXP(-(LN(2)/$D$65+0.04)*(VLOOKUP(($F$16-$F$15)*2-1,AC$100:AG206,4,FALSE)))*EXP(-(LN(2)/$D$65+0.1)*(VLOOKUP(($F$16-$F$15)*2-1,AC$100:AG206,5,FALSE)))*EXP(-(LN(2)/$D$65+0.04)*AF206)*EXP(-(LN(2)/$D$65+0.1)*AG206),"-"))),"-")</f>
        <v>-</v>
      </c>
      <c r="AK206" s="227">
        <f t="shared" si="154"/>
        <v>106</v>
      </c>
      <c r="AL206" s="226" t="str">
        <f t="shared" si="128"/>
        <v>-</v>
      </c>
      <c r="AM206" s="227" t="str">
        <f t="shared" si="155"/>
        <v>-</v>
      </c>
      <c r="AN206" s="227" t="str">
        <f t="shared" si="156"/>
        <v>-</v>
      </c>
      <c r="AO206" s="227" t="str">
        <f t="shared" si="184"/>
        <v>-</v>
      </c>
      <c r="AP206" s="273">
        <f t="shared" si="157"/>
        <v>0.1</v>
      </c>
      <c r="AQ206" s="271" t="str">
        <f>IFERROR(IF(AL205=1,AQ$100*EXP(-(LN(2)/$D$65+0.04)*AN205)*EXP(-(LN(2)/$D$65+0.1)*AO205),IF(AL205=2,AQ$100*EXP(-(LN(2)/$D$65+0.04)*(VLOOKUP(($F$16-$F$15)-1,AK$99:AO205,4,FALSE)))*EXP(-(LN(2)/$D$65+0.1)*(VLOOKUP(($F$16-$F$15)-1,AK$99:AO205,5,FALSE)))*EXP(-(LN(2)/$D$65+0.04)*AN205)*EXP(-(LN(2)/$D$65+0.1)*AO205),IF(AL205=3,AQ$100*EXP(-(LN(2)/$D$65+0.04)*(VLOOKUP(($F$16-$F$15)-1,AK$99:AO205,4,FALSE)))*EXP(-(LN(2)/$D$65+0.1)*(VLOOKUP(($F$16-$F$15)-1,AK$99:AO205,5,FALSE)))*EXP(-(LN(2)/$D$65+0.04)*(VLOOKUP(($F$16-$F$15)*2-1,AK$99:AO205,4,FALSE)))*EXP(-(LN(2)/$D$65+0.1)*(VLOOKUP(($F$16-$F$15)*2-1,AK$99:AO205,5,FALSE)))*EXP(-(LN(2)/$D$65+0.04)*AN205)*EXP(-(LN(2)/$D$65+0.1)*AO205),"-"))),"-")</f>
        <v>-</v>
      </c>
      <c r="AR206" s="271" t="str">
        <f>IFERROR(IF(AL206=1,AR$100*EXP(-(LN(2)/$D$65+0.04)*AN206)*EXP(-(LN(2)/$D$65+0.1)*AO206),IF(AL206=2,AR$100*EXP(-(LN(2)/$D$65+0.04)*(VLOOKUP(($F$16-$F$15)-1,AK$100:AO206,4,FALSE)))*EXP(-(LN(2)/$D$65+0.1)*(VLOOKUP(($F$16-$F$15)-1,AK$100:AO206,5,FALSE)))*EXP(-(LN(2)/$D$65+0.04)*AN206)*EXP(-(LN(2)/$D$65+0.1)*AO206),IF(AL206=3,AR$100*EXP(-(LN(2)/$D$65+0.04)*(VLOOKUP(($F$16-$F$15)-1,AK$100:AO206,4,FALSE)))*EXP(-(LN(2)/$D$65+0.1)*(VLOOKUP(($F$16-$F$15)-1,AK$100:AO206,5,FALSE)))*EXP(-(LN(2)/$D$65+0.04)*(VLOOKUP(($F$16-$F$15)*2-1,AK$100:AO206,4,FALSE)))*EXP(-(LN(2)/$D$65+0.1)*(VLOOKUP(($F$16-$F$15)*2-1,AK$100:AO206,5,FALSE)))*EXP(-(LN(2)/$D$65+0.04)*AN206)*EXP(-(LN(2)/$D$65+0.1)*AO206),"-"))),"-")</f>
        <v>-</v>
      </c>
      <c r="AS206" s="274">
        <f t="shared" si="185"/>
        <v>0</v>
      </c>
      <c r="AT206" s="274">
        <f t="shared" si="186"/>
        <v>0</v>
      </c>
      <c r="AU206" s="274">
        <f t="shared" si="187"/>
        <v>0</v>
      </c>
      <c r="AV206" s="190">
        <f>IF($B206&lt;$F$22,SUM($T$100:$T206),"")</f>
        <v>0</v>
      </c>
      <c r="AW206" s="190" t="str">
        <f t="shared" si="188"/>
        <v>-</v>
      </c>
      <c r="AX206" s="190" t="str">
        <f t="shared" si="158"/>
        <v/>
      </c>
      <c r="AY206"/>
      <c r="AZ206" s="190" t="str">
        <f ca="1">IF(ISNUMBER(OFFSET(AV206,-$F$21,0)),SUM(OFFSET($T$100,$F$21,0):$T206),"")</f>
        <v/>
      </c>
      <c r="BA206" s="190" t="str">
        <f t="shared" ca="1" si="189"/>
        <v/>
      </c>
      <c r="BB206" s="190" t="str">
        <f t="shared" ca="1" si="164"/>
        <v/>
      </c>
      <c r="BC206" s="190"/>
      <c r="BD206" s="190" t="str">
        <f ca="1">IFERROR(IF(AND($B206&gt;=($F$16-$F$15),$B206&lt;$F$22+($F$16-$F$15)),SUM(OFFSET($T$100,($F$16-$F$15),0):$T206),""),"")</f>
        <v/>
      </c>
      <c r="BE206" s="190" t="str">
        <f t="shared" ca="1" si="159"/>
        <v/>
      </c>
      <c r="BF206" s="190" t="str">
        <f t="shared" ca="1" si="160"/>
        <v/>
      </c>
      <c r="BG206"/>
      <c r="BH206" s="190" t="str">
        <f ca="1">IF(ISNUMBER(OFFSET(BD206,-$F$21,0)),SUM(OFFSET($T$100,($F$16-$F$15+$F$21),0):$T206),"")</f>
        <v/>
      </c>
      <c r="BI206" s="190" t="str">
        <f t="shared" ca="1" si="190"/>
        <v/>
      </c>
      <c r="BJ206" s="190" t="str">
        <f t="shared" ca="1" si="161"/>
        <v/>
      </c>
      <c r="BK206" s="190"/>
      <c r="BL206" s="190" t="str">
        <f ca="1">IFERROR(IF(AND($B206&gt;=($F$17-$F$15),$B206&lt;$F$22+($F$17-$F$15)),SUM(OFFSET($T$100,($F$17-$F$15),0):$T206),""),"")</f>
        <v/>
      </c>
      <c r="BM206" s="190" t="str">
        <f t="shared" ca="1" si="191"/>
        <v/>
      </c>
      <c r="BN206" s="190" t="str">
        <f t="shared" ca="1" si="162"/>
        <v/>
      </c>
      <c r="BO206"/>
      <c r="BP206" s="190" t="str">
        <f ca="1">IF(ISNUMBER(OFFSET(BL206,-$F$21,0)),SUM(OFFSET($T$100,($F$17-$F$15+$F$21),0):$T206),"")</f>
        <v/>
      </c>
      <c r="BQ206" s="190" t="str">
        <f t="shared" ca="1" si="192"/>
        <v/>
      </c>
      <c r="BR206" s="190" t="str">
        <f t="shared" ca="1" si="163"/>
        <v/>
      </c>
      <c r="BS206" s="190"/>
      <c r="BT206"/>
      <c r="BU206"/>
      <c r="BV206"/>
      <c r="BY206" s="99"/>
      <c r="BZ206" s="99"/>
      <c r="CA206" s="280" t="str">
        <f t="shared" si="193"/>
        <v/>
      </c>
      <c r="CB206" s="71" t="str">
        <f t="shared" si="194"/>
        <v>-</v>
      </c>
      <c r="CC206" s="33"/>
      <c r="CD206" s="261" t="str">
        <f t="shared" si="195"/>
        <v/>
      </c>
      <c r="CE206" s="280" t="str">
        <f t="shared" si="196"/>
        <v>-</v>
      </c>
      <c r="CF206" s="71" t="str">
        <f t="shared" ca="1" si="197"/>
        <v>-</v>
      </c>
      <c r="CG206" s="33" t="str">
        <f t="shared" si="198"/>
        <v>106-107</v>
      </c>
      <c r="CH206" s="261" t="str">
        <f t="shared" ca="1" si="199"/>
        <v/>
      </c>
      <c r="CP206" s="99"/>
      <c r="CQ206" s="99"/>
    </row>
    <row r="207" spans="2:95" ht="13.5" customHeight="1" x14ac:dyDescent="0.2">
      <c r="B207" s="262">
        <v>107</v>
      </c>
      <c r="C207" s="237" t="str">
        <f t="shared" si="165"/>
        <v/>
      </c>
      <c r="D207" s="237" t="str">
        <f t="shared" si="200"/>
        <v>-</v>
      </c>
      <c r="E207" s="263" t="str">
        <f t="shared" si="146"/>
        <v/>
      </c>
      <c r="F207" s="264" t="str">
        <f t="shared" si="147"/>
        <v/>
      </c>
      <c r="G207" s="264" t="str">
        <f t="shared" si="148"/>
        <v/>
      </c>
      <c r="H207" s="240" t="str">
        <f t="shared" si="166"/>
        <v/>
      </c>
      <c r="I207" s="265" t="str">
        <f t="shared" si="167"/>
        <v/>
      </c>
      <c r="J207" s="265" t="str">
        <f t="shared" si="168"/>
        <v/>
      </c>
      <c r="K207" s="240" t="str">
        <f t="shared" si="169"/>
        <v/>
      </c>
      <c r="L207" s="265" t="str">
        <f t="shared" si="170"/>
        <v/>
      </c>
      <c r="M207" s="265" t="str">
        <f t="shared" si="171"/>
        <v/>
      </c>
      <c r="N207" s="240" t="str">
        <f t="shared" si="172"/>
        <v>-</v>
      </c>
      <c r="O207" s="265" t="str">
        <f t="shared" si="173"/>
        <v>-</v>
      </c>
      <c r="P207" s="265" t="str">
        <f t="shared" si="174"/>
        <v>-</v>
      </c>
      <c r="Q207" s="266" t="str">
        <f t="shared" si="175"/>
        <v>-</v>
      </c>
      <c r="R207" s="267" t="str">
        <f t="shared" si="176"/>
        <v>-</v>
      </c>
      <c r="S207" s="268" t="str">
        <f t="shared" si="177"/>
        <v>-</v>
      </c>
      <c r="T207" s="269" t="str">
        <f t="shared" si="178"/>
        <v/>
      </c>
      <c r="U207" s="221">
        <f t="shared" si="179"/>
        <v>107</v>
      </c>
      <c r="V207" s="220" t="str">
        <f t="shared" si="122"/>
        <v>-</v>
      </c>
      <c r="W207" s="221" t="str">
        <f t="shared" si="149"/>
        <v>-</v>
      </c>
      <c r="X207" s="221" t="str">
        <f t="shared" si="180"/>
        <v>-</v>
      </c>
      <c r="Y207" s="221" t="str">
        <f t="shared" si="181"/>
        <v>-</v>
      </c>
      <c r="Z207" s="270">
        <f t="shared" si="150"/>
        <v>0.1</v>
      </c>
      <c r="AA207" s="271" t="str">
        <f>IFERROR(IF(V206=1,AA$100*EXP(-(LN(2)/$D$65+0.04)*X206)*EXP(-(LN(2)/$D$65+0.1)*Y206),IF(V206=2,AA$100*EXP(-(LN(2)/$D$65+0.04)*(VLOOKUP(($F$16-$F$15)-1,U$99:Y206,4,FALSE)))*EXP(-(LN(2)/$D$65+0.1)*(VLOOKUP(($F$16-$F$15)-1,U$99:Y206,5,FALSE)))*EXP(-(LN(2)/$D$65+0.04)*X206)*EXP(-(LN(2)/$D$65+0.1)*Y206),IF(V206=3,AA$100*EXP(-(LN(2)/$D$65+0.04)*(VLOOKUP(($F$16-$F$15)-1,U$99:Y206,4,FALSE)))*EXP(-(LN(2)/$D$65+0.1)*(VLOOKUP(($F$16-$F$15)-1,U$99:Y206,5,FALSE)))*EXP(-(LN(2)/$D$65+0.04)*(VLOOKUP(($F$16-$F$15)*2-1,U$99:Y206,4,FALSE)))*EXP(-(LN(2)/$D$65+0.1)*(VLOOKUP(($F$16-$F$15)*2-1,U$99:Y206,5,FALSE)))*EXP(-(LN(2)/$D$65+0.04)*X206)*EXP(-(LN(2)/$D$65+0.1)*Y206),"-"))),"-")</f>
        <v>-</v>
      </c>
      <c r="AB207" s="271" t="str">
        <f>IFERROR(IF(V207=1,AB$100*EXP(-(LN(2)/$D$65+0.04)*X207)*EXP(-(LN(2)/$D$65+0.1)*Y207),IF(V207=2,AB$100*EXP(-(LN(2)/$D$65+0.04)*(VLOOKUP(($F$16-$F$15)-1,U$100:Y207,4,FALSE)))*EXP(-(LN(2)/$D$65+0.1)*(VLOOKUP(($F$16-$F$15)-1,U$100:Y207,5,FALSE)))*EXP(-(LN(2)/$D$65+0.04)*X207)*EXP(-(LN(2)/$D$65+0.1)*Y207),IF(V207=3,AB$100*EXP(-(LN(2)/$D$65+0.04)*(VLOOKUP(($F$16-$F$15)-1,U$100:Y207,4,FALSE)))*EXP(-(LN(2)/$D$65+0.1)*(VLOOKUP(($F$16-$F$15)-1,U$100:Y207,5,FALSE)))*EXP(-(LN(2)/$D$65+0.04)*(VLOOKUP(($F$16-$F$15)*2-1,U$100:Y207,4,FALSE)))*EXP(-(LN(2)/$D$65+0.1)*(VLOOKUP(($F$16-$F$15)*2-1,U$100:Y207,5,FALSE)))*EXP(-(LN(2)/$D$65+0.04)*X207)*EXP(-(LN(2)/$D$65+0.1)*Y207),"-"))),"-")</f>
        <v>-</v>
      </c>
      <c r="AC207" s="224">
        <f t="shared" si="151"/>
        <v>107</v>
      </c>
      <c r="AD207" s="223" t="str">
        <f t="shared" si="125"/>
        <v>-</v>
      </c>
      <c r="AE207" s="224" t="str">
        <f t="shared" si="152"/>
        <v>-</v>
      </c>
      <c r="AF207" s="224" t="str">
        <f t="shared" si="182"/>
        <v>-</v>
      </c>
      <c r="AG207" s="224" t="str">
        <f t="shared" si="183"/>
        <v>-</v>
      </c>
      <c r="AH207" s="272">
        <f t="shared" si="153"/>
        <v>0.1</v>
      </c>
      <c r="AI207" s="271" t="str">
        <f>IFERROR(IF(AD206=1,AI$100*EXP(-(LN(2)/$D$65+0.04)*AF206)*EXP(-(LN(2)/$D$65+0.1)*AG206),IF(AD206=2,AI$100*EXP(-(LN(2)/$D$65+0.04)*(VLOOKUP(($F$16-$F$15)-1,AC$99:AG206,4,FALSE)))*EXP(-(LN(2)/$D$65+0.1)*(VLOOKUP(($F$16-$F$15)-1,AC$99:AG206,5,FALSE)))*EXP(-(LN(2)/$D$65+0.04)*AF206)*EXP(-(LN(2)/$D$65+0.1)*AG206),IF(AD206=3,AI$100*EXP(-(LN(2)/$D$65+0.04)*(VLOOKUP(($F$16-$F$15)-1,AC$99:AG206,4,FALSE)))*EXP(-(LN(2)/$D$65+0.1)*(VLOOKUP(($F$16-$F$15)-1,AC$99:AG206,5,FALSE)))*EXP(-(LN(2)/$D$65+0.04)*(VLOOKUP(($F$16-$F$15)*2-1,AC$99:AG206,4,FALSE)))*EXP(-(LN(2)/$D$65+0.1)*(VLOOKUP(($F$16-$F$15)*2-1,AC$99:AG206,5,FALSE)))*EXP(-(LN(2)/$D$65+0.04)*AF206)*EXP(-(LN(2)/$D$65+0.1)*AG206),"-"))),"-")</f>
        <v>-</v>
      </c>
      <c r="AJ207" s="271" t="str">
        <f>IFERROR(IF(AD207=1,AJ$100*EXP(-(LN(2)/$D$65+0.04)*AF207)*EXP(-(LN(2)/$D$65+0.1)*AG207),IF(AD207=2,AJ$100*EXP(-(LN(2)/$D$65+0.04)*(VLOOKUP(($F$16-$F$15)-1,AC$100:AG207,4,FALSE)))*EXP(-(LN(2)/$D$65+0.1)*(VLOOKUP(($F$16-$F$15)-1,AC$100:AG207,5,FALSE)))*EXP(-(LN(2)/$D$65+0.04)*AF207)*EXP(-(LN(2)/$D$65+0.1)*AG207),IF(AD207=3,AJ$100*EXP(-(LN(2)/$D$65+0.04)*(VLOOKUP(($F$16-$F$15)-1,AC$100:AG207,4,FALSE)))*EXP(-(LN(2)/$D$65+0.1)*(VLOOKUP(($F$16-$F$15)-1,AC$100:AG207,5,FALSE)))*EXP(-(LN(2)/$D$65+0.04)*(VLOOKUP(($F$16-$F$15)*2-1,AC$100:AG207,4,FALSE)))*EXP(-(LN(2)/$D$65+0.1)*(VLOOKUP(($F$16-$F$15)*2-1,AC$100:AG207,5,FALSE)))*EXP(-(LN(2)/$D$65+0.04)*AF207)*EXP(-(LN(2)/$D$65+0.1)*AG207),"-"))),"-")</f>
        <v>-</v>
      </c>
      <c r="AK207" s="227">
        <f t="shared" si="154"/>
        <v>107</v>
      </c>
      <c r="AL207" s="226" t="str">
        <f t="shared" si="128"/>
        <v>-</v>
      </c>
      <c r="AM207" s="227" t="str">
        <f t="shared" si="155"/>
        <v>-</v>
      </c>
      <c r="AN207" s="227" t="str">
        <f t="shared" si="156"/>
        <v>-</v>
      </c>
      <c r="AO207" s="227" t="str">
        <f t="shared" si="184"/>
        <v>-</v>
      </c>
      <c r="AP207" s="273">
        <f t="shared" si="157"/>
        <v>0.1</v>
      </c>
      <c r="AQ207" s="271" t="str">
        <f>IFERROR(IF(AL206=1,AQ$100*EXP(-(LN(2)/$D$65+0.04)*AN206)*EXP(-(LN(2)/$D$65+0.1)*AO206),IF(AL206=2,AQ$100*EXP(-(LN(2)/$D$65+0.04)*(VLOOKUP(($F$16-$F$15)-1,AK$99:AO206,4,FALSE)))*EXP(-(LN(2)/$D$65+0.1)*(VLOOKUP(($F$16-$F$15)-1,AK$99:AO206,5,FALSE)))*EXP(-(LN(2)/$D$65+0.04)*AN206)*EXP(-(LN(2)/$D$65+0.1)*AO206),IF(AL206=3,AQ$100*EXP(-(LN(2)/$D$65+0.04)*(VLOOKUP(($F$16-$F$15)-1,AK$99:AO206,4,FALSE)))*EXP(-(LN(2)/$D$65+0.1)*(VLOOKUP(($F$16-$F$15)-1,AK$99:AO206,5,FALSE)))*EXP(-(LN(2)/$D$65+0.04)*(VLOOKUP(($F$16-$F$15)*2-1,AK$99:AO206,4,FALSE)))*EXP(-(LN(2)/$D$65+0.1)*(VLOOKUP(($F$16-$F$15)*2-1,AK$99:AO206,5,FALSE)))*EXP(-(LN(2)/$D$65+0.04)*AN206)*EXP(-(LN(2)/$D$65+0.1)*AO206),"-"))),"-")</f>
        <v>-</v>
      </c>
      <c r="AR207" s="271" t="str">
        <f>IFERROR(IF(AL207=1,AR$100*EXP(-(LN(2)/$D$65+0.04)*AN207)*EXP(-(LN(2)/$D$65+0.1)*AO207),IF(AL207=2,AR$100*EXP(-(LN(2)/$D$65+0.04)*(VLOOKUP(($F$16-$F$15)-1,AK$100:AO207,4,FALSE)))*EXP(-(LN(2)/$D$65+0.1)*(VLOOKUP(($F$16-$F$15)-1,AK$100:AO207,5,FALSE)))*EXP(-(LN(2)/$D$65+0.04)*AN207)*EXP(-(LN(2)/$D$65+0.1)*AO207),IF(AL207=3,AR$100*EXP(-(LN(2)/$D$65+0.04)*(VLOOKUP(($F$16-$F$15)-1,AK$100:AO207,4,FALSE)))*EXP(-(LN(2)/$D$65+0.1)*(VLOOKUP(($F$16-$F$15)-1,AK$100:AO207,5,FALSE)))*EXP(-(LN(2)/$D$65+0.04)*(VLOOKUP(($F$16-$F$15)*2-1,AK$100:AO207,4,FALSE)))*EXP(-(LN(2)/$D$65+0.1)*(VLOOKUP(($F$16-$F$15)*2-1,AK$100:AO207,5,FALSE)))*EXP(-(LN(2)/$D$65+0.04)*AN207)*EXP(-(LN(2)/$D$65+0.1)*AO207),"-"))),"-")</f>
        <v>-</v>
      </c>
      <c r="AS207" s="274">
        <f t="shared" si="185"/>
        <v>0</v>
      </c>
      <c r="AT207" s="274">
        <f t="shared" si="186"/>
        <v>0</v>
      </c>
      <c r="AU207" s="274">
        <f t="shared" si="187"/>
        <v>0</v>
      </c>
      <c r="AV207" s="190">
        <f>IF($B207&lt;$F$22,SUM($T$100:$T207),"")</f>
        <v>0</v>
      </c>
      <c r="AW207" s="190" t="str">
        <f t="shared" si="188"/>
        <v>-</v>
      </c>
      <c r="AX207" s="190" t="str">
        <f t="shared" si="158"/>
        <v/>
      </c>
      <c r="AY207"/>
      <c r="AZ207" s="190" t="str">
        <f ca="1">IF(ISNUMBER(OFFSET(AV207,-$F$21,0)),SUM(OFFSET($T$100,$F$21,0):$T207),"")</f>
        <v/>
      </c>
      <c r="BA207" s="190" t="str">
        <f t="shared" ca="1" si="189"/>
        <v/>
      </c>
      <c r="BB207" s="190" t="str">
        <f t="shared" ca="1" si="164"/>
        <v/>
      </c>
      <c r="BC207" s="190"/>
      <c r="BD207" s="190" t="str">
        <f ca="1">IFERROR(IF(AND($B207&gt;=($F$16-$F$15),$B207&lt;$F$22+($F$16-$F$15)),SUM(OFFSET($T$100,($F$16-$F$15),0):$T207),""),"")</f>
        <v/>
      </c>
      <c r="BE207" s="190" t="str">
        <f t="shared" ca="1" si="159"/>
        <v/>
      </c>
      <c r="BF207" s="190" t="str">
        <f t="shared" ca="1" si="160"/>
        <v/>
      </c>
      <c r="BG207"/>
      <c r="BH207" s="190" t="str">
        <f ca="1">IF(ISNUMBER(OFFSET(BD207,-$F$21,0)),SUM(OFFSET($T$100,($F$16-$F$15+$F$21),0):$T207),"")</f>
        <v/>
      </c>
      <c r="BI207" s="190" t="str">
        <f t="shared" ca="1" si="190"/>
        <v/>
      </c>
      <c r="BJ207" s="190" t="str">
        <f t="shared" ca="1" si="161"/>
        <v/>
      </c>
      <c r="BK207" s="190"/>
      <c r="BL207" s="190" t="str">
        <f ca="1">IFERROR(IF(AND($B207&gt;=($F$17-$F$15),$B207&lt;$F$22+($F$17-$F$15)),SUM(OFFSET($T$100,($F$17-$F$15),0):$T207),""),"")</f>
        <v/>
      </c>
      <c r="BM207" s="190" t="str">
        <f t="shared" ca="1" si="191"/>
        <v/>
      </c>
      <c r="BN207" s="190" t="str">
        <f t="shared" ca="1" si="162"/>
        <v/>
      </c>
      <c r="BO207"/>
      <c r="BP207" s="190" t="str">
        <f ca="1">IF(ISNUMBER(OFFSET(BL207,-$F$21,0)),SUM(OFFSET($T$100,($F$17-$F$15+$F$21),0):$T207),"")</f>
        <v/>
      </c>
      <c r="BQ207" s="190" t="str">
        <f t="shared" ca="1" si="192"/>
        <v/>
      </c>
      <c r="BR207" s="190" t="str">
        <f t="shared" ca="1" si="163"/>
        <v/>
      </c>
      <c r="BS207" s="190"/>
      <c r="BT207"/>
      <c r="BU207"/>
      <c r="BV207"/>
      <c r="BY207" s="99"/>
      <c r="BZ207" s="99"/>
      <c r="CA207" s="280" t="str">
        <f t="shared" si="193"/>
        <v/>
      </c>
      <c r="CB207" s="71" t="str">
        <f t="shared" si="194"/>
        <v>-</v>
      </c>
      <c r="CC207" s="33"/>
      <c r="CD207" s="261" t="str">
        <f t="shared" si="195"/>
        <v/>
      </c>
      <c r="CE207" s="280" t="str">
        <f t="shared" si="196"/>
        <v>-</v>
      </c>
      <c r="CF207" s="71" t="str">
        <f t="shared" ca="1" si="197"/>
        <v>-</v>
      </c>
      <c r="CG207" s="33" t="str">
        <f t="shared" si="198"/>
        <v>107-108</v>
      </c>
      <c r="CH207" s="261" t="str">
        <f t="shared" ca="1" si="199"/>
        <v/>
      </c>
      <c r="CP207" s="99"/>
      <c r="CQ207" s="99"/>
    </row>
    <row r="208" spans="2:95" ht="13.5" customHeight="1" x14ac:dyDescent="0.2">
      <c r="B208" s="262">
        <v>108</v>
      </c>
      <c r="C208" s="237" t="str">
        <f t="shared" si="165"/>
        <v/>
      </c>
      <c r="D208" s="237" t="str">
        <f t="shared" si="200"/>
        <v>-</v>
      </c>
      <c r="E208" s="263" t="str">
        <f t="shared" si="146"/>
        <v/>
      </c>
      <c r="F208" s="264" t="str">
        <f t="shared" si="147"/>
        <v/>
      </c>
      <c r="G208" s="264" t="str">
        <f t="shared" si="148"/>
        <v/>
      </c>
      <c r="H208" s="240" t="str">
        <f t="shared" si="166"/>
        <v/>
      </c>
      <c r="I208" s="265" t="str">
        <f t="shared" si="167"/>
        <v/>
      </c>
      <c r="J208" s="265" t="str">
        <f t="shared" si="168"/>
        <v/>
      </c>
      <c r="K208" s="240" t="str">
        <f t="shared" si="169"/>
        <v/>
      </c>
      <c r="L208" s="265" t="str">
        <f t="shared" si="170"/>
        <v/>
      </c>
      <c r="M208" s="265" t="str">
        <f t="shared" si="171"/>
        <v/>
      </c>
      <c r="N208" s="240" t="str">
        <f t="shared" si="172"/>
        <v>-</v>
      </c>
      <c r="O208" s="265" t="str">
        <f t="shared" si="173"/>
        <v>-</v>
      </c>
      <c r="P208" s="265" t="str">
        <f t="shared" si="174"/>
        <v>-</v>
      </c>
      <c r="Q208" s="266" t="str">
        <f t="shared" si="175"/>
        <v>-</v>
      </c>
      <c r="R208" s="267" t="str">
        <f t="shared" si="176"/>
        <v>-</v>
      </c>
      <c r="S208" s="268" t="str">
        <f t="shared" si="177"/>
        <v>-</v>
      </c>
      <c r="T208" s="269" t="str">
        <f t="shared" si="178"/>
        <v/>
      </c>
      <c r="U208" s="221">
        <f t="shared" si="179"/>
        <v>108</v>
      </c>
      <c r="V208" s="220" t="str">
        <f t="shared" si="122"/>
        <v>-</v>
      </c>
      <c r="W208" s="221" t="str">
        <f t="shared" si="149"/>
        <v>-</v>
      </c>
      <c r="X208" s="221" t="str">
        <f t="shared" si="180"/>
        <v>-</v>
      </c>
      <c r="Y208" s="221" t="str">
        <f t="shared" si="181"/>
        <v>-</v>
      </c>
      <c r="Z208" s="270">
        <f t="shared" si="150"/>
        <v>0.1</v>
      </c>
      <c r="AA208" s="271" t="str">
        <f>IFERROR(IF(V207=1,AA$100*EXP(-(LN(2)/$D$65+0.04)*X207)*EXP(-(LN(2)/$D$65+0.1)*Y207),IF(V207=2,AA$100*EXP(-(LN(2)/$D$65+0.04)*(VLOOKUP(($F$16-$F$15)-1,U$99:Y207,4,FALSE)))*EXP(-(LN(2)/$D$65+0.1)*(VLOOKUP(($F$16-$F$15)-1,U$99:Y207,5,FALSE)))*EXP(-(LN(2)/$D$65+0.04)*X207)*EXP(-(LN(2)/$D$65+0.1)*Y207),IF(V207=3,AA$100*EXP(-(LN(2)/$D$65+0.04)*(VLOOKUP(($F$16-$F$15)-1,U$99:Y207,4,FALSE)))*EXP(-(LN(2)/$D$65+0.1)*(VLOOKUP(($F$16-$F$15)-1,U$99:Y207,5,FALSE)))*EXP(-(LN(2)/$D$65+0.04)*(VLOOKUP(($F$16-$F$15)*2-1,U$99:Y207,4,FALSE)))*EXP(-(LN(2)/$D$65+0.1)*(VLOOKUP(($F$16-$F$15)*2-1,U$99:Y207,5,FALSE)))*EXP(-(LN(2)/$D$65+0.04)*X207)*EXP(-(LN(2)/$D$65+0.1)*Y207),"-"))),"-")</f>
        <v>-</v>
      </c>
      <c r="AB208" s="271" t="str">
        <f>IFERROR(IF(V208=1,AB$100*EXP(-(LN(2)/$D$65+0.04)*X208)*EXP(-(LN(2)/$D$65+0.1)*Y208),IF(V208=2,AB$100*EXP(-(LN(2)/$D$65+0.04)*(VLOOKUP(($F$16-$F$15)-1,U$100:Y208,4,FALSE)))*EXP(-(LN(2)/$D$65+0.1)*(VLOOKUP(($F$16-$F$15)-1,U$100:Y208,5,FALSE)))*EXP(-(LN(2)/$D$65+0.04)*X208)*EXP(-(LN(2)/$D$65+0.1)*Y208),IF(V208=3,AB$100*EXP(-(LN(2)/$D$65+0.04)*(VLOOKUP(($F$16-$F$15)-1,U$100:Y208,4,FALSE)))*EXP(-(LN(2)/$D$65+0.1)*(VLOOKUP(($F$16-$F$15)-1,U$100:Y208,5,FALSE)))*EXP(-(LN(2)/$D$65+0.04)*(VLOOKUP(($F$16-$F$15)*2-1,U$100:Y208,4,FALSE)))*EXP(-(LN(2)/$D$65+0.1)*(VLOOKUP(($F$16-$F$15)*2-1,U$100:Y208,5,FALSE)))*EXP(-(LN(2)/$D$65+0.04)*X208)*EXP(-(LN(2)/$D$65+0.1)*Y208),"-"))),"-")</f>
        <v>-</v>
      </c>
      <c r="AC208" s="224">
        <f t="shared" si="151"/>
        <v>108</v>
      </c>
      <c r="AD208" s="223" t="str">
        <f t="shared" si="125"/>
        <v>-</v>
      </c>
      <c r="AE208" s="224" t="str">
        <f t="shared" si="152"/>
        <v>-</v>
      </c>
      <c r="AF208" s="224" t="str">
        <f t="shared" si="182"/>
        <v>-</v>
      </c>
      <c r="AG208" s="224" t="str">
        <f t="shared" si="183"/>
        <v>-</v>
      </c>
      <c r="AH208" s="272">
        <f t="shared" si="153"/>
        <v>0.1</v>
      </c>
      <c r="AI208" s="271" t="str">
        <f>IFERROR(IF(AD207=1,AI$100*EXP(-(LN(2)/$D$65+0.04)*AF207)*EXP(-(LN(2)/$D$65+0.1)*AG207),IF(AD207=2,AI$100*EXP(-(LN(2)/$D$65+0.04)*(VLOOKUP(($F$16-$F$15)-1,AC$99:AG207,4,FALSE)))*EXP(-(LN(2)/$D$65+0.1)*(VLOOKUP(($F$16-$F$15)-1,AC$99:AG207,5,FALSE)))*EXP(-(LN(2)/$D$65+0.04)*AF207)*EXP(-(LN(2)/$D$65+0.1)*AG207),IF(AD207=3,AI$100*EXP(-(LN(2)/$D$65+0.04)*(VLOOKUP(($F$16-$F$15)-1,AC$99:AG207,4,FALSE)))*EXP(-(LN(2)/$D$65+0.1)*(VLOOKUP(($F$16-$F$15)-1,AC$99:AG207,5,FALSE)))*EXP(-(LN(2)/$D$65+0.04)*(VLOOKUP(($F$16-$F$15)*2-1,AC$99:AG207,4,FALSE)))*EXP(-(LN(2)/$D$65+0.1)*(VLOOKUP(($F$16-$F$15)*2-1,AC$99:AG207,5,FALSE)))*EXP(-(LN(2)/$D$65+0.04)*AF207)*EXP(-(LN(2)/$D$65+0.1)*AG207),"-"))),"-")</f>
        <v>-</v>
      </c>
      <c r="AJ208" s="271" t="str">
        <f>IFERROR(IF(AD208=1,AJ$100*EXP(-(LN(2)/$D$65+0.04)*AF208)*EXP(-(LN(2)/$D$65+0.1)*AG208),IF(AD208=2,AJ$100*EXP(-(LN(2)/$D$65+0.04)*(VLOOKUP(($F$16-$F$15)-1,AC$100:AG208,4,FALSE)))*EXP(-(LN(2)/$D$65+0.1)*(VLOOKUP(($F$16-$F$15)-1,AC$100:AG208,5,FALSE)))*EXP(-(LN(2)/$D$65+0.04)*AF208)*EXP(-(LN(2)/$D$65+0.1)*AG208),IF(AD208=3,AJ$100*EXP(-(LN(2)/$D$65+0.04)*(VLOOKUP(($F$16-$F$15)-1,AC$100:AG208,4,FALSE)))*EXP(-(LN(2)/$D$65+0.1)*(VLOOKUP(($F$16-$F$15)-1,AC$100:AG208,5,FALSE)))*EXP(-(LN(2)/$D$65+0.04)*(VLOOKUP(($F$16-$F$15)*2-1,AC$100:AG208,4,FALSE)))*EXP(-(LN(2)/$D$65+0.1)*(VLOOKUP(($F$16-$F$15)*2-1,AC$100:AG208,5,FALSE)))*EXP(-(LN(2)/$D$65+0.04)*AF208)*EXP(-(LN(2)/$D$65+0.1)*AG208),"-"))),"-")</f>
        <v>-</v>
      </c>
      <c r="AK208" s="227">
        <f t="shared" si="154"/>
        <v>108</v>
      </c>
      <c r="AL208" s="226" t="str">
        <f t="shared" si="128"/>
        <v>-</v>
      </c>
      <c r="AM208" s="227" t="str">
        <f t="shared" si="155"/>
        <v>-</v>
      </c>
      <c r="AN208" s="227" t="str">
        <f t="shared" si="156"/>
        <v>-</v>
      </c>
      <c r="AO208" s="227" t="str">
        <f t="shared" si="184"/>
        <v>-</v>
      </c>
      <c r="AP208" s="273">
        <f t="shared" si="157"/>
        <v>0.1</v>
      </c>
      <c r="AQ208" s="271" t="str">
        <f>IFERROR(IF(AL207=1,AQ$100*EXP(-(LN(2)/$D$65+0.04)*AN207)*EXP(-(LN(2)/$D$65+0.1)*AO207),IF(AL207=2,AQ$100*EXP(-(LN(2)/$D$65+0.04)*(VLOOKUP(($F$16-$F$15)-1,AK$99:AO207,4,FALSE)))*EXP(-(LN(2)/$D$65+0.1)*(VLOOKUP(($F$16-$F$15)-1,AK$99:AO207,5,FALSE)))*EXP(-(LN(2)/$D$65+0.04)*AN207)*EXP(-(LN(2)/$D$65+0.1)*AO207),IF(AL207=3,AQ$100*EXP(-(LN(2)/$D$65+0.04)*(VLOOKUP(($F$16-$F$15)-1,AK$99:AO207,4,FALSE)))*EXP(-(LN(2)/$D$65+0.1)*(VLOOKUP(($F$16-$F$15)-1,AK$99:AO207,5,FALSE)))*EXP(-(LN(2)/$D$65+0.04)*(VLOOKUP(($F$16-$F$15)*2-1,AK$99:AO207,4,FALSE)))*EXP(-(LN(2)/$D$65+0.1)*(VLOOKUP(($F$16-$F$15)*2-1,AK$99:AO207,5,FALSE)))*EXP(-(LN(2)/$D$65+0.04)*AN207)*EXP(-(LN(2)/$D$65+0.1)*AO207),"-"))),"-")</f>
        <v>-</v>
      </c>
      <c r="AR208" s="271" t="str">
        <f>IFERROR(IF(AL208=1,AR$100*EXP(-(LN(2)/$D$65+0.04)*AN208)*EXP(-(LN(2)/$D$65+0.1)*AO208),IF(AL208=2,AR$100*EXP(-(LN(2)/$D$65+0.04)*(VLOOKUP(($F$16-$F$15)-1,AK$100:AO208,4,FALSE)))*EXP(-(LN(2)/$D$65+0.1)*(VLOOKUP(($F$16-$F$15)-1,AK$100:AO208,5,FALSE)))*EXP(-(LN(2)/$D$65+0.04)*AN208)*EXP(-(LN(2)/$D$65+0.1)*AO208),IF(AL208=3,AR$100*EXP(-(LN(2)/$D$65+0.04)*(VLOOKUP(($F$16-$F$15)-1,AK$100:AO208,4,FALSE)))*EXP(-(LN(2)/$D$65+0.1)*(VLOOKUP(($F$16-$F$15)-1,AK$100:AO208,5,FALSE)))*EXP(-(LN(2)/$D$65+0.04)*(VLOOKUP(($F$16-$F$15)*2-1,AK$100:AO208,4,FALSE)))*EXP(-(LN(2)/$D$65+0.1)*(VLOOKUP(($F$16-$F$15)*2-1,AK$100:AO208,5,FALSE)))*EXP(-(LN(2)/$D$65+0.04)*AN208)*EXP(-(LN(2)/$D$65+0.1)*AO208),"-"))),"-")</f>
        <v>-</v>
      </c>
      <c r="AS208" s="274">
        <f t="shared" si="185"/>
        <v>0</v>
      </c>
      <c r="AT208" s="274">
        <f t="shared" si="186"/>
        <v>0</v>
      </c>
      <c r="AU208" s="274">
        <f t="shared" si="187"/>
        <v>0</v>
      </c>
      <c r="AV208" s="190">
        <f>IF($B208&lt;$F$22,SUM($T$100:$T208),"")</f>
        <v>0</v>
      </c>
      <c r="AW208" s="190" t="str">
        <f t="shared" si="188"/>
        <v>-</v>
      </c>
      <c r="AX208" s="190" t="str">
        <f t="shared" si="158"/>
        <v/>
      </c>
      <c r="AY208"/>
      <c r="AZ208" s="190" t="str">
        <f ca="1">IF(ISNUMBER(OFFSET(AV208,-$F$21,0)),SUM(OFFSET($T$100,$F$21,0):$T208),"")</f>
        <v/>
      </c>
      <c r="BA208" s="190" t="str">
        <f t="shared" ca="1" si="189"/>
        <v/>
      </c>
      <c r="BB208" s="190" t="str">
        <f t="shared" ca="1" si="164"/>
        <v/>
      </c>
      <c r="BC208" s="190"/>
      <c r="BD208" s="190" t="str">
        <f ca="1">IFERROR(IF(AND($B208&gt;=($F$16-$F$15),$B208&lt;$F$22+($F$16-$F$15)),SUM(OFFSET($T$100,($F$16-$F$15),0):$T208),""),"")</f>
        <v/>
      </c>
      <c r="BE208" s="190" t="str">
        <f t="shared" ca="1" si="159"/>
        <v/>
      </c>
      <c r="BF208" s="190" t="str">
        <f t="shared" ca="1" si="160"/>
        <v/>
      </c>
      <c r="BG208"/>
      <c r="BH208" s="190" t="str">
        <f ca="1">IF(ISNUMBER(OFFSET(BD208,-$F$21,0)),SUM(OFFSET($T$100,($F$16-$F$15+$F$21),0):$T208),"")</f>
        <v/>
      </c>
      <c r="BI208" s="190" t="str">
        <f t="shared" ca="1" si="190"/>
        <v/>
      </c>
      <c r="BJ208" s="190" t="str">
        <f t="shared" ca="1" si="161"/>
        <v/>
      </c>
      <c r="BK208" s="190"/>
      <c r="BL208" s="190" t="str">
        <f ca="1">IFERROR(IF(AND($B208&gt;=($F$17-$F$15),$B208&lt;$F$22+($F$17-$F$15)),SUM(OFFSET($T$100,($F$17-$F$15),0):$T208),""),"")</f>
        <v/>
      </c>
      <c r="BM208" s="190" t="str">
        <f t="shared" ca="1" si="191"/>
        <v/>
      </c>
      <c r="BN208" s="190" t="str">
        <f t="shared" ca="1" si="162"/>
        <v/>
      </c>
      <c r="BO208"/>
      <c r="BP208" s="190" t="str">
        <f ca="1">IF(ISNUMBER(OFFSET(BL208,-$F$21,0)),SUM(OFFSET($T$100,($F$17-$F$15+$F$21),0):$T208),"")</f>
        <v/>
      </c>
      <c r="BQ208" s="190" t="str">
        <f t="shared" ca="1" si="192"/>
        <v/>
      </c>
      <c r="BR208" s="190" t="str">
        <f t="shared" ca="1" si="163"/>
        <v/>
      </c>
      <c r="BS208" s="190"/>
      <c r="BT208"/>
      <c r="BU208"/>
      <c r="BV208"/>
      <c r="BY208" s="99"/>
      <c r="BZ208" s="99"/>
      <c r="CA208" s="280" t="str">
        <f t="shared" si="193"/>
        <v/>
      </c>
      <c r="CB208" s="71" t="str">
        <f t="shared" si="194"/>
        <v>-</v>
      </c>
      <c r="CC208" s="33"/>
      <c r="CD208" s="261" t="str">
        <f t="shared" si="195"/>
        <v/>
      </c>
      <c r="CE208" s="280" t="str">
        <f t="shared" si="196"/>
        <v>-</v>
      </c>
      <c r="CF208" s="71" t="str">
        <f t="shared" ca="1" si="197"/>
        <v>-</v>
      </c>
      <c r="CG208" s="33" t="str">
        <f t="shared" si="198"/>
        <v>108-109</v>
      </c>
      <c r="CH208" s="261" t="str">
        <f t="shared" ca="1" si="199"/>
        <v/>
      </c>
      <c r="CP208" s="99"/>
      <c r="CQ208" s="99"/>
    </row>
    <row r="209" spans="2:95" ht="13.5" customHeight="1" x14ac:dyDescent="0.2">
      <c r="B209" s="262">
        <v>109</v>
      </c>
      <c r="C209" s="237" t="str">
        <f t="shared" si="165"/>
        <v/>
      </c>
      <c r="D209" s="237" t="str">
        <f t="shared" si="200"/>
        <v>-</v>
      </c>
      <c r="E209" s="263" t="str">
        <f t="shared" si="146"/>
        <v/>
      </c>
      <c r="F209" s="264" t="str">
        <f t="shared" si="147"/>
        <v/>
      </c>
      <c r="G209" s="264" t="str">
        <f t="shared" si="148"/>
        <v/>
      </c>
      <c r="H209" s="240" t="str">
        <f t="shared" si="166"/>
        <v/>
      </c>
      <c r="I209" s="265" t="str">
        <f t="shared" si="167"/>
        <v/>
      </c>
      <c r="J209" s="265" t="str">
        <f t="shared" si="168"/>
        <v/>
      </c>
      <c r="K209" s="240" t="str">
        <f t="shared" si="169"/>
        <v/>
      </c>
      <c r="L209" s="265" t="str">
        <f t="shared" si="170"/>
        <v/>
      </c>
      <c r="M209" s="265" t="str">
        <f t="shared" si="171"/>
        <v/>
      </c>
      <c r="N209" s="240" t="str">
        <f t="shared" si="172"/>
        <v>-</v>
      </c>
      <c r="O209" s="265" t="str">
        <f t="shared" si="173"/>
        <v>-</v>
      </c>
      <c r="P209" s="265" t="str">
        <f t="shared" si="174"/>
        <v>-</v>
      </c>
      <c r="Q209" s="266" t="str">
        <f t="shared" si="175"/>
        <v>-</v>
      </c>
      <c r="R209" s="267" t="str">
        <f t="shared" si="176"/>
        <v>-</v>
      </c>
      <c r="S209" s="268" t="str">
        <f t="shared" si="177"/>
        <v>-</v>
      </c>
      <c r="T209" s="269" t="str">
        <f t="shared" si="178"/>
        <v/>
      </c>
      <c r="U209" s="221">
        <f t="shared" si="179"/>
        <v>109</v>
      </c>
      <c r="V209" s="220" t="str">
        <f t="shared" si="122"/>
        <v>-</v>
      </c>
      <c r="W209" s="221" t="str">
        <f t="shared" si="149"/>
        <v>-</v>
      </c>
      <c r="X209" s="221" t="str">
        <f t="shared" si="180"/>
        <v>-</v>
      </c>
      <c r="Y209" s="221" t="str">
        <f t="shared" si="181"/>
        <v>-</v>
      </c>
      <c r="Z209" s="270">
        <f t="shared" si="150"/>
        <v>0.1</v>
      </c>
      <c r="AA209" s="271" t="str">
        <f>IFERROR(IF(V208=1,AA$100*EXP(-(LN(2)/$D$65+0.04)*X208)*EXP(-(LN(2)/$D$65+0.1)*Y208),IF(V208=2,AA$100*EXP(-(LN(2)/$D$65+0.04)*(VLOOKUP(($F$16-$F$15)-1,U$99:Y208,4,FALSE)))*EXP(-(LN(2)/$D$65+0.1)*(VLOOKUP(($F$16-$F$15)-1,U$99:Y208,5,FALSE)))*EXP(-(LN(2)/$D$65+0.04)*X208)*EXP(-(LN(2)/$D$65+0.1)*Y208),IF(V208=3,AA$100*EXP(-(LN(2)/$D$65+0.04)*(VLOOKUP(($F$16-$F$15)-1,U$99:Y208,4,FALSE)))*EXP(-(LN(2)/$D$65+0.1)*(VLOOKUP(($F$16-$F$15)-1,U$99:Y208,5,FALSE)))*EXP(-(LN(2)/$D$65+0.04)*(VLOOKUP(($F$16-$F$15)*2-1,U$99:Y208,4,FALSE)))*EXP(-(LN(2)/$D$65+0.1)*(VLOOKUP(($F$16-$F$15)*2-1,U$99:Y208,5,FALSE)))*EXP(-(LN(2)/$D$65+0.04)*X208)*EXP(-(LN(2)/$D$65+0.1)*Y208),"-"))),"-")</f>
        <v>-</v>
      </c>
      <c r="AB209" s="271" t="str">
        <f>IFERROR(IF(V209=1,AB$100*EXP(-(LN(2)/$D$65+0.04)*X209)*EXP(-(LN(2)/$D$65+0.1)*Y209),IF(V209=2,AB$100*EXP(-(LN(2)/$D$65+0.04)*(VLOOKUP(($F$16-$F$15)-1,U$100:Y209,4,FALSE)))*EXP(-(LN(2)/$D$65+0.1)*(VLOOKUP(($F$16-$F$15)-1,U$100:Y209,5,FALSE)))*EXP(-(LN(2)/$D$65+0.04)*X209)*EXP(-(LN(2)/$D$65+0.1)*Y209),IF(V209=3,AB$100*EXP(-(LN(2)/$D$65+0.04)*(VLOOKUP(($F$16-$F$15)-1,U$100:Y209,4,FALSE)))*EXP(-(LN(2)/$D$65+0.1)*(VLOOKUP(($F$16-$F$15)-1,U$100:Y209,5,FALSE)))*EXP(-(LN(2)/$D$65+0.04)*(VLOOKUP(($F$16-$F$15)*2-1,U$100:Y209,4,FALSE)))*EXP(-(LN(2)/$D$65+0.1)*(VLOOKUP(($F$16-$F$15)*2-1,U$100:Y209,5,FALSE)))*EXP(-(LN(2)/$D$65+0.04)*X209)*EXP(-(LN(2)/$D$65+0.1)*Y209),"-"))),"-")</f>
        <v>-</v>
      </c>
      <c r="AC209" s="224">
        <f t="shared" si="151"/>
        <v>109</v>
      </c>
      <c r="AD209" s="223" t="str">
        <f t="shared" si="125"/>
        <v>-</v>
      </c>
      <c r="AE209" s="224" t="str">
        <f t="shared" si="152"/>
        <v>-</v>
      </c>
      <c r="AF209" s="224" t="str">
        <f t="shared" si="182"/>
        <v>-</v>
      </c>
      <c r="AG209" s="224" t="str">
        <f t="shared" si="183"/>
        <v>-</v>
      </c>
      <c r="AH209" s="272">
        <f t="shared" si="153"/>
        <v>0.1</v>
      </c>
      <c r="AI209" s="271" t="str">
        <f>IFERROR(IF(AD208=1,AI$100*EXP(-(LN(2)/$D$65+0.04)*AF208)*EXP(-(LN(2)/$D$65+0.1)*AG208),IF(AD208=2,AI$100*EXP(-(LN(2)/$D$65+0.04)*(VLOOKUP(($F$16-$F$15)-1,AC$99:AG208,4,FALSE)))*EXP(-(LN(2)/$D$65+0.1)*(VLOOKUP(($F$16-$F$15)-1,AC$99:AG208,5,FALSE)))*EXP(-(LN(2)/$D$65+0.04)*AF208)*EXP(-(LN(2)/$D$65+0.1)*AG208),IF(AD208=3,AI$100*EXP(-(LN(2)/$D$65+0.04)*(VLOOKUP(($F$16-$F$15)-1,AC$99:AG208,4,FALSE)))*EXP(-(LN(2)/$D$65+0.1)*(VLOOKUP(($F$16-$F$15)-1,AC$99:AG208,5,FALSE)))*EXP(-(LN(2)/$D$65+0.04)*(VLOOKUP(($F$16-$F$15)*2-1,AC$99:AG208,4,FALSE)))*EXP(-(LN(2)/$D$65+0.1)*(VLOOKUP(($F$16-$F$15)*2-1,AC$99:AG208,5,FALSE)))*EXP(-(LN(2)/$D$65+0.04)*AF208)*EXP(-(LN(2)/$D$65+0.1)*AG208),"-"))),"-")</f>
        <v>-</v>
      </c>
      <c r="AJ209" s="271" t="str">
        <f>IFERROR(IF(AD209=1,AJ$100*EXP(-(LN(2)/$D$65+0.04)*AF209)*EXP(-(LN(2)/$D$65+0.1)*AG209),IF(AD209=2,AJ$100*EXP(-(LN(2)/$D$65+0.04)*(VLOOKUP(($F$16-$F$15)-1,AC$100:AG209,4,FALSE)))*EXP(-(LN(2)/$D$65+0.1)*(VLOOKUP(($F$16-$F$15)-1,AC$100:AG209,5,FALSE)))*EXP(-(LN(2)/$D$65+0.04)*AF209)*EXP(-(LN(2)/$D$65+0.1)*AG209),IF(AD209=3,AJ$100*EXP(-(LN(2)/$D$65+0.04)*(VLOOKUP(($F$16-$F$15)-1,AC$100:AG209,4,FALSE)))*EXP(-(LN(2)/$D$65+0.1)*(VLOOKUP(($F$16-$F$15)-1,AC$100:AG209,5,FALSE)))*EXP(-(LN(2)/$D$65+0.04)*(VLOOKUP(($F$16-$F$15)*2-1,AC$100:AG209,4,FALSE)))*EXP(-(LN(2)/$D$65+0.1)*(VLOOKUP(($F$16-$F$15)*2-1,AC$100:AG209,5,FALSE)))*EXP(-(LN(2)/$D$65+0.04)*AF209)*EXP(-(LN(2)/$D$65+0.1)*AG209),"-"))),"-")</f>
        <v>-</v>
      </c>
      <c r="AK209" s="227">
        <f t="shared" si="154"/>
        <v>109</v>
      </c>
      <c r="AL209" s="226" t="str">
        <f t="shared" si="128"/>
        <v>-</v>
      </c>
      <c r="AM209" s="227" t="str">
        <f t="shared" si="155"/>
        <v>-</v>
      </c>
      <c r="AN209" s="227" t="str">
        <f t="shared" si="156"/>
        <v>-</v>
      </c>
      <c r="AO209" s="227" t="str">
        <f t="shared" si="184"/>
        <v>-</v>
      </c>
      <c r="AP209" s="273">
        <f t="shared" si="157"/>
        <v>0.1</v>
      </c>
      <c r="AQ209" s="271" t="str">
        <f>IFERROR(IF(AL208=1,AQ$100*EXP(-(LN(2)/$D$65+0.04)*AN208)*EXP(-(LN(2)/$D$65+0.1)*AO208),IF(AL208=2,AQ$100*EXP(-(LN(2)/$D$65+0.04)*(VLOOKUP(($F$16-$F$15)-1,AK$99:AO208,4,FALSE)))*EXP(-(LN(2)/$D$65+0.1)*(VLOOKUP(($F$16-$F$15)-1,AK$99:AO208,5,FALSE)))*EXP(-(LN(2)/$D$65+0.04)*AN208)*EXP(-(LN(2)/$D$65+0.1)*AO208),IF(AL208=3,AQ$100*EXP(-(LN(2)/$D$65+0.04)*(VLOOKUP(($F$16-$F$15)-1,AK$99:AO208,4,FALSE)))*EXP(-(LN(2)/$D$65+0.1)*(VLOOKUP(($F$16-$F$15)-1,AK$99:AO208,5,FALSE)))*EXP(-(LN(2)/$D$65+0.04)*(VLOOKUP(($F$16-$F$15)*2-1,AK$99:AO208,4,FALSE)))*EXP(-(LN(2)/$D$65+0.1)*(VLOOKUP(($F$16-$F$15)*2-1,AK$99:AO208,5,FALSE)))*EXP(-(LN(2)/$D$65+0.04)*AN208)*EXP(-(LN(2)/$D$65+0.1)*AO208),"-"))),"-")</f>
        <v>-</v>
      </c>
      <c r="AR209" s="271" t="str">
        <f>IFERROR(IF(AL209=1,AR$100*EXP(-(LN(2)/$D$65+0.04)*AN209)*EXP(-(LN(2)/$D$65+0.1)*AO209),IF(AL209=2,AR$100*EXP(-(LN(2)/$D$65+0.04)*(VLOOKUP(($F$16-$F$15)-1,AK$100:AO209,4,FALSE)))*EXP(-(LN(2)/$D$65+0.1)*(VLOOKUP(($F$16-$F$15)-1,AK$100:AO209,5,FALSE)))*EXP(-(LN(2)/$D$65+0.04)*AN209)*EXP(-(LN(2)/$D$65+0.1)*AO209),IF(AL209=3,AR$100*EXP(-(LN(2)/$D$65+0.04)*(VLOOKUP(($F$16-$F$15)-1,AK$100:AO209,4,FALSE)))*EXP(-(LN(2)/$D$65+0.1)*(VLOOKUP(($F$16-$F$15)-1,AK$100:AO209,5,FALSE)))*EXP(-(LN(2)/$D$65+0.04)*(VLOOKUP(($F$16-$F$15)*2-1,AK$100:AO209,4,FALSE)))*EXP(-(LN(2)/$D$65+0.1)*(VLOOKUP(($F$16-$F$15)*2-1,AK$100:AO209,5,FALSE)))*EXP(-(LN(2)/$D$65+0.04)*AN209)*EXP(-(LN(2)/$D$65+0.1)*AO209),"-"))),"-")</f>
        <v>-</v>
      </c>
      <c r="AS209" s="274">
        <f t="shared" si="185"/>
        <v>0</v>
      </c>
      <c r="AT209" s="274">
        <f t="shared" si="186"/>
        <v>0</v>
      </c>
      <c r="AU209" s="274">
        <f t="shared" si="187"/>
        <v>0</v>
      </c>
      <c r="AV209" s="190">
        <f>IF($B209&lt;$F$22,SUM($T$100:$T209),"")</f>
        <v>0</v>
      </c>
      <c r="AW209" s="190" t="str">
        <f t="shared" si="188"/>
        <v>-</v>
      </c>
      <c r="AX209" s="190" t="str">
        <f t="shared" si="158"/>
        <v/>
      </c>
      <c r="AY209"/>
      <c r="AZ209" s="190" t="str">
        <f ca="1">IF(ISNUMBER(OFFSET(AV209,-$F$21,0)),SUM(OFFSET($T$100,$F$21,0):$T209),"")</f>
        <v/>
      </c>
      <c r="BA209" s="190" t="str">
        <f t="shared" ca="1" si="189"/>
        <v/>
      </c>
      <c r="BB209" s="190" t="str">
        <f t="shared" ca="1" si="164"/>
        <v/>
      </c>
      <c r="BC209" s="190"/>
      <c r="BD209" s="190" t="str">
        <f ca="1">IFERROR(IF(AND($B209&gt;=($F$16-$F$15),$B209&lt;$F$22+($F$16-$F$15)),SUM(OFFSET($T$100,($F$16-$F$15),0):$T209),""),"")</f>
        <v/>
      </c>
      <c r="BE209" s="190" t="str">
        <f t="shared" ca="1" si="159"/>
        <v/>
      </c>
      <c r="BF209" s="190" t="str">
        <f t="shared" ca="1" si="160"/>
        <v/>
      </c>
      <c r="BG209"/>
      <c r="BH209" s="190" t="str">
        <f ca="1">IF(ISNUMBER(OFFSET(BD209,-$F$21,0)),SUM(OFFSET($T$100,($F$16-$F$15+$F$21),0):$T209),"")</f>
        <v/>
      </c>
      <c r="BI209" s="190" t="str">
        <f t="shared" ca="1" si="190"/>
        <v/>
      </c>
      <c r="BJ209" s="190" t="str">
        <f t="shared" ca="1" si="161"/>
        <v/>
      </c>
      <c r="BK209" s="190"/>
      <c r="BL209" s="190" t="str">
        <f ca="1">IFERROR(IF(AND($B209&gt;=($F$17-$F$15),$B209&lt;$F$22+($F$17-$F$15)),SUM(OFFSET($T$100,($F$17-$F$15),0):$T209),""),"")</f>
        <v/>
      </c>
      <c r="BM209" s="190" t="str">
        <f t="shared" ca="1" si="191"/>
        <v/>
      </c>
      <c r="BN209" s="190" t="str">
        <f t="shared" ca="1" si="162"/>
        <v/>
      </c>
      <c r="BO209"/>
      <c r="BP209" s="190" t="str">
        <f ca="1">IF(ISNUMBER(OFFSET(BL209,-$F$21,0)),SUM(OFFSET($T$100,($F$17-$F$15+$F$21),0):$T209),"")</f>
        <v/>
      </c>
      <c r="BQ209" s="190" t="str">
        <f t="shared" ca="1" si="192"/>
        <v/>
      </c>
      <c r="BR209" s="190" t="str">
        <f t="shared" ca="1" si="163"/>
        <v/>
      </c>
      <c r="BS209" s="190"/>
      <c r="BT209"/>
      <c r="BU209"/>
      <c r="BV209"/>
      <c r="BY209" s="99"/>
      <c r="BZ209" s="99"/>
      <c r="CA209" s="280" t="str">
        <f t="shared" si="193"/>
        <v/>
      </c>
      <c r="CB209" s="71" t="str">
        <f t="shared" si="194"/>
        <v>-</v>
      </c>
      <c r="CC209" s="33"/>
      <c r="CD209" s="261" t="str">
        <f t="shared" si="195"/>
        <v/>
      </c>
      <c r="CE209" s="280" t="str">
        <f t="shared" si="196"/>
        <v>-</v>
      </c>
      <c r="CF209" s="71" t="str">
        <f t="shared" ca="1" si="197"/>
        <v>-</v>
      </c>
      <c r="CG209" s="33" t="str">
        <f t="shared" si="198"/>
        <v>109-110</v>
      </c>
      <c r="CH209" s="261" t="str">
        <f t="shared" ca="1" si="199"/>
        <v/>
      </c>
      <c r="CP209" s="99"/>
      <c r="CQ209" s="99"/>
    </row>
    <row r="210" spans="2:95" ht="13.5" customHeight="1" x14ac:dyDescent="0.2">
      <c r="B210" s="262">
        <v>110</v>
      </c>
      <c r="C210" s="237" t="str">
        <f t="shared" si="165"/>
        <v/>
      </c>
      <c r="D210" s="237" t="str">
        <f t="shared" si="200"/>
        <v>-</v>
      </c>
      <c r="E210" s="263" t="str">
        <f t="shared" si="146"/>
        <v/>
      </c>
      <c r="F210" s="264" t="str">
        <f t="shared" si="147"/>
        <v/>
      </c>
      <c r="G210" s="264" t="str">
        <f t="shared" si="148"/>
        <v/>
      </c>
      <c r="H210" s="240" t="str">
        <f t="shared" si="166"/>
        <v/>
      </c>
      <c r="I210" s="265" t="str">
        <f t="shared" si="167"/>
        <v/>
      </c>
      <c r="J210" s="265" t="str">
        <f t="shared" si="168"/>
        <v/>
      </c>
      <c r="K210" s="240" t="str">
        <f t="shared" si="169"/>
        <v/>
      </c>
      <c r="L210" s="265" t="str">
        <f t="shared" si="170"/>
        <v/>
      </c>
      <c r="M210" s="265" t="str">
        <f t="shared" si="171"/>
        <v/>
      </c>
      <c r="N210" s="240" t="str">
        <f t="shared" si="172"/>
        <v>-</v>
      </c>
      <c r="O210" s="265" t="str">
        <f t="shared" si="173"/>
        <v>-</v>
      </c>
      <c r="P210" s="265" t="str">
        <f t="shared" si="174"/>
        <v>-</v>
      </c>
      <c r="Q210" s="266" t="str">
        <f t="shared" si="175"/>
        <v>-</v>
      </c>
      <c r="R210" s="267" t="str">
        <f t="shared" si="176"/>
        <v>-</v>
      </c>
      <c r="S210" s="268" t="str">
        <f t="shared" si="177"/>
        <v>-</v>
      </c>
      <c r="T210" s="269" t="str">
        <f t="shared" si="178"/>
        <v/>
      </c>
      <c r="U210" s="221">
        <f t="shared" si="179"/>
        <v>110</v>
      </c>
      <c r="V210" s="220" t="str">
        <f t="shared" si="122"/>
        <v>-</v>
      </c>
      <c r="W210" s="221" t="str">
        <f t="shared" si="149"/>
        <v>-</v>
      </c>
      <c r="X210" s="221" t="str">
        <f t="shared" si="180"/>
        <v>-</v>
      </c>
      <c r="Y210" s="221" t="str">
        <f t="shared" si="181"/>
        <v>-</v>
      </c>
      <c r="Z210" s="270">
        <f t="shared" si="150"/>
        <v>0.1</v>
      </c>
      <c r="AA210" s="271" t="str">
        <f>IFERROR(IF(V209=1,AA$100*EXP(-(LN(2)/$D$65+0.04)*X209)*EXP(-(LN(2)/$D$65+0.1)*Y209),IF(V209=2,AA$100*EXP(-(LN(2)/$D$65+0.04)*(VLOOKUP(($F$16-$F$15)-1,U$99:Y209,4,FALSE)))*EXP(-(LN(2)/$D$65+0.1)*(VLOOKUP(($F$16-$F$15)-1,U$99:Y209,5,FALSE)))*EXP(-(LN(2)/$D$65+0.04)*X209)*EXP(-(LN(2)/$D$65+0.1)*Y209),IF(V209=3,AA$100*EXP(-(LN(2)/$D$65+0.04)*(VLOOKUP(($F$16-$F$15)-1,U$99:Y209,4,FALSE)))*EXP(-(LN(2)/$D$65+0.1)*(VLOOKUP(($F$16-$F$15)-1,U$99:Y209,5,FALSE)))*EXP(-(LN(2)/$D$65+0.04)*(VLOOKUP(($F$16-$F$15)*2-1,U$99:Y209,4,FALSE)))*EXP(-(LN(2)/$D$65+0.1)*(VLOOKUP(($F$16-$F$15)*2-1,U$99:Y209,5,FALSE)))*EXP(-(LN(2)/$D$65+0.04)*X209)*EXP(-(LN(2)/$D$65+0.1)*Y209),"-"))),"-")</f>
        <v>-</v>
      </c>
      <c r="AB210" s="271" t="str">
        <f>IFERROR(IF(V210=1,AB$100*EXP(-(LN(2)/$D$65+0.04)*X210)*EXP(-(LN(2)/$D$65+0.1)*Y210),IF(V210=2,AB$100*EXP(-(LN(2)/$D$65+0.04)*(VLOOKUP(($F$16-$F$15)-1,U$100:Y210,4,FALSE)))*EXP(-(LN(2)/$D$65+0.1)*(VLOOKUP(($F$16-$F$15)-1,U$100:Y210,5,FALSE)))*EXP(-(LN(2)/$D$65+0.04)*X210)*EXP(-(LN(2)/$D$65+0.1)*Y210),IF(V210=3,AB$100*EXP(-(LN(2)/$D$65+0.04)*(VLOOKUP(($F$16-$F$15)-1,U$100:Y210,4,FALSE)))*EXP(-(LN(2)/$D$65+0.1)*(VLOOKUP(($F$16-$F$15)-1,U$100:Y210,5,FALSE)))*EXP(-(LN(2)/$D$65+0.04)*(VLOOKUP(($F$16-$F$15)*2-1,U$100:Y210,4,FALSE)))*EXP(-(LN(2)/$D$65+0.1)*(VLOOKUP(($F$16-$F$15)*2-1,U$100:Y210,5,FALSE)))*EXP(-(LN(2)/$D$65+0.04)*X210)*EXP(-(LN(2)/$D$65+0.1)*Y210),"-"))),"-")</f>
        <v>-</v>
      </c>
      <c r="AC210" s="224">
        <f t="shared" si="151"/>
        <v>110</v>
      </c>
      <c r="AD210" s="223" t="str">
        <f t="shared" si="125"/>
        <v>-</v>
      </c>
      <c r="AE210" s="224" t="str">
        <f t="shared" si="152"/>
        <v>-</v>
      </c>
      <c r="AF210" s="224" t="str">
        <f t="shared" si="182"/>
        <v>-</v>
      </c>
      <c r="AG210" s="224" t="str">
        <f t="shared" si="183"/>
        <v>-</v>
      </c>
      <c r="AH210" s="272">
        <f t="shared" si="153"/>
        <v>0.1</v>
      </c>
      <c r="AI210" s="271" t="str">
        <f>IFERROR(IF(AD209=1,AI$100*EXP(-(LN(2)/$D$65+0.04)*AF209)*EXP(-(LN(2)/$D$65+0.1)*AG209),IF(AD209=2,AI$100*EXP(-(LN(2)/$D$65+0.04)*(VLOOKUP(($F$16-$F$15)-1,AC$99:AG209,4,FALSE)))*EXP(-(LN(2)/$D$65+0.1)*(VLOOKUP(($F$16-$F$15)-1,AC$99:AG209,5,FALSE)))*EXP(-(LN(2)/$D$65+0.04)*AF209)*EXP(-(LN(2)/$D$65+0.1)*AG209),IF(AD209=3,AI$100*EXP(-(LN(2)/$D$65+0.04)*(VLOOKUP(($F$16-$F$15)-1,AC$99:AG209,4,FALSE)))*EXP(-(LN(2)/$D$65+0.1)*(VLOOKUP(($F$16-$F$15)-1,AC$99:AG209,5,FALSE)))*EXP(-(LN(2)/$D$65+0.04)*(VLOOKUP(($F$16-$F$15)*2-1,AC$99:AG209,4,FALSE)))*EXP(-(LN(2)/$D$65+0.1)*(VLOOKUP(($F$16-$F$15)*2-1,AC$99:AG209,5,FALSE)))*EXP(-(LN(2)/$D$65+0.04)*AF209)*EXP(-(LN(2)/$D$65+0.1)*AG209),"-"))),"-")</f>
        <v>-</v>
      </c>
      <c r="AJ210" s="271" t="str">
        <f>IFERROR(IF(AD210=1,AJ$100*EXP(-(LN(2)/$D$65+0.04)*AF210)*EXP(-(LN(2)/$D$65+0.1)*AG210),IF(AD210=2,AJ$100*EXP(-(LN(2)/$D$65+0.04)*(VLOOKUP(($F$16-$F$15)-1,AC$100:AG210,4,FALSE)))*EXP(-(LN(2)/$D$65+0.1)*(VLOOKUP(($F$16-$F$15)-1,AC$100:AG210,5,FALSE)))*EXP(-(LN(2)/$D$65+0.04)*AF210)*EXP(-(LN(2)/$D$65+0.1)*AG210),IF(AD210=3,AJ$100*EXP(-(LN(2)/$D$65+0.04)*(VLOOKUP(($F$16-$F$15)-1,AC$100:AG210,4,FALSE)))*EXP(-(LN(2)/$D$65+0.1)*(VLOOKUP(($F$16-$F$15)-1,AC$100:AG210,5,FALSE)))*EXP(-(LN(2)/$D$65+0.04)*(VLOOKUP(($F$16-$F$15)*2-1,AC$100:AG210,4,FALSE)))*EXP(-(LN(2)/$D$65+0.1)*(VLOOKUP(($F$16-$F$15)*2-1,AC$100:AG210,5,FALSE)))*EXP(-(LN(2)/$D$65+0.04)*AF210)*EXP(-(LN(2)/$D$65+0.1)*AG210),"-"))),"-")</f>
        <v>-</v>
      </c>
      <c r="AK210" s="227">
        <f t="shared" si="154"/>
        <v>110</v>
      </c>
      <c r="AL210" s="226" t="str">
        <f t="shared" si="128"/>
        <v>-</v>
      </c>
      <c r="AM210" s="227" t="str">
        <f t="shared" si="155"/>
        <v>-</v>
      </c>
      <c r="AN210" s="227" t="str">
        <f t="shared" si="156"/>
        <v>-</v>
      </c>
      <c r="AO210" s="227" t="str">
        <f t="shared" si="184"/>
        <v>-</v>
      </c>
      <c r="AP210" s="273">
        <f t="shared" si="157"/>
        <v>0.1</v>
      </c>
      <c r="AQ210" s="271" t="str">
        <f>IFERROR(IF(AL209=1,AQ$100*EXP(-(LN(2)/$D$65+0.04)*AN209)*EXP(-(LN(2)/$D$65+0.1)*AO209),IF(AL209=2,AQ$100*EXP(-(LN(2)/$D$65+0.04)*(VLOOKUP(($F$16-$F$15)-1,AK$99:AO209,4,FALSE)))*EXP(-(LN(2)/$D$65+0.1)*(VLOOKUP(($F$16-$F$15)-1,AK$99:AO209,5,FALSE)))*EXP(-(LN(2)/$D$65+0.04)*AN209)*EXP(-(LN(2)/$D$65+0.1)*AO209),IF(AL209=3,AQ$100*EXP(-(LN(2)/$D$65+0.04)*(VLOOKUP(($F$16-$F$15)-1,AK$99:AO209,4,FALSE)))*EXP(-(LN(2)/$D$65+0.1)*(VLOOKUP(($F$16-$F$15)-1,AK$99:AO209,5,FALSE)))*EXP(-(LN(2)/$D$65+0.04)*(VLOOKUP(($F$16-$F$15)*2-1,AK$99:AO209,4,FALSE)))*EXP(-(LN(2)/$D$65+0.1)*(VLOOKUP(($F$16-$F$15)*2-1,AK$99:AO209,5,FALSE)))*EXP(-(LN(2)/$D$65+0.04)*AN209)*EXP(-(LN(2)/$D$65+0.1)*AO209),"-"))),"-")</f>
        <v>-</v>
      </c>
      <c r="AR210" s="271" t="str">
        <f>IFERROR(IF(AL210=1,AR$100*EXP(-(LN(2)/$D$65+0.04)*AN210)*EXP(-(LN(2)/$D$65+0.1)*AO210),IF(AL210=2,AR$100*EXP(-(LN(2)/$D$65+0.04)*(VLOOKUP(($F$16-$F$15)-1,AK$100:AO210,4,FALSE)))*EXP(-(LN(2)/$D$65+0.1)*(VLOOKUP(($F$16-$F$15)-1,AK$100:AO210,5,FALSE)))*EXP(-(LN(2)/$D$65+0.04)*AN210)*EXP(-(LN(2)/$D$65+0.1)*AO210),IF(AL210=3,AR$100*EXP(-(LN(2)/$D$65+0.04)*(VLOOKUP(($F$16-$F$15)-1,AK$100:AO210,4,FALSE)))*EXP(-(LN(2)/$D$65+0.1)*(VLOOKUP(($F$16-$F$15)-1,AK$100:AO210,5,FALSE)))*EXP(-(LN(2)/$D$65+0.04)*(VLOOKUP(($F$16-$F$15)*2-1,AK$100:AO210,4,FALSE)))*EXP(-(LN(2)/$D$65+0.1)*(VLOOKUP(($F$16-$F$15)*2-1,AK$100:AO210,5,FALSE)))*EXP(-(LN(2)/$D$65+0.04)*AN210)*EXP(-(LN(2)/$D$65+0.1)*AO210),"-"))),"-")</f>
        <v>-</v>
      </c>
      <c r="AS210" s="274">
        <f t="shared" si="185"/>
        <v>0</v>
      </c>
      <c r="AT210" s="274">
        <f t="shared" si="186"/>
        <v>0</v>
      </c>
      <c r="AU210" s="274">
        <f t="shared" si="187"/>
        <v>0</v>
      </c>
      <c r="AV210" s="190">
        <f>IF($B210&lt;$F$22,SUM($T$100:$T210),"")</f>
        <v>0</v>
      </c>
      <c r="AW210" s="190" t="str">
        <f t="shared" si="188"/>
        <v>-</v>
      </c>
      <c r="AX210" s="190" t="str">
        <f t="shared" si="158"/>
        <v/>
      </c>
      <c r="AY210"/>
      <c r="AZ210" s="190" t="str">
        <f ca="1">IF(ISNUMBER(OFFSET(AV210,-$F$21,0)),SUM(OFFSET($T$100,$F$21,0):$T210),"")</f>
        <v/>
      </c>
      <c r="BA210" s="190" t="str">
        <f t="shared" ca="1" si="189"/>
        <v/>
      </c>
      <c r="BB210" s="190" t="str">
        <f t="shared" ca="1" si="164"/>
        <v/>
      </c>
      <c r="BC210" s="190"/>
      <c r="BD210" s="190" t="str">
        <f ca="1">IFERROR(IF(AND($B210&gt;=($F$16-$F$15),$B210&lt;$F$22+($F$16-$F$15)),SUM(OFFSET($T$100,($F$16-$F$15),0):$T210),""),"")</f>
        <v/>
      </c>
      <c r="BE210" s="190" t="str">
        <f t="shared" ca="1" si="159"/>
        <v/>
      </c>
      <c r="BF210" s="190" t="str">
        <f t="shared" ca="1" si="160"/>
        <v/>
      </c>
      <c r="BG210"/>
      <c r="BH210" s="190" t="str">
        <f ca="1">IF(ISNUMBER(OFFSET(BD210,-$F$21,0)),SUM(OFFSET($T$100,($F$16-$F$15+$F$21),0):$T210),"")</f>
        <v/>
      </c>
      <c r="BI210" s="190" t="str">
        <f t="shared" ca="1" si="190"/>
        <v/>
      </c>
      <c r="BJ210" s="190" t="str">
        <f t="shared" ca="1" si="161"/>
        <v/>
      </c>
      <c r="BK210" s="190"/>
      <c r="BL210" s="190" t="str">
        <f ca="1">IFERROR(IF(AND($B210&gt;=($F$17-$F$15),$B210&lt;$F$22+($F$17-$F$15)),SUM(OFFSET($T$100,($F$17-$F$15),0):$T210),""),"")</f>
        <v/>
      </c>
      <c r="BM210" s="190" t="str">
        <f t="shared" ca="1" si="191"/>
        <v/>
      </c>
      <c r="BN210" s="190" t="str">
        <f t="shared" ca="1" si="162"/>
        <v/>
      </c>
      <c r="BO210"/>
      <c r="BP210" s="190" t="str">
        <f ca="1">IF(ISNUMBER(OFFSET(BL210,-$F$21,0)),SUM(OFFSET($T$100,($F$17-$F$15+$F$21),0):$T210),"")</f>
        <v/>
      </c>
      <c r="BQ210" s="190" t="str">
        <f t="shared" ca="1" si="192"/>
        <v/>
      </c>
      <c r="BR210" s="190" t="str">
        <f t="shared" ca="1" si="163"/>
        <v/>
      </c>
      <c r="BS210" s="190"/>
      <c r="BT210"/>
      <c r="BU210"/>
      <c r="BV210"/>
      <c r="BY210" s="99"/>
      <c r="BZ210" s="99"/>
      <c r="CA210" s="280" t="str">
        <f t="shared" si="193"/>
        <v/>
      </c>
      <c r="CB210" s="71" t="str">
        <f t="shared" si="194"/>
        <v>-</v>
      </c>
      <c r="CC210" s="33"/>
      <c r="CD210" s="261" t="str">
        <f t="shared" si="195"/>
        <v/>
      </c>
      <c r="CE210" s="280" t="str">
        <f t="shared" si="196"/>
        <v>-</v>
      </c>
      <c r="CF210" s="71" t="str">
        <f t="shared" ca="1" si="197"/>
        <v>-</v>
      </c>
      <c r="CG210" s="33" t="str">
        <f t="shared" si="198"/>
        <v>110-111</v>
      </c>
      <c r="CH210" s="261" t="str">
        <f t="shared" ca="1" si="199"/>
        <v/>
      </c>
      <c r="CP210" s="99"/>
      <c r="CQ210" s="99"/>
    </row>
    <row r="211" spans="2:95" ht="13.5" customHeight="1" x14ac:dyDescent="0.2">
      <c r="B211" s="262">
        <v>111</v>
      </c>
      <c r="C211" s="237" t="str">
        <f t="shared" si="165"/>
        <v/>
      </c>
      <c r="D211" s="237" t="str">
        <f t="shared" si="200"/>
        <v>-</v>
      </c>
      <c r="E211" s="263" t="str">
        <f t="shared" si="146"/>
        <v/>
      </c>
      <c r="F211" s="264" t="str">
        <f t="shared" si="147"/>
        <v/>
      </c>
      <c r="G211" s="264" t="str">
        <f t="shared" si="148"/>
        <v/>
      </c>
      <c r="H211" s="240" t="str">
        <f t="shared" si="166"/>
        <v/>
      </c>
      <c r="I211" s="265" t="str">
        <f t="shared" si="167"/>
        <v/>
      </c>
      <c r="J211" s="265" t="str">
        <f t="shared" si="168"/>
        <v/>
      </c>
      <c r="K211" s="240" t="str">
        <f t="shared" si="169"/>
        <v/>
      </c>
      <c r="L211" s="265" t="str">
        <f t="shared" si="170"/>
        <v/>
      </c>
      <c r="M211" s="265" t="str">
        <f t="shared" si="171"/>
        <v/>
      </c>
      <c r="N211" s="240" t="str">
        <f t="shared" si="172"/>
        <v>-</v>
      </c>
      <c r="O211" s="265" t="str">
        <f t="shared" si="173"/>
        <v>-</v>
      </c>
      <c r="P211" s="265" t="str">
        <f t="shared" si="174"/>
        <v>-</v>
      </c>
      <c r="Q211" s="266" t="str">
        <f t="shared" si="175"/>
        <v>-</v>
      </c>
      <c r="R211" s="267" t="str">
        <f t="shared" si="176"/>
        <v>-</v>
      </c>
      <c r="S211" s="268" t="str">
        <f t="shared" si="177"/>
        <v>-</v>
      </c>
      <c r="T211" s="269" t="str">
        <f t="shared" si="178"/>
        <v/>
      </c>
      <c r="U211" s="221">
        <f t="shared" si="179"/>
        <v>111</v>
      </c>
      <c r="V211" s="220" t="str">
        <f t="shared" si="122"/>
        <v>-</v>
      </c>
      <c r="W211" s="221" t="str">
        <f t="shared" si="149"/>
        <v>-</v>
      </c>
      <c r="X211" s="221" t="str">
        <f t="shared" si="180"/>
        <v>-</v>
      </c>
      <c r="Y211" s="221" t="str">
        <f t="shared" si="181"/>
        <v>-</v>
      </c>
      <c r="Z211" s="270">
        <f t="shared" si="150"/>
        <v>0.1</v>
      </c>
      <c r="AA211" s="271" t="str">
        <f>IFERROR(IF(V210=1,AA$100*EXP(-(LN(2)/$D$65+0.04)*X210)*EXP(-(LN(2)/$D$65+0.1)*Y210),IF(V210=2,AA$100*EXP(-(LN(2)/$D$65+0.04)*(VLOOKUP(($F$16-$F$15)-1,U$99:Y210,4,FALSE)))*EXP(-(LN(2)/$D$65+0.1)*(VLOOKUP(($F$16-$F$15)-1,U$99:Y210,5,FALSE)))*EXP(-(LN(2)/$D$65+0.04)*X210)*EXP(-(LN(2)/$D$65+0.1)*Y210),IF(V210=3,AA$100*EXP(-(LN(2)/$D$65+0.04)*(VLOOKUP(($F$16-$F$15)-1,U$99:Y210,4,FALSE)))*EXP(-(LN(2)/$D$65+0.1)*(VLOOKUP(($F$16-$F$15)-1,U$99:Y210,5,FALSE)))*EXP(-(LN(2)/$D$65+0.04)*(VLOOKUP(($F$16-$F$15)*2-1,U$99:Y210,4,FALSE)))*EXP(-(LN(2)/$D$65+0.1)*(VLOOKUP(($F$16-$F$15)*2-1,U$99:Y210,5,FALSE)))*EXP(-(LN(2)/$D$65+0.04)*X210)*EXP(-(LN(2)/$D$65+0.1)*Y210),"-"))),"-")</f>
        <v>-</v>
      </c>
      <c r="AB211" s="271" t="str">
        <f>IFERROR(IF(V211=1,AB$100*EXP(-(LN(2)/$D$65+0.04)*X211)*EXP(-(LN(2)/$D$65+0.1)*Y211),IF(V211=2,AB$100*EXP(-(LN(2)/$D$65+0.04)*(VLOOKUP(($F$16-$F$15)-1,U$100:Y211,4,FALSE)))*EXP(-(LN(2)/$D$65+0.1)*(VLOOKUP(($F$16-$F$15)-1,U$100:Y211,5,FALSE)))*EXP(-(LN(2)/$D$65+0.04)*X211)*EXP(-(LN(2)/$D$65+0.1)*Y211),IF(V211=3,AB$100*EXP(-(LN(2)/$D$65+0.04)*(VLOOKUP(($F$16-$F$15)-1,U$100:Y211,4,FALSE)))*EXP(-(LN(2)/$D$65+0.1)*(VLOOKUP(($F$16-$F$15)-1,U$100:Y211,5,FALSE)))*EXP(-(LN(2)/$D$65+0.04)*(VLOOKUP(($F$16-$F$15)*2-1,U$100:Y211,4,FALSE)))*EXP(-(LN(2)/$D$65+0.1)*(VLOOKUP(($F$16-$F$15)*2-1,U$100:Y211,5,FALSE)))*EXP(-(LN(2)/$D$65+0.04)*X211)*EXP(-(LN(2)/$D$65+0.1)*Y211),"-"))),"-")</f>
        <v>-</v>
      </c>
      <c r="AC211" s="224">
        <f t="shared" si="151"/>
        <v>111</v>
      </c>
      <c r="AD211" s="223" t="str">
        <f t="shared" si="125"/>
        <v>-</v>
      </c>
      <c r="AE211" s="224" t="str">
        <f t="shared" si="152"/>
        <v>-</v>
      </c>
      <c r="AF211" s="224" t="str">
        <f t="shared" si="182"/>
        <v>-</v>
      </c>
      <c r="AG211" s="224" t="str">
        <f t="shared" si="183"/>
        <v>-</v>
      </c>
      <c r="AH211" s="272">
        <f t="shared" si="153"/>
        <v>0.1</v>
      </c>
      <c r="AI211" s="271" t="str">
        <f>IFERROR(IF(AD210=1,AI$100*EXP(-(LN(2)/$D$65+0.04)*AF210)*EXP(-(LN(2)/$D$65+0.1)*AG210),IF(AD210=2,AI$100*EXP(-(LN(2)/$D$65+0.04)*(VLOOKUP(($F$16-$F$15)-1,AC$99:AG210,4,FALSE)))*EXP(-(LN(2)/$D$65+0.1)*(VLOOKUP(($F$16-$F$15)-1,AC$99:AG210,5,FALSE)))*EXP(-(LN(2)/$D$65+0.04)*AF210)*EXP(-(LN(2)/$D$65+0.1)*AG210),IF(AD210=3,AI$100*EXP(-(LN(2)/$D$65+0.04)*(VLOOKUP(($F$16-$F$15)-1,AC$99:AG210,4,FALSE)))*EXP(-(LN(2)/$D$65+0.1)*(VLOOKUP(($F$16-$F$15)-1,AC$99:AG210,5,FALSE)))*EXP(-(LN(2)/$D$65+0.04)*(VLOOKUP(($F$16-$F$15)*2-1,AC$99:AG210,4,FALSE)))*EXP(-(LN(2)/$D$65+0.1)*(VLOOKUP(($F$16-$F$15)*2-1,AC$99:AG210,5,FALSE)))*EXP(-(LN(2)/$D$65+0.04)*AF210)*EXP(-(LN(2)/$D$65+0.1)*AG210),"-"))),"-")</f>
        <v>-</v>
      </c>
      <c r="AJ211" s="271" t="str">
        <f>IFERROR(IF(AD211=1,AJ$100*EXP(-(LN(2)/$D$65+0.04)*AF211)*EXP(-(LN(2)/$D$65+0.1)*AG211),IF(AD211=2,AJ$100*EXP(-(LN(2)/$D$65+0.04)*(VLOOKUP(($F$16-$F$15)-1,AC$100:AG211,4,FALSE)))*EXP(-(LN(2)/$D$65+0.1)*(VLOOKUP(($F$16-$F$15)-1,AC$100:AG211,5,FALSE)))*EXP(-(LN(2)/$D$65+0.04)*AF211)*EXP(-(LN(2)/$D$65+0.1)*AG211),IF(AD211=3,AJ$100*EXP(-(LN(2)/$D$65+0.04)*(VLOOKUP(($F$16-$F$15)-1,AC$100:AG211,4,FALSE)))*EXP(-(LN(2)/$D$65+0.1)*(VLOOKUP(($F$16-$F$15)-1,AC$100:AG211,5,FALSE)))*EXP(-(LN(2)/$D$65+0.04)*(VLOOKUP(($F$16-$F$15)*2-1,AC$100:AG211,4,FALSE)))*EXP(-(LN(2)/$D$65+0.1)*(VLOOKUP(($F$16-$F$15)*2-1,AC$100:AG211,5,FALSE)))*EXP(-(LN(2)/$D$65+0.04)*AF211)*EXP(-(LN(2)/$D$65+0.1)*AG211),"-"))),"-")</f>
        <v>-</v>
      </c>
      <c r="AK211" s="227">
        <f t="shared" si="154"/>
        <v>111</v>
      </c>
      <c r="AL211" s="226" t="str">
        <f t="shared" si="128"/>
        <v>-</v>
      </c>
      <c r="AM211" s="227" t="str">
        <f t="shared" si="155"/>
        <v>-</v>
      </c>
      <c r="AN211" s="227" t="str">
        <f t="shared" si="156"/>
        <v>-</v>
      </c>
      <c r="AO211" s="227" t="str">
        <f t="shared" si="184"/>
        <v>-</v>
      </c>
      <c r="AP211" s="273">
        <f t="shared" si="157"/>
        <v>0.1</v>
      </c>
      <c r="AQ211" s="271" t="str">
        <f>IFERROR(IF(AL210=1,AQ$100*EXP(-(LN(2)/$D$65+0.04)*AN210)*EXP(-(LN(2)/$D$65+0.1)*AO210),IF(AL210=2,AQ$100*EXP(-(LN(2)/$D$65+0.04)*(VLOOKUP(($F$16-$F$15)-1,AK$99:AO210,4,FALSE)))*EXP(-(LN(2)/$D$65+0.1)*(VLOOKUP(($F$16-$F$15)-1,AK$99:AO210,5,FALSE)))*EXP(-(LN(2)/$D$65+0.04)*AN210)*EXP(-(LN(2)/$D$65+0.1)*AO210),IF(AL210=3,AQ$100*EXP(-(LN(2)/$D$65+0.04)*(VLOOKUP(($F$16-$F$15)-1,AK$99:AO210,4,FALSE)))*EXP(-(LN(2)/$D$65+0.1)*(VLOOKUP(($F$16-$F$15)-1,AK$99:AO210,5,FALSE)))*EXP(-(LN(2)/$D$65+0.04)*(VLOOKUP(($F$16-$F$15)*2-1,AK$99:AO210,4,FALSE)))*EXP(-(LN(2)/$D$65+0.1)*(VLOOKUP(($F$16-$F$15)*2-1,AK$99:AO210,5,FALSE)))*EXP(-(LN(2)/$D$65+0.04)*AN210)*EXP(-(LN(2)/$D$65+0.1)*AO210),"-"))),"-")</f>
        <v>-</v>
      </c>
      <c r="AR211" s="271" t="str">
        <f>IFERROR(IF(AL211=1,AR$100*EXP(-(LN(2)/$D$65+0.04)*AN211)*EXP(-(LN(2)/$D$65+0.1)*AO211),IF(AL211=2,AR$100*EXP(-(LN(2)/$D$65+0.04)*(VLOOKUP(($F$16-$F$15)-1,AK$100:AO211,4,FALSE)))*EXP(-(LN(2)/$D$65+0.1)*(VLOOKUP(($F$16-$F$15)-1,AK$100:AO211,5,FALSE)))*EXP(-(LN(2)/$D$65+0.04)*AN211)*EXP(-(LN(2)/$D$65+0.1)*AO211),IF(AL211=3,AR$100*EXP(-(LN(2)/$D$65+0.04)*(VLOOKUP(($F$16-$F$15)-1,AK$100:AO211,4,FALSE)))*EXP(-(LN(2)/$D$65+0.1)*(VLOOKUP(($F$16-$F$15)-1,AK$100:AO211,5,FALSE)))*EXP(-(LN(2)/$D$65+0.04)*(VLOOKUP(($F$16-$F$15)*2-1,AK$100:AO211,4,FALSE)))*EXP(-(LN(2)/$D$65+0.1)*(VLOOKUP(($F$16-$F$15)*2-1,AK$100:AO211,5,FALSE)))*EXP(-(LN(2)/$D$65+0.04)*AN211)*EXP(-(LN(2)/$D$65+0.1)*AO211),"-"))),"-")</f>
        <v>-</v>
      </c>
      <c r="AS211" s="274">
        <f t="shared" si="185"/>
        <v>0</v>
      </c>
      <c r="AT211" s="274">
        <f t="shared" si="186"/>
        <v>0</v>
      </c>
      <c r="AU211" s="274">
        <f t="shared" si="187"/>
        <v>0</v>
      </c>
      <c r="AV211" s="190">
        <f>IF($B211&lt;$F$22,SUM($T$100:$T211),"")</f>
        <v>0</v>
      </c>
      <c r="AW211" s="190" t="str">
        <f t="shared" si="188"/>
        <v>-</v>
      </c>
      <c r="AX211" s="190" t="str">
        <f t="shared" si="158"/>
        <v/>
      </c>
      <c r="AY211"/>
      <c r="AZ211" s="190" t="str">
        <f ca="1">IF(ISNUMBER(OFFSET(AV211,-$F$21,0)),SUM(OFFSET($T$100,$F$21,0):$T211),"")</f>
        <v/>
      </c>
      <c r="BA211" s="190" t="str">
        <f t="shared" ca="1" si="189"/>
        <v/>
      </c>
      <c r="BB211" s="190" t="str">
        <f t="shared" ca="1" si="164"/>
        <v/>
      </c>
      <c r="BC211" s="190"/>
      <c r="BD211" s="190" t="str">
        <f ca="1">IFERROR(IF(AND($B211&gt;=($F$16-$F$15),$B211&lt;$F$22+($F$16-$F$15)),SUM(OFFSET($T$100,($F$16-$F$15),0):$T211),""),"")</f>
        <v/>
      </c>
      <c r="BE211" s="190" t="str">
        <f t="shared" ca="1" si="159"/>
        <v/>
      </c>
      <c r="BF211" s="190" t="str">
        <f t="shared" ca="1" si="160"/>
        <v/>
      </c>
      <c r="BG211"/>
      <c r="BH211" s="190" t="str">
        <f ca="1">IF(ISNUMBER(OFFSET(BD211,-$F$21,0)),SUM(OFFSET($T$100,($F$16-$F$15+$F$21),0):$T211),"")</f>
        <v/>
      </c>
      <c r="BI211" s="190" t="str">
        <f t="shared" ca="1" si="190"/>
        <v/>
      </c>
      <c r="BJ211" s="190" t="str">
        <f t="shared" ca="1" si="161"/>
        <v/>
      </c>
      <c r="BK211" s="190"/>
      <c r="BL211" s="190" t="str">
        <f ca="1">IFERROR(IF(AND($B211&gt;=($F$17-$F$15),$B211&lt;$F$22+($F$17-$F$15)),SUM(OFFSET($T$100,($F$17-$F$15),0):$T211),""),"")</f>
        <v/>
      </c>
      <c r="BM211" s="190" t="str">
        <f t="shared" ca="1" si="191"/>
        <v/>
      </c>
      <c r="BN211" s="190" t="str">
        <f t="shared" ca="1" si="162"/>
        <v/>
      </c>
      <c r="BO211"/>
      <c r="BP211" s="190" t="str">
        <f ca="1">IF(ISNUMBER(OFFSET(BL211,-$F$21,0)),SUM(OFFSET($T$100,($F$17-$F$15+$F$21),0):$T211),"")</f>
        <v/>
      </c>
      <c r="BQ211" s="190" t="str">
        <f t="shared" ca="1" si="192"/>
        <v/>
      </c>
      <c r="BR211" s="190" t="str">
        <f t="shared" ca="1" si="163"/>
        <v/>
      </c>
      <c r="BS211" s="190"/>
      <c r="BT211"/>
      <c r="BU211"/>
      <c r="BV211"/>
      <c r="BY211" s="99"/>
      <c r="BZ211" s="99"/>
      <c r="CA211" s="280" t="str">
        <f t="shared" si="193"/>
        <v/>
      </c>
      <c r="CB211" s="71" t="str">
        <f t="shared" si="194"/>
        <v>-</v>
      </c>
      <c r="CC211" s="33"/>
      <c r="CD211" s="261" t="str">
        <f t="shared" si="195"/>
        <v/>
      </c>
      <c r="CE211" s="280" t="str">
        <f t="shared" si="196"/>
        <v>-</v>
      </c>
      <c r="CF211" s="71" t="str">
        <f t="shared" ca="1" si="197"/>
        <v>-</v>
      </c>
      <c r="CG211" s="33" t="str">
        <f t="shared" si="198"/>
        <v>111-112</v>
      </c>
      <c r="CH211" s="261" t="str">
        <f t="shared" ca="1" si="199"/>
        <v/>
      </c>
      <c r="CP211" s="99"/>
      <c r="CQ211" s="99"/>
    </row>
    <row r="212" spans="2:95" ht="13.5" customHeight="1" x14ac:dyDescent="0.2">
      <c r="B212" s="262">
        <v>112</v>
      </c>
      <c r="C212" s="237" t="str">
        <f t="shared" si="165"/>
        <v/>
      </c>
      <c r="D212" s="237" t="str">
        <f t="shared" si="200"/>
        <v>-</v>
      </c>
      <c r="E212" s="263" t="str">
        <f t="shared" si="146"/>
        <v/>
      </c>
      <c r="F212" s="264" t="str">
        <f t="shared" si="147"/>
        <v/>
      </c>
      <c r="G212" s="264" t="str">
        <f t="shared" si="148"/>
        <v/>
      </c>
      <c r="H212" s="240" t="str">
        <f t="shared" si="166"/>
        <v/>
      </c>
      <c r="I212" s="265" t="str">
        <f t="shared" si="167"/>
        <v/>
      </c>
      <c r="J212" s="265" t="str">
        <f t="shared" si="168"/>
        <v/>
      </c>
      <c r="K212" s="240" t="str">
        <f t="shared" si="169"/>
        <v/>
      </c>
      <c r="L212" s="265" t="str">
        <f t="shared" si="170"/>
        <v/>
      </c>
      <c r="M212" s="265" t="str">
        <f t="shared" si="171"/>
        <v/>
      </c>
      <c r="N212" s="240" t="str">
        <f t="shared" si="172"/>
        <v>-</v>
      </c>
      <c r="O212" s="265" t="str">
        <f t="shared" si="173"/>
        <v>-</v>
      </c>
      <c r="P212" s="265" t="str">
        <f t="shared" si="174"/>
        <v>-</v>
      </c>
      <c r="Q212" s="266" t="str">
        <f t="shared" si="175"/>
        <v>-</v>
      </c>
      <c r="R212" s="267" t="str">
        <f t="shared" si="176"/>
        <v>-</v>
      </c>
      <c r="S212" s="268" t="str">
        <f t="shared" si="177"/>
        <v>-</v>
      </c>
      <c r="T212" s="269" t="str">
        <f t="shared" si="178"/>
        <v/>
      </c>
      <c r="U212" s="221">
        <f t="shared" si="179"/>
        <v>112</v>
      </c>
      <c r="V212" s="220" t="str">
        <f t="shared" si="122"/>
        <v>-</v>
      </c>
      <c r="W212" s="221" t="str">
        <f t="shared" si="149"/>
        <v>-</v>
      </c>
      <c r="X212" s="221" t="str">
        <f t="shared" si="180"/>
        <v>-</v>
      </c>
      <c r="Y212" s="221" t="str">
        <f t="shared" si="181"/>
        <v>-</v>
      </c>
      <c r="Z212" s="270">
        <f t="shared" si="150"/>
        <v>0.1</v>
      </c>
      <c r="AA212" s="271" t="str">
        <f>IFERROR(IF(V211=1,AA$100*EXP(-(LN(2)/$D$65+0.04)*X211)*EXP(-(LN(2)/$D$65+0.1)*Y211),IF(V211=2,AA$100*EXP(-(LN(2)/$D$65+0.04)*(VLOOKUP(($F$16-$F$15)-1,U$99:Y211,4,FALSE)))*EXP(-(LN(2)/$D$65+0.1)*(VLOOKUP(($F$16-$F$15)-1,U$99:Y211,5,FALSE)))*EXP(-(LN(2)/$D$65+0.04)*X211)*EXP(-(LN(2)/$D$65+0.1)*Y211),IF(V211=3,AA$100*EXP(-(LN(2)/$D$65+0.04)*(VLOOKUP(($F$16-$F$15)-1,U$99:Y211,4,FALSE)))*EXP(-(LN(2)/$D$65+0.1)*(VLOOKUP(($F$16-$F$15)-1,U$99:Y211,5,FALSE)))*EXP(-(LN(2)/$D$65+0.04)*(VLOOKUP(($F$16-$F$15)*2-1,U$99:Y211,4,FALSE)))*EXP(-(LN(2)/$D$65+0.1)*(VLOOKUP(($F$16-$F$15)*2-1,U$99:Y211,5,FALSE)))*EXP(-(LN(2)/$D$65+0.04)*X211)*EXP(-(LN(2)/$D$65+0.1)*Y211),"-"))),"-")</f>
        <v>-</v>
      </c>
      <c r="AB212" s="271" t="str">
        <f>IFERROR(IF(V212=1,AB$100*EXP(-(LN(2)/$D$65+0.04)*X212)*EXP(-(LN(2)/$D$65+0.1)*Y212),IF(V212=2,AB$100*EXP(-(LN(2)/$D$65+0.04)*(VLOOKUP(($F$16-$F$15)-1,U$100:Y212,4,FALSE)))*EXP(-(LN(2)/$D$65+0.1)*(VLOOKUP(($F$16-$F$15)-1,U$100:Y212,5,FALSE)))*EXP(-(LN(2)/$D$65+0.04)*X212)*EXP(-(LN(2)/$D$65+0.1)*Y212),IF(V212=3,AB$100*EXP(-(LN(2)/$D$65+0.04)*(VLOOKUP(($F$16-$F$15)-1,U$100:Y212,4,FALSE)))*EXP(-(LN(2)/$D$65+0.1)*(VLOOKUP(($F$16-$F$15)-1,U$100:Y212,5,FALSE)))*EXP(-(LN(2)/$D$65+0.04)*(VLOOKUP(($F$16-$F$15)*2-1,U$100:Y212,4,FALSE)))*EXP(-(LN(2)/$D$65+0.1)*(VLOOKUP(($F$16-$F$15)*2-1,U$100:Y212,5,FALSE)))*EXP(-(LN(2)/$D$65+0.04)*X212)*EXP(-(LN(2)/$D$65+0.1)*Y212),"-"))),"-")</f>
        <v>-</v>
      </c>
      <c r="AC212" s="224">
        <f t="shared" si="151"/>
        <v>112</v>
      </c>
      <c r="AD212" s="223" t="str">
        <f t="shared" si="125"/>
        <v>-</v>
      </c>
      <c r="AE212" s="224" t="str">
        <f t="shared" si="152"/>
        <v>-</v>
      </c>
      <c r="AF212" s="224" t="str">
        <f t="shared" si="182"/>
        <v>-</v>
      </c>
      <c r="AG212" s="224" t="str">
        <f t="shared" si="183"/>
        <v>-</v>
      </c>
      <c r="AH212" s="272">
        <f t="shared" si="153"/>
        <v>0.1</v>
      </c>
      <c r="AI212" s="271" t="str">
        <f>IFERROR(IF(AD211=1,AI$100*EXP(-(LN(2)/$D$65+0.04)*AF211)*EXP(-(LN(2)/$D$65+0.1)*AG211),IF(AD211=2,AI$100*EXP(-(LN(2)/$D$65+0.04)*(VLOOKUP(($F$16-$F$15)-1,AC$99:AG211,4,FALSE)))*EXP(-(LN(2)/$D$65+0.1)*(VLOOKUP(($F$16-$F$15)-1,AC$99:AG211,5,FALSE)))*EXP(-(LN(2)/$D$65+0.04)*AF211)*EXP(-(LN(2)/$D$65+0.1)*AG211),IF(AD211=3,AI$100*EXP(-(LN(2)/$D$65+0.04)*(VLOOKUP(($F$16-$F$15)-1,AC$99:AG211,4,FALSE)))*EXP(-(LN(2)/$D$65+0.1)*(VLOOKUP(($F$16-$F$15)-1,AC$99:AG211,5,FALSE)))*EXP(-(LN(2)/$D$65+0.04)*(VLOOKUP(($F$16-$F$15)*2-1,AC$99:AG211,4,FALSE)))*EXP(-(LN(2)/$D$65+0.1)*(VLOOKUP(($F$16-$F$15)*2-1,AC$99:AG211,5,FALSE)))*EXP(-(LN(2)/$D$65+0.04)*AF211)*EXP(-(LN(2)/$D$65+0.1)*AG211),"-"))),"-")</f>
        <v>-</v>
      </c>
      <c r="AJ212" s="271" t="str">
        <f>IFERROR(IF(AD212=1,AJ$100*EXP(-(LN(2)/$D$65+0.04)*AF212)*EXP(-(LN(2)/$D$65+0.1)*AG212),IF(AD212=2,AJ$100*EXP(-(LN(2)/$D$65+0.04)*(VLOOKUP(($F$16-$F$15)-1,AC$100:AG212,4,FALSE)))*EXP(-(LN(2)/$D$65+0.1)*(VLOOKUP(($F$16-$F$15)-1,AC$100:AG212,5,FALSE)))*EXP(-(LN(2)/$D$65+0.04)*AF212)*EXP(-(LN(2)/$D$65+0.1)*AG212),IF(AD212=3,AJ$100*EXP(-(LN(2)/$D$65+0.04)*(VLOOKUP(($F$16-$F$15)-1,AC$100:AG212,4,FALSE)))*EXP(-(LN(2)/$D$65+0.1)*(VLOOKUP(($F$16-$F$15)-1,AC$100:AG212,5,FALSE)))*EXP(-(LN(2)/$D$65+0.04)*(VLOOKUP(($F$16-$F$15)*2-1,AC$100:AG212,4,FALSE)))*EXP(-(LN(2)/$D$65+0.1)*(VLOOKUP(($F$16-$F$15)*2-1,AC$100:AG212,5,FALSE)))*EXP(-(LN(2)/$D$65+0.04)*AF212)*EXP(-(LN(2)/$D$65+0.1)*AG212),"-"))),"-")</f>
        <v>-</v>
      </c>
      <c r="AK212" s="227">
        <f t="shared" si="154"/>
        <v>112</v>
      </c>
      <c r="AL212" s="226" t="str">
        <f t="shared" si="128"/>
        <v>-</v>
      </c>
      <c r="AM212" s="227" t="str">
        <f t="shared" si="155"/>
        <v>-</v>
      </c>
      <c r="AN212" s="227" t="str">
        <f t="shared" si="156"/>
        <v>-</v>
      </c>
      <c r="AO212" s="227" t="str">
        <f t="shared" si="184"/>
        <v>-</v>
      </c>
      <c r="AP212" s="273">
        <f t="shared" si="157"/>
        <v>0.1</v>
      </c>
      <c r="AQ212" s="271" t="str">
        <f>IFERROR(IF(AL211=1,AQ$100*EXP(-(LN(2)/$D$65+0.04)*AN211)*EXP(-(LN(2)/$D$65+0.1)*AO211),IF(AL211=2,AQ$100*EXP(-(LN(2)/$D$65+0.04)*(VLOOKUP(($F$16-$F$15)-1,AK$99:AO211,4,FALSE)))*EXP(-(LN(2)/$D$65+0.1)*(VLOOKUP(($F$16-$F$15)-1,AK$99:AO211,5,FALSE)))*EXP(-(LN(2)/$D$65+0.04)*AN211)*EXP(-(LN(2)/$D$65+0.1)*AO211),IF(AL211=3,AQ$100*EXP(-(LN(2)/$D$65+0.04)*(VLOOKUP(($F$16-$F$15)-1,AK$99:AO211,4,FALSE)))*EXP(-(LN(2)/$D$65+0.1)*(VLOOKUP(($F$16-$F$15)-1,AK$99:AO211,5,FALSE)))*EXP(-(LN(2)/$D$65+0.04)*(VLOOKUP(($F$16-$F$15)*2-1,AK$99:AO211,4,FALSE)))*EXP(-(LN(2)/$D$65+0.1)*(VLOOKUP(($F$16-$F$15)*2-1,AK$99:AO211,5,FALSE)))*EXP(-(LN(2)/$D$65+0.04)*AN211)*EXP(-(LN(2)/$D$65+0.1)*AO211),"-"))),"-")</f>
        <v>-</v>
      </c>
      <c r="AR212" s="271" t="str">
        <f>IFERROR(IF(AL212=1,AR$100*EXP(-(LN(2)/$D$65+0.04)*AN212)*EXP(-(LN(2)/$D$65+0.1)*AO212),IF(AL212=2,AR$100*EXP(-(LN(2)/$D$65+0.04)*(VLOOKUP(($F$16-$F$15)-1,AK$100:AO212,4,FALSE)))*EXP(-(LN(2)/$D$65+0.1)*(VLOOKUP(($F$16-$F$15)-1,AK$100:AO212,5,FALSE)))*EXP(-(LN(2)/$D$65+0.04)*AN212)*EXP(-(LN(2)/$D$65+0.1)*AO212),IF(AL212=3,AR$100*EXP(-(LN(2)/$D$65+0.04)*(VLOOKUP(($F$16-$F$15)-1,AK$100:AO212,4,FALSE)))*EXP(-(LN(2)/$D$65+0.1)*(VLOOKUP(($F$16-$F$15)-1,AK$100:AO212,5,FALSE)))*EXP(-(LN(2)/$D$65+0.04)*(VLOOKUP(($F$16-$F$15)*2-1,AK$100:AO212,4,FALSE)))*EXP(-(LN(2)/$D$65+0.1)*(VLOOKUP(($F$16-$F$15)*2-1,AK$100:AO212,5,FALSE)))*EXP(-(LN(2)/$D$65+0.04)*AN212)*EXP(-(LN(2)/$D$65+0.1)*AO212),"-"))),"-")</f>
        <v>-</v>
      </c>
      <c r="AS212" s="274">
        <f t="shared" si="185"/>
        <v>0</v>
      </c>
      <c r="AT212" s="274">
        <f t="shared" si="186"/>
        <v>0</v>
      </c>
      <c r="AU212" s="274">
        <f t="shared" si="187"/>
        <v>0</v>
      </c>
      <c r="AV212" s="190">
        <f>IF($B212&lt;$F$22,SUM($T$100:$T212),"")</f>
        <v>0</v>
      </c>
      <c r="AW212" s="190" t="str">
        <f t="shared" si="188"/>
        <v>-</v>
      </c>
      <c r="AX212" s="190" t="str">
        <f t="shared" si="158"/>
        <v/>
      </c>
      <c r="AY212"/>
      <c r="AZ212" s="190" t="str">
        <f ca="1">IF(ISNUMBER(OFFSET(AV212,-$F$21,0)),SUM(OFFSET($T$100,$F$21,0):$T212),"")</f>
        <v/>
      </c>
      <c r="BA212" s="190" t="str">
        <f t="shared" ca="1" si="189"/>
        <v/>
      </c>
      <c r="BB212" s="190" t="str">
        <f t="shared" ca="1" si="164"/>
        <v/>
      </c>
      <c r="BC212" s="190"/>
      <c r="BD212" s="190" t="str">
        <f ca="1">IFERROR(IF(AND($B212&gt;=($F$16-$F$15),$B212&lt;$F$22+($F$16-$F$15)),SUM(OFFSET($T$100,($F$16-$F$15),0):$T212),""),"")</f>
        <v/>
      </c>
      <c r="BE212" s="190" t="str">
        <f t="shared" ca="1" si="159"/>
        <v/>
      </c>
      <c r="BF212" s="190" t="str">
        <f t="shared" ca="1" si="160"/>
        <v/>
      </c>
      <c r="BG212"/>
      <c r="BH212" s="190" t="str">
        <f ca="1">IF(ISNUMBER(OFFSET(BD212,-$F$21,0)),SUM(OFFSET($T$100,($F$16-$F$15+$F$21),0):$T212),"")</f>
        <v/>
      </c>
      <c r="BI212" s="190" t="str">
        <f t="shared" ca="1" si="190"/>
        <v/>
      </c>
      <c r="BJ212" s="190" t="str">
        <f t="shared" ca="1" si="161"/>
        <v/>
      </c>
      <c r="BK212" s="190"/>
      <c r="BL212" s="190" t="str">
        <f ca="1">IFERROR(IF(AND($B212&gt;=($F$17-$F$15),$B212&lt;$F$22+($F$17-$F$15)),SUM(OFFSET($T$100,($F$17-$F$15),0):$T212),""),"")</f>
        <v/>
      </c>
      <c r="BM212" s="190" t="str">
        <f t="shared" ca="1" si="191"/>
        <v/>
      </c>
      <c r="BN212" s="190" t="str">
        <f t="shared" ca="1" si="162"/>
        <v/>
      </c>
      <c r="BO212"/>
      <c r="BP212" s="190" t="str">
        <f ca="1">IF(ISNUMBER(OFFSET(BL212,-$F$21,0)),SUM(OFFSET($T$100,($F$17-$F$15+$F$21),0):$T212),"")</f>
        <v/>
      </c>
      <c r="BQ212" s="190" t="str">
        <f t="shared" ca="1" si="192"/>
        <v/>
      </c>
      <c r="BR212" s="190" t="str">
        <f t="shared" ca="1" si="163"/>
        <v/>
      </c>
      <c r="BS212" s="190"/>
      <c r="BT212"/>
      <c r="BU212"/>
      <c r="BV212"/>
      <c r="BY212" s="99"/>
      <c r="BZ212" s="99"/>
      <c r="CA212" s="280" t="str">
        <f t="shared" si="193"/>
        <v/>
      </c>
      <c r="CB212" s="71" t="str">
        <f t="shared" si="194"/>
        <v>-</v>
      </c>
      <c r="CC212" s="33"/>
      <c r="CD212" s="261" t="str">
        <f t="shared" si="195"/>
        <v/>
      </c>
      <c r="CE212" s="280" t="str">
        <f t="shared" si="196"/>
        <v>-</v>
      </c>
      <c r="CF212" s="71" t="str">
        <f t="shared" ca="1" si="197"/>
        <v>-</v>
      </c>
      <c r="CG212" s="33" t="str">
        <f t="shared" si="198"/>
        <v>112-113</v>
      </c>
      <c r="CH212" s="261" t="str">
        <f t="shared" ca="1" si="199"/>
        <v/>
      </c>
      <c r="CP212" s="99"/>
      <c r="CQ212" s="99"/>
    </row>
    <row r="213" spans="2:95" ht="13.5" customHeight="1" x14ac:dyDescent="0.2">
      <c r="B213" s="262">
        <v>113</v>
      </c>
      <c r="C213" s="237" t="str">
        <f t="shared" si="165"/>
        <v/>
      </c>
      <c r="D213" s="237" t="str">
        <f t="shared" si="200"/>
        <v>-</v>
      </c>
      <c r="E213" s="263" t="str">
        <f t="shared" si="146"/>
        <v/>
      </c>
      <c r="F213" s="264" t="str">
        <f t="shared" si="147"/>
        <v/>
      </c>
      <c r="G213" s="264" t="str">
        <f t="shared" si="148"/>
        <v/>
      </c>
      <c r="H213" s="240" t="str">
        <f t="shared" si="166"/>
        <v/>
      </c>
      <c r="I213" s="265" t="str">
        <f t="shared" si="167"/>
        <v/>
      </c>
      <c r="J213" s="265" t="str">
        <f t="shared" si="168"/>
        <v/>
      </c>
      <c r="K213" s="240" t="str">
        <f t="shared" si="169"/>
        <v/>
      </c>
      <c r="L213" s="265" t="str">
        <f t="shared" si="170"/>
        <v/>
      </c>
      <c r="M213" s="265" t="str">
        <f t="shared" si="171"/>
        <v/>
      </c>
      <c r="N213" s="240" t="str">
        <f t="shared" si="172"/>
        <v>-</v>
      </c>
      <c r="O213" s="265" t="str">
        <f t="shared" si="173"/>
        <v>-</v>
      </c>
      <c r="P213" s="265" t="str">
        <f t="shared" si="174"/>
        <v>-</v>
      </c>
      <c r="Q213" s="266" t="str">
        <f t="shared" si="175"/>
        <v>-</v>
      </c>
      <c r="R213" s="267" t="str">
        <f t="shared" si="176"/>
        <v>-</v>
      </c>
      <c r="S213" s="268" t="str">
        <f t="shared" si="177"/>
        <v>-</v>
      </c>
      <c r="T213" s="269" t="str">
        <f t="shared" si="178"/>
        <v/>
      </c>
      <c r="U213" s="221">
        <f t="shared" si="179"/>
        <v>113</v>
      </c>
      <c r="V213" s="220" t="str">
        <f t="shared" si="122"/>
        <v>-</v>
      </c>
      <c r="W213" s="221" t="str">
        <f t="shared" si="149"/>
        <v>-</v>
      </c>
      <c r="X213" s="221" t="str">
        <f t="shared" si="180"/>
        <v>-</v>
      </c>
      <c r="Y213" s="221" t="str">
        <f t="shared" si="181"/>
        <v>-</v>
      </c>
      <c r="Z213" s="270">
        <f t="shared" si="150"/>
        <v>0.1</v>
      </c>
      <c r="AA213" s="271" t="str">
        <f>IFERROR(IF(V212=1,AA$100*EXP(-(LN(2)/$D$65+0.04)*X212)*EXP(-(LN(2)/$D$65+0.1)*Y212),IF(V212=2,AA$100*EXP(-(LN(2)/$D$65+0.04)*(VLOOKUP(($F$16-$F$15)-1,U$99:Y212,4,FALSE)))*EXP(-(LN(2)/$D$65+0.1)*(VLOOKUP(($F$16-$F$15)-1,U$99:Y212,5,FALSE)))*EXP(-(LN(2)/$D$65+0.04)*X212)*EXP(-(LN(2)/$D$65+0.1)*Y212),IF(V212=3,AA$100*EXP(-(LN(2)/$D$65+0.04)*(VLOOKUP(($F$16-$F$15)-1,U$99:Y212,4,FALSE)))*EXP(-(LN(2)/$D$65+0.1)*(VLOOKUP(($F$16-$F$15)-1,U$99:Y212,5,FALSE)))*EXP(-(LN(2)/$D$65+0.04)*(VLOOKUP(($F$16-$F$15)*2-1,U$99:Y212,4,FALSE)))*EXP(-(LN(2)/$D$65+0.1)*(VLOOKUP(($F$16-$F$15)*2-1,U$99:Y212,5,FALSE)))*EXP(-(LN(2)/$D$65+0.04)*X212)*EXP(-(LN(2)/$D$65+0.1)*Y212),"-"))),"-")</f>
        <v>-</v>
      </c>
      <c r="AB213" s="271" t="str">
        <f>IFERROR(IF(V213=1,AB$100*EXP(-(LN(2)/$D$65+0.04)*X213)*EXP(-(LN(2)/$D$65+0.1)*Y213),IF(V213=2,AB$100*EXP(-(LN(2)/$D$65+0.04)*(VLOOKUP(($F$16-$F$15)-1,U$100:Y213,4,FALSE)))*EXP(-(LN(2)/$D$65+0.1)*(VLOOKUP(($F$16-$F$15)-1,U$100:Y213,5,FALSE)))*EXP(-(LN(2)/$D$65+0.04)*X213)*EXP(-(LN(2)/$D$65+0.1)*Y213),IF(V213=3,AB$100*EXP(-(LN(2)/$D$65+0.04)*(VLOOKUP(($F$16-$F$15)-1,U$100:Y213,4,FALSE)))*EXP(-(LN(2)/$D$65+0.1)*(VLOOKUP(($F$16-$F$15)-1,U$100:Y213,5,FALSE)))*EXP(-(LN(2)/$D$65+0.04)*(VLOOKUP(($F$16-$F$15)*2-1,U$100:Y213,4,FALSE)))*EXP(-(LN(2)/$D$65+0.1)*(VLOOKUP(($F$16-$F$15)*2-1,U$100:Y213,5,FALSE)))*EXP(-(LN(2)/$D$65+0.04)*X213)*EXP(-(LN(2)/$D$65+0.1)*Y213),"-"))),"-")</f>
        <v>-</v>
      </c>
      <c r="AC213" s="224">
        <f t="shared" si="151"/>
        <v>113</v>
      </c>
      <c r="AD213" s="223" t="str">
        <f t="shared" si="125"/>
        <v>-</v>
      </c>
      <c r="AE213" s="224" t="str">
        <f t="shared" si="152"/>
        <v>-</v>
      </c>
      <c r="AF213" s="224" t="str">
        <f t="shared" si="182"/>
        <v>-</v>
      </c>
      <c r="AG213" s="224" t="str">
        <f t="shared" si="183"/>
        <v>-</v>
      </c>
      <c r="AH213" s="272">
        <f t="shared" si="153"/>
        <v>0.1</v>
      </c>
      <c r="AI213" s="271" t="str">
        <f>IFERROR(IF(AD212=1,AI$100*EXP(-(LN(2)/$D$65+0.04)*AF212)*EXP(-(LN(2)/$D$65+0.1)*AG212),IF(AD212=2,AI$100*EXP(-(LN(2)/$D$65+0.04)*(VLOOKUP(($F$16-$F$15)-1,AC$99:AG212,4,FALSE)))*EXP(-(LN(2)/$D$65+0.1)*(VLOOKUP(($F$16-$F$15)-1,AC$99:AG212,5,FALSE)))*EXP(-(LN(2)/$D$65+0.04)*AF212)*EXP(-(LN(2)/$D$65+0.1)*AG212),IF(AD212=3,AI$100*EXP(-(LN(2)/$D$65+0.04)*(VLOOKUP(($F$16-$F$15)-1,AC$99:AG212,4,FALSE)))*EXP(-(LN(2)/$D$65+0.1)*(VLOOKUP(($F$16-$F$15)-1,AC$99:AG212,5,FALSE)))*EXP(-(LN(2)/$D$65+0.04)*(VLOOKUP(($F$16-$F$15)*2-1,AC$99:AG212,4,FALSE)))*EXP(-(LN(2)/$D$65+0.1)*(VLOOKUP(($F$16-$F$15)*2-1,AC$99:AG212,5,FALSE)))*EXP(-(LN(2)/$D$65+0.04)*AF212)*EXP(-(LN(2)/$D$65+0.1)*AG212),"-"))),"-")</f>
        <v>-</v>
      </c>
      <c r="AJ213" s="271" t="str">
        <f>IFERROR(IF(AD213=1,AJ$100*EXP(-(LN(2)/$D$65+0.04)*AF213)*EXP(-(LN(2)/$D$65+0.1)*AG213),IF(AD213=2,AJ$100*EXP(-(LN(2)/$D$65+0.04)*(VLOOKUP(($F$16-$F$15)-1,AC$100:AG213,4,FALSE)))*EXP(-(LN(2)/$D$65+0.1)*(VLOOKUP(($F$16-$F$15)-1,AC$100:AG213,5,FALSE)))*EXP(-(LN(2)/$D$65+0.04)*AF213)*EXP(-(LN(2)/$D$65+0.1)*AG213),IF(AD213=3,AJ$100*EXP(-(LN(2)/$D$65+0.04)*(VLOOKUP(($F$16-$F$15)-1,AC$100:AG213,4,FALSE)))*EXP(-(LN(2)/$D$65+0.1)*(VLOOKUP(($F$16-$F$15)-1,AC$100:AG213,5,FALSE)))*EXP(-(LN(2)/$D$65+0.04)*(VLOOKUP(($F$16-$F$15)*2-1,AC$100:AG213,4,FALSE)))*EXP(-(LN(2)/$D$65+0.1)*(VLOOKUP(($F$16-$F$15)*2-1,AC$100:AG213,5,FALSE)))*EXP(-(LN(2)/$D$65+0.04)*AF213)*EXP(-(LN(2)/$D$65+0.1)*AG213),"-"))),"-")</f>
        <v>-</v>
      </c>
      <c r="AK213" s="227">
        <f t="shared" si="154"/>
        <v>113</v>
      </c>
      <c r="AL213" s="226" t="str">
        <f t="shared" si="128"/>
        <v>-</v>
      </c>
      <c r="AM213" s="227" t="str">
        <f t="shared" si="155"/>
        <v>-</v>
      </c>
      <c r="AN213" s="227" t="str">
        <f t="shared" si="156"/>
        <v>-</v>
      </c>
      <c r="AO213" s="227" t="str">
        <f t="shared" si="184"/>
        <v>-</v>
      </c>
      <c r="AP213" s="273">
        <f t="shared" si="157"/>
        <v>0.1</v>
      </c>
      <c r="AQ213" s="271" t="str">
        <f>IFERROR(IF(AL212=1,AQ$100*EXP(-(LN(2)/$D$65+0.04)*AN212)*EXP(-(LN(2)/$D$65+0.1)*AO212),IF(AL212=2,AQ$100*EXP(-(LN(2)/$D$65+0.04)*(VLOOKUP(($F$16-$F$15)-1,AK$99:AO212,4,FALSE)))*EXP(-(LN(2)/$D$65+0.1)*(VLOOKUP(($F$16-$F$15)-1,AK$99:AO212,5,FALSE)))*EXP(-(LN(2)/$D$65+0.04)*AN212)*EXP(-(LN(2)/$D$65+0.1)*AO212),IF(AL212=3,AQ$100*EXP(-(LN(2)/$D$65+0.04)*(VLOOKUP(($F$16-$F$15)-1,AK$99:AO212,4,FALSE)))*EXP(-(LN(2)/$D$65+0.1)*(VLOOKUP(($F$16-$F$15)-1,AK$99:AO212,5,FALSE)))*EXP(-(LN(2)/$D$65+0.04)*(VLOOKUP(($F$16-$F$15)*2-1,AK$99:AO212,4,FALSE)))*EXP(-(LN(2)/$D$65+0.1)*(VLOOKUP(($F$16-$F$15)*2-1,AK$99:AO212,5,FALSE)))*EXP(-(LN(2)/$D$65+0.04)*AN212)*EXP(-(LN(2)/$D$65+0.1)*AO212),"-"))),"-")</f>
        <v>-</v>
      </c>
      <c r="AR213" s="271" t="str">
        <f>IFERROR(IF(AL213=1,AR$100*EXP(-(LN(2)/$D$65+0.04)*AN213)*EXP(-(LN(2)/$D$65+0.1)*AO213),IF(AL213=2,AR$100*EXP(-(LN(2)/$D$65+0.04)*(VLOOKUP(($F$16-$F$15)-1,AK$100:AO213,4,FALSE)))*EXP(-(LN(2)/$D$65+0.1)*(VLOOKUP(($F$16-$F$15)-1,AK$100:AO213,5,FALSE)))*EXP(-(LN(2)/$D$65+0.04)*AN213)*EXP(-(LN(2)/$D$65+0.1)*AO213),IF(AL213=3,AR$100*EXP(-(LN(2)/$D$65+0.04)*(VLOOKUP(($F$16-$F$15)-1,AK$100:AO213,4,FALSE)))*EXP(-(LN(2)/$D$65+0.1)*(VLOOKUP(($F$16-$F$15)-1,AK$100:AO213,5,FALSE)))*EXP(-(LN(2)/$D$65+0.04)*(VLOOKUP(($F$16-$F$15)*2-1,AK$100:AO213,4,FALSE)))*EXP(-(LN(2)/$D$65+0.1)*(VLOOKUP(($F$16-$F$15)*2-1,AK$100:AO213,5,FALSE)))*EXP(-(LN(2)/$D$65+0.04)*AN213)*EXP(-(LN(2)/$D$65+0.1)*AO213),"-"))),"-")</f>
        <v>-</v>
      </c>
      <c r="AS213" s="274">
        <f t="shared" si="185"/>
        <v>0</v>
      </c>
      <c r="AT213" s="274">
        <f t="shared" si="186"/>
        <v>0</v>
      </c>
      <c r="AU213" s="274">
        <f t="shared" si="187"/>
        <v>0</v>
      </c>
      <c r="AV213" s="190">
        <f>IF($B213&lt;$F$22,SUM($T$100:$T213),"")</f>
        <v>0</v>
      </c>
      <c r="AW213" s="190" t="str">
        <f t="shared" si="188"/>
        <v>-</v>
      </c>
      <c r="AX213" s="190" t="str">
        <f t="shared" si="158"/>
        <v/>
      </c>
      <c r="AY213"/>
      <c r="AZ213" s="190" t="str">
        <f ca="1">IF(ISNUMBER(OFFSET(AV213,-$F$21,0)),SUM(OFFSET($T$100,$F$21,0):$T213),"")</f>
        <v/>
      </c>
      <c r="BA213" s="190" t="str">
        <f t="shared" ca="1" si="189"/>
        <v/>
      </c>
      <c r="BB213" s="190" t="str">
        <f t="shared" ca="1" si="164"/>
        <v/>
      </c>
      <c r="BC213" s="190"/>
      <c r="BD213" s="190" t="str">
        <f ca="1">IFERROR(IF(AND($B213&gt;=($F$16-$F$15),$B213&lt;$F$22+($F$16-$F$15)),SUM(OFFSET($T$100,($F$16-$F$15),0):$T213),""),"")</f>
        <v/>
      </c>
      <c r="BE213" s="190" t="str">
        <f t="shared" ca="1" si="159"/>
        <v/>
      </c>
      <c r="BF213" s="190" t="str">
        <f t="shared" ca="1" si="160"/>
        <v/>
      </c>
      <c r="BG213"/>
      <c r="BH213" s="190" t="str">
        <f ca="1">IF(ISNUMBER(OFFSET(BD213,-$F$21,0)),SUM(OFFSET($T$100,($F$16-$F$15+$F$21),0):$T213),"")</f>
        <v/>
      </c>
      <c r="BI213" s="190" t="str">
        <f t="shared" ca="1" si="190"/>
        <v/>
      </c>
      <c r="BJ213" s="190" t="str">
        <f t="shared" ca="1" si="161"/>
        <v/>
      </c>
      <c r="BK213" s="190"/>
      <c r="BL213" s="190" t="str">
        <f ca="1">IFERROR(IF(AND($B213&gt;=($F$17-$F$15),$B213&lt;$F$22+($F$17-$F$15)),SUM(OFFSET($T$100,($F$17-$F$15),0):$T213),""),"")</f>
        <v/>
      </c>
      <c r="BM213" s="190" t="str">
        <f t="shared" ca="1" si="191"/>
        <v/>
      </c>
      <c r="BN213" s="190" t="str">
        <f t="shared" ca="1" si="162"/>
        <v/>
      </c>
      <c r="BO213"/>
      <c r="BP213" s="190" t="str">
        <f ca="1">IF(ISNUMBER(OFFSET(BL213,-$F$21,0)),SUM(OFFSET($T$100,($F$17-$F$15+$F$21),0):$T213),"")</f>
        <v/>
      </c>
      <c r="BQ213" s="190" t="str">
        <f t="shared" ca="1" si="192"/>
        <v/>
      </c>
      <c r="BR213" s="190" t="str">
        <f t="shared" ca="1" si="163"/>
        <v/>
      </c>
      <c r="BS213" s="190"/>
      <c r="BT213"/>
      <c r="BU213"/>
      <c r="BV213"/>
      <c r="BY213" s="99"/>
      <c r="BZ213" s="99"/>
      <c r="CA213" s="280" t="str">
        <f t="shared" si="193"/>
        <v/>
      </c>
      <c r="CB213" s="71" t="str">
        <f t="shared" si="194"/>
        <v>-</v>
      </c>
      <c r="CC213" s="33"/>
      <c r="CD213" s="261" t="str">
        <f t="shared" si="195"/>
        <v/>
      </c>
      <c r="CE213" s="280" t="str">
        <f t="shared" si="196"/>
        <v>-</v>
      </c>
      <c r="CF213" s="71" t="str">
        <f t="shared" ca="1" si="197"/>
        <v>-</v>
      </c>
      <c r="CG213" s="33" t="str">
        <f t="shared" si="198"/>
        <v>113-114</v>
      </c>
      <c r="CH213" s="261" t="str">
        <f t="shared" ca="1" si="199"/>
        <v/>
      </c>
      <c r="CP213" s="99"/>
      <c r="CQ213" s="99"/>
    </row>
    <row r="214" spans="2:95" ht="13.5" customHeight="1" x14ac:dyDescent="0.2">
      <c r="B214" s="262">
        <v>114</v>
      </c>
      <c r="C214" s="237" t="str">
        <f t="shared" si="165"/>
        <v/>
      </c>
      <c r="D214" s="237" t="str">
        <f t="shared" si="200"/>
        <v>-</v>
      </c>
      <c r="E214" s="263" t="str">
        <f t="shared" si="146"/>
        <v/>
      </c>
      <c r="F214" s="264" t="str">
        <f t="shared" si="147"/>
        <v/>
      </c>
      <c r="G214" s="264" t="str">
        <f t="shared" si="148"/>
        <v/>
      </c>
      <c r="H214" s="240" t="str">
        <f t="shared" si="166"/>
        <v/>
      </c>
      <c r="I214" s="265" t="str">
        <f t="shared" si="167"/>
        <v/>
      </c>
      <c r="J214" s="265" t="str">
        <f t="shared" si="168"/>
        <v/>
      </c>
      <c r="K214" s="240" t="str">
        <f t="shared" si="169"/>
        <v/>
      </c>
      <c r="L214" s="265" t="str">
        <f t="shared" si="170"/>
        <v/>
      </c>
      <c r="M214" s="265" t="str">
        <f t="shared" si="171"/>
        <v/>
      </c>
      <c r="N214" s="240" t="str">
        <f t="shared" si="172"/>
        <v>-</v>
      </c>
      <c r="O214" s="265" t="str">
        <f t="shared" si="173"/>
        <v>-</v>
      </c>
      <c r="P214" s="265" t="str">
        <f t="shared" si="174"/>
        <v>-</v>
      </c>
      <c r="Q214" s="266" t="str">
        <f t="shared" si="175"/>
        <v>-</v>
      </c>
      <c r="R214" s="267" t="str">
        <f t="shared" si="176"/>
        <v>-</v>
      </c>
      <c r="S214" s="268" t="str">
        <f t="shared" si="177"/>
        <v>-</v>
      </c>
      <c r="T214" s="269" t="str">
        <f t="shared" si="178"/>
        <v/>
      </c>
      <c r="U214" s="221">
        <f t="shared" si="179"/>
        <v>114</v>
      </c>
      <c r="V214" s="220" t="str">
        <f t="shared" si="122"/>
        <v>-</v>
      </c>
      <c r="W214" s="221" t="str">
        <f t="shared" si="149"/>
        <v>-</v>
      </c>
      <c r="X214" s="221" t="str">
        <f t="shared" si="180"/>
        <v>-</v>
      </c>
      <c r="Y214" s="221" t="str">
        <f t="shared" si="181"/>
        <v>-</v>
      </c>
      <c r="Z214" s="270">
        <f t="shared" si="150"/>
        <v>0.1</v>
      </c>
      <c r="AA214" s="271" t="str">
        <f>IFERROR(IF(V213=1,AA$100*EXP(-(LN(2)/$D$65+0.04)*X213)*EXP(-(LN(2)/$D$65+0.1)*Y213),IF(V213=2,AA$100*EXP(-(LN(2)/$D$65+0.04)*(VLOOKUP(($F$16-$F$15)-1,U$99:Y213,4,FALSE)))*EXP(-(LN(2)/$D$65+0.1)*(VLOOKUP(($F$16-$F$15)-1,U$99:Y213,5,FALSE)))*EXP(-(LN(2)/$D$65+0.04)*X213)*EXP(-(LN(2)/$D$65+0.1)*Y213),IF(V213=3,AA$100*EXP(-(LN(2)/$D$65+0.04)*(VLOOKUP(($F$16-$F$15)-1,U$99:Y213,4,FALSE)))*EXP(-(LN(2)/$D$65+0.1)*(VLOOKUP(($F$16-$F$15)-1,U$99:Y213,5,FALSE)))*EXP(-(LN(2)/$D$65+0.04)*(VLOOKUP(($F$16-$F$15)*2-1,U$99:Y213,4,FALSE)))*EXP(-(LN(2)/$D$65+0.1)*(VLOOKUP(($F$16-$F$15)*2-1,U$99:Y213,5,FALSE)))*EXP(-(LN(2)/$D$65+0.04)*X213)*EXP(-(LN(2)/$D$65+0.1)*Y213),"-"))),"-")</f>
        <v>-</v>
      </c>
      <c r="AB214" s="271" t="str">
        <f>IFERROR(IF(V214=1,AB$100*EXP(-(LN(2)/$D$65+0.04)*X214)*EXP(-(LN(2)/$D$65+0.1)*Y214),IF(V214=2,AB$100*EXP(-(LN(2)/$D$65+0.04)*(VLOOKUP(($F$16-$F$15)-1,U$100:Y214,4,FALSE)))*EXP(-(LN(2)/$D$65+0.1)*(VLOOKUP(($F$16-$F$15)-1,U$100:Y214,5,FALSE)))*EXP(-(LN(2)/$D$65+0.04)*X214)*EXP(-(LN(2)/$D$65+0.1)*Y214),IF(V214=3,AB$100*EXP(-(LN(2)/$D$65+0.04)*(VLOOKUP(($F$16-$F$15)-1,U$100:Y214,4,FALSE)))*EXP(-(LN(2)/$D$65+0.1)*(VLOOKUP(($F$16-$F$15)-1,U$100:Y214,5,FALSE)))*EXP(-(LN(2)/$D$65+0.04)*(VLOOKUP(($F$16-$F$15)*2-1,U$100:Y214,4,FALSE)))*EXP(-(LN(2)/$D$65+0.1)*(VLOOKUP(($F$16-$F$15)*2-1,U$100:Y214,5,FALSE)))*EXP(-(LN(2)/$D$65+0.04)*X214)*EXP(-(LN(2)/$D$65+0.1)*Y214),"-"))),"-")</f>
        <v>-</v>
      </c>
      <c r="AC214" s="224">
        <f t="shared" si="151"/>
        <v>114</v>
      </c>
      <c r="AD214" s="223" t="str">
        <f t="shared" si="125"/>
        <v>-</v>
      </c>
      <c r="AE214" s="224" t="str">
        <f t="shared" si="152"/>
        <v>-</v>
      </c>
      <c r="AF214" s="224" t="str">
        <f t="shared" si="182"/>
        <v>-</v>
      </c>
      <c r="AG214" s="224" t="str">
        <f t="shared" si="183"/>
        <v>-</v>
      </c>
      <c r="AH214" s="272">
        <f t="shared" si="153"/>
        <v>0.1</v>
      </c>
      <c r="AI214" s="271" t="str">
        <f>IFERROR(IF(AD213=1,AI$100*EXP(-(LN(2)/$D$65+0.04)*AF213)*EXP(-(LN(2)/$D$65+0.1)*AG213),IF(AD213=2,AI$100*EXP(-(LN(2)/$D$65+0.04)*(VLOOKUP(($F$16-$F$15)-1,AC$99:AG213,4,FALSE)))*EXP(-(LN(2)/$D$65+0.1)*(VLOOKUP(($F$16-$F$15)-1,AC$99:AG213,5,FALSE)))*EXP(-(LN(2)/$D$65+0.04)*AF213)*EXP(-(LN(2)/$D$65+0.1)*AG213),IF(AD213=3,AI$100*EXP(-(LN(2)/$D$65+0.04)*(VLOOKUP(($F$16-$F$15)-1,AC$99:AG213,4,FALSE)))*EXP(-(LN(2)/$D$65+0.1)*(VLOOKUP(($F$16-$F$15)-1,AC$99:AG213,5,FALSE)))*EXP(-(LN(2)/$D$65+0.04)*(VLOOKUP(($F$16-$F$15)*2-1,AC$99:AG213,4,FALSE)))*EXP(-(LN(2)/$D$65+0.1)*(VLOOKUP(($F$16-$F$15)*2-1,AC$99:AG213,5,FALSE)))*EXP(-(LN(2)/$D$65+0.04)*AF213)*EXP(-(LN(2)/$D$65+0.1)*AG213),"-"))),"-")</f>
        <v>-</v>
      </c>
      <c r="AJ214" s="271" t="str">
        <f>IFERROR(IF(AD214=1,AJ$100*EXP(-(LN(2)/$D$65+0.04)*AF214)*EXP(-(LN(2)/$D$65+0.1)*AG214),IF(AD214=2,AJ$100*EXP(-(LN(2)/$D$65+0.04)*(VLOOKUP(($F$16-$F$15)-1,AC$100:AG214,4,FALSE)))*EXP(-(LN(2)/$D$65+0.1)*(VLOOKUP(($F$16-$F$15)-1,AC$100:AG214,5,FALSE)))*EXP(-(LN(2)/$D$65+0.04)*AF214)*EXP(-(LN(2)/$D$65+0.1)*AG214),IF(AD214=3,AJ$100*EXP(-(LN(2)/$D$65+0.04)*(VLOOKUP(($F$16-$F$15)-1,AC$100:AG214,4,FALSE)))*EXP(-(LN(2)/$D$65+0.1)*(VLOOKUP(($F$16-$F$15)-1,AC$100:AG214,5,FALSE)))*EXP(-(LN(2)/$D$65+0.04)*(VLOOKUP(($F$16-$F$15)*2-1,AC$100:AG214,4,FALSE)))*EXP(-(LN(2)/$D$65+0.1)*(VLOOKUP(($F$16-$F$15)*2-1,AC$100:AG214,5,FALSE)))*EXP(-(LN(2)/$D$65+0.04)*AF214)*EXP(-(LN(2)/$D$65+0.1)*AG214),"-"))),"-")</f>
        <v>-</v>
      </c>
      <c r="AK214" s="227">
        <f t="shared" si="154"/>
        <v>114</v>
      </c>
      <c r="AL214" s="226" t="str">
        <f t="shared" si="128"/>
        <v>-</v>
      </c>
      <c r="AM214" s="227" t="str">
        <f t="shared" si="155"/>
        <v>-</v>
      </c>
      <c r="AN214" s="227" t="str">
        <f t="shared" si="156"/>
        <v>-</v>
      </c>
      <c r="AO214" s="227" t="str">
        <f t="shared" si="184"/>
        <v>-</v>
      </c>
      <c r="AP214" s="273">
        <f t="shared" si="157"/>
        <v>0.1</v>
      </c>
      <c r="AQ214" s="271" t="str">
        <f>IFERROR(IF(AL213=1,AQ$100*EXP(-(LN(2)/$D$65+0.04)*AN213)*EXP(-(LN(2)/$D$65+0.1)*AO213),IF(AL213=2,AQ$100*EXP(-(LN(2)/$D$65+0.04)*(VLOOKUP(($F$16-$F$15)-1,AK$99:AO213,4,FALSE)))*EXP(-(LN(2)/$D$65+0.1)*(VLOOKUP(($F$16-$F$15)-1,AK$99:AO213,5,FALSE)))*EXP(-(LN(2)/$D$65+0.04)*AN213)*EXP(-(LN(2)/$D$65+0.1)*AO213),IF(AL213=3,AQ$100*EXP(-(LN(2)/$D$65+0.04)*(VLOOKUP(($F$16-$F$15)-1,AK$99:AO213,4,FALSE)))*EXP(-(LN(2)/$D$65+0.1)*(VLOOKUP(($F$16-$F$15)-1,AK$99:AO213,5,FALSE)))*EXP(-(LN(2)/$D$65+0.04)*(VLOOKUP(($F$16-$F$15)*2-1,AK$99:AO213,4,FALSE)))*EXP(-(LN(2)/$D$65+0.1)*(VLOOKUP(($F$16-$F$15)*2-1,AK$99:AO213,5,FALSE)))*EXP(-(LN(2)/$D$65+0.04)*AN213)*EXP(-(LN(2)/$D$65+0.1)*AO213),"-"))),"-")</f>
        <v>-</v>
      </c>
      <c r="AR214" s="271" t="str">
        <f>IFERROR(IF(AL214=1,AR$100*EXP(-(LN(2)/$D$65+0.04)*AN214)*EXP(-(LN(2)/$D$65+0.1)*AO214),IF(AL214=2,AR$100*EXP(-(LN(2)/$D$65+0.04)*(VLOOKUP(($F$16-$F$15)-1,AK$100:AO214,4,FALSE)))*EXP(-(LN(2)/$D$65+0.1)*(VLOOKUP(($F$16-$F$15)-1,AK$100:AO214,5,FALSE)))*EXP(-(LN(2)/$D$65+0.04)*AN214)*EXP(-(LN(2)/$D$65+0.1)*AO214),IF(AL214=3,AR$100*EXP(-(LN(2)/$D$65+0.04)*(VLOOKUP(($F$16-$F$15)-1,AK$100:AO214,4,FALSE)))*EXP(-(LN(2)/$D$65+0.1)*(VLOOKUP(($F$16-$F$15)-1,AK$100:AO214,5,FALSE)))*EXP(-(LN(2)/$D$65+0.04)*(VLOOKUP(($F$16-$F$15)*2-1,AK$100:AO214,4,FALSE)))*EXP(-(LN(2)/$D$65+0.1)*(VLOOKUP(($F$16-$F$15)*2-1,AK$100:AO214,5,FALSE)))*EXP(-(LN(2)/$D$65+0.04)*AN214)*EXP(-(LN(2)/$D$65+0.1)*AO214),"-"))),"-")</f>
        <v>-</v>
      </c>
      <c r="AS214" s="274">
        <f t="shared" si="185"/>
        <v>0</v>
      </c>
      <c r="AT214" s="274">
        <f t="shared" si="186"/>
        <v>0</v>
      </c>
      <c r="AU214" s="274">
        <f t="shared" si="187"/>
        <v>0</v>
      </c>
      <c r="AV214" s="190">
        <f>IF($B214&lt;$F$22,SUM($T$100:$T214),"")</f>
        <v>0</v>
      </c>
      <c r="AW214" s="190" t="str">
        <f t="shared" si="188"/>
        <v>-</v>
      </c>
      <c r="AX214" s="190" t="str">
        <f t="shared" si="158"/>
        <v/>
      </c>
      <c r="AY214"/>
      <c r="AZ214" s="190" t="str">
        <f ca="1">IF(ISNUMBER(OFFSET(AV214,-$F$21,0)),SUM(OFFSET($T$100,$F$21,0):$T214),"")</f>
        <v/>
      </c>
      <c r="BA214" s="190" t="str">
        <f t="shared" ca="1" si="189"/>
        <v/>
      </c>
      <c r="BB214" s="190" t="str">
        <f t="shared" ca="1" si="164"/>
        <v/>
      </c>
      <c r="BC214" s="190"/>
      <c r="BD214" s="190" t="str">
        <f ca="1">IFERROR(IF(AND($B214&gt;=($F$16-$F$15),$B214&lt;$F$22+($F$16-$F$15)),SUM(OFFSET($T$100,($F$16-$F$15),0):$T214),""),"")</f>
        <v/>
      </c>
      <c r="BE214" s="190" t="str">
        <f t="shared" ca="1" si="159"/>
        <v/>
      </c>
      <c r="BF214" s="190" t="str">
        <f t="shared" ca="1" si="160"/>
        <v/>
      </c>
      <c r="BG214"/>
      <c r="BH214" s="190" t="str">
        <f ca="1">IF(ISNUMBER(OFFSET(BD214,-$F$21,0)),SUM(OFFSET($T$100,($F$16-$F$15+$F$21),0):$T214),"")</f>
        <v/>
      </c>
      <c r="BI214" s="190" t="str">
        <f t="shared" ca="1" si="190"/>
        <v/>
      </c>
      <c r="BJ214" s="190" t="str">
        <f t="shared" ca="1" si="161"/>
        <v/>
      </c>
      <c r="BK214" s="190"/>
      <c r="BL214" s="190" t="str">
        <f ca="1">IFERROR(IF(AND($B214&gt;=($F$17-$F$15),$B214&lt;$F$22+($F$17-$F$15)),SUM(OFFSET($T$100,($F$17-$F$15),0):$T214),""),"")</f>
        <v/>
      </c>
      <c r="BM214" s="190" t="str">
        <f t="shared" ca="1" si="191"/>
        <v/>
      </c>
      <c r="BN214" s="190" t="str">
        <f t="shared" ca="1" si="162"/>
        <v/>
      </c>
      <c r="BO214"/>
      <c r="BP214" s="190" t="str">
        <f ca="1">IF(ISNUMBER(OFFSET(BL214,-$F$21,0)),SUM(OFFSET($T$100,($F$17-$F$15+$F$21),0):$T214),"")</f>
        <v/>
      </c>
      <c r="BQ214" s="190" t="str">
        <f t="shared" ca="1" si="192"/>
        <v/>
      </c>
      <c r="BR214" s="190" t="str">
        <f t="shared" ca="1" si="163"/>
        <v/>
      </c>
      <c r="BS214" s="190"/>
      <c r="BT214"/>
      <c r="BU214"/>
      <c r="BV214"/>
      <c r="BY214" s="99"/>
      <c r="BZ214" s="99"/>
      <c r="CA214" s="280" t="str">
        <f t="shared" si="193"/>
        <v/>
      </c>
      <c r="CB214" s="71" t="str">
        <f t="shared" si="194"/>
        <v>-</v>
      </c>
      <c r="CC214" s="33"/>
      <c r="CD214" s="261" t="str">
        <f t="shared" si="195"/>
        <v/>
      </c>
      <c r="CE214" s="280" t="str">
        <f t="shared" si="196"/>
        <v>-</v>
      </c>
      <c r="CF214" s="71" t="str">
        <f t="shared" ca="1" si="197"/>
        <v>-</v>
      </c>
      <c r="CG214" s="33" t="str">
        <f t="shared" si="198"/>
        <v>114-115</v>
      </c>
      <c r="CH214" s="261" t="str">
        <f t="shared" ca="1" si="199"/>
        <v/>
      </c>
      <c r="CP214" s="99"/>
      <c r="CQ214" s="99"/>
    </row>
    <row r="215" spans="2:95" ht="13.5" customHeight="1" x14ac:dyDescent="0.2">
      <c r="B215" s="262">
        <v>115</v>
      </c>
      <c r="C215" s="237" t="str">
        <f t="shared" si="165"/>
        <v/>
      </c>
      <c r="D215" s="237" t="str">
        <f t="shared" si="200"/>
        <v>-</v>
      </c>
      <c r="E215" s="263" t="str">
        <f t="shared" si="146"/>
        <v/>
      </c>
      <c r="F215" s="264" t="str">
        <f t="shared" si="147"/>
        <v/>
      </c>
      <c r="G215" s="264" t="str">
        <f t="shared" si="148"/>
        <v/>
      </c>
      <c r="H215" s="240" t="str">
        <f t="shared" si="166"/>
        <v/>
      </c>
      <c r="I215" s="265" t="str">
        <f t="shared" si="167"/>
        <v/>
      </c>
      <c r="J215" s="265" t="str">
        <f t="shared" si="168"/>
        <v/>
      </c>
      <c r="K215" s="240" t="str">
        <f t="shared" si="169"/>
        <v/>
      </c>
      <c r="L215" s="265" t="str">
        <f t="shared" si="170"/>
        <v/>
      </c>
      <c r="M215" s="265" t="str">
        <f t="shared" si="171"/>
        <v/>
      </c>
      <c r="N215" s="240" t="str">
        <f t="shared" si="172"/>
        <v>-</v>
      </c>
      <c r="O215" s="265" t="str">
        <f t="shared" si="173"/>
        <v>-</v>
      </c>
      <c r="P215" s="265" t="str">
        <f t="shared" si="174"/>
        <v>-</v>
      </c>
      <c r="Q215" s="266" t="str">
        <f t="shared" si="175"/>
        <v>-</v>
      </c>
      <c r="R215" s="267" t="str">
        <f t="shared" si="176"/>
        <v>-</v>
      </c>
      <c r="S215" s="268" t="str">
        <f t="shared" si="177"/>
        <v>-</v>
      </c>
      <c r="T215" s="269" t="str">
        <f t="shared" si="178"/>
        <v/>
      </c>
      <c r="U215" s="221">
        <f t="shared" si="179"/>
        <v>115</v>
      </c>
      <c r="V215" s="220" t="str">
        <f t="shared" si="122"/>
        <v>-</v>
      </c>
      <c r="W215" s="221" t="str">
        <f t="shared" si="149"/>
        <v>-</v>
      </c>
      <c r="X215" s="221" t="str">
        <f t="shared" si="180"/>
        <v>-</v>
      </c>
      <c r="Y215" s="221" t="str">
        <f t="shared" si="181"/>
        <v>-</v>
      </c>
      <c r="Z215" s="270">
        <f t="shared" si="150"/>
        <v>0.1</v>
      </c>
      <c r="AA215" s="271" t="str">
        <f>IFERROR(IF(V214=1,AA$100*EXP(-(LN(2)/$D$65+0.04)*X214)*EXP(-(LN(2)/$D$65+0.1)*Y214),IF(V214=2,AA$100*EXP(-(LN(2)/$D$65+0.04)*(VLOOKUP(($F$16-$F$15)-1,U$99:Y214,4,FALSE)))*EXP(-(LN(2)/$D$65+0.1)*(VLOOKUP(($F$16-$F$15)-1,U$99:Y214,5,FALSE)))*EXP(-(LN(2)/$D$65+0.04)*X214)*EXP(-(LN(2)/$D$65+0.1)*Y214),IF(V214=3,AA$100*EXP(-(LN(2)/$D$65+0.04)*(VLOOKUP(($F$16-$F$15)-1,U$99:Y214,4,FALSE)))*EXP(-(LN(2)/$D$65+0.1)*(VLOOKUP(($F$16-$F$15)-1,U$99:Y214,5,FALSE)))*EXP(-(LN(2)/$D$65+0.04)*(VLOOKUP(($F$16-$F$15)*2-1,U$99:Y214,4,FALSE)))*EXP(-(LN(2)/$D$65+0.1)*(VLOOKUP(($F$16-$F$15)*2-1,U$99:Y214,5,FALSE)))*EXP(-(LN(2)/$D$65+0.04)*X214)*EXP(-(LN(2)/$D$65+0.1)*Y214),"-"))),"-")</f>
        <v>-</v>
      </c>
      <c r="AB215" s="271" t="str">
        <f>IFERROR(IF(V215=1,AB$100*EXP(-(LN(2)/$D$65+0.04)*X215)*EXP(-(LN(2)/$D$65+0.1)*Y215),IF(V215=2,AB$100*EXP(-(LN(2)/$D$65+0.04)*(VLOOKUP(($F$16-$F$15)-1,U$100:Y215,4,FALSE)))*EXP(-(LN(2)/$D$65+0.1)*(VLOOKUP(($F$16-$F$15)-1,U$100:Y215,5,FALSE)))*EXP(-(LN(2)/$D$65+0.04)*X215)*EXP(-(LN(2)/$D$65+0.1)*Y215),IF(V215=3,AB$100*EXP(-(LN(2)/$D$65+0.04)*(VLOOKUP(($F$16-$F$15)-1,U$100:Y215,4,FALSE)))*EXP(-(LN(2)/$D$65+0.1)*(VLOOKUP(($F$16-$F$15)-1,U$100:Y215,5,FALSE)))*EXP(-(LN(2)/$D$65+0.04)*(VLOOKUP(($F$16-$F$15)*2-1,U$100:Y215,4,FALSE)))*EXP(-(LN(2)/$D$65+0.1)*(VLOOKUP(($F$16-$F$15)*2-1,U$100:Y215,5,FALSE)))*EXP(-(LN(2)/$D$65+0.04)*X215)*EXP(-(LN(2)/$D$65+0.1)*Y215),"-"))),"-")</f>
        <v>-</v>
      </c>
      <c r="AC215" s="224">
        <f t="shared" si="151"/>
        <v>115</v>
      </c>
      <c r="AD215" s="223" t="str">
        <f t="shared" si="125"/>
        <v>-</v>
      </c>
      <c r="AE215" s="224" t="str">
        <f t="shared" si="152"/>
        <v>-</v>
      </c>
      <c r="AF215" s="224" t="str">
        <f t="shared" si="182"/>
        <v>-</v>
      </c>
      <c r="AG215" s="224" t="str">
        <f t="shared" si="183"/>
        <v>-</v>
      </c>
      <c r="AH215" s="272">
        <f t="shared" si="153"/>
        <v>0.1</v>
      </c>
      <c r="AI215" s="271" t="str">
        <f>IFERROR(IF(AD214=1,AI$100*EXP(-(LN(2)/$D$65+0.04)*AF214)*EXP(-(LN(2)/$D$65+0.1)*AG214),IF(AD214=2,AI$100*EXP(-(LN(2)/$D$65+0.04)*(VLOOKUP(($F$16-$F$15)-1,AC$99:AG214,4,FALSE)))*EXP(-(LN(2)/$D$65+0.1)*(VLOOKUP(($F$16-$F$15)-1,AC$99:AG214,5,FALSE)))*EXP(-(LN(2)/$D$65+0.04)*AF214)*EXP(-(LN(2)/$D$65+0.1)*AG214),IF(AD214=3,AI$100*EXP(-(LN(2)/$D$65+0.04)*(VLOOKUP(($F$16-$F$15)-1,AC$99:AG214,4,FALSE)))*EXP(-(LN(2)/$D$65+0.1)*(VLOOKUP(($F$16-$F$15)-1,AC$99:AG214,5,FALSE)))*EXP(-(LN(2)/$D$65+0.04)*(VLOOKUP(($F$16-$F$15)*2-1,AC$99:AG214,4,FALSE)))*EXP(-(LN(2)/$D$65+0.1)*(VLOOKUP(($F$16-$F$15)*2-1,AC$99:AG214,5,FALSE)))*EXP(-(LN(2)/$D$65+0.04)*AF214)*EXP(-(LN(2)/$D$65+0.1)*AG214),"-"))),"-")</f>
        <v>-</v>
      </c>
      <c r="AJ215" s="271" t="str">
        <f>IFERROR(IF(AD215=1,AJ$100*EXP(-(LN(2)/$D$65+0.04)*AF215)*EXP(-(LN(2)/$D$65+0.1)*AG215),IF(AD215=2,AJ$100*EXP(-(LN(2)/$D$65+0.04)*(VLOOKUP(($F$16-$F$15)-1,AC$100:AG215,4,FALSE)))*EXP(-(LN(2)/$D$65+0.1)*(VLOOKUP(($F$16-$F$15)-1,AC$100:AG215,5,FALSE)))*EXP(-(LN(2)/$D$65+0.04)*AF215)*EXP(-(LN(2)/$D$65+0.1)*AG215),IF(AD215=3,AJ$100*EXP(-(LN(2)/$D$65+0.04)*(VLOOKUP(($F$16-$F$15)-1,AC$100:AG215,4,FALSE)))*EXP(-(LN(2)/$D$65+0.1)*(VLOOKUP(($F$16-$F$15)-1,AC$100:AG215,5,FALSE)))*EXP(-(LN(2)/$D$65+0.04)*(VLOOKUP(($F$16-$F$15)*2-1,AC$100:AG215,4,FALSE)))*EXP(-(LN(2)/$D$65+0.1)*(VLOOKUP(($F$16-$F$15)*2-1,AC$100:AG215,5,FALSE)))*EXP(-(LN(2)/$D$65+0.04)*AF215)*EXP(-(LN(2)/$D$65+0.1)*AG215),"-"))),"-")</f>
        <v>-</v>
      </c>
      <c r="AK215" s="227">
        <f t="shared" si="154"/>
        <v>115</v>
      </c>
      <c r="AL215" s="226" t="str">
        <f t="shared" si="128"/>
        <v>-</v>
      </c>
      <c r="AM215" s="227" t="str">
        <f t="shared" si="155"/>
        <v>-</v>
      </c>
      <c r="AN215" s="227" t="str">
        <f t="shared" si="156"/>
        <v>-</v>
      </c>
      <c r="AO215" s="227" t="str">
        <f t="shared" si="184"/>
        <v>-</v>
      </c>
      <c r="AP215" s="273">
        <f t="shared" si="157"/>
        <v>0.1</v>
      </c>
      <c r="AQ215" s="271" t="str">
        <f>IFERROR(IF(AL214=1,AQ$100*EXP(-(LN(2)/$D$65+0.04)*AN214)*EXP(-(LN(2)/$D$65+0.1)*AO214),IF(AL214=2,AQ$100*EXP(-(LN(2)/$D$65+0.04)*(VLOOKUP(($F$16-$F$15)-1,AK$99:AO214,4,FALSE)))*EXP(-(LN(2)/$D$65+0.1)*(VLOOKUP(($F$16-$F$15)-1,AK$99:AO214,5,FALSE)))*EXP(-(LN(2)/$D$65+0.04)*AN214)*EXP(-(LN(2)/$D$65+0.1)*AO214),IF(AL214=3,AQ$100*EXP(-(LN(2)/$D$65+0.04)*(VLOOKUP(($F$16-$F$15)-1,AK$99:AO214,4,FALSE)))*EXP(-(LN(2)/$D$65+0.1)*(VLOOKUP(($F$16-$F$15)-1,AK$99:AO214,5,FALSE)))*EXP(-(LN(2)/$D$65+0.04)*(VLOOKUP(($F$16-$F$15)*2-1,AK$99:AO214,4,FALSE)))*EXP(-(LN(2)/$D$65+0.1)*(VLOOKUP(($F$16-$F$15)*2-1,AK$99:AO214,5,FALSE)))*EXP(-(LN(2)/$D$65+0.04)*AN214)*EXP(-(LN(2)/$D$65+0.1)*AO214),"-"))),"-")</f>
        <v>-</v>
      </c>
      <c r="AR215" s="271" t="str">
        <f>IFERROR(IF(AL215=1,AR$100*EXP(-(LN(2)/$D$65+0.04)*AN215)*EXP(-(LN(2)/$D$65+0.1)*AO215),IF(AL215=2,AR$100*EXP(-(LN(2)/$D$65+0.04)*(VLOOKUP(($F$16-$F$15)-1,AK$100:AO215,4,FALSE)))*EXP(-(LN(2)/$D$65+0.1)*(VLOOKUP(($F$16-$F$15)-1,AK$100:AO215,5,FALSE)))*EXP(-(LN(2)/$D$65+0.04)*AN215)*EXP(-(LN(2)/$D$65+0.1)*AO215),IF(AL215=3,AR$100*EXP(-(LN(2)/$D$65+0.04)*(VLOOKUP(($F$16-$F$15)-1,AK$100:AO215,4,FALSE)))*EXP(-(LN(2)/$D$65+0.1)*(VLOOKUP(($F$16-$F$15)-1,AK$100:AO215,5,FALSE)))*EXP(-(LN(2)/$D$65+0.04)*(VLOOKUP(($F$16-$F$15)*2-1,AK$100:AO215,4,FALSE)))*EXP(-(LN(2)/$D$65+0.1)*(VLOOKUP(($F$16-$F$15)*2-1,AK$100:AO215,5,FALSE)))*EXP(-(LN(2)/$D$65+0.04)*AN215)*EXP(-(LN(2)/$D$65+0.1)*AO215),"-"))),"-")</f>
        <v>-</v>
      </c>
      <c r="AS215" s="274">
        <f t="shared" si="185"/>
        <v>0</v>
      </c>
      <c r="AT215" s="274">
        <f t="shared" si="186"/>
        <v>0</v>
      </c>
      <c r="AU215" s="274">
        <f t="shared" si="187"/>
        <v>0</v>
      </c>
      <c r="AV215" s="190">
        <f>IF($B215&lt;$F$22,SUM($T$100:$T215),"")</f>
        <v>0</v>
      </c>
      <c r="AW215" s="190" t="str">
        <f t="shared" si="188"/>
        <v>-</v>
      </c>
      <c r="AX215" s="190" t="str">
        <f t="shared" si="158"/>
        <v/>
      </c>
      <c r="AY215"/>
      <c r="AZ215" s="190" t="str">
        <f ca="1">IF(ISNUMBER(OFFSET(AV215,-$F$21,0)),SUM(OFFSET($T$100,$F$21,0):$T215),"")</f>
        <v/>
      </c>
      <c r="BA215" s="190" t="str">
        <f t="shared" ca="1" si="189"/>
        <v/>
      </c>
      <c r="BB215" s="190" t="str">
        <f t="shared" ca="1" si="164"/>
        <v/>
      </c>
      <c r="BC215" s="190"/>
      <c r="BD215" s="190" t="str">
        <f ca="1">IFERROR(IF(AND($B215&gt;=($F$16-$F$15),$B215&lt;$F$22+($F$16-$F$15)),SUM(OFFSET($T$100,($F$16-$F$15),0):$T215),""),"")</f>
        <v/>
      </c>
      <c r="BE215" s="190" t="str">
        <f t="shared" ca="1" si="159"/>
        <v/>
      </c>
      <c r="BF215" s="190" t="str">
        <f t="shared" ca="1" si="160"/>
        <v/>
      </c>
      <c r="BG215"/>
      <c r="BH215" s="190" t="str">
        <f ca="1">IF(ISNUMBER(OFFSET(BD215,-$F$21,0)),SUM(OFFSET($T$100,($F$16-$F$15+$F$21),0):$T215),"")</f>
        <v/>
      </c>
      <c r="BI215" s="190" t="str">
        <f t="shared" ca="1" si="190"/>
        <v/>
      </c>
      <c r="BJ215" s="190" t="str">
        <f t="shared" ca="1" si="161"/>
        <v/>
      </c>
      <c r="BK215" s="190"/>
      <c r="BL215" s="190" t="str">
        <f ca="1">IFERROR(IF(AND($B215&gt;=($F$17-$F$15),$B215&lt;$F$22+($F$17-$F$15)),SUM(OFFSET($T$100,($F$17-$F$15),0):$T215),""),"")</f>
        <v/>
      </c>
      <c r="BM215" s="190" t="str">
        <f t="shared" ca="1" si="191"/>
        <v/>
      </c>
      <c r="BN215" s="190" t="str">
        <f t="shared" ca="1" si="162"/>
        <v/>
      </c>
      <c r="BO215"/>
      <c r="BP215" s="190" t="str">
        <f ca="1">IF(ISNUMBER(OFFSET(BL215,-$F$21,0)),SUM(OFFSET($T$100,($F$17-$F$15+$F$21),0):$T215),"")</f>
        <v/>
      </c>
      <c r="BQ215" s="190" t="str">
        <f t="shared" ca="1" si="192"/>
        <v/>
      </c>
      <c r="BR215" s="190" t="str">
        <f t="shared" ca="1" si="163"/>
        <v/>
      </c>
      <c r="BS215" s="190"/>
      <c r="BT215"/>
      <c r="BU215"/>
      <c r="BV215"/>
      <c r="BY215" s="99"/>
      <c r="BZ215" s="99"/>
      <c r="CA215" s="280" t="str">
        <f t="shared" si="193"/>
        <v/>
      </c>
      <c r="CB215" s="71" t="str">
        <f t="shared" si="194"/>
        <v>-</v>
      </c>
      <c r="CC215" s="33"/>
      <c r="CD215" s="261" t="str">
        <f t="shared" si="195"/>
        <v/>
      </c>
      <c r="CE215" s="280" t="str">
        <f t="shared" si="196"/>
        <v>-</v>
      </c>
      <c r="CF215" s="71" t="str">
        <f t="shared" ca="1" si="197"/>
        <v>-</v>
      </c>
      <c r="CG215" s="33" t="str">
        <f t="shared" si="198"/>
        <v>115-116</v>
      </c>
      <c r="CH215" s="261" t="str">
        <f t="shared" ca="1" si="199"/>
        <v/>
      </c>
      <c r="CP215" s="99"/>
      <c r="CQ215" s="99"/>
    </row>
    <row r="216" spans="2:95" ht="13.5" customHeight="1" x14ac:dyDescent="0.2">
      <c r="B216" s="262">
        <v>116</v>
      </c>
      <c r="C216" s="237" t="str">
        <f t="shared" si="165"/>
        <v/>
      </c>
      <c r="D216" s="237" t="str">
        <f t="shared" si="200"/>
        <v>-</v>
      </c>
      <c r="E216" s="263" t="str">
        <f t="shared" si="146"/>
        <v/>
      </c>
      <c r="F216" s="264" t="str">
        <f t="shared" si="147"/>
        <v/>
      </c>
      <c r="G216" s="264" t="str">
        <f t="shared" si="148"/>
        <v/>
      </c>
      <c r="H216" s="240" t="str">
        <f t="shared" si="166"/>
        <v/>
      </c>
      <c r="I216" s="265" t="str">
        <f t="shared" si="167"/>
        <v/>
      </c>
      <c r="J216" s="265" t="str">
        <f t="shared" si="168"/>
        <v/>
      </c>
      <c r="K216" s="240" t="str">
        <f t="shared" si="169"/>
        <v/>
      </c>
      <c r="L216" s="265" t="str">
        <f t="shared" si="170"/>
        <v/>
      </c>
      <c r="M216" s="265" t="str">
        <f t="shared" si="171"/>
        <v/>
      </c>
      <c r="N216" s="240" t="str">
        <f t="shared" si="172"/>
        <v>-</v>
      </c>
      <c r="O216" s="265" t="str">
        <f t="shared" si="173"/>
        <v>-</v>
      </c>
      <c r="P216" s="265" t="str">
        <f t="shared" si="174"/>
        <v>-</v>
      </c>
      <c r="Q216" s="266" t="str">
        <f t="shared" si="175"/>
        <v>-</v>
      </c>
      <c r="R216" s="267" t="str">
        <f t="shared" si="176"/>
        <v>-</v>
      </c>
      <c r="S216" s="268" t="str">
        <f t="shared" si="177"/>
        <v>-</v>
      </c>
      <c r="T216" s="269" t="str">
        <f t="shared" si="178"/>
        <v/>
      </c>
      <c r="U216" s="221">
        <f t="shared" si="179"/>
        <v>116</v>
      </c>
      <c r="V216" s="220" t="str">
        <f t="shared" si="122"/>
        <v>-</v>
      </c>
      <c r="W216" s="221" t="str">
        <f t="shared" si="149"/>
        <v>-</v>
      </c>
      <c r="X216" s="221" t="str">
        <f t="shared" si="180"/>
        <v>-</v>
      </c>
      <c r="Y216" s="221" t="str">
        <f t="shared" si="181"/>
        <v>-</v>
      </c>
      <c r="Z216" s="270">
        <f t="shared" si="150"/>
        <v>0.1</v>
      </c>
      <c r="AA216" s="271" t="str">
        <f>IFERROR(IF(V215=1,AA$100*EXP(-(LN(2)/$D$65+0.04)*X215)*EXP(-(LN(2)/$D$65+0.1)*Y215),IF(V215=2,AA$100*EXP(-(LN(2)/$D$65+0.04)*(VLOOKUP(($F$16-$F$15)-1,U$99:Y215,4,FALSE)))*EXP(-(LN(2)/$D$65+0.1)*(VLOOKUP(($F$16-$F$15)-1,U$99:Y215,5,FALSE)))*EXP(-(LN(2)/$D$65+0.04)*X215)*EXP(-(LN(2)/$D$65+0.1)*Y215),IF(V215=3,AA$100*EXP(-(LN(2)/$D$65+0.04)*(VLOOKUP(($F$16-$F$15)-1,U$99:Y215,4,FALSE)))*EXP(-(LN(2)/$D$65+0.1)*(VLOOKUP(($F$16-$F$15)-1,U$99:Y215,5,FALSE)))*EXP(-(LN(2)/$D$65+0.04)*(VLOOKUP(($F$16-$F$15)*2-1,U$99:Y215,4,FALSE)))*EXP(-(LN(2)/$D$65+0.1)*(VLOOKUP(($F$16-$F$15)*2-1,U$99:Y215,5,FALSE)))*EXP(-(LN(2)/$D$65+0.04)*X215)*EXP(-(LN(2)/$D$65+0.1)*Y215),"-"))),"-")</f>
        <v>-</v>
      </c>
      <c r="AB216" s="271" t="str">
        <f>IFERROR(IF(V216=1,AB$100*EXP(-(LN(2)/$D$65+0.04)*X216)*EXP(-(LN(2)/$D$65+0.1)*Y216),IF(V216=2,AB$100*EXP(-(LN(2)/$D$65+0.04)*(VLOOKUP(($F$16-$F$15)-1,U$100:Y216,4,FALSE)))*EXP(-(LN(2)/$D$65+0.1)*(VLOOKUP(($F$16-$F$15)-1,U$100:Y216,5,FALSE)))*EXP(-(LN(2)/$D$65+0.04)*X216)*EXP(-(LN(2)/$D$65+0.1)*Y216),IF(V216=3,AB$100*EXP(-(LN(2)/$D$65+0.04)*(VLOOKUP(($F$16-$F$15)-1,U$100:Y216,4,FALSE)))*EXP(-(LN(2)/$D$65+0.1)*(VLOOKUP(($F$16-$F$15)-1,U$100:Y216,5,FALSE)))*EXP(-(LN(2)/$D$65+0.04)*(VLOOKUP(($F$16-$F$15)*2-1,U$100:Y216,4,FALSE)))*EXP(-(LN(2)/$D$65+0.1)*(VLOOKUP(($F$16-$F$15)*2-1,U$100:Y216,5,FALSE)))*EXP(-(LN(2)/$D$65+0.04)*X216)*EXP(-(LN(2)/$D$65+0.1)*Y216),"-"))),"-")</f>
        <v>-</v>
      </c>
      <c r="AC216" s="224">
        <f t="shared" si="151"/>
        <v>116</v>
      </c>
      <c r="AD216" s="223" t="str">
        <f t="shared" si="125"/>
        <v>-</v>
      </c>
      <c r="AE216" s="224" t="str">
        <f t="shared" si="152"/>
        <v>-</v>
      </c>
      <c r="AF216" s="224" t="str">
        <f t="shared" si="182"/>
        <v>-</v>
      </c>
      <c r="AG216" s="224" t="str">
        <f t="shared" si="183"/>
        <v>-</v>
      </c>
      <c r="AH216" s="272">
        <f t="shared" si="153"/>
        <v>0.1</v>
      </c>
      <c r="AI216" s="271" t="str">
        <f>IFERROR(IF(AD215=1,AI$100*EXP(-(LN(2)/$D$65+0.04)*AF215)*EXP(-(LN(2)/$D$65+0.1)*AG215),IF(AD215=2,AI$100*EXP(-(LN(2)/$D$65+0.04)*(VLOOKUP(($F$16-$F$15)-1,AC$99:AG215,4,FALSE)))*EXP(-(LN(2)/$D$65+0.1)*(VLOOKUP(($F$16-$F$15)-1,AC$99:AG215,5,FALSE)))*EXP(-(LN(2)/$D$65+0.04)*AF215)*EXP(-(LN(2)/$D$65+0.1)*AG215),IF(AD215=3,AI$100*EXP(-(LN(2)/$D$65+0.04)*(VLOOKUP(($F$16-$F$15)-1,AC$99:AG215,4,FALSE)))*EXP(-(LN(2)/$D$65+0.1)*(VLOOKUP(($F$16-$F$15)-1,AC$99:AG215,5,FALSE)))*EXP(-(LN(2)/$D$65+0.04)*(VLOOKUP(($F$16-$F$15)*2-1,AC$99:AG215,4,FALSE)))*EXP(-(LN(2)/$D$65+0.1)*(VLOOKUP(($F$16-$F$15)*2-1,AC$99:AG215,5,FALSE)))*EXP(-(LN(2)/$D$65+0.04)*AF215)*EXP(-(LN(2)/$D$65+0.1)*AG215),"-"))),"-")</f>
        <v>-</v>
      </c>
      <c r="AJ216" s="271" t="str">
        <f>IFERROR(IF(AD216=1,AJ$100*EXP(-(LN(2)/$D$65+0.04)*AF216)*EXP(-(LN(2)/$D$65+0.1)*AG216),IF(AD216=2,AJ$100*EXP(-(LN(2)/$D$65+0.04)*(VLOOKUP(($F$16-$F$15)-1,AC$100:AG216,4,FALSE)))*EXP(-(LN(2)/$D$65+0.1)*(VLOOKUP(($F$16-$F$15)-1,AC$100:AG216,5,FALSE)))*EXP(-(LN(2)/$D$65+0.04)*AF216)*EXP(-(LN(2)/$D$65+0.1)*AG216),IF(AD216=3,AJ$100*EXP(-(LN(2)/$D$65+0.04)*(VLOOKUP(($F$16-$F$15)-1,AC$100:AG216,4,FALSE)))*EXP(-(LN(2)/$D$65+0.1)*(VLOOKUP(($F$16-$F$15)-1,AC$100:AG216,5,FALSE)))*EXP(-(LN(2)/$D$65+0.04)*(VLOOKUP(($F$16-$F$15)*2-1,AC$100:AG216,4,FALSE)))*EXP(-(LN(2)/$D$65+0.1)*(VLOOKUP(($F$16-$F$15)*2-1,AC$100:AG216,5,FALSE)))*EXP(-(LN(2)/$D$65+0.04)*AF216)*EXP(-(LN(2)/$D$65+0.1)*AG216),"-"))),"-")</f>
        <v>-</v>
      </c>
      <c r="AK216" s="227">
        <f t="shared" si="154"/>
        <v>116</v>
      </c>
      <c r="AL216" s="226" t="str">
        <f t="shared" si="128"/>
        <v>-</v>
      </c>
      <c r="AM216" s="227" t="str">
        <f t="shared" si="155"/>
        <v>-</v>
      </c>
      <c r="AN216" s="227" t="str">
        <f t="shared" si="156"/>
        <v>-</v>
      </c>
      <c r="AO216" s="227" t="str">
        <f t="shared" si="184"/>
        <v>-</v>
      </c>
      <c r="AP216" s="273">
        <f t="shared" si="157"/>
        <v>0.1</v>
      </c>
      <c r="AQ216" s="271" t="str">
        <f>IFERROR(IF(AL215=1,AQ$100*EXP(-(LN(2)/$D$65+0.04)*AN215)*EXP(-(LN(2)/$D$65+0.1)*AO215),IF(AL215=2,AQ$100*EXP(-(LN(2)/$D$65+0.04)*(VLOOKUP(($F$16-$F$15)-1,AK$99:AO215,4,FALSE)))*EXP(-(LN(2)/$D$65+0.1)*(VLOOKUP(($F$16-$F$15)-1,AK$99:AO215,5,FALSE)))*EXP(-(LN(2)/$D$65+0.04)*AN215)*EXP(-(LN(2)/$D$65+0.1)*AO215),IF(AL215=3,AQ$100*EXP(-(LN(2)/$D$65+0.04)*(VLOOKUP(($F$16-$F$15)-1,AK$99:AO215,4,FALSE)))*EXP(-(LN(2)/$D$65+0.1)*(VLOOKUP(($F$16-$F$15)-1,AK$99:AO215,5,FALSE)))*EXP(-(LN(2)/$D$65+0.04)*(VLOOKUP(($F$16-$F$15)*2-1,AK$99:AO215,4,FALSE)))*EXP(-(LN(2)/$D$65+0.1)*(VLOOKUP(($F$16-$F$15)*2-1,AK$99:AO215,5,FALSE)))*EXP(-(LN(2)/$D$65+0.04)*AN215)*EXP(-(LN(2)/$D$65+0.1)*AO215),"-"))),"-")</f>
        <v>-</v>
      </c>
      <c r="AR216" s="271" t="str">
        <f>IFERROR(IF(AL216=1,AR$100*EXP(-(LN(2)/$D$65+0.04)*AN216)*EXP(-(LN(2)/$D$65+0.1)*AO216),IF(AL216=2,AR$100*EXP(-(LN(2)/$D$65+0.04)*(VLOOKUP(($F$16-$F$15)-1,AK$100:AO216,4,FALSE)))*EXP(-(LN(2)/$D$65+0.1)*(VLOOKUP(($F$16-$F$15)-1,AK$100:AO216,5,FALSE)))*EXP(-(LN(2)/$D$65+0.04)*AN216)*EXP(-(LN(2)/$D$65+0.1)*AO216),IF(AL216=3,AR$100*EXP(-(LN(2)/$D$65+0.04)*(VLOOKUP(($F$16-$F$15)-1,AK$100:AO216,4,FALSE)))*EXP(-(LN(2)/$D$65+0.1)*(VLOOKUP(($F$16-$F$15)-1,AK$100:AO216,5,FALSE)))*EXP(-(LN(2)/$D$65+0.04)*(VLOOKUP(($F$16-$F$15)*2-1,AK$100:AO216,4,FALSE)))*EXP(-(LN(2)/$D$65+0.1)*(VLOOKUP(($F$16-$F$15)*2-1,AK$100:AO216,5,FALSE)))*EXP(-(LN(2)/$D$65+0.04)*AN216)*EXP(-(LN(2)/$D$65+0.1)*AO216),"-"))),"-")</f>
        <v>-</v>
      </c>
      <c r="AS216" s="274">
        <f t="shared" si="185"/>
        <v>0</v>
      </c>
      <c r="AT216" s="274">
        <f t="shared" si="186"/>
        <v>0</v>
      </c>
      <c r="AU216" s="274">
        <f t="shared" si="187"/>
        <v>0</v>
      </c>
      <c r="AV216" s="190">
        <f>IF($B216&lt;$F$22,SUM($T$100:$T216),"")</f>
        <v>0</v>
      </c>
      <c r="AW216" s="190" t="str">
        <f t="shared" si="188"/>
        <v>-</v>
      </c>
      <c r="AX216" s="190" t="str">
        <f t="shared" si="158"/>
        <v/>
      </c>
      <c r="AY216"/>
      <c r="AZ216" s="190" t="str">
        <f ca="1">IF(ISNUMBER(OFFSET(AV216,-$F$21,0)),SUM(OFFSET($T$100,$F$21,0):$T216),"")</f>
        <v/>
      </c>
      <c r="BA216" s="190" t="str">
        <f t="shared" ca="1" si="189"/>
        <v/>
      </c>
      <c r="BB216" s="190" t="str">
        <f t="shared" ca="1" si="164"/>
        <v/>
      </c>
      <c r="BC216" s="190"/>
      <c r="BD216" s="190" t="str">
        <f ca="1">IFERROR(IF(AND($B216&gt;=($F$16-$F$15),$B216&lt;$F$22+($F$16-$F$15)),SUM(OFFSET($T$100,($F$16-$F$15),0):$T216),""),"")</f>
        <v/>
      </c>
      <c r="BE216" s="190" t="str">
        <f t="shared" ca="1" si="159"/>
        <v/>
      </c>
      <c r="BF216" s="190" t="str">
        <f t="shared" ca="1" si="160"/>
        <v/>
      </c>
      <c r="BG216"/>
      <c r="BH216" s="190" t="str">
        <f ca="1">IF(ISNUMBER(OFFSET(BD216,-$F$21,0)),SUM(OFFSET($T$100,($F$16-$F$15+$F$21),0):$T216),"")</f>
        <v/>
      </c>
      <c r="BI216" s="190" t="str">
        <f t="shared" ca="1" si="190"/>
        <v/>
      </c>
      <c r="BJ216" s="190" t="str">
        <f t="shared" ca="1" si="161"/>
        <v/>
      </c>
      <c r="BK216" s="190"/>
      <c r="BL216" s="190" t="str">
        <f ca="1">IFERROR(IF(AND($B216&gt;=($F$17-$F$15),$B216&lt;$F$22+($F$17-$F$15)),SUM(OFFSET($T$100,($F$17-$F$15),0):$T216),""),"")</f>
        <v/>
      </c>
      <c r="BM216" s="190" t="str">
        <f t="shared" ca="1" si="191"/>
        <v/>
      </c>
      <c r="BN216" s="190" t="str">
        <f t="shared" ca="1" si="162"/>
        <v/>
      </c>
      <c r="BO216"/>
      <c r="BP216" s="190" t="str">
        <f ca="1">IF(ISNUMBER(OFFSET(BL216,-$F$21,0)),SUM(OFFSET($T$100,($F$17-$F$15+$F$21),0):$T216),"")</f>
        <v/>
      </c>
      <c r="BQ216" s="190" t="str">
        <f t="shared" ca="1" si="192"/>
        <v/>
      </c>
      <c r="BR216" s="190" t="str">
        <f t="shared" ca="1" si="163"/>
        <v/>
      </c>
      <c r="BS216" s="190"/>
      <c r="BT216"/>
      <c r="BU216"/>
      <c r="BV216"/>
      <c r="BY216" s="99"/>
      <c r="BZ216" s="99"/>
      <c r="CA216" s="280" t="str">
        <f t="shared" si="193"/>
        <v/>
      </c>
      <c r="CB216" s="71" t="str">
        <f t="shared" si="194"/>
        <v>-</v>
      </c>
      <c r="CC216" s="33"/>
      <c r="CD216" s="261" t="str">
        <f t="shared" si="195"/>
        <v/>
      </c>
      <c r="CE216" s="280" t="str">
        <f t="shared" si="196"/>
        <v>-</v>
      </c>
      <c r="CF216" s="71" t="str">
        <f t="shared" ca="1" si="197"/>
        <v>-</v>
      </c>
      <c r="CG216" s="33" t="str">
        <f t="shared" si="198"/>
        <v>116-117</v>
      </c>
      <c r="CH216" s="261" t="str">
        <f t="shared" ca="1" si="199"/>
        <v/>
      </c>
      <c r="CP216" s="99"/>
      <c r="CQ216" s="99"/>
    </row>
    <row r="217" spans="2:95" ht="13.5" customHeight="1" x14ac:dyDescent="0.2">
      <c r="B217" s="262">
        <v>117</v>
      </c>
      <c r="C217" s="237" t="str">
        <f t="shared" si="165"/>
        <v/>
      </c>
      <c r="D217" s="237" t="str">
        <f t="shared" si="200"/>
        <v>-</v>
      </c>
      <c r="E217" s="263" t="str">
        <f t="shared" si="146"/>
        <v/>
      </c>
      <c r="F217" s="264" t="str">
        <f t="shared" si="147"/>
        <v/>
      </c>
      <c r="G217" s="264" t="str">
        <f t="shared" si="148"/>
        <v/>
      </c>
      <c r="H217" s="240" t="str">
        <f t="shared" si="166"/>
        <v/>
      </c>
      <c r="I217" s="265" t="str">
        <f t="shared" si="167"/>
        <v/>
      </c>
      <c r="J217" s="265" t="str">
        <f t="shared" si="168"/>
        <v/>
      </c>
      <c r="K217" s="240" t="str">
        <f t="shared" si="169"/>
        <v/>
      </c>
      <c r="L217" s="265" t="str">
        <f t="shared" si="170"/>
        <v/>
      </c>
      <c r="M217" s="265" t="str">
        <f t="shared" si="171"/>
        <v/>
      </c>
      <c r="N217" s="240" t="str">
        <f t="shared" si="172"/>
        <v>-</v>
      </c>
      <c r="O217" s="265" t="str">
        <f t="shared" si="173"/>
        <v>-</v>
      </c>
      <c r="P217" s="265" t="str">
        <f t="shared" si="174"/>
        <v>-</v>
      </c>
      <c r="Q217" s="266" t="str">
        <f t="shared" si="175"/>
        <v>-</v>
      </c>
      <c r="R217" s="267" t="str">
        <f t="shared" si="176"/>
        <v>-</v>
      </c>
      <c r="S217" s="268" t="str">
        <f t="shared" si="177"/>
        <v>-</v>
      </c>
      <c r="T217" s="269" t="str">
        <f t="shared" si="178"/>
        <v/>
      </c>
      <c r="U217" s="221">
        <f t="shared" si="179"/>
        <v>117</v>
      </c>
      <c r="V217" s="220" t="str">
        <f t="shared" si="122"/>
        <v>-</v>
      </c>
      <c r="W217" s="221" t="str">
        <f t="shared" si="149"/>
        <v>-</v>
      </c>
      <c r="X217" s="221" t="str">
        <f t="shared" si="180"/>
        <v>-</v>
      </c>
      <c r="Y217" s="221" t="str">
        <f t="shared" si="181"/>
        <v>-</v>
      </c>
      <c r="Z217" s="270">
        <f t="shared" si="150"/>
        <v>0.1</v>
      </c>
      <c r="AA217" s="271" t="str">
        <f>IFERROR(IF(V216=1,AA$100*EXP(-(LN(2)/$D$65+0.04)*X216)*EXP(-(LN(2)/$D$65+0.1)*Y216),IF(V216=2,AA$100*EXP(-(LN(2)/$D$65+0.04)*(VLOOKUP(($F$16-$F$15)-1,U$99:Y216,4,FALSE)))*EXP(-(LN(2)/$D$65+0.1)*(VLOOKUP(($F$16-$F$15)-1,U$99:Y216,5,FALSE)))*EXP(-(LN(2)/$D$65+0.04)*X216)*EXP(-(LN(2)/$D$65+0.1)*Y216),IF(V216=3,AA$100*EXP(-(LN(2)/$D$65+0.04)*(VLOOKUP(($F$16-$F$15)-1,U$99:Y216,4,FALSE)))*EXP(-(LN(2)/$D$65+0.1)*(VLOOKUP(($F$16-$F$15)-1,U$99:Y216,5,FALSE)))*EXP(-(LN(2)/$D$65+0.04)*(VLOOKUP(($F$16-$F$15)*2-1,U$99:Y216,4,FALSE)))*EXP(-(LN(2)/$D$65+0.1)*(VLOOKUP(($F$16-$F$15)*2-1,U$99:Y216,5,FALSE)))*EXP(-(LN(2)/$D$65+0.04)*X216)*EXP(-(LN(2)/$D$65+0.1)*Y216),"-"))),"-")</f>
        <v>-</v>
      </c>
      <c r="AB217" s="271" t="str">
        <f>IFERROR(IF(V217=1,AB$100*EXP(-(LN(2)/$D$65+0.04)*X217)*EXP(-(LN(2)/$D$65+0.1)*Y217),IF(V217=2,AB$100*EXP(-(LN(2)/$D$65+0.04)*(VLOOKUP(($F$16-$F$15)-1,U$100:Y217,4,FALSE)))*EXP(-(LN(2)/$D$65+0.1)*(VLOOKUP(($F$16-$F$15)-1,U$100:Y217,5,FALSE)))*EXP(-(LN(2)/$D$65+0.04)*X217)*EXP(-(LN(2)/$D$65+0.1)*Y217),IF(V217=3,AB$100*EXP(-(LN(2)/$D$65+0.04)*(VLOOKUP(($F$16-$F$15)-1,U$100:Y217,4,FALSE)))*EXP(-(LN(2)/$D$65+0.1)*(VLOOKUP(($F$16-$F$15)-1,U$100:Y217,5,FALSE)))*EXP(-(LN(2)/$D$65+0.04)*(VLOOKUP(($F$16-$F$15)*2-1,U$100:Y217,4,FALSE)))*EXP(-(LN(2)/$D$65+0.1)*(VLOOKUP(($F$16-$F$15)*2-1,U$100:Y217,5,FALSE)))*EXP(-(LN(2)/$D$65+0.04)*X217)*EXP(-(LN(2)/$D$65+0.1)*Y217),"-"))),"-")</f>
        <v>-</v>
      </c>
      <c r="AC217" s="224">
        <f t="shared" si="151"/>
        <v>117</v>
      </c>
      <c r="AD217" s="223" t="str">
        <f t="shared" si="125"/>
        <v>-</v>
      </c>
      <c r="AE217" s="224" t="str">
        <f t="shared" si="152"/>
        <v>-</v>
      </c>
      <c r="AF217" s="224" t="str">
        <f t="shared" si="182"/>
        <v>-</v>
      </c>
      <c r="AG217" s="224" t="str">
        <f t="shared" si="183"/>
        <v>-</v>
      </c>
      <c r="AH217" s="272">
        <f t="shared" si="153"/>
        <v>0.1</v>
      </c>
      <c r="AI217" s="271" t="str">
        <f>IFERROR(IF(AD216=1,AI$100*EXP(-(LN(2)/$D$65+0.04)*AF216)*EXP(-(LN(2)/$D$65+0.1)*AG216),IF(AD216=2,AI$100*EXP(-(LN(2)/$D$65+0.04)*(VLOOKUP(($F$16-$F$15)-1,AC$99:AG216,4,FALSE)))*EXP(-(LN(2)/$D$65+0.1)*(VLOOKUP(($F$16-$F$15)-1,AC$99:AG216,5,FALSE)))*EXP(-(LN(2)/$D$65+0.04)*AF216)*EXP(-(LN(2)/$D$65+0.1)*AG216),IF(AD216=3,AI$100*EXP(-(LN(2)/$D$65+0.04)*(VLOOKUP(($F$16-$F$15)-1,AC$99:AG216,4,FALSE)))*EXP(-(LN(2)/$D$65+0.1)*(VLOOKUP(($F$16-$F$15)-1,AC$99:AG216,5,FALSE)))*EXP(-(LN(2)/$D$65+0.04)*(VLOOKUP(($F$16-$F$15)*2-1,AC$99:AG216,4,FALSE)))*EXP(-(LN(2)/$D$65+0.1)*(VLOOKUP(($F$16-$F$15)*2-1,AC$99:AG216,5,FALSE)))*EXP(-(LN(2)/$D$65+0.04)*AF216)*EXP(-(LN(2)/$D$65+0.1)*AG216),"-"))),"-")</f>
        <v>-</v>
      </c>
      <c r="AJ217" s="271" t="str">
        <f>IFERROR(IF(AD217=1,AJ$100*EXP(-(LN(2)/$D$65+0.04)*AF217)*EXP(-(LN(2)/$D$65+0.1)*AG217),IF(AD217=2,AJ$100*EXP(-(LN(2)/$D$65+0.04)*(VLOOKUP(($F$16-$F$15)-1,AC$100:AG217,4,FALSE)))*EXP(-(LN(2)/$D$65+0.1)*(VLOOKUP(($F$16-$F$15)-1,AC$100:AG217,5,FALSE)))*EXP(-(LN(2)/$D$65+0.04)*AF217)*EXP(-(LN(2)/$D$65+0.1)*AG217),IF(AD217=3,AJ$100*EXP(-(LN(2)/$D$65+0.04)*(VLOOKUP(($F$16-$F$15)-1,AC$100:AG217,4,FALSE)))*EXP(-(LN(2)/$D$65+0.1)*(VLOOKUP(($F$16-$F$15)-1,AC$100:AG217,5,FALSE)))*EXP(-(LN(2)/$D$65+0.04)*(VLOOKUP(($F$16-$F$15)*2-1,AC$100:AG217,4,FALSE)))*EXP(-(LN(2)/$D$65+0.1)*(VLOOKUP(($F$16-$F$15)*2-1,AC$100:AG217,5,FALSE)))*EXP(-(LN(2)/$D$65+0.04)*AF217)*EXP(-(LN(2)/$D$65+0.1)*AG217),"-"))),"-")</f>
        <v>-</v>
      </c>
      <c r="AK217" s="227">
        <f t="shared" si="154"/>
        <v>117</v>
      </c>
      <c r="AL217" s="226" t="str">
        <f t="shared" si="128"/>
        <v>-</v>
      </c>
      <c r="AM217" s="227" t="str">
        <f t="shared" si="155"/>
        <v>-</v>
      </c>
      <c r="AN217" s="227" t="str">
        <f t="shared" si="156"/>
        <v>-</v>
      </c>
      <c r="AO217" s="227" t="str">
        <f t="shared" si="184"/>
        <v>-</v>
      </c>
      <c r="AP217" s="273">
        <f t="shared" si="157"/>
        <v>0.1</v>
      </c>
      <c r="AQ217" s="271" t="str">
        <f>IFERROR(IF(AL216=1,AQ$100*EXP(-(LN(2)/$D$65+0.04)*AN216)*EXP(-(LN(2)/$D$65+0.1)*AO216),IF(AL216=2,AQ$100*EXP(-(LN(2)/$D$65+0.04)*(VLOOKUP(($F$16-$F$15)-1,AK$99:AO216,4,FALSE)))*EXP(-(LN(2)/$D$65+0.1)*(VLOOKUP(($F$16-$F$15)-1,AK$99:AO216,5,FALSE)))*EXP(-(LN(2)/$D$65+0.04)*AN216)*EXP(-(LN(2)/$D$65+0.1)*AO216),IF(AL216=3,AQ$100*EXP(-(LN(2)/$D$65+0.04)*(VLOOKUP(($F$16-$F$15)-1,AK$99:AO216,4,FALSE)))*EXP(-(LN(2)/$D$65+0.1)*(VLOOKUP(($F$16-$F$15)-1,AK$99:AO216,5,FALSE)))*EXP(-(LN(2)/$D$65+0.04)*(VLOOKUP(($F$16-$F$15)*2-1,AK$99:AO216,4,FALSE)))*EXP(-(LN(2)/$D$65+0.1)*(VLOOKUP(($F$16-$F$15)*2-1,AK$99:AO216,5,FALSE)))*EXP(-(LN(2)/$D$65+0.04)*AN216)*EXP(-(LN(2)/$D$65+0.1)*AO216),"-"))),"-")</f>
        <v>-</v>
      </c>
      <c r="AR217" s="271" t="str">
        <f>IFERROR(IF(AL217=1,AR$100*EXP(-(LN(2)/$D$65+0.04)*AN217)*EXP(-(LN(2)/$D$65+0.1)*AO217),IF(AL217=2,AR$100*EXP(-(LN(2)/$D$65+0.04)*(VLOOKUP(($F$16-$F$15)-1,AK$100:AO217,4,FALSE)))*EXP(-(LN(2)/$D$65+0.1)*(VLOOKUP(($F$16-$F$15)-1,AK$100:AO217,5,FALSE)))*EXP(-(LN(2)/$D$65+0.04)*AN217)*EXP(-(LN(2)/$D$65+0.1)*AO217),IF(AL217=3,AR$100*EXP(-(LN(2)/$D$65+0.04)*(VLOOKUP(($F$16-$F$15)-1,AK$100:AO217,4,FALSE)))*EXP(-(LN(2)/$D$65+0.1)*(VLOOKUP(($F$16-$F$15)-1,AK$100:AO217,5,FALSE)))*EXP(-(LN(2)/$D$65+0.04)*(VLOOKUP(($F$16-$F$15)*2-1,AK$100:AO217,4,FALSE)))*EXP(-(LN(2)/$D$65+0.1)*(VLOOKUP(($F$16-$F$15)*2-1,AK$100:AO217,5,FALSE)))*EXP(-(LN(2)/$D$65+0.04)*AN217)*EXP(-(LN(2)/$D$65+0.1)*AO217),"-"))),"-")</f>
        <v>-</v>
      </c>
      <c r="AS217" s="274">
        <f t="shared" si="185"/>
        <v>0</v>
      </c>
      <c r="AT217" s="274">
        <f t="shared" si="186"/>
        <v>0</v>
      </c>
      <c r="AU217" s="274">
        <f t="shared" si="187"/>
        <v>0</v>
      </c>
      <c r="AV217" s="190">
        <f>IF($B217&lt;$F$22,SUM($T$100:$T217),"")</f>
        <v>0</v>
      </c>
      <c r="AW217" s="190" t="str">
        <f t="shared" si="188"/>
        <v>-</v>
      </c>
      <c r="AX217" s="190" t="str">
        <f t="shared" si="158"/>
        <v/>
      </c>
      <c r="AY217"/>
      <c r="AZ217" s="190" t="str">
        <f ca="1">IF(ISNUMBER(OFFSET(AV217,-$F$21,0)),SUM(OFFSET($T$100,$F$21,0):$T217),"")</f>
        <v/>
      </c>
      <c r="BA217" s="190" t="str">
        <f t="shared" ca="1" si="189"/>
        <v/>
      </c>
      <c r="BB217" s="190" t="str">
        <f t="shared" ca="1" si="164"/>
        <v/>
      </c>
      <c r="BC217" s="190"/>
      <c r="BD217" s="190" t="str">
        <f ca="1">IFERROR(IF(AND($B217&gt;=($F$16-$F$15),$B217&lt;$F$22+($F$16-$F$15)),SUM(OFFSET($T$100,($F$16-$F$15),0):$T217),""),"")</f>
        <v/>
      </c>
      <c r="BE217" s="190" t="str">
        <f t="shared" ca="1" si="159"/>
        <v/>
      </c>
      <c r="BF217" s="190" t="str">
        <f t="shared" ca="1" si="160"/>
        <v/>
      </c>
      <c r="BG217"/>
      <c r="BH217" s="190" t="str">
        <f ca="1">IF(ISNUMBER(OFFSET(BD217,-$F$21,0)),SUM(OFFSET($T$100,($F$16-$F$15+$F$21),0):$T217),"")</f>
        <v/>
      </c>
      <c r="BI217" s="190" t="str">
        <f t="shared" ca="1" si="190"/>
        <v/>
      </c>
      <c r="BJ217" s="190" t="str">
        <f t="shared" ca="1" si="161"/>
        <v/>
      </c>
      <c r="BK217" s="190"/>
      <c r="BL217" s="190" t="str">
        <f ca="1">IFERROR(IF(AND($B217&gt;=($F$17-$F$15),$B217&lt;$F$22+($F$17-$F$15)),SUM(OFFSET($T$100,($F$17-$F$15),0):$T217),""),"")</f>
        <v/>
      </c>
      <c r="BM217" s="190" t="str">
        <f t="shared" ca="1" si="191"/>
        <v/>
      </c>
      <c r="BN217" s="190" t="str">
        <f t="shared" ca="1" si="162"/>
        <v/>
      </c>
      <c r="BO217"/>
      <c r="BP217" s="190" t="str">
        <f ca="1">IF(ISNUMBER(OFFSET(BL217,-$F$21,0)),SUM(OFFSET($T$100,($F$17-$F$15+$F$21),0):$T217),"")</f>
        <v/>
      </c>
      <c r="BQ217" s="190" t="str">
        <f t="shared" ca="1" si="192"/>
        <v/>
      </c>
      <c r="BR217" s="190" t="str">
        <f t="shared" ca="1" si="163"/>
        <v/>
      </c>
      <c r="BS217" s="190"/>
      <c r="BT217"/>
      <c r="BU217"/>
      <c r="BV217"/>
      <c r="BY217" s="99"/>
      <c r="BZ217" s="99"/>
      <c r="CA217" s="280" t="str">
        <f t="shared" si="193"/>
        <v/>
      </c>
      <c r="CB217" s="71" t="str">
        <f t="shared" si="194"/>
        <v>-</v>
      </c>
      <c r="CC217" s="33"/>
      <c r="CD217" s="261" t="str">
        <f t="shared" si="195"/>
        <v/>
      </c>
      <c r="CE217" s="280" t="str">
        <f t="shared" si="196"/>
        <v>-</v>
      </c>
      <c r="CF217" s="71" t="str">
        <f t="shared" ca="1" si="197"/>
        <v>-</v>
      </c>
      <c r="CG217" s="33" t="str">
        <f t="shared" si="198"/>
        <v>117-118</v>
      </c>
      <c r="CH217" s="261" t="str">
        <f t="shared" ca="1" si="199"/>
        <v/>
      </c>
      <c r="CP217" s="99"/>
      <c r="CQ217" s="99"/>
    </row>
    <row r="218" spans="2:95" ht="13.5" customHeight="1" x14ac:dyDescent="0.2">
      <c r="B218" s="262">
        <v>118</v>
      </c>
      <c r="C218" s="237" t="str">
        <f t="shared" si="165"/>
        <v/>
      </c>
      <c r="D218" s="237" t="str">
        <f t="shared" si="200"/>
        <v>-</v>
      </c>
      <c r="E218" s="263" t="str">
        <f t="shared" si="146"/>
        <v/>
      </c>
      <c r="F218" s="264" t="str">
        <f t="shared" si="147"/>
        <v/>
      </c>
      <c r="G218" s="264" t="str">
        <f t="shared" si="148"/>
        <v/>
      </c>
      <c r="H218" s="240" t="str">
        <f t="shared" si="166"/>
        <v/>
      </c>
      <c r="I218" s="265" t="str">
        <f t="shared" si="167"/>
        <v/>
      </c>
      <c r="J218" s="265" t="str">
        <f t="shared" si="168"/>
        <v/>
      </c>
      <c r="K218" s="240" t="str">
        <f t="shared" si="169"/>
        <v/>
      </c>
      <c r="L218" s="265" t="str">
        <f t="shared" si="170"/>
        <v/>
      </c>
      <c r="M218" s="265" t="str">
        <f t="shared" si="171"/>
        <v/>
      </c>
      <c r="N218" s="240" t="str">
        <f t="shared" si="172"/>
        <v>-</v>
      </c>
      <c r="O218" s="265" t="str">
        <f t="shared" si="173"/>
        <v>-</v>
      </c>
      <c r="P218" s="265" t="str">
        <f t="shared" si="174"/>
        <v>-</v>
      </c>
      <c r="Q218" s="266" t="str">
        <f t="shared" si="175"/>
        <v>-</v>
      </c>
      <c r="R218" s="267" t="str">
        <f t="shared" si="176"/>
        <v>-</v>
      </c>
      <c r="S218" s="268" t="str">
        <f t="shared" si="177"/>
        <v>-</v>
      </c>
      <c r="T218" s="269" t="str">
        <f t="shared" si="178"/>
        <v/>
      </c>
      <c r="U218" s="221">
        <f t="shared" si="179"/>
        <v>118</v>
      </c>
      <c r="V218" s="220" t="str">
        <f t="shared" si="122"/>
        <v>-</v>
      </c>
      <c r="W218" s="221" t="str">
        <f t="shared" si="149"/>
        <v>-</v>
      </c>
      <c r="X218" s="221" t="str">
        <f t="shared" si="180"/>
        <v>-</v>
      </c>
      <c r="Y218" s="221" t="str">
        <f t="shared" si="181"/>
        <v>-</v>
      </c>
      <c r="Z218" s="270">
        <f t="shared" si="150"/>
        <v>0.1</v>
      </c>
      <c r="AA218" s="271" t="str">
        <f>IFERROR(IF(V217=1,AA$100*EXP(-(LN(2)/$D$65+0.04)*X217)*EXP(-(LN(2)/$D$65+0.1)*Y217),IF(V217=2,AA$100*EXP(-(LN(2)/$D$65+0.04)*(VLOOKUP(($F$16-$F$15)-1,U$99:Y217,4,FALSE)))*EXP(-(LN(2)/$D$65+0.1)*(VLOOKUP(($F$16-$F$15)-1,U$99:Y217,5,FALSE)))*EXP(-(LN(2)/$D$65+0.04)*X217)*EXP(-(LN(2)/$D$65+0.1)*Y217),IF(V217=3,AA$100*EXP(-(LN(2)/$D$65+0.04)*(VLOOKUP(($F$16-$F$15)-1,U$99:Y217,4,FALSE)))*EXP(-(LN(2)/$D$65+0.1)*(VLOOKUP(($F$16-$F$15)-1,U$99:Y217,5,FALSE)))*EXP(-(LN(2)/$D$65+0.04)*(VLOOKUP(($F$16-$F$15)*2-1,U$99:Y217,4,FALSE)))*EXP(-(LN(2)/$D$65+0.1)*(VLOOKUP(($F$16-$F$15)*2-1,U$99:Y217,5,FALSE)))*EXP(-(LN(2)/$D$65+0.04)*X217)*EXP(-(LN(2)/$D$65+0.1)*Y217),"-"))),"-")</f>
        <v>-</v>
      </c>
      <c r="AB218" s="271" t="str">
        <f>IFERROR(IF(V218=1,AB$100*EXP(-(LN(2)/$D$65+0.04)*X218)*EXP(-(LN(2)/$D$65+0.1)*Y218),IF(V218=2,AB$100*EXP(-(LN(2)/$D$65+0.04)*(VLOOKUP(($F$16-$F$15)-1,U$100:Y218,4,FALSE)))*EXP(-(LN(2)/$D$65+0.1)*(VLOOKUP(($F$16-$F$15)-1,U$100:Y218,5,FALSE)))*EXP(-(LN(2)/$D$65+0.04)*X218)*EXP(-(LN(2)/$D$65+0.1)*Y218),IF(V218=3,AB$100*EXP(-(LN(2)/$D$65+0.04)*(VLOOKUP(($F$16-$F$15)-1,U$100:Y218,4,FALSE)))*EXP(-(LN(2)/$D$65+0.1)*(VLOOKUP(($F$16-$F$15)-1,U$100:Y218,5,FALSE)))*EXP(-(LN(2)/$D$65+0.04)*(VLOOKUP(($F$16-$F$15)*2-1,U$100:Y218,4,FALSE)))*EXP(-(LN(2)/$D$65+0.1)*(VLOOKUP(($F$16-$F$15)*2-1,U$100:Y218,5,FALSE)))*EXP(-(LN(2)/$D$65+0.04)*X218)*EXP(-(LN(2)/$D$65+0.1)*Y218),"-"))),"-")</f>
        <v>-</v>
      </c>
      <c r="AC218" s="224">
        <f t="shared" si="151"/>
        <v>118</v>
      </c>
      <c r="AD218" s="223" t="str">
        <f t="shared" si="125"/>
        <v>-</v>
      </c>
      <c r="AE218" s="224" t="str">
        <f t="shared" si="152"/>
        <v>-</v>
      </c>
      <c r="AF218" s="224" t="str">
        <f t="shared" si="182"/>
        <v>-</v>
      </c>
      <c r="AG218" s="224" t="str">
        <f t="shared" si="183"/>
        <v>-</v>
      </c>
      <c r="AH218" s="272">
        <f t="shared" si="153"/>
        <v>0.1</v>
      </c>
      <c r="AI218" s="271" t="str">
        <f>IFERROR(IF(AD217=1,AI$100*EXP(-(LN(2)/$D$65+0.04)*AF217)*EXP(-(LN(2)/$D$65+0.1)*AG217),IF(AD217=2,AI$100*EXP(-(LN(2)/$D$65+0.04)*(VLOOKUP(($F$16-$F$15)-1,AC$99:AG217,4,FALSE)))*EXP(-(LN(2)/$D$65+0.1)*(VLOOKUP(($F$16-$F$15)-1,AC$99:AG217,5,FALSE)))*EXP(-(LN(2)/$D$65+0.04)*AF217)*EXP(-(LN(2)/$D$65+0.1)*AG217),IF(AD217=3,AI$100*EXP(-(LN(2)/$D$65+0.04)*(VLOOKUP(($F$16-$F$15)-1,AC$99:AG217,4,FALSE)))*EXP(-(LN(2)/$D$65+0.1)*(VLOOKUP(($F$16-$F$15)-1,AC$99:AG217,5,FALSE)))*EXP(-(LN(2)/$D$65+0.04)*(VLOOKUP(($F$16-$F$15)*2-1,AC$99:AG217,4,FALSE)))*EXP(-(LN(2)/$D$65+0.1)*(VLOOKUP(($F$16-$F$15)*2-1,AC$99:AG217,5,FALSE)))*EXP(-(LN(2)/$D$65+0.04)*AF217)*EXP(-(LN(2)/$D$65+0.1)*AG217),"-"))),"-")</f>
        <v>-</v>
      </c>
      <c r="AJ218" s="271" t="str">
        <f>IFERROR(IF(AD218=1,AJ$100*EXP(-(LN(2)/$D$65+0.04)*AF218)*EXP(-(LN(2)/$D$65+0.1)*AG218),IF(AD218=2,AJ$100*EXP(-(LN(2)/$D$65+0.04)*(VLOOKUP(($F$16-$F$15)-1,AC$100:AG218,4,FALSE)))*EXP(-(LN(2)/$D$65+0.1)*(VLOOKUP(($F$16-$F$15)-1,AC$100:AG218,5,FALSE)))*EXP(-(LN(2)/$D$65+0.04)*AF218)*EXP(-(LN(2)/$D$65+0.1)*AG218),IF(AD218=3,AJ$100*EXP(-(LN(2)/$D$65+0.04)*(VLOOKUP(($F$16-$F$15)-1,AC$100:AG218,4,FALSE)))*EXP(-(LN(2)/$D$65+0.1)*(VLOOKUP(($F$16-$F$15)-1,AC$100:AG218,5,FALSE)))*EXP(-(LN(2)/$D$65+0.04)*(VLOOKUP(($F$16-$F$15)*2-1,AC$100:AG218,4,FALSE)))*EXP(-(LN(2)/$D$65+0.1)*(VLOOKUP(($F$16-$F$15)*2-1,AC$100:AG218,5,FALSE)))*EXP(-(LN(2)/$D$65+0.04)*AF218)*EXP(-(LN(2)/$D$65+0.1)*AG218),"-"))),"-")</f>
        <v>-</v>
      </c>
      <c r="AK218" s="227">
        <f t="shared" si="154"/>
        <v>118</v>
      </c>
      <c r="AL218" s="226" t="str">
        <f t="shared" si="128"/>
        <v>-</v>
      </c>
      <c r="AM218" s="227" t="str">
        <f t="shared" si="155"/>
        <v>-</v>
      </c>
      <c r="AN218" s="227" t="str">
        <f t="shared" si="156"/>
        <v>-</v>
      </c>
      <c r="AO218" s="227" t="str">
        <f t="shared" si="184"/>
        <v>-</v>
      </c>
      <c r="AP218" s="273">
        <f t="shared" si="157"/>
        <v>0.1</v>
      </c>
      <c r="AQ218" s="271" t="str">
        <f>IFERROR(IF(AL217=1,AQ$100*EXP(-(LN(2)/$D$65+0.04)*AN217)*EXP(-(LN(2)/$D$65+0.1)*AO217),IF(AL217=2,AQ$100*EXP(-(LN(2)/$D$65+0.04)*(VLOOKUP(($F$16-$F$15)-1,AK$99:AO217,4,FALSE)))*EXP(-(LN(2)/$D$65+0.1)*(VLOOKUP(($F$16-$F$15)-1,AK$99:AO217,5,FALSE)))*EXP(-(LN(2)/$D$65+0.04)*AN217)*EXP(-(LN(2)/$D$65+0.1)*AO217),IF(AL217=3,AQ$100*EXP(-(LN(2)/$D$65+0.04)*(VLOOKUP(($F$16-$F$15)-1,AK$99:AO217,4,FALSE)))*EXP(-(LN(2)/$D$65+0.1)*(VLOOKUP(($F$16-$F$15)-1,AK$99:AO217,5,FALSE)))*EXP(-(LN(2)/$D$65+0.04)*(VLOOKUP(($F$16-$F$15)*2-1,AK$99:AO217,4,FALSE)))*EXP(-(LN(2)/$D$65+0.1)*(VLOOKUP(($F$16-$F$15)*2-1,AK$99:AO217,5,FALSE)))*EXP(-(LN(2)/$D$65+0.04)*AN217)*EXP(-(LN(2)/$D$65+0.1)*AO217),"-"))),"-")</f>
        <v>-</v>
      </c>
      <c r="AR218" s="271" t="str">
        <f>IFERROR(IF(AL218=1,AR$100*EXP(-(LN(2)/$D$65+0.04)*AN218)*EXP(-(LN(2)/$D$65+0.1)*AO218),IF(AL218=2,AR$100*EXP(-(LN(2)/$D$65+0.04)*(VLOOKUP(($F$16-$F$15)-1,AK$100:AO218,4,FALSE)))*EXP(-(LN(2)/$D$65+0.1)*(VLOOKUP(($F$16-$F$15)-1,AK$100:AO218,5,FALSE)))*EXP(-(LN(2)/$D$65+0.04)*AN218)*EXP(-(LN(2)/$D$65+0.1)*AO218),IF(AL218=3,AR$100*EXP(-(LN(2)/$D$65+0.04)*(VLOOKUP(($F$16-$F$15)-1,AK$100:AO218,4,FALSE)))*EXP(-(LN(2)/$D$65+0.1)*(VLOOKUP(($F$16-$F$15)-1,AK$100:AO218,5,FALSE)))*EXP(-(LN(2)/$D$65+0.04)*(VLOOKUP(($F$16-$F$15)*2-1,AK$100:AO218,4,FALSE)))*EXP(-(LN(2)/$D$65+0.1)*(VLOOKUP(($F$16-$F$15)*2-1,AK$100:AO218,5,FALSE)))*EXP(-(LN(2)/$D$65+0.04)*AN218)*EXP(-(LN(2)/$D$65+0.1)*AO218),"-"))),"-")</f>
        <v>-</v>
      </c>
      <c r="AS218" s="274">
        <f t="shared" si="185"/>
        <v>0</v>
      </c>
      <c r="AT218" s="274">
        <f t="shared" si="186"/>
        <v>0</v>
      </c>
      <c r="AU218" s="274">
        <f t="shared" si="187"/>
        <v>0</v>
      </c>
      <c r="AV218" s="190">
        <f>IF($B218&lt;$F$22,SUM($T$100:$T218),"")</f>
        <v>0</v>
      </c>
      <c r="AW218" s="190" t="str">
        <f t="shared" si="188"/>
        <v>-</v>
      </c>
      <c r="AX218" s="190" t="str">
        <f t="shared" si="158"/>
        <v/>
      </c>
      <c r="AY218"/>
      <c r="AZ218" s="190" t="str">
        <f ca="1">IF(ISNUMBER(OFFSET(AV218,-$F$21,0)),SUM(OFFSET($T$100,$F$21,0):$T218),"")</f>
        <v/>
      </c>
      <c r="BA218" s="190" t="str">
        <f t="shared" ca="1" si="189"/>
        <v/>
      </c>
      <c r="BB218" s="190" t="str">
        <f t="shared" ca="1" si="164"/>
        <v/>
      </c>
      <c r="BC218" s="190"/>
      <c r="BD218" s="190" t="str">
        <f ca="1">IFERROR(IF(AND($B218&gt;=($F$16-$F$15),$B218&lt;$F$22+($F$16-$F$15)),SUM(OFFSET($T$100,($F$16-$F$15),0):$T218),""),"")</f>
        <v/>
      </c>
      <c r="BE218" s="190" t="str">
        <f t="shared" ca="1" si="159"/>
        <v/>
      </c>
      <c r="BF218" s="190" t="str">
        <f t="shared" ca="1" si="160"/>
        <v/>
      </c>
      <c r="BG218"/>
      <c r="BH218" s="190" t="str">
        <f ca="1">IF(ISNUMBER(OFFSET(BD218,-$F$21,0)),SUM(OFFSET($T$100,($F$16-$F$15+$F$21),0):$T218),"")</f>
        <v/>
      </c>
      <c r="BI218" s="190" t="str">
        <f t="shared" ca="1" si="190"/>
        <v/>
      </c>
      <c r="BJ218" s="190" t="str">
        <f t="shared" ca="1" si="161"/>
        <v/>
      </c>
      <c r="BK218" s="190"/>
      <c r="BL218" s="190" t="str">
        <f ca="1">IFERROR(IF(AND($B218&gt;=($F$17-$F$15),$B218&lt;$F$22+($F$17-$F$15)),SUM(OFFSET($T$100,($F$17-$F$15),0):$T218),""),"")</f>
        <v/>
      </c>
      <c r="BM218" s="190" t="str">
        <f t="shared" ca="1" si="191"/>
        <v/>
      </c>
      <c r="BN218" s="190" t="str">
        <f t="shared" ca="1" si="162"/>
        <v/>
      </c>
      <c r="BO218"/>
      <c r="BP218" s="190" t="str">
        <f ca="1">IF(ISNUMBER(OFFSET(BL218,-$F$21,0)),SUM(OFFSET($T$100,($F$17-$F$15+$F$21),0):$T218),"")</f>
        <v/>
      </c>
      <c r="BQ218" s="190" t="str">
        <f t="shared" ca="1" si="192"/>
        <v/>
      </c>
      <c r="BR218" s="190" t="str">
        <f t="shared" ca="1" si="163"/>
        <v/>
      </c>
      <c r="BS218" s="190"/>
      <c r="BT218"/>
      <c r="BU218"/>
      <c r="BV218"/>
      <c r="BY218" s="99"/>
      <c r="BZ218" s="99"/>
      <c r="CA218" s="280" t="str">
        <f t="shared" si="193"/>
        <v/>
      </c>
      <c r="CB218" s="71" t="str">
        <f t="shared" si="194"/>
        <v>-</v>
      </c>
      <c r="CC218" s="33"/>
      <c r="CD218" s="261" t="str">
        <f t="shared" si="195"/>
        <v/>
      </c>
      <c r="CE218" s="280" t="str">
        <f t="shared" si="196"/>
        <v>-</v>
      </c>
      <c r="CF218" s="71" t="str">
        <f t="shared" ca="1" si="197"/>
        <v>-</v>
      </c>
      <c r="CG218" s="33" t="str">
        <f t="shared" si="198"/>
        <v>118-119</v>
      </c>
      <c r="CH218" s="261" t="str">
        <f t="shared" ca="1" si="199"/>
        <v/>
      </c>
      <c r="CP218" s="99"/>
      <c r="CQ218" s="99"/>
    </row>
    <row r="219" spans="2:95" ht="13.5" customHeight="1" x14ac:dyDescent="0.2">
      <c r="B219" s="262">
        <v>119</v>
      </c>
      <c r="C219" s="237" t="str">
        <f t="shared" si="165"/>
        <v/>
      </c>
      <c r="D219" s="237" t="str">
        <f t="shared" si="200"/>
        <v>-</v>
      </c>
      <c r="E219" s="263" t="str">
        <f t="shared" si="146"/>
        <v/>
      </c>
      <c r="F219" s="264" t="str">
        <f t="shared" si="147"/>
        <v/>
      </c>
      <c r="G219" s="264" t="str">
        <f t="shared" si="148"/>
        <v/>
      </c>
      <c r="H219" s="240" t="str">
        <f t="shared" si="166"/>
        <v/>
      </c>
      <c r="I219" s="265" t="str">
        <f t="shared" si="167"/>
        <v/>
      </c>
      <c r="J219" s="265" t="str">
        <f t="shared" si="168"/>
        <v/>
      </c>
      <c r="K219" s="240" t="str">
        <f t="shared" si="169"/>
        <v/>
      </c>
      <c r="L219" s="265" t="str">
        <f t="shared" si="170"/>
        <v/>
      </c>
      <c r="M219" s="265" t="str">
        <f t="shared" si="171"/>
        <v/>
      </c>
      <c r="N219" s="240" t="str">
        <f t="shared" si="172"/>
        <v>-</v>
      </c>
      <c r="O219" s="265" t="str">
        <f t="shared" si="173"/>
        <v>-</v>
      </c>
      <c r="P219" s="265" t="str">
        <f t="shared" si="174"/>
        <v>-</v>
      </c>
      <c r="Q219" s="266" t="str">
        <f t="shared" si="175"/>
        <v>-</v>
      </c>
      <c r="R219" s="267" t="str">
        <f t="shared" si="176"/>
        <v>-</v>
      </c>
      <c r="S219" s="268" t="str">
        <f t="shared" si="177"/>
        <v>-</v>
      </c>
      <c r="T219" s="269" t="str">
        <f t="shared" si="178"/>
        <v/>
      </c>
      <c r="U219" s="221">
        <f t="shared" si="179"/>
        <v>119</v>
      </c>
      <c r="V219" s="220" t="str">
        <f t="shared" si="122"/>
        <v>-</v>
      </c>
      <c r="W219" s="221" t="str">
        <f t="shared" si="149"/>
        <v>-</v>
      </c>
      <c r="X219" s="221" t="str">
        <f t="shared" si="180"/>
        <v>-</v>
      </c>
      <c r="Y219" s="221" t="str">
        <f t="shared" si="181"/>
        <v>-</v>
      </c>
      <c r="Z219" s="270">
        <f t="shared" si="150"/>
        <v>0.1</v>
      </c>
      <c r="AA219" s="271" t="str">
        <f>IFERROR(IF(V218=1,AA$100*EXP(-(LN(2)/$D$65+0.04)*X218)*EXP(-(LN(2)/$D$65+0.1)*Y218),IF(V218=2,AA$100*EXP(-(LN(2)/$D$65+0.04)*(VLOOKUP(($F$16-$F$15)-1,U$99:Y218,4,FALSE)))*EXP(-(LN(2)/$D$65+0.1)*(VLOOKUP(($F$16-$F$15)-1,U$99:Y218,5,FALSE)))*EXP(-(LN(2)/$D$65+0.04)*X218)*EXP(-(LN(2)/$D$65+0.1)*Y218),IF(V218=3,AA$100*EXP(-(LN(2)/$D$65+0.04)*(VLOOKUP(($F$16-$F$15)-1,U$99:Y218,4,FALSE)))*EXP(-(LN(2)/$D$65+0.1)*(VLOOKUP(($F$16-$F$15)-1,U$99:Y218,5,FALSE)))*EXP(-(LN(2)/$D$65+0.04)*(VLOOKUP(($F$16-$F$15)*2-1,U$99:Y218,4,FALSE)))*EXP(-(LN(2)/$D$65+0.1)*(VLOOKUP(($F$16-$F$15)*2-1,U$99:Y218,5,FALSE)))*EXP(-(LN(2)/$D$65+0.04)*X218)*EXP(-(LN(2)/$D$65+0.1)*Y218),"-"))),"-")</f>
        <v>-</v>
      </c>
      <c r="AB219" s="271" t="str">
        <f>IFERROR(IF(V219=1,AB$100*EXP(-(LN(2)/$D$65+0.04)*X219)*EXP(-(LN(2)/$D$65+0.1)*Y219),IF(V219=2,AB$100*EXP(-(LN(2)/$D$65+0.04)*(VLOOKUP(($F$16-$F$15)-1,U$100:Y219,4,FALSE)))*EXP(-(LN(2)/$D$65+0.1)*(VLOOKUP(($F$16-$F$15)-1,U$100:Y219,5,FALSE)))*EXP(-(LN(2)/$D$65+0.04)*X219)*EXP(-(LN(2)/$D$65+0.1)*Y219),IF(V219=3,AB$100*EXP(-(LN(2)/$D$65+0.04)*(VLOOKUP(($F$16-$F$15)-1,U$100:Y219,4,FALSE)))*EXP(-(LN(2)/$D$65+0.1)*(VLOOKUP(($F$16-$F$15)-1,U$100:Y219,5,FALSE)))*EXP(-(LN(2)/$D$65+0.04)*(VLOOKUP(($F$16-$F$15)*2-1,U$100:Y219,4,FALSE)))*EXP(-(LN(2)/$D$65+0.1)*(VLOOKUP(($F$16-$F$15)*2-1,U$100:Y219,5,FALSE)))*EXP(-(LN(2)/$D$65+0.04)*X219)*EXP(-(LN(2)/$D$65+0.1)*Y219),"-"))),"-")</f>
        <v>-</v>
      </c>
      <c r="AC219" s="224">
        <f t="shared" si="151"/>
        <v>119</v>
      </c>
      <c r="AD219" s="223" t="str">
        <f t="shared" si="125"/>
        <v>-</v>
      </c>
      <c r="AE219" s="224" t="str">
        <f t="shared" si="152"/>
        <v>-</v>
      </c>
      <c r="AF219" s="224" t="str">
        <f t="shared" si="182"/>
        <v>-</v>
      </c>
      <c r="AG219" s="224" t="str">
        <f t="shared" si="183"/>
        <v>-</v>
      </c>
      <c r="AH219" s="272">
        <f t="shared" si="153"/>
        <v>0.1</v>
      </c>
      <c r="AI219" s="271" t="str">
        <f>IFERROR(IF(AD218=1,AI$100*EXP(-(LN(2)/$D$65+0.04)*AF218)*EXP(-(LN(2)/$D$65+0.1)*AG218),IF(AD218=2,AI$100*EXP(-(LN(2)/$D$65+0.04)*(VLOOKUP(($F$16-$F$15)-1,AC$99:AG218,4,FALSE)))*EXP(-(LN(2)/$D$65+0.1)*(VLOOKUP(($F$16-$F$15)-1,AC$99:AG218,5,FALSE)))*EXP(-(LN(2)/$D$65+0.04)*AF218)*EXP(-(LN(2)/$D$65+0.1)*AG218),IF(AD218=3,AI$100*EXP(-(LN(2)/$D$65+0.04)*(VLOOKUP(($F$16-$F$15)-1,AC$99:AG218,4,FALSE)))*EXP(-(LN(2)/$D$65+0.1)*(VLOOKUP(($F$16-$F$15)-1,AC$99:AG218,5,FALSE)))*EXP(-(LN(2)/$D$65+0.04)*(VLOOKUP(($F$16-$F$15)*2-1,AC$99:AG218,4,FALSE)))*EXP(-(LN(2)/$D$65+0.1)*(VLOOKUP(($F$16-$F$15)*2-1,AC$99:AG218,5,FALSE)))*EXP(-(LN(2)/$D$65+0.04)*AF218)*EXP(-(LN(2)/$D$65+0.1)*AG218),"-"))),"-")</f>
        <v>-</v>
      </c>
      <c r="AJ219" s="271" t="str">
        <f>IFERROR(IF(AD219=1,AJ$100*EXP(-(LN(2)/$D$65+0.04)*AF219)*EXP(-(LN(2)/$D$65+0.1)*AG219),IF(AD219=2,AJ$100*EXP(-(LN(2)/$D$65+0.04)*(VLOOKUP(($F$16-$F$15)-1,AC$100:AG219,4,FALSE)))*EXP(-(LN(2)/$D$65+0.1)*(VLOOKUP(($F$16-$F$15)-1,AC$100:AG219,5,FALSE)))*EXP(-(LN(2)/$D$65+0.04)*AF219)*EXP(-(LN(2)/$D$65+0.1)*AG219),IF(AD219=3,AJ$100*EXP(-(LN(2)/$D$65+0.04)*(VLOOKUP(($F$16-$F$15)-1,AC$100:AG219,4,FALSE)))*EXP(-(LN(2)/$D$65+0.1)*(VLOOKUP(($F$16-$F$15)-1,AC$100:AG219,5,FALSE)))*EXP(-(LN(2)/$D$65+0.04)*(VLOOKUP(($F$16-$F$15)*2-1,AC$100:AG219,4,FALSE)))*EXP(-(LN(2)/$D$65+0.1)*(VLOOKUP(($F$16-$F$15)*2-1,AC$100:AG219,5,FALSE)))*EXP(-(LN(2)/$D$65+0.04)*AF219)*EXP(-(LN(2)/$D$65+0.1)*AG219),"-"))),"-")</f>
        <v>-</v>
      </c>
      <c r="AK219" s="227">
        <f t="shared" si="154"/>
        <v>119</v>
      </c>
      <c r="AL219" s="226" t="str">
        <f t="shared" si="128"/>
        <v>-</v>
      </c>
      <c r="AM219" s="227" t="str">
        <f t="shared" si="155"/>
        <v>-</v>
      </c>
      <c r="AN219" s="227" t="str">
        <f t="shared" si="156"/>
        <v>-</v>
      </c>
      <c r="AO219" s="227" t="str">
        <f t="shared" si="184"/>
        <v>-</v>
      </c>
      <c r="AP219" s="273">
        <f t="shared" si="157"/>
        <v>0.1</v>
      </c>
      <c r="AQ219" s="271" t="str">
        <f>IFERROR(IF(AL218=1,AQ$100*EXP(-(LN(2)/$D$65+0.04)*AN218)*EXP(-(LN(2)/$D$65+0.1)*AO218),IF(AL218=2,AQ$100*EXP(-(LN(2)/$D$65+0.04)*(VLOOKUP(($F$16-$F$15)-1,AK$99:AO218,4,FALSE)))*EXP(-(LN(2)/$D$65+0.1)*(VLOOKUP(($F$16-$F$15)-1,AK$99:AO218,5,FALSE)))*EXP(-(LN(2)/$D$65+0.04)*AN218)*EXP(-(LN(2)/$D$65+0.1)*AO218),IF(AL218=3,AQ$100*EXP(-(LN(2)/$D$65+0.04)*(VLOOKUP(($F$16-$F$15)-1,AK$99:AO218,4,FALSE)))*EXP(-(LN(2)/$D$65+0.1)*(VLOOKUP(($F$16-$F$15)-1,AK$99:AO218,5,FALSE)))*EXP(-(LN(2)/$D$65+0.04)*(VLOOKUP(($F$16-$F$15)*2-1,AK$99:AO218,4,FALSE)))*EXP(-(LN(2)/$D$65+0.1)*(VLOOKUP(($F$16-$F$15)*2-1,AK$99:AO218,5,FALSE)))*EXP(-(LN(2)/$D$65+0.04)*AN218)*EXP(-(LN(2)/$D$65+0.1)*AO218),"-"))),"-")</f>
        <v>-</v>
      </c>
      <c r="AR219" s="271" t="str">
        <f>IFERROR(IF(AL219=1,AR$100*EXP(-(LN(2)/$D$65+0.04)*AN219)*EXP(-(LN(2)/$D$65+0.1)*AO219),IF(AL219=2,AR$100*EXP(-(LN(2)/$D$65+0.04)*(VLOOKUP(($F$16-$F$15)-1,AK$100:AO219,4,FALSE)))*EXP(-(LN(2)/$D$65+0.1)*(VLOOKUP(($F$16-$F$15)-1,AK$100:AO219,5,FALSE)))*EXP(-(LN(2)/$D$65+0.04)*AN219)*EXP(-(LN(2)/$D$65+0.1)*AO219),IF(AL219=3,AR$100*EXP(-(LN(2)/$D$65+0.04)*(VLOOKUP(($F$16-$F$15)-1,AK$100:AO219,4,FALSE)))*EXP(-(LN(2)/$D$65+0.1)*(VLOOKUP(($F$16-$F$15)-1,AK$100:AO219,5,FALSE)))*EXP(-(LN(2)/$D$65+0.04)*(VLOOKUP(($F$16-$F$15)*2-1,AK$100:AO219,4,FALSE)))*EXP(-(LN(2)/$D$65+0.1)*(VLOOKUP(($F$16-$F$15)*2-1,AK$100:AO219,5,FALSE)))*EXP(-(LN(2)/$D$65+0.04)*AN219)*EXP(-(LN(2)/$D$65+0.1)*AO219),"-"))),"-")</f>
        <v>-</v>
      </c>
      <c r="AS219" s="274">
        <f t="shared" si="185"/>
        <v>0</v>
      </c>
      <c r="AT219" s="274">
        <f t="shared" si="186"/>
        <v>0</v>
      </c>
      <c r="AU219" s="274">
        <f t="shared" si="187"/>
        <v>0</v>
      </c>
      <c r="AV219" s="190">
        <f>IF($B219&lt;$F$22,SUM($T$100:$T219),"")</f>
        <v>0</v>
      </c>
      <c r="AW219" s="190" t="str">
        <f t="shared" si="188"/>
        <v>-</v>
      </c>
      <c r="AX219" s="190" t="str">
        <f t="shared" si="158"/>
        <v/>
      </c>
      <c r="AY219"/>
      <c r="AZ219" s="190" t="str">
        <f ca="1">IF(ISNUMBER(OFFSET(AV219,-$F$21,0)),SUM(OFFSET($T$100,$F$21,0):$T219),"")</f>
        <v/>
      </c>
      <c r="BA219" s="190" t="str">
        <f t="shared" ca="1" si="189"/>
        <v/>
      </c>
      <c r="BB219" s="190" t="str">
        <f t="shared" ca="1" si="164"/>
        <v/>
      </c>
      <c r="BC219" s="190"/>
      <c r="BD219" s="190" t="str">
        <f ca="1">IFERROR(IF(AND($B219&gt;=($F$16-$F$15),$B219&lt;$F$22+($F$16-$F$15)),SUM(OFFSET($T$100,($F$16-$F$15),0):$T219),""),"")</f>
        <v/>
      </c>
      <c r="BE219" s="190" t="str">
        <f t="shared" ca="1" si="159"/>
        <v/>
      </c>
      <c r="BF219" s="190" t="str">
        <f t="shared" ca="1" si="160"/>
        <v/>
      </c>
      <c r="BG219"/>
      <c r="BH219" s="190" t="str">
        <f ca="1">IF(ISNUMBER(OFFSET(BD219,-$F$21,0)),SUM(OFFSET($T$100,($F$16-$F$15+$F$21),0):$T219),"")</f>
        <v/>
      </c>
      <c r="BI219" s="190" t="str">
        <f t="shared" ca="1" si="190"/>
        <v/>
      </c>
      <c r="BJ219" s="190" t="str">
        <f t="shared" ca="1" si="161"/>
        <v/>
      </c>
      <c r="BK219" s="190"/>
      <c r="BL219" s="190" t="str">
        <f ca="1">IFERROR(IF(AND($B219&gt;=($F$17-$F$15),$B219&lt;$F$22+($F$17-$F$15)),SUM(OFFSET($T$100,($F$17-$F$15),0):$T219),""),"")</f>
        <v/>
      </c>
      <c r="BM219" s="190" t="str">
        <f t="shared" ca="1" si="191"/>
        <v/>
      </c>
      <c r="BN219" s="190" t="str">
        <f t="shared" ca="1" si="162"/>
        <v/>
      </c>
      <c r="BO219"/>
      <c r="BP219" s="190" t="str">
        <f ca="1">IF(ISNUMBER(OFFSET(BL219,-$F$21,0)),SUM(OFFSET($T$100,($F$17-$F$15+$F$21),0):$T219),"")</f>
        <v/>
      </c>
      <c r="BQ219" s="190" t="str">
        <f t="shared" ca="1" si="192"/>
        <v/>
      </c>
      <c r="BR219" s="190" t="str">
        <f t="shared" ca="1" si="163"/>
        <v/>
      </c>
      <c r="BS219" s="190"/>
      <c r="BT219"/>
      <c r="BU219"/>
      <c r="BV219"/>
      <c r="BY219" s="99"/>
      <c r="BZ219" s="99"/>
      <c r="CA219" s="280" t="str">
        <f t="shared" si="193"/>
        <v/>
      </c>
      <c r="CB219" s="71" t="str">
        <f t="shared" si="194"/>
        <v>-</v>
      </c>
      <c r="CC219" s="33"/>
      <c r="CD219" s="261" t="str">
        <f t="shared" si="195"/>
        <v/>
      </c>
      <c r="CE219" s="280" t="str">
        <f t="shared" si="196"/>
        <v>-</v>
      </c>
      <c r="CF219" s="71" t="str">
        <f t="shared" ca="1" si="197"/>
        <v>-</v>
      </c>
      <c r="CG219" s="33" t="str">
        <f t="shared" si="198"/>
        <v>119-120</v>
      </c>
      <c r="CH219" s="261" t="str">
        <f t="shared" ca="1" si="199"/>
        <v/>
      </c>
      <c r="CP219" s="99"/>
      <c r="CQ219" s="99"/>
    </row>
    <row r="220" spans="2:95" ht="13.5" customHeight="1" x14ac:dyDescent="0.2">
      <c r="B220" s="262">
        <v>120</v>
      </c>
      <c r="C220" s="237" t="str">
        <f t="shared" si="165"/>
        <v/>
      </c>
      <c r="D220" s="237" t="str">
        <f t="shared" si="200"/>
        <v>-</v>
      </c>
      <c r="E220" s="263" t="str">
        <f t="shared" si="146"/>
        <v/>
      </c>
      <c r="F220" s="264" t="str">
        <f t="shared" si="147"/>
        <v/>
      </c>
      <c r="G220" s="264" t="str">
        <f t="shared" si="148"/>
        <v/>
      </c>
      <c r="H220" s="240" t="str">
        <f t="shared" si="166"/>
        <v/>
      </c>
      <c r="I220" s="265" t="str">
        <f t="shared" si="167"/>
        <v/>
      </c>
      <c r="J220" s="265" t="str">
        <f t="shared" si="168"/>
        <v/>
      </c>
      <c r="K220" s="240" t="str">
        <f t="shared" si="169"/>
        <v/>
      </c>
      <c r="L220" s="265" t="str">
        <f t="shared" si="170"/>
        <v/>
      </c>
      <c r="M220" s="265" t="str">
        <f t="shared" si="171"/>
        <v/>
      </c>
      <c r="N220" s="240" t="str">
        <f t="shared" si="172"/>
        <v>-</v>
      </c>
      <c r="O220" s="265" t="str">
        <f t="shared" si="173"/>
        <v>-</v>
      </c>
      <c r="P220" s="265" t="str">
        <f t="shared" si="174"/>
        <v>-</v>
      </c>
      <c r="Q220" s="266" t="str">
        <f t="shared" si="175"/>
        <v>-</v>
      </c>
      <c r="R220" s="267" t="str">
        <f t="shared" si="176"/>
        <v>-</v>
      </c>
      <c r="S220" s="268" t="str">
        <f t="shared" si="177"/>
        <v>-</v>
      </c>
      <c r="T220" s="269" t="str">
        <f t="shared" si="178"/>
        <v/>
      </c>
      <c r="U220" s="221">
        <f t="shared" si="179"/>
        <v>120</v>
      </c>
      <c r="V220" s="220" t="str">
        <f t="shared" si="122"/>
        <v>-</v>
      </c>
      <c r="W220" s="221" t="str">
        <f t="shared" si="149"/>
        <v>-</v>
      </c>
      <c r="X220" s="221" t="str">
        <f t="shared" si="180"/>
        <v>-</v>
      </c>
      <c r="Y220" s="221" t="str">
        <f t="shared" si="181"/>
        <v>-</v>
      </c>
      <c r="Z220" s="270">
        <f t="shared" si="150"/>
        <v>0.1</v>
      </c>
      <c r="AA220" s="271" t="str">
        <f>IFERROR(IF(V219=1,AA$100*EXP(-(LN(2)/$D$65+0.04)*X219)*EXP(-(LN(2)/$D$65+0.1)*Y219),IF(V219=2,AA$100*EXP(-(LN(2)/$D$65+0.04)*(VLOOKUP(($F$16-$F$15)-1,U$99:Y219,4,FALSE)))*EXP(-(LN(2)/$D$65+0.1)*(VLOOKUP(($F$16-$F$15)-1,U$99:Y219,5,FALSE)))*EXP(-(LN(2)/$D$65+0.04)*X219)*EXP(-(LN(2)/$D$65+0.1)*Y219),IF(V219=3,AA$100*EXP(-(LN(2)/$D$65+0.04)*(VLOOKUP(($F$16-$F$15)-1,U$99:Y219,4,FALSE)))*EXP(-(LN(2)/$D$65+0.1)*(VLOOKUP(($F$16-$F$15)-1,U$99:Y219,5,FALSE)))*EXP(-(LN(2)/$D$65+0.04)*(VLOOKUP(($F$16-$F$15)*2-1,U$99:Y219,4,FALSE)))*EXP(-(LN(2)/$D$65+0.1)*(VLOOKUP(($F$16-$F$15)*2-1,U$99:Y219,5,FALSE)))*EXP(-(LN(2)/$D$65+0.04)*X219)*EXP(-(LN(2)/$D$65+0.1)*Y219),"-"))),"-")</f>
        <v>-</v>
      </c>
      <c r="AB220" s="271" t="str">
        <f>IFERROR(IF(V220=1,AB$100*EXP(-(LN(2)/$D$65+0.04)*X220)*EXP(-(LN(2)/$D$65+0.1)*Y220),IF(V220=2,AB$100*EXP(-(LN(2)/$D$65+0.04)*(VLOOKUP(($F$16-$F$15)-1,U$100:Y220,4,FALSE)))*EXP(-(LN(2)/$D$65+0.1)*(VLOOKUP(($F$16-$F$15)-1,U$100:Y220,5,FALSE)))*EXP(-(LN(2)/$D$65+0.04)*X220)*EXP(-(LN(2)/$D$65+0.1)*Y220),IF(V220=3,AB$100*EXP(-(LN(2)/$D$65+0.04)*(VLOOKUP(($F$16-$F$15)-1,U$100:Y220,4,FALSE)))*EXP(-(LN(2)/$D$65+0.1)*(VLOOKUP(($F$16-$F$15)-1,U$100:Y220,5,FALSE)))*EXP(-(LN(2)/$D$65+0.04)*(VLOOKUP(($F$16-$F$15)*2-1,U$100:Y220,4,FALSE)))*EXP(-(LN(2)/$D$65+0.1)*(VLOOKUP(($F$16-$F$15)*2-1,U$100:Y220,5,FALSE)))*EXP(-(LN(2)/$D$65+0.04)*X220)*EXP(-(LN(2)/$D$65+0.1)*Y220),"-"))),"-")</f>
        <v>-</v>
      </c>
      <c r="AC220" s="224">
        <f t="shared" si="151"/>
        <v>120</v>
      </c>
      <c r="AD220" s="223" t="str">
        <f t="shared" si="125"/>
        <v>-</v>
      </c>
      <c r="AE220" s="224" t="str">
        <f t="shared" si="152"/>
        <v>-</v>
      </c>
      <c r="AF220" s="224" t="str">
        <f t="shared" si="182"/>
        <v>-</v>
      </c>
      <c r="AG220" s="224" t="str">
        <f t="shared" si="183"/>
        <v>-</v>
      </c>
      <c r="AH220" s="272">
        <f t="shared" si="153"/>
        <v>0.1</v>
      </c>
      <c r="AI220" s="271" t="str">
        <f>IFERROR(IF(AD219=1,AI$100*EXP(-(LN(2)/$D$65+0.04)*AF219)*EXP(-(LN(2)/$D$65+0.1)*AG219),IF(AD219=2,AI$100*EXP(-(LN(2)/$D$65+0.04)*(VLOOKUP(($F$16-$F$15)-1,AC$99:AG219,4,FALSE)))*EXP(-(LN(2)/$D$65+0.1)*(VLOOKUP(($F$16-$F$15)-1,AC$99:AG219,5,FALSE)))*EXP(-(LN(2)/$D$65+0.04)*AF219)*EXP(-(LN(2)/$D$65+0.1)*AG219),IF(AD219=3,AI$100*EXP(-(LN(2)/$D$65+0.04)*(VLOOKUP(($F$16-$F$15)-1,AC$99:AG219,4,FALSE)))*EXP(-(LN(2)/$D$65+0.1)*(VLOOKUP(($F$16-$F$15)-1,AC$99:AG219,5,FALSE)))*EXP(-(LN(2)/$D$65+0.04)*(VLOOKUP(($F$16-$F$15)*2-1,AC$99:AG219,4,FALSE)))*EXP(-(LN(2)/$D$65+0.1)*(VLOOKUP(($F$16-$F$15)*2-1,AC$99:AG219,5,FALSE)))*EXP(-(LN(2)/$D$65+0.04)*AF219)*EXP(-(LN(2)/$D$65+0.1)*AG219),"-"))),"-")</f>
        <v>-</v>
      </c>
      <c r="AJ220" s="271" t="str">
        <f>IFERROR(IF(AD220=1,AJ$100*EXP(-(LN(2)/$D$65+0.04)*AF220)*EXP(-(LN(2)/$D$65+0.1)*AG220),IF(AD220=2,AJ$100*EXP(-(LN(2)/$D$65+0.04)*(VLOOKUP(($F$16-$F$15)-1,AC$100:AG220,4,FALSE)))*EXP(-(LN(2)/$D$65+0.1)*(VLOOKUP(($F$16-$F$15)-1,AC$100:AG220,5,FALSE)))*EXP(-(LN(2)/$D$65+0.04)*AF220)*EXP(-(LN(2)/$D$65+0.1)*AG220),IF(AD220=3,AJ$100*EXP(-(LN(2)/$D$65+0.04)*(VLOOKUP(($F$16-$F$15)-1,AC$100:AG220,4,FALSE)))*EXP(-(LN(2)/$D$65+0.1)*(VLOOKUP(($F$16-$F$15)-1,AC$100:AG220,5,FALSE)))*EXP(-(LN(2)/$D$65+0.04)*(VLOOKUP(($F$16-$F$15)*2-1,AC$100:AG220,4,FALSE)))*EXP(-(LN(2)/$D$65+0.1)*(VLOOKUP(($F$16-$F$15)*2-1,AC$100:AG220,5,FALSE)))*EXP(-(LN(2)/$D$65+0.04)*AF220)*EXP(-(LN(2)/$D$65+0.1)*AG220),"-"))),"-")</f>
        <v>-</v>
      </c>
      <c r="AK220" s="227">
        <f t="shared" si="154"/>
        <v>120</v>
      </c>
      <c r="AL220" s="226" t="str">
        <f t="shared" si="128"/>
        <v>-</v>
      </c>
      <c r="AM220" s="227" t="str">
        <f t="shared" si="155"/>
        <v>-</v>
      </c>
      <c r="AN220" s="227" t="str">
        <f t="shared" si="156"/>
        <v>-</v>
      </c>
      <c r="AO220" s="227" t="str">
        <f t="shared" si="184"/>
        <v>-</v>
      </c>
      <c r="AP220" s="273">
        <f t="shared" si="157"/>
        <v>0.1</v>
      </c>
      <c r="AQ220" s="271" t="str">
        <f>IFERROR(IF(AL219=1,AQ$100*EXP(-(LN(2)/$D$65+0.04)*AN219)*EXP(-(LN(2)/$D$65+0.1)*AO219),IF(AL219=2,AQ$100*EXP(-(LN(2)/$D$65+0.04)*(VLOOKUP(($F$16-$F$15)-1,AK$99:AO219,4,FALSE)))*EXP(-(LN(2)/$D$65+0.1)*(VLOOKUP(($F$16-$F$15)-1,AK$99:AO219,5,FALSE)))*EXP(-(LN(2)/$D$65+0.04)*AN219)*EXP(-(LN(2)/$D$65+0.1)*AO219),IF(AL219=3,AQ$100*EXP(-(LN(2)/$D$65+0.04)*(VLOOKUP(($F$16-$F$15)-1,AK$99:AO219,4,FALSE)))*EXP(-(LN(2)/$D$65+0.1)*(VLOOKUP(($F$16-$F$15)-1,AK$99:AO219,5,FALSE)))*EXP(-(LN(2)/$D$65+0.04)*(VLOOKUP(($F$16-$F$15)*2-1,AK$99:AO219,4,FALSE)))*EXP(-(LN(2)/$D$65+0.1)*(VLOOKUP(($F$16-$F$15)*2-1,AK$99:AO219,5,FALSE)))*EXP(-(LN(2)/$D$65+0.04)*AN219)*EXP(-(LN(2)/$D$65+0.1)*AO219),"-"))),"-")</f>
        <v>-</v>
      </c>
      <c r="AR220" s="271" t="str">
        <f>IFERROR(IF(AL220=1,AR$100*EXP(-(LN(2)/$D$65+0.04)*AN220)*EXP(-(LN(2)/$D$65+0.1)*AO220),IF(AL220=2,AR$100*EXP(-(LN(2)/$D$65+0.04)*(VLOOKUP(($F$16-$F$15)-1,AK$100:AO220,4,FALSE)))*EXP(-(LN(2)/$D$65+0.1)*(VLOOKUP(($F$16-$F$15)-1,AK$100:AO220,5,FALSE)))*EXP(-(LN(2)/$D$65+0.04)*AN220)*EXP(-(LN(2)/$D$65+0.1)*AO220),IF(AL220=3,AR$100*EXP(-(LN(2)/$D$65+0.04)*(VLOOKUP(($F$16-$F$15)-1,AK$100:AO220,4,FALSE)))*EXP(-(LN(2)/$D$65+0.1)*(VLOOKUP(($F$16-$F$15)-1,AK$100:AO220,5,FALSE)))*EXP(-(LN(2)/$D$65+0.04)*(VLOOKUP(($F$16-$F$15)*2-1,AK$100:AO220,4,FALSE)))*EXP(-(LN(2)/$D$65+0.1)*(VLOOKUP(($F$16-$F$15)*2-1,AK$100:AO220,5,FALSE)))*EXP(-(LN(2)/$D$65+0.04)*AN220)*EXP(-(LN(2)/$D$65+0.1)*AO220),"-"))),"-")</f>
        <v>-</v>
      </c>
      <c r="AS220" s="274">
        <f t="shared" si="185"/>
        <v>0</v>
      </c>
      <c r="AT220" s="274">
        <f t="shared" si="186"/>
        <v>0</v>
      </c>
      <c r="AU220" s="274">
        <f t="shared" si="187"/>
        <v>0</v>
      </c>
      <c r="AV220" s="190">
        <f>IF($B220&lt;$F$22,SUM($T$100:$T220),"")</f>
        <v>0</v>
      </c>
      <c r="AW220" s="190" t="str">
        <f t="shared" si="188"/>
        <v>-</v>
      </c>
      <c r="AX220" s="190" t="str">
        <f t="shared" si="158"/>
        <v/>
      </c>
      <c r="AY220"/>
      <c r="AZ220" s="190" t="str">
        <f ca="1">IF(ISNUMBER(OFFSET(AV220,-$F$21,0)),SUM(OFFSET($T$100,$F$21,0):$T220),"")</f>
        <v/>
      </c>
      <c r="BA220" s="190" t="str">
        <f t="shared" ca="1" si="189"/>
        <v/>
      </c>
      <c r="BB220" s="190" t="str">
        <f t="shared" ca="1" si="164"/>
        <v/>
      </c>
      <c r="BC220" s="190"/>
      <c r="BD220" s="190" t="str">
        <f ca="1">IFERROR(IF(AND($B220&gt;=($F$16-$F$15),$B220&lt;$F$22+($F$16-$F$15)),SUM(OFFSET($T$100,($F$16-$F$15),0):$T220),""),"")</f>
        <v/>
      </c>
      <c r="BE220" s="190" t="str">
        <f t="shared" ca="1" si="159"/>
        <v/>
      </c>
      <c r="BF220" s="190" t="str">
        <f t="shared" ca="1" si="160"/>
        <v/>
      </c>
      <c r="BG220"/>
      <c r="BH220" s="190" t="str">
        <f ca="1">IF(ISNUMBER(OFFSET(BD220,-$F$21,0)),SUM(OFFSET($T$100,($F$16-$F$15+$F$21),0):$T220),"")</f>
        <v/>
      </c>
      <c r="BI220" s="190" t="str">
        <f t="shared" ca="1" si="190"/>
        <v/>
      </c>
      <c r="BJ220" s="190" t="str">
        <f t="shared" ca="1" si="161"/>
        <v/>
      </c>
      <c r="BK220" s="190"/>
      <c r="BL220" s="190" t="str">
        <f ca="1">IFERROR(IF(AND($B220&gt;=($F$17-$F$15),$B220&lt;$F$22+($F$17-$F$15)),SUM(OFFSET($T$100,($F$17-$F$15),0):$T220),""),"")</f>
        <v/>
      </c>
      <c r="BM220" s="190" t="str">
        <f t="shared" ca="1" si="191"/>
        <v/>
      </c>
      <c r="BN220" s="190" t="str">
        <f t="shared" ca="1" si="162"/>
        <v/>
      </c>
      <c r="BO220"/>
      <c r="BP220" s="190" t="str">
        <f ca="1">IF(ISNUMBER(OFFSET(BL220,-$F$21,0)),SUM(OFFSET($T$100,($F$17-$F$15+$F$21),0):$T220),"")</f>
        <v/>
      </c>
      <c r="BQ220" s="190" t="str">
        <f t="shared" ca="1" si="192"/>
        <v/>
      </c>
      <c r="BR220" s="190" t="str">
        <f t="shared" ca="1" si="163"/>
        <v/>
      </c>
      <c r="BS220" s="190"/>
      <c r="BT220"/>
      <c r="BU220"/>
      <c r="BV220"/>
      <c r="BY220" s="99"/>
      <c r="BZ220" s="99"/>
      <c r="CA220" s="280" t="str">
        <f t="shared" si="193"/>
        <v/>
      </c>
      <c r="CB220" s="71" t="str">
        <f t="shared" si="194"/>
        <v>-</v>
      </c>
      <c r="CC220" s="33"/>
      <c r="CD220" s="261" t="str">
        <f t="shared" si="195"/>
        <v/>
      </c>
      <c r="CE220" s="280" t="str">
        <f t="shared" si="196"/>
        <v>-</v>
      </c>
      <c r="CF220" s="71" t="str">
        <f t="shared" ca="1" si="197"/>
        <v>-</v>
      </c>
      <c r="CG220" s="33" t="str">
        <f t="shared" si="198"/>
        <v>120-121</v>
      </c>
      <c r="CH220" s="261" t="str">
        <f t="shared" ca="1" si="199"/>
        <v/>
      </c>
      <c r="CP220" s="99"/>
      <c r="CQ220" s="99"/>
    </row>
    <row r="221" spans="2:95" ht="13.5" customHeight="1" x14ac:dyDescent="0.2">
      <c r="B221" s="262">
        <v>121</v>
      </c>
      <c r="C221" s="237" t="str">
        <f t="shared" si="165"/>
        <v/>
      </c>
      <c r="D221" s="237" t="str">
        <f t="shared" si="200"/>
        <v>-</v>
      </c>
      <c r="E221" s="263" t="str">
        <f t="shared" si="146"/>
        <v/>
      </c>
      <c r="F221" s="264" t="str">
        <f t="shared" si="147"/>
        <v/>
      </c>
      <c r="G221" s="264" t="str">
        <f t="shared" si="148"/>
        <v/>
      </c>
      <c r="H221" s="240" t="str">
        <f t="shared" si="166"/>
        <v/>
      </c>
      <c r="I221" s="265" t="str">
        <f t="shared" si="167"/>
        <v/>
      </c>
      <c r="J221" s="265" t="str">
        <f t="shared" si="168"/>
        <v/>
      </c>
      <c r="K221" s="240" t="str">
        <f t="shared" si="169"/>
        <v/>
      </c>
      <c r="L221" s="265" t="str">
        <f t="shared" si="170"/>
        <v/>
      </c>
      <c r="M221" s="265" t="str">
        <f t="shared" si="171"/>
        <v/>
      </c>
      <c r="N221" s="240" t="str">
        <f t="shared" si="172"/>
        <v>-</v>
      </c>
      <c r="O221" s="265" t="str">
        <f t="shared" si="173"/>
        <v>-</v>
      </c>
      <c r="P221" s="265" t="str">
        <f t="shared" si="174"/>
        <v>-</v>
      </c>
      <c r="Q221" s="266" t="str">
        <f t="shared" si="175"/>
        <v>-</v>
      </c>
      <c r="R221" s="267" t="str">
        <f t="shared" si="176"/>
        <v>-</v>
      </c>
      <c r="S221" s="268" t="str">
        <f t="shared" si="177"/>
        <v>-</v>
      </c>
      <c r="T221" s="269" t="str">
        <f t="shared" si="178"/>
        <v/>
      </c>
      <c r="U221" s="221">
        <f t="shared" si="179"/>
        <v>121</v>
      </c>
      <c r="V221" s="220" t="str">
        <f t="shared" si="122"/>
        <v>-</v>
      </c>
      <c r="W221" s="221" t="str">
        <f t="shared" si="149"/>
        <v>-</v>
      </c>
      <c r="X221" s="221" t="str">
        <f t="shared" si="180"/>
        <v>-</v>
      </c>
      <c r="Y221" s="221" t="str">
        <f t="shared" si="181"/>
        <v>-</v>
      </c>
      <c r="Z221" s="270">
        <f t="shared" si="150"/>
        <v>0.1</v>
      </c>
      <c r="AA221" s="271" t="str">
        <f>IFERROR(IF(V220=1,AA$100*EXP(-(LN(2)/$D$65+0.04)*X220)*EXP(-(LN(2)/$D$65+0.1)*Y220),IF(V220=2,AA$100*EXP(-(LN(2)/$D$65+0.04)*(VLOOKUP(($F$16-$F$15)-1,U$99:Y220,4,FALSE)))*EXP(-(LN(2)/$D$65+0.1)*(VLOOKUP(($F$16-$F$15)-1,U$99:Y220,5,FALSE)))*EXP(-(LN(2)/$D$65+0.04)*X220)*EXP(-(LN(2)/$D$65+0.1)*Y220),IF(V220=3,AA$100*EXP(-(LN(2)/$D$65+0.04)*(VLOOKUP(($F$16-$F$15)-1,U$99:Y220,4,FALSE)))*EXP(-(LN(2)/$D$65+0.1)*(VLOOKUP(($F$16-$F$15)-1,U$99:Y220,5,FALSE)))*EXP(-(LN(2)/$D$65+0.04)*(VLOOKUP(($F$16-$F$15)*2-1,U$99:Y220,4,FALSE)))*EXP(-(LN(2)/$D$65+0.1)*(VLOOKUP(($F$16-$F$15)*2-1,U$99:Y220,5,FALSE)))*EXP(-(LN(2)/$D$65+0.04)*X220)*EXP(-(LN(2)/$D$65+0.1)*Y220),"-"))),"-")</f>
        <v>-</v>
      </c>
      <c r="AB221" s="271" t="str">
        <f>IFERROR(IF(V221=1,AB$100*EXP(-(LN(2)/$D$65+0.04)*X221)*EXP(-(LN(2)/$D$65+0.1)*Y221),IF(V221=2,AB$100*EXP(-(LN(2)/$D$65+0.04)*(VLOOKUP(($F$16-$F$15)-1,U$100:Y221,4,FALSE)))*EXP(-(LN(2)/$D$65+0.1)*(VLOOKUP(($F$16-$F$15)-1,U$100:Y221,5,FALSE)))*EXP(-(LN(2)/$D$65+0.04)*X221)*EXP(-(LN(2)/$D$65+0.1)*Y221),IF(V221=3,AB$100*EXP(-(LN(2)/$D$65+0.04)*(VLOOKUP(($F$16-$F$15)-1,U$100:Y221,4,FALSE)))*EXP(-(LN(2)/$D$65+0.1)*(VLOOKUP(($F$16-$F$15)-1,U$100:Y221,5,FALSE)))*EXP(-(LN(2)/$D$65+0.04)*(VLOOKUP(($F$16-$F$15)*2-1,U$100:Y221,4,FALSE)))*EXP(-(LN(2)/$D$65+0.1)*(VLOOKUP(($F$16-$F$15)*2-1,U$100:Y221,5,FALSE)))*EXP(-(LN(2)/$D$65+0.04)*X221)*EXP(-(LN(2)/$D$65+0.1)*Y221),"-"))),"-")</f>
        <v>-</v>
      </c>
      <c r="AC221" s="224">
        <f t="shared" si="151"/>
        <v>121</v>
      </c>
      <c r="AD221" s="223" t="str">
        <f t="shared" si="125"/>
        <v>-</v>
      </c>
      <c r="AE221" s="224" t="str">
        <f t="shared" si="152"/>
        <v>-</v>
      </c>
      <c r="AF221" s="224" t="str">
        <f t="shared" si="182"/>
        <v>-</v>
      </c>
      <c r="AG221" s="224" t="str">
        <f t="shared" si="183"/>
        <v>-</v>
      </c>
      <c r="AH221" s="272">
        <f t="shared" si="153"/>
        <v>0.1</v>
      </c>
      <c r="AI221" s="271" t="str">
        <f>IFERROR(IF(AD220=1,AI$100*EXP(-(LN(2)/$D$65+0.04)*AF220)*EXP(-(LN(2)/$D$65+0.1)*AG220),IF(AD220=2,AI$100*EXP(-(LN(2)/$D$65+0.04)*(VLOOKUP(($F$16-$F$15)-1,AC$99:AG220,4,FALSE)))*EXP(-(LN(2)/$D$65+0.1)*(VLOOKUP(($F$16-$F$15)-1,AC$99:AG220,5,FALSE)))*EXP(-(LN(2)/$D$65+0.04)*AF220)*EXP(-(LN(2)/$D$65+0.1)*AG220),IF(AD220=3,AI$100*EXP(-(LN(2)/$D$65+0.04)*(VLOOKUP(($F$16-$F$15)-1,AC$99:AG220,4,FALSE)))*EXP(-(LN(2)/$D$65+0.1)*(VLOOKUP(($F$16-$F$15)-1,AC$99:AG220,5,FALSE)))*EXP(-(LN(2)/$D$65+0.04)*(VLOOKUP(($F$16-$F$15)*2-1,AC$99:AG220,4,FALSE)))*EXP(-(LN(2)/$D$65+0.1)*(VLOOKUP(($F$16-$F$15)*2-1,AC$99:AG220,5,FALSE)))*EXP(-(LN(2)/$D$65+0.04)*AF220)*EXP(-(LN(2)/$D$65+0.1)*AG220),"-"))),"-")</f>
        <v>-</v>
      </c>
      <c r="AJ221" s="271" t="str">
        <f>IFERROR(IF(AD221=1,AJ$100*EXP(-(LN(2)/$D$65+0.04)*AF221)*EXP(-(LN(2)/$D$65+0.1)*AG221),IF(AD221=2,AJ$100*EXP(-(LN(2)/$D$65+0.04)*(VLOOKUP(($F$16-$F$15)-1,AC$100:AG221,4,FALSE)))*EXP(-(LN(2)/$D$65+0.1)*(VLOOKUP(($F$16-$F$15)-1,AC$100:AG221,5,FALSE)))*EXP(-(LN(2)/$D$65+0.04)*AF221)*EXP(-(LN(2)/$D$65+0.1)*AG221),IF(AD221=3,AJ$100*EXP(-(LN(2)/$D$65+0.04)*(VLOOKUP(($F$16-$F$15)-1,AC$100:AG221,4,FALSE)))*EXP(-(LN(2)/$D$65+0.1)*(VLOOKUP(($F$16-$F$15)-1,AC$100:AG221,5,FALSE)))*EXP(-(LN(2)/$D$65+0.04)*(VLOOKUP(($F$16-$F$15)*2-1,AC$100:AG221,4,FALSE)))*EXP(-(LN(2)/$D$65+0.1)*(VLOOKUP(($F$16-$F$15)*2-1,AC$100:AG221,5,FALSE)))*EXP(-(LN(2)/$D$65+0.04)*AF221)*EXP(-(LN(2)/$D$65+0.1)*AG221),"-"))),"-")</f>
        <v>-</v>
      </c>
      <c r="AK221" s="227">
        <f t="shared" si="154"/>
        <v>121</v>
      </c>
      <c r="AL221" s="226" t="str">
        <f t="shared" si="128"/>
        <v>-</v>
      </c>
      <c r="AM221" s="227" t="str">
        <f t="shared" si="155"/>
        <v>-</v>
      </c>
      <c r="AN221" s="227" t="str">
        <f t="shared" si="156"/>
        <v>-</v>
      </c>
      <c r="AO221" s="227" t="str">
        <f t="shared" si="184"/>
        <v>-</v>
      </c>
      <c r="AP221" s="273">
        <f t="shared" si="157"/>
        <v>0.1</v>
      </c>
      <c r="AQ221" s="271" t="str">
        <f>IFERROR(IF(AL220=1,AQ$100*EXP(-(LN(2)/$D$65+0.04)*AN220)*EXP(-(LN(2)/$D$65+0.1)*AO220),IF(AL220=2,AQ$100*EXP(-(LN(2)/$D$65+0.04)*(VLOOKUP(($F$16-$F$15)-1,AK$99:AO220,4,FALSE)))*EXP(-(LN(2)/$D$65+0.1)*(VLOOKUP(($F$16-$F$15)-1,AK$99:AO220,5,FALSE)))*EXP(-(LN(2)/$D$65+0.04)*AN220)*EXP(-(LN(2)/$D$65+0.1)*AO220),IF(AL220=3,AQ$100*EXP(-(LN(2)/$D$65+0.04)*(VLOOKUP(($F$16-$F$15)-1,AK$99:AO220,4,FALSE)))*EXP(-(LN(2)/$D$65+0.1)*(VLOOKUP(($F$16-$F$15)-1,AK$99:AO220,5,FALSE)))*EXP(-(LN(2)/$D$65+0.04)*(VLOOKUP(($F$16-$F$15)*2-1,AK$99:AO220,4,FALSE)))*EXP(-(LN(2)/$D$65+0.1)*(VLOOKUP(($F$16-$F$15)*2-1,AK$99:AO220,5,FALSE)))*EXP(-(LN(2)/$D$65+0.04)*AN220)*EXP(-(LN(2)/$D$65+0.1)*AO220),"-"))),"-")</f>
        <v>-</v>
      </c>
      <c r="AR221" s="271" t="str">
        <f>IFERROR(IF(AL221=1,AR$100*EXP(-(LN(2)/$D$65+0.04)*AN221)*EXP(-(LN(2)/$D$65+0.1)*AO221),IF(AL221=2,AR$100*EXP(-(LN(2)/$D$65+0.04)*(VLOOKUP(($F$16-$F$15)-1,AK$100:AO221,4,FALSE)))*EXP(-(LN(2)/$D$65+0.1)*(VLOOKUP(($F$16-$F$15)-1,AK$100:AO221,5,FALSE)))*EXP(-(LN(2)/$D$65+0.04)*AN221)*EXP(-(LN(2)/$D$65+0.1)*AO221),IF(AL221=3,AR$100*EXP(-(LN(2)/$D$65+0.04)*(VLOOKUP(($F$16-$F$15)-1,AK$100:AO221,4,FALSE)))*EXP(-(LN(2)/$D$65+0.1)*(VLOOKUP(($F$16-$F$15)-1,AK$100:AO221,5,FALSE)))*EXP(-(LN(2)/$D$65+0.04)*(VLOOKUP(($F$16-$F$15)*2-1,AK$100:AO221,4,FALSE)))*EXP(-(LN(2)/$D$65+0.1)*(VLOOKUP(($F$16-$F$15)*2-1,AK$100:AO221,5,FALSE)))*EXP(-(LN(2)/$D$65+0.04)*AN221)*EXP(-(LN(2)/$D$65+0.1)*AO221),"-"))),"-")</f>
        <v>-</v>
      </c>
      <c r="AS221" s="274">
        <f t="shared" si="185"/>
        <v>0</v>
      </c>
      <c r="AT221" s="274">
        <f t="shared" si="186"/>
        <v>0</v>
      </c>
      <c r="AU221" s="274">
        <f t="shared" si="187"/>
        <v>0</v>
      </c>
      <c r="AV221" s="190">
        <f>IF($B221&lt;$F$22,SUM($T$100:$T221),"")</f>
        <v>0</v>
      </c>
      <c r="AW221" s="190" t="str">
        <f t="shared" si="188"/>
        <v>-</v>
      </c>
      <c r="AX221" s="190" t="str">
        <f t="shared" si="158"/>
        <v/>
      </c>
      <c r="AY221"/>
      <c r="AZ221" s="190" t="str">
        <f ca="1">IF(ISNUMBER(OFFSET(AV221,-$F$21,0)),SUM(OFFSET($T$100,$F$21,0):$T221),"")</f>
        <v/>
      </c>
      <c r="BA221" s="190" t="str">
        <f t="shared" ca="1" si="189"/>
        <v/>
      </c>
      <c r="BB221" s="190" t="str">
        <f t="shared" ca="1" si="164"/>
        <v/>
      </c>
      <c r="BC221" s="190"/>
      <c r="BD221" s="190" t="str">
        <f ca="1">IFERROR(IF(AND($B221&gt;=($F$16-$F$15),$B221&lt;$F$22+($F$16-$F$15)),SUM(OFFSET($T$100,($F$16-$F$15),0):$T221),""),"")</f>
        <v/>
      </c>
      <c r="BE221" s="190" t="str">
        <f t="shared" ca="1" si="159"/>
        <v/>
      </c>
      <c r="BF221" s="190" t="str">
        <f t="shared" ca="1" si="160"/>
        <v/>
      </c>
      <c r="BG221"/>
      <c r="BH221" s="190" t="str">
        <f ca="1">IF(ISNUMBER(OFFSET(BD221,-$F$21,0)),SUM(OFFSET($T$100,($F$16-$F$15+$F$21),0):$T221),"")</f>
        <v/>
      </c>
      <c r="BI221" s="190" t="str">
        <f t="shared" ca="1" si="190"/>
        <v/>
      </c>
      <c r="BJ221" s="190" t="str">
        <f t="shared" ca="1" si="161"/>
        <v/>
      </c>
      <c r="BK221" s="190"/>
      <c r="BL221" s="190" t="str">
        <f ca="1">IFERROR(IF(AND($B221&gt;=($F$17-$F$15),$B221&lt;$F$22+($F$17-$F$15)),SUM(OFFSET($T$100,($F$17-$F$15),0):$T221),""),"")</f>
        <v/>
      </c>
      <c r="BM221" s="190" t="str">
        <f t="shared" ca="1" si="191"/>
        <v/>
      </c>
      <c r="BN221" s="190" t="str">
        <f t="shared" ca="1" si="162"/>
        <v/>
      </c>
      <c r="BO221"/>
      <c r="BP221" s="190" t="str">
        <f ca="1">IF(ISNUMBER(OFFSET(BL221,-$F$21,0)),SUM(OFFSET($T$100,($F$17-$F$15+$F$21),0):$T221),"")</f>
        <v/>
      </c>
      <c r="BQ221" s="190" t="str">
        <f t="shared" ca="1" si="192"/>
        <v/>
      </c>
      <c r="BR221" s="190" t="str">
        <f t="shared" ca="1" si="163"/>
        <v/>
      </c>
      <c r="BS221" s="190"/>
      <c r="BT221"/>
      <c r="BU221"/>
      <c r="BV221"/>
      <c r="BY221" s="99"/>
      <c r="BZ221" s="99"/>
      <c r="CA221" s="280" t="str">
        <f t="shared" si="193"/>
        <v/>
      </c>
      <c r="CB221" s="71" t="str">
        <f t="shared" si="194"/>
        <v>-</v>
      </c>
      <c r="CC221" s="33"/>
      <c r="CD221" s="261" t="str">
        <f t="shared" si="195"/>
        <v/>
      </c>
      <c r="CE221" s="280" t="str">
        <f t="shared" si="196"/>
        <v>-</v>
      </c>
      <c r="CF221" s="71" t="str">
        <f t="shared" ca="1" si="197"/>
        <v>-</v>
      </c>
      <c r="CG221" s="33" t="str">
        <f t="shared" si="198"/>
        <v>121-122</v>
      </c>
      <c r="CH221" s="261" t="str">
        <f t="shared" ca="1" si="199"/>
        <v/>
      </c>
      <c r="CP221" s="99"/>
      <c r="CQ221" s="99"/>
    </row>
    <row r="222" spans="2:95" ht="13.5" customHeight="1" x14ac:dyDescent="0.2">
      <c r="B222" s="262">
        <v>122</v>
      </c>
      <c r="C222" s="237" t="str">
        <f t="shared" si="165"/>
        <v/>
      </c>
      <c r="D222" s="237" t="str">
        <f t="shared" si="200"/>
        <v>-</v>
      </c>
      <c r="E222" s="263" t="str">
        <f t="shared" si="146"/>
        <v/>
      </c>
      <c r="F222" s="264" t="str">
        <f t="shared" si="147"/>
        <v/>
      </c>
      <c r="G222" s="264" t="str">
        <f t="shared" si="148"/>
        <v/>
      </c>
      <c r="H222" s="240" t="str">
        <f t="shared" si="166"/>
        <v/>
      </c>
      <c r="I222" s="265" t="str">
        <f t="shared" si="167"/>
        <v/>
      </c>
      <c r="J222" s="265" t="str">
        <f t="shared" si="168"/>
        <v/>
      </c>
      <c r="K222" s="240" t="str">
        <f t="shared" si="169"/>
        <v/>
      </c>
      <c r="L222" s="265" t="str">
        <f t="shared" si="170"/>
        <v/>
      </c>
      <c r="M222" s="265" t="str">
        <f t="shared" si="171"/>
        <v/>
      </c>
      <c r="N222" s="240" t="str">
        <f t="shared" si="172"/>
        <v>-</v>
      </c>
      <c r="O222" s="265" t="str">
        <f t="shared" si="173"/>
        <v>-</v>
      </c>
      <c r="P222" s="265" t="str">
        <f t="shared" si="174"/>
        <v>-</v>
      </c>
      <c r="Q222" s="266" t="str">
        <f t="shared" si="175"/>
        <v>-</v>
      </c>
      <c r="R222" s="267" t="str">
        <f t="shared" si="176"/>
        <v>-</v>
      </c>
      <c r="S222" s="268" t="str">
        <f t="shared" si="177"/>
        <v>-</v>
      </c>
      <c r="T222" s="269" t="str">
        <f t="shared" si="178"/>
        <v/>
      </c>
      <c r="U222" s="221">
        <f t="shared" si="179"/>
        <v>122</v>
      </c>
      <c r="V222" s="220" t="str">
        <f t="shared" si="122"/>
        <v>-</v>
      </c>
      <c r="W222" s="221" t="str">
        <f t="shared" si="149"/>
        <v>-</v>
      </c>
      <c r="X222" s="221" t="str">
        <f t="shared" si="180"/>
        <v>-</v>
      </c>
      <c r="Y222" s="221" t="str">
        <f t="shared" si="181"/>
        <v>-</v>
      </c>
      <c r="Z222" s="270">
        <f t="shared" si="150"/>
        <v>0.1</v>
      </c>
      <c r="AA222" s="271" t="str">
        <f>IFERROR(IF(V221=1,AA$100*EXP(-(LN(2)/$D$65+0.04)*X221)*EXP(-(LN(2)/$D$65+0.1)*Y221),IF(V221=2,AA$100*EXP(-(LN(2)/$D$65+0.04)*(VLOOKUP(($F$16-$F$15)-1,U$99:Y221,4,FALSE)))*EXP(-(LN(2)/$D$65+0.1)*(VLOOKUP(($F$16-$F$15)-1,U$99:Y221,5,FALSE)))*EXP(-(LN(2)/$D$65+0.04)*X221)*EXP(-(LN(2)/$D$65+0.1)*Y221),IF(V221=3,AA$100*EXP(-(LN(2)/$D$65+0.04)*(VLOOKUP(($F$16-$F$15)-1,U$99:Y221,4,FALSE)))*EXP(-(LN(2)/$D$65+0.1)*(VLOOKUP(($F$16-$F$15)-1,U$99:Y221,5,FALSE)))*EXP(-(LN(2)/$D$65+0.04)*(VLOOKUP(($F$16-$F$15)*2-1,U$99:Y221,4,FALSE)))*EXP(-(LN(2)/$D$65+0.1)*(VLOOKUP(($F$16-$F$15)*2-1,U$99:Y221,5,FALSE)))*EXP(-(LN(2)/$D$65+0.04)*X221)*EXP(-(LN(2)/$D$65+0.1)*Y221),"-"))),"-")</f>
        <v>-</v>
      </c>
      <c r="AB222" s="271" t="str">
        <f>IFERROR(IF(V222=1,AB$100*EXP(-(LN(2)/$D$65+0.04)*X222)*EXP(-(LN(2)/$D$65+0.1)*Y222),IF(V222=2,AB$100*EXP(-(LN(2)/$D$65+0.04)*(VLOOKUP(($F$16-$F$15)-1,U$100:Y222,4,FALSE)))*EXP(-(LN(2)/$D$65+0.1)*(VLOOKUP(($F$16-$F$15)-1,U$100:Y222,5,FALSE)))*EXP(-(LN(2)/$D$65+0.04)*X222)*EXP(-(LN(2)/$D$65+0.1)*Y222),IF(V222=3,AB$100*EXP(-(LN(2)/$D$65+0.04)*(VLOOKUP(($F$16-$F$15)-1,U$100:Y222,4,FALSE)))*EXP(-(LN(2)/$D$65+0.1)*(VLOOKUP(($F$16-$F$15)-1,U$100:Y222,5,FALSE)))*EXP(-(LN(2)/$D$65+0.04)*(VLOOKUP(($F$16-$F$15)*2-1,U$100:Y222,4,FALSE)))*EXP(-(LN(2)/$D$65+0.1)*(VLOOKUP(($F$16-$F$15)*2-1,U$100:Y222,5,FALSE)))*EXP(-(LN(2)/$D$65+0.04)*X222)*EXP(-(LN(2)/$D$65+0.1)*Y222),"-"))),"-")</f>
        <v>-</v>
      </c>
      <c r="AC222" s="224">
        <f t="shared" si="151"/>
        <v>122</v>
      </c>
      <c r="AD222" s="223" t="str">
        <f t="shared" si="125"/>
        <v>-</v>
      </c>
      <c r="AE222" s="224" t="str">
        <f t="shared" si="152"/>
        <v>-</v>
      </c>
      <c r="AF222" s="224" t="str">
        <f t="shared" si="182"/>
        <v>-</v>
      </c>
      <c r="AG222" s="224" t="str">
        <f t="shared" si="183"/>
        <v>-</v>
      </c>
      <c r="AH222" s="272">
        <f t="shared" si="153"/>
        <v>0.1</v>
      </c>
      <c r="AI222" s="271" t="str">
        <f>IFERROR(IF(AD221=1,AI$100*EXP(-(LN(2)/$D$65+0.04)*AF221)*EXP(-(LN(2)/$D$65+0.1)*AG221),IF(AD221=2,AI$100*EXP(-(LN(2)/$D$65+0.04)*(VLOOKUP(($F$16-$F$15)-1,AC$99:AG221,4,FALSE)))*EXP(-(LN(2)/$D$65+0.1)*(VLOOKUP(($F$16-$F$15)-1,AC$99:AG221,5,FALSE)))*EXP(-(LN(2)/$D$65+0.04)*AF221)*EXP(-(LN(2)/$D$65+0.1)*AG221),IF(AD221=3,AI$100*EXP(-(LN(2)/$D$65+0.04)*(VLOOKUP(($F$16-$F$15)-1,AC$99:AG221,4,FALSE)))*EXP(-(LN(2)/$D$65+0.1)*(VLOOKUP(($F$16-$F$15)-1,AC$99:AG221,5,FALSE)))*EXP(-(LN(2)/$D$65+0.04)*(VLOOKUP(($F$16-$F$15)*2-1,AC$99:AG221,4,FALSE)))*EXP(-(LN(2)/$D$65+0.1)*(VLOOKUP(($F$16-$F$15)*2-1,AC$99:AG221,5,FALSE)))*EXP(-(LN(2)/$D$65+0.04)*AF221)*EXP(-(LN(2)/$D$65+0.1)*AG221),"-"))),"-")</f>
        <v>-</v>
      </c>
      <c r="AJ222" s="271" t="str">
        <f>IFERROR(IF(AD222=1,AJ$100*EXP(-(LN(2)/$D$65+0.04)*AF222)*EXP(-(LN(2)/$D$65+0.1)*AG222),IF(AD222=2,AJ$100*EXP(-(LN(2)/$D$65+0.04)*(VLOOKUP(($F$16-$F$15)-1,AC$100:AG222,4,FALSE)))*EXP(-(LN(2)/$D$65+0.1)*(VLOOKUP(($F$16-$F$15)-1,AC$100:AG222,5,FALSE)))*EXP(-(LN(2)/$D$65+0.04)*AF222)*EXP(-(LN(2)/$D$65+0.1)*AG222),IF(AD222=3,AJ$100*EXP(-(LN(2)/$D$65+0.04)*(VLOOKUP(($F$16-$F$15)-1,AC$100:AG222,4,FALSE)))*EXP(-(LN(2)/$D$65+0.1)*(VLOOKUP(($F$16-$F$15)-1,AC$100:AG222,5,FALSE)))*EXP(-(LN(2)/$D$65+0.04)*(VLOOKUP(($F$16-$F$15)*2-1,AC$100:AG222,4,FALSE)))*EXP(-(LN(2)/$D$65+0.1)*(VLOOKUP(($F$16-$F$15)*2-1,AC$100:AG222,5,FALSE)))*EXP(-(LN(2)/$D$65+0.04)*AF222)*EXP(-(LN(2)/$D$65+0.1)*AG222),"-"))),"-")</f>
        <v>-</v>
      </c>
      <c r="AK222" s="227">
        <f t="shared" si="154"/>
        <v>122</v>
      </c>
      <c r="AL222" s="226" t="str">
        <f t="shared" si="128"/>
        <v>-</v>
      </c>
      <c r="AM222" s="227" t="str">
        <f t="shared" si="155"/>
        <v>-</v>
      </c>
      <c r="AN222" s="227" t="str">
        <f t="shared" si="156"/>
        <v>-</v>
      </c>
      <c r="AO222" s="227" t="str">
        <f t="shared" si="184"/>
        <v>-</v>
      </c>
      <c r="AP222" s="273">
        <f t="shared" si="157"/>
        <v>0.1</v>
      </c>
      <c r="AQ222" s="271" t="str">
        <f>IFERROR(IF(AL221=1,AQ$100*EXP(-(LN(2)/$D$65+0.04)*AN221)*EXP(-(LN(2)/$D$65+0.1)*AO221),IF(AL221=2,AQ$100*EXP(-(LN(2)/$D$65+0.04)*(VLOOKUP(($F$16-$F$15)-1,AK$99:AO221,4,FALSE)))*EXP(-(LN(2)/$D$65+0.1)*(VLOOKUP(($F$16-$F$15)-1,AK$99:AO221,5,FALSE)))*EXP(-(LN(2)/$D$65+0.04)*AN221)*EXP(-(LN(2)/$D$65+0.1)*AO221),IF(AL221=3,AQ$100*EXP(-(LN(2)/$D$65+0.04)*(VLOOKUP(($F$16-$F$15)-1,AK$99:AO221,4,FALSE)))*EXP(-(LN(2)/$D$65+0.1)*(VLOOKUP(($F$16-$F$15)-1,AK$99:AO221,5,FALSE)))*EXP(-(LN(2)/$D$65+0.04)*(VLOOKUP(($F$16-$F$15)*2-1,AK$99:AO221,4,FALSE)))*EXP(-(LN(2)/$D$65+0.1)*(VLOOKUP(($F$16-$F$15)*2-1,AK$99:AO221,5,FALSE)))*EXP(-(LN(2)/$D$65+0.04)*AN221)*EXP(-(LN(2)/$D$65+0.1)*AO221),"-"))),"-")</f>
        <v>-</v>
      </c>
      <c r="AR222" s="271" t="str">
        <f>IFERROR(IF(AL222=1,AR$100*EXP(-(LN(2)/$D$65+0.04)*AN222)*EXP(-(LN(2)/$D$65+0.1)*AO222),IF(AL222=2,AR$100*EXP(-(LN(2)/$D$65+0.04)*(VLOOKUP(($F$16-$F$15)-1,AK$100:AO222,4,FALSE)))*EXP(-(LN(2)/$D$65+0.1)*(VLOOKUP(($F$16-$F$15)-1,AK$100:AO222,5,FALSE)))*EXP(-(LN(2)/$D$65+0.04)*AN222)*EXP(-(LN(2)/$D$65+0.1)*AO222),IF(AL222=3,AR$100*EXP(-(LN(2)/$D$65+0.04)*(VLOOKUP(($F$16-$F$15)-1,AK$100:AO222,4,FALSE)))*EXP(-(LN(2)/$D$65+0.1)*(VLOOKUP(($F$16-$F$15)-1,AK$100:AO222,5,FALSE)))*EXP(-(LN(2)/$D$65+0.04)*(VLOOKUP(($F$16-$F$15)*2-1,AK$100:AO222,4,FALSE)))*EXP(-(LN(2)/$D$65+0.1)*(VLOOKUP(($F$16-$F$15)*2-1,AK$100:AO222,5,FALSE)))*EXP(-(LN(2)/$D$65+0.04)*AN222)*EXP(-(LN(2)/$D$65+0.1)*AO222),"-"))),"-")</f>
        <v>-</v>
      </c>
      <c r="AS222" s="274">
        <f t="shared" si="185"/>
        <v>0</v>
      </c>
      <c r="AT222" s="274">
        <f t="shared" si="186"/>
        <v>0</v>
      </c>
      <c r="AU222" s="274">
        <f t="shared" si="187"/>
        <v>0</v>
      </c>
      <c r="AV222" s="190">
        <f>IF($B222&lt;$F$22,SUM($T$100:$T222),"")</f>
        <v>0</v>
      </c>
      <c r="AW222" s="190" t="str">
        <f t="shared" si="188"/>
        <v>-</v>
      </c>
      <c r="AX222" s="190" t="str">
        <f t="shared" si="158"/>
        <v/>
      </c>
      <c r="AY222"/>
      <c r="AZ222" s="190" t="str">
        <f ca="1">IF(ISNUMBER(OFFSET(AV222,-$F$21,0)),SUM(OFFSET($T$100,$F$21,0):$T222),"")</f>
        <v/>
      </c>
      <c r="BA222" s="190" t="str">
        <f t="shared" ca="1" si="189"/>
        <v/>
      </c>
      <c r="BB222" s="190" t="str">
        <f t="shared" ca="1" si="164"/>
        <v/>
      </c>
      <c r="BC222" s="190"/>
      <c r="BD222" s="190" t="str">
        <f ca="1">IFERROR(IF(AND($B222&gt;=($F$16-$F$15),$B222&lt;$F$22+($F$16-$F$15)),SUM(OFFSET($T$100,($F$16-$F$15),0):$T222),""),"")</f>
        <v/>
      </c>
      <c r="BE222" s="190" t="str">
        <f t="shared" ca="1" si="159"/>
        <v/>
      </c>
      <c r="BF222" s="190" t="str">
        <f t="shared" ca="1" si="160"/>
        <v/>
      </c>
      <c r="BG222"/>
      <c r="BH222" s="190" t="str">
        <f ca="1">IF(ISNUMBER(OFFSET(BD222,-$F$21,0)),SUM(OFFSET($T$100,($F$16-$F$15+$F$21),0):$T222),"")</f>
        <v/>
      </c>
      <c r="BI222" s="190" t="str">
        <f t="shared" ca="1" si="190"/>
        <v/>
      </c>
      <c r="BJ222" s="190" t="str">
        <f t="shared" ca="1" si="161"/>
        <v/>
      </c>
      <c r="BK222" s="190"/>
      <c r="BL222" s="190" t="str">
        <f ca="1">IFERROR(IF(AND($B222&gt;=($F$17-$F$15),$B222&lt;$F$22+($F$17-$F$15)),SUM(OFFSET($T$100,($F$17-$F$15),0):$T222),""),"")</f>
        <v/>
      </c>
      <c r="BM222" s="190" t="str">
        <f t="shared" ca="1" si="191"/>
        <v/>
      </c>
      <c r="BN222" s="190" t="str">
        <f t="shared" ca="1" si="162"/>
        <v/>
      </c>
      <c r="BO222"/>
      <c r="BP222" s="190" t="str">
        <f ca="1">IF(ISNUMBER(OFFSET(BL222,-$F$21,0)),SUM(OFFSET($T$100,($F$17-$F$15+$F$21),0):$T222),"")</f>
        <v/>
      </c>
      <c r="BQ222" s="190" t="str">
        <f t="shared" ca="1" si="192"/>
        <v/>
      </c>
      <c r="BR222" s="190" t="str">
        <f t="shared" ca="1" si="163"/>
        <v/>
      </c>
      <c r="BS222" s="190"/>
      <c r="BT222"/>
      <c r="BU222"/>
      <c r="BV222"/>
      <c r="BY222" s="99"/>
      <c r="BZ222" s="99"/>
      <c r="CA222" s="280" t="str">
        <f t="shared" si="193"/>
        <v/>
      </c>
      <c r="CB222" s="71" t="str">
        <f t="shared" si="194"/>
        <v>-</v>
      </c>
      <c r="CC222" s="33"/>
      <c r="CD222" s="261" t="str">
        <f t="shared" si="195"/>
        <v/>
      </c>
      <c r="CE222" s="280" t="str">
        <f t="shared" si="196"/>
        <v>-</v>
      </c>
      <c r="CF222" s="71" t="str">
        <f t="shared" ca="1" si="197"/>
        <v>-</v>
      </c>
      <c r="CG222" s="33" t="str">
        <f t="shared" si="198"/>
        <v>122-123</v>
      </c>
      <c r="CH222" s="261" t="str">
        <f t="shared" ca="1" si="199"/>
        <v/>
      </c>
      <c r="CP222" s="99"/>
      <c r="CQ222" s="99"/>
    </row>
    <row r="223" spans="2:95" ht="13.5" customHeight="1" x14ac:dyDescent="0.2">
      <c r="B223" s="262">
        <v>123</v>
      </c>
      <c r="C223" s="237" t="str">
        <f t="shared" si="165"/>
        <v/>
      </c>
      <c r="D223" s="237" t="str">
        <f t="shared" si="200"/>
        <v>-</v>
      </c>
      <c r="E223" s="263" t="str">
        <f t="shared" si="146"/>
        <v/>
      </c>
      <c r="F223" s="264" t="str">
        <f t="shared" si="147"/>
        <v/>
      </c>
      <c r="G223" s="264" t="str">
        <f t="shared" si="148"/>
        <v/>
      </c>
      <c r="H223" s="240" t="str">
        <f t="shared" si="166"/>
        <v/>
      </c>
      <c r="I223" s="265" t="str">
        <f t="shared" si="167"/>
        <v/>
      </c>
      <c r="J223" s="265" t="str">
        <f t="shared" si="168"/>
        <v/>
      </c>
      <c r="K223" s="240" t="str">
        <f t="shared" si="169"/>
        <v/>
      </c>
      <c r="L223" s="265" t="str">
        <f t="shared" si="170"/>
        <v/>
      </c>
      <c r="M223" s="265" t="str">
        <f t="shared" si="171"/>
        <v/>
      </c>
      <c r="N223" s="240" t="str">
        <f t="shared" si="172"/>
        <v>-</v>
      </c>
      <c r="O223" s="265" t="str">
        <f t="shared" si="173"/>
        <v>-</v>
      </c>
      <c r="P223" s="265" t="str">
        <f t="shared" si="174"/>
        <v>-</v>
      </c>
      <c r="Q223" s="266" t="str">
        <f t="shared" si="175"/>
        <v>-</v>
      </c>
      <c r="R223" s="267" t="str">
        <f t="shared" si="176"/>
        <v>-</v>
      </c>
      <c r="S223" s="268" t="str">
        <f t="shared" si="177"/>
        <v>-</v>
      </c>
      <c r="T223" s="269" t="str">
        <f t="shared" si="178"/>
        <v/>
      </c>
      <c r="U223" s="221">
        <f t="shared" si="179"/>
        <v>123</v>
      </c>
      <c r="V223" s="220" t="str">
        <f t="shared" si="122"/>
        <v>-</v>
      </c>
      <c r="W223" s="221" t="str">
        <f t="shared" si="149"/>
        <v>-</v>
      </c>
      <c r="X223" s="221" t="str">
        <f t="shared" si="180"/>
        <v>-</v>
      </c>
      <c r="Y223" s="221" t="str">
        <f t="shared" si="181"/>
        <v>-</v>
      </c>
      <c r="Z223" s="270">
        <f t="shared" si="150"/>
        <v>0.1</v>
      </c>
      <c r="AA223" s="271" t="str">
        <f>IFERROR(IF(V222=1,AA$100*EXP(-(LN(2)/$D$65+0.04)*X222)*EXP(-(LN(2)/$D$65+0.1)*Y222),IF(V222=2,AA$100*EXP(-(LN(2)/$D$65+0.04)*(VLOOKUP(($F$16-$F$15)-1,U$99:Y222,4,FALSE)))*EXP(-(LN(2)/$D$65+0.1)*(VLOOKUP(($F$16-$F$15)-1,U$99:Y222,5,FALSE)))*EXP(-(LN(2)/$D$65+0.04)*X222)*EXP(-(LN(2)/$D$65+0.1)*Y222),IF(V222=3,AA$100*EXP(-(LN(2)/$D$65+0.04)*(VLOOKUP(($F$16-$F$15)-1,U$99:Y222,4,FALSE)))*EXP(-(LN(2)/$D$65+0.1)*(VLOOKUP(($F$16-$F$15)-1,U$99:Y222,5,FALSE)))*EXP(-(LN(2)/$D$65+0.04)*(VLOOKUP(($F$16-$F$15)*2-1,U$99:Y222,4,FALSE)))*EXP(-(LN(2)/$D$65+0.1)*(VLOOKUP(($F$16-$F$15)*2-1,U$99:Y222,5,FALSE)))*EXP(-(LN(2)/$D$65+0.04)*X222)*EXP(-(LN(2)/$D$65+0.1)*Y222),"-"))),"-")</f>
        <v>-</v>
      </c>
      <c r="AB223" s="271" t="str">
        <f>IFERROR(IF(V223=1,AB$100*EXP(-(LN(2)/$D$65+0.04)*X223)*EXP(-(LN(2)/$D$65+0.1)*Y223),IF(V223=2,AB$100*EXP(-(LN(2)/$D$65+0.04)*(VLOOKUP(($F$16-$F$15)-1,U$100:Y223,4,FALSE)))*EXP(-(LN(2)/$D$65+0.1)*(VLOOKUP(($F$16-$F$15)-1,U$100:Y223,5,FALSE)))*EXP(-(LN(2)/$D$65+0.04)*X223)*EXP(-(LN(2)/$D$65+0.1)*Y223),IF(V223=3,AB$100*EXP(-(LN(2)/$D$65+0.04)*(VLOOKUP(($F$16-$F$15)-1,U$100:Y223,4,FALSE)))*EXP(-(LN(2)/$D$65+0.1)*(VLOOKUP(($F$16-$F$15)-1,U$100:Y223,5,FALSE)))*EXP(-(LN(2)/$D$65+0.04)*(VLOOKUP(($F$16-$F$15)*2-1,U$100:Y223,4,FALSE)))*EXP(-(LN(2)/$D$65+0.1)*(VLOOKUP(($F$16-$F$15)*2-1,U$100:Y223,5,FALSE)))*EXP(-(LN(2)/$D$65+0.04)*X223)*EXP(-(LN(2)/$D$65+0.1)*Y223),"-"))),"-")</f>
        <v>-</v>
      </c>
      <c r="AC223" s="224">
        <f t="shared" si="151"/>
        <v>123</v>
      </c>
      <c r="AD223" s="223" t="str">
        <f t="shared" si="125"/>
        <v>-</v>
      </c>
      <c r="AE223" s="224" t="str">
        <f t="shared" si="152"/>
        <v>-</v>
      </c>
      <c r="AF223" s="224" t="str">
        <f t="shared" si="182"/>
        <v>-</v>
      </c>
      <c r="AG223" s="224" t="str">
        <f t="shared" si="183"/>
        <v>-</v>
      </c>
      <c r="AH223" s="272">
        <f t="shared" si="153"/>
        <v>0.1</v>
      </c>
      <c r="AI223" s="271" t="str">
        <f>IFERROR(IF(AD222=1,AI$100*EXP(-(LN(2)/$D$65+0.04)*AF222)*EXP(-(LN(2)/$D$65+0.1)*AG222),IF(AD222=2,AI$100*EXP(-(LN(2)/$D$65+0.04)*(VLOOKUP(($F$16-$F$15)-1,AC$99:AG222,4,FALSE)))*EXP(-(LN(2)/$D$65+0.1)*(VLOOKUP(($F$16-$F$15)-1,AC$99:AG222,5,FALSE)))*EXP(-(LN(2)/$D$65+0.04)*AF222)*EXP(-(LN(2)/$D$65+0.1)*AG222),IF(AD222=3,AI$100*EXP(-(LN(2)/$D$65+0.04)*(VLOOKUP(($F$16-$F$15)-1,AC$99:AG222,4,FALSE)))*EXP(-(LN(2)/$D$65+0.1)*(VLOOKUP(($F$16-$F$15)-1,AC$99:AG222,5,FALSE)))*EXP(-(LN(2)/$D$65+0.04)*(VLOOKUP(($F$16-$F$15)*2-1,AC$99:AG222,4,FALSE)))*EXP(-(LN(2)/$D$65+0.1)*(VLOOKUP(($F$16-$F$15)*2-1,AC$99:AG222,5,FALSE)))*EXP(-(LN(2)/$D$65+0.04)*AF222)*EXP(-(LN(2)/$D$65+0.1)*AG222),"-"))),"-")</f>
        <v>-</v>
      </c>
      <c r="AJ223" s="271" t="str">
        <f>IFERROR(IF(AD223=1,AJ$100*EXP(-(LN(2)/$D$65+0.04)*AF223)*EXP(-(LN(2)/$D$65+0.1)*AG223),IF(AD223=2,AJ$100*EXP(-(LN(2)/$D$65+0.04)*(VLOOKUP(($F$16-$F$15)-1,AC$100:AG223,4,FALSE)))*EXP(-(LN(2)/$D$65+0.1)*(VLOOKUP(($F$16-$F$15)-1,AC$100:AG223,5,FALSE)))*EXP(-(LN(2)/$D$65+0.04)*AF223)*EXP(-(LN(2)/$D$65+0.1)*AG223),IF(AD223=3,AJ$100*EXP(-(LN(2)/$D$65+0.04)*(VLOOKUP(($F$16-$F$15)-1,AC$100:AG223,4,FALSE)))*EXP(-(LN(2)/$D$65+0.1)*(VLOOKUP(($F$16-$F$15)-1,AC$100:AG223,5,FALSE)))*EXP(-(LN(2)/$D$65+0.04)*(VLOOKUP(($F$16-$F$15)*2-1,AC$100:AG223,4,FALSE)))*EXP(-(LN(2)/$D$65+0.1)*(VLOOKUP(($F$16-$F$15)*2-1,AC$100:AG223,5,FALSE)))*EXP(-(LN(2)/$D$65+0.04)*AF223)*EXP(-(LN(2)/$D$65+0.1)*AG223),"-"))),"-")</f>
        <v>-</v>
      </c>
      <c r="AK223" s="227">
        <f t="shared" si="154"/>
        <v>123</v>
      </c>
      <c r="AL223" s="226" t="str">
        <f t="shared" si="128"/>
        <v>-</v>
      </c>
      <c r="AM223" s="227" t="str">
        <f t="shared" si="155"/>
        <v>-</v>
      </c>
      <c r="AN223" s="227" t="str">
        <f t="shared" si="156"/>
        <v>-</v>
      </c>
      <c r="AO223" s="227" t="str">
        <f t="shared" si="184"/>
        <v>-</v>
      </c>
      <c r="AP223" s="273">
        <f t="shared" si="157"/>
        <v>0.1</v>
      </c>
      <c r="AQ223" s="271" t="str">
        <f>IFERROR(IF(AL222=1,AQ$100*EXP(-(LN(2)/$D$65+0.04)*AN222)*EXP(-(LN(2)/$D$65+0.1)*AO222),IF(AL222=2,AQ$100*EXP(-(LN(2)/$D$65+0.04)*(VLOOKUP(($F$16-$F$15)-1,AK$99:AO222,4,FALSE)))*EXP(-(LN(2)/$D$65+0.1)*(VLOOKUP(($F$16-$F$15)-1,AK$99:AO222,5,FALSE)))*EXP(-(LN(2)/$D$65+0.04)*AN222)*EXP(-(LN(2)/$D$65+0.1)*AO222),IF(AL222=3,AQ$100*EXP(-(LN(2)/$D$65+0.04)*(VLOOKUP(($F$16-$F$15)-1,AK$99:AO222,4,FALSE)))*EXP(-(LN(2)/$D$65+0.1)*(VLOOKUP(($F$16-$F$15)-1,AK$99:AO222,5,FALSE)))*EXP(-(LN(2)/$D$65+0.04)*(VLOOKUP(($F$16-$F$15)*2-1,AK$99:AO222,4,FALSE)))*EXP(-(LN(2)/$D$65+0.1)*(VLOOKUP(($F$16-$F$15)*2-1,AK$99:AO222,5,FALSE)))*EXP(-(LN(2)/$D$65+0.04)*AN222)*EXP(-(LN(2)/$D$65+0.1)*AO222),"-"))),"-")</f>
        <v>-</v>
      </c>
      <c r="AR223" s="271" t="str">
        <f>IFERROR(IF(AL223=1,AR$100*EXP(-(LN(2)/$D$65+0.04)*AN223)*EXP(-(LN(2)/$D$65+0.1)*AO223),IF(AL223=2,AR$100*EXP(-(LN(2)/$D$65+0.04)*(VLOOKUP(($F$16-$F$15)-1,AK$100:AO223,4,FALSE)))*EXP(-(LN(2)/$D$65+0.1)*(VLOOKUP(($F$16-$F$15)-1,AK$100:AO223,5,FALSE)))*EXP(-(LN(2)/$D$65+0.04)*AN223)*EXP(-(LN(2)/$D$65+0.1)*AO223),IF(AL223=3,AR$100*EXP(-(LN(2)/$D$65+0.04)*(VLOOKUP(($F$16-$F$15)-1,AK$100:AO223,4,FALSE)))*EXP(-(LN(2)/$D$65+0.1)*(VLOOKUP(($F$16-$F$15)-1,AK$100:AO223,5,FALSE)))*EXP(-(LN(2)/$D$65+0.04)*(VLOOKUP(($F$16-$F$15)*2-1,AK$100:AO223,4,FALSE)))*EXP(-(LN(2)/$D$65+0.1)*(VLOOKUP(($F$16-$F$15)*2-1,AK$100:AO223,5,FALSE)))*EXP(-(LN(2)/$D$65+0.04)*AN223)*EXP(-(LN(2)/$D$65+0.1)*AO223),"-"))),"-")</f>
        <v>-</v>
      </c>
      <c r="AS223" s="274">
        <f t="shared" si="185"/>
        <v>0</v>
      </c>
      <c r="AT223" s="274">
        <f t="shared" si="186"/>
        <v>0</v>
      </c>
      <c r="AU223" s="274">
        <f t="shared" si="187"/>
        <v>0</v>
      </c>
      <c r="AV223" s="190">
        <f>IF($B223&lt;$F$22,SUM($T$100:$T223),"")</f>
        <v>0</v>
      </c>
      <c r="AW223" s="190" t="str">
        <f t="shared" si="188"/>
        <v>-</v>
      </c>
      <c r="AX223" s="190" t="str">
        <f t="shared" si="158"/>
        <v/>
      </c>
      <c r="AY223"/>
      <c r="AZ223" s="190" t="str">
        <f ca="1">IF(ISNUMBER(OFFSET(AV223,-$F$21,0)),SUM(OFFSET($T$100,$F$21,0):$T223),"")</f>
        <v/>
      </c>
      <c r="BA223" s="190" t="str">
        <f t="shared" ca="1" si="189"/>
        <v/>
      </c>
      <c r="BB223" s="190" t="str">
        <f t="shared" ca="1" si="164"/>
        <v/>
      </c>
      <c r="BC223" s="190"/>
      <c r="BD223" s="190" t="str">
        <f ca="1">IFERROR(IF(AND($B223&gt;=($F$16-$F$15),$B223&lt;$F$22+($F$16-$F$15)),SUM(OFFSET($T$100,($F$16-$F$15),0):$T223),""),"")</f>
        <v/>
      </c>
      <c r="BE223" s="190" t="str">
        <f t="shared" ca="1" si="159"/>
        <v/>
      </c>
      <c r="BF223" s="190" t="str">
        <f t="shared" ca="1" si="160"/>
        <v/>
      </c>
      <c r="BG223"/>
      <c r="BH223" s="190" t="str">
        <f ca="1">IF(ISNUMBER(OFFSET(BD223,-$F$21,0)),SUM(OFFSET($T$100,($F$16-$F$15+$F$21),0):$T223),"")</f>
        <v/>
      </c>
      <c r="BI223" s="190" t="str">
        <f t="shared" ca="1" si="190"/>
        <v/>
      </c>
      <c r="BJ223" s="190" t="str">
        <f t="shared" ca="1" si="161"/>
        <v/>
      </c>
      <c r="BK223" s="190"/>
      <c r="BL223" s="190" t="str">
        <f ca="1">IFERROR(IF(AND($B223&gt;=($F$17-$F$15),$B223&lt;$F$22+($F$17-$F$15)),SUM(OFFSET($T$100,($F$17-$F$15),0):$T223),""),"")</f>
        <v/>
      </c>
      <c r="BM223" s="190" t="str">
        <f t="shared" ca="1" si="191"/>
        <v/>
      </c>
      <c r="BN223" s="190" t="str">
        <f t="shared" ca="1" si="162"/>
        <v/>
      </c>
      <c r="BO223"/>
      <c r="BP223" s="190" t="str">
        <f ca="1">IF(ISNUMBER(OFFSET(BL223,-$F$21,0)),SUM(OFFSET($T$100,($F$17-$F$15+$F$21),0):$T223),"")</f>
        <v/>
      </c>
      <c r="BQ223" s="190" t="str">
        <f t="shared" ca="1" si="192"/>
        <v/>
      </c>
      <c r="BR223" s="190" t="str">
        <f t="shared" ca="1" si="163"/>
        <v/>
      </c>
      <c r="BS223" s="190"/>
      <c r="BT223"/>
      <c r="BU223"/>
      <c r="BV223"/>
      <c r="BY223" s="99"/>
      <c r="BZ223" s="99"/>
      <c r="CA223" s="280" t="str">
        <f t="shared" si="193"/>
        <v/>
      </c>
      <c r="CB223" s="71" t="str">
        <f t="shared" si="194"/>
        <v>-</v>
      </c>
      <c r="CC223" s="33"/>
      <c r="CD223" s="261" t="str">
        <f t="shared" si="195"/>
        <v/>
      </c>
      <c r="CE223" s="280" t="str">
        <f t="shared" si="196"/>
        <v>-</v>
      </c>
      <c r="CF223" s="71" t="str">
        <f t="shared" ca="1" si="197"/>
        <v>-</v>
      </c>
      <c r="CG223" s="33" t="str">
        <f t="shared" si="198"/>
        <v>123-124</v>
      </c>
      <c r="CH223" s="261" t="str">
        <f t="shared" ca="1" si="199"/>
        <v/>
      </c>
      <c r="CP223" s="99"/>
      <c r="CQ223" s="99"/>
    </row>
    <row r="224" spans="2:95" ht="13.5" customHeight="1" x14ac:dyDescent="0.2">
      <c r="B224" s="262">
        <v>124</v>
      </c>
      <c r="C224" s="237" t="str">
        <f t="shared" si="165"/>
        <v/>
      </c>
      <c r="D224" s="237" t="str">
        <f t="shared" si="200"/>
        <v>-</v>
      </c>
      <c r="E224" s="263" t="str">
        <f t="shared" si="146"/>
        <v/>
      </c>
      <c r="F224" s="264" t="str">
        <f t="shared" si="147"/>
        <v/>
      </c>
      <c r="G224" s="264" t="str">
        <f t="shared" si="148"/>
        <v/>
      </c>
      <c r="H224" s="240" t="str">
        <f t="shared" si="166"/>
        <v/>
      </c>
      <c r="I224" s="265" t="str">
        <f t="shared" si="167"/>
        <v/>
      </c>
      <c r="J224" s="265" t="str">
        <f t="shared" si="168"/>
        <v/>
      </c>
      <c r="K224" s="240" t="str">
        <f t="shared" si="169"/>
        <v/>
      </c>
      <c r="L224" s="265" t="str">
        <f t="shared" si="170"/>
        <v/>
      </c>
      <c r="M224" s="265" t="str">
        <f t="shared" si="171"/>
        <v/>
      </c>
      <c r="N224" s="240" t="str">
        <f t="shared" si="172"/>
        <v>-</v>
      </c>
      <c r="O224" s="265" t="str">
        <f t="shared" si="173"/>
        <v>-</v>
      </c>
      <c r="P224" s="265" t="str">
        <f t="shared" si="174"/>
        <v>-</v>
      </c>
      <c r="Q224" s="266" t="str">
        <f t="shared" si="175"/>
        <v>-</v>
      </c>
      <c r="R224" s="267" t="str">
        <f t="shared" si="176"/>
        <v>-</v>
      </c>
      <c r="S224" s="268" t="str">
        <f t="shared" si="177"/>
        <v>-</v>
      </c>
      <c r="T224" s="269" t="str">
        <f t="shared" si="178"/>
        <v/>
      </c>
      <c r="U224" s="221">
        <f t="shared" si="179"/>
        <v>124</v>
      </c>
      <c r="V224" s="220" t="str">
        <f t="shared" si="122"/>
        <v>-</v>
      </c>
      <c r="W224" s="221" t="str">
        <f t="shared" si="149"/>
        <v>-</v>
      </c>
      <c r="X224" s="221" t="str">
        <f t="shared" si="180"/>
        <v>-</v>
      </c>
      <c r="Y224" s="221" t="str">
        <f t="shared" si="181"/>
        <v>-</v>
      </c>
      <c r="Z224" s="270">
        <f t="shared" si="150"/>
        <v>0.1</v>
      </c>
      <c r="AA224" s="271" t="str">
        <f>IFERROR(IF(V223=1,AA$100*EXP(-(LN(2)/$D$65+0.04)*X223)*EXP(-(LN(2)/$D$65+0.1)*Y223),IF(V223=2,AA$100*EXP(-(LN(2)/$D$65+0.04)*(VLOOKUP(($F$16-$F$15)-1,U$99:Y223,4,FALSE)))*EXP(-(LN(2)/$D$65+0.1)*(VLOOKUP(($F$16-$F$15)-1,U$99:Y223,5,FALSE)))*EXP(-(LN(2)/$D$65+0.04)*X223)*EXP(-(LN(2)/$D$65+0.1)*Y223),IF(V223=3,AA$100*EXP(-(LN(2)/$D$65+0.04)*(VLOOKUP(($F$16-$F$15)-1,U$99:Y223,4,FALSE)))*EXP(-(LN(2)/$D$65+0.1)*(VLOOKUP(($F$16-$F$15)-1,U$99:Y223,5,FALSE)))*EXP(-(LN(2)/$D$65+0.04)*(VLOOKUP(($F$16-$F$15)*2-1,U$99:Y223,4,FALSE)))*EXP(-(LN(2)/$D$65+0.1)*(VLOOKUP(($F$16-$F$15)*2-1,U$99:Y223,5,FALSE)))*EXP(-(LN(2)/$D$65+0.04)*X223)*EXP(-(LN(2)/$D$65+0.1)*Y223),"-"))),"-")</f>
        <v>-</v>
      </c>
      <c r="AB224" s="271" t="str">
        <f>IFERROR(IF(V224=1,AB$100*EXP(-(LN(2)/$D$65+0.04)*X224)*EXP(-(LN(2)/$D$65+0.1)*Y224),IF(V224=2,AB$100*EXP(-(LN(2)/$D$65+0.04)*(VLOOKUP(($F$16-$F$15)-1,U$100:Y224,4,FALSE)))*EXP(-(LN(2)/$D$65+0.1)*(VLOOKUP(($F$16-$F$15)-1,U$100:Y224,5,FALSE)))*EXP(-(LN(2)/$D$65+0.04)*X224)*EXP(-(LN(2)/$D$65+0.1)*Y224),IF(V224=3,AB$100*EXP(-(LN(2)/$D$65+0.04)*(VLOOKUP(($F$16-$F$15)-1,U$100:Y224,4,FALSE)))*EXP(-(LN(2)/$D$65+0.1)*(VLOOKUP(($F$16-$F$15)-1,U$100:Y224,5,FALSE)))*EXP(-(LN(2)/$D$65+0.04)*(VLOOKUP(($F$16-$F$15)*2-1,U$100:Y224,4,FALSE)))*EXP(-(LN(2)/$D$65+0.1)*(VLOOKUP(($F$16-$F$15)*2-1,U$100:Y224,5,FALSE)))*EXP(-(LN(2)/$D$65+0.04)*X224)*EXP(-(LN(2)/$D$65+0.1)*Y224),"-"))),"-")</f>
        <v>-</v>
      </c>
      <c r="AC224" s="224">
        <f t="shared" si="151"/>
        <v>124</v>
      </c>
      <c r="AD224" s="223" t="str">
        <f t="shared" si="125"/>
        <v>-</v>
      </c>
      <c r="AE224" s="224" t="str">
        <f t="shared" si="152"/>
        <v>-</v>
      </c>
      <c r="AF224" s="224" t="str">
        <f t="shared" si="182"/>
        <v>-</v>
      </c>
      <c r="AG224" s="224" t="str">
        <f t="shared" si="183"/>
        <v>-</v>
      </c>
      <c r="AH224" s="272">
        <f t="shared" si="153"/>
        <v>0.1</v>
      </c>
      <c r="AI224" s="271" t="str">
        <f>IFERROR(IF(AD223=1,AI$100*EXP(-(LN(2)/$D$65+0.04)*AF223)*EXP(-(LN(2)/$D$65+0.1)*AG223),IF(AD223=2,AI$100*EXP(-(LN(2)/$D$65+0.04)*(VLOOKUP(($F$16-$F$15)-1,AC$99:AG223,4,FALSE)))*EXP(-(LN(2)/$D$65+0.1)*(VLOOKUP(($F$16-$F$15)-1,AC$99:AG223,5,FALSE)))*EXP(-(LN(2)/$D$65+0.04)*AF223)*EXP(-(LN(2)/$D$65+0.1)*AG223),IF(AD223=3,AI$100*EXP(-(LN(2)/$D$65+0.04)*(VLOOKUP(($F$16-$F$15)-1,AC$99:AG223,4,FALSE)))*EXP(-(LN(2)/$D$65+0.1)*(VLOOKUP(($F$16-$F$15)-1,AC$99:AG223,5,FALSE)))*EXP(-(LN(2)/$D$65+0.04)*(VLOOKUP(($F$16-$F$15)*2-1,AC$99:AG223,4,FALSE)))*EXP(-(LN(2)/$D$65+0.1)*(VLOOKUP(($F$16-$F$15)*2-1,AC$99:AG223,5,FALSE)))*EXP(-(LN(2)/$D$65+0.04)*AF223)*EXP(-(LN(2)/$D$65+0.1)*AG223),"-"))),"-")</f>
        <v>-</v>
      </c>
      <c r="AJ224" s="271" t="str">
        <f>IFERROR(IF(AD224=1,AJ$100*EXP(-(LN(2)/$D$65+0.04)*AF224)*EXP(-(LN(2)/$D$65+0.1)*AG224),IF(AD224=2,AJ$100*EXP(-(LN(2)/$D$65+0.04)*(VLOOKUP(($F$16-$F$15)-1,AC$100:AG224,4,FALSE)))*EXP(-(LN(2)/$D$65+0.1)*(VLOOKUP(($F$16-$F$15)-1,AC$100:AG224,5,FALSE)))*EXP(-(LN(2)/$D$65+0.04)*AF224)*EXP(-(LN(2)/$D$65+0.1)*AG224),IF(AD224=3,AJ$100*EXP(-(LN(2)/$D$65+0.04)*(VLOOKUP(($F$16-$F$15)-1,AC$100:AG224,4,FALSE)))*EXP(-(LN(2)/$D$65+0.1)*(VLOOKUP(($F$16-$F$15)-1,AC$100:AG224,5,FALSE)))*EXP(-(LN(2)/$D$65+0.04)*(VLOOKUP(($F$16-$F$15)*2-1,AC$100:AG224,4,FALSE)))*EXP(-(LN(2)/$D$65+0.1)*(VLOOKUP(($F$16-$F$15)*2-1,AC$100:AG224,5,FALSE)))*EXP(-(LN(2)/$D$65+0.04)*AF224)*EXP(-(LN(2)/$D$65+0.1)*AG224),"-"))),"-")</f>
        <v>-</v>
      </c>
      <c r="AK224" s="227">
        <f t="shared" si="154"/>
        <v>124</v>
      </c>
      <c r="AL224" s="226" t="str">
        <f t="shared" si="128"/>
        <v>-</v>
      </c>
      <c r="AM224" s="227" t="str">
        <f t="shared" si="155"/>
        <v>-</v>
      </c>
      <c r="AN224" s="227" t="str">
        <f t="shared" si="156"/>
        <v>-</v>
      </c>
      <c r="AO224" s="227" t="str">
        <f t="shared" si="184"/>
        <v>-</v>
      </c>
      <c r="AP224" s="273">
        <f t="shared" si="157"/>
        <v>0.1</v>
      </c>
      <c r="AQ224" s="271" t="str">
        <f>IFERROR(IF(AL223=1,AQ$100*EXP(-(LN(2)/$D$65+0.04)*AN223)*EXP(-(LN(2)/$D$65+0.1)*AO223),IF(AL223=2,AQ$100*EXP(-(LN(2)/$D$65+0.04)*(VLOOKUP(($F$16-$F$15)-1,AK$99:AO223,4,FALSE)))*EXP(-(LN(2)/$D$65+0.1)*(VLOOKUP(($F$16-$F$15)-1,AK$99:AO223,5,FALSE)))*EXP(-(LN(2)/$D$65+0.04)*AN223)*EXP(-(LN(2)/$D$65+0.1)*AO223),IF(AL223=3,AQ$100*EXP(-(LN(2)/$D$65+0.04)*(VLOOKUP(($F$16-$F$15)-1,AK$99:AO223,4,FALSE)))*EXP(-(LN(2)/$D$65+0.1)*(VLOOKUP(($F$16-$F$15)-1,AK$99:AO223,5,FALSE)))*EXP(-(LN(2)/$D$65+0.04)*(VLOOKUP(($F$16-$F$15)*2-1,AK$99:AO223,4,FALSE)))*EXP(-(LN(2)/$D$65+0.1)*(VLOOKUP(($F$16-$F$15)*2-1,AK$99:AO223,5,FALSE)))*EXP(-(LN(2)/$D$65+0.04)*AN223)*EXP(-(LN(2)/$D$65+0.1)*AO223),"-"))),"-")</f>
        <v>-</v>
      </c>
      <c r="AR224" s="271" t="str">
        <f>IFERROR(IF(AL224=1,AR$100*EXP(-(LN(2)/$D$65+0.04)*AN224)*EXP(-(LN(2)/$D$65+0.1)*AO224),IF(AL224=2,AR$100*EXP(-(LN(2)/$D$65+0.04)*(VLOOKUP(($F$16-$F$15)-1,AK$100:AO224,4,FALSE)))*EXP(-(LN(2)/$D$65+0.1)*(VLOOKUP(($F$16-$F$15)-1,AK$100:AO224,5,FALSE)))*EXP(-(LN(2)/$D$65+0.04)*AN224)*EXP(-(LN(2)/$D$65+0.1)*AO224),IF(AL224=3,AR$100*EXP(-(LN(2)/$D$65+0.04)*(VLOOKUP(($F$16-$F$15)-1,AK$100:AO224,4,FALSE)))*EXP(-(LN(2)/$D$65+0.1)*(VLOOKUP(($F$16-$F$15)-1,AK$100:AO224,5,FALSE)))*EXP(-(LN(2)/$D$65+0.04)*(VLOOKUP(($F$16-$F$15)*2-1,AK$100:AO224,4,FALSE)))*EXP(-(LN(2)/$D$65+0.1)*(VLOOKUP(($F$16-$F$15)*2-1,AK$100:AO224,5,FALSE)))*EXP(-(LN(2)/$D$65+0.04)*AN224)*EXP(-(LN(2)/$D$65+0.1)*AO224),"-"))),"-")</f>
        <v>-</v>
      </c>
      <c r="AS224" s="274">
        <f t="shared" si="185"/>
        <v>0</v>
      </c>
      <c r="AT224" s="274">
        <f t="shared" si="186"/>
        <v>0</v>
      </c>
      <c r="AU224" s="274">
        <f t="shared" si="187"/>
        <v>0</v>
      </c>
      <c r="AV224" s="190">
        <f>IF($B224&lt;$F$22,SUM($T$100:$T224),"")</f>
        <v>0</v>
      </c>
      <c r="AW224" s="190" t="str">
        <f t="shared" si="188"/>
        <v>-</v>
      </c>
      <c r="AX224" s="190" t="str">
        <f t="shared" si="158"/>
        <v/>
      </c>
      <c r="AY224"/>
      <c r="AZ224" s="190" t="str">
        <f ca="1">IF(ISNUMBER(OFFSET(AV224,-$F$21,0)),SUM(OFFSET($T$100,$F$21,0):$T224),"")</f>
        <v/>
      </c>
      <c r="BA224" s="190" t="str">
        <f t="shared" ca="1" si="189"/>
        <v/>
      </c>
      <c r="BB224" s="190" t="str">
        <f t="shared" ca="1" si="164"/>
        <v/>
      </c>
      <c r="BC224" s="190"/>
      <c r="BD224" s="190" t="str">
        <f ca="1">IFERROR(IF(AND($B224&gt;=($F$16-$F$15),$B224&lt;$F$22+($F$16-$F$15)),SUM(OFFSET($T$100,($F$16-$F$15),0):$T224),""),"")</f>
        <v/>
      </c>
      <c r="BE224" s="190" t="str">
        <f t="shared" ca="1" si="159"/>
        <v/>
      </c>
      <c r="BF224" s="190" t="str">
        <f t="shared" ca="1" si="160"/>
        <v/>
      </c>
      <c r="BG224"/>
      <c r="BH224" s="190" t="str">
        <f ca="1">IF(ISNUMBER(OFFSET(BD224,-$F$21,0)),SUM(OFFSET($T$100,($F$16-$F$15+$F$21),0):$T224),"")</f>
        <v/>
      </c>
      <c r="BI224" s="190" t="str">
        <f t="shared" ca="1" si="190"/>
        <v/>
      </c>
      <c r="BJ224" s="190" t="str">
        <f t="shared" ca="1" si="161"/>
        <v/>
      </c>
      <c r="BK224" s="190"/>
      <c r="BL224" s="190" t="str">
        <f ca="1">IFERROR(IF(AND($B224&gt;=($F$17-$F$15),$B224&lt;$F$22+($F$17-$F$15)),SUM(OFFSET($T$100,($F$17-$F$15),0):$T224),""),"")</f>
        <v/>
      </c>
      <c r="BM224" s="190" t="str">
        <f t="shared" ca="1" si="191"/>
        <v/>
      </c>
      <c r="BN224" s="190" t="str">
        <f t="shared" ca="1" si="162"/>
        <v/>
      </c>
      <c r="BO224"/>
      <c r="BP224" s="190" t="str">
        <f ca="1">IF(ISNUMBER(OFFSET(BL224,-$F$21,0)),SUM(OFFSET($T$100,($F$17-$F$15+$F$21),0):$T224),"")</f>
        <v/>
      </c>
      <c r="BQ224" s="190" t="str">
        <f t="shared" ca="1" si="192"/>
        <v/>
      </c>
      <c r="BR224" s="190" t="str">
        <f t="shared" ca="1" si="163"/>
        <v/>
      </c>
      <c r="BS224" s="190"/>
      <c r="BT224"/>
      <c r="BU224"/>
      <c r="BV224"/>
      <c r="BY224" s="99"/>
      <c r="BZ224" s="99"/>
      <c r="CA224" s="280" t="str">
        <f t="shared" si="193"/>
        <v/>
      </c>
      <c r="CB224" s="71" t="str">
        <f t="shared" si="194"/>
        <v>-</v>
      </c>
      <c r="CC224" s="33"/>
      <c r="CD224" s="261" t="str">
        <f t="shared" si="195"/>
        <v/>
      </c>
      <c r="CE224" s="280" t="str">
        <f t="shared" si="196"/>
        <v>-</v>
      </c>
      <c r="CF224" s="71" t="str">
        <f t="shared" ca="1" si="197"/>
        <v>-</v>
      </c>
      <c r="CG224" s="33" t="str">
        <f t="shared" si="198"/>
        <v>124-125</v>
      </c>
      <c r="CH224" s="261" t="str">
        <f t="shared" ca="1" si="199"/>
        <v/>
      </c>
      <c r="CP224" s="99"/>
      <c r="CQ224" s="99"/>
    </row>
    <row r="225" spans="2:95" ht="13.5" customHeight="1" x14ac:dyDescent="0.2">
      <c r="B225" s="262">
        <v>125</v>
      </c>
      <c r="C225" s="237" t="str">
        <f t="shared" si="165"/>
        <v/>
      </c>
      <c r="D225" s="237" t="str">
        <f t="shared" si="200"/>
        <v>-</v>
      </c>
      <c r="E225" s="263" t="str">
        <f t="shared" si="146"/>
        <v/>
      </c>
      <c r="F225" s="264" t="str">
        <f t="shared" si="147"/>
        <v/>
      </c>
      <c r="G225" s="264" t="str">
        <f t="shared" si="148"/>
        <v/>
      </c>
      <c r="H225" s="240" t="str">
        <f t="shared" si="166"/>
        <v/>
      </c>
      <c r="I225" s="265" t="str">
        <f t="shared" si="167"/>
        <v/>
      </c>
      <c r="J225" s="265" t="str">
        <f t="shared" si="168"/>
        <v/>
      </c>
      <c r="K225" s="240" t="str">
        <f t="shared" si="169"/>
        <v/>
      </c>
      <c r="L225" s="265" t="str">
        <f t="shared" si="170"/>
        <v/>
      </c>
      <c r="M225" s="265" t="str">
        <f t="shared" si="171"/>
        <v/>
      </c>
      <c r="N225" s="240" t="str">
        <f t="shared" si="172"/>
        <v>-</v>
      </c>
      <c r="O225" s="265" t="str">
        <f t="shared" si="173"/>
        <v>-</v>
      </c>
      <c r="P225" s="265" t="str">
        <f t="shared" si="174"/>
        <v>-</v>
      </c>
      <c r="Q225" s="266" t="str">
        <f t="shared" si="175"/>
        <v>-</v>
      </c>
      <c r="R225" s="267" t="str">
        <f t="shared" si="176"/>
        <v>-</v>
      </c>
      <c r="S225" s="268" t="str">
        <f t="shared" si="177"/>
        <v>-</v>
      </c>
      <c r="T225" s="269" t="str">
        <f t="shared" si="178"/>
        <v/>
      </c>
      <c r="U225" s="221">
        <f t="shared" si="179"/>
        <v>125</v>
      </c>
      <c r="V225" s="220" t="str">
        <f t="shared" si="122"/>
        <v>-</v>
      </c>
      <c r="W225" s="221" t="str">
        <f t="shared" si="149"/>
        <v>-</v>
      </c>
      <c r="X225" s="221" t="str">
        <f t="shared" si="180"/>
        <v>-</v>
      </c>
      <c r="Y225" s="221" t="str">
        <f t="shared" si="181"/>
        <v>-</v>
      </c>
      <c r="Z225" s="270">
        <f t="shared" si="150"/>
        <v>0.1</v>
      </c>
      <c r="AA225" s="271" t="str">
        <f>IFERROR(IF(V224=1,AA$100*EXP(-(LN(2)/$D$65+0.04)*X224)*EXP(-(LN(2)/$D$65+0.1)*Y224),IF(V224=2,AA$100*EXP(-(LN(2)/$D$65+0.04)*(VLOOKUP(($F$16-$F$15)-1,U$99:Y224,4,FALSE)))*EXP(-(LN(2)/$D$65+0.1)*(VLOOKUP(($F$16-$F$15)-1,U$99:Y224,5,FALSE)))*EXP(-(LN(2)/$D$65+0.04)*X224)*EXP(-(LN(2)/$D$65+0.1)*Y224),IF(V224=3,AA$100*EXP(-(LN(2)/$D$65+0.04)*(VLOOKUP(($F$16-$F$15)-1,U$99:Y224,4,FALSE)))*EXP(-(LN(2)/$D$65+0.1)*(VLOOKUP(($F$16-$F$15)-1,U$99:Y224,5,FALSE)))*EXP(-(LN(2)/$D$65+0.04)*(VLOOKUP(($F$16-$F$15)*2-1,U$99:Y224,4,FALSE)))*EXP(-(LN(2)/$D$65+0.1)*(VLOOKUP(($F$16-$F$15)*2-1,U$99:Y224,5,FALSE)))*EXP(-(LN(2)/$D$65+0.04)*X224)*EXP(-(LN(2)/$D$65+0.1)*Y224),"-"))),"-")</f>
        <v>-</v>
      </c>
      <c r="AB225" s="271" t="str">
        <f>IFERROR(IF(V225=1,AB$100*EXP(-(LN(2)/$D$65+0.04)*X225)*EXP(-(LN(2)/$D$65+0.1)*Y225),IF(V225=2,AB$100*EXP(-(LN(2)/$D$65+0.04)*(VLOOKUP(($F$16-$F$15)-1,U$100:Y225,4,FALSE)))*EXP(-(LN(2)/$D$65+0.1)*(VLOOKUP(($F$16-$F$15)-1,U$100:Y225,5,FALSE)))*EXP(-(LN(2)/$D$65+0.04)*X225)*EXP(-(LN(2)/$D$65+0.1)*Y225),IF(V225=3,AB$100*EXP(-(LN(2)/$D$65+0.04)*(VLOOKUP(($F$16-$F$15)-1,U$100:Y225,4,FALSE)))*EXP(-(LN(2)/$D$65+0.1)*(VLOOKUP(($F$16-$F$15)-1,U$100:Y225,5,FALSE)))*EXP(-(LN(2)/$D$65+0.04)*(VLOOKUP(($F$16-$F$15)*2-1,U$100:Y225,4,FALSE)))*EXP(-(LN(2)/$D$65+0.1)*(VLOOKUP(($F$16-$F$15)*2-1,U$100:Y225,5,FALSE)))*EXP(-(LN(2)/$D$65+0.04)*X225)*EXP(-(LN(2)/$D$65+0.1)*Y225),"-"))),"-")</f>
        <v>-</v>
      </c>
      <c r="AC225" s="224">
        <f t="shared" si="151"/>
        <v>125</v>
      </c>
      <c r="AD225" s="223" t="str">
        <f t="shared" si="125"/>
        <v>-</v>
      </c>
      <c r="AE225" s="224" t="str">
        <f t="shared" si="152"/>
        <v>-</v>
      </c>
      <c r="AF225" s="224" t="str">
        <f t="shared" si="182"/>
        <v>-</v>
      </c>
      <c r="AG225" s="224" t="str">
        <f t="shared" si="183"/>
        <v>-</v>
      </c>
      <c r="AH225" s="272">
        <f t="shared" si="153"/>
        <v>0.1</v>
      </c>
      <c r="AI225" s="271" t="str">
        <f>IFERROR(IF(AD224=1,AI$100*EXP(-(LN(2)/$D$65+0.04)*AF224)*EXP(-(LN(2)/$D$65+0.1)*AG224),IF(AD224=2,AI$100*EXP(-(LN(2)/$D$65+0.04)*(VLOOKUP(($F$16-$F$15)-1,AC$99:AG224,4,FALSE)))*EXP(-(LN(2)/$D$65+0.1)*(VLOOKUP(($F$16-$F$15)-1,AC$99:AG224,5,FALSE)))*EXP(-(LN(2)/$D$65+0.04)*AF224)*EXP(-(LN(2)/$D$65+0.1)*AG224),IF(AD224=3,AI$100*EXP(-(LN(2)/$D$65+0.04)*(VLOOKUP(($F$16-$F$15)-1,AC$99:AG224,4,FALSE)))*EXP(-(LN(2)/$D$65+0.1)*(VLOOKUP(($F$16-$F$15)-1,AC$99:AG224,5,FALSE)))*EXP(-(LN(2)/$D$65+0.04)*(VLOOKUP(($F$16-$F$15)*2-1,AC$99:AG224,4,FALSE)))*EXP(-(LN(2)/$D$65+0.1)*(VLOOKUP(($F$16-$F$15)*2-1,AC$99:AG224,5,FALSE)))*EXP(-(LN(2)/$D$65+0.04)*AF224)*EXP(-(LN(2)/$D$65+0.1)*AG224),"-"))),"-")</f>
        <v>-</v>
      </c>
      <c r="AJ225" s="271" t="str">
        <f>IFERROR(IF(AD225=1,AJ$100*EXP(-(LN(2)/$D$65+0.04)*AF225)*EXP(-(LN(2)/$D$65+0.1)*AG225),IF(AD225=2,AJ$100*EXP(-(LN(2)/$D$65+0.04)*(VLOOKUP(($F$16-$F$15)-1,AC$100:AG225,4,FALSE)))*EXP(-(LN(2)/$D$65+0.1)*(VLOOKUP(($F$16-$F$15)-1,AC$100:AG225,5,FALSE)))*EXP(-(LN(2)/$D$65+0.04)*AF225)*EXP(-(LN(2)/$D$65+0.1)*AG225),IF(AD225=3,AJ$100*EXP(-(LN(2)/$D$65+0.04)*(VLOOKUP(($F$16-$F$15)-1,AC$100:AG225,4,FALSE)))*EXP(-(LN(2)/$D$65+0.1)*(VLOOKUP(($F$16-$F$15)-1,AC$100:AG225,5,FALSE)))*EXP(-(LN(2)/$D$65+0.04)*(VLOOKUP(($F$16-$F$15)*2-1,AC$100:AG225,4,FALSE)))*EXP(-(LN(2)/$D$65+0.1)*(VLOOKUP(($F$16-$F$15)*2-1,AC$100:AG225,5,FALSE)))*EXP(-(LN(2)/$D$65+0.04)*AF225)*EXP(-(LN(2)/$D$65+0.1)*AG225),"-"))),"-")</f>
        <v>-</v>
      </c>
      <c r="AK225" s="227">
        <f t="shared" si="154"/>
        <v>125</v>
      </c>
      <c r="AL225" s="226" t="str">
        <f t="shared" si="128"/>
        <v>-</v>
      </c>
      <c r="AM225" s="227" t="str">
        <f t="shared" si="155"/>
        <v>-</v>
      </c>
      <c r="AN225" s="227" t="str">
        <f t="shared" si="156"/>
        <v>-</v>
      </c>
      <c r="AO225" s="227" t="str">
        <f t="shared" si="184"/>
        <v>-</v>
      </c>
      <c r="AP225" s="273">
        <f t="shared" si="157"/>
        <v>0.1</v>
      </c>
      <c r="AQ225" s="271" t="str">
        <f>IFERROR(IF(AL224=1,AQ$100*EXP(-(LN(2)/$D$65+0.04)*AN224)*EXP(-(LN(2)/$D$65+0.1)*AO224),IF(AL224=2,AQ$100*EXP(-(LN(2)/$D$65+0.04)*(VLOOKUP(($F$16-$F$15)-1,AK$99:AO224,4,FALSE)))*EXP(-(LN(2)/$D$65+0.1)*(VLOOKUP(($F$16-$F$15)-1,AK$99:AO224,5,FALSE)))*EXP(-(LN(2)/$D$65+0.04)*AN224)*EXP(-(LN(2)/$D$65+0.1)*AO224),IF(AL224=3,AQ$100*EXP(-(LN(2)/$D$65+0.04)*(VLOOKUP(($F$16-$F$15)-1,AK$99:AO224,4,FALSE)))*EXP(-(LN(2)/$D$65+0.1)*(VLOOKUP(($F$16-$F$15)-1,AK$99:AO224,5,FALSE)))*EXP(-(LN(2)/$D$65+0.04)*(VLOOKUP(($F$16-$F$15)*2-1,AK$99:AO224,4,FALSE)))*EXP(-(LN(2)/$D$65+0.1)*(VLOOKUP(($F$16-$F$15)*2-1,AK$99:AO224,5,FALSE)))*EXP(-(LN(2)/$D$65+0.04)*AN224)*EXP(-(LN(2)/$D$65+0.1)*AO224),"-"))),"-")</f>
        <v>-</v>
      </c>
      <c r="AR225" s="271" t="str">
        <f>IFERROR(IF(AL225=1,AR$100*EXP(-(LN(2)/$D$65+0.04)*AN225)*EXP(-(LN(2)/$D$65+0.1)*AO225),IF(AL225=2,AR$100*EXP(-(LN(2)/$D$65+0.04)*(VLOOKUP(($F$16-$F$15)-1,AK$100:AO225,4,FALSE)))*EXP(-(LN(2)/$D$65+0.1)*(VLOOKUP(($F$16-$F$15)-1,AK$100:AO225,5,FALSE)))*EXP(-(LN(2)/$D$65+0.04)*AN225)*EXP(-(LN(2)/$D$65+0.1)*AO225),IF(AL225=3,AR$100*EXP(-(LN(2)/$D$65+0.04)*(VLOOKUP(($F$16-$F$15)-1,AK$100:AO225,4,FALSE)))*EXP(-(LN(2)/$D$65+0.1)*(VLOOKUP(($F$16-$F$15)-1,AK$100:AO225,5,FALSE)))*EXP(-(LN(2)/$D$65+0.04)*(VLOOKUP(($F$16-$F$15)*2-1,AK$100:AO225,4,FALSE)))*EXP(-(LN(2)/$D$65+0.1)*(VLOOKUP(($F$16-$F$15)*2-1,AK$100:AO225,5,FALSE)))*EXP(-(LN(2)/$D$65+0.04)*AN225)*EXP(-(LN(2)/$D$65+0.1)*AO225),"-"))),"-")</f>
        <v>-</v>
      </c>
      <c r="AS225" s="274">
        <f t="shared" si="185"/>
        <v>0</v>
      </c>
      <c r="AT225" s="274">
        <f t="shared" si="186"/>
        <v>0</v>
      </c>
      <c r="AU225" s="274">
        <f t="shared" si="187"/>
        <v>0</v>
      </c>
      <c r="AV225" s="190">
        <f>IF($B225&lt;$F$22,SUM($T$100:$T225),"")</f>
        <v>0</v>
      </c>
      <c r="AW225" s="190" t="str">
        <f t="shared" si="188"/>
        <v>-</v>
      </c>
      <c r="AX225" s="190" t="str">
        <f t="shared" si="158"/>
        <v/>
      </c>
      <c r="AY225"/>
      <c r="AZ225" s="190" t="str">
        <f ca="1">IF(ISNUMBER(OFFSET(AV225,-$F$21,0)),SUM(OFFSET($T$100,$F$21,0):$T225),"")</f>
        <v/>
      </c>
      <c r="BA225" s="190" t="str">
        <f t="shared" ca="1" si="189"/>
        <v/>
      </c>
      <c r="BB225" s="190" t="str">
        <f t="shared" ca="1" si="164"/>
        <v/>
      </c>
      <c r="BC225" s="190"/>
      <c r="BD225" s="190" t="str">
        <f ca="1">IFERROR(IF(AND($B225&gt;=($F$16-$F$15),$B225&lt;$F$22+($F$16-$F$15)),SUM(OFFSET($T$100,($F$16-$F$15),0):$T225),""),"")</f>
        <v/>
      </c>
      <c r="BE225" s="190" t="str">
        <f t="shared" ca="1" si="159"/>
        <v/>
      </c>
      <c r="BF225" s="190" t="str">
        <f t="shared" ca="1" si="160"/>
        <v/>
      </c>
      <c r="BG225"/>
      <c r="BH225" s="190" t="str">
        <f ca="1">IF(ISNUMBER(OFFSET(BD225,-$F$21,0)),SUM(OFFSET($T$100,($F$16-$F$15+$F$21),0):$T225),"")</f>
        <v/>
      </c>
      <c r="BI225" s="190" t="str">
        <f t="shared" ca="1" si="190"/>
        <v/>
      </c>
      <c r="BJ225" s="190" t="str">
        <f t="shared" ca="1" si="161"/>
        <v/>
      </c>
      <c r="BK225" s="190"/>
      <c r="BL225" s="190" t="str">
        <f ca="1">IFERROR(IF(AND($B225&gt;=($F$17-$F$15),$B225&lt;$F$22+($F$17-$F$15)),SUM(OFFSET($T$100,($F$17-$F$15),0):$T225),""),"")</f>
        <v/>
      </c>
      <c r="BM225" s="190" t="str">
        <f t="shared" ca="1" si="191"/>
        <v/>
      </c>
      <c r="BN225" s="190" t="str">
        <f t="shared" ca="1" si="162"/>
        <v/>
      </c>
      <c r="BO225"/>
      <c r="BP225" s="190" t="str">
        <f ca="1">IF(ISNUMBER(OFFSET(BL225,-$F$21,0)),SUM(OFFSET($T$100,($F$17-$F$15+$F$21),0):$T225),"")</f>
        <v/>
      </c>
      <c r="BQ225" s="190" t="str">
        <f t="shared" ca="1" si="192"/>
        <v/>
      </c>
      <c r="BR225" s="190" t="str">
        <f t="shared" ca="1" si="163"/>
        <v/>
      </c>
      <c r="BS225" s="190"/>
      <c r="BT225"/>
      <c r="BU225"/>
      <c r="BV225"/>
      <c r="BY225" s="99"/>
      <c r="BZ225" s="99"/>
      <c r="CA225" s="280" t="str">
        <f t="shared" si="193"/>
        <v/>
      </c>
      <c r="CB225" s="71" t="str">
        <f t="shared" si="194"/>
        <v>-</v>
      </c>
      <c r="CC225" s="33"/>
      <c r="CD225" s="261" t="str">
        <f t="shared" si="195"/>
        <v/>
      </c>
      <c r="CE225" s="280" t="str">
        <f t="shared" si="196"/>
        <v>-</v>
      </c>
      <c r="CF225" s="71" t="str">
        <f t="shared" ca="1" si="197"/>
        <v>-</v>
      </c>
      <c r="CG225" s="33" t="str">
        <f t="shared" si="198"/>
        <v>125-126</v>
      </c>
      <c r="CH225" s="261" t="str">
        <f t="shared" ca="1" si="199"/>
        <v/>
      </c>
      <c r="CP225" s="99"/>
      <c r="CQ225" s="99"/>
    </row>
    <row r="226" spans="2:95" ht="13.5" customHeight="1" x14ac:dyDescent="0.2">
      <c r="B226" s="262">
        <v>126</v>
      </c>
      <c r="C226" s="237" t="str">
        <f t="shared" si="165"/>
        <v/>
      </c>
      <c r="D226" s="237" t="str">
        <f t="shared" si="200"/>
        <v>-</v>
      </c>
      <c r="E226" s="263" t="str">
        <f t="shared" si="146"/>
        <v/>
      </c>
      <c r="F226" s="264" t="str">
        <f t="shared" si="147"/>
        <v/>
      </c>
      <c r="G226" s="264" t="str">
        <f t="shared" si="148"/>
        <v/>
      </c>
      <c r="H226" s="240" t="str">
        <f t="shared" si="166"/>
        <v/>
      </c>
      <c r="I226" s="265" t="str">
        <f t="shared" si="167"/>
        <v/>
      </c>
      <c r="J226" s="265" t="str">
        <f t="shared" si="168"/>
        <v/>
      </c>
      <c r="K226" s="240" t="str">
        <f t="shared" si="169"/>
        <v/>
      </c>
      <c r="L226" s="265" t="str">
        <f t="shared" si="170"/>
        <v/>
      </c>
      <c r="M226" s="265" t="str">
        <f t="shared" si="171"/>
        <v/>
      </c>
      <c r="N226" s="240" t="str">
        <f t="shared" si="172"/>
        <v>-</v>
      </c>
      <c r="O226" s="265" t="str">
        <f t="shared" si="173"/>
        <v>-</v>
      </c>
      <c r="P226" s="265" t="str">
        <f t="shared" si="174"/>
        <v>-</v>
      </c>
      <c r="Q226" s="266" t="str">
        <f t="shared" si="175"/>
        <v>-</v>
      </c>
      <c r="R226" s="267" t="str">
        <f t="shared" si="176"/>
        <v>-</v>
      </c>
      <c r="S226" s="268" t="str">
        <f t="shared" si="177"/>
        <v>-</v>
      </c>
      <c r="T226" s="269" t="str">
        <f t="shared" si="178"/>
        <v/>
      </c>
      <c r="U226" s="221">
        <f t="shared" si="179"/>
        <v>126</v>
      </c>
      <c r="V226" s="220" t="str">
        <f t="shared" si="122"/>
        <v>-</v>
      </c>
      <c r="W226" s="221" t="str">
        <f t="shared" si="149"/>
        <v>-</v>
      </c>
      <c r="X226" s="221" t="str">
        <f t="shared" si="180"/>
        <v>-</v>
      </c>
      <c r="Y226" s="221" t="str">
        <f t="shared" si="181"/>
        <v>-</v>
      </c>
      <c r="Z226" s="270">
        <f t="shared" si="150"/>
        <v>0.1</v>
      </c>
      <c r="AA226" s="271" t="str">
        <f>IFERROR(IF(V225=1,AA$100*EXP(-(LN(2)/$D$65+0.04)*X225)*EXP(-(LN(2)/$D$65+0.1)*Y225),IF(V225=2,AA$100*EXP(-(LN(2)/$D$65+0.04)*(VLOOKUP(($F$16-$F$15)-1,U$99:Y225,4,FALSE)))*EXP(-(LN(2)/$D$65+0.1)*(VLOOKUP(($F$16-$F$15)-1,U$99:Y225,5,FALSE)))*EXP(-(LN(2)/$D$65+0.04)*X225)*EXP(-(LN(2)/$D$65+0.1)*Y225),IF(V225=3,AA$100*EXP(-(LN(2)/$D$65+0.04)*(VLOOKUP(($F$16-$F$15)-1,U$99:Y225,4,FALSE)))*EXP(-(LN(2)/$D$65+0.1)*(VLOOKUP(($F$16-$F$15)-1,U$99:Y225,5,FALSE)))*EXP(-(LN(2)/$D$65+0.04)*(VLOOKUP(($F$16-$F$15)*2-1,U$99:Y225,4,FALSE)))*EXP(-(LN(2)/$D$65+0.1)*(VLOOKUP(($F$16-$F$15)*2-1,U$99:Y225,5,FALSE)))*EXP(-(LN(2)/$D$65+0.04)*X225)*EXP(-(LN(2)/$D$65+0.1)*Y225),"-"))),"-")</f>
        <v>-</v>
      </c>
      <c r="AB226" s="271" t="str">
        <f>IFERROR(IF(V226=1,AB$100*EXP(-(LN(2)/$D$65+0.04)*X226)*EXP(-(LN(2)/$D$65+0.1)*Y226),IF(V226=2,AB$100*EXP(-(LN(2)/$D$65+0.04)*(VLOOKUP(($F$16-$F$15)-1,U$100:Y226,4,FALSE)))*EXP(-(LN(2)/$D$65+0.1)*(VLOOKUP(($F$16-$F$15)-1,U$100:Y226,5,FALSE)))*EXP(-(LN(2)/$D$65+0.04)*X226)*EXP(-(LN(2)/$D$65+0.1)*Y226),IF(V226=3,AB$100*EXP(-(LN(2)/$D$65+0.04)*(VLOOKUP(($F$16-$F$15)-1,U$100:Y226,4,FALSE)))*EXP(-(LN(2)/$D$65+0.1)*(VLOOKUP(($F$16-$F$15)-1,U$100:Y226,5,FALSE)))*EXP(-(LN(2)/$D$65+0.04)*(VLOOKUP(($F$16-$F$15)*2-1,U$100:Y226,4,FALSE)))*EXP(-(LN(2)/$D$65+0.1)*(VLOOKUP(($F$16-$F$15)*2-1,U$100:Y226,5,FALSE)))*EXP(-(LN(2)/$D$65+0.04)*X226)*EXP(-(LN(2)/$D$65+0.1)*Y226),"-"))),"-")</f>
        <v>-</v>
      </c>
      <c r="AC226" s="224">
        <f t="shared" si="151"/>
        <v>126</v>
      </c>
      <c r="AD226" s="223" t="str">
        <f t="shared" si="125"/>
        <v>-</v>
      </c>
      <c r="AE226" s="224" t="str">
        <f t="shared" si="152"/>
        <v>-</v>
      </c>
      <c r="AF226" s="224" t="str">
        <f t="shared" si="182"/>
        <v>-</v>
      </c>
      <c r="AG226" s="224" t="str">
        <f t="shared" si="183"/>
        <v>-</v>
      </c>
      <c r="AH226" s="272">
        <f t="shared" si="153"/>
        <v>0.1</v>
      </c>
      <c r="AI226" s="271" t="str">
        <f>IFERROR(IF(AD225=1,AI$100*EXP(-(LN(2)/$D$65+0.04)*AF225)*EXP(-(LN(2)/$D$65+0.1)*AG225),IF(AD225=2,AI$100*EXP(-(LN(2)/$D$65+0.04)*(VLOOKUP(($F$16-$F$15)-1,AC$99:AG225,4,FALSE)))*EXP(-(LN(2)/$D$65+0.1)*(VLOOKUP(($F$16-$F$15)-1,AC$99:AG225,5,FALSE)))*EXP(-(LN(2)/$D$65+0.04)*AF225)*EXP(-(LN(2)/$D$65+0.1)*AG225),IF(AD225=3,AI$100*EXP(-(LN(2)/$D$65+0.04)*(VLOOKUP(($F$16-$F$15)-1,AC$99:AG225,4,FALSE)))*EXP(-(LN(2)/$D$65+0.1)*(VLOOKUP(($F$16-$F$15)-1,AC$99:AG225,5,FALSE)))*EXP(-(LN(2)/$D$65+0.04)*(VLOOKUP(($F$16-$F$15)*2-1,AC$99:AG225,4,FALSE)))*EXP(-(LN(2)/$D$65+0.1)*(VLOOKUP(($F$16-$F$15)*2-1,AC$99:AG225,5,FALSE)))*EXP(-(LN(2)/$D$65+0.04)*AF225)*EXP(-(LN(2)/$D$65+0.1)*AG225),"-"))),"-")</f>
        <v>-</v>
      </c>
      <c r="AJ226" s="271" t="str">
        <f>IFERROR(IF(AD226=1,AJ$100*EXP(-(LN(2)/$D$65+0.04)*AF226)*EXP(-(LN(2)/$D$65+0.1)*AG226),IF(AD226=2,AJ$100*EXP(-(LN(2)/$D$65+0.04)*(VLOOKUP(($F$16-$F$15)-1,AC$100:AG226,4,FALSE)))*EXP(-(LN(2)/$D$65+0.1)*(VLOOKUP(($F$16-$F$15)-1,AC$100:AG226,5,FALSE)))*EXP(-(LN(2)/$D$65+0.04)*AF226)*EXP(-(LN(2)/$D$65+0.1)*AG226),IF(AD226=3,AJ$100*EXP(-(LN(2)/$D$65+0.04)*(VLOOKUP(($F$16-$F$15)-1,AC$100:AG226,4,FALSE)))*EXP(-(LN(2)/$D$65+0.1)*(VLOOKUP(($F$16-$F$15)-1,AC$100:AG226,5,FALSE)))*EXP(-(LN(2)/$D$65+0.04)*(VLOOKUP(($F$16-$F$15)*2-1,AC$100:AG226,4,FALSE)))*EXP(-(LN(2)/$D$65+0.1)*(VLOOKUP(($F$16-$F$15)*2-1,AC$100:AG226,5,FALSE)))*EXP(-(LN(2)/$D$65+0.04)*AF226)*EXP(-(LN(2)/$D$65+0.1)*AG226),"-"))),"-")</f>
        <v>-</v>
      </c>
      <c r="AK226" s="227">
        <f t="shared" si="154"/>
        <v>126</v>
      </c>
      <c r="AL226" s="226" t="str">
        <f t="shared" si="128"/>
        <v>-</v>
      </c>
      <c r="AM226" s="227" t="str">
        <f t="shared" si="155"/>
        <v>-</v>
      </c>
      <c r="AN226" s="227" t="str">
        <f t="shared" si="156"/>
        <v>-</v>
      </c>
      <c r="AO226" s="227" t="str">
        <f t="shared" si="184"/>
        <v>-</v>
      </c>
      <c r="AP226" s="273">
        <f t="shared" si="157"/>
        <v>0.1</v>
      </c>
      <c r="AQ226" s="271" t="str">
        <f>IFERROR(IF(AL225=1,AQ$100*EXP(-(LN(2)/$D$65+0.04)*AN225)*EXP(-(LN(2)/$D$65+0.1)*AO225),IF(AL225=2,AQ$100*EXP(-(LN(2)/$D$65+0.04)*(VLOOKUP(($F$16-$F$15)-1,AK$99:AO225,4,FALSE)))*EXP(-(LN(2)/$D$65+0.1)*(VLOOKUP(($F$16-$F$15)-1,AK$99:AO225,5,FALSE)))*EXP(-(LN(2)/$D$65+0.04)*AN225)*EXP(-(LN(2)/$D$65+0.1)*AO225),IF(AL225=3,AQ$100*EXP(-(LN(2)/$D$65+0.04)*(VLOOKUP(($F$16-$F$15)-1,AK$99:AO225,4,FALSE)))*EXP(-(LN(2)/$D$65+0.1)*(VLOOKUP(($F$16-$F$15)-1,AK$99:AO225,5,FALSE)))*EXP(-(LN(2)/$D$65+0.04)*(VLOOKUP(($F$16-$F$15)*2-1,AK$99:AO225,4,FALSE)))*EXP(-(LN(2)/$D$65+0.1)*(VLOOKUP(($F$16-$F$15)*2-1,AK$99:AO225,5,FALSE)))*EXP(-(LN(2)/$D$65+0.04)*AN225)*EXP(-(LN(2)/$D$65+0.1)*AO225),"-"))),"-")</f>
        <v>-</v>
      </c>
      <c r="AR226" s="271" t="str">
        <f>IFERROR(IF(AL226=1,AR$100*EXP(-(LN(2)/$D$65+0.04)*AN226)*EXP(-(LN(2)/$D$65+0.1)*AO226),IF(AL226=2,AR$100*EXP(-(LN(2)/$D$65+0.04)*(VLOOKUP(($F$16-$F$15)-1,AK$100:AO226,4,FALSE)))*EXP(-(LN(2)/$D$65+0.1)*(VLOOKUP(($F$16-$F$15)-1,AK$100:AO226,5,FALSE)))*EXP(-(LN(2)/$D$65+0.04)*AN226)*EXP(-(LN(2)/$D$65+0.1)*AO226),IF(AL226=3,AR$100*EXP(-(LN(2)/$D$65+0.04)*(VLOOKUP(($F$16-$F$15)-1,AK$100:AO226,4,FALSE)))*EXP(-(LN(2)/$D$65+0.1)*(VLOOKUP(($F$16-$F$15)-1,AK$100:AO226,5,FALSE)))*EXP(-(LN(2)/$D$65+0.04)*(VLOOKUP(($F$16-$F$15)*2-1,AK$100:AO226,4,FALSE)))*EXP(-(LN(2)/$D$65+0.1)*(VLOOKUP(($F$16-$F$15)*2-1,AK$100:AO226,5,FALSE)))*EXP(-(LN(2)/$D$65+0.04)*AN226)*EXP(-(LN(2)/$D$65+0.1)*AO226),"-"))),"-")</f>
        <v>-</v>
      </c>
      <c r="AS226" s="274">
        <f t="shared" si="185"/>
        <v>0</v>
      </c>
      <c r="AT226" s="274">
        <f t="shared" si="186"/>
        <v>0</v>
      </c>
      <c r="AU226" s="274">
        <f t="shared" si="187"/>
        <v>0</v>
      </c>
      <c r="AV226" s="190">
        <f>IF($B226&lt;$F$22,SUM($T$100:$T226),"")</f>
        <v>0</v>
      </c>
      <c r="AW226" s="190" t="str">
        <f t="shared" si="188"/>
        <v>-</v>
      </c>
      <c r="AX226" s="190" t="str">
        <f t="shared" si="158"/>
        <v/>
      </c>
      <c r="AY226"/>
      <c r="AZ226" s="190" t="str">
        <f ca="1">IF(ISNUMBER(OFFSET(AV226,-$F$21,0)),SUM(OFFSET($T$100,$F$21,0):$T226),"")</f>
        <v/>
      </c>
      <c r="BA226" s="190" t="str">
        <f t="shared" ca="1" si="189"/>
        <v/>
      </c>
      <c r="BB226" s="190" t="str">
        <f t="shared" ca="1" si="164"/>
        <v/>
      </c>
      <c r="BC226" s="190"/>
      <c r="BD226" s="190" t="str">
        <f ca="1">IFERROR(IF(AND($B226&gt;=($F$16-$F$15),$B226&lt;$F$22+($F$16-$F$15)),SUM(OFFSET($T$100,($F$16-$F$15),0):$T226),""),"")</f>
        <v/>
      </c>
      <c r="BE226" s="190" t="str">
        <f t="shared" ca="1" si="159"/>
        <v/>
      </c>
      <c r="BF226" s="190" t="str">
        <f t="shared" ca="1" si="160"/>
        <v/>
      </c>
      <c r="BG226"/>
      <c r="BH226" s="190" t="str">
        <f ca="1">IF(ISNUMBER(OFFSET(BD226,-$F$21,0)),SUM(OFFSET($T$100,($F$16-$F$15+$F$21),0):$T226),"")</f>
        <v/>
      </c>
      <c r="BI226" s="190" t="str">
        <f t="shared" ca="1" si="190"/>
        <v/>
      </c>
      <c r="BJ226" s="190" t="str">
        <f t="shared" ca="1" si="161"/>
        <v/>
      </c>
      <c r="BK226" s="190"/>
      <c r="BL226" s="190" t="str">
        <f ca="1">IFERROR(IF(AND($B226&gt;=($F$17-$F$15),$B226&lt;$F$22+($F$17-$F$15)),SUM(OFFSET($T$100,($F$17-$F$15),0):$T226),""),"")</f>
        <v/>
      </c>
      <c r="BM226" s="190" t="str">
        <f t="shared" ca="1" si="191"/>
        <v/>
      </c>
      <c r="BN226" s="190" t="str">
        <f t="shared" ca="1" si="162"/>
        <v/>
      </c>
      <c r="BO226"/>
      <c r="BP226" s="190" t="str">
        <f ca="1">IF(ISNUMBER(OFFSET(BL226,-$F$21,0)),SUM(OFFSET($T$100,($F$17-$F$15+$F$21),0):$T226),"")</f>
        <v/>
      </c>
      <c r="BQ226" s="190" t="str">
        <f t="shared" ca="1" si="192"/>
        <v/>
      </c>
      <c r="BR226" s="190" t="str">
        <f t="shared" ca="1" si="163"/>
        <v/>
      </c>
      <c r="BS226" s="190"/>
      <c r="BT226"/>
      <c r="BU226"/>
      <c r="BV226"/>
      <c r="BY226" s="99"/>
      <c r="BZ226" s="99"/>
      <c r="CA226" s="280" t="str">
        <f t="shared" si="193"/>
        <v/>
      </c>
      <c r="CB226" s="71" t="str">
        <f t="shared" si="194"/>
        <v>-</v>
      </c>
      <c r="CC226" s="33"/>
      <c r="CD226" s="261" t="str">
        <f t="shared" si="195"/>
        <v/>
      </c>
      <c r="CE226" s="280" t="str">
        <f t="shared" si="196"/>
        <v>-</v>
      </c>
      <c r="CF226" s="71" t="str">
        <f t="shared" ca="1" si="197"/>
        <v>-</v>
      </c>
      <c r="CG226" s="33" t="str">
        <f t="shared" si="198"/>
        <v>126-127</v>
      </c>
      <c r="CH226" s="261" t="str">
        <f t="shared" ca="1" si="199"/>
        <v/>
      </c>
      <c r="CP226" s="99"/>
      <c r="CQ226" s="99"/>
    </row>
    <row r="227" spans="2:95" ht="13.5" customHeight="1" x14ac:dyDescent="0.2">
      <c r="B227" s="262">
        <v>127</v>
      </c>
      <c r="C227" s="237" t="str">
        <f t="shared" si="165"/>
        <v/>
      </c>
      <c r="D227" s="237" t="str">
        <f t="shared" si="200"/>
        <v>-</v>
      </c>
      <c r="E227" s="263" t="str">
        <f t="shared" si="146"/>
        <v/>
      </c>
      <c r="F227" s="264" t="str">
        <f t="shared" si="147"/>
        <v/>
      </c>
      <c r="G227" s="264" t="str">
        <f t="shared" si="148"/>
        <v/>
      </c>
      <c r="H227" s="240" t="str">
        <f t="shared" si="166"/>
        <v/>
      </c>
      <c r="I227" s="265" t="str">
        <f t="shared" si="167"/>
        <v/>
      </c>
      <c r="J227" s="265" t="str">
        <f t="shared" si="168"/>
        <v/>
      </c>
      <c r="K227" s="240" t="str">
        <f t="shared" si="169"/>
        <v/>
      </c>
      <c r="L227" s="265" t="str">
        <f t="shared" si="170"/>
        <v/>
      </c>
      <c r="M227" s="265" t="str">
        <f t="shared" si="171"/>
        <v/>
      </c>
      <c r="N227" s="240" t="str">
        <f t="shared" si="172"/>
        <v>-</v>
      </c>
      <c r="O227" s="265" t="str">
        <f t="shared" si="173"/>
        <v>-</v>
      </c>
      <c r="P227" s="265" t="str">
        <f t="shared" si="174"/>
        <v>-</v>
      </c>
      <c r="Q227" s="266" t="str">
        <f t="shared" si="175"/>
        <v>-</v>
      </c>
      <c r="R227" s="267" t="str">
        <f t="shared" si="176"/>
        <v>-</v>
      </c>
      <c r="S227" s="268" t="str">
        <f t="shared" si="177"/>
        <v>-</v>
      </c>
      <c r="T227" s="269" t="str">
        <f t="shared" si="178"/>
        <v/>
      </c>
      <c r="U227" s="221">
        <f t="shared" si="179"/>
        <v>127</v>
      </c>
      <c r="V227" s="220" t="str">
        <f t="shared" si="122"/>
        <v>-</v>
      </c>
      <c r="W227" s="221" t="str">
        <f t="shared" si="149"/>
        <v>-</v>
      </c>
      <c r="X227" s="221" t="str">
        <f t="shared" si="180"/>
        <v>-</v>
      </c>
      <c r="Y227" s="221" t="str">
        <f t="shared" si="181"/>
        <v>-</v>
      </c>
      <c r="Z227" s="270">
        <f t="shared" si="150"/>
        <v>0.1</v>
      </c>
      <c r="AA227" s="271" t="str">
        <f>IFERROR(IF(V226=1,AA$100*EXP(-(LN(2)/$D$65+0.04)*X226)*EXP(-(LN(2)/$D$65+0.1)*Y226),IF(V226=2,AA$100*EXP(-(LN(2)/$D$65+0.04)*(VLOOKUP(($F$16-$F$15)-1,U$99:Y226,4,FALSE)))*EXP(-(LN(2)/$D$65+0.1)*(VLOOKUP(($F$16-$F$15)-1,U$99:Y226,5,FALSE)))*EXP(-(LN(2)/$D$65+0.04)*X226)*EXP(-(LN(2)/$D$65+0.1)*Y226),IF(V226=3,AA$100*EXP(-(LN(2)/$D$65+0.04)*(VLOOKUP(($F$16-$F$15)-1,U$99:Y226,4,FALSE)))*EXP(-(LN(2)/$D$65+0.1)*(VLOOKUP(($F$16-$F$15)-1,U$99:Y226,5,FALSE)))*EXP(-(LN(2)/$D$65+0.04)*(VLOOKUP(($F$16-$F$15)*2-1,U$99:Y226,4,FALSE)))*EXP(-(LN(2)/$D$65+0.1)*(VLOOKUP(($F$16-$F$15)*2-1,U$99:Y226,5,FALSE)))*EXP(-(LN(2)/$D$65+0.04)*X226)*EXP(-(LN(2)/$D$65+0.1)*Y226),"-"))),"-")</f>
        <v>-</v>
      </c>
      <c r="AB227" s="271" t="str">
        <f>IFERROR(IF(V227=1,AB$100*EXP(-(LN(2)/$D$65+0.04)*X227)*EXP(-(LN(2)/$D$65+0.1)*Y227),IF(V227=2,AB$100*EXP(-(LN(2)/$D$65+0.04)*(VLOOKUP(($F$16-$F$15)-1,U$100:Y227,4,FALSE)))*EXP(-(LN(2)/$D$65+0.1)*(VLOOKUP(($F$16-$F$15)-1,U$100:Y227,5,FALSE)))*EXP(-(LN(2)/$D$65+0.04)*X227)*EXP(-(LN(2)/$D$65+0.1)*Y227),IF(V227=3,AB$100*EXP(-(LN(2)/$D$65+0.04)*(VLOOKUP(($F$16-$F$15)-1,U$100:Y227,4,FALSE)))*EXP(-(LN(2)/$D$65+0.1)*(VLOOKUP(($F$16-$F$15)-1,U$100:Y227,5,FALSE)))*EXP(-(LN(2)/$D$65+0.04)*(VLOOKUP(($F$16-$F$15)*2-1,U$100:Y227,4,FALSE)))*EXP(-(LN(2)/$D$65+0.1)*(VLOOKUP(($F$16-$F$15)*2-1,U$100:Y227,5,FALSE)))*EXP(-(LN(2)/$D$65+0.04)*X227)*EXP(-(LN(2)/$D$65+0.1)*Y227),"-"))),"-")</f>
        <v>-</v>
      </c>
      <c r="AC227" s="224">
        <f t="shared" si="151"/>
        <v>127</v>
      </c>
      <c r="AD227" s="223" t="str">
        <f t="shared" si="125"/>
        <v>-</v>
      </c>
      <c r="AE227" s="224" t="str">
        <f t="shared" si="152"/>
        <v>-</v>
      </c>
      <c r="AF227" s="224" t="str">
        <f t="shared" si="182"/>
        <v>-</v>
      </c>
      <c r="AG227" s="224" t="str">
        <f t="shared" si="183"/>
        <v>-</v>
      </c>
      <c r="AH227" s="272">
        <f t="shared" si="153"/>
        <v>0.1</v>
      </c>
      <c r="AI227" s="271" t="str">
        <f>IFERROR(IF(AD226=1,AI$100*EXP(-(LN(2)/$D$65+0.04)*AF226)*EXP(-(LN(2)/$D$65+0.1)*AG226),IF(AD226=2,AI$100*EXP(-(LN(2)/$D$65+0.04)*(VLOOKUP(($F$16-$F$15)-1,AC$99:AG226,4,FALSE)))*EXP(-(LN(2)/$D$65+0.1)*(VLOOKUP(($F$16-$F$15)-1,AC$99:AG226,5,FALSE)))*EXP(-(LN(2)/$D$65+0.04)*AF226)*EXP(-(LN(2)/$D$65+0.1)*AG226),IF(AD226=3,AI$100*EXP(-(LN(2)/$D$65+0.04)*(VLOOKUP(($F$16-$F$15)-1,AC$99:AG226,4,FALSE)))*EXP(-(LN(2)/$D$65+0.1)*(VLOOKUP(($F$16-$F$15)-1,AC$99:AG226,5,FALSE)))*EXP(-(LN(2)/$D$65+0.04)*(VLOOKUP(($F$16-$F$15)*2-1,AC$99:AG226,4,FALSE)))*EXP(-(LN(2)/$D$65+0.1)*(VLOOKUP(($F$16-$F$15)*2-1,AC$99:AG226,5,FALSE)))*EXP(-(LN(2)/$D$65+0.04)*AF226)*EXP(-(LN(2)/$D$65+0.1)*AG226),"-"))),"-")</f>
        <v>-</v>
      </c>
      <c r="AJ227" s="271" t="str">
        <f>IFERROR(IF(AD227=1,AJ$100*EXP(-(LN(2)/$D$65+0.04)*AF227)*EXP(-(LN(2)/$D$65+0.1)*AG227),IF(AD227=2,AJ$100*EXP(-(LN(2)/$D$65+0.04)*(VLOOKUP(($F$16-$F$15)-1,AC$100:AG227,4,FALSE)))*EXP(-(LN(2)/$D$65+0.1)*(VLOOKUP(($F$16-$F$15)-1,AC$100:AG227,5,FALSE)))*EXP(-(LN(2)/$D$65+0.04)*AF227)*EXP(-(LN(2)/$D$65+0.1)*AG227),IF(AD227=3,AJ$100*EXP(-(LN(2)/$D$65+0.04)*(VLOOKUP(($F$16-$F$15)-1,AC$100:AG227,4,FALSE)))*EXP(-(LN(2)/$D$65+0.1)*(VLOOKUP(($F$16-$F$15)-1,AC$100:AG227,5,FALSE)))*EXP(-(LN(2)/$D$65+0.04)*(VLOOKUP(($F$16-$F$15)*2-1,AC$100:AG227,4,FALSE)))*EXP(-(LN(2)/$D$65+0.1)*(VLOOKUP(($F$16-$F$15)*2-1,AC$100:AG227,5,FALSE)))*EXP(-(LN(2)/$D$65+0.04)*AF227)*EXP(-(LN(2)/$D$65+0.1)*AG227),"-"))),"-")</f>
        <v>-</v>
      </c>
      <c r="AK227" s="227">
        <f t="shared" si="154"/>
        <v>127</v>
      </c>
      <c r="AL227" s="226" t="str">
        <f t="shared" si="128"/>
        <v>-</v>
      </c>
      <c r="AM227" s="227" t="str">
        <f t="shared" si="155"/>
        <v>-</v>
      </c>
      <c r="AN227" s="227" t="str">
        <f t="shared" si="156"/>
        <v>-</v>
      </c>
      <c r="AO227" s="227" t="str">
        <f t="shared" si="184"/>
        <v>-</v>
      </c>
      <c r="AP227" s="273">
        <f t="shared" si="157"/>
        <v>0.1</v>
      </c>
      <c r="AQ227" s="271" t="str">
        <f>IFERROR(IF(AL226=1,AQ$100*EXP(-(LN(2)/$D$65+0.04)*AN226)*EXP(-(LN(2)/$D$65+0.1)*AO226),IF(AL226=2,AQ$100*EXP(-(LN(2)/$D$65+0.04)*(VLOOKUP(($F$16-$F$15)-1,AK$99:AO226,4,FALSE)))*EXP(-(LN(2)/$D$65+0.1)*(VLOOKUP(($F$16-$F$15)-1,AK$99:AO226,5,FALSE)))*EXP(-(LN(2)/$D$65+0.04)*AN226)*EXP(-(LN(2)/$D$65+0.1)*AO226),IF(AL226=3,AQ$100*EXP(-(LN(2)/$D$65+0.04)*(VLOOKUP(($F$16-$F$15)-1,AK$99:AO226,4,FALSE)))*EXP(-(LN(2)/$D$65+0.1)*(VLOOKUP(($F$16-$F$15)-1,AK$99:AO226,5,FALSE)))*EXP(-(LN(2)/$D$65+0.04)*(VLOOKUP(($F$16-$F$15)*2-1,AK$99:AO226,4,FALSE)))*EXP(-(LN(2)/$D$65+0.1)*(VLOOKUP(($F$16-$F$15)*2-1,AK$99:AO226,5,FALSE)))*EXP(-(LN(2)/$D$65+0.04)*AN226)*EXP(-(LN(2)/$D$65+0.1)*AO226),"-"))),"-")</f>
        <v>-</v>
      </c>
      <c r="AR227" s="271" t="str">
        <f>IFERROR(IF(AL227=1,AR$100*EXP(-(LN(2)/$D$65+0.04)*AN227)*EXP(-(LN(2)/$D$65+0.1)*AO227),IF(AL227=2,AR$100*EXP(-(LN(2)/$D$65+0.04)*(VLOOKUP(($F$16-$F$15)-1,AK$100:AO227,4,FALSE)))*EXP(-(LN(2)/$D$65+0.1)*(VLOOKUP(($F$16-$F$15)-1,AK$100:AO227,5,FALSE)))*EXP(-(LN(2)/$D$65+0.04)*AN227)*EXP(-(LN(2)/$D$65+0.1)*AO227),IF(AL227=3,AR$100*EXP(-(LN(2)/$D$65+0.04)*(VLOOKUP(($F$16-$F$15)-1,AK$100:AO227,4,FALSE)))*EXP(-(LN(2)/$D$65+0.1)*(VLOOKUP(($F$16-$F$15)-1,AK$100:AO227,5,FALSE)))*EXP(-(LN(2)/$D$65+0.04)*(VLOOKUP(($F$16-$F$15)*2-1,AK$100:AO227,4,FALSE)))*EXP(-(LN(2)/$D$65+0.1)*(VLOOKUP(($F$16-$F$15)*2-1,AK$100:AO227,5,FALSE)))*EXP(-(LN(2)/$D$65+0.04)*AN227)*EXP(-(LN(2)/$D$65+0.1)*AO227),"-"))),"-")</f>
        <v>-</v>
      </c>
      <c r="AS227" s="274">
        <f t="shared" si="185"/>
        <v>0</v>
      </c>
      <c r="AT227" s="274">
        <f t="shared" si="186"/>
        <v>0</v>
      </c>
      <c r="AU227" s="274">
        <f t="shared" si="187"/>
        <v>0</v>
      </c>
      <c r="AV227" s="190">
        <f>IF($B227&lt;$F$22,SUM($T$100:$T227),"")</f>
        <v>0</v>
      </c>
      <c r="AW227" s="190" t="str">
        <f t="shared" si="188"/>
        <v>-</v>
      </c>
      <c r="AX227" s="190" t="str">
        <f t="shared" si="158"/>
        <v/>
      </c>
      <c r="AY227"/>
      <c r="AZ227" s="190" t="str">
        <f ca="1">IF(ISNUMBER(OFFSET(AV227,-$F$21,0)),SUM(OFFSET($T$100,$F$21,0):$T227),"")</f>
        <v/>
      </c>
      <c r="BA227" s="190" t="str">
        <f t="shared" ca="1" si="189"/>
        <v/>
      </c>
      <c r="BB227" s="190" t="str">
        <f t="shared" ca="1" si="164"/>
        <v/>
      </c>
      <c r="BC227" s="190"/>
      <c r="BD227" s="190" t="str">
        <f ca="1">IFERROR(IF(AND($B227&gt;=($F$16-$F$15),$B227&lt;$F$22+($F$16-$F$15)),SUM(OFFSET($T$100,($F$16-$F$15),0):$T227),""),"")</f>
        <v/>
      </c>
      <c r="BE227" s="190" t="str">
        <f t="shared" ca="1" si="159"/>
        <v/>
      </c>
      <c r="BF227" s="190" t="str">
        <f t="shared" ca="1" si="160"/>
        <v/>
      </c>
      <c r="BG227"/>
      <c r="BH227" s="190" t="str">
        <f ca="1">IF(ISNUMBER(OFFSET(BD227,-$F$21,0)),SUM(OFFSET($T$100,($F$16-$F$15+$F$21),0):$T227),"")</f>
        <v/>
      </c>
      <c r="BI227" s="190" t="str">
        <f t="shared" ca="1" si="190"/>
        <v/>
      </c>
      <c r="BJ227" s="190" t="str">
        <f t="shared" ca="1" si="161"/>
        <v/>
      </c>
      <c r="BK227" s="190"/>
      <c r="BL227" s="190" t="str">
        <f ca="1">IFERROR(IF(AND($B227&gt;=($F$17-$F$15),$B227&lt;$F$22+($F$17-$F$15)),SUM(OFFSET($T$100,($F$17-$F$15),0):$T227),""),"")</f>
        <v/>
      </c>
      <c r="BM227" s="190" t="str">
        <f t="shared" ca="1" si="191"/>
        <v/>
      </c>
      <c r="BN227" s="190" t="str">
        <f t="shared" ca="1" si="162"/>
        <v/>
      </c>
      <c r="BO227"/>
      <c r="BP227" s="190" t="str">
        <f ca="1">IF(ISNUMBER(OFFSET(BL227,-$F$21,0)),SUM(OFFSET($T$100,($F$17-$F$15+$F$21),0):$T227),"")</f>
        <v/>
      </c>
      <c r="BQ227" s="190" t="str">
        <f t="shared" ca="1" si="192"/>
        <v/>
      </c>
      <c r="BR227" s="190" t="str">
        <f t="shared" ca="1" si="163"/>
        <v/>
      </c>
      <c r="BS227" s="190"/>
      <c r="BT227"/>
      <c r="BU227"/>
      <c r="BV227"/>
      <c r="BY227" s="99"/>
      <c r="BZ227" s="99"/>
      <c r="CA227" s="280" t="str">
        <f t="shared" si="193"/>
        <v/>
      </c>
      <c r="CB227" s="71" t="str">
        <f t="shared" si="194"/>
        <v>-</v>
      </c>
      <c r="CC227" s="33"/>
      <c r="CD227" s="261" t="str">
        <f t="shared" si="195"/>
        <v/>
      </c>
      <c r="CE227" s="280" t="str">
        <f t="shared" si="196"/>
        <v>-</v>
      </c>
      <c r="CF227" s="71" t="str">
        <f t="shared" ca="1" si="197"/>
        <v>-</v>
      </c>
      <c r="CG227" s="33" t="str">
        <f t="shared" si="198"/>
        <v>127-128</v>
      </c>
      <c r="CH227" s="261" t="str">
        <f t="shared" ca="1" si="199"/>
        <v/>
      </c>
      <c r="CP227" s="99"/>
      <c r="CQ227" s="99"/>
    </row>
    <row r="228" spans="2:95" ht="13.5" customHeight="1" x14ac:dyDescent="0.2">
      <c r="B228" s="262">
        <v>128</v>
      </c>
      <c r="C228" s="237" t="str">
        <f t="shared" ref="C228:C250" si="201">IF(ISERROR(VLOOKUP(B228,$B$39:$C$73,2,0)),"",VLOOKUP(B228,$B$39:$C$73,2,0))</f>
        <v/>
      </c>
      <c r="D228" s="237" t="str">
        <f t="shared" si="200"/>
        <v>-</v>
      </c>
      <c r="E228" s="263" t="str">
        <f t="shared" si="146"/>
        <v/>
      </c>
      <c r="F228" s="264" t="str">
        <f t="shared" si="147"/>
        <v/>
      </c>
      <c r="G228" s="264" t="str">
        <f t="shared" si="148"/>
        <v/>
      </c>
      <c r="H228" s="240" t="str">
        <f t="shared" ref="H228:H250" si="202">IF(E228&lt;&gt;"",IF($B228&lt;$F$21,"",IF(ISNUMBER(F228),IF(ISNUMBER(I228),(E228*30*50*ffp),""),(E228*30*50*ffp))),"")</f>
        <v/>
      </c>
      <c r="I228" s="265" t="str">
        <f t="shared" ref="I228:I250" si="203">IFERROR(IF(F228&lt;&gt;"",IF($B228&lt;$F$21+$F$16,"",IF(ISNUMBER(G228),IF(ISNUMBER(J228),(F228*30*50*ffp),""),(F228*30*50*ffp))),""),"")</f>
        <v/>
      </c>
      <c r="J228" s="265" t="str">
        <f t="shared" ref="J228:J250" si="204">IFERROR(IF(G228&lt;&gt;"",IF($B228&lt;$F$21+$F$17,"",(G228*30*50*ffp)),""),"")</f>
        <v/>
      </c>
      <c r="K228" s="240" t="str">
        <f t="shared" ref="K228:K250" si="205">IF(E228&lt;&gt;"",((E228*20*50*ffp)/Klevee),"")</f>
        <v/>
      </c>
      <c r="L228" s="265" t="str">
        <f t="shared" ref="L228:L250" si="206">IF(ISNUMBER(F228),((F228*20*50*ffp)/Klevee),"")</f>
        <v/>
      </c>
      <c r="M228" s="265" t="str">
        <f t="shared" ref="M228:M250" si="207">IF(ISNUMBER(G228),((G228*20*50*ffp)/Klevee),"")</f>
        <v/>
      </c>
      <c r="N228" s="240" t="str">
        <f t="shared" ref="N228:N250" si="208">IF(AND(ISNUMBER(I),ISNUMBER($F$14),ISNUMBER($F$20)),IF($B228=0,I*($J$40/100)*$J$42*1,""),"-")</f>
        <v>-</v>
      </c>
      <c r="O228" s="265" t="str">
        <f t="shared" ref="O228:O250" si="209">IF(ISNUMBER($F$14),IF($F$14&gt;1,IF($B228=0+$F$16,I*($J$40/100)*$J$42*1,""),""),"-")</f>
        <v>-</v>
      </c>
      <c r="P228" s="265" t="str">
        <f t="shared" ref="P228:P250" si="210">IF(ISNUMBER($F$14),IF($F$14&gt;2,IF($B228=0+$F$17,I*($J$40/100)*$J$42*1,""),""),"-")</f>
        <v>-</v>
      </c>
      <c r="Q228" s="266" t="str">
        <f t="shared" ref="Q228:Q250" si="211">IF(AND(ISNUMBER(I),ISNUMBER($F$14),ISNUMBER($F$20)),IF($B228=0,I*(dt/100)*$J$45*1,""),"-")</f>
        <v>-</v>
      </c>
      <c r="R228" s="267" t="str">
        <f t="shared" ref="R228:R250" si="212">IF(ISNUMBER($F$14),IF($F$14&gt;1,IF($B228=0+$F$16,I*(dt/100)*$J$45*1,""),""),"-")</f>
        <v>-</v>
      </c>
      <c r="S228" s="268" t="str">
        <f t="shared" ref="S228:S250" si="213">IF(ISNUMBER($F$14),IF($F$14&gt;2,IF($B228=0+$F$17,I*(dt/100)*$J$45*1,""),""),"-")</f>
        <v>-</v>
      </c>
      <c r="T228" s="269" t="str">
        <f t="shared" ref="T228:T250" si="214">IF(SUM(H228:S228)=0,"",SUM(H228:S228))</f>
        <v/>
      </c>
      <c r="U228" s="221">
        <f t="shared" ref="U228:U250" si="215">B228</f>
        <v>128</v>
      </c>
      <c r="V228" s="220" t="str">
        <f t="shared" ref="V228:V250" si="216">IF(ISNUMBER($F$14),IF(B228&lt;($F$16-$F$15)*$F$14,INT(B228/($F$16-$F$15))+1,V226),"-")</f>
        <v>-</v>
      </c>
      <c r="W228" s="221" t="str">
        <f t="shared" si="149"/>
        <v>-</v>
      </c>
      <c r="X228" s="221" t="str">
        <f t="shared" ref="X228:X250" si="217">IFERROR(IF($F$21=0,0,IF(V228=V227,IF(B228-(V228-1)*($F$16-$F$15)&lt;$F$21,X227+1,X227),1)),"-")</f>
        <v>-</v>
      </c>
      <c r="Y228" s="221" t="str">
        <f t="shared" ref="Y228:Y250" si="218">IFERROR(W228-X228,"-")</f>
        <v>-</v>
      </c>
      <c r="Z228" s="270">
        <f t="shared" si="150"/>
        <v>0.1</v>
      </c>
      <c r="AA228" s="271" t="str">
        <f>IFERROR(IF(V227=1,AA$100*EXP(-(LN(2)/$D$65+0.04)*X227)*EXP(-(LN(2)/$D$65+0.1)*Y227),IF(V227=2,AA$100*EXP(-(LN(2)/$D$65+0.04)*(VLOOKUP(($F$16-$F$15)-1,U$99:Y227,4,FALSE)))*EXP(-(LN(2)/$D$65+0.1)*(VLOOKUP(($F$16-$F$15)-1,U$99:Y227,5,FALSE)))*EXP(-(LN(2)/$D$65+0.04)*X227)*EXP(-(LN(2)/$D$65+0.1)*Y227),IF(V227=3,AA$100*EXP(-(LN(2)/$D$65+0.04)*(VLOOKUP(($F$16-$F$15)-1,U$99:Y227,4,FALSE)))*EXP(-(LN(2)/$D$65+0.1)*(VLOOKUP(($F$16-$F$15)-1,U$99:Y227,5,FALSE)))*EXP(-(LN(2)/$D$65+0.04)*(VLOOKUP(($F$16-$F$15)*2-1,U$99:Y227,4,FALSE)))*EXP(-(LN(2)/$D$65+0.1)*(VLOOKUP(($F$16-$F$15)*2-1,U$99:Y227,5,FALSE)))*EXP(-(LN(2)/$D$65+0.04)*X227)*EXP(-(LN(2)/$D$65+0.1)*Y227),"-"))),"-")</f>
        <v>-</v>
      </c>
      <c r="AB228" s="271" t="str">
        <f>IFERROR(IF(V228=1,AB$100*EXP(-(LN(2)/$D$65+0.04)*X228)*EXP(-(LN(2)/$D$65+0.1)*Y228),IF(V228=2,AB$100*EXP(-(LN(2)/$D$65+0.04)*(VLOOKUP(($F$16-$F$15)-1,U$100:Y228,4,FALSE)))*EXP(-(LN(2)/$D$65+0.1)*(VLOOKUP(($F$16-$F$15)-1,U$100:Y228,5,FALSE)))*EXP(-(LN(2)/$D$65+0.04)*X228)*EXP(-(LN(2)/$D$65+0.1)*Y228),IF(V228=3,AB$100*EXP(-(LN(2)/$D$65+0.04)*(VLOOKUP(($F$16-$F$15)-1,U$100:Y228,4,FALSE)))*EXP(-(LN(2)/$D$65+0.1)*(VLOOKUP(($F$16-$F$15)-1,U$100:Y228,5,FALSE)))*EXP(-(LN(2)/$D$65+0.04)*(VLOOKUP(($F$16-$F$15)*2-1,U$100:Y228,4,FALSE)))*EXP(-(LN(2)/$D$65+0.1)*(VLOOKUP(($F$16-$F$15)*2-1,U$100:Y228,5,FALSE)))*EXP(-(LN(2)/$D$65+0.04)*X228)*EXP(-(LN(2)/$D$65+0.1)*Y228),"-"))),"-")</f>
        <v>-</v>
      </c>
      <c r="AC228" s="224">
        <f t="shared" si="151"/>
        <v>128</v>
      </c>
      <c r="AD228" s="223" t="str">
        <f t="shared" ref="AD228:AD250" si="219">IFERROR(IF($F$14-1&gt;0,IF(B228&lt;($F$16-$F$15)*($F$14-1),INT(B228/($F$16-$F$15))+1,AD226),"-"),"-")</f>
        <v>-</v>
      </c>
      <c r="AE228" s="224" t="str">
        <f t="shared" si="152"/>
        <v>-</v>
      </c>
      <c r="AF228" s="224" t="str">
        <f t="shared" ref="AF228:AF250" si="220">IFERROR(IF($F$21=0,0,IF(AD228=AD227,IF(B228-(AD228-1)*($F$16-$F$15)&lt;$F$21,AF227+1,AF227),1)),"-")</f>
        <v>-</v>
      </c>
      <c r="AG228" s="224" t="str">
        <f t="shared" ref="AG228:AG250" si="221">IFERROR(AE228-AF228,"-")</f>
        <v>-</v>
      </c>
      <c r="AH228" s="272">
        <f t="shared" si="153"/>
        <v>0.1</v>
      </c>
      <c r="AI228" s="271" t="str">
        <f>IFERROR(IF(AD227=1,AI$100*EXP(-(LN(2)/$D$65+0.04)*AF227)*EXP(-(LN(2)/$D$65+0.1)*AG227),IF(AD227=2,AI$100*EXP(-(LN(2)/$D$65+0.04)*(VLOOKUP(($F$16-$F$15)-1,AC$99:AG227,4,FALSE)))*EXP(-(LN(2)/$D$65+0.1)*(VLOOKUP(($F$16-$F$15)-1,AC$99:AG227,5,FALSE)))*EXP(-(LN(2)/$D$65+0.04)*AF227)*EXP(-(LN(2)/$D$65+0.1)*AG227),IF(AD227=3,AI$100*EXP(-(LN(2)/$D$65+0.04)*(VLOOKUP(($F$16-$F$15)-1,AC$99:AG227,4,FALSE)))*EXP(-(LN(2)/$D$65+0.1)*(VLOOKUP(($F$16-$F$15)-1,AC$99:AG227,5,FALSE)))*EXP(-(LN(2)/$D$65+0.04)*(VLOOKUP(($F$16-$F$15)*2-1,AC$99:AG227,4,FALSE)))*EXP(-(LN(2)/$D$65+0.1)*(VLOOKUP(($F$16-$F$15)*2-1,AC$99:AG227,5,FALSE)))*EXP(-(LN(2)/$D$65+0.04)*AF227)*EXP(-(LN(2)/$D$65+0.1)*AG227),"-"))),"-")</f>
        <v>-</v>
      </c>
      <c r="AJ228" s="271" t="str">
        <f>IFERROR(IF(AD228=1,AJ$100*EXP(-(LN(2)/$D$65+0.04)*AF228)*EXP(-(LN(2)/$D$65+0.1)*AG228),IF(AD228=2,AJ$100*EXP(-(LN(2)/$D$65+0.04)*(VLOOKUP(($F$16-$F$15)-1,AC$100:AG228,4,FALSE)))*EXP(-(LN(2)/$D$65+0.1)*(VLOOKUP(($F$16-$F$15)-1,AC$100:AG228,5,FALSE)))*EXP(-(LN(2)/$D$65+0.04)*AF228)*EXP(-(LN(2)/$D$65+0.1)*AG228),IF(AD228=3,AJ$100*EXP(-(LN(2)/$D$65+0.04)*(VLOOKUP(($F$16-$F$15)-1,AC$100:AG228,4,FALSE)))*EXP(-(LN(2)/$D$65+0.1)*(VLOOKUP(($F$16-$F$15)-1,AC$100:AG228,5,FALSE)))*EXP(-(LN(2)/$D$65+0.04)*(VLOOKUP(($F$16-$F$15)*2-1,AC$100:AG228,4,FALSE)))*EXP(-(LN(2)/$D$65+0.1)*(VLOOKUP(($F$16-$F$15)*2-1,AC$100:AG228,5,FALSE)))*EXP(-(LN(2)/$D$65+0.04)*AF228)*EXP(-(LN(2)/$D$65+0.1)*AG228),"-"))),"-")</f>
        <v>-</v>
      </c>
      <c r="AK228" s="227">
        <f t="shared" si="154"/>
        <v>128</v>
      </c>
      <c r="AL228" s="226" t="str">
        <f t="shared" ref="AL228:AL250" si="222">IFERROR(IF($F$14-2&gt;0,IF(B228&lt;($F$16-$F$15)*($F$14-2),INT(B228/($F$16-$F$15))+1,AL226),"-"),"-")</f>
        <v>-</v>
      </c>
      <c r="AM228" s="227" t="str">
        <f t="shared" si="155"/>
        <v>-</v>
      </c>
      <c r="AN228" s="227" t="str">
        <f t="shared" si="156"/>
        <v>-</v>
      </c>
      <c r="AO228" s="227" t="str">
        <f t="shared" ref="AO228:AO250" si="223">IFERROR(AM228-AN228,"-")</f>
        <v>-</v>
      </c>
      <c r="AP228" s="273">
        <f t="shared" si="157"/>
        <v>0.1</v>
      </c>
      <c r="AQ228" s="271" t="str">
        <f>IFERROR(IF(AL227=1,AQ$100*EXP(-(LN(2)/$D$65+0.04)*AN227)*EXP(-(LN(2)/$D$65+0.1)*AO227),IF(AL227=2,AQ$100*EXP(-(LN(2)/$D$65+0.04)*(VLOOKUP(($F$16-$F$15)-1,AK$99:AO227,4,FALSE)))*EXP(-(LN(2)/$D$65+0.1)*(VLOOKUP(($F$16-$F$15)-1,AK$99:AO227,5,FALSE)))*EXP(-(LN(2)/$D$65+0.04)*AN227)*EXP(-(LN(2)/$D$65+0.1)*AO227),IF(AL227=3,AQ$100*EXP(-(LN(2)/$D$65+0.04)*(VLOOKUP(($F$16-$F$15)-1,AK$99:AO227,4,FALSE)))*EXP(-(LN(2)/$D$65+0.1)*(VLOOKUP(($F$16-$F$15)-1,AK$99:AO227,5,FALSE)))*EXP(-(LN(2)/$D$65+0.04)*(VLOOKUP(($F$16-$F$15)*2-1,AK$99:AO227,4,FALSE)))*EXP(-(LN(2)/$D$65+0.1)*(VLOOKUP(($F$16-$F$15)*2-1,AK$99:AO227,5,FALSE)))*EXP(-(LN(2)/$D$65+0.04)*AN227)*EXP(-(LN(2)/$D$65+0.1)*AO227),"-"))),"-")</f>
        <v>-</v>
      </c>
      <c r="AR228" s="271" t="str">
        <f>IFERROR(IF(AL228=1,AR$100*EXP(-(LN(2)/$D$65+0.04)*AN228)*EXP(-(LN(2)/$D$65+0.1)*AO228),IF(AL228=2,AR$100*EXP(-(LN(2)/$D$65+0.04)*(VLOOKUP(($F$16-$F$15)-1,AK$100:AO228,4,FALSE)))*EXP(-(LN(2)/$D$65+0.1)*(VLOOKUP(($F$16-$F$15)-1,AK$100:AO228,5,FALSE)))*EXP(-(LN(2)/$D$65+0.04)*AN228)*EXP(-(LN(2)/$D$65+0.1)*AO228),IF(AL228=3,AR$100*EXP(-(LN(2)/$D$65+0.04)*(VLOOKUP(($F$16-$F$15)-1,AK$100:AO228,4,FALSE)))*EXP(-(LN(2)/$D$65+0.1)*(VLOOKUP(($F$16-$F$15)-1,AK$100:AO228,5,FALSE)))*EXP(-(LN(2)/$D$65+0.04)*(VLOOKUP(($F$16-$F$15)*2-1,AK$100:AO228,4,FALSE)))*EXP(-(LN(2)/$D$65+0.1)*(VLOOKUP(($F$16-$F$15)*2-1,AK$100:AO228,5,FALSE)))*EXP(-(LN(2)/$D$65+0.04)*AN228)*EXP(-(LN(2)/$D$65+0.1)*AO228),"-"))),"-")</f>
        <v>-</v>
      </c>
      <c r="AS228" s="274">
        <f t="shared" ref="AS228:AS250" si="224">SUM(H228:J228)</f>
        <v>0</v>
      </c>
      <c r="AT228" s="274">
        <f t="shared" ref="AT228:AT250" si="225">SUM(K228:M228)</f>
        <v>0</v>
      </c>
      <c r="AU228" s="274">
        <f t="shared" ref="AU228:AU250" si="226">SUM(N228:S228)</f>
        <v>0</v>
      </c>
      <c r="AV228" s="190">
        <f>IF($B228&lt;$F$22,SUM($T$100:$T228),"")</f>
        <v>0</v>
      </c>
      <c r="AW228" s="190" t="str">
        <f t="shared" ref="AW228:AW250" si="227">IF(ISNUMBER(Koc),IF(ISNUMBER(AV228),AV228*(Koc*(Ocse/100)*Pse*Vse)/(Koc*(Ocse/100)*Pse*Vse+1*86400*($B228+1)),""),"-")</f>
        <v>-</v>
      </c>
      <c r="AX228" s="190" t="str">
        <f t="shared" si="158"/>
        <v/>
      </c>
      <c r="AY228"/>
      <c r="AZ228" s="190" t="str">
        <f ca="1">IF(ISNUMBER(OFFSET(AV228,-$F$21,0)),SUM(OFFSET($T$100,$F$21,0):$T228),"")</f>
        <v/>
      </c>
      <c r="BA228" s="190" t="str">
        <f t="shared" ref="BA228:BA250" ca="1" si="228">IF(ISNUMBER(OFFSET(AV228,-$F$21,0)),AZ228*(Koc*(Ocse/100)*Pse*Vse)/(Koc*(Ocse/100)*Pse*Vse+1*86400*($B228+1)),"")</f>
        <v/>
      </c>
      <c r="BB228" s="190" t="str">
        <f t="shared" ca="1" si="164"/>
        <v/>
      </c>
      <c r="BC228" s="190"/>
      <c r="BD228" s="190" t="str">
        <f ca="1">IFERROR(IF(AND($B228&gt;=($F$16-$F$15),$B228&lt;$F$22+($F$16-$F$15)),SUM(OFFSET($T$100,($F$16-$F$15),0):$T228),""),"")</f>
        <v/>
      </c>
      <c r="BE228" s="190" t="str">
        <f t="shared" ca="1" si="159"/>
        <v/>
      </c>
      <c r="BF228" s="190" t="str">
        <f t="shared" ca="1" si="160"/>
        <v/>
      </c>
      <c r="BG228"/>
      <c r="BH228" s="190" t="str">
        <f ca="1">IF(ISNUMBER(OFFSET(BD228,-$F$21,0)),SUM(OFFSET($T$100,($F$16-$F$15+$F$21),0):$T228),"")</f>
        <v/>
      </c>
      <c r="BI228" s="190" t="str">
        <f t="shared" ref="BI228:BI250" ca="1" si="229">IF(ISNUMBER(OFFSET(BD228,-$F$21,0)),BH228*(Koc*(Ocse/100)*Pse*Vse)/(Koc*(Ocse/100)*Pse*Vse+1*86400*($B228+1)),"")</f>
        <v/>
      </c>
      <c r="BJ228" s="190" t="str">
        <f t="shared" ca="1" si="161"/>
        <v/>
      </c>
      <c r="BK228" s="190"/>
      <c r="BL228" s="190" t="str">
        <f ca="1">IFERROR(IF(AND($B228&gt;=($F$17-$F$15),$B228&lt;$F$22+($F$17-$F$15)),SUM(OFFSET($T$100,($F$17-$F$15),0):$T228),""),"")</f>
        <v/>
      </c>
      <c r="BM228" s="190" t="str">
        <f t="shared" ref="BM228:BM250" ca="1" si="230">IF(ISNUMBER(BL228),BL228*(Koc*(Ocse/100)*Pse*Vse)/(Koc*(Ocse/100)*Pse*Vse+1*86400*($B228+1)),"")</f>
        <v/>
      </c>
      <c r="BN228" s="190" t="str">
        <f t="shared" ca="1" si="162"/>
        <v/>
      </c>
      <c r="BO228"/>
      <c r="BP228" s="190" t="str">
        <f ca="1">IF(ISNUMBER(OFFSET(BL228,-$F$21,0)),SUM(OFFSET($T$100,($F$17-$F$15+$F$21),0):$T228),"")</f>
        <v/>
      </c>
      <c r="BQ228" s="190" t="str">
        <f t="shared" ref="BQ228:BQ250" ca="1" si="231">IF(ISNUMBER(OFFSET(BL228,-$F$21,0)),BP228*(Koc*(Ocse/100)*Pse*Vse)/(Koc*(Ocse/100)*Pse*Vse+1*86400*($B228+1)),"")</f>
        <v/>
      </c>
      <c r="BR228" s="190" t="str">
        <f t="shared" ca="1" si="163"/>
        <v/>
      </c>
      <c r="BS228" s="190"/>
      <c r="BT228"/>
      <c r="BU228"/>
      <c r="BV228"/>
      <c r="BY228" s="99"/>
      <c r="BZ228" s="99"/>
      <c r="CA228" s="280" t="str">
        <f t="shared" ref="CA228:CA250" si="232">IFERROR(IF($B228&lt;$CA$94,T228*(Koc*(Ocse/100)*Pse*Vse)/(Koc*(Ocse/100)*Pse*Vse+1*86400*$CA$94),""),"-")</f>
        <v/>
      </c>
      <c r="CB228" s="71" t="str">
        <f t="shared" ref="CB228:CB250" si="233">IF(ISNUMBER(T228),IF($B228&lt;$CA$94,(T228-CA228)/(3*86400)*1000,""),"-")</f>
        <v>-</v>
      </c>
      <c r="CC228" s="33"/>
      <c r="CD228" s="261" t="str">
        <f t="shared" ref="CD228:CD250" si="234">IF(CC228=CA$96,CB$96,"")</f>
        <v/>
      </c>
      <c r="CE228" s="280" t="str">
        <f t="shared" ref="CE228:CE250" si="235">IFERROR(IF($B228&lt;$CE$94,T228*(Koc*(Ocse/100)*Pse*Vse)/(Koc*(Ocse/100)*Pse*Vse+1*86400*$CE$94),""),"-")</f>
        <v>-</v>
      </c>
      <c r="CF228" s="71" t="str">
        <f t="shared" ref="CF228:CF250" ca="1" si="236">IFERROR(IF($B228&lt;$CE$94,IF(NOT(ISNUMBER(ffp)),"-",IF($F$70=$AX$87,AX228,IF($F$70=$BB$87,OFFSET(BB228,$F$21,0),IF($F$70=$BF$87,OFFSET(BF228,$F$16,0),IF($F$70=$BJ$87,OFFSET(BJ228,$F$16+$F$21,0),IF($F$70=$BN$87,OFFSET(BN228,$F$17,0),OFFSET(BR228,$F$17+$F$21,0))))))),""),"-")</f>
        <v>-</v>
      </c>
      <c r="CG228" s="33" t="str">
        <f t="shared" ref="CG228:CG250" si="237">IF($B228&lt;$CE$94,$B228&amp;"-"&amp;$B228+1,"")</f>
        <v>128-129</v>
      </c>
      <c r="CH228" s="261" t="str">
        <f t="shared" ref="CH228:CH250" ca="1" si="238">IF(CG228=CE$96,CF$96,"")</f>
        <v/>
      </c>
      <c r="CP228" s="99"/>
      <c r="CQ228" s="99"/>
    </row>
    <row r="229" spans="2:95" ht="13.5" customHeight="1" x14ac:dyDescent="0.2">
      <c r="B229" s="262">
        <v>129</v>
      </c>
      <c r="C229" s="237" t="str">
        <f t="shared" si="201"/>
        <v/>
      </c>
      <c r="D229" s="237" t="str">
        <f t="shared" ref="D229:D250" si="239">IFERROR(IF(B229&lt;$F$22,IF(ISNUMBER($D$65),IF(MAX($BU$101:$BU$120)&lt;B229, "", IF(B229=VLOOKUP(B229, $BU$101:$BU$120,1,1), C229,D228-INDEX($BY$101:$BY$120, MATCH(VLOOKUP(B229, $BU$101:$BU$120,1,1), $BU$101:$BU$120)+1, 1))),D228-VLOOKUP(MAX($BU$101:$BU$120),$BU$101:$BY$120,5)),""),"-")</f>
        <v>-</v>
      </c>
      <c r="E229" s="263" t="str">
        <f t="shared" ref="E229:E250" si="240">IF(ISNUMBER($F$14),IF(ISNUMBER(AA229),AA229,""),"")</f>
        <v/>
      </c>
      <c r="F229" s="264" t="str">
        <f t="shared" ref="F229:F250" si="241">IF(OR($F$14=2,$F$14=3),IF(($F$16-$F$15)&gt;B229," ",VLOOKUP((B229-($F$16-$F$15)),$AC$100:$AI$250,7,FALSE)),"")</f>
        <v/>
      </c>
      <c r="G229" s="264" t="str">
        <f t="shared" ref="G229:G250" si="242">IF($F$14=3,IF(($F$16-$F$15)*2&gt;B229," ",VLOOKUP((B229-($F$16-$F$15)*2),$AK$100:$AQ$250,7,FALSE)),"")</f>
        <v/>
      </c>
      <c r="H229" s="240" t="str">
        <f t="shared" si="202"/>
        <v/>
      </c>
      <c r="I229" s="265" t="str">
        <f t="shared" si="203"/>
        <v/>
      </c>
      <c r="J229" s="265" t="str">
        <f t="shared" si="204"/>
        <v/>
      </c>
      <c r="K229" s="240" t="str">
        <f t="shared" si="205"/>
        <v/>
      </c>
      <c r="L229" s="265" t="str">
        <f t="shared" si="206"/>
        <v/>
      </c>
      <c r="M229" s="265" t="str">
        <f t="shared" si="207"/>
        <v/>
      </c>
      <c r="N229" s="240" t="str">
        <f t="shared" si="208"/>
        <v>-</v>
      </c>
      <c r="O229" s="265" t="str">
        <f t="shared" si="209"/>
        <v>-</v>
      </c>
      <c r="P229" s="265" t="str">
        <f t="shared" si="210"/>
        <v>-</v>
      </c>
      <c r="Q229" s="266" t="str">
        <f t="shared" si="211"/>
        <v>-</v>
      </c>
      <c r="R229" s="267" t="str">
        <f t="shared" si="212"/>
        <v>-</v>
      </c>
      <c r="S229" s="268" t="str">
        <f t="shared" si="213"/>
        <v>-</v>
      </c>
      <c r="T229" s="269" t="str">
        <f t="shared" si="214"/>
        <v/>
      </c>
      <c r="U229" s="221">
        <f t="shared" si="215"/>
        <v>129</v>
      </c>
      <c r="V229" s="220" t="str">
        <f t="shared" si="216"/>
        <v>-</v>
      </c>
      <c r="W229" s="221" t="str">
        <f t="shared" ref="W229:W250" si="243">IF(ISNUMBER($F$14),IF(B229&lt;$F$14*($F$16-$F$15),B229-INT(B229/($F$16-$F$15))*($F$16-$F$15)+1,W228+1),"-")</f>
        <v>-</v>
      </c>
      <c r="X229" s="221" t="str">
        <f t="shared" si="217"/>
        <v>-</v>
      </c>
      <c r="Y229" s="221" t="str">
        <f t="shared" si="218"/>
        <v>-</v>
      </c>
      <c r="Z229" s="270">
        <f t="shared" ref="Z229:Z250" si="244">IF(Y229&gt;0,0.1,0.04)</f>
        <v>0.1</v>
      </c>
      <c r="AA229" s="271" t="str">
        <f>IFERROR(IF(V228=1,AA$100*EXP(-(LN(2)/$D$65+0.04)*X228)*EXP(-(LN(2)/$D$65+0.1)*Y228),IF(V228=2,AA$100*EXP(-(LN(2)/$D$65+0.04)*(VLOOKUP(($F$16-$F$15)-1,U$99:Y228,4,FALSE)))*EXP(-(LN(2)/$D$65+0.1)*(VLOOKUP(($F$16-$F$15)-1,U$99:Y228,5,FALSE)))*EXP(-(LN(2)/$D$65+0.04)*X228)*EXP(-(LN(2)/$D$65+0.1)*Y228),IF(V228=3,AA$100*EXP(-(LN(2)/$D$65+0.04)*(VLOOKUP(($F$16-$F$15)-1,U$99:Y228,4,FALSE)))*EXP(-(LN(2)/$D$65+0.1)*(VLOOKUP(($F$16-$F$15)-1,U$99:Y228,5,FALSE)))*EXP(-(LN(2)/$D$65+0.04)*(VLOOKUP(($F$16-$F$15)*2-1,U$99:Y228,4,FALSE)))*EXP(-(LN(2)/$D$65+0.1)*(VLOOKUP(($F$16-$F$15)*2-1,U$99:Y228,5,FALSE)))*EXP(-(LN(2)/$D$65+0.04)*X228)*EXP(-(LN(2)/$D$65+0.1)*Y228),"-"))),"-")</f>
        <v>-</v>
      </c>
      <c r="AB229" s="271" t="str">
        <f>IFERROR(IF(V229=1,AB$100*EXP(-(LN(2)/$D$65+0.04)*X229)*EXP(-(LN(2)/$D$65+0.1)*Y229),IF(V229=2,AB$100*EXP(-(LN(2)/$D$65+0.04)*(VLOOKUP(($F$16-$F$15)-1,U$100:Y229,4,FALSE)))*EXP(-(LN(2)/$D$65+0.1)*(VLOOKUP(($F$16-$F$15)-1,U$100:Y229,5,FALSE)))*EXP(-(LN(2)/$D$65+0.04)*X229)*EXP(-(LN(2)/$D$65+0.1)*Y229),IF(V229=3,AB$100*EXP(-(LN(2)/$D$65+0.04)*(VLOOKUP(($F$16-$F$15)-1,U$100:Y229,4,FALSE)))*EXP(-(LN(2)/$D$65+0.1)*(VLOOKUP(($F$16-$F$15)-1,U$100:Y229,5,FALSE)))*EXP(-(LN(2)/$D$65+0.04)*(VLOOKUP(($F$16-$F$15)*2-1,U$100:Y229,4,FALSE)))*EXP(-(LN(2)/$D$65+0.1)*(VLOOKUP(($F$16-$F$15)*2-1,U$100:Y229,5,FALSE)))*EXP(-(LN(2)/$D$65+0.04)*X229)*EXP(-(LN(2)/$D$65+0.1)*Y229),"-"))),"-")</f>
        <v>-</v>
      </c>
      <c r="AC229" s="224">
        <f t="shared" ref="AC229:AC240" si="245">B229</f>
        <v>129</v>
      </c>
      <c r="AD229" s="223" t="str">
        <f t="shared" si="219"/>
        <v>-</v>
      </c>
      <c r="AE229" s="224" t="str">
        <f t="shared" ref="AE229:AE250" si="246">IFERROR(IF($F$14-1&gt;0,IF(B229&lt;($F$14-1)*($F$16-$F$15),B229-INT(B229/($F$16-$F$15))*($F$16-$F$15)+1,AE228+1),"-"),"-")</f>
        <v>-</v>
      </c>
      <c r="AF229" s="224" t="str">
        <f t="shared" si="220"/>
        <v>-</v>
      </c>
      <c r="AG229" s="224" t="str">
        <f t="shared" si="221"/>
        <v>-</v>
      </c>
      <c r="AH229" s="272">
        <f t="shared" ref="AH229:AH250" si="247">IF(AG229&gt;0,0.1,0.04)</f>
        <v>0.1</v>
      </c>
      <c r="AI229" s="271" t="str">
        <f>IFERROR(IF(AD228=1,AI$100*EXP(-(LN(2)/$D$65+0.04)*AF228)*EXP(-(LN(2)/$D$65+0.1)*AG228),IF(AD228=2,AI$100*EXP(-(LN(2)/$D$65+0.04)*(VLOOKUP(($F$16-$F$15)-1,AC$99:AG228,4,FALSE)))*EXP(-(LN(2)/$D$65+0.1)*(VLOOKUP(($F$16-$F$15)-1,AC$99:AG228,5,FALSE)))*EXP(-(LN(2)/$D$65+0.04)*AF228)*EXP(-(LN(2)/$D$65+0.1)*AG228),IF(AD228=3,AI$100*EXP(-(LN(2)/$D$65+0.04)*(VLOOKUP(($F$16-$F$15)-1,AC$99:AG228,4,FALSE)))*EXP(-(LN(2)/$D$65+0.1)*(VLOOKUP(($F$16-$F$15)-1,AC$99:AG228,5,FALSE)))*EXP(-(LN(2)/$D$65+0.04)*(VLOOKUP(($F$16-$F$15)*2-1,AC$99:AG228,4,FALSE)))*EXP(-(LN(2)/$D$65+0.1)*(VLOOKUP(($F$16-$F$15)*2-1,AC$99:AG228,5,FALSE)))*EXP(-(LN(2)/$D$65+0.04)*AF228)*EXP(-(LN(2)/$D$65+0.1)*AG228),"-"))),"-")</f>
        <v>-</v>
      </c>
      <c r="AJ229" s="271" t="str">
        <f>IFERROR(IF(AD229=1,AJ$100*EXP(-(LN(2)/$D$65+0.04)*AF229)*EXP(-(LN(2)/$D$65+0.1)*AG229),IF(AD229=2,AJ$100*EXP(-(LN(2)/$D$65+0.04)*(VLOOKUP(($F$16-$F$15)-1,AC$100:AG229,4,FALSE)))*EXP(-(LN(2)/$D$65+0.1)*(VLOOKUP(($F$16-$F$15)-1,AC$100:AG229,5,FALSE)))*EXP(-(LN(2)/$D$65+0.04)*AF229)*EXP(-(LN(2)/$D$65+0.1)*AG229),IF(AD229=3,AJ$100*EXP(-(LN(2)/$D$65+0.04)*(VLOOKUP(($F$16-$F$15)-1,AC$100:AG229,4,FALSE)))*EXP(-(LN(2)/$D$65+0.1)*(VLOOKUP(($F$16-$F$15)-1,AC$100:AG229,5,FALSE)))*EXP(-(LN(2)/$D$65+0.04)*(VLOOKUP(($F$16-$F$15)*2-1,AC$100:AG229,4,FALSE)))*EXP(-(LN(2)/$D$65+0.1)*(VLOOKUP(($F$16-$F$15)*2-1,AC$100:AG229,5,FALSE)))*EXP(-(LN(2)/$D$65+0.04)*AF229)*EXP(-(LN(2)/$D$65+0.1)*AG229),"-"))),"-")</f>
        <v>-</v>
      </c>
      <c r="AK229" s="227">
        <f t="shared" ref="AK229:AK250" si="248">B229</f>
        <v>129</v>
      </c>
      <c r="AL229" s="226" t="str">
        <f t="shared" si="222"/>
        <v>-</v>
      </c>
      <c r="AM229" s="227" t="str">
        <f t="shared" ref="AM229:AM250" si="249">IFERROR(IF($F$14-2&gt;0,IF(B229&lt;($F$14-2)*($F$16-$F$15),B229-INT(B229/($F$16-$F$15))*($F$16-$F$15)+1,AM228+1),"-"),"-")</f>
        <v>-</v>
      </c>
      <c r="AN229" s="227" t="str">
        <f t="shared" ref="AN229:AN250" si="250">IFERROR(IF($F$21=0,0,IF(AL229=AL228,IF(B229-(AL229-1)*($F$16-$F$15)&lt;$F$21,AN228+1,AN228),1)),"-")</f>
        <v>-</v>
      </c>
      <c r="AO229" s="227" t="str">
        <f t="shared" si="223"/>
        <v>-</v>
      </c>
      <c r="AP229" s="273">
        <f t="shared" ref="AP229:AP250" si="251">IF(AO229&gt;0,0.1,0.04)</f>
        <v>0.1</v>
      </c>
      <c r="AQ229" s="271" t="str">
        <f>IFERROR(IF(AL228=1,AQ$100*EXP(-(LN(2)/$D$65+0.04)*AN228)*EXP(-(LN(2)/$D$65+0.1)*AO228),IF(AL228=2,AQ$100*EXP(-(LN(2)/$D$65+0.04)*(VLOOKUP(($F$16-$F$15)-1,AK$99:AO228,4,FALSE)))*EXP(-(LN(2)/$D$65+0.1)*(VLOOKUP(($F$16-$F$15)-1,AK$99:AO228,5,FALSE)))*EXP(-(LN(2)/$D$65+0.04)*AN228)*EXP(-(LN(2)/$D$65+0.1)*AO228),IF(AL228=3,AQ$100*EXP(-(LN(2)/$D$65+0.04)*(VLOOKUP(($F$16-$F$15)-1,AK$99:AO228,4,FALSE)))*EXP(-(LN(2)/$D$65+0.1)*(VLOOKUP(($F$16-$F$15)-1,AK$99:AO228,5,FALSE)))*EXP(-(LN(2)/$D$65+0.04)*(VLOOKUP(($F$16-$F$15)*2-1,AK$99:AO228,4,FALSE)))*EXP(-(LN(2)/$D$65+0.1)*(VLOOKUP(($F$16-$F$15)*2-1,AK$99:AO228,5,FALSE)))*EXP(-(LN(2)/$D$65+0.04)*AN228)*EXP(-(LN(2)/$D$65+0.1)*AO228),"-"))),"-")</f>
        <v>-</v>
      </c>
      <c r="AR229" s="271" t="str">
        <f>IFERROR(IF(AL229=1,AR$100*EXP(-(LN(2)/$D$65+0.04)*AN229)*EXP(-(LN(2)/$D$65+0.1)*AO229),IF(AL229=2,AR$100*EXP(-(LN(2)/$D$65+0.04)*(VLOOKUP(($F$16-$F$15)-1,AK$100:AO229,4,FALSE)))*EXP(-(LN(2)/$D$65+0.1)*(VLOOKUP(($F$16-$F$15)-1,AK$100:AO229,5,FALSE)))*EXP(-(LN(2)/$D$65+0.04)*AN229)*EXP(-(LN(2)/$D$65+0.1)*AO229),IF(AL229=3,AR$100*EXP(-(LN(2)/$D$65+0.04)*(VLOOKUP(($F$16-$F$15)-1,AK$100:AO229,4,FALSE)))*EXP(-(LN(2)/$D$65+0.1)*(VLOOKUP(($F$16-$F$15)-1,AK$100:AO229,5,FALSE)))*EXP(-(LN(2)/$D$65+0.04)*(VLOOKUP(($F$16-$F$15)*2-1,AK$100:AO229,4,FALSE)))*EXP(-(LN(2)/$D$65+0.1)*(VLOOKUP(($F$16-$F$15)*2-1,AK$100:AO229,5,FALSE)))*EXP(-(LN(2)/$D$65+0.04)*AN229)*EXP(-(LN(2)/$D$65+0.1)*AO229),"-"))),"-")</f>
        <v>-</v>
      </c>
      <c r="AS229" s="274">
        <f t="shared" si="224"/>
        <v>0</v>
      </c>
      <c r="AT229" s="274">
        <f t="shared" si="225"/>
        <v>0</v>
      </c>
      <c r="AU229" s="274">
        <f t="shared" si="226"/>
        <v>0</v>
      </c>
      <c r="AV229" s="190">
        <f>IF($B229&lt;$F$22,SUM($T$100:$T229),"")</f>
        <v>0</v>
      </c>
      <c r="AW229" s="190" t="str">
        <f t="shared" si="227"/>
        <v>-</v>
      </c>
      <c r="AX229" s="190" t="str">
        <f t="shared" ref="AX229:AX250" si="252">IF(ISNUMBER(AW229),IF(ISNUMBER(AV229),(AV229-AW229)/(3*86400*($B229+1))*1000,""),"")</f>
        <v/>
      </c>
      <c r="AY229"/>
      <c r="AZ229" s="190" t="str">
        <f ca="1">IF(ISNUMBER(OFFSET(AV229,-$F$21,0)),SUM(OFFSET($T$100,$F$21,0):$T229),"")</f>
        <v/>
      </c>
      <c r="BA229" s="190" t="str">
        <f t="shared" ca="1" si="228"/>
        <v/>
      </c>
      <c r="BB229" s="190" t="str">
        <f t="shared" ca="1" si="164"/>
        <v/>
      </c>
      <c r="BC229" s="190"/>
      <c r="BD229" s="190" t="str">
        <f ca="1">IFERROR(IF(AND($B229&gt;=($F$16-$F$15),$B229&lt;$F$22+($F$16-$F$15)),SUM(OFFSET($T$100,($F$16-$F$15),0):$T229),""),"")</f>
        <v/>
      </c>
      <c r="BE229" s="190" t="str">
        <f t="shared" ref="BE229:BE250" ca="1" si="253">IF(ISNUMBER(BD229),BD229*(Koc*(Ocse/100)*Pse*Vse)/(Koc*(Ocse/100)*Pse*Vse+1*86400*($B229+1)),"")</f>
        <v/>
      </c>
      <c r="BF229" s="190" t="str">
        <f t="shared" ref="BF229:BF250" ca="1" si="254">IF(ISNUMBER(BD229),(BD229-BE229)/(3*86400*($B229-($F$16-$F$15)+1))*1000,"")</f>
        <v/>
      </c>
      <c r="BG229"/>
      <c r="BH229" s="190" t="str">
        <f ca="1">IF(ISNUMBER(OFFSET(BD229,-$F$21,0)),SUM(OFFSET($T$100,($F$16-$F$15+$F$21),0):$T229),"")</f>
        <v/>
      </c>
      <c r="BI229" s="190" t="str">
        <f t="shared" ca="1" si="229"/>
        <v/>
      </c>
      <c r="BJ229" s="190" t="str">
        <f t="shared" ref="BJ229:BJ250" ca="1" si="255">IF(ISNUMBER(BH229),(BH229-BI229)/(3*86400*((OFFSET($B229,-$F$21,0)-($F$16-$F$15)+1)))*1000,"")</f>
        <v/>
      </c>
      <c r="BK229" s="190"/>
      <c r="BL229" s="190" t="str">
        <f ca="1">IFERROR(IF(AND($B229&gt;=($F$17-$F$15),$B229&lt;$F$22+($F$17-$F$15)),SUM(OFFSET($T$100,($F$17-$F$15),0):$T229),""),"")</f>
        <v/>
      </c>
      <c r="BM229" s="190" t="str">
        <f t="shared" ca="1" si="230"/>
        <v/>
      </c>
      <c r="BN229" s="190" t="str">
        <f t="shared" ref="BN229:BN250" ca="1" si="256">IF(ISNUMBER(BL229),(BL229-BM229)/(3*86400*($B229-($F$17-$F$15)+1))*1000,"")</f>
        <v/>
      </c>
      <c r="BO229"/>
      <c r="BP229" s="190" t="str">
        <f ca="1">IF(ISNUMBER(OFFSET(BL229,-$F$21,0)),SUM(OFFSET($T$100,($F$17-$F$15+$F$21),0):$T229),"")</f>
        <v/>
      </c>
      <c r="BQ229" s="190" t="str">
        <f t="shared" ca="1" si="231"/>
        <v/>
      </c>
      <c r="BR229" s="190" t="str">
        <f t="shared" ref="BR229:BR250" ca="1" si="257">IF(ISNUMBER(BP229),(BP229-BQ229)/(3*86400*(OFFSET($B229,-$F$21,0)-($F$17-$F$15)+1))*1000,"")</f>
        <v/>
      </c>
      <c r="BS229" s="190"/>
      <c r="BT229"/>
      <c r="BU229"/>
      <c r="BV229"/>
      <c r="BY229" s="99"/>
      <c r="BZ229" s="99"/>
      <c r="CA229" s="280" t="str">
        <f t="shared" si="232"/>
        <v/>
      </c>
      <c r="CB229" s="71" t="str">
        <f t="shared" si="233"/>
        <v>-</v>
      </c>
      <c r="CC229" s="33"/>
      <c r="CD229" s="261" t="str">
        <f t="shared" si="234"/>
        <v/>
      </c>
      <c r="CE229" s="280" t="str">
        <f t="shared" si="235"/>
        <v>-</v>
      </c>
      <c r="CF229" s="71" t="str">
        <f t="shared" ca="1" si="236"/>
        <v>-</v>
      </c>
      <c r="CG229" s="33" t="str">
        <f t="shared" si="237"/>
        <v>129-130</v>
      </c>
      <c r="CH229" s="261" t="str">
        <f t="shared" ca="1" si="238"/>
        <v/>
      </c>
      <c r="CP229" s="99"/>
      <c r="CQ229" s="99"/>
    </row>
    <row r="230" spans="2:95" ht="13.5" customHeight="1" x14ac:dyDescent="0.2">
      <c r="B230" s="262">
        <v>130</v>
      </c>
      <c r="C230" s="237" t="str">
        <f t="shared" si="201"/>
        <v/>
      </c>
      <c r="D230" s="237" t="str">
        <f t="shared" si="239"/>
        <v>-</v>
      </c>
      <c r="E230" s="263" t="str">
        <f t="shared" si="240"/>
        <v/>
      </c>
      <c r="F230" s="264" t="str">
        <f t="shared" si="241"/>
        <v/>
      </c>
      <c r="G230" s="264" t="str">
        <f t="shared" si="242"/>
        <v/>
      </c>
      <c r="H230" s="240" t="str">
        <f t="shared" si="202"/>
        <v/>
      </c>
      <c r="I230" s="265" t="str">
        <f t="shared" si="203"/>
        <v/>
      </c>
      <c r="J230" s="265" t="str">
        <f t="shared" si="204"/>
        <v/>
      </c>
      <c r="K230" s="240" t="str">
        <f t="shared" si="205"/>
        <v/>
      </c>
      <c r="L230" s="265" t="str">
        <f t="shared" si="206"/>
        <v/>
      </c>
      <c r="M230" s="265" t="str">
        <f t="shared" si="207"/>
        <v/>
      </c>
      <c r="N230" s="240" t="str">
        <f t="shared" si="208"/>
        <v>-</v>
      </c>
      <c r="O230" s="265" t="str">
        <f t="shared" si="209"/>
        <v>-</v>
      </c>
      <c r="P230" s="265" t="str">
        <f t="shared" si="210"/>
        <v>-</v>
      </c>
      <c r="Q230" s="266" t="str">
        <f t="shared" si="211"/>
        <v>-</v>
      </c>
      <c r="R230" s="267" t="str">
        <f t="shared" si="212"/>
        <v>-</v>
      </c>
      <c r="S230" s="268" t="str">
        <f t="shared" si="213"/>
        <v>-</v>
      </c>
      <c r="T230" s="269" t="str">
        <f t="shared" si="214"/>
        <v/>
      </c>
      <c r="U230" s="221">
        <f t="shared" si="215"/>
        <v>130</v>
      </c>
      <c r="V230" s="220" t="str">
        <f t="shared" si="216"/>
        <v>-</v>
      </c>
      <c r="W230" s="221" t="str">
        <f t="shared" si="243"/>
        <v>-</v>
      </c>
      <c r="X230" s="221" t="str">
        <f t="shared" si="217"/>
        <v>-</v>
      </c>
      <c r="Y230" s="221" t="str">
        <f t="shared" si="218"/>
        <v>-</v>
      </c>
      <c r="Z230" s="270">
        <f t="shared" si="244"/>
        <v>0.1</v>
      </c>
      <c r="AA230" s="271" t="str">
        <f>IFERROR(IF(V229=1,AA$100*EXP(-(LN(2)/$D$65+0.04)*X229)*EXP(-(LN(2)/$D$65+0.1)*Y229),IF(V229=2,AA$100*EXP(-(LN(2)/$D$65+0.04)*(VLOOKUP(($F$16-$F$15)-1,U$99:Y229,4,FALSE)))*EXP(-(LN(2)/$D$65+0.1)*(VLOOKUP(($F$16-$F$15)-1,U$99:Y229,5,FALSE)))*EXP(-(LN(2)/$D$65+0.04)*X229)*EXP(-(LN(2)/$D$65+0.1)*Y229),IF(V229=3,AA$100*EXP(-(LN(2)/$D$65+0.04)*(VLOOKUP(($F$16-$F$15)-1,U$99:Y229,4,FALSE)))*EXP(-(LN(2)/$D$65+0.1)*(VLOOKUP(($F$16-$F$15)-1,U$99:Y229,5,FALSE)))*EXP(-(LN(2)/$D$65+0.04)*(VLOOKUP(($F$16-$F$15)*2-1,U$99:Y229,4,FALSE)))*EXP(-(LN(2)/$D$65+0.1)*(VLOOKUP(($F$16-$F$15)*2-1,U$99:Y229,5,FALSE)))*EXP(-(LN(2)/$D$65+0.04)*X229)*EXP(-(LN(2)/$D$65+0.1)*Y229),"-"))),"-")</f>
        <v>-</v>
      </c>
      <c r="AB230" s="271" t="str">
        <f>IFERROR(IF(V230=1,AB$100*EXP(-(LN(2)/$D$65+0.04)*X230)*EXP(-(LN(2)/$D$65+0.1)*Y230),IF(V230=2,AB$100*EXP(-(LN(2)/$D$65+0.04)*(VLOOKUP(($F$16-$F$15)-1,U$100:Y230,4,FALSE)))*EXP(-(LN(2)/$D$65+0.1)*(VLOOKUP(($F$16-$F$15)-1,U$100:Y230,5,FALSE)))*EXP(-(LN(2)/$D$65+0.04)*X230)*EXP(-(LN(2)/$D$65+0.1)*Y230),IF(V230=3,AB$100*EXP(-(LN(2)/$D$65+0.04)*(VLOOKUP(($F$16-$F$15)-1,U$100:Y230,4,FALSE)))*EXP(-(LN(2)/$D$65+0.1)*(VLOOKUP(($F$16-$F$15)-1,U$100:Y230,5,FALSE)))*EXP(-(LN(2)/$D$65+0.04)*(VLOOKUP(($F$16-$F$15)*2-1,U$100:Y230,4,FALSE)))*EXP(-(LN(2)/$D$65+0.1)*(VLOOKUP(($F$16-$F$15)*2-1,U$100:Y230,5,FALSE)))*EXP(-(LN(2)/$D$65+0.04)*X230)*EXP(-(LN(2)/$D$65+0.1)*Y230),"-"))),"-")</f>
        <v>-</v>
      </c>
      <c r="AC230" s="224">
        <f t="shared" si="245"/>
        <v>130</v>
      </c>
      <c r="AD230" s="223" t="str">
        <f t="shared" si="219"/>
        <v>-</v>
      </c>
      <c r="AE230" s="224" t="str">
        <f t="shared" si="246"/>
        <v>-</v>
      </c>
      <c r="AF230" s="224" t="str">
        <f t="shared" si="220"/>
        <v>-</v>
      </c>
      <c r="AG230" s="224" t="str">
        <f t="shared" si="221"/>
        <v>-</v>
      </c>
      <c r="AH230" s="272">
        <f t="shared" si="247"/>
        <v>0.1</v>
      </c>
      <c r="AI230" s="271" t="str">
        <f>IFERROR(IF(AD229=1,AI$100*EXP(-(LN(2)/$D$65+0.04)*AF229)*EXP(-(LN(2)/$D$65+0.1)*AG229),IF(AD229=2,AI$100*EXP(-(LN(2)/$D$65+0.04)*(VLOOKUP(($F$16-$F$15)-1,AC$99:AG229,4,FALSE)))*EXP(-(LN(2)/$D$65+0.1)*(VLOOKUP(($F$16-$F$15)-1,AC$99:AG229,5,FALSE)))*EXP(-(LN(2)/$D$65+0.04)*AF229)*EXP(-(LN(2)/$D$65+0.1)*AG229),IF(AD229=3,AI$100*EXP(-(LN(2)/$D$65+0.04)*(VLOOKUP(($F$16-$F$15)-1,AC$99:AG229,4,FALSE)))*EXP(-(LN(2)/$D$65+0.1)*(VLOOKUP(($F$16-$F$15)-1,AC$99:AG229,5,FALSE)))*EXP(-(LN(2)/$D$65+0.04)*(VLOOKUP(($F$16-$F$15)*2-1,AC$99:AG229,4,FALSE)))*EXP(-(LN(2)/$D$65+0.1)*(VLOOKUP(($F$16-$F$15)*2-1,AC$99:AG229,5,FALSE)))*EXP(-(LN(2)/$D$65+0.04)*AF229)*EXP(-(LN(2)/$D$65+0.1)*AG229),"-"))),"-")</f>
        <v>-</v>
      </c>
      <c r="AJ230" s="271" t="str">
        <f>IFERROR(IF(AD230=1,AJ$100*EXP(-(LN(2)/$D$65+0.04)*AF230)*EXP(-(LN(2)/$D$65+0.1)*AG230),IF(AD230=2,AJ$100*EXP(-(LN(2)/$D$65+0.04)*(VLOOKUP(($F$16-$F$15)-1,AC$100:AG230,4,FALSE)))*EXP(-(LN(2)/$D$65+0.1)*(VLOOKUP(($F$16-$F$15)-1,AC$100:AG230,5,FALSE)))*EXP(-(LN(2)/$D$65+0.04)*AF230)*EXP(-(LN(2)/$D$65+0.1)*AG230),IF(AD230=3,AJ$100*EXP(-(LN(2)/$D$65+0.04)*(VLOOKUP(($F$16-$F$15)-1,AC$100:AG230,4,FALSE)))*EXP(-(LN(2)/$D$65+0.1)*(VLOOKUP(($F$16-$F$15)-1,AC$100:AG230,5,FALSE)))*EXP(-(LN(2)/$D$65+0.04)*(VLOOKUP(($F$16-$F$15)*2-1,AC$100:AG230,4,FALSE)))*EXP(-(LN(2)/$D$65+0.1)*(VLOOKUP(($F$16-$F$15)*2-1,AC$100:AG230,5,FALSE)))*EXP(-(LN(2)/$D$65+0.04)*AF230)*EXP(-(LN(2)/$D$65+0.1)*AG230),"-"))),"-")</f>
        <v>-</v>
      </c>
      <c r="AK230" s="227">
        <f t="shared" si="248"/>
        <v>130</v>
      </c>
      <c r="AL230" s="226" t="str">
        <f t="shared" si="222"/>
        <v>-</v>
      </c>
      <c r="AM230" s="227" t="str">
        <f t="shared" si="249"/>
        <v>-</v>
      </c>
      <c r="AN230" s="227" t="str">
        <f t="shared" si="250"/>
        <v>-</v>
      </c>
      <c r="AO230" s="227" t="str">
        <f t="shared" si="223"/>
        <v>-</v>
      </c>
      <c r="AP230" s="273">
        <f t="shared" si="251"/>
        <v>0.1</v>
      </c>
      <c r="AQ230" s="271" t="str">
        <f>IFERROR(IF(AL229=1,AQ$100*EXP(-(LN(2)/$D$65+0.04)*AN229)*EXP(-(LN(2)/$D$65+0.1)*AO229),IF(AL229=2,AQ$100*EXP(-(LN(2)/$D$65+0.04)*(VLOOKUP(($F$16-$F$15)-1,AK$99:AO229,4,FALSE)))*EXP(-(LN(2)/$D$65+0.1)*(VLOOKUP(($F$16-$F$15)-1,AK$99:AO229,5,FALSE)))*EXP(-(LN(2)/$D$65+0.04)*AN229)*EXP(-(LN(2)/$D$65+0.1)*AO229),IF(AL229=3,AQ$100*EXP(-(LN(2)/$D$65+0.04)*(VLOOKUP(($F$16-$F$15)-1,AK$99:AO229,4,FALSE)))*EXP(-(LN(2)/$D$65+0.1)*(VLOOKUP(($F$16-$F$15)-1,AK$99:AO229,5,FALSE)))*EXP(-(LN(2)/$D$65+0.04)*(VLOOKUP(($F$16-$F$15)*2-1,AK$99:AO229,4,FALSE)))*EXP(-(LN(2)/$D$65+0.1)*(VLOOKUP(($F$16-$F$15)*2-1,AK$99:AO229,5,FALSE)))*EXP(-(LN(2)/$D$65+0.04)*AN229)*EXP(-(LN(2)/$D$65+0.1)*AO229),"-"))),"-")</f>
        <v>-</v>
      </c>
      <c r="AR230" s="271" t="str">
        <f>IFERROR(IF(AL230=1,AR$100*EXP(-(LN(2)/$D$65+0.04)*AN230)*EXP(-(LN(2)/$D$65+0.1)*AO230),IF(AL230=2,AR$100*EXP(-(LN(2)/$D$65+0.04)*(VLOOKUP(($F$16-$F$15)-1,AK$100:AO230,4,FALSE)))*EXP(-(LN(2)/$D$65+0.1)*(VLOOKUP(($F$16-$F$15)-1,AK$100:AO230,5,FALSE)))*EXP(-(LN(2)/$D$65+0.04)*AN230)*EXP(-(LN(2)/$D$65+0.1)*AO230),IF(AL230=3,AR$100*EXP(-(LN(2)/$D$65+0.04)*(VLOOKUP(($F$16-$F$15)-1,AK$100:AO230,4,FALSE)))*EXP(-(LN(2)/$D$65+0.1)*(VLOOKUP(($F$16-$F$15)-1,AK$100:AO230,5,FALSE)))*EXP(-(LN(2)/$D$65+0.04)*(VLOOKUP(($F$16-$F$15)*2-1,AK$100:AO230,4,FALSE)))*EXP(-(LN(2)/$D$65+0.1)*(VLOOKUP(($F$16-$F$15)*2-1,AK$100:AO230,5,FALSE)))*EXP(-(LN(2)/$D$65+0.04)*AN230)*EXP(-(LN(2)/$D$65+0.1)*AO230),"-"))),"-")</f>
        <v>-</v>
      </c>
      <c r="AS230" s="274">
        <f t="shared" si="224"/>
        <v>0</v>
      </c>
      <c r="AT230" s="274">
        <f t="shared" si="225"/>
        <v>0</v>
      </c>
      <c r="AU230" s="274">
        <f t="shared" si="226"/>
        <v>0</v>
      </c>
      <c r="AV230" s="190">
        <f>IF($B230&lt;$F$22,SUM($T$100:$T230),"")</f>
        <v>0</v>
      </c>
      <c r="AW230" s="190" t="str">
        <f t="shared" si="227"/>
        <v>-</v>
      </c>
      <c r="AX230" s="190" t="str">
        <f t="shared" si="252"/>
        <v/>
      </c>
      <c r="AY230"/>
      <c r="AZ230" s="190" t="str">
        <f ca="1">IF(ISNUMBER(OFFSET(AV230,-$F$21,0)),SUM(OFFSET($T$100,$F$21,0):$T230),"")</f>
        <v/>
      </c>
      <c r="BA230" s="190" t="str">
        <f t="shared" ca="1" si="228"/>
        <v/>
      </c>
      <c r="BB230" s="190" t="str">
        <f t="shared" ca="1" si="164"/>
        <v/>
      </c>
      <c r="BC230" s="190"/>
      <c r="BD230" s="190" t="str">
        <f ca="1">IFERROR(IF(AND($B230&gt;=($F$16-$F$15),$B230&lt;$F$22+($F$16-$F$15)),SUM(OFFSET($T$100,($F$16-$F$15),0):$T230),""),"")</f>
        <v/>
      </c>
      <c r="BE230" s="190" t="str">
        <f t="shared" ca="1" si="253"/>
        <v/>
      </c>
      <c r="BF230" s="190" t="str">
        <f t="shared" ca="1" si="254"/>
        <v/>
      </c>
      <c r="BG230"/>
      <c r="BH230" s="190" t="str">
        <f ca="1">IF(ISNUMBER(OFFSET(BD230,-$F$21,0)),SUM(OFFSET($T$100,($F$16-$F$15+$F$21),0):$T230),"")</f>
        <v/>
      </c>
      <c r="BI230" s="190" t="str">
        <f t="shared" ca="1" si="229"/>
        <v/>
      </c>
      <c r="BJ230" s="190" t="str">
        <f t="shared" ca="1" si="255"/>
        <v/>
      </c>
      <c r="BK230" s="190"/>
      <c r="BL230" s="190" t="str">
        <f ca="1">IFERROR(IF(AND($B230&gt;=($F$17-$F$15),$B230&lt;$F$22+($F$17-$F$15)),SUM(OFFSET($T$100,($F$17-$F$15),0):$T230),""),"")</f>
        <v/>
      </c>
      <c r="BM230" s="190" t="str">
        <f t="shared" ca="1" si="230"/>
        <v/>
      </c>
      <c r="BN230" s="190" t="str">
        <f t="shared" ca="1" si="256"/>
        <v/>
      </c>
      <c r="BO230"/>
      <c r="BP230" s="190" t="str">
        <f ca="1">IF(ISNUMBER(OFFSET(BL230,-$F$21,0)),SUM(OFFSET($T$100,($F$17-$F$15+$F$21),0):$T230),"")</f>
        <v/>
      </c>
      <c r="BQ230" s="190" t="str">
        <f t="shared" ca="1" si="231"/>
        <v/>
      </c>
      <c r="BR230" s="190" t="str">
        <f t="shared" ca="1" si="257"/>
        <v/>
      </c>
      <c r="BS230" s="190"/>
      <c r="BT230"/>
      <c r="BU230"/>
      <c r="BV230"/>
      <c r="BY230" s="99"/>
      <c r="BZ230" s="99"/>
      <c r="CA230" s="280" t="str">
        <f t="shared" si="232"/>
        <v/>
      </c>
      <c r="CB230" s="71" t="str">
        <f t="shared" si="233"/>
        <v>-</v>
      </c>
      <c r="CC230" s="33"/>
      <c r="CD230" s="261" t="str">
        <f t="shared" si="234"/>
        <v/>
      </c>
      <c r="CE230" s="280" t="str">
        <f t="shared" si="235"/>
        <v>-</v>
      </c>
      <c r="CF230" s="71" t="str">
        <f t="shared" ca="1" si="236"/>
        <v>-</v>
      </c>
      <c r="CG230" s="33" t="str">
        <f t="shared" si="237"/>
        <v>130-131</v>
      </c>
      <c r="CH230" s="261" t="str">
        <f t="shared" ca="1" si="238"/>
        <v/>
      </c>
      <c r="CP230" s="99"/>
      <c r="CQ230" s="99"/>
    </row>
    <row r="231" spans="2:95" ht="13.5" customHeight="1" x14ac:dyDescent="0.2">
      <c r="B231" s="262">
        <v>131</v>
      </c>
      <c r="C231" s="237" t="str">
        <f t="shared" si="201"/>
        <v/>
      </c>
      <c r="D231" s="237" t="str">
        <f t="shared" si="239"/>
        <v>-</v>
      </c>
      <c r="E231" s="263" t="str">
        <f t="shared" si="240"/>
        <v/>
      </c>
      <c r="F231" s="264" t="str">
        <f t="shared" si="241"/>
        <v/>
      </c>
      <c r="G231" s="264" t="str">
        <f t="shared" si="242"/>
        <v/>
      </c>
      <c r="H231" s="240" t="str">
        <f t="shared" si="202"/>
        <v/>
      </c>
      <c r="I231" s="265" t="str">
        <f t="shared" si="203"/>
        <v/>
      </c>
      <c r="J231" s="265" t="str">
        <f t="shared" si="204"/>
        <v/>
      </c>
      <c r="K231" s="240" t="str">
        <f t="shared" si="205"/>
        <v/>
      </c>
      <c r="L231" s="265" t="str">
        <f t="shared" si="206"/>
        <v/>
      </c>
      <c r="M231" s="265" t="str">
        <f t="shared" si="207"/>
        <v/>
      </c>
      <c r="N231" s="240" t="str">
        <f t="shared" si="208"/>
        <v>-</v>
      </c>
      <c r="O231" s="265" t="str">
        <f t="shared" si="209"/>
        <v>-</v>
      </c>
      <c r="P231" s="265" t="str">
        <f t="shared" si="210"/>
        <v>-</v>
      </c>
      <c r="Q231" s="266" t="str">
        <f t="shared" si="211"/>
        <v>-</v>
      </c>
      <c r="R231" s="267" t="str">
        <f t="shared" si="212"/>
        <v>-</v>
      </c>
      <c r="S231" s="268" t="str">
        <f t="shared" si="213"/>
        <v>-</v>
      </c>
      <c r="T231" s="269" t="str">
        <f t="shared" si="214"/>
        <v/>
      </c>
      <c r="U231" s="221">
        <f t="shared" si="215"/>
        <v>131</v>
      </c>
      <c r="V231" s="220" t="str">
        <f t="shared" si="216"/>
        <v>-</v>
      </c>
      <c r="W231" s="221" t="str">
        <f t="shared" si="243"/>
        <v>-</v>
      </c>
      <c r="X231" s="221" t="str">
        <f t="shared" si="217"/>
        <v>-</v>
      </c>
      <c r="Y231" s="221" t="str">
        <f t="shared" si="218"/>
        <v>-</v>
      </c>
      <c r="Z231" s="270">
        <f t="shared" si="244"/>
        <v>0.1</v>
      </c>
      <c r="AA231" s="271" t="str">
        <f>IFERROR(IF(V230=1,AA$100*EXP(-(LN(2)/$D$65+0.04)*X230)*EXP(-(LN(2)/$D$65+0.1)*Y230),IF(V230=2,AA$100*EXP(-(LN(2)/$D$65+0.04)*(VLOOKUP(($F$16-$F$15)-1,U$99:Y230,4,FALSE)))*EXP(-(LN(2)/$D$65+0.1)*(VLOOKUP(($F$16-$F$15)-1,U$99:Y230,5,FALSE)))*EXP(-(LN(2)/$D$65+0.04)*X230)*EXP(-(LN(2)/$D$65+0.1)*Y230),IF(V230=3,AA$100*EXP(-(LN(2)/$D$65+0.04)*(VLOOKUP(($F$16-$F$15)-1,U$99:Y230,4,FALSE)))*EXP(-(LN(2)/$D$65+0.1)*(VLOOKUP(($F$16-$F$15)-1,U$99:Y230,5,FALSE)))*EXP(-(LN(2)/$D$65+0.04)*(VLOOKUP(($F$16-$F$15)*2-1,U$99:Y230,4,FALSE)))*EXP(-(LN(2)/$D$65+0.1)*(VLOOKUP(($F$16-$F$15)*2-1,U$99:Y230,5,FALSE)))*EXP(-(LN(2)/$D$65+0.04)*X230)*EXP(-(LN(2)/$D$65+0.1)*Y230),"-"))),"-")</f>
        <v>-</v>
      </c>
      <c r="AB231" s="271" t="str">
        <f>IFERROR(IF(V231=1,AB$100*EXP(-(LN(2)/$D$65+0.04)*X231)*EXP(-(LN(2)/$D$65+0.1)*Y231),IF(V231=2,AB$100*EXP(-(LN(2)/$D$65+0.04)*(VLOOKUP(($F$16-$F$15)-1,U$100:Y231,4,FALSE)))*EXP(-(LN(2)/$D$65+0.1)*(VLOOKUP(($F$16-$F$15)-1,U$100:Y231,5,FALSE)))*EXP(-(LN(2)/$D$65+0.04)*X231)*EXP(-(LN(2)/$D$65+0.1)*Y231),IF(V231=3,AB$100*EXP(-(LN(2)/$D$65+0.04)*(VLOOKUP(($F$16-$F$15)-1,U$100:Y231,4,FALSE)))*EXP(-(LN(2)/$D$65+0.1)*(VLOOKUP(($F$16-$F$15)-1,U$100:Y231,5,FALSE)))*EXP(-(LN(2)/$D$65+0.04)*(VLOOKUP(($F$16-$F$15)*2-1,U$100:Y231,4,FALSE)))*EXP(-(LN(2)/$D$65+0.1)*(VLOOKUP(($F$16-$F$15)*2-1,U$100:Y231,5,FALSE)))*EXP(-(LN(2)/$D$65+0.04)*X231)*EXP(-(LN(2)/$D$65+0.1)*Y231),"-"))),"-")</f>
        <v>-</v>
      </c>
      <c r="AC231" s="224">
        <f t="shared" si="245"/>
        <v>131</v>
      </c>
      <c r="AD231" s="223" t="str">
        <f t="shared" si="219"/>
        <v>-</v>
      </c>
      <c r="AE231" s="224" t="str">
        <f t="shared" si="246"/>
        <v>-</v>
      </c>
      <c r="AF231" s="224" t="str">
        <f t="shared" si="220"/>
        <v>-</v>
      </c>
      <c r="AG231" s="224" t="str">
        <f t="shared" si="221"/>
        <v>-</v>
      </c>
      <c r="AH231" s="272">
        <f t="shared" si="247"/>
        <v>0.1</v>
      </c>
      <c r="AI231" s="271" t="str">
        <f>IFERROR(IF(AD230=1,AI$100*EXP(-(LN(2)/$D$65+0.04)*AF230)*EXP(-(LN(2)/$D$65+0.1)*AG230),IF(AD230=2,AI$100*EXP(-(LN(2)/$D$65+0.04)*(VLOOKUP(($F$16-$F$15)-1,AC$99:AG230,4,FALSE)))*EXP(-(LN(2)/$D$65+0.1)*(VLOOKUP(($F$16-$F$15)-1,AC$99:AG230,5,FALSE)))*EXP(-(LN(2)/$D$65+0.04)*AF230)*EXP(-(LN(2)/$D$65+0.1)*AG230),IF(AD230=3,AI$100*EXP(-(LN(2)/$D$65+0.04)*(VLOOKUP(($F$16-$F$15)-1,AC$99:AG230,4,FALSE)))*EXP(-(LN(2)/$D$65+0.1)*(VLOOKUP(($F$16-$F$15)-1,AC$99:AG230,5,FALSE)))*EXP(-(LN(2)/$D$65+0.04)*(VLOOKUP(($F$16-$F$15)*2-1,AC$99:AG230,4,FALSE)))*EXP(-(LN(2)/$D$65+0.1)*(VLOOKUP(($F$16-$F$15)*2-1,AC$99:AG230,5,FALSE)))*EXP(-(LN(2)/$D$65+0.04)*AF230)*EXP(-(LN(2)/$D$65+0.1)*AG230),"-"))),"-")</f>
        <v>-</v>
      </c>
      <c r="AJ231" s="271" t="str">
        <f>IFERROR(IF(AD231=1,AJ$100*EXP(-(LN(2)/$D$65+0.04)*AF231)*EXP(-(LN(2)/$D$65+0.1)*AG231),IF(AD231=2,AJ$100*EXP(-(LN(2)/$D$65+0.04)*(VLOOKUP(($F$16-$F$15)-1,AC$100:AG231,4,FALSE)))*EXP(-(LN(2)/$D$65+0.1)*(VLOOKUP(($F$16-$F$15)-1,AC$100:AG231,5,FALSE)))*EXP(-(LN(2)/$D$65+0.04)*AF231)*EXP(-(LN(2)/$D$65+0.1)*AG231),IF(AD231=3,AJ$100*EXP(-(LN(2)/$D$65+0.04)*(VLOOKUP(($F$16-$F$15)-1,AC$100:AG231,4,FALSE)))*EXP(-(LN(2)/$D$65+0.1)*(VLOOKUP(($F$16-$F$15)-1,AC$100:AG231,5,FALSE)))*EXP(-(LN(2)/$D$65+0.04)*(VLOOKUP(($F$16-$F$15)*2-1,AC$100:AG231,4,FALSE)))*EXP(-(LN(2)/$D$65+0.1)*(VLOOKUP(($F$16-$F$15)*2-1,AC$100:AG231,5,FALSE)))*EXP(-(LN(2)/$D$65+0.04)*AF231)*EXP(-(LN(2)/$D$65+0.1)*AG231),"-"))),"-")</f>
        <v>-</v>
      </c>
      <c r="AK231" s="227">
        <f t="shared" si="248"/>
        <v>131</v>
      </c>
      <c r="AL231" s="226" t="str">
        <f t="shared" si="222"/>
        <v>-</v>
      </c>
      <c r="AM231" s="227" t="str">
        <f t="shared" si="249"/>
        <v>-</v>
      </c>
      <c r="AN231" s="227" t="str">
        <f t="shared" si="250"/>
        <v>-</v>
      </c>
      <c r="AO231" s="227" t="str">
        <f t="shared" si="223"/>
        <v>-</v>
      </c>
      <c r="AP231" s="273">
        <f t="shared" si="251"/>
        <v>0.1</v>
      </c>
      <c r="AQ231" s="271" t="str">
        <f>IFERROR(IF(AL230=1,AQ$100*EXP(-(LN(2)/$D$65+0.04)*AN230)*EXP(-(LN(2)/$D$65+0.1)*AO230),IF(AL230=2,AQ$100*EXP(-(LN(2)/$D$65+0.04)*(VLOOKUP(($F$16-$F$15)-1,AK$99:AO230,4,FALSE)))*EXP(-(LN(2)/$D$65+0.1)*(VLOOKUP(($F$16-$F$15)-1,AK$99:AO230,5,FALSE)))*EXP(-(LN(2)/$D$65+0.04)*AN230)*EXP(-(LN(2)/$D$65+0.1)*AO230),IF(AL230=3,AQ$100*EXP(-(LN(2)/$D$65+0.04)*(VLOOKUP(($F$16-$F$15)-1,AK$99:AO230,4,FALSE)))*EXP(-(LN(2)/$D$65+0.1)*(VLOOKUP(($F$16-$F$15)-1,AK$99:AO230,5,FALSE)))*EXP(-(LN(2)/$D$65+0.04)*(VLOOKUP(($F$16-$F$15)*2-1,AK$99:AO230,4,FALSE)))*EXP(-(LN(2)/$D$65+0.1)*(VLOOKUP(($F$16-$F$15)*2-1,AK$99:AO230,5,FALSE)))*EXP(-(LN(2)/$D$65+0.04)*AN230)*EXP(-(LN(2)/$D$65+0.1)*AO230),"-"))),"-")</f>
        <v>-</v>
      </c>
      <c r="AR231" s="271" t="str">
        <f>IFERROR(IF(AL231=1,AR$100*EXP(-(LN(2)/$D$65+0.04)*AN231)*EXP(-(LN(2)/$D$65+0.1)*AO231),IF(AL231=2,AR$100*EXP(-(LN(2)/$D$65+0.04)*(VLOOKUP(($F$16-$F$15)-1,AK$100:AO231,4,FALSE)))*EXP(-(LN(2)/$D$65+0.1)*(VLOOKUP(($F$16-$F$15)-1,AK$100:AO231,5,FALSE)))*EXP(-(LN(2)/$D$65+0.04)*AN231)*EXP(-(LN(2)/$D$65+0.1)*AO231),IF(AL231=3,AR$100*EXP(-(LN(2)/$D$65+0.04)*(VLOOKUP(($F$16-$F$15)-1,AK$100:AO231,4,FALSE)))*EXP(-(LN(2)/$D$65+0.1)*(VLOOKUP(($F$16-$F$15)-1,AK$100:AO231,5,FALSE)))*EXP(-(LN(2)/$D$65+0.04)*(VLOOKUP(($F$16-$F$15)*2-1,AK$100:AO231,4,FALSE)))*EXP(-(LN(2)/$D$65+0.1)*(VLOOKUP(($F$16-$F$15)*2-1,AK$100:AO231,5,FALSE)))*EXP(-(LN(2)/$D$65+0.04)*AN231)*EXP(-(LN(2)/$D$65+0.1)*AO231),"-"))),"-")</f>
        <v>-</v>
      </c>
      <c r="AS231" s="274">
        <f t="shared" si="224"/>
        <v>0</v>
      </c>
      <c r="AT231" s="274">
        <f t="shared" si="225"/>
        <v>0</v>
      </c>
      <c r="AU231" s="274">
        <f t="shared" si="226"/>
        <v>0</v>
      </c>
      <c r="AV231" s="190">
        <f>IF($B231&lt;$F$22,SUM($T$100:$T231),"")</f>
        <v>0</v>
      </c>
      <c r="AW231" s="190" t="str">
        <f t="shared" si="227"/>
        <v>-</v>
      </c>
      <c r="AX231" s="190" t="str">
        <f t="shared" si="252"/>
        <v/>
      </c>
      <c r="AY231"/>
      <c r="AZ231" s="190" t="str">
        <f ca="1">IF(ISNUMBER(OFFSET(AV231,-$F$21,0)),SUM(OFFSET($T$100,$F$21,0):$T231),"")</f>
        <v/>
      </c>
      <c r="BA231" s="190" t="str">
        <f t="shared" ca="1" si="228"/>
        <v/>
      </c>
      <c r="BB231" s="190" t="str">
        <f t="shared" ca="1" si="164"/>
        <v/>
      </c>
      <c r="BC231" s="190"/>
      <c r="BD231" s="190" t="str">
        <f ca="1">IFERROR(IF(AND($B231&gt;=($F$16-$F$15),$B231&lt;$F$22+($F$16-$F$15)),SUM(OFFSET($T$100,($F$16-$F$15),0):$T231),""),"")</f>
        <v/>
      </c>
      <c r="BE231" s="190" t="str">
        <f t="shared" ca="1" si="253"/>
        <v/>
      </c>
      <c r="BF231" s="190" t="str">
        <f t="shared" ca="1" si="254"/>
        <v/>
      </c>
      <c r="BG231"/>
      <c r="BH231" s="190" t="str">
        <f ca="1">IF(ISNUMBER(OFFSET(BD231,-$F$21,0)),SUM(OFFSET($T$100,($F$16-$F$15+$F$21),0):$T231),"")</f>
        <v/>
      </c>
      <c r="BI231" s="190" t="str">
        <f t="shared" ca="1" si="229"/>
        <v/>
      </c>
      <c r="BJ231" s="190" t="str">
        <f t="shared" ca="1" si="255"/>
        <v/>
      </c>
      <c r="BK231" s="190"/>
      <c r="BL231" s="190" t="str">
        <f ca="1">IFERROR(IF(AND($B231&gt;=($F$17-$F$15),$B231&lt;$F$22+($F$17-$F$15)),SUM(OFFSET($T$100,($F$17-$F$15),0):$T231),""),"")</f>
        <v/>
      </c>
      <c r="BM231" s="190" t="str">
        <f t="shared" ca="1" si="230"/>
        <v/>
      </c>
      <c r="BN231" s="190" t="str">
        <f t="shared" ca="1" si="256"/>
        <v/>
      </c>
      <c r="BO231"/>
      <c r="BP231" s="190" t="str">
        <f ca="1">IF(ISNUMBER(OFFSET(BL231,-$F$21,0)),SUM(OFFSET($T$100,($F$17-$F$15+$F$21),0):$T231),"")</f>
        <v/>
      </c>
      <c r="BQ231" s="190" t="str">
        <f t="shared" ca="1" si="231"/>
        <v/>
      </c>
      <c r="BR231" s="190" t="str">
        <f t="shared" ca="1" si="257"/>
        <v/>
      </c>
      <c r="BS231" s="190"/>
      <c r="BT231"/>
      <c r="BU231"/>
      <c r="BV231"/>
      <c r="BY231" s="99"/>
      <c r="BZ231" s="99"/>
      <c r="CA231" s="280" t="str">
        <f t="shared" si="232"/>
        <v/>
      </c>
      <c r="CB231" s="71" t="str">
        <f t="shared" si="233"/>
        <v>-</v>
      </c>
      <c r="CC231" s="33"/>
      <c r="CD231" s="261" t="str">
        <f t="shared" si="234"/>
        <v/>
      </c>
      <c r="CE231" s="280" t="str">
        <f t="shared" si="235"/>
        <v>-</v>
      </c>
      <c r="CF231" s="71" t="str">
        <f t="shared" ca="1" si="236"/>
        <v>-</v>
      </c>
      <c r="CG231" s="33" t="str">
        <f t="shared" si="237"/>
        <v>131-132</v>
      </c>
      <c r="CH231" s="261" t="str">
        <f t="shared" ca="1" si="238"/>
        <v/>
      </c>
      <c r="CP231" s="99"/>
      <c r="CQ231" s="99"/>
    </row>
    <row r="232" spans="2:95" ht="13.5" customHeight="1" x14ac:dyDescent="0.2">
      <c r="B232" s="262">
        <v>132</v>
      </c>
      <c r="C232" s="237" t="str">
        <f t="shared" si="201"/>
        <v/>
      </c>
      <c r="D232" s="237" t="str">
        <f t="shared" si="239"/>
        <v>-</v>
      </c>
      <c r="E232" s="263" t="str">
        <f t="shared" si="240"/>
        <v/>
      </c>
      <c r="F232" s="264" t="str">
        <f t="shared" si="241"/>
        <v/>
      </c>
      <c r="G232" s="264" t="str">
        <f t="shared" si="242"/>
        <v/>
      </c>
      <c r="H232" s="240" t="str">
        <f t="shared" si="202"/>
        <v/>
      </c>
      <c r="I232" s="265" t="str">
        <f t="shared" si="203"/>
        <v/>
      </c>
      <c r="J232" s="265" t="str">
        <f t="shared" si="204"/>
        <v/>
      </c>
      <c r="K232" s="240" t="str">
        <f t="shared" si="205"/>
        <v/>
      </c>
      <c r="L232" s="265" t="str">
        <f t="shared" si="206"/>
        <v/>
      </c>
      <c r="M232" s="265" t="str">
        <f t="shared" si="207"/>
        <v/>
      </c>
      <c r="N232" s="240" t="str">
        <f t="shared" si="208"/>
        <v>-</v>
      </c>
      <c r="O232" s="265" t="str">
        <f t="shared" si="209"/>
        <v>-</v>
      </c>
      <c r="P232" s="265" t="str">
        <f t="shared" si="210"/>
        <v>-</v>
      </c>
      <c r="Q232" s="266" t="str">
        <f t="shared" si="211"/>
        <v>-</v>
      </c>
      <c r="R232" s="267" t="str">
        <f t="shared" si="212"/>
        <v>-</v>
      </c>
      <c r="S232" s="268" t="str">
        <f t="shared" si="213"/>
        <v>-</v>
      </c>
      <c r="T232" s="269" t="str">
        <f t="shared" si="214"/>
        <v/>
      </c>
      <c r="U232" s="221">
        <f t="shared" si="215"/>
        <v>132</v>
      </c>
      <c r="V232" s="220" t="str">
        <f t="shared" si="216"/>
        <v>-</v>
      </c>
      <c r="W232" s="221" t="str">
        <f t="shared" si="243"/>
        <v>-</v>
      </c>
      <c r="X232" s="221" t="str">
        <f t="shared" si="217"/>
        <v>-</v>
      </c>
      <c r="Y232" s="221" t="str">
        <f t="shared" si="218"/>
        <v>-</v>
      </c>
      <c r="Z232" s="270">
        <f t="shared" si="244"/>
        <v>0.1</v>
      </c>
      <c r="AA232" s="271" t="str">
        <f>IFERROR(IF(V231=1,AA$100*EXP(-(LN(2)/$D$65+0.04)*X231)*EXP(-(LN(2)/$D$65+0.1)*Y231),IF(V231=2,AA$100*EXP(-(LN(2)/$D$65+0.04)*(VLOOKUP(($F$16-$F$15)-1,U$99:Y231,4,FALSE)))*EXP(-(LN(2)/$D$65+0.1)*(VLOOKUP(($F$16-$F$15)-1,U$99:Y231,5,FALSE)))*EXP(-(LN(2)/$D$65+0.04)*X231)*EXP(-(LN(2)/$D$65+0.1)*Y231),IF(V231=3,AA$100*EXP(-(LN(2)/$D$65+0.04)*(VLOOKUP(($F$16-$F$15)-1,U$99:Y231,4,FALSE)))*EXP(-(LN(2)/$D$65+0.1)*(VLOOKUP(($F$16-$F$15)-1,U$99:Y231,5,FALSE)))*EXP(-(LN(2)/$D$65+0.04)*(VLOOKUP(($F$16-$F$15)*2-1,U$99:Y231,4,FALSE)))*EXP(-(LN(2)/$D$65+0.1)*(VLOOKUP(($F$16-$F$15)*2-1,U$99:Y231,5,FALSE)))*EXP(-(LN(2)/$D$65+0.04)*X231)*EXP(-(LN(2)/$D$65+0.1)*Y231),"-"))),"-")</f>
        <v>-</v>
      </c>
      <c r="AB232" s="271" t="str">
        <f>IFERROR(IF(V232=1,AB$100*EXP(-(LN(2)/$D$65+0.04)*X232)*EXP(-(LN(2)/$D$65+0.1)*Y232),IF(V232=2,AB$100*EXP(-(LN(2)/$D$65+0.04)*(VLOOKUP(($F$16-$F$15)-1,U$100:Y232,4,FALSE)))*EXP(-(LN(2)/$D$65+0.1)*(VLOOKUP(($F$16-$F$15)-1,U$100:Y232,5,FALSE)))*EXP(-(LN(2)/$D$65+0.04)*X232)*EXP(-(LN(2)/$D$65+0.1)*Y232),IF(V232=3,AB$100*EXP(-(LN(2)/$D$65+0.04)*(VLOOKUP(($F$16-$F$15)-1,U$100:Y232,4,FALSE)))*EXP(-(LN(2)/$D$65+0.1)*(VLOOKUP(($F$16-$F$15)-1,U$100:Y232,5,FALSE)))*EXP(-(LN(2)/$D$65+0.04)*(VLOOKUP(($F$16-$F$15)*2-1,U$100:Y232,4,FALSE)))*EXP(-(LN(2)/$D$65+0.1)*(VLOOKUP(($F$16-$F$15)*2-1,U$100:Y232,5,FALSE)))*EXP(-(LN(2)/$D$65+0.04)*X232)*EXP(-(LN(2)/$D$65+0.1)*Y232),"-"))),"-")</f>
        <v>-</v>
      </c>
      <c r="AC232" s="224">
        <f t="shared" si="245"/>
        <v>132</v>
      </c>
      <c r="AD232" s="223" t="str">
        <f t="shared" si="219"/>
        <v>-</v>
      </c>
      <c r="AE232" s="224" t="str">
        <f t="shared" si="246"/>
        <v>-</v>
      </c>
      <c r="AF232" s="224" t="str">
        <f t="shared" si="220"/>
        <v>-</v>
      </c>
      <c r="AG232" s="224" t="str">
        <f t="shared" si="221"/>
        <v>-</v>
      </c>
      <c r="AH232" s="272">
        <f t="shared" si="247"/>
        <v>0.1</v>
      </c>
      <c r="AI232" s="271" t="str">
        <f>IFERROR(IF(AD231=1,AI$100*EXP(-(LN(2)/$D$65+0.04)*AF231)*EXP(-(LN(2)/$D$65+0.1)*AG231),IF(AD231=2,AI$100*EXP(-(LN(2)/$D$65+0.04)*(VLOOKUP(($F$16-$F$15)-1,AC$99:AG231,4,FALSE)))*EXP(-(LN(2)/$D$65+0.1)*(VLOOKUP(($F$16-$F$15)-1,AC$99:AG231,5,FALSE)))*EXP(-(LN(2)/$D$65+0.04)*AF231)*EXP(-(LN(2)/$D$65+0.1)*AG231),IF(AD231=3,AI$100*EXP(-(LN(2)/$D$65+0.04)*(VLOOKUP(($F$16-$F$15)-1,AC$99:AG231,4,FALSE)))*EXP(-(LN(2)/$D$65+0.1)*(VLOOKUP(($F$16-$F$15)-1,AC$99:AG231,5,FALSE)))*EXP(-(LN(2)/$D$65+0.04)*(VLOOKUP(($F$16-$F$15)*2-1,AC$99:AG231,4,FALSE)))*EXP(-(LN(2)/$D$65+0.1)*(VLOOKUP(($F$16-$F$15)*2-1,AC$99:AG231,5,FALSE)))*EXP(-(LN(2)/$D$65+0.04)*AF231)*EXP(-(LN(2)/$D$65+0.1)*AG231),"-"))),"-")</f>
        <v>-</v>
      </c>
      <c r="AJ232" s="271" t="str">
        <f>IFERROR(IF(AD232=1,AJ$100*EXP(-(LN(2)/$D$65+0.04)*AF232)*EXP(-(LN(2)/$D$65+0.1)*AG232),IF(AD232=2,AJ$100*EXP(-(LN(2)/$D$65+0.04)*(VLOOKUP(($F$16-$F$15)-1,AC$100:AG232,4,FALSE)))*EXP(-(LN(2)/$D$65+0.1)*(VLOOKUP(($F$16-$F$15)-1,AC$100:AG232,5,FALSE)))*EXP(-(LN(2)/$D$65+0.04)*AF232)*EXP(-(LN(2)/$D$65+0.1)*AG232),IF(AD232=3,AJ$100*EXP(-(LN(2)/$D$65+0.04)*(VLOOKUP(($F$16-$F$15)-1,AC$100:AG232,4,FALSE)))*EXP(-(LN(2)/$D$65+0.1)*(VLOOKUP(($F$16-$F$15)-1,AC$100:AG232,5,FALSE)))*EXP(-(LN(2)/$D$65+0.04)*(VLOOKUP(($F$16-$F$15)*2-1,AC$100:AG232,4,FALSE)))*EXP(-(LN(2)/$D$65+0.1)*(VLOOKUP(($F$16-$F$15)*2-1,AC$100:AG232,5,FALSE)))*EXP(-(LN(2)/$D$65+0.04)*AF232)*EXP(-(LN(2)/$D$65+0.1)*AG232),"-"))),"-")</f>
        <v>-</v>
      </c>
      <c r="AK232" s="227">
        <f t="shared" si="248"/>
        <v>132</v>
      </c>
      <c r="AL232" s="226" t="str">
        <f t="shared" si="222"/>
        <v>-</v>
      </c>
      <c r="AM232" s="227" t="str">
        <f t="shared" si="249"/>
        <v>-</v>
      </c>
      <c r="AN232" s="227" t="str">
        <f t="shared" si="250"/>
        <v>-</v>
      </c>
      <c r="AO232" s="227" t="str">
        <f t="shared" si="223"/>
        <v>-</v>
      </c>
      <c r="AP232" s="273">
        <f t="shared" si="251"/>
        <v>0.1</v>
      </c>
      <c r="AQ232" s="271" t="str">
        <f>IFERROR(IF(AL231=1,AQ$100*EXP(-(LN(2)/$D$65+0.04)*AN231)*EXP(-(LN(2)/$D$65+0.1)*AO231),IF(AL231=2,AQ$100*EXP(-(LN(2)/$D$65+0.04)*(VLOOKUP(($F$16-$F$15)-1,AK$99:AO231,4,FALSE)))*EXP(-(LN(2)/$D$65+0.1)*(VLOOKUP(($F$16-$F$15)-1,AK$99:AO231,5,FALSE)))*EXP(-(LN(2)/$D$65+0.04)*AN231)*EXP(-(LN(2)/$D$65+0.1)*AO231),IF(AL231=3,AQ$100*EXP(-(LN(2)/$D$65+0.04)*(VLOOKUP(($F$16-$F$15)-1,AK$99:AO231,4,FALSE)))*EXP(-(LN(2)/$D$65+0.1)*(VLOOKUP(($F$16-$F$15)-1,AK$99:AO231,5,FALSE)))*EXP(-(LN(2)/$D$65+0.04)*(VLOOKUP(($F$16-$F$15)*2-1,AK$99:AO231,4,FALSE)))*EXP(-(LN(2)/$D$65+0.1)*(VLOOKUP(($F$16-$F$15)*2-1,AK$99:AO231,5,FALSE)))*EXP(-(LN(2)/$D$65+0.04)*AN231)*EXP(-(LN(2)/$D$65+0.1)*AO231),"-"))),"-")</f>
        <v>-</v>
      </c>
      <c r="AR232" s="271" t="str">
        <f>IFERROR(IF(AL232=1,AR$100*EXP(-(LN(2)/$D$65+0.04)*AN232)*EXP(-(LN(2)/$D$65+0.1)*AO232),IF(AL232=2,AR$100*EXP(-(LN(2)/$D$65+0.04)*(VLOOKUP(($F$16-$F$15)-1,AK$100:AO232,4,FALSE)))*EXP(-(LN(2)/$D$65+0.1)*(VLOOKUP(($F$16-$F$15)-1,AK$100:AO232,5,FALSE)))*EXP(-(LN(2)/$D$65+0.04)*AN232)*EXP(-(LN(2)/$D$65+0.1)*AO232),IF(AL232=3,AR$100*EXP(-(LN(2)/$D$65+0.04)*(VLOOKUP(($F$16-$F$15)-1,AK$100:AO232,4,FALSE)))*EXP(-(LN(2)/$D$65+0.1)*(VLOOKUP(($F$16-$F$15)-1,AK$100:AO232,5,FALSE)))*EXP(-(LN(2)/$D$65+0.04)*(VLOOKUP(($F$16-$F$15)*2-1,AK$100:AO232,4,FALSE)))*EXP(-(LN(2)/$D$65+0.1)*(VLOOKUP(($F$16-$F$15)*2-1,AK$100:AO232,5,FALSE)))*EXP(-(LN(2)/$D$65+0.04)*AN232)*EXP(-(LN(2)/$D$65+0.1)*AO232),"-"))),"-")</f>
        <v>-</v>
      </c>
      <c r="AS232" s="274">
        <f t="shared" si="224"/>
        <v>0</v>
      </c>
      <c r="AT232" s="274">
        <f t="shared" si="225"/>
        <v>0</v>
      </c>
      <c r="AU232" s="274">
        <f t="shared" si="226"/>
        <v>0</v>
      </c>
      <c r="AV232" s="190">
        <f>IF($B232&lt;$F$22,SUM($T$100:$T232),"")</f>
        <v>0</v>
      </c>
      <c r="AW232" s="190" t="str">
        <f t="shared" si="227"/>
        <v>-</v>
      </c>
      <c r="AX232" s="190" t="str">
        <f t="shared" si="252"/>
        <v/>
      </c>
      <c r="AY232"/>
      <c r="AZ232" s="190" t="str">
        <f ca="1">IF(ISNUMBER(OFFSET(AV232,-$F$21,0)),SUM(OFFSET($T$100,$F$21,0):$T232),"")</f>
        <v/>
      </c>
      <c r="BA232" s="190" t="str">
        <f t="shared" ca="1" si="228"/>
        <v/>
      </c>
      <c r="BB232" s="190" t="str">
        <f t="shared" ca="1" si="164"/>
        <v/>
      </c>
      <c r="BC232" s="190"/>
      <c r="BD232" s="190" t="str">
        <f ca="1">IFERROR(IF(AND($B232&gt;=($F$16-$F$15),$B232&lt;$F$22+($F$16-$F$15)),SUM(OFFSET($T$100,($F$16-$F$15),0):$T232),""),"")</f>
        <v/>
      </c>
      <c r="BE232" s="190" t="str">
        <f t="shared" ca="1" si="253"/>
        <v/>
      </c>
      <c r="BF232" s="190" t="str">
        <f t="shared" ca="1" si="254"/>
        <v/>
      </c>
      <c r="BG232"/>
      <c r="BH232" s="190" t="str">
        <f ca="1">IF(ISNUMBER(OFFSET(BD232,-$F$21,0)),SUM(OFFSET($T$100,($F$16-$F$15+$F$21),0):$T232),"")</f>
        <v/>
      </c>
      <c r="BI232" s="190" t="str">
        <f t="shared" ca="1" si="229"/>
        <v/>
      </c>
      <c r="BJ232" s="190" t="str">
        <f t="shared" ca="1" si="255"/>
        <v/>
      </c>
      <c r="BK232" s="190"/>
      <c r="BL232" s="190" t="str">
        <f ca="1">IFERROR(IF(AND($B232&gt;=($F$17-$F$15),$B232&lt;$F$22+($F$17-$F$15)),SUM(OFFSET($T$100,($F$17-$F$15),0):$T232),""),"")</f>
        <v/>
      </c>
      <c r="BM232" s="190" t="str">
        <f t="shared" ca="1" si="230"/>
        <v/>
      </c>
      <c r="BN232" s="190" t="str">
        <f t="shared" ca="1" si="256"/>
        <v/>
      </c>
      <c r="BO232"/>
      <c r="BP232" s="190" t="str">
        <f ca="1">IF(ISNUMBER(OFFSET(BL232,-$F$21,0)),SUM(OFFSET($T$100,($F$17-$F$15+$F$21),0):$T232),"")</f>
        <v/>
      </c>
      <c r="BQ232" s="190" t="str">
        <f t="shared" ca="1" si="231"/>
        <v/>
      </c>
      <c r="BR232" s="190" t="str">
        <f t="shared" ca="1" si="257"/>
        <v/>
      </c>
      <c r="BS232" s="190"/>
      <c r="BT232"/>
      <c r="BU232"/>
      <c r="BV232"/>
      <c r="BY232" s="99"/>
      <c r="BZ232" s="99"/>
      <c r="CA232" s="280" t="str">
        <f t="shared" si="232"/>
        <v/>
      </c>
      <c r="CB232" s="71" t="str">
        <f t="shared" si="233"/>
        <v>-</v>
      </c>
      <c r="CC232" s="33"/>
      <c r="CD232" s="261" t="str">
        <f t="shared" si="234"/>
        <v/>
      </c>
      <c r="CE232" s="280" t="str">
        <f t="shared" si="235"/>
        <v>-</v>
      </c>
      <c r="CF232" s="71" t="str">
        <f t="shared" ca="1" si="236"/>
        <v>-</v>
      </c>
      <c r="CG232" s="33" t="str">
        <f t="shared" si="237"/>
        <v>132-133</v>
      </c>
      <c r="CH232" s="261" t="str">
        <f t="shared" ca="1" si="238"/>
        <v/>
      </c>
      <c r="CP232" s="99"/>
      <c r="CQ232" s="99"/>
    </row>
    <row r="233" spans="2:95" ht="13.5" customHeight="1" x14ac:dyDescent="0.2">
      <c r="B233" s="262">
        <v>133</v>
      </c>
      <c r="C233" s="237" t="str">
        <f t="shared" si="201"/>
        <v/>
      </c>
      <c r="D233" s="237" t="str">
        <f t="shared" si="239"/>
        <v>-</v>
      </c>
      <c r="E233" s="263" t="str">
        <f t="shared" si="240"/>
        <v/>
      </c>
      <c r="F233" s="264" t="str">
        <f t="shared" si="241"/>
        <v/>
      </c>
      <c r="G233" s="264" t="str">
        <f t="shared" si="242"/>
        <v/>
      </c>
      <c r="H233" s="240" t="str">
        <f t="shared" si="202"/>
        <v/>
      </c>
      <c r="I233" s="265" t="str">
        <f t="shared" si="203"/>
        <v/>
      </c>
      <c r="J233" s="265" t="str">
        <f t="shared" si="204"/>
        <v/>
      </c>
      <c r="K233" s="240" t="str">
        <f t="shared" si="205"/>
        <v/>
      </c>
      <c r="L233" s="265" t="str">
        <f t="shared" si="206"/>
        <v/>
      </c>
      <c r="M233" s="265" t="str">
        <f t="shared" si="207"/>
        <v/>
      </c>
      <c r="N233" s="240" t="str">
        <f t="shared" si="208"/>
        <v>-</v>
      </c>
      <c r="O233" s="265" t="str">
        <f t="shared" si="209"/>
        <v>-</v>
      </c>
      <c r="P233" s="265" t="str">
        <f t="shared" si="210"/>
        <v>-</v>
      </c>
      <c r="Q233" s="266" t="str">
        <f t="shared" si="211"/>
        <v>-</v>
      </c>
      <c r="R233" s="267" t="str">
        <f t="shared" si="212"/>
        <v>-</v>
      </c>
      <c r="S233" s="268" t="str">
        <f t="shared" si="213"/>
        <v>-</v>
      </c>
      <c r="T233" s="269" t="str">
        <f t="shared" si="214"/>
        <v/>
      </c>
      <c r="U233" s="221">
        <f t="shared" si="215"/>
        <v>133</v>
      </c>
      <c r="V233" s="220" t="str">
        <f t="shared" si="216"/>
        <v>-</v>
      </c>
      <c r="W233" s="221" t="str">
        <f t="shared" si="243"/>
        <v>-</v>
      </c>
      <c r="X233" s="221" t="str">
        <f t="shared" si="217"/>
        <v>-</v>
      </c>
      <c r="Y233" s="221" t="str">
        <f t="shared" si="218"/>
        <v>-</v>
      </c>
      <c r="Z233" s="270">
        <f t="shared" si="244"/>
        <v>0.1</v>
      </c>
      <c r="AA233" s="271" t="str">
        <f>IFERROR(IF(V232=1,AA$100*EXP(-(LN(2)/$D$65+0.04)*X232)*EXP(-(LN(2)/$D$65+0.1)*Y232),IF(V232=2,AA$100*EXP(-(LN(2)/$D$65+0.04)*(VLOOKUP(($F$16-$F$15)-1,U$99:Y232,4,FALSE)))*EXP(-(LN(2)/$D$65+0.1)*(VLOOKUP(($F$16-$F$15)-1,U$99:Y232,5,FALSE)))*EXP(-(LN(2)/$D$65+0.04)*X232)*EXP(-(LN(2)/$D$65+0.1)*Y232),IF(V232=3,AA$100*EXP(-(LN(2)/$D$65+0.04)*(VLOOKUP(($F$16-$F$15)-1,U$99:Y232,4,FALSE)))*EXP(-(LN(2)/$D$65+0.1)*(VLOOKUP(($F$16-$F$15)-1,U$99:Y232,5,FALSE)))*EXP(-(LN(2)/$D$65+0.04)*(VLOOKUP(($F$16-$F$15)*2-1,U$99:Y232,4,FALSE)))*EXP(-(LN(2)/$D$65+0.1)*(VLOOKUP(($F$16-$F$15)*2-1,U$99:Y232,5,FALSE)))*EXP(-(LN(2)/$D$65+0.04)*X232)*EXP(-(LN(2)/$D$65+0.1)*Y232),"-"))),"-")</f>
        <v>-</v>
      </c>
      <c r="AB233" s="271" t="str">
        <f>IFERROR(IF(V233=1,AB$100*EXP(-(LN(2)/$D$65+0.04)*X233)*EXP(-(LN(2)/$D$65+0.1)*Y233),IF(V233=2,AB$100*EXP(-(LN(2)/$D$65+0.04)*(VLOOKUP(($F$16-$F$15)-1,U$100:Y233,4,FALSE)))*EXP(-(LN(2)/$D$65+0.1)*(VLOOKUP(($F$16-$F$15)-1,U$100:Y233,5,FALSE)))*EXP(-(LN(2)/$D$65+0.04)*X233)*EXP(-(LN(2)/$D$65+0.1)*Y233),IF(V233=3,AB$100*EXP(-(LN(2)/$D$65+0.04)*(VLOOKUP(($F$16-$F$15)-1,U$100:Y233,4,FALSE)))*EXP(-(LN(2)/$D$65+0.1)*(VLOOKUP(($F$16-$F$15)-1,U$100:Y233,5,FALSE)))*EXP(-(LN(2)/$D$65+0.04)*(VLOOKUP(($F$16-$F$15)*2-1,U$100:Y233,4,FALSE)))*EXP(-(LN(2)/$D$65+0.1)*(VLOOKUP(($F$16-$F$15)*2-1,U$100:Y233,5,FALSE)))*EXP(-(LN(2)/$D$65+0.04)*X233)*EXP(-(LN(2)/$D$65+0.1)*Y233),"-"))),"-")</f>
        <v>-</v>
      </c>
      <c r="AC233" s="224">
        <f t="shared" si="245"/>
        <v>133</v>
      </c>
      <c r="AD233" s="223" t="str">
        <f t="shared" si="219"/>
        <v>-</v>
      </c>
      <c r="AE233" s="224" t="str">
        <f t="shared" si="246"/>
        <v>-</v>
      </c>
      <c r="AF233" s="224" t="str">
        <f t="shared" si="220"/>
        <v>-</v>
      </c>
      <c r="AG233" s="224" t="str">
        <f t="shared" si="221"/>
        <v>-</v>
      </c>
      <c r="AH233" s="272">
        <f t="shared" si="247"/>
        <v>0.1</v>
      </c>
      <c r="AI233" s="271" t="str">
        <f>IFERROR(IF(AD232=1,AI$100*EXP(-(LN(2)/$D$65+0.04)*AF232)*EXP(-(LN(2)/$D$65+0.1)*AG232),IF(AD232=2,AI$100*EXP(-(LN(2)/$D$65+0.04)*(VLOOKUP(($F$16-$F$15)-1,AC$99:AG232,4,FALSE)))*EXP(-(LN(2)/$D$65+0.1)*(VLOOKUP(($F$16-$F$15)-1,AC$99:AG232,5,FALSE)))*EXP(-(LN(2)/$D$65+0.04)*AF232)*EXP(-(LN(2)/$D$65+0.1)*AG232),IF(AD232=3,AI$100*EXP(-(LN(2)/$D$65+0.04)*(VLOOKUP(($F$16-$F$15)-1,AC$99:AG232,4,FALSE)))*EXP(-(LN(2)/$D$65+0.1)*(VLOOKUP(($F$16-$F$15)-1,AC$99:AG232,5,FALSE)))*EXP(-(LN(2)/$D$65+0.04)*(VLOOKUP(($F$16-$F$15)*2-1,AC$99:AG232,4,FALSE)))*EXP(-(LN(2)/$D$65+0.1)*(VLOOKUP(($F$16-$F$15)*2-1,AC$99:AG232,5,FALSE)))*EXP(-(LN(2)/$D$65+0.04)*AF232)*EXP(-(LN(2)/$D$65+0.1)*AG232),"-"))),"-")</f>
        <v>-</v>
      </c>
      <c r="AJ233" s="271" t="str">
        <f>IFERROR(IF(AD233=1,AJ$100*EXP(-(LN(2)/$D$65+0.04)*AF233)*EXP(-(LN(2)/$D$65+0.1)*AG233),IF(AD233=2,AJ$100*EXP(-(LN(2)/$D$65+0.04)*(VLOOKUP(($F$16-$F$15)-1,AC$100:AG233,4,FALSE)))*EXP(-(LN(2)/$D$65+0.1)*(VLOOKUP(($F$16-$F$15)-1,AC$100:AG233,5,FALSE)))*EXP(-(LN(2)/$D$65+0.04)*AF233)*EXP(-(LN(2)/$D$65+0.1)*AG233),IF(AD233=3,AJ$100*EXP(-(LN(2)/$D$65+0.04)*(VLOOKUP(($F$16-$F$15)-1,AC$100:AG233,4,FALSE)))*EXP(-(LN(2)/$D$65+0.1)*(VLOOKUP(($F$16-$F$15)-1,AC$100:AG233,5,FALSE)))*EXP(-(LN(2)/$D$65+0.04)*(VLOOKUP(($F$16-$F$15)*2-1,AC$100:AG233,4,FALSE)))*EXP(-(LN(2)/$D$65+0.1)*(VLOOKUP(($F$16-$F$15)*2-1,AC$100:AG233,5,FALSE)))*EXP(-(LN(2)/$D$65+0.04)*AF233)*EXP(-(LN(2)/$D$65+0.1)*AG233),"-"))),"-")</f>
        <v>-</v>
      </c>
      <c r="AK233" s="227">
        <f t="shared" si="248"/>
        <v>133</v>
      </c>
      <c r="AL233" s="226" t="str">
        <f t="shared" si="222"/>
        <v>-</v>
      </c>
      <c r="AM233" s="227" t="str">
        <f t="shared" si="249"/>
        <v>-</v>
      </c>
      <c r="AN233" s="227" t="str">
        <f t="shared" si="250"/>
        <v>-</v>
      </c>
      <c r="AO233" s="227" t="str">
        <f t="shared" si="223"/>
        <v>-</v>
      </c>
      <c r="AP233" s="273">
        <f t="shared" si="251"/>
        <v>0.1</v>
      </c>
      <c r="AQ233" s="271" t="str">
        <f>IFERROR(IF(AL232=1,AQ$100*EXP(-(LN(2)/$D$65+0.04)*AN232)*EXP(-(LN(2)/$D$65+0.1)*AO232),IF(AL232=2,AQ$100*EXP(-(LN(2)/$D$65+0.04)*(VLOOKUP(($F$16-$F$15)-1,AK$99:AO232,4,FALSE)))*EXP(-(LN(2)/$D$65+0.1)*(VLOOKUP(($F$16-$F$15)-1,AK$99:AO232,5,FALSE)))*EXP(-(LN(2)/$D$65+0.04)*AN232)*EXP(-(LN(2)/$D$65+0.1)*AO232),IF(AL232=3,AQ$100*EXP(-(LN(2)/$D$65+0.04)*(VLOOKUP(($F$16-$F$15)-1,AK$99:AO232,4,FALSE)))*EXP(-(LN(2)/$D$65+0.1)*(VLOOKUP(($F$16-$F$15)-1,AK$99:AO232,5,FALSE)))*EXP(-(LN(2)/$D$65+0.04)*(VLOOKUP(($F$16-$F$15)*2-1,AK$99:AO232,4,FALSE)))*EXP(-(LN(2)/$D$65+0.1)*(VLOOKUP(($F$16-$F$15)*2-1,AK$99:AO232,5,FALSE)))*EXP(-(LN(2)/$D$65+0.04)*AN232)*EXP(-(LN(2)/$D$65+0.1)*AO232),"-"))),"-")</f>
        <v>-</v>
      </c>
      <c r="AR233" s="271" t="str">
        <f>IFERROR(IF(AL233=1,AR$100*EXP(-(LN(2)/$D$65+0.04)*AN233)*EXP(-(LN(2)/$D$65+0.1)*AO233),IF(AL233=2,AR$100*EXP(-(LN(2)/$D$65+0.04)*(VLOOKUP(($F$16-$F$15)-1,AK$100:AO233,4,FALSE)))*EXP(-(LN(2)/$D$65+0.1)*(VLOOKUP(($F$16-$F$15)-1,AK$100:AO233,5,FALSE)))*EXP(-(LN(2)/$D$65+0.04)*AN233)*EXP(-(LN(2)/$D$65+0.1)*AO233),IF(AL233=3,AR$100*EXP(-(LN(2)/$D$65+0.04)*(VLOOKUP(($F$16-$F$15)-1,AK$100:AO233,4,FALSE)))*EXP(-(LN(2)/$D$65+0.1)*(VLOOKUP(($F$16-$F$15)-1,AK$100:AO233,5,FALSE)))*EXP(-(LN(2)/$D$65+0.04)*(VLOOKUP(($F$16-$F$15)*2-1,AK$100:AO233,4,FALSE)))*EXP(-(LN(2)/$D$65+0.1)*(VLOOKUP(($F$16-$F$15)*2-1,AK$100:AO233,5,FALSE)))*EXP(-(LN(2)/$D$65+0.04)*AN233)*EXP(-(LN(2)/$D$65+0.1)*AO233),"-"))),"-")</f>
        <v>-</v>
      </c>
      <c r="AS233" s="274">
        <f t="shared" si="224"/>
        <v>0</v>
      </c>
      <c r="AT233" s="274">
        <f t="shared" si="225"/>
        <v>0</v>
      </c>
      <c r="AU233" s="274">
        <f t="shared" si="226"/>
        <v>0</v>
      </c>
      <c r="AV233" s="190">
        <f>IF($B233&lt;$F$22,SUM($T$100:$T233),"")</f>
        <v>0</v>
      </c>
      <c r="AW233" s="190" t="str">
        <f t="shared" si="227"/>
        <v>-</v>
      </c>
      <c r="AX233" s="190" t="str">
        <f t="shared" si="252"/>
        <v/>
      </c>
      <c r="AY233"/>
      <c r="AZ233" s="190" t="str">
        <f ca="1">IF(ISNUMBER(OFFSET(AV233,-$F$21,0)),SUM(OFFSET($T$100,$F$21,0):$T233),"")</f>
        <v/>
      </c>
      <c r="BA233" s="190" t="str">
        <f t="shared" ca="1" si="228"/>
        <v/>
      </c>
      <c r="BB233" s="190" t="str">
        <f t="shared" ca="1" si="164"/>
        <v/>
      </c>
      <c r="BC233" s="190"/>
      <c r="BD233" s="190" t="str">
        <f ca="1">IFERROR(IF(AND($B233&gt;=($F$16-$F$15),$B233&lt;$F$22+($F$16-$F$15)),SUM(OFFSET($T$100,($F$16-$F$15),0):$T233),""),"")</f>
        <v/>
      </c>
      <c r="BE233" s="190" t="str">
        <f t="shared" ca="1" si="253"/>
        <v/>
      </c>
      <c r="BF233" s="190" t="str">
        <f t="shared" ca="1" si="254"/>
        <v/>
      </c>
      <c r="BG233"/>
      <c r="BH233" s="190" t="str">
        <f ca="1">IF(ISNUMBER(OFFSET(BD233,-$F$21,0)),SUM(OFFSET($T$100,($F$16-$F$15+$F$21),0):$T233),"")</f>
        <v/>
      </c>
      <c r="BI233" s="190" t="str">
        <f t="shared" ca="1" si="229"/>
        <v/>
      </c>
      <c r="BJ233" s="190" t="str">
        <f t="shared" ca="1" si="255"/>
        <v/>
      </c>
      <c r="BK233" s="190"/>
      <c r="BL233" s="190" t="str">
        <f ca="1">IFERROR(IF(AND($B233&gt;=($F$17-$F$15),$B233&lt;$F$22+($F$17-$F$15)),SUM(OFFSET($T$100,($F$17-$F$15),0):$T233),""),"")</f>
        <v/>
      </c>
      <c r="BM233" s="190" t="str">
        <f t="shared" ca="1" si="230"/>
        <v/>
      </c>
      <c r="BN233" s="190" t="str">
        <f t="shared" ca="1" si="256"/>
        <v/>
      </c>
      <c r="BO233"/>
      <c r="BP233" s="190" t="str">
        <f ca="1">IF(ISNUMBER(OFFSET(BL233,-$F$21,0)),SUM(OFFSET($T$100,($F$17-$F$15+$F$21),0):$T233),"")</f>
        <v/>
      </c>
      <c r="BQ233" s="190" t="str">
        <f t="shared" ca="1" si="231"/>
        <v/>
      </c>
      <c r="BR233" s="190" t="str">
        <f t="shared" ca="1" si="257"/>
        <v/>
      </c>
      <c r="BS233" s="190"/>
      <c r="BT233"/>
      <c r="BU233"/>
      <c r="BV233"/>
      <c r="BY233" s="99"/>
      <c r="BZ233" s="99"/>
      <c r="CA233" s="280" t="str">
        <f t="shared" si="232"/>
        <v/>
      </c>
      <c r="CB233" s="71" t="str">
        <f t="shared" si="233"/>
        <v>-</v>
      </c>
      <c r="CC233" s="33"/>
      <c r="CD233" s="261" t="str">
        <f t="shared" si="234"/>
        <v/>
      </c>
      <c r="CE233" s="280" t="str">
        <f t="shared" si="235"/>
        <v>-</v>
      </c>
      <c r="CF233" s="71" t="str">
        <f t="shared" ca="1" si="236"/>
        <v>-</v>
      </c>
      <c r="CG233" s="33" t="str">
        <f t="shared" si="237"/>
        <v>133-134</v>
      </c>
      <c r="CH233" s="261" t="str">
        <f t="shared" ca="1" si="238"/>
        <v/>
      </c>
      <c r="CP233" s="99"/>
      <c r="CQ233" s="99"/>
    </row>
    <row r="234" spans="2:95" ht="13.5" customHeight="1" x14ac:dyDescent="0.2">
      <c r="B234" s="262">
        <v>134</v>
      </c>
      <c r="C234" s="237" t="str">
        <f t="shared" si="201"/>
        <v/>
      </c>
      <c r="D234" s="237" t="str">
        <f t="shared" si="239"/>
        <v>-</v>
      </c>
      <c r="E234" s="263" t="str">
        <f t="shared" si="240"/>
        <v/>
      </c>
      <c r="F234" s="264" t="str">
        <f t="shared" si="241"/>
        <v/>
      </c>
      <c r="G234" s="264" t="str">
        <f t="shared" si="242"/>
        <v/>
      </c>
      <c r="H234" s="240" t="str">
        <f t="shared" si="202"/>
        <v/>
      </c>
      <c r="I234" s="265" t="str">
        <f t="shared" si="203"/>
        <v/>
      </c>
      <c r="J234" s="265" t="str">
        <f t="shared" si="204"/>
        <v/>
      </c>
      <c r="K234" s="240" t="str">
        <f t="shared" si="205"/>
        <v/>
      </c>
      <c r="L234" s="265" t="str">
        <f t="shared" si="206"/>
        <v/>
      </c>
      <c r="M234" s="265" t="str">
        <f t="shared" si="207"/>
        <v/>
      </c>
      <c r="N234" s="240" t="str">
        <f t="shared" si="208"/>
        <v>-</v>
      </c>
      <c r="O234" s="265" t="str">
        <f t="shared" si="209"/>
        <v>-</v>
      </c>
      <c r="P234" s="265" t="str">
        <f t="shared" si="210"/>
        <v>-</v>
      </c>
      <c r="Q234" s="266" t="str">
        <f t="shared" si="211"/>
        <v>-</v>
      </c>
      <c r="R234" s="267" t="str">
        <f t="shared" si="212"/>
        <v>-</v>
      </c>
      <c r="S234" s="268" t="str">
        <f t="shared" si="213"/>
        <v>-</v>
      </c>
      <c r="T234" s="269" t="str">
        <f t="shared" si="214"/>
        <v/>
      </c>
      <c r="U234" s="221">
        <f t="shared" si="215"/>
        <v>134</v>
      </c>
      <c r="V234" s="220" t="str">
        <f t="shared" si="216"/>
        <v>-</v>
      </c>
      <c r="W234" s="221" t="str">
        <f t="shared" si="243"/>
        <v>-</v>
      </c>
      <c r="X234" s="221" t="str">
        <f t="shared" si="217"/>
        <v>-</v>
      </c>
      <c r="Y234" s="221" t="str">
        <f t="shared" si="218"/>
        <v>-</v>
      </c>
      <c r="Z234" s="270">
        <f t="shared" si="244"/>
        <v>0.1</v>
      </c>
      <c r="AA234" s="271" t="str">
        <f>IFERROR(IF(V233=1,AA$100*EXP(-(LN(2)/$D$65+0.04)*X233)*EXP(-(LN(2)/$D$65+0.1)*Y233),IF(V233=2,AA$100*EXP(-(LN(2)/$D$65+0.04)*(VLOOKUP(($F$16-$F$15)-1,U$99:Y233,4,FALSE)))*EXP(-(LN(2)/$D$65+0.1)*(VLOOKUP(($F$16-$F$15)-1,U$99:Y233,5,FALSE)))*EXP(-(LN(2)/$D$65+0.04)*X233)*EXP(-(LN(2)/$D$65+0.1)*Y233),IF(V233=3,AA$100*EXP(-(LN(2)/$D$65+0.04)*(VLOOKUP(($F$16-$F$15)-1,U$99:Y233,4,FALSE)))*EXP(-(LN(2)/$D$65+0.1)*(VLOOKUP(($F$16-$F$15)-1,U$99:Y233,5,FALSE)))*EXP(-(LN(2)/$D$65+0.04)*(VLOOKUP(($F$16-$F$15)*2-1,U$99:Y233,4,FALSE)))*EXP(-(LN(2)/$D$65+0.1)*(VLOOKUP(($F$16-$F$15)*2-1,U$99:Y233,5,FALSE)))*EXP(-(LN(2)/$D$65+0.04)*X233)*EXP(-(LN(2)/$D$65+0.1)*Y233),"-"))),"-")</f>
        <v>-</v>
      </c>
      <c r="AB234" s="271" t="str">
        <f>IFERROR(IF(V234=1,AB$100*EXP(-(LN(2)/$D$65+0.04)*X234)*EXP(-(LN(2)/$D$65+0.1)*Y234),IF(V234=2,AB$100*EXP(-(LN(2)/$D$65+0.04)*(VLOOKUP(($F$16-$F$15)-1,U$100:Y234,4,FALSE)))*EXP(-(LN(2)/$D$65+0.1)*(VLOOKUP(($F$16-$F$15)-1,U$100:Y234,5,FALSE)))*EXP(-(LN(2)/$D$65+0.04)*X234)*EXP(-(LN(2)/$D$65+0.1)*Y234),IF(V234=3,AB$100*EXP(-(LN(2)/$D$65+0.04)*(VLOOKUP(($F$16-$F$15)-1,U$100:Y234,4,FALSE)))*EXP(-(LN(2)/$D$65+0.1)*(VLOOKUP(($F$16-$F$15)-1,U$100:Y234,5,FALSE)))*EXP(-(LN(2)/$D$65+0.04)*(VLOOKUP(($F$16-$F$15)*2-1,U$100:Y234,4,FALSE)))*EXP(-(LN(2)/$D$65+0.1)*(VLOOKUP(($F$16-$F$15)*2-1,U$100:Y234,5,FALSE)))*EXP(-(LN(2)/$D$65+0.04)*X234)*EXP(-(LN(2)/$D$65+0.1)*Y234),"-"))),"-")</f>
        <v>-</v>
      </c>
      <c r="AC234" s="224">
        <f t="shared" si="245"/>
        <v>134</v>
      </c>
      <c r="AD234" s="223" t="str">
        <f t="shared" si="219"/>
        <v>-</v>
      </c>
      <c r="AE234" s="224" t="str">
        <f t="shared" si="246"/>
        <v>-</v>
      </c>
      <c r="AF234" s="224" t="str">
        <f t="shared" si="220"/>
        <v>-</v>
      </c>
      <c r="AG234" s="224" t="str">
        <f t="shared" si="221"/>
        <v>-</v>
      </c>
      <c r="AH234" s="272">
        <f t="shared" si="247"/>
        <v>0.1</v>
      </c>
      <c r="AI234" s="271" t="str">
        <f>IFERROR(IF(AD233=1,AI$100*EXP(-(LN(2)/$D$65+0.04)*AF233)*EXP(-(LN(2)/$D$65+0.1)*AG233),IF(AD233=2,AI$100*EXP(-(LN(2)/$D$65+0.04)*(VLOOKUP(($F$16-$F$15)-1,AC$99:AG233,4,FALSE)))*EXP(-(LN(2)/$D$65+0.1)*(VLOOKUP(($F$16-$F$15)-1,AC$99:AG233,5,FALSE)))*EXP(-(LN(2)/$D$65+0.04)*AF233)*EXP(-(LN(2)/$D$65+0.1)*AG233),IF(AD233=3,AI$100*EXP(-(LN(2)/$D$65+0.04)*(VLOOKUP(($F$16-$F$15)-1,AC$99:AG233,4,FALSE)))*EXP(-(LN(2)/$D$65+0.1)*(VLOOKUP(($F$16-$F$15)-1,AC$99:AG233,5,FALSE)))*EXP(-(LN(2)/$D$65+0.04)*(VLOOKUP(($F$16-$F$15)*2-1,AC$99:AG233,4,FALSE)))*EXP(-(LN(2)/$D$65+0.1)*(VLOOKUP(($F$16-$F$15)*2-1,AC$99:AG233,5,FALSE)))*EXP(-(LN(2)/$D$65+0.04)*AF233)*EXP(-(LN(2)/$D$65+0.1)*AG233),"-"))),"-")</f>
        <v>-</v>
      </c>
      <c r="AJ234" s="271" t="str">
        <f>IFERROR(IF(AD234=1,AJ$100*EXP(-(LN(2)/$D$65+0.04)*AF234)*EXP(-(LN(2)/$D$65+0.1)*AG234),IF(AD234=2,AJ$100*EXP(-(LN(2)/$D$65+0.04)*(VLOOKUP(($F$16-$F$15)-1,AC$100:AG234,4,FALSE)))*EXP(-(LN(2)/$D$65+0.1)*(VLOOKUP(($F$16-$F$15)-1,AC$100:AG234,5,FALSE)))*EXP(-(LN(2)/$D$65+0.04)*AF234)*EXP(-(LN(2)/$D$65+0.1)*AG234),IF(AD234=3,AJ$100*EXP(-(LN(2)/$D$65+0.04)*(VLOOKUP(($F$16-$F$15)-1,AC$100:AG234,4,FALSE)))*EXP(-(LN(2)/$D$65+0.1)*(VLOOKUP(($F$16-$F$15)-1,AC$100:AG234,5,FALSE)))*EXP(-(LN(2)/$D$65+0.04)*(VLOOKUP(($F$16-$F$15)*2-1,AC$100:AG234,4,FALSE)))*EXP(-(LN(2)/$D$65+0.1)*(VLOOKUP(($F$16-$F$15)*2-1,AC$100:AG234,5,FALSE)))*EXP(-(LN(2)/$D$65+0.04)*AF234)*EXP(-(LN(2)/$D$65+0.1)*AG234),"-"))),"-")</f>
        <v>-</v>
      </c>
      <c r="AK234" s="227">
        <f t="shared" si="248"/>
        <v>134</v>
      </c>
      <c r="AL234" s="226" t="str">
        <f t="shared" si="222"/>
        <v>-</v>
      </c>
      <c r="AM234" s="227" t="str">
        <f t="shared" si="249"/>
        <v>-</v>
      </c>
      <c r="AN234" s="227" t="str">
        <f t="shared" si="250"/>
        <v>-</v>
      </c>
      <c r="AO234" s="227" t="str">
        <f t="shared" si="223"/>
        <v>-</v>
      </c>
      <c r="AP234" s="273">
        <f t="shared" si="251"/>
        <v>0.1</v>
      </c>
      <c r="AQ234" s="271" t="str">
        <f>IFERROR(IF(AL233=1,AQ$100*EXP(-(LN(2)/$D$65+0.04)*AN233)*EXP(-(LN(2)/$D$65+0.1)*AO233),IF(AL233=2,AQ$100*EXP(-(LN(2)/$D$65+0.04)*(VLOOKUP(($F$16-$F$15)-1,AK$99:AO233,4,FALSE)))*EXP(-(LN(2)/$D$65+0.1)*(VLOOKUP(($F$16-$F$15)-1,AK$99:AO233,5,FALSE)))*EXP(-(LN(2)/$D$65+0.04)*AN233)*EXP(-(LN(2)/$D$65+0.1)*AO233),IF(AL233=3,AQ$100*EXP(-(LN(2)/$D$65+0.04)*(VLOOKUP(($F$16-$F$15)-1,AK$99:AO233,4,FALSE)))*EXP(-(LN(2)/$D$65+0.1)*(VLOOKUP(($F$16-$F$15)-1,AK$99:AO233,5,FALSE)))*EXP(-(LN(2)/$D$65+0.04)*(VLOOKUP(($F$16-$F$15)*2-1,AK$99:AO233,4,FALSE)))*EXP(-(LN(2)/$D$65+0.1)*(VLOOKUP(($F$16-$F$15)*2-1,AK$99:AO233,5,FALSE)))*EXP(-(LN(2)/$D$65+0.04)*AN233)*EXP(-(LN(2)/$D$65+0.1)*AO233),"-"))),"-")</f>
        <v>-</v>
      </c>
      <c r="AR234" s="271" t="str">
        <f>IFERROR(IF(AL234=1,AR$100*EXP(-(LN(2)/$D$65+0.04)*AN234)*EXP(-(LN(2)/$D$65+0.1)*AO234),IF(AL234=2,AR$100*EXP(-(LN(2)/$D$65+0.04)*(VLOOKUP(($F$16-$F$15)-1,AK$100:AO234,4,FALSE)))*EXP(-(LN(2)/$D$65+0.1)*(VLOOKUP(($F$16-$F$15)-1,AK$100:AO234,5,FALSE)))*EXP(-(LN(2)/$D$65+0.04)*AN234)*EXP(-(LN(2)/$D$65+0.1)*AO234),IF(AL234=3,AR$100*EXP(-(LN(2)/$D$65+0.04)*(VLOOKUP(($F$16-$F$15)-1,AK$100:AO234,4,FALSE)))*EXP(-(LN(2)/$D$65+0.1)*(VLOOKUP(($F$16-$F$15)-1,AK$100:AO234,5,FALSE)))*EXP(-(LN(2)/$D$65+0.04)*(VLOOKUP(($F$16-$F$15)*2-1,AK$100:AO234,4,FALSE)))*EXP(-(LN(2)/$D$65+0.1)*(VLOOKUP(($F$16-$F$15)*2-1,AK$100:AO234,5,FALSE)))*EXP(-(LN(2)/$D$65+0.04)*AN234)*EXP(-(LN(2)/$D$65+0.1)*AO234),"-"))),"-")</f>
        <v>-</v>
      </c>
      <c r="AS234" s="274">
        <f t="shared" si="224"/>
        <v>0</v>
      </c>
      <c r="AT234" s="274">
        <f t="shared" si="225"/>
        <v>0</v>
      </c>
      <c r="AU234" s="274">
        <f t="shared" si="226"/>
        <v>0</v>
      </c>
      <c r="AV234" s="190">
        <f>IF($B234&lt;$F$22,SUM($T$100:$T234),"")</f>
        <v>0</v>
      </c>
      <c r="AW234" s="190" t="str">
        <f t="shared" si="227"/>
        <v>-</v>
      </c>
      <c r="AX234" s="190" t="str">
        <f t="shared" si="252"/>
        <v/>
      </c>
      <c r="AY234"/>
      <c r="AZ234" s="190" t="str">
        <f ca="1">IF(ISNUMBER(OFFSET(AV234,-$F$21,0)),SUM(OFFSET($T$100,$F$21,0):$T234),"")</f>
        <v/>
      </c>
      <c r="BA234" s="190" t="str">
        <f t="shared" ca="1" si="228"/>
        <v/>
      </c>
      <c r="BB234" s="190" t="str">
        <f t="shared" ca="1" si="164"/>
        <v/>
      </c>
      <c r="BC234" s="190"/>
      <c r="BD234" s="190" t="str">
        <f ca="1">IFERROR(IF(AND($B234&gt;=($F$16-$F$15),$B234&lt;$F$22+($F$16-$F$15)),SUM(OFFSET($T$100,($F$16-$F$15),0):$T234),""),"")</f>
        <v/>
      </c>
      <c r="BE234" s="190" t="str">
        <f t="shared" ca="1" si="253"/>
        <v/>
      </c>
      <c r="BF234" s="190" t="str">
        <f t="shared" ca="1" si="254"/>
        <v/>
      </c>
      <c r="BG234"/>
      <c r="BH234" s="190" t="str">
        <f ca="1">IF(ISNUMBER(OFFSET(BD234,-$F$21,0)),SUM(OFFSET($T$100,($F$16-$F$15+$F$21),0):$T234),"")</f>
        <v/>
      </c>
      <c r="BI234" s="190" t="str">
        <f t="shared" ca="1" si="229"/>
        <v/>
      </c>
      <c r="BJ234" s="190" t="str">
        <f t="shared" ca="1" si="255"/>
        <v/>
      </c>
      <c r="BK234" s="190"/>
      <c r="BL234" s="190" t="str">
        <f ca="1">IFERROR(IF(AND($B234&gt;=($F$17-$F$15),$B234&lt;$F$22+($F$17-$F$15)),SUM(OFFSET($T$100,($F$17-$F$15),0):$T234),""),"")</f>
        <v/>
      </c>
      <c r="BM234" s="190" t="str">
        <f t="shared" ca="1" si="230"/>
        <v/>
      </c>
      <c r="BN234" s="190" t="str">
        <f t="shared" ca="1" si="256"/>
        <v/>
      </c>
      <c r="BO234"/>
      <c r="BP234" s="190" t="str">
        <f ca="1">IF(ISNUMBER(OFFSET(BL234,-$F$21,0)),SUM(OFFSET($T$100,($F$17-$F$15+$F$21),0):$T234),"")</f>
        <v/>
      </c>
      <c r="BQ234" s="190" t="str">
        <f t="shared" ca="1" si="231"/>
        <v/>
      </c>
      <c r="BR234" s="190" t="str">
        <f t="shared" ca="1" si="257"/>
        <v/>
      </c>
      <c r="BS234" s="190"/>
      <c r="BT234"/>
      <c r="BU234"/>
      <c r="BV234"/>
      <c r="BY234" s="99"/>
      <c r="BZ234" s="99"/>
      <c r="CA234" s="280" t="str">
        <f t="shared" si="232"/>
        <v/>
      </c>
      <c r="CB234" s="71" t="str">
        <f t="shared" si="233"/>
        <v>-</v>
      </c>
      <c r="CC234" s="33"/>
      <c r="CD234" s="261" t="str">
        <f t="shared" si="234"/>
        <v/>
      </c>
      <c r="CE234" s="280" t="str">
        <f t="shared" si="235"/>
        <v>-</v>
      </c>
      <c r="CF234" s="71" t="str">
        <f t="shared" ca="1" si="236"/>
        <v>-</v>
      </c>
      <c r="CG234" s="33" t="str">
        <f t="shared" si="237"/>
        <v>134-135</v>
      </c>
      <c r="CH234" s="261" t="str">
        <f t="shared" ca="1" si="238"/>
        <v/>
      </c>
      <c r="CP234" s="99"/>
      <c r="CQ234" s="99"/>
    </row>
    <row r="235" spans="2:95" ht="13.5" customHeight="1" x14ac:dyDescent="0.2">
      <c r="B235" s="262">
        <v>135</v>
      </c>
      <c r="C235" s="237" t="str">
        <f t="shared" si="201"/>
        <v/>
      </c>
      <c r="D235" s="237" t="str">
        <f t="shared" si="239"/>
        <v>-</v>
      </c>
      <c r="E235" s="263" t="str">
        <f t="shared" si="240"/>
        <v/>
      </c>
      <c r="F235" s="264" t="str">
        <f t="shared" si="241"/>
        <v/>
      </c>
      <c r="G235" s="264" t="str">
        <f t="shared" si="242"/>
        <v/>
      </c>
      <c r="H235" s="240" t="str">
        <f t="shared" si="202"/>
        <v/>
      </c>
      <c r="I235" s="265" t="str">
        <f t="shared" si="203"/>
        <v/>
      </c>
      <c r="J235" s="265" t="str">
        <f t="shared" si="204"/>
        <v/>
      </c>
      <c r="K235" s="240" t="str">
        <f t="shared" si="205"/>
        <v/>
      </c>
      <c r="L235" s="265" t="str">
        <f t="shared" si="206"/>
        <v/>
      </c>
      <c r="M235" s="265" t="str">
        <f t="shared" si="207"/>
        <v/>
      </c>
      <c r="N235" s="240" t="str">
        <f t="shared" si="208"/>
        <v>-</v>
      </c>
      <c r="O235" s="265" t="str">
        <f t="shared" si="209"/>
        <v>-</v>
      </c>
      <c r="P235" s="265" t="str">
        <f t="shared" si="210"/>
        <v>-</v>
      </c>
      <c r="Q235" s="266" t="str">
        <f t="shared" si="211"/>
        <v>-</v>
      </c>
      <c r="R235" s="267" t="str">
        <f t="shared" si="212"/>
        <v>-</v>
      </c>
      <c r="S235" s="268" t="str">
        <f t="shared" si="213"/>
        <v>-</v>
      </c>
      <c r="T235" s="269" t="str">
        <f t="shared" si="214"/>
        <v/>
      </c>
      <c r="U235" s="221">
        <f t="shared" si="215"/>
        <v>135</v>
      </c>
      <c r="V235" s="220" t="str">
        <f t="shared" si="216"/>
        <v>-</v>
      </c>
      <c r="W235" s="221" t="str">
        <f t="shared" si="243"/>
        <v>-</v>
      </c>
      <c r="X235" s="221" t="str">
        <f t="shared" si="217"/>
        <v>-</v>
      </c>
      <c r="Y235" s="221" t="str">
        <f t="shared" si="218"/>
        <v>-</v>
      </c>
      <c r="Z235" s="270">
        <f t="shared" si="244"/>
        <v>0.1</v>
      </c>
      <c r="AA235" s="271" t="str">
        <f>IFERROR(IF(V234=1,AA$100*EXP(-(LN(2)/$D$65+0.04)*X234)*EXP(-(LN(2)/$D$65+0.1)*Y234),IF(V234=2,AA$100*EXP(-(LN(2)/$D$65+0.04)*(VLOOKUP(($F$16-$F$15)-1,U$99:Y234,4,FALSE)))*EXP(-(LN(2)/$D$65+0.1)*(VLOOKUP(($F$16-$F$15)-1,U$99:Y234,5,FALSE)))*EXP(-(LN(2)/$D$65+0.04)*X234)*EXP(-(LN(2)/$D$65+0.1)*Y234),IF(V234=3,AA$100*EXP(-(LN(2)/$D$65+0.04)*(VLOOKUP(($F$16-$F$15)-1,U$99:Y234,4,FALSE)))*EXP(-(LN(2)/$D$65+0.1)*(VLOOKUP(($F$16-$F$15)-1,U$99:Y234,5,FALSE)))*EXP(-(LN(2)/$D$65+0.04)*(VLOOKUP(($F$16-$F$15)*2-1,U$99:Y234,4,FALSE)))*EXP(-(LN(2)/$D$65+0.1)*(VLOOKUP(($F$16-$F$15)*2-1,U$99:Y234,5,FALSE)))*EXP(-(LN(2)/$D$65+0.04)*X234)*EXP(-(LN(2)/$D$65+0.1)*Y234),"-"))),"-")</f>
        <v>-</v>
      </c>
      <c r="AB235" s="271" t="str">
        <f>IFERROR(IF(V235=1,AB$100*EXP(-(LN(2)/$D$65+0.04)*X235)*EXP(-(LN(2)/$D$65+0.1)*Y235),IF(V235=2,AB$100*EXP(-(LN(2)/$D$65+0.04)*(VLOOKUP(($F$16-$F$15)-1,U$100:Y235,4,FALSE)))*EXP(-(LN(2)/$D$65+0.1)*(VLOOKUP(($F$16-$F$15)-1,U$100:Y235,5,FALSE)))*EXP(-(LN(2)/$D$65+0.04)*X235)*EXP(-(LN(2)/$D$65+0.1)*Y235),IF(V235=3,AB$100*EXP(-(LN(2)/$D$65+0.04)*(VLOOKUP(($F$16-$F$15)-1,U$100:Y235,4,FALSE)))*EXP(-(LN(2)/$D$65+0.1)*(VLOOKUP(($F$16-$F$15)-1,U$100:Y235,5,FALSE)))*EXP(-(LN(2)/$D$65+0.04)*(VLOOKUP(($F$16-$F$15)*2-1,U$100:Y235,4,FALSE)))*EXP(-(LN(2)/$D$65+0.1)*(VLOOKUP(($F$16-$F$15)*2-1,U$100:Y235,5,FALSE)))*EXP(-(LN(2)/$D$65+0.04)*X235)*EXP(-(LN(2)/$D$65+0.1)*Y235),"-"))),"-")</f>
        <v>-</v>
      </c>
      <c r="AC235" s="224">
        <f t="shared" si="245"/>
        <v>135</v>
      </c>
      <c r="AD235" s="223" t="str">
        <f t="shared" si="219"/>
        <v>-</v>
      </c>
      <c r="AE235" s="224" t="str">
        <f t="shared" si="246"/>
        <v>-</v>
      </c>
      <c r="AF235" s="224" t="str">
        <f t="shared" si="220"/>
        <v>-</v>
      </c>
      <c r="AG235" s="224" t="str">
        <f t="shared" si="221"/>
        <v>-</v>
      </c>
      <c r="AH235" s="272">
        <f t="shared" si="247"/>
        <v>0.1</v>
      </c>
      <c r="AI235" s="271" t="str">
        <f>IFERROR(IF(AD234=1,AI$100*EXP(-(LN(2)/$D$65+0.04)*AF234)*EXP(-(LN(2)/$D$65+0.1)*AG234),IF(AD234=2,AI$100*EXP(-(LN(2)/$D$65+0.04)*(VLOOKUP(($F$16-$F$15)-1,AC$99:AG234,4,FALSE)))*EXP(-(LN(2)/$D$65+0.1)*(VLOOKUP(($F$16-$F$15)-1,AC$99:AG234,5,FALSE)))*EXP(-(LN(2)/$D$65+0.04)*AF234)*EXP(-(LN(2)/$D$65+0.1)*AG234),IF(AD234=3,AI$100*EXP(-(LN(2)/$D$65+0.04)*(VLOOKUP(($F$16-$F$15)-1,AC$99:AG234,4,FALSE)))*EXP(-(LN(2)/$D$65+0.1)*(VLOOKUP(($F$16-$F$15)-1,AC$99:AG234,5,FALSE)))*EXP(-(LN(2)/$D$65+0.04)*(VLOOKUP(($F$16-$F$15)*2-1,AC$99:AG234,4,FALSE)))*EXP(-(LN(2)/$D$65+0.1)*(VLOOKUP(($F$16-$F$15)*2-1,AC$99:AG234,5,FALSE)))*EXP(-(LN(2)/$D$65+0.04)*AF234)*EXP(-(LN(2)/$D$65+0.1)*AG234),"-"))),"-")</f>
        <v>-</v>
      </c>
      <c r="AJ235" s="271" t="str">
        <f>IFERROR(IF(AD235=1,AJ$100*EXP(-(LN(2)/$D$65+0.04)*AF235)*EXP(-(LN(2)/$D$65+0.1)*AG235),IF(AD235=2,AJ$100*EXP(-(LN(2)/$D$65+0.04)*(VLOOKUP(($F$16-$F$15)-1,AC$100:AG235,4,FALSE)))*EXP(-(LN(2)/$D$65+0.1)*(VLOOKUP(($F$16-$F$15)-1,AC$100:AG235,5,FALSE)))*EXP(-(LN(2)/$D$65+0.04)*AF235)*EXP(-(LN(2)/$D$65+0.1)*AG235),IF(AD235=3,AJ$100*EXP(-(LN(2)/$D$65+0.04)*(VLOOKUP(($F$16-$F$15)-1,AC$100:AG235,4,FALSE)))*EXP(-(LN(2)/$D$65+0.1)*(VLOOKUP(($F$16-$F$15)-1,AC$100:AG235,5,FALSE)))*EXP(-(LN(2)/$D$65+0.04)*(VLOOKUP(($F$16-$F$15)*2-1,AC$100:AG235,4,FALSE)))*EXP(-(LN(2)/$D$65+0.1)*(VLOOKUP(($F$16-$F$15)*2-1,AC$100:AG235,5,FALSE)))*EXP(-(LN(2)/$D$65+0.04)*AF235)*EXP(-(LN(2)/$D$65+0.1)*AG235),"-"))),"-")</f>
        <v>-</v>
      </c>
      <c r="AK235" s="227">
        <f t="shared" si="248"/>
        <v>135</v>
      </c>
      <c r="AL235" s="226" t="str">
        <f t="shared" si="222"/>
        <v>-</v>
      </c>
      <c r="AM235" s="227" t="str">
        <f t="shared" si="249"/>
        <v>-</v>
      </c>
      <c r="AN235" s="227" t="str">
        <f t="shared" si="250"/>
        <v>-</v>
      </c>
      <c r="AO235" s="227" t="str">
        <f t="shared" si="223"/>
        <v>-</v>
      </c>
      <c r="AP235" s="273">
        <f t="shared" si="251"/>
        <v>0.1</v>
      </c>
      <c r="AQ235" s="271" t="str">
        <f>IFERROR(IF(AL234=1,AQ$100*EXP(-(LN(2)/$D$65+0.04)*AN234)*EXP(-(LN(2)/$D$65+0.1)*AO234),IF(AL234=2,AQ$100*EXP(-(LN(2)/$D$65+0.04)*(VLOOKUP(($F$16-$F$15)-1,AK$99:AO234,4,FALSE)))*EXP(-(LN(2)/$D$65+0.1)*(VLOOKUP(($F$16-$F$15)-1,AK$99:AO234,5,FALSE)))*EXP(-(LN(2)/$D$65+0.04)*AN234)*EXP(-(LN(2)/$D$65+0.1)*AO234),IF(AL234=3,AQ$100*EXP(-(LN(2)/$D$65+0.04)*(VLOOKUP(($F$16-$F$15)-1,AK$99:AO234,4,FALSE)))*EXP(-(LN(2)/$D$65+0.1)*(VLOOKUP(($F$16-$F$15)-1,AK$99:AO234,5,FALSE)))*EXP(-(LN(2)/$D$65+0.04)*(VLOOKUP(($F$16-$F$15)*2-1,AK$99:AO234,4,FALSE)))*EXP(-(LN(2)/$D$65+0.1)*(VLOOKUP(($F$16-$F$15)*2-1,AK$99:AO234,5,FALSE)))*EXP(-(LN(2)/$D$65+0.04)*AN234)*EXP(-(LN(2)/$D$65+0.1)*AO234),"-"))),"-")</f>
        <v>-</v>
      </c>
      <c r="AR235" s="271" t="str">
        <f>IFERROR(IF(AL235=1,AR$100*EXP(-(LN(2)/$D$65+0.04)*AN235)*EXP(-(LN(2)/$D$65+0.1)*AO235),IF(AL235=2,AR$100*EXP(-(LN(2)/$D$65+0.04)*(VLOOKUP(($F$16-$F$15)-1,AK$100:AO235,4,FALSE)))*EXP(-(LN(2)/$D$65+0.1)*(VLOOKUP(($F$16-$F$15)-1,AK$100:AO235,5,FALSE)))*EXP(-(LN(2)/$D$65+0.04)*AN235)*EXP(-(LN(2)/$D$65+0.1)*AO235),IF(AL235=3,AR$100*EXP(-(LN(2)/$D$65+0.04)*(VLOOKUP(($F$16-$F$15)-1,AK$100:AO235,4,FALSE)))*EXP(-(LN(2)/$D$65+0.1)*(VLOOKUP(($F$16-$F$15)-1,AK$100:AO235,5,FALSE)))*EXP(-(LN(2)/$D$65+0.04)*(VLOOKUP(($F$16-$F$15)*2-1,AK$100:AO235,4,FALSE)))*EXP(-(LN(2)/$D$65+0.1)*(VLOOKUP(($F$16-$F$15)*2-1,AK$100:AO235,5,FALSE)))*EXP(-(LN(2)/$D$65+0.04)*AN235)*EXP(-(LN(2)/$D$65+0.1)*AO235),"-"))),"-")</f>
        <v>-</v>
      </c>
      <c r="AS235" s="274">
        <f t="shared" si="224"/>
        <v>0</v>
      </c>
      <c r="AT235" s="274">
        <f t="shared" si="225"/>
        <v>0</v>
      </c>
      <c r="AU235" s="274">
        <f t="shared" si="226"/>
        <v>0</v>
      </c>
      <c r="AV235" s="190">
        <f>IF($B235&lt;$F$22,SUM($T$100:$T235),"")</f>
        <v>0</v>
      </c>
      <c r="AW235" s="190" t="str">
        <f t="shared" si="227"/>
        <v>-</v>
      </c>
      <c r="AX235" s="190" t="str">
        <f t="shared" si="252"/>
        <v/>
      </c>
      <c r="AY235"/>
      <c r="AZ235" s="190" t="str">
        <f ca="1">IF(ISNUMBER(OFFSET(AV235,-$F$21,0)),SUM(OFFSET($T$100,$F$21,0):$T235),"")</f>
        <v/>
      </c>
      <c r="BA235" s="190" t="str">
        <f t="shared" ca="1" si="228"/>
        <v/>
      </c>
      <c r="BB235" s="190" t="str">
        <f t="shared" ca="1" si="164"/>
        <v/>
      </c>
      <c r="BC235" s="190"/>
      <c r="BD235" s="190" t="str">
        <f ca="1">IFERROR(IF(AND($B235&gt;=($F$16-$F$15),$B235&lt;$F$22+($F$16-$F$15)),SUM(OFFSET($T$100,($F$16-$F$15),0):$T235),""),"")</f>
        <v/>
      </c>
      <c r="BE235" s="190" t="str">
        <f t="shared" ca="1" si="253"/>
        <v/>
      </c>
      <c r="BF235" s="190" t="str">
        <f t="shared" ca="1" si="254"/>
        <v/>
      </c>
      <c r="BG235"/>
      <c r="BH235" s="190" t="str">
        <f ca="1">IF(ISNUMBER(OFFSET(BD235,-$F$21,0)),SUM(OFFSET($T$100,($F$16-$F$15+$F$21),0):$T235),"")</f>
        <v/>
      </c>
      <c r="BI235" s="190" t="str">
        <f t="shared" ca="1" si="229"/>
        <v/>
      </c>
      <c r="BJ235" s="190" t="str">
        <f t="shared" ca="1" si="255"/>
        <v/>
      </c>
      <c r="BK235" s="190"/>
      <c r="BL235" s="190" t="str">
        <f ca="1">IFERROR(IF(AND($B235&gt;=($F$17-$F$15),$B235&lt;$F$22+($F$17-$F$15)),SUM(OFFSET($T$100,($F$17-$F$15),0):$T235),""),"")</f>
        <v/>
      </c>
      <c r="BM235" s="190" t="str">
        <f t="shared" ca="1" si="230"/>
        <v/>
      </c>
      <c r="BN235" s="190" t="str">
        <f t="shared" ca="1" si="256"/>
        <v/>
      </c>
      <c r="BO235"/>
      <c r="BP235" s="190" t="str">
        <f ca="1">IF(ISNUMBER(OFFSET(BL235,-$F$21,0)),SUM(OFFSET($T$100,($F$17-$F$15+$F$21),0):$T235),"")</f>
        <v/>
      </c>
      <c r="BQ235" s="190" t="str">
        <f t="shared" ca="1" si="231"/>
        <v/>
      </c>
      <c r="BR235" s="190" t="str">
        <f t="shared" ca="1" si="257"/>
        <v/>
      </c>
      <c r="BS235" s="190"/>
      <c r="BT235"/>
      <c r="BU235"/>
      <c r="BV235"/>
      <c r="BY235" s="99"/>
      <c r="BZ235" s="99"/>
      <c r="CA235" s="280" t="str">
        <f t="shared" si="232"/>
        <v/>
      </c>
      <c r="CB235" s="71" t="str">
        <f t="shared" si="233"/>
        <v>-</v>
      </c>
      <c r="CC235" s="33"/>
      <c r="CD235" s="261" t="str">
        <f t="shared" si="234"/>
        <v/>
      </c>
      <c r="CE235" s="280" t="str">
        <f t="shared" si="235"/>
        <v>-</v>
      </c>
      <c r="CF235" s="71" t="str">
        <f t="shared" ca="1" si="236"/>
        <v>-</v>
      </c>
      <c r="CG235" s="33" t="str">
        <f t="shared" si="237"/>
        <v>135-136</v>
      </c>
      <c r="CH235" s="261" t="str">
        <f t="shared" ca="1" si="238"/>
        <v/>
      </c>
      <c r="CP235" s="99"/>
      <c r="CQ235" s="99"/>
    </row>
    <row r="236" spans="2:95" ht="13.5" customHeight="1" x14ac:dyDescent="0.2">
      <c r="B236" s="262">
        <v>136</v>
      </c>
      <c r="C236" s="237" t="str">
        <f t="shared" si="201"/>
        <v/>
      </c>
      <c r="D236" s="237" t="str">
        <f t="shared" si="239"/>
        <v>-</v>
      </c>
      <c r="E236" s="263" t="str">
        <f t="shared" si="240"/>
        <v/>
      </c>
      <c r="F236" s="264" t="str">
        <f t="shared" si="241"/>
        <v/>
      </c>
      <c r="G236" s="264" t="str">
        <f t="shared" si="242"/>
        <v/>
      </c>
      <c r="H236" s="240" t="str">
        <f t="shared" si="202"/>
        <v/>
      </c>
      <c r="I236" s="265" t="str">
        <f t="shared" si="203"/>
        <v/>
      </c>
      <c r="J236" s="265" t="str">
        <f t="shared" si="204"/>
        <v/>
      </c>
      <c r="K236" s="240" t="str">
        <f t="shared" si="205"/>
        <v/>
      </c>
      <c r="L236" s="265" t="str">
        <f t="shared" si="206"/>
        <v/>
      </c>
      <c r="M236" s="265" t="str">
        <f t="shared" si="207"/>
        <v/>
      </c>
      <c r="N236" s="240" t="str">
        <f t="shared" si="208"/>
        <v>-</v>
      </c>
      <c r="O236" s="265" t="str">
        <f t="shared" si="209"/>
        <v>-</v>
      </c>
      <c r="P236" s="265" t="str">
        <f t="shared" si="210"/>
        <v>-</v>
      </c>
      <c r="Q236" s="266" t="str">
        <f t="shared" si="211"/>
        <v>-</v>
      </c>
      <c r="R236" s="267" t="str">
        <f t="shared" si="212"/>
        <v>-</v>
      </c>
      <c r="S236" s="268" t="str">
        <f t="shared" si="213"/>
        <v>-</v>
      </c>
      <c r="T236" s="269" t="str">
        <f t="shared" si="214"/>
        <v/>
      </c>
      <c r="U236" s="221">
        <f t="shared" si="215"/>
        <v>136</v>
      </c>
      <c r="V236" s="220" t="str">
        <f t="shared" si="216"/>
        <v>-</v>
      </c>
      <c r="W236" s="221" t="str">
        <f t="shared" si="243"/>
        <v>-</v>
      </c>
      <c r="X236" s="221" t="str">
        <f t="shared" si="217"/>
        <v>-</v>
      </c>
      <c r="Y236" s="221" t="str">
        <f t="shared" si="218"/>
        <v>-</v>
      </c>
      <c r="Z236" s="270">
        <f t="shared" si="244"/>
        <v>0.1</v>
      </c>
      <c r="AA236" s="271" t="str">
        <f>IFERROR(IF(V235=1,AA$100*EXP(-(LN(2)/$D$65+0.04)*X235)*EXP(-(LN(2)/$D$65+0.1)*Y235),IF(V235=2,AA$100*EXP(-(LN(2)/$D$65+0.04)*(VLOOKUP(($F$16-$F$15)-1,U$99:Y235,4,FALSE)))*EXP(-(LN(2)/$D$65+0.1)*(VLOOKUP(($F$16-$F$15)-1,U$99:Y235,5,FALSE)))*EXP(-(LN(2)/$D$65+0.04)*X235)*EXP(-(LN(2)/$D$65+0.1)*Y235),IF(V235=3,AA$100*EXP(-(LN(2)/$D$65+0.04)*(VLOOKUP(($F$16-$F$15)-1,U$99:Y235,4,FALSE)))*EXP(-(LN(2)/$D$65+0.1)*(VLOOKUP(($F$16-$F$15)-1,U$99:Y235,5,FALSE)))*EXP(-(LN(2)/$D$65+0.04)*(VLOOKUP(($F$16-$F$15)*2-1,U$99:Y235,4,FALSE)))*EXP(-(LN(2)/$D$65+0.1)*(VLOOKUP(($F$16-$F$15)*2-1,U$99:Y235,5,FALSE)))*EXP(-(LN(2)/$D$65+0.04)*X235)*EXP(-(LN(2)/$D$65+0.1)*Y235),"-"))),"-")</f>
        <v>-</v>
      </c>
      <c r="AB236" s="271" t="str">
        <f>IFERROR(IF(V236=1,AB$100*EXP(-(LN(2)/$D$65+0.04)*X236)*EXP(-(LN(2)/$D$65+0.1)*Y236),IF(V236=2,AB$100*EXP(-(LN(2)/$D$65+0.04)*(VLOOKUP(($F$16-$F$15)-1,U$100:Y236,4,FALSE)))*EXP(-(LN(2)/$D$65+0.1)*(VLOOKUP(($F$16-$F$15)-1,U$100:Y236,5,FALSE)))*EXP(-(LN(2)/$D$65+0.04)*X236)*EXP(-(LN(2)/$D$65+0.1)*Y236),IF(V236=3,AB$100*EXP(-(LN(2)/$D$65+0.04)*(VLOOKUP(($F$16-$F$15)-1,U$100:Y236,4,FALSE)))*EXP(-(LN(2)/$D$65+0.1)*(VLOOKUP(($F$16-$F$15)-1,U$100:Y236,5,FALSE)))*EXP(-(LN(2)/$D$65+0.04)*(VLOOKUP(($F$16-$F$15)*2-1,U$100:Y236,4,FALSE)))*EXP(-(LN(2)/$D$65+0.1)*(VLOOKUP(($F$16-$F$15)*2-1,U$100:Y236,5,FALSE)))*EXP(-(LN(2)/$D$65+0.04)*X236)*EXP(-(LN(2)/$D$65+0.1)*Y236),"-"))),"-")</f>
        <v>-</v>
      </c>
      <c r="AC236" s="224">
        <f t="shared" si="245"/>
        <v>136</v>
      </c>
      <c r="AD236" s="223" t="str">
        <f t="shared" si="219"/>
        <v>-</v>
      </c>
      <c r="AE236" s="224" t="str">
        <f t="shared" si="246"/>
        <v>-</v>
      </c>
      <c r="AF236" s="224" t="str">
        <f t="shared" si="220"/>
        <v>-</v>
      </c>
      <c r="AG236" s="224" t="str">
        <f t="shared" si="221"/>
        <v>-</v>
      </c>
      <c r="AH236" s="272">
        <f t="shared" si="247"/>
        <v>0.1</v>
      </c>
      <c r="AI236" s="271" t="str">
        <f>IFERROR(IF(AD235=1,AI$100*EXP(-(LN(2)/$D$65+0.04)*AF235)*EXP(-(LN(2)/$D$65+0.1)*AG235),IF(AD235=2,AI$100*EXP(-(LN(2)/$D$65+0.04)*(VLOOKUP(($F$16-$F$15)-1,AC$99:AG235,4,FALSE)))*EXP(-(LN(2)/$D$65+0.1)*(VLOOKUP(($F$16-$F$15)-1,AC$99:AG235,5,FALSE)))*EXP(-(LN(2)/$D$65+0.04)*AF235)*EXP(-(LN(2)/$D$65+0.1)*AG235),IF(AD235=3,AI$100*EXP(-(LN(2)/$D$65+0.04)*(VLOOKUP(($F$16-$F$15)-1,AC$99:AG235,4,FALSE)))*EXP(-(LN(2)/$D$65+0.1)*(VLOOKUP(($F$16-$F$15)-1,AC$99:AG235,5,FALSE)))*EXP(-(LN(2)/$D$65+0.04)*(VLOOKUP(($F$16-$F$15)*2-1,AC$99:AG235,4,FALSE)))*EXP(-(LN(2)/$D$65+0.1)*(VLOOKUP(($F$16-$F$15)*2-1,AC$99:AG235,5,FALSE)))*EXP(-(LN(2)/$D$65+0.04)*AF235)*EXP(-(LN(2)/$D$65+0.1)*AG235),"-"))),"-")</f>
        <v>-</v>
      </c>
      <c r="AJ236" s="271" t="str">
        <f>IFERROR(IF(AD236=1,AJ$100*EXP(-(LN(2)/$D$65+0.04)*AF236)*EXP(-(LN(2)/$D$65+0.1)*AG236),IF(AD236=2,AJ$100*EXP(-(LN(2)/$D$65+0.04)*(VLOOKUP(($F$16-$F$15)-1,AC$100:AG236,4,FALSE)))*EXP(-(LN(2)/$D$65+0.1)*(VLOOKUP(($F$16-$F$15)-1,AC$100:AG236,5,FALSE)))*EXP(-(LN(2)/$D$65+0.04)*AF236)*EXP(-(LN(2)/$D$65+0.1)*AG236),IF(AD236=3,AJ$100*EXP(-(LN(2)/$D$65+0.04)*(VLOOKUP(($F$16-$F$15)-1,AC$100:AG236,4,FALSE)))*EXP(-(LN(2)/$D$65+0.1)*(VLOOKUP(($F$16-$F$15)-1,AC$100:AG236,5,FALSE)))*EXP(-(LN(2)/$D$65+0.04)*(VLOOKUP(($F$16-$F$15)*2-1,AC$100:AG236,4,FALSE)))*EXP(-(LN(2)/$D$65+0.1)*(VLOOKUP(($F$16-$F$15)*2-1,AC$100:AG236,5,FALSE)))*EXP(-(LN(2)/$D$65+0.04)*AF236)*EXP(-(LN(2)/$D$65+0.1)*AG236),"-"))),"-")</f>
        <v>-</v>
      </c>
      <c r="AK236" s="227">
        <f t="shared" si="248"/>
        <v>136</v>
      </c>
      <c r="AL236" s="226" t="str">
        <f t="shared" si="222"/>
        <v>-</v>
      </c>
      <c r="AM236" s="227" t="str">
        <f t="shared" si="249"/>
        <v>-</v>
      </c>
      <c r="AN236" s="227" t="str">
        <f t="shared" si="250"/>
        <v>-</v>
      </c>
      <c r="AO236" s="227" t="str">
        <f t="shared" si="223"/>
        <v>-</v>
      </c>
      <c r="AP236" s="273">
        <f t="shared" si="251"/>
        <v>0.1</v>
      </c>
      <c r="AQ236" s="271" t="str">
        <f>IFERROR(IF(AL235=1,AQ$100*EXP(-(LN(2)/$D$65+0.04)*AN235)*EXP(-(LN(2)/$D$65+0.1)*AO235),IF(AL235=2,AQ$100*EXP(-(LN(2)/$D$65+0.04)*(VLOOKUP(($F$16-$F$15)-1,AK$99:AO235,4,FALSE)))*EXP(-(LN(2)/$D$65+0.1)*(VLOOKUP(($F$16-$F$15)-1,AK$99:AO235,5,FALSE)))*EXP(-(LN(2)/$D$65+0.04)*AN235)*EXP(-(LN(2)/$D$65+0.1)*AO235),IF(AL235=3,AQ$100*EXP(-(LN(2)/$D$65+0.04)*(VLOOKUP(($F$16-$F$15)-1,AK$99:AO235,4,FALSE)))*EXP(-(LN(2)/$D$65+0.1)*(VLOOKUP(($F$16-$F$15)-1,AK$99:AO235,5,FALSE)))*EXP(-(LN(2)/$D$65+0.04)*(VLOOKUP(($F$16-$F$15)*2-1,AK$99:AO235,4,FALSE)))*EXP(-(LN(2)/$D$65+0.1)*(VLOOKUP(($F$16-$F$15)*2-1,AK$99:AO235,5,FALSE)))*EXP(-(LN(2)/$D$65+0.04)*AN235)*EXP(-(LN(2)/$D$65+0.1)*AO235),"-"))),"-")</f>
        <v>-</v>
      </c>
      <c r="AR236" s="271" t="str">
        <f>IFERROR(IF(AL236=1,AR$100*EXP(-(LN(2)/$D$65+0.04)*AN236)*EXP(-(LN(2)/$D$65+0.1)*AO236),IF(AL236=2,AR$100*EXP(-(LN(2)/$D$65+0.04)*(VLOOKUP(($F$16-$F$15)-1,AK$100:AO236,4,FALSE)))*EXP(-(LN(2)/$D$65+0.1)*(VLOOKUP(($F$16-$F$15)-1,AK$100:AO236,5,FALSE)))*EXP(-(LN(2)/$D$65+0.04)*AN236)*EXP(-(LN(2)/$D$65+0.1)*AO236),IF(AL236=3,AR$100*EXP(-(LN(2)/$D$65+0.04)*(VLOOKUP(($F$16-$F$15)-1,AK$100:AO236,4,FALSE)))*EXP(-(LN(2)/$D$65+0.1)*(VLOOKUP(($F$16-$F$15)-1,AK$100:AO236,5,FALSE)))*EXP(-(LN(2)/$D$65+0.04)*(VLOOKUP(($F$16-$F$15)*2-1,AK$100:AO236,4,FALSE)))*EXP(-(LN(2)/$D$65+0.1)*(VLOOKUP(($F$16-$F$15)*2-1,AK$100:AO236,5,FALSE)))*EXP(-(LN(2)/$D$65+0.04)*AN236)*EXP(-(LN(2)/$D$65+0.1)*AO236),"-"))),"-")</f>
        <v>-</v>
      </c>
      <c r="AS236" s="274">
        <f t="shared" si="224"/>
        <v>0</v>
      </c>
      <c r="AT236" s="274">
        <f t="shared" si="225"/>
        <v>0</v>
      </c>
      <c r="AU236" s="274">
        <f t="shared" si="226"/>
        <v>0</v>
      </c>
      <c r="AV236" s="190">
        <f>IF($B236&lt;$F$22,SUM($T$100:$T236),"")</f>
        <v>0</v>
      </c>
      <c r="AW236" s="190" t="str">
        <f t="shared" si="227"/>
        <v>-</v>
      </c>
      <c r="AX236" s="190" t="str">
        <f t="shared" si="252"/>
        <v/>
      </c>
      <c r="AY236"/>
      <c r="AZ236" s="190" t="str">
        <f ca="1">IF(ISNUMBER(OFFSET(AV236,-$F$21,0)),SUM(OFFSET($T$100,$F$21,0):$T236),"")</f>
        <v/>
      </c>
      <c r="BA236" s="190" t="str">
        <f t="shared" ca="1" si="228"/>
        <v/>
      </c>
      <c r="BB236" s="190" t="str">
        <f t="shared" ca="1" si="164"/>
        <v/>
      </c>
      <c r="BC236" s="190"/>
      <c r="BD236" s="190" t="str">
        <f ca="1">IFERROR(IF(AND($B236&gt;=($F$16-$F$15),$B236&lt;$F$22+($F$16-$F$15)),SUM(OFFSET($T$100,($F$16-$F$15),0):$T236),""),"")</f>
        <v/>
      </c>
      <c r="BE236" s="190" t="str">
        <f t="shared" ca="1" si="253"/>
        <v/>
      </c>
      <c r="BF236" s="190" t="str">
        <f t="shared" ca="1" si="254"/>
        <v/>
      </c>
      <c r="BG236"/>
      <c r="BH236" s="190" t="str">
        <f ca="1">IF(ISNUMBER(OFFSET(BD236,-$F$21,0)),SUM(OFFSET($T$100,($F$16-$F$15+$F$21),0):$T236),"")</f>
        <v/>
      </c>
      <c r="BI236" s="190" t="str">
        <f t="shared" ca="1" si="229"/>
        <v/>
      </c>
      <c r="BJ236" s="190" t="str">
        <f t="shared" ca="1" si="255"/>
        <v/>
      </c>
      <c r="BK236" s="190"/>
      <c r="BL236" s="190" t="str">
        <f ca="1">IFERROR(IF(AND($B236&gt;=($F$17-$F$15),$B236&lt;$F$22+($F$17-$F$15)),SUM(OFFSET($T$100,($F$17-$F$15),0):$T236),""),"")</f>
        <v/>
      </c>
      <c r="BM236" s="190" t="str">
        <f t="shared" ca="1" si="230"/>
        <v/>
      </c>
      <c r="BN236" s="190" t="str">
        <f t="shared" ca="1" si="256"/>
        <v/>
      </c>
      <c r="BO236"/>
      <c r="BP236" s="190" t="str">
        <f ca="1">IF(ISNUMBER(OFFSET(BL236,-$F$21,0)),SUM(OFFSET($T$100,($F$17-$F$15+$F$21),0):$T236),"")</f>
        <v/>
      </c>
      <c r="BQ236" s="190" t="str">
        <f t="shared" ca="1" si="231"/>
        <v/>
      </c>
      <c r="BR236" s="190" t="str">
        <f t="shared" ca="1" si="257"/>
        <v/>
      </c>
      <c r="BS236" s="190"/>
      <c r="BT236"/>
      <c r="BU236"/>
      <c r="BV236"/>
      <c r="BY236" s="99"/>
      <c r="BZ236" s="99"/>
      <c r="CA236" s="280" t="str">
        <f t="shared" si="232"/>
        <v/>
      </c>
      <c r="CB236" s="71" t="str">
        <f t="shared" si="233"/>
        <v>-</v>
      </c>
      <c r="CC236" s="33"/>
      <c r="CD236" s="261" t="str">
        <f t="shared" si="234"/>
        <v/>
      </c>
      <c r="CE236" s="280" t="str">
        <f t="shared" si="235"/>
        <v>-</v>
      </c>
      <c r="CF236" s="71" t="str">
        <f t="shared" ca="1" si="236"/>
        <v>-</v>
      </c>
      <c r="CG236" s="33" t="str">
        <f t="shared" si="237"/>
        <v>136-137</v>
      </c>
      <c r="CH236" s="261" t="str">
        <f t="shared" ca="1" si="238"/>
        <v/>
      </c>
      <c r="CP236" s="99"/>
      <c r="CQ236" s="99"/>
    </row>
    <row r="237" spans="2:95" ht="13.5" customHeight="1" x14ac:dyDescent="0.2">
      <c r="B237" s="262">
        <v>137</v>
      </c>
      <c r="C237" s="237" t="str">
        <f t="shared" si="201"/>
        <v/>
      </c>
      <c r="D237" s="237" t="str">
        <f t="shared" si="239"/>
        <v>-</v>
      </c>
      <c r="E237" s="263" t="str">
        <f t="shared" si="240"/>
        <v/>
      </c>
      <c r="F237" s="264" t="str">
        <f t="shared" si="241"/>
        <v/>
      </c>
      <c r="G237" s="264" t="str">
        <f t="shared" si="242"/>
        <v/>
      </c>
      <c r="H237" s="240" t="str">
        <f t="shared" si="202"/>
        <v/>
      </c>
      <c r="I237" s="265" t="str">
        <f t="shared" si="203"/>
        <v/>
      </c>
      <c r="J237" s="265" t="str">
        <f t="shared" si="204"/>
        <v/>
      </c>
      <c r="K237" s="240" t="str">
        <f t="shared" si="205"/>
        <v/>
      </c>
      <c r="L237" s="265" t="str">
        <f t="shared" si="206"/>
        <v/>
      </c>
      <c r="M237" s="265" t="str">
        <f t="shared" si="207"/>
        <v/>
      </c>
      <c r="N237" s="240" t="str">
        <f t="shared" si="208"/>
        <v>-</v>
      </c>
      <c r="O237" s="265" t="str">
        <f t="shared" si="209"/>
        <v>-</v>
      </c>
      <c r="P237" s="265" t="str">
        <f t="shared" si="210"/>
        <v>-</v>
      </c>
      <c r="Q237" s="266" t="str">
        <f t="shared" si="211"/>
        <v>-</v>
      </c>
      <c r="R237" s="267" t="str">
        <f t="shared" si="212"/>
        <v>-</v>
      </c>
      <c r="S237" s="268" t="str">
        <f t="shared" si="213"/>
        <v>-</v>
      </c>
      <c r="T237" s="269" t="str">
        <f t="shared" si="214"/>
        <v/>
      </c>
      <c r="U237" s="221">
        <f t="shared" si="215"/>
        <v>137</v>
      </c>
      <c r="V237" s="220" t="str">
        <f t="shared" si="216"/>
        <v>-</v>
      </c>
      <c r="W237" s="221" t="str">
        <f t="shared" si="243"/>
        <v>-</v>
      </c>
      <c r="X237" s="221" t="str">
        <f t="shared" si="217"/>
        <v>-</v>
      </c>
      <c r="Y237" s="221" t="str">
        <f t="shared" si="218"/>
        <v>-</v>
      </c>
      <c r="Z237" s="270">
        <f t="shared" si="244"/>
        <v>0.1</v>
      </c>
      <c r="AA237" s="271" t="str">
        <f>IFERROR(IF(V236=1,AA$100*EXP(-(LN(2)/$D$65+0.04)*X236)*EXP(-(LN(2)/$D$65+0.1)*Y236),IF(V236=2,AA$100*EXP(-(LN(2)/$D$65+0.04)*(VLOOKUP(($F$16-$F$15)-1,U$99:Y236,4,FALSE)))*EXP(-(LN(2)/$D$65+0.1)*(VLOOKUP(($F$16-$F$15)-1,U$99:Y236,5,FALSE)))*EXP(-(LN(2)/$D$65+0.04)*X236)*EXP(-(LN(2)/$D$65+0.1)*Y236),IF(V236=3,AA$100*EXP(-(LN(2)/$D$65+0.04)*(VLOOKUP(($F$16-$F$15)-1,U$99:Y236,4,FALSE)))*EXP(-(LN(2)/$D$65+0.1)*(VLOOKUP(($F$16-$F$15)-1,U$99:Y236,5,FALSE)))*EXP(-(LN(2)/$D$65+0.04)*(VLOOKUP(($F$16-$F$15)*2-1,U$99:Y236,4,FALSE)))*EXP(-(LN(2)/$D$65+0.1)*(VLOOKUP(($F$16-$F$15)*2-1,U$99:Y236,5,FALSE)))*EXP(-(LN(2)/$D$65+0.04)*X236)*EXP(-(LN(2)/$D$65+0.1)*Y236),"-"))),"-")</f>
        <v>-</v>
      </c>
      <c r="AB237" s="271" t="str">
        <f>IFERROR(IF(V237=1,AB$100*EXP(-(LN(2)/$D$65+0.04)*X237)*EXP(-(LN(2)/$D$65+0.1)*Y237),IF(V237=2,AB$100*EXP(-(LN(2)/$D$65+0.04)*(VLOOKUP(($F$16-$F$15)-1,U$100:Y237,4,FALSE)))*EXP(-(LN(2)/$D$65+0.1)*(VLOOKUP(($F$16-$F$15)-1,U$100:Y237,5,FALSE)))*EXP(-(LN(2)/$D$65+0.04)*X237)*EXP(-(LN(2)/$D$65+0.1)*Y237),IF(V237=3,AB$100*EXP(-(LN(2)/$D$65+0.04)*(VLOOKUP(($F$16-$F$15)-1,U$100:Y237,4,FALSE)))*EXP(-(LN(2)/$D$65+0.1)*(VLOOKUP(($F$16-$F$15)-1,U$100:Y237,5,FALSE)))*EXP(-(LN(2)/$D$65+0.04)*(VLOOKUP(($F$16-$F$15)*2-1,U$100:Y237,4,FALSE)))*EXP(-(LN(2)/$D$65+0.1)*(VLOOKUP(($F$16-$F$15)*2-1,U$100:Y237,5,FALSE)))*EXP(-(LN(2)/$D$65+0.04)*X237)*EXP(-(LN(2)/$D$65+0.1)*Y237),"-"))),"-")</f>
        <v>-</v>
      </c>
      <c r="AC237" s="224">
        <f t="shared" si="245"/>
        <v>137</v>
      </c>
      <c r="AD237" s="223" t="str">
        <f t="shared" si="219"/>
        <v>-</v>
      </c>
      <c r="AE237" s="224" t="str">
        <f t="shared" si="246"/>
        <v>-</v>
      </c>
      <c r="AF237" s="224" t="str">
        <f t="shared" si="220"/>
        <v>-</v>
      </c>
      <c r="AG237" s="224" t="str">
        <f t="shared" si="221"/>
        <v>-</v>
      </c>
      <c r="AH237" s="272">
        <f t="shared" si="247"/>
        <v>0.1</v>
      </c>
      <c r="AI237" s="271" t="str">
        <f>IFERROR(IF(AD236=1,AI$100*EXP(-(LN(2)/$D$65+0.04)*AF236)*EXP(-(LN(2)/$D$65+0.1)*AG236),IF(AD236=2,AI$100*EXP(-(LN(2)/$D$65+0.04)*(VLOOKUP(($F$16-$F$15)-1,AC$99:AG236,4,FALSE)))*EXP(-(LN(2)/$D$65+0.1)*(VLOOKUP(($F$16-$F$15)-1,AC$99:AG236,5,FALSE)))*EXP(-(LN(2)/$D$65+0.04)*AF236)*EXP(-(LN(2)/$D$65+0.1)*AG236),IF(AD236=3,AI$100*EXP(-(LN(2)/$D$65+0.04)*(VLOOKUP(($F$16-$F$15)-1,AC$99:AG236,4,FALSE)))*EXP(-(LN(2)/$D$65+0.1)*(VLOOKUP(($F$16-$F$15)-1,AC$99:AG236,5,FALSE)))*EXP(-(LN(2)/$D$65+0.04)*(VLOOKUP(($F$16-$F$15)*2-1,AC$99:AG236,4,FALSE)))*EXP(-(LN(2)/$D$65+0.1)*(VLOOKUP(($F$16-$F$15)*2-1,AC$99:AG236,5,FALSE)))*EXP(-(LN(2)/$D$65+0.04)*AF236)*EXP(-(LN(2)/$D$65+0.1)*AG236),"-"))),"-")</f>
        <v>-</v>
      </c>
      <c r="AJ237" s="271" t="str">
        <f>IFERROR(IF(AD237=1,AJ$100*EXP(-(LN(2)/$D$65+0.04)*AF237)*EXP(-(LN(2)/$D$65+0.1)*AG237),IF(AD237=2,AJ$100*EXP(-(LN(2)/$D$65+0.04)*(VLOOKUP(($F$16-$F$15)-1,AC$100:AG237,4,FALSE)))*EXP(-(LN(2)/$D$65+0.1)*(VLOOKUP(($F$16-$F$15)-1,AC$100:AG237,5,FALSE)))*EXP(-(LN(2)/$D$65+0.04)*AF237)*EXP(-(LN(2)/$D$65+0.1)*AG237),IF(AD237=3,AJ$100*EXP(-(LN(2)/$D$65+0.04)*(VLOOKUP(($F$16-$F$15)-1,AC$100:AG237,4,FALSE)))*EXP(-(LN(2)/$D$65+0.1)*(VLOOKUP(($F$16-$F$15)-1,AC$100:AG237,5,FALSE)))*EXP(-(LN(2)/$D$65+0.04)*(VLOOKUP(($F$16-$F$15)*2-1,AC$100:AG237,4,FALSE)))*EXP(-(LN(2)/$D$65+0.1)*(VLOOKUP(($F$16-$F$15)*2-1,AC$100:AG237,5,FALSE)))*EXP(-(LN(2)/$D$65+0.04)*AF237)*EXP(-(LN(2)/$D$65+0.1)*AG237),"-"))),"-")</f>
        <v>-</v>
      </c>
      <c r="AK237" s="227">
        <f t="shared" si="248"/>
        <v>137</v>
      </c>
      <c r="AL237" s="226" t="str">
        <f t="shared" si="222"/>
        <v>-</v>
      </c>
      <c r="AM237" s="227" t="str">
        <f t="shared" si="249"/>
        <v>-</v>
      </c>
      <c r="AN237" s="227" t="str">
        <f t="shared" si="250"/>
        <v>-</v>
      </c>
      <c r="AO237" s="227" t="str">
        <f t="shared" si="223"/>
        <v>-</v>
      </c>
      <c r="AP237" s="273">
        <f t="shared" si="251"/>
        <v>0.1</v>
      </c>
      <c r="AQ237" s="271" t="str">
        <f>IFERROR(IF(AL236=1,AQ$100*EXP(-(LN(2)/$D$65+0.04)*AN236)*EXP(-(LN(2)/$D$65+0.1)*AO236),IF(AL236=2,AQ$100*EXP(-(LN(2)/$D$65+0.04)*(VLOOKUP(($F$16-$F$15)-1,AK$99:AO236,4,FALSE)))*EXP(-(LN(2)/$D$65+0.1)*(VLOOKUP(($F$16-$F$15)-1,AK$99:AO236,5,FALSE)))*EXP(-(LN(2)/$D$65+0.04)*AN236)*EXP(-(LN(2)/$D$65+0.1)*AO236),IF(AL236=3,AQ$100*EXP(-(LN(2)/$D$65+0.04)*(VLOOKUP(($F$16-$F$15)-1,AK$99:AO236,4,FALSE)))*EXP(-(LN(2)/$D$65+0.1)*(VLOOKUP(($F$16-$F$15)-1,AK$99:AO236,5,FALSE)))*EXP(-(LN(2)/$D$65+0.04)*(VLOOKUP(($F$16-$F$15)*2-1,AK$99:AO236,4,FALSE)))*EXP(-(LN(2)/$D$65+0.1)*(VLOOKUP(($F$16-$F$15)*2-1,AK$99:AO236,5,FALSE)))*EXP(-(LN(2)/$D$65+0.04)*AN236)*EXP(-(LN(2)/$D$65+0.1)*AO236),"-"))),"-")</f>
        <v>-</v>
      </c>
      <c r="AR237" s="271" t="str">
        <f>IFERROR(IF(AL237=1,AR$100*EXP(-(LN(2)/$D$65+0.04)*AN237)*EXP(-(LN(2)/$D$65+0.1)*AO237),IF(AL237=2,AR$100*EXP(-(LN(2)/$D$65+0.04)*(VLOOKUP(($F$16-$F$15)-1,AK$100:AO237,4,FALSE)))*EXP(-(LN(2)/$D$65+0.1)*(VLOOKUP(($F$16-$F$15)-1,AK$100:AO237,5,FALSE)))*EXP(-(LN(2)/$D$65+0.04)*AN237)*EXP(-(LN(2)/$D$65+0.1)*AO237),IF(AL237=3,AR$100*EXP(-(LN(2)/$D$65+0.04)*(VLOOKUP(($F$16-$F$15)-1,AK$100:AO237,4,FALSE)))*EXP(-(LN(2)/$D$65+0.1)*(VLOOKUP(($F$16-$F$15)-1,AK$100:AO237,5,FALSE)))*EXP(-(LN(2)/$D$65+0.04)*(VLOOKUP(($F$16-$F$15)*2-1,AK$100:AO237,4,FALSE)))*EXP(-(LN(2)/$D$65+0.1)*(VLOOKUP(($F$16-$F$15)*2-1,AK$100:AO237,5,FALSE)))*EXP(-(LN(2)/$D$65+0.04)*AN237)*EXP(-(LN(2)/$D$65+0.1)*AO237),"-"))),"-")</f>
        <v>-</v>
      </c>
      <c r="AS237" s="274">
        <f t="shared" si="224"/>
        <v>0</v>
      </c>
      <c r="AT237" s="274">
        <f t="shared" si="225"/>
        <v>0</v>
      </c>
      <c r="AU237" s="274">
        <f t="shared" si="226"/>
        <v>0</v>
      </c>
      <c r="AV237" s="190">
        <f>IF($B237&lt;$F$22,SUM($T$100:$T237),"")</f>
        <v>0</v>
      </c>
      <c r="AW237" s="190" t="str">
        <f t="shared" si="227"/>
        <v>-</v>
      </c>
      <c r="AX237" s="190" t="str">
        <f t="shared" si="252"/>
        <v/>
      </c>
      <c r="AY237"/>
      <c r="AZ237" s="190" t="str">
        <f ca="1">IF(ISNUMBER(OFFSET(AV237,-$F$21,0)),SUM(OFFSET($T$100,$F$21,0):$T237),"")</f>
        <v/>
      </c>
      <c r="BA237" s="190" t="str">
        <f t="shared" ca="1" si="228"/>
        <v/>
      </c>
      <c r="BB237" s="190" t="str">
        <f t="shared" ca="1" si="164"/>
        <v/>
      </c>
      <c r="BC237" s="190"/>
      <c r="BD237" s="190" t="str">
        <f ca="1">IFERROR(IF(AND($B237&gt;=($F$16-$F$15),$B237&lt;$F$22+($F$16-$F$15)),SUM(OFFSET($T$100,($F$16-$F$15),0):$T237),""),"")</f>
        <v/>
      </c>
      <c r="BE237" s="190" t="str">
        <f t="shared" ca="1" si="253"/>
        <v/>
      </c>
      <c r="BF237" s="190" t="str">
        <f t="shared" ca="1" si="254"/>
        <v/>
      </c>
      <c r="BG237"/>
      <c r="BH237" s="190" t="str">
        <f ca="1">IF(ISNUMBER(OFFSET(BD237,-$F$21,0)),SUM(OFFSET($T$100,($F$16-$F$15+$F$21),0):$T237),"")</f>
        <v/>
      </c>
      <c r="BI237" s="190" t="str">
        <f t="shared" ca="1" si="229"/>
        <v/>
      </c>
      <c r="BJ237" s="190" t="str">
        <f t="shared" ca="1" si="255"/>
        <v/>
      </c>
      <c r="BK237" s="190"/>
      <c r="BL237" s="190" t="str">
        <f ca="1">IFERROR(IF(AND($B237&gt;=($F$17-$F$15),$B237&lt;$F$22+($F$17-$F$15)),SUM(OFFSET($T$100,($F$17-$F$15),0):$T237),""),"")</f>
        <v/>
      </c>
      <c r="BM237" s="190" t="str">
        <f t="shared" ca="1" si="230"/>
        <v/>
      </c>
      <c r="BN237" s="190" t="str">
        <f t="shared" ca="1" si="256"/>
        <v/>
      </c>
      <c r="BO237"/>
      <c r="BP237" s="190" t="str">
        <f ca="1">IF(ISNUMBER(OFFSET(BL237,-$F$21,0)),SUM(OFFSET($T$100,($F$17-$F$15+$F$21),0):$T237),"")</f>
        <v/>
      </c>
      <c r="BQ237" s="190" t="str">
        <f t="shared" ca="1" si="231"/>
        <v/>
      </c>
      <c r="BR237" s="190" t="str">
        <f t="shared" ca="1" si="257"/>
        <v/>
      </c>
      <c r="BS237" s="190"/>
      <c r="BT237"/>
      <c r="BU237"/>
      <c r="BV237"/>
      <c r="BY237" s="99"/>
      <c r="BZ237" s="99"/>
      <c r="CA237" s="280" t="str">
        <f t="shared" si="232"/>
        <v/>
      </c>
      <c r="CB237" s="71" t="str">
        <f t="shared" si="233"/>
        <v>-</v>
      </c>
      <c r="CC237" s="33"/>
      <c r="CD237" s="261" t="str">
        <f t="shared" si="234"/>
        <v/>
      </c>
      <c r="CE237" s="280" t="str">
        <f t="shared" si="235"/>
        <v>-</v>
      </c>
      <c r="CF237" s="71" t="str">
        <f t="shared" ca="1" si="236"/>
        <v>-</v>
      </c>
      <c r="CG237" s="33" t="str">
        <f t="shared" si="237"/>
        <v>137-138</v>
      </c>
      <c r="CH237" s="261" t="str">
        <f t="shared" ca="1" si="238"/>
        <v/>
      </c>
      <c r="CP237" s="99"/>
      <c r="CQ237" s="99"/>
    </row>
    <row r="238" spans="2:95" ht="13.5" customHeight="1" x14ac:dyDescent="0.2">
      <c r="B238" s="262">
        <v>138</v>
      </c>
      <c r="C238" s="237" t="str">
        <f t="shared" si="201"/>
        <v/>
      </c>
      <c r="D238" s="237" t="str">
        <f t="shared" si="239"/>
        <v>-</v>
      </c>
      <c r="E238" s="263" t="str">
        <f t="shared" si="240"/>
        <v/>
      </c>
      <c r="F238" s="264" t="str">
        <f t="shared" si="241"/>
        <v/>
      </c>
      <c r="G238" s="264" t="str">
        <f t="shared" si="242"/>
        <v/>
      </c>
      <c r="H238" s="240" t="str">
        <f t="shared" si="202"/>
        <v/>
      </c>
      <c r="I238" s="265" t="str">
        <f t="shared" si="203"/>
        <v/>
      </c>
      <c r="J238" s="265" t="str">
        <f t="shared" si="204"/>
        <v/>
      </c>
      <c r="K238" s="240" t="str">
        <f t="shared" si="205"/>
        <v/>
      </c>
      <c r="L238" s="265" t="str">
        <f t="shared" si="206"/>
        <v/>
      </c>
      <c r="M238" s="265" t="str">
        <f t="shared" si="207"/>
        <v/>
      </c>
      <c r="N238" s="240" t="str">
        <f t="shared" si="208"/>
        <v>-</v>
      </c>
      <c r="O238" s="265" t="str">
        <f t="shared" si="209"/>
        <v>-</v>
      </c>
      <c r="P238" s="265" t="str">
        <f t="shared" si="210"/>
        <v>-</v>
      </c>
      <c r="Q238" s="266" t="str">
        <f t="shared" si="211"/>
        <v>-</v>
      </c>
      <c r="R238" s="267" t="str">
        <f t="shared" si="212"/>
        <v>-</v>
      </c>
      <c r="S238" s="268" t="str">
        <f t="shared" si="213"/>
        <v>-</v>
      </c>
      <c r="T238" s="269" t="str">
        <f t="shared" si="214"/>
        <v/>
      </c>
      <c r="U238" s="221">
        <f t="shared" si="215"/>
        <v>138</v>
      </c>
      <c r="V238" s="220" t="str">
        <f t="shared" si="216"/>
        <v>-</v>
      </c>
      <c r="W238" s="221" t="str">
        <f t="shared" si="243"/>
        <v>-</v>
      </c>
      <c r="X238" s="221" t="str">
        <f t="shared" si="217"/>
        <v>-</v>
      </c>
      <c r="Y238" s="221" t="str">
        <f t="shared" si="218"/>
        <v>-</v>
      </c>
      <c r="Z238" s="270">
        <f t="shared" si="244"/>
        <v>0.1</v>
      </c>
      <c r="AA238" s="271" t="str">
        <f>IFERROR(IF(V237=1,AA$100*EXP(-(LN(2)/$D$65+0.04)*X237)*EXP(-(LN(2)/$D$65+0.1)*Y237),IF(V237=2,AA$100*EXP(-(LN(2)/$D$65+0.04)*(VLOOKUP(($F$16-$F$15)-1,U$99:Y237,4,FALSE)))*EXP(-(LN(2)/$D$65+0.1)*(VLOOKUP(($F$16-$F$15)-1,U$99:Y237,5,FALSE)))*EXP(-(LN(2)/$D$65+0.04)*X237)*EXP(-(LN(2)/$D$65+0.1)*Y237),IF(V237=3,AA$100*EXP(-(LN(2)/$D$65+0.04)*(VLOOKUP(($F$16-$F$15)-1,U$99:Y237,4,FALSE)))*EXP(-(LN(2)/$D$65+0.1)*(VLOOKUP(($F$16-$F$15)-1,U$99:Y237,5,FALSE)))*EXP(-(LN(2)/$D$65+0.04)*(VLOOKUP(($F$16-$F$15)*2-1,U$99:Y237,4,FALSE)))*EXP(-(LN(2)/$D$65+0.1)*(VLOOKUP(($F$16-$F$15)*2-1,U$99:Y237,5,FALSE)))*EXP(-(LN(2)/$D$65+0.04)*X237)*EXP(-(LN(2)/$D$65+0.1)*Y237),"-"))),"-")</f>
        <v>-</v>
      </c>
      <c r="AB238" s="271" t="str">
        <f>IFERROR(IF(V238=1,AB$100*EXP(-(LN(2)/$D$65+0.04)*X238)*EXP(-(LN(2)/$D$65+0.1)*Y238),IF(V238=2,AB$100*EXP(-(LN(2)/$D$65+0.04)*(VLOOKUP(($F$16-$F$15)-1,U$100:Y238,4,FALSE)))*EXP(-(LN(2)/$D$65+0.1)*(VLOOKUP(($F$16-$F$15)-1,U$100:Y238,5,FALSE)))*EXP(-(LN(2)/$D$65+0.04)*X238)*EXP(-(LN(2)/$D$65+0.1)*Y238),IF(V238=3,AB$100*EXP(-(LN(2)/$D$65+0.04)*(VLOOKUP(($F$16-$F$15)-1,U$100:Y238,4,FALSE)))*EXP(-(LN(2)/$D$65+0.1)*(VLOOKUP(($F$16-$F$15)-1,U$100:Y238,5,FALSE)))*EXP(-(LN(2)/$D$65+0.04)*(VLOOKUP(($F$16-$F$15)*2-1,U$100:Y238,4,FALSE)))*EXP(-(LN(2)/$D$65+0.1)*(VLOOKUP(($F$16-$F$15)*2-1,U$100:Y238,5,FALSE)))*EXP(-(LN(2)/$D$65+0.04)*X238)*EXP(-(LN(2)/$D$65+0.1)*Y238),"-"))),"-")</f>
        <v>-</v>
      </c>
      <c r="AC238" s="224">
        <f t="shared" si="245"/>
        <v>138</v>
      </c>
      <c r="AD238" s="223" t="str">
        <f t="shared" si="219"/>
        <v>-</v>
      </c>
      <c r="AE238" s="224" t="str">
        <f t="shared" si="246"/>
        <v>-</v>
      </c>
      <c r="AF238" s="224" t="str">
        <f t="shared" si="220"/>
        <v>-</v>
      </c>
      <c r="AG238" s="224" t="str">
        <f t="shared" si="221"/>
        <v>-</v>
      </c>
      <c r="AH238" s="272">
        <f t="shared" si="247"/>
        <v>0.1</v>
      </c>
      <c r="AI238" s="271" t="str">
        <f>IFERROR(IF(AD237=1,AI$100*EXP(-(LN(2)/$D$65+0.04)*AF237)*EXP(-(LN(2)/$D$65+0.1)*AG237),IF(AD237=2,AI$100*EXP(-(LN(2)/$D$65+0.04)*(VLOOKUP(($F$16-$F$15)-1,AC$99:AG237,4,FALSE)))*EXP(-(LN(2)/$D$65+0.1)*(VLOOKUP(($F$16-$F$15)-1,AC$99:AG237,5,FALSE)))*EXP(-(LN(2)/$D$65+0.04)*AF237)*EXP(-(LN(2)/$D$65+0.1)*AG237),IF(AD237=3,AI$100*EXP(-(LN(2)/$D$65+0.04)*(VLOOKUP(($F$16-$F$15)-1,AC$99:AG237,4,FALSE)))*EXP(-(LN(2)/$D$65+0.1)*(VLOOKUP(($F$16-$F$15)-1,AC$99:AG237,5,FALSE)))*EXP(-(LN(2)/$D$65+0.04)*(VLOOKUP(($F$16-$F$15)*2-1,AC$99:AG237,4,FALSE)))*EXP(-(LN(2)/$D$65+0.1)*(VLOOKUP(($F$16-$F$15)*2-1,AC$99:AG237,5,FALSE)))*EXP(-(LN(2)/$D$65+0.04)*AF237)*EXP(-(LN(2)/$D$65+0.1)*AG237),"-"))),"-")</f>
        <v>-</v>
      </c>
      <c r="AJ238" s="271" t="str">
        <f>IFERROR(IF(AD238=1,AJ$100*EXP(-(LN(2)/$D$65+0.04)*AF238)*EXP(-(LN(2)/$D$65+0.1)*AG238),IF(AD238=2,AJ$100*EXP(-(LN(2)/$D$65+0.04)*(VLOOKUP(($F$16-$F$15)-1,AC$100:AG238,4,FALSE)))*EXP(-(LN(2)/$D$65+0.1)*(VLOOKUP(($F$16-$F$15)-1,AC$100:AG238,5,FALSE)))*EXP(-(LN(2)/$D$65+0.04)*AF238)*EXP(-(LN(2)/$D$65+0.1)*AG238),IF(AD238=3,AJ$100*EXP(-(LN(2)/$D$65+0.04)*(VLOOKUP(($F$16-$F$15)-1,AC$100:AG238,4,FALSE)))*EXP(-(LN(2)/$D$65+0.1)*(VLOOKUP(($F$16-$F$15)-1,AC$100:AG238,5,FALSE)))*EXP(-(LN(2)/$D$65+0.04)*(VLOOKUP(($F$16-$F$15)*2-1,AC$100:AG238,4,FALSE)))*EXP(-(LN(2)/$D$65+0.1)*(VLOOKUP(($F$16-$F$15)*2-1,AC$100:AG238,5,FALSE)))*EXP(-(LN(2)/$D$65+0.04)*AF238)*EXP(-(LN(2)/$D$65+0.1)*AG238),"-"))),"-")</f>
        <v>-</v>
      </c>
      <c r="AK238" s="227">
        <f t="shared" si="248"/>
        <v>138</v>
      </c>
      <c r="AL238" s="226" t="str">
        <f t="shared" si="222"/>
        <v>-</v>
      </c>
      <c r="AM238" s="227" t="str">
        <f t="shared" si="249"/>
        <v>-</v>
      </c>
      <c r="AN238" s="227" t="str">
        <f t="shared" si="250"/>
        <v>-</v>
      </c>
      <c r="AO238" s="227" t="str">
        <f t="shared" si="223"/>
        <v>-</v>
      </c>
      <c r="AP238" s="273">
        <f t="shared" si="251"/>
        <v>0.1</v>
      </c>
      <c r="AQ238" s="271" t="str">
        <f>IFERROR(IF(AL237=1,AQ$100*EXP(-(LN(2)/$D$65+0.04)*AN237)*EXP(-(LN(2)/$D$65+0.1)*AO237),IF(AL237=2,AQ$100*EXP(-(LN(2)/$D$65+0.04)*(VLOOKUP(($F$16-$F$15)-1,AK$99:AO237,4,FALSE)))*EXP(-(LN(2)/$D$65+0.1)*(VLOOKUP(($F$16-$F$15)-1,AK$99:AO237,5,FALSE)))*EXP(-(LN(2)/$D$65+0.04)*AN237)*EXP(-(LN(2)/$D$65+0.1)*AO237),IF(AL237=3,AQ$100*EXP(-(LN(2)/$D$65+0.04)*(VLOOKUP(($F$16-$F$15)-1,AK$99:AO237,4,FALSE)))*EXP(-(LN(2)/$D$65+0.1)*(VLOOKUP(($F$16-$F$15)-1,AK$99:AO237,5,FALSE)))*EXP(-(LN(2)/$D$65+0.04)*(VLOOKUP(($F$16-$F$15)*2-1,AK$99:AO237,4,FALSE)))*EXP(-(LN(2)/$D$65+0.1)*(VLOOKUP(($F$16-$F$15)*2-1,AK$99:AO237,5,FALSE)))*EXP(-(LN(2)/$D$65+0.04)*AN237)*EXP(-(LN(2)/$D$65+0.1)*AO237),"-"))),"-")</f>
        <v>-</v>
      </c>
      <c r="AR238" s="271" t="str">
        <f>IFERROR(IF(AL238=1,AR$100*EXP(-(LN(2)/$D$65+0.04)*AN238)*EXP(-(LN(2)/$D$65+0.1)*AO238),IF(AL238=2,AR$100*EXP(-(LN(2)/$D$65+0.04)*(VLOOKUP(($F$16-$F$15)-1,AK$100:AO238,4,FALSE)))*EXP(-(LN(2)/$D$65+0.1)*(VLOOKUP(($F$16-$F$15)-1,AK$100:AO238,5,FALSE)))*EXP(-(LN(2)/$D$65+0.04)*AN238)*EXP(-(LN(2)/$D$65+0.1)*AO238),IF(AL238=3,AR$100*EXP(-(LN(2)/$D$65+0.04)*(VLOOKUP(($F$16-$F$15)-1,AK$100:AO238,4,FALSE)))*EXP(-(LN(2)/$D$65+0.1)*(VLOOKUP(($F$16-$F$15)-1,AK$100:AO238,5,FALSE)))*EXP(-(LN(2)/$D$65+0.04)*(VLOOKUP(($F$16-$F$15)*2-1,AK$100:AO238,4,FALSE)))*EXP(-(LN(2)/$D$65+0.1)*(VLOOKUP(($F$16-$F$15)*2-1,AK$100:AO238,5,FALSE)))*EXP(-(LN(2)/$D$65+0.04)*AN238)*EXP(-(LN(2)/$D$65+0.1)*AO238),"-"))),"-")</f>
        <v>-</v>
      </c>
      <c r="AS238" s="274">
        <f t="shared" si="224"/>
        <v>0</v>
      </c>
      <c r="AT238" s="274">
        <f t="shared" si="225"/>
        <v>0</v>
      </c>
      <c r="AU238" s="274">
        <f t="shared" si="226"/>
        <v>0</v>
      </c>
      <c r="AV238" s="190">
        <f>IF($B238&lt;$F$22,SUM($T$100:$T238),"")</f>
        <v>0</v>
      </c>
      <c r="AW238" s="190" t="str">
        <f t="shared" si="227"/>
        <v>-</v>
      </c>
      <c r="AX238" s="190" t="str">
        <f t="shared" si="252"/>
        <v/>
      </c>
      <c r="AY238"/>
      <c r="AZ238" s="190" t="str">
        <f ca="1">IF(ISNUMBER(OFFSET(AV238,-$F$21,0)),SUM(OFFSET($T$100,$F$21,0):$T238),"")</f>
        <v/>
      </c>
      <c r="BA238" s="190" t="str">
        <f t="shared" ca="1" si="228"/>
        <v/>
      </c>
      <c r="BB238" s="190" t="str">
        <f t="shared" ca="1" si="164"/>
        <v/>
      </c>
      <c r="BC238" s="190"/>
      <c r="BD238" s="190" t="str">
        <f ca="1">IFERROR(IF(AND($B238&gt;=($F$16-$F$15),$B238&lt;$F$22+($F$16-$F$15)),SUM(OFFSET($T$100,($F$16-$F$15),0):$T238),""),"")</f>
        <v/>
      </c>
      <c r="BE238" s="190" t="str">
        <f t="shared" ca="1" si="253"/>
        <v/>
      </c>
      <c r="BF238" s="190" t="str">
        <f t="shared" ca="1" si="254"/>
        <v/>
      </c>
      <c r="BG238"/>
      <c r="BH238" s="190" t="str">
        <f ca="1">IF(ISNUMBER(OFFSET(BD238,-$F$21,0)),SUM(OFFSET($T$100,($F$16-$F$15+$F$21),0):$T238),"")</f>
        <v/>
      </c>
      <c r="BI238" s="190" t="str">
        <f t="shared" ca="1" si="229"/>
        <v/>
      </c>
      <c r="BJ238" s="190" t="str">
        <f t="shared" ca="1" si="255"/>
        <v/>
      </c>
      <c r="BK238" s="190"/>
      <c r="BL238" s="190" t="str">
        <f ca="1">IFERROR(IF(AND($B238&gt;=($F$17-$F$15),$B238&lt;$F$22+($F$17-$F$15)),SUM(OFFSET($T$100,($F$17-$F$15),0):$T238),""),"")</f>
        <v/>
      </c>
      <c r="BM238" s="190" t="str">
        <f t="shared" ca="1" si="230"/>
        <v/>
      </c>
      <c r="BN238" s="190" t="str">
        <f t="shared" ca="1" si="256"/>
        <v/>
      </c>
      <c r="BO238"/>
      <c r="BP238" s="190" t="str">
        <f ca="1">IF(ISNUMBER(OFFSET(BL238,-$F$21,0)),SUM(OFFSET($T$100,($F$17-$F$15+$F$21),0):$T238),"")</f>
        <v/>
      </c>
      <c r="BQ238" s="190" t="str">
        <f t="shared" ca="1" si="231"/>
        <v/>
      </c>
      <c r="BR238" s="190" t="str">
        <f t="shared" ca="1" si="257"/>
        <v/>
      </c>
      <c r="BS238" s="190"/>
      <c r="BT238"/>
      <c r="BU238"/>
      <c r="BV238"/>
      <c r="BY238" s="99"/>
      <c r="BZ238" s="99"/>
      <c r="CA238" s="280" t="str">
        <f t="shared" si="232"/>
        <v/>
      </c>
      <c r="CB238" s="71" t="str">
        <f t="shared" si="233"/>
        <v>-</v>
      </c>
      <c r="CC238" s="33"/>
      <c r="CD238" s="261" t="str">
        <f t="shared" si="234"/>
        <v/>
      </c>
      <c r="CE238" s="280" t="str">
        <f t="shared" si="235"/>
        <v>-</v>
      </c>
      <c r="CF238" s="71" t="str">
        <f t="shared" ca="1" si="236"/>
        <v>-</v>
      </c>
      <c r="CG238" s="33" t="str">
        <f t="shared" si="237"/>
        <v>138-139</v>
      </c>
      <c r="CH238" s="261" t="str">
        <f t="shared" ca="1" si="238"/>
        <v/>
      </c>
      <c r="CP238" s="99"/>
      <c r="CQ238" s="99"/>
    </row>
    <row r="239" spans="2:95" ht="13.5" customHeight="1" x14ac:dyDescent="0.2">
      <c r="B239" s="262">
        <v>139</v>
      </c>
      <c r="C239" s="237" t="str">
        <f t="shared" si="201"/>
        <v/>
      </c>
      <c r="D239" s="237" t="str">
        <f t="shared" si="239"/>
        <v>-</v>
      </c>
      <c r="E239" s="263" t="str">
        <f t="shared" si="240"/>
        <v/>
      </c>
      <c r="F239" s="264" t="str">
        <f t="shared" si="241"/>
        <v/>
      </c>
      <c r="G239" s="264" t="str">
        <f t="shared" si="242"/>
        <v/>
      </c>
      <c r="H239" s="240" t="str">
        <f t="shared" si="202"/>
        <v/>
      </c>
      <c r="I239" s="265" t="str">
        <f t="shared" si="203"/>
        <v/>
      </c>
      <c r="J239" s="265" t="str">
        <f t="shared" si="204"/>
        <v/>
      </c>
      <c r="K239" s="240" t="str">
        <f t="shared" si="205"/>
        <v/>
      </c>
      <c r="L239" s="265" t="str">
        <f t="shared" si="206"/>
        <v/>
      </c>
      <c r="M239" s="265" t="str">
        <f t="shared" si="207"/>
        <v/>
      </c>
      <c r="N239" s="240" t="str">
        <f t="shared" si="208"/>
        <v>-</v>
      </c>
      <c r="O239" s="265" t="str">
        <f t="shared" si="209"/>
        <v>-</v>
      </c>
      <c r="P239" s="265" t="str">
        <f t="shared" si="210"/>
        <v>-</v>
      </c>
      <c r="Q239" s="266" t="str">
        <f t="shared" si="211"/>
        <v>-</v>
      </c>
      <c r="R239" s="267" t="str">
        <f t="shared" si="212"/>
        <v>-</v>
      </c>
      <c r="S239" s="268" t="str">
        <f t="shared" si="213"/>
        <v>-</v>
      </c>
      <c r="T239" s="269" t="str">
        <f t="shared" si="214"/>
        <v/>
      </c>
      <c r="U239" s="221">
        <f t="shared" si="215"/>
        <v>139</v>
      </c>
      <c r="V239" s="220" t="str">
        <f t="shared" si="216"/>
        <v>-</v>
      </c>
      <c r="W239" s="221" t="str">
        <f t="shared" si="243"/>
        <v>-</v>
      </c>
      <c r="X239" s="221" t="str">
        <f t="shared" si="217"/>
        <v>-</v>
      </c>
      <c r="Y239" s="221" t="str">
        <f t="shared" si="218"/>
        <v>-</v>
      </c>
      <c r="Z239" s="270">
        <f t="shared" si="244"/>
        <v>0.1</v>
      </c>
      <c r="AA239" s="271" t="str">
        <f>IFERROR(IF(V238=1,AA$100*EXP(-(LN(2)/$D$65+0.04)*X238)*EXP(-(LN(2)/$D$65+0.1)*Y238),IF(V238=2,AA$100*EXP(-(LN(2)/$D$65+0.04)*(VLOOKUP(($F$16-$F$15)-1,U$99:Y238,4,FALSE)))*EXP(-(LN(2)/$D$65+0.1)*(VLOOKUP(($F$16-$F$15)-1,U$99:Y238,5,FALSE)))*EXP(-(LN(2)/$D$65+0.04)*X238)*EXP(-(LN(2)/$D$65+0.1)*Y238),IF(V238=3,AA$100*EXP(-(LN(2)/$D$65+0.04)*(VLOOKUP(($F$16-$F$15)-1,U$99:Y238,4,FALSE)))*EXP(-(LN(2)/$D$65+0.1)*(VLOOKUP(($F$16-$F$15)-1,U$99:Y238,5,FALSE)))*EXP(-(LN(2)/$D$65+0.04)*(VLOOKUP(($F$16-$F$15)*2-1,U$99:Y238,4,FALSE)))*EXP(-(LN(2)/$D$65+0.1)*(VLOOKUP(($F$16-$F$15)*2-1,U$99:Y238,5,FALSE)))*EXP(-(LN(2)/$D$65+0.04)*X238)*EXP(-(LN(2)/$D$65+0.1)*Y238),"-"))),"-")</f>
        <v>-</v>
      </c>
      <c r="AB239" s="271" t="str">
        <f>IFERROR(IF(V239=1,AB$100*EXP(-(LN(2)/$D$65+0.04)*X239)*EXP(-(LN(2)/$D$65+0.1)*Y239),IF(V239=2,AB$100*EXP(-(LN(2)/$D$65+0.04)*(VLOOKUP(($F$16-$F$15)-1,U$100:Y239,4,FALSE)))*EXP(-(LN(2)/$D$65+0.1)*(VLOOKUP(($F$16-$F$15)-1,U$100:Y239,5,FALSE)))*EXP(-(LN(2)/$D$65+0.04)*X239)*EXP(-(LN(2)/$D$65+0.1)*Y239),IF(V239=3,AB$100*EXP(-(LN(2)/$D$65+0.04)*(VLOOKUP(($F$16-$F$15)-1,U$100:Y239,4,FALSE)))*EXP(-(LN(2)/$D$65+0.1)*(VLOOKUP(($F$16-$F$15)-1,U$100:Y239,5,FALSE)))*EXP(-(LN(2)/$D$65+0.04)*(VLOOKUP(($F$16-$F$15)*2-1,U$100:Y239,4,FALSE)))*EXP(-(LN(2)/$D$65+0.1)*(VLOOKUP(($F$16-$F$15)*2-1,U$100:Y239,5,FALSE)))*EXP(-(LN(2)/$D$65+0.04)*X239)*EXP(-(LN(2)/$D$65+0.1)*Y239),"-"))),"-")</f>
        <v>-</v>
      </c>
      <c r="AC239" s="224">
        <f t="shared" si="245"/>
        <v>139</v>
      </c>
      <c r="AD239" s="223" t="str">
        <f t="shared" si="219"/>
        <v>-</v>
      </c>
      <c r="AE239" s="224" t="str">
        <f t="shared" si="246"/>
        <v>-</v>
      </c>
      <c r="AF239" s="224" t="str">
        <f t="shared" si="220"/>
        <v>-</v>
      </c>
      <c r="AG239" s="224" t="str">
        <f t="shared" si="221"/>
        <v>-</v>
      </c>
      <c r="AH239" s="272">
        <f t="shared" si="247"/>
        <v>0.1</v>
      </c>
      <c r="AI239" s="271" t="str">
        <f>IFERROR(IF(AD238=1,AI$100*EXP(-(LN(2)/$D$65+0.04)*AF238)*EXP(-(LN(2)/$D$65+0.1)*AG238),IF(AD238=2,AI$100*EXP(-(LN(2)/$D$65+0.04)*(VLOOKUP(($F$16-$F$15)-1,AC$99:AG238,4,FALSE)))*EXP(-(LN(2)/$D$65+0.1)*(VLOOKUP(($F$16-$F$15)-1,AC$99:AG238,5,FALSE)))*EXP(-(LN(2)/$D$65+0.04)*AF238)*EXP(-(LN(2)/$D$65+0.1)*AG238),IF(AD238=3,AI$100*EXP(-(LN(2)/$D$65+0.04)*(VLOOKUP(($F$16-$F$15)-1,AC$99:AG238,4,FALSE)))*EXP(-(LN(2)/$D$65+0.1)*(VLOOKUP(($F$16-$F$15)-1,AC$99:AG238,5,FALSE)))*EXP(-(LN(2)/$D$65+0.04)*(VLOOKUP(($F$16-$F$15)*2-1,AC$99:AG238,4,FALSE)))*EXP(-(LN(2)/$D$65+0.1)*(VLOOKUP(($F$16-$F$15)*2-1,AC$99:AG238,5,FALSE)))*EXP(-(LN(2)/$D$65+0.04)*AF238)*EXP(-(LN(2)/$D$65+0.1)*AG238),"-"))),"-")</f>
        <v>-</v>
      </c>
      <c r="AJ239" s="271" t="str">
        <f>IFERROR(IF(AD239=1,AJ$100*EXP(-(LN(2)/$D$65+0.04)*AF239)*EXP(-(LN(2)/$D$65+0.1)*AG239),IF(AD239=2,AJ$100*EXP(-(LN(2)/$D$65+0.04)*(VLOOKUP(($F$16-$F$15)-1,AC$100:AG239,4,FALSE)))*EXP(-(LN(2)/$D$65+0.1)*(VLOOKUP(($F$16-$F$15)-1,AC$100:AG239,5,FALSE)))*EXP(-(LN(2)/$D$65+0.04)*AF239)*EXP(-(LN(2)/$D$65+0.1)*AG239),IF(AD239=3,AJ$100*EXP(-(LN(2)/$D$65+0.04)*(VLOOKUP(($F$16-$F$15)-1,AC$100:AG239,4,FALSE)))*EXP(-(LN(2)/$D$65+0.1)*(VLOOKUP(($F$16-$F$15)-1,AC$100:AG239,5,FALSE)))*EXP(-(LN(2)/$D$65+0.04)*(VLOOKUP(($F$16-$F$15)*2-1,AC$100:AG239,4,FALSE)))*EXP(-(LN(2)/$D$65+0.1)*(VLOOKUP(($F$16-$F$15)*2-1,AC$100:AG239,5,FALSE)))*EXP(-(LN(2)/$D$65+0.04)*AF239)*EXP(-(LN(2)/$D$65+0.1)*AG239),"-"))),"-")</f>
        <v>-</v>
      </c>
      <c r="AK239" s="227">
        <f t="shared" si="248"/>
        <v>139</v>
      </c>
      <c r="AL239" s="226" t="str">
        <f t="shared" si="222"/>
        <v>-</v>
      </c>
      <c r="AM239" s="227" t="str">
        <f t="shared" si="249"/>
        <v>-</v>
      </c>
      <c r="AN239" s="227" t="str">
        <f t="shared" si="250"/>
        <v>-</v>
      </c>
      <c r="AO239" s="227" t="str">
        <f t="shared" si="223"/>
        <v>-</v>
      </c>
      <c r="AP239" s="273">
        <f t="shared" si="251"/>
        <v>0.1</v>
      </c>
      <c r="AQ239" s="271" t="str">
        <f>IFERROR(IF(AL238=1,AQ$100*EXP(-(LN(2)/$D$65+0.04)*AN238)*EXP(-(LN(2)/$D$65+0.1)*AO238),IF(AL238=2,AQ$100*EXP(-(LN(2)/$D$65+0.04)*(VLOOKUP(($F$16-$F$15)-1,AK$99:AO238,4,FALSE)))*EXP(-(LN(2)/$D$65+0.1)*(VLOOKUP(($F$16-$F$15)-1,AK$99:AO238,5,FALSE)))*EXP(-(LN(2)/$D$65+0.04)*AN238)*EXP(-(LN(2)/$D$65+0.1)*AO238),IF(AL238=3,AQ$100*EXP(-(LN(2)/$D$65+0.04)*(VLOOKUP(($F$16-$F$15)-1,AK$99:AO238,4,FALSE)))*EXP(-(LN(2)/$D$65+0.1)*(VLOOKUP(($F$16-$F$15)-1,AK$99:AO238,5,FALSE)))*EXP(-(LN(2)/$D$65+0.04)*(VLOOKUP(($F$16-$F$15)*2-1,AK$99:AO238,4,FALSE)))*EXP(-(LN(2)/$D$65+0.1)*(VLOOKUP(($F$16-$F$15)*2-1,AK$99:AO238,5,FALSE)))*EXP(-(LN(2)/$D$65+0.04)*AN238)*EXP(-(LN(2)/$D$65+0.1)*AO238),"-"))),"-")</f>
        <v>-</v>
      </c>
      <c r="AR239" s="271" t="str">
        <f>IFERROR(IF(AL239=1,AR$100*EXP(-(LN(2)/$D$65+0.04)*AN239)*EXP(-(LN(2)/$D$65+0.1)*AO239),IF(AL239=2,AR$100*EXP(-(LN(2)/$D$65+0.04)*(VLOOKUP(($F$16-$F$15)-1,AK$100:AO239,4,FALSE)))*EXP(-(LN(2)/$D$65+0.1)*(VLOOKUP(($F$16-$F$15)-1,AK$100:AO239,5,FALSE)))*EXP(-(LN(2)/$D$65+0.04)*AN239)*EXP(-(LN(2)/$D$65+0.1)*AO239),IF(AL239=3,AR$100*EXP(-(LN(2)/$D$65+0.04)*(VLOOKUP(($F$16-$F$15)-1,AK$100:AO239,4,FALSE)))*EXP(-(LN(2)/$D$65+0.1)*(VLOOKUP(($F$16-$F$15)-1,AK$100:AO239,5,FALSE)))*EXP(-(LN(2)/$D$65+0.04)*(VLOOKUP(($F$16-$F$15)*2-1,AK$100:AO239,4,FALSE)))*EXP(-(LN(2)/$D$65+0.1)*(VLOOKUP(($F$16-$F$15)*2-1,AK$100:AO239,5,FALSE)))*EXP(-(LN(2)/$D$65+0.04)*AN239)*EXP(-(LN(2)/$D$65+0.1)*AO239),"-"))),"-")</f>
        <v>-</v>
      </c>
      <c r="AS239" s="274">
        <f t="shared" si="224"/>
        <v>0</v>
      </c>
      <c r="AT239" s="274">
        <f t="shared" si="225"/>
        <v>0</v>
      </c>
      <c r="AU239" s="274">
        <f t="shared" si="226"/>
        <v>0</v>
      </c>
      <c r="AV239" s="190">
        <f>IF($B239&lt;$F$22,SUM($T$100:$T239),"")</f>
        <v>0</v>
      </c>
      <c r="AW239" s="190" t="str">
        <f t="shared" si="227"/>
        <v>-</v>
      </c>
      <c r="AX239" s="190" t="str">
        <f t="shared" si="252"/>
        <v/>
      </c>
      <c r="AY239"/>
      <c r="AZ239" s="190" t="str">
        <f ca="1">IF(ISNUMBER(OFFSET(AV239,-$F$21,0)),SUM(OFFSET($T$100,$F$21,0):$T239),"")</f>
        <v/>
      </c>
      <c r="BA239" s="190" t="str">
        <f t="shared" ca="1" si="228"/>
        <v/>
      </c>
      <c r="BB239" s="190" t="str">
        <f t="shared" ca="1" si="164"/>
        <v/>
      </c>
      <c r="BC239" s="190"/>
      <c r="BD239" s="190" t="str">
        <f ca="1">IFERROR(IF(AND($B239&gt;=($F$16-$F$15),$B239&lt;$F$22+($F$16-$F$15)),SUM(OFFSET($T$100,($F$16-$F$15),0):$T239),""),"")</f>
        <v/>
      </c>
      <c r="BE239" s="190" t="str">
        <f t="shared" ca="1" si="253"/>
        <v/>
      </c>
      <c r="BF239" s="190" t="str">
        <f t="shared" ca="1" si="254"/>
        <v/>
      </c>
      <c r="BG239"/>
      <c r="BH239" s="190" t="str">
        <f ca="1">IF(ISNUMBER(OFFSET(BD239,-$F$21,0)),SUM(OFFSET($T$100,($F$16-$F$15+$F$21),0):$T239),"")</f>
        <v/>
      </c>
      <c r="BI239" s="190" t="str">
        <f t="shared" ca="1" si="229"/>
        <v/>
      </c>
      <c r="BJ239" s="190" t="str">
        <f t="shared" ca="1" si="255"/>
        <v/>
      </c>
      <c r="BK239" s="190"/>
      <c r="BL239" s="190" t="str">
        <f ca="1">IFERROR(IF(AND($B239&gt;=($F$17-$F$15),$B239&lt;$F$22+($F$17-$F$15)),SUM(OFFSET($T$100,($F$17-$F$15),0):$T239),""),"")</f>
        <v/>
      </c>
      <c r="BM239" s="190" t="str">
        <f t="shared" ca="1" si="230"/>
        <v/>
      </c>
      <c r="BN239" s="190" t="str">
        <f t="shared" ca="1" si="256"/>
        <v/>
      </c>
      <c r="BO239"/>
      <c r="BP239" s="190" t="str">
        <f ca="1">IF(ISNUMBER(OFFSET(BL239,-$F$21,0)),SUM(OFFSET($T$100,($F$17-$F$15+$F$21),0):$T239),"")</f>
        <v/>
      </c>
      <c r="BQ239" s="190" t="str">
        <f t="shared" ca="1" si="231"/>
        <v/>
      </c>
      <c r="BR239" s="190" t="str">
        <f t="shared" ca="1" si="257"/>
        <v/>
      </c>
      <c r="BS239" s="190"/>
      <c r="BT239"/>
      <c r="BU239"/>
      <c r="BV239"/>
      <c r="BY239" s="99"/>
      <c r="BZ239" s="99"/>
      <c r="CA239" s="280" t="str">
        <f t="shared" si="232"/>
        <v/>
      </c>
      <c r="CB239" s="71" t="str">
        <f t="shared" si="233"/>
        <v>-</v>
      </c>
      <c r="CC239" s="33"/>
      <c r="CD239" s="261" t="str">
        <f t="shared" si="234"/>
        <v/>
      </c>
      <c r="CE239" s="280" t="str">
        <f t="shared" si="235"/>
        <v>-</v>
      </c>
      <c r="CF239" s="71" t="str">
        <f t="shared" ca="1" si="236"/>
        <v>-</v>
      </c>
      <c r="CG239" s="33" t="str">
        <f t="shared" si="237"/>
        <v>139-140</v>
      </c>
      <c r="CH239" s="261" t="str">
        <f t="shared" ca="1" si="238"/>
        <v/>
      </c>
      <c r="CP239" s="99"/>
      <c r="CQ239" s="99"/>
    </row>
    <row r="240" spans="2:95" ht="13.5" customHeight="1" x14ac:dyDescent="0.2">
      <c r="B240" s="262">
        <v>140</v>
      </c>
      <c r="C240" s="237" t="str">
        <f t="shared" si="201"/>
        <v/>
      </c>
      <c r="D240" s="237" t="str">
        <f t="shared" si="239"/>
        <v>-</v>
      </c>
      <c r="E240" s="263" t="str">
        <f t="shared" si="240"/>
        <v/>
      </c>
      <c r="F240" s="264" t="str">
        <f t="shared" si="241"/>
        <v/>
      </c>
      <c r="G240" s="264" t="str">
        <f t="shared" si="242"/>
        <v/>
      </c>
      <c r="H240" s="240" t="str">
        <f t="shared" si="202"/>
        <v/>
      </c>
      <c r="I240" s="265" t="str">
        <f t="shared" si="203"/>
        <v/>
      </c>
      <c r="J240" s="265" t="str">
        <f t="shared" si="204"/>
        <v/>
      </c>
      <c r="K240" s="240" t="str">
        <f t="shared" si="205"/>
        <v/>
      </c>
      <c r="L240" s="265" t="str">
        <f t="shared" si="206"/>
        <v/>
      </c>
      <c r="M240" s="265" t="str">
        <f t="shared" si="207"/>
        <v/>
      </c>
      <c r="N240" s="240" t="str">
        <f t="shared" si="208"/>
        <v>-</v>
      </c>
      <c r="O240" s="265" t="str">
        <f t="shared" si="209"/>
        <v>-</v>
      </c>
      <c r="P240" s="265" t="str">
        <f t="shared" si="210"/>
        <v>-</v>
      </c>
      <c r="Q240" s="266" t="str">
        <f t="shared" si="211"/>
        <v>-</v>
      </c>
      <c r="R240" s="267" t="str">
        <f t="shared" si="212"/>
        <v>-</v>
      </c>
      <c r="S240" s="268" t="str">
        <f t="shared" si="213"/>
        <v>-</v>
      </c>
      <c r="T240" s="269" t="str">
        <f t="shared" si="214"/>
        <v/>
      </c>
      <c r="U240" s="221">
        <f t="shared" si="215"/>
        <v>140</v>
      </c>
      <c r="V240" s="220" t="str">
        <f t="shared" si="216"/>
        <v>-</v>
      </c>
      <c r="W240" s="221" t="str">
        <f t="shared" si="243"/>
        <v>-</v>
      </c>
      <c r="X240" s="221" t="str">
        <f t="shared" si="217"/>
        <v>-</v>
      </c>
      <c r="Y240" s="221" t="str">
        <f t="shared" si="218"/>
        <v>-</v>
      </c>
      <c r="Z240" s="270">
        <f t="shared" si="244"/>
        <v>0.1</v>
      </c>
      <c r="AA240" s="271" t="str">
        <f>IFERROR(IF(V239=1,AA$100*EXP(-(LN(2)/$D$65+0.04)*X239)*EXP(-(LN(2)/$D$65+0.1)*Y239),IF(V239=2,AA$100*EXP(-(LN(2)/$D$65+0.04)*(VLOOKUP(($F$16-$F$15)-1,U$99:Y239,4,FALSE)))*EXP(-(LN(2)/$D$65+0.1)*(VLOOKUP(($F$16-$F$15)-1,U$99:Y239,5,FALSE)))*EXP(-(LN(2)/$D$65+0.04)*X239)*EXP(-(LN(2)/$D$65+0.1)*Y239),IF(V239=3,AA$100*EXP(-(LN(2)/$D$65+0.04)*(VLOOKUP(($F$16-$F$15)-1,U$99:Y239,4,FALSE)))*EXP(-(LN(2)/$D$65+0.1)*(VLOOKUP(($F$16-$F$15)-1,U$99:Y239,5,FALSE)))*EXP(-(LN(2)/$D$65+0.04)*(VLOOKUP(($F$16-$F$15)*2-1,U$99:Y239,4,FALSE)))*EXP(-(LN(2)/$D$65+0.1)*(VLOOKUP(($F$16-$F$15)*2-1,U$99:Y239,5,FALSE)))*EXP(-(LN(2)/$D$65+0.04)*X239)*EXP(-(LN(2)/$D$65+0.1)*Y239),"-"))),"-")</f>
        <v>-</v>
      </c>
      <c r="AB240" s="271" t="str">
        <f>IFERROR(IF(V240=1,AB$100*EXP(-(LN(2)/$D$65+0.04)*X240)*EXP(-(LN(2)/$D$65+0.1)*Y240),IF(V240=2,AB$100*EXP(-(LN(2)/$D$65+0.04)*(VLOOKUP(($F$16-$F$15)-1,U$100:Y240,4,FALSE)))*EXP(-(LN(2)/$D$65+0.1)*(VLOOKUP(($F$16-$F$15)-1,U$100:Y240,5,FALSE)))*EXP(-(LN(2)/$D$65+0.04)*X240)*EXP(-(LN(2)/$D$65+0.1)*Y240),IF(V240=3,AB$100*EXP(-(LN(2)/$D$65+0.04)*(VLOOKUP(($F$16-$F$15)-1,U$100:Y240,4,FALSE)))*EXP(-(LN(2)/$D$65+0.1)*(VLOOKUP(($F$16-$F$15)-1,U$100:Y240,5,FALSE)))*EXP(-(LN(2)/$D$65+0.04)*(VLOOKUP(($F$16-$F$15)*2-1,U$100:Y240,4,FALSE)))*EXP(-(LN(2)/$D$65+0.1)*(VLOOKUP(($F$16-$F$15)*2-1,U$100:Y240,5,FALSE)))*EXP(-(LN(2)/$D$65+0.04)*X240)*EXP(-(LN(2)/$D$65+0.1)*Y240),"-"))),"-")</f>
        <v>-</v>
      </c>
      <c r="AC240" s="224">
        <f t="shared" si="245"/>
        <v>140</v>
      </c>
      <c r="AD240" s="223" t="str">
        <f t="shared" si="219"/>
        <v>-</v>
      </c>
      <c r="AE240" s="224" t="str">
        <f t="shared" si="246"/>
        <v>-</v>
      </c>
      <c r="AF240" s="224" t="str">
        <f t="shared" si="220"/>
        <v>-</v>
      </c>
      <c r="AG240" s="224" t="str">
        <f t="shared" si="221"/>
        <v>-</v>
      </c>
      <c r="AH240" s="272">
        <f t="shared" si="247"/>
        <v>0.1</v>
      </c>
      <c r="AI240" s="271" t="str">
        <f>IFERROR(IF(AD239=1,AI$100*EXP(-(LN(2)/$D$65+0.04)*AF239)*EXP(-(LN(2)/$D$65+0.1)*AG239),IF(AD239=2,AI$100*EXP(-(LN(2)/$D$65+0.04)*(VLOOKUP(($F$16-$F$15)-1,AC$99:AG239,4,FALSE)))*EXP(-(LN(2)/$D$65+0.1)*(VLOOKUP(($F$16-$F$15)-1,AC$99:AG239,5,FALSE)))*EXP(-(LN(2)/$D$65+0.04)*AF239)*EXP(-(LN(2)/$D$65+0.1)*AG239),IF(AD239=3,AI$100*EXP(-(LN(2)/$D$65+0.04)*(VLOOKUP(($F$16-$F$15)-1,AC$99:AG239,4,FALSE)))*EXP(-(LN(2)/$D$65+0.1)*(VLOOKUP(($F$16-$F$15)-1,AC$99:AG239,5,FALSE)))*EXP(-(LN(2)/$D$65+0.04)*(VLOOKUP(($F$16-$F$15)*2-1,AC$99:AG239,4,FALSE)))*EXP(-(LN(2)/$D$65+0.1)*(VLOOKUP(($F$16-$F$15)*2-1,AC$99:AG239,5,FALSE)))*EXP(-(LN(2)/$D$65+0.04)*AF239)*EXP(-(LN(2)/$D$65+0.1)*AG239),"-"))),"-")</f>
        <v>-</v>
      </c>
      <c r="AJ240" s="271" t="str">
        <f>IFERROR(IF(AD240=1,AJ$100*EXP(-(LN(2)/$D$65+0.04)*AF240)*EXP(-(LN(2)/$D$65+0.1)*AG240),IF(AD240=2,AJ$100*EXP(-(LN(2)/$D$65+0.04)*(VLOOKUP(($F$16-$F$15)-1,AC$100:AG240,4,FALSE)))*EXP(-(LN(2)/$D$65+0.1)*(VLOOKUP(($F$16-$F$15)-1,AC$100:AG240,5,FALSE)))*EXP(-(LN(2)/$D$65+0.04)*AF240)*EXP(-(LN(2)/$D$65+0.1)*AG240),IF(AD240=3,AJ$100*EXP(-(LN(2)/$D$65+0.04)*(VLOOKUP(($F$16-$F$15)-1,AC$100:AG240,4,FALSE)))*EXP(-(LN(2)/$D$65+0.1)*(VLOOKUP(($F$16-$F$15)-1,AC$100:AG240,5,FALSE)))*EXP(-(LN(2)/$D$65+0.04)*(VLOOKUP(($F$16-$F$15)*2-1,AC$100:AG240,4,FALSE)))*EXP(-(LN(2)/$D$65+0.1)*(VLOOKUP(($F$16-$F$15)*2-1,AC$100:AG240,5,FALSE)))*EXP(-(LN(2)/$D$65+0.04)*AF240)*EXP(-(LN(2)/$D$65+0.1)*AG240),"-"))),"-")</f>
        <v>-</v>
      </c>
      <c r="AK240" s="227">
        <f t="shared" si="248"/>
        <v>140</v>
      </c>
      <c r="AL240" s="226" t="str">
        <f t="shared" si="222"/>
        <v>-</v>
      </c>
      <c r="AM240" s="227" t="str">
        <f t="shared" si="249"/>
        <v>-</v>
      </c>
      <c r="AN240" s="227" t="str">
        <f t="shared" si="250"/>
        <v>-</v>
      </c>
      <c r="AO240" s="227" t="str">
        <f t="shared" si="223"/>
        <v>-</v>
      </c>
      <c r="AP240" s="273">
        <f t="shared" si="251"/>
        <v>0.1</v>
      </c>
      <c r="AQ240" s="271" t="str">
        <f>IFERROR(IF(AL239=1,AQ$100*EXP(-(LN(2)/$D$65+0.04)*AN239)*EXP(-(LN(2)/$D$65+0.1)*AO239),IF(AL239=2,AQ$100*EXP(-(LN(2)/$D$65+0.04)*(VLOOKUP(($F$16-$F$15)-1,AK$99:AO239,4,FALSE)))*EXP(-(LN(2)/$D$65+0.1)*(VLOOKUP(($F$16-$F$15)-1,AK$99:AO239,5,FALSE)))*EXP(-(LN(2)/$D$65+0.04)*AN239)*EXP(-(LN(2)/$D$65+0.1)*AO239),IF(AL239=3,AQ$100*EXP(-(LN(2)/$D$65+0.04)*(VLOOKUP(($F$16-$F$15)-1,AK$99:AO239,4,FALSE)))*EXP(-(LN(2)/$D$65+0.1)*(VLOOKUP(($F$16-$F$15)-1,AK$99:AO239,5,FALSE)))*EXP(-(LN(2)/$D$65+0.04)*(VLOOKUP(($F$16-$F$15)*2-1,AK$99:AO239,4,FALSE)))*EXP(-(LN(2)/$D$65+0.1)*(VLOOKUP(($F$16-$F$15)*2-1,AK$99:AO239,5,FALSE)))*EXP(-(LN(2)/$D$65+0.04)*AN239)*EXP(-(LN(2)/$D$65+0.1)*AO239),"-"))),"-")</f>
        <v>-</v>
      </c>
      <c r="AR240" s="271" t="str">
        <f>IFERROR(IF(AL240=1,AR$100*EXP(-(LN(2)/$D$65+0.04)*AN240)*EXP(-(LN(2)/$D$65+0.1)*AO240),IF(AL240=2,AR$100*EXP(-(LN(2)/$D$65+0.04)*(VLOOKUP(($F$16-$F$15)-1,AK$100:AO240,4,FALSE)))*EXP(-(LN(2)/$D$65+0.1)*(VLOOKUP(($F$16-$F$15)-1,AK$100:AO240,5,FALSE)))*EXP(-(LN(2)/$D$65+0.04)*AN240)*EXP(-(LN(2)/$D$65+0.1)*AO240),IF(AL240=3,AR$100*EXP(-(LN(2)/$D$65+0.04)*(VLOOKUP(($F$16-$F$15)-1,AK$100:AO240,4,FALSE)))*EXP(-(LN(2)/$D$65+0.1)*(VLOOKUP(($F$16-$F$15)-1,AK$100:AO240,5,FALSE)))*EXP(-(LN(2)/$D$65+0.04)*(VLOOKUP(($F$16-$F$15)*2-1,AK$100:AO240,4,FALSE)))*EXP(-(LN(2)/$D$65+0.1)*(VLOOKUP(($F$16-$F$15)*2-1,AK$100:AO240,5,FALSE)))*EXP(-(LN(2)/$D$65+0.04)*AN240)*EXP(-(LN(2)/$D$65+0.1)*AO240),"-"))),"-")</f>
        <v>-</v>
      </c>
      <c r="AS240" s="274">
        <f t="shared" si="224"/>
        <v>0</v>
      </c>
      <c r="AT240" s="274">
        <f t="shared" si="225"/>
        <v>0</v>
      </c>
      <c r="AU240" s="274">
        <f t="shared" si="226"/>
        <v>0</v>
      </c>
      <c r="AV240" s="190">
        <f>IF($B240&lt;$F$22,SUM($T$100:$T240),"")</f>
        <v>0</v>
      </c>
      <c r="AW240" s="190" t="str">
        <f t="shared" si="227"/>
        <v>-</v>
      </c>
      <c r="AX240" s="190" t="str">
        <f t="shared" si="252"/>
        <v/>
      </c>
      <c r="AY240"/>
      <c r="AZ240" s="190" t="str">
        <f ca="1">IF(ISNUMBER(OFFSET(AV240,-$F$21,0)),SUM(OFFSET($T$100,$F$21,0):$T240),"")</f>
        <v/>
      </c>
      <c r="BA240" s="190" t="str">
        <f t="shared" ca="1" si="228"/>
        <v/>
      </c>
      <c r="BB240" s="190" t="str">
        <f t="shared" ca="1" si="164"/>
        <v/>
      </c>
      <c r="BC240" s="190"/>
      <c r="BD240" s="190" t="str">
        <f ca="1">IFERROR(IF(AND($B240&gt;=($F$16-$F$15),$B240&lt;$F$22+($F$16-$F$15)),SUM(OFFSET($T$100,($F$16-$F$15),0):$T240),""),"")</f>
        <v/>
      </c>
      <c r="BE240" s="190" t="str">
        <f t="shared" ca="1" si="253"/>
        <v/>
      </c>
      <c r="BF240" s="190" t="str">
        <f t="shared" ca="1" si="254"/>
        <v/>
      </c>
      <c r="BG240"/>
      <c r="BH240" s="190" t="str">
        <f ca="1">IF(ISNUMBER(OFFSET(BD240,-$F$21,0)),SUM(OFFSET($T$100,($F$16-$F$15+$F$21),0):$T240),"")</f>
        <v/>
      </c>
      <c r="BI240" s="190" t="str">
        <f t="shared" ca="1" si="229"/>
        <v/>
      </c>
      <c r="BJ240" s="190" t="str">
        <f t="shared" ca="1" si="255"/>
        <v/>
      </c>
      <c r="BK240" s="190"/>
      <c r="BL240" s="190" t="str">
        <f ca="1">IFERROR(IF(AND($B240&gt;=($F$17-$F$15),$B240&lt;$F$22+($F$17-$F$15)),SUM(OFFSET($T$100,($F$17-$F$15),0):$T240),""),"")</f>
        <v/>
      </c>
      <c r="BM240" s="190" t="str">
        <f t="shared" ca="1" si="230"/>
        <v/>
      </c>
      <c r="BN240" s="190" t="str">
        <f t="shared" ca="1" si="256"/>
        <v/>
      </c>
      <c r="BO240"/>
      <c r="BP240" s="190" t="str">
        <f ca="1">IF(ISNUMBER(OFFSET(BL240,-$F$21,0)),SUM(OFFSET($T$100,($F$17-$F$15+$F$21),0):$T240),"")</f>
        <v/>
      </c>
      <c r="BQ240" s="190" t="str">
        <f t="shared" ca="1" si="231"/>
        <v/>
      </c>
      <c r="BR240" s="190" t="str">
        <f t="shared" ca="1" si="257"/>
        <v/>
      </c>
      <c r="BS240" s="190"/>
      <c r="BT240"/>
      <c r="BU240"/>
      <c r="BV240"/>
      <c r="BY240" s="99"/>
      <c r="BZ240" s="99"/>
      <c r="CA240" s="280" t="str">
        <f t="shared" si="232"/>
        <v/>
      </c>
      <c r="CB240" s="71" t="str">
        <f t="shared" si="233"/>
        <v>-</v>
      </c>
      <c r="CC240" s="33"/>
      <c r="CD240" s="261" t="str">
        <f t="shared" si="234"/>
        <v/>
      </c>
      <c r="CE240" s="280" t="str">
        <f t="shared" si="235"/>
        <v>-</v>
      </c>
      <c r="CF240" s="71" t="str">
        <f t="shared" ca="1" si="236"/>
        <v>-</v>
      </c>
      <c r="CG240" s="33" t="str">
        <f t="shared" si="237"/>
        <v>140-141</v>
      </c>
      <c r="CH240" s="261" t="str">
        <f t="shared" ca="1" si="238"/>
        <v/>
      </c>
      <c r="CP240" s="99"/>
      <c r="CQ240" s="99"/>
    </row>
    <row r="241" spans="2:95" ht="13.5" customHeight="1" x14ac:dyDescent="0.2">
      <c r="B241" s="262">
        <v>141</v>
      </c>
      <c r="C241" s="237" t="str">
        <f t="shared" si="201"/>
        <v/>
      </c>
      <c r="D241" s="237" t="str">
        <f t="shared" si="239"/>
        <v>-</v>
      </c>
      <c r="E241" s="263" t="str">
        <f t="shared" si="240"/>
        <v/>
      </c>
      <c r="F241" s="264" t="str">
        <f t="shared" si="241"/>
        <v/>
      </c>
      <c r="G241" s="264" t="str">
        <f t="shared" si="242"/>
        <v/>
      </c>
      <c r="H241" s="240" t="str">
        <f t="shared" si="202"/>
        <v/>
      </c>
      <c r="I241" s="265" t="str">
        <f t="shared" si="203"/>
        <v/>
      </c>
      <c r="J241" s="265" t="str">
        <f t="shared" si="204"/>
        <v/>
      </c>
      <c r="K241" s="240" t="str">
        <f t="shared" si="205"/>
        <v/>
      </c>
      <c r="L241" s="265" t="str">
        <f t="shared" si="206"/>
        <v/>
      </c>
      <c r="M241" s="265" t="str">
        <f t="shared" si="207"/>
        <v/>
      </c>
      <c r="N241" s="240" t="str">
        <f t="shared" si="208"/>
        <v>-</v>
      </c>
      <c r="O241" s="265" t="str">
        <f t="shared" si="209"/>
        <v>-</v>
      </c>
      <c r="P241" s="265" t="str">
        <f t="shared" si="210"/>
        <v>-</v>
      </c>
      <c r="Q241" s="266" t="str">
        <f t="shared" si="211"/>
        <v>-</v>
      </c>
      <c r="R241" s="267" t="str">
        <f t="shared" si="212"/>
        <v>-</v>
      </c>
      <c r="S241" s="268" t="str">
        <f t="shared" si="213"/>
        <v>-</v>
      </c>
      <c r="T241" s="269" t="str">
        <f t="shared" si="214"/>
        <v/>
      </c>
      <c r="U241" s="221">
        <f t="shared" si="215"/>
        <v>141</v>
      </c>
      <c r="V241" s="220" t="str">
        <f t="shared" si="216"/>
        <v>-</v>
      </c>
      <c r="W241" s="221" t="str">
        <f t="shared" si="243"/>
        <v>-</v>
      </c>
      <c r="X241" s="221" t="str">
        <f t="shared" si="217"/>
        <v>-</v>
      </c>
      <c r="Y241" s="221" t="str">
        <f t="shared" si="218"/>
        <v>-</v>
      </c>
      <c r="Z241" s="270">
        <f t="shared" si="244"/>
        <v>0.1</v>
      </c>
      <c r="AA241" s="271" t="str">
        <f>IFERROR(IF(V240=1,AA$100*EXP(-(LN(2)/$D$65+0.04)*X240)*EXP(-(LN(2)/$D$65+0.1)*Y240),IF(V240=2,AA$100*EXP(-(LN(2)/$D$65+0.04)*(VLOOKUP(($F$16-$F$15)-1,U$99:Y240,4,FALSE)))*EXP(-(LN(2)/$D$65+0.1)*(VLOOKUP(($F$16-$F$15)-1,U$99:Y240,5,FALSE)))*EXP(-(LN(2)/$D$65+0.04)*X240)*EXP(-(LN(2)/$D$65+0.1)*Y240),IF(V240=3,AA$100*EXP(-(LN(2)/$D$65+0.04)*(VLOOKUP(($F$16-$F$15)-1,U$99:Y240,4,FALSE)))*EXP(-(LN(2)/$D$65+0.1)*(VLOOKUP(($F$16-$F$15)-1,U$99:Y240,5,FALSE)))*EXP(-(LN(2)/$D$65+0.04)*(VLOOKUP(($F$16-$F$15)*2-1,U$99:Y240,4,FALSE)))*EXP(-(LN(2)/$D$65+0.1)*(VLOOKUP(($F$16-$F$15)*2-1,U$99:Y240,5,FALSE)))*EXP(-(LN(2)/$D$65+0.04)*X240)*EXP(-(LN(2)/$D$65+0.1)*Y240),"-"))),"-")</f>
        <v>-</v>
      </c>
      <c r="AB241" s="271" t="str">
        <f>IFERROR(IF(V241=1,AB$100*EXP(-(LN(2)/$D$65+0.04)*X241)*EXP(-(LN(2)/$D$65+0.1)*Y241),IF(V241=2,AB$100*EXP(-(LN(2)/$D$65+0.04)*(VLOOKUP(($F$16-$F$15)-1,U$100:Y241,4,FALSE)))*EXP(-(LN(2)/$D$65+0.1)*(VLOOKUP(($F$16-$F$15)-1,U$100:Y241,5,FALSE)))*EXP(-(LN(2)/$D$65+0.04)*X241)*EXP(-(LN(2)/$D$65+0.1)*Y241),IF(V241=3,AB$100*EXP(-(LN(2)/$D$65+0.04)*(VLOOKUP(($F$16-$F$15)-1,U$100:Y241,4,FALSE)))*EXP(-(LN(2)/$D$65+0.1)*(VLOOKUP(($F$16-$F$15)-1,U$100:Y241,5,FALSE)))*EXP(-(LN(2)/$D$65+0.04)*(VLOOKUP(($F$16-$F$15)*2-1,U$100:Y241,4,FALSE)))*EXP(-(LN(2)/$D$65+0.1)*(VLOOKUP(($F$16-$F$15)*2-1,U$100:Y241,5,FALSE)))*EXP(-(LN(2)/$D$65+0.04)*X241)*EXP(-(LN(2)/$D$65+0.1)*Y241),"-"))),"-")</f>
        <v>-</v>
      </c>
      <c r="AC241" s="224">
        <f>B241</f>
        <v>141</v>
      </c>
      <c r="AD241" s="223" t="str">
        <f t="shared" si="219"/>
        <v>-</v>
      </c>
      <c r="AE241" s="224" t="str">
        <f t="shared" si="246"/>
        <v>-</v>
      </c>
      <c r="AF241" s="224" t="str">
        <f t="shared" si="220"/>
        <v>-</v>
      </c>
      <c r="AG241" s="224" t="str">
        <f t="shared" si="221"/>
        <v>-</v>
      </c>
      <c r="AH241" s="272">
        <f t="shared" si="247"/>
        <v>0.1</v>
      </c>
      <c r="AI241" s="271" t="str">
        <f>IFERROR(IF(AD240=1,AI$100*EXP(-(LN(2)/$D$65+0.04)*AF240)*EXP(-(LN(2)/$D$65+0.1)*AG240),IF(AD240=2,AI$100*EXP(-(LN(2)/$D$65+0.04)*(VLOOKUP(($F$16-$F$15)-1,AC$99:AG240,4,FALSE)))*EXP(-(LN(2)/$D$65+0.1)*(VLOOKUP(($F$16-$F$15)-1,AC$99:AG240,5,FALSE)))*EXP(-(LN(2)/$D$65+0.04)*AF240)*EXP(-(LN(2)/$D$65+0.1)*AG240),IF(AD240=3,AI$100*EXP(-(LN(2)/$D$65+0.04)*(VLOOKUP(($F$16-$F$15)-1,AC$99:AG240,4,FALSE)))*EXP(-(LN(2)/$D$65+0.1)*(VLOOKUP(($F$16-$F$15)-1,AC$99:AG240,5,FALSE)))*EXP(-(LN(2)/$D$65+0.04)*(VLOOKUP(($F$16-$F$15)*2-1,AC$99:AG240,4,FALSE)))*EXP(-(LN(2)/$D$65+0.1)*(VLOOKUP(($F$16-$F$15)*2-1,AC$99:AG240,5,FALSE)))*EXP(-(LN(2)/$D$65+0.04)*AF240)*EXP(-(LN(2)/$D$65+0.1)*AG240),"-"))),"-")</f>
        <v>-</v>
      </c>
      <c r="AJ241" s="271" t="str">
        <f>IFERROR(IF(AD241=1,AJ$100*EXP(-(LN(2)/$D$65+0.04)*AF241)*EXP(-(LN(2)/$D$65+0.1)*AG241),IF(AD241=2,AJ$100*EXP(-(LN(2)/$D$65+0.04)*(VLOOKUP(($F$16-$F$15)-1,AC$100:AG241,4,FALSE)))*EXP(-(LN(2)/$D$65+0.1)*(VLOOKUP(($F$16-$F$15)-1,AC$100:AG241,5,FALSE)))*EXP(-(LN(2)/$D$65+0.04)*AF241)*EXP(-(LN(2)/$D$65+0.1)*AG241),IF(AD241=3,AJ$100*EXP(-(LN(2)/$D$65+0.04)*(VLOOKUP(($F$16-$F$15)-1,AC$100:AG241,4,FALSE)))*EXP(-(LN(2)/$D$65+0.1)*(VLOOKUP(($F$16-$F$15)-1,AC$100:AG241,5,FALSE)))*EXP(-(LN(2)/$D$65+0.04)*(VLOOKUP(($F$16-$F$15)*2-1,AC$100:AG241,4,FALSE)))*EXP(-(LN(2)/$D$65+0.1)*(VLOOKUP(($F$16-$F$15)*2-1,AC$100:AG241,5,FALSE)))*EXP(-(LN(2)/$D$65+0.04)*AF241)*EXP(-(LN(2)/$D$65+0.1)*AG241),"-"))),"-")</f>
        <v>-</v>
      </c>
      <c r="AK241" s="227">
        <f t="shared" si="248"/>
        <v>141</v>
      </c>
      <c r="AL241" s="226" t="str">
        <f t="shared" si="222"/>
        <v>-</v>
      </c>
      <c r="AM241" s="227" t="str">
        <f t="shared" si="249"/>
        <v>-</v>
      </c>
      <c r="AN241" s="227" t="str">
        <f t="shared" si="250"/>
        <v>-</v>
      </c>
      <c r="AO241" s="227" t="str">
        <f t="shared" si="223"/>
        <v>-</v>
      </c>
      <c r="AP241" s="273">
        <f t="shared" si="251"/>
        <v>0.1</v>
      </c>
      <c r="AQ241" s="271" t="str">
        <f>IFERROR(IF(AL240=1,AQ$100*EXP(-(LN(2)/$D$65+0.04)*AN240)*EXP(-(LN(2)/$D$65+0.1)*AO240),IF(AL240=2,AQ$100*EXP(-(LN(2)/$D$65+0.04)*(VLOOKUP(($F$16-$F$15)-1,AK$99:AO240,4,FALSE)))*EXP(-(LN(2)/$D$65+0.1)*(VLOOKUP(($F$16-$F$15)-1,AK$99:AO240,5,FALSE)))*EXP(-(LN(2)/$D$65+0.04)*AN240)*EXP(-(LN(2)/$D$65+0.1)*AO240),IF(AL240=3,AQ$100*EXP(-(LN(2)/$D$65+0.04)*(VLOOKUP(($F$16-$F$15)-1,AK$99:AO240,4,FALSE)))*EXP(-(LN(2)/$D$65+0.1)*(VLOOKUP(($F$16-$F$15)-1,AK$99:AO240,5,FALSE)))*EXP(-(LN(2)/$D$65+0.04)*(VLOOKUP(($F$16-$F$15)*2-1,AK$99:AO240,4,FALSE)))*EXP(-(LN(2)/$D$65+0.1)*(VLOOKUP(($F$16-$F$15)*2-1,AK$99:AO240,5,FALSE)))*EXP(-(LN(2)/$D$65+0.04)*AN240)*EXP(-(LN(2)/$D$65+0.1)*AO240),"-"))),"-")</f>
        <v>-</v>
      </c>
      <c r="AR241" s="271" t="str">
        <f>IFERROR(IF(AL241=1,AR$100*EXP(-(LN(2)/$D$65+0.04)*AN241)*EXP(-(LN(2)/$D$65+0.1)*AO241),IF(AL241=2,AR$100*EXP(-(LN(2)/$D$65+0.04)*(VLOOKUP(($F$16-$F$15)-1,AK$100:AO241,4,FALSE)))*EXP(-(LN(2)/$D$65+0.1)*(VLOOKUP(($F$16-$F$15)-1,AK$100:AO241,5,FALSE)))*EXP(-(LN(2)/$D$65+0.04)*AN241)*EXP(-(LN(2)/$D$65+0.1)*AO241),IF(AL241=3,AR$100*EXP(-(LN(2)/$D$65+0.04)*(VLOOKUP(($F$16-$F$15)-1,AK$100:AO241,4,FALSE)))*EXP(-(LN(2)/$D$65+0.1)*(VLOOKUP(($F$16-$F$15)-1,AK$100:AO241,5,FALSE)))*EXP(-(LN(2)/$D$65+0.04)*(VLOOKUP(($F$16-$F$15)*2-1,AK$100:AO241,4,FALSE)))*EXP(-(LN(2)/$D$65+0.1)*(VLOOKUP(($F$16-$F$15)*2-1,AK$100:AO241,5,FALSE)))*EXP(-(LN(2)/$D$65+0.04)*AN241)*EXP(-(LN(2)/$D$65+0.1)*AO241),"-"))),"-")</f>
        <v>-</v>
      </c>
      <c r="AS241" s="274">
        <f t="shared" si="224"/>
        <v>0</v>
      </c>
      <c r="AT241" s="274">
        <f t="shared" si="225"/>
        <v>0</v>
      </c>
      <c r="AU241" s="274">
        <f t="shared" si="226"/>
        <v>0</v>
      </c>
      <c r="AV241" s="190">
        <f>IF($B241&lt;$F$22,SUM($T$100:$T241),"")</f>
        <v>0</v>
      </c>
      <c r="AW241" s="190" t="str">
        <f t="shared" si="227"/>
        <v>-</v>
      </c>
      <c r="AX241" s="190" t="str">
        <f t="shared" si="252"/>
        <v/>
      </c>
      <c r="AY241"/>
      <c r="AZ241" s="190" t="str">
        <f ca="1">IF(ISNUMBER(OFFSET(AV241,-$F$21,0)),SUM(OFFSET($T$100,$F$21,0):$T241),"")</f>
        <v/>
      </c>
      <c r="BA241" s="190" t="str">
        <f t="shared" ca="1" si="228"/>
        <v/>
      </c>
      <c r="BB241" s="190" t="str">
        <f t="shared" ca="1" si="164"/>
        <v/>
      </c>
      <c r="BC241" s="190"/>
      <c r="BD241" s="190" t="str">
        <f ca="1">IFERROR(IF(AND($B241&gt;=($F$16-$F$15),$B241&lt;$F$22+($F$16-$F$15)),SUM(OFFSET($T$100,($F$16-$F$15),0):$T241),""),"")</f>
        <v/>
      </c>
      <c r="BE241" s="190" t="str">
        <f t="shared" ca="1" si="253"/>
        <v/>
      </c>
      <c r="BF241" s="190" t="str">
        <f t="shared" ca="1" si="254"/>
        <v/>
      </c>
      <c r="BG241"/>
      <c r="BH241" s="190" t="str">
        <f ca="1">IF(ISNUMBER(OFFSET(BD241,-$F$21,0)),SUM(OFFSET($T$100,($F$16-$F$15+$F$21),0):$T241),"")</f>
        <v/>
      </c>
      <c r="BI241" s="190" t="str">
        <f t="shared" ca="1" si="229"/>
        <v/>
      </c>
      <c r="BJ241" s="190" t="str">
        <f t="shared" ca="1" si="255"/>
        <v/>
      </c>
      <c r="BK241" s="190"/>
      <c r="BL241" s="190" t="str">
        <f ca="1">IFERROR(IF(AND($B241&gt;=($F$17-$F$15),$B241&lt;$F$22+($F$17-$F$15)),SUM(OFFSET($T$100,($F$17-$F$15),0):$T241),""),"")</f>
        <v/>
      </c>
      <c r="BM241" s="190" t="str">
        <f t="shared" ca="1" si="230"/>
        <v/>
      </c>
      <c r="BN241" s="190" t="str">
        <f t="shared" ca="1" si="256"/>
        <v/>
      </c>
      <c r="BO241"/>
      <c r="BP241" s="190" t="str">
        <f ca="1">IF(ISNUMBER(OFFSET(BL241,-$F$21,0)),SUM(OFFSET($T$100,($F$17-$F$15+$F$21),0):$T241),"")</f>
        <v/>
      </c>
      <c r="BQ241" s="190" t="str">
        <f t="shared" ca="1" si="231"/>
        <v/>
      </c>
      <c r="BR241" s="190" t="str">
        <f t="shared" ca="1" si="257"/>
        <v/>
      </c>
      <c r="BS241" s="190"/>
      <c r="BT241"/>
      <c r="BU241"/>
      <c r="BV241"/>
      <c r="BY241" s="99"/>
      <c r="BZ241" s="99"/>
      <c r="CA241" s="280" t="str">
        <f t="shared" si="232"/>
        <v/>
      </c>
      <c r="CB241" s="71" t="str">
        <f t="shared" si="233"/>
        <v>-</v>
      </c>
      <c r="CC241" s="33"/>
      <c r="CD241" s="261" t="str">
        <f t="shared" si="234"/>
        <v/>
      </c>
      <c r="CE241" s="280" t="str">
        <f t="shared" si="235"/>
        <v>-</v>
      </c>
      <c r="CF241" s="71" t="str">
        <f t="shared" ca="1" si="236"/>
        <v>-</v>
      </c>
      <c r="CG241" s="33" t="str">
        <f t="shared" si="237"/>
        <v>141-142</v>
      </c>
      <c r="CH241" s="261" t="str">
        <f t="shared" ca="1" si="238"/>
        <v/>
      </c>
      <c r="CP241" s="99"/>
      <c r="CQ241" s="99"/>
    </row>
    <row r="242" spans="2:95" ht="13.5" customHeight="1" x14ac:dyDescent="0.2">
      <c r="B242" s="262">
        <v>142</v>
      </c>
      <c r="C242" s="237" t="str">
        <f t="shared" si="201"/>
        <v/>
      </c>
      <c r="D242" s="237" t="str">
        <f t="shared" si="239"/>
        <v>-</v>
      </c>
      <c r="E242" s="263" t="str">
        <f t="shared" si="240"/>
        <v/>
      </c>
      <c r="F242" s="264" t="str">
        <f t="shared" si="241"/>
        <v/>
      </c>
      <c r="G242" s="264" t="str">
        <f t="shared" si="242"/>
        <v/>
      </c>
      <c r="H242" s="240" t="str">
        <f t="shared" si="202"/>
        <v/>
      </c>
      <c r="I242" s="265" t="str">
        <f t="shared" si="203"/>
        <v/>
      </c>
      <c r="J242" s="265" t="str">
        <f t="shared" si="204"/>
        <v/>
      </c>
      <c r="K242" s="240" t="str">
        <f t="shared" si="205"/>
        <v/>
      </c>
      <c r="L242" s="265" t="str">
        <f t="shared" si="206"/>
        <v/>
      </c>
      <c r="M242" s="265" t="str">
        <f t="shared" si="207"/>
        <v/>
      </c>
      <c r="N242" s="240" t="str">
        <f t="shared" si="208"/>
        <v>-</v>
      </c>
      <c r="O242" s="265" t="str">
        <f t="shared" si="209"/>
        <v>-</v>
      </c>
      <c r="P242" s="265" t="str">
        <f t="shared" si="210"/>
        <v>-</v>
      </c>
      <c r="Q242" s="266" t="str">
        <f t="shared" si="211"/>
        <v>-</v>
      </c>
      <c r="R242" s="267" t="str">
        <f t="shared" si="212"/>
        <v>-</v>
      </c>
      <c r="S242" s="268" t="str">
        <f t="shared" si="213"/>
        <v>-</v>
      </c>
      <c r="T242" s="269" t="str">
        <f t="shared" si="214"/>
        <v/>
      </c>
      <c r="U242" s="221">
        <f t="shared" si="215"/>
        <v>142</v>
      </c>
      <c r="V242" s="220" t="str">
        <f t="shared" si="216"/>
        <v>-</v>
      </c>
      <c r="W242" s="221" t="str">
        <f t="shared" si="243"/>
        <v>-</v>
      </c>
      <c r="X242" s="221" t="str">
        <f t="shared" si="217"/>
        <v>-</v>
      </c>
      <c r="Y242" s="221" t="str">
        <f t="shared" si="218"/>
        <v>-</v>
      </c>
      <c r="Z242" s="270">
        <f t="shared" si="244"/>
        <v>0.1</v>
      </c>
      <c r="AA242" s="271" t="str">
        <f>IFERROR(IF(V241=1,AA$100*EXP(-(LN(2)/$D$65+0.04)*X241)*EXP(-(LN(2)/$D$65+0.1)*Y241),IF(V241=2,AA$100*EXP(-(LN(2)/$D$65+0.04)*(VLOOKUP(($F$16-$F$15)-1,U$99:Y241,4,FALSE)))*EXP(-(LN(2)/$D$65+0.1)*(VLOOKUP(($F$16-$F$15)-1,U$99:Y241,5,FALSE)))*EXP(-(LN(2)/$D$65+0.04)*X241)*EXP(-(LN(2)/$D$65+0.1)*Y241),IF(V241=3,AA$100*EXP(-(LN(2)/$D$65+0.04)*(VLOOKUP(($F$16-$F$15)-1,U$99:Y241,4,FALSE)))*EXP(-(LN(2)/$D$65+0.1)*(VLOOKUP(($F$16-$F$15)-1,U$99:Y241,5,FALSE)))*EXP(-(LN(2)/$D$65+0.04)*(VLOOKUP(($F$16-$F$15)*2-1,U$99:Y241,4,FALSE)))*EXP(-(LN(2)/$D$65+0.1)*(VLOOKUP(($F$16-$F$15)*2-1,U$99:Y241,5,FALSE)))*EXP(-(LN(2)/$D$65+0.04)*X241)*EXP(-(LN(2)/$D$65+0.1)*Y241),"-"))),"-")</f>
        <v>-</v>
      </c>
      <c r="AB242" s="271" t="str">
        <f>IFERROR(IF(V242=1,AB$100*EXP(-(LN(2)/$D$65+0.04)*X242)*EXP(-(LN(2)/$D$65+0.1)*Y242),IF(V242=2,AB$100*EXP(-(LN(2)/$D$65+0.04)*(VLOOKUP(($F$16-$F$15)-1,U$100:Y242,4,FALSE)))*EXP(-(LN(2)/$D$65+0.1)*(VLOOKUP(($F$16-$F$15)-1,U$100:Y242,5,FALSE)))*EXP(-(LN(2)/$D$65+0.04)*X242)*EXP(-(LN(2)/$D$65+0.1)*Y242),IF(V242=3,AB$100*EXP(-(LN(2)/$D$65+0.04)*(VLOOKUP(($F$16-$F$15)-1,U$100:Y242,4,FALSE)))*EXP(-(LN(2)/$D$65+0.1)*(VLOOKUP(($F$16-$F$15)-1,U$100:Y242,5,FALSE)))*EXP(-(LN(2)/$D$65+0.04)*(VLOOKUP(($F$16-$F$15)*2-1,U$100:Y242,4,FALSE)))*EXP(-(LN(2)/$D$65+0.1)*(VLOOKUP(($F$16-$F$15)*2-1,U$100:Y242,5,FALSE)))*EXP(-(LN(2)/$D$65+0.04)*X242)*EXP(-(LN(2)/$D$65+0.1)*Y242),"-"))),"-")</f>
        <v>-</v>
      </c>
      <c r="AC242" s="224">
        <f t="shared" ref="AC242:AC250" si="258">B242</f>
        <v>142</v>
      </c>
      <c r="AD242" s="223" t="str">
        <f t="shared" si="219"/>
        <v>-</v>
      </c>
      <c r="AE242" s="224" t="str">
        <f t="shared" si="246"/>
        <v>-</v>
      </c>
      <c r="AF242" s="224" t="str">
        <f t="shared" si="220"/>
        <v>-</v>
      </c>
      <c r="AG242" s="224" t="str">
        <f t="shared" si="221"/>
        <v>-</v>
      </c>
      <c r="AH242" s="272">
        <f t="shared" si="247"/>
        <v>0.1</v>
      </c>
      <c r="AI242" s="271" t="str">
        <f>IFERROR(IF(AD241=1,AI$100*EXP(-(LN(2)/$D$65+0.04)*AF241)*EXP(-(LN(2)/$D$65+0.1)*AG241),IF(AD241=2,AI$100*EXP(-(LN(2)/$D$65+0.04)*(VLOOKUP(($F$16-$F$15)-1,AC$99:AG241,4,FALSE)))*EXP(-(LN(2)/$D$65+0.1)*(VLOOKUP(($F$16-$F$15)-1,AC$99:AG241,5,FALSE)))*EXP(-(LN(2)/$D$65+0.04)*AF241)*EXP(-(LN(2)/$D$65+0.1)*AG241),IF(AD241=3,AI$100*EXP(-(LN(2)/$D$65+0.04)*(VLOOKUP(($F$16-$F$15)-1,AC$99:AG241,4,FALSE)))*EXP(-(LN(2)/$D$65+0.1)*(VLOOKUP(($F$16-$F$15)-1,AC$99:AG241,5,FALSE)))*EXP(-(LN(2)/$D$65+0.04)*(VLOOKUP(($F$16-$F$15)*2-1,AC$99:AG241,4,FALSE)))*EXP(-(LN(2)/$D$65+0.1)*(VLOOKUP(($F$16-$F$15)*2-1,AC$99:AG241,5,FALSE)))*EXP(-(LN(2)/$D$65+0.04)*AF241)*EXP(-(LN(2)/$D$65+0.1)*AG241),"-"))),"-")</f>
        <v>-</v>
      </c>
      <c r="AJ242" s="271" t="str">
        <f>IFERROR(IF(AD242=1,AJ$100*EXP(-(LN(2)/$D$65+0.04)*AF242)*EXP(-(LN(2)/$D$65+0.1)*AG242),IF(AD242=2,AJ$100*EXP(-(LN(2)/$D$65+0.04)*(VLOOKUP(($F$16-$F$15)-1,AC$100:AG242,4,FALSE)))*EXP(-(LN(2)/$D$65+0.1)*(VLOOKUP(($F$16-$F$15)-1,AC$100:AG242,5,FALSE)))*EXP(-(LN(2)/$D$65+0.04)*AF242)*EXP(-(LN(2)/$D$65+0.1)*AG242),IF(AD242=3,AJ$100*EXP(-(LN(2)/$D$65+0.04)*(VLOOKUP(($F$16-$F$15)-1,AC$100:AG242,4,FALSE)))*EXP(-(LN(2)/$D$65+0.1)*(VLOOKUP(($F$16-$F$15)-1,AC$100:AG242,5,FALSE)))*EXP(-(LN(2)/$D$65+0.04)*(VLOOKUP(($F$16-$F$15)*2-1,AC$100:AG242,4,FALSE)))*EXP(-(LN(2)/$D$65+0.1)*(VLOOKUP(($F$16-$F$15)*2-1,AC$100:AG242,5,FALSE)))*EXP(-(LN(2)/$D$65+0.04)*AF242)*EXP(-(LN(2)/$D$65+0.1)*AG242),"-"))),"-")</f>
        <v>-</v>
      </c>
      <c r="AK242" s="227">
        <f t="shared" si="248"/>
        <v>142</v>
      </c>
      <c r="AL242" s="226" t="str">
        <f t="shared" si="222"/>
        <v>-</v>
      </c>
      <c r="AM242" s="227" t="str">
        <f t="shared" si="249"/>
        <v>-</v>
      </c>
      <c r="AN242" s="227" t="str">
        <f t="shared" si="250"/>
        <v>-</v>
      </c>
      <c r="AO242" s="227" t="str">
        <f t="shared" si="223"/>
        <v>-</v>
      </c>
      <c r="AP242" s="273">
        <f t="shared" si="251"/>
        <v>0.1</v>
      </c>
      <c r="AQ242" s="271" t="str">
        <f>IFERROR(IF(AL241=1,AQ$100*EXP(-(LN(2)/$D$65+0.04)*AN241)*EXP(-(LN(2)/$D$65+0.1)*AO241),IF(AL241=2,AQ$100*EXP(-(LN(2)/$D$65+0.04)*(VLOOKUP(($F$16-$F$15)-1,AK$99:AO241,4,FALSE)))*EXP(-(LN(2)/$D$65+0.1)*(VLOOKUP(($F$16-$F$15)-1,AK$99:AO241,5,FALSE)))*EXP(-(LN(2)/$D$65+0.04)*AN241)*EXP(-(LN(2)/$D$65+0.1)*AO241),IF(AL241=3,AQ$100*EXP(-(LN(2)/$D$65+0.04)*(VLOOKUP(($F$16-$F$15)-1,AK$99:AO241,4,FALSE)))*EXP(-(LN(2)/$D$65+0.1)*(VLOOKUP(($F$16-$F$15)-1,AK$99:AO241,5,FALSE)))*EXP(-(LN(2)/$D$65+0.04)*(VLOOKUP(($F$16-$F$15)*2-1,AK$99:AO241,4,FALSE)))*EXP(-(LN(2)/$D$65+0.1)*(VLOOKUP(($F$16-$F$15)*2-1,AK$99:AO241,5,FALSE)))*EXP(-(LN(2)/$D$65+0.04)*AN241)*EXP(-(LN(2)/$D$65+0.1)*AO241),"-"))),"-")</f>
        <v>-</v>
      </c>
      <c r="AR242" s="271" t="str">
        <f>IFERROR(IF(AL242=1,AR$100*EXP(-(LN(2)/$D$65+0.04)*AN242)*EXP(-(LN(2)/$D$65+0.1)*AO242),IF(AL242=2,AR$100*EXP(-(LN(2)/$D$65+0.04)*(VLOOKUP(($F$16-$F$15)-1,AK$100:AO242,4,FALSE)))*EXP(-(LN(2)/$D$65+0.1)*(VLOOKUP(($F$16-$F$15)-1,AK$100:AO242,5,FALSE)))*EXP(-(LN(2)/$D$65+0.04)*AN242)*EXP(-(LN(2)/$D$65+0.1)*AO242),IF(AL242=3,AR$100*EXP(-(LN(2)/$D$65+0.04)*(VLOOKUP(($F$16-$F$15)-1,AK$100:AO242,4,FALSE)))*EXP(-(LN(2)/$D$65+0.1)*(VLOOKUP(($F$16-$F$15)-1,AK$100:AO242,5,FALSE)))*EXP(-(LN(2)/$D$65+0.04)*(VLOOKUP(($F$16-$F$15)*2-1,AK$100:AO242,4,FALSE)))*EXP(-(LN(2)/$D$65+0.1)*(VLOOKUP(($F$16-$F$15)*2-1,AK$100:AO242,5,FALSE)))*EXP(-(LN(2)/$D$65+0.04)*AN242)*EXP(-(LN(2)/$D$65+0.1)*AO242),"-"))),"-")</f>
        <v>-</v>
      </c>
      <c r="AS242" s="274">
        <f t="shared" si="224"/>
        <v>0</v>
      </c>
      <c r="AT242" s="274">
        <f t="shared" si="225"/>
        <v>0</v>
      </c>
      <c r="AU242" s="274">
        <f t="shared" si="226"/>
        <v>0</v>
      </c>
      <c r="AV242" s="190">
        <f>IF($B242&lt;$F$22,SUM($T$100:$T242),"")</f>
        <v>0</v>
      </c>
      <c r="AW242" s="190" t="str">
        <f t="shared" si="227"/>
        <v>-</v>
      </c>
      <c r="AX242" s="190" t="str">
        <f t="shared" si="252"/>
        <v/>
      </c>
      <c r="AY242"/>
      <c r="AZ242" s="190" t="str">
        <f ca="1">IF(ISNUMBER(OFFSET(AV242,-$F$21,0)),SUM(OFFSET($T$100,$F$21,0):$T242),"")</f>
        <v/>
      </c>
      <c r="BA242" s="190" t="str">
        <f t="shared" ca="1" si="228"/>
        <v/>
      </c>
      <c r="BB242" s="190" t="str">
        <f t="shared" ca="1" si="164"/>
        <v/>
      </c>
      <c r="BC242" s="190"/>
      <c r="BD242" s="190" t="str">
        <f ca="1">IFERROR(IF(AND($B242&gt;=($F$16-$F$15),$B242&lt;$F$22+($F$16-$F$15)),SUM(OFFSET($T$100,($F$16-$F$15),0):$T242),""),"")</f>
        <v/>
      </c>
      <c r="BE242" s="190" t="str">
        <f t="shared" ca="1" si="253"/>
        <v/>
      </c>
      <c r="BF242" s="190" t="str">
        <f t="shared" ca="1" si="254"/>
        <v/>
      </c>
      <c r="BG242"/>
      <c r="BH242" s="190" t="str">
        <f ca="1">IF(ISNUMBER(OFFSET(BD242,-$F$21,0)),SUM(OFFSET($T$100,($F$16-$F$15+$F$21),0):$T242),"")</f>
        <v/>
      </c>
      <c r="BI242" s="190" t="str">
        <f t="shared" ca="1" si="229"/>
        <v/>
      </c>
      <c r="BJ242" s="190" t="str">
        <f t="shared" ca="1" si="255"/>
        <v/>
      </c>
      <c r="BK242" s="190"/>
      <c r="BL242" s="190" t="str">
        <f ca="1">IFERROR(IF(AND($B242&gt;=($F$17-$F$15),$B242&lt;$F$22+($F$17-$F$15)),SUM(OFFSET($T$100,($F$17-$F$15),0):$T242),""),"")</f>
        <v/>
      </c>
      <c r="BM242" s="190" t="str">
        <f t="shared" ca="1" si="230"/>
        <v/>
      </c>
      <c r="BN242" s="190" t="str">
        <f t="shared" ca="1" si="256"/>
        <v/>
      </c>
      <c r="BO242"/>
      <c r="BP242" s="190" t="str">
        <f ca="1">IF(ISNUMBER(OFFSET(BL242,-$F$21,0)),SUM(OFFSET($T$100,($F$17-$F$15+$F$21),0):$T242),"")</f>
        <v/>
      </c>
      <c r="BQ242" s="190" t="str">
        <f t="shared" ca="1" si="231"/>
        <v/>
      </c>
      <c r="BR242" s="190" t="str">
        <f t="shared" ca="1" si="257"/>
        <v/>
      </c>
      <c r="BS242" s="190"/>
      <c r="BT242"/>
      <c r="BU242"/>
      <c r="BV242"/>
      <c r="BY242" s="99"/>
      <c r="BZ242" s="99"/>
      <c r="CA242" s="280" t="str">
        <f t="shared" si="232"/>
        <v/>
      </c>
      <c r="CB242" s="71" t="str">
        <f t="shared" si="233"/>
        <v>-</v>
      </c>
      <c r="CC242" s="33"/>
      <c r="CD242" s="261" t="str">
        <f t="shared" si="234"/>
        <v/>
      </c>
      <c r="CE242" s="280" t="str">
        <f t="shared" si="235"/>
        <v>-</v>
      </c>
      <c r="CF242" s="71" t="str">
        <f t="shared" ca="1" si="236"/>
        <v>-</v>
      </c>
      <c r="CG242" s="33" t="str">
        <f t="shared" si="237"/>
        <v>142-143</v>
      </c>
      <c r="CH242" s="261" t="str">
        <f t="shared" ca="1" si="238"/>
        <v/>
      </c>
      <c r="CP242" s="99"/>
      <c r="CQ242" s="99"/>
    </row>
    <row r="243" spans="2:95" ht="13.5" customHeight="1" x14ac:dyDescent="0.2">
      <c r="B243" s="262">
        <v>143</v>
      </c>
      <c r="C243" s="237" t="str">
        <f t="shared" si="201"/>
        <v/>
      </c>
      <c r="D243" s="237" t="str">
        <f t="shared" si="239"/>
        <v>-</v>
      </c>
      <c r="E243" s="263" t="str">
        <f t="shared" si="240"/>
        <v/>
      </c>
      <c r="F243" s="264" t="str">
        <f t="shared" si="241"/>
        <v/>
      </c>
      <c r="G243" s="264" t="str">
        <f t="shared" si="242"/>
        <v/>
      </c>
      <c r="H243" s="240" t="str">
        <f t="shared" si="202"/>
        <v/>
      </c>
      <c r="I243" s="265" t="str">
        <f t="shared" si="203"/>
        <v/>
      </c>
      <c r="J243" s="265" t="str">
        <f t="shared" si="204"/>
        <v/>
      </c>
      <c r="K243" s="240" t="str">
        <f t="shared" si="205"/>
        <v/>
      </c>
      <c r="L243" s="265" t="str">
        <f t="shared" si="206"/>
        <v/>
      </c>
      <c r="M243" s="265" t="str">
        <f t="shared" si="207"/>
        <v/>
      </c>
      <c r="N243" s="240" t="str">
        <f t="shared" si="208"/>
        <v>-</v>
      </c>
      <c r="O243" s="265" t="str">
        <f t="shared" si="209"/>
        <v>-</v>
      </c>
      <c r="P243" s="265" t="str">
        <f t="shared" si="210"/>
        <v>-</v>
      </c>
      <c r="Q243" s="266" t="str">
        <f t="shared" si="211"/>
        <v>-</v>
      </c>
      <c r="R243" s="267" t="str">
        <f t="shared" si="212"/>
        <v>-</v>
      </c>
      <c r="S243" s="268" t="str">
        <f t="shared" si="213"/>
        <v>-</v>
      </c>
      <c r="T243" s="269" t="str">
        <f t="shared" si="214"/>
        <v/>
      </c>
      <c r="U243" s="221">
        <f t="shared" si="215"/>
        <v>143</v>
      </c>
      <c r="V243" s="220" t="str">
        <f t="shared" si="216"/>
        <v>-</v>
      </c>
      <c r="W243" s="221" t="str">
        <f t="shared" si="243"/>
        <v>-</v>
      </c>
      <c r="X243" s="221" t="str">
        <f t="shared" si="217"/>
        <v>-</v>
      </c>
      <c r="Y243" s="221" t="str">
        <f t="shared" si="218"/>
        <v>-</v>
      </c>
      <c r="Z243" s="270">
        <f t="shared" si="244"/>
        <v>0.1</v>
      </c>
      <c r="AA243" s="271" t="str">
        <f>IFERROR(IF(V242=1,AA$100*EXP(-(LN(2)/$D$65+0.04)*X242)*EXP(-(LN(2)/$D$65+0.1)*Y242),IF(V242=2,AA$100*EXP(-(LN(2)/$D$65+0.04)*(VLOOKUP(($F$16-$F$15)-1,U$99:Y242,4,FALSE)))*EXP(-(LN(2)/$D$65+0.1)*(VLOOKUP(($F$16-$F$15)-1,U$99:Y242,5,FALSE)))*EXP(-(LN(2)/$D$65+0.04)*X242)*EXP(-(LN(2)/$D$65+0.1)*Y242),IF(V242=3,AA$100*EXP(-(LN(2)/$D$65+0.04)*(VLOOKUP(($F$16-$F$15)-1,U$99:Y242,4,FALSE)))*EXP(-(LN(2)/$D$65+0.1)*(VLOOKUP(($F$16-$F$15)-1,U$99:Y242,5,FALSE)))*EXP(-(LN(2)/$D$65+0.04)*(VLOOKUP(($F$16-$F$15)*2-1,U$99:Y242,4,FALSE)))*EXP(-(LN(2)/$D$65+0.1)*(VLOOKUP(($F$16-$F$15)*2-1,U$99:Y242,5,FALSE)))*EXP(-(LN(2)/$D$65+0.04)*X242)*EXP(-(LN(2)/$D$65+0.1)*Y242),"-"))),"-")</f>
        <v>-</v>
      </c>
      <c r="AB243" s="271" t="str">
        <f>IFERROR(IF(V243=1,AB$100*EXP(-(LN(2)/$D$65+0.04)*X243)*EXP(-(LN(2)/$D$65+0.1)*Y243),IF(V243=2,AB$100*EXP(-(LN(2)/$D$65+0.04)*(VLOOKUP(($F$16-$F$15)-1,U$100:Y243,4,FALSE)))*EXP(-(LN(2)/$D$65+0.1)*(VLOOKUP(($F$16-$F$15)-1,U$100:Y243,5,FALSE)))*EXP(-(LN(2)/$D$65+0.04)*X243)*EXP(-(LN(2)/$D$65+0.1)*Y243),IF(V243=3,AB$100*EXP(-(LN(2)/$D$65+0.04)*(VLOOKUP(($F$16-$F$15)-1,U$100:Y243,4,FALSE)))*EXP(-(LN(2)/$D$65+0.1)*(VLOOKUP(($F$16-$F$15)-1,U$100:Y243,5,FALSE)))*EXP(-(LN(2)/$D$65+0.04)*(VLOOKUP(($F$16-$F$15)*2-1,U$100:Y243,4,FALSE)))*EXP(-(LN(2)/$D$65+0.1)*(VLOOKUP(($F$16-$F$15)*2-1,U$100:Y243,5,FALSE)))*EXP(-(LN(2)/$D$65+0.04)*X243)*EXP(-(LN(2)/$D$65+0.1)*Y243),"-"))),"-")</f>
        <v>-</v>
      </c>
      <c r="AC243" s="224">
        <f t="shared" si="258"/>
        <v>143</v>
      </c>
      <c r="AD243" s="223" t="str">
        <f t="shared" si="219"/>
        <v>-</v>
      </c>
      <c r="AE243" s="224" t="str">
        <f t="shared" si="246"/>
        <v>-</v>
      </c>
      <c r="AF243" s="224" t="str">
        <f t="shared" si="220"/>
        <v>-</v>
      </c>
      <c r="AG243" s="224" t="str">
        <f t="shared" si="221"/>
        <v>-</v>
      </c>
      <c r="AH243" s="272">
        <f t="shared" si="247"/>
        <v>0.1</v>
      </c>
      <c r="AI243" s="271" t="str">
        <f>IFERROR(IF(AD242=1,AI$100*EXP(-(LN(2)/$D$65+0.04)*AF242)*EXP(-(LN(2)/$D$65+0.1)*AG242),IF(AD242=2,AI$100*EXP(-(LN(2)/$D$65+0.04)*(VLOOKUP(($F$16-$F$15)-1,AC$99:AG242,4,FALSE)))*EXP(-(LN(2)/$D$65+0.1)*(VLOOKUP(($F$16-$F$15)-1,AC$99:AG242,5,FALSE)))*EXP(-(LN(2)/$D$65+0.04)*AF242)*EXP(-(LN(2)/$D$65+0.1)*AG242),IF(AD242=3,AI$100*EXP(-(LN(2)/$D$65+0.04)*(VLOOKUP(($F$16-$F$15)-1,AC$99:AG242,4,FALSE)))*EXP(-(LN(2)/$D$65+0.1)*(VLOOKUP(($F$16-$F$15)-1,AC$99:AG242,5,FALSE)))*EXP(-(LN(2)/$D$65+0.04)*(VLOOKUP(($F$16-$F$15)*2-1,AC$99:AG242,4,FALSE)))*EXP(-(LN(2)/$D$65+0.1)*(VLOOKUP(($F$16-$F$15)*2-1,AC$99:AG242,5,FALSE)))*EXP(-(LN(2)/$D$65+0.04)*AF242)*EXP(-(LN(2)/$D$65+0.1)*AG242),"-"))),"-")</f>
        <v>-</v>
      </c>
      <c r="AJ243" s="271" t="str">
        <f>IFERROR(IF(AD243=1,AJ$100*EXP(-(LN(2)/$D$65+0.04)*AF243)*EXP(-(LN(2)/$D$65+0.1)*AG243),IF(AD243=2,AJ$100*EXP(-(LN(2)/$D$65+0.04)*(VLOOKUP(($F$16-$F$15)-1,AC$100:AG243,4,FALSE)))*EXP(-(LN(2)/$D$65+0.1)*(VLOOKUP(($F$16-$F$15)-1,AC$100:AG243,5,FALSE)))*EXP(-(LN(2)/$D$65+0.04)*AF243)*EXP(-(LN(2)/$D$65+0.1)*AG243),IF(AD243=3,AJ$100*EXP(-(LN(2)/$D$65+0.04)*(VLOOKUP(($F$16-$F$15)-1,AC$100:AG243,4,FALSE)))*EXP(-(LN(2)/$D$65+0.1)*(VLOOKUP(($F$16-$F$15)-1,AC$100:AG243,5,FALSE)))*EXP(-(LN(2)/$D$65+0.04)*(VLOOKUP(($F$16-$F$15)*2-1,AC$100:AG243,4,FALSE)))*EXP(-(LN(2)/$D$65+0.1)*(VLOOKUP(($F$16-$F$15)*2-1,AC$100:AG243,5,FALSE)))*EXP(-(LN(2)/$D$65+0.04)*AF243)*EXP(-(LN(2)/$D$65+0.1)*AG243),"-"))),"-")</f>
        <v>-</v>
      </c>
      <c r="AK243" s="227">
        <f t="shared" si="248"/>
        <v>143</v>
      </c>
      <c r="AL243" s="226" t="str">
        <f t="shared" si="222"/>
        <v>-</v>
      </c>
      <c r="AM243" s="227" t="str">
        <f t="shared" si="249"/>
        <v>-</v>
      </c>
      <c r="AN243" s="227" t="str">
        <f t="shared" si="250"/>
        <v>-</v>
      </c>
      <c r="AO243" s="227" t="str">
        <f t="shared" si="223"/>
        <v>-</v>
      </c>
      <c r="AP243" s="273">
        <f t="shared" si="251"/>
        <v>0.1</v>
      </c>
      <c r="AQ243" s="271" t="str">
        <f>IFERROR(IF(AL242=1,AQ$100*EXP(-(LN(2)/$D$65+0.04)*AN242)*EXP(-(LN(2)/$D$65+0.1)*AO242),IF(AL242=2,AQ$100*EXP(-(LN(2)/$D$65+0.04)*(VLOOKUP(($F$16-$F$15)-1,AK$99:AO242,4,FALSE)))*EXP(-(LN(2)/$D$65+0.1)*(VLOOKUP(($F$16-$F$15)-1,AK$99:AO242,5,FALSE)))*EXP(-(LN(2)/$D$65+0.04)*AN242)*EXP(-(LN(2)/$D$65+0.1)*AO242),IF(AL242=3,AQ$100*EXP(-(LN(2)/$D$65+0.04)*(VLOOKUP(($F$16-$F$15)-1,AK$99:AO242,4,FALSE)))*EXP(-(LN(2)/$D$65+0.1)*(VLOOKUP(($F$16-$F$15)-1,AK$99:AO242,5,FALSE)))*EXP(-(LN(2)/$D$65+0.04)*(VLOOKUP(($F$16-$F$15)*2-1,AK$99:AO242,4,FALSE)))*EXP(-(LN(2)/$D$65+0.1)*(VLOOKUP(($F$16-$F$15)*2-1,AK$99:AO242,5,FALSE)))*EXP(-(LN(2)/$D$65+0.04)*AN242)*EXP(-(LN(2)/$D$65+0.1)*AO242),"-"))),"-")</f>
        <v>-</v>
      </c>
      <c r="AR243" s="271" t="str">
        <f>IFERROR(IF(AL243=1,AR$100*EXP(-(LN(2)/$D$65+0.04)*AN243)*EXP(-(LN(2)/$D$65+0.1)*AO243),IF(AL243=2,AR$100*EXP(-(LN(2)/$D$65+0.04)*(VLOOKUP(($F$16-$F$15)-1,AK$100:AO243,4,FALSE)))*EXP(-(LN(2)/$D$65+0.1)*(VLOOKUP(($F$16-$F$15)-1,AK$100:AO243,5,FALSE)))*EXP(-(LN(2)/$D$65+0.04)*AN243)*EXP(-(LN(2)/$D$65+0.1)*AO243),IF(AL243=3,AR$100*EXP(-(LN(2)/$D$65+0.04)*(VLOOKUP(($F$16-$F$15)-1,AK$100:AO243,4,FALSE)))*EXP(-(LN(2)/$D$65+0.1)*(VLOOKUP(($F$16-$F$15)-1,AK$100:AO243,5,FALSE)))*EXP(-(LN(2)/$D$65+0.04)*(VLOOKUP(($F$16-$F$15)*2-1,AK$100:AO243,4,FALSE)))*EXP(-(LN(2)/$D$65+0.1)*(VLOOKUP(($F$16-$F$15)*2-1,AK$100:AO243,5,FALSE)))*EXP(-(LN(2)/$D$65+0.04)*AN243)*EXP(-(LN(2)/$D$65+0.1)*AO243),"-"))),"-")</f>
        <v>-</v>
      </c>
      <c r="AS243" s="274">
        <f t="shared" si="224"/>
        <v>0</v>
      </c>
      <c r="AT243" s="274">
        <f t="shared" si="225"/>
        <v>0</v>
      </c>
      <c r="AU243" s="274">
        <f t="shared" si="226"/>
        <v>0</v>
      </c>
      <c r="AV243" s="190">
        <f>IF($B243&lt;$F$22,SUM($T$100:$T243),"")</f>
        <v>0</v>
      </c>
      <c r="AW243" s="190" t="str">
        <f t="shared" si="227"/>
        <v>-</v>
      </c>
      <c r="AX243" s="190" t="str">
        <f t="shared" si="252"/>
        <v/>
      </c>
      <c r="AY243"/>
      <c r="AZ243" s="190" t="str">
        <f ca="1">IF(ISNUMBER(OFFSET(AV243,-$F$21,0)),SUM(OFFSET($T$100,$F$21,0):$T243),"")</f>
        <v/>
      </c>
      <c r="BA243" s="190" t="str">
        <f t="shared" ca="1" si="228"/>
        <v/>
      </c>
      <c r="BB243" s="190" t="str">
        <f t="shared" ca="1" si="164"/>
        <v/>
      </c>
      <c r="BC243" s="190"/>
      <c r="BD243" s="190" t="str">
        <f ca="1">IFERROR(IF(AND($B243&gt;=($F$16-$F$15),$B243&lt;$F$22+($F$16-$F$15)),SUM(OFFSET($T$100,($F$16-$F$15),0):$T243),""),"")</f>
        <v/>
      </c>
      <c r="BE243" s="190" t="str">
        <f t="shared" ca="1" si="253"/>
        <v/>
      </c>
      <c r="BF243" s="190" t="str">
        <f t="shared" ca="1" si="254"/>
        <v/>
      </c>
      <c r="BG243"/>
      <c r="BH243" s="190" t="str">
        <f ca="1">IF(ISNUMBER(OFFSET(BD243,-$F$21,0)),SUM(OFFSET($T$100,($F$16-$F$15+$F$21),0):$T243),"")</f>
        <v/>
      </c>
      <c r="BI243" s="190" t="str">
        <f t="shared" ca="1" si="229"/>
        <v/>
      </c>
      <c r="BJ243" s="190" t="str">
        <f t="shared" ca="1" si="255"/>
        <v/>
      </c>
      <c r="BK243" s="190"/>
      <c r="BL243" s="190" t="str">
        <f ca="1">IFERROR(IF(AND($B243&gt;=($F$17-$F$15),$B243&lt;$F$22+($F$17-$F$15)),SUM(OFFSET($T$100,($F$17-$F$15),0):$T243),""),"")</f>
        <v/>
      </c>
      <c r="BM243" s="190" t="str">
        <f t="shared" ca="1" si="230"/>
        <v/>
      </c>
      <c r="BN243" s="190" t="str">
        <f t="shared" ca="1" si="256"/>
        <v/>
      </c>
      <c r="BO243"/>
      <c r="BP243" s="190" t="str">
        <f ca="1">IF(ISNUMBER(OFFSET(BL243,-$F$21,0)),SUM(OFFSET($T$100,($F$17-$F$15+$F$21),0):$T243),"")</f>
        <v/>
      </c>
      <c r="BQ243" s="190" t="str">
        <f t="shared" ca="1" si="231"/>
        <v/>
      </c>
      <c r="BR243" s="190" t="str">
        <f t="shared" ca="1" si="257"/>
        <v/>
      </c>
      <c r="BS243" s="190"/>
      <c r="BT243"/>
      <c r="BU243"/>
      <c r="BV243"/>
      <c r="BY243" s="99"/>
      <c r="BZ243" s="99"/>
      <c r="CA243" s="280" t="str">
        <f t="shared" si="232"/>
        <v/>
      </c>
      <c r="CB243" s="71" t="str">
        <f t="shared" si="233"/>
        <v>-</v>
      </c>
      <c r="CC243" s="33"/>
      <c r="CD243" s="261" t="str">
        <f t="shared" si="234"/>
        <v/>
      </c>
      <c r="CE243" s="280" t="str">
        <f t="shared" si="235"/>
        <v>-</v>
      </c>
      <c r="CF243" s="71" t="str">
        <f t="shared" ca="1" si="236"/>
        <v>-</v>
      </c>
      <c r="CG243" s="33" t="str">
        <f t="shared" si="237"/>
        <v>143-144</v>
      </c>
      <c r="CH243" s="261" t="str">
        <f t="shared" ca="1" si="238"/>
        <v/>
      </c>
      <c r="CP243" s="99"/>
      <c r="CQ243" s="99"/>
    </row>
    <row r="244" spans="2:95" ht="13.5" customHeight="1" x14ac:dyDescent="0.2">
      <c r="B244" s="262">
        <v>144</v>
      </c>
      <c r="C244" s="237" t="str">
        <f t="shared" si="201"/>
        <v/>
      </c>
      <c r="D244" s="237" t="str">
        <f t="shared" si="239"/>
        <v>-</v>
      </c>
      <c r="E244" s="263" t="str">
        <f t="shared" si="240"/>
        <v/>
      </c>
      <c r="F244" s="264" t="str">
        <f t="shared" si="241"/>
        <v/>
      </c>
      <c r="G244" s="264" t="str">
        <f t="shared" si="242"/>
        <v/>
      </c>
      <c r="H244" s="240" t="str">
        <f t="shared" si="202"/>
        <v/>
      </c>
      <c r="I244" s="265" t="str">
        <f t="shared" si="203"/>
        <v/>
      </c>
      <c r="J244" s="265" t="str">
        <f t="shared" si="204"/>
        <v/>
      </c>
      <c r="K244" s="240" t="str">
        <f t="shared" si="205"/>
        <v/>
      </c>
      <c r="L244" s="265" t="str">
        <f t="shared" si="206"/>
        <v/>
      </c>
      <c r="M244" s="265" t="str">
        <f t="shared" si="207"/>
        <v/>
      </c>
      <c r="N244" s="240" t="str">
        <f t="shared" si="208"/>
        <v>-</v>
      </c>
      <c r="O244" s="265" t="str">
        <f t="shared" si="209"/>
        <v>-</v>
      </c>
      <c r="P244" s="265" t="str">
        <f t="shared" si="210"/>
        <v>-</v>
      </c>
      <c r="Q244" s="266" t="str">
        <f t="shared" si="211"/>
        <v>-</v>
      </c>
      <c r="R244" s="267" t="str">
        <f t="shared" si="212"/>
        <v>-</v>
      </c>
      <c r="S244" s="268" t="str">
        <f t="shared" si="213"/>
        <v>-</v>
      </c>
      <c r="T244" s="269" t="str">
        <f t="shared" si="214"/>
        <v/>
      </c>
      <c r="U244" s="221">
        <f t="shared" si="215"/>
        <v>144</v>
      </c>
      <c r="V244" s="220" t="str">
        <f t="shared" si="216"/>
        <v>-</v>
      </c>
      <c r="W244" s="221" t="str">
        <f t="shared" si="243"/>
        <v>-</v>
      </c>
      <c r="X244" s="221" t="str">
        <f t="shared" si="217"/>
        <v>-</v>
      </c>
      <c r="Y244" s="221" t="str">
        <f t="shared" si="218"/>
        <v>-</v>
      </c>
      <c r="Z244" s="270">
        <f t="shared" si="244"/>
        <v>0.1</v>
      </c>
      <c r="AA244" s="271" t="str">
        <f>IFERROR(IF(V243=1,AA$100*EXP(-(LN(2)/$D$65+0.04)*X243)*EXP(-(LN(2)/$D$65+0.1)*Y243),IF(V243=2,AA$100*EXP(-(LN(2)/$D$65+0.04)*(VLOOKUP(($F$16-$F$15)-1,U$99:Y243,4,FALSE)))*EXP(-(LN(2)/$D$65+0.1)*(VLOOKUP(($F$16-$F$15)-1,U$99:Y243,5,FALSE)))*EXP(-(LN(2)/$D$65+0.04)*X243)*EXP(-(LN(2)/$D$65+0.1)*Y243),IF(V243=3,AA$100*EXP(-(LN(2)/$D$65+0.04)*(VLOOKUP(($F$16-$F$15)-1,U$99:Y243,4,FALSE)))*EXP(-(LN(2)/$D$65+0.1)*(VLOOKUP(($F$16-$F$15)-1,U$99:Y243,5,FALSE)))*EXP(-(LN(2)/$D$65+0.04)*(VLOOKUP(($F$16-$F$15)*2-1,U$99:Y243,4,FALSE)))*EXP(-(LN(2)/$D$65+0.1)*(VLOOKUP(($F$16-$F$15)*2-1,U$99:Y243,5,FALSE)))*EXP(-(LN(2)/$D$65+0.04)*X243)*EXP(-(LN(2)/$D$65+0.1)*Y243),"-"))),"-")</f>
        <v>-</v>
      </c>
      <c r="AB244" s="271" t="str">
        <f>IFERROR(IF(V244=1,AB$100*EXP(-(LN(2)/$D$65+0.04)*X244)*EXP(-(LN(2)/$D$65+0.1)*Y244),IF(V244=2,AB$100*EXP(-(LN(2)/$D$65+0.04)*(VLOOKUP(($F$16-$F$15)-1,U$100:Y244,4,FALSE)))*EXP(-(LN(2)/$D$65+0.1)*(VLOOKUP(($F$16-$F$15)-1,U$100:Y244,5,FALSE)))*EXP(-(LN(2)/$D$65+0.04)*X244)*EXP(-(LN(2)/$D$65+0.1)*Y244),IF(V244=3,AB$100*EXP(-(LN(2)/$D$65+0.04)*(VLOOKUP(($F$16-$F$15)-1,U$100:Y244,4,FALSE)))*EXP(-(LN(2)/$D$65+0.1)*(VLOOKUP(($F$16-$F$15)-1,U$100:Y244,5,FALSE)))*EXP(-(LN(2)/$D$65+0.04)*(VLOOKUP(($F$16-$F$15)*2-1,U$100:Y244,4,FALSE)))*EXP(-(LN(2)/$D$65+0.1)*(VLOOKUP(($F$16-$F$15)*2-1,U$100:Y244,5,FALSE)))*EXP(-(LN(2)/$D$65+0.04)*X244)*EXP(-(LN(2)/$D$65+0.1)*Y244),"-"))),"-")</f>
        <v>-</v>
      </c>
      <c r="AC244" s="224">
        <f t="shared" si="258"/>
        <v>144</v>
      </c>
      <c r="AD244" s="223" t="str">
        <f t="shared" si="219"/>
        <v>-</v>
      </c>
      <c r="AE244" s="224" t="str">
        <f t="shared" si="246"/>
        <v>-</v>
      </c>
      <c r="AF244" s="224" t="str">
        <f t="shared" si="220"/>
        <v>-</v>
      </c>
      <c r="AG244" s="224" t="str">
        <f t="shared" si="221"/>
        <v>-</v>
      </c>
      <c r="AH244" s="272">
        <f t="shared" si="247"/>
        <v>0.1</v>
      </c>
      <c r="AI244" s="271" t="str">
        <f>IFERROR(IF(AD243=1,AI$100*EXP(-(LN(2)/$D$65+0.04)*AF243)*EXP(-(LN(2)/$D$65+0.1)*AG243),IF(AD243=2,AI$100*EXP(-(LN(2)/$D$65+0.04)*(VLOOKUP(($F$16-$F$15)-1,AC$99:AG243,4,FALSE)))*EXP(-(LN(2)/$D$65+0.1)*(VLOOKUP(($F$16-$F$15)-1,AC$99:AG243,5,FALSE)))*EXP(-(LN(2)/$D$65+0.04)*AF243)*EXP(-(LN(2)/$D$65+0.1)*AG243),IF(AD243=3,AI$100*EXP(-(LN(2)/$D$65+0.04)*(VLOOKUP(($F$16-$F$15)-1,AC$99:AG243,4,FALSE)))*EXP(-(LN(2)/$D$65+0.1)*(VLOOKUP(($F$16-$F$15)-1,AC$99:AG243,5,FALSE)))*EXP(-(LN(2)/$D$65+0.04)*(VLOOKUP(($F$16-$F$15)*2-1,AC$99:AG243,4,FALSE)))*EXP(-(LN(2)/$D$65+0.1)*(VLOOKUP(($F$16-$F$15)*2-1,AC$99:AG243,5,FALSE)))*EXP(-(LN(2)/$D$65+0.04)*AF243)*EXP(-(LN(2)/$D$65+0.1)*AG243),"-"))),"-")</f>
        <v>-</v>
      </c>
      <c r="AJ244" s="271" t="str">
        <f>IFERROR(IF(AD244=1,AJ$100*EXP(-(LN(2)/$D$65+0.04)*AF244)*EXP(-(LN(2)/$D$65+0.1)*AG244),IF(AD244=2,AJ$100*EXP(-(LN(2)/$D$65+0.04)*(VLOOKUP(($F$16-$F$15)-1,AC$100:AG244,4,FALSE)))*EXP(-(LN(2)/$D$65+0.1)*(VLOOKUP(($F$16-$F$15)-1,AC$100:AG244,5,FALSE)))*EXP(-(LN(2)/$D$65+0.04)*AF244)*EXP(-(LN(2)/$D$65+0.1)*AG244),IF(AD244=3,AJ$100*EXP(-(LN(2)/$D$65+0.04)*(VLOOKUP(($F$16-$F$15)-1,AC$100:AG244,4,FALSE)))*EXP(-(LN(2)/$D$65+0.1)*(VLOOKUP(($F$16-$F$15)-1,AC$100:AG244,5,FALSE)))*EXP(-(LN(2)/$D$65+0.04)*(VLOOKUP(($F$16-$F$15)*2-1,AC$100:AG244,4,FALSE)))*EXP(-(LN(2)/$D$65+0.1)*(VLOOKUP(($F$16-$F$15)*2-1,AC$100:AG244,5,FALSE)))*EXP(-(LN(2)/$D$65+0.04)*AF244)*EXP(-(LN(2)/$D$65+0.1)*AG244),"-"))),"-")</f>
        <v>-</v>
      </c>
      <c r="AK244" s="227">
        <f t="shared" si="248"/>
        <v>144</v>
      </c>
      <c r="AL244" s="226" t="str">
        <f t="shared" si="222"/>
        <v>-</v>
      </c>
      <c r="AM244" s="227" t="str">
        <f t="shared" si="249"/>
        <v>-</v>
      </c>
      <c r="AN244" s="227" t="str">
        <f t="shared" si="250"/>
        <v>-</v>
      </c>
      <c r="AO244" s="227" t="str">
        <f t="shared" si="223"/>
        <v>-</v>
      </c>
      <c r="AP244" s="273">
        <f t="shared" si="251"/>
        <v>0.1</v>
      </c>
      <c r="AQ244" s="271" t="str">
        <f>IFERROR(IF(AL243=1,AQ$100*EXP(-(LN(2)/$D$65+0.04)*AN243)*EXP(-(LN(2)/$D$65+0.1)*AO243),IF(AL243=2,AQ$100*EXP(-(LN(2)/$D$65+0.04)*(VLOOKUP(($F$16-$F$15)-1,AK$99:AO243,4,FALSE)))*EXP(-(LN(2)/$D$65+0.1)*(VLOOKUP(($F$16-$F$15)-1,AK$99:AO243,5,FALSE)))*EXP(-(LN(2)/$D$65+0.04)*AN243)*EXP(-(LN(2)/$D$65+0.1)*AO243),IF(AL243=3,AQ$100*EXP(-(LN(2)/$D$65+0.04)*(VLOOKUP(($F$16-$F$15)-1,AK$99:AO243,4,FALSE)))*EXP(-(LN(2)/$D$65+0.1)*(VLOOKUP(($F$16-$F$15)-1,AK$99:AO243,5,FALSE)))*EXP(-(LN(2)/$D$65+0.04)*(VLOOKUP(($F$16-$F$15)*2-1,AK$99:AO243,4,FALSE)))*EXP(-(LN(2)/$D$65+0.1)*(VLOOKUP(($F$16-$F$15)*2-1,AK$99:AO243,5,FALSE)))*EXP(-(LN(2)/$D$65+0.04)*AN243)*EXP(-(LN(2)/$D$65+0.1)*AO243),"-"))),"-")</f>
        <v>-</v>
      </c>
      <c r="AR244" s="271" t="str">
        <f>IFERROR(IF(AL244=1,AR$100*EXP(-(LN(2)/$D$65+0.04)*AN244)*EXP(-(LN(2)/$D$65+0.1)*AO244),IF(AL244=2,AR$100*EXP(-(LN(2)/$D$65+0.04)*(VLOOKUP(($F$16-$F$15)-1,AK$100:AO244,4,FALSE)))*EXP(-(LN(2)/$D$65+0.1)*(VLOOKUP(($F$16-$F$15)-1,AK$100:AO244,5,FALSE)))*EXP(-(LN(2)/$D$65+0.04)*AN244)*EXP(-(LN(2)/$D$65+0.1)*AO244),IF(AL244=3,AR$100*EXP(-(LN(2)/$D$65+0.04)*(VLOOKUP(($F$16-$F$15)-1,AK$100:AO244,4,FALSE)))*EXP(-(LN(2)/$D$65+0.1)*(VLOOKUP(($F$16-$F$15)-1,AK$100:AO244,5,FALSE)))*EXP(-(LN(2)/$D$65+0.04)*(VLOOKUP(($F$16-$F$15)*2-1,AK$100:AO244,4,FALSE)))*EXP(-(LN(2)/$D$65+0.1)*(VLOOKUP(($F$16-$F$15)*2-1,AK$100:AO244,5,FALSE)))*EXP(-(LN(2)/$D$65+0.04)*AN244)*EXP(-(LN(2)/$D$65+0.1)*AO244),"-"))),"-")</f>
        <v>-</v>
      </c>
      <c r="AS244" s="274">
        <f t="shared" si="224"/>
        <v>0</v>
      </c>
      <c r="AT244" s="274">
        <f t="shared" si="225"/>
        <v>0</v>
      </c>
      <c r="AU244" s="274">
        <f t="shared" si="226"/>
        <v>0</v>
      </c>
      <c r="AV244" s="190">
        <f>IF($B244&lt;$F$22,SUM($T$100:$T244),"")</f>
        <v>0</v>
      </c>
      <c r="AW244" s="190" t="str">
        <f t="shared" si="227"/>
        <v>-</v>
      </c>
      <c r="AX244" s="190" t="str">
        <f t="shared" si="252"/>
        <v/>
      </c>
      <c r="AY244"/>
      <c r="AZ244" s="190" t="str">
        <f ca="1">IF(ISNUMBER(OFFSET(AV244,-$F$21,0)),SUM(OFFSET($T$100,$F$21,0):$T244),"")</f>
        <v/>
      </c>
      <c r="BA244" s="190" t="str">
        <f t="shared" ca="1" si="228"/>
        <v/>
      </c>
      <c r="BB244" s="190" t="str">
        <f t="shared" ca="1" si="164"/>
        <v/>
      </c>
      <c r="BC244" s="190"/>
      <c r="BD244" s="190" t="str">
        <f ca="1">IFERROR(IF(AND($B244&gt;=($F$16-$F$15),$B244&lt;$F$22+($F$16-$F$15)),SUM(OFFSET($T$100,($F$16-$F$15),0):$T244),""),"")</f>
        <v/>
      </c>
      <c r="BE244" s="190" t="str">
        <f t="shared" ca="1" si="253"/>
        <v/>
      </c>
      <c r="BF244" s="190" t="str">
        <f t="shared" ca="1" si="254"/>
        <v/>
      </c>
      <c r="BG244"/>
      <c r="BH244" s="190" t="str">
        <f ca="1">IF(ISNUMBER(OFFSET(BD244,-$F$21,0)),SUM(OFFSET($T$100,($F$16-$F$15+$F$21),0):$T244),"")</f>
        <v/>
      </c>
      <c r="BI244" s="190" t="str">
        <f t="shared" ca="1" si="229"/>
        <v/>
      </c>
      <c r="BJ244" s="190" t="str">
        <f t="shared" ca="1" si="255"/>
        <v/>
      </c>
      <c r="BK244" s="190"/>
      <c r="BL244" s="190" t="str">
        <f ca="1">IFERROR(IF(AND($B244&gt;=($F$17-$F$15),$B244&lt;$F$22+($F$17-$F$15)),SUM(OFFSET($T$100,($F$17-$F$15),0):$T244),""),"")</f>
        <v/>
      </c>
      <c r="BM244" s="190" t="str">
        <f t="shared" ca="1" si="230"/>
        <v/>
      </c>
      <c r="BN244" s="190" t="str">
        <f t="shared" ca="1" si="256"/>
        <v/>
      </c>
      <c r="BO244"/>
      <c r="BP244" s="190" t="str">
        <f ca="1">IF(ISNUMBER(OFFSET(BL244,-$F$21,0)),SUM(OFFSET($T$100,($F$17-$F$15+$F$21),0):$T244),"")</f>
        <v/>
      </c>
      <c r="BQ244" s="190" t="str">
        <f t="shared" ca="1" si="231"/>
        <v/>
      </c>
      <c r="BR244" s="190" t="str">
        <f t="shared" ca="1" si="257"/>
        <v/>
      </c>
      <c r="BS244" s="190"/>
      <c r="BT244"/>
      <c r="BU244"/>
      <c r="BV244"/>
      <c r="BY244" s="99"/>
      <c r="BZ244" s="99"/>
      <c r="CA244" s="280" t="str">
        <f t="shared" si="232"/>
        <v/>
      </c>
      <c r="CB244" s="71" t="str">
        <f t="shared" si="233"/>
        <v>-</v>
      </c>
      <c r="CC244" s="33"/>
      <c r="CD244" s="261" t="str">
        <f t="shared" si="234"/>
        <v/>
      </c>
      <c r="CE244" s="280" t="str">
        <f t="shared" si="235"/>
        <v>-</v>
      </c>
      <c r="CF244" s="71" t="str">
        <f t="shared" ca="1" si="236"/>
        <v>-</v>
      </c>
      <c r="CG244" s="33" t="str">
        <f t="shared" si="237"/>
        <v>144-145</v>
      </c>
      <c r="CH244" s="261" t="str">
        <f t="shared" ca="1" si="238"/>
        <v/>
      </c>
      <c r="CP244" s="99"/>
      <c r="CQ244" s="99"/>
    </row>
    <row r="245" spans="2:95" ht="13.5" customHeight="1" x14ac:dyDescent="0.2">
      <c r="B245" s="262">
        <v>145</v>
      </c>
      <c r="C245" s="237" t="str">
        <f t="shared" si="201"/>
        <v/>
      </c>
      <c r="D245" s="237" t="str">
        <f t="shared" si="239"/>
        <v>-</v>
      </c>
      <c r="E245" s="263" t="str">
        <f t="shared" si="240"/>
        <v/>
      </c>
      <c r="F245" s="264" t="str">
        <f t="shared" si="241"/>
        <v/>
      </c>
      <c r="G245" s="264" t="str">
        <f t="shared" si="242"/>
        <v/>
      </c>
      <c r="H245" s="240" t="str">
        <f t="shared" si="202"/>
        <v/>
      </c>
      <c r="I245" s="265" t="str">
        <f t="shared" si="203"/>
        <v/>
      </c>
      <c r="J245" s="265" t="str">
        <f t="shared" si="204"/>
        <v/>
      </c>
      <c r="K245" s="240" t="str">
        <f t="shared" si="205"/>
        <v/>
      </c>
      <c r="L245" s="265" t="str">
        <f t="shared" si="206"/>
        <v/>
      </c>
      <c r="M245" s="265" t="str">
        <f t="shared" si="207"/>
        <v/>
      </c>
      <c r="N245" s="240" t="str">
        <f t="shared" si="208"/>
        <v>-</v>
      </c>
      <c r="O245" s="265" t="str">
        <f t="shared" si="209"/>
        <v>-</v>
      </c>
      <c r="P245" s="265" t="str">
        <f t="shared" si="210"/>
        <v>-</v>
      </c>
      <c r="Q245" s="266" t="str">
        <f t="shared" si="211"/>
        <v>-</v>
      </c>
      <c r="R245" s="267" t="str">
        <f t="shared" si="212"/>
        <v>-</v>
      </c>
      <c r="S245" s="268" t="str">
        <f t="shared" si="213"/>
        <v>-</v>
      </c>
      <c r="T245" s="269" t="str">
        <f t="shared" si="214"/>
        <v/>
      </c>
      <c r="U245" s="221">
        <f t="shared" si="215"/>
        <v>145</v>
      </c>
      <c r="V245" s="220" t="str">
        <f t="shared" si="216"/>
        <v>-</v>
      </c>
      <c r="W245" s="221" t="str">
        <f t="shared" si="243"/>
        <v>-</v>
      </c>
      <c r="X245" s="221" t="str">
        <f t="shared" si="217"/>
        <v>-</v>
      </c>
      <c r="Y245" s="221" t="str">
        <f t="shared" si="218"/>
        <v>-</v>
      </c>
      <c r="Z245" s="270">
        <f t="shared" si="244"/>
        <v>0.1</v>
      </c>
      <c r="AA245" s="271" t="str">
        <f>IFERROR(IF(V244=1,AA$100*EXP(-(LN(2)/$D$65+0.04)*X244)*EXP(-(LN(2)/$D$65+0.1)*Y244),IF(V244=2,AA$100*EXP(-(LN(2)/$D$65+0.04)*(VLOOKUP(($F$16-$F$15)-1,U$99:Y244,4,FALSE)))*EXP(-(LN(2)/$D$65+0.1)*(VLOOKUP(($F$16-$F$15)-1,U$99:Y244,5,FALSE)))*EXP(-(LN(2)/$D$65+0.04)*X244)*EXP(-(LN(2)/$D$65+0.1)*Y244),IF(V244=3,AA$100*EXP(-(LN(2)/$D$65+0.04)*(VLOOKUP(($F$16-$F$15)-1,U$99:Y244,4,FALSE)))*EXP(-(LN(2)/$D$65+0.1)*(VLOOKUP(($F$16-$F$15)-1,U$99:Y244,5,FALSE)))*EXP(-(LN(2)/$D$65+0.04)*(VLOOKUP(($F$16-$F$15)*2-1,U$99:Y244,4,FALSE)))*EXP(-(LN(2)/$D$65+0.1)*(VLOOKUP(($F$16-$F$15)*2-1,U$99:Y244,5,FALSE)))*EXP(-(LN(2)/$D$65+0.04)*X244)*EXP(-(LN(2)/$D$65+0.1)*Y244),"-"))),"-")</f>
        <v>-</v>
      </c>
      <c r="AB245" s="271" t="str">
        <f>IFERROR(IF(V245=1,AB$100*EXP(-(LN(2)/$D$65+0.04)*X245)*EXP(-(LN(2)/$D$65+0.1)*Y245),IF(V245=2,AB$100*EXP(-(LN(2)/$D$65+0.04)*(VLOOKUP(($F$16-$F$15)-1,U$100:Y245,4,FALSE)))*EXP(-(LN(2)/$D$65+0.1)*(VLOOKUP(($F$16-$F$15)-1,U$100:Y245,5,FALSE)))*EXP(-(LN(2)/$D$65+0.04)*X245)*EXP(-(LN(2)/$D$65+0.1)*Y245),IF(V245=3,AB$100*EXP(-(LN(2)/$D$65+0.04)*(VLOOKUP(($F$16-$F$15)-1,U$100:Y245,4,FALSE)))*EXP(-(LN(2)/$D$65+0.1)*(VLOOKUP(($F$16-$F$15)-1,U$100:Y245,5,FALSE)))*EXP(-(LN(2)/$D$65+0.04)*(VLOOKUP(($F$16-$F$15)*2-1,U$100:Y245,4,FALSE)))*EXP(-(LN(2)/$D$65+0.1)*(VLOOKUP(($F$16-$F$15)*2-1,U$100:Y245,5,FALSE)))*EXP(-(LN(2)/$D$65+0.04)*X245)*EXP(-(LN(2)/$D$65+0.1)*Y245),"-"))),"-")</f>
        <v>-</v>
      </c>
      <c r="AC245" s="224">
        <f t="shared" si="258"/>
        <v>145</v>
      </c>
      <c r="AD245" s="223" t="str">
        <f t="shared" si="219"/>
        <v>-</v>
      </c>
      <c r="AE245" s="224" t="str">
        <f t="shared" si="246"/>
        <v>-</v>
      </c>
      <c r="AF245" s="224" t="str">
        <f t="shared" si="220"/>
        <v>-</v>
      </c>
      <c r="AG245" s="224" t="str">
        <f t="shared" si="221"/>
        <v>-</v>
      </c>
      <c r="AH245" s="272">
        <f t="shared" si="247"/>
        <v>0.1</v>
      </c>
      <c r="AI245" s="271" t="str">
        <f>IFERROR(IF(AD244=1,AI$100*EXP(-(LN(2)/$D$65+0.04)*AF244)*EXP(-(LN(2)/$D$65+0.1)*AG244),IF(AD244=2,AI$100*EXP(-(LN(2)/$D$65+0.04)*(VLOOKUP(($F$16-$F$15)-1,AC$99:AG244,4,FALSE)))*EXP(-(LN(2)/$D$65+0.1)*(VLOOKUP(($F$16-$F$15)-1,AC$99:AG244,5,FALSE)))*EXP(-(LN(2)/$D$65+0.04)*AF244)*EXP(-(LN(2)/$D$65+0.1)*AG244),IF(AD244=3,AI$100*EXP(-(LN(2)/$D$65+0.04)*(VLOOKUP(($F$16-$F$15)-1,AC$99:AG244,4,FALSE)))*EXP(-(LN(2)/$D$65+0.1)*(VLOOKUP(($F$16-$F$15)-1,AC$99:AG244,5,FALSE)))*EXP(-(LN(2)/$D$65+0.04)*(VLOOKUP(($F$16-$F$15)*2-1,AC$99:AG244,4,FALSE)))*EXP(-(LN(2)/$D$65+0.1)*(VLOOKUP(($F$16-$F$15)*2-1,AC$99:AG244,5,FALSE)))*EXP(-(LN(2)/$D$65+0.04)*AF244)*EXP(-(LN(2)/$D$65+0.1)*AG244),"-"))),"-")</f>
        <v>-</v>
      </c>
      <c r="AJ245" s="271" t="str">
        <f>IFERROR(IF(AD245=1,AJ$100*EXP(-(LN(2)/$D$65+0.04)*AF245)*EXP(-(LN(2)/$D$65+0.1)*AG245),IF(AD245=2,AJ$100*EXP(-(LN(2)/$D$65+0.04)*(VLOOKUP(($F$16-$F$15)-1,AC$100:AG245,4,FALSE)))*EXP(-(LN(2)/$D$65+0.1)*(VLOOKUP(($F$16-$F$15)-1,AC$100:AG245,5,FALSE)))*EXP(-(LN(2)/$D$65+0.04)*AF245)*EXP(-(LN(2)/$D$65+0.1)*AG245),IF(AD245=3,AJ$100*EXP(-(LN(2)/$D$65+0.04)*(VLOOKUP(($F$16-$F$15)-1,AC$100:AG245,4,FALSE)))*EXP(-(LN(2)/$D$65+0.1)*(VLOOKUP(($F$16-$F$15)-1,AC$100:AG245,5,FALSE)))*EXP(-(LN(2)/$D$65+0.04)*(VLOOKUP(($F$16-$F$15)*2-1,AC$100:AG245,4,FALSE)))*EXP(-(LN(2)/$D$65+0.1)*(VLOOKUP(($F$16-$F$15)*2-1,AC$100:AG245,5,FALSE)))*EXP(-(LN(2)/$D$65+0.04)*AF245)*EXP(-(LN(2)/$D$65+0.1)*AG245),"-"))),"-")</f>
        <v>-</v>
      </c>
      <c r="AK245" s="227">
        <f t="shared" si="248"/>
        <v>145</v>
      </c>
      <c r="AL245" s="226" t="str">
        <f t="shared" si="222"/>
        <v>-</v>
      </c>
      <c r="AM245" s="227" t="str">
        <f t="shared" si="249"/>
        <v>-</v>
      </c>
      <c r="AN245" s="227" t="str">
        <f t="shared" si="250"/>
        <v>-</v>
      </c>
      <c r="AO245" s="227" t="str">
        <f t="shared" si="223"/>
        <v>-</v>
      </c>
      <c r="AP245" s="273">
        <f t="shared" si="251"/>
        <v>0.1</v>
      </c>
      <c r="AQ245" s="271" t="str">
        <f>IFERROR(IF(AL244=1,AQ$100*EXP(-(LN(2)/$D$65+0.04)*AN244)*EXP(-(LN(2)/$D$65+0.1)*AO244),IF(AL244=2,AQ$100*EXP(-(LN(2)/$D$65+0.04)*(VLOOKUP(($F$16-$F$15)-1,AK$99:AO244,4,FALSE)))*EXP(-(LN(2)/$D$65+0.1)*(VLOOKUP(($F$16-$F$15)-1,AK$99:AO244,5,FALSE)))*EXP(-(LN(2)/$D$65+0.04)*AN244)*EXP(-(LN(2)/$D$65+0.1)*AO244),IF(AL244=3,AQ$100*EXP(-(LN(2)/$D$65+0.04)*(VLOOKUP(($F$16-$F$15)-1,AK$99:AO244,4,FALSE)))*EXP(-(LN(2)/$D$65+0.1)*(VLOOKUP(($F$16-$F$15)-1,AK$99:AO244,5,FALSE)))*EXP(-(LN(2)/$D$65+0.04)*(VLOOKUP(($F$16-$F$15)*2-1,AK$99:AO244,4,FALSE)))*EXP(-(LN(2)/$D$65+0.1)*(VLOOKUP(($F$16-$F$15)*2-1,AK$99:AO244,5,FALSE)))*EXP(-(LN(2)/$D$65+0.04)*AN244)*EXP(-(LN(2)/$D$65+0.1)*AO244),"-"))),"-")</f>
        <v>-</v>
      </c>
      <c r="AR245" s="271" t="str">
        <f>IFERROR(IF(AL245=1,AR$100*EXP(-(LN(2)/$D$65+0.04)*AN245)*EXP(-(LN(2)/$D$65+0.1)*AO245),IF(AL245=2,AR$100*EXP(-(LN(2)/$D$65+0.04)*(VLOOKUP(($F$16-$F$15)-1,AK$100:AO245,4,FALSE)))*EXP(-(LN(2)/$D$65+0.1)*(VLOOKUP(($F$16-$F$15)-1,AK$100:AO245,5,FALSE)))*EXP(-(LN(2)/$D$65+0.04)*AN245)*EXP(-(LN(2)/$D$65+0.1)*AO245),IF(AL245=3,AR$100*EXP(-(LN(2)/$D$65+0.04)*(VLOOKUP(($F$16-$F$15)-1,AK$100:AO245,4,FALSE)))*EXP(-(LN(2)/$D$65+0.1)*(VLOOKUP(($F$16-$F$15)-1,AK$100:AO245,5,FALSE)))*EXP(-(LN(2)/$D$65+0.04)*(VLOOKUP(($F$16-$F$15)*2-1,AK$100:AO245,4,FALSE)))*EXP(-(LN(2)/$D$65+0.1)*(VLOOKUP(($F$16-$F$15)*2-1,AK$100:AO245,5,FALSE)))*EXP(-(LN(2)/$D$65+0.04)*AN245)*EXP(-(LN(2)/$D$65+0.1)*AO245),"-"))),"-")</f>
        <v>-</v>
      </c>
      <c r="AS245" s="274">
        <f t="shared" si="224"/>
        <v>0</v>
      </c>
      <c r="AT245" s="274">
        <f t="shared" si="225"/>
        <v>0</v>
      </c>
      <c r="AU245" s="274">
        <f t="shared" si="226"/>
        <v>0</v>
      </c>
      <c r="AV245" s="190">
        <f>IF($B245&lt;$F$22,SUM($T$100:$T245),"")</f>
        <v>0</v>
      </c>
      <c r="AW245" s="190" t="str">
        <f t="shared" si="227"/>
        <v>-</v>
      </c>
      <c r="AX245" s="190" t="str">
        <f t="shared" si="252"/>
        <v/>
      </c>
      <c r="AY245"/>
      <c r="AZ245" s="190" t="str">
        <f ca="1">IF(ISNUMBER(OFFSET(AV245,-$F$21,0)),SUM(OFFSET($T$100,$F$21,0):$T245),"")</f>
        <v/>
      </c>
      <c r="BA245" s="190" t="str">
        <f t="shared" ca="1" si="228"/>
        <v/>
      </c>
      <c r="BB245" s="190" t="str">
        <f t="shared" ca="1" si="164"/>
        <v/>
      </c>
      <c r="BC245" s="190"/>
      <c r="BD245" s="190" t="str">
        <f ca="1">IFERROR(IF(AND($B245&gt;=($F$16-$F$15),$B245&lt;$F$22+($F$16-$F$15)),SUM(OFFSET($T$100,($F$16-$F$15),0):$T245),""),"")</f>
        <v/>
      </c>
      <c r="BE245" s="190" t="str">
        <f t="shared" ca="1" si="253"/>
        <v/>
      </c>
      <c r="BF245" s="190" t="str">
        <f t="shared" ca="1" si="254"/>
        <v/>
      </c>
      <c r="BG245"/>
      <c r="BH245" s="190" t="str">
        <f ca="1">IF(ISNUMBER(OFFSET(BD245,-$F$21,0)),SUM(OFFSET($T$100,($F$16-$F$15+$F$21),0):$T245),"")</f>
        <v/>
      </c>
      <c r="BI245" s="190" t="str">
        <f t="shared" ca="1" si="229"/>
        <v/>
      </c>
      <c r="BJ245" s="190" t="str">
        <f t="shared" ca="1" si="255"/>
        <v/>
      </c>
      <c r="BK245" s="190"/>
      <c r="BL245" s="190" t="str">
        <f ca="1">IFERROR(IF(AND($B245&gt;=($F$17-$F$15),$B245&lt;$F$22+($F$17-$F$15)),SUM(OFFSET($T$100,($F$17-$F$15),0):$T245),""),"")</f>
        <v/>
      </c>
      <c r="BM245" s="190" t="str">
        <f t="shared" ca="1" si="230"/>
        <v/>
      </c>
      <c r="BN245" s="190" t="str">
        <f t="shared" ca="1" si="256"/>
        <v/>
      </c>
      <c r="BO245"/>
      <c r="BP245" s="190" t="str">
        <f ca="1">IF(ISNUMBER(OFFSET(BL245,-$F$21,0)),SUM(OFFSET($T$100,($F$17-$F$15+$F$21),0):$T245),"")</f>
        <v/>
      </c>
      <c r="BQ245" s="190" t="str">
        <f t="shared" ca="1" si="231"/>
        <v/>
      </c>
      <c r="BR245" s="190" t="str">
        <f t="shared" ca="1" si="257"/>
        <v/>
      </c>
      <c r="BS245" s="190"/>
      <c r="BT245"/>
      <c r="BU245"/>
      <c r="BV245"/>
      <c r="BY245" s="99"/>
      <c r="BZ245" s="99"/>
      <c r="CA245" s="280" t="str">
        <f t="shared" si="232"/>
        <v/>
      </c>
      <c r="CB245" s="71" t="str">
        <f t="shared" si="233"/>
        <v>-</v>
      </c>
      <c r="CC245" s="33"/>
      <c r="CD245" s="261" t="str">
        <f t="shared" si="234"/>
        <v/>
      </c>
      <c r="CE245" s="280" t="str">
        <f t="shared" si="235"/>
        <v>-</v>
      </c>
      <c r="CF245" s="71" t="str">
        <f t="shared" ca="1" si="236"/>
        <v>-</v>
      </c>
      <c r="CG245" s="33" t="str">
        <f t="shared" si="237"/>
        <v>145-146</v>
      </c>
      <c r="CH245" s="261" t="str">
        <f t="shared" ca="1" si="238"/>
        <v/>
      </c>
      <c r="CP245" s="99"/>
      <c r="CQ245" s="99"/>
    </row>
    <row r="246" spans="2:95" ht="13.5" customHeight="1" x14ac:dyDescent="0.2">
      <c r="B246" s="262">
        <v>146</v>
      </c>
      <c r="C246" s="237" t="str">
        <f t="shared" si="201"/>
        <v/>
      </c>
      <c r="D246" s="237" t="str">
        <f t="shared" si="239"/>
        <v>-</v>
      </c>
      <c r="E246" s="263" t="str">
        <f t="shared" si="240"/>
        <v/>
      </c>
      <c r="F246" s="264" t="str">
        <f t="shared" si="241"/>
        <v/>
      </c>
      <c r="G246" s="264" t="str">
        <f t="shared" si="242"/>
        <v/>
      </c>
      <c r="H246" s="240" t="str">
        <f t="shared" si="202"/>
        <v/>
      </c>
      <c r="I246" s="265" t="str">
        <f t="shared" si="203"/>
        <v/>
      </c>
      <c r="J246" s="265" t="str">
        <f t="shared" si="204"/>
        <v/>
      </c>
      <c r="K246" s="240" t="str">
        <f t="shared" si="205"/>
        <v/>
      </c>
      <c r="L246" s="265" t="str">
        <f t="shared" si="206"/>
        <v/>
      </c>
      <c r="M246" s="265" t="str">
        <f t="shared" si="207"/>
        <v/>
      </c>
      <c r="N246" s="240" t="str">
        <f t="shared" si="208"/>
        <v>-</v>
      </c>
      <c r="O246" s="265" t="str">
        <f t="shared" si="209"/>
        <v>-</v>
      </c>
      <c r="P246" s="265" t="str">
        <f t="shared" si="210"/>
        <v>-</v>
      </c>
      <c r="Q246" s="266" t="str">
        <f t="shared" si="211"/>
        <v>-</v>
      </c>
      <c r="R246" s="267" t="str">
        <f t="shared" si="212"/>
        <v>-</v>
      </c>
      <c r="S246" s="268" t="str">
        <f t="shared" si="213"/>
        <v>-</v>
      </c>
      <c r="T246" s="269" t="str">
        <f t="shared" si="214"/>
        <v/>
      </c>
      <c r="U246" s="221">
        <f t="shared" si="215"/>
        <v>146</v>
      </c>
      <c r="V246" s="220" t="str">
        <f t="shared" si="216"/>
        <v>-</v>
      </c>
      <c r="W246" s="221" t="str">
        <f t="shared" si="243"/>
        <v>-</v>
      </c>
      <c r="X246" s="221" t="str">
        <f t="shared" si="217"/>
        <v>-</v>
      </c>
      <c r="Y246" s="221" t="str">
        <f t="shared" si="218"/>
        <v>-</v>
      </c>
      <c r="Z246" s="270">
        <f t="shared" si="244"/>
        <v>0.1</v>
      </c>
      <c r="AA246" s="271" t="str">
        <f>IFERROR(IF(V245=1,AA$100*EXP(-(LN(2)/$D$65+0.04)*X245)*EXP(-(LN(2)/$D$65+0.1)*Y245),IF(V245=2,AA$100*EXP(-(LN(2)/$D$65+0.04)*(VLOOKUP(($F$16-$F$15)-1,U$99:Y245,4,FALSE)))*EXP(-(LN(2)/$D$65+0.1)*(VLOOKUP(($F$16-$F$15)-1,U$99:Y245,5,FALSE)))*EXP(-(LN(2)/$D$65+0.04)*X245)*EXP(-(LN(2)/$D$65+0.1)*Y245),IF(V245=3,AA$100*EXP(-(LN(2)/$D$65+0.04)*(VLOOKUP(($F$16-$F$15)-1,U$99:Y245,4,FALSE)))*EXP(-(LN(2)/$D$65+0.1)*(VLOOKUP(($F$16-$F$15)-1,U$99:Y245,5,FALSE)))*EXP(-(LN(2)/$D$65+0.04)*(VLOOKUP(($F$16-$F$15)*2-1,U$99:Y245,4,FALSE)))*EXP(-(LN(2)/$D$65+0.1)*(VLOOKUP(($F$16-$F$15)*2-1,U$99:Y245,5,FALSE)))*EXP(-(LN(2)/$D$65+0.04)*X245)*EXP(-(LN(2)/$D$65+0.1)*Y245),"-"))),"-")</f>
        <v>-</v>
      </c>
      <c r="AB246" s="271" t="str">
        <f>IFERROR(IF(V246=1,AB$100*EXP(-(LN(2)/$D$65+0.04)*X246)*EXP(-(LN(2)/$D$65+0.1)*Y246),IF(V246=2,AB$100*EXP(-(LN(2)/$D$65+0.04)*(VLOOKUP(($F$16-$F$15)-1,U$100:Y246,4,FALSE)))*EXP(-(LN(2)/$D$65+0.1)*(VLOOKUP(($F$16-$F$15)-1,U$100:Y246,5,FALSE)))*EXP(-(LN(2)/$D$65+0.04)*X246)*EXP(-(LN(2)/$D$65+0.1)*Y246),IF(V246=3,AB$100*EXP(-(LN(2)/$D$65+0.04)*(VLOOKUP(($F$16-$F$15)-1,U$100:Y246,4,FALSE)))*EXP(-(LN(2)/$D$65+0.1)*(VLOOKUP(($F$16-$F$15)-1,U$100:Y246,5,FALSE)))*EXP(-(LN(2)/$D$65+0.04)*(VLOOKUP(($F$16-$F$15)*2-1,U$100:Y246,4,FALSE)))*EXP(-(LN(2)/$D$65+0.1)*(VLOOKUP(($F$16-$F$15)*2-1,U$100:Y246,5,FALSE)))*EXP(-(LN(2)/$D$65+0.04)*X246)*EXP(-(LN(2)/$D$65+0.1)*Y246),"-"))),"-")</f>
        <v>-</v>
      </c>
      <c r="AC246" s="224">
        <f t="shared" si="258"/>
        <v>146</v>
      </c>
      <c r="AD246" s="223" t="str">
        <f t="shared" si="219"/>
        <v>-</v>
      </c>
      <c r="AE246" s="224" t="str">
        <f t="shared" si="246"/>
        <v>-</v>
      </c>
      <c r="AF246" s="224" t="str">
        <f t="shared" si="220"/>
        <v>-</v>
      </c>
      <c r="AG246" s="224" t="str">
        <f t="shared" si="221"/>
        <v>-</v>
      </c>
      <c r="AH246" s="272">
        <f t="shared" si="247"/>
        <v>0.1</v>
      </c>
      <c r="AI246" s="271" t="str">
        <f>IFERROR(IF(AD245=1,AI$100*EXP(-(LN(2)/$D$65+0.04)*AF245)*EXP(-(LN(2)/$D$65+0.1)*AG245),IF(AD245=2,AI$100*EXP(-(LN(2)/$D$65+0.04)*(VLOOKUP(($F$16-$F$15)-1,AC$99:AG245,4,FALSE)))*EXP(-(LN(2)/$D$65+0.1)*(VLOOKUP(($F$16-$F$15)-1,AC$99:AG245,5,FALSE)))*EXP(-(LN(2)/$D$65+0.04)*AF245)*EXP(-(LN(2)/$D$65+0.1)*AG245),IF(AD245=3,AI$100*EXP(-(LN(2)/$D$65+0.04)*(VLOOKUP(($F$16-$F$15)-1,AC$99:AG245,4,FALSE)))*EXP(-(LN(2)/$D$65+0.1)*(VLOOKUP(($F$16-$F$15)-1,AC$99:AG245,5,FALSE)))*EXP(-(LN(2)/$D$65+0.04)*(VLOOKUP(($F$16-$F$15)*2-1,AC$99:AG245,4,FALSE)))*EXP(-(LN(2)/$D$65+0.1)*(VLOOKUP(($F$16-$F$15)*2-1,AC$99:AG245,5,FALSE)))*EXP(-(LN(2)/$D$65+0.04)*AF245)*EXP(-(LN(2)/$D$65+0.1)*AG245),"-"))),"-")</f>
        <v>-</v>
      </c>
      <c r="AJ246" s="271" t="str">
        <f>IFERROR(IF(AD246=1,AJ$100*EXP(-(LN(2)/$D$65+0.04)*AF246)*EXP(-(LN(2)/$D$65+0.1)*AG246),IF(AD246=2,AJ$100*EXP(-(LN(2)/$D$65+0.04)*(VLOOKUP(($F$16-$F$15)-1,AC$100:AG246,4,FALSE)))*EXP(-(LN(2)/$D$65+0.1)*(VLOOKUP(($F$16-$F$15)-1,AC$100:AG246,5,FALSE)))*EXP(-(LN(2)/$D$65+0.04)*AF246)*EXP(-(LN(2)/$D$65+0.1)*AG246),IF(AD246=3,AJ$100*EXP(-(LN(2)/$D$65+0.04)*(VLOOKUP(($F$16-$F$15)-1,AC$100:AG246,4,FALSE)))*EXP(-(LN(2)/$D$65+0.1)*(VLOOKUP(($F$16-$F$15)-1,AC$100:AG246,5,FALSE)))*EXP(-(LN(2)/$D$65+0.04)*(VLOOKUP(($F$16-$F$15)*2-1,AC$100:AG246,4,FALSE)))*EXP(-(LN(2)/$D$65+0.1)*(VLOOKUP(($F$16-$F$15)*2-1,AC$100:AG246,5,FALSE)))*EXP(-(LN(2)/$D$65+0.04)*AF246)*EXP(-(LN(2)/$D$65+0.1)*AG246),"-"))),"-")</f>
        <v>-</v>
      </c>
      <c r="AK246" s="227">
        <f t="shared" si="248"/>
        <v>146</v>
      </c>
      <c r="AL246" s="226" t="str">
        <f t="shared" si="222"/>
        <v>-</v>
      </c>
      <c r="AM246" s="227" t="str">
        <f t="shared" si="249"/>
        <v>-</v>
      </c>
      <c r="AN246" s="227" t="str">
        <f t="shared" si="250"/>
        <v>-</v>
      </c>
      <c r="AO246" s="227" t="str">
        <f t="shared" si="223"/>
        <v>-</v>
      </c>
      <c r="AP246" s="273">
        <f t="shared" si="251"/>
        <v>0.1</v>
      </c>
      <c r="AQ246" s="271" t="str">
        <f>IFERROR(IF(AL245=1,AQ$100*EXP(-(LN(2)/$D$65+0.04)*AN245)*EXP(-(LN(2)/$D$65+0.1)*AO245),IF(AL245=2,AQ$100*EXP(-(LN(2)/$D$65+0.04)*(VLOOKUP(($F$16-$F$15)-1,AK$99:AO245,4,FALSE)))*EXP(-(LN(2)/$D$65+0.1)*(VLOOKUP(($F$16-$F$15)-1,AK$99:AO245,5,FALSE)))*EXP(-(LN(2)/$D$65+0.04)*AN245)*EXP(-(LN(2)/$D$65+0.1)*AO245),IF(AL245=3,AQ$100*EXP(-(LN(2)/$D$65+0.04)*(VLOOKUP(($F$16-$F$15)-1,AK$99:AO245,4,FALSE)))*EXP(-(LN(2)/$D$65+0.1)*(VLOOKUP(($F$16-$F$15)-1,AK$99:AO245,5,FALSE)))*EXP(-(LN(2)/$D$65+0.04)*(VLOOKUP(($F$16-$F$15)*2-1,AK$99:AO245,4,FALSE)))*EXP(-(LN(2)/$D$65+0.1)*(VLOOKUP(($F$16-$F$15)*2-1,AK$99:AO245,5,FALSE)))*EXP(-(LN(2)/$D$65+0.04)*AN245)*EXP(-(LN(2)/$D$65+0.1)*AO245),"-"))),"-")</f>
        <v>-</v>
      </c>
      <c r="AR246" s="271" t="str">
        <f>IFERROR(IF(AL246=1,AR$100*EXP(-(LN(2)/$D$65+0.04)*AN246)*EXP(-(LN(2)/$D$65+0.1)*AO246),IF(AL246=2,AR$100*EXP(-(LN(2)/$D$65+0.04)*(VLOOKUP(($F$16-$F$15)-1,AK$100:AO246,4,FALSE)))*EXP(-(LN(2)/$D$65+0.1)*(VLOOKUP(($F$16-$F$15)-1,AK$100:AO246,5,FALSE)))*EXP(-(LN(2)/$D$65+0.04)*AN246)*EXP(-(LN(2)/$D$65+0.1)*AO246),IF(AL246=3,AR$100*EXP(-(LN(2)/$D$65+0.04)*(VLOOKUP(($F$16-$F$15)-1,AK$100:AO246,4,FALSE)))*EXP(-(LN(2)/$D$65+0.1)*(VLOOKUP(($F$16-$F$15)-1,AK$100:AO246,5,FALSE)))*EXP(-(LN(2)/$D$65+0.04)*(VLOOKUP(($F$16-$F$15)*2-1,AK$100:AO246,4,FALSE)))*EXP(-(LN(2)/$D$65+0.1)*(VLOOKUP(($F$16-$F$15)*2-1,AK$100:AO246,5,FALSE)))*EXP(-(LN(2)/$D$65+0.04)*AN246)*EXP(-(LN(2)/$D$65+0.1)*AO246),"-"))),"-")</f>
        <v>-</v>
      </c>
      <c r="AS246" s="274">
        <f t="shared" si="224"/>
        <v>0</v>
      </c>
      <c r="AT246" s="274">
        <f t="shared" si="225"/>
        <v>0</v>
      </c>
      <c r="AU246" s="274">
        <f t="shared" si="226"/>
        <v>0</v>
      </c>
      <c r="AV246" s="190">
        <f>IF($B246&lt;$F$22,SUM($T$100:$T246),"")</f>
        <v>0</v>
      </c>
      <c r="AW246" s="190" t="str">
        <f t="shared" si="227"/>
        <v>-</v>
      </c>
      <c r="AX246" s="190" t="str">
        <f t="shared" si="252"/>
        <v/>
      </c>
      <c r="AY246"/>
      <c r="AZ246" s="190" t="str">
        <f ca="1">IF(ISNUMBER(OFFSET(AV246,-$F$21,0)),SUM(OFFSET($T$100,$F$21,0):$T246),"")</f>
        <v/>
      </c>
      <c r="BA246" s="190" t="str">
        <f t="shared" ca="1" si="228"/>
        <v/>
      </c>
      <c r="BB246" s="190" t="str">
        <f t="shared" ca="1" si="164"/>
        <v/>
      </c>
      <c r="BC246" s="190"/>
      <c r="BD246" s="190" t="str">
        <f ca="1">IFERROR(IF(AND($B246&gt;=($F$16-$F$15),$B246&lt;$F$22+($F$16-$F$15)),SUM(OFFSET($T$100,($F$16-$F$15),0):$T246),""),"")</f>
        <v/>
      </c>
      <c r="BE246" s="190" t="str">
        <f t="shared" ca="1" si="253"/>
        <v/>
      </c>
      <c r="BF246" s="190" t="str">
        <f t="shared" ca="1" si="254"/>
        <v/>
      </c>
      <c r="BG246"/>
      <c r="BH246" s="190" t="str">
        <f ca="1">IF(ISNUMBER(OFFSET(BD246,-$F$21,0)),SUM(OFFSET($T$100,($F$16-$F$15+$F$21),0):$T246),"")</f>
        <v/>
      </c>
      <c r="BI246" s="190" t="str">
        <f t="shared" ca="1" si="229"/>
        <v/>
      </c>
      <c r="BJ246" s="190" t="str">
        <f t="shared" ca="1" si="255"/>
        <v/>
      </c>
      <c r="BK246" s="190"/>
      <c r="BL246" s="190" t="str">
        <f ca="1">IFERROR(IF(AND($B246&gt;=($F$17-$F$15),$B246&lt;$F$22+($F$17-$F$15)),SUM(OFFSET($T$100,($F$17-$F$15),0):$T246),""),"")</f>
        <v/>
      </c>
      <c r="BM246" s="190" t="str">
        <f t="shared" ca="1" si="230"/>
        <v/>
      </c>
      <c r="BN246" s="190" t="str">
        <f t="shared" ca="1" si="256"/>
        <v/>
      </c>
      <c r="BO246"/>
      <c r="BP246" s="190" t="str">
        <f ca="1">IF(ISNUMBER(OFFSET(BL246,-$F$21,0)),SUM(OFFSET($T$100,($F$17-$F$15+$F$21),0):$T246),"")</f>
        <v/>
      </c>
      <c r="BQ246" s="190" t="str">
        <f t="shared" ca="1" si="231"/>
        <v/>
      </c>
      <c r="BR246" s="190" t="str">
        <f t="shared" ca="1" si="257"/>
        <v/>
      </c>
      <c r="BS246" s="190"/>
      <c r="BT246"/>
      <c r="BU246"/>
      <c r="BV246"/>
      <c r="BY246" s="99"/>
      <c r="BZ246" s="99"/>
      <c r="CA246" s="280" t="str">
        <f t="shared" si="232"/>
        <v/>
      </c>
      <c r="CB246" s="71" t="str">
        <f t="shared" si="233"/>
        <v>-</v>
      </c>
      <c r="CC246" s="33"/>
      <c r="CD246" s="261" t="str">
        <f t="shared" si="234"/>
        <v/>
      </c>
      <c r="CE246" s="280" t="str">
        <f t="shared" si="235"/>
        <v>-</v>
      </c>
      <c r="CF246" s="71" t="str">
        <f t="shared" ca="1" si="236"/>
        <v>-</v>
      </c>
      <c r="CG246" s="33" t="str">
        <f t="shared" si="237"/>
        <v>146-147</v>
      </c>
      <c r="CH246" s="261" t="str">
        <f t="shared" ca="1" si="238"/>
        <v/>
      </c>
      <c r="CP246" s="99"/>
      <c r="CQ246" s="99"/>
    </row>
    <row r="247" spans="2:95" ht="13.5" customHeight="1" x14ac:dyDescent="0.2">
      <c r="B247" s="262">
        <v>147</v>
      </c>
      <c r="C247" s="237" t="str">
        <f t="shared" si="201"/>
        <v/>
      </c>
      <c r="D247" s="237" t="str">
        <f t="shared" si="239"/>
        <v>-</v>
      </c>
      <c r="E247" s="263" t="str">
        <f t="shared" si="240"/>
        <v/>
      </c>
      <c r="F247" s="264" t="str">
        <f t="shared" si="241"/>
        <v/>
      </c>
      <c r="G247" s="264" t="str">
        <f t="shared" si="242"/>
        <v/>
      </c>
      <c r="H247" s="240" t="str">
        <f t="shared" si="202"/>
        <v/>
      </c>
      <c r="I247" s="265" t="str">
        <f t="shared" si="203"/>
        <v/>
      </c>
      <c r="J247" s="265" t="str">
        <f t="shared" si="204"/>
        <v/>
      </c>
      <c r="K247" s="240" t="str">
        <f t="shared" si="205"/>
        <v/>
      </c>
      <c r="L247" s="265" t="str">
        <f t="shared" si="206"/>
        <v/>
      </c>
      <c r="M247" s="265" t="str">
        <f t="shared" si="207"/>
        <v/>
      </c>
      <c r="N247" s="240" t="str">
        <f t="shared" si="208"/>
        <v>-</v>
      </c>
      <c r="O247" s="265" t="str">
        <f t="shared" si="209"/>
        <v>-</v>
      </c>
      <c r="P247" s="265" t="str">
        <f t="shared" si="210"/>
        <v>-</v>
      </c>
      <c r="Q247" s="266" t="str">
        <f t="shared" si="211"/>
        <v>-</v>
      </c>
      <c r="R247" s="267" t="str">
        <f t="shared" si="212"/>
        <v>-</v>
      </c>
      <c r="S247" s="268" t="str">
        <f t="shared" si="213"/>
        <v>-</v>
      </c>
      <c r="T247" s="269" t="str">
        <f t="shared" si="214"/>
        <v/>
      </c>
      <c r="U247" s="221">
        <f t="shared" si="215"/>
        <v>147</v>
      </c>
      <c r="V247" s="220" t="str">
        <f t="shared" si="216"/>
        <v>-</v>
      </c>
      <c r="W247" s="221" t="str">
        <f t="shared" si="243"/>
        <v>-</v>
      </c>
      <c r="X247" s="221" t="str">
        <f t="shared" si="217"/>
        <v>-</v>
      </c>
      <c r="Y247" s="221" t="str">
        <f t="shared" si="218"/>
        <v>-</v>
      </c>
      <c r="Z247" s="270">
        <f t="shared" si="244"/>
        <v>0.1</v>
      </c>
      <c r="AA247" s="271" t="str">
        <f>IFERROR(IF(V246=1,AA$100*EXP(-(LN(2)/$D$65+0.04)*X246)*EXP(-(LN(2)/$D$65+0.1)*Y246),IF(V246=2,AA$100*EXP(-(LN(2)/$D$65+0.04)*(VLOOKUP(($F$16-$F$15)-1,U$99:Y246,4,FALSE)))*EXP(-(LN(2)/$D$65+0.1)*(VLOOKUP(($F$16-$F$15)-1,U$99:Y246,5,FALSE)))*EXP(-(LN(2)/$D$65+0.04)*X246)*EXP(-(LN(2)/$D$65+0.1)*Y246),IF(V246=3,AA$100*EXP(-(LN(2)/$D$65+0.04)*(VLOOKUP(($F$16-$F$15)-1,U$99:Y246,4,FALSE)))*EXP(-(LN(2)/$D$65+0.1)*(VLOOKUP(($F$16-$F$15)-1,U$99:Y246,5,FALSE)))*EXP(-(LN(2)/$D$65+0.04)*(VLOOKUP(($F$16-$F$15)*2-1,U$99:Y246,4,FALSE)))*EXP(-(LN(2)/$D$65+0.1)*(VLOOKUP(($F$16-$F$15)*2-1,U$99:Y246,5,FALSE)))*EXP(-(LN(2)/$D$65+0.04)*X246)*EXP(-(LN(2)/$D$65+0.1)*Y246),"-"))),"-")</f>
        <v>-</v>
      </c>
      <c r="AB247" s="271" t="str">
        <f>IFERROR(IF(V247=1,AB$100*EXP(-(LN(2)/$D$65+0.04)*X247)*EXP(-(LN(2)/$D$65+0.1)*Y247),IF(V247=2,AB$100*EXP(-(LN(2)/$D$65+0.04)*(VLOOKUP(($F$16-$F$15)-1,U$100:Y247,4,FALSE)))*EXP(-(LN(2)/$D$65+0.1)*(VLOOKUP(($F$16-$F$15)-1,U$100:Y247,5,FALSE)))*EXP(-(LN(2)/$D$65+0.04)*X247)*EXP(-(LN(2)/$D$65+0.1)*Y247),IF(V247=3,AB$100*EXP(-(LN(2)/$D$65+0.04)*(VLOOKUP(($F$16-$F$15)-1,U$100:Y247,4,FALSE)))*EXP(-(LN(2)/$D$65+0.1)*(VLOOKUP(($F$16-$F$15)-1,U$100:Y247,5,FALSE)))*EXP(-(LN(2)/$D$65+0.04)*(VLOOKUP(($F$16-$F$15)*2-1,U$100:Y247,4,FALSE)))*EXP(-(LN(2)/$D$65+0.1)*(VLOOKUP(($F$16-$F$15)*2-1,U$100:Y247,5,FALSE)))*EXP(-(LN(2)/$D$65+0.04)*X247)*EXP(-(LN(2)/$D$65+0.1)*Y247),"-"))),"-")</f>
        <v>-</v>
      </c>
      <c r="AC247" s="224">
        <f t="shared" si="258"/>
        <v>147</v>
      </c>
      <c r="AD247" s="223" t="str">
        <f t="shared" si="219"/>
        <v>-</v>
      </c>
      <c r="AE247" s="224" t="str">
        <f t="shared" si="246"/>
        <v>-</v>
      </c>
      <c r="AF247" s="224" t="str">
        <f t="shared" si="220"/>
        <v>-</v>
      </c>
      <c r="AG247" s="224" t="str">
        <f t="shared" si="221"/>
        <v>-</v>
      </c>
      <c r="AH247" s="272">
        <f t="shared" si="247"/>
        <v>0.1</v>
      </c>
      <c r="AI247" s="271" t="str">
        <f>IFERROR(IF(AD246=1,AI$100*EXP(-(LN(2)/$D$65+0.04)*AF246)*EXP(-(LN(2)/$D$65+0.1)*AG246),IF(AD246=2,AI$100*EXP(-(LN(2)/$D$65+0.04)*(VLOOKUP(($F$16-$F$15)-1,AC$99:AG246,4,FALSE)))*EXP(-(LN(2)/$D$65+0.1)*(VLOOKUP(($F$16-$F$15)-1,AC$99:AG246,5,FALSE)))*EXP(-(LN(2)/$D$65+0.04)*AF246)*EXP(-(LN(2)/$D$65+0.1)*AG246),IF(AD246=3,AI$100*EXP(-(LN(2)/$D$65+0.04)*(VLOOKUP(($F$16-$F$15)-1,AC$99:AG246,4,FALSE)))*EXP(-(LN(2)/$D$65+0.1)*(VLOOKUP(($F$16-$F$15)-1,AC$99:AG246,5,FALSE)))*EXP(-(LN(2)/$D$65+0.04)*(VLOOKUP(($F$16-$F$15)*2-1,AC$99:AG246,4,FALSE)))*EXP(-(LN(2)/$D$65+0.1)*(VLOOKUP(($F$16-$F$15)*2-1,AC$99:AG246,5,FALSE)))*EXP(-(LN(2)/$D$65+0.04)*AF246)*EXP(-(LN(2)/$D$65+0.1)*AG246),"-"))),"-")</f>
        <v>-</v>
      </c>
      <c r="AJ247" s="271" t="str">
        <f>IFERROR(IF(AD247=1,AJ$100*EXP(-(LN(2)/$D$65+0.04)*AF247)*EXP(-(LN(2)/$D$65+0.1)*AG247),IF(AD247=2,AJ$100*EXP(-(LN(2)/$D$65+0.04)*(VLOOKUP(($F$16-$F$15)-1,AC$100:AG247,4,FALSE)))*EXP(-(LN(2)/$D$65+0.1)*(VLOOKUP(($F$16-$F$15)-1,AC$100:AG247,5,FALSE)))*EXP(-(LN(2)/$D$65+0.04)*AF247)*EXP(-(LN(2)/$D$65+0.1)*AG247),IF(AD247=3,AJ$100*EXP(-(LN(2)/$D$65+0.04)*(VLOOKUP(($F$16-$F$15)-1,AC$100:AG247,4,FALSE)))*EXP(-(LN(2)/$D$65+0.1)*(VLOOKUP(($F$16-$F$15)-1,AC$100:AG247,5,FALSE)))*EXP(-(LN(2)/$D$65+0.04)*(VLOOKUP(($F$16-$F$15)*2-1,AC$100:AG247,4,FALSE)))*EXP(-(LN(2)/$D$65+0.1)*(VLOOKUP(($F$16-$F$15)*2-1,AC$100:AG247,5,FALSE)))*EXP(-(LN(2)/$D$65+0.04)*AF247)*EXP(-(LN(2)/$D$65+0.1)*AG247),"-"))),"-")</f>
        <v>-</v>
      </c>
      <c r="AK247" s="227">
        <f t="shared" si="248"/>
        <v>147</v>
      </c>
      <c r="AL247" s="226" t="str">
        <f t="shared" si="222"/>
        <v>-</v>
      </c>
      <c r="AM247" s="227" t="str">
        <f t="shared" si="249"/>
        <v>-</v>
      </c>
      <c r="AN247" s="227" t="str">
        <f t="shared" si="250"/>
        <v>-</v>
      </c>
      <c r="AO247" s="227" t="str">
        <f t="shared" si="223"/>
        <v>-</v>
      </c>
      <c r="AP247" s="273">
        <f t="shared" si="251"/>
        <v>0.1</v>
      </c>
      <c r="AQ247" s="271" t="str">
        <f>IFERROR(IF(AL246=1,AQ$100*EXP(-(LN(2)/$D$65+0.04)*AN246)*EXP(-(LN(2)/$D$65+0.1)*AO246),IF(AL246=2,AQ$100*EXP(-(LN(2)/$D$65+0.04)*(VLOOKUP(($F$16-$F$15)-1,AK$99:AO246,4,FALSE)))*EXP(-(LN(2)/$D$65+0.1)*(VLOOKUP(($F$16-$F$15)-1,AK$99:AO246,5,FALSE)))*EXP(-(LN(2)/$D$65+0.04)*AN246)*EXP(-(LN(2)/$D$65+0.1)*AO246),IF(AL246=3,AQ$100*EXP(-(LN(2)/$D$65+0.04)*(VLOOKUP(($F$16-$F$15)-1,AK$99:AO246,4,FALSE)))*EXP(-(LN(2)/$D$65+0.1)*(VLOOKUP(($F$16-$F$15)-1,AK$99:AO246,5,FALSE)))*EXP(-(LN(2)/$D$65+0.04)*(VLOOKUP(($F$16-$F$15)*2-1,AK$99:AO246,4,FALSE)))*EXP(-(LN(2)/$D$65+0.1)*(VLOOKUP(($F$16-$F$15)*2-1,AK$99:AO246,5,FALSE)))*EXP(-(LN(2)/$D$65+0.04)*AN246)*EXP(-(LN(2)/$D$65+0.1)*AO246),"-"))),"-")</f>
        <v>-</v>
      </c>
      <c r="AR247" s="271" t="str">
        <f>IFERROR(IF(AL247=1,AR$100*EXP(-(LN(2)/$D$65+0.04)*AN247)*EXP(-(LN(2)/$D$65+0.1)*AO247),IF(AL247=2,AR$100*EXP(-(LN(2)/$D$65+0.04)*(VLOOKUP(($F$16-$F$15)-1,AK$100:AO247,4,FALSE)))*EXP(-(LN(2)/$D$65+0.1)*(VLOOKUP(($F$16-$F$15)-1,AK$100:AO247,5,FALSE)))*EXP(-(LN(2)/$D$65+0.04)*AN247)*EXP(-(LN(2)/$D$65+0.1)*AO247),IF(AL247=3,AR$100*EXP(-(LN(2)/$D$65+0.04)*(VLOOKUP(($F$16-$F$15)-1,AK$100:AO247,4,FALSE)))*EXP(-(LN(2)/$D$65+0.1)*(VLOOKUP(($F$16-$F$15)-1,AK$100:AO247,5,FALSE)))*EXP(-(LN(2)/$D$65+0.04)*(VLOOKUP(($F$16-$F$15)*2-1,AK$100:AO247,4,FALSE)))*EXP(-(LN(2)/$D$65+0.1)*(VLOOKUP(($F$16-$F$15)*2-1,AK$100:AO247,5,FALSE)))*EXP(-(LN(2)/$D$65+0.04)*AN247)*EXP(-(LN(2)/$D$65+0.1)*AO247),"-"))),"-")</f>
        <v>-</v>
      </c>
      <c r="AS247" s="274">
        <f t="shared" si="224"/>
        <v>0</v>
      </c>
      <c r="AT247" s="274">
        <f t="shared" si="225"/>
        <v>0</v>
      </c>
      <c r="AU247" s="274">
        <f t="shared" si="226"/>
        <v>0</v>
      </c>
      <c r="AV247" s="190">
        <f>IF($B247&lt;$F$22,SUM($T$100:$T247),"")</f>
        <v>0</v>
      </c>
      <c r="AW247" s="190" t="str">
        <f t="shared" si="227"/>
        <v>-</v>
      </c>
      <c r="AX247" s="190" t="str">
        <f t="shared" si="252"/>
        <v/>
      </c>
      <c r="AY247"/>
      <c r="AZ247" s="190" t="str">
        <f ca="1">IF(ISNUMBER(OFFSET(AV247,-$F$21,0)),SUM(OFFSET($T$100,$F$21,0):$T247),"")</f>
        <v/>
      </c>
      <c r="BA247" s="190" t="str">
        <f t="shared" ca="1" si="228"/>
        <v/>
      </c>
      <c r="BB247" s="190" t="str">
        <f t="shared" ca="1" si="164"/>
        <v/>
      </c>
      <c r="BC247" s="190"/>
      <c r="BD247" s="190" t="str">
        <f ca="1">IFERROR(IF(AND($B247&gt;=($F$16-$F$15),$B247&lt;$F$22+($F$16-$F$15)),SUM(OFFSET($T$100,($F$16-$F$15),0):$T247),""),"")</f>
        <v/>
      </c>
      <c r="BE247" s="190" t="str">
        <f t="shared" ca="1" si="253"/>
        <v/>
      </c>
      <c r="BF247" s="190" t="str">
        <f t="shared" ca="1" si="254"/>
        <v/>
      </c>
      <c r="BG247"/>
      <c r="BH247" s="190" t="str">
        <f ca="1">IF(ISNUMBER(OFFSET(BD247,-$F$21,0)),SUM(OFFSET($T$100,($F$16-$F$15+$F$21),0):$T247),"")</f>
        <v/>
      </c>
      <c r="BI247" s="190" t="str">
        <f t="shared" ca="1" si="229"/>
        <v/>
      </c>
      <c r="BJ247" s="190" t="str">
        <f t="shared" ca="1" si="255"/>
        <v/>
      </c>
      <c r="BK247" s="190"/>
      <c r="BL247" s="190" t="str">
        <f ca="1">IFERROR(IF(AND($B247&gt;=($F$17-$F$15),$B247&lt;$F$22+($F$17-$F$15)),SUM(OFFSET($T$100,($F$17-$F$15),0):$T247),""),"")</f>
        <v/>
      </c>
      <c r="BM247" s="190" t="str">
        <f t="shared" ca="1" si="230"/>
        <v/>
      </c>
      <c r="BN247" s="190" t="str">
        <f t="shared" ca="1" si="256"/>
        <v/>
      </c>
      <c r="BO247"/>
      <c r="BP247" s="190" t="str">
        <f ca="1">IF(ISNUMBER(OFFSET(BL247,-$F$21,0)),SUM(OFFSET($T$100,($F$17-$F$15+$F$21),0):$T247),"")</f>
        <v/>
      </c>
      <c r="BQ247" s="190" t="str">
        <f t="shared" ca="1" si="231"/>
        <v/>
      </c>
      <c r="BR247" s="190" t="str">
        <f t="shared" ca="1" si="257"/>
        <v/>
      </c>
      <c r="BS247" s="190"/>
      <c r="BT247"/>
      <c r="BU247"/>
      <c r="BV247"/>
      <c r="BY247" s="99"/>
      <c r="BZ247" s="99"/>
      <c r="CA247" s="280" t="str">
        <f t="shared" si="232"/>
        <v/>
      </c>
      <c r="CB247" s="71" t="str">
        <f t="shared" si="233"/>
        <v>-</v>
      </c>
      <c r="CC247" s="33"/>
      <c r="CD247" s="261" t="str">
        <f t="shared" si="234"/>
        <v/>
      </c>
      <c r="CE247" s="280" t="str">
        <f t="shared" si="235"/>
        <v>-</v>
      </c>
      <c r="CF247" s="71" t="str">
        <f t="shared" ca="1" si="236"/>
        <v>-</v>
      </c>
      <c r="CG247" s="33" t="str">
        <f t="shared" si="237"/>
        <v>147-148</v>
      </c>
      <c r="CH247" s="261" t="str">
        <f t="shared" ca="1" si="238"/>
        <v/>
      </c>
      <c r="CP247" s="99"/>
      <c r="CQ247" s="99"/>
    </row>
    <row r="248" spans="2:95" ht="13.5" customHeight="1" x14ac:dyDescent="0.2">
      <c r="B248" s="262">
        <v>148</v>
      </c>
      <c r="C248" s="237" t="str">
        <f t="shared" si="201"/>
        <v/>
      </c>
      <c r="D248" s="237" t="str">
        <f t="shared" si="239"/>
        <v>-</v>
      </c>
      <c r="E248" s="263" t="str">
        <f t="shared" si="240"/>
        <v/>
      </c>
      <c r="F248" s="264" t="str">
        <f t="shared" si="241"/>
        <v/>
      </c>
      <c r="G248" s="264" t="str">
        <f t="shared" si="242"/>
        <v/>
      </c>
      <c r="H248" s="240" t="str">
        <f t="shared" si="202"/>
        <v/>
      </c>
      <c r="I248" s="265" t="str">
        <f t="shared" si="203"/>
        <v/>
      </c>
      <c r="J248" s="265" t="str">
        <f t="shared" si="204"/>
        <v/>
      </c>
      <c r="K248" s="240" t="str">
        <f t="shared" si="205"/>
        <v/>
      </c>
      <c r="L248" s="265" t="str">
        <f t="shared" si="206"/>
        <v/>
      </c>
      <c r="M248" s="265" t="str">
        <f t="shared" si="207"/>
        <v/>
      </c>
      <c r="N248" s="240" t="str">
        <f t="shared" si="208"/>
        <v>-</v>
      </c>
      <c r="O248" s="265" t="str">
        <f t="shared" si="209"/>
        <v>-</v>
      </c>
      <c r="P248" s="265" t="str">
        <f t="shared" si="210"/>
        <v>-</v>
      </c>
      <c r="Q248" s="266" t="str">
        <f t="shared" si="211"/>
        <v>-</v>
      </c>
      <c r="R248" s="267" t="str">
        <f t="shared" si="212"/>
        <v>-</v>
      </c>
      <c r="S248" s="268" t="str">
        <f t="shared" si="213"/>
        <v>-</v>
      </c>
      <c r="T248" s="269" t="str">
        <f t="shared" si="214"/>
        <v/>
      </c>
      <c r="U248" s="221">
        <f t="shared" si="215"/>
        <v>148</v>
      </c>
      <c r="V248" s="220" t="str">
        <f t="shared" si="216"/>
        <v>-</v>
      </c>
      <c r="W248" s="221" t="str">
        <f t="shared" si="243"/>
        <v>-</v>
      </c>
      <c r="X248" s="221" t="str">
        <f t="shared" si="217"/>
        <v>-</v>
      </c>
      <c r="Y248" s="221" t="str">
        <f t="shared" si="218"/>
        <v>-</v>
      </c>
      <c r="Z248" s="270">
        <f t="shared" si="244"/>
        <v>0.1</v>
      </c>
      <c r="AA248" s="271" t="str">
        <f>IFERROR(IF(V247=1,AA$100*EXP(-(LN(2)/$D$65+0.04)*X247)*EXP(-(LN(2)/$D$65+0.1)*Y247),IF(V247=2,AA$100*EXP(-(LN(2)/$D$65+0.04)*(VLOOKUP(($F$16-$F$15)-1,U$99:Y247,4,FALSE)))*EXP(-(LN(2)/$D$65+0.1)*(VLOOKUP(($F$16-$F$15)-1,U$99:Y247,5,FALSE)))*EXP(-(LN(2)/$D$65+0.04)*X247)*EXP(-(LN(2)/$D$65+0.1)*Y247),IF(V247=3,AA$100*EXP(-(LN(2)/$D$65+0.04)*(VLOOKUP(($F$16-$F$15)-1,U$99:Y247,4,FALSE)))*EXP(-(LN(2)/$D$65+0.1)*(VLOOKUP(($F$16-$F$15)-1,U$99:Y247,5,FALSE)))*EXP(-(LN(2)/$D$65+0.04)*(VLOOKUP(($F$16-$F$15)*2-1,U$99:Y247,4,FALSE)))*EXP(-(LN(2)/$D$65+0.1)*(VLOOKUP(($F$16-$F$15)*2-1,U$99:Y247,5,FALSE)))*EXP(-(LN(2)/$D$65+0.04)*X247)*EXP(-(LN(2)/$D$65+0.1)*Y247),"-"))),"-")</f>
        <v>-</v>
      </c>
      <c r="AB248" s="271" t="str">
        <f>IFERROR(IF(V248=1,AB$100*EXP(-(LN(2)/$D$65+0.04)*X248)*EXP(-(LN(2)/$D$65+0.1)*Y248),IF(V248=2,AB$100*EXP(-(LN(2)/$D$65+0.04)*(VLOOKUP(($F$16-$F$15)-1,U$100:Y248,4,FALSE)))*EXP(-(LN(2)/$D$65+0.1)*(VLOOKUP(($F$16-$F$15)-1,U$100:Y248,5,FALSE)))*EXP(-(LN(2)/$D$65+0.04)*X248)*EXP(-(LN(2)/$D$65+0.1)*Y248),IF(V248=3,AB$100*EXP(-(LN(2)/$D$65+0.04)*(VLOOKUP(($F$16-$F$15)-1,U$100:Y248,4,FALSE)))*EXP(-(LN(2)/$D$65+0.1)*(VLOOKUP(($F$16-$F$15)-1,U$100:Y248,5,FALSE)))*EXP(-(LN(2)/$D$65+0.04)*(VLOOKUP(($F$16-$F$15)*2-1,U$100:Y248,4,FALSE)))*EXP(-(LN(2)/$D$65+0.1)*(VLOOKUP(($F$16-$F$15)*2-1,U$100:Y248,5,FALSE)))*EXP(-(LN(2)/$D$65+0.04)*X248)*EXP(-(LN(2)/$D$65+0.1)*Y248),"-"))),"-")</f>
        <v>-</v>
      </c>
      <c r="AC248" s="224">
        <f t="shared" si="258"/>
        <v>148</v>
      </c>
      <c r="AD248" s="223" t="str">
        <f t="shared" si="219"/>
        <v>-</v>
      </c>
      <c r="AE248" s="224" t="str">
        <f t="shared" si="246"/>
        <v>-</v>
      </c>
      <c r="AF248" s="224" t="str">
        <f t="shared" si="220"/>
        <v>-</v>
      </c>
      <c r="AG248" s="224" t="str">
        <f t="shared" si="221"/>
        <v>-</v>
      </c>
      <c r="AH248" s="272">
        <f t="shared" si="247"/>
        <v>0.1</v>
      </c>
      <c r="AI248" s="271" t="str">
        <f>IFERROR(IF(AD247=1,AI$100*EXP(-(LN(2)/$D$65+0.04)*AF247)*EXP(-(LN(2)/$D$65+0.1)*AG247),IF(AD247=2,AI$100*EXP(-(LN(2)/$D$65+0.04)*(VLOOKUP(($F$16-$F$15)-1,AC$99:AG247,4,FALSE)))*EXP(-(LN(2)/$D$65+0.1)*(VLOOKUP(($F$16-$F$15)-1,AC$99:AG247,5,FALSE)))*EXP(-(LN(2)/$D$65+0.04)*AF247)*EXP(-(LN(2)/$D$65+0.1)*AG247),IF(AD247=3,AI$100*EXP(-(LN(2)/$D$65+0.04)*(VLOOKUP(($F$16-$F$15)-1,AC$99:AG247,4,FALSE)))*EXP(-(LN(2)/$D$65+0.1)*(VLOOKUP(($F$16-$F$15)-1,AC$99:AG247,5,FALSE)))*EXP(-(LN(2)/$D$65+0.04)*(VLOOKUP(($F$16-$F$15)*2-1,AC$99:AG247,4,FALSE)))*EXP(-(LN(2)/$D$65+0.1)*(VLOOKUP(($F$16-$F$15)*2-1,AC$99:AG247,5,FALSE)))*EXP(-(LN(2)/$D$65+0.04)*AF247)*EXP(-(LN(2)/$D$65+0.1)*AG247),"-"))),"-")</f>
        <v>-</v>
      </c>
      <c r="AJ248" s="271" t="str">
        <f>IFERROR(IF(AD248=1,AJ$100*EXP(-(LN(2)/$D$65+0.04)*AF248)*EXP(-(LN(2)/$D$65+0.1)*AG248),IF(AD248=2,AJ$100*EXP(-(LN(2)/$D$65+0.04)*(VLOOKUP(($F$16-$F$15)-1,AC$100:AG248,4,FALSE)))*EXP(-(LN(2)/$D$65+0.1)*(VLOOKUP(($F$16-$F$15)-1,AC$100:AG248,5,FALSE)))*EXP(-(LN(2)/$D$65+0.04)*AF248)*EXP(-(LN(2)/$D$65+0.1)*AG248),IF(AD248=3,AJ$100*EXP(-(LN(2)/$D$65+0.04)*(VLOOKUP(($F$16-$F$15)-1,AC$100:AG248,4,FALSE)))*EXP(-(LN(2)/$D$65+0.1)*(VLOOKUP(($F$16-$F$15)-1,AC$100:AG248,5,FALSE)))*EXP(-(LN(2)/$D$65+0.04)*(VLOOKUP(($F$16-$F$15)*2-1,AC$100:AG248,4,FALSE)))*EXP(-(LN(2)/$D$65+0.1)*(VLOOKUP(($F$16-$F$15)*2-1,AC$100:AG248,5,FALSE)))*EXP(-(LN(2)/$D$65+0.04)*AF248)*EXP(-(LN(2)/$D$65+0.1)*AG248),"-"))),"-")</f>
        <v>-</v>
      </c>
      <c r="AK248" s="227">
        <f t="shared" si="248"/>
        <v>148</v>
      </c>
      <c r="AL248" s="226" t="str">
        <f t="shared" si="222"/>
        <v>-</v>
      </c>
      <c r="AM248" s="227" t="str">
        <f t="shared" si="249"/>
        <v>-</v>
      </c>
      <c r="AN248" s="227" t="str">
        <f t="shared" si="250"/>
        <v>-</v>
      </c>
      <c r="AO248" s="227" t="str">
        <f t="shared" si="223"/>
        <v>-</v>
      </c>
      <c r="AP248" s="273">
        <f t="shared" si="251"/>
        <v>0.1</v>
      </c>
      <c r="AQ248" s="271" t="str">
        <f>IFERROR(IF(AL247=1,AQ$100*EXP(-(LN(2)/$D$65+0.04)*AN247)*EXP(-(LN(2)/$D$65+0.1)*AO247),IF(AL247=2,AQ$100*EXP(-(LN(2)/$D$65+0.04)*(VLOOKUP(($F$16-$F$15)-1,AK$99:AO247,4,FALSE)))*EXP(-(LN(2)/$D$65+0.1)*(VLOOKUP(($F$16-$F$15)-1,AK$99:AO247,5,FALSE)))*EXP(-(LN(2)/$D$65+0.04)*AN247)*EXP(-(LN(2)/$D$65+0.1)*AO247),IF(AL247=3,AQ$100*EXP(-(LN(2)/$D$65+0.04)*(VLOOKUP(($F$16-$F$15)-1,AK$99:AO247,4,FALSE)))*EXP(-(LN(2)/$D$65+0.1)*(VLOOKUP(($F$16-$F$15)-1,AK$99:AO247,5,FALSE)))*EXP(-(LN(2)/$D$65+0.04)*(VLOOKUP(($F$16-$F$15)*2-1,AK$99:AO247,4,FALSE)))*EXP(-(LN(2)/$D$65+0.1)*(VLOOKUP(($F$16-$F$15)*2-1,AK$99:AO247,5,FALSE)))*EXP(-(LN(2)/$D$65+0.04)*AN247)*EXP(-(LN(2)/$D$65+0.1)*AO247),"-"))),"-")</f>
        <v>-</v>
      </c>
      <c r="AR248" s="271" t="str">
        <f>IFERROR(IF(AL248=1,AR$100*EXP(-(LN(2)/$D$65+0.04)*AN248)*EXP(-(LN(2)/$D$65+0.1)*AO248),IF(AL248=2,AR$100*EXP(-(LN(2)/$D$65+0.04)*(VLOOKUP(($F$16-$F$15)-1,AK$100:AO248,4,FALSE)))*EXP(-(LN(2)/$D$65+0.1)*(VLOOKUP(($F$16-$F$15)-1,AK$100:AO248,5,FALSE)))*EXP(-(LN(2)/$D$65+0.04)*AN248)*EXP(-(LN(2)/$D$65+0.1)*AO248),IF(AL248=3,AR$100*EXP(-(LN(2)/$D$65+0.04)*(VLOOKUP(($F$16-$F$15)-1,AK$100:AO248,4,FALSE)))*EXP(-(LN(2)/$D$65+0.1)*(VLOOKUP(($F$16-$F$15)-1,AK$100:AO248,5,FALSE)))*EXP(-(LN(2)/$D$65+0.04)*(VLOOKUP(($F$16-$F$15)*2-1,AK$100:AO248,4,FALSE)))*EXP(-(LN(2)/$D$65+0.1)*(VLOOKUP(($F$16-$F$15)*2-1,AK$100:AO248,5,FALSE)))*EXP(-(LN(2)/$D$65+0.04)*AN248)*EXP(-(LN(2)/$D$65+0.1)*AO248),"-"))),"-")</f>
        <v>-</v>
      </c>
      <c r="AS248" s="274">
        <f t="shared" si="224"/>
        <v>0</v>
      </c>
      <c r="AT248" s="274">
        <f t="shared" si="225"/>
        <v>0</v>
      </c>
      <c r="AU248" s="274">
        <f t="shared" si="226"/>
        <v>0</v>
      </c>
      <c r="AV248" s="190">
        <f>IF($B248&lt;$F$22,SUM($T$100:$T248),"")</f>
        <v>0</v>
      </c>
      <c r="AW248" s="190" t="str">
        <f t="shared" si="227"/>
        <v>-</v>
      </c>
      <c r="AX248" s="190" t="str">
        <f t="shared" si="252"/>
        <v/>
      </c>
      <c r="AY248"/>
      <c r="AZ248" s="190" t="str">
        <f ca="1">IF(ISNUMBER(OFFSET(AV248,-$F$21,0)),SUM(OFFSET($T$100,$F$21,0):$T248),"")</f>
        <v/>
      </c>
      <c r="BA248" s="190" t="str">
        <f t="shared" ca="1" si="228"/>
        <v/>
      </c>
      <c r="BB248" s="190" t="str">
        <f t="shared" ca="1" si="164"/>
        <v/>
      </c>
      <c r="BC248" s="190"/>
      <c r="BD248" s="190" t="str">
        <f ca="1">IFERROR(IF(AND($B248&gt;=($F$16-$F$15),$B248&lt;$F$22+($F$16-$F$15)),SUM(OFFSET($T$100,($F$16-$F$15),0):$T248),""),"")</f>
        <v/>
      </c>
      <c r="BE248" s="190" t="str">
        <f t="shared" ca="1" si="253"/>
        <v/>
      </c>
      <c r="BF248" s="190" t="str">
        <f t="shared" ca="1" si="254"/>
        <v/>
      </c>
      <c r="BG248"/>
      <c r="BH248" s="190" t="str">
        <f ca="1">IF(ISNUMBER(OFFSET(BD248,-$F$21,0)),SUM(OFFSET($T$100,($F$16-$F$15+$F$21),0):$T248),"")</f>
        <v/>
      </c>
      <c r="BI248" s="190" t="str">
        <f t="shared" ca="1" si="229"/>
        <v/>
      </c>
      <c r="BJ248" s="190" t="str">
        <f t="shared" ca="1" si="255"/>
        <v/>
      </c>
      <c r="BK248" s="190"/>
      <c r="BL248" s="190" t="str">
        <f ca="1">IFERROR(IF(AND($B248&gt;=($F$17-$F$15),$B248&lt;$F$22+($F$17-$F$15)),SUM(OFFSET($T$100,($F$17-$F$15),0):$T248),""),"")</f>
        <v/>
      </c>
      <c r="BM248" s="190" t="str">
        <f t="shared" ca="1" si="230"/>
        <v/>
      </c>
      <c r="BN248" s="190" t="str">
        <f t="shared" ca="1" si="256"/>
        <v/>
      </c>
      <c r="BO248"/>
      <c r="BP248" s="190" t="str">
        <f ca="1">IF(ISNUMBER(OFFSET(BL248,-$F$21,0)),SUM(OFFSET($T$100,($F$17-$F$15+$F$21),0):$T248),"")</f>
        <v/>
      </c>
      <c r="BQ248" s="190" t="str">
        <f t="shared" ca="1" si="231"/>
        <v/>
      </c>
      <c r="BR248" s="190" t="str">
        <f t="shared" ca="1" si="257"/>
        <v/>
      </c>
      <c r="BS248" s="190"/>
      <c r="BT248"/>
      <c r="BU248"/>
      <c r="BV248"/>
      <c r="BY248" s="99"/>
      <c r="BZ248" s="99"/>
      <c r="CA248" s="280" t="str">
        <f t="shared" si="232"/>
        <v/>
      </c>
      <c r="CB248" s="71" t="str">
        <f t="shared" si="233"/>
        <v>-</v>
      </c>
      <c r="CC248" s="33"/>
      <c r="CD248" s="261" t="str">
        <f t="shared" si="234"/>
        <v/>
      </c>
      <c r="CE248" s="280" t="str">
        <f t="shared" si="235"/>
        <v>-</v>
      </c>
      <c r="CF248" s="71" t="str">
        <f t="shared" ca="1" si="236"/>
        <v>-</v>
      </c>
      <c r="CG248" s="33" t="str">
        <f t="shared" si="237"/>
        <v>148-149</v>
      </c>
      <c r="CH248" s="261" t="str">
        <f t="shared" ca="1" si="238"/>
        <v/>
      </c>
      <c r="CP248" s="99"/>
      <c r="CQ248" s="99"/>
    </row>
    <row r="249" spans="2:95" ht="13.5" customHeight="1" x14ac:dyDescent="0.2">
      <c r="B249" s="262">
        <v>149</v>
      </c>
      <c r="C249" s="237" t="str">
        <f t="shared" si="201"/>
        <v/>
      </c>
      <c r="D249" s="237" t="str">
        <f t="shared" si="239"/>
        <v>-</v>
      </c>
      <c r="E249" s="263" t="str">
        <f t="shared" si="240"/>
        <v/>
      </c>
      <c r="F249" s="264" t="str">
        <f t="shared" si="241"/>
        <v/>
      </c>
      <c r="G249" s="264" t="str">
        <f t="shared" si="242"/>
        <v/>
      </c>
      <c r="H249" s="240" t="str">
        <f t="shared" si="202"/>
        <v/>
      </c>
      <c r="I249" s="265" t="str">
        <f t="shared" si="203"/>
        <v/>
      </c>
      <c r="J249" s="265" t="str">
        <f t="shared" si="204"/>
        <v/>
      </c>
      <c r="K249" s="240" t="str">
        <f t="shared" si="205"/>
        <v/>
      </c>
      <c r="L249" s="265" t="str">
        <f t="shared" si="206"/>
        <v/>
      </c>
      <c r="M249" s="265" t="str">
        <f t="shared" si="207"/>
        <v/>
      </c>
      <c r="N249" s="240" t="str">
        <f t="shared" si="208"/>
        <v>-</v>
      </c>
      <c r="O249" s="265" t="str">
        <f t="shared" si="209"/>
        <v>-</v>
      </c>
      <c r="P249" s="265" t="str">
        <f t="shared" si="210"/>
        <v>-</v>
      </c>
      <c r="Q249" s="266" t="str">
        <f t="shared" si="211"/>
        <v>-</v>
      </c>
      <c r="R249" s="267" t="str">
        <f t="shared" si="212"/>
        <v>-</v>
      </c>
      <c r="S249" s="268" t="str">
        <f t="shared" si="213"/>
        <v>-</v>
      </c>
      <c r="T249" s="269" t="str">
        <f t="shared" si="214"/>
        <v/>
      </c>
      <c r="U249" s="221">
        <f t="shared" si="215"/>
        <v>149</v>
      </c>
      <c r="V249" s="220" t="str">
        <f t="shared" si="216"/>
        <v>-</v>
      </c>
      <c r="W249" s="221" t="str">
        <f t="shared" si="243"/>
        <v>-</v>
      </c>
      <c r="X249" s="221" t="str">
        <f t="shared" si="217"/>
        <v>-</v>
      </c>
      <c r="Y249" s="221" t="str">
        <f t="shared" si="218"/>
        <v>-</v>
      </c>
      <c r="Z249" s="270">
        <f t="shared" si="244"/>
        <v>0.1</v>
      </c>
      <c r="AA249" s="271" t="str">
        <f>IFERROR(IF(V248=1,AA$100*EXP(-(LN(2)/$D$65+0.04)*X248)*EXP(-(LN(2)/$D$65+0.1)*Y248),IF(V248=2,AA$100*EXP(-(LN(2)/$D$65+0.04)*(VLOOKUP(($F$16-$F$15)-1,U$99:Y248,4,FALSE)))*EXP(-(LN(2)/$D$65+0.1)*(VLOOKUP(($F$16-$F$15)-1,U$99:Y248,5,FALSE)))*EXP(-(LN(2)/$D$65+0.04)*X248)*EXP(-(LN(2)/$D$65+0.1)*Y248),IF(V248=3,AA$100*EXP(-(LN(2)/$D$65+0.04)*(VLOOKUP(($F$16-$F$15)-1,U$99:Y248,4,FALSE)))*EXP(-(LN(2)/$D$65+0.1)*(VLOOKUP(($F$16-$F$15)-1,U$99:Y248,5,FALSE)))*EXP(-(LN(2)/$D$65+0.04)*(VLOOKUP(($F$16-$F$15)*2-1,U$99:Y248,4,FALSE)))*EXP(-(LN(2)/$D$65+0.1)*(VLOOKUP(($F$16-$F$15)*2-1,U$99:Y248,5,FALSE)))*EXP(-(LN(2)/$D$65+0.04)*X248)*EXP(-(LN(2)/$D$65+0.1)*Y248),"-"))),"-")</f>
        <v>-</v>
      </c>
      <c r="AB249" s="271" t="str">
        <f>IFERROR(IF(V249=1,AB$100*EXP(-(LN(2)/$D$65+0.04)*X249)*EXP(-(LN(2)/$D$65+0.1)*Y249),IF(V249=2,AB$100*EXP(-(LN(2)/$D$65+0.04)*(VLOOKUP(($F$16-$F$15)-1,U$100:Y249,4,FALSE)))*EXP(-(LN(2)/$D$65+0.1)*(VLOOKUP(($F$16-$F$15)-1,U$100:Y249,5,FALSE)))*EXP(-(LN(2)/$D$65+0.04)*X249)*EXP(-(LN(2)/$D$65+0.1)*Y249),IF(V249=3,AB$100*EXP(-(LN(2)/$D$65+0.04)*(VLOOKUP(($F$16-$F$15)-1,U$100:Y249,4,FALSE)))*EXP(-(LN(2)/$D$65+0.1)*(VLOOKUP(($F$16-$F$15)-1,U$100:Y249,5,FALSE)))*EXP(-(LN(2)/$D$65+0.04)*(VLOOKUP(($F$16-$F$15)*2-1,U$100:Y249,4,FALSE)))*EXP(-(LN(2)/$D$65+0.1)*(VLOOKUP(($F$16-$F$15)*2-1,U$100:Y249,5,FALSE)))*EXP(-(LN(2)/$D$65+0.04)*X249)*EXP(-(LN(2)/$D$65+0.1)*Y249),"-"))),"-")</f>
        <v>-</v>
      </c>
      <c r="AC249" s="224">
        <f t="shared" si="258"/>
        <v>149</v>
      </c>
      <c r="AD249" s="223" t="str">
        <f t="shared" si="219"/>
        <v>-</v>
      </c>
      <c r="AE249" s="224" t="str">
        <f t="shared" si="246"/>
        <v>-</v>
      </c>
      <c r="AF249" s="224" t="str">
        <f t="shared" si="220"/>
        <v>-</v>
      </c>
      <c r="AG249" s="224" t="str">
        <f t="shared" si="221"/>
        <v>-</v>
      </c>
      <c r="AH249" s="272">
        <f t="shared" si="247"/>
        <v>0.1</v>
      </c>
      <c r="AI249" s="271" t="str">
        <f>IFERROR(IF(AD248=1,AI$100*EXP(-(LN(2)/$D$65+0.04)*AF248)*EXP(-(LN(2)/$D$65+0.1)*AG248),IF(AD248=2,AI$100*EXP(-(LN(2)/$D$65+0.04)*(VLOOKUP(($F$16-$F$15)-1,AC$99:AG248,4,FALSE)))*EXP(-(LN(2)/$D$65+0.1)*(VLOOKUP(($F$16-$F$15)-1,AC$99:AG248,5,FALSE)))*EXP(-(LN(2)/$D$65+0.04)*AF248)*EXP(-(LN(2)/$D$65+0.1)*AG248),IF(AD248=3,AI$100*EXP(-(LN(2)/$D$65+0.04)*(VLOOKUP(($F$16-$F$15)-1,AC$99:AG248,4,FALSE)))*EXP(-(LN(2)/$D$65+0.1)*(VLOOKUP(($F$16-$F$15)-1,AC$99:AG248,5,FALSE)))*EXP(-(LN(2)/$D$65+0.04)*(VLOOKUP(($F$16-$F$15)*2-1,AC$99:AG248,4,FALSE)))*EXP(-(LN(2)/$D$65+0.1)*(VLOOKUP(($F$16-$F$15)*2-1,AC$99:AG248,5,FALSE)))*EXP(-(LN(2)/$D$65+0.04)*AF248)*EXP(-(LN(2)/$D$65+0.1)*AG248),"-"))),"-")</f>
        <v>-</v>
      </c>
      <c r="AJ249" s="271" t="str">
        <f>IFERROR(IF(AD249=1,AJ$100*EXP(-(LN(2)/$D$65+0.04)*AF249)*EXP(-(LN(2)/$D$65+0.1)*AG249),IF(AD249=2,AJ$100*EXP(-(LN(2)/$D$65+0.04)*(VLOOKUP(($F$16-$F$15)-1,AC$100:AG249,4,FALSE)))*EXP(-(LN(2)/$D$65+0.1)*(VLOOKUP(($F$16-$F$15)-1,AC$100:AG249,5,FALSE)))*EXP(-(LN(2)/$D$65+0.04)*AF249)*EXP(-(LN(2)/$D$65+0.1)*AG249),IF(AD249=3,AJ$100*EXP(-(LN(2)/$D$65+0.04)*(VLOOKUP(($F$16-$F$15)-1,AC$100:AG249,4,FALSE)))*EXP(-(LN(2)/$D$65+0.1)*(VLOOKUP(($F$16-$F$15)-1,AC$100:AG249,5,FALSE)))*EXP(-(LN(2)/$D$65+0.04)*(VLOOKUP(($F$16-$F$15)*2-1,AC$100:AG249,4,FALSE)))*EXP(-(LN(2)/$D$65+0.1)*(VLOOKUP(($F$16-$F$15)*2-1,AC$100:AG249,5,FALSE)))*EXP(-(LN(2)/$D$65+0.04)*AF249)*EXP(-(LN(2)/$D$65+0.1)*AG249),"-"))),"-")</f>
        <v>-</v>
      </c>
      <c r="AK249" s="227">
        <f t="shared" si="248"/>
        <v>149</v>
      </c>
      <c r="AL249" s="226" t="str">
        <f t="shared" si="222"/>
        <v>-</v>
      </c>
      <c r="AM249" s="227" t="str">
        <f t="shared" si="249"/>
        <v>-</v>
      </c>
      <c r="AN249" s="227" t="str">
        <f t="shared" si="250"/>
        <v>-</v>
      </c>
      <c r="AO249" s="227" t="str">
        <f t="shared" si="223"/>
        <v>-</v>
      </c>
      <c r="AP249" s="273">
        <f t="shared" si="251"/>
        <v>0.1</v>
      </c>
      <c r="AQ249" s="271" t="str">
        <f>IFERROR(IF(AL248=1,AQ$100*EXP(-(LN(2)/$D$65+0.04)*AN248)*EXP(-(LN(2)/$D$65+0.1)*AO248),IF(AL248=2,AQ$100*EXP(-(LN(2)/$D$65+0.04)*(VLOOKUP(($F$16-$F$15)-1,AK$99:AO248,4,FALSE)))*EXP(-(LN(2)/$D$65+0.1)*(VLOOKUP(($F$16-$F$15)-1,AK$99:AO248,5,FALSE)))*EXP(-(LN(2)/$D$65+0.04)*AN248)*EXP(-(LN(2)/$D$65+0.1)*AO248),IF(AL248=3,AQ$100*EXP(-(LN(2)/$D$65+0.04)*(VLOOKUP(($F$16-$F$15)-1,AK$99:AO248,4,FALSE)))*EXP(-(LN(2)/$D$65+0.1)*(VLOOKUP(($F$16-$F$15)-1,AK$99:AO248,5,FALSE)))*EXP(-(LN(2)/$D$65+0.04)*(VLOOKUP(($F$16-$F$15)*2-1,AK$99:AO248,4,FALSE)))*EXP(-(LN(2)/$D$65+0.1)*(VLOOKUP(($F$16-$F$15)*2-1,AK$99:AO248,5,FALSE)))*EXP(-(LN(2)/$D$65+0.04)*AN248)*EXP(-(LN(2)/$D$65+0.1)*AO248),"-"))),"-")</f>
        <v>-</v>
      </c>
      <c r="AR249" s="271" t="str">
        <f>IFERROR(IF(AL249=1,AR$100*EXP(-(LN(2)/$D$65+0.04)*AN249)*EXP(-(LN(2)/$D$65+0.1)*AO249),IF(AL249=2,AR$100*EXP(-(LN(2)/$D$65+0.04)*(VLOOKUP(($F$16-$F$15)-1,AK$100:AO249,4,FALSE)))*EXP(-(LN(2)/$D$65+0.1)*(VLOOKUP(($F$16-$F$15)-1,AK$100:AO249,5,FALSE)))*EXP(-(LN(2)/$D$65+0.04)*AN249)*EXP(-(LN(2)/$D$65+0.1)*AO249),IF(AL249=3,AR$100*EXP(-(LN(2)/$D$65+0.04)*(VLOOKUP(($F$16-$F$15)-1,AK$100:AO249,4,FALSE)))*EXP(-(LN(2)/$D$65+0.1)*(VLOOKUP(($F$16-$F$15)-1,AK$100:AO249,5,FALSE)))*EXP(-(LN(2)/$D$65+0.04)*(VLOOKUP(($F$16-$F$15)*2-1,AK$100:AO249,4,FALSE)))*EXP(-(LN(2)/$D$65+0.1)*(VLOOKUP(($F$16-$F$15)*2-1,AK$100:AO249,5,FALSE)))*EXP(-(LN(2)/$D$65+0.04)*AN249)*EXP(-(LN(2)/$D$65+0.1)*AO249),"-"))),"-")</f>
        <v>-</v>
      </c>
      <c r="AS249" s="274">
        <f t="shared" si="224"/>
        <v>0</v>
      </c>
      <c r="AT249" s="274">
        <f t="shared" si="225"/>
        <v>0</v>
      </c>
      <c r="AU249" s="274">
        <f t="shared" si="226"/>
        <v>0</v>
      </c>
      <c r="AV249" s="190">
        <f>IF($B249&lt;$F$22,SUM($T$100:$T249),"")</f>
        <v>0</v>
      </c>
      <c r="AW249" s="190" t="str">
        <f t="shared" si="227"/>
        <v>-</v>
      </c>
      <c r="AX249" s="190" t="str">
        <f t="shared" si="252"/>
        <v/>
      </c>
      <c r="AY249"/>
      <c r="AZ249" s="190" t="str">
        <f ca="1">IF(ISNUMBER(OFFSET(AV249,-$F$21,0)),SUM(OFFSET($T$100,$F$21,0):$T249),"")</f>
        <v/>
      </c>
      <c r="BA249" s="190" t="str">
        <f t="shared" ca="1" si="228"/>
        <v/>
      </c>
      <c r="BB249" s="190" t="str">
        <f ca="1">IF(ISNUMBER(AZ249),(AZ249-BA249)/(3*86400*(OFFSET($B249,-$F$21,0)+1))*1000,"")</f>
        <v/>
      </c>
      <c r="BC249" s="190"/>
      <c r="BD249" s="190" t="str">
        <f ca="1">IFERROR(IF(AND($B249&gt;=($F$16-$F$15),$B249&lt;$F$22+($F$16-$F$15)),SUM(OFFSET($T$100,($F$16-$F$15),0):$T249),""),"")</f>
        <v/>
      </c>
      <c r="BE249" s="190" t="str">
        <f t="shared" ca="1" si="253"/>
        <v/>
      </c>
      <c r="BF249" s="190" t="str">
        <f t="shared" ca="1" si="254"/>
        <v/>
      </c>
      <c r="BG249"/>
      <c r="BH249" s="190" t="str">
        <f ca="1">IF(ISNUMBER(OFFSET(BD249,-$F$21,0)),SUM(OFFSET($T$100,($F$16-$F$15+$F$21),0):$T249),"")</f>
        <v/>
      </c>
      <c r="BI249" s="190" t="str">
        <f t="shared" ca="1" si="229"/>
        <v/>
      </c>
      <c r="BJ249" s="190" t="str">
        <f t="shared" ca="1" si="255"/>
        <v/>
      </c>
      <c r="BK249" s="190"/>
      <c r="BL249" s="190" t="str">
        <f ca="1">IFERROR(IF(AND($B249&gt;=($F$17-$F$15),$B249&lt;$F$22+($F$17-$F$15)),SUM(OFFSET($T$100,($F$17-$F$15),0):$T249),""),"")</f>
        <v/>
      </c>
      <c r="BM249" s="190" t="str">
        <f t="shared" ca="1" si="230"/>
        <v/>
      </c>
      <c r="BN249" s="190" t="str">
        <f t="shared" ca="1" si="256"/>
        <v/>
      </c>
      <c r="BO249"/>
      <c r="BP249" s="190" t="str">
        <f ca="1">IF(ISNUMBER(OFFSET(BL249,-$F$21,0)),SUM(OFFSET($T$100,($F$17-$F$15+$F$21),0):$T249),"")</f>
        <v/>
      </c>
      <c r="BQ249" s="190" t="str">
        <f t="shared" ca="1" si="231"/>
        <v/>
      </c>
      <c r="BR249" s="190" t="str">
        <f t="shared" ca="1" si="257"/>
        <v/>
      </c>
      <c r="BS249" s="190"/>
      <c r="BT249"/>
      <c r="BU249"/>
      <c r="BV249"/>
      <c r="BY249" s="99"/>
      <c r="BZ249" s="99"/>
      <c r="CA249" s="280" t="str">
        <f t="shared" si="232"/>
        <v/>
      </c>
      <c r="CB249" s="71" t="str">
        <f t="shared" si="233"/>
        <v>-</v>
      </c>
      <c r="CC249" s="33"/>
      <c r="CD249" s="261" t="str">
        <f t="shared" si="234"/>
        <v/>
      </c>
      <c r="CE249" s="280" t="str">
        <f t="shared" si="235"/>
        <v>-</v>
      </c>
      <c r="CF249" s="71" t="str">
        <f t="shared" ca="1" si="236"/>
        <v>-</v>
      </c>
      <c r="CG249" s="33" t="str">
        <f t="shared" si="237"/>
        <v>149-150</v>
      </c>
      <c r="CH249" s="261" t="str">
        <f t="shared" ca="1" si="238"/>
        <v/>
      </c>
      <c r="CP249" s="99"/>
      <c r="CQ249" s="99"/>
    </row>
    <row r="250" spans="2:95" ht="13.5" customHeight="1" x14ac:dyDescent="0.2">
      <c r="B250" s="262">
        <v>150</v>
      </c>
      <c r="C250" s="237" t="str">
        <f t="shared" si="201"/>
        <v/>
      </c>
      <c r="D250" s="237" t="str">
        <f t="shared" si="239"/>
        <v>-</v>
      </c>
      <c r="E250" s="263" t="str">
        <f t="shared" si="240"/>
        <v/>
      </c>
      <c r="F250" s="264" t="str">
        <f t="shared" si="241"/>
        <v/>
      </c>
      <c r="G250" s="264" t="str">
        <f t="shared" si="242"/>
        <v/>
      </c>
      <c r="H250" s="240" t="str">
        <f t="shared" si="202"/>
        <v/>
      </c>
      <c r="I250" s="265" t="str">
        <f t="shared" si="203"/>
        <v/>
      </c>
      <c r="J250" s="265" t="str">
        <f t="shared" si="204"/>
        <v/>
      </c>
      <c r="K250" s="240" t="str">
        <f t="shared" si="205"/>
        <v/>
      </c>
      <c r="L250" s="265" t="str">
        <f t="shared" si="206"/>
        <v/>
      </c>
      <c r="M250" s="265" t="str">
        <f t="shared" si="207"/>
        <v/>
      </c>
      <c r="N250" s="240" t="str">
        <f t="shared" si="208"/>
        <v>-</v>
      </c>
      <c r="O250" s="265" t="str">
        <f t="shared" si="209"/>
        <v>-</v>
      </c>
      <c r="P250" s="265" t="str">
        <f t="shared" si="210"/>
        <v>-</v>
      </c>
      <c r="Q250" s="266" t="str">
        <f t="shared" si="211"/>
        <v>-</v>
      </c>
      <c r="R250" s="267" t="str">
        <f t="shared" si="212"/>
        <v>-</v>
      </c>
      <c r="S250" s="268" t="str">
        <f t="shared" si="213"/>
        <v>-</v>
      </c>
      <c r="T250" s="269" t="str">
        <f t="shared" si="214"/>
        <v/>
      </c>
      <c r="U250" s="221">
        <f t="shared" si="215"/>
        <v>150</v>
      </c>
      <c r="V250" s="220" t="str">
        <f t="shared" si="216"/>
        <v>-</v>
      </c>
      <c r="W250" s="221" t="str">
        <f t="shared" si="243"/>
        <v>-</v>
      </c>
      <c r="X250" s="221" t="str">
        <f t="shared" si="217"/>
        <v>-</v>
      </c>
      <c r="Y250" s="221" t="str">
        <f t="shared" si="218"/>
        <v>-</v>
      </c>
      <c r="Z250" s="270">
        <f t="shared" si="244"/>
        <v>0.1</v>
      </c>
      <c r="AA250" s="271" t="str">
        <f>IFERROR(IF(V249=1,AA$100*EXP(-(LN(2)/$D$65+0.04)*X249)*EXP(-(LN(2)/$D$65+0.1)*Y249),IF(V249=2,AA$100*EXP(-(LN(2)/$D$65+0.04)*(VLOOKUP(($F$16-$F$15)-1,U$99:Y249,4,FALSE)))*EXP(-(LN(2)/$D$65+0.1)*(VLOOKUP(($F$16-$F$15)-1,U$99:Y249,5,FALSE)))*EXP(-(LN(2)/$D$65+0.04)*X249)*EXP(-(LN(2)/$D$65+0.1)*Y249),IF(V249=3,AA$100*EXP(-(LN(2)/$D$65+0.04)*(VLOOKUP(($F$16-$F$15)-1,U$99:Y249,4,FALSE)))*EXP(-(LN(2)/$D$65+0.1)*(VLOOKUP(($F$16-$F$15)-1,U$99:Y249,5,FALSE)))*EXP(-(LN(2)/$D$65+0.04)*(VLOOKUP(($F$16-$F$15)*2-1,U$99:Y249,4,FALSE)))*EXP(-(LN(2)/$D$65+0.1)*(VLOOKUP(($F$16-$F$15)*2-1,U$99:Y249,5,FALSE)))*EXP(-(LN(2)/$D$65+0.04)*X249)*EXP(-(LN(2)/$D$65+0.1)*Y249),"-"))),"-")</f>
        <v>-</v>
      </c>
      <c r="AB250" s="271" t="str">
        <f>IFERROR(IF(V250=1,AB$100*EXP(-(LN(2)/$D$65+0.04)*X250)*EXP(-(LN(2)/$D$65+0.1)*Y250),IF(V250=2,AB$100*EXP(-(LN(2)/$D$65+0.04)*(VLOOKUP(($F$16-$F$15)-1,U$100:Y250,4,FALSE)))*EXP(-(LN(2)/$D$65+0.1)*(VLOOKUP(($F$16-$F$15)-1,U$100:Y250,5,FALSE)))*EXP(-(LN(2)/$D$65+0.04)*X250)*EXP(-(LN(2)/$D$65+0.1)*Y250),IF(V250=3,AB$100*EXP(-(LN(2)/$D$65+0.04)*(VLOOKUP(($F$16-$F$15)-1,U$100:Y250,4,FALSE)))*EXP(-(LN(2)/$D$65+0.1)*(VLOOKUP(($F$16-$F$15)-1,U$100:Y250,5,FALSE)))*EXP(-(LN(2)/$D$65+0.04)*(VLOOKUP(($F$16-$F$15)*2-1,U$100:Y250,4,FALSE)))*EXP(-(LN(2)/$D$65+0.1)*(VLOOKUP(($F$16-$F$15)*2-1,U$100:Y250,5,FALSE)))*EXP(-(LN(2)/$D$65+0.04)*X250)*EXP(-(LN(2)/$D$65+0.1)*Y250),"-"))),"-")</f>
        <v>-</v>
      </c>
      <c r="AC250" s="224">
        <f t="shared" si="258"/>
        <v>150</v>
      </c>
      <c r="AD250" s="223" t="str">
        <f t="shared" si="219"/>
        <v>-</v>
      </c>
      <c r="AE250" s="224" t="str">
        <f t="shared" si="246"/>
        <v>-</v>
      </c>
      <c r="AF250" s="224" t="str">
        <f t="shared" si="220"/>
        <v>-</v>
      </c>
      <c r="AG250" s="224" t="str">
        <f t="shared" si="221"/>
        <v>-</v>
      </c>
      <c r="AH250" s="272">
        <f t="shared" si="247"/>
        <v>0.1</v>
      </c>
      <c r="AI250" s="271" t="str">
        <f>IFERROR(IF(AD249=1,AI$100*EXP(-(LN(2)/$D$65+0.04)*AF249)*EXP(-(LN(2)/$D$65+0.1)*AG249),IF(AD249=2,AI$100*EXP(-(LN(2)/$D$65+0.04)*(VLOOKUP(($F$16-$F$15)-1,AC$99:AG249,4,FALSE)))*EXP(-(LN(2)/$D$65+0.1)*(VLOOKUP(($F$16-$F$15)-1,AC$99:AG249,5,FALSE)))*EXP(-(LN(2)/$D$65+0.04)*AF249)*EXP(-(LN(2)/$D$65+0.1)*AG249),IF(AD249=3,AI$100*EXP(-(LN(2)/$D$65+0.04)*(VLOOKUP(($F$16-$F$15)-1,AC$99:AG249,4,FALSE)))*EXP(-(LN(2)/$D$65+0.1)*(VLOOKUP(($F$16-$F$15)-1,AC$99:AG249,5,FALSE)))*EXP(-(LN(2)/$D$65+0.04)*(VLOOKUP(($F$16-$F$15)*2-1,AC$99:AG249,4,FALSE)))*EXP(-(LN(2)/$D$65+0.1)*(VLOOKUP(($F$16-$F$15)*2-1,AC$99:AG249,5,FALSE)))*EXP(-(LN(2)/$D$65+0.04)*AF249)*EXP(-(LN(2)/$D$65+0.1)*AG249),"-"))),"-")</f>
        <v>-</v>
      </c>
      <c r="AJ250" s="271" t="str">
        <f>IFERROR(IF(AD250=1,AJ$100*EXP(-(LN(2)/$D$65+0.04)*AF250)*EXP(-(LN(2)/$D$65+0.1)*AG250),IF(AD250=2,AJ$100*EXP(-(LN(2)/$D$65+0.04)*(VLOOKUP(($F$16-$F$15)-1,AC$100:AG250,4,FALSE)))*EXP(-(LN(2)/$D$65+0.1)*(VLOOKUP(($F$16-$F$15)-1,AC$100:AG250,5,FALSE)))*EXP(-(LN(2)/$D$65+0.04)*AF250)*EXP(-(LN(2)/$D$65+0.1)*AG250),IF(AD250=3,AJ$100*EXP(-(LN(2)/$D$65+0.04)*(VLOOKUP(($F$16-$F$15)-1,AC$100:AG250,4,FALSE)))*EXP(-(LN(2)/$D$65+0.1)*(VLOOKUP(($F$16-$F$15)-1,AC$100:AG250,5,FALSE)))*EXP(-(LN(2)/$D$65+0.04)*(VLOOKUP(($F$16-$F$15)*2-1,AC$100:AG250,4,FALSE)))*EXP(-(LN(2)/$D$65+0.1)*(VLOOKUP(($F$16-$F$15)*2-1,AC$100:AG250,5,FALSE)))*EXP(-(LN(2)/$D$65+0.04)*AF250)*EXP(-(LN(2)/$D$65+0.1)*AG250),"-"))),"-")</f>
        <v>-</v>
      </c>
      <c r="AK250" s="227">
        <f t="shared" si="248"/>
        <v>150</v>
      </c>
      <c r="AL250" s="226" t="str">
        <f t="shared" si="222"/>
        <v>-</v>
      </c>
      <c r="AM250" s="227" t="str">
        <f t="shared" si="249"/>
        <v>-</v>
      </c>
      <c r="AN250" s="227" t="str">
        <f t="shared" si="250"/>
        <v>-</v>
      </c>
      <c r="AO250" s="227" t="str">
        <f t="shared" si="223"/>
        <v>-</v>
      </c>
      <c r="AP250" s="273">
        <f t="shared" si="251"/>
        <v>0.1</v>
      </c>
      <c r="AQ250" s="271" t="str">
        <f>IFERROR(IF(AL249=1,AQ$100*EXP(-(LN(2)/$D$65+0.04)*AN249)*EXP(-(LN(2)/$D$65+0.1)*AO249),IF(AL249=2,AQ$100*EXP(-(LN(2)/$D$65+0.04)*(VLOOKUP(($F$16-$F$15)-1,AK$99:AO249,4,FALSE)))*EXP(-(LN(2)/$D$65+0.1)*(VLOOKUP(($F$16-$F$15)-1,AK$99:AO249,5,FALSE)))*EXP(-(LN(2)/$D$65+0.04)*AN249)*EXP(-(LN(2)/$D$65+0.1)*AO249),IF(AL249=3,AQ$100*EXP(-(LN(2)/$D$65+0.04)*(VLOOKUP(($F$16-$F$15)-1,AK$99:AO249,4,FALSE)))*EXP(-(LN(2)/$D$65+0.1)*(VLOOKUP(($F$16-$F$15)-1,AK$99:AO249,5,FALSE)))*EXP(-(LN(2)/$D$65+0.04)*(VLOOKUP(($F$16-$F$15)*2-1,AK$99:AO249,4,FALSE)))*EXP(-(LN(2)/$D$65+0.1)*(VLOOKUP(($F$16-$F$15)*2-1,AK$99:AO249,5,FALSE)))*EXP(-(LN(2)/$D$65+0.04)*AN249)*EXP(-(LN(2)/$D$65+0.1)*AO249),"-"))),"-")</f>
        <v>-</v>
      </c>
      <c r="AR250" s="271" t="str">
        <f>IFERROR(IF(AL250=1,AR$100*EXP(-(LN(2)/$D$65+0.04)*AN250)*EXP(-(LN(2)/$D$65+0.1)*AO250),IF(AL250=2,AR$100*EXP(-(LN(2)/$D$65+0.04)*(VLOOKUP(($F$16-$F$15)-1,AK$100:AO250,4,FALSE)))*EXP(-(LN(2)/$D$65+0.1)*(VLOOKUP(($F$16-$F$15)-1,AK$100:AO250,5,FALSE)))*EXP(-(LN(2)/$D$65+0.04)*AN250)*EXP(-(LN(2)/$D$65+0.1)*AO250),IF(AL250=3,AR$100*EXP(-(LN(2)/$D$65+0.04)*(VLOOKUP(($F$16-$F$15)-1,AK$100:AO250,4,FALSE)))*EXP(-(LN(2)/$D$65+0.1)*(VLOOKUP(($F$16-$F$15)-1,AK$100:AO250,5,FALSE)))*EXP(-(LN(2)/$D$65+0.04)*(VLOOKUP(($F$16-$F$15)*2-1,AK$100:AO250,4,FALSE)))*EXP(-(LN(2)/$D$65+0.1)*(VLOOKUP(($F$16-$F$15)*2-1,AK$100:AO250,5,FALSE)))*EXP(-(LN(2)/$D$65+0.04)*AN250)*EXP(-(LN(2)/$D$65+0.1)*AO250),"-"))),"-")</f>
        <v>-</v>
      </c>
      <c r="AS250" s="274">
        <f t="shared" si="224"/>
        <v>0</v>
      </c>
      <c r="AT250" s="274">
        <f t="shared" si="225"/>
        <v>0</v>
      </c>
      <c r="AU250" s="274">
        <f t="shared" si="226"/>
        <v>0</v>
      </c>
      <c r="AV250" s="253">
        <f>IF($B250&lt;$F$22,SUM($T$100:$T250),"")</f>
        <v>0</v>
      </c>
      <c r="AW250" s="253" t="str">
        <f t="shared" si="227"/>
        <v>-</v>
      </c>
      <c r="AX250" s="253" t="str">
        <f t="shared" si="252"/>
        <v/>
      </c>
      <c r="AY250" s="252"/>
      <c r="AZ250" s="253" t="str">
        <f ca="1">IF(ISNUMBER(OFFSET(AV250,-$F$21,0)),SUM(OFFSET($T$100,$F$21,0):$T250),"")</f>
        <v/>
      </c>
      <c r="BA250" s="253" t="str">
        <f t="shared" ca="1" si="228"/>
        <v/>
      </c>
      <c r="BB250" s="253" t="str">
        <f ca="1">IF(ISNUMBER(AZ250),(AZ250-BA250)/(3*86400*(OFFSET($B250,-$F$21,0)+1))*1000,"")</f>
        <v/>
      </c>
      <c r="BC250" s="253"/>
      <c r="BD250" s="253" t="str">
        <f ca="1">IFERROR(IF(AND($B250&gt;=($F$16-$F$15),$B250&lt;$F$22+($F$16-$F$15)),SUM(OFFSET($T$100,($F$16-$F$15),0):$T250),""),"")</f>
        <v/>
      </c>
      <c r="BE250" s="253" t="str">
        <f t="shared" ca="1" si="253"/>
        <v/>
      </c>
      <c r="BF250" s="253" t="str">
        <f t="shared" ca="1" si="254"/>
        <v/>
      </c>
      <c r="BG250" s="252"/>
      <c r="BH250" s="253" t="str">
        <f ca="1">IF(ISNUMBER(OFFSET(BD250,-$F$21,0)),SUM(OFFSET($T$100,($F$16-$F$15+$F$21),0):$T250),"")</f>
        <v/>
      </c>
      <c r="BI250" s="253" t="str">
        <f t="shared" ca="1" si="229"/>
        <v/>
      </c>
      <c r="BJ250" s="253" t="str">
        <f t="shared" ca="1" si="255"/>
        <v/>
      </c>
      <c r="BK250" s="253"/>
      <c r="BL250" s="253" t="str">
        <f ca="1">IFERROR(IF(AND($B250&gt;=($F$17-$F$15),$B250&lt;$F$22+($F$17-$F$15)),SUM(OFFSET($T$100,($F$17-$F$15),0):$T250),""),"")</f>
        <v/>
      </c>
      <c r="BM250" s="253" t="str">
        <f t="shared" ca="1" si="230"/>
        <v/>
      </c>
      <c r="BN250" s="253" t="str">
        <f t="shared" ca="1" si="256"/>
        <v/>
      </c>
      <c r="BO250" s="252"/>
      <c r="BP250" s="253" t="str">
        <f ca="1">IF(ISNUMBER(OFFSET(BL250,-$F$21,0)),SUM(OFFSET($T$100,($F$17-$F$15+$F$21),0):$T250),"")</f>
        <v/>
      </c>
      <c r="BQ250" s="253" t="str">
        <f t="shared" ca="1" si="231"/>
        <v/>
      </c>
      <c r="BR250" s="253" t="str">
        <f t="shared" ca="1" si="257"/>
        <v/>
      </c>
      <c r="BS250" s="253"/>
      <c r="BT250"/>
      <c r="BU250"/>
      <c r="BV250"/>
      <c r="BY250" s="99"/>
      <c r="BZ250" s="99"/>
      <c r="CA250" s="280" t="str">
        <f t="shared" si="232"/>
        <v/>
      </c>
      <c r="CB250" s="71" t="str">
        <f t="shared" si="233"/>
        <v>-</v>
      </c>
      <c r="CC250" s="33"/>
      <c r="CD250" s="261" t="str">
        <f t="shared" si="234"/>
        <v/>
      </c>
      <c r="CE250" s="280" t="str">
        <f t="shared" si="235"/>
        <v>-</v>
      </c>
      <c r="CF250" s="71" t="str">
        <f t="shared" ca="1" si="236"/>
        <v>-</v>
      </c>
      <c r="CG250" s="33" t="str">
        <f t="shared" si="237"/>
        <v>150-151</v>
      </c>
      <c r="CH250" s="261" t="str">
        <f t="shared" ca="1" si="238"/>
        <v/>
      </c>
      <c r="CP250" s="99"/>
      <c r="CQ250" s="99"/>
    </row>
  </sheetData>
  <sheetProtection algorithmName="SHA-512" hashValue="K6iqF0h3zVD7THekCAA/m7flylncJqZXpOqhIXvjYWzt20OpI4ZlIg1hgTROGB7FUezuOQIB35B7AYR+E6kY6Q==" saltValue="Ak2/9t2aa2m0iY8EnjyhGA==" spinCount="100000" sheet="1" objects="1" scenarios="1" selectLockedCells="1"/>
  <mergeCells count="108">
    <mergeCell ref="B2:D3"/>
    <mergeCell ref="AX97:AX98"/>
    <mergeCell ref="BB97:BB98"/>
    <mergeCell ref="AV97:AV98"/>
    <mergeCell ref="AW97:AW98"/>
    <mergeCell ref="K95:K99"/>
    <mergeCell ref="L95:L99"/>
    <mergeCell ref="C69:E69"/>
    <mergeCell ref="C70:E70"/>
    <mergeCell ref="H94:J94"/>
    <mergeCell ref="K94:M94"/>
    <mergeCell ref="B93:C93"/>
    <mergeCell ref="N94:P94"/>
    <mergeCell ref="Q94:S94"/>
    <mergeCell ref="S95:S99"/>
    <mergeCell ref="O95:O99"/>
    <mergeCell ref="P95:P99"/>
    <mergeCell ref="N95:N99"/>
    <mergeCell ref="Q95:Q99"/>
    <mergeCell ref="R95:R99"/>
    <mergeCell ref="H95:H99"/>
    <mergeCell ref="I95:I99"/>
    <mergeCell ref="J95:J99"/>
    <mergeCell ref="M95:M99"/>
    <mergeCell ref="BU94:BY94"/>
    <mergeCell ref="B95:B99"/>
    <mergeCell ref="C95:C99"/>
    <mergeCell ref="D95:D99"/>
    <mergeCell ref="E95:E99"/>
    <mergeCell ref="F95:F99"/>
    <mergeCell ref="G95:G99"/>
    <mergeCell ref="B94:D94"/>
    <mergeCell ref="T94:T99"/>
    <mergeCell ref="BF97:BF98"/>
    <mergeCell ref="BH97:BH98"/>
    <mergeCell ref="BI97:BI98"/>
    <mergeCell ref="BJ97:BJ98"/>
    <mergeCell ref="BL97:BL98"/>
    <mergeCell ref="BM97:BM98"/>
    <mergeCell ref="BN97:BN98"/>
    <mergeCell ref="BD97:BD98"/>
    <mergeCell ref="BE97:BE98"/>
    <mergeCell ref="BP97:BP98"/>
    <mergeCell ref="AZ97:AZ98"/>
    <mergeCell ref="BA97:BA98"/>
    <mergeCell ref="BQ97:BQ98"/>
    <mergeCell ref="BR97:BR98"/>
    <mergeCell ref="E94:G94"/>
    <mergeCell ref="F46:F47"/>
    <mergeCell ref="G46:I47"/>
    <mergeCell ref="F48:F49"/>
    <mergeCell ref="G48:J49"/>
    <mergeCell ref="G50:I50"/>
    <mergeCell ref="C71:E71"/>
    <mergeCell ref="G51:I51"/>
    <mergeCell ref="G52:I52"/>
    <mergeCell ref="G53:I53"/>
    <mergeCell ref="G54:I54"/>
    <mergeCell ref="G56:I56"/>
    <mergeCell ref="B61:E64"/>
    <mergeCell ref="B65:C65"/>
    <mergeCell ref="G66:H66"/>
    <mergeCell ref="G55:I55"/>
    <mergeCell ref="F40:F41"/>
    <mergeCell ref="G40:I41"/>
    <mergeCell ref="G42:I42"/>
    <mergeCell ref="F43:F44"/>
    <mergeCell ref="G43:I44"/>
    <mergeCell ref="G45:I45"/>
    <mergeCell ref="B27:C27"/>
    <mergeCell ref="B31:C31"/>
    <mergeCell ref="B37:B38"/>
    <mergeCell ref="C37:C38"/>
    <mergeCell ref="G39:I39"/>
    <mergeCell ref="B36:D36"/>
    <mergeCell ref="D37:D38"/>
    <mergeCell ref="G38:I38"/>
    <mergeCell ref="H25:K34"/>
    <mergeCell ref="C20:E20"/>
    <mergeCell ref="H20:J20"/>
    <mergeCell ref="C21:E21"/>
    <mergeCell ref="H21:J21"/>
    <mergeCell ref="C22:E22"/>
    <mergeCell ref="C23:E23"/>
    <mergeCell ref="H23:J23"/>
    <mergeCell ref="H22:J22"/>
    <mergeCell ref="B26:C26"/>
    <mergeCell ref="B18:B19"/>
    <mergeCell ref="H14:J14"/>
    <mergeCell ref="B5:C5"/>
    <mergeCell ref="D5:J5"/>
    <mergeCell ref="B6:C6"/>
    <mergeCell ref="D6:J6"/>
    <mergeCell ref="C11:E11"/>
    <mergeCell ref="H11:J11"/>
    <mergeCell ref="C18:E19"/>
    <mergeCell ref="F18:F19"/>
    <mergeCell ref="G18:G19"/>
    <mergeCell ref="H18:J19"/>
    <mergeCell ref="C12:E12"/>
    <mergeCell ref="H12:J12"/>
    <mergeCell ref="C13:E13"/>
    <mergeCell ref="H13:J13"/>
    <mergeCell ref="C14:E14"/>
    <mergeCell ref="B15:B17"/>
    <mergeCell ref="C15:E17"/>
    <mergeCell ref="G15:G17"/>
    <mergeCell ref="H15:J17"/>
  </mergeCells>
  <phoneticPr fontId="3"/>
  <conditionalFormatting sqref="D65">
    <cfRule type="expression" dxfId="1117" priority="91" stopIfTrue="1">
      <formula>AND(ISNUMBER(D65),MAX($C65:$C65)=D65,$G$13=2)</formula>
    </cfRule>
    <cfRule type="expression" dxfId="1116" priority="90" stopIfTrue="1">
      <formula>AND(ISNUMBER(D65),MAX($C65:$C65)=D65,$G$13=1)</formula>
    </cfRule>
    <cfRule type="expression" dxfId="1115" priority="89" stopIfTrue="1">
      <formula>AND(ISNUMBER(D65),MAX($C65:$C65)=D65,$G$13=0)</formula>
    </cfRule>
    <cfRule type="expression" dxfId="1114" priority="88" stopIfTrue="1">
      <formula>AND(ISNUMBER(D65),MAX($C65:$C65)=D65,$G$13="")</formula>
    </cfRule>
    <cfRule type="expression" dxfId="1113" priority="92" stopIfTrue="1">
      <formula>AND(ISNUMBER(D65),MAX($C65:$C65)=D65,$G$13=3)</formula>
    </cfRule>
    <cfRule type="expression" dxfId="1112" priority="86" stopIfTrue="1">
      <formula>$G$13=1</formula>
    </cfRule>
    <cfRule type="expression" dxfId="1111" priority="79" stopIfTrue="1">
      <formula>$G$13=7</formula>
    </cfRule>
    <cfRule type="expression" dxfId="1110" priority="85" stopIfTrue="1">
      <formula>$G$13=2</formula>
    </cfRule>
    <cfRule type="expression" dxfId="1109" priority="84" stopIfTrue="1">
      <formula>$G$13=3</formula>
    </cfRule>
    <cfRule type="expression" dxfId="1108" priority="83" stopIfTrue="1">
      <formula>$G$13=4</formula>
    </cfRule>
    <cfRule type="expression" dxfId="1107" priority="82" stopIfTrue="1">
      <formula>$G$13=5</formula>
    </cfRule>
    <cfRule type="expression" dxfId="1106" priority="78" stopIfTrue="1">
      <formula>$G$13=8</formula>
    </cfRule>
    <cfRule type="expression" dxfId="1105" priority="77" stopIfTrue="1">
      <formula>$G$13=""</formula>
    </cfRule>
    <cfRule type="expression" dxfId="1104" priority="97" stopIfTrue="1">
      <formula>AND(ISNUMBER(D65),MAX($C65:$C65)=D65,$G$13=8)</formula>
    </cfRule>
    <cfRule type="expression" dxfId="1103" priority="96" stopIfTrue="1">
      <formula>AND(ISNUMBER(D65),MAX($C65:$C65)=D65,$G$13=7)</formula>
    </cfRule>
    <cfRule type="expression" dxfId="1102" priority="95" stopIfTrue="1">
      <formula>AND(ISNUMBER(D65),MAX($C65:$C65)=D65,$G$13=6)</formula>
    </cfRule>
    <cfRule type="expression" dxfId="1101" priority="94" stopIfTrue="1">
      <formula>AND(ISNUMBER(D65),MAX($C65:$C65)=D65,$G$13=5)</formula>
    </cfRule>
    <cfRule type="expression" dxfId="1100" priority="93" stopIfTrue="1">
      <formula>AND(ISNUMBER(D65),MAX($C65:$C65)=D65,$G$13=4)</formula>
    </cfRule>
    <cfRule type="expression" dxfId="1099" priority="87" stopIfTrue="1">
      <formula>$G$13=0</formula>
    </cfRule>
    <cfRule type="expression" dxfId="1098" priority="81" stopIfTrue="1">
      <formula>$G$13=6</formula>
    </cfRule>
  </conditionalFormatting>
  <conditionalFormatting sqref="F70">
    <cfRule type="expression" dxfId="1097" priority="1" stopIfTrue="1">
      <formula>$G$13=""</formula>
    </cfRule>
    <cfRule type="expression" dxfId="1096" priority="2" stopIfTrue="1">
      <formula>$G$13=8</formula>
    </cfRule>
    <cfRule type="expression" dxfId="1095" priority="3" stopIfTrue="1">
      <formula>$G$13=7</formula>
    </cfRule>
    <cfRule type="expression" dxfId="1094" priority="4" stopIfTrue="1">
      <formula>$G$13=6</formula>
    </cfRule>
    <cfRule type="expression" dxfId="1093" priority="5" stopIfTrue="1">
      <formula>$G$13=5</formula>
    </cfRule>
    <cfRule type="expression" dxfId="1092" priority="6" stopIfTrue="1">
      <formula>$G$13=4</formula>
    </cfRule>
    <cfRule type="expression" dxfId="1091" priority="8" stopIfTrue="1">
      <formula>$G$13=2</formula>
    </cfRule>
    <cfRule type="expression" dxfId="1090" priority="9" stopIfTrue="1">
      <formula>$G$13=1</formula>
    </cfRule>
    <cfRule type="expression" dxfId="1089" priority="10" stopIfTrue="1">
      <formula>$G$13=0</formula>
    </cfRule>
    <cfRule type="expression" dxfId="1088" priority="11" stopIfTrue="1">
      <formula>AND(ISNUMBER(F70),MAX($C70:$C70)=F70,$G$13="")</formula>
    </cfRule>
    <cfRule type="expression" dxfId="1087" priority="12" stopIfTrue="1">
      <formula>AND(ISNUMBER(F70),MAX($C70:$C70)=F70,$G$13=0)</formula>
    </cfRule>
    <cfRule type="expression" dxfId="1086" priority="13" stopIfTrue="1">
      <formula>AND(ISNUMBER(F70),MAX($C70:$C70)=F70,$G$13=1)</formula>
    </cfRule>
    <cfRule type="expression" dxfId="1085" priority="14" stopIfTrue="1">
      <formula>AND(ISNUMBER(F70),MAX($C70:$C70)=F70,$G$13=2)</formula>
    </cfRule>
    <cfRule type="expression" dxfId="1084" priority="15" stopIfTrue="1">
      <formula>AND(ISNUMBER(F70),MAX($C70:$C70)=F70,$G$13=3)</formula>
    </cfRule>
    <cfRule type="expression" dxfId="1083" priority="16" stopIfTrue="1">
      <formula>AND(ISNUMBER(F70),MAX($C70:$C70)=F70,$G$13=4)</formula>
    </cfRule>
    <cfRule type="expression" dxfId="1082" priority="17" stopIfTrue="1">
      <formula>AND(ISNUMBER(F70),MAX($C70:$C70)=F70,$G$13=5)</formula>
    </cfRule>
    <cfRule type="expression" dxfId="1081" priority="18" stopIfTrue="1">
      <formula>AND(ISNUMBER(F70),MAX($C70:$C70)=F70,$G$13=6)</formula>
    </cfRule>
    <cfRule type="expression" dxfId="1080" priority="20" stopIfTrue="1">
      <formula>AND(ISNUMBER(F70),MAX($C70:$C70)=F70,$G$13=8)</formula>
    </cfRule>
    <cfRule type="expression" dxfId="1079" priority="7" stopIfTrue="1">
      <formula>$G$13=3</formula>
    </cfRule>
    <cfRule type="expression" dxfId="1078" priority="19" stopIfTrue="1">
      <formula>AND(ISNUMBER(F70),MAX($C70:$C70)=F70,$G$13=7)</formula>
    </cfRule>
  </conditionalFormatting>
  <conditionalFormatting sqref="F71">
    <cfRule type="expression" dxfId="1077" priority="413" stopIfTrue="1">
      <formula>$I$66=2</formula>
    </cfRule>
    <cfRule type="expression" dxfId="1076" priority="412" stopIfTrue="1">
      <formula>$I$66=1</formula>
    </cfRule>
    <cfRule type="expression" dxfId="1075" priority="411" stopIfTrue="1">
      <formula>$I$66=0</formula>
    </cfRule>
    <cfRule type="expression" dxfId="1074" priority="410" stopIfTrue="1">
      <formula>$I$66=""</formula>
    </cfRule>
    <cfRule type="expression" dxfId="1073" priority="418" stopIfTrue="1">
      <formula>$I$66=8</formula>
    </cfRule>
    <cfRule type="expression" dxfId="1072" priority="417" stopIfTrue="1">
      <formula>$I$66=7</formula>
    </cfRule>
    <cfRule type="expression" dxfId="1071" priority="416" stopIfTrue="1">
      <formula>$I$66=5</formula>
    </cfRule>
    <cfRule type="expression" dxfId="1070" priority="414" stopIfTrue="1">
      <formula>$I$66=3</formula>
    </cfRule>
    <cfRule type="expression" dxfId="1069" priority="415" stopIfTrue="1">
      <formula>$I$66=4</formula>
    </cfRule>
  </conditionalFormatting>
  <conditionalFormatting sqref="I3">
    <cfRule type="expression" dxfId="1068" priority="105" stopIfTrue="1">
      <formula>$G$13=3</formula>
    </cfRule>
    <cfRule type="expression" dxfId="1067" priority="106" stopIfTrue="1">
      <formula>$G$13=2</formula>
    </cfRule>
    <cfRule type="expression" dxfId="1066" priority="107" stopIfTrue="1">
      <formula>$G$13=1</formula>
    </cfRule>
    <cfRule type="expression" dxfId="1065" priority="108" stopIfTrue="1">
      <formula>$G$13=0</formula>
    </cfRule>
    <cfRule type="expression" dxfId="1064" priority="109" stopIfTrue="1">
      <formula>AND(ISNUMBER(I3),MAX($C71:$C71)=I3,$G$13="")</formula>
    </cfRule>
    <cfRule type="expression" dxfId="1063" priority="110" stopIfTrue="1">
      <formula>AND(ISNUMBER(I3),MAX($C71:$C71)=I3,$G$13=0)</formula>
    </cfRule>
    <cfRule type="expression" dxfId="1062" priority="111" stopIfTrue="1">
      <formula>AND(ISNUMBER(I3),MAX($C71:$C71)=I3,$G$13=1)</formula>
    </cfRule>
    <cfRule type="expression" dxfId="1061" priority="112" stopIfTrue="1">
      <formula>AND(ISNUMBER(I3),MAX($C71:$C71)=I3,$G$13=2)</formula>
    </cfRule>
    <cfRule type="expression" dxfId="1060" priority="113" stopIfTrue="1">
      <formula>AND(ISNUMBER(I3),MAX($C71:$C71)=I3,$G$13=3)</formula>
    </cfRule>
    <cfRule type="expression" dxfId="1059" priority="115" stopIfTrue="1">
      <formula>AND(ISNUMBER(I3),MAX($C71:$C71)=I3,$G$13=5)</formula>
    </cfRule>
    <cfRule type="expression" dxfId="1058" priority="116" stopIfTrue="1">
      <formula>AND(ISNUMBER(I3),MAX($C71:$C71)=I3,$G$13=6)</formula>
    </cfRule>
    <cfRule type="expression" dxfId="1057" priority="117" stopIfTrue="1">
      <formula>AND(ISNUMBER(I3),MAX($C71:$C71)=I3,$G$13=7)</formula>
    </cfRule>
    <cfRule type="expression" dxfId="1056" priority="118" stopIfTrue="1">
      <formula>AND(ISNUMBER(I3),MAX($C71:$C71)=I3,$G$13=8)</formula>
    </cfRule>
    <cfRule type="expression" dxfId="1055" priority="114" stopIfTrue="1">
      <formula>AND(ISNUMBER(I3),MAX($C71:$C71)=I3,$G$13=4)</formula>
    </cfRule>
    <cfRule type="expression" dxfId="1054" priority="98" stopIfTrue="1">
      <formula>$G$13=""</formula>
    </cfRule>
    <cfRule type="expression" dxfId="1053" priority="99" stopIfTrue="1">
      <formula>$G$13=8</formula>
    </cfRule>
    <cfRule type="expression" dxfId="1052" priority="100" stopIfTrue="1">
      <formula>$G$13=7</formula>
    </cfRule>
    <cfRule type="expression" dxfId="1051" priority="102" stopIfTrue="1">
      <formula>$G$13=6</formula>
    </cfRule>
    <cfRule type="expression" dxfId="1050" priority="103" stopIfTrue="1">
      <formula>$G$13=5</formula>
    </cfRule>
    <cfRule type="expression" dxfId="1049" priority="104" stopIfTrue="1">
      <formula>$G$13=4</formula>
    </cfRule>
  </conditionalFormatting>
  <conditionalFormatting sqref="V99:V104 B100:B114 Q100:T114">
    <cfRule type="expression" dxfId="1048" priority="3437" stopIfTrue="1">
      <formula>MAX($BU$99:$BU$120)+14&lt;$B99</formula>
    </cfRule>
  </conditionalFormatting>
  <conditionalFormatting sqref="V99:V104 T100:T114">
    <cfRule type="expression" dxfId="1047" priority="3440">
      <formula>MAX($BU$101:$BU$120)+4&lt;$B99</formula>
    </cfRule>
  </conditionalFormatting>
  <conditionalFormatting sqref="AX88">
    <cfRule type="expression" dxfId="1046" priority="23" stopIfTrue="1">
      <formula>$I$66=""</formula>
    </cfRule>
    <cfRule type="expression" dxfId="1045" priority="24" stopIfTrue="1">
      <formula>$I$66=0</formula>
    </cfRule>
    <cfRule type="expression" dxfId="1044" priority="25" stopIfTrue="1">
      <formula>$I$66=1</formula>
    </cfRule>
    <cfRule type="expression" dxfId="1043" priority="26" stopIfTrue="1">
      <formula>$I$66=2</formula>
    </cfRule>
    <cfRule type="expression" dxfId="1042" priority="27" stopIfTrue="1">
      <formula>$I$66=3</formula>
    </cfRule>
    <cfRule type="expression" dxfId="1041" priority="28" stopIfTrue="1">
      <formula>$I$66=4</formula>
    </cfRule>
    <cfRule type="expression" dxfId="1040" priority="29" stopIfTrue="1">
      <formula>$I$66=5</formula>
    </cfRule>
    <cfRule type="expression" dxfId="1039" priority="30" stopIfTrue="1">
      <formula>$I$66=7</formula>
    </cfRule>
    <cfRule type="expression" dxfId="1038" priority="31" stopIfTrue="1">
      <formula>$I$66=8</formula>
    </cfRule>
  </conditionalFormatting>
  <conditionalFormatting sqref="BB88">
    <cfRule type="expression" dxfId="1037" priority="32" stopIfTrue="1">
      <formula>$I$66=""</formula>
    </cfRule>
    <cfRule type="expression" dxfId="1036" priority="33" stopIfTrue="1">
      <formula>$I$66=0</formula>
    </cfRule>
    <cfRule type="expression" dxfId="1035" priority="34" stopIfTrue="1">
      <formula>$I$66=1</formula>
    </cfRule>
    <cfRule type="expression" dxfId="1034" priority="35" stopIfTrue="1">
      <formula>$I$66=2</formula>
    </cfRule>
    <cfRule type="expression" dxfId="1033" priority="40" stopIfTrue="1">
      <formula>$I$66=8</formula>
    </cfRule>
    <cfRule type="expression" dxfId="1032" priority="39" stopIfTrue="1">
      <formula>$I$66=7</formula>
    </cfRule>
    <cfRule type="expression" dxfId="1031" priority="36" stopIfTrue="1">
      <formula>$I$66=3</formula>
    </cfRule>
    <cfRule type="expression" dxfId="1030" priority="37" stopIfTrue="1">
      <formula>$I$66=4</formula>
    </cfRule>
    <cfRule type="expression" dxfId="1029" priority="38" stopIfTrue="1">
      <formula>$I$66=5</formula>
    </cfRule>
  </conditionalFormatting>
  <conditionalFormatting sqref="BF88">
    <cfRule type="expression" dxfId="1028" priority="44" stopIfTrue="1">
      <formula>$I$66=2</formula>
    </cfRule>
    <cfRule type="expression" dxfId="1027" priority="43" stopIfTrue="1">
      <formula>$I$66=1</formula>
    </cfRule>
    <cfRule type="expression" dxfId="1026" priority="42" stopIfTrue="1">
      <formula>$I$66=0</formula>
    </cfRule>
    <cfRule type="expression" dxfId="1025" priority="49" stopIfTrue="1">
      <formula>$I$66=8</formula>
    </cfRule>
    <cfRule type="expression" dxfId="1024" priority="48" stopIfTrue="1">
      <formula>$I$66=7</formula>
    </cfRule>
    <cfRule type="expression" dxfId="1023" priority="47" stopIfTrue="1">
      <formula>$I$66=5</formula>
    </cfRule>
    <cfRule type="expression" dxfId="1022" priority="46" stopIfTrue="1">
      <formula>$I$66=4</formula>
    </cfRule>
    <cfRule type="expression" dxfId="1021" priority="45" stopIfTrue="1">
      <formula>$I$66=3</formula>
    </cfRule>
    <cfRule type="expression" dxfId="1020" priority="41" stopIfTrue="1">
      <formula>$I$66=""</formula>
    </cfRule>
  </conditionalFormatting>
  <conditionalFormatting sqref="BJ88">
    <cfRule type="expression" dxfId="1019" priority="57" stopIfTrue="1">
      <formula>$I$66=7</formula>
    </cfRule>
    <cfRule type="expression" dxfId="1018" priority="56" stopIfTrue="1">
      <formula>$I$66=5</formula>
    </cfRule>
    <cfRule type="expression" dxfId="1017" priority="55" stopIfTrue="1">
      <formula>$I$66=4</formula>
    </cfRule>
    <cfRule type="expression" dxfId="1016" priority="50" stopIfTrue="1">
      <formula>$I$66=""</formula>
    </cfRule>
    <cfRule type="expression" dxfId="1015" priority="58" stopIfTrue="1">
      <formula>$I$66=8</formula>
    </cfRule>
    <cfRule type="expression" dxfId="1014" priority="51" stopIfTrue="1">
      <formula>$I$66=0</formula>
    </cfRule>
    <cfRule type="expression" dxfId="1013" priority="52" stopIfTrue="1">
      <formula>$I$66=1</formula>
    </cfRule>
    <cfRule type="expression" dxfId="1012" priority="53" stopIfTrue="1">
      <formula>$I$66=2</formula>
    </cfRule>
    <cfRule type="expression" dxfId="1011" priority="54" stopIfTrue="1">
      <formula>$I$66=3</formula>
    </cfRule>
  </conditionalFormatting>
  <conditionalFormatting sqref="BN88">
    <cfRule type="expression" dxfId="1010" priority="64" stopIfTrue="1">
      <formula>$I$66=4</formula>
    </cfRule>
    <cfRule type="expression" dxfId="1009" priority="63" stopIfTrue="1">
      <formula>$I$66=3</formula>
    </cfRule>
    <cfRule type="expression" dxfId="1008" priority="62" stopIfTrue="1">
      <formula>$I$66=2</formula>
    </cfRule>
    <cfRule type="expression" dxfId="1007" priority="65" stopIfTrue="1">
      <formula>$I$66=5</formula>
    </cfRule>
    <cfRule type="expression" dxfId="1006" priority="60" stopIfTrue="1">
      <formula>$I$66=0</formula>
    </cfRule>
    <cfRule type="expression" dxfId="1005" priority="59" stopIfTrue="1">
      <formula>$I$66=""</formula>
    </cfRule>
    <cfRule type="expression" dxfId="1004" priority="67" stopIfTrue="1">
      <formula>$I$66=8</formula>
    </cfRule>
    <cfRule type="expression" dxfId="1003" priority="66" stopIfTrue="1">
      <formula>$I$66=7</formula>
    </cfRule>
    <cfRule type="expression" dxfId="1002" priority="61" stopIfTrue="1">
      <formula>$I$66=1</formula>
    </cfRule>
  </conditionalFormatting>
  <conditionalFormatting sqref="BR88">
    <cfRule type="expression" dxfId="1001" priority="73" stopIfTrue="1">
      <formula>$I$66=4</formula>
    </cfRule>
    <cfRule type="expression" dxfId="1000" priority="74" stopIfTrue="1">
      <formula>$I$66=5</formula>
    </cfRule>
    <cfRule type="expression" dxfId="999" priority="75" stopIfTrue="1">
      <formula>$I$66=7</formula>
    </cfRule>
    <cfRule type="expression" dxfId="998" priority="76" stopIfTrue="1">
      <formula>$I$66=8</formula>
    </cfRule>
    <cfRule type="expression" dxfId="997" priority="68" stopIfTrue="1">
      <formula>$I$66=""</formula>
    </cfRule>
    <cfRule type="expression" dxfId="996" priority="70" stopIfTrue="1">
      <formula>$I$66=1</formula>
    </cfRule>
    <cfRule type="expression" dxfId="995" priority="71" stopIfTrue="1">
      <formula>$I$66=2</formula>
    </cfRule>
    <cfRule type="expression" dxfId="994" priority="72" stopIfTrue="1">
      <formula>$I$66=3</formula>
    </cfRule>
    <cfRule type="expression" dxfId="993" priority="69" stopIfTrue="1">
      <formula>$I$66=0</formula>
    </cfRule>
  </conditionalFormatting>
  <hyperlinks>
    <hyperlink ref="C72" location="入力及び計算結果!A1" display="「入力及び計算結果」に戻る" xr:uid="{00000000-0004-0000-0300-000000000000}"/>
  </hyperlinks>
  <pageMargins left="0.7" right="0.7" top="0.75" bottom="0.75" header="0.3" footer="0.3"/>
  <pageSetup paperSize="9"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O250"/>
  <sheetViews>
    <sheetView topLeftCell="A39" zoomScale="90" zoomScaleNormal="90" workbookViewId="0">
      <selection activeCell="C49" sqref="C49"/>
    </sheetView>
  </sheetViews>
  <sheetFormatPr defaultRowHeight="13" x14ac:dyDescent="0.2"/>
  <cols>
    <col min="1" max="1" width="2.453125" style="91" customWidth="1"/>
    <col min="2" max="2" width="12.08984375" customWidth="1"/>
    <col min="3" max="3" width="23.90625" customWidth="1"/>
    <col min="4" max="9" width="12.453125" customWidth="1"/>
    <col min="10" max="10" width="17.453125" customWidth="1"/>
    <col min="11" max="21" width="12.453125" customWidth="1"/>
    <col min="22" max="22" width="12.08984375" customWidth="1"/>
    <col min="23" max="23" width="11.90625" bestFit="1" customWidth="1"/>
    <col min="24" max="24" width="9.26953125" customWidth="1"/>
    <col min="25" max="25" width="19.7265625" customWidth="1"/>
    <col min="26" max="26" width="5.7265625" customWidth="1"/>
    <col min="27" max="28" width="13.90625" customWidth="1"/>
    <col min="29" max="29" width="12.453125" customWidth="1"/>
    <col min="30" max="30" width="12.08984375" customWidth="1"/>
    <col min="31" max="31" width="11.90625" bestFit="1" customWidth="1"/>
    <col min="32" max="32" width="9.26953125" customWidth="1"/>
    <col min="33" max="33" width="19.7265625" customWidth="1"/>
    <col min="34" max="34" width="5.7265625" customWidth="1"/>
    <col min="35" max="36" width="13.90625" customWidth="1"/>
    <col min="37" max="37" width="12.453125" customWidth="1"/>
    <col min="38" max="38" width="12.08984375" customWidth="1"/>
    <col min="39" max="39" width="11.90625" bestFit="1" customWidth="1"/>
    <col min="40" max="40" width="9.26953125" customWidth="1"/>
    <col min="41" max="41" width="19.7265625" customWidth="1"/>
    <col min="42" max="42" width="5.7265625" customWidth="1"/>
    <col min="43" max="47" width="13.90625" customWidth="1"/>
    <col min="48" max="48" width="11.453125" customWidth="1"/>
    <col min="49" max="50" width="13.453125" customWidth="1"/>
    <col min="51" max="51" width="11.90625" style="99" customWidth="1"/>
    <col min="52" max="52" width="12.453125" style="99" customWidth="1"/>
    <col min="53" max="53" width="13.7265625" style="143" customWidth="1"/>
    <col min="54" max="54" width="14.453125" style="99" customWidth="1"/>
    <col min="55" max="55" width="12.453125" style="143" customWidth="1"/>
    <col min="56" max="56" width="16.08984375" style="143" customWidth="1"/>
    <col min="57" max="57" width="13.26953125" style="143" customWidth="1"/>
    <col min="58" max="58" width="14.453125" style="143" customWidth="1"/>
    <col min="59" max="59" width="11.90625" style="99" customWidth="1"/>
    <col min="60" max="60" width="12.453125" style="99" customWidth="1"/>
    <col min="61" max="61" width="13.453125" style="143" customWidth="1"/>
    <col min="62" max="62" width="14.453125" style="99" customWidth="1"/>
    <col min="63" max="63" width="12.7265625" style="143" customWidth="1"/>
    <col min="64" max="64" width="16.08984375" style="143" customWidth="1"/>
    <col min="65" max="65" width="13.26953125" style="143" customWidth="1"/>
    <col min="66" max="66" width="14.453125" style="143" customWidth="1"/>
    <col min="67" max="67" width="11.90625" style="99" customWidth="1"/>
    <col min="68" max="68" width="12.453125" style="99" customWidth="1"/>
    <col min="69" max="69" width="14.08984375" style="143" customWidth="1"/>
    <col min="70" max="70" width="14.90625" style="99" customWidth="1"/>
    <col min="71" max="71" width="16.08984375" style="143" customWidth="1"/>
    <col min="72" max="72" width="8.7265625" style="143" customWidth="1"/>
    <col min="73" max="73" width="10.7265625" style="80" customWidth="1"/>
    <col min="74" max="74" width="14.08984375" style="143" customWidth="1"/>
    <col min="75" max="75" width="14.08984375" style="99" customWidth="1"/>
    <col min="76" max="76" width="9.08984375" style="99" customWidth="1"/>
    <col min="77" max="77" width="9.08984375" style="80" customWidth="1"/>
    <col min="78" max="78" width="13.08984375" style="80" customWidth="1"/>
    <col min="79" max="81" width="9.08984375" style="80" customWidth="1"/>
    <col min="82" max="82" width="13.08984375" style="80" customWidth="1"/>
    <col min="83" max="84" width="9.08984375" style="80" customWidth="1"/>
    <col min="85" max="86" width="9.08984375" style="99" customWidth="1"/>
    <col min="87" max="87" width="5.08984375" customWidth="1"/>
    <col min="89" max="89" width="11.453125" bestFit="1" customWidth="1"/>
    <col min="90" max="90" width="5.08984375" customWidth="1"/>
    <col min="92" max="92" width="11.453125" bestFit="1" customWidth="1"/>
    <col min="93" max="93" width="5.08984375" customWidth="1"/>
    <col min="95" max="95" width="11.453125" bestFit="1" customWidth="1"/>
    <col min="96" max="96" width="5.08984375" customWidth="1"/>
  </cols>
  <sheetData>
    <row r="1" spans="2:84" ht="15" customHeight="1" x14ac:dyDescent="0.2">
      <c r="B1" s="17" t="str">
        <f>入力及び計算結果!B1</f>
        <v>ver.1.0（2026/07/01）</v>
      </c>
      <c r="C1" s="39"/>
      <c r="D1" s="39"/>
    </row>
    <row r="2" spans="2:84" ht="15" customHeight="1" x14ac:dyDescent="0.2">
      <c r="B2" s="606" t="s">
        <v>290</v>
      </c>
      <c r="C2" s="606"/>
      <c r="D2" s="606"/>
      <c r="F2" s="89"/>
      <c r="G2" s="21" t="s">
        <v>96</v>
      </c>
      <c r="AW2" s="99"/>
      <c r="AX2" s="99"/>
      <c r="AY2" s="143"/>
      <c r="BB2" s="143"/>
      <c r="BE2" s="99"/>
      <c r="BF2" s="99"/>
      <c r="BG2" s="143"/>
      <c r="BJ2" s="143"/>
      <c r="BM2" s="99"/>
      <c r="BN2" s="99"/>
      <c r="BO2" s="143"/>
      <c r="BR2" s="143"/>
      <c r="BS2" s="80"/>
      <c r="BU2" s="99"/>
      <c r="BV2" s="99"/>
      <c r="BW2" s="80"/>
      <c r="BX2" s="80"/>
      <c r="CE2" s="99"/>
      <c r="CF2" s="99"/>
    </row>
    <row r="3" spans="2:84" ht="15" customHeight="1" x14ac:dyDescent="0.2">
      <c r="B3" s="606"/>
      <c r="C3" s="606"/>
      <c r="D3" s="606"/>
      <c r="F3" s="22"/>
      <c r="G3" t="s">
        <v>97</v>
      </c>
      <c r="I3" s="23"/>
      <c r="J3" s="21" t="s">
        <v>98</v>
      </c>
      <c r="W3" s="99"/>
      <c r="X3" s="99"/>
      <c r="Y3" s="99"/>
      <c r="Z3" s="99"/>
      <c r="AA3" s="99"/>
      <c r="AB3" s="99"/>
      <c r="AE3" s="99"/>
      <c r="AF3" s="99"/>
      <c r="AG3" s="99"/>
      <c r="AH3" s="99"/>
      <c r="AI3" s="99"/>
      <c r="AJ3" s="99"/>
      <c r="AM3" s="99"/>
      <c r="AN3" s="99"/>
      <c r="AO3" s="99"/>
      <c r="AP3" s="99"/>
      <c r="AQ3" s="99"/>
      <c r="AR3" s="99"/>
      <c r="AS3" s="99"/>
      <c r="AT3" s="99"/>
      <c r="AU3" s="99"/>
      <c r="AV3" s="99"/>
      <c r="AW3" s="99"/>
      <c r="AX3" s="99"/>
      <c r="BA3" s="144"/>
      <c r="BB3" s="80"/>
      <c r="BC3" s="144"/>
      <c r="BD3" s="144"/>
      <c r="BE3" s="144"/>
      <c r="BF3" s="144"/>
      <c r="BI3" s="144"/>
      <c r="BJ3" s="80"/>
      <c r="BK3" s="144"/>
      <c r="BL3" s="144"/>
      <c r="BM3" s="144"/>
      <c r="BN3" s="144"/>
      <c r="BQ3" s="144"/>
      <c r="BR3" s="80"/>
      <c r="BS3" s="144"/>
      <c r="BT3" s="144"/>
      <c r="BV3" s="144"/>
      <c r="BW3" s="80"/>
      <c r="BX3" s="80"/>
    </row>
    <row r="4" spans="2:84" ht="13.5" customHeight="1" thickBot="1" x14ac:dyDescent="0.25">
      <c r="B4" s="39"/>
      <c r="C4" s="39"/>
      <c r="D4" s="39"/>
      <c r="W4" s="99"/>
      <c r="X4" s="99"/>
      <c r="Y4" s="99"/>
      <c r="Z4" s="99"/>
      <c r="AA4" s="99"/>
      <c r="AB4" s="99"/>
      <c r="AE4" s="99"/>
      <c r="AF4" s="99"/>
      <c r="AG4" s="99"/>
      <c r="AH4" s="99"/>
      <c r="AI4" s="99"/>
      <c r="AJ4" s="99"/>
      <c r="AM4" s="99"/>
      <c r="AN4" s="99"/>
      <c r="AO4" s="99"/>
      <c r="AP4" s="99"/>
      <c r="AQ4" s="99"/>
      <c r="AR4" s="99"/>
      <c r="AS4" s="99"/>
      <c r="AT4" s="99"/>
      <c r="AU4" s="99"/>
      <c r="AV4" s="99"/>
      <c r="AW4" s="99"/>
      <c r="AX4" s="99"/>
      <c r="BA4" s="144"/>
      <c r="BB4" s="80"/>
      <c r="BC4" s="144"/>
      <c r="BD4" s="144"/>
      <c r="BE4" s="144"/>
      <c r="BF4" s="144"/>
      <c r="BI4" s="144"/>
      <c r="BJ4" s="80"/>
      <c r="BK4" s="144"/>
      <c r="BL4" s="144"/>
      <c r="BM4" s="144"/>
      <c r="BN4" s="144"/>
      <c r="BQ4" s="144"/>
      <c r="BR4" s="80"/>
      <c r="BS4" s="144"/>
      <c r="BT4" s="144"/>
      <c r="BV4" s="144"/>
      <c r="BW4" s="80"/>
      <c r="BX4" s="80"/>
    </row>
    <row r="5" spans="2:84" ht="13.5" customHeight="1" thickTop="1" thickBot="1" x14ac:dyDescent="0.25">
      <c r="B5" s="531" t="s">
        <v>155</v>
      </c>
      <c r="C5" s="532"/>
      <c r="D5" s="533" t="str">
        <f>IF(ISBLANK(入力及び計算結果!C6),"",IF(ISBLANK(入力及び計算結果!F7),"",IF(AND(OR(入力及び計算結果!F7=0,入力及び計算結果!F7=2),入力及び計算結果!F8=1),入力及び計算結果!C6,"")))</f>
        <v/>
      </c>
      <c r="E5" s="534"/>
      <c r="F5" s="534"/>
      <c r="G5" s="534"/>
      <c r="H5" s="534"/>
      <c r="I5" s="534"/>
      <c r="J5" s="535"/>
    </row>
    <row r="6" spans="2:84" ht="27" customHeight="1" thickTop="1" thickBot="1" x14ac:dyDescent="0.25">
      <c r="B6" s="536" t="s">
        <v>156</v>
      </c>
      <c r="C6" s="532"/>
      <c r="D6" s="533" t="str">
        <f>IF(ISBLANK(入力及び計算結果!E40),"",入力及び計算結果!E40)</f>
        <v/>
      </c>
      <c r="E6" s="534"/>
      <c r="F6" s="534"/>
      <c r="G6" s="534"/>
      <c r="H6" s="534"/>
      <c r="I6" s="534"/>
      <c r="J6" s="535"/>
    </row>
    <row r="7" spans="2:84" ht="13.5" customHeight="1" thickTop="1" x14ac:dyDescent="0.2">
      <c r="B7" s="145" t="s">
        <v>157</v>
      </c>
      <c r="C7" s="145"/>
      <c r="D7" s="145"/>
      <c r="E7" s="145"/>
      <c r="F7" s="145"/>
      <c r="G7" s="145"/>
      <c r="H7" s="145"/>
      <c r="I7" s="145"/>
    </row>
    <row r="8" spans="2:84" ht="13.5" customHeight="1" x14ac:dyDescent="0.2">
      <c r="B8" s="145"/>
      <c r="C8" s="145"/>
      <c r="D8" s="145"/>
      <c r="E8" s="145"/>
      <c r="F8" s="145"/>
      <c r="G8" s="145"/>
      <c r="H8" s="145"/>
      <c r="I8" s="145"/>
    </row>
    <row r="9" spans="2:84" ht="13.5" customHeight="1" x14ac:dyDescent="0.2">
      <c r="B9" s="91"/>
    </row>
    <row r="10" spans="2:84" ht="13.5" customHeight="1" x14ac:dyDescent="0.2">
      <c r="B10" s="40" t="s">
        <v>158</v>
      </c>
    </row>
    <row r="11" spans="2:84" ht="13.5" customHeight="1" x14ac:dyDescent="0.2">
      <c r="B11" s="95" t="s">
        <v>159</v>
      </c>
      <c r="C11" s="537" t="s">
        <v>160</v>
      </c>
      <c r="D11" s="537"/>
      <c r="E11" s="537"/>
      <c r="F11" s="95" t="s">
        <v>161</v>
      </c>
      <c r="G11" s="95" t="s">
        <v>162</v>
      </c>
      <c r="H11" s="537" t="s">
        <v>163</v>
      </c>
      <c r="I11" s="537"/>
      <c r="J11" s="537"/>
    </row>
    <row r="12" spans="2:84" ht="13.5" customHeight="1" thickBot="1" x14ac:dyDescent="0.25">
      <c r="B12" s="43" t="s">
        <v>164</v>
      </c>
      <c r="C12" s="380" t="s">
        <v>103</v>
      </c>
      <c r="D12" s="452"/>
      <c r="E12" s="453"/>
      <c r="F12" s="146">
        <v>50</v>
      </c>
      <c r="G12" s="43" t="s">
        <v>165</v>
      </c>
      <c r="H12" s="438"/>
      <c r="I12" s="439"/>
      <c r="J12" s="440"/>
    </row>
    <row r="13" spans="2:84" ht="13.5" customHeight="1" thickTop="1" thickBot="1" x14ac:dyDescent="0.25">
      <c r="B13" s="87" t="s">
        <v>166</v>
      </c>
      <c r="C13" s="375" t="s">
        <v>167</v>
      </c>
      <c r="D13" s="375"/>
      <c r="E13" s="401"/>
      <c r="F13" s="147" t="str">
        <f>IF(ISBLANK(入力及び計算結果!E28),"",入力及び計算結果!E28)</f>
        <v/>
      </c>
      <c r="G13" s="69" t="s">
        <v>168</v>
      </c>
      <c r="H13" s="545" t="s">
        <v>169</v>
      </c>
      <c r="I13" s="545"/>
      <c r="J13" s="545"/>
    </row>
    <row r="14" spans="2:84" ht="13.5" customHeight="1" thickTop="1" thickBot="1" x14ac:dyDescent="0.25">
      <c r="B14" s="149" t="s">
        <v>170</v>
      </c>
      <c r="C14" s="401" t="s">
        <v>171</v>
      </c>
      <c r="D14" s="402"/>
      <c r="E14" s="403"/>
      <c r="F14" s="147" t="str">
        <f>IF(ISBLANK(入力及び計算結果!E29),"",入力及び計算結果!E29)</f>
        <v/>
      </c>
      <c r="G14" s="75"/>
      <c r="H14" s="528" t="s">
        <v>172</v>
      </c>
      <c r="I14" s="529"/>
      <c r="J14" s="530"/>
    </row>
    <row r="15" spans="2:84" ht="13.5" customHeight="1" thickTop="1" x14ac:dyDescent="0.2">
      <c r="B15" s="526" t="s">
        <v>173</v>
      </c>
      <c r="C15" s="547" t="s">
        <v>174</v>
      </c>
      <c r="D15" s="539"/>
      <c r="E15" s="539"/>
      <c r="F15" s="151">
        <v>0</v>
      </c>
      <c r="G15" s="526" t="s">
        <v>146</v>
      </c>
      <c r="H15" s="550"/>
      <c r="I15" s="551"/>
      <c r="J15" s="552"/>
    </row>
    <row r="16" spans="2:84" ht="13.5" customHeight="1" x14ac:dyDescent="0.2">
      <c r="B16" s="546"/>
      <c r="C16" s="548"/>
      <c r="D16" s="549"/>
      <c r="E16" s="549"/>
      <c r="F16" s="152">
        <v>14</v>
      </c>
      <c r="G16" s="546"/>
      <c r="H16" s="553"/>
      <c r="I16" s="554"/>
      <c r="J16" s="555"/>
    </row>
    <row r="17" spans="2:76" ht="13.5" customHeight="1" thickBot="1" x14ac:dyDescent="0.25">
      <c r="B17" s="546"/>
      <c r="C17" s="548"/>
      <c r="D17" s="549"/>
      <c r="E17" s="549"/>
      <c r="F17" s="153">
        <v>28</v>
      </c>
      <c r="G17" s="546"/>
      <c r="H17" s="553"/>
      <c r="I17" s="554"/>
      <c r="J17" s="555"/>
    </row>
    <row r="18" spans="2:76" ht="27" customHeight="1" thickTop="1" thickBot="1" x14ac:dyDescent="0.25">
      <c r="B18" s="526" t="s">
        <v>124</v>
      </c>
      <c r="C18" s="538" t="s">
        <v>175</v>
      </c>
      <c r="D18" s="539"/>
      <c r="E18" s="539"/>
      <c r="F18" s="542" t="str">
        <f>IF(ISBLANK(入力及び計算結果!E31),"",入力及び計算結果!E31)</f>
        <v/>
      </c>
      <c r="G18" s="543"/>
      <c r="H18" s="476" t="s">
        <v>54</v>
      </c>
      <c r="I18" s="476"/>
      <c r="J18" s="476"/>
    </row>
    <row r="19" spans="2:76" ht="27" customHeight="1" thickTop="1" thickBot="1" x14ac:dyDescent="0.25">
      <c r="B19" s="527"/>
      <c r="C19" s="540"/>
      <c r="D19" s="541"/>
      <c r="E19" s="541"/>
      <c r="F19" s="542"/>
      <c r="G19" s="544"/>
      <c r="H19" s="476"/>
      <c r="I19" s="476"/>
      <c r="J19" s="476"/>
    </row>
    <row r="20" spans="2:76" ht="27" customHeight="1" thickTop="1" thickBot="1" x14ac:dyDescent="0.25">
      <c r="B20" s="148" t="s">
        <v>176</v>
      </c>
      <c r="C20" s="401" t="s">
        <v>177</v>
      </c>
      <c r="D20" s="402"/>
      <c r="E20" s="402"/>
      <c r="F20" s="147" t="str">
        <f>IF(ISBLANK(入力及び計算結果!E33),"",入力及び計算結果!E33)</f>
        <v/>
      </c>
      <c r="G20" s="69"/>
      <c r="H20" s="398"/>
      <c r="I20" s="399"/>
      <c r="J20" s="400"/>
    </row>
    <row r="21" spans="2:76" ht="13.5" customHeight="1" thickTop="1" thickBot="1" x14ac:dyDescent="0.25">
      <c r="B21" s="87" t="s">
        <v>178</v>
      </c>
      <c r="C21" s="375" t="s">
        <v>179</v>
      </c>
      <c r="D21" s="375"/>
      <c r="E21" s="401"/>
      <c r="F21" s="147" t="str">
        <f>IF(ISBLANK(入力及び計算結果!E34),"",入力及び計算結果!E34)</f>
        <v/>
      </c>
      <c r="G21" s="69" t="s">
        <v>146</v>
      </c>
      <c r="H21" s="398" t="s">
        <v>180</v>
      </c>
      <c r="I21" s="399"/>
      <c r="J21" s="400"/>
    </row>
    <row r="22" spans="2:76" ht="13.5" customHeight="1" thickTop="1" thickBot="1" x14ac:dyDescent="0.25">
      <c r="B22" s="87" t="s">
        <v>181</v>
      </c>
      <c r="C22" s="401" t="s">
        <v>105</v>
      </c>
      <c r="D22" s="402"/>
      <c r="E22" s="410"/>
      <c r="F22" s="147" t="str">
        <f>IF(ISBLANK(入力及び計算結果!E35),"",入力及び計算結果!E35)</f>
        <v/>
      </c>
      <c r="G22" s="69" t="s">
        <v>146</v>
      </c>
      <c r="H22" s="401" t="s">
        <v>59</v>
      </c>
      <c r="I22" s="402"/>
      <c r="J22" s="410"/>
    </row>
    <row r="23" spans="2:76" ht="13.5" customHeight="1" thickTop="1" thickBot="1" x14ac:dyDescent="0.25">
      <c r="B23" s="87" t="s">
        <v>182</v>
      </c>
      <c r="C23" s="375" t="s">
        <v>183</v>
      </c>
      <c r="D23" s="375"/>
      <c r="E23" s="401"/>
      <c r="F23" s="147" t="str">
        <f>IF(ISBLANK(入力及び計算結果!E36),"",入力及び計算結果!E36)</f>
        <v/>
      </c>
      <c r="G23" s="69" t="s">
        <v>184</v>
      </c>
      <c r="H23" s="398"/>
      <c r="I23" s="399"/>
      <c r="J23" s="400"/>
    </row>
    <row r="24" spans="2:76" ht="13.5" customHeight="1" thickTop="1" x14ac:dyDescent="0.2">
      <c r="B24" s="91"/>
      <c r="H24" s="67"/>
      <c r="I24" s="67"/>
      <c r="W24" s="99"/>
      <c r="X24" s="99"/>
      <c r="Y24" s="99"/>
      <c r="Z24" s="99"/>
      <c r="AA24" s="99"/>
      <c r="AB24" s="99"/>
      <c r="AE24" s="99"/>
      <c r="AF24" s="99"/>
      <c r="AG24" s="99"/>
      <c r="AH24" s="99"/>
      <c r="AI24" s="99"/>
      <c r="AJ24" s="99"/>
      <c r="AM24" s="99"/>
      <c r="AN24" s="99"/>
      <c r="AO24" s="99"/>
      <c r="AP24" s="99"/>
      <c r="AQ24" s="99"/>
      <c r="AR24" s="99"/>
      <c r="AS24" s="99"/>
      <c r="AT24" s="99"/>
      <c r="AU24" s="99"/>
      <c r="AV24" s="99"/>
      <c r="AW24" s="99"/>
      <c r="AX24" s="99"/>
      <c r="BX24" s="80"/>
    </row>
    <row r="25" spans="2:76" ht="13.5" customHeight="1" thickBot="1" x14ac:dyDescent="0.25">
      <c r="B25" s="40" t="s">
        <v>185</v>
      </c>
      <c r="H25" s="570" t="s">
        <v>186</v>
      </c>
      <c r="I25" s="570"/>
      <c r="J25" s="570"/>
      <c r="K25" s="570"/>
      <c r="W25" s="99"/>
      <c r="X25" s="99"/>
      <c r="Y25" s="99"/>
      <c r="Z25" s="99"/>
      <c r="AA25" s="99"/>
      <c r="AB25" s="99"/>
      <c r="AE25" s="99"/>
      <c r="AF25" s="99"/>
      <c r="AG25" s="99"/>
      <c r="AH25" s="99"/>
      <c r="AI25" s="99"/>
      <c r="AJ25" s="99"/>
      <c r="AM25" s="99"/>
      <c r="AN25" s="99"/>
      <c r="AO25" s="99"/>
      <c r="AP25" s="99"/>
      <c r="AQ25" s="99"/>
      <c r="AR25" s="99"/>
      <c r="AS25" s="99"/>
      <c r="AT25" s="99"/>
      <c r="AU25" s="99"/>
      <c r="AV25" s="99"/>
      <c r="AW25" s="99"/>
      <c r="AX25" s="99"/>
      <c r="BX25" s="80"/>
    </row>
    <row r="26" spans="2:76" ht="13.5" customHeight="1" thickTop="1" thickBot="1" x14ac:dyDescent="0.25">
      <c r="B26" s="556" t="s">
        <v>187</v>
      </c>
      <c r="C26" s="557"/>
      <c r="D26" s="147" t="str">
        <f>IF(ISBLANK(No.3!D26),"",No.3!D26)</f>
        <v/>
      </c>
      <c r="E26" s="104" t="s">
        <v>146</v>
      </c>
      <c r="G26" s="100"/>
      <c r="H26" s="570"/>
      <c r="I26" s="570"/>
      <c r="J26" s="570"/>
      <c r="K26" s="570"/>
      <c r="W26" s="99"/>
      <c r="X26" s="99"/>
      <c r="Y26" s="99"/>
      <c r="Z26" s="99"/>
      <c r="AA26" s="99"/>
      <c r="AB26" s="99"/>
      <c r="AE26" s="99"/>
      <c r="AF26" s="99"/>
      <c r="AG26" s="99"/>
      <c r="AH26" s="99"/>
      <c r="AI26" s="99"/>
      <c r="AJ26" s="99"/>
      <c r="AM26" s="99"/>
      <c r="AN26" s="99"/>
      <c r="AO26" s="99"/>
      <c r="AP26" s="99"/>
      <c r="AQ26" s="99"/>
      <c r="AR26" s="99"/>
      <c r="AS26" s="99"/>
      <c r="AT26" s="99"/>
      <c r="AU26" s="99"/>
      <c r="AV26" s="99"/>
      <c r="AW26" s="99"/>
      <c r="AX26" s="99"/>
      <c r="BX26" s="80"/>
    </row>
    <row r="27" spans="2:76" ht="13.5" customHeight="1" thickTop="1" thickBot="1" x14ac:dyDescent="0.25">
      <c r="B27" s="380" t="s">
        <v>188</v>
      </c>
      <c r="C27" s="506"/>
      <c r="D27" s="147" t="str">
        <f>IF(ISBLANK(No.3!D27),"",No.3!D27)</f>
        <v/>
      </c>
      <c r="E27" s="104" t="s">
        <v>146</v>
      </c>
      <c r="G27" s="100"/>
      <c r="H27" s="570"/>
      <c r="I27" s="570"/>
      <c r="J27" s="570"/>
      <c r="K27" s="570"/>
      <c r="W27" s="99"/>
      <c r="X27" s="99"/>
      <c r="Y27" s="99"/>
      <c r="Z27" s="99"/>
      <c r="AA27" s="99"/>
      <c r="AB27" s="99"/>
      <c r="AE27" s="99"/>
      <c r="AF27" s="99"/>
      <c r="AG27" s="99"/>
      <c r="AH27" s="99"/>
      <c r="AI27" s="99"/>
      <c r="AJ27" s="99"/>
      <c r="AM27" s="99"/>
      <c r="AN27" s="99"/>
      <c r="AO27" s="99"/>
      <c r="AP27" s="99"/>
      <c r="AQ27" s="99"/>
      <c r="AR27" s="99"/>
      <c r="AS27" s="99"/>
      <c r="AT27" s="99"/>
      <c r="AU27" s="99"/>
      <c r="AV27" s="99"/>
      <c r="AW27" s="99"/>
      <c r="AX27" s="99"/>
      <c r="BX27" s="80"/>
    </row>
    <row r="28" spans="2:76" ht="13.5" customHeight="1" thickTop="1" x14ac:dyDescent="0.2">
      <c r="B28" s="91"/>
      <c r="C28" s="116" t="s">
        <v>189</v>
      </c>
      <c r="D28" s="311">
        <f>IF(ISBLANK(No.3!D28),"",No.3!D28)</f>
        <v>0</v>
      </c>
      <c r="G28" s="100"/>
      <c r="H28" s="570"/>
      <c r="I28" s="570"/>
      <c r="J28" s="570"/>
      <c r="K28" s="570"/>
      <c r="W28" s="99"/>
      <c r="X28" s="99"/>
      <c r="Y28" s="99"/>
      <c r="Z28" s="99"/>
      <c r="AA28" s="99"/>
      <c r="AB28" s="99"/>
      <c r="AE28" s="99"/>
      <c r="AF28" s="99"/>
      <c r="AG28" s="99"/>
      <c r="AH28" s="99"/>
      <c r="AI28" s="99"/>
      <c r="AJ28" s="99"/>
      <c r="AM28" s="99"/>
      <c r="AN28" s="99"/>
      <c r="AO28" s="99"/>
      <c r="AP28" s="99"/>
      <c r="AQ28" s="99"/>
      <c r="AR28" s="99"/>
      <c r="AS28" s="99"/>
      <c r="AT28" s="99"/>
      <c r="AU28" s="99"/>
      <c r="AV28" s="99"/>
      <c r="AW28" s="99"/>
      <c r="AX28" s="99"/>
      <c r="BX28" s="80"/>
    </row>
    <row r="29" spans="2:76" ht="13.5" customHeight="1" x14ac:dyDescent="0.2">
      <c r="B29" s="91"/>
      <c r="C29" s="116" t="s">
        <v>190</v>
      </c>
      <c r="D29" s="312">
        <f>IF(ISBLANK(No.3!D29),"",No.3!D29)</f>
        <v>0</v>
      </c>
      <c r="G29" s="100"/>
      <c r="H29" s="570"/>
      <c r="I29" s="570"/>
      <c r="J29" s="570"/>
      <c r="K29" s="570"/>
      <c r="W29" s="99"/>
      <c r="X29" s="99"/>
      <c r="Y29" s="99"/>
      <c r="Z29" s="99"/>
      <c r="AA29" s="99"/>
      <c r="AB29" s="99"/>
      <c r="AE29" s="99"/>
      <c r="AF29" s="99"/>
      <c r="AG29" s="99"/>
      <c r="AH29" s="99"/>
      <c r="AI29" s="99"/>
      <c r="AJ29" s="99"/>
      <c r="AM29" s="99"/>
      <c r="AN29" s="99"/>
      <c r="AO29" s="99"/>
      <c r="AP29" s="99"/>
      <c r="AQ29" s="99"/>
      <c r="AR29" s="99"/>
      <c r="AS29" s="99"/>
      <c r="AT29" s="99"/>
      <c r="AU29" s="99"/>
      <c r="AV29" s="99"/>
      <c r="AW29" s="99"/>
      <c r="AX29" s="99"/>
      <c r="BX29" s="80"/>
    </row>
    <row r="30" spans="2:76" ht="13.5" customHeight="1" thickBot="1" x14ac:dyDescent="0.25">
      <c r="B30" t="s">
        <v>191</v>
      </c>
      <c r="G30" s="100"/>
      <c r="H30" s="570"/>
      <c r="I30" s="570"/>
      <c r="J30" s="570"/>
      <c r="K30" s="570"/>
      <c r="W30" s="99"/>
      <c r="X30" s="99"/>
      <c r="Y30" s="99"/>
      <c r="Z30" s="99"/>
      <c r="AA30" s="99"/>
      <c r="AB30" s="99"/>
      <c r="AE30" s="99"/>
      <c r="AF30" s="99"/>
      <c r="AG30" s="99"/>
      <c r="AH30" s="99"/>
      <c r="AI30" s="99"/>
      <c r="AJ30" s="99"/>
      <c r="AM30" s="99"/>
      <c r="AN30" s="99"/>
      <c r="AO30" s="99"/>
      <c r="AP30" s="99"/>
      <c r="AQ30" s="99"/>
      <c r="AR30" s="99"/>
      <c r="AS30" s="99"/>
      <c r="AT30" s="99"/>
      <c r="AU30" s="99"/>
      <c r="AV30" s="99"/>
      <c r="AW30" s="99"/>
      <c r="AX30" s="99"/>
      <c r="BX30" s="80"/>
    </row>
    <row r="31" spans="2:76" ht="13.5" customHeight="1" thickTop="1" thickBot="1" x14ac:dyDescent="0.25">
      <c r="B31" s="380" t="s">
        <v>192</v>
      </c>
      <c r="C31" s="506"/>
      <c r="D31" s="147" t="str">
        <f>IF(ISBLANK(No.3!D31),"",No.3!D31)</f>
        <v/>
      </c>
      <c r="E31" s="104" t="s">
        <v>146</v>
      </c>
      <c r="G31" s="100"/>
      <c r="H31" s="570"/>
      <c r="I31" s="570"/>
      <c r="J31" s="570"/>
      <c r="K31" s="570"/>
      <c r="W31" s="99"/>
      <c r="X31" s="99"/>
      <c r="Y31" s="99"/>
      <c r="Z31" s="99"/>
      <c r="AA31" s="99"/>
      <c r="AB31" s="99"/>
      <c r="AE31" s="99"/>
      <c r="AF31" s="99"/>
      <c r="AG31" s="99"/>
      <c r="AH31" s="99"/>
      <c r="AI31" s="99"/>
      <c r="AJ31" s="99"/>
      <c r="AM31" s="99"/>
      <c r="AN31" s="99"/>
      <c r="AO31" s="99"/>
      <c r="AP31" s="99"/>
      <c r="AQ31" s="99"/>
      <c r="AR31" s="99"/>
      <c r="AS31" s="99"/>
      <c r="AT31" s="99"/>
      <c r="AU31" s="99"/>
      <c r="AV31" s="99"/>
      <c r="AW31" s="99"/>
      <c r="AX31" s="99"/>
      <c r="BX31" s="80"/>
    </row>
    <row r="32" spans="2:76" ht="13.5" customHeight="1" thickTop="1" x14ac:dyDescent="0.2">
      <c r="B32" s="91"/>
      <c r="C32" s="117" t="s">
        <v>193</v>
      </c>
      <c r="D32" s="312">
        <f>IF(ISBLANK(No.3!D32),"",No.3!D32)</f>
        <v>0</v>
      </c>
      <c r="G32" s="100"/>
      <c r="H32" s="570"/>
      <c r="I32" s="570"/>
      <c r="J32" s="570"/>
      <c r="K32" s="570"/>
      <c r="W32" s="99"/>
      <c r="X32" s="99"/>
      <c r="Y32" s="99"/>
      <c r="Z32" s="99"/>
      <c r="AA32" s="99"/>
      <c r="AB32" s="99"/>
      <c r="AE32" s="99"/>
      <c r="AF32" s="99"/>
      <c r="AG32" s="99"/>
      <c r="AH32" s="99"/>
      <c r="AI32" s="99"/>
      <c r="AJ32" s="99"/>
      <c r="AM32" s="99"/>
      <c r="AN32" s="99"/>
      <c r="AO32" s="99"/>
      <c r="AP32" s="99"/>
      <c r="AQ32" s="99"/>
      <c r="AR32" s="99"/>
      <c r="AS32" s="99"/>
      <c r="AT32" s="99"/>
      <c r="AU32" s="99"/>
      <c r="AV32" s="99"/>
      <c r="AW32" s="99"/>
      <c r="AX32" s="99"/>
      <c r="BX32" s="80"/>
    </row>
    <row r="33" spans="2:76" ht="13.5" customHeight="1" x14ac:dyDescent="0.2">
      <c r="B33" s="91"/>
      <c r="C33" s="117"/>
      <c r="G33" s="100"/>
      <c r="H33" s="570"/>
      <c r="I33" s="570"/>
      <c r="J33" s="570"/>
      <c r="K33" s="570"/>
      <c r="W33" s="99"/>
      <c r="X33" s="99"/>
      <c r="Y33" s="99"/>
      <c r="Z33" s="99"/>
      <c r="AA33" s="99"/>
      <c r="AB33" s="99"/>
      <c r="AE33" s="99"/>
      <c r="AF33" s="99"/>
      <c r="AG33" s="99"/>
      <c r="AH33" s="99"/>
      <c r="AI33" s="99"/>
      <c r="AJ33" s="99"/>
      <c r="AM33" s="99"/>
      <c r="AN33" s="99"/>
      <c r="AO33" s="99"/>
      <c r="AP33" s="99"/>
      <c r="AQ33" s="99"/>
      <c r="AR33" s="99"/>
      <c r="AS33" s="99"/>
      <c r="AT33" s="99"/>
      <c r="AU33" s="99"/>
      <c r="AV33" s="99"/>
      <c r="AW33" s="99"/>
      <c r="AX33" s="99"/>
      <c r="BX33" s="80"/>
    </row>
    <row r="34" spans="2:76" ht="13.5" customHeight="1" x14ac:dyDescent="0.2">
      <c r="B34" s="91"/>
      <c r="C34" s="116" t="s">
        <v>194</v>
      </c>
      <c r="D34" s="312">
        <f>IF(ISBLANK(No.3!D34),"",No.3!D34)</f>
        <v>0</v>
      </c>
      <c r="G34" s="100"/>
      <c r="H34" s="570"/>
      <c r="I34" s="570"/>
      <c r="J34" s="570"/>
      <c r="K34" s="570"/>
      <c r="W34" s="99"/>
      <c r="X34" s="99"/>
      <c r="Y34" s="99"/>
      <c r="Z34" s="99"/>
      <c r="AA34" s="99"/>
      <c r="AB34" s="99"/>
      <c r="AE34" s="99"/>
      <c r="AF34" s="99"/>
      <c r="AG34" s="99"/>
      <c r="AH34" s="99"/>
      <c r="AI34" s="99"/>
      <c r="AJ34" s="99"/>
      <c r="AM34" s="99"/>
      <c r="AN34" s="99"/>
      <c r="AO34" s="99"/>
      <c r="AP34" s="99"/>
      <c r="AQ34" s="99"/>
      <c r="AR34" s="99"/>
      <c r="AS34" s="99"/>
      <c r="AT34" s="99"/>
      <c r="AU34" s="99"/>
      <c r="AV34" s="99"/>
      <c r="AW34" s="99"/>
      <c r="AX34" s="99"/>
      <c r="BX34" s="80"/>
    </row>
    <row r="35" spans="2:76" ht="13.5" customHeight="1" x14ac:dyDescent="0.2">
      <c r="B35" s="91"/>
      <c r="G35" s="100"/>
      <c r="H35" s="100"/>
      <c r="I35" s="100"/>
      <c r="J35" s="100"/>
      <c r="W35" s="99"/>
      <c r="X35" s="99"/>
      <c r="Y35" s="99"/>
      <c r="Z35" s="99"/>
      <c r="AA35" s="99"/>
      <c r="AB35" s="99"/>
      <c r="AE35" s="99"/>
      <c r="AF35" s="99"/>
      <c r="AG35" s="99"/>
      <c r="AH35" s="99"/>
      <c r="AI35" s="99"/>
      <c r="AJ35" s="99"/>
      <c r="AM35" s="99"/>
      <c r="AN35" s="99"/>
      <c r="AO35" s="99"/>
      <c r="AP35" s="99"/>
      <c r="AQ35" s="99"/>
      <c r="AR35" s="99"/>
      <c r="AS35" s="99"/>
      <c r="AT35" s="99"/>
      <c r="AU35" s="99"/>
      <c r="AV35" s="99"/>
      <c r="AW35" s="99"/>
      <c r="AX35" s="99"/>
      <c r="BX35" s="80"/>
    </row>
    <row r="36" spans="2:76" ht="13.5" customHeight="1" thickBot="1" x14ac:dyDescent="0.25">
      <c r="B36" s="569" t="s">
        <v>195</v>
      </c>
      <c r="C36" s="569"/>
      <c r="D36" s="569"/>
      <c r="F36" s="160" t="s">
        <v>196</v>
      </c>
      <c r="W36" s="99"/>
      <c r="X36" s="99"/>
      <c r="Y36" s="99"/>
      <c r="Z36" s="99"/>
      <c r="AA36" s="99"/>
      <c r="AB36" s="99"/>
      <c r="AE36" s="99"/>
      <c r="AF36" s="99"/>
      <c r="AG36" s="99"/>
      <c r="AH36" s="99"/>
      <c r="AI36" s="99"/>
      <c r="AJ36" s="99"/>
      <c r="AM36" s="99"/>
      <c r="AN36" s="99"/>
      <c r="AO36" s="99"/>
      <c r="AP36" s="99"/>
      <c r="AQ36" s="99"/>
      <c r="AR36" s="99"/>
      <c r="AS36" s="99"/>
      <c r="AT36" s="99"/>
      <c r="AU36" s="99"/>
      <c r="AV36" s="99"/>
      <c r="AW36" s="99"/>
      <c r="AX36" s="99"/>
      <c r="BX36" s="80"/>
    </row>
    <row r="37" spans="2:76" ht="13.5" customHeight="1" thickTop="1" x14ac:dyDescent="0.2">
      <c r="B37" s="567" t="s">
        <v>197</v>
      </c>
      <c r="C37" s="567" t="s">
        <v>198</v>
      </c>
      <c r="D37" s="505" t="s">
        <v>199</v>
      </c>
      <c r="F37" s="71" t="s">
        <v>159</v>
      </c>
      <c r="G37" s="45" t="s">
        <v>160</v>
      </c>
      <c r="H37" s="161"/>
      <c r="I37" s="162"/>
      <c r="J37" s="71" t="s">
        <v>161</v>
      </c>
      <c r="K37" s="71" t="s">
        <v>162</v>
      </c>
      <c r="W37" s="99"/>
      <c r="X37" s="99"/>
      <c r="Y37" s="99"/>
      <c r="Z37" s="99"/>
      <c r="AA37" s="99"/>
      <c r="AB37" s="99"/>
      <c r="AE37" s="99"/>
      <c r="AF37" s="99"/>
      <c r="AG37" s="99"/>
      <c r="AH37" s="99"/>
      <c r="AI37" s="99"/>
      <c r="AJ37" s="99"/>
      <c r="AM37" s="99"/>
      <c r="AN37" s="99"/>
      <c r="AO37" s="99"/>
      <c r="AP37" s="99"/>
      <c r="AQ37" s="99"/>
      <c r="AR37" s="99"/>
      <c r="AS37" s="99"/>
      <c r="AT37" s="99"/>
      <c r="AU37" s="99"/>
      <c r="AV37" s="99"/>
      <c r="AW37" s="99"/>
      <c r="AX37" s="99"/>
      <c r="BX37" s="80"/>
    </row>
    <row r="38" spans="2:76" ht="13.5" customHeight="1" x14ac:dyDescent="0.2">
      <c r="B38" s="568"/>
      <c r="C38" s="568"/>
      <c r="D38" s="505"/>
      <c r="F38" s="46" t="s">
        <v>200</v>
      </c>
      <c r="G38" s="401" t="s">
        <v>201</v>
      </c>
      <c r="H38" s="402"/>
      <c r="I38" s="410"/>
      <c r="J38" s="163">
        <v>30</v>
      </c>
      <c r="K38" s="87" t="s">
        <v>202</v>
      </c>
      <c r="W38" s="99"/>
      <c r="X38" s="99"/>
      <c r="Y38" s="99"/>
      <c r="Z38" s="99"/>
      <c r="AA38" s="99"/>
      <c r="AB38" s="99"/>
      <c r="AE38" s="99"/>
      <c r="AF38" s="99"/>
      <c r="AG38" s="99"/>
      <c r="AH38" s="99"/>
      <c r="AI38" s="99"/>
      <c r="AJ38" s="99"/>
      <c r="AM38" s="99"/>
      <c r="AN38" s="99"/>
      <c r="AO38" s="99"/>
      <c r="AP38" s="99"/>
      <c r="AQ38" s="99"/>
      <c r="AR38" s="99"/>
      <c r="AS38" s="99"/>
      <c r="AT38" s="99"/>
      <c r="AU38" s="99"/>
      <c r="AV38" s="99"/>
      <c r="AW38" s="99"/>
      <c r="AX38" s="99"/>
      <c r="BX38" s="80"/>
    </row>
    <row r="39" spans="2:76" ht="13.5" customHeight="1" x14ac:dyDescent="0.2">
      <c r="B39" s="164" t="str">
        <f>IF(ISBLANK(入力及び計算結果!E41),"",入力及び計算結果!E41)</f>
        <v/>
      </c>
      <c r="C39" s="164" t="str">
        <f>IF(ISBLANK(入力及び計算結果!E42),"",入力及び計算結果!E42)</f>
        <v/>
      </c>
      <c r="D39" s="165" t="str">
        <f>IF(ISNUMBER(C39),LN(C39/C$39),"")</f>
        <v/>
      </c>
      <c r="F39" s="46" t="s">
        <v>203</v>
      </c>
      <c r="G39" s="401" t="s">
        <v>204</v>
      </c>
      <c r="H39" s="402"/>
      <c r="I39" s="410"/>
      <c r="J39" s="163">
        <v>20</v>
      </c>
      <c r="K39" s="46" t="s">
        <v>202</v>
      </c>
      <c r="W39" s="99"/>
      <c r="X39" s="99"/>
      <c r="Y39" s="99"/>
      <c r="Z39" s="99"/>
      <c r="AA39" s="99"/>
      <c r="AB39" s="99"/>
      <c r="AE39" s="99"/>
      <c r="AF39" s="99"/>
      <c r="AG39" s="99"/>
      <c r="AH39" s="99"/>
      <c r="AI39" s="99"/>
      <c r="AJ39" s="99"/>
      <c r="AM39" s="99"/>
      <c r="AN39" s="99"/>
      <c r="AO39" s="99"/>
      <c r="AP39" s="99"/>
      <c r="AQ39" s="99"/>
      <c r="AR39" s="99"/>
      <c r="AS39" s="99"/>
      <c r="AT39" s="99"/>
      <c r="AU39" s="99"/>
      <c r="AV39" s="99"/>
      <c r="AW39" s="99"/>
      <c r="AX39" s="99"/>
      <c r="BX39" s="80"/>
    </row>
    <row r="40" spans="2:76" ht="13.5" customHeight="1" x14ac:dyDescent="0.2">
      <c r="B40" s="164" t="str">
        <f>IF(ISBLANK(入力及び計算結果!F41),"",入力及び計算結果!F41)</f>
        <v/>
      </c>
      <c r="C40" s="164" t="str">
        <f>IF(ISBLANK(入力及び計算結果!F42),"",入力及び計算結果!F42)</f>
        <v/>
      </c>
      <c r="D40" s="165" t="str">
        <f>IF(ISNUMBER(C40),LN(C40/C$39),"")</f>
        <v/>
      </c>
      <c r="F40" s="526" t="s">
        <v>77</v>
      </c>
      <c r="G40" s="558" t="s">
        <v>205</v>
      </c>
      <c r="H40" s="559"/>
      <c r="I40" s="560"/>
      <c r="J40" s="166">
        <f>IF(F20=0,0,0.3)</f>
        <v>0.3</v>
      </c>
      <c r="K40" s="150" t="s">
        <v>206</v>
      </c>
      <c r="W40" s="99"/>
      <c r="X40" s="99"/>
      <c r="Y40" s="99"/>
      <c r="Z40" s="99"/>
      <c r="AA40" s="99"/>
      <c r="AB40" s="99"/>
      <c r="AE40" s="99"/>
      <c r="AF40" s="99"/>
      <c r="AG40" s="99"/>
      <c r="AH40" s="99"/>
      <c r="AI40" s="99"/>
      <c r="AJ40" s="99"/>
      <c r="AM40" s="99"/>
      <c r="AN40" s="99"/>
      <c r="AO40" s="99"/>
      <c r="AP40" s="99"/>
      <c r="AQ40" s="99"/>
      <c r="AR40" s="99"/>
      <c r="AS40" s="99"/>
      <c r="AT40" s="99"/>
      <c r="AU40" s="99"/>
      <c r="AV40" s="99"/>
      <c r="AW40" s="99"/>
      <c r="AX40" s="99"/>
      <c r="BX40" s="80"/>
    </row>
    <row r="41" spans="2:76" ht="13.5" customHeight="1" x14ac:dyDescent="0.2">
      <c r="B41" s="164" t="str">
        <f>IF(ISBLANK(入力及び計算結果!G41),"",入力及び計算結果!G41)</f>
        <v/>
      </c>
      <c r="C41" s="164" t="str">
        <f>IF(ISBLANK(入力及び計算結果!G42),"",入力及び計算結果!G42)</f>
        <v/>
      </c>
      <c r="D41" s="165" t="str">
        <f>IF(ISNUMBER(C41),LN(C41/C$39),"")</f>
        <v/>
      </c>
      <c r="F41" s="527"/>
      <c r="G41" s="561"/>
      <c r="H41" s="562"/>
      <c r="I41" s="563"/>
      <c r="J41" s="167"/>
      <c r="K41" s="155"/>
      <c r="W41" s="99"/>
      <c r="X41" s="99"/>
      <c r="Y41" s="99"/>
      <c r="Z41" s="99"/>
      <c r="AA41" s="99"/>
      <c r="AB41" s="99"/>
      <c r="AE41" s="99"/>
      <c r="AF41" s="99"/>
      <c r="AG41" s="99"/>
      <c r="AH41" s="99"/>
      <c r="AI41" s="99"/>
      <c r="AJ41" s="99"/>
      <c r="AM41" s="99"/>
      <c r="AN41" s="99"/>
      <c r="AO41" s="99"/>
      <c r="AP41" s="99"/>
      <c r="AQ41" s="99"/>
      <c r="AR41" s="99"/>
      <c r="AS41" s="99"/>
      <c r="AT41" s="99"/>
      <c r="AU41" s="99"/>
      <c r="AV41" s="99"/>
      <c r="AW41" s="99"/>
      <c r="AX41" s="99"/>
      <c r="BX41" s="80"/>
    </row>
    <row r="42" spans="2:76" ht="13.5" customHeight="1" x14ac:dyDescent="0.2">
      <c r="B42" s="164" t="str">
        <f>IF(ISBLANK(入力及び計算結果!H41),"",入力及び計算結果!H41)</f>
        <v/>
      </c>
      <c r="C42" s="164" t="str">
        <f>IF(ISBLANK(入力及び計算結果!H42),"",入力及び計算結果!H42)</f>
        <v/>
      </c>
      <c r="D42" s="165" t="str">
        <f>IF(ISNUMBER(C42),LN(C42/C$39),"")</f>
        <v/>
      </c>
      <c r="F42" s="46" t="s">
        <v>207</v>
      </c>
      <c r="G42" s="401" t="s">
        <v>208</v>
      </c>
      <c r="H42" s="402"/>
      <c r="I42" s="410"/>
      <c r="J42" s="163">
        <v>0.8</v>
      </c>
      <c r="K42" s="46" t="s">
        <v>209</v>
      </c>
      <c r="W42" s="99"/>
      <c r="X42" s="99"/>
      <c r="Y42" s="99"/>
      <c r="Z42" s="99"/>
      <c r="AA42" s="99"/>
      <c r="AB42" s="99"/>
      <c r="AE42" s="99"/>
      <c r="AF42" s="99"/>
      <c r="AG42" s="99"/>
      <c r="AH42" s="99"/>
      <c r="AI42" s="99"/>
      <c r="AJ42" s="99"/>
      <c r="AM42" s="99"/>
      <c r="AN42" s="99"/>
      <c r="AO42" s="99"/>
      <c r="AP42" s="99"/>
      <c r="AQ42" s="99"/>
      <c r="AR42" s="99"/>
      <c r="AS42" s="99"/>
      <c r="AT42" s="99"/>
      <c r="AU42" s="99"/>
      <c r="AV42" s="99"/>
      <c r="AW42" s="99"/>
      <c r="AX42" s="99"/>
      <c r="BX42" s="80"/>
    </row>
    <row r="43" spans="2:76" ht="13.5" customHeight="1" x14ac:dyDescent="0.2">
      <c r="B43" s="164" t="str">
        <f>IF(ISBLANK(入力及び計算結果!I41),"",入力及び計算結果!I41)</f>
        <v/>
      </c>
      <c r="C43" s="164" t="str">
        <f>IF(ISBLANK(入力及び計算結果!I42),"",入力及び計算結果!I42)</f>
        <v/>
      </c>
      <c r="D43" s="165" t="str">
        <f>IF(ISNUMBER(C43),LN(C43/C$39),"")</f>
        <v/>
      </c>
      <c r="F43" s="526" t="s">
        <v>210</v>
      </c>
      <c r="G43" s="538" t="s">
        <v>211</v>
      </c>
      <c r="H43" s="482"/>
      <c r="I43" s="564"/>
      <c r="J43" s="166">
        <f>IF(F20=0,0,4)</f>
        <v>4</v>
      </c>
      <c r="K43" s="150" t="s">
        <v>206</v>
      </c>
      <c r="W43" s="99"/>
      <c r="X43" s="99"/>
      <c r="Y43" s="99"/>
      <c r="Z43" s="99"/>
      <c r="AA43" s="99"/>
      <c r="AB43" s="99"/>
      <c r="AE43" s="99"/>
      <c r="AF43" s="99"/>
      <c r="AG43" s="99"/>
      <c r="AH43" s="99"/>
      <c r="AI43" s="99"/>
      <c r="AJ43" s="99"/>
      <c r="AM43" s="99"/>
      <c r="AN43" s="99"/>
      <c r="AO43" s="99"/>
      <c r="AP43" s="99"/>
      <c r="AQ43" s="99"/>
      <c r="AR43" s="99"/>
      <c r="AS43" s="99"/>
      <c r="AT43" s="99"/>
      <c r="AU43" s="99"/>
      <c r="AV43" s="99"/>
      <c r="AW43" s="99"/>
      <c r="AX43" s="99"/>
      <c r="BX43" s="80"/>
    </row>
    <row r="44" spans="2:76" ht="13.5" customHeight="1" x14ac:dyDescent="0.2">
      <c r="B44" s="164" t="str">
        <f>IF(ISBLANK(入力及び計算結果!J41),"",入力及び計算結果!J41)</f>
        <v/>
      </c>
      <c r="C44" s="164" t="str">
        <f>IF(ISBLANK(入力及び計算結果!J42),"",入力及び計算結果!J42)</f>
        <v/>
      </c>
      <c r="D44" s="165" t="str">
        <f t="shared" ref="D44:D59" si="0">IF(ISNUMBER(C44),LN(C44/C$39),"")</f>
        <v/>
      </c>
      <c r="F44" s="527"/>
      <c r="G44" s="565"/>
      <c r="H44" s="489"/>
      <c r="I44" s="566"/>
      <c r="J44" s="167"/>
      <c r="K44" s="155"/>
      <c r="W44" s="99"/>
      <c r="X44" s="99"/>
      <c r="Y44" s="99"/>
      <c r="Z44" s="99"/>
      <c r="AA44" s="99"/>
      <c r="AB44" s="99"/>
      <c r="AE44" s="99"/>
      <c r="AF44" s="99"/>
      <c r="AG44" s="99"/>
      <c r="AH44" s="99"/>
      <c r="AI44" s="99"/>
      <c r="AJ44" s="99"/>
      <c r="AM44" s="99"/>
      <c r="AN44" s="99"/>
      <c r="AO44" s="99"/>
      <c r="AP44" s="99"/>
      <c r="AQ44" s="99"/>
      <c r="AR44" s="99"/>
      <c r="AS44" s="99"/>
      <c r="AT44" s="99"/>
      <c r="AU44" s="99"/>
      <c r="AV44" s="99"/>
      <c r="AW44" s="99"/>
      <c r="AX44" s="99"/>
      <c r="BX44" s="80"/>
    </row>
    <row r="45" spans="2:76" ht="13.5" customHeight="1" x14ac:dyDescent="0.2">
      <c r="B45" s="164" t="str">
        <f>IF(ISBLANK(入力及び計算結果!K41),"",入力及び計算結果!K41)</f>
        <v/>
      </c>
      <c r="C45" s="164" t="str">
        <f>IF(ISBLANK(入力及び計算結果!K42),"",入力及び計算結果!K42)</f>
        <v/>
      </c>
      <c r="D45" s="165" t="str">
        <f t="shared" si="0"/>
        <v/>
      </c>
      <c r="F45" s="46" t="s">
        <v>212</v>
      </c>
      <c r="G45" s="401" t="s">
        <v>213</v>
      </c>
      <c r="H45" s="402"/>
      <c r="I45" s="410"/>
      <c r="J45" s="163">
        <v>0.33</v>
      </c>
      <c r="K45" s="46" t="s">
        <v>209</v>
      </c>
      <c r="W45" s="99"/>
      <c r="X45" s="99"/>
      <c r="Y45" s="99"/>
      <c r="Z45" s="99"/>
      <c r="AA45" s="99"/>
      <c r="AB45" s="99"/>
      <c r="AE45" s="99"/>
      <c r="AF45" s="99"/>
      <c r="AG45" s="99"/>
      <c r="AH45" s="99"/>
      <c r="AI45" s="99"/>
      <c r="AJ45" s="99"/>
      <c r="AM45" s="99"/>
      <c r="AN45" s="99"/>
      <c r="AO45" s="99"/>
      <c r="AP45" s="99"/>
      <c r="AQ45" s="99"/>
      <c r="AR45" s="99"/>
      <c r="AS45" s="99"/>
      <c r="AT45" s="99"/>
      <c r="AU45" s="99"/>
      <c r="AV45" s="99"/>
      <c r="AW45" s="99"/>
      <c r="AX45" s="99"/>
      <c r="BX45" s="80"/>
    </row>
    <row r="46" spans="2:76" ht="13.5" customHeight="1" x14ac:dyDescent="0.2">
      <c r="B46" s="164" t="str">
        <f>IF(ISBLANK(入力及び計算結果!L41),"",入力及び計算結果!L41)</f>
        <v/>
      </c>
      <c r="C46" s="164" t="str">
        <f>IF(ISBLANK(入力及び計算結果!L42),"",入力及び計算結果!L42)</f>
        <v/>
      </c>
      <c r="D46" s="165" t="str">
        <f t="shared" si="0"/>
        <v/>
      </c>
      <c r="F46" s="526" t="s">
        <v>214</v>
      </c>
      <c r="G46" s="547" t="s">
        <v>215</v>
      </c>
      <c r="H46" s="539"/>
      <c r="I46" s="571"/>
      <c r="J46" s="166">
        <v>1</v>
      </c>
      <c r="K46" s="150" t="s">
        <v>146</v>
      </c>
      <c r="W46" s="99"/>
      <c r="X46" s="99"/>
      <c r="Y46" s="99"/>
      <c r="Z46" s="99"/>
      <c r="AA46" s="99"/>
      <c r="AB46" s="99"/>
      <c r="AE46" s="99"/>
      <c r="AF46" s="99"/>
      <c r="AG46" s="99"/>
      <c r="AH46" s="99"/>
      <c r="AI46" s="99"/>
      <c r="AJ46" s="99"/>
      <c r="AM46" s="99"/>
      <c r="AN46" s="99"/>
      <c r="AO46" s="99"/>
      <c r="AP46" s="99"/>
      <c r="AQ46" s="99"/>
      <c r="AR46" s="99"/>
      <c r="AS46" s="99"/>
      <c r="AT46" s="99"/>
      <c r="AU46" s="99"/>
      <c r="AV46" s="99"/>
      <c r="AW46" s="99"/>
      <c r="AX46" s="99"/>
      <c r="BX46" s="80"/>
    </row>
    <row r="47" spans="2:76" ht="13.5" customHeight="1" x14ac:dyDescent="0.2">
      <c r="B47" s="164" t="str">
        <f>IF(ISBLANK(入力及び計算結果!M41),"",入力及び計算結果!M41)</f>
        <v/>
      </c>
      <c r="C47" s="164" t="str">
        <f>IF(ISBLANK(入力及び計算結果!M42),"",入力及び計算結果!M42)</f>
        <v/>
      </c>
      <c r="D47" s="165" t="str">
        <f t="shared" si="0"/>
        <v/>
      </c>
      <c r="F47" s="527"/>
      <c r="G47" s="540"/>
      <c r="H47" s="541"/>
      <c r="I47" s="572"/>
      <c r="J47" s="167"/>
      <c r="K47" s="155"/>
      <c r="W47" s="99"/>
      <c r="X47" s="99"/>
      <c r="Y47" s="99"/>
      <c r="Z47" s="99"/>
      <c r="AA47" s="99"/>
      <c r="AB47" s="99"/>
      <c r="AE47" s="99"/>
      <c r="AF47" s="99"/>
      <c r="AG47" s="99"/>
      <c r="AH47" s="99"/>
      <c r="AI47" s="99"/>
      <c r="AJ47" s="99"/>
      <c r="AM47" s="99"/>
      <c r="AN47" s="99"/>
      <c r="AO47" s="99"/>
      <c r="AP47" s="99"/>
      <c r="AQ47" s="99"/>
      <c r="AR47" s="99"/>
      <c r="AS47" s="99"/>
      <c r="AT47" s="99"/>
      <c r="AU47" s="99"/>
      <c r="AV47" s="99"/>
      <c r="AW47" s="99"/>
      <c r="AX47" s="99"/>
      <c r="BX47" s="80"/>
    </row>
    <row r="48" spans="2:76" ht="13.5" customHeight="1" x14ac:dyDescent="0.2">
      <c r="B48" s="164" t="str">
        <f>IF(ISBLANK(入力及び計算結果!N41),"",入力及び計算結果!N41)</f>
        <v/>
      </c>
      <c r="C48" s="164" t="str">
        <f>IF(ISBLANK(入力及び計算結果!N42),"",入力及び計算結果!N42)</f>
        <v/>
      </c>
      <c r="D48" s="165" t="str">
        <f t="shared" si="0"/>
        <v/>
      </c>
      <c r="F48" s="526" t="s">
        <v>216</v>
      </c>
      <c r="G48" s="538" t="s">
        <v>217</v>
      </c>
      <c r="H48" s="539"/>
      <c r="I48" s="539"/>
      <c r="J48" s="571"/>
      <c r="K48" s="150" t="s">
        <v>218</v>
      </c>
      <c r="W48" s="99"/>
      <c r="X48" s="99"/>
      <c r="Y48" s="99"/>
      <c r="Z48" s="99"/>
      <c r="AA48" s="99"/>
      <c r="AB48" s="99"/>
      <c r="AE48" s="99"/>
      <c r="AF48" s="99"/>
      <c r="AG48" s="99"/>
      <c r="AH48" s="99"/>
      <c r="AI48" s="99"/>
      <c r="AJ48" s="99"/>
      <c r="AM48" s="99"/>
      <c r="AN48" s="99"/>
      <c r="AO48" s="99"/>
      <c r="AP48" s="99"/>
      <c r="AQ48" s="99"/>
      <c r="AR48" s="99"/>
      <c r="AS48" s="99"/>
      <c r="AT48" s="99"/>
      <c r="AU48" s="99"/>
      <c r="AV48" s="99"/>
      <c r="AW48" s="99"/>
      <c r="AX48" s="99"/>
      <c r="BX48" s="80"/>
    </row>
    <row r="49" spans="1:86" ht="13.5" customHeight="1" x14ac:dyDescent="0.2">
      <c r="B49" s="4"/>
      <c r="C49" s="4"/>
      <c r="D49" s="165" t="str">
        <f t="shared" si="0"/>
        <v/>
      </c>
      <c r="F49" s="527"/>
      <c r="G49" s="540"/>
      <c r="H49" s="541"/>
      <c r="I49" s="541"/>
      <c r="J49" s="572"/>
      <c r="K49" s="155"/>
      <c r="W49" s="99"/>
      <c r="X49" s="99"/>
      <c r="Y49" s="99"/>
      <c r="Z49" s="99"/>
      <c r="AA49" s="99"/>
      <c r="AB49" s="99"/>
      <c r="AE49" s="99"/>
      <c r="AF49" s="99"/>
      <c r="AG49" s="99"/>
      <c r="AH49" s="99"/>
      <c r="AI49" s="99"/>
      <c r="AJ49" s="99"/>
      <c r="AM49" s="99"/>
      <c r="AN49" s="99"/>
      <c r="AO49" s="99"/>
      <c r="AP49" s="99"/>
      <c r="AQ49" s="99"/>
      <c r="AR49" s="99"/>
      <c r="AS49" s="99"/>
      <c r="AT49" s="99"/>
      <c r="AU49" s="99"/>
      <c r="AV49" s="99"/>
      <c r="AW49" s="99"/>
      <c r="AX49" s="99"/>
      <c r="BX49" s="80"/>
    </row>
    <row r="50" spans="1:86" ht="13.5" customHeight="1" x14ac:dyDescent="0.2">
      <c r="B50" s="4"/>
      <c r="C50" s="4"/>
      <c r="D50" s="165" t="str">
        <f t="shared" si="0"/>
        <v/>
      </c>
      <c r="F50" s="43" t="s">
        <v>219</v>
      </c>
      <c r="G50" s="380" t="s">
        <v>220</v>
      </c>
      <c r="H50" s="452"/>
      <c r="I50" s="453"/>
      <c r="J50" s="168">
        <v>2000</v>
      </c>
      <c r="K50" s="87" t="s">
        <v>218</v>
      </c>
      <c r="W50" s="99"/>
      <c r="X50" s="99"/>
      <c r="Y50" s="99"/>
      <c r="Z50" s="99"/>
      <c r="AA50" s="99"/>
      <c r="AB50" s="99"/>
      <c r="AE50" s="99"/>
      <c r="AF50" s="99"/>
      <c r="AG50" s="99"/>
      <c r="AH50" s="99"/>
      <c r="AI50" s="99"/>
      <c r="AJ50" s="99"/>
      <c r="AM50" s="99"/>
      <c r="AN50" s="99"/>
      <c r="AO50" s="99"/>
      <c r="AP50" s="99"/>
      <c r="AQ50" s="99"/>
      <c r="AR50" s="99"/>
      <c r="AS50" s="99"/>
      <c r="AT50" s="99"/>
      <c r="AU50" s="99"/>
      <c r="AV50" s="99"/>
      <c r="AW50" s="99"/>
      <c r="AX50" s="99"/>
      <c r="BX50" s="80"/>
    </row>
    <row r="51" spans="1:86" ht="13.5" customHeight="1" x14ac:dyDescent="0.2">
      <c r="B51" s="4"/>
      <c r="C51" s="4"/>
      <c r="D51" s="165" t="str">
        <f t="shared" si="0"/>
        <v/>
      </c>
      <c r="F51" s="27" t="s">
        <v>221</v>
      </c>
      <c r="G51" s="380" t="s">
        <v>222</v>
      </c>
      <c r="H51" s="452"/>
      <c r="I51" s="453"/>
      <c r="J51" s="168">
        <v>1</v>
      </c>
      <c r="K51" s="87" t="s">
        <v>223</v>
      </c>
      <c r="W51" s="99"/>
      <c r="X51" s="99"/>
      <c r="Y51" s="99"/>
      <c r="Z51" s="99"/>
      <c r="AA51" s="99"/>
      <c r="AB51" s="99"/>
      <c r="AE51" s="99"/>
      <c r="AF51" s="99"/>
      <c r="AG51" s="99"/>
      <c r="AH51" s="99"/>
      <c r="AI51" s="99"/>
      <c r="AJ51" s="99"/>
      <c r="AM51" s="99"/>
      <c r="AN51" s="99"/>
      <c r="AO51" s="99"/>
      <c r="AP51" s="99"/>
      <c r="AQ51" s="99"/>
      <c r="AR51" s="99"/>
      <c r="AS51" s="99"/>
      <c r="AT51" s="99"/>
      <c r="AU51" s="99"/>
      <c r="AV51" s="99"/>
      <c r="AW51" s="99"/>
      <c r="AX51" s="99"/>
      <c r="BX51" s="80"/>
    </row>
    <row r="52" spans="1:86" ht="13.5" customHeight="1" x14ac:dyDescent="0.2">
      <c r="B52" s="4"/>
      <c r="C52" s="4"/>
      <c r="D52" s="165" t="str">
        <f t="shared" si="0"/>
        <v/>
      </c>
      <c r="F52" s="27" t="s">
        <v>224</v>
      </c>
      <c r="G52" s="380" t="s">
        <v>225</v>
      </c>
      <c r="H52" s="452"/>
      <c r="I52" s="453"/>
      <c r="J52" s="168">
        <v>1.2</v>
      </c>
      <c r="K52" s="87" t="s">
        <v>206</v>
      </c>
      <c r="W52" s="99"/>
      <c r="X52" s="99"/>
      <c r="Y52" s="99"/>
      <c r="Z52" s="99"/>
      <c r="AA52" s="99"/>
      <c r="AB52" s="99"/>
      <c r="AE52" s="99"/>
      <c r="AF52" s="99"/>
      <c r="AG52" s="99"/>
      <c r="AH52" s="99"/>
      <c r="AI52" s="99"/>
      <c r="AJ52" s="99"/>
      <c r="AM52" s="99"/>
      <c r="AN52" s="99"/>
      <c r="AO52" s="99"/>
      <c r="AP52" s="99"/>
      <c r="AQ52" s="99"/>
      <c r="AR52" s="99"/>
      <c r="AS52" s="99"/>
      <c r="AT52" s="99"/>
      <c r="AU52" s="99"/>
      <c r="AV52" s="99"/>
      <c r="AW52" s="99"/>
      <c r="AX52" s="99"/>
      <c r="BX52" s="80"/>
    </row>
    <row r="53" spans="1:86" ht="13.5" customHeight="1" x14ac:dyDescent="0.2">
      <c r="B53" s="4"/>
      <c r="C53" s="4"/>
      <c r="D53" s="165" t="str">
        <f t="shared" si="0"/>
        <v/>
      </c>
      <c r="F53" s="27" t="s">
        <v>226</v>
      </c>
      <c r="G53" s="380" t="s">
        <v>227</v>
      </c>
      <c r="H53" s="452"/>
      <c r="I53" s="453"/>
      <c r="J53" s="168">
        <v>1</v>
      </c>
      <c r="K53" s="87" t="s">
        <v>223</v>
      </c>
      <c r="W53" s="99"/>
      <c r="X53" s="99"/>
      <c r="Y53" s="99"/>
      <c r="Z53" s="99"/>
      <c r="AA53" s="99"/>
      <c r="AB53" s="99"/>
      <c r="AE53" s="99"/>
      <c r="AF53" s="99"/>
      <c r="AG53" s="99"/>
      <c r="AH53" s="99"/>
      <c r="AI53" s="99"/>
      <c r="AJ53" s="99"/>
      <c r="AM53" s="99"/>
      <c r="AN53" s="99"/>
      <c r="AO53" s="99"/>
      <c r="AP53" s="99"/>
      <c r="AQ53" s="99"/>
      <c r="AR53" s="99"/>
      <c r="AS53" s="99"/>
      <c r="AT53" s="99"/>
      <c r="AU53" s="99"/>
      <c r="AV53" s="99"/>
      <c r="AW53" s="99"/>
      <c r="AX53" s="99"/>
      <c r="BX53" s="80"/>
    </row>
    <row r="54" spans="1:86" ht="13.5" customHeight="1" x14ac:dyDescent="0.2">
      <c r="B54" s="4"/>
      <c r="C54" s="5"/>
      <c r="D54" s="165" t="str">
        <f t="shared" si="0"/>
        <v/>
      </c>
      <c r="F54" s="27" t="s">
        <v>228</v>
      </c>
      <c r="G54" s="576" t="s">
        <v>229</v>
      </c>
      <c r="H54" s="577"/>
      <c r="I54" s="578"/>
      <c r="J54" s="168">
        <v>2.4</v>
      </c>
      <c r="K54" s="87" t="s">
        <v>230</v>
      </c>
      <c r="W54" s="99"/>
      <c r="X54" s="99"/>
      <c r="Y54" s="99"/>
      <c r="Z54" s="99"/>
      <c r="AA54" s="99"/>
      <c r="AB54" s="99"/>
      <c r="AE54" s="99"/>
      <c r="AF54" s="99"/>
      <c r="AG54" s="99"/>
      <c r="AH54" s="99"/>
      <c r="AI54" s="99"/>
      <c r="AJ54" s="99"/>
      <c r="AM54" s="99"/>
      <c r="AN54" s="99"/>
      <c r="AO54" s="99"/>
      <c r="AP54" s="99"/>
      <c r="AQ54" s="99"/>
      <c r="AR54" s="99"/>
      <c r="AS54" s="99"/>
      <c r="AT54" s="99"/>
      <c r="AU54" s="99"/>
      <c r="AV54" s="99"/>
      <c r="AW54" s="99"/>
      <c r="AX54" s="99"/>
      <c r="BX54" s="80"/>
    </row>
    <row r="55" spans="1:86" ht="13.5" customHeight="1" x14ac:dyDescent="0.2">
      <c r="B55" s="4"/>
      <c r="C55" s="4"/>
      <c r="D55" s="165" t="str">
        <f t="shared" si="0"/>
        <v/>
      </c>
      <c r="F55" s="27" t="s">
        <v>231</v>
      </c>
      <c r="G55" s="380" t="s">
        <v>232</v>
      </c>
      <c r="H55" s="452"/>
      <c r="I55" s="453"/>
      <c r="J55" s="168">
        <v>2.9</v>
      </c>
      <c r="K55" s="87" t="s">
        <v>206</v>
      </c>
      <c r="W55" s="99"/>
      <c r="X55" s="99"/>
      <c r="Y55" s="99"/>
      <c r="Z55" s="99"/>
      <c r="AA55" s="99"/>
      <c r="AB55" s="99"/>
      <c r="AE55" s="99"/>
      <c r="AF55" s="99"/>
      <c r="AG55" s="99"/>
      <c r="AH55" s="99"/>
      <c r="AI55" s="99"/>
      <c r="AJ55" s="99"/>
      <c r="AM55" s="99"/>
      <c r="AN55" s="99"/>
      <c r="AO55" s="99"/>
      <c r="AP55" s="99"/>
      <c r="AQ55" s="99"/>
      <c r="AR55" s="99"/>
      <c r="AS55" s="99"/>
      <c r="AT55" s="99"/>
      <c r="AU55" s="99"/>
      <c r="AV55" s="99"/>
      <c r="AW55" s="99"/>
      <c r="AX55" s="99"/>
      <c r="BX55" s="80"/>
    </row>
    <row r="56" spans="1:86" ht="13.5" customHeight="1" x14ac:dyDescent="0.2">
      <c r="B56" s="4"/>
      <c r="C56" s="4"/>
      <c r="D56" s="165" t="str">
        <f t="shared" si="0"/>
        <v/>
      </c>
      <c r="F56" s="27" t="s">
        <v>233</v>
      </c>
      <c r="G56" s="380" t="s">
        <v>234</v>
      </c>
      <c r="H56" s="452"/>
      <c r="I56" s="453"/>
      <c r="J56" s="169" t="str">
        <f>IF(ISNUMBER(Koc),(Plevee/rws)*Koc*(Oclevee/100)+1,"-")</f>
        <v>-</v>
      </c>
      <c r="K56" s="170" t="s">
        <v>230</v>
      </c>
      <c r="W56" s="99"/>
      <c r="X56" s="99"/>
      <c r="Y56" s="99"/>
      <c r="Z56" s="99"/>
      <c r="AA56" s="99"/>
      <c r="AB56" s="99"/>
      <c r="AE56" s="99"/>
      <c r="AF56" s="99"/>
      <c r="AG56" s="99"/>
      <c r="AH56" s="99"/>
      <c r="AI56" s="99"/>
      <c r="AJ56" s="99"/>
      <c r="AM56" s="99"/>
      <c r="AN56" s="99"/>
      <c r="AO56" s="99"/>
      <c r="AP56" s="99"/>
      <c r="AQ56" s="99"/>
      <c r="AR56" s="99"/>
      <c r="AS56" s="99"/>
      <c r="AT56" s="99"/>
      <c r="AU56" s="99"/>
      <c r="AV56" s="99"/>
      <c r="AW56" s="99"/>
      <c r="AX56" s="99"/>
      <c r="BX56" s="80"/>
    </row>
    <row r="57" spans="1:86" ht="13.5" customHeight="1" x14ac:dyDescent="0.2">
      <c r="B57" s="4"/>
      <c r="C57" s="4"/>
      <c r="D57" s="165" t="str">
        <f t="shared" si="0"/>
        <v/>
      </c>
      <c r="F57" s="171"/>
      <c r="H57" s="67"/>
      <c r="I57" s="67"/>
      <c r="J57" s="172"/>
      <c r="W57" s="99"/>
      <c r="X57" s="99"/>
      <c r="Y57" s="99"/>
      <c r="Z57" s="99"/>
      <c r="AA57" s="99"/>
      <c r="AB57" s="99"/>
      <c r="AE57" s="99"/>
      <c r="AF57" s="99"/>
      <c r="AG57" s="99"/>
      <c r="AH57" s="99"/>
      <c r="AI57" s="99"/>
      <c r="AJ57" s="99"/>
      <c r="AM57" s="99"/>
      <c r="AN57" s="99"/>
      <c r="AO57" s="99"/>
      <c r="AP57" s="99"/>
      <c r="AQ57" s="99"/>
      <c r="AR57" s="99"/>
      <c r="AS57" s="99"/>
      <c r="AT57" s="99"/>
      <c r="AU57" s="99"/>
      <c r="AV57" s="99"/>
      <c r="AW57" s="99"/>
      <c r="AX57" s="99"/>
      <c r="BX57" s="80"/>
    </row>
    <row r="58" spans="1:86" ht="13.5" customHeight="1" x14ac:dyDescent="0.2">
      <c r="B58" s="4"/>
      <c r="C58" s="4"/>
      <c r="D58" s="165" t="str">
        <f t="shared" si="0"/>
        <v/>
      </c>
      <c r="F58" s="123"/>
      <c r="H58" s="67"/>
      <c r="I58" s="67"/>
      <c r="W58" s="99"/>
      <c r="X58" s="99"/>
      <c r="Y58" s="99"/>
      <c r="Z58" s="99"/>
      <c r="AA58" s="99"/>
      <c r="AB58" s="99"/>
      <c r="AE58" s="99"/>
      <c r="AF58" s="99"/>
      <c r="AG58" s="99"/>
      <c r="AH58" s="99"/>
      <c r="AI58" s="99"/>
      <c r="AJ58" s="99"/>
      <c r="AM58" s="99"/>
      <c r="AN58" s="99"/>
      <c r="AO58" s="99"/>
      <c r="AP58" s="99"/>
      <c r="AQ58" s="99"/>
      <c r="AR58" s="99"/>
      <c r="AS58" s="99"/>
      <c r="AT58" s="99"/>
      <c r="AU58" s="99"/>
      <c r="AV58" s="99"/>
      <c r="AW58" s="99"/>
      <c r="AX58" s="99"/>
      <c r="BX58" s="80"/>
    </row>
    <row r="59" spans="1:86" ht="13.5" customHeight="1" thickBot="1" x14ac:dyDescent="0.25">
      <c r="B59" s="6"/>
      <c r="C59" s="6"/>
      <c r="D59" s="165" t="str">
        <f t="shared" si="0"/>
        <v/>
      </c>
      <c r="H59" s="67"/>
      <c r="I59" s="67"/>
      <c r="W59" s="99"/>
      <c r="X59" s="99"/>
      <c r="Y59" s="99"/>
      <c r="Z59" s="99"/>
      <c r="AA59" s="99"/>
      <c r="AB59" s="99"/>
      <c r="AE59" s="99"/>
      <c r="AF59" s="99"/>
      <c r="AG59" s="99"/>
      <c r="AH59" s="99"/>
      <c r="AI59" s="99"/>
      <c r="AJ59" s="99"/>
      <c r="AM59" s="99"/>
      <c r="AN59" s="99"/>
      <c r="AO59" s="99"/>
      <c r="AP59" s="99"/>
      <c r="AQ59" s="99"/>
      <c r="AR59" s="99"/>
      <c r="AS59" s="99"/>
      <c r="AT59" s="99"/>
      <c r="AU59" s="99"/>
      <c r="AV59" s="99"/>
      <c r="AW59" s="99"/>
      <c r="AX59" s="99"/>
      <c r="BX59" s="80"/>
    </row>
    <row r="60" spans="1:86" ht="13.5" customHeight="1" thickTop="1" x14ac:dyDescent="0.2">
      <c r="B60" s="91"/>
      <c r="H60" s="67"/>
      <c r="I60" s="67"/>
      <c r="W60" s="99"/>
      <c r="X60" s="99"/>
      <c r="Y60" s="99"/>
      <c r="Z60" s="99"/>
      <c r="AA60" s="99"/>
      <c r="AB60" s="99"/>
      <c r="AE60" s="99"/>
      <c r="AF60" s="99"/>
      <c r="AG60" s="99"/>
      <c r="AH60" s="99"/>
      <c r="AI60" s="99"/>
      <c r="AJ60" s="99"/>
      <c r="AM60" s="99"/>
      <c r="AN60" s="99"/>
      <c r="AO60" s="99"/>
      <c r="AP60" s="99"/>
      <c r="AQ60" s="99"/>
      <c r="AR60" s="99"/>
      <c r="AS60" s="99"/>
      <c r="AT60" s="99"/>
      <c r="AU60" s="99"/>
      <c r="AV60" s="99"/>
      <c r="AW60" s="99"/>
      <c r="AX60" s="99"/>
      <c r="BX60" s="80"/>
    </row>
    <row r="61" spans="1:86" ht="13.5" customHeight="1" x14ac:dyDescent="0.2">
      <c r="A61"/>
      <c r="B61" s="579" t="s">
        <v>235</v>
      </c>
      <c r="C61" s="522"/>
      <c r="D61" s="522"/>
      <c r="E61" s="522"/>
      <c r="V61" s="67"/>
      <c r="W61" s="67"/>
      <c r="X61" s="67"/>
      <c r="Y61" s="67"/>
      <c r="Z61" s="67"/>
      <c r="AA61" s="67"/>
      <c r="AB61" s="67"/>
      <c r="AD61" s="67"/>
      <c r="AE61" s="67"/>
      <c r="AF61" s="67"/>
      <c r="AG61" s="67"/>
      <c r="AH61" s="67"/>
      <c r="AI61" s="67"/>
      <c r="AJ61" s="67"/>
      <c r="AL61" s="67"/>
      <c r="AM61" s="67"/>
      <c r="AN61" s="67"/>
      <c r="AO61" s="67"/>
      <c r="AP61" s="67"/>
      <c r="AQ61" s="67"/>
      <c r="AR61" s="67"/>
      <c r="AS61" s="67"/>
      <c r="AT61" s="67"/>
      <c r="AU61" s="67"/>
      <c r="AV61" s="67"/>
      <c r="AW61" s="67"/>
      <c r="AX61" s="67"/>
      <c r="AY61" s="67"/>
      <c r="AZ61" s="80"/>
      <c r="BA61" s="144"/>
      <c r="BB61" s="80"/>
      <c r="BC61" s="144"/>
      <c r="BD61" s="144"/>
      <c r="BE61" s="144"/>
      <c r="BF61" s="144"/>
      <c r="BG61" s="67"/>
      <c r="BH61" s="80"/>
      <c r="BI61" s="144"/>
      <c r="BJ61" s="80"/>
      <c r="BK61" s="144"/>
      <c r="BL61" s="144"/>
      <c r="BM61" s="144"/>
      <c r="BN61" s="144"/>
      <c r="BO61" s="67"/>
      <c r="BP61" s="80"/>
      <c r="BQ61" s="144"/>
      <c r="BR61" s="80"/>
      <c r="BS61" s="144"/>
      <c r="BT61" s="144"/>
      <c r="BV61" s="144"/>
      <c r="BW61" s="80"/>
      <c r="BX61" s="67"/>
      <c r="BY61" s="67"/>
      <c r="CB61"/>
      <c r="CC61"/>
      <c r="CD61"/>
      <c r="CE61"/>
      <c r="CF61"/>
      <c r="CG61"/>
      <c r="CH61"/>
    </row>
    <row r="62" spans="1:86" ht="13.5" customHeight="1" x14ac:dyDescent="0.2">
      <c r="A62"/>
      <c r="B62" s="522"/>
      <c r="C62" s="522"/>
      <c r="D62" s="522"/>
      <c r="E62" s="522"/>
      <c r="V62" s="67"/>
      <c r="W62" s="67"/>
      <c r="X62" s="67"/>
      <c r="Y62" s="67"/>
      <c r="Z62" s="67"/>
      <c r="AA62" s="67"/>
      <c r="AB62" s="67"/>
      <c r="AD62" s="67"/>
      <c r="AE62" s="67"/>
      <c r="AF62" s="67"/>
      <c r="AG62" s="67"/>
      <c r="AH62" s="67"/>
      <c r="AI62" s="67"/>
      <c r="AJ62" s="67"/>
      <c r="AL62" s="67"/>
      <c r="AM62" s="67"/>
      <c r="AN62" s="67"/>
      <c r="AO62" s="67"/>
      <c r="AP62" s="67"/>
      <c r="AQ62" s="67"/>
      <c r="AR62" s="67"/>
      <c r="AS62" s="67"/>
      <c r="AT62" s="67"/>
      <c r="AU62" s="67"/>
      <c r="AV62" s="67"/>
      <c r="AW62" s="67"/>
      <c r="AX62" s="67"/>
      <c r="AY62" s="67"/>
      <c r="AZ62" s="80"/>
      <c r="BA62" s="144"/>
      <c r="BB62" s="80"/>
      <c r="BC62" s="144"/>
      <c r="BD62" s="144"/>
      <c r="BE62" s="144"/>
      <c r="BF62" s="144"/>
      <c r="BG62" s="67"/>
      <c r="BH62" s="80"/>
      <c r="BI62" s="144"/>
      <c r="BJ62" s="80"/>
      <c r="BK62" s="144"/>
      <c r="BL62" s="144"/>
      <c r="BM62" s="144"/>
      <c r="BN62" s="144"/>
      <c r="BO62" s="67"/>
      <c r="BP62" s="80"/>
      <c r="BQ62" s="144"/>
      <c r="BR62" s="80"/>
      <c r="BS62" s="144"/>
      <c r="BT62" s="144"/>
      <c r="BV62" s="144"/>
      <c r="BW62" s="80"/>
      <c r="BX62" s="67"/>
      <c r="BY62" s="67"/>
      <c r="CB62"/>
      <c r="CC62"/>
      <c r="CD62"/>
      <c r="CE62"/>
      <c r="CF62"/>
      <c r="CG62"/>
      <c r="CH62"/>
    </row>
    <row r="63" spans="1:86" ht="13.5" customHeight="1" x14ac:dyDescent="0.2">
      <c r="A63"/>
      <c r="B63" s="522"/>
      <c r="C63" s="522"/>
      <c r="D63" s="522"/>
      <c r="E63" s="522"/>
      <c r="V63" s="67"/>
      <c r="W63" s="67"/>
      <c r="X63" s="67"/>
      <c r="Y63" s="67"/>
      <c r="Z63" s="67"/>
      <c r="AA63" s="67"/>
      <c r="AB63" s="67"/>
      <c r="AD63" s="67"/>
      <c r="AE63" s="67"/>
      <c r="AF63" s="67"/>
      <c r="AG63" s="67"/>
      <c r="AH63" s="67"/>
      <c r="AI63" s="67"/>
      <c r="AJ63" s="67"/>
      <c r="AL63" s="67"/>
      <c r="AM63" s="67"/>
      <c r="AN63" s="67"/>
      <c r="AO63" s="67"/>
      <c r="AP63" s="67"/>
      <c r="AQ63" s="67"/>
      <c r="AR63" s="67"/>
      <c r="AS63" s="67"/>
      <c r="AT63" s="67"/>
      <c r="AU63" s="67"/>
      <c r="AV63" s="67"/>
      <c r="AW63" s="67"/>
      <c r="AX63" s="67"/>
      <c r="AY63" s="67"/>
      <c r="AZ63" s="80"/>
      <c r="BA63" s="144"/>
      <c r="BB63" s="80"/>
      <c r="BC63" s="144"/>
      <c r="BD63" s="144"/>
      <c r="BE63" s="144"/>
      <c r="BF63" s="144"/>
      <c r="BG63" s="67"/>
      <c r="BH63" s="80"/>
      <c r="BI63" s="144"/>
      <c r="BJ63" s="80"/>
      <c r="BK63" s="144"/>
      <c r="BL63" s="144"/>
      <c r="BM63" s="144"/>
      <c r="BN63" s="144"/>
      <c r="BO63" s="67"/>
      <c r="BP63" s="80"/>
      <c r="BQ63" s="144"/>
      <c r="BR63" s="80"/>
      <c r="BS63" s="144"/>
      <c r="BT63" s="144"/>
      <c r="BV63" s="144"/>
      <c r="BW63" s="80"/>
      <c r="BX63" s="67"/>
      <c r="BY63" s="67"/>
      <c r="CB63"/>
      <c r="CC63"/>
      <c r="CD63"/>
      <c r="CE63"/>
      <c r="CF63"/>
      <c r="CG63"/>
      <c r="CH63"/>
    </row>
    <row r="64" spans="1:86" ht="13.5" customHeight="1" x14ac:dyDescent="0.2">
      <c r="A64"/>
      <c r="B64" s="522"/>
      <c r="C64" s="522"/>
      <c r="D64" s="522"/>
      <c r="E64" s="522"/>
      <c r="V64" s="67"/>
      <c r="W64" s="67"/>
      <c r="X64" s="67"/>
      <c r="Y64" s="67"/>
      <c r="Z64" s="67"/>
      <c r="AA64" s="67"/>
      <c r="AB64" s="67"/>
      <c r="AD64" s="67"/>
      <c r="AE64" s="67"/>
      <c r="AF64" s="67"/>
      <c r="AG64" s="67"/>
      <c r="AH64" s="67"/>
      <c r="AI64" s="67"/>
      <c r="AJ64" s="67"/>
      <c r="AL64" s="67"/>
      <c r="AM64" s="67"/>
      <c r="AN64" s="67"/>
      <c r="AO64" s="67"/>
      <c r="AP64" s="67"/>
      <c r="AQ64" s="67"/>
      <c r="AR64" s="67"/>
      <c r="AS64" s="67"/>
      <c r="AT64" s="67"/>
      <c r="AU64" s="67"/>
      <c r="AV64" s="67"/>
      <c r="AW64" s="67"/>
      <c r="AX64" s="67"/>
      <c r="AY64" s="67"/>
      <c r="AZ64" s="80"/>
      <c r="BA64" s="144"/>
      <c r="BB64" s="80"/>
      <c r="BC64" s="144"/>
      <c r="BD64" s="144"/>
      <c r="BE64" s="144"/>
      <c r="BF64" s="144"/>
      <c r="BG64" s="67"/>
      <c r="BH64" s="80"/>
      <c r="BI64" s="144"/>
      <c r="BJ64" s="80"/>
      <c r="BK64" s="144"/>
      <c r="BL64" s="144"/>
      <c r="BM64" s="144"/>
      <c r="BN64" s="144"/>
      <c r="BO64" s="67"/>
      <c r="BP64" s="80"/>
      <c r="BQ64" s="144"/>
      <c r="BR64" s="80"/>
      <c r="BS64" s="144"/>
      <c r="BT64" s="144"/>
      <c r="BV64" s="144"/>
      <c r="BW64" s="80"/>
      <c r="BX64" s="67"/>
      <c r="BY64" s="67"/>
      <c r="CB64"/>
      <c r="CC64"/>
      <c r="CD64"/>
      <c r="CE64"/>
      <c r="CF64"/>
      <c r="CG64"/>
      <c r="CH64"/>
    </row>
    <row r="65" spans="1:91" ht="13.5" customHeight="1" thickBot="1" x14ac:dyDescent="0.25">
      <c r="B65" s="380" t="s">
        <v>236</v>
      </c>
      <c r="C65" s="452"/>
      <c r="D65" s="23" t="str">
        <f>IF(ISERR(LN(2)/(-SLOPE(D39:D59,B39:B59))),"",(LN(2)/(-SLOPE(D39:D59,B39:B59))))</f>
        <v/>
      </c>
      <c r="E65" s="104" t="s">
        <v>146</v>
      </c>
      <c r="H65" s="67"/>
      <c r="I65" s="67"/>
      <c r="W65" s="99"/>
      <c r="X65" s="99"/>
      <c r="Y65" s="99"/>
      <c r="Z65" s="67"/>
      <c r="AA65" s="99"/>
      <c r="AB65" s="99"/>
      <c r="AE65" s="99"/>
      <c r="AF65" s="99"/>
      <c r="AG65" s="99"/>
      <c r="AH65" s="67"/>
      <c r="AI65" s="99"/>
      <c r="AJ65" s="99"/>
      <c r="AM65" s="99"/>
      <c r="AN65" s="99"/>
      <c r="AO65" s="99"/>
      <c r="AP65" s="67"/>
      <c r="AQ65" s="99"/>
      <c r="AR65" s="99"/>
      <c r="AS65" s="99"/>
      <c r="AT65" s="99"/>
      <c r="AU65" s="99"/>
      <c r="AV65" s="99"/>
      <c r="AW65" s="99"/>
      <c r="AX65" s="99"/>
      <c r="BX65" s="80"/>
    </row>
    <row r="66" spans="1:91" ht="13.5" customHeight="1" thickTop="1" thickBot="1" x14ac:dyDescent="0.25">
      <c r="B66" s="91"/>
      <c r="C66" s="173"/>
      <c r="G66" s="507" t="s">
        <v>117</v>
      </c>
      <c r="H66" s="580"/>
      <c r="I66" s="2"/>
      <c r="W66" s="99"/>
      <c r="X66" s="99"/>
      <c r="Y66" s="99"/>
      <c r="Z66" s="67"/>
      <c r="AA66" s="99"/>
      <c r="AB66" s="99"/>
      <c r="AE66" s="99"/>
      <c r="AF66" s="99"/>
      <c r="AG66" s="99"/>
      <c r="AH66" s="67"/>
      <c r="AI66" s="99"/>
      <c r="AJ66" s="99"/>
      <c r="AM66" s="99"/>
      <c r="AN66" s="99"/>
      <c r="AO66" s="99"/>
      <c r="AP66" s="67"/>
      <c r="AQ66" s="99"/>
      <c r="AR66" s="99"/>
      <c r="AS66" s="99"/>
      <c r="AT66" s="99"/>
      <c r="AU66" s="99"/>
      <c r="AV66" s="99"/>
      <c r="AW66" s="99"/>
      <c r="AX66" s="99"/>
      <c r="BX66" s="80"/>
    </row>
    <row r="67" spans="1:91" ht="13.5" customHeight="1" thickTop="1" x14ac:dyDescent="0.2">
      <c r="B67" s="91"/>
      <c r="C67" s="123"/>
      <c r="G67" s="79" t="s">
        <v>120</v>
      </c>
      <c r="H67" s="115"/>
      <c r="I67" s="115"/>
      <c r="Q67" s="99"/>
      <c r="R67" s="99"/>
      <c r="S67" s="99"/>
      <c r="T67" s="99"/>
      <c r="U67" s="67"/>
      <c r="V67" s="67"/>
      <c r="W67" s="99"/>
      <c r="X67" s="99"/>
      <c r="Y67" s="99"/>
      <c r="Z67" s="99"/>
      <c r="AA67" s="99"/>
      <c r="AB67" s="99"/>
      <c r="AC67" s="67"/>
      <c r="AD67" s="67"/>
      <c r="AE67" s="99"/>
      <c r="AF67" s="99"/>
      <c r="AG67" s="99"/>
      <c r="AH67" s="99"/>
      <c r="AI67" s="99"/>
      <c r="AJ67" s="99"/>
      <c r="AK67" s="67"/>
      <c r="AL67" s="67"/>
      <c r="AM67" s="99"/>
      <c r="AN67" s="99"/>
      <c r="AO67" s="99"/>
      <c r="AP67" s="99"/>
      <c r="AQ67" s="99"/>
      <c r="AR67" s="99"/>
      <c r="AS67" s="99"/>
      <c r="AT67" s="99"/>
      <c r="AU67" s="143"/>
      <c r="AV67" s="99"/>
      <c r="AW67" s="143"/>
      <c r="AX67" s="143"/>
      <c r="AY67" s="143"/>
      <c r="AZ67" s="143"/>
      <c r="BA67" s="99"/>
      <c r="BD67" s="99"/>
      <c r="BG67" s="143"/>
      <c r="BH67" s="143"/>
      <c r="BI67" s="99"/>
      <c r="BL67" s="99"/>
      <c r="BO67" s="143"/>
      <c r="BP67" s="143"/>
      <c r="BR67" s="143"/>
      <c r="BT67" s="80"/>
      <c r="BV67" s="80"/>
      <c r="BW67" s="80"/>
      <c r="BX67" s="80"/>
      <c r="CA67" s="99"/>
      <c r="CB67" s="99"/>
      <c r="CC67" s="99"/>
      <c r="CD67" s="99"/>
      <c r="CE67" s="99"/>
      <c r="CF67" s="99"/>
    </row>
    <row r="68" spans="1:91" ht="13.5" customHeight="1" thickBot="1" x14ac:dyDescent="0.25">
      <c r="B68" s="91"/>
      <c r="C68" s="40" t="s">
        <v>237</v>
      </c>
      <c r="Q68" s="99"/>
      <c r="R68" s="99"/>
      <c r="S68" s="99"/>
      <c r="T68" s="99"/>
      <c r="U68" s="67"/>
      <c r="V68" s="67"/>
      <c r="W68" s="99"/>
      <c r="X68" s="99"/>
      <c r="Y68" s="99"/>
      <c r="Z68" s="99"/>
      <c r="AA68" s="99"/>
      <c r="AB68" s="99"/>
      <c r="AC68" s="67"/>
      <c r="AD68" s="67"/>
      <c r="AE68" s="99"/>
      <c r="AF68" s="99"/>
      <c r="AG68" s="99"/>
      <c r="AH68" s="99"/>
      <c r="AI68" s="99"/>
      <c r="AJ68" s="99"/>
      <c r="AK68" s="67"/>
      <c r="AL68" s="67"/>
      <c r="AM68" s="99"/>
      <c r="AN68" s="99"/>
      <c r="AO68" s="99"/>
      <c r="AP68" s="99"/>
      <c r="AQ68" s="99"/>
      <c r="AR68" s="99"/>
      <c r="AS68" s="99"/>
      <c r="AT68" s="99"/>
      <c r="AU68" s="143"/>
      <c r="AV68" s="99"/>
      <c r="AW68" s="143"/>
      <c r="AX68" s="143"/>
      <c r="AY68" s="143"/>
      <c r="AZ68" s="143"/>
      <c r="BA68" s="99"/>
      <c r="BD68" s="99"/>
      <c r="BG68" s="143"/>
      <c r="BH68" s="143"/>
      <c r="BI68" s="99"/>
      <c r="BL68" s="99"/>
      <c r="BO68" s="143"/>
      <c r="BP68" s="143"/>
      <c r="BR68" s="143"/>
      <c r="BT68" s="80"/>
      <c r="BV68" s="80"/>
      <c r="BW68" s="80"/>
      <c r="BX68" s="80"/>
      <c r="CA68" s="99"/>
      <c r="CB68" s="99"/>
      <c r="CC68" s="99"/>
      <c r="CD68" s="99"/>
      <c r="CE68" s="99"/>
      <c r="CF68" s="99"/>
    </row>
    <row r="69" spans="1:91" ht="103.5" customHeight="1" thickTop="1" thickBot="1" x14ac:dyDescent="0.25">
      <c r="B69" s="91"/>
      <c r="C69" s="607" t="s">
        <v>238</v>
      </c>
      <c r="D69" s="608"/>
      <c r="E69" s="609"/>
      <c r="F69" s="174" t="str">
        <f>IF(NOT(ISNUMBER(F70)),"-",IF(F70=AJ87,AH84,IF(F70=AN87,AL84,IF(F70=AR87,AP84,IF(F70=AV87,AT84,IF(F70=AZ87,AX84,"-"))))))</f>
        <v>-</v>
      </c>
      <c r="Q69" s="99"/>
      <c r="R69" s="99"/>
      <c r="S69" s="99"/>
      <c r="T69" s="99"/>
      <c r="U69" s="67"/>
      <c r="V69" s="67"/>
      <c r="W69" s="99"/>
      <c r="X69" s="99"/>
      <c r="Y69" s="99"/>
      <c r="Z69" s="99"/>
      <c r="AA69" s="99"/>
      <c r="AB69" s="99"/>
      <c r="AC69" s="67"/>
      <c r="AD69" s="67"/>
      <c r="AE69" s="99"/>
      <c r="AF69" s="99"/>
      <c r="AG69" s="99"/>
      <c r="AH69" s="99"/>
      <c r="AI69" s="99"/>
      <c r="AJ69" s="99"/>
      <c r="AK69" s="67"/>
      <c r="AL69" s="67"/>
      <c r="AM69" s="99"/>
      <c r="AN69" s="99"/>
      <c r="AO69" s="99"/>
      <c r="AP69" s="99"/>
      <c r="AQ69" s="99"/>
      <c r="AR69" s="99"/>
      <c r="AS69" s="80"/>
      <c r="AT69" s="80"/>
      <c r="AU69" s="144"/>
      <c r="AV69" s="80"/>
      <c r="AW69" s="144"/>
      <c r="AX69" s="144"/>
      <c r="AY69" s="144"/>
      <c r="AZ69" s="144"/>
      <c r="BA69" s="80"/>
      <c r="BB69" s="80"/>
      <c r="BC69" s="144"/>
      <c r="BD69" s="80"/>
      <c r="BE69" s="144"/>
      <c r="BF69" s="144"/>
      <c r="BG69" s="144"/>
      <c r="BH69" s="144"/>
      <c r="BI69" s="80"/>
      <c r="BJ69" s="80"/>
      <c r="BK69" s="144"/>
      <c r="BL69" s="80"/>
      <c r="BM69" s="144"/>
      <c r="BN69" s="144"/>
      <c r="BO69" s="144"/>
      <c r="BP69" s="144"/>
      <c r="BQ69" s="144"/>
      <c r="BR69" s="144"/>
      <c r="BS69" s="144"/>
      <c r="BT69" s="80"/>
      <c r="BV69" s="80"/>
      <c r="BW69" s="80"/>
      <c r="BX69" s="80"/>
      <c r="CA69" s="99"/>
      <c r="CB69" s="99"/>
      <c r="CC69" s="99"/>
      <c r="CD69" s="99"/>
      <c r="CE69" s="99"/>
      <c r="CF69"/>
      <c r="CG69"/>
      <c r="CH69"/>
    </row>
    <row r="70" spans="1:91" ht="13.5" customHeight="1" thickTop="1" x14ac:dyDescent="0.2">
      <c r="C70" s="610" t="s">
        <v>152</v>
      </c>
      <c r="D70" s="611"/>
      <c r="E70" s="612"/>
      <c r="F70" s="175" t="str">
        <f>IF(NOT(AND(ISNUMBER(ffp),ISNUMBER(F14),ISNUMBER(F13))),"-",IF(MAX(AX87,BB87,BF87,BJ87,BN87,BR87)&gt;0,MAX(AX87,BB87,BF87,BJ87,BN87,BR87),"-"))</f>
        <v>-</v>
      </c>
      <c r="Q70" s="99"/>
      <c r="R70" s="99"/>
      <c r="S70" s="99"/>
      <c r="T70" s="99"/>
      <c r="U70" s="67"/>
      <c r="V70" s="67"/>
      <c r="W70" s="99"/>
      <c r="X70" s="99"/>
      <c r="Y70" s="99"/>
      <c r="Z70" s="99"/>
      <c r="AA70" s="99"/>
      <c r="AB70" s="99"/>
      <c r="AC70" s="67"/>
      <c r="AD70" s="67"/>
      <c r="AE70" s="99"/>
      <c r="AF70" s="99"/>
      <c r="AG70" s="99"/>
      <c r="AH70" s="99"/>
      <c r="AI70" s="99"/>
      <c r="AJ70" s="99"/>
      <c r="AK70" s="67"/>
      <c r="AL70" s="67"/>
      <c r="AM70" s="99"/>
      <c r="AN70" s="99"/>
      <c r="AO70" s="99"/>
      <c r="AP70" s="99"/>
      <c r="AQ70" s="99"/>
      <c r="AR70" s="99"/>
      <c r="AS70" s="80"/>
      <c r="AT70" s="80"/>
      <c r="AU70" s="144"/>
      <c r="AV70" s="80"/>
      <c r="AW70" s="144"/>
      <c r="AX70" s="144"/>
      <c r="AY70" s="144"/>
      <c r="AZ70" s="144"/>
      <c r="BA70" s="80"/>
      <c r="BB70" s="80"/>
      <c r="BC70" s="144"/>
      <c r="BD70" s="80"/>
      <c r="BE70" s="144"/>
      <c r="BF70" s="144"/>
      <c r="BG70" s="144"/>
      <c r="BH70" s="144"/>
      <c r="BI70" s="80"/>
      <c r="BJ70" s="80"/>
      <c r="BK70" s="144"/>
      <c r="BL70" s="80"/>
      <c r="BM70" s="144"/>
      <c r="BN70" s="144"/>
      <c r="BO70" s="144"/>
      <c r="BP70" s="144"/>
      <c r="BQ70" s="144"/>
      <c r="BR70" s="144"/>
      <c r="BS70" s="144"/>
      <c r="BT70" s="80"/>
      <c r="BV70" s="80"/>
      <c r="BW70" s="80"/>
      <c r="BX70" s="80"/>
      <c r="CA70" s="99"/>
      <c r="CB70" s="99"/>
      <c r="CC70" s="99"/>
      <c r="CD70" s="99"/>
      <c r="CE70" s="99"/>
      <c r="CF70"/>
      <c r="CG70"/>
      <c r="CH70"/>
    </row>
    <row r="71" spans="1:91" ht="13.5" customHeight="1" thickBot="1" x14ac:dyDescent="0.25">
      <c r="C71" s="573" t="s">
        <v>239</v>
      </c>
      <c r="D71" s="574"/>
      <c r="E71" s="575"/>
      <c r="F71" s="176" t="str">
        <f>IF(NOT(ISNUMBER(ffp)),"-",IF(F70=AX87,AX88,IF(F70=BB87,BB88,IF(F70=BF87,BF88,IF(F70=BJ87,BJ88,IF(F70=BN87,BN88,BR88))))))</f>
        <v>-</v>
      </c>
      <c r="Q71" s="99"/>
      <c r="R71" s="99"/>
      <c r="S71" s="99"/>
      <c r="T71" s="99"/>
      <c r="U71" s="67"/>
      <c r="V71" s="67"/>
      <c r="W71" s="99"/>
      <c r="X71" s="99"/>
      <c r="Y71" s="99"/>
      <c r="Z71" s="99"/>
      <c r="AA71" s="99"/>
      <c r="AB71" s="99"/>
      <c r="AC71" s="67"/>
      <c r="AD71" s="67"/>
      <c r="AE71" s="99"/>
      <c r="AF71" s="99"/>
      <c r="AG71" s="99"/>
      <c r="AH71" s="99"/>
      <c r="AI71" s="99"/>
      <c r="AJ71" s="99"/>
      <c r="AK71" s="67"/>
      <c r="AL71" s="67"/>
      <c r="AM71" s="99"/>
      <c r="AN71" s="99"/>
      <c r="AO71" s="99"/>
      <c r="AP71" s="99"/>
      <c r="AQ71" s="99"/>
      <c r="AR71" s="99"/>
      <c r="AS71" s="80"/>
      <c r="AT71" s="80"/>
      <c r="AU71" s="144"/>
      <c r="AV71" s="80"/>
      <c r="AW71" s="144"/>
      <c r="AX71" s="144"/>
      <c r="AY71" s="144"/>
      <c r="AZ71" s="144"/>
      <c r="BA71" s="80"/>
      <c r="BB71" s="80"/>
      <c r="BC71" s="144"/>
      <c r="BD71" s="80"/>
      <c r="BE71" s="144"/>
      <c r="BF71" s="144"/>
      <c r="BG71" s="144"/>
      <c r="BH71" s="144"/>
      <c r="BI71" s="80"/>
      <c r="BJ71" s="80"/>
      <c r="BK71" s="144"/>
      <c r="BL71" s="80"/>
      <c r="BM71" s="144"/>
      <c r="BN71" s="144"/>
      <c r="BO71" s="144"/>
      <c r="BP71" s="144"/>
      <c r="BQ71" s="144"/>
      <c r="BR71" s="144"/>
      <c r="BS71" s="144"/>
      <c r="BT71" s="80"/>
      <c r="BV71" s="80"/>
      <c r="BW71" s="80"/>
      <c r="BX71" s="80"/>
      <c r="CA71" s="99"/>
      <c r="CB71" s="99"/>
      <c r="CC71" s="99"/>
      <c r="CD71" s="99"/>
      <c r="CE71" s="99"/>
      <c r="CF71"/>
      <c r="CG71"/>
      <c r="CH71"/>
    </row>
    <row r="72" spans="1:91" ht="13.5" customHeight="1" thickTop="1" x14ac:dyDescent="0.2">
      <c r="C72" s="10" t="s">
        <v>129</v>
      </c>
      <c r="D72" s="177"/>
      <c r="E72" s="177"/>
      <c r="F72" s="177"/>
      <c r="G72" s="177"/>
      <c r="H72" s="178"/>
      <c r="I72" s="179"/>
      <c r="Q72" s="99"/>
      <c r="R72" s="99"/>
      <c r="S72" s="99"/>
      <c r="T72" s="99"/>
      <c r="U72" s="67"/>
      <c r="V72" s="67"/>
      <c r="W72" s="99"/>
      <c r="X72" s="99"/>
      <c r="Y72" s="99"/>
      <c r="Z72" s="99"/>
      <c r="AA72" s="99"/>
      <c r="AB72" s="99"/>
      <c r="AC72" s="67"/>
      <c r="AD72" s="67"/>
      <c r="AE72" s="99"/>
      <c r="AF72" s="99"/>
      <c r="AG72" s="99"/>
      <c r="AH72" s="99"/>
      <c r="AI72" s="99"/>
      <c r="AJ72" s="99"/>
      <c r="AK72" s="67"/>
      <c r="AL72" s="67"/>
      <c r="AM72" s="99"/>
      <c r="AN72" s="99"/>
      <c r="AO72" s="99"/>
      <c r="AP72" s="99"/>
      <c r="AQ72" s="99"/>
      <c r="AR72" s="99"/>
      <c r="AS72" s="99"/>
      <c r="AT72" s="99"/>
      <c r="AU72" s="143"/>
      <c r="AV72" s="99"/>
      <c r="AW72" s="143"/>
      <c r="AX72" s="143"/>
      <c r="AY72" s="143"/>
      <c r="AZ72" s="143"/>
      <c r="BA72" s="99"/>
      <c r="BD72" s="99"/>
      <c r="BG72" s="143"/>
      <c r="BH72" s="143"/>
      <c r="BI72" s="99"/>
      <c r="BL72" s="99"/>
      <c r="BO72" s="143"/>
      <c r="BP72" s="143"/>
      <c r="BR72" s="143"/>
      <c r="BT72" s="80"/>
      <c r="BV72" s="80"/>
      <c r="BW72" s="80"/>
      <c r="BX72" s="80"/>
      <c r="CA72" s="99"/>
      <c r="CB72" s="99"/>
      <c r="CC72" s="99"/>
      <c r="CD72" s="99"/>
      <c r="CE72" s="99"/>
      <c r="CF72" s="99"/>
    </row>
    <row r="73" spans="1:91" ht="13.5" customHeight="1" x14ac:dyDescent="0.2">
      <c r="H73" s="67"/>
      <c r="I73" s="67"/>
      <c r="W73" s="99"/>
      <c r="X73" s="99"/>
      <c r="Y73" s="99"/>
      <c r="Z73" s="67"/>
      <c r="AA73" s="99"/>
      <c r="AB73" s="99"/>
      <c r="AE73" s="99"/>
      <c r="AF73" s="99"/>
      <c r="AG73" s="99"/>
      <c r="AH73" s="67"/>
      <c r="AI73" s="99"/>
      <c r="AJ73" s="99"/>
      <c r="AM73" s="99"/>
      <c r="AN73" s="99"/>
      <c r="AO73" s="99"/>
      <c r="AP73" s="67"/>
      <c r="AQ73" s="99"/>
      <c r="AR73" s="99"/>
      <c r="AS73" s="99"/>
      <c r="AT73" s="99"/>
      <c r="AU73" s="99"/>
      <c r="AV73" s="99"/>
      <c r="AW73" s="99"/>
      <c r="AX73" s="99"/>
      <c r="BX73" s="80"/>
    </row>
    <row r="74" spans="1:91" s="67" customFormat="1" ht="27" customHeight="1" x14ac:dyDescent="0.2">
      <c r="A74" s="180"/>
      <c r="B74" s="181" t="s">
        <v>240</v>
      </c>
      <c r="C74" s="182"/>
      <c r="D74" s="182"/>
      <c r="E74" s="182"/>
      <c r="F74" s="182"/>
      <c r="G74" s="182"/>
      <c r="H74" s="182"/>
      <c r="I74" s="182"/>
      <c r="J74" s="182"/>
      <c r="K74" s="182"/>
      <c r="T74" s="183"/>
      <c r="U74" s="183"/>
      <c r="V74" s="99"/>
      <c r="W74"/>
      <c r="X74"/>
      <c r="Y74"/>
      <c r="AA74"/>
      <c r="AB74"/>
      <c r="AC74" s="183"/>
      <c r="AD74" s="99"/>
      <c r="AE74"/>
      <c r="AF74"/>
      <c r="AG74"/>
      <c r="AI74"/>
      <c r="AJ74"/>
      <c r="AK74" s="183"/>
      <c r="AL74" s="99"/>
      <c r="AM74"/>
      <c r="AN74"/>
      <c r="AO74"/>
      <c r="AQ74"/>
      <c r="AR74"/>
      <c r="AS74"/>
      <c r="AT74"/>
      <c r="AU74"/>
      <c r="AV74"/>
      <c r="AW74"/>
      <c r="AX74"/>
      <c r="AY74" s="99"/>
      <c r="AZ74" s="99"/>
      <c r="BA74" s="143"/>
      <c r="BB74" s="99"/>
      <c r="BC74" s="143"/>
      <c r="BD74" s="143"/>
      <c r="BE74" s="143"/>
      <c r="BF74" s="143"/>
      <c r="BG74" s="99"/>
      <c r="BH74" s="99"/>
      <c r="BI74" s="143"/>
      <c r="BJ74" s="99"/>
      <c r="BK74" s="143"/>
      <c r="BL74" s="143"/>
      <c r="BM74" s="143"/>
      <c r="BN74" s="143"/>
      <c r="BO74" s="99"/>
      <c r="BP74" s="99"/>
      <c r="BQ74" s="143"/>
      <c r="BR74" s="99"/>
      <c r="BS74" s="143"/>
      <c r="BT74" s="143"/>
      <c r="BU74" s="80"/>
      <c r="BV74" s="143"/>
      <c r="BW74" s="99"/>
      <c r="BX74" s="99"/>
      <c r="BY74" s="80"/>
      <c r="BZ74" s="80"/>
      <c r="CA74" s="80"/>
      <c r="CB74" s="80"/>
      <c r="CC74" s="80"/>
      <c r="CD74" s="80"/>
      <c r="CE74" s="80"/>
      <c r="CF74" s="80"/>
      <c r="CI74" s="99"/>
      <c r="CJ74" s="99"/>
      <c r="CK74" s="99"/>
      <c r="CL74" s="99"/>
      <c r="CM74" s="99"/>
    </row>
    <row r="75" spans="1:91" x14ac:dyDescent="0.2">
      <c r="B75" s="100"/>
      <c r="C75" s="100"/>
      <c r="T75" s="184"/>
      <c r="U75" s="184"/>
      <c r="V75" s="99"/>
      <c r="Z75" s="67"/>
      <c r="AC75" s="184"/>
      <c r="AD75" s="99"/>
      <c r="AH75" s="67"/>
      <c r="AK75" s="184"/>
      <c r="AL75" s="99"/>
      <c r="AP75" s="67"/>
      <c r="CG75"/>
      <c r="CH75"/>
      <c r="CI75" s="99"/>
      <c r="CJ75" s="99"/>
      <c r="CK75" s="99"/>
      <c r="CL75" s="99"/>
      <c r="CM75" s="99"/>
    </row>
    <row r="76" spans="1:91" x14ac:dyDescent="0.2">
      <c r="B76" s="92"/>
      <c r="C76" s="92"/>
      <c r="T76" s="177"/>
      <c r="U76" s="177"/>
      <c r="V76" s="99"/>
      <c r="Z76" s="67"/>
      <c r="AC76" s="177"/>
      <c r="AD76" s="99"/>
      <c r="AH76" s="67"/>
      <c r="AK76" s="177"/>
      <c r="AL76" s="99"/>
      <c r="AP76" s="67"/>
      <c r="CG76"/>
      <c r="CH76"/>
      <c r="CI76" s="99"/>
      <c r="CJ76" s="99"/>
      <c r="CK76" s="99"/>
      <c r="CL76" s="99"/>
      <c r="CM76" s="99"/>
    </row>
    <row r="77" spans="1:91" x14ac:dyDescent="0.2">
      <c r="B77" s="92"/>
      <c r="C77" s="92"/>
      <c r="D77" s="92"/>
      <c r="E77" s="92"/>
      <c r="F77" s="92"/>
      <c r="V77" s="99"/>
      <c r="Z77" s="67"/>
      <c r="AD77" s="99"/>
      <c r="AH77" s="67"/>
      <c r="AL77" s="99"/>
      <c r="AP77" s="67"/>
      <c r="CG77"/>
      <c r="CH77"/>
      <c r="CI77" s="99"/>
      <c r="CJ77" s="99"/>
      <c r="CK77" s="99"/>
      <c r="CL77" s="99"/>
      <c r="CM77" s="99"/>
    </row>
    <row r="78" spans="1:91" x14ac:dyDescent="0.2">
      <c r="D78" s="92"/>
      <c r="E78" s="92"/>
      <c r="F78" s="92"/>
      <c r="V78" s="99"/>
      <c r="AD78" s="99"/>
      <c r="AL78" s="99"/>
      <c r="CG78"/>
      <c r="CH78"/>
      <c r="CI78" s="99"/>
      <c r="CJ78" s="99"/>
      <c r="CK78" s="99"/>
      <c r="CL78" s="99"/>
      <c r="CM78" s="99"/>
    </row>
    <row r="79" spans="1:91" x14ac:dyDescent="0.2">
      <c r="V79" s="99"/>
      <c r="AD79" s="99"/>
      <c r="AL79" s="99"/>
      <c r="CG79"/>
      <c r="CH79"/>
      <c r="CI79" s="99"/>
      <c r="CJ79" s="99"/>
      <c r="CK79" s="99"/>
      <c r="CL79" s="99"/>
      <c r="CM79" s="99"/>
    </row>
    <row r="80" spans="1:91" x14ac:dyDescent="0.2">
      <c r="V80" s="99"/>
      <c r="AD80" s="99"/>
      <c r="AL80" s="99"/>
      <c r="CG80"/>
      <c r="CH80"/>
      <c r="CI80" s="99"/>
      <c r="CJ80" s="99"/>
      <c r="CK80" s="99"/>
      <c r="CL80" s="99"/>
      <c r="CM80" s="99"/>
    </row>
    <row r="81" spans="2:93" x14ac:dyDescent="0.2">
      <c r="V81" s="99"/>
      <c r="AD81" s="99"/>
      <c r="AL81" s="99"/>
      <c r="CH81"/>
      <c r="CI81" s="99"/>
      <c r="CJ81" s="99"/>
      <c r="CK81" s="99"/>
      <c r="CL81" s="99"/>
      <c r="CM81" s="99"/>
    </row>
    <row r="82" spans="2:93" x14ac:dyDescent="0.2">
      <c r="V82" s="185"/>
      <c r="AD82" s="185"/>
      <c r="AL82" s="185"/>
      <c r="CI82" s="99"/>
      <c r="CJ82" s="99"/>
      <c r="CK82" s="99"/>
      <c r="CL82" s="99"/>
      <c r="CM82" s="99"/>
    </row>
    <row r="83" spans="2:93" x14ac:dyDescent="0.2">
      <c r="CI83" s="99"/>
      <c r="CJ83" s="99"/>
      <c r="CK83" s="99"/>
      <c r="CL83" s="99"/>
      <c r="CM83" s="99"/>
    </row>
    <row r="84" spans="2:93" x14ac:dyDescent="0.2">
      <c r="AV84" s="79" t="str">
        <f>_xlfn.CONCAT("1回目散布から",F22,"日")</f>
        <v>1回目散布から日</v>
      </c>
      <c r="AZ84" s="79" t="str">
        <f>_xlfn.CONCAT("1回目散布の止水期間終了から",F22,"日")</f>
        <v>1回目散布の止水期間終了から日</v>
      </c>
      <c r="BD84" s="79" t="str">
        <f>_xlfn.CONCAT("2回目散布から",F22,"日")</f>
        <v>2回目散布から日</v>
      </c>
      <c r="BH84" s="79" t="str">
        <f>_xlfn.CONCAT("2回目散布の止水期間終了から",F22,"日")</f>
        <v>2回目散布の止水期間終了から日</v>
      </c>
      <c r="BL84" s="79" t="str">
        <f>_xlfn.CONCAT("3回目散布から",F22,"日")</f>
        <v>3回目散布から日</v>
      </c>
      <c r="BP84" s="79" t="str">
        <f>_xlfn.CONCAT("3回目散布の止水期間終了から",F22,"日")</f>
        <v>3回目散布の止水期間終了から日</v>
      </c>
      <c r="CI84" s="99"/>
      <c r="CJ84" s="99"/>
      <c r="CK84" s="99"/>
      <c r="CL84" s="99"/>
      <c r="CM84" s="99"/>
    </row>
    <row r="85" spans="2:93" x14ac:dyDescent="0.2">
      <c r="AT85" s="186"/>
      <c r="AV85" s="44" t="s">
        <v>241</v>
      </c>
      <c r="AW85" s="87" t="s">
        <v>242</v>
      </c>
      <c r="AX85" s="187" t="str">
        <f>IF(ISNUMBER($F$22),VLOOKUP($F$22-1,$U$100:$AX$250,28),"-")</f>
        <v>-</v>
      </c>
      <c r="AZ85" s="44" t="s">
        <v>241</v>
      </c>
      <c r="BA85" s="87" t="s">
        <v>242</v>
      </c>
      <c r="BB85" s="187" t="str">
        <f>IFERROR(VLOOKUP($F$22+$F$21-1,$U$100:$BB$250,32),"-")</f>
        <v>-</v>
      </c>
      <c r="BD85" s="44" t="s">
        <v>241</v>
      </c>
      <c r="BE85" s="87" t="s">
        <v>242</v>
      </c>
      <c r="BF85" s="187" t="str">
        <f>IF(ISNUMBER($F$22),VLOOKUP($F$22-1+$F$16,$U$100:$BF$250,36),"-")</f>
        <v>-</v>
      </c>
      <c r="BH85" s="44" t="s">
        <v>241</v>
      </c>
      <c r="BI85" s="87" t="s">
        <v>242</v>
      </c>
      <c r="BJ85" s="187" t="str">
        <f>IFERROR(VLOOKUP($F$22+$F$21-1+$F$16,$U$100:$BJ$250,40),"-")</f>
        <v>-</v>
      </c>
      <c r="BL85" s="44" t="s">
        <v>241</v>
      </c>
      <c r="BM85" s="87" t="s">
        <v>242</v>
      </c>
      <c r="BN85" s="187" t="str">
        <f>IF(ISNUMBER($F$22),VLOOKUP($F$22-1+$F$17,$U$100:$BN$250,44),"-")</f>
        <v>-</v>
      </c>
      <c r="BP85" s="44" t="s">
        <v>241</v>
      </c>
      <c r="BQ85" s="87" t="s">
        <v>242</v>
      </c>
      <c r="BR85" s="187" t="str">
        <f>IFERROR(VLOOKUP($F$22+$F$21-1+$F$17,$U$100:$BR$250,48),"-")</f>
        <v>-</v>
      </c>
      <c r="CI85" s="99"/>
      <c r="CJ85" s="99"/>
      <c r="CK85" s="99"/>
      <c r="CL85" s="99"/>
      <c r="CM85" s="99"/>
    </row>
    <row r="86" spans="2:93" x14ac:dyDescent="0.2">
      <c r="AV86" s="44" t="s">
        <v>243</v>
      </c>
      <c r="AW86" s="188" t="s">
        <v>244</v>
      </c>
      <c r="AX86" s="187" t="str">
        <f xml:space="preserve"> IF(ISNUMBER($F$22),VLOOKUP($F$22-1,$U$100:$AX$250,29),"-")</f>
        <v>-</v>
      </c>
      <c r="AZ86" s="44" t="s">
        <v>243</v>
      </c>
      <c r="BA86" s="188" t="s">
        <v>244</v>
      </c>
      <c r="BB86" s="187" t="str">
        <f>IFERROR(VLOOKUP($F$22+$F$21-1,$U$100:$BB$250,33),"-")</f>
        <v>-</v>
      </c>
      <c r="BD86" s="44" t="s">
        <v>243</v>
      </c>
      <c r="BE86" s="188" t="s">
        <v>244</v>
      </c>
      <c r="BF86" s="187" t="str">
        <f>IF(ISNUMBER($F$22),VLOOKUP($F$22-1+$F$16,$U$100:$BF$250,37),"-")</f>
        <v>-</v>
      </c>
      <c r="BH86" s="44" t="s">
        <v>243</v>
      </c>
      <c r="BI86" s="188" t="s">
        <v>244</v>
      </c>
      <c r="BJ86" s="187" t="str">
        <f>IFERROR(VLOOKUP($F$22+$F$21-1+$F$16,$U$100:$BJ$250,41),"-")</f>
        <v>-</v>
      </c>
      <c r="BL86" s="44" t="s">
        <v>243</v>
      </c>
      <c r="BM86" s="188" t="s">
        <v>244</v>
      </c>
      <c r="BN86" s="187" t="str">
        <f>IF(ISNUMBER($F$22),VLOOKUP($F$22-1+$F$17,$U$100:$BN$250,45),"-")</f>
        <v>-</v>
      </c>
      <c r="BP86" s="44" t="s">
        <v>243</v>
      </c>
      <c r="BQ86" s="188" t="s">
        <v>244</v>
      </c>
      <c r="BR86" s="187" t="str">
        <f>IFERROR(VLOOKUP($F$22+$F$21-1+$F$17,$U$100:$BR$250,49),"-")</f>
        <v>-</v>
      </c>
      <c r="CI86" s="99"/>
      <c r="CJ86" s="99"/>
      <c r="CK86" s="99"/>
      <c r="CL86" s="99"/>
      <c r="CM86" s="99"/>
    </row>
    <row r="87" spans="2:93" x14ac:dyDescent="0.2">
      <c r="AV87" s="27" t="s">
        <v>152</v>
      </c>
      <c r="AW87" s="27"/>
      <c r="AX87" s="189" t="str">
        <f>IF(ISNUMBER($F$22),VLOOKUP($F$22-1,$U$100:$AX$250,30),"-")</f>
        <v>-</v>
      </c>
      <c r="AZ87" s="27" t="s">
        <v>152</v>
      </c>
      <c r="BA87" s="27"/>
      <c r="BB87" s="189" t="str">
        <f>IFERROR(VLOOKUP($F$22+$F$21-1,$U$100:$BB$250,34),"-")</f>
        <v>-</v>
      </c>
      <c r="BD87" s="27" t="s">
        <v>152</v>
      </c>
      <c r="BE87" s="27"/>
      <c r="BF87" s="189" t="str">
        <f>IF(ISNUMBER($F$22),VLOOKUP($F$22-1+$F$16,$U$100:$BF$250,38),"-")</f>
        <v>-</v>
      </c>
      <c r="BH87" s="27" t="s">
        <v>152</v>
      </c>
      <c r="BI87" s="27"/>
      <c r="BJ87" s="189" t="str">
        <f>IFERROR(VLOOKUP($F$22+$F$21-1+$F$16,$U$100:$BJ$250,42),"-")</f>
        <v>-</v>
      </c>
      <c r="BL87" s="27" t="s">
        <v>152</v>
      </c>
      <c r="BM87" s="27"/>
      <c r="BN87" s="189" t="str">
        <f>IF(ISNUMBER($F$22),VLOOKUP($F$22-1+$F$17,$U$100:$BN$250,46),"-")</f>
        <v>-</v>
      </c>
      <c r="BP87" s="27" t="s">
        <v>152</v>
      </c>
      <c r="BQ87" s="27"/>
      <c r="BR87" s="189" t="str">
        <f>IFERROR(VLOOKUP($F$22+$F$21-1+$F$17,$U$100:$BR$250,50),"-")</f>
        <v>-</v>
      </c>
      <c r="CI87" s="99"/>
      <c r="CJ87" s="99"/>
      <c r="CK87" s="99"/>
      <c r="CL87" s="99"/>
      <c r="CM87" s="99"/>
    </row>
    <row r="88" spans="2:93" x14ac:dyDescent="0.2">
      <c r="AV88" s="27" t="s">
        <v>245</v>
      </c>
      <c r="AW88" s="27"/>
      <c r="AX88" s="23" t="str">
        <f>IF(ISNUMBER(AX87),IF(ISBLANK(ffp),"-",IF(k=0,"分解を考慮せず",AX87*EXP(-0.17*k))),"-")</f>
        <v>-</v>
      </c>
      <c r="AZ88" s="27" t="s">
        <v>245</v>
      </c>
      <c r="BA88" s="27"/>
      <c r="BB88" s="23" t="str">
        <f>IFERROR(IF(ISBLANK(ffp),"-",IF(k=0,"分解を考慮せず",BB87*EXP(-0.17*k))),"-")</f>
        <v>分解を考慮せず</v>
      </c>
      <c r="BD88" s="27" t="s">
        <v>245</v>
      </c>
      <c r="BE88" s="27"/>
      <c r="BF88" s="23" t="str">
        <f>IF(ISNUMBER(BF87),IF(ISBLANK(ffp),"-",IF(k=0,"分解を考慮せず",BF87*EXP(-0.17*k))),"-")</f>
        <v>-</v>
      </c>
      <c r="BH88" s="27" t="s">
        <v>245</v>
      </c>
      <c r="BI88" s="27"/>
      <c r="BJ88" s="23" t="str">
        <f>IF(ISNUMBER(BJ87),IF(ISBLANK(ffp),"-",IF(k=0,"分解を考慮せず",BJ87*EXP(-0.17*k))),"-")</f>
        <v>-</v>
      </c>
      <c r="BL88" s="27" t="s">
        <v>245</v>
      </c>
      <c r="BM88" s="27"/>
      <c r="BN88" s="23" t="str">
        <f>IF(ISNUMBER(BN87),IF(ISBLANK(ffp),"-",IF(k=0,"分解を考慮せず",BN87*EXP(-0.17*k))),"-")</f>
        <v>-</v>
      </c>
      <c r="BP88" s="27" t="s">
        <v>245</v>
      </c>
      <c r="BQ88" s="27"/>
      <c r="BR88" s="23" t="str">
        <f>IF(ISNUMBER(BR87),IF(ISBLANK(ffp),"-",IF(k=0,"分解を考慮せず",BR87*EXP(-0.17*k))),"-")</f>
        <v>-</v>
      </c>
      <c r="CI88" s="99"/>
      <c r="CJ88" s="99"/>
      <c r="CK88" s="99"/>
      <c r="CL88" s="99"/>
      <c r="CM88" s="99"/>
    </row>
    <row r="89" spans="2:93" x14ac:dyDescent="0.2">
      <c r="AV89" s="79"/>
      <c r="AW89" s="99"/>
      <c r="AX89" s="143"/>
      <c r="AZ89" s="79"/>
      <c r="BB89" s="143"/>
      <c r="BD89" s="79"/>
      <c r="BE89" s="99"/>
      <c r="BH89" s="79"/>
      <c r="BJ89" s="143"/>
      <c r="BL89" s="79"/>
      <c r="BM89" s="99"/>
      <c r="BP89" s="79"/>
      <c r="BR89" s="143"/>
      <c r="BT89" s="99"/>
      <c r="BU89" s="99"/>
      <c r="BV89" s="80"/>
      <c r="BW89" s="80"/>
      <c r="BX89" s="80"/>
      <c r="CD89" s="99"/>
      <c r="CE89" s="99"/>
      <c r="CF89" s="99"/>
      <c r="CI89" s="99"/>
      <c r="CJ89" s="99"/>
    </row>
    <row r="90" spans="2:93" x14ac:dyDescent="0.2">
      <c r="AV90" s="99"/>
      <c r="AW90" s="99"/>
      <c r="AX90" s="143"/>
      <c r="BB90" s="143"/>
      <c r="BD90" s="99"/>
      <c r="BE90" s="99"/>
      <c r="BJ90" s="143"/>
      <c r="BL90" s="99"/>
      <c r="BM90" s="99"/>
      <c r="BR90" s="143"/>
      <c r="BT90" s="99"/>
      <c r="BU90" s="99"/>
      <c r="BV90" s="80"/>
      <c r="BW90" s="80"/>
      <c r="BX90" s="80"/>
      <c r="CD90" s="99"/>
      <c r="CE90" s="99"/>
      <c r="CF90" s="99"/>
      <c r="CI90" s="99"/>
      <c r="CJ90" s="99"/>
    </row>
    <row r="91" spans="2:93" x14ac:dyDescent="0.2">
      <c r="AV91" s="21"/>
      <c r="AX91" s="190"/>
      <c r="AY91"/>
      <c r="AZ91" s="21"/>
      <c r="BB91" s="190"/>
      <c r="BD91" s="21"/>
      <c r="BF91" s="190"/>
      <c r="BG91"/>
      <c r="BH91" s="21"/>
      <c r="BJ91" s="190"/>
      <c r="BL91" s="21"/>
      <c r="BN91" s="190"/>
      <c r="BO91"/>
      <c r="BP91" s="21"/>
      <c r="BR91" s="190"/>
      <c r="BT91" s="99"/>
      <c r="BU91" s="99"/>
      <c r="BV91" s="80"/>
      <c r="BW91" s="80"/>
      <c r="BX91" s="80"/>
      <c r="CD91" s="99"/>
      <c r="CE91" s="99"/>
      <c r="CF91" s="99"/>
      <c r="CI91" s="99"/>
      <c r="CJ91" s="99"/>
    </row>
    <row r="92" spans="2:93" x14ac:dyDescent="0.2">
      <c r="AV92" s="21"/>
      <c r="AX92" s="191"/>
      <c r="AY92"/>
      <c r="AZ92" s="21"/>
      <c r="BB92" s="191"/>
      <c r="BD92" s="21"/>
      <c r="BF92" s="191"/>
      <c r="BG92"/>
      <c r="BH92" s="21"/>
      <c r="BJ92" s="191"/>
      <c r="BL92" s="21"/>
      <c r="BN92" s="191"/>
      <c r="BO92"/>
      <c r="BP92" s="21"/>
      <c r="BR92" s="191"/>
      <c r="BT92" s="99"/>
      <c r="BU92" s="99"/>
      <c r="BV92" s="80"/>
      <c r="BW92" s="80"/>
      <c r="BX92" s="80"/>
      <c r="CD92" s="99"/>
      <c r="CE92" s="99"/>
      <c r="CF92" s="99"/>
      <c r="CI92" s="99"/>
      <c r="CJ92" s="99"/>
    </row>
    <row r="93" spans="2:93" ht="13.5" thickBot="1" x14ac:dyDescent="0.25">
      <c r="B93" s="605"/>
      <c r="C93" s="605"/>
      <c r="D93" s="192"/>
      <c r="E93" s="99"/>
      <c r="F93" s="99"/>
      <c r="G93" s="99"/>
      <c r="H93" s="99"/>
      <c r="I93" s="99"/>
      <c r="J93" s="99"/>
      <c r="K93" s="99"/>
      <c r="L93" s="99"/>
      <c r="M93" s="99"/>
      <c r="N93" s="99"/>
      <c r="O93" s="99"/>
      <c r="P93" s="99"/>
      <c r="Q93" s="99"/>
      <c r="R93" s="99"/>
      <c r="S93" s="99"/>
      <c r="T93" s="99"/>
      <c r="AV93" s="21"/>
      <c r="AX93" s="190"/>
      <c r="AY93"/>
      <c r="AZ93" s="193"/>
      <c r="BB93" s="190"/>
      <c r="BC93" s="190"/>
      <c r="BD93" s="21"/>
      <c r="BF93" s="190"/>
      <c r="BG93"/>
      <c r="BH93" s="193"/>
      <c r="BJ93" s="190"/>
      <c r="BK93" s="190"/>
      <c r="BL93" s="21"/>
      <c r="BN93" s="190"/>
      <c r="BO93"/>
      <c r="BP93" s="193"/>
      <c r="BR93" s="190"/>
      <c r="BS93" s="190"/>
      <c r="BT93"/>
      <c r="BU93"/>
      <c r="BV93" s="80"/>
      <c r="BW93" s="80" t="s">
        <v>246</v>
      </c>
      <c r="BX93" s="80"/>
      <c r="CD93" s="99"/>
      <c r="CE93" s="99"/>
      <c r="CF93" s="99"/>
      <c r="CI93" s="99"/>
      <c r="CJ93" s="99"/>
    </row>
    <row r="94" spans="2:93" ht="27" customHeight="1" thickTop="1" x14ac:dyDescent="0.2">
      <c r="B94" s="599"/>
      <c r="C94" s="600"/>
      <c r="D94" s="601"/>
      <c r="E94" s="599" t="s">
        <v>247</v>
      </c>
      <c r="F94" s="600"/>
      <c r="G94" s="600"/>
      <c r="H94" s="599" t="s">
        <v>248</v>
      </c>
      <c r="I94" s="600"/>
      <c r="J94" s="600"/>
      <c r="K94" s="599" t="s">
        <v>249</v>
      </c>
      <c r="L94" s="600"/>
      <c r="M94" s="600"/>
      <c r="N94" s="599" t="s">
        <v>250</v>
      </c>
      <c r="O94" s="600"/>
      <c r="P94" s="600"/>
      <c r="Q94" s="599" t="s">
        <v>251</v>
      </c>
      <c r="R94" s="600"/>
      <c r="S94" s="600"/>
      <c r="T94" s="602" t="s">
        <v>252</v>
      </c>
      <c r="U94" s="194"/>
      <c r="V94" s="194"/>
      <c r="W94" s="194"/>
      <c r="X94" s="194"/>
      <c r="Y94" s="194"/>
      <c r="Z94" s="194"/>
      <c r="AA94" s="194"/>
      <c r="AB94" s="194"/>
      <c r="AC94" s="194"/>
      <c r="AD94" s="194"/>
      <c r="AE94" s="194"/>
      <c r="AF94" s="194"/>
      <c r="AG94" s="194"/>
      <c r="AH94" s="194"/>
      <c r="AI94" s="194"/>
      <c r="AJ94" s="194"/>
      <c r="AK94" s="194"/>
      <c r="AL94" s="194"/>
      <c r="AM94" s="194"/>
      <c r="AN94" s="194"/>
      <c r="AO94" s="194"/>
      <c r="AP94" s="194"/>
      <c r="AQ94" s="194"/>
      <c r="AR94" s="194"/>
      <c r="AS94" s="194"/>
      <c r="AT94" s="194"/>
      <c r="AU94" s="194"/>
      <c r="AV94" s="145"/>
      <c r="AX94" s="195"/>
      <c r="AY94"/>
      <c r="AZ94" s="196"/>
      <c r="BB94" s="195"/>
      <c r="BC94" s="190"/>
      <c r="BD94" s="145"/>
      <c r="BF94" s="195"/>
      <c r="BG94"/>
      <c r="BH94" s="196"/>
      <c r="BJ94" s="195"/>
      <c r="BK94" s="190"/>
      <c r="BL94" s="145"/>
      <c r="BN94" s="195"/>
      <c r="BO94"/>
      <c r="BP94" s="196"/>
      <c r="BR94" s="195"/>
      <c r="BS94" s="190"/>
      <c r="BT94"/>
      <c r="BU94" s="581" t="s">
        <v>253</v>
      </c>
      <c r="BV94" s="582"/>
      <c r="BW94" s="582"/>
      <c r="BX94" s="582"/>
      <c r="BY94" s="583"/>
      <c r="BZ94"/>
      <c r="CA94" s="199">
        <v>21</v>
      </c>
      <c r="CB94" s="200"/>
      <c r="CC94" s="201"/>
      <c r="CD94" s="197"/>
      <c r="CE94" s="199" t="str">
        <f>F22</f>
        <v/>
      </c>
      <c r="CF94" s="200"/>
      <c r="CG94" s="201"/>
      <c r="CH94" s="198"/>
      <c r="CI94" s="99"/>
      <c r="CJ94" s="99"/>
      <c r="CK94" s="99"/>
      <c r="CL94" s="99"/>
      <c r="CM94" s="99"/>
      <c r="CN94" s="99"/>
      <c r="CO94" s="99"/>
    </row>
    <row r="95" spans="2:93" ht="13.5" customHeight="1" x14ac:dyDescent="0.2">
      <c r="B95" s="584" t="s">
        <v>254</v>
      </c>
      <c r="C95" s="587" t="s">
        <v>255</v>
      </c>
      <c r="D95" s="590" t="s">
        <v>256</v>
      </c>
      <c r="E95" s="593" t="s">
        <v>257</v>
      </c>
      <c r="F95" s="596" t="s">
        <v>258</v>
      </c>
      <c r="G95" s="596" t="s">
        <v>259</v>
      </c>
      <c r="H95" s="593" t="s">
        <v>257</v>
      </c>
      <c r="I95" s="596" t="s">
        <v>258</v>
      </c>
      <c r="J95" s="596" t="s">
        <v>259</v>
      </c>
      <c r="K95" s="593" t="s">
        <v>257</v>
      </c>
      <c r="L95" s="596" t="s">
        <v>258</v>
      </c>
      <c r="M95" s="596" t="s">
        <v>259</v>
      </c>
      <c r="N95" s="593" t="s">
        <v>257</v>
      </c>
      <c r="O95" s="596" t="s">
        <v>258</v>
      </c>
      <c r="P95" s="596" t="s">
        <v>259</v>
      </c>
      <c r="Q95" s="593" t="s">
        <v>257</v>
      </c>
      <c r="R95" s="596" t="s">
        <v>258</v>
      </c>
      <c r="S95" s="596" t="s">
        <v>259</v>
      </c>
      <c r="T95" s="603"/>
      <c r="U95" s="194"/>
      <c r="V95" s="194"/>
      <c r="W95" s="194"/>
      <c r="X95" s="194"/>
      <c r="Y95" s="194"/>
      <c r="Z95" s="194"/>
      <c r="AA95" s="194"/>
      <c r="AB95" s="194"/>
      <c r="AC95" s="194"/>
      <c r="AD95" s="194"/>
      <c r="AE95" s="194"/>
      <c r="AF95" s="194"/>
      <c r="AG95" s="194"/>
      <c r="AH95" s="194"/>
      <c r="AI95" s="194"/>
      <c r="AJ95" s="194"/>
      <c r="AK95" s="194"/>
      <c r="AL95" s="194"/>
      <c r="AM95" s="194"/>
      <c r="AN95" s="194"/>
      <c r="AO95" s="194"/>
      <c r="AP95" s="194"/>
      <c r="AQ95" s="194"/>
      <c r="AR95" s="194"/>
      <c r="AS95" s="194"/>
      <c r="AT95" s="194"/>
      <c r="AU95" s="194"/>
      <c r="AV95" s="99"/>
      <c r="AW95" s="99"/>
      <c r="AX95" s="143"/>
      <c r="AZ95" s="143"/>
      <c r="BB95" s="143"/>
      <c r="BC95" s="190"/>
      <c r="BD95" s="99"/>
      <c r="BE95" s="99"/>
      <c r="BH95" s="143"/>
      <c r="BJ95" s="143"/>
      <c r="BK95" s="190"/>
      <c r="BL95" s="99"/>
      <c r="BM95" s="99"/>
      <c r="BP95" s="143"/>
      <c r="BR95" s="143"/>
      <c r="BS95" s="190"/>
      <c r="BT95"/>
      <c r="BU95" s="204" t="s">
        <v>260</v>
      </c>
      <c r="BV95" s="203" t="s">
        <v>261</v>
      </c>
      <c r="BW95" s="31" t="s">
        <v>262</v>
      </c>
      <c r="BX95" s="31" t="s">
        <v>263</v>
      </c>
      <c r="BY95" s="205" t="s">
        <v>264</v>
      </c>
      <c r="BZ95"/>
      <c r="CA95" s="206" t="s">
        <v>265</v>
      </c>
      <c r="CB95" s="71" t="s">
        <v>266</v>
      </c>
      <c r="CC95" s="71"/>
      <c r="CD95" s="207"/>
      <c r="CE95" s="206" t="s">
        <v>265</v>
      </c>
      <c r="CF95" s="71" t="s">
        <v>266</v>
      </c>
      <c r="CG95" s="71"/>
      <c r="CH95" s="207"/>
      <c r="CI95" s="99"/>
      <c r="CJ95" s="99"/>
      <c r="CK95" s="99"/>
      <c r="CL95" s="99"/>
      <c r="CM95" s="99"/>
      <c r="CN95" s="99"/>
      <c r="CO95" s="99"/>
    </row>
    <row r="96" spans="2:93" ht="13.5" customHeight="1" x14ac:dyDescent="0.2">
      <c r="B96" s="585"/>
      <c r="C96" s="588"/>
      <c r="D96" s="591"/>
      <c r="E96" s="594"/>
      <c r="F96" s="597"/>
      <c r="G96" s="597"/>
      <c r="H96" s="594"/>
      <c r="I96" s="597"/>
      <c r="J96" s="597"/>
      <c r="K96" s="594"/>
      <c r="L96" s="597"/>
      <c r="M96" s="597"/>
      <c r="N96" s="594"/>
      <c r="O96" s="597"/>
      <c r="P96" s="597"/>
      <c r="Q96" s="594"/>
      <c r="R96" s="597"/>
      <c r="S96" s="597"/>
      <c r="T96" s="603"/>
      <c r="U96" s="194"/>
      <c r="V96" s="194"/>
      <c r="W96" s="194"/>
      <c r="X96" s="194"/>
      <c r="Y96" s="194"/>
      <c r="Z96" s="194"/>
      <c r="AA96" s="194"/>
      <c r="AB96" s="194"/>
      <c r="AC96" s="194"/>
      <c r="AD96" s="194"/>
      <c r="AE96" s="194"/>
      <c r="AF96" s="194"/>
      <c r="AG96" s="194"/>
      <c r="AH96" s="194"/>
      <c r="AI96" s="194"/>
      <c r="AJ96" s="194"/>
      <c r="AK96" s="194"/>
      <c r="AL96" s="194"/>
      <c r="AM96" s="194"/>
      <c r="AN96" s="194"/>
      <c r="AO96" s="194"/>
      <c r="AP96" s="194"/>
      <c r="AQ96" s="194"/>
      <c r="AR96" s="194"/>
      <c r="AS96" s="194"/>
      <c r="AT96" s="194"/>
      <c r="AU96" s="194"/>
      <c r="AV96" s="99"/>
      <c r="AW96" s="99"/>
      <c r="AX96" s="143"/>
      <c r="AZ96" s="143"/>
      <c r="BB96" s="143"/>
      <c r="BC96" s="191"/>
      <c r="BD96" s="99"/>
      <c r="BE96" s="99"/>
      <c r="BH96" s="143"/>
      <c r="BJ96" s="143"/>
      <c r="BK96" s="191"/>
      <c r="BL96" s="99"/>
      <c r="BM96" s="99"/>
      <c r="BP96" s="143"/>
      <c r="BR96" s="143"/>
      <c r="BS96" s="191"/>
      <c r="BT96"/>
      <c r="BU96" s="210"/>
      <c r="BV96" s="208"/>
      <c r="BW96" s="24"/>
      <c r="BX96" s="24"/>
      <c r="BY96" s="209"/>
      <c r="BZ96"/>
      <c r="CA96" s="206" t="str">
        <f>IF(CB96&gt;0,VLOOKUP(CB96,CB100:CC250,2,FALSE),"-")</f>
        <v>-</v>
      </c>
      <c r="CB96" s="71">
        <f>MAX(CB100:CB250)</f>
        <v>0</v>
      </c>
      <c r="CC96" s="71"/>
      <c r="CD96" s="207"/>
      <c r="CE96" s="206" t="str">
        <f ca="1">IF(CF96&gt;0,VLOOKUP(CF96,CF100:CG250,2,FALSE),"-")</f>
        <v>-</v>
      </c>
      <c r="CF96" s="71">
        <f ca="1">MAX(CF100:CF250)</f>
        <v>0</v>
      </c>
      <c r="CG96" s="71"/>
      <c r="CH96" s="207"/>
      <c r="CI96" s="99"/>
      <c r="CJ96" s="99"/>
      <c r="CK96" s="99"/>
      <c r="CL96" s="99"/>
      <c r="CM96" s="99"/>
      <c r="CN96" s="99"/>
      <c r="CO96" s="99"/>
    </row>
    <row r="97" spans="2:93" ht="13.5" customHeight="1" x14ac:dyDescent="0.2">
      <c r="B97" s="585"/>
      <c r="C97" s="588"/>
      <c r="D97" s="591"/>
      <c r="E97" s="594"/>
      <c r="F97" s="597"/>
      <c r="G97" s="597"/>
      <c r="H97" s="594"/>
      <c r="I97" s="597"/>
      <c r="J97" s="597"/>
      <c r="K97" s="594"/>
      <c r="L97" s="597"/>
      <c r="M97" s="597"/>
      <c r="N97" s="594"/>
      <c r="O97" s="597"/>
      <c r="P97" s="597"/>
      <c r="Q97" s="594"/>
      <c r="R97" s="597"/>
      <c r="S97" s="597"/>
      <c r="T97" s="603"/>
      <c r="U97" s="194"/>
      <c r="V97" s="194"/>
      <c r="W97" s="194"/>
      <c r="X97" s="194"/>
      <c r="Y97" s="194"/>
      <c r="Z97" s="194"/>
      <c r="AA97" s="194" t="s">
        <v>267</v>
      </c>
      <c r="AB97" s="194" t="s">
        <v>268</v>
      </c>
      <c r="AC97" s="194"/>
      <c r="AD97" s="194"/>
      <c r="AE97" s="194"/>
      <c r="AF97" s="194"/>
      <c r="AG97" s="194"/>
      <c r="AH97" s="194"/>
      <c r="AI97" s="194" t="s">
        <v>267</v>
      </c>
      <c r="AJ97" s="194" t="s">
        <v>268</v>
      </c>
      <c r="AK97" s="194"/>
      <c r="AL97" s="194"/>
      <c r="AM97" s="194"/>
      <c r="AN97" s="194"/>
      <c r="AO97" s="194"/>
      <c r="AP97" s="194"/>
      <c r="AQ97" s="194" t="s">
        <v>267</v>
      </c>
      <c r="AR97" s="194" t="s">
        <v>268</v>
      </c>
      <c r="AS97" s="194"/>
      <c r="AT97" s="194"/>
      <c r="AU97" s="194"/>
      <c r="AV97" s="605" t="s">
        <v>269</v>
      </c>
      <c r="AW97" s="605" t="s">
        <v>270</v>
      </c>
      <c r="AX97" s="605" t="s">
        <v>271</v>
      </c>
      <c r="AY97"/>
      <c r="AZ97" s="605" t="s">
        <v>272</v>
      </c>
      <c r="BA97" s="605" t="s">
        <v>273</v>
      </c>
      <c r="BB97" s="605" t="s">
        <v>274</v>
      </c>
      <c r="BC97" s="190"/>
      <c r="BD97" s="605" t="s">
        <v>269</v>
      </c>
      <c r="BE97" s="605" t="s">
        <v>270</v>
      </c>
      <c r="BF97" s="605" t="s">
        <v>271</v>
      </c>
      <c r="BG97"/>
      <c r="BH97" s="605" t="s">
        <v>272</v>
      </c>
      <c r="BI97" s="605" t="s">
        <v>273</v>
      </c>
      <c r="BJ97" s="605" t="s">
        <v>274</v>
      </c>
      <c r="BK97" s="190"/>
      <c r="BL97" s="605" t="s">
        <v>269</v>
      </c>
      <c r="BM97" s="605" t="s">
        <v>270</v>
      </c>
      <c r="BN97" s="605" t="s">
        <v>271</v>
      </c>
      <c r="BO97"/>
      <c r="BP97" s="605" t="s">
        <v>272</v>
      </c>
      <c r="BQ97" s="605" t="s">
        <v>273</v>
      </c>
      <c r="BR97" s="605" t="s">
        <v>274</v>
      </c>
      <c r="BS97" s="190"/>
      <c r="BT97"/>
      <c r="BU97" s="210"/>
      <c r="BV97" s="208"/>
      <c r="BW97" s="24"/>
      <c r="BX97" s="24"/>
      <c r="BY97" s="209"/>
      <c r="BZ97"/>
      <c r="CA97" s="211" t="str">
        <f>CA96</f>
        <v>-</v>
      </c>
      <c r="CB97" s="212">
        <f>IF(ISNUMBER(CB96),ROUND(CB96,IF($I$66="",4,$I$66)),"-")</f>
        <v>0</v>
      </c>
      <c r="CC97" s="212"/>
      <c r="CD97" s="213"/>
      <c r="CE97" s="211" t="str">
        <f ca="1">CE96</f>
        <v>-</v>
      </c>
      <c r="CF97" s="212">
        <f ca="1">IF(ISNUMBER(CF96),ROUND(CF96,IF($I$66="",4,$I$66)),"-")</f>
        <v>0</v>
      </c>
      <c r="CG97" s="212"/>
      <c r="CH97" s="213"/>
      <c r="CI97" s="99"/>
      <c r="CJ97" s="99"/>
      <c r="CK97" s="99"/>
      <c r="CL97" s="99"/>
      <c r="CM97" s="99"/>
      <c r="CN97" s="99"/>
      <c r="CO97" s="99"/>
    </row>
    <row r="98" spans="2:93" ht="13.5" customHeight="1" x14ac:dyDescent="0.2">
      <c r="B98" s="585"/>
      <c r="C98" s="588"/>
      <c r="D98" s="591"/>
      <c r="E98" s="594"/>
      <c r="F98" s="597"/>
      <c r="G98" s="597"/>
      <c r="H98" s="594"/>
      <c r="I98" s="597"/>
      <c r="J98" s="597"/>
      <c r="K98" s="594"/>
      <c r="L98" s="597"/>
      <c r="M98" s="597"/>
      <c r="N98" s="594"/>
      <c r="O98" s="597"/>
      <c r="P98" s="597"/>
      <c r="Q98" s="594"/>
      <c r="R98" s="597"/>
      <c r="S98" s="597"/>
      <c r="T98" s="603"/>
      <c r="U98" s="214" t="s">
        <v>275</v>
      </c>
      <c r="V98" s="214" t="s">
        <v>276</v>
      </c>
      <c r="W98" s="214" t="s">
        <v>277</v>
      </c>
      <c r="X98" s="214" t="s">
        <v>278</v>
      </c>
      <c r="Y98" s="214" t="s">
        <v>279</v>
      </c>
      <c r="Z98" s="214" t="s">
        <v>280</v>
      </c>
      <c r="AA98" s="214" t="s">
        <v>281</v>
      </c>
      <c r="AB98" s="214" t="s">
        <v>281</v>
      </c>
      <c r="AC98" s="215" t="s">
        <v>275</v>
      </c>
      <c r="AD98" s="215" t="s">
        <v>276</v>
      </c>
      <c r="AE98" s="215" t="s">
        <v>277</v>
      </c>
      <c r="AF98" s="215" t="s">
        <v>278</v>
      </c>
      <c r="AG98" s="215" t="s">
        <v>279</v>
      </c>
      <c r="AH98" s="215" t="s">
        <v>280</v>
      </c>
      <c r="AI98" s="215" t="s">
        <v>281</v>
      </c>
      <c r="AJ98" s="215" t="s">
        <v>281</v>
      </c>
      <c r="AK98" s="216" t="s">
        <v>275</v>
      </c>
      <c r="AL98" s="216" t="s">
        <v>276</v>
      </c>
      <c r="AM98" s="216" t="s">
        <v>277</v>
      </c>
      <c r="AN98" s="216" t="s">
        <v>278</v>
      </c>
      <c r="AO98" s="216" t="s">
        <v>279</v>
      </c>
      <c r="AP98" s="216" t="s">
        <v>280</v>
      </c>
      <c r="AQ98" s="216" t="s">
        <v>281</v>
      </c>
      <c r="AR98" s="216" t="s">
        <v>281</v>
      </c>
      <c r="AS98" s="194" t="s">
        <v>282</v>
      </c>
      <c r="AT98" s="194" t="s">
        <v>283</v>
      </c>
      <c r="AU98" s="194" t="s">
        <v>284</v>
      </c>
      <c r="AV98" s="605"/>
      <c r="AW98" s="605"/>
      <c r="AX98" s="605"/>
      <c r="AY98"/>
      <c r="AZ98" s="605"/>
      <c r="BA98" s="605"/>
      <c r="BB98" s="605"/>
      <c r="BC98" s="190"/>
      <c r="BD98" s="605"/>
      <c r="BE98" s="605"/>
      <c r="BF98" s="605"/>
      <c r="BG98"/>
      <c r="BH98" s="605"/>
      <c r="BI98" s="605"/>
      <c r="BJ98" s="605"/>
      <c r="BK98" s="190"/>
      <c r="BL98" s="605"/>
      <c r="BM98" s="605"/>
      <c r="BN98" s="605"/>
      <c r="BO98"/>
      <c r="BP98" s="605"/>
      <c r="BQ98" s="605"/>
      <c r="BR98" s="605"/>
      <c r="BS98" s="190"/>
      <c r="BT98"/>
      <c r="BU98" s="210"/>
      <c r="BV98" s="208"/>
      <c r="BW98" s="24"/>
      <c r="BX98" s="24"/>
      <c r="BY98" s="209"/>
      <c r="BZ98"/>
      <c r="CA98" s="206"/>
      <c r="CB98" s="71"/>
      <c r="CC98" s="71"/>
      <c r="CD98" s="207"/>
      <c r="CE98" s="206"/>
      <c r="CF98" s="71"/>
      <c r="CG98" s="71"/>
      <c r="CH98" s="207"/>
      <c r="CI98" s="99"/>
      <c r="CJ98" s="99"/>
      <c r="CK98" s="99"/>
      <c r="CL98" s="99"/>
      <c r="CM98" s="99"/>
      <c r="CN98" s="99"/>
      <c r="CO98" s="99"/>
    </row>
    <row r="99" spans="2:93" ht="13.5" customHeight="1" thickBot="1" x14ac:dyDescent="0.25">
      <c r="B99" s="586"/>
      <c r="C99" s="589"/>
      <c r="D99" s="592"/>
      <c r="E99" s="595"/>
      <c r="F99" s="598"/>
      <c r="G99" s="598"/>
      <c r="H99" s="595"/>
      <c r="I99" s="598"/>
      <c r="J99" s="598"/>
      <c r="K99" s="595"/>
      <c r="L99" s="598"/>
      <c r="M99" s="598"/>
      <c r="N99" s="595"/>
      <c r="O99" s="598"/>
      <c r="P99" s="598"/>
      <c r="Q99" s="595"/>
      <c r="R99" s="598"/>
      <c r="S99" s="598"/>
      <c r="T99" s="604"/>
      <c r="U99" s="219"/>
      <c r="V99" s="220" t="str">
        <f>IF(ISNUMBER($F$14),IF(B99&lt;($F$16-$F$15)*$F$14,INT(B99/($F$16-$F$15))+1,V97),"-")</f>
        <v>-</v>
      </c>
      <c r="W99" s="221">
        <v>0</v>
      </c>
      <c r="X99" s="221">
        <v>0</v>
      </c>
      <c r="Y99" s="221">
        <f>W99-X99</f>
        <v>0</v>
      </c>
      <c r="Z99" s="219"/>
      <c r="AA99" s="219"/>
      <c r="AB99" s="219"/>
      <c r="AC99" s="222"/>
      <c r="AD99" s="223" t="str">
        <f>IFERROR(IF($F$14-1&gt;0,IF(B99&lt;($F$16-$F$15)*($F$14-1),INT(B99/($F$16-$F$15))+1,AD97),"-"),"-")</f>
        <v>-</v>
      </c>
      <c r="AE99" s="224">
        <v>0</v>
      </c>
      <c r="AF99" s="224">
        <v>0</v>
      </c>
      <c r="AG99" s="224">
        <f>AE99-AF99</f>
        <v>0</v>
      </c>
      <c r="AH99" s="222"/>
      <c r="AI99" s="222"/>
      <c r="AJ99" s="222"/>
      <c r="AK99" s="225"/>
      <c r="AL99" s="226" t="str">
        <f>IFERROR(IF($F$14-2&gt;0,IF(B99&lt;($F$16-$F$15)*($F$14-2),INT(B99/($F$16-$F$15))+1,AL97),"-"),"-")</f>
        <v>-</v>
      </c>
      <c r="AM99" s="227">
        <v>0</v>
      </c>
      <c r="AN99" s="227">
        <v>0</v>
      </c>
      <c r="AO99" s="227">
        <f>AM99-AN99</f>
        <v>0</v>
      </c>
      <c r="AP99" s="225"/>
      <c r="AQ99" s="225"/>
      <c r="AR99" s="225"/>
      <c r="AV99" s="228"/>
      <c r="AX99" s="190"/>
      <c r="AY99"/>
      <c r="AZ99" s="190"/>
      <c r="BA99" s="190"/>
      <c r="BB99" s="190"/>
      <c r="BC99" s="190"/>
      <c r="BD99" s="228"/>
      <c r="BE99"/>
      <c r="BF99" s="190"/>
      <c r="BG99"/>
      <c r="BH99" s="190"/>
      <c r="BI99" s="190"/>
      <c r="BJ99" s="190"/>
      <c r="BK99" s="190"/>
      <c r="BL99" s="228"/>
      <c r="BM99"/>
      <c r="BN99" s="190"/>
      <c r="BO99"/>
      <c r="BP99" s="190"/>
      <c r="BQ99" s="190"/>
      <c r="BR99" s="190"/>
      <c r="BS99" s="190"/>
      <c r="BT99"/>
      <c r="BU99" s="229"/>
      <c r="BV99" s="217"/>
      <c r="BW99" s="230"/>
      <c r="BX99" s="230"/>
      <c r="BY99" s="218"/>
      <c r="BZ99"/>
      <c r="CA99" s="231" t="s">
        <v>285</v>
      </c>
      <c r="CB99" s="232" t="s">
        <v>286</v>
      </c>
      <c r="CC99" s="233" t="s">
        <v>287</v>
      </c>
      <c r="CD99" s="234" t="s">
        <v>288</v>
      </c>
      <c r="CE99" s="231" t="s">
        <v>285</v>
      </c>
      <c r="CF99" s="232" t="s">
        <v>286</v>
      </c>
      <c r="CG99" s="233" t="s">
        <v>287</v>
      </c>
      <c r="CH99" s="234" t="s">
        <v>288</v>
      </c>
      <c r="CI99" s="99"/>
      <c r="CJ99" s="99"/>
      <c r="CK99" s="99"/>
      <c r="CL99" s="99"/>
      <c r="CM99" s="99"/>
      <c r="CN99" s="99"/>
      <c r="CO99" s="99"/>
    </row>
    <row r="100" spans="2:93" ht="13.5" customHeight="1" thickTop="1" x14ac:dyDescent="0.2">
      <c r="B100" s="235">
        <v>0</v>
      </c>
      <c r="C100" s="236" t="str">
        <f t="shared" ref="C100:C163" si="1">IF(ISERROR(VLOOKUP(B100,$B$39:$C$73,2,0)),"",VLOOKUP(B100,$B$39:$C$73,2,0))</f>
        <v/>
      </c>
      <c r="D100" s="237" t="str">
        <f>IF(ISNUMBER(C100),C100,"-")</f>
        <v>-</v>
      </c>
      <c r="E100" s="238" t="str">
        <f>IF(ISNUMBER($F$14),IF(ISNUMBER(AA100),AA100,""),"")</f>
        <v/>
      </c>
      <c r="F100" s="239" t="str">
        <f>IF(OR($F$14=2,$F$14=3),IF(($F$16-$F$15)&gt;B100," ",VLOOKUP((B100-($F$16-$F$15)),$AC$100:$AI$250,7,FALSE)),"")</f>
        <v/>
      </c>
      <c r="G100" s="239" t="str">
        <f>IF($F$14=3,IF(($F$16-$F$15)*2&gt;B100," ",VLOOKUP((B100-($F$16-$F$15)*2),$AK$100:$AQ$250,7,FALSE)),"")</f>
        <v/>
      </c>
      <c r="H100" s="240" t="str">
        <f>IF(E100&lt;&gt;"",IF($B100&lt;$F$21,"",IF(ISNUMBER(F100),IF(ISNUMBER(I100),(E100*30*50*ffp),""),(E100*30*50*ffp))),"")</f>
        <v/>
      </c>
      <c r="I100" s="241" t="str">
        <f t="shared" ref="I100:I131" si="2">IFERROR(IF(F100&lt;&gt;"",IF($B100&lt;$F$21+$F$16,"",IF(ISNUMBER(G100),IF(ISNUMBER(J100),(F100*30*50*ffp),""),(F100*30*50*ffp))),""),"")</f>
        <v/>
      </c>
      <c r="J100" s="241" t="str">
        <f t="shared" ref="J100:J131" si="3">IFERROR(IF(G100&lt;&gt;"",IF($B100&lt;$F$21+$F$17,"",(G100*30*50*ffp)),""),"")</f>
        <v/>
      </c>
      <c r="K100" s="242" t="str">
        <f t="shared" ref="K100:K131" si="4">IF(E100&lt;&gt;"",((E100*20*50*ffp)/Klevee),"")</f>
        <v/>
      </c>
      <c r="L100" s="241" t="str">
        <f t="shared" ref="L100:L131" si="5">IF(ISNUMBER(F100),((F100*20*50*ffp)/Klevee),"")</f>
        <v/>
      </c>
      <c r="M100" s="241" t="str">
        <f t="shared" ref="M100:M131" si="6">IF(ISNUMBER(G100),((G100*20*50*ffp)/Klevee),"")</f>
        <v/>
      </c>
      <c r="N100" s="242" t="str">
        <f t="shared" ref="N100:N131" si="7">IF(AND(ISNUMBER(I),ISNUMBER($F$14),ISNUMBER($F$20)),IF($B100=0,I*($J$40/100)*$J$42*1,""),"-")</f>
        <v>-</v>
      </c>
      <c r="O100" s="241" t="str">
        <f>IF(ISNUMBER($F$14),IF($F$14&gt;1,IF($B100=0+$F$16,I*($J$40/100)*$J$42*1,""),""),"-")</f>
        <v>-</v>
      </c>
      <c r="P100" s="241" t="str">
        <f>IF(ISNUMBER($F$14),IF($F$14&gt;2,IF($B100=0+$F$17,I*($J$40/100)*$J$42*1,""),""),"-")</f>
        <v>-</v>
      </c>
      <c r="Q100" s="243" t="str">
        <f t="shared" ref="Q100:Q131" si="8">IF(AND(ISNUMBER(I),ISNUMBER($F$14),ISNUMBER($F$20)),IF($B100=0,I*(dt/100)*$J$45*1,""),"-")</f>
        <v>-</v>
      </c>
      <c r="R100" s="244" t="str">
        <f>IF(ISNUMBER($F$14),IF($F$14&gt;1,IF($B100=0+$F$16,I*(dt/100)*$J$45*1,""),""),"-")</f>
        <v>-</v>
      </c>
      <c r="S100" s="245" t="str">
        <f>IF(ISNUMBER($F$14),IF($F$14&gt;2,IF($B100=0+$F$17,I*(dt/100)*$J$45*1,""),""),"-")</f>
        <v>-</v>
      </c>
      <c r="T100" s="246" t="str">
        <f t="shared" ref="T100:T163" si="9">IF(SUM(H100:S100)=0,"",SUM(H100:S100))</f>
        <v/>
      </c>
      <c r="U100" s="247">
        <f t="shared" ref="U100:U163" si="10">B100</f>
        <v>0</v>
      </c>
      <c r="V100" s="248" t="str">
        <f>IF(ISNUMBER($F$14),IF(B100&lt;($F$16-$F$15)*$F$14,INT(B100/($F$16-$F$15))+1,V98),"-")</f>
        <v>-</v>
      </c>
      <c r="W100" s="247" t="str">
        <f>IF(ISNUMBER($F$14),IF(B100&lt;$F$14*($F$16-$F$15),B100-INT(B100/($F$16-$F$15))*($F$16-$F$15)+1,W99+1),"-")</f>
        <v>-</v>
      </c>
      <c r="X100" s="247" t="str">
        <f t="shared" ref="X100:X163" si="11">IFERROR(IF($F$21=0,0,IF(V100=V99,IF(B100-(V100-1)*($F$16-$F$15)&lt;$F$21,X99+1,X99),1)),"-")</f>
        <v>-</v>
      </c>
      <c r="Y100" s="247" t="str">
        <f t="shared" ref="Y100:Y163" si="12">IFERROR(W100-X100,"-")</f>
        <v>-</v>
      </c>
      <c r="Z100" s="249">
        <f>IF(Y100&gt;0,0.1,0.04)</f>
        <v>0.1</v>
      </c>
      <c r="AA100" s="250" t="str">
        <f>IFERROR(IF(V99=1,D100*EXP(-(0.04*X99+0.1*Y99)),IF(V99=2,D100*EXP(-(0.04*($F$21+X99)+0.1*(($F$16-$F$15)-$F$21+Y99))),D100*EXP(-(0.04*($F$21*2+X99)+0.1*((($F$16-$F$15)-$F$21)*2-Y99))))),"-")</f>
        <v>-</v>
      </c>
      <c r="AB100" s="250" t="str">
        <f t="shared" ref="AB100:AB114" si="13">IFERROR(IF(V100=1,D100*EXP(-(0.04*X100+0.1*Y100)),IF(V100=2,D100*EXP(-(0.04*($F$21+X100)+0.1*(($F$16-$F$15)-$F$21+Y100))),D100*EXP(-(0.04*($F$21*2+X100)+0.1*((($F$16-$F$15)-$F$21)*2-Y100))))),"-")</f>
        <v>-</v>
      </c>
      <c r="AC100" s="247">
        <f>B100</f>
        <v>0</v>
      </c>
      <c r="AD100" s="248" t="str">
        <f t="shared" ref="AD100:AD163" si="14">IFERROR(IF($F$14-1&gt;0,IF(B100&lt;($F$16-$F$15)*($F$14-1),INT(B100/($F$16-$F$15))+1,AD98),"-"),"-")</f>
        <v>-</v>
      </c>
      <c r="AE100" s="247" t="str">
        <f>IFERROR(IF($F$14-1&gt;0,IF(B100&lt;($F$14-1)*($F$16-$F$15),B100-INT(B100/($F$16-$F$15))*($F$16-$F$15)+1,AE99+1),"-"),"-")</f>
        <v>-</v>
      </c>
      <c r="AF100" s="247" t="str">
        <f t="shared" ref="AF100:AF163" si="15">IFERROR(IF($F$21=0,0,IF(AD100=AD99,IF(B100-(AD100-1)*($F$16-$F$15)&lt;$F$21,AF99+1,AF99),1)),"-")</f>
        <v>-</v>
      </c>
      <c r="AG100" s="247" t="str">
        <f t="shared" ref="AG100:AG163" si="16">IFERROR(AE100-AF100,"-")</f>
        <v>-</v>
      </c>
      <c r="AH100" s="249">
        <f>IF(AG100&gt;0,0.1,0.04)</f>
        <v>0.1</v>
      </c>
      <c r="AI100" s="250" t="str">
        <f t="shared" ref="AI100:AI114" si="17">IFERROR(IF(AD99=1,D100*EXP(-(0.04*AF99+0.1*AG99)),IF(AD99=2,D100*EXP(-(0.04*($F$21+AF99)+0.1*(($F$16-$F$15)-$F$21+AG99))),D100*EXP(-(0.04*($F$21*2+AF99)+0.1*((($F$16-$F$15)-$F$21)*2-AG99))))),"-")</f>
        <v>-</v>
      </c>
      <c r="AJ100" s="250" t="str">
        <f>IFERROR(IF(AD100=1,D100*EXP(-(0.04*AF100+0.1*AG100)),IF(AD100=2,D100*EXP(-(0.04*($F$21+AF100)+0.1*(($F$16-$F$15)-$F$21+AG100))),D100*EXP(-(0.04*($F$21*2+AF100)+0.1*((($F$16-$F$15)-$F$21)*2-AG100))))),"-")</f>
        <v>-</v>
      </c>
      <c r="AK100" s="247">
        <f>B100</f>
        <v>0</v>
      </c>
      <c r="AL100" s="248" t="str">
        <f t="shared" ref="AL100:AL163" si="18">IFERROR(IF($F$14-2&gt;0,IF(B100&lt;($F$16-$F$15)*($F$14-2),INT(B100/($F$16-$F$15))+1,AL98),"-"),"-")</f>
        <v>-</v>
      </c>
      <c r="AM100" s="247" t="str">
        <f>IFERROR(IF($F$14-2&gt;0,IF(B100&lt;($F$14-2)*($F$16-$F$15),B100-INT(B100/($F$16-$F$15))*($F$16-$F$15)+1,AM99+1),"-"),"-")</f>
        <v>-</v>
      </c>
      <c r="AN100" s="247" t="str">
        <f>IFERROR(IF($F$21=0,0,IF(AL100=AL99,IF(B100-(AL100-1)*($F$16-$F$15)&lt;$F$21,AN99+1,AN99),1)),"-")</f>
        <v>-</v>
      </c>
      <c r="AO100" s="247" t="str">
        <f t="shared" ref="AO100:AO163" si="19">IFERROR(AM100-AN100,"-")</f>
        <v>-</v>
      </c>
      <c r="AP100" s="249">
        <f>IF(AO100&gt;0,0.1,0.04)</f>
        <v>0.1</v>
      </c>
      <c r="AQ100" s="250" t="str">
        <f>IFERROR(IF(AL99=1,D100*EXP(-(0.04*AN99+0.1*AO99)),IF(AL99=2,D100*EXP(-(0.04*($F$21+AN99)+0.1*(($F$16-$F$15)-$F$21+AO99))),D100*EXP(-(0.04*($F$21*2+AN99)+0.1*((($F$16-$F$15)-$F$21)*2-AO99))))),"-")</f>
        <v>-</v>
      </c>
      <c r="AR100" s="250" t="str">
        <f>IFERROR(IF(AL100=1,D100*EXP(-(0.04*AN100+0.1*AO100)),IF(AL100=2,D100*EXP(-(0.04*($F$21+AN100)+0.1*(($F$16-$F$15)-$F$21+AO100))),D100*EXP(-(0.04*($F$21*2+AN100)+0.1*((($F$16-$F$15)-$F$21)*2-AO100))))),"-")</f>
        <v>-</v>
      </c>
      <c r="AS100" s="250">
        <f t="shared" ref="AS100:AS163" si="20">SUM(H100:J100)</f>
        <v>0</v>
      </c>
      <c r="AT100" s="250">
        <f t="shared" ref="AT100:AT163" si="21">SUM(K100:M100)</f>
        <v>0</v>
      </c>
      <c r="AU100" s="250">
        <f t="shared" ref="AU100:AU163" si="22">SUM(N100:S100)</f>
        <v>0</v>
      </c>
      <c r="AV100" s="251">
        <f>IF($B100&lt;$F$22,SUM($T$100:$T100),"")</f>
        <v>0</v>
      </c>
      <c r="AW100" s="251" t="str">
        <f>IF(ISNUMBER(Koc),IF(ISNUMBER(AV100),AV100*(Koc*(Ocse/100)*Pse*Vse)/(Koc*(Ocse/100)*Pse*Vse+1*86400*($B100+1)),""),"-")</f>
        <v>-</v>
      </c>
      <c r="AX100" s="251" t="str">
        <f>IF(ISNUMBER(AW100),IF(ISNUMBER(AV100),(AV100-AW100)/(3*86400*($B100+1))*1000,""),"")</f>
        <v/>
      </c>
      <c r="AY100" s="252"/>
      <c r="AZ100" s="251" t="str">
        <f ca="1">IF(ISNUMBER(OFFSET(AV100,-$F$21,0)),SUM(OFFSET($T$100,$F$21,0):$T100),"")</f>
        <v/>
      </c>
      <c r="BA100" s="251" t="str">
        <f t="shared" ref="BA100:BA131" ca="1" si="23">IF(ISNUMBER(OFFSET(AV100,-$F$21,0)),AZ100*(Koc*(Ocse/100)*Pse*Vse)/(Koc*(Ocse/100)*Pse*Vse+1*86400*($B100+1)),"")</f>
        <v/>
      </c>
      <c r="BB100" s="251" t="str">
        <f ca="1">IF(ISNUMBER(AZ100),(AZ100-BA100)/(3*86400*(OFFSET($B100,-$F$21,0)+1))*1000,"")</f>
        <v/>
      </c>
      <c r="BC100" s="253"/>
      <c r="BD100" s="251" t="str">
        <f ca="1">IFERROR(IF(AND($B100&gt;=($F$16-$F$15),$B100&lt;$F$22+($F$16-$F$15)),SUM(OFFSET($T$100,($F$16-$F$15),0):$T100),""),"")</f>
        <v/>
      </c>
      <c r="BE100" s="251" t="str">
        <f ca="1">IF(ISNUMBER(BD100),BD100*(Koc*(Ocse/100)*Pse*Vse)/(Koc*(Ocse/100)*Pse*Vse+1*86400*($B100+1)),"")</f>
        <v/>
      </c>
      <c r="BF100" s="251" t="str">
        <f ca="1">IF(ISNUMBER(BD100),(BD100-BE100)/(3*86400*($B100-($F$16-$F$15)+1))*1000,"")</f>
        <v/>
      </c>
      <c r="BG100" s="252"/>
      <c r="BH100" s="253" t="str">
        <f ca="1">IF(ISNUMBER(OFFSET(BD100,-$F$21,0)),SUM(OFFSET($T$100,($F$16-$F$15+$F$21),0):$T100),"")</f>
        <v/>
      </c>
      <c r="BI100" s="253" t="str">
        <f t="shared" ref="BI100:BI131" ca="1" si="24">IF(ISNUMBER(OFFSET(BD100,-$F$21,0)),BH100*(Koc*(Ocse/100)*Pse*Vse)/(Koc*(Ocse/100)*Pse*Vse+1*86400*($B100+1)),"")</f>
        <v/>
      </c>
      <c r="BJ100" s="253" t="str">
        <f ca="1">IF(ISNUMBER(BH100),(BH100-BI100)/(3*86400*((OFFSET($B100,-$F$21,0)-($F$16-$F$15)+1)))*1000,"")</f>
        <v/>
      </c>
      <c r="BK100" s="253"/>
      <c r="BL100" s="251" t="str">
        <f ca="1">IFERROR(IF(AND($B100&gt;=($F$17-$F$15),$B100&lt;$F$22+($F$17-$F$15)),SUM(OFFSET($T$100,($F$17-$F$15),0):$T100),""),"")</f>
        <v/>
      </c>
      <c r="BM100" s="251" t="str">
        <f t="shared" ref="BM100:BM131" ca="1" si="25">IF(ISNUMBER(BL100),BL100*(Koc*(Ocse/100)*Pse*Vse)/(Koc*(Ocse/100)*Pse*Vse+1*86400*($B100+1)),"")</f>
        <v/>
      </c>
      <c r="BN100" s="251" t="str">
        <f ca="1">IF(ISNUMBER(BL100),(BL100-BM100)/(3*86400*($B100-($F$17-$F$15)+1))*1000,"")</f>
        <v/>
      </c>
      <c r="BO100" s="252"/>
      <c r="BP100" s="251" t="str">
        <f ca="1">IF(ISNUMBER(OFFSET(BL100,-$F$21,0)),SUM(OFFSET($T$100,($F$17-$F$15+$F$21),0):$T100),"")</f>
        <v/>
      </c>
      <c r="BQ100" s="251" t="str">
        <f ca="1">IF(ISNUMBER(OFFSET(BL100,-$F$21,0)),BP100*(Koc*(Ocse/100)*Pse*Vse)/(Koc*(Ocse/100)*Pse*Vse+1*86400*($B100+1)),"")</f>
        <v/>
      </c>
      <c r="BR100" s="251" t="str">
        <f ca="1">IF(ISNUMBER(BP100),(BP100-BQ100)/(3*86400*(OFFSET($B100,-$F$21,0)-($F$17-$F$15)+1))*1000,"")</f>
        <v/>
      </c>
      <c r="BS100" s="253"/>
      <c r="BT100"/>
      <c r="BU100" s="254" t="str">
        <f>IF(B39&lt;&gt;"",B39,"")</f>
        <v/>
      </c>
      <c r="BV100" s="255">
        <v>0</v>
      </c>
      <c r="BW100" s="256"/>
      <c r="BX100" s="256"/>
      <c r="BY100" s="257"/>
      <c r="BZ100"/>
      <c r="CA100" s="258" t="str">
        <f t="shared" ref="CA100:CA131" si="26">IFERROR(IF($B100&lt;$CA$94,T100*(Koc*(Ocse/100)*Pse*Vse)/(Koc*(Ocse/100)*Pse*Vse+1*86400*$CA$94),""),"-")</f>
        <v>-</v>
      </c>
      <c r="CB100" s="33" t="str">
        <f t="shared" ref="CB100:CB163" si="27">IF(ISNUMBER(T100),IF($B100&lt;$CA$94,(T100-CA100)/(3*86400)*1000,""),"-")</f>
        <v>-</v>
      </c>
      <c r="CC100" s="33" t="str">
        <f t="shared" ref="CC100:CC120" si="28">$B100&amp;"-"&amp;$B100+1</f>
        <v>0-1</v>
      </c>
      <c r="CD100" s="259" t="str">
        <f t="shared" ref="CD100:CD163" si="29">IF(CC100=CA$96,CB$96,"")</f>
        <v/>
      </c>
      <c r="CE100" s="260" t="str">
        <f t="shared" ref="CE100:CE131" si="30">IFERROR(IF($B100&lt;$CE$94,T100*(Koc*(Ocse/100)*Pse*Vse)/(Koc*(Ocse/100)*Pse*Vse+1*86400*$CE$94),""),"-")</f>
        <v>-</v>
      </c>
      <c r="CF100" s="33" t="str">
        <f t="shared" ref="CF100:CF131" ca="1" si="31">IFERROR(IF($B100&lt;$CE$94,IF(NOT(ISNUMBER(ffp)),"-",IF($F$70=$AX$87,AX100,IF($F$70=$BB$87,OFFSET(BB100,$F$21,0),IF($F$70=$BF$87,OFFSET(BF100,$F$16,0),IF($F$70=$BJ$87,OFFSET(BJ100,$F$16+$F$21,0),IF($F$70=$BN$87,OFFSET(BN100,$F$17,0),OFFSET(BR100,$F$17+$F$21,0))))))),""),"-")</f>
        <v>-</v>
      </c>
      <c r="CG100" s="33" t="str">
        <f t="shared" ref="CG100:CG163" si="32">IF($B100&lt;$CE$94,$B100&amp;"-"&amp;$B100+1,"")</f>
        <v>0-1</v>
      </c>
      <c r="CH100" s="261" t="str">
        <f t="shared" ref="CH100:CH163" ca="1" si="33">IF(CG100=CE$96,CF$96,"")</f>
        <v/>
      </c>
      <c r="CI100" s="99"/>
      <c r="CJ100" s="99"/>
      <c r="CK100" s="99"/>
      <c r="CL100" s="99"/>
      <c r="CM100" s="99"/>
      <c r="CN100" s="99"/>
      <c r="CO100" s="99"/>
    </row>
    <row r="101" spans="2:93" ht="13.5" customHeight="1" x14ac:dyDescent="0.2">
      <c r="B101" s="262">
        <v>1</v>
      </c>
      <c r="C101" s="236" t="str">
        <f t="shared" si="1"/>
        <v/>
      </c>
      <c r="D101" s="237" t="str">
        <f>IFERROR(IF(B101&lt;$F$22,IF(ISNUMBER($D$65),IF(MAX($BU$101:$BU$120)&lt;B101, "", IF(B101=VLOOKUP(B101, $BU$101:$BU$120,1,1), C101,D100-INDEX($BY$101:$BY$120, MATCH(VLOOKUP(B101, $BU$101:$BU$120,1,1), $BU$101:$BU$120)+1, 1))),D100-VLOOKUP(MAX($BU$101:$BU$120),$BU$101:$BY$120,5)),""),"-")</f>
        <v>-</v>
      </c>
      <c r="E101" s="263" t="str">
        <f t="shared" ref="E101:E164" si="34">IF(ISNUMBER($F$14),IF(ISNUMBER(AA101),AA101,""),"")</f>
        <v/>
      </c>
      <c r="F101" s="264" t="str">
        <f t="shared" ref="F101:F164" si="35">IF(OR($F$14=2,$F$14=3),IF(($F$16-$F$15)&gt;B101," ",VLOOKUP((B101-($F$16-$F$15)),$AC$100:$AI$250,7,FALSE)),"")</f>
        <v/>
      </c>
      <c r="G101" s="264" t="str">
        <f t="shared" ref="G101:G164" si="36">IF($F$14=3,IF(($F$16-$F$15)*2&gt;B101," ",VLOOKUP((B101-($F$16-$F$15)*2),$AK$100:$AQ$250,7,FALSE)),"")</f>
        <v/>
      </c>
      <c r="H101" s="240" t="str">
        <f t="shared" ref="H101:H131" si="37">IF(E101&lt;&gt;"",IF($B101&lt;$F$21,"",IF(ISNUMBER(F101),IF(ISNUMBER(I101),(E101*30*50*ffp),""),(E101*30*50*ffp))),"")</f>
        <v/>
      </c>
      <c r="I101" s="265" t="str">
        <f t="shared" si="2"/>
        <v/>
      </c>
      <c r="J101" s="265" t="str">
        <f t="shared" si="3"/>
        <v/>
      </c>
      <c r="K101" s="240" t="str">
        <f t="shared" si="4"/>
        <v/>
      </c>
      <c r="L101" s="265" t="str">
        <f t="shared" si="5"/>
        <v/>
      </c>
      <c r="M101" s="265" t="str">
        <f t="shared" si="6"/>
        <v/>
      </c>
      <c r="N101" s="240" t="str">
        <f t="shared" si="7"/>
        <v>-</v>
      </c>
      <c r="O101" s="265" t="str">
        <f t="shared" ref="O101:O131" si="38">IF(ISNUMBER($F$14),IF($F$14&gt;1,IF($B101=0+$F$16,I*($J$40/100)*$J$42*1,""),""),"-")</f>
        <v>-</v>
      </c>
      <c r="P101" s="265" t="str">
        <f t="shared" ref="P101:P131" si="39">IF(ISNUMBER($F$14),IF($F$14&gt;2,IF($B101=0+$F$17,I*($J$40/100)*$J$42*1,""),""),"-")</f>
        <v>-</v>
      </c>
      <c r="Q101" s="266" t="str">
        <f t="shared" si="8"/>
        <v>-</v>
      </c>
      <c r="R101" s="267" t="str">
        <f t="shared" ref="R101:R131" si="40">IF(ISNUMBER($F$14),IF($F$14&gt;1,IF($B101=0+$F$16,I*(dt/100)*$J$45*1,""),""),"-")</f>
        <v>-</v>
      </c>
      <c r="S101" s="268" t="str">
        <f t="shared" ref="S101:S131" si="41">IF(ISNUMBER($F$14),IF($F$14&gt;2,IF($B101=0+$F$17,I*(dt/100)*$J$45*1,""),""),"-")</f>
        <v>-</v>
      </c>
      <c r="T101" s="269" t="str">
        <f t="shared" si="9"/>
        <v/>
      </c>
      <c r="U101" s="221">
        <f t="shared" si="10"/>
        <v>1</v>
      </c>
      <c r="V101" s="220" t="str">
        <f t="shared" ref="V101:V164" si="42">IF(ISNUMBER($F$14),IF(B101&lt;($F$16-$F$15)*$F$14,INT(B101/($F$16-$F$15))+1,V99),"-")</f>
        <v>-</v>
      </c>
      <c r="W101" s="221" t="str">
        <f t="shared" ref="W101:W164" si="43">IF(ISNUMBER($F$14),IF(B101&lt;$F$14*($F$16-$F$15),B101-INT(B101/($F$16-$F$15))*($F$16-$F$15)+1,W100+1),"-")</f>
        <v>-</v>
      </c>
      <c r="X101" s="221" t="str">
        <f t="shared" si="11"/>
        <v>-</v>
      </c>
      <c r="Y101" s="221" t="str">
        <f t="shared" si="12"/>
        <v>-</v>
      </c>
      <c r="Z101" s="270">
        <f t="shared" ref="Z101:Z164" si="44">IF(Y101&gt;0,0.1,0.04)</f>
        <v>0.1</v>
      </c>
      <c r="AA101" s="271" t="str">
        <f>IFERROR(IF(V100=1,D101*EXP(-(0.04*X100+0.1*Y100)),IF(V100=2,D101*EXP(-(0.04*($F$21+X100)+0.1*(($F$16-$F$15)-$F$21+Y100))),D101*EXP(-(0.04*($F$21*2+X100)+0.1*((($F$16-$F$15)-$F$21)*2-Y100))))),"-")</f>
        <v>-</v>
      </c>
      <c r="AB101" s="271" t="str">
        <f t="shared" si="13"/>
        <v>-</v>
      </c>
      <c r="AC101" s="224">
        <f t="shared" ref="AC101:AC164" si="45">B101</f>
        <v>1</v>
      </c>
      <c r="AD101" s="223" t="str">
        <f t="shared" si="14"/>
        <v>-</v>
      </c>
      <c r="AE101" s="224" t="str">
        <f t="shared" ref="AE101:AE164" si="46">IFERROR(IF($F$14-1&gt;0,IF(B101&lt;($F$14-1)*($F$16-$F$15),B101-INT(B101/($F$16-$F$15))*($F$16-$F$15)+1,AE100+1),"-"),"-")</f>
        <v>-</v>
      </c>
      <c r="AF101" s="224" t="str">
        <f t="shared" si="15"/>
        <v>-</v>
      </c>
      <c r="AG101" s="224" t="str">
        <f t="shared" si="16"/>
        <v>-</v>
      </c>
      <c r="AH101" s="272">
        <f t="shared" ref="AH101:AH164" si="47">IF(AG101&gt;0,0.1,0.04)</f>
        <v>0.1</v>
      </c>
      <c r="AI101" s="271" t="str">
        <f t="shared" si="17"/>
        <v>-</v>
      </c>
      <c r="AJ101" s="271" t="str">
        <f t="shared" ref="AJ101:AJ112" si="48">IFERROR(IF(AD101=1,D101*EXP(-(0.04*AF101+0.1*AG101)),IF(AD101=2,D101*EXP(-(0.04*($F$21+AF101)+0.1*(($F$16-$F$15)-$F$21+AG101))),D101*EXP(-(0.04*($F$21*2+AF101)+0.1*((($F$16-$F$15)-$F$21)*2-AG101))))),"-")</f>
        <v>-</v>
      </c>
      <c r="AK101" s="227">
        <f t="shared" ref="AK101:AK164" si="49">B101</f>
        <v>1</v>
      </c>
      <c r="AL101" s="226" t="str">
        <f t="shared" si="18"/>
        <v>-</v>
      </c>
      <c r="AM101" s="227" t="str">
        <f t="shared" ref="AM101:AM164" si="50">IFERROR(IF($F$14-2&gt;0,IF(B101&lt;($F$14-2)*($F$16-$F$15),B101-INT(B101/($F$16-$F$15))*($F$16-$F$15)+1,AM100+1),"-"),"-")</f>
        <v>-</v>
      </c>
      <c r="AN101" s="227" t="str">
        <f t="shared" ref="AN101:AN164" si="51">IFERROR(IF($F$21=0,0,IF(AL101=AL100,IF(B101-(AL101-1)*($F$16-$F$15)&lt;$F$21,AN100+1,AN100),1)),"-")</f>
        <v>-</v>
      </c>
      <c r="AO101" s="227" t="str">
        <f t="shared" si="19"/>
        <v>-</v>
      </c>
      <c r="AP101" s="273">
        <f t="shared" ref="AP101:AP164" si="52">IF(AO101&gt;0,0.1,0.04)</f>
        <v>0.1</v>
      </c>
      <c r="AQ101" s="271" t="str">
        <f t="shared" ref="AQ101:AQ113" si="53">IFERROR(IF(AL100=1,D101*EXP(-(0.04*AN100+0.1*AO100)),IF(AL100=2,D101*EXP(-(0.04*($F$21+AN100)+0.1*(($F$16-$F$15)-$F$21+AO100))),D101*EXP(-(0.04*($F$21*2+AN100)+0.1*((($F$16-$F$15)-$F$21)*2-AO100))))),"-")</f>
        <v>-</v>
      </c>
      <c r="AR101" s="271" t="str">
        <f t="shared" ref="AR101:AR113" si="54">IFERROR(IF(AL101=1,D101*EXP(-(0.04*AN101+0.1*AO101)),IF(AL101=2,D101*EXP(-(0.04*($F$21+AN101)+0.1*(($F$16-$F$15)-$F$21+AO101))),D101*EXP(-(0.04*($F$21*2+AN101)+0.1*((($F$16-$F$15)-$F$21)*2-AO101))))),"-")</f>
        <v>-</v>
      </c>
      <c r="AS101" s="274">
        <f t="shared" si="20"/>
        <v>0</v>
      </c>
      <c r="AT101" s="274">
        <f t="shared" si="21"/>
        <v>0</v>
      </c>
      <c r="AU101" s="274">
        <f t="shared" si="22"/>
        <v>0</v>
      </c>
      <c r="AV101" s="275">
        <f>IF($B101&lt;$F$22,SUM($T$100:$T101),"")</f>
        <v>0</v>
      </c>
      <c r="AW101" s="275" t="str">
        <f t="shared" ref="AW101:AW131" si="55">IF(ISNUMBER(Koc),IF(ISNUMBER(AV101),AV101*(Koc*(Ocse/100)*Pse*Vse)/(Koc*(Ocse/100)*Pse*Vse+1*86400*($B101+1)),""),"-")</f>
        <v>-</v>
      </c>
      <c r="AX101" s="275" t="str">
        <f t="shared" ref="AX101:AX164" si="56">IF(ISNUMBER(AW101),IF(ISNUMBER(AV101),(AV101-AW101)/(3*86400*($B101+1))*1000,""),"")</f>
        <v/>
      </c>
      <c r="AY101"/>
      <c r="AZ101" s="275" t="str">
        <f ca="1">IF(ISNUMBER(OFFSET(AV101,-$F$21,0)),SUM(OFFSET($T$100,$F$21,0):$T101),"")</f>
        <v/>
      </c>
      <c r="BA101" s="275" t="str">
        <f t="shared" ca="1" si="23"/>
        <v/>
      </c>
      <c r="BB101" s="275" t="str">
        <f t="shared" ref="BB101:BB119" ca="1" si="57">IF(ISNUMBER(AZ101),(AZ101-BA101)/(3*86400*(OFFSET($B101,-$F$21,0)+1))*1000,"")</f>
        <v/>
      </c>
      <c r="BC101" s="190"/>
      <c r="BD101" s="275" t="str">
        <f ca="1">IFERROR(IF(AND($B101&gt;=($F$16-$F$15),$B101&lt;$F$22+($F$16-$F$15)),SUM(OFFSET($T$100,($F$16-$F$15),0):$T101),""),"")</f>
        <v/>
      </c>
      <c r="BE101" s="275" t="str">
        <f t="shared" ref="BE101:BE164" ca="1" si="58">IF(ISNUMBER(BD101),BD101*(Koc*(Ocse/100)*Pse*Vse)/(Koc*(Ocse/100)*Pse*Vse+1*86400*($B101+1)),"")</f>
        <v/>
      </c>
      <c r="BF101" s="275" t="str">
        <f t="shared" ref="BF101:BF164" ca="1" si="59">IF(ISNUMBER(BD101),(BD101-BE101)/(3*86400*($B101-($F$16-$F$15)+1))*1000,"")</f>
        <v/>
      </c>
      <c r="BG101"/>
      <c r="BH101" s="190" t="str">
        <f ca="1">IF(ISNUMBER(OFFSET(BD101,-$F$21,0)),SUM(OFFSET($T$100,($F$16-$F$15+$F$21),0):$T101),"")</f>
        <v/>
      </c>
      <c r="BI101" s="190" t="str">
        <f t="shared" ca="1" si="24"/>
        <v/>
      </c>
      <c r="BJ101" s="190" t="str">
        <f t="shared" ref="BJ101:BJ164" ca="1" si="60">IF(ISNUMBER(BH101),(BH101-BI101)/(3*86400*((OFFSET($B101,-$F$21,0)-($F$16-$F$15)+1)))*1000,"")</f>
        <v/>
      </c>
      <c r="BK101" s="190"/>
      <c r="BL101" s="275" t="str">
        <f ca="1">IFERROR(IF(AND($B101&gt;=($F$17-$F$15),$B101&lt;$F$22+($F$17-$F$15)),SUM(OFFSET($T$100,($F$17-$F$15),0):$T101),""),"")</f>
        <v/>
      </c>
      <c r="BM101" s="275" t="str">
        <f t="shared" ca="1" si="25"/>
        <v/>
      </c>
      <c r="BN101" s="275" t="str">
        <f t="shared" ref="BN101:BN164" ca="1" si="61">IF(ISNUMBER(BL101),(BL101-BM101)/(3*86400*($B101-($F$17-$F$15)+1))*1000,"")</f>
        <v/>
      </c>
      <c r="BO101"/>
      <c r="BP101" s="275" t="str">
        <f ca="1">IF(ISNUMBER(OFFSET(BL101,-$F$21,0)),SUM(OFFSET($T$100,($F$17-$F$15+$F$21),0):$T101),"")</f>
        <v/>
      </c>
      <c r="BQ101" s="275" t="str">
        <f t="shared" ref="BQ101:BQ131" ca="1" si="62">IF(ISNUMBER(OFFSET(BL101,-$F$21,0)),BP101*(Koc*(Ocse/100)*Pse*Vse)/(Koc*(Ocse/100)*Pse*Vse+1*86400*($B101+1)),"")</f>
        <v/>
      </c>
      <c r="BR101" s="275" t="str">
        <f t="shared" ref="BR101:BR164" ca="1" si="63">IF(ISNUMBER(BP101),(BP101-BQ101)/(3*86400*(OFFSET($B101,-$F$21,0)-($F$17-$F$15)+1))*1000,"")</f>
        <v/>
      </c>
      <c r="BS101" s="190"/>
      <c r="BT101"/>
      <c r="BU101" s="276" t="str">
        <f t="shared" ref="BU101:BU120" si="64">IF(B40&lt;&gt;"",B40,"end")</f>
        <v>end</v>
      </c>
      <c r="BV101" s="277">
        <v>1</v>
      </c>
      <c r="BW101" s="278">
        <f>IF(BU101&lt;&gt;"",MIN(BU100:BU101),"")</f>
        <v>0</v>
      </c>
      <c r="BX101" s="278">
        <f>IF(BU101&lt;&gt;"",MAX(BU100:BU101),"")</f>
        <v>0</v>
      </c>
      <c r="BY101" s="279" t="str">
        <f t="shared" ref="BY101:BY120" si="65">IF(B40&lt;&gt;"",(C39-C40)/(B40-B39),"")</f>
        <v/>
      </c>
      <c r="BZ101"/>
      <c r="CA101" s="280" t="str">
        <f t="shared" si="26"/>
        <v>-</v>
      </c>
      <c r="CB101" s="71" t="str">
        <f t="shared" si="27"/>
        <v>-</v>
      </c>
      <c r="CC101" s="33" t="str">
        <f t="shared" si="28"/>
        <v>1-2</v>
      </c>
      <c r="CD101" s="259" t="str">
        <f t="shared" si="29"/>
        <v/>
      </c>
      <c r="CE101" s="280" t="str">
        <f t="shared" si="30"/>
        <v>-</v>
      </c>
      <c r="CF101" s="71" t="str">
        <f t="shared" ca="1" si="31"/>
        <v>-</v>
      </c>
      <c r="CG101" s="33" t="str">
        <f t="shared" si="32"/>
        <v>1-2</v>
      </c>
      <c r="CH101" s="261" t="str">
        <f t="shared" ca="1" si="33"/>
        <v/>
      </c>
      <c r="CI101" s="99"/>
      <c r="CJ101" s="99"/>
      <c r="CK101" s="99"/>
      <c r="CL101" s="99"/>
      <c r="CM101" s="99"/>
      <c r="CN101" s="99"/>
      <c r="CO101" s="99"/>
    </row>
    <row r="102" spans="2:93" ht="13.5" customHeight="1" x14ac:dyDescent="0.2">
      <c r="B102" s="262">
        <v>2</v>
      </c>
      <c r="C102" s="237" t="str">
        <f t="shared" si="1"/>
        <v/>
      </c>
      <c r="D102" s="237" t="str">
        <f t="shared" ref="D102:D165" si="66">IFERROR(IF(B102&lt;$F$22,IF(ISNUMBER($D$65),IF(MAX($BU$101:$BU$120)&lt;B102, "", IF(B102=VLOOKUP(B102, $BU$101:$BU$120,1,1), C102,D101-INDEX($BY$101:$BY$120, MATCH(VLOOKUP(B102, $BU$101:$BU$120,1,1), $BU$101:$BU$120)+1, 1))),D101-VLOOKUP(MAX($BU$101:$BU$120),$BU$101:$BY$120,5)),""),"-")</f>
        <v>-</v>
      </c>
      <c r="E102" s="263" t="str">
        <f t="shared" si="34"/>
        <v/>
      </c>
      <c r="F102" s="264" t="str">
        <f t="shared" si="35"/>
        <v/>
      </c>
      <c r="G102" s="264" t="str">
        <f t="shared" si="36"/>
        <v/>
      </c>
      <c r="H102" s="240" t="str">
        <f t="shared" si="37"/>
        <v/>
      </c>
      <c r="I102" s="265" t="str">
        <f t="shared" si="2"/>
        <v/>
      </c>
      <c r="J102" s="265" t="str">
        <f t="shared" si="3"/>
        <v/>
      </c>
      <c r="K102" s="240" t="str">
        <f t="shared" si="4"/>
        <v/>
      </c>
      <c r="L102" s="265" t="str">
        <f t="shared" si="5"/>
        <v/>
      </c>
      <c r="M102" s="265" t="str">
        <f t="shared" si="6"/>
        <v/>
      </c>
      <c r="N102" s="240" t="str">
        <f t="shared" si="7"/>
        <v>-</v>
      </c>
      <c r="O102" s="265" t="str">
        <f t="shared" si="38"/>
        <v>-</v>
      </c>
      <c r="P102" s="265" t="str">
        <f t="shared" si="39"/>
        <v>-</v>
      </c>
      <c r="Q102" s="266" t="str">
        <f t="shared" si="8"/>
        <v>-</v>
      </c>
      <c r="R102" s="267" t="str">
        <f t="shared" si="40"/>
        <v>-</v>
      </c>
      <c r="S102" s="268" t="str">
        <f t="shared" si="41"/>
        <v>-</v>
      </c>
      <c r="T102" s="269" t="str">
        <f t="shared" si="9"/>
        <v/>
      </c>
      <c r="U102" s="221">
        <f t="shared" si="10"/>
        <v>2</v>
      </c>
      <c r="V102" s="220" t="str">
        <f t="shared" si="42"/>
        <v>-</v>
      </c>
      <c r="W102" s="221" t="str">
        <f t="shared" si="43"/>
        <v>-</v>
      </c>
      <c r="X102" s="221" t="str">
        <f t="shared" si="11"/>
        <v>-</v>
      </c>
      <c r="Y102" s="221" t="str">
        <f t="shared" si="12"/>
        <v>-</v>
      </c>
      <c r="Z102" s="270">
        <f t="shared" si="44"/>
        <v>0.1</v>
      </c>
      <c r="AA102" s="271" t="str">
        <f t="shared" ref="AA102:AA114" si="67">IFERROR(IF(V101=1,D102*EXP(-(0.04*X101+0.1*Y101)),IF(V101=2,D102*EXP(-(0.04*($F$21+X101)+0.1*(($F$16-$F$15)-$F$21+Y101))),D102*EXP(-(0.04*($F$21*2+X101)+0.1*((($F$16-$F$15)-$F$21)*2-Y101))))),"-")</f>
        <v>-</v>
      </c>
      <c r="AB102" s="271" t="str">
        <f t="shared" si="13"/>
        <v>-</v>
      </c>
      <c r="AC102" s="224">
        <f t="shared" si="45"/>
        <v>2</v>
      </c>
      <c r="AD102" s="223" t="str">
        <f t="shared" si="14"/>
        <v>-</v>
      </c>
      <c r="AE102" s="224" t="str">
        <f t="shared" si="46"/>
        <v>-</v>
      </c>
      <c r="AF102" s="224" t="str">
        <f t="shared" si="15"/>
        <v>-</v>
      </c>
      <c r="AG102" s="224" t="str">
        <f t="shared" si="16"/>
        <v>-</v>
      </c>
      <c r="AH102" s="272">
        <f t="shared" si="47"/>
        <v>0.1</v>
      </c>
      <c r="AI102" s="271" t="str">
        <f t="shared" si="17"/>
        <v>-</v>
      </c>
      <c r="AJ102" s="271" t="str">
        <f t="shared" si="48"/>
        <v>-</v>
      </c>
      <c r="AK102" s="227">
        <f t="shared" si="49"/>
        <v>2</v>
      </c>
      <c r="AL102" s="226" t="str">
        <f t="shared" si="18"/>
        <v>-</v>
      </c>
      <c r="AM102" s="227" t="str">
        <f t="shared" si="50"/>
        <v>-</v>
      </c>
      <c r="AN102" s="227" t="str">
        <f t="shared" si="51"/>
        <v>-</v>
      </c>
      <c r="AO102" s="227" t="str">
        <f t="shared" si="19"/>
        <v>-</v>
      </c>
      <c r="AP102" s="273">
        <f t="shared" si="52"/>
        <v>0.1</v>
      </c>
      <c r="AQ102" s="271" t="str">
        <f t="shared" si="53"/>
        <v>-</v>
      </c>
      <c r="AR102" s="271" t="str">
        <f t="shared" si="54"/>
        <v>-</v>
      </c>
      <c r="AS102" s="274">
        <f t="shared" si="20"/>
        <v>0</v>
      </c>
      <c r="AT102" s="274">
        <f t="shared" si="21"/>
        <v>0</v>
      </c>
      <c r="AU102" s="274">
        <f t="shared" si="22"/>
        <v>0</v>
      </c>
      <c r="AV102" s="275">
        <f>IF($B102&lt;$F$22,SUM($T$100:$T102),"")</f>
        <v>0</v>
      </c>
      <c r="AW102" s="275" t="str">
        <f t="shared" si="55"/>
        <v>-</v>
      </c>
      <c r="AX102" s="275" t="str">
        <f t="shared" si="56"/>
        <v/>
      </c>
      <c r="AY102"/>
      <c r="AZ102" s="275" t="str">
        <f ca="1">IF(ISNUMBER(OFFSET(AV102,-$F$21,0)),SUM(OFFSET($T$100,$F$21,0):$T102),"")</f>
        <v/>
      </c>
      <c r="BA102" s="275" t="str">
        <f t="shared" ca="1" si="23"/>
        <v/>
      </c>
      <c r="BB102" s="275" t="str">
        <f t="shared" ca="1" si="57"/>
        <v/>
      </c>
      <c r="BC102" s="190"/>
      <c r="BD102" s="275" t="str">
        <f ca="1">IFERROR(IF(AND($B102&gt;=($F$16-$F$15),$B102&lt;$F$22+($F$16-$F$15)),SUM(OFFSET($T$100,($F$16-$F$15),0):$T102),""),"")</f>
        <v/>
      </c>
      <c r="BE102" s="275" t="str">
        <f t="shared" ca="1" si="58"/>
        <v/>
      </c>
      <c r="BF102" s="275" t="str">
        <f t="shared" ca="1" si="59"/>
        <v/>
      </c>
      <c r="BG102"/>
      <c r="BH102" s="190" t="str">
        <f ca="1">IF(ISNUMBER(OFFSET(BD102,-$F$21,0)),SUM(OFFSET($T$100,($F$16-$F$15+$F$21),0):$T102),"")</f>
        <v/>
      </c>
      <c r="BI102" s="190" t="str">
        <f t="shared" ca="1" si="24"/>
        <v/>
      </c>
      <c r="BJ102" s="190" t="str">
        <f t="shared" ca="1" si="60"/>
        <v/>
      </c>
      <c r="BK102" s="190"/>
      <c r="BL102" s="275" t="str">
        <f ca="1">IFERROR(IF(AND($B102&gt;=($F$17-$F$15),$B102&lt;$F$22+($F$17-$F$15)),SUM(OFFSET($T$100,($F$17-$F$15),0):$T102),""),"")</f>
        <v/>
      </c>
      <c r="BM102" s="275" t="str">
        <f t="shared" ca="1" si="25"/>
        <v/>
      </c>
      <c r="BN102" s="275" t="str">
        <f t="shared" ca="1" si="61"/>
        <v/>
      </c>
      <c r="BO102"/>
      <c r="BP102" s="275" t="str">
        <f ca="1">IF(ISNUMBER(OFFSET(BL102,-$F$21,0)),SUM(OFFSET($T$100,($F$17-$F$15+$F$21),0):$T102),"")</f>
        <v/>
      </c>
      <c r="BQ102" s="275" t="str">
        <f t="shared" ca="1" si="62"/>
        <v/>
      </c>
      <c r="BR102" s="275" t="str">
        <f t="shared" ca="1" si="63"/>
        <v/>
      </c>
      <c r="BS102" s="190"/>
      <c r="BT102"/>
      <c r="BU102" s="276" t="str">
        <f t="shared" si="64"/>
        <v>end</v>
      </c>
      <c r="BV102" s="277">
        <v>2</v>
      </c>
      <c r="BW102" s="278">
        <f>IF(BU102&lt;&gt;"",MIN(BU101:BU102),"")</f>
        <v>0</v>
      </c>
      <c r="BX102" s="278">
        <f>IF(BU102&lt;&gt;"",MAX(BU101:BU102),"")</f>
        <v>0</v>
      </c>
      <c r="BY102" s="279" t="str">
        <f t="shared" si="65"/>
        <v/>
      </c>
      <c r="BZ102"/>
      <c r="CA102" s="280" t="str">
        <f t="shared" si="26"/>
        <v>-</v>
      </c>
      <c r="CB102" s="71" t="str">
        <f t="shared" si="27"/>
        <v>-</v>
      </c>
      <c r="CC102" s="33" t="str">
        <f t="shared" si="28"/>
        <v>2-3</v>
      </c>
      <c r="CD102" s="259" t="str">
        <f t="shared" si="29"/>
        <v/>
      </c>
      <c r="CE102" s="280" t="str">
        <f t="shared" si="30"/>
        <v>-</v>
      </c>
      <c r="CF102" s="71" t="str">
        <f t="shared" ca="1" si="31"/>
        <v>-</v>
      </c>
      <c r="CG102" s="33" t="str">
        <f t="shared" si="32"/>
        <v>2-3</v>
      </c>
      <c r="CH102" s="261" t="str">
        <f t="shared" ca="1" si="33"/>
        <v/>
      </c>
      <c r="CI102" s="99"/>
      <c r="CJ102" s="99"/>
      <c r="CK102" s="99"/>
      <c r="CL102" s="99"/>
      <c r="CM102" s="99"/>
      <c r="CN102" s="99"/>
      <c r="CO102" s="99"/>
    </row>
    <row r="103" spans="2:93" ht="13.5" customHeight="1" x14ac:dyDescent="0.2">
      <c r="B103" s="262">
        <v>3</v>
      </c>
      <c r="C103" s="236" t="str">
        <f t="shared" si="1"/>
        <v/>
      </c>
      <c r="D103" s="237" t="str">
        <f t="shared" si="66"/>
        <v>-</v>
      </c>
      <c r="E103" s="263" t="str">
        <f t="shared" si="34"/>
        <v/>
      </c>
      <c r="F103" s="264" t="str">
        <f t="shared" si="35"/>
        <v/>
      </c>
      <c r="G103" s="264" t="str">
        <f t="shared" si="36"/>
        <v/>
      </c>
      <c r="H103" s="240" t="str">
        <f t="shared" si="37"/>
        <v/>
      </c>
      <c r="I103" s="265" t="str">
        <f t="shared" si="2"/>
        <v/>
      </c>
      <c r="J103" s="265" t="str">
        <f t="shared" si="3"/>
        <v/>
      </c>
      <c r="K103" s="240" t="str">
        <f t="shared" si="4"/>
        <v/>
      </c>
      <c r="L103" s="265" t="str">
        <f t="shared" si="5"/>
        <v/>
      </c>
      <c r="M103" s="265" t="str">
        <f t="shared" si="6"/>
        <v/>
      </c>
      <c r="N103" s="240" t="str">
        <f t="shared" si="7"/>
        <v>-</v>
      </c>
      <c r="O103" s="265" t="str">
        <f t="shared" si="38"/>
        <v>-</v>
      </c>
      <c r="P103" s="265" t="str">
        <f t="shared" si="39"/>
        <v>-</v>
      </c>
      <c r="Q103" s="266" t="str">
        <f t="shared" si="8"/>
        <v>-</v>
      </c>
      <c r="R103" s="267" t="str">
        <f t="shared" si="40"/>
        <v>-</v>
      </c>
      <c r="S103" s="268" t="str">
        <f t="shared" si="41"/>
        <v>-</v>
      </c>
      <c r="T103" s="269" t="str">
        <f t="shared" si="9"/>
        <v/>
      </c>
      <c r="U103" s="221">
        <f t="shared" si="10"/>
        <v>3</v>
      </c>
      <c r="V103" s="220" t="str">
        <f t="shared" si="42"/>
        <v>-</v>
      </c>
      <c r="W103" s="221" t="str">
        <f t="shared" si="43"/>
        <v>-</v>
      </c>
      <c r="X103" s="221" t="str">
        <f t="shared" si="11"/>
        <v>-</v>
      </c>
      <c r="Y103" s="221" t="str">
        <f t="shared" si="12"/>
        <v>-</v>
      </c>
      <c r="Z103" s="270">
        <f t="shared" si="44"/>
        <v>0.1</v>
      </c>
      <c r="AA103" s="271" t="str">
        <f t="shared" si="67"/>
        <v>-</v>
      </c>
      <c r="AB103" s="271" t="str">
        <f t="shared" si="13"/>
        <v>-</v>
      </c>
      <c r="AC103" s="224">
        <f t="shared" si="45"/>
        <v>3</v>
      </c>
      <c r="AD103" s="223" t="str">
        <f t="shared" si="14"/>
        <v>-</v>
      </c>
      <c r="AE103" s="224" t="str">
        <f t="shared" si="46"/>
        <v>-</v>
      </c>
      <c r="AF103" s="224" t="str">
        <f t="shared" si="15"/>
        <v>-</v>
      </c>
      <c r="AG103" s="224" t="str">
        <f t="shared" si="16"/>
        <v>-</v>
      </c>
      <c r="AH103" s="272">
        <f t="shared" si="47"/>
        <v>0.1</v>
      </c>
      <c r="AI103" s="271" t="str">
        <f t="shared" si="17"/>
        <v>-</v>
      </c>
      <c r="AJ103" s="271" t="str">
        <f t="shared" si="48"/>
        <v>-</v>
      </c>
      <c r="AK103" s="227">
        <f t="shared" si="49"/>
        <v>3</v>
      </c>
      <c r="AL103" s="226" t="str">
        <f t="shared" si="18"/>
        <v>-</v>
      </c>
      <c r="AM103" s="227" t="str">
        <f t="shared" si="50"/>
        <v>-</v>
      </c>
      <c r="AN103" s="227" t="str">
        <f t="shared" si="51"/>
        <v>-</v>
      </c>
      <c r="AO103" s="227" t="str">
        <f t="shared" si="19"/>
        <v>-</v>
      </c>
      <c r="AP103" s="273">
        <f t="shared" si="52"/>
        <v>0.1</v>
      </c>
      <c r="AQ103" s="271" t="str">
        <f t="shared" si="53"/>
        <v>-</v>
      </c>
      <c r="AR103" s="271" t="str">
        <f t="shared" si="54"/>
        <v>-</v>
      </c>
      <c r="AS103" s="274">
        <f t="shared" si="20"/>
        <v>0</v>
      </c>
      <c r="AT103" s="274">
        <f t="shared" si="21"/>
        <v>0</v>
      </c>
      <c r="AU103" s="274">
        <f t="shared" si="22"/>
        <v>0</v>
      </c>
      <c r="AV103" s="275">
        <f>IF($B103&lt;$F$22,SUM($T$100:$T103),"")</f>
        <v>0</v>
      </c>
      <c r="AW103" s="275" t="str">
        <f t="shared" si="55"/>
        <v>-</v>
      </c>
      <c r="AX103" s="275" t="str">
        <f t="shared" si="56"/>
        <v/>
      </c>
      <c r="AY103"/>
      <c r="AZ103" s="275" t="str">
        <f ca="1">IF(ISNUMBER(OFFSET(AV103,-$F$21,0)),SUM(OFFSET($T$100,$F$21,0):$T103),"")</f>
        <v/>
      </c>
      <c r="BA103" s="275" t="str">
        <f t="shared" ca="1" si="23"/>
        <v/>
      </c>
      <c r="BB103" s="275" t="str">
        <f t="shared" ca="1" si="57"/>
        <v/>
      </c>
      <c r="BC103" s="190"/>
      <c r="BD103" s="275" t="str">
        <f ca="1">IFERROR(IF(AND($B103&gt;=($F$16-$F$15),$B103&lt;$F$22+($F$16-$F$15)),SUM(OFFSET($T$100,($F$16-$F$15),0):$T103),""),"")</f>
        <v/>
      </c>
      <c r="BE103" s="275" t="str">
        <f t="shared" ca="1" si="58"/>
        <v/>
      </c>
      <c r="BF103" s="275" t="str">
        <f t="shared" ca="1" si="59"/>
        <v/>
      </c>
      <c r="BG103"/>
      <c r="BH103" s="190" t="str">
        <f ca="1">IF(ISNUMBER(OFFSET(BD103,-$F$21,0)),SUM(OFFSET($T$100,($F$16-$F$15+$F$21),0):$T103),"")</f>
        <v/>
      </c>
      <c r="BI103" s="190" t="str">
        <f t="shared" ca="1" si="24"/>
        <v/>
      </c>
      <c r="BJ103" s="190" t="str">
        <f t="shared" ca="1" si="60"/>
        <v/>
      </c>
      <c r="BK103" s="190"/>
      <c r="BL103" s="275" t="str">
        <f ca="1">IFERROR(IF(AND($B103&gt;=($F$17-$F$15),$B103&lt;$F$22+($F$17-$F$15)),SUM(OFFSET($T$100,($F$17-$F$15),0):$T103),""),"")</f>
        <v/>
      </c>
      <c r="BM103" s="275" t="str">
        <f t="shared" ca="1" si="25"/>
        <v/>
      </c>
      <c r="BN103" s="275" t="str">
        <f t="shared" ca="1" si="61"/>
        <v/>
      </c>
      <c r="BO103"/>
      <c r="BP103" s="275" t="str">
        <f ca="1">IF(ISNUMBER(OFFSET(BL103,-$F$21,0)),SUM(OFFSET($T$100,($F$17-$F$15+$F$21),0):$T103),"")</f>
        <v/>
      </c>
      <c r="BQ103" s="275" t="str">
        <f t="shared" ca="1" si="62"/>
        <v/>
      </c>
      <c r="BR103" s="275" t="str">
        <f t="shared" ca="1" si="63"/>
        <v/>
      </c>
      <c r="BS103" s="190"/>
      <c r="BT103"/>
      <c r="BU103" s="276" t="str">
        <f t="shared" si="64"/>
        <v>end</v>
      </c>
      <c r="BV103" s="277">
        <v>3</v>
      </c>
      <c r="BW103" s="278">
        <f>IF(BU103&lt;&gt;"",MIN(BU102:BU103),"")</f>
        <v>0</v>
      </c>
      <c r="BX103" s="278">
        <f>IF(BU103&lt;&gt;"",MAX(BU102:BU103),"")</f>
        <v>0</v>
      </c>
      <c r="BY103" s="279" t="str">
        <f t="shared" si="65"/>
        <v/>
      </c>
      <c r="BZ103"/>
      <c r="CA103" s="280" t="str">
        <f t="shared" si="26"/>
        <v>-</v>
      </c>
      <c r="CB103" s="71" t="str">
        <f t="shared" si="27"/>
        <v>-</v>
      </c>
      <c r="CC103" s="33" t="str">
        <f t="shared" si="28"/>
        <v>3-4</v>
      </c>
      <c r="CD103" s="259" t="str">
        <f t="shared" si="29"/>
        <v/>
      </c>
      <c r="CE103" s="280" t="str">
        <f t="shared" si="30"/>
        <v>-</v>
      </c>
      <c r="CF103" s="71" t="str">
        <f t="shared" ca="1" si="31"/>
        <v>-</v>
      </c>
      <c r="CG103" s="33" t="str">
        <f t="shared" si="32"/>
        <v>3-4</v>
      </c>
      <c r="CH103" s="261" t="str">
        <f t="shared" ca="1" si="33"/>
        <v/>
      </c>
      <c r="CI103" s="99"/>
      <c r="CJ103" s="99"/>
      <c r="CK103" s="99"/>
      <c r="CL103" s="99"/>
      <c r="CM103" s="99"/>
      <c r="CN103" s="99"/>
      <c r="CO103" s="99"/>
    </row>
    <row r="104" spans="2:93" ht="13.5" customHeight="1" x14ac:dyDescent="0.2">
      <c r="B104" s="262">
        <v>4</v>
      </c>
      <c r="C104" s="237" t="str">
        <f t="shared" si="1"/>
        <v/>
      </c>
      <c r="D104" s="237" t="str">
        <f t="shared" si="66"/>
        <v>-</v>
      </c>
      <c r="E104" s="263" t="str">
        <f t="shared" si="34"/>
        <v/>
      </c>
      <c r="F104" s="264" t="str">
        <f t="shared" si="35"/>
        <v/>
      </c>
      <c r="G104" s="264" t="str">
        <f t="shared" si="36"/>
        <v/>
      </c>
      <c r="H104" s="240" t="str">
        <f t="shared" si="37"/>
        <v/>
      </c>
      <c r="I104" s="265" t="str">
        <f t="shared" si="2"/>
        <v/>
      </c>
      <c r="J104" s="265" t="str">
        <f t="shared" si="3"/>
        <v/>
      </c>
      <c r="K104" s="240" t="str">
        <f t="shared" si="4"/>
        <v/>
      </c>
      <c r="L104" s="265" t="str">
        <f t="shared" si="5"/>
        <v/>
      </c>
      <c r="M104" s="265" t="str">
        <f t="shared" si="6"/>
        <v/>
      </c>
      <c r="N104" s="240" t="str">
        <f t="shared" si="7"/>
        <v>-</v>
      </c>
      <c r="O104" s="265" t="str">
        <f t="shared" si="38"/>
        <v>-</v>
      </c>
      <c r="P104" s="265" t="str">
        <f t="shared" si="39"/>
        <v>-</v>
      </c>
      <c r="Q104" s="266" t="str">
        <f t="shared" si="8"/>
        <v>-</v>
      </c>
      <c r="R104" s="267" t="str">
        <f t="shared" si="40"/>
        <v>-</v>
      </c>
      <c r="S104" s="268" t="str">
        <f t="shared" si="41"/>
        <v>-</v>
      </c>
      <c r="T104" s="269" t="str">
        <f t="shared" si="9"/>
        <v/>
      </c>
      <c r="U104" s="221">
        <f t="shared" si="10"/>
        <v>4</v>
      </c>
      <c r="V104" s="220" t="str">
        <f t="shared" si="42"/>
        <v>-</v>
      </c>
      <c r="W104" s="221" t="str">
        <f t="shared" si="43"/>
        <v>-</v>
      </c>
      <c r="X104" s="221" t="str">
        <f t="shared" si="11"/>
        <v>-</v>
      </c>
      <c r="Y104" s="221" t="str">
        <f t="shared" si="12"/>
        <v>-</v>
      </c>
      <c r="Z104" s="270">
        <f t="shared" si="44"/>
        <v>0.1</v>
      </c>
      <c r="AA104" s="271" t="str">
        <f t="shared" si="67"/>
        <v>-</v>
      </c>
      <c r="AB104" s="271" t="str">
        <f t="shared" si="13"/>
        <v>-</v>
      </c>
      <c r="AC104" s="224">
        <f t="shared" si="45"/>
        <v>4</v>
      </c>
      <c r="AD104" s="223" t="str">
        <f t="shared" si="14"/>
        <v>-</v>
      </c>
      <c r="AE104" s="224" t="str">
        <f t="shared" si="46"/>
        <v>-</v>
      </c>
      <c r="AF104" s="224" t="str">
        <f t="shared" si="15"/>
        <v>-</v>
      </c>
      <c r="AG104" s="224" t="str">
        <f t="shared" si="16"/>
        <v>-</v>
      </c>
      <c r="AH104" s="272">
        <f t="shared" si="47"/>
        <v>0.1</v>
      </c>
      <c r="AI104" s="271" t="str">
        <f t="shared" si="17"/>
        <v>-</v>
      </c>
      <c r="AJ104" s="271" t="str">
        <f t="shared" si="48"/>
        <v>-</v>
      </c>
      <c r="AK104" s="227">
        <f t="shared" si="49"/>
        <v>4</v>
      </c>
      <c r="AL104" s="226" t="str">
        <f t="shared" si="18"/>
        <v>-</v>
      </c>
      <c r="AM104" s="227" t="str">
        <f t="shared" si="50"/>
        <v>-</v>
      </c>
      <c r="AN104" s="227" t="str">
        <f t="shared" si="51"/>
        <v>-</v>
      </c>
      <c r="AO104" s="227" t="str">
        <f t="shared" si="19"/>
        <v>-</v>
      </c>
      <c r="AP104" s="273">
        <f t="shared" si="52"/>
        <v>0.1</v>
      </c>
      <c r="AQ104" s="271" t="str">
        <f t="shared" si="53"/>
        <v>-</v>
      </c>
      <c r="AR104" s="271" t="str">
        <f t="shared" si="54"/>
        <v>-</v>
      </c>
      <c r="AS104" s="274">
        <f t="shared" si="20"/>
        <v>0</v>
      </c>
      <c r="AT104" s="274">
        <f t="shared" si="21"/>
        <v>0</v>
      </c>
      <c r="AU104" s="274">
        <f t="shared" si="22"/>
        <v>0</v>
      </c>
      <c r="AV104" s="275">
        <f>IF($B104&lt;$F$22,SUM($T$100:$T104),"")</f>
        <v>0</v>
      </c>
      <c r="AW104" s="275" t="str">
        <f t="shared" si="55"/>
        <v>-</v>
      </c>
      <c r="AX104" s="275" t="str">
        <f t="shared" si="56"/>
        <v/>
      </c>
      <c r="AY104"/>
      <c r="AZ104" s="275" t="str">
        <f ca="1">IF(ISNUMBER(OFFSET(AV104,-$F$21,0)),SUM(OFFSET($T$100,$F$21,0):$T104),"")</f>
        <v/>
      </c>
      <c r="BA104" s="275" t="str">
        <f t="shared" ca="1" si="23"/>
        <v/>
      </c>
      <c r="BB104" s="275" t="str">
        <f t="shared" ca="1" si="57"/>
        <v/>
      </c>
      <c r="BC104" s="190"/>
      <c r="BD104" s="275" t="str">
        <f ca="1">IFERROR(IF(AND($B104&gt;=($F$16-$F$15),$B104&lt;$F$22+($F$16-$F$15)),SUM(OFFSET($T$100,($F$16-$F$15),0):$T104),""),"")</f>
        <v/>
      </c>
      <c r="BE104" s="275" t="str">
        <f t="shared" ca="1" si="58"/>
        <v/>
      </c>
      <c r="BF104" s="275" t="str">
        <f t="shared" ca="1" si="59"/>
        <v/>
      </c>
      <c r="BG104"/>
      <c r="BH104" s="190" t="str">
        <f ca="1">IF(ISNUMBER(OFFSET(BD104,-$F$21,0)),SUM(OFFSET($T$100,($F$16-$F$15+$F$21),0):$T104),"")</f>
        <v/>
      </c>
      <c r="BI104" s="190" t="str">
        <f t="shared" ca="1" si="24"/>
        <v/>
      </c>
      <c r="BJ104" s="190" t="str">
        <f t="shared" ca="1" si="60"/>
        <v/>
      </c>
      <c r="BK104" s="190"/>
      <c r="BL104" s="275" t="str">
        <f ca="1">IFERROR(IF(AND($B104&gt;=($F$17-$F$15),$B104&lt;$F$22+($F$17-$F$15)),SUM(OFFSET($T$100,($F$17-$F$15),0):$T104),""),"")</f>
        <v/>
      </c>
      <c r="BM104" s="275" t="str">
        <f t="shared" ca="1" si="25"/>
        <v/>
      </c>
      <c r="BN104" s="275" t="str">
        <f t="shared" ca="1" si="61"/>
        <v/>
      </c>
      <c r="BO104"/>
      <c r="BP104" s="275" t="str">
        <f ca="1">IF(ISNUMBER(OFFSET(BL104,-$F$21,0)),SUM(OFFSET($T$100,($F$17-$F$15+$F$21),0):$T104),"")</f>
        <v/>
      </c>
      <c r="BQ104" s="275" t="str">
        <f t="shared" ca="1" si="62"/>
        <v/>
      </c>
      <c r="BR104" s="275" t="str">
        <f t="shared" ca="1" si="63"/>
        <v/>
      </c>
      <c r="BS104" s="190"/>
      <c r="BT104"/>
      <c r="BU104" s="276" t="str">
        <f t="shared" si="64"/>
        <v>end</v>
      </c>
      <c r="BV104" s="277">
        <v>4</v>
      </c>
      <c r="BW104" s="278">
        <f>IF(BU104&lt;&gt;"",MIN(BU103:BU104),"")</f>
        <v>0</v>
      </c>
      <c r="BX104" s="278">
        <f>IF(BU104&lt;&gt;"",MAX(BU103:BU104),"")</f>
        <v>0</v>
      </c>
      <c r="BY104" s="279" t="str">
        <f t="shared" si="65"/>
        <v/>
      </c>
      <c r="BZ104"/>
      <c r="CA104" s="281" t="str">
        <f t="shared" si="26"/>
        <v>-</v>
      </c>
      <c r="CB104" s="31" t="str">
        <f t="shared" si="27"/>
        <v>-</v>
      </c>
      <c r="CC104" s="24" t="str">
        <f t="shared" si="28"/>
        <v>4-5</v>
      </c>
      <c r="CD104" s="282" t="str">
        <f t="shared" si="29"/>
        <v/>
      </c>
      <c r="CE104" s="281" t="str">
        <f t="shared" si="30"/>
        <v>-</v>
      </c>
      <c r="CF104" s="31" t="str">
        <f t="shared" ca="1" si="31"/>
        <v>-</v>
      </c>
      <c r="CG104" s="24" t="str">
        <f t="shared" si="32"/>
        <v>4-5</v>
      </c>
      <c r="CH104" s="283" t="str">
        <f t="shared" ca="1" si="33"/>
        <v/>
      </c>
      <c r="CI104" s="99"/>
      <c r="CJ104" s="99"/>
      <c r="CK104" s="99"/>
      <c r="CL104" s="99"/>
      <c r="CM104" s="99"/>
      <c r="CN104" s="99"/>
      <c r="CO104" s="99"/>
    </row>
    <row r="105" spans="2:93" ht="13.5" customHeight="1" x14ac:dyDescent="0.2">
      <c r="B105" s="262">
        <v>5</v>
      </c>
      <c r="C105" s="237" t="str">
        <f t="shared" si="1"/>
        <v/>
      </c>
      <c r="D105" s="237" t="str">
        <f t="shared" si="66"/>
        <v>-</v>
      </c>
      <c r="E105" s="263" t="str">
        <f t="shared" si="34"/>
        <v/>
      </c>
      <c r="F105" s="264" t="str">
        <f t="shared" si="35"/>
        <v/>
      </c>
      <c r="G105" s="264" t="str">
        <f t="shared" si="36"/>
        <v/>
      </c>
      <c r="H105" s="240" t="str">
        <f t="shared" si="37"/>
        <v/>
      </c>
      <c r="I105" s="265" t="str">
        <f t="shared" si="2"/>
        <v/>
      </c>
      <c r="J105" s="265" t="str">
        <f t="shared" si="3"/>
        <v/>
      </c>
      <c r="K105" s="240" t="str">
        <f t="shared" si="4"/>
        <v/>
      </c>
      <c r="L105" s="265" t="str">
        <f t="shared" si="5"/>
        <v/>
      </c>
      <c r="M105" s="265" t="str">
        <f t="shared" si="6"/>
        <v/>
      </c>
      <c r="N105" s="240" t="str">
        <f t="shared" si="7"/>
        <v>-</v>
      </c>
      <c r="O105" s="265" t="str">
        <f t="shared" si="38"/>
        <v>-</v>
      </c>
      <c r="P105" s="265" t="str">
        <f t="shared" si="39"/>
        <v>-</v>
      </c>
      <c r="Q105" s="266" t="str">
        <f t="shared" si="8"/>
        <v>-</v>
      </c>
      <c r="R105" s="267" t="str">
        <f t="shared" si="40"/>
        <v>-</v>
      </c>
      <c r="S105" s="268" t="str">
        <f t="shared" si="41"/>
        <v>-</v>
      </c>
      <c r="T105" s="269" t="str">
        <f t="shared" si="9"/>
        <v/>
      </c>
      <c r="U105" s="221">
        <f t="shared" si="10"/>
        <v>5</v>
      </c>
      <c r="V105" s="220" t="str">
        <f t="shared" si="42"/>
        <v>-</v>
      </c>
      <c r="W105" s="221" t="str">
        <f t="shared" si="43"/>
        <v>-</v>
      </c>
      <c r="X105" s="221" t="str">
        <f t="shared" si="11"/>
        <v>-</v>
      </c>
      <c r="Y105" s="221" t="str">
        <f t="shared" si="12"/>
        <v>-</v>
      </c>
      <c r="Z105" s="270">
        <f t="shared" si="44"/>
        <v>0.1</v>
      </c>
      <c r="AA105" s="271" t="str">
        <f t="shared" si="67"/>
        <v>-</v>
      </c>
      <c r="AB105" s="271" t="str">
        <f t="shared" si="13"/>
        <v>-</v>
      </c>
      <c r="AC105" s="224">
        <f t="shared" si="45"/>
        <v>5</v>
      </c>
      <c r="AD105" s="223" t="str">
        <f t="shared" si="14"/>
        <v>-</v>
      </c>
      <c r="AE105" s="224" t="str">
        <f t="shared" si="46"/>
        <v>-</v>
      </c>
      <c r="AF105" s="224" t="str">
        <f t="shared" si="15"/>
        <v>-</v>
      </c>
      <c r="AG105" s="224" t="str">
        <f t="shared" si="16"/>
        <v>-</v>
      </c>
      <c r="AH105" s="272">
        <f t="shared" si="47"/>
        <v>0.1</v>
      </c>
      <c r="AI105" s="271" t="str">
        <f t="shared" si="17"/>
        <v>-</v>
      </c>
      <c r="AJ105" s="271" t="str">
        <f t="shared" si="48"/>
        <v>-</v>
      </c>
      <c r="AK105" s="227">
        <f t="shared" si="49"/>
        <v>5</v>
      </c>
      <c r="AL105" s="226" t="str">
        <f t="shared" si="18"/>
        <v>-</v>
      </c>
      <c r="AM105" s="227" t="str">
        <f t="shared" si="50"/>
        <v>-</v>
      </c>
      <c r="AN105" s="227" t="str">
        <f t="shared" si="51"/>
        <v>-</v>
      </c>
      <c r="AO105" s="227" t="str">
        <f t="shared" si="19"/>
        <v>-</v>
      </c>
      <c r="AP105" s="273">
        <f t="shared" si="52"/>
        <v>0.1</v>
      </c>
      <c r="AQ105" s="271" t="str">
        <f t="shared" si="53"/>
        <v>-</v>
      </c>
      <c r="AR105" s="271" t="str">
        <f t="shared" si="54"/>
        <v>-</v>
      </c>
      <c r="AS105" s="274">
        <f t="shared" si="20"/>
        <v>0</v>
      </c>
      <c r="AT105" s="274">
        <f t="shared" si="21"/>
        <v>0</v>
      </c>
      <c r="AU105" s="274">
        <f t="shared" si="22"/>
        <v>0</v>
      </c>
      <c r="AV105" s="275">
        <f>IF($B105&lt;$F$22,SUM($T$100:$T105),"")</f>
        <v>0</v>
      </c>
      <c r="AW105" s="275" t="str">
        <f t="shared" si="55"/>
        <v>-</v>
      </c>
      <c r="AX105" s="275" t="str">
        <f t="shared" si="56"/>
        <v/>
      </c>
      <c r="AY105"/>
      <c r="AZ105" s="275" t="str">
        <f ca="1">IF(ISNUMBER(OFFSET(AV105,-$F$21,0)),SUM(OFFSET($T$100,$F$21,0):$T105),"")</f>
        <v/>
      </c>
      <c r="BA105" s="275" t="str">
        <f t="shared" ca="1" si="23"/>
        <v/>
      </c>
      <c r="BB105" s="275" t="str">
        <f t="shared" ca="1" si="57"/>
        <v/>
      </c>
      <c r="BC105" s="190"/>
      <c r="BD105" s="275" t="str">
        <f ca="1">IFERROR(IF(AND($B105&gt;=($F$16-$F$15),$B105&lt;$F$22+($F$16-$F$15)),SUM(OFFSET($T$100,($F$16-$F$15),0):$T105),""),"")</f>
        <v/>
      </c>
      <c r="BE105" s="275" t="str">
        <f t="shared" ca="1" si="58"/>
        <v/>
      </c>
      <c r="BF105" s="275" t="str">
        <f t="shared" ca="1" si="59"/>
        <v/>
      </c>
      <c r="BG105"/>
      <c r="BH105" s="190" t="str">
        <f ca="1">IF(ISNUMBER(OFFSET(BD105,-$F$21,0)),SUM(OFFSET($T$100,($F$16-$F$15+$F$21),0):$T105),"")</f>
        <v/>
      </c>
      <c r="BI105" s="190" t="str">
        <f t="shared" ca="1" si="24"/>
        <v/>
      </c>
      <c r="BJ105" s="190" t="str">
        <f t="shared" ca="1" si="60"/>
        <v/>
      </c>
      <c r="BK105" s="190"/>
      <c r="BL105" s="275" t="str">
        <f ca="1">IFERROR(IF(AND($B105&gt;=($F$17-$F$15),$B105&lt;$F$22+($F$17-$F$15)),SUM(OFFSET($T$100,($F$17-$F$15),0):$T105),""),"")</f>
        <v/>
      </c>
      <c r="BM105" s="275" t="str">
        <f t="shared" ca="1" si="25"/>
        <v/>
      </c>
      <c r="BN105" s="275" t="str">
        <f t="shared" ca="1" si="61"/>
        <v/>
      </c>
      <c r="BO105"/>
      <c r="BP105" s="275" t="str">
        <f ca="1">IF(ISNUMBER(OFFSET(BL105,-$F$21,0)),SUM(OFFSET($T$100,($F$17-$F$15+$F$21),0):$T105),"")</f>
        <v/>
      </c>
      <c r="BQ105" s="275" t="str">
        <f t="shared" ca="1" si="62"/>
        <v/>
      </c>
      <c r="BR105" s="275" t="str">
        <f t="shared" ca="1" si="63"/>
        <v/>
      </c>
      <c r="BS105" s="190"/>
      <c r="BT105"/>
      <c r="BU105" s="276" t="str">
        <f t="shared" si="64"/>
        <v>end</v>
      </c>
      <c r="BV105" s="277">
        <v>5</v>
      </c>
      <c r="BW105" s="278">
        <f>IF(BU105&lt;&gt;"",MIN(BU104:BU105),"")</f>
        <v>0</v>
      </c>
      <c r="BX105" s="278">
        <f>IF(BU105&lt;&gt;"",MAX(BU104:BU105),"")</f>
        <v>0</v>
      </c>
      <c r="BY105" s="279" t="str">
        <f t="shared" si="65"/>
        <v/>
      </c>
      <c r="BZ105"/>
      <c r="CA105" s="284" t="str">
        <f t="shared" si="26"/>
        <v>-</v>
      </c>
      <c r="CB105" s="285" t="str">
        <f t="shared" si="27"/>
        <v>-</v>
      </c>
      <c r="CC105" s="285" t="str">
        <f t="shared" si="28"/>
        <v>5-6</v>
      </c>
      <c r="CD105" s="286" t="str">
        <f t="shared" si="29"/>
        <v/>
      </c>
      <c r="CE105" s="287" t="str">
        <f t="shared" si="30"/>
        <v>-</v>
      </c>
      <c r="CF105" s="285" t="str">
        <f t="shared" ca="1" si="31"/>
        <v>-</v>
      </c>
      <c r="CG105" s="285" t="str">
        <f t="shared" si="32"/>
        <v>5-6</v>
      </c>
      <c r="CH105" s="288" t="str">
        <f t="shared" ca="1" si="33"/>
        <v/>
      </c>
      <c r="CI105" s="99"/>
      <c r="CJ105" s="99"/>
      <c r="CK105" s="99"/>
      <c r="CL105" s="99"/>
      <c r="CM105" s="99"/>
      <c r="CN105" s="99"/>
      <c r="CO105" s="99"/>
    </row>
    <row r="106" spans="2:93" ht="13.5" customHeight="1" x14ac:dyDescent="0.2">
      <c r="B106" s="262">
        <v>6</v>
      </c>
      <c r="C106" s="237" t="str">
        <f t="shared" si="1"/>
        <v/>
      </c>
      <c r="D106" s="237" t="str">
        <f t="shared" si="66"/>
        <v>-</v>
      </c>
      <c r="E106" s="263" t="str">
        <f t="shared" si="34"/>
        <v/>
      </c>
      <c r="F106" s="264" t="str">
        <f t="shared" si="35"/>
        <v/>
      </c>
      <c r="G106" s="264" t="str">
        <f t="shared" si="36"/>
        <v/>
      </c>
      <c r="H106" s="240" t="str">
        <f t="shared" si="37"/>
        <v/>
      </c>
      <c r="I106" s="265" t="str">
        <f t="shared" si="2"/>
        <v/>
      </c>
      <c r="J106" s="265" t="str">
        <f t="shared" si="3"/>
        <v/>
      </c>
      <c r="K106" s="240" t="str">
        <f t="shared" si="4"/>
        <v/>
      </c>
      <c r="L106" s="265" t="str">
        <f t="shared" si="5"/>
        <v/>
      </c>
      <c r="M106" s="265" t="str">
        <f t="shared" si="6"/>
        <v/>
      </c>
      <c r="N106" s="240" t="str">
        <f t="shared" si="7"/>
        <v>-</v>
      </c>
      <c r="O106" s="265" t="str">
        <f t="shared" si="38"/>
        <v>-</v>
      </c>
      <c r="P106" s="265" t="str">
        <f t="shared" si="39"/>
        <v>-</v>
      </c>
      <c r="Q106" s="266" t="str">
        <f t="shared" si="8"/>
        <v>-</v>
      </c>
      <c r="R106" s="267" t="str">
        <f t="shared" si="40"/>
        <v>-</v>
      </c>
      <c r="S106" s="268" t="str">
        <f t="shared" si="41"/>
        <v>-</v>
      </c>
      <c r="T106" s="269" t="str">
        <f t="shared" si="9"/>
        <v/>
      </c>
      <c r="U106" s="221">
        <f t="shared" si="10"/>
        <v>6</v>
      </c>
      <c r="V106" s="220" t="str">
        <f t="shared" si="42"/>
        <v>-</v>
      </c>
      <c r="W106" s="221" t="str">
        <f t="shared" si="43"/>
        <v>-</v>
      </c>
      <c r="X106" s="221" t="str">
        <f t="shared" si="11"/>
        <v>-</v>
      </c>
      <c r="Y106" s="221" t="str">
        <f t="shared" si="12"/>
        <v>-</v>
      </c>
      <c r="Z106" s="270">
        <f t="shared" si="44"/>
        <v>0.1</v>
      </c>
      <c r="AA106" s="271" t="str">
        <f t="shared" si="67"/>
        <v>-</v>
      </c>
      <c r="AB106" s="271" t="str">
        <f t="shared" si="13"/>
        <v>-</v>
      </c>
      <c r="AC106" s="224">
        <f t="shared" si="45"/>
        <v>6</v>
      </c>
      <c r="AD106" s="223" t="str">
        <f t="shared" si="14"/>
        <v>-</v>
      </c>
      <c r="AE106" s="224" t="str">
        <f t="shared" si="46"/>
        <v>-</v>
      </c>
      <c r="AF106" s="224" t="str">
        <f t="shared" si="15"/>
        <v>-</v>
      </c>
      <c r="AG106" s="224" t="str">
        <f t="shared" si="16"/>
        <v>-</v>
      </c>
      <c r="AH106" s="272">
        <f t="shared" si="47"/>
        <v>0.1</v>
      </c>
      <c r="AI106" s="271" t="str">
        <f t="shared" si="17"/>
        <v>-</v>
      </c>
      <c r="AJ106" s="271" t="str">
        <f t="shared" si="48"/>
        <v>-</v>
      </c>
      <c r="AK106" s="227">
        <f t="shared" si="49"/>
        <v>6</v>
      </c>
      <c r="AL106" s="226" t="str">
        <f t="shared" si="18"/>
        <v>-</v>
      </c>
      <c r="AM106" s="227" t="str">
        <f t="shared" si="50"/>
        <v>-</v>
      </c>
      <c r="AN106" s="227" t="str">
        <f t="shared" si="51"/>
        <v>-</v>
      </c>
      <c r="AO106" s="227" t="str">
        <f t="shared" si="19"/>
        <v>-</v>
      </c>
      <c r="AP106" s="273">
        <f t="shared" si="52"/>
        <v>0.1</v>
      </c>
      <c r="AQ106" s="271" t="str">
        <f t="shared" si="53"/>
        <v>-</v>
      </c>
      <c r="AR106" s="271" t="str">
        <f t="shared" si="54"/>
        <v>-</v>
      </c>
      <c r="AS106" s="274">
        <f t="shared" si="20"/>
        <v>0</v>
      </c>
      <c r="AT106" s="274">
        <f t="shared" si="21"/>
        <v>0</v>
      </c>
      <c r="AU106" s="274">
        <f t="shared" si="22"/>
        <v>0</v>
      </c>
      <c r="AV106" s="275">
        <f>IF($B106&lt;$F$22,SUM($T$100:$T106),"")</f>
        <v>0</v>
      </c>
      <c r="AW106" s="275" t="str">
        <f t="shared" si="55"/>
        <v>-</v>
      </c>
      <c r="AX106" s="275" t="str">
        <f t="shared" si="56"/>
        <v/>
      </c>
      <c r="AY106"/>
      <c r="AZ106" s="275" t="str">
        <f ca="1">IF(ISNUMBER(OFFSET(AV106,-$F$21,0)),SUM(OFFSET($T$100,$F$21,0):$T106),"")</f>
        <v/>
      </c>
      <c r="BA106" s="275" t="str">
        <f t="shared" ca="1" si="23"/>
        <v/>
      </c>
      <c r="BB106" s="275" t="str">
        <f t="shared" ca="1" si="57"/>
        <v/>
      </c>
      <c r="BC106" s="190"/>
      <c r="BD106" s="275" t="str">
        <f ca="1">IFERROR(IF(AND($B106&gt;=($F$16-$F$15),$B106&lt;$F$22+($F$16-$F$15)),SUM(OFFSET($T$100,($F$16-$F$15),0):$T106),""),"")</f>
        <v/>
      </c>
      <c r="BE106" s="275" t="str">
        <f t="shared" ca="1" si="58"/>
        <v/>
      </c>
      <c r="BF106" s="275" t="str">
        <f t="shared" ca="1" si="59"/>
        <v/>
      </c>
      <c r="BG106"/>
      <c r="BH106" s="190" t="str">
        <f ca="1">IF(ISNUMBER(OFFSET(BD106,-$F$21,0)),SUM(OFFSET($T$100,($F$16-$F$15+$F$21),0):$T106),"")</f>
        <v/>
      </c>
      <c r="BI106" s="190" t="str">
        <f t="shared" ca="1" si="24"/>
        <v/>
      </c>
      <c r="BJ106" s="190" t="str">
        <f t="shared" ca="1" si="60"/>
        <v/>
      </c>
      <c r="BK106" s="190"/>
      <c r="BL106" s="275" t="str">
        <f ca="1">IFERROR(IF(AND($B106&gt;=($F$17-$F$15),$B106&lt;$F$22+($F$17-$F$15)),SUM(OFFSET($T$100,($F$17-$F$15),0):$T106),""),"")</f>
        <v/>
      </c>
      <c r="BM106" s="275" t="str">
        <f t="shared" ca="1" si="25"/>
        <v/>
      </c>
      <c r="BN106" s="275" t="str">
        <f t="shared" ca="1" si="61"/>
        <v/>
      </c>
      <c r="BO106"/>
      <c r="BP106" s="275" t="str">
        <f ca="1">IF(ISNUMBER(OFFSET(BL106,-$F$21,0)),SUM(OFFSET($T$100,($F$17-$F$15+$F$21),0):$T106),"")</f>
        <v/>
      </c>
      <c r="BQ106" s="275" t="str">
        <f t="shared" ca="1" si="62"/>
        <v/>
      </c>
      <c r="BR106" s="275" t="str">
        <f t="shared" ca="1" si="63"/>
        <v/>
      </c>
      <c r="BS106" s="190"/>
      <c r="BT106"/>
      <c r="BU106" s="276" t="str">
        <f t="shared" si="64"/>
        <v>end</v>
      </c>
      <c r="BV106" s="277">
        <v>6</v>
      </c>
      <c r="BW106" s="278" t="str">
        <f>IF(AND(BU106="end",BU105="end"), "", IF(BU106&lt;&gt;"",MIN(BU105:BU106),""))</f>
        <v/>
      </c>
      <c r="BX106" s="278" t="str">
        <f>IF(AND(BU106="end",BU105="end"), "", IF(BU106&lt;&gt;"",MAX(BU105:BU106),""))</f>
        <v/>
      </c>
      <c r="BY106" s="279" t="str">
        <f t="shared" si="65"/>
        <v/>
      </c>
      <c r="BZ106"/>
      <c r="CA106" s="284" t="str">
        <f t="shared" si="26"/>
        <v>-</v>
      </c>
      <c r="CB106" s="285" t="str">
        <f t="shared" si="27"/>
        <v>-</v>
      </c>
      <c r="CC106" s="285" t="str">
        <f t="shared" si="28"/>
        <v>6-7</v>
      </c>
      <c r="CD106" s="286" t="str">
        <f t="shared" si="29"/>
        <v/>
      </c>
      <c r="CE106" s="287" t="str">
        <f t="shared" si="30"/>
        <v>-</v>
      </c>
      <c r="CF106" s="285" t="str">
        <f t="shared" ca="1" si="31"/>
        <v>-</v>
      </c>
      <c r="CG106" s="285" t="str">
        <f t="shared" si="32"/>
        <v>6-7</v>
      </c>
      <c r="CH106" s="288" t="str">
        <f t="shared" ca="1" si="33"/>
        <v/>
      </c>
      <c r="CI106" s="99"/>
      <c r="CJ106" s="99"/>
      <c r="CK106" s="99"/>
      <c r="CL106" s="99"/>
      <c r="CM106" s="99"/>
      <c r="CN106" s="99"/>
      <c r="CO106" s="99"/>
    </row>
    <row r="107" spans="2:93" ht="13.5" customHeight="1" x14ac:dyDescent="0.2">
      <c r="B107" s="262">
        <v>7</v>
      </c>
      <c r="C107" s="236" t="str">
        <f t="shared" si="1"/>
        <v/>
      </c>
      <c r="D107" s="237" t="str">
        <f t="shared" si="66"/>
        <v>-</v>
      </c>
      <c r="E107" s="263" t="str">
        <f t="shared" si="34"/>
        <v/>
      </c>
      <c r="F107" s="264" t="str">
        <f t="shared" si="35"/>
        <v/>
      </c>
      <c r="G107" s="264" t="str">
        <f t="shared" si="36"/>
        <v/>
      </c>
      <c r="H107" s="240" t="str">
        <f t="shared" si="37"/>
        <v/>
      </c>
      <c r="I107" s="265" t="str">
        <f t="shared" si="2"/>
        <v/>
      </c>
      <c r="J107" s="265" t="str">
        <f t="shared" si="3"/>
        <v/>
      </c>
      <c r="K107" s="240" t="str">
        <f t="shared" si="4"/>
        <v/>
      </c>
      <c r="L107" s="265" t="str">
        <f t="shared" si="5"/>
        <v/>
      </c>
      <c r="M107" s="265" t="str">
        <f t="shared" si="6"/>
        <v/>
      </c>
      <c r="N107" s="240" t="str">
        <f t="shared" si="7"/>
        <v>-</v>
      </c>
      <c r="O107" s="265" t="str">
        <f t="shared" si="38"/>
        <v>-</v>
      </c>
      <c r="P107" s="265" t="str">
        <f t="shared" si="39"/>
        <v>-</v>
      </c>
      <c r="Q107" s="266" t="str">
        <f t="shared" si="8"/>
        <v>-</v>
      </c>
      <c r="R107" s="267" t="str">
        <f t="shared" si="40"/>
        <v>-</v>
      </c>
      <c r="S107" s="268" t="str">
        <f t="shared" si="41"/>
        <v>-</v>
      </c>
      <c r="T107" s="269" t="str">
        <f t="shared" si="9"/>
        <v/>
      </c>
      <c r="U107" s="221">
        <f t="shared" si="10"/>
        <v>7</v>
      </c>
      <c r="V107" s="220" t="str">
        <f t="shared" si="42"/>
        <v>-</v>
      </c>
      <c r="W107" s="221" t="str">
        <f t="shared" si="43"/>
        <v>-</v>
      </c>
      <c r="X107" s="221" t="str">
        <f t="shared" si="11"/>
        <v>-</v>
      </c>
      <c r="Y107" s="221" t="str">
        <f t="shared" si="12"/>
        <v>-</v>
      </c>
      <c r="Z107" s="270">
        <f t="shared" si="44"/>
        <v>0.1</v>
      </c>
      <c r="AA107" s="271" t="str">
        <f t="shared" si="67"/>
        <v>-</v>
      </c>
      <c r="AB107" s="271" t="str">
        <f t="shared" si="13"/>
        <v>-</v>
      </c>
      <c r="AC107" s="224">
        <f t="shared" si="45"/>
        <v>7</v>
      </c>
      <c r="AD107" s="223" t="str">
        <f t="shared" si="14"/>
        <v>-</v>
      </c>
      <c r="AE107" s="224" t="str">
        <f t="shared" si="46"/>
        <v>-</v>
      </c>
      <c r="AF107" s="224" t="str">
        <f t="shared" si="15"/>
        <v>-</v>
      </c>
      <c r="AG107" s="224" t="str">
        <f t="shared" si="16"/>
        <v>-</v>
      </c>
      <c r="AH107" s="272">
        <f t="shared" si="47"/>
        <v>0.1</v>
      </c>
      <c r="AI107" s="271" t="str">
        <f t="shared" si="17"/>
        <v>-</v>
      </c>
      <c r="AJ107" s="271" t="str">
        <f t="shared" si="48"/>
        <v>-</v>
      </c>
      <c r="AK107" s="227">
        <f t="shared" si="49"/>
        <v>7</v>
      </c>
      <c r="AL107" s="226" t="str">
        <f t="shared" si="18"/>
        <v>-</v>
      </c>
      <c r="AM107" s="227" t="str">
        <f t="shared" si="50"/>
        <v>-</v>
      </c>
      <c r="AN107" s="227" t="str">
        <f t="shared" si="51"/>
        <v>-</v>
      </c>
      <c r="AO107" s="227" t="str">
        <f t="shared" si="19"/>
        <v>-</v>
      </c>
      <c r="AP107" s="273">
        <f t="shared" si="52"/>
        <v>0.1</v>
      </c>
      <c r="AQ107" s="271" t="str">
        <f t="shared" si="53"/>
        <v>-</v>
      </c>
      <c r="AR107" s="271" t="str">
        <f t="shared" si="54"/>
        <v>-</v>
      </c>
      <c r="AS107" s="274">
        <f t="shared" si="20"/>
        <v>0</v>
      </c>
      <c r="AT107" s="274">
        <f t="shared" si="21"/>
        <v>0</v>
      </c>
      <c r="AU107" s="274">
        <f t="shared" si="22"/>
        <v>0</v>
      </c>
      <c r="AV107" s="275">
        <f>IF($B107&lt;$F$22,SUM($T$100:$T107),"")</f>
        <v>0</v>
      </c>
      <c r="AW107" s="275" t="str">
        <f t="shared" si="55"/>
        <v>-</v>
      </c>
      <c r="AX107" s="275" t="str">
        <f t="shared" si="56"/>
        <v/>
      </c>
      <c r="AY107"/>
      <c r="AZ107" s="275" t="str">
        <f ca="1">IF(ISNUMBER(OFFSET(AV107,-$F$21,0)),SUM(OFFSET($T$100,$F$21,0):$T107),"")</f>
        <v/>
      </c>
      <c r="BA107" s="275" t="str">
        <f t="shared" ca="1" si="23"/>
        <v/>
      </c>
      <c r="BB107" s="275" t="str">
        <f t="shared" ca="1" si="57"/>
        <v/>
      </c>
      <c r="BC107" s="190"/>
      <c r="BD107" s="275" t="str">
        <f ca="1">IFERROR(IF(AND($B107&gt;=($F$16-$F$15),$B107&lt;$F$22+($F$16-$F$15)),SUM(OFFSET($T$100,($F$16-$F$15),0):$T107),""),"")</f>
        <v/>
      </c>
      <c r="BE107" s="275" t="str">
        <f t="shared" ca="1" si="58"/>
        <v/>
      </c>
      <c r="BF107" s="275" t="str">
        <f t="shared" ca="1" si="59"/>
        <v/>
      </c>
      <c r="BG107"/>
      <c r="BH107" s="190" t="str">
        <f ca="1">IF(ISNUMBER(OFFSET(BD107,-$F$21,0)),SUM(OFFSET($T$100,($F$16-$F$15+$F$21),0):$T107),"")</f>
        <v/>
      </c>
      <c r="BI107" s="190" t="str">
        <f t="shared" ca="1" si="24"/>
        <v/>
      </c>
      <c r="BJ107" s="190" t="str">
        <f t="shared" ca="1" si="60"/>
        <v/>
      </c>
      <c r="BK107" s="190"/>
      <c r="BL107" s="275" t="str">
        <f ca="1">IFERROR(IF(AND($B107&gt;=($F$17-$F$15),$B107&lt;$F$22+($F$17-$F$15)),SUM(OFFSET($T$100,($F$17-$F$15),0):$T107),""),"")</f>
        <v/>
      </c>
      <c r="BM107" s="275" t="str">
        <f t="shared" ca="1" si="25"/>
        <v/>
      </c>
      <c r="BN107" s="275" t="str">
        <f t="shared" ca="1" si="61"/>
        <v/>
      </c>
      <c r="BO107"/>
      <c r="BP107" s="275" t="str">
        <f ca="1">IF(ISNUMBER(OFFSET(BL107,-$F$21,0)),SUM(OFFSET($T$100,($F$17-$F$15+$F$21),0):$T107),"")</f>
        <v/>
      </c>
      <c r="BQ107" s="275" t="str">
        <f t="shared" ca="1" si="62"/>
        <v/>
      </c>
      <c r="BR107" s="275" t="str">
        <f t="shared" ca="1" si="63"/>
        <v/>
      </c>
      <c r="BS107" s="190"/>
      <c r="BT107"/>
      <c r="BU107" s="276" t="str">
        <f t="shared" si="64"/>
        <v>end</v>
      </c>
      <c r="BV107" s="277">
        <v>7</v>
      </c>
      <c r="BW107" s="278" t="str">
        <f>IF(AND(BU107="end",BU106="end"), "", IF(BU107&lt;&gt;"",MIN(BU106:BU107),""))</f>
        <v/>
      </c>
      <c r="BX107" s="278" t="str">
        <f t="shared" ref="BX107:BX120" si="68">IF(AND(BU107="end",BU106="end"), "", IF(BU107&lt;&gt;"",MAX(BU106:BU107),""))</f>
        <v/>
      </c>
      <c r="BY107" s="279" t="str">
        <f t="shared" si="65"/>
        <v/>
      </c>
      <c r="BZ107"/>
      <c r="CA107" s="284" t="str">
        <f t="shared" si="26"/>
        <v>-</v>
      </c>
      <c r="CB107" s="285" t="str">
        <f t="shared" si="27"/>
        <v>-</v>
      </c>
      <c r="CC107" s="285" t="str">
        <f t="shared" si="28"/>
        <v>7-8</v>
      </c>
      <c r="CD107" s="286" t="str">
        <f t="shared" si="29"/>
        <v/>
      </c>
      <c r="CE107" s="287" t="str">
        <f t="shared" si="30"/>
        <v>-</v>
      </c>
      <c r="CF107" s="285" t="str">
        <f t="shared" ca="1" si="31"/>
        <v>-</v>
      </c>
      <c r="CG107" s="285" t="str">
        <f t="shared" si="32"/>
        <v>7-8</v>
      </c>
      <c r="CH107" s="288" t="str">
        <f t="shared" ca="1" si="33"/>
        <v/>
      </c>
      <c r="CI107" s="99"/>
      <c r="CJ107" s="99"/>
      <c r="CK107" s="99"/>
      <c r="CL107" s="99"/>
      <c r="CM107" s="99"/>
      <c r="CN107" s="99"/>
      <c r="CO107" s="99"/>
    </row>
    <row r="108" spans="2:93" ht="13.5" customHeight="1" x14ac:dyDescent="0.2">
      <c r="B108" s="262">
        <v>8</v>
      </c>
      <c r="C108" s="237" t="str">
        <f t="shared" si="1"/>
        <v/>
      </c>
      <c r="D108" s="237" t="str">
        <f t="shared" si="66"/>
        <v>-</v>
      </c>
      <c r="E108" s="263" t="str">
        <f t="shared" si="34"/>
        <v/>
      </c>
      <c r="F108" s="264" t="str">
        <f t="shared" si="35"/>
        <v/>
      </c>
      <c r="G108" s="264" t="str">
        <f t="shared" si="36"/>
        <v/>
      </c>
      <c r="H108" s="240" t="str">
        <f t="shared" si="37"/>
        <v/>
      </c>
      <c r="I108" s="265" t="str">
        <f t="shared" si="2"/>
        <v/>
      </c>
      <c r="J108" s="265" t="str">
        <f t="shared" si="3"/>
        <v/>
      </c>
      <c r="K108" s="240" t="str">
        <f t="shared" si="4"/>
        <v/>
      </c>
      <c r="L108" s="265" t="str">
        <f t="shared" si="5"/>
        <v/>
      </c>
      <c r="M108" s="265" t="str">
        <f t="shared" si="6"/>
        <v/>
      </c>
      <c r="N108" s="240" t="str">
        <f t="shared" si="7"/>
        <v>-</v>
      </c>
      <c r="O108" s="265" t="str">
        <f t="shared" si="38"/>
        <v>-</v>
      </c>
      <c r="P108" s="265" t="str">
        <f t="shared" si="39"/>
        <v>-</v>
      </c>
      <c r="Q108" s="266" t="str">
        <f t="shared" si="8"/>
        <v>-</v>
      </c>
      <c r="R108" s="267" t="str">
        <f t="shared" si="40"/>
        <v>-</v>
      </c>
      <c r="S108" s="268" t="str">
        <f t="shared" si="41"/>
        <v>-</v>
      </c>
      <c r="T108" s="269" t="str">
        <f t="shared" si="9"/>
        <v/>
      </c>
      <c r="U108" s="221">
        <f t="shared" si="10"/>
        <v>8</v>
      </c>
      <c r="V108" s="220" t="str">
        <f t="shared" si="42"/>
        <v>-</v>
      </c>
      <c r="W108" s="221" t="str">
        <f t="shared" si="43"/>
        <v>-</v>
      </c>
      <c r="X108" s="221" t="str">
        <f t="shared" si="11"/>
        <v>-</v>
      </c>
      <c r="Y108" s="221" t="str">
        <f t="shared" si="12"/>
        <v>-</v>
      </c>
      <c r="Z108" s="270">
        <f t="shared" si="44"/>
        <v>0.1</v>
      </c>
      <c r="AA108" s="271" t="str">
        <f t="shared" si="67"/>
        <v>-</v>
      </c>
      <c r="AB108" s="271" t="str">
        <f t="shared" si="13"/>
        <v>-</v>
      </c>
      <c r="AC108" s="224">
        <f t="shared" si="45"/>
        <v>8</v>
      </c>
      <c r="AD108" s="223" t="str">
        <f t="shared" si="14"/>
        <v>-</v>
      </c>
      <c r="AE108" s="224" t="str">
        <f t="shared" si="46"/>
        <v>-</v>
      </c>
      <c r="AF108" s="224" t="str">
        <f t="shared" si="15"/>
        <v>-</v>
      </c>
      <c r="AG108" s="224" t="str">
        <f t="shared" si="16"/>
        <v>-</v>
      </c>
      <c r="AH108" s="272">
        <f t="shared" si="47"/>
        <v>0.1</v>
      </c>
      <c r="AI108" s="271" t="str">
        <f t="shared" si="17"/>
        <v>-</v>
      </c>
      <c r="AJ108" s="271" t="str">
        <f t="shared" si="48"/>
        <v>-</v>
      </c>
      <c r="AK108" s="227">
        <f t="shared" si="49"/>
        <v>8</v>
      </c>
      <c r="AL108" s="226" t="str">
        <f t="shared" si="18"/>
        <v>-</v>
      </c>
      <c r="AM108" s="227" t="str">
        <f t="shared" si="50"/>
        <v>-</v>
      </c>
      <c r="AN108" s="227" t="str">
        <f t="shared" si="51"/>
        <v>-</v>
      </c>
      <c r="AO108" s="227" t="str">
        <f t="shared" si="19"/>
        <v>-</v>
      </c>
      <c r="AP108" s="273">
        <f t="shared" si="52"/>
        <v>0.1</v>
      </c>
      <c r="AQ108" s="271" t="str">
        <f t="shared" si="53"/>
        <v>-</v>
      </c>
      <c r="AR108" s="271" t="str">
        <f t="shared" si="54"/>
        <v>-</v>
      </c>
      <c r="AS108" s="274">
        <f t="shared" si="20"/>
        <v>0</v>
      </c>
      <c r="AT108" s="274">
        <f t="shared" si="21"/>
        <v>0</v>
      </c>
      <c r="AU108" s="274">
        <f t="shared" si="22"/>
        <v>0</v>
      </c>
      <c r="AV108" s="275">
        <f>IF($B108&lt;$F$22,SUM($T$100:$T108),"")</f>
        <v>0</v>
      </c>
      <c r="AW108" s="275" t="str">
        <f t="shared" si="55"/>
        <v>-</v>
      </c>
      <c r="AX108" s="275" t="str">
        <f t="shared" si="56"/>
        <v/>
      </c>
      <c r="AY108"/>
      <c r="AZ108" s="275" t="str">
        <f ca="1">IF(ISNUMBER(OFFSET(AV108,-$F$21,0)),SUM(OFFSET($T$100,$F$21,0):$T108),"")</f>
        <v/>
      </c>
      <c r="BA108" s="275" t="str">
        <f t="shared" ca="1" si="23"/>
        <v/>
      </c>
      <c r="BB108" s="275" t="str">
        <f t="shared" ca="1" si="57"/>
        <v/>
      </c>
      <c r="BC108" s="190"/>
      <c r="BD108" s="275" t="str">
        <f ca="1">IFERROR(IF(AND($B108&gt;=($F$16-$F$15),$B108&lt;$F$22+($F$16-$F$15)),SUM(OFFSET($T$100,($F$16-$F$15),0):$T108),""),"")</f>
        <v/>
      </c>
      <c r="BE108" s="275" t="str">
        <f t="shared" ca="1" si="58"/>
        <v/>
      </c>
      <c r="BF108" s="275" t="str">
        <f t="shared" ca="1" si="59"/>
        <v/>
      </c>
      <c r="BG108"/>
      <c r="BH108" s="190" t="str">
        <f ca="1">IF(ISNUMBER(OFFSET(BD108,-$F$21,0)),SUM(OFFSET($T$100,($F$16-$F$15+$F$21),0):$T108),"")</f>
        <v/>
      </c>
      <c r="BI108" s="190" t="str">
        <f t="shared" ca="1" si="24"/>
        <v/>
      </c>
      <c r="BJ108" s="190" t="str">
        <f t="shared" ca="1" si="60"/>
        <v/>
      </c>
      <c r="BK108" s="190"/>
      <c r="BL108" s="275" t="str">
        <f ca="1">IFERROR(IF(AND($B108&gt;=($F$17-$F$15),$B108&lt;$F$22+($F$17-$F$15)),SUM(OFFSET($T$100,($F$17-$F$15),0):$T108),""),"")</f>
        <v/>
      </c>
      <c r="BM108" s="275" t="str">
        <f t="shared" ca="1" si="25"/>
        <v/>
      </c>
      <c r="BN108" s="275" t="str">
        <f t="shared" ca="1" si="61"/>
        <v/>
      </c>
      <c r="BO108"/>
      <c r="BP108" s="275" t="str">
        <f ca="1">IF(ISNUMBER(OFFSET(BL108,-$F$21,0)),SUM(OFFSET($T$100,($F$17-$F$15+$F$21),0):$T108),"")</f>
        <v/>
      </c>
      <c r="BQ108" s="275" t="str">
        <f t="shared" ca="1" si="62"/>
        <v/>
      </c>
      <c r="BR108" s="275" t="str">
        <f t="shared" ca="1" si="63"/>
        <v/>
      </c>
      <c r="BS108" s="190"/>
      <c r="BT108"/>
      <c r="BU108" s="276" t="str">
        <f t="shared" si="64"/>
        <v>end</v>
      </c>
      <c r="BV108" s="277">
        <v>8</v>
      </c>
      <c r="BW108" s="278" t="str">
        <f t="shared" ref="BW108:BW120" si="69">IF(AND(BU108="end",BU107="end"), "", IF(BU108&lt;&gt;"",MIN(BU107:BU108),""))</f>
        <v/>
      </c>
      <c r="BX108" s="278" t="str">
        <f t="shared" si="68"/>
        <v/>
      </c>
      <c r="BY108" s="279" t="str">
        <f t="shared" si="65"/>
        <v/>
      </c>
      <c r="BZ108"/>
      <c r="CA108" s="284" t="str">
        <f t="shared" si="26"/>
        <v>-</v>
      </c>
      <c r="CB108" s="285" t="str">
        <f t="shared" si="27"/>
        <v>-</v>
      </c>
      <c r="CC108" s="285" t="str">
        <f t="shared" si="28"/>
        <v>8-9</v>
      </c>
      <c r="CD108" s="286" t="str">
        <f t="shared" si="29"/>
        <v/>
      </c>
      <c r="CE108" s="287" t="str">
        <f t="shared" si="30"/>
        <v>-</v>
      </c>
      <c r="CF108" s="285" t="str">
        <f t="shared" ca="1" si="31"/>
        <v>-</v>
      </c>
      <c r="CG108" s="285" t="str">
        <f t="shared" si="32"/>
        <v>8-9</v>
      </c>
      <c r="CH108" s="288" t="str">
        <f t="shared" ca="1" si="33"/>
        <v/>
      </c>
      <c r="CI108" s="99"/>
      <c r="CJ108" s="99"/>
      <c r="CK108" s="99"/>
      <c r="CL108" s="99"/>
      <c r="CM108" s="99"/>
      <c r="CN108" s="99"/>
      <c r="CO108" s="99"/>
    </row>
    <row r="109" spans="2:93" ht="13.5" customHeight="1" x14ac:dyDescent="0.2">
      <c r="B109" s="262">
        <v>9</v>
      </c>
      <c r="C109" s="237" t="str">
        <f t="shared" si="1"/>
        <v/>
      </c>
      <c r="D109" s="237" t="str">
        <f t="shared" si="66"/>
        <v>-</v>
      </c>
      <c r="E109" s="263" t="str">
        <f t="shared" si="34"/>
        <v/>
      </c>
      <c r="F109" s="264" t="str">
        <f t="shared" si="35"/>
        <v/>
      </c>
      <c r="G109" s="264" t="str">
        <f t="shared" si="36"/>
        <v/>
      </c>
      <c r="H109" s="240" t="str">
        <f t="shared" si="37"/>
        <v/>
      </c>
      <c r="I109" s="265" t="str">
        <f t="shared" si="2"/>
        <v/>
      </c>
      <c r="J109" s="265" t="str">
        <f t="shared" si="3"/>
        <v/>
      </c>
      <c r="K109" s="240" t="str">
        <f t="shared" si="4"/>
        <v/>
      </c>
      <c r="L109" s="265" t="str">
        <f t="shared" si="5"/>
        <v/>
      </c>
      <c r="M109" s="265" t="str">
        <f t="shared" si="6"/>
        <v/>
      </c>
      <c r="N109" s="240" t="str">
        <f t="shared" si="7"/>
        <v>-</v>
      </c>
      <c r="O109" s="265" t="str">
        <f t="shared" si="38"/>
        <v>-</v>
      </c>
      <c r="P109" s="265" t="str">
        <f t="shared" si="39"/>
        <v>-</v>
      </c>
      <c r="Q109" s="266" t="str">
        <f t="shared" si="8"/>
        <v>-</v>
      </c>
      <c r="R109" s="267" t="str">
        <f t="shared" si="40"/>
        <v>-</v>
      </c>
      <c r="S109" s="268" t="str">
        <f t="shared" si="41"/>
        <v>-</v>
      </c>
      <c r="T109" s="269" t="str">
        <f t="shared" si="9"/>
        <v/>
      </c>
      <c r="U109" s="221">
        <f t="shared" si="10"/>
        <v>9</v>
      </c>
      <c r="V109" s="220" t="str">
        <f t="shared" si="42"/>
        <v>-</v>
      </c>
      <c r="W109" s="221" t="str">
        <f t="shared" si="43"/>
        <v>-</v>
      </c>
      <c r="X109" s="221" t="str">
        <f t="shared" si="11"/>
        <v>-</v>
      </c>
      <c r="Y109" s="221" t="str">
        <f t="shared" si="12"/>
        <v>-</v>
      </c>
      <c r="Z109" s="270">
        <f t="shared" si="44"/>
        <v>0.1</v>
      </c>
      <c r="AA109" s="271" t="str">
        <f t="shared" si="67"/>
        <v>-</v>
      </c>
      <c r="AB109" s="271" t="str">
        <f t="shared" si="13"/>
        <v>-</v>
      </c>
      <c r="AC109" s="224">
        <f t="shared" si="45"/>
        <v>9</v>
      </c>
      <c r="AD109" s="223" t="str">
        <f t="shared" si="14"/>
        <v>-</v>
      </c>
      <c r="AE109" s="224" t="str">
        <f t="shared" si="46"/>
        <v>-</v>
      </c>
      <c r="AF109" s="224" t="str">
        <f t="shared" si="15"/>
        <v>-</v>
      </c>
      <c r="AG109" s="224" t="str">
        <f t="shared" si="16"/>
        <v>-</v>
      </c>
      <c r="AH109" s="272">
        <f t="shared" si="47"/>
        <v>0.1</v>
      </c>
      <c r="AI109" s="271" t="str">
        <f t="shared" si="17"/>
        <v>-</v>
      </c>
      <c r="AJ109" s="271" t="str">
        <f t="shared" si="48"/>
        <v>-</v>
      </c>
      <c r="AK109" s="227">
        <f t="shared" si="49"/>
        <v>9</v>
      </c>
      <c r="AL109" s="226" t="str">
        <f t="shared" si="18"/>
        <v>-</v>
      </c>
      <c r="AM109" s="227" t="str">
        <f t="shared" si="50"/>
        <v>-</v>
      </c>
      <c r="AN109" s="227" t="str">
        <f t="shared" si="51"/>
        <v>-</v>
      </c>
      <c r="AO109" s="227" t="str">
        <f t="shared" si="19"/>
        <v>-</v>
      </c>
      <c r="AP109" s="273">
        <f t="shared" si="52"/>
        <v>0.1</v>
      </c>
      <c r="AQ109" s="271" t="str">
        <f t="shared" si="53"/>
        <v>-</v>
      </c>
      <c r="AR109" s="271" t="str">
        <f t="shared" si="54"/>
        <v>-</v>
      </c>
      <c r="AS109" s="274">
        <f t="shared" si="20"/>
        <v>0</v>
      </c>
      <c r="AT109" s="274">
        <f t="shared" si="21"/>
        <v>0</v>
      </c>
      <c r="AU109" s="274">
        <f t="shared" si="22"/>
        <v>0</v>
      </c>
      <c r="AV109" s="275">
        <f>IF($B109&lt;$F$22,SUM($T$100:$T109),"")</f>
        <v>0</v>
      </c>
      <c r="AW109" s="275" t="str">
        <f t="shared" si="55"/>
        <v>-</v>
      </c>
      <c r="AX109" s="275" t="str">
        <f t="shared" si="56"/>
        <v/>
      </c>
      <c r="AY109"/>
      <c r="AZ109" s="275" t="str">
        <f ca="1">IF(ISNUMBER(OFFSET(AV109,-$F$21,0)),SUM(OFFSET($T$100,$F$21,0):$T109),"")</f>
        <v/>
      </c>
      <c r="BA109" s="275" t="str">
        <f t="shared" ca="1" si="23"/>
        <v/>
      </c>
      <c r="BB109" s="275" t="str">
        <f t="shared" ca="1" si="57"/>
        <v/>
      </c>
      <c r="BC109" s="190"/>
      <c r="BD109" s="275" t="str">
        <f ca="1">IFERROR(IF(AND($B109&gt;=($F$16-$F$15),$B109&lt;$F$22+($F$16-$F$15)),SUM(OFFSET($T$100,($F$16-$F$15),0):$T109),""),"")</f>
        <v/>
      </c>
      <c r="BE109" s="275" t="str">
        <f t="shared" ca="1" si="58"/>
        <v/>
      </c>
      <c r="BF109" s="275" t="str">
        <f t="shared" ca="1" si="59"/>
        <v/>
      </c>
      <c r="BG109"/>
      <c r="BH109" s="190" t="str">
        <f ca="1">IF(ISNUMBER(OFFSET(BD109,-$F$21,0)),SUM(OFFSET($T$100,($F$16-$F$15+$F$21),0):$T109),"")</f>
        <v/>
      </c>
      <c r="BI109" s="190" t="str">
        <f t="shared" ca="1" si="24"/>
        <v/>
      </c>
      <c r="BJ109" s="190" t="str">
        <f t="shared" ca="1" si="60"/>
        <v/>
      </c>
      <c r="BK109" s="190"/>
      <c r="BL109" s="275" t="str">
        <f ca="1">IFERROR(IF(AND($B109&gt;=($F$17-$F$15),$B109&lt;$F$22+($F$17-$F$15)),SUM(OFFSET($T$100,($F$17-$F$15),0):$T109),""),"")</f>
        <v/>
      </c>
      <c r="BM109" s="275" t="str">
        <f t="shared" ca="1" si="25"/>
        <v/>
      </c>
      <c r="BN109" s="275" t="str">
        <f t="shared" ca="1" si="61"/>
        <v/>
      </c>
      <c r="BO109"/>
      <c r="BP109" s="275" t="str">
        <f ca="1">IF(ISNUMBER(OFFSET(BL109,-$F$21,0)),SUM(OFFSET($T$100,($F$17-$F$15+$F$21),0):$T109),"")</f>
        <v/>
      </c>
      <c r="BQ109" s="275" t="str">
        <f t="shared" ca="1" si="62"/>
        <v/>
      </c>
      <c r="BR109" s="275" t="str">
        <f t="shared" ca="1" si="63"/>
        <v/>
      </c>
      <c r="BS109" s="190"/>
      <c r="BT109"/>
      <c r="BU109" s="276" t="str">
        <f t="shared" si="64"/>
        <v>end</v>
      </c>
      <c r="BV109" s="277">
        <v>9</v>
      </c>
      <c r="BW109" s="278" t="str">
        <f t="shared" si="69"/>
        <v/>
      </c>
      <c r="BX109" s="278" t="str">
        <f t="shared" si="68"/>
        <v/>
      </c>
      <c r="BY109" s="279" t="str">
        <f t="shared" si="65"/>
        <v/>
      </c>
      <c r="BZ109"/>
      <c r="CA109" s="284" t="str">
        <f t="shared" si="26"/>
        <v>-</v>
      </c>
      <c r="CB109" s="285" t="str">
        <f t="shared" si="27"/>
        <v>-</v>
      </c>
      <c r="CC109" s="285" t="str">
        <f t="shared" si="28"/>
        <v>9-10</v>
      </c>
      <c r="CD109" s="286" t="str">
        <f t="shared" si="29"/>
        <v/>
      </c>
      <c r="CE109" s="287" t="str">
        <f t="shared" si="30"/>
        <v>-</v>
      </c>
      <c r="CF109" s="285" t="str">
        <f t="shared" ca="1" si="31"/>
        <v>-</v>
      </c>
      <c r="CG109" s="285" t="str">
        <f t="shared" si="32"/>
        <v>9-10</v>
      </c>
      <c r="CH109" s="288" t="str">
        <f t="shared" ca="1" si="33"/>
        <v/>
      </c>
      <c r="CI109" s="99"/>
      <c r="CJ109" s="99"/>
      <c r="CK109" s="99"/>
      <c r="CL109" s="99"/>
      <c r="CM109" s="99"/>
      <c r="CN109" s="99"/>
      <c r="CO109" s="99"/>
    </row>
    <row r="110" spans="2:93" ht="13.5" customHeight="1" x14ac:dyDescent="0.2">
      <c r="B110" s="262">
        <v>10</v>
      </c>
      <c r="C110" s="237" t="str">
        <f t="shared" si="1"/>
        <v/>
      </c>
      <c r="D110" s="237" t="str">
        <f t="shared" si="66"/>
        <v>-</v>
      </c>
      <c r="E110" s="263" t="str">
        <f t="shared" si="34"/>
        <v/>
      </c>
      <c r="F110" s="264" t="str">
        <f t="shared" si="35"/>
        <v/>
      </c>
      <c r="G110" s="264" t="str">
        <f t="shared" si="36"/>
        <v/>
      </c>
      <c r="H110" s="240" t="str">
        <f t="shared" si="37"/>
        <v/>
      </c>
      <c r="I110" s="265" t="str">
        <f t="shared" si="2"/>
        <v/>
      </c>
      <c r="J110" s="265" t="str">
        <f t="shared" si="3"/>
        <v/>
      </c>
      <c r="K110" s="240" t="str">
        <f t="shared" si="4"/>
        <v/>
      </c>
      <c r="L110" s="265" t="str">
        <f t="shared" si="5"/>
        <v/>
      </c>
      <c r="M110" s="265" t="str">
        <f t="shared" si="6"/>
        <v/>
      </c>
      <c r="N110" s="240" t="str">
        <f t="shared" si="7"/>
        <v>-</v>
      </c>
      <c r="O110" s="265" t="str">
        <f t="shared" si="38"/>
        <v>-</v>
      </c>
      <c r="P110" s="265" t="str">
        <f t="shared" si="39"/>
        <v>-</v>
      </c>
      <c r="Q110" s="266" t="str">
        <f t="shared" si="8"/>
        <v>-</v>
      </c>
      <c r="R110" s="267" t="str">
        <f t="shared" si="40"/>
        <v>-</v>
      </c>
      <c r="S110" s="268" t="str">
        <f t="shared" si="41"/>
        <v>-</v>
      </c>
      <c r="T110" s="269" t="str">
        <f t="shared" si="9"/>
        <v/>
      </c>
      <c r="U110" s="221">
        <f t="shared" si="10"/>
        <v>10</v>
      </c>
      <c r="V110" s="220" t="str">
        <f t="shared" si="42"/>
        <v>-</v>
      </c>
      <c r="W110" s="221" t="str">
        <f t="shared" si="43"/>
        <v>-</v>
      </c>
      <c r="X110" s="221" t="str">
        <f t="shared" si="11"/>
        <v>-</v>
      </c>
      <c r="Y110" s="221" t="str">
        <f t="shared" si="12"/>
        <v>-</v>
      </c>
      <c r="Z110" s="270">
        <f t="shared" si="44"/>
        <v>0.1</v>
      </c>
      <c r="AA110" s="271" t="str">
        <f t="shared" si="67"/>
        <v>-</v>
      </c>
      <c r="AB110" s="271" t="str">
        <f t="shared" si="13"/>
        <v>-</v>
      </c>
      <c r="AC110" s="224">
        <f t="shared" si="45"/>
        <v>10</v>
      </c>
      <c r="AD110" s="223" t="str">
        <f t="shared" si="14"/>
        <v>-</v>
      </c>
      <c r="AE110" s="224" t="str">
        <f t="shared" si="46"/>
        <v>-</v>
      </c>
      <c r="AF110" s="224" t="str">
        <f t="shared" si="15"/>
        <v>-</v>
      </c>
      <c r="AG110" s="224" t="str">
        <f t="shared" si="16"/>
        <v>-</v>
      </c>
      <c r="AH110" s="272">
        <f t="shared" si="47"/>
        <v>0.1</v>
      </c>
      <c r="AI110" s="271" t="str">
        <f t="shared" si="17"/>
        <v>-</v>
      </c>
      <c r="AJ110" s="271" t="str">
        <f t="shared" si="48"/>
        <v>-</v>
      </c>
      <c r="AK110" s="227">
        <f t="shared" si="49"/>
        <v>10</v>
      </c>
      <c r="AL110" s="226" t="str">
        <f t="shared" si="18"/>
        <v>-</v>
      </c>
      <c r="AM110" s="227" t="str">
        <f t="shared" si="50"/>
        <v>-</v>
      </c>
      <c r="AN110" s="227" t="str">
        <f t="shared" si="51"/>
        <v>-</v>
      </c>
      <c r="AO110" s="227" t="str">
        <f t="shared" si="19"/>
        <v>-</v>
      </c>
      <c r="AP110" s="273">
        <f t="shared" si="52"/>
        <v>0.1</v>
      </c>
      <c r="AQ110" s="271" t="str">
        <f t="shared" si="53"/>
        <v>-</v>
      </c>
      <c r="AR110" s="271" t="str">
        <f t="shared" si="54"/>
        <v>-</v>
      </c>
      <c r="AS110" s="274">
        <f t="shared" si="20"/>
        <v>0</v>
      </c>
      <c r="AT110" s="274">
        <f t="shared" si="21"/>
        <v>0</v>
      </c>
      <c r="AU110" s="274">
        <f t="shared" si="22"/>
        <v>0</v>
      </c>
      <c r="AV110" s="275">
        <f>IF($B110&lt;$F$22,SUM($T$100:$T110),"")</f>
        <v>0</v>
      </c>
      <c r="AW110" s="275" t="str">
        <f t="shared" si="55"/>
        <v>-</v>
      </c>
      <c r="AX110" s="275" t="str">
        <f t="shared" si="56"/>
        <v/>
      </c>
      <c r="AY110"/>
      <c r="AZ110" s="275" t="str">
        <f ca="1">IF(ISNUMBER(OFFSET(AV110,-$F$21,0)),SUM(OFFSET($T$100,$F$21,0):$T110),"")</f>
        <v/>
      </c>
      <c r="BA110" s="275" t="str">
        <f t="shared" ca="1" si="23"/>
        <v/>
      </c>
      <c r="BB110" s="275" t="str">
        <f t="shared" ca="1" si="57"/>
        <v/>
      </c>
      <c r="BC110" s="190"/>
      <c r="BD110" s="275" t="str">
        <f ca="1">IFERROR(IF(AND($B110&gt;=($F$16-$F$15),$B110&lt;$F$22+($F$16-$F$15)),SUM(OFFSET($T$100,($F$16-$F$15),0):$T110),""),"")</f>
        <v/>
      </c>
      <c r="BE110" s="275" t="str">
        <f t="shared" ca="1" si="58"/>
        <v/>
      </c>
      <c r="BF110" s="275" t="str">
        <f t="shared" ca="1" si="59"/>
        <v/>
      </c>
      <c r="BG110"/>
      <c r="BH110" s="190" t="str">
        <f ca="1">IF(ISNUMBER(OFFSET(BD110,-$F$21,0)),SUM(OFFSET($T$100,($F$16-$F$15+$F$21),0):$T110),"")</f>
        <v/>
      </c>
      <c r="BI110" s="190" t="str">
        <f t="shared" ca="1" si="24"/>
        <v/>
      </c>
      <c r="BJ110" s="190" t="str">
        <f t="shared" ca="1" si="60"/>
        <v/>
      </c>
      <c r="BK110" s="190"/>
      <c r="BL110" s="275" t="str">
        <f ca="1">IFERROR(IF(AND($B110&gt;=($F$17-$F$15),$B110&lt;$F$22+($F$17-$F$15)),SUM(OFFSET($T$100,($F$17-$F$15),0):$T110),""),"")</f>
        <v/>
      </c>
      <c r="BM110" s="275" t="str">
        <f t="shared" ca="1" si="25"/>
        <v/>
      </c>
      <c r="BN110" s="275" t="str">
        <f t="shared" ca="1" si="61"/>
        <v/>
      </c>
      <c r="BO110"/>
      <c r="BP110" s="275" t="str">
        <f ca="1">IF(ISNUMBER(OFFSET(BL110,-$F$21,0)),SUM(OFFSET($T$100,($F$17-$F$15+$F$21),0):$T110),"")</f>
        <v/>
      </c>
      <c r="BQ110" s="275" t="str">
        <f t="shared" ca="1" si="62"/>
        <v/>
      </c>
      <c r="BR110" s="275" t="str">
        <f t="shared" ca="1" si="63"/>
        <v/>
      </c>
      <c r="BS110" s="190"/>
      <c r="BT110"/>
      <c r="BU110" s="276" t="str">
        <f t="shared" si="64"/>
        <v>end</v>
      </c>
      <c r="BV110" s="277">
        <v>10</v>
      </c>
      <c r="BW110" s="278" t="str">
        <f t="shared" si="69"/>
        <v/>
      </c>
      <c r="BX110" s="278" t="str">
        <f t="shared" si="68"/>
        <v/>
      </c>
      <c r="BY110" s="279" t="str">
        <f t="shared" si="65"/>
        <v/>
      </c>
      <c r="BZ110"/>
      <c r="CA110" s="284" t="str">
        <f t="shared" si="26"/>
        <v>-</v>
      </c>
      <c r="CB110" s="285" t="str">
        <f t="shared" si="27"/>
        <v>-</v>
      </c>
      <c r="CC110" s="285" t="str">
        <f t="shared" si="28"/>
        <v>10-11</v>
      </c>
      <c r="CD110" s="286" t="str">
        <f t="shared" si="29"/>
        <v/>
      </c>
      <c r="CE110" s="287" t="str">
        <f t="shared" si="30"/>
        <v>-</v>
      </c>
      <c r="CF110" s="285" t="str">
        <f t="shared" ca="1" si="31"/>
        <v>-</v>
      </c>
      <c r="CG110" s="285" t="str">
        <f t="shared" si="32"/>
        <v>10-11</v>
      </c>
      <c r="CH110" s="288" t="str">
        <f t="shared" ca="1" si="33"/>
        <v/>
      </c>
      <c r="CI110" s="99"/>
      <c r="CJ110" s="99"/>
      <c r="CK110" s="99"/>
      <c r="CL110" s="99"/>
      <c r="CM110" s="99"/>
      <c r="CN110" s="99"/>
      <c r="CO110" s="99"/>
    </row>
    <row r="111" spans="2:93" ht="13.5" customHeight="1" x14ac:dyDescent="0.2">
      <c r="B111" s="262">
        <v>11</v>
      </c>
      <c r="C111" s="237" t="str">
        <f t="shared" si="1"/>
        <v/>
      </c>
      <c r="D111" s="237" t="str">
        <f t="shared" si="66"/>
        <v>-</v>
      </c>
      <c r="E111" s="263" t="str">
        <f t="shared" si="34"/>
        <v/>
      </c>
      <c r="F111" s="264" t="str">
        <f t="shared" si="35"/>
        <v/>
      </c>
      <c r="G111" s="264" t="str">
        <f t="shared" si="36"/>
        <v/>
      </c>
      <c r="H111" s="240" t="str">
        <f t="shared" si="37"/>
        <v/>
      </c>
      <c r="I111" s="265" t="str">
        <f t="shared" si="2"/>
        <v/>
      </c>
      <c r="J111" s="265" t="str">
        <f t="shared" si="3"/>
        <v/>
      </c>
      <c r="K111" s="240" t="str">
        <f t="shared" si="4"/>
        <v/>
      </c>
      <c r="L111" s="265" t="str">
        <f t="shared" si="5"/>
        <v/>
      </c>
      <c r="M111" s="265" t="str">
        <f t="shared" si="6"/>
        <v/>
      </c>
      <c r="N111" s="240" t="str">
        <f t="shared" si="7"/>
        <v>-</v>
      </c>
      <c r="O111" s="265" t="str">
        <f t="shared" si="38"/>
        <v>-</v>
      </c>
      <c r="P111" s="265" t="str">
        <f t="shared" si="39"/>
        <v>-</v>
      </c>
      <c r="Q111" s="266" t="str">
        <f t="shared" si="8"/>
        <v>-</v>
      </c>
      <c r="R111" s="267" t="str">
        <f t="shared" si="40"/>
        <v>-</v>
      </c>
      <c r="S111" s="268" t="str">
        <f t="shared" si="41"/>
        <v>-</v>
      </c>
      <c r="T111" s="269" t="str">
        <f t="shared" si="9"/>
        <v/>
      </c>
      <c r="U111" s="221">
        <f t="shared" si="10"/>
        <v>11</v>
      </c>
      <c r="V111" s="220" t="str">
        <f t="shared" si="42"/>
        <v>-</v>
      </c>
      <c r="W111" s="221" t="str">
        <f t="shared" si="43"/>
        <v>-</v>
      </c>
      <c r="X111" s="221" t="str">
        <f t="shared" si="11"/>
        <v>-</v>
      </c>
      <c r="Y111" s="221" t="str">
        <f t="shared" si="12"/>
        <v>-</v>
      </c>
      <c r="Z111" s="270">
        <f t="shared" si="44"/>
        <v>0.1</v>
      </c>
      <c r="AA111" s="271" t="str">
        <f t="shared" si="67"/>
        <v>-</v>
      </c>
      <c r="AB111" s="271" t="str">
        <f t="shared" si="13"/>
        <v>-</v>
      </c>
      <c r="AC111" s="224">
        <f t="shared" si="45"/>
        <v>11</v>
      </c>
      <c r="AD111" s="223" t="str">
        <f t="shared" si="14"/>
        <v>-</v>
      </c>
      <c r="AE111" s="224" t="str">
        <f t="shared" si="46"/>
        <v>-</v>
      </c>
      <c r="AF111" s="224" t="str">
        <f t="shared" si="15"/>
        <v>-</v>
      </c>
      <c r="AG111" s="224" t="str">
        <f t="shared" si="16"/>
        <v>-</v>
      </c>
      <c r="AH111" s="272">
        <f t="shared" si="47"/>
        <v>0.1</v>
      </c>
      <c r="AI111" s="271" t="str">
        <f t="shared" si="17"/>
        <v>-</v>
      </c>
      <c r="AJ111" s="271" t="str">
        <f t="shared" si="48"/>
        <v>-</v>
      </c>
      <c r="AK111" s="227">
        <f t="shared" si="49"/>
        <v>11</v>
      </c>
      <c r="AL111" s="226" t="str">
        <f t="shared" si="18"/>
        <v>-</v>
      </c>
      <c r="AM111" s="227" t="str">
        <f t="shared" si="50"/>
        <v>-</v>
      </c>
      <c r="AN111" s="227" t="str">
        <f t="shared" si="51"/>
        <v>-</v>
      </c>
      <c r="AO111" s="227" t="str">
        <f t="shared" si="19"/>
        <v>-</v>
      </c>
      <c r="AP111" s="273">
        <f t="shared" si="52"/>
        <v>0.1</v>
      </c>
      <c r="AQ111" s="271" t="str">
        <f t="shared" si="53"/>
        <v>-</v>
      </c>
      <c r="AR111" s="271" t="str">
        <f t="shared" si="54"/>
        <v>-</v>
      </c>
      <c r="AS111" s="274">
        <f t="shared" si="20"/>
        <v>0</v>
      </c>
      <c r="AT111" s="274">
        <f t="shared" si="21"/>
        <v>0</v>
      </c>
      <c r="AU111" s="274">
        <f t="shared" si="22"/>
        <v>0</v>
      </c>
      <c r="AV111" s="275">
        <f>IF($B111&lt;$F$22,SUM($T$100:$T111),"")</f>
        <v>0</v>
      </c>
      <c r="AW111" s="275" t="str">
        <f t="shared" si="55"/>
        <v>-</v>
      </c>
      <c r="AX111" s="275" t="str">
        <f t="shared" si="56"/>
        <v/>
      </c>
      <c r="AY111"/>
      <c r="AZ111" s="275" t="str">
        <f ca="1">IF(ISNUMBER(OFFSET(AV111,-$F$21,0)),SUM(OFFSET($T$100,$F$21,0):$T111),"")</f>
        <v/>
      </c>
      <c r="BA111" s="275" t="str">
        <f t="shared" ca="1" si="23"/>
        <v/>
      </c>
      <c r="BB111" s="275" t="str">
        <f t="shared" ca="1" si="57"/>
        <v/>
      </c>
      <c r="BC111" s="190"/>
      <c r="BD111" s="275" t="str">
        <f ca="1">IFERROR(IF(AND($B111&gt;=($F$16-$F$15),$B111&lt;$F$22+($F$16-$F$15)),SUM(OFFSET($T$100,($F$16-$F$15),0):$T111),""),"")</f>
        <v/>
      </c>
      <c r="BE111" s="275" t="str">
        <f t="shared" ca="1" si="58"/>
        <v/>
      </c>
      <c r="BF111" s="275" t="str">
        <f t="shared" ca="1" si="59"/>
        <v/>
      </c>
      <c r="BG111"/>
      <c r="BH111" s="190" t="str">
        <f ca="1">IF(ISNUMBER(OFFSET(BD111,-$F$21,0)),SUM(OFFSET($T$100,($F$16-$F$15+$F$21),0):$T111),"")</f>
        <v/>
      </c>
      <c r="BI111" s="190" t="str">
        <f t="shared" ca="1" si="24"/>
        <v/>
      </c>
      <c r="BJ111" s="190" t="str">
        <f t="shared" ca="1" si="60"/>
        <v/>
      </c>
      <c r="BK111" s="190"/>
      <c r="BL111" s="275" t="str">
        <f ca="1">IFERROR(IF(AND($B111&gt;=($F$17-$F$15),$B111&lt;$F$22+($F$17-$F$15)),SUM(OFFSET($T$100,($F$17-$F$15),0):$T111),""),"")</f>
        <v/>
      </c>
      <c r="BM111" s="275" t="str">
        <f t="shared" ca="1" si="25"/>
        <v/>
      </c>
      <c r="BN111" s="275" t="str">
        <f t="shared" ca="1" si="61"/>
        <v/>
      </c>
      <c r="BO111"/>
      <c r="BP111" s="275" t="str">
        <f ca="1">IF(ISNUMBER(OFFSET(BL111,-$F$21,0)),SUM(OFFSET($T$100,($F$17-$F$15+$F$21),0):$T111),"")</f>
        <v/>
      </c>
      <c r="BQ111" s="275" t="str">
        <f t="shared" ca="1" si="62"/>
        <v/>
      </c>
      <c r="BR111" s="275" t="str">
        <f t="shared" ca="1" si="63"/>
        <v/>
      </c>
      <c r="BS111" s="190"/>
      <c r="BT111"/>
      <c r="BU111" s="276" t="str">
        <f t="shared" si="64"/>
        <v>end</v>
      </c>
      <c r="BV111" s="277">
        <v>11</v>
      </c>
      <c r="BW111" s="278" t="str">
        <f t="shared" si="69"/>
        <v/>
      </c>
      <c r="BX111" s="278" t="str">
        <f t="shared" si="68"/>
        <v/>
      </c>
      <c r="BY111" s="279" t="str">
        <f t="shared" si="65"/>
        <v/>
      </c>
      <c r="BZ111"/>
      <c r="CA111" s="284" t="str">
        <f t="shared" si="26"/>
        <v>-</v>
      </c>
      <c r="CB111" s="285" t="str">
        <f t="shared" si="27"/>
        <v>-</v>
      </c>
      <c r="CC111" s="285" t="str">
        <f t="shared" si="28"/>
        <v>11-12</v>
      </c>
      <c r="CD111" s="286" t="str">
        <f t="shared" si="29"/>
        <v/>
      </c>
      <c r="CE111" s="287" t="str">
        <f t="shared" si="30"/>
        <v>-</v>
      </c>
      <c r="CF111" s="285" t="str">
        <f t="shared" ca="1" si="31"/>
        <v>-</v>
      </c>
      <c r="CG111" s="285" t="str">
        <f t="shared" si="32"/>
        <v>11-12</v>
      </c>
      <c r="CH111" s="288" t="str">
        <f t="shared" ca="1" si="33"/>
        <v/>
      </c>
      <c r="CI111" s="99"/>
      <c r="CJ111" s="99"/>
      <c r="CK111" s="99"/>
      <c r="CL111" s="99"/>
      <c r="CM111" s="99"/>
      <c r="CN111" s="99"/>
      <c r="CO111" s="99"/>
    </row>
    <row r="112" spans="2:93" ht="13.5" customHeight="1" x14ac:dyDescent="0.2">
      <c r="B112" s="262">
        <v>12</v>
      </c>
      <c r="C112" s="237" t="str">
        <f t="shared" si="1"/>
        <v/>
      </c>
      <c r="D112" s="237" t="str">
        <f t="shared" si="66"/>
        <v>-</v>
      </c>
      <c r="E112" s="263" t="str">
        <f t="shared" si="34"/>
        <v/>
      </c>
      <c r="F112" s="264" t="str">
        <f t="shared" si="35"/>
        <v/>
      </c>
      <c r="G112" s="264" t="str">
        <f t="shared" si="36"/>
        <v/>
      </c>
      <c r="H112" s="240" t="str">
        <f t="shared" si="37"/>
        <v/>
      </c>
      <c r="I112" s="265" t="str">
        <f t="shared" si="2"/>
        <v/>
      </c>
      <c r="J112" s="265" t="str">
        <f t="shared" si="3"/>
        <v/>
      </c>
      <c r="K112" s="240" t="str">
        <f t="shared" si="4"/>
        <v/>
      </c>
      <c r="L112" s="265" t="str">
        <f t="shared" si="5"/>
        <v/>
      </c>
      <c r="M112" s="265" t="str">
        <f t="shared" si="6"/>
        <v/>
      </c>
      <c r="N112" s="240" t="str">
        <f t="shared" si="7"/>
        <v>-</v>
      </c>
      <c r="O112" s="265" t="str">
        <f t="shared" si="38"/>
        <v>-</v>
      </c>
      <c r="P112" s="265" t="str">
        <f t="shared" si="39"/>
        <v>-</v>
      </c>
      <c r="Q112" s="266" t="str">
        <f t="shared" si="8"/>
        <v>-</v>
      </c>
      <c r="R112" s="267" t="str">
        <f t="shared" si="40"/>
        <v>-</v>
      </c>
      <c r="S112" s="268" t="str">
        <f t="shared" si="41"/>
        <v>-</v>
      </c>
      <c r="T112" s="269" t="str">
        <f t="shared" si="9"/>
        <v/>
      </c>
      <c r="U112" s="221">
        <f t="shared" si="10"/>
        <v>12</v>
      </c>
      <c r="V112" s="220" t="str">
        <f t="shared" si="42"/>
        <v>-</v>
      </c>
      <c r="W112" s="221" t="str">
        <f t="shared" si="43"/>
        <v>-</v>
      </c>
      <c r="X112" s="221" t="str">
        <f t="shared" si="11"/>
        <v>-</v>
      </c>
      <c r="Y112" s="221" t="str">
        <f t="shared" si="12"/>
        <v>-</v>
      </c>
      <c r="Z112" s="270">
        <f t="shared" si="44"/>
        <v>0.1</v>
      </c>
      <c r="AA112" s="271" t="str">
        <f t="shared" si="67"/>
        <v>-</v>
      </c>
      <c r="AB112" s="271" t="str">
        <f t="shared" si="13"/>
        <v>-</v>
      </c>
      <c r="AC112" s="224">
        <f t="shared" si="45"/>
        <v>12</v>
      </c>
      <c r="AD112" s="223" t="str">
        <f t="shared" si="14"/>
        <v>-</v>
      </c>
      <c r="AE112" s="224" t="str">
        <f t="shared" si="46"/>
        <v>-</v>
      </c>
      <c r="AF112" s="224" t="str">
        <f t="shared" si="15"/>
        <v>-</v>
      </c>
      <c r="AG112" s="224" t="str">
        <f t="shared" si="16"/>
        <v>-</v>
      </c>
      <c r="AH112" s="272">
        <f t="shared" si="47"/>
        <v>0.1</v>
      </c>
      <c r="AI112" s="271" t="str">
        <f t="shared" si="17"/>
        <v>-</v>
      </c>
      <c r="AJ112" s="271" t="str">
        <f t="shared" si="48"/>
        <v>-</v>
      </c>
      <c r="AK112" s="227">
        <f t="shared" si="49"/>
        <v>12</v>
      </c>
      <c r="AL112" s="226" t="str">
        <f t="shared" si="18"/>
        <v>-</v>
      </c>
      <c r="AM112" s="227" t="str">
        <f t="shared" si="50"/>
        <v>-</v>
      </c>
      <c r="AN112" s="227" t="str">
        <f t="shared" si="51"/>
        <v>-</v>
      </c>
      <c r="AO112" s="227" t="str">
        <f t="shared" si="19"/>
        <v>-</v>
      </c>
      <c r="AP112" s="273">
        <f t="shared" si="52"/>
        <v>0.1</v>
      </c>
      <c r="AQ112" s="271" t="str">
        <f t="shared" si="53"/>
        <v>-</v>
      </c>
      <c r="AR112" s="271" t="str">
        <f t="shared" si="54"/>
        <v>-</v>
      </c>
      <c r="AS112" s="274">
        <f t="shared" si="20"/>
        <v>0</v>
      </c>
      <c r="AT112" s="274">
        <f t="shared" si="21"/>
        <v>0</v>
      </c>
      <c r="AU112" s="274">
        <f t="shared" si="22"/>
        <v>0</v>
      </c>
      <c r="AV112" s="275">
        <f>IF($B112&lt;$F$22,SUM($T$100:$T112),"")</f>
        <v>0</v>
      </c>
      <c r="AW112" s="275" t="str">
        <f t="shared" si="55"/>
        <v>-</v>
      </c>
      <c r="AX112" s="275" t="str">
        <f t="shared" si="56"/>
        <v/>
      </c>
      <c r="AY112"/>
      <c r="AZ112" s="275" t="str">
        <f ca="1">IF(ISNUMBER(OFFSET(AV112,-$F$21,0)),SUM(OFFSET($T$100,$F$21,0):$T112),"")</f>
        <v/>
      </c>
      <c r="BA112" s="275" t="str">
        <f t="shared" ca="1" si="23"/>
        <v/>
      </c>
      <c r="BB112" s="275" t="str">
        <f t="shared" ca="1" si="57"/>
        <v/>
      </c>
      <c r="BC112" s="190"/>
      <c r="BD112" s="275" t="str">
        <f ca="1">IFERROR(IF(AND($B112&gt;=($F$16-$F$15),$B112&lt;$F$22+($F$16-$F$15)),SUM(OFFSET($T$100,($F$16-$F$15),0):$T112),""),"")</f>
        <v/>
      </c>
      <c r="BE112" s="275" t="str">
        <f t="shared" ca="1" si="58"/>
        <v/>
      </c>
      <c r="BF112" s="275" t="str">
        <f t="shared" ca="1" si="59"/>
        <v/>
      </c>
      <c r="BG112"/>
      <c r="BH112" s="190" t="str">
        <f ca="1">IF(ISNUMBER(OFFSET(BD112,-$F$21,0)),SUM(OFFSET($T$100,($F$16-$F$15+$F$21),0):$T112),"")</f>
        <v/>
      </c>
      <c r="BI112" s="190" t="str">
        <f t="shared" ca="1" si="24"/>
        <v/>
      </c>
      <c r="BJ112" s="190" t="str">
        <f t="shared" ca="1" si="60"/>
        <v/>
      </c>
      <c r="BK112" s="190"/>
      <c r="BL112" s="275" t="str">
        <f ca="1">IFERROR(IF(AND($B112&gt;=($F$17-$F$15),$B112&lt;$F$22+($F$17-$F$15)),SUM(OFFSET($T$100,($F$17-$F$15),0):$T112),""),"")</f>
        <v/>
      </c>
      <c r="BM112" s="275" t="str">
        <f t="shared" ca="1" si="25"/>
        <v/>
      </c>
      <c r="BN112" s="275" t="str">
        <f t="shared" ca="1" si="61"/>
        <v/>
      </c>
      <c r="BO112"/>
      <c r="BP112" s="275" t="str">
        <f ca="1">IF(ISNUMBER(OFFSET(BL112,-$F$21,0)),SUM(OFFSET($T$100,($F$17-$F$15+$F$21),0):$T112),"")</f>
        <v/>
      </c>
      <c r="BQ112" s="275" t="str">
        <f t="shared" ca="1" si="62"/>
        <v/>
      </c>
      <c r="BR112" s="275" t="str">
        <f t="shared" ca="1" si="63"/>
        <v/>
      </c>
      <c r="BS112" s="190"/>
      <c r="BT112"/>
      <c r="BU112" s="276" t="str">
        <f t="shared" si="64"/>
        <v>end</v>
      </c>
      <c r="BV112" s="277">
        <v>12</v>
      </c>
      <c r="BW112" s="278" t="str">
        <f t="shared" si="69"/>
        <v/>
      </c>
      <c r="BX112" s="278" t="str">
        <f t="shared" si="68"/>
        <v/>
      </c>
      <c r="BY112" s="279" t="str">
        <f t="shared" si="65"/>
        <v/>
      </c>
      <c r="BZ112"/>
      <c r="CA112" s="284" t="str">
        <f t="shared" si="26"/>
        <v>-</v>
      </c>
      <c r="CB112" s="285" t="str">
        <f t="shared" si="27"/>
        <v>-</v>
      </c>
      <c r="CC112" s="285" t="str">
        <f t="shared" si="28"/>
        <v>12-13</v>
      </c>
      <c r="CD112" s="286" t="str">
        <f t="shared" si="29"/>
        <v/>
      </c>
      <c r="CE112" s="287" t="str">
        <f t="shared" si="30"/>
        <v>-</v>
      </c>
      <c r="CF112" s="285" t="str">
        <f t="shared" ca="1" si="31"/>
        <v>-</v>
      </c>
      <c r="CG112" s="285" t="str">
        <f t="shared" si="32"/>
        <v>12-13</v>
      </c>
      <c r="CH112" s="288" t="str">
        <f t="shared" ca="1" si="33"/>
        <v/>
      </c>
      <c r="CI112" s="99"/>
      <c r="CJ112" s="99"/>
      <c r="CK112" s="99"/>
      <c r="CL112" s="99"/>
      <c r="CM112" s="99"/>
      <c r="CN112" s="99"/>
      <c r="CO112" s="99"/>
    </row>
    <row r="113" spans="2:93" ht="13.5" customHeight="1" x14ac:dyDescent="0.2">
      <c r="B113" s="262">
        <v>13</v>
      </c>
      <c r="C113" s="237" t="str">
        <f t="shared" si="1"/>
        <v/>
      </c>
      <c r="D113" s="237" t="str">
        <f t="shared" si="66"/>
        <v>-</v>
      </c>
      <c r="E113" s="263" t="str">
        <f t="shared" si="34"/>
        <v/>
      </c>
      <c r="F113" s="289" t="str">
        <f t="shared" si="35"/>
        <v/>
      </c>
      <c r="G113" s="264" t="str">
        <f t="shared" si="36"/>
        <v/>
      </c>
      <c r="H113" s="240" t="str">
        <f>IF(E113&lt;&gt;"",IF($B113&lt;$F$21,"",IF(ISNUMBER(F113),IF(ISNUMBER(I113),(E113*30*50*ffp),""),(E113*30*50*ffp))),"")</f>
        <v/>
      </c>
      <c r="I113" s="265" t="str">
        <f t="shared" si="2"/>
        <v/>
      </c>
      <c r="J113" s="265" t="str">
        <f t="shared" si="3"/>
        <v/>
      </c>
      <c r="K113" s="240" t="str">
        <f t="shared" si="4"/>
        <v/>
      </c>
      <c r="L113" s="265" t="str">
        <f t="shared" si="5"/>
        <v/>
      </c>
      <c r="M113" s="265" t="str">
        <f t="shared" si="6"/>
        <v/>
      </c>
      <c r="N113" s="240" t="str">
        <f t="shared" si="7"/>
        <v>-</v>
      </c>
      <c r="O113" s="265" t="str">
        <f t="shared" si="38"/>
        <v>-</v>
      </c>
      <c r="P113" s="265" t="str">
        <f t="shared" si="39"/>
        <v>-</v>
      </c>
      <c r="Q113" s="266" t="str">
        <f t="shared" si="8"/>
        <v>-</v>
      </c>
      <c r="R113" s="267" t="str">
        <f t="shared" si="40"/>
        <v>-</v>
      </c>
      <c r="S113" s="268" t="str">
        <f t="shared" si="41"/>
        <v>-</v>
      </c>
      <c r="T113" s="269" t="str">
        <f t="shared" si="9"/>
        <v/>
      </c>
      <c r="U113" s="221">
        <f t="shared" si="10"/>
        <v>13</v>
      </c>
      <c r="V113" s="220" t="str">
        <f t="shared" si="42"/>
        <v>-</v>
      </c>
      <c r="W113" s="221" t="str">
        <f t="shared" si="43"/>
        <v>-</v>
      </c>
      <c r="X113" s="221" t="str">
        <f t="shared" si="11"/>
        <v>-</v>
      </c>
      <c r="Y113" s="221" t="str">
        <f t="shared" si="12"/>
        <v>-</v>
      </c>
      <c r="Z113" s="270">
        <f t="shared" si="44"/>
        <v>0.1</v>
      </c>
      <c r="AA113" s="271" t="str">
        <f t="shared" si="67"/>
        <v>-</v>
      </c>
      <c r="AB113" s="271" t="str">
        <f t="shared" si="13"/>
        <v>-</v>
      </c>
      <c r="AC113" s="224">
        <f t="shared" si="45"/>
        <v>13</v>
      </c>
      <c r="AD113" s="223" t="str">
        <f t="shared" si="14"/>
        <v>-</v>
      </c>
      <c r="AE113" s="224" t="str">
        <f t="shared" si="46"/>
        <v>-</v>
      </c>
      <c r="AF113" s="224" t="str">
        <f t="shared" si="15"/>
        <v>-</v>
      </c>
      <c r="AG113" s="224" t="str">
        <f t="shared" si="16"/>
        <v>-</v>
      </c>
      <c r="AH113" s="272">
        <f t="shared" si="47"/>
        <v>0.1</v>
      </c>
      <c r="AI113" s="271" t="str">
        <f t="shared" si="17"/>
        <v>-</v>
      </c>
      <c r="AJ113" s="271" t="str">
        <f>IFERROR(IF(AD113=1,D113*EXP(-(0.04*AF113+0.1*AG113)),IF(AD113=2,D113*EXP(-(0.04*($F$21+AF113)+0.1*(($F$16-$F$15)-$F$21+AG113))),D113*EXP(-(0.04*($F$21*2+AF113)+0.1*((($F$16-$F$15)-$F$21)*2-AG113))))),"-")</f>
        <v>-</v>
      </c>
      <c r="AK113" s="227">
        <f t="shared" si="49"/>
        <v>13</v>
      </c>
      <c r="AL113" s="226" t="str">
        <f t="shared" si="18"/>
        <v>-</v>
      </c>
      <c r="AM113" s="227" t="str">
        <f t="shared" si="50"/>
        <v>-</v>
      </c>
      <c r="AN113" s="227" t="str">
        <f t="shared" si="51"/>
        <v>-</v>
      </c>
      <c r="AO113" s="227" t="str">
        <f t="shared" si="19"/>
        <v>-</v>
      </c>
      <c r="AP113" s="273">
        <f t="shared" si="52"/>
        <v>0.1</v>
      </c>
      <c r="AQ113" s="271" t="str">
        <f t="shared" si="53"/>
        <v>-</v>
      </c>
      <c r="AR113" s="271" t="str">
        <f t="shared" si="54"/>
        <v>-</v>
      </c>
      <c r="AS113" s="274">
        <f t="shared" si="20"/>
        <v>0</v>
      </c>
      <c r="AT113" s="274">
        <f t="shared" si="21"/>
        <v>0</v>
      </c>
      <c r="AU113" s="274">
        <f t="shared" si="22"/>
        <v>0</v>
      </c>
      <c r="AV113" s="275">
        <f>IF($B113&lt;$F$22,SUM($T$100:$T113),"")</f>
        <v>0</v>
      </c>
      <c r="AW113" s="275" t="str">
        <f t="shared" si="55"/>
        <v>-</v>
      </c>
      <c r="AX113" s="275" t="str">
        <f t="shared" si="56"/>
        <v/>
      </c>
      <c r="AY113"/>
      <c r="AZ113" s="275" t="str">
        <f ca="1">IF(ISNUMBER(OFFSET(AV113,-$F$21,0)),SUM(OFFSET($T$100,$F$21,0):$T113),"")</f>
        <v/>
      </c>
      <c r="BA113" s="275" t="str">
        <f t="shared" ca="1" si="23"/>
        <v/>
      </c>
      <c r="BB113" s="275" t="str">
        <f t="shared" ca="1" si="57"/>
        <v/>
      </c>
      <c r="BC113" s="190"/>
      <c r="BD113" s="275" t="str">
        <f ca="1">IFERROR(IF(AND($B113&gt;=($F$16-$F$15),$B113&lt;$F$22+($F$16-$F$15)),SUM(OFFSET($T$100,($F$16-$F$15),0):$T113),""),"")</f>
        <v/>
      </c>
      <c r="BE113" s="275" t="str">
        <f t="shared" ca="1" si="58"/>
        <v/>
      </c>
      <c r="BF113" s="275" t="str">
        <f t="shared" ca="1" si="59"/>
        <v/>
      </c>
      <c r="BG113"/>
      <c r="BH113" s="190" t="str">
        <f ca="1">IF(ISNUMBER(OFFSET(BD113,-$F$21,0)),SUM(OFFSET($T$100,($F$16-$F$15+$F$21),0):$T113),"")</f>
        <v/>
      </c>
      <c r="BI113" s="190" t="str">
        <f t="shared" ca="1" si="24"/>
        <v/>
      </c>
      <c r="BJ113" s="190" t="str">
        <f t="shared" ca="1" si="60"/>
        <v/>
      </c>
      <c r="BK113" s="190"/>
      <c r="BL113" s="275" t="str">
        <f ca="1">IFERROR(IF(AND($B113&gt;=($F$17-$F$15),$B113&lt;$F$22+($F$17-$F$15)),SUM(OFFSET($T$100,($F$17-$F$15),0):$T113),""),"")</f>
        <v/>
      </c>
      <c r="BM113" s="275" t="str">
        <f t="shared" ca="1" si="25"/>
        <v/>
      </c>
      <c r="BN113" s="275" t="str">
        <f t="shared" ca="1" si="61"/>
        <v/>
      </c>
      <c r="BO113"/>
      <c r="BP113" s="275" t="str">
        <f ca="1">IF(ISNUMBER(OFFSET(BL113,-$F$21,0)),SUM(OFFSET($T$100,($F$17-$F$15+$F$21),0):$T113),"")</f>
        <v/>
      </c>
      <c r="BQ113" s="275" t="str">
        <f t="shared" ca="1" si="62"/>
        <v/>
      </c>
      <c r="BR113" s="275" t="str">
        <f t="shared" ca="1" si="63"/>
        <v/>
      </c>
      <c r="BS113" s="190"/>
      <c r="BT113"/>
      <c r="BU113" s="276" t="str">
        <f t="shared" si="64"/>
        <v>end</v>
      </c>
      <c r="BV113" s="277">
        <v>13</v>
      </c>
      <c r="BW113" s="278" t="str">
        <f t="shared" si="69"/>
        <v/>
      </c>
      <c r="BX113" s="278" t="str">
        <f t="shared" si="68"/>
        <v/>
      </c>
      <c r="BY113" s="279" t="str">
        <f t="shared" si="65"/>
        <v/>
      </c>
      <c r="BZ113"/>
      <c r="CA113" s="284" t="str">
        <f t="shared" si="26"/>
        <v>-</v>
      </c>
      <c r="CB113" s="285" t="str">
        <f t="shared" si="27"/>
        <v>-</v>
      </c>
      <c r="CC113" s="285" t="str">
        <f t="shared" si="28"/>
        <v>13-14</v>
      </c>
      <c r="CD113" s="286" t="str">
        <f t="shared" si="29"/>
        <v/>
      </c>
      <c r="CE113" s="287" t="str">
        <f t="shared" si="30"/>
        <v>-</v>
      </c>
      <c r="CF113" s="285" t="str">
        <f t="shared" ca="1" si="31"/>
        <v>-</v>
      </c>
      <c r="CG113" s="285" t="str">
        <f t="shared" si="32"/>
        <v>13-14</v>
      </c>
      <c r="CH113" s="288" t="str">
        <f t="shared" ca="1" si="33"/>
        <v/>
      </c>
      <c r="CI113" s="99"/>
      <c r="CJ113" s="99"/>
      <c r="CK113" s="99"/>
      <c r="CL113" s="99"/>
      <c r="CM113" s="99"/>
      <c r="CN113" s="99"/>
      <c r="CO113" s="99"/>
    </row>
    <row r="114" spans="2:93" ht="13.5" customHeight="1" x14ac:dyDescent="0.2">
      <c r="B114" s="262">
        <v>14</v>
      </c>
      <c r="C114" s="236" t="str">
        <f t="shared" si="1"/>
        <v/>
      </c>
      <c r="D114" s="237" t="str">
        <f t="shared" si="66"/>
        <v>-</v>
      </c>
      <c r="E114" s="290" t="str">
        <f t="shared" si="34"/>
        <v/>
      </c>
      <c r="F114" s="264" t="str">
        <f t="shared" si="35"/>
        <v/>
      </c>
      <c r="G114" s="291" t="str">
        <f t="shared" si="36"/>
        <v/>
      </c>
      <c r="H114" s="240" t="str">
        <f>IF(E114&lt;&gt;"",IF($B114&lt;$F$21,"",IF(ISNUMBER(F114),IF(ISNUMBER(I114),(E114*30*50*ffp),""),(E114*30*50*ffp))),"")</f>
        <v/>
      </c>
      <c r="I114" s="265" t="str">
        <f t="shared" si="2"/>
        <v/>
      </c>
      <c r="J114" s="265" t="str">
        <f t="shared" si="3"/>
        <v/>
      </c>
      <c r="K114" s="240" t="str">
        <f t="shared" si="4"/>
        <v/>
      </c>
      <c r="L114" s="265" t="str">
        <f t="shared" si="5"/>
        <v/>
      </c>
      <c r="M114" s="265" t="str">
        <f t="shared" si="6"/>
        <v/>
      </c>
      <c r="N114" s="240" t="str">
        <f t="shared" si="7"/>
        <v>-</v>
      </c>
      <c r="O114" s="265" t="str">
        <f t="shared" si="38"/>
        <v>-</v>
      </c>
      <c r="P114" s="265" t="str">
        <f t="shared" si="39"/>
        <v>-</v>
      </c>
      <c r="Q114" s="266" t="str">
        <f t="shared" si="8"/>
        <v>-</v>
      </c>
      <c r="R114" s="267" t="str">
        <f t="shared" si="40"/>
        <v>-</v>
      </c>
      <c r="S114" s="268" t="str">
        <f t="shared" si="41"/>
        <v>-</v>
      </c>
      <c r="T114" s="269" t="str">
        <f t="shared" si="9"/>
        <v/>
      </c>
      <c r="U114" s="221">
        <f t="shared" si="10"/>
        <v>14</v>
      </c>
      <c r="V114" s="220" t="str">
        <f t="shared" si="42"/>
        <v>-</v>
      </c>
      <c r="W114" s="221" t="str">
        <f t="shared" si="43"/>
        <v>-</v>
      </c>
      <c r="X114" s="221" t="str">
        <f t="shared" si="11"/>
        <v>-</v>
      </c>
      <c r="Y114" s="221" t="str">
        <f t="shared" si="12"/>
        <v>-</v>
      </c>
      <c r="Z114" s="270">
        <f t="shared" si="44"/>
        <v>0.1</v>
      </c>
      <c r="AA114" s="271" t="str">
        <f t="shared" si="67"/>
        <v>-</v>
      </c>
      <c r="AB114" s="292" t="str">
        <f t="shared" si="13"/>
        <v>-</v>
      </c>
      <c r="AC114" s="224">
        <f t="shared" si="45"/>
        <v>14</v>
      </c>
      <c r="AD114" s="223" t="str">
        <f t="shared" si="14"/>
        <v>-</v>
      </c>
      <c r="AE114" s="224" t="str">
        <f t="shared" si="46"/>
        <v>-</v>
      </c>
      <c r="AF114" s="224" t="str">
        <f t="shared" si="15"/>
        <v>-</v>
      </c>
      <c r="AG114" s="224" t="str">
        <f t="shared" si="16"/>
        <v>-</v>
      </c>
      <c r="AH114" s="272">
        <f t="shared" si="47"/>
        <v>0.1</v>
      </c>
      <c r="AI114" s="271" t="str">
        <f t="shared" si="17"/>
        <v>-</v>
      </c>
      <c r="AJ114" s="292" t="str">
        <f>IFERROR(IF(AD114=1,D114*EXP(-(0.04*AF114+0.1*AG114)),IF(AD114=2,D114*EXP(-(0.04*($F$21+AF114)+0.1*(($F$16-$F$15)-$F$21+AG114))),D114*EXP(-(0.04*($F$21*2+AF114)+0.1*((($F$16-$F$15)-$F$21)*2-AG114))))),"-")</f>
        <v>-</v>
      </c>
      <c r="AK114" s="227">
        <f t="shared" si="49"/>
        <v>14</v>
      </c>
      <c r="AL114" s="226" t="str">
        <f t="shared" si="18"/>
        <v>-</v>
      </c>
      <c r="AM114" s="227" t="str">
        <f t="shared" si="50"/>
        <v>-</v>
      </c>
      <c r="AN114" s="227" t="str">
        <f t="shared" si="51"/>
        <v>-</v>
      </c>
      <c r="AO114" s="227" t="str">
        <f t="shared" si="19"/>
        <v>-</v>
      </c>
      <c r="AP114" s="273">
        <f t="shared" si="52"/>
        <v>0.1</v>
      </c>
      <c r="AQ114" s="271" t="str">
        <f>IFERROR(IF(AL113=1,D114*EXP(-(0.04*AN113+0.1*AO113)),IF(AL113=2,D114*EXP(-(0.04*($F$21+AN113)+0.1*(($F$16-$F$15)-$F$21+AO113))),D114*EXP(-(0.04*($F$21*2+AN113)+0.1*((($F$16-$F$15)-$F$21)*2-AO113))))),"-")</f>
        <v>-</v>
      </c>
      <c r="AR114" s="292" t="str">
        <f>IFERROR(IF(AL114=1,D114*EXP(-(0.04*AN114+0.1*AO114)),IF(AL114=2,D114*EXP(-(0.04*($F$21+AN114)+0.1*(($F$16-$F$15)-$F$21+AO114))),D114*EXP(-(0.04*($F$21*2+AN114)+0.1*((($F$16-$F$15)-$F$21)*2-AO114))))),"-")</f>
        <v>-</v>
      </c>
      <c r="AS114" s="274">
        <f t="shared" si="20"/>
        <v>0</v>
      </c>
      <c r="AT114" s="274">
        <f t="shared" si="21"/>
        <v>0</v>
      </c>
      <c r="AU114" s="274">
        <f t="shared" si="22"/>
        <v>0</v>
      </c>
      <c r="AV114" s="275">
        <f>IF($B114&lt;$F$22,SUM($T$100:$T114),"")</f>
        <v>0</v>
      </c>
      <c r="AW114" s="275" t="str">
        <f t="shared" si="55"/>
        <v>-</v>
      </c>
      <c r="AX114" s="275" t="str">
        <f t="shared" si="56"/>
        <v/>
      </c>
      <c r="AY114"/>
      <c r="AZ114" s="275" t="str">
        <f ca="1">IF(ISNUMBER(OFFSET(AV114,-$F$21,0)),SUM(OFFSET($T$100,$F$21,0):$T114),"")</f>
        <v/>
      </c>
      <c r="BA114" s="275" t="str">
        <f t="shared" ca="1" si="23"/>
        <v/>
      </c>
      <c r="BB114" s="275" t="str">
        <f t="shared" ca="1" si="57"/>
        <v/>
      </c>
      <c r="BC114" s="190"/>
      <c r="BD114" s="275" t="str">
        <f ca="1">IFERROR(IF(AND($B114&gt;=($F$16-$F$15),$B114&lt;$F$22+($F$16-$F$15)),SUM(OFFSET($T$100,($F$16-$F$15),0):$T114),""),"")</f>
        <v/>
      </c>
      <c r="BE114" s="275" t="str">
        <f t="shared" ca="1" si="58"/>
        <v/>
      </c>
      <c r="BF114" s="275" t="str">
        <f ca="1">IF(ISNUMBER(BD114),(BD114-BE114)/(3*86400*($B114-($F$16-$F$15)+1))*1000,"")</f>
        <v/>
      </c>
      <c r="BG114"/>
      <c r="BH114" s="190" t="str">
        <f ca="1">IF(ISNUMBER(OFFSET(BD114,-$F$21,0)),SUM(OFFSET($T$100,($F$16-$F$15+$F$21),0):$T114),"")</f>
        <v/>
      </c>
      <c r="BI114" s="190" t="str">
        <f t="shared" ca="1" si="24"/>
        <v/>
      </c>
      <c r="BJ114" s="190" t="str">
        <f t="shared" ca="1" si="60"/>
        <v/>
      </c>
      <c r="BK114" s="190"/>
      <c r="BL114" s="275" t="str">
        <f ca="1">IFERROR(IF(AND($B114&gt;=($F$17-$F$15),$B114&lt;$F$22+($F$17-$F$15)),SUM(OFFSET($T$100,($F$17-$F$15),0):$T114),""),"")</f>
        <v/>
      </c>
      <c r="BM114" s="275" t="str">
        <f t="shared" ca="1" si="25"/>
        <v/>
      </c>
      <c r="BN114" s="275" t="str">
        <f t="shared" ca="1" si="61"/>
        <v/>
      </c>
      <c r="BO114"/>
      <c r="BP114" s="275" t="str">
        <f ca="1">IF(ISNUMBER(OFFSET(BL114,-$F$21,0)),SUM(OFFSET($T$100,($F$17-$F$15+$F$21),0):$T114),"")</f>
        <v/>
      </c>
      <c r="BQ114" s="275" t="str">
        <f t="shared" ca="1" si="62"/>
        <v/>
      </c>
      <c r="BR114" s="275" t="str">
        <f t="shared" ca="1" si="63"/>
        <v/>
      </c>
      <c r="BS114" s="190"/>
      <c r="BT114"/>
      <c r="BU114" s="276" t="str">
        <f t="shared" si="64"/>
        <v>end</v>
      </c>
      <c r="BV114" s="277">
        <v>14</v>
      </c>
      <c r="BW114" s="278" t="str">
        <f t="shared" si="69"/>
        <v/>
      </c>
      <c r="BX114" s="278" t="str">
        <f t="shared" si="68"/>
        <v/>
      </c>
      <c r="BY114" s="279" t="str">
        <f t="shared" si="65"/>
        <v/>
      </c>
      <c r="BZ114"/>
      <c r="CA114" s="284" t="str">
        <f t="shared" si="26"/>
        <v>-</v>
      </c>
      <c r="CB114" s="285" t="str">
        <f t="shared" si="27"/>
        <v>-</v>
      </c>
      <c r="CC114" s="285" t="str">
        <f t="shared" si="28"/>
        <v>14-15</v>
      </c>
      <c r="CD114" s="286" t="str">
        <f t="shared" si="29"/>
        <v/>
      </c>
      <c r="CE114" s="287" t="str">
        <f t="shared" si="30"/>
        <v>-</v>
      </c>
      <c r="CF114" s="285" t="str">
        <f t="shared" ca="1" si="31"/>
        <v>-</v>
      </c>
      <c r="CG114" s="285" t="str">
        <f t="shared" si="32"/>
        <v>14-15</v>
      </c>
      <c r="CH114" s="288" t="str">
        <f t="shared" ca="1" si="33"/>
        <v/>
      </c>
      <c r="CI114" s="99"/>
      <c r="CJ114" s="99"/>
      <c r="CK114" s="99"/>
      <c r="CL114" s="99"/>
      <c r="CM114" s="99"/>
      <c r="CN114" s="99"/>
      <c r="CO114" s="99"/>
    </row>
    <row r="115" spans="2:93" ht="13.5" customHeight="1" x14ac:dyDescent="0.2">
      <c r="B115" s="293">
        <v>15</v>
      </c>
      <c r="C115" s="237" t="str">
        <f t="shared" si="1"/>
        <v/>
      </c>
      <c r="D115" s="237" t="str">
        <f t="shared" si="66"/>
        <v>-</v>
      </c>
      <c r="E115" s="290" t="str">
        <f t="shared" si="34"/>
        <v/>
      </c>
      <c r="F115" s="264" t="str">
        <f t="shared" si="35"/>
        <v/>
      </c>
      <c r="G115" s="291" t="str">
        <f t="shared" si="36"/>
        <v/>
      </c>
      <c r="H115" s="240" t="str">
        <f t="shared" si="37"/>
        <v/>
      </c>
      <c r="I115" s="265" t="str">
        <f t="shared" si="2"/>
        <v/>
      </c>
      <c r="J115" s="265" t="str">
        <f t="shared" si="3"/>
        <v/>
      </c>
      <c r="K115" s="240" t="str">
        <f t="shared" si="4"/>
        <v/>
      </c>
      <c r="L115" s="265" t="str">
        <f t="shared" si="5"/>
        <v/>
      </c>
      <c r="M115" s="265" t="str">
        <f t="shared" si="6"/>
        <v/>
      </c>
      <c r="N115" s="240" t="str">
        <f t="shared" si="7"/>
        <v>-</v>
      </c>
      <c r="O115" s="265" t="str">
        <f t="shared" si="38"/>
        <v>-</v>
      </c>
      <c r="P115" s="265" t="str">
        <f t="shared" si="39"/>
        <v>-</v>
      </c>
      <c r="Q115" s="266" t="str">
        <f t="shared" si="8"/>
        <v>-</v>
      </c>
      <c r="R115" s="267" t="str">
        <f t="shared" si="40"/>
        <v>-</v>
      </c>
      <c r="S115" s="268" t="str">
        <f t="shared" si="41"/>
        <v>-</v>
      </c>
      <c r="T115" s="269" t="str">
        <f t="shared" si="9"/>
        <v/>
      </c>
      <c r="U115" s="221">
        <f t="shared" si="10"/>
        <v>15</v>
      </c>
      <c r="V115" s="220" t="str">
        <f t="shared" si="42"/>
        <v>-</v>
      </c>
      <c r="W115" s="221" t="str">
        <f t="shared" si="43"/>
        <v>-</v>
      </c>
      <c r="X115" s="221" t="str">
        <f t="shared" si="11"/>
        <v>-</v>
      </c>
      <c r="Y115" s="221" t="str">
        <f t="shared" si="12"/>
        <v>-</v>
      </c>
      <c r="Z115" s="270">
        <f t="shared" si="44"/>
        <v>0.1</v>
      </c>
      <c r="AA115" s="292" t="str">
        <f>IFERROR(IF(V114=1,AA100*EXP(-(LN(2)/$D$65+0.04)*X114)*EXP(-(LN(2)/$D$65+0.1)*Y114),IF(V114=2,AA100*EXP(-(LN(2)/$D$65+0.04)*(VLOOKUP(($F$16-$F$15)-1,U99:Y114,4,FALSE)))*EXP(-(LN(2)/$D$65+0.1)*(VLOOKUP(($F$16-$F$15)-1,U99:Y114,5,FALSE)))*EXP(-(LN(2)/$D$65+0.04)*X114)*EXP(-(LN(2)/$D$65+0.1)*Y114),AA100*EXP(-(LN(2)/$D$65+0.04)*(VLOOKUP(($F$16-$F$15)-1,U99:Y114,4,FALSE)))*EXP(-(LN(2)/$D$65+0.1)*(VLOOKUP(($F$16-$F$15)-1,U99:Y114,5,FALSE)))*EXP(-(LN(2)/$D$65+0.04)*(VLOOKUP(($F$16-$F$15)*2-1,U99:Y114,4,FALSE)))*EXP(-(LN(2)/$D$65+0.1)*(VLOOKUP(($F$16-$F$15)*2-1,U99:Y114,5,FALSE)))*EXP(-(LN(2)/$D$65+0.04)*X114)*EXP(-(LN(2)/$D$65+0.1)*Y114))),"-")</f>
        <v>-</v>
      </c>
      <c r="AB115" s="271" t="str">
        <f>IFERROR(IF(V115=1,AB$100*EXP(-(LN(2)/$D$65+0.04)*X115)*EXP(-(LN(2)/$D$65+0.1)*Y115),IF(V115=2,AB$100*EXP(-(LN(2)/$D$65+0.04)*(VLOOKUP(($F$16-$F$15)-1,U$100:Y115,4,FALSE)))*EXP(-(LN(2)/$D$65+0.1)*(VLOOKUP(($F$16-$F$15)-1,U$100:Y115,5,FALSE)))*EXP(-(LN(2)/$D$65+0.04)*X115)*EXP(-(LN(2)/$D$65+0.1)*Y115),IF(V115=3,AB$100*EXP(-(LN(2)/$D$65+0.04)*(VLOOKUP(($F$16-$F$15)-1,U$100:Y115,4,FALSE)))*EXP(-(LN(2)/$D$65+0.1)*(VLOOKUP(($F$16-$F$15)-1,U$100:Y115,5,FALSE)))*EXP(-(LN(2)/$D$65+0.04)*(VLOOKUP(($F$16-$F$15)*2-1,U$100:Y115,4,FALSE)))*EXP(-(LN(2)/$D$65+0.1)*(VLOOKUP(($F$16-$F$15)*2-1,U$100:Y115,5,FALSE)))*EXP(-(LN(2)/$D$65+0.04)*X115)*EXP(-(LN(2)/$D$65+0.1)*Y115),"-"))),"-")</f>
        <v>-</v>
      </c>
      <c r="AC115" s="224">
        <f t="shared" si="45"/>
        <v>15</v>
      </c>
      <c r="AD115" s="223" t="str">
        <f t="shared" si="14"/>
        <v>-</v>
      </c>
      <c r="AE115" s="224" t="str">
        <f t="shared" si="46"/>
        <v>-</v>
      </c>
      <c r="AF115" s="224" t="str">
        <f t="shared" si="15"/>
        <v>-</v>
      </c>
      <c r="AG115" s="224" t="str">
        <f t="shared" si="16"/>
        <v>-</v>
      </c>
      <c r="AH115" s="272">
        <f t="shared" si="47"/>
        <v>0.1</v>
      </c>
      <c r="AI115" s="292" t="str">
        <f>IFERROR(IF(AD114=1,AI100*EXP(-(LN(2)/$D$65+0.04)*AF114)*EXP(-(LN(2)/$D$65+0.1)*AG114),IF(AD114=2,AI100*EXP(-(LN(2)/$D$65+0.04)*(VLOOKUP(($F$16-$F$15)-1,AC99:AG114,4,FALSE)))*EXP(-(LN(2)/$D$65+0.1)*(VLOOKUP(($F$16-$F$15)-1,AC99:AG114,5,FALSE)))*EXP(-(LN(2)/$D$65+0.04)*AF114)*EXP(-(LN(2)/$D$65+0.1)*AG114),AI100*EXP(-(LN(2)/$D$65+0.04)*(VLOOKUP(($F$16-$F$15)-1,AC99:AG114,4,FALSE)))*EXP(-(LN(2)/$D$65+0.1)*(VLOOKUP(($F$16-$F$15)-1,AC99:AG114,5,FALSE)))*EXP(-(LN(2)/$D$65+0.04)*(VLOOKUP(($F$16-$F$15)*2-1,AC99:AG114,4,FALSE)))*EXP(-(LN(2)/$D$65+0.1)*(VLOOKUP(($F$16-$F$15)*2-1,AC99:AG114,5,FALSE)))*EXP(-(LN(2)/$D$65+0.04)*AF114)*EXP(-(LN(2)/$D$65+0.1)*AG114))),"-")</f>
        <v>-</v>
      </c>
      <c r="AJ115" s="271" t="str">
        <f>IFERROR(IF(AD115=1,AJ$100*EXP(-(LN(2)/$D$65+0.04)*AF115)*EXP(-(LN(2)/$D$65+0.1)*AG115),IF(AD115=2,AJ$100*EXP(-(LN(2)/$D$65+0.04)*(VLOOKUP(($F$16-$F$15)-1,AC$100:AG115,4,FALSE)))*EXP(-(LN(2)/$D$65+0.1)*(VLOOKUP(($F$16-$F$15)-1,AC$100:AG115,5,FALSE)))*EXP(-(LN(2)/$D$65+0.04)*AF115)*EXP(-(LN(2)/$D$65+0.1)*AG115),IF(AD115=3,AJ$100*EXP(-(LN(2)/$D$65+0.04)*(VLOOKUP(($F$16-$F$15)-1,AC$100:AG115,4,FALSE)))*EXP(-(LN(2)/$D$65+0.1)*(VLOOKUP(($F$16-$F$15)-1,AC$100:AG115,5,FALSE)))*EXP(-(LN(2)/$D$65+0.04)*(VLOOKUP(($F$16-$F$15)*2-1,AC$100:AG115,4,FALSE)))*EXP(-(LN(2)/$D$65+0.1)*(VLOOKUP(($F$16-$F$15)*2-1,AC$100:AG115,5,FALSE)))*EXP(-(LN(2)/$D$65+0.04)*AF115)*EXP(-(LN(2)/$D$65+0.1)*AG115),"-"))),"-")</f>
        <v>-</v>
      </c>
      <c r="AK115" s="227">
        <f t="shared" si="49"/>
        <v>15</v>
      </c>
      <c r="AL115" s="226" t="str">
        <f t="shared" si="18"/>
        <v>-</v>
      </c>
      <c r="AM115" s="227" t="str">
        <f t="shared" si="50"/>
        <v>-</v>
      </c>
      <c r="AN115" s="227" t="str">
        <f t="shared" si="51"/>
        <v>-</v>
      </c>
      <c r="AO115" s="227" t="str">
        <f t="shared" si="19"/>
        <v>-</v>
      </c>
      <c r="AP115" s="273">
        <f t="shared" si="52"/>
        <v>0.1</v>
      </c>
      <c r="AQ115" s="292" t="str">
        <f>IFERROR(IF(AL114=1,AQ100*EXP(-(LN(2)/$D$65+0.04)*AN114)*EXP(-(LN(2)/$D$65+0.1)*AO114),IF(AL114=2,AQ100*EXP(-(LN(2)/$D$65+0.04)*(VLOOKUP(($F$16-$F$15)-1,AK99:AO114,4,FALSE)))*EXP(-(LN(2)/$D$65+0.1)*(VLOOKUP(($F$16-$F$15)-1,AK99:AO114,5,FALSE)))*EXP(-(LN(2)/$D$65+0.04)*AN114)*EXP(-(LN(2)/$D$65+0.1)*AO114),AQ100*EXP(-(LN(2)/$D$65+0.04)*(VLOOKUP(($F$16-$F$15)-1,AK99:AO114,4,FALSE)))*EXP(-(LN(2)/$D$65+0.1)*(VLOOKUP(($F$16-$F$15)-1,AK99:AO114,5,FALSE)))*EXP(-(LN(2)/$D$65+0.04)*(VLOOKUP(($F$16-$F$15)*2-1,AK99:AO114,4,FALSE)))*EXP(-(LN(2)/$D$65+0.1)*(VLOOKUP(($F$16-$F$15)*2-1,AK99:AO114,5,FALSE)))*EXP(-(LN(2)/$D$65+0.04)*AN114)*EXP(-(LN(2)/$D$65+0.1)*AO114))),"-")</f>
        <v>-</v>
      </c>
      <c r="AR115" s="271" t="str">
        <f>IFERROR(IF(AL115=1,AR$100*EXP(-(LN(2)/$D$65+0.04)*AN115)*EXP(-(LN(2)/$D$65+0.1)*AO115),IF(AL115=2,AR$100*EXP(-(LN(2)/$D$65+0.04)*(VLOOKUP(($F$16-$F$15)-1,AK$100:AO115,4,FALSE)))*EXP(-(LN(2)/$D$65+0.1)*(VLOOKUP(($F$16-$F$15)-1,AK$100:AO115,5,FALSE)))*EXP(-(LN(2)/$D$65+0.04)*AN115)*EXP(-(LN(2)/$D$65+0.1)*AO115),IF(AL115=3,AR$100*EXP(-(LN(2)/$D$65+0.04)*(VLOOKUP(($F$16-$F$15)-1,AK$100:AO115,4,FALSE)))*EXP(-(LN(2)/$D$65+0.1)*(VLOOKUP(($F$16-$F$15)-1,AK$100:AO115,5,FALSE)))*EXP(-(LN(2)/$D$65+0.04)*(VLOOKUP(($F$16-$F$15)*2-1,AK$100:AO115,4,FALSE)))*EXP(-(LN(2)/$D$65+0.1)*(VLOOKUP(($F$16-$F$15)*2-1,AK$100:AO115,5,FALSE)))*EXP(-(LN(2)/$D$65+0.04)*AN115)*EXP(-(LN(2)/$D$65+0.1)*AO115),"-"))),"-")</f>
        <v>-</v>
      </c>
      <c r="AS115" s="294">
        <f t="shared" si="20"/>
        <v>0</v>
      </c>
      <c r="AT115" s="294">
        <f t="shared" si="21"/>
        <v>0</v>
      </c>
      <c r="AU115" s="294">
        <f t="shared" si="22"/>
        <v>0</v>
      </c>
      <c r="AV115" s="275">
        <f>IF($B115&lt;$F$22,SUM($T$100:$T115),"")</f>
        <v>0</v>
      </c>
      <c r="AW115" s="275" t="str">
        <f t="shared" si="55"/>
        <v>-</v>
      </c>
      <c r="AX115" s="275" t="str">
        <f t="shared" si="56"/>
        <v/>
      </c>
      <c r="AY115"/>
      <c r="AZ115" s="275" t="str">
        <f ca="1">IF(ISNUMBER(OFFSET(AV115,-$F$21,0)),SUM(OFFSET($T$100,$F$21,0):$T115),"")</f>
        <v/>
      </c>
      <c r="BA115" s="275" t="str">
        <f t="shared" ca="1" si="23"/>
        <v/>
      </c>
      <c r="BB115" s="275" t="str">
        <f t="shared" ca="1" si="57"/>
        <v/>
      </c>
      <c r="BC115" s="190"/>
      <c r="BD115" s="275" t="str">
        <f ca="1">IFERROR(IF(AND($B115&gt;=($F$16-$F$15),$B115&lt;$F$22+($F$16-$F$15)),SUM(OFFSET($T$100,($F$16-$F$15),0):$T115),""),"")</f>
        <v/>
      </c>
      <c r="BE115" s="275" t="str">
        <f t="shared" ca="1" si="58"/>
        <v/>
      </c>
      <c r="BF115" s="275" t="str">
        <f t="shared" ca="1" si="59"/>
        <v/>
      </c>
      <c r="BG115"/>
      <c r="BH115" s="190" t="str">
        <f ca="1">IF(ISNUMBER(OFFSET(BD115,-$F$21,0)),SUM(OFFSET($T$100,($F$16-$F$15+$F$21),0):$T115),"")</f>
        <v/>
      </c>
      <c r="BI115" s="190" t="str">
        <f t="shared" ca="1" si="24"/>
        <v/>
      </c>
      <c r="BJ115" s="190" t="str">
        <f t="shared" ca="1" si="60"/>
        <v/>
      </c>
      <c r="BK115" s="190"/>
      <c r="BL115" s="275" t="str">
        <f ca="1">IFERROR(IF(AND($B115&gt;=($F$17-$F$15),$B115&lt;$F$22+($F$17-$F$15)),SUM(OFFSET($T$100,($F$17-$F$15),0):$T115),""),"")</f>
        <v/>
      </c>
      <c r="BM115" s="275" t="str">
        <f t="shared" ca="1" si="25"/>
        <v/>
      </c>
      <c r="BN115" s="275" t="str">
        <f t="shared" ca="1" si="61"/>
        <v/>
      </c>
      <c r="BO115"/>
      <c r="BP115" s="275" t="str">
        <f ca="1">IF(ISNUMBER(OFFSET(BL115,-$F$21,0)),SUM(OFFSET($T$100,($F$17-$F$15+$F$21),0):$T115),"")</f>
        <v/>
      </c>
      <c r="BQ115" s="275" t="str">
        <f t="shared" ca="1" si="62"/>
        <v/>
      </c>
      <c r="BR115" s="275" t="str">
        <f t="shared" ca="1" si="63"/>
        <v/>
      </c>
      <c r="BS115" s="190"/>
      <c r="BT115"/>
      <c r="BU115" s="276" t="str">
        <f t="shared" si="64"/>
        <v>end</v>
      </c>
      <c r="BV115" s="277">
        <v>15</v>
      </c>
      <c r="BW115" s="278" t="str">
        <f>IF(AND(BU115="end",BU114="end"), "", IF(BU115&lt;&gt;"",MIN(BU114:BU115),""))</f>
        <v/>
      </c>
      <c r="BX115" s="278" t="str">
        <f>IF(AND(BU115="end",BU114="end"), "", IF(BU115&lt;&gt;"",MAX(BU114:BU115),""))</f>
        <v/>
      </c>
      <c r="BY115" s="279" t="str">
        <f t="shared" si="65"/>
        <v/>
      </c>
      <c r="BZ115"/>
      <c r="CA115" s="258" t="str">
        <f t="shared" si="26"/>
        <v>-</v>
      </c>
      <c r="CB115" s="33" t="str">
        <f t="shared" si="27"/>
        <v>-</v>
      </c>
      <c r="CC115" s="33" t="str">
        <f t="shared" si="28"/>
        <v>15-16</v>
      </c>
      <c r="CD115" s="261" t="str">
        <f t="shared" si="29"/>
        <v/>
      </c>
      <c r="CE115" s="258" t="str">
        <f t="shared" si="30"/>
        <v>-</v>
      </c>
      <c r="CF115" s="33" t="str">
        <f t="shared" ca="1" si="31"/>
        <v>-</v>
      </c>
      <c r="CG115" s="33" t="str">
        <f t="shared" si="32"/>
        <v>15-16</v>
      </c>
      <c r="CH115" s="261" t="str">
        <f t="shared" ca="1" si="33"/>
        <v/>
      </c>
      <c r="CI115" s="99"/>
      <c r="CJ115" s="99"/>
      <c r="CK115" s="99"/>
      <c r="CL115" s="99"/>
      <c r="CM115" s="99"/>
      <c r="CN115" s="99"/>
      <c r="CO115" s="99"/>
    </row>
    <row r="116" spans="2:93" ht="13.5" customHeight="1" x14ac:dyDescent="0.2">
      <c r="B116" s="262">
        <v>16</v>
      </c>
      <c r="C116" s="237" t="str">
        <f t="shared" si="1"/>
        <v/>
      </c>
      <c r="D116" s="237" t="str">
        <f t="shared" si="66"/>
        <v>-</v>
      </c>
      <c r="E116" s="290" t="str">
        <f t="shared" si="34"/>
        <v/>
      </c>
      <c r="F116" s="264" t="str">
        <f t="shared" si="35"/>
        <v/>
      </c>
      <c r="G116" s="291" t="str">
        <f t="shared" si="36"/>
        <v/>
      </c>
      <c r="H116" s="240" t="str">
        <f t="shared" si="37"/>
        <v/>
      </c>
      <c r="I116" s="265" t="str">
        <f t="shared" si="2"/>
        <v/>
      </c>
      <c r="J116" s="265" t="str">
        <f t="shared" si="3"/>
        <v/>
      </c>
      <c r="K116" s="240" t="str">
        <f t="shared" si="4"/>
        <v/>
      </c>
      <c r="L116" s="265" t="str">
        <f t="shared" si="5"/>
        <v/>
      </c>
      <c r="M116" s="265" t="str">
        <f t="shared" si="6"/>
        <v/>
      </c>
      <c r="N116" s="240" t="str">
        <f t="shared" si="7"/>
        <v>-</v>
      </c>
      <c r="O116" s="265" t="str">
        <f t="shared" si="38"/>
        <v>-</v>
      </c>
      <c r="P116" s="265" t="str">
        <f t="shared" si="39"/>
        <v>-</v>
      </c>
      <c r="Q116" s="266" t="str">
        <f t="shared" si="8"/>
        <v>-</v>
      </c>
      <c r="R116" s="267" t="str">
        <f t="shared" si="40"/>
        <v>-</v>
      </c>
      <c r="S116" s="268" t="str">
        <f t="shared" si="41"/>
        <v>-</v>
      </c>
      <c r="T116" s="269" t="str">
        <f t="shared" si="9"/>
        <v/>
      </c>
      <c r="U116" s="221">
        <f t="shared" si="10"/>
        <v>16</v>
      </c>
      <c r="V116" s="220" t="str">
        <f t="shared" si="42"/>
        <v>-</v>
      </c>
      <c r="W116" s="221" t="str">
        <f t="shared" si="43"/>
        <v>-</v>
      </c>
      <c r="X116" s="221" t="str">
        <f t="shared" si="11"/>
        <v>-</v>
      </c>
      <c r="Y116" s="221" t="str">
        <f t="shared" si="12"/>
        <v>-</v>
      </c>
      <c r="Z116" s="270">
        <f t="shared" si="44"/>
        <v>0.1</v>
      </c>
      <c r="AA116" s="271" t="str">
        <f>IFERROR(IF(V115=1,AA$100*EXP(-(LN(2)/$D$65+0.04)*X115)*EXP(-(LN(2)/$D$65+0.1)*Y115),IF(V115=2,AA$100*EXP(-(LN(2)/$D$65+0.04)*(VLOOKUP(($F$16-$F$15)-1,U$99:Y115,4,FALSE)))*EXP(-(LN(2)/$D$65+0.1)*(VLOOKUP(($F$16-$F$15)-1,U$99:Y115,5,FALSE)))*EXP(-(LN(2)/$D$65+0.04)*X115)*EXP(-(LN(2)/$D$65+0.1)*Y115),IF(V115=3,AA$100*EXP(-(LN(2)/$D$65+0.04)*(VLOOKUP(($F$16-$F$15)-1,U$99:Y115,4,FALSE)))*EXP(-(LN(2)/$D$65+0.1)*(VLOOKUP(($F$16-$F$15)-1,U$99:Y115,5,FALSE)))*EXP(-(LN(2)/$D$65+0.04)*(VLOOKUP(($F$16-$F$15)*2-1,U$99:Y115,4,FALSE)))*EXP(-(LN(2)/$D$65+0.1)*(VLOOKUP(($F$16-$F$15)*2-1,U$99:Y115,5,FALSE)))*EXP(-(LN(2)/$D$65+0.04)*X115)*EXP(-(LN(2)/$D$65+0.1)*Y115),"-"))),"-")</f>
        <v>-</v>
      </c>
      <c r="AB116" s="271" t="str">
        <f>IFERROR(IF(V116=1,AB$100*EXP(-(LN(2)/$D$65+0.04)*X116)*EXP(-(LN(2)/$D$65+0.1)*Y116),IF(V116=2,AB$100*EXP(-(LN(2)/$D$65+0.04)*(VLOOKUP(($F$16-$F$15)-1,U$100:Y116,4,FALSE)))*EXP(-(LN(2)/$D$65+0.1)*(VLOOKUP(($F$16-$F$15)-1,U$100:Y116,5,FALSE)))*EXP(-(LN(2)/$D$65+0.04)*X116)*EXP(-(LN(2)/$D$65+0.1)*Y116),IF(V116=3,AB$100*EXP(-(LN(2)/$D$65+0.04)*(VLOOKUP(($F$16-$F$15)-1,U$100:Y116,4,FALSE)))*EXP(-(LN(2)/$D$65+0.1)*(VLOOKUP(($F$16-$F$15)-1,U$100:Y116,5,FALSE)))*EXP(-(LN(2)/$D$65+0.04)*(VLOOKUP(($F$16-$F$15)*2-1,U$100:Y116,4,FALSE)))*EXP(-(LN(2)/$D$65+0.1)*(VLOOKUP(($F$16-$F$15)*2-1,U$100:Y116,5,FALSE)))*EXP(-(LN(2)/$D$65+0.04)*X116)*EXP(-(LN(2)/$D$65+0.1)*Y116),"-"))),"-")</f>
        <v>-</v>
      </c>
      <c r="AC116" s="224">
        <f t="shared" si="45"/>
        <v>16</v>
      </c>
      <c r="AD116" s="223" t="str">
        <f t="shared" si="14"/>
        <v>-</v>
      </c>
      <c r="AE116" s="224" t="str">
        <f t="shared" si="46"/>
        <v>-</v>
      </c>
      <c r="AF116" s="224" t="str">
        <f t="shared" si="15"/>
        <v>-</v>
      </c>
      <c r="AG116" s="224" t="str">
        <f t="shared" si="16"/>
        <v>-</v>
      </c>
      <c r="AH116" s="272">
        <f t="shared" si="47"/>
        <v>0.1</v>
      </c>
      <c r="AI116" s="271" t="str">
        <f>IFERROR(IF(AD115=1,AI$100*EXP(-(LN(2)/$D$65+0.04)*AF115)*EXP(-(LN(2)/$D$65+0.1)*AG115),IF(AD115=2,AI$100*EXP(-(LN(2)/$D$65+0.04)*(VLOOKUP(($F$16-$F$15)-1,AC$99:AG115,4,FALSE)))*EXP(-(LN(2)/$D$65+0.1)*(VLOOKUP(($F$16-$F$15)-1,AC$99:AG115,5,FALSE)))*EXP(-(LN(2)/$D$65+0.04)*AF115)*EXP(-(LN(2)/$D$65+0.1)*AG115),IF(AD115=3,AI$100*EXP(-(LN(2)/$D$65+0.04)*(VLOOKUP(($F$16-$F$15)-1,AC$99:AG115,4,FALSE)))*EXP(-(LN(2)/$D$65+0.1)*(VLOOKUP(($F$16-$F$15)-1,AC$99:AG115,5,FALSE)))*EXP(-(LN(2)/$D$65+0.04)*(VLOOKUP(($F$16-$F$15)*2-1,AC$99:AG115,4,FALSE)))*EXP(-(LN(2)/$D$65+0.1)*(VLOOKUP(($F$16-$F$15)*2-1,AC$99:AG115,5,FALSE)))*EXP(-(LN(2)/$D$65+0.04)*AF115)*EXP(-(LN(2)/$D$65+0.1)*AG115),"-"))),"-")</f>
        <v>-</v>
      </c>
      <c r="AJ116" s="271" t="str">
        <f>IFERROR(IF(AD116=1,AJ$100*EXP(-(LN(2)/$D$65+0.04)*AF116)*EXP(-(LN(2)/$D$65+0.1)*AG116),IF(AD116=2,AJ$100*EXP(-(LN(2)/$D$65+0.04)*(VLOOKUP(($F$16-$F$15)-1,AC$100:AG116,4,FALSE)))*EXP(-(LN(2)/$D$65+0.1)*(VLOOKUP(($F$16-$F$15)-1,AC$100:AG116,5,FALSE)))*EXP(-(LN(2)/$D$65+0.04)*AF116)*EXP(-(LN(2)/$D$65+0.1)*AG116),IF(AD116=3,AJ$100*EXP(-(LN(2)/$D$65+0.04)*(VLOOKUP(($F$16-$F$15)-1,AC$100:AG116,4,FALSE)))*EXP(-(LN(2)/$D$65+0.1)*(VLOOKUP(($F$16-$F$15)-1,AC$100:AG116,5,FALSE)))*EXP(-(LN(2)/$D$65+0.04)*(VLOOKUP(($F$16-$F$15)*2-1,AC$100:AG116,4,FALSE)))*EXP(-(LN(2)/$D$65+0.1)*(VLOOKUP(($F$16-$F$15)*2-1,AC$100:AG116,5,FALSE)))*EXP(-(LN(2)/$D$65+0.04)*AF116)*EXP(-(LN(2)/$D$65+0.1)*AG116),"-"))),"-")</f>
        <v>-</v>
      </c>
      <c r="AK116" s="227">
        <f t="shared" si="49"/>
        <v>16</v>
      </c>
      <c r="AL116" s="226" t="str">
        <f t="shared" si="18"/>
        <v>-</v>
      </c>
      <c r="AM116" s="227" t="str">
        <f t="shared" si="50"/>
        <v>-</v>
      </c>
      <c r="AN116" s="227" t="str">
        <f t="shared" si="51"/>
        <v>-</v>
      </c>
      <c r="AO116" s="227" t="str">
        <f t="shared" si="19"/>
        <v>-</v>
      </c>
      <c r="AP116" s="273">
        <f t="shared" si="52"/>
        <v>0.1</v>
      </c>
      <c r="AQ116" s="271" t="str">
        <f>IFERROR(IF(AL115=1,AQ$100*EXP(-(LN(2)/$D$65+0.04)*AN115)*EXP(-(LN(2)/$D$65+0.1)*AO115),IF(AL115=2,AQ$100*EXP(-(LN(2)/$D$65+0.04)*(VLOOKUP(($F$16-$F$15)-1,AK$99:AO115,4,FALSE)))*EXP(-(LN(2)/$D$65+0.1)*(VLOOKUP(($F$16-$F$15)-1,AK$99:AO115,5,FALSE)))*EXP(-(LN(2)/$D$65+0.04)*AN115)*EXP(-(LN(2)/$D$65+0.1)*AO115),IF(AL115=3,AQ$100*EXP(-(LN(2)/$D$65+0.04)*(VLOOKUP(($F$16-$F$15)-1,AK$99:AO115,4,FALSE)))*EXP(-(LN(2)/$D$65+0.1)*(VLOOKUP(($F$16-$F$15)-1,AK$99:AO115,5,FALSE)))*EXP(-(LN(2)/$D$65+0.04)*(VLOOKUP(($F$16-$F$15)*2-1,AK$99:AO115,4,FALSE)))*EXP(-(LN(2)/$D$65+0.1)*(VLOOKUP(($F$16-$F$15)*2-1,AK$99:AO115,5,FALSE)))*EXP(-(LN(2)/$D$65+0.04)*AN115)*EXP(-(LN(2)/$D$65+0.1)*AO115),"-"))),"-")</f>
        <v>-</v>
      </c>
      <c r="AR116" s="271" t="str">
        <f>IFERROR(IF(AL116=1,AR$100*EXP(-(LN(2)/$D$65+0.04)*AN116)*EXP(-(LN(2)/$D$65+0.1)*AO116),IF(AL116=2,AR$100*EXP(-(LN(2)/$D$65+0.04)*(VLOOKUP(($F$16-$F$15)-1,AK$100:AO116,4,FALSE)))*EXP(-(LN(2)/$D$65+0.1)*(VLOOKUP(($F$16-$F$15)-1,AK$100:AO116,5,FALSE)))*EXP(-(LN(2)/$D$65+0.04)*AN116)*EXP(-(LN(2)/$D$65+0.1)*AO116),IF(AL116=3,AR$100*EXP(-(LN(2)/$D$65+0.04)*(VLOOKUP(($F$16-$F$15)-1,AK$100:AO116,4,FALSE)))*EXP(-(LN(2)/$D$65+0.1)*(VLOOKUP(($F$16-$F$15)-1,AK$100:AO116,5,FALSE)))*EXP(-(LN(2)/$D$65+0.04)*(VLOOKUP(($F$16-$F$15)*2-1,AK$100:AO116,4,FALSE)))*EXP(-(LN(2)/$D$65+0.1)*(VLOOKUP(($F$16-$F$15)*2-1,AK$100:AO116,5,FALSE)))*EXP(-(LN(2)/$D$65+0.04)*AN116)*EXP(-(LN(2)/$D$65+0.1)*AO116),"-"))),"-")</f>
        <v>-</v>
      </c>
      <c r="AS116" s="274">
        <f t="shared" si="20"/>
        <v>0</v>
      </c>
      <c r="AT116" s="274">
        <f t="shared" si="21"/>
        <v>0</v>
      </c>
      <c r="AU116" s="274">
        <f t="shared" si="22"/>
        <v>0</v>
      </c>
      <c r="AV116" s="275">
        <f>IF($B116&lt;$F$22,SUM($T$100:$T116),"")</f>
        <v>0</v>
      </c>
      <c r="AW116" s="275" t="str">
        <f t="shared" si="55"/>
        <v>-</v>
      </c>
      <c r="AX116" s="275" t="str">
        <f t="shared" si="56"/>
        <v/>
      </c>
      <c r="AY116"/>
      <c r="AZ116" s="275" t="str">
        <f ca="1">IF(ISNUMBER(OFFSET(AV116,-$F$21,0)),SUM(OFFSET($T$100,$F$21,0):$T116),"")</f>
        <v/>
      </c>
      <c r="BA116" s="275" t="str">
        <f t="shared" ca="1" si="23"/>
        <v/>
      </c>
      <c r="BB116" s="275" t="str">
        <f t="shared" ca="1" si="57"/>
        <v/>
      </c>
      <c r="BC116" s="190"/>
      <c r="BD116" s="275" t="str">
        <f ca="1">IFERROR(IF(AND($B116&gt;=($F$16-$F$15),$B116&lt;$F$22+($F$16-$F$15)),SUM(OFFSET($T$100,($F$16-$F$15),0):$T116),""),"")</f>
        <v/>
      </c>
      <c r="BE116" s="275" t="str">
        <f t="shared" ca="1" si="58"/>
        <v/>
      </c>
      <c r="BF116" s="275" t="str">
        <f t="shared" ca="1" si="59"/>
        <v/>
      </c>
      <c r="BG116"/>
      <c r="BH116" s="190" t="str">
        <f ca="1">IF(ISNUMBER(OFFSET(BD116,-$F$21,0)),SUM(OFFSET($T$100,($F$16-$F$15+$F$21),0):$T116),"")</f>
        <v/>
      </c>
      <c r="BI116" s="190" t="str">
        <f t="shared" ca="1" si="24"/>
        <v/>
      </c>
      <c r="BJ116" s="190" t="str">
        <f t="shared" ca="1" si="60"/>
        <v/>
      </c>
      <c r="BK116" s="190"/>
      <c r="BL116" s="275" t="str">
        <f ca="1">IFERROR(IF(AND($B116&gt;=($F$17-$F$15),$B116&lt;$F$22+($F$17-$F$15)),SUM(OFFSET($T$100,($F$17-$F$15),0):$T116),""),"")</f>
        <v/>
      </c>
      <c r="BM116" s="275" t="str">
        <f t="shared" ca="1" si="25"/>
        <v/>
      </c>
      <c r="BN116" s="275" t="str">
        <f t="shared" ca="1" si="61"/>
        <v/>
      </c>
      <c r="BO116"/>
      <c r="BP116" s="275" t="str">
        <f ca="1">IF(ISNUMBER(OFFSET(BL116,-$F$21,0)),SUM(OFFSET($T$100,($F$17-$F$15+$F$21),0):$T116),"")</f>
        <v/>
      </c>
      <c r="BQ116" s="275" t="str">
        <f t="shared" ca="1" si="62"/>
        <v/>
      </c>
      <c r="BR116" s="275" t="str">
        <f t="shared" ca="1" si="63"/>
        <v/>
      </c>
      <c r="BS116" s="190"/>
      <c r="BT116"/>
      <c r="BU116" s="276" t="str">
        <f t="shared" si="64"/>
        <v>end</v>
      </c>
      <c r="BV116" s="277">
        <v>16</v>
      </c>
      <c r="BW116" s="278" t="str">
        <f t="shared" si="69"/>
        <v/>
      </c>
      <c r="BX116" s="278" t="str">
        <f t="shared" si="68"/>
        <v/>
      </c>
      <c r="BY116" s="279" t="str">
        <f t="shared" si="65"/>
        <v/>
      </c>
      <c r="BZ116"/>
      <c r="CA116" s="280" t="str">
        <f t="shared" si="26"/>
        <v>-</v>
      </c>
      <c r="CB116" s="71" t="str">
        <f t="shared" si="27"/>
        <v>-</v>
      </c>
      <c r="CC116" s="33" t="str">
        <f t="shared" si="28"/>
        <v>16-17</v>
      </c>
      <c r="CD116" s="261" t="str">
        <f t="shared" si="29"/>
        <v/>
      </c>
      <c r="CE116" s="280" t="str">
        <f t="shared" si="30"/>
        <v>-</v>
      </c>
      <c r="CF116" s="71" t="str">
        <f t="shared" ca="1" si="31"/>
        <v>-</v>
      </c>
      <c r="CG116" s="33" t="str">
        <f t="shared" si="32"/>
        <v>16-17</v>
      </c>
      <c r="CH116" s="261" t="str">
        <f t="shared" ca="1" si="33"/>
        <v/>
      </c>
      <c r="CI116" s="99"/>
      <c r="CJ116" s="99"/>
      <c r="CK116" s="99"/>
      <c r="CL116" s="99"/>
      <c r="CM116" s="99"/>
      <c r="CN116" s="99"/>
      <c r="CO116" s="99"/>
    </row>
    <row r="117" spans="2:93" ht="13.5" customHeight="1" x14ac:dyDescent="0.2">
      <c r="B117" s="262">
        <v>17</v>
      </c>
      <c r="C117" s="237" t="str">
        <f t="shared" si="1"/>
        <v/>
      </c>
      <c r="D117" s="237" t="str">
        <f t="shared" si="66"/>
        <v>-</v>
      </c>
      <c r="E117" s="290" t="str">
        <f t="shared" si="34"/>
        <v/>
      </c>
      <c r="F117" s="264" t="str">
        <f t="shared" si="35"/>
        <v/>
      </c>
      <c r="G117" s="291" t="str">
        <f t="shared" si="36"/>
        <v/>
      </c>
      <c r="H117" s="240" t="str">
        <f t="shared" si="37"/>
        <v/>
      </c>
      <c r="I117" s="265" t="str">
        <f t="shared" si="2"/>
        <v/>
      </c>
      <c r="J117" s="265" t="str">
        <f t="shared" si="3"/>
        <v/>
      </c>
      <c r="K117" s="240" t="str">
        <f t="shared" si="4"/>
        <v/>
      </c>
      <c r="L117" s="265" t="str">
        <f t="shared" si="5"/>
        <v/>
      </c>
      <c r="M117" s="265" t="str">
        <f t="shared" si="6"/>
        <v/>
      </c>
      <c r="N117" s="240" t="str">
        <f t="shared" si="7"/>
        <v>-</v>
      </c>
      <c r="O117" s="265" t="str">
        <f t="shared" si="38"/>
        <v>-</v>
      </c>
      <c r="P117" s="265" t="str">
        <f t="shared" si="39"/>
        <v>-</v>
      </c>
      <c r="Q117" s="266" t="str">
        <f t="shared" si="8"/>
        <v>-</v>
      </c>
      <c r="R117" s="267" t="str">
        <f t="shared" si="40"/>
        <v>-</v>
      </c>
      <c r="S117" s="268" t="str">
        <f t="shared" si="41"/>
        <v>-</v>
      </c>
      <c r="T117" s="269" t="str">
        <f t="shared" si="9"/>
        <v/>
      </c>
      <c r="U117" s="221">
        <f t="shared" si="10"/>
        <v>17</v>
      </c>
      <c r="V117" s="220" t="str">
        <f t="shared" si="42"/>
        <v>-</v>
      </c>
      <c r="W117" s="221" t="str">
        <f t="shared" si="43"/>
        <v>-</v>
      </c>
      <c r="X117" s="221" t="str">
        <f t="shared" si="11"/>
        <v>-</v>
      </c>
      <c r="Y117" s="221" t="str">
        <f t="shared" si="12"/>
        <v>-</v>
      </c>
      <c r="Z117" s="270">
        <f t="shared" si="44"/>
        <v>0.1</v>
      </c>
      <c r="AA117" s="271" t="str">
        <f>IFERROR(IF(V116=1,AA$100*EXP(-(LN(2)/$D$65+0.04)*X116)*EXP(-(LN(2)/$D$65+0.1)*Y116),IF(V116=2,AA$100*EXP(-(LN(2)/$D$65+0.04)*(VLOOKUP(($F$16-$F$15)-1,U$99:Y116,4,FALSE)))*EXP(-(LN(2)/$D$65+0.1)*(VLOOKUP(($F$16-$F$15)-1,U$99:Y116,5,FALSE)))*EXP(-(LN(2)/$D$65+0.04)*X116)*EXP(-(LN(2)/$D$65+0.1)*Y116),IF(V116=3,AA$100*EXP(-(LN(2)/$D$65+0.04)*(VLOOKUP(($F$16-$F$15)-1,U$99:Y116,4,FALSE)))*EXP(-(LN(2)/$D$65+0.1)*(VLOOKUP(($F$16-$F$15)-1,U$99:Y116,5,FALSE)))*EXP(-(LN(2)/$D$65+0.04)*(VLOOKUP(($F$16-$F$15)*2-1,U$99:Y116,4,FALSE)))*EXP(-(LN(2)/$D$65+0.1)*(VLOOKUP(($F$16-$F$15)*2-1,U$99:Y116,5,FALSE)))*EXP(-(LN(2)/$D$65+0.04)*X116)*EXP(-(LN(2)/$D$65+0.1)*Y116),"-"))),"-")</f>
        <v>-</v>
      </c>
      <c r="AB117" s="271" t="str">
        <f>IFERROR(IF(V117=1,AB$100*EXP(-(LN(2)/$D$65+0.04)*X117)*EXP(-(LN(2)/$D$65+0.1)*Y117),IF(V117=2,AB$100*EXP(-(LN(2)/$D$65+0.04)*(VLOOKUP(($F$16-$F$15)-1,U$100:Y117,4,FALSE)))*EXP(-(LN(2)/$D$65+0.1)*(VLOOKUP(($F$16-$F$15)-1,U$100:Y117,5,FALSE)))*EXP(-(LN(2)/$D$65+0.04)*X117)*EXP(-(LN(2)/$D$65+0.1)*Y117),IF(V117=3,AB$100*EXP(-(LN(2)/$D$65+0.04)*(VLOOKUP(($F$16-$F$15)-1,U$100:Y117,4,FALSE)))*EXP(-(LN(2)/$D$65+0.1)*(VLOOKUP(($F$16-$F$15)-1,U$100:Y117,5,FALSE)))*EXP(-(LN(2)/$D$65+0.04)*(VLOOKUP(($F$16-$F$15)*2-1,U$100:Y117,4,FALSE)))*EXP(-(LN(2)/$D$65+0.1)*(VLOOKUP(($F$16-$F$15)*2-1,U$100:Y117,5,FALSE)))*EXP(-(LN(2)/$D$65+0.04)*X117)*EXP(-(LN(2)/$D$65+0.1)*Y117),"-"))),"-")</f>
        <v>-</v>
      </c>
      <c r="AC117" s="224">
        <f t="shared" si="45"/>
        <v>17</v>
      </c>
      <c r="AD117" s="223" t="str">
        <f t="shared" si="14"/>
        <v>-</v>
      </c>
      <c r="AE117" s="224" t="str">
        <f t="shared" si="46"/>
        <v>-</v>
      </c>
      <c r="AF117" s="224" t="str">
        <f t="shared" si="15"/>
        <v>-</v>
      </c>
      <c r="AG117" s="224" t="str">
        <f t="shared" si="16"/>
        <v>-</v>
      </c>
      <c r="AH117" s="272">
        <f t="shared" si="47"/>
        <v>0.1</v>
      </c>
      <c r="AI117" s="271" t="str">
        <f>IFERROR(IF(AD116=1,AI$100*EXP(-(LN(2)/$D$65+0.04)*AF116)*EXP(-(LN(2)/$D$65+0.1)*AG116),IF(AD116=2,AI$100*EXP(-(LN(2)/$D$65+0.04)*(VLOOKUP(($F$16-$F$15)-1,AC$99:AG116,4,FALSE)))*EXP(-(LN(2)/$D$65+0.1)*(VLOOKUP(($F$16-$F$15)-1,AC$99:AG116,5,FALSE)))*EXP(-(LN(2)/$D$65+0.04)*AF116)*EXP(-(LN(2)/$D$65+0.1)*AG116),IF(AD116=3,AI$100*EXP(-(LN(2)/$D$65+0.04)*(VLOOKUP(($F$16-$F$15)-1,AC$99:AG116,4,FALSE)))*EXP(-(LN(2)/$D$65+0.1)*(VLOOKUP(($F$16-$F$15)-1,AC$99:AG116,5,FALSE)))*EXP(-(LN(2)/$D$65+0.04)*(VLOOKUP(($F$16-$F$15)*2-1,AC$99:AG116,4,FALSE)))*EXP(-(LN(2)/$D$65+0.1)*(VLOOKUP(($F$16-$F$15)*2-1,AC$99:AG116,5,FALSE)))*EXP(-(LN(2)/$D$65+0.04)*AF116)*EXP(-(LN(2)/$D$65+0.1)*AG116),"-"))),"-")</f>
        <v>-</v>
      </c>
      <c r="AJ117" s="271" t="str">
        <f>IFERROR(IF(AD117=1,AJ$100*EXP(-(LN(2)/$D$65+0.04)*AF117)*EXP(-(LN(2)/$D$65+0.1)*AG117),IF(AD117=2,AJ$100*EXP(-(LN(2)/$D$65+0.04)*(VLOOKUP(($F$16-$F$15)-1,AC$100:AG117,4,FALSE)))*EXP(-(LN(2)/$D$65+0.1)*(VLOOKUP(($F$16-$F$15)-1,AC$100:AG117,5,FALSE)))*EXP(-(LN(2)/$D$65+0.04)*AF117)*EXP(-(LN(2)/$D$65+0.1)*AG117),IF(AD117=3,AJ$100*EXP(-(LN(2)/$D$65+0.04)*(VLOOKUP(($F$16-$F$15)-1,AC$100:AG117,4,FALSE)))*EXP(-(LN(2)/$D$65+0.1)*(VLOOKUP(($F$16-$F$15)-1,AC$100:AG117,5,FALSE)))*EXP(-(LN(2)/$D$65+0.04)*(VLOOKUP(($F$16-$F$15)*2-1,AC$100:AG117,4,FALSE)))*EXP(-(LN(2)/$D$65+0.1)*(VLOOKUP(($F$16-$F$15)*2-1,AC$100:AG117,5,FALSE)))*EXP(-(LN(2)/$D$65+0.04)*AF117)*EXP(-(LN(2)/$D$65+0.1)*AG117),"-"))),"-")</f>
        <v>-</v>
      </c>
      <c r="AK117" s="227">
        <f t="shared" si="49"/>
        <v>17</v>
      </c>
      <c r="AL117" s="226" t="str">
        <f t="shared" si="18"/>
        <v>-</v>
      </c>
      <c r="AM117" s="227" t="str">
        <f t="shared" si="50"/>
        <v>-</v>
      </c>
      <c r="AN117" s="227" t="str">
        <f t="shared" si="51"/>
        <v>-</v>
      </c>
      <c r="AO117" s="227" t="str">
        <f t="shared" si="19"/>
        <v>-</v>
      </c>
      <c r="AP117" s="273">
        <f t="shared" si="52"/>
        <v>0.1</v>
      </c>
      <c r="AQ117" s="271" t="str">
        <f>IFERROR(IF(AL116=1,AQ$100*EXP(-(LN(2)/$D$65+0.04)*AN116)*EXP(-(LN(2)/$D$65+0.1)*AO116),IF(AL116=2,AQ$100*EXP(-(LN(2)/$D$65+0.04)*(VLOOKUP(($F$16-$F$15)-1,AK$99:AO116,4,FALSE)))*EXP(-(LN(2)/$D$65+0.1)*(VLOOKUP(($F$16-$F$15)-1,AK$99:AO116,5,FALSE)))*EXP(-(LN(2)/$D$65+0.04)*AN116)*EXP(-(LN(2)/$D$65+0.1)*AO116),IF(AL116=3,AQ$100*EXP(-(LN(2)/$D$65+0.04)*(VLOOKUP(($F$16-$F$15)-1,AK$99:AO116,4,FALSE)))*EXP(-(LN(2)/$D$65+0.1)*(VLOOKUP(($F$16-$F$15)-1,AK$99:AO116,5,FALSE)))*EXP(-(LN(2)/$D$65+0.04)*(VLOOKUP(($F$16-$F$15)*2-1,AK$99:AO116,4,FALSE)))*EXP(-(LN(2)/$D$65+0.1)*(VLOOKUP(($F$16-$F$15)*2-1,AK$99:AO116,5,FALSE)))*EXP(-(LN(2)/$D$65+0.04)*AN116)*EXP(-(LN(2)/$D$65+0.1)*AO116),"-"))),"-")</f>
        <v>-</v>
      </c>
      <c r="AR117" s="271" t="str">
        <f>IFERROR(IF(AL117=1,AR$100*EXP(-(LN(2)/$D$65+0.04)*AN117)*EXP(-(LN(2)/$D$65+0.1)*AO117),IF(AL117=2,AR$100*EXP(-(LN(2)/$D$65+0.04)*(VLOOKUP(($F$16-$F$15)-1,AK$100:AO117,4,FALSE)))*EXP(-(LN(2)/$D$65+0.1)*(VLOOKUP(($F$16-$F$15)-1,AK$100:AO117,5,FALSE)))*EXP(-(LN(2)/$D$65+0.04)*AN117)*EXP(-(LN(2)/$D$65+0.1)*AO117),IF(AL117=3,AR$100*EXP(-(LN(2)/$D$65+0.04)*(VLOOKUP(($F$16-$F$15)-1,AK$100:AO117,4,FALSE)))*EXP(-(LN(2)/$D$65+0.1)*(VLOOKUP(($F$16-$F$15)-1,AK$100:AO117,5,FALSE)))*EXP(-(LN(2)/$D$65+0.04)*(VLOOKUP(($F$16-$F$15)*2-1,AK$100:AO117,4,FALSE)))*EXP(-(LN(2)/$D$65+0.1)*(VLOOKUP(($F$16-$F$15)*2-1,AK$100:AO117,5,FALSE)))*EXP(-(LN(2)/$D$65+0.04)*AN117)*EXP(-(LN(2)/$D$65+0.1)*AO117),"-"))),"-")</f>
        <v>-</v>
      </c>
      <c r="AS117" s="274">
        <f t="shared" si="20"/>
        <v>0</v>
      </c>
      <c r="AT117" s="274">
        <f t="shared" si="21"/>
        <v>0</v>
      </c>
      <c r="AU117" s="274">
        <f t="shared" si="22"/>
        <v>0</v>
      </c>
      <c r="AV117" s="275">
        <f>IF($B117&lt;$F$22,SUM($T$100:$T117),"")</f>
        <v>0</v>
      </c>
      <c r="AW117" s="275" t="str">
        <f t="shared" si="55"/>
        <v>-</v>
      </c>
      <c r="AX117" s="275" t="str">
        <f t="shared" si="56"/>
        <v/>
      </c>
      <c r="AY117"/>
      <c r="AZ117" s="275" t="str">
        <f ca="1">IF(ISNUMBER(OFFSET(AV117,-$F$21,0)),SUM(OFFSET($T$100,$F$21,0):$T117),"")</f>
        <v/>
      </c>
      <c r="BA117" s="275" t="str">
        <f t="shared" ca="1" si="23"/>
        <v/>
      </c>
      <c r="BB117" s="275" t="str">
        <f t="shared" ca="1" si="57"/>
        <v/>
      </c>
      <c r="BC117" s="190"/>
      <c r="BD117" s="275" t="str">
        <f ca="1">IFERROR(IF(AND($B117&gt;=($F$16-$F$15),$B117&lt;$F$22+($F$16-$F$15)),SUM(OFFSET($T$100,($F$16-$F$15),0):$T117),""),"")</f>
        <v/>
      </c>
      <c r="BE117" s="275" t="str">
        <f t="shared" ca="1" si="58"/>
        <v/>
      </c>
      <c r="BF117" s="275" t="str">
        <f t="shared" ca="1" si="59"/>
        <v/>
      </c>
      <c r="BG117"/>
      <c r="BH117" s="190" t="str">
        <f ca="1">IF(ISNUMBER(OFFSET(BD117,-$F$21,0)),SUM(OFFSET($T$100,($F$16-$F$15+$F$21),0):$T117),"")</f>
        <v/>
      </c>
      <c r="BI117" s="190" t="str">
        <f t="shared" ca="1" si="24"/>
        <v/>
      </c>
      <c r="BJ117" s="190" t="str">
        <f t="shared" ca="1" si="60"/>
        <v/>
      </c>
      <c r="BK117" s="190"/>
      <c r="BL117" s="275" t="str">
        <f ca="1">IFERROR(IF(AND($B117&gt;=($F$17-$F$15),$B117&lt;$F$22+($F$17-$F$15)),SUM(OFFSET($T$100,($F$17-$F$15),0):$T117),""),"")</f>
        <v/>
      </c>
      <c r="BM117" s="275" t="str">
        <f t="shared" ca="1" si="25"/>
        <v/>
      </c>
      <c r="BN117" s="275" t="str">
        <f t="shared" ca="1" si="61"/>
        <v/>
      </c>
      <c r="BO117"/>
      <c r="BP117" s="275" t="str">
        <f ca="1">IF(ISNUMBER(OFFSET(BL117,-$F$21,0)),SUM(OFFSET($T$100,($F$17-$F$15+$F$21),0):$T117),"")</f>
        <v/>
      </c>
      <c r="BQ117" s="275" t="str">
        <f t="shared" ca="1" si="62"/>
        <v/>
      </c>
      <c r="BR117" s="275" t="str">
        <f t="shared" ca="1" si="63"/>
        <v/>
      </c>
      <c r="BS117" s="190"/>
      <c r="BT117"/>
      <c r="BU117" s="276" t="str">
        <f t="shared" si="64"/>
        <v>end</v>
      </c>
      <c r="BV117" s="277">
        <v>17</v>
      </c>
      <c r="BW117" s="278" t="str">
        <f t="shared" si="69"/>
        <v/>
      </c>
      <c r="BX117" s="278" t="str">
        <f t="shared" si="68"/>
        <v/>
      </c>
      <c r="BY117" s="279" t="str">
        <f t="shared" si="65"/>
        <v/>
      </c>
      <c r="BZ117"/>
      <c r="CA117" s="280" t="str">
        <f t="shared" si="26"/>
        <v>-</v>
      </c>
      <c r="CB117" s="71" t="str">
        <f t="shared" si="27"/>
        <v>-</v>
      </c>
      <c r="CC117" s="33" t="str">
        <f t="shared" si="28"/>
        <v>17-18</v>
      </c>
      <c r="CD117" s="261" t="str">
        <f t="shared" si="29"/>
        <v/>
      </c>
      <c r="CE117" s="280" t="str">
        <f t="shared" si="30"/>
        <v>-</v>
      </c>
      <c r="CF117" s="71" t="str">
        <f t="shared" ca="1" si="31"/>
        <v>-</v>
      </c>
      <c r="CG117" s="33" t="str">
        <f t="shared" si="32"/>
        <v>17-18</v>
      </c>
      <c r="CH117" s="261" t="str">
        <f t="shared" ca="1" si="33"/>
        <v/>
      </c>
      <c r="CI117" s="99"/>
      <c r="CJ117" s="99"/>
      <c r="CK117" s="99"/>
      <c r="CL117" s="99"/>
      <c r="CM117" s="99"/>
      <c r="CN117" s="99"/>
      <c r="CO117" s="99"/>
    </row>
    <row r="118" spans="2:93" ht="13.5" customHeight="1" x14ac:dyDescent="0.2">
      <c r="B118" s="262">
        <v>18</v>
      </c>
      <c r="C118" s="237" t="str">
        <f t="shared" si="1"/>
        <v/>
      </c>
      <c r="D118" s="237" t="str">
        <f t="shared" si="66"/>
        <v>-</v>
      </c>
      <c r="E118" s="290" t="str">
        <f t="shared" si="34"/>
        <v/>
      </c>
      <c r="F118" s="264" t="str">
        <f t="shared" si="35"/>
        <v/>
      </c>
      <c r="G118" s="291" t="str">
        <f t="shared" si="36"/>
        <v/>
      </c>
      <c r="H118" s="240" t="str">
        <f t="shared" si="37"/>
        <v/>
      </c>
      <c r="I118" s="265" t="str">
        <f t="shared" si="2"/>
        <v/>
      </c>
      <c r="J118" s="265" t="str">
        <f t="shared" si="3"/>
        <v/>
      </c>
      <c r="K118" s="240" t="str">
        <f t="shared" si="4"/>
        <v/>
      </c>
      <c r="L118" s="265" t="str">
        <f t="shared" si="5"/>
        <v/>
      </c>
      <c r="M118" s="265" t="str">
        <f t="shared" si="6"/>
        <v/>
      </c>
      <c r="N118" s="240" t="str">
        <f t="shared" si="7"/>
        <v>-</v>
      </c>
      <c r="O118" s="265" t="str">
        <f t="shared" si="38"/>
        <v>-</v>
      </c>
      <c r="P118" s="265" t="str">
        <f t="shared" si="39"/>
        <v>-</v>
      </c>
      <c r="Q118" s="266" t="str">
        <f t="shared" si="8"/>
        <v>-</v>
      </c>
      <c r="R118" s="267" t="str">
        <f t="shared" si="40"/>
        <v>-</v>
      </c>
      <c r="S118" s="268" t="str">
        <f t="shared" si="41"/>
        <v>-</v>
      </c>
      <c r="T118" s="269" t="str">
        <f t="shared" si="9"/>
        <v/>
      </c>
      <c r="U118" s="221">
        <f t="shared" si="10"/>
        <v>18</v>
      </c>
      <c r="V118" s="220" t="str">
        <f t="shared" si="42"/>
        <v>-</v>
      </c>
      <c r="W118" s="221" t="str">
        <f t="shared" si="43"/>
        <v>-</v>
      </c>
      <c r="X118" s="221" t="str">
        <f t="shared" si="11"/>
        <v>-</v>
      </c>
      <c r="Y118" s="221" t="str">
        <f t="shared" si="12"/>
        <v>-</v>
      </c>
      <c r="Z118" s="270">
        <f t="shared" si="44"/>
        <v>0.1</v>
      </c>
      <c r="AA118" s="271" t="str">
        <f>IFERROR(IF(V117=1,AA$100*EXP(-(LN(2)/$D$65+0.04)*X117)*EXP(-(LN(2)/$D$65+0.1)*Y117),IF(V117=2,AA$100*EXP(-(LN(2)/$D$65+0.04)*(VLOOKUP(($F$16-$F$15)-1,U$99:Y117,4,FALSE)))*EXP(-(LN(2)/$D$65+0.1)*(VLOOKUP(($F$16-$F$15)-1,U$99:Y117,5,FALSE)))*EXP(-(LN(2)/$D$65+0.04)*X117)*EXP(-(LN(2)/$D$65+0.1)*Y117),IF(V117=3,AA$100*EXP(-(LN(2)/$D$65+0.04)*(VLOOKUP(($F$16-$F$15)-1,U$99:Y117,4,FALSE)))*EXP(-(LN(2)/$D$65+0.1)*(VLOOKUP(($F$16-$F$15)-1,U$99:Y117,5,FALSE)))*EXP(-(LN(2)/$D$65+0.04)*(VLOOKUP(($F$16-$F$15)*2-1,U$99:Y117,4,FALSE)))*EXP(-(LN(2)/$D$65+0.1)*(VLOOKUP(($F$16-$F$15)*2-1,U$99:Y117,5,FALSE)))*EXP(-(LN(2)/$D$65+0.04)*X117)*EXP(-(LN(2)/$D$65+0.1)*Y117),"-"))),"-")</f>
        <v>-</v>
      </c>
      <c r="AB118" s="271" t="str">
        <f>IFERROR(IF(V118=1,AB$100*EXP(-(LN(2)/$D$65+0.04)*X118)*EXP(-(LN(2)/$D$65+0.1)*Y118),IF(V118=2,AB$100*EXP(-(LN(2)/$D$65+0.04)*(VLOOKUP(($F$16-$F$15)-1,U$100:Y118,4,FALSE)))*EXP(-(LN(2)/$D$65+0.1)*(VLOOKUP(($F$16-$F$15)-1,U$100:Y118,5,FALSE)))*EXP(-(LN(2)/$D$65+0.04)*X118)*EXP(-(LN(2)/$D$65+0.1)*Y118),IF(V118=3,AB$100*EXP(-(LN(2)/$D$65+0.04)*(VLOOKUP(($F$16-$F$15)-1,U$100:Y118,4,FALSE)))*EXP(-(LN(2)/$D$65+0.1)*(VLOOKUP(($F$16-$F$15)-1,U$100:Y118,5,FALSE)))*EXP(-(LN(2)/$D$65+0.04)*(VLOOKUP(($F$16-$F$15)*2-1,U$100:Y118,4,FALSE)))*EXP(-(LN(2)/$D$65+0.1)*(VLOOKUP(($F$16-$F$15)*2-1,U$100:Y118,5,FALSE)))*EXP(-(LN(2)/$D$65+0.04)*X118)*EXP(-(LN(2)/$D$65+0.1)*Y118),"-"))),"-")</f>
        <v>-</v>
      </c>
      <c r="AC118" s="224">
        <f t="shared" si="45"/>
        <v>18</v>
      </c>
      <c r="AD118" s="223" t="str">
        <f t="shared" si="14"/>
        <v>-</v>
      </c>
      <c r="AE118" s="224" t="str">
        <f t="shared" si="46"/>
        <v>-</v>
      </c>
      <c r="AF118" s="224" t="str">
        <f t="shared" si="15"/>
        <v>-</v>
      </c>
      <c r="AG118" s="224" t="str">
        <f t="shared" si="16"/>
        <v>-</v>
      </c>
      <c r="AH118" s="272">
        <f t="shared" si="47"/>
        <v>0.1</v>
      </c>
      <c r="AI118" s="271" t="str">
        <f>IFERROR(IF(AD117=1,AI$100*EXP(-(LN(2)/$D$65+0.04)*AF117)*EXP(-(LN(2)/$D$65+0.1)*AG117),IF(AD117=2,AI$100*EXP(-(LN(2)/$D$65+0.04)*(VLOOKUP(($F$16-$F$15)-1,AC$99:AG117,4,FALSE)))*EXP(-(LN(2)/$D$65+0.1)*(VLOOKUP(($F$16-$F$15)-1,AC$99:AG117,5,FALSE)))*EXP(-(LN(2)/$D$65+0.04)*AF117)*EXP(-(LN(2)/$D$65+0.1)*AG117),IF(AD117=3,AI$100*EXP(-(LN(2)/$D$65+0.04)*(VLOOKUP(($F$16-$F$15)-1,AC$99:AG117,4,FALSE)))*EXP(-(LN(2)/$D$65+0.1)*(VLOOKUP(($F$16-$F$15)-1,AC$99:AG117,5,FALSE)))*EXP(-(LN(2)/$D$65+0.04)*(VLOOKUP(($F$16-$F$15)*2-1,AC$99:AG117,4,FALSE)))*EXP(-(LN(2)/$D$65+0.1)*(VLOOKUP(($F$16-$F$15)*2-1,AC$99:AG117,5,FALSE)))*EXP(-(LN(2)/$D$65+0.04)*AF117)*EXP(-(LN(2)/$D$65+0.1)*AG117),"-"))),"-")</f>
        <v>-</v>
      </c>
      <c r="AJ118" s="271" t="str">
        <f>IFERROR(IF(AD118=1,AJ$100*EXP(-(LN(2)/$D$65+0.04)*AF118)*EXP(-(LN(2)/$D$65+0.1)*AG118),IF(AD118=2,AJ$100*EXP(-(LN(2)/$D$65+0.04)*(VLOOKUP(($F$16-$F$15)-1,AC$100:AG118,4,FALSE)))*EXP(-(LN(2)/$D$65+0.1)*(VLOOKUP(($F$16-$F$15)-1,AC$100:AG118,5,FALSE)))*EXP(-(LN(2)/$D$65+0.04)*AF118)*EXP(-(LN(2)/$D$65+0.1)*AG118),IF(AD118=3,AJ$100*EXP(-(LN(2)/$D$65+0.04)*(VLOOKUP(($F$16-$F$15)-1,AC$100:AG118,4,FALSE)))*EXP(-(LN(2)/$D$65+0.1)*(VLOOKUP(($F$16-$F$15)-1,AC$100:AG118,5,FALSE)))*EXP(-(LN(2)/$D$65+0.04)*(VLOOKUP(($F$16-$F$15)*2-1,AC$100:AG118,4,FALSE)))*EXP(-(LN(2)/$D$65+0.1)*(VLOOKUP(($F$16-$F$15)*2-1,AC$100:AG118,5,FALSE)))*EXP(-(LN(2)/$D$65+0.04)*AF118)*EXP(-(LN(2)/$D$65+0.1)*AG118),"-"))),"-")</f>
        <v>-</v>
      </c>
      <c r="AK118" s="227">
        <f t="shared" si="49"/>
        <v>18</v>
      </c>
      <c r="AL118" s="226" t="str">
        <f t="shared" si="18"/>
        <v>-</v>
      </c>
      <c r="AM118" s="227" t="str">
        <f t="shared" si="50"/>
        <v>-</v>
      </c>
      <c r="AN118" s="227" t="str">
        <f t="shared" si="51"/>
        <v>-</v>
      </c>
      <c r="AO118" s="227" t="str">
        <f t="shared" si="19"/>
        <v>-</v>
      </c>
      <c r="AP118" s="273">
        <f t="shared" si="52"/>
        <v>0.1</v>
      </c>
      <c r="AQ118" s="271" t="str">
        <f>IFERROR(IF(AL117=1,AQ$100*EXP(-(LN(2)/$D$65+0.04)*AN117)*EXP(-(LN(2)/$D$65+0.1)*AO117),IF(AL117=2,AQ$100*EXP(-(LN(2)/$D$65+0.04)*(VLOOKUP(($F$16-$F$15)-1,AK$99:AO117,4,FALSE)))*EXP(-(LN(2)/$D$65+0.1)*(VLOOKUP(($F$16-$F$15)-1,AK$99:AO117,5,FALSE)))*EXP(-(LN(2)/$D$65+0.04)*AN117)*EXP(-(LN(2)/$D$65+0.1)*AO117),IF(AL117=3,AQ$100*EXP(-(LN(2)/$D$65+0.04)*(VLOOKUP(($F$16-$F$15)-1,AK$99:AO117,4,FALSE)))*EXP(-(LN(2)/$D$65+0.1)*(VLOOKUP(($F$16-$F$15)-1,AK$99:AO117,5,FALSE)))*EXP(-(LN(2)/$D$65+0.04)*(VLOOKUP(($F$16-$F$15)*2-1,AK$99:AO117,4,FALSE)))*EXP(-(LN(2)/$D$65+0.1)*(VLOOKUP(($F$16-$F$15)*2-1,AK$99:AO117,5,FALSE)))*EXP(-(LN(2)/$D$65+0.04)*AN117)*EXP(-(LN(2)/$D$65+0.1)*AO117),"-"))),"-")</f>
        <v>-</v>
      </c>
      <c r="AR118" s="271" t="str">
        <f>IFERROR(IF(AL118=1,AR$100*EXP(-(LN(2)/$D$65+0.04)*AN118)*EXP(-(LN(2)/$D$65+0.1)*AO118),IF(AL118=2,AR$100*EXP(-(LN(2)/$D$65+0.04)*(VLOOKUP(($F$16-$F$15)-1,AK$100:AO118,4,FALSE)))*EXP(-(LN(2)/$D$65+0.1)*(VLOOKUP(($F$16-$F$15)-1,AK$100:AO118,5,FALSE)))*EXP(-(LN(2)/$D$65+0.04)*AN118)*EXP(-(LN(2)/$D$65+0.1)*AO118),IF(AL118=3,AR$100*EXP(-(LN(2)/$D$65+0.04)*(VLOOKUP(($F$16-$F$15)-1,AK$100:AO118,4,FALSE)))*EXP(-(LN(2)/$D$65+0.1)*(VLOOKUP(($F$16-$F$15)-1,AK$100:AO118,5,FALSE)))*EXP(-(LN(2)/$D$65+0.04)*(VLOOKUP(($F$16-$F$15)*2-1,AK$100:AO118,4,FALSE)))*EXP(-(LN(2)/$D$65+0.1)*(VLOOKUP(($F$16-$F$15)*2-1,AK$100:AO118,5,FALSE)))*EXP(-(LN(2)/$D$65+0.04)*AN118)*EXP(-(LN(2)/$D$65+0.1)*AO118),"-"))),"-")</f>
        <v>-</v>
      </c>
      <c r="AS118" s="274">
        <f t="shared" si="20"/>
        <v>0</v>
      </c>
      <c r="AT118" s="274">
        <f t="shared" si="21"/>
        <v>0</v>
      </c>
      <c r="AU118" s="274">
        <f t="shared" si="22"/>
        <v>0</v>
      </c>
      <c r="AV118" s="275">
        <f>IF($B118&lt;$F$22,SUM($T$100:$T118),"")</f>
        <v>0</v>
      </c>
      <c r="AW118" s="275" t="str">
        <f t="shared" si="55"/>
        <v>-</v>
      </c>
      <c r="AX118" s="275" t="str">
        <f t="shared" si="56"/>
        <v/>
      </c>
      <c r="AY118"/>
      <c r="AZ118" s="275" t="str">
        <f ca="1">IF(ISNUMBER(OFFSET(AV118,-$F$21,0)),SUM(OFFSET($T$100,$F$21,0):$T118),"")</f>
        <v/>
      </c>
      <c r="BA118" s="275" t="str">
        <f t="shared" ca="1" si="23"/>
        <v/>
      </c>
      <c r="BB118" s="275" t="str">
        <f t="shared" ca="1" si="57"/>
        <v/>
      </c>
      <c r="BC118" s="190"/>
      <c r="BD118" s="275" t="str">
        <f ca="1">IFERROR(IF(AND($B118&gt;=($F$16-$F$15),$B118&lt;$F$22+($F$16-$F$15)),SUM(OFFSET($T$100,($F$16-$F$15),0):$T118),""),"")</f>
        <v/>
      </c>
      <c r="BE118" s="275" t="str">
        <f t="shared" ca="1" si="58"/>
        <v/>
      </c>
      <c r="BF118" s="275" t="str">
        <f t="shared" ca="1" si="59"/>
        <v/>
      </c>
      <c r="BG118"/>
      <c r="BH118" s="190" t="str">
        <f ca="1">IF(ISNUMBER(OFFSET(BD118,-$F$21,0)),SUM(OFFSET($T$100,($F$16-$F$15+$F$21),0):$T118),"")</f>
        <v/>
      </c>
      <c r="BI118" s="190" t="str">
        <f t="shared" ca="1" si="24"/>
        <v/>
      </c>
      <c r="BJ118" s="190" t="str">
        <f t="shared" ca="1" si="60"/>
        <v/>
      </c>
      <c r="BK118" s="190"/>
      <c r="BL118" s="275" t="str">
        <f ca="1">IFERROR(IF(AND($B118&gt;=($F$17-$F$15),$B118&lt;$F$22+($F$17-$F$15)),SUM(OFFSET($T$100,($F$17-$F$15),0):$T118),""),"")</f>
        <v/>
      </c>
      <c r="BM118" s="275" t="str">
        <f t="shared" ca="1" si="25"/>
        <v/>
      </c>
      <c r="BN118" s="275" t="str">
        <f t="shared" ca="1" si="61"/>
        <v/>
      </c>
      <c r="BO118"/>
      <c r="BP118" s="275" t="str">
        <f ca="1">IF(ISNUMBER(OFFSET(BL118,-$F$21,0)),SUM(OFFSET($T$100,($F$17-$F$15+$F$21),0):$T118),"")</f>
        <v/>
      </c>
      <c r="BQ118" s="275" t="str">
        <f t="shared" ca="1" si="62"/>
        <v/>
      </c>
      <c r="BR118" s="275" t="str">
        <f t="shared" ca="1" si="63"/>
        <v/>
      </c>
      <c r="BS118" s="190"/>
      <c r="BT118"/>
      <c r="BU118" s="276" t="str">
        <f t="shared" si="64"/>
        <v>end</v>
      </c>
      <c r="BV118" s="277">
        <v>18</v>
      </c>
      <c r="BW118" s="278" t="str">
        <f t="shared" si="69"/>
        <v/>
      </c>
      <c r="BX118" s="278" t="str">
        <f t="shared" si="68"/>
        <v/>
      </c>
      <c r="BY118" s="279" t="str">
        <f t="shared" si="65"/>
        <v/>
      </c>
      <c r="BZ118"/>
      <c r="CA118" s="280" t="str">
        <f t="shared" si="26"/>
        <v>-</v>
      </c>
      <c r="CB118" s="71" t="str">
        <f t="shared" si="27"/>
        <v>-</v>
      </c>
      <c r="CC118" s="33" t="str">
        <f t="shared" si="28"/>
        <v>18-19</v>
      </c>
      <c r="CD118" s="261" t="str">
        <f t="shared" si="29"/>
        <v/>
      </c>
      <c r="CE118" s="280" t="str">
        <f t="shared" si="30"/>
        <v>-</v>
      </c>
      <c r="CF118" s="71" t="str">
        <f t="shared" ca="1" si="31"/>
        <v>-</v>
      </c>
      <c r="CG118" s="33" t="str">
        <f t="shared" si="32"/>
        <v>18-19</v>
      </c>
      <c r="CH118" s="261" t="str">
        <f t="shared" ca="1" si="33"/>
        <v/>
      </c>
      <c r="CI118" s="99"/>
      <c r="CJ118" s="99"/>
      <c r="CK118" s="99"/>
      <c r="CL118" s="99"/>
      <c r="CM118" s="99"/>
      <c r="CN118" s="99"/>
      <c r="CO118" s="99"/>
    </row>
    <row r="119" spans="2:93" ht="13.5" customHeight="1" x14ac:dyDescent="0.2">
      <c r="B119" s="262">
        <v>19</v>
      </c>
      <c r="C119" s="237" t="str">
        <f t="shared" si="1"/>
        <v/>
      </c>
      <c r="D119" s="237" t="str">
        <f t="shared" si="66"/>
        <v>-</v>
      </c>
      <c r="E119" s="290" t="str">
        <f t="shared" si="34"/>
        <v/>
      </c>
      <c r="F119" s="264" t="str">
        <f t="shared" si="35"/>
        <v/>
      </c>
      <c r="G119" s="291" t="str">
        <f t="shared" si="36"/>
        <v/>
      </c>
      <c r="H119" s="240" t="str">
        <f t="shared" si="37"/>
        <v/>
      </c>
      <c r="I119" s="265" t="str">
        <f t="shared" si="2"/>
        <v/>
      </c>
      <c r="J119" s="265" t="str">
        <f t="shared" si="3"/>
        <v/>
      </c>
      <c r="K119" s="240" t="str">
        <f t="shared" si="4"/>
        <v/>
      </c>
      <c r="L119" s="265" t="str">
        <f t="shared" si="5"/>
        <v/>
      </c>
      <c r="M119" s="265" t="str">
        <f t="shared" si="6"/>
        <v/>
      </c>
      <c r="N119" s="240" t="str">
        <f t="shared" si="7"/>
        <v>-</v>
      </c>
      <c r="O119" s="265" t="str">
        <f t="shared" si="38"/>
        <v>-</v>
      </c>
      <c r="P119" s="265" t="str">
        <f t="shared" si="39"/>
        <v>-</v>
      </c>
      <c r="Q119" s="266" t="str">
        <f t="shared" si="8"/>
        <v>-</v>
      </c>
      <c r="R119" s="267" t="str">
        <f t="shared" si="40"/>
        <v>-</v>
      </c>
      <c r="S119" s="268" t="str">
        <f t="shared" si="41"/>
        <v>-</v>
      </c>
      <c r="T119" s="269" t="str">
        <f t="shared" si="9"/>
        <v/>
      </c>
      <c r="U119" s="221">
        <f t="shared" si="10"/>
        <v>19</v>
      </c>
      <c r="V119" s="220" t="str">
        <f t="shared" si="42"/>
        <v>-</v>
      </c>
      <c r="W119" s="221" t="str">
        <f t="shared" si="43"/>
        <v>-</v>
      </c>
      <c r="X119" s="221" t="str">
        <f t="shared" si="11"/>
        <v>-</v>
      </c>
      <c r="Y119" s="221" t="str">
        <f t="shared" si="12"/>
        <v>-</v>
      </c>
      <c r="Z119" s="270">
        <f t="shared" si="44"/>
        <v>0.1</v>
      </c>
      <c r="AA119" s="271" t="str">
        <f>IFERROR(IF(V118=1,AA$100*EXP(-(LN(2)/$D$65+0.04)*X118)*EXP(-(LN(2)/$D$65+0.1)*Y118),IF(V118=2,AA$100*EXP(-(LN(2)/$D$65+0.04)*(VLOOKUP(($F$16-$F$15)-1,U$99:Y118,4,FALSE)))*EXP(-(LN(2)/$D$65+0.1)*(VLOOKUP(($F$16-$F$15)-1,U$99:Y118,5,FALSE)))*EXP(-(LN(2)/$D$65+0.04)*X118)*EXP(-(LN(2)/$D$65+0.1)*Y118),IF(V118=3,AA$100*EXP(-(LN(2)/$D$65+0.04)*(VLOOKUP(($F$16-$F$15)-1,U$99:Y118,4,FALSE)))*EXP(-(LN(2)/$D$65+0.1)*(VLOOKUP(($F$16-$F$15)-1,U$99:Y118,5,FALSE)))*EXP(-(LN(2)/$D$65+0.04)*(VLOOKUP(($F$16-$F$15)*2-1,U$99:Y118,4,FALSE)))*EXP(-(LN(2)/$D$65+0.1)*(VLOOKUP(($F$16-$F$15)*2-1,U$99:Y118,5,FALSE)))*EXP(-(LN(2)/$D$65+0.04)*X118)*EXP(-(LN(2)/$D$65+0.1)*Y118),"-"))),"-")</f>
        <v>-</v>
      </c>
      <c r="AB119" s="271" t="str">
        <f>IFERROR(IF(V119=1,AB$100*EXP(-(LN(2)/$D$65+0.04)*X119)*EXP(-(LN(2)/$D$65+0.1)*Y119),IF(V119=2,AB$100*EXP(-(LN(2)/$D$65+0.04)*(VLOOKUP(($F$16-$F$15)-1,U$100:Y119,4,FALSE)))*EXP(-(LN(2)/$D$65+0.1)*(VLOOKUP(($F$16-$F$15)-1,U$100:Y119,5,FALSE)))*EXP(-(LN(2)/$D$65+0.04)*X119)*EXP(-(LN(2)/$D$65+0.1)*Y119),IF(V119=3,AB$100*EXP(-(LN(2)/$D$65+0.04)*(VLOOKUP(($F$16-$F$15)-1,U$100:Y119,4,FALSE)))*EXP(-(LN(2)/$D$65+0.1)*(VLOOKUP(($F$16-$F$15)-1,U$100:Y119,5,FALSE)))*EXP(-(LN(2)/$D$65+0.04)*(VLOOKUP(($F$16-$F$15)*2-1,U$100:Y119,4,FALSE)))*EXP(-(LN(2)/$D$65+0.1)*(VLOOKUP(($F$16-$F$15)*2-1,U$100:Y119,5,FALSE)))*EXP(-(LN(2)/$D$65+0.04)*X119)*EXP(-(LN(2)/$D$65+0.1)*Y119),"-"))),"-")</f>
        <v>-</v>
      </c>
      <c r="AC119" s="224">
        <f t="shared" si="45"/>
        <v>19</v>
      </c>
      <c r="AD119" s="223" t="str">
        <f t="shared" si="14"/>
        <v>-</v>
      </c>
      <c r="AE119" s="224" t="str">
        <f t="shared" si="46"/>
        <v>-</v>
      </c>
      <c r="AF119" s="224" t="str">
        <f t="shared" si="15"/>
        <v>-</v>
      </c>
      <c r="AG119" s="224" t="str">
        <f t="shared" si="16"/>
        <v>-</v>
      </c>
      <c r="AH119" s="272">
        <f t="shared" si="47"/>
        <v>0.1</v>
      </c>
      <c r="AI119" s="271" t="str">
        <f>IFERROR(IF(AD118=1,AI$100*EXP(-(LN(2)/$D$65+0.04)*AF118)*EXP(-(LN(2)/$D$65+0.1)*AG118),IF(AD118=2,AI$100*EXP(-(LN(2)/$D$65+0.04)*(VLOOKUP(($F$16-$F$15)-1,AC$99:AG118,4,FALSE)))*EXP(-(LN(2)/$D$65+0.1)*(VLOOKUP(($F$16-$F$15)-1,AC$99:AG118,5,FALSE)))*EXP(-(LN(2)/$D$65+0.04)*AF118)*EXP(-(LN(2)/$D$65+0.1)*AG118),IF(AD118=3,AI$100*EXP(-(LN(2)/$D$65+0.04)*(VLOOKUP(($F$16-$F$15)-1,AC$99:AG118,4,FALSE)))*EXP(-(LN(2)/$D$65+0.1)*(VLOOKUP(($F$16-$F$15)-1,AC$99:AG118,5,FALSE)))*EXP(-(LN(2)/$D$65+0.04)*(VLOOKUP(($F$16-$F$15)*2-1,AC$99:AG118,4,FALSE)))*EXP(-(LN(2)/$D$65+0.1)*(VLOOKUP(($F$16-$F$15)*2-1,AC$99:AG118,5,FALSE)))*EXP(-(LN(2)/$D$65+0.04)*AF118)*EXP(-(LN(2)/$D$65+0.1)*AG118),"-"))),"-")</f>
        <v>-</v>
      </c>
      <c r="AJ119" s="271" t="str">
        <f>IFERROR(IF(AD119=1,AJ$100*EXP(-(LN(2)/$D$65+0.04)*AF119)*EXP(-(LN(2)/$D$65+0.1)*AG119),IF(AD119=2,AJ$100*EXP(-(LN(2)/$D$65+0.04)*(VLOOKUP(($F$16-$F$15)-1,AC$100:AG119,4,FALSE)))*EXP(-(LN(2)/$D$65+0.1)*(VLOOKUP(($F$16-$F$15)-1,AC$100:AG119,5,FALSE)))*EXP(-(LN(2)/$D$65+0.04)*AF119)*EXP(-(LN(2)/$D$65+0.1)*AG119),IF(AD119=3,AJ$100*EXP(-(LN(2)/$D$65+0.04)*(VLOOKUP(($F$16-$F$15)-1,AC$100:AG119,4,FALSE)))*EXP(-(LN(2)/$D$65+0.1)*(VLOOKUP(($F$16-$F$15)-1,AC$100:AG119,5,FALSE)))*EXP(-(LN(2)/$D$65+0.04)*(VLOOKUP(($F$16-$F$15)*2-1,AC$100:AG119,4,FALSE)))*EXP(-(LN(2)/$D$65+0.1)*(VLOOKUP(($F$16-$F$15)*2-1,AC$100:AG119,5,FALSE)))*EXP(-(LN(2)/$D$65+0.04)*AF119)*EXP(-(LN(2)/$D$65+0.1)*AG119),"-"))),"-")</f>
        <v>-</v>
      </c>
      <c r="AK119" s="227">
        <f t="shared" si="49"/>
        <v>19</v>
      </c>
      <c r="AL119" s="226" t="str">
        <f t="shared" si="18"/>
        <v>-</v>
      </c>
      <c r="AM119" s="227" t="str">
        <f t="shared" si="50"/>
        <v>-</v>
      </c>
      <c r="AN119" s="227" t="str">
        <f t="shared" si="51"/>
        <v>-</v>
      </c>
      <c r="AO119" s="227" t="str">
        <f t="shared" si="19"/>
        <v>-</v>
      </c>
      <c r="AP119" s="273">
        <f t="shared" si="52"/>
        <v>0.1</v>
      </c>
      <c r="AQ119" s="271" t="str">
        <f>IFERROR(IF(AL118=1,AQ$100*EXP(-(LN(2)/$D$65+0.04)*AN118)*EXP(-(LN(2)/$D$65+0.1)*AO118),IF(AL118=2,AQ$100*EXP(-(LN(2)/$D$65+0.04)*(VLOOKUP(($F$16-$F$15)-1,AK$99:AO118,4,FALSE)))*EXP(-(LN(2)/$D$65+0.1)*(VLOOKUP(($F$16-$F$15)-1,AK$99:AO118,5,FALSE)))*EXP(-(LN(2)/$D$65+0.04)*AN118)*EXP(-(LN(2)/$D$65+0.1)*AO118),IF(AL118=3,AQ$100*EXP(-(LN(2)/$D$65+0.04)*(VLOOKUP(($F$16-$F$15)-1,AK$99:AO118,4,FALSE)))*EXP(-(LN(2)/$D$65+0.1)*(VLOOKUP(($F$16-$F$15)-1,AK$99:AO118,5,FALSE)))*EXP(-(LN(2)/$D$65+0.04)*(VLOOKUP(($F$16-$F$15)*2-1,AK$99:AO118,4,FALSE)))*EXP(-(LN(2)/$D$65+0.1)*(VLOOKUP(($F$16-$F$15)*2-1,AK$99:AO118,5,FALSE)))*EXP(-(LN(2)/$D$65+0.04)*AN118)*EXP(-(LN(2)/$D$65+0.1)*AO118),"-"))),"-")</f>
        <v>-</v>
      </c>
      <c r="AR119" s="271" t="str">
        <f>IFERROR(IF(AL119=1,AR$100*EXP(-(LN(2)/$D$65+0.04)*AN119)*EXP(-(LN(2)/$D$65+0.1)*AO119),IF(AL119=2,AR$100*EXP(-(LN(2)/$D$65+0.04)*(VLOOKUP(($F$16-$F$15)-1,AK$100:AO119,4,FALSE)))*EXP(-(LN(2)/$D$65+0.1)*(VLOOKUP(($F$16-$F$15)-1,AK$100:AO119,5,FALSE)))*EXP(-(LN(2)/$D$65+0.04)*AN119)*EXP(-(LN(2)/$D$65+0.1)*AO119),IF(AL119=3,AR$100*EXP(-(LN(2)/$D$65+0.04)*(VLOOKUP(($F$16-$F$15)-1,AK$100:AO119,4,FALSE)))*EXP(-(LN(2)/$D$65+0.1)*(VLOOKUP(($F$16-$F$15)-1,AK$100:AO119,5,FALSE)))*EXP(-(LN(2)/$D$65+0.04)*(VLOOKUP(($F$16-$F$15)*2-1,AK$100:AO119,4,FALSE)))*EXP(-(LN(2)/$D$65+0.1)*(VLOOKUP(($F$16-$F$15)*2-1,AK$100:AO119,5,FALSE)))*EXP(-(LN(2)/$D$65+0.04)*AN119)*EXP(-(LN(2)/$D$65+0.1)*AO119),"-"))),"-")</f>
        <v>-</v>
      </c>
      <c r="AS119" s="274">
        <f t="shared" si="20"/>
        <v>0</v>
      </c>
      <c r="AT119" s="274">
        <f t="shared" si="21"/>
        <v>0</v>
      </c>
      <c r="AU119" s="274">
        <f t="shared" si="22"/>
        <v>0</v>
      </c>
      <c r="AV119" s="275">
        <f>IF($B119&lt;$F$22,SUM($T$100:$T119),"")</f>
        <v>0</v>
      </c>
      <c r="AW119" s="275" t="str">
        <f t="shared" si="55"/>
        <v>-</v>
      </c>
      <c r="AX119" s="275" t="str">
        <f t="shared" si="56"/>
        <v/>
      </c>
      <c r="AY119"/>
      <c r="AZ119" s="275" t="str">
        <f ca="1">IF(ISNUMBER(OFFSET(AV119,-$F$21,0)),SUM(OFFSET($T$100,$F$21,0):$T119),"")</f>
        <v/>
      </c>
      <c r="BA119" s="275" t="str">
        <f t="shared" ca="1" si="23"/>
        <v/>
      </c>
      <c r="BB119" s="275" t="str">
        <f t="shared" ca="1" si="57"/>
        <v/>
      </c>
      <c r="BC119" s="190"/>
      <c r="BD119" s="275" t="str">
        <f ca="1">IFERROR(IF(AND($B119&gt;=($F$16-$F$15),$B119&lt;$F$22+($F$16-$F$15)),SUM(OFFSET($T$100,($F$16-$F$15),0):$T119),""),"")</f>
        <v/>
      </c>
      <c r="BE119" s="275" t="str">
        <f t="shared" ca="1" si="58"/>
        <v/>
      </c>
      <c r="BF119" s="275" t="str">
        <f t="shared" ca="1" si="59"/>
        <v/>
      </c>
      <c r="BG119"/>
      <c r="BH119" s="190" t="str">
        <f ca="1">IF(ISNUMBER(OFFSET(BD119,-$F$21,0)),SUM(OFFSET($T$100,($F$16-$F$15+$F$21),0):$T119),"")</f>
        <v/>
      </c>
      <c r="BI119" s="190" t="str">
        <f t="shared" ca="1" si="24"/>
        <v/>
      </c>
      <c r="BJ119" s="190" t="str">
        <f t="shared" ca="1" si="60"/>
        <v/>
      </c>
      <c r="BK119" s="190"/>
      <c r="BL119" s="275" t="str">
        <f ca="1">IFERROR(IF(AND($B119&gt;=($F$17-$F$15),$B119&lt;$F$22+($F$17-$F$15)),SUM(OFFSET($T$100,($F$17-$F$15),0):$T119),""),"")</f>
        <v/>
      </c>
      <c r="BM119" s="275" t="str">
        <f t="shared" ca="1" si="25"/>
        <v/>
      </c>
      <c r="BN119" s="275" t="str">
        <f t="shared" ca="1" si="61"/>
        <v/>
      </c>
      <c r="BO119"/>
      <c r="BP119" s="275" t="str">
        <f ca="1">IF(ISNUMBER(OFFSET(BL119,-$F$21,0)),SUM(OFFSET($T$100,($F$17-$F$15+$F$21),0):$T119),"")</f>
        <v/>
      </c>
      <c r="BQ119" s="275" t="str">
        <f t="shared" ca="1" si="62"/>
        <v/>
      </c>
      <c r="BR119" s="275" t="str">
        <f t="shared" ca="1" si="63"/>
        <v/>
      </c>
      <c r="BS119" s="190"/>
      <c r="BT119"/>
      <c r="BU119" s="276" t="str">
        <f t="shared" si="64"/>
        <v>end</v>
      </c>
      <c r="BV119" s="277">
        <v>19</v>
      </c>
      <c r="BW119" s="278" t="str">
        <f t="shared" si="69"/>
        <v/>
      </c>
      <c r="BX119" s="278" t="str">
        <f t="shared" si="68"/>
        <v/>
      </c>
      <c r="BY119" s="279" t="str">
        <f t="shared" si="65"/>
        <v/>
      </c>
      <c r="BZ119"/>
      <c r="CA119" s="280" t="str">
        <f t="shared" si="26"/>
        <v>-</v>
      </c>
      <c r="CB119" s="71" t="str">
        <f t="shared" si="27"/>
        <v>-</v>
      </c>
      <c r="CC119" s="33" t="str">
        <f t="shared" si="28"/>
        <v>19-20</v>
      </c>
      <c r="CD119" s="261" t="str">
        <f t="shared" si="29"/>
        <v/>
      </c>
      <c r="CE119" s="280" t="str">
        <f t="shared" si="30"/>
        <v>-</v>
      </c>
      <c r="CF119" s="71" t="str">
        <f t="shared" ca="1" si="31"/>
        <v>-</v>
      </c>
      <c r="CG119" s="33" t="str">
        <f t="shared" si="32"/>
        <v>19-20</v>
      </c>
      <c r="CH119" s="261" t="str">
        <f t="shared" ca="1" si="33"/>
        <v/>
      </c>
      <c r="CI119" s="99"/>
      <c r="CJ119" s="99"/>
      <c r="CK119" s="99"/>
      <c r="CL119" s="99"/>
      <c r="CM119" s="99"/>
      <c r="CN119" s="99"/>
      <c r="CO119" s="99"/>
    </row>
    <row r="120" spans="2:93" ht="13.5" customHeight="1" x14ac:dyDescent="0.2">
      <c r="B120" s="262">
        <v>20</v>
      </c>
      <c r="C120" s="237" t="str">
        <f t="shared" si="1"/>
        <v/>
      </c>
      <c r="D120" s="237" t="str">
        <f t="shared" si="66"/>
        <v>-</v>
      </c>
      <c r="E120" s="290" t="str">
        <f t="shared" si="34"/>
        <v/>
      </c>
      <c r="F120" s="264" t="str">
        <f t="shared" si="35"/>
        <v/>
      </c>
      <c r="G120" s="291" t="str">
        <f t="shared" si="36"/>
        <v/>
      </c>
      <c r="H120" s="240" t="str">
        <f t="shared" si="37"/>
        <v/>
      </c>
      <c r="I120" s="265" t="str">
        <f t="shared" si="2"/>
        <v/>
      </c>
      <c r="J120" s="265" t="str">
        <f t="shared" si="3"/>
        <v/>
      </c>
      <c r="K120" s="240" t="str">
        <f t="shared" si="4"/>
        <v/>
      </c>
      <c r="L120" s="265" t="str">
        <f t="shared" si="5"/>
        <v/>
      </c>
      <c r="M120" s="265" t="str">
        <f t="shared" si="6"/>
        <v/>
      </c>
      <c r="N120" s="240" t="str">
        <f t="shared" si="7"/>
        <v>-</v>
      </c>
      <c r="O120" s="265" t="str">
        <f t="shared" si="38"/>
        <v>-</v>
      </c>
      <c r="P120" s="265" t="str">
        <f t="shared" si="39"/>
        <v>-</v>
      </c>
      <c r="Q120" s="266" t="str">
        <f t="shared" si="8"/>
        <v>-</v>
      </c>
      <c r="R120" s="267" t="str">
        <f t="shared" si="40"/>
        <v>-</v>
      </c>
      <c r="S120" s="268" t="str">
        <f t="shared" si="41"/>
        <v>-</v>
      </c>
      <c r="T120" s="269" t="str">
        <f t="shared" si="9"/>
        <v/>
      </c>
      <c r="U120" s="221">
        <f t="shared" si="10"/>
        <v>20</v>
      </c>
      <c r="V120" s="220" t="str">
        <f t="shared" si="42"/>
        <v>-</v>
      </c>
      <c r="W120" s="221" t="str">
        <f t="shared" si="43"/>
        <v>-</v>
      </c>
      <c r="X120" s="221" t="str">
        <f t="shared" si="11"/>
        <v>-</v>
      </c>
      <c r="Y120" s="221" t="str">
        <f t="shared" si="12"/>
        <v>-</v>
      </c>
      <c r="Z120" s="270">
        <f t="shared" si="44"/>
        <v>0.1</v>
      </c>
      <c r="AA120" s="271" t="str">
        <f>IFERROR(IF(V119=1,AA$100*EXP(-(LN(2)/$D$65+0.04)*X119)*EXP(-(LN(2)/$D$65+0.1)*Y119),IF(V119=2,AA$100*EXP(-(LN(2)/$D$65+0.04)*(VLOOKUP(($F$16-$F$15)-1,U$99:Y119,4,FALSE)))*EXP(-(LN(2)/$D$65+0.1)*(VLOOKUP(($F$16-$F$15)-1,U$99:Y119,5,FALSE)))*EXP(-(LN(2)/$D$65+0.04)*X119)*EXP(-(LN(2)/$D$65+0.1)*Y119),IF(V119=3,AA$100*EXP(-(LN(2)/$D$65+0.04)*(VLOOKUP(($F$16-$F$15)-1,U$99:Y119,4,FALSE)))*EXP(-(LN(2)/$D$65+0.1)*(VLOOKUP(($F$16-$F$15)-1,U$99:Y119,5,FALSE)))*EXP(-(LN(2)/$D$65+0.04)*(VLOOKUP(($F$16-$F$15)*2-1,U$99:Y119,4,FALSE)))*EXP(-(LN(2)/$D$65+0.1)*(VLOOKUP(($F$16-$F$15)*2-1,U$99:Y119,5,FALSE)))*EXP(-(LN(2)/$D$65+0.04)*X119)*EXP(-(LN(2)/$D$65+0.1)*Y119),"-"))),"-")</f>
        <v>-</v>
      </c>
      <c r="AB120" s="271" t="str">
        <f>IFERROR(IF(V120=1,AB$100*EXP(-(LN(2)/$D$65+0.04)*X120)*EXP(-(LN(2)/$D$65+0.1)*Y120),IF(V120=2,AB$100*EXP(-(LN(2)/$D$65+0.04)*(VLOOKUP(($F$16-$F$15)-1,U$100:Y120,4,FALSE)))*EXP(-(LN(2)/$D$65+0.1)*(VLOOKUP(($F$16-$F$15)-1,U$100:Y120,5,FALSE)))*EXP(-(LN(2)/$D$65+0.04)*X120)*EXP(-(LN(2)/$D$65+0.1)*Y120),IF(V120=3,AB$100*EXP(-(LN(2)/$D$65+0.04)*(VLOOKUP(($F$16-$F$15)-1,U$100:Y120,4,FALSE)))*EXP(-(LN(2)/$D$65+0.1)*(VLOOKUP(($F$16-$F$15)-1,U$100:Y120,5,FALSE)))*EXP(-(LN(2)/$D$65+0.04)*(VLOOKUP(($F$16-$F$15)*2-1,U$100:Y120,4,FALSE)))*EXP(-(LN(2)/$D$65+0.1)*(VLOOKUP(($F$16-$F$15)*2-1,U$100:Y120,5,FALSE)))*EXP(-(LN(2)/$D$65+0.04)*X120)*EXP(-(LN(2)/$D$65+0.1)*Y120),"-"))),"-")</f>
        <v>-</v>
      </c>
      <c r="AC120" s="224">
        <f t="shared" si="45"/>
        <v>20</v>
      </c>
      <c r="AD120" s="223" t="str">
        <f t="shared" si="14"/>
        <v>-</v>
      </c>
      <c r="AE120" s="224" t="str">
        <f t="shared" si="46"/>
        <v>-</v>
      </c>
      <c r="AF120" s="224" t="str">
        <f t="shared" si="15"/>
        <v>-</v>
      </c>
      <c r="AG120" s="224" t="str">
        <f t="shared" si="16"/>
        <v>-</v>
      </c>
      <c r="AH120" s="272">
        <f t="shared" si="47"/>
        <v>0.1</v>
      </c>
      <c r="AI120" s="271" t="str">
        <f>IFERROR(IF(AD119=1,AI$100*EXP(-(LN(2)/$D$65+0.04)*AF119)*EXP(-(LN(2)/$D$65+0.1)*AG119),IF(AD119=2,AI$100*EXP(-(LN(2)/$D$65+0.04)*(VLOOKUP(($F$16-$F$15)-1,AC$99:AG119,4,FALSE)))*EXP(-(LN(2)/$D$65+0.1)*(VLOOKUP(($F$16-$F$15)-1,AC$99:AG119,5,FALSE)))*EXP(-(LN(2)/$D$65+0.04)*AF119)*EXP(-(LN(2)/$D$65+0.1)*AG119),IF(AD119=3,AI$100*EXP(-(LN(2)/$D$65+0.04)*(VLOOKUP(($F$16-$F$15)-1,AC$99:AG119,4,FALSE)))*EXP(-(LN(2)/$D$65+0.1)*(VLOOKUP(($F$16-$F$15)-1,AC$99:AG119,5,FALSE)))*EXP(-(LN(2)/$D$65+0.04)*(VLOOKUP(($F$16-$F$15)*2-1,AC$99:AG119,4,FALSE)))*EXP(-(LN(2)/$D$65+0.1)*(VLOOKUP(($F$16-$F$15)*2-1,AC$99:AG119,5,FALSE)))*EXP(-(LN(2)/$D$65+0.04)*AF119)*EXP(-(LN(2)/$D$65+0.1)*AG119),"-"))),"-")</f>
        <v>-</v>
      </c>
      <c r="AJ120" s="271" t="str">
        <f>IFERROR(IF(AD120=1,AJ$100*EXP(-(LN(2)/$D$65+0.04)*AF120)*EXP(-(LN(2)/$D$65+0.1)*AG120),IF(AD120=2,AJ$100*EXP(-(LN(2)/$D$65+0.04)*(VLOOKUP(($F$16-$F$15)-1,AC$100:AG120,4,FALSE)))*EXP(-(LN(2)/$D$65+0.1)*(VLOOKUP(($F$16-$F$15)-1,AC$100:AG120,5,FALSE)))*EXP(-(LN(2)/$D$65+0.04)*AF120)*EXP(-(LN(2)/$D$65+0.1)*AG120),IF(AD120=3,AJ$100*EXP(-(LN(2)/$D$65+0.04)*(VLOOKUP(($F$16-$F$15)-1,AC$100:AG120,4,FALSE)))*EXP(-(LN(2)/$D$65+0.1)*(VLOOKUP(($F$16-$F$15)-1,AC$100:AG120,5,FALSE)))*EXP(-(LN(2)/$D$65+0.04)*(VLOOKUP(($F$16-$F$15)*2-1,AC$100:AG120,4,FALSE)))*EXP(-(LN(2)/$D$65+0.1)*(VLOOKUP(($F$16-$F$15)*2-1,AC$100:AG120,5,FALSE)))*EXP(-(LN(2)/$D$65+0.04)*AF120)*EXP(-(LN(2)/$D$65+0.1)*AG120),"-"))),"-")</f>
        <v>-</v>
      </c>
      <c r="AK120" s="227">
        <f t="shared" si="49"/>
        <v>20</v>
      </c>
      <c r="AL120" s="226" t="str">
        <f t="shared" si="18"/>
        <v>-</v>
      </c>
      <c r="AM120" s="227" t="str">
        <f t="shared" si="50"/>
        <v>-</v>
      </c>
      <c r="AN120" s="227" t="str">
        <f t="shared" si="51"/>
        <v>-</v>
      </c>
      <c r="AO120" s="227" t="str">
        <f t="shared" si="19"/>
        <v>-</v>
      </c>
      <c r="AP120" s="273">
        <f t="shared" si="52"/>
        <v>0.1</v>
      </c>
      <c r="AQ120" s="271" t="str">
        <f>IFERROR(IF(AL119=1,AQ$100*EXP(-(LN(2)/$D$65+0.04)*AN119)*EXP(-(LN(2)/$D$65+0.1)*AO119),IF(AL119=2,AQ$100*EXP(-(LN(2)/$D$65+0.04)*(VLOOKUP(($F$16-$F$15)-1,AK$99:AO119,4,FALSE)))*EXP(-(LN(2)/$D$65+0.1)*(VLOOKUP(($F$16-$F$15)-1,AK$99:AO119,5,FALSE)))*EXP(-(LN(2)/$D$65+0.04)*AN119)*EXP(-(LN(2)/$D$65+0.1)*AO119),IF(AL119=3,AQ$100*EXP(-(LN(2)/$D$65+0.04)*(VLOOKUP(($F$16-$F$15)-1,AK$99:AO119,4,FALSE)))*EXP(-(LN(2)/$D$65+0.1)*(VLOOKUP(($F$16-$F$15)-1,AK$99:AO119,5,FALSE)))*EXP(-(LN(2)/$D$65+0.04)*(VLOOKUP(($F$16-$F$15)*2-1,AK$99:AO119,4,FALSE)))*EXP(-(LN(2)/$D$65+0.1)*(VLOOKUP(($F$16-$F$15)*2-1,AK$99:AO119,5,FALSE)))*EXP(-(LN(2)/$D$65+0.04)*AN119)*EXP(-(LN(2)/$D$65+0.1)*AO119),"-"))),"-")</f>
        <v>-</v>
      </c>
      <c r="AR120" s="271" t="str">
        <f>IFERROR(IF(AL120=1,AR$100*EXP(-(LN(2)/$D$65+0.04)*AN120)*EXP(-(LN(2)/$D$65+0.1)*AO120),IF(AL120=2,AR$100*EXP(-(LN(2)/$D$65+0.04)*(VLOOKUP(($F$16-$F$15)-1,AK$100:AO120,4,FALSE)))*EXP(-(LN(2)/$D$65+0.1)*(VLOOKUP(($F$16-$F$15)-1,AK$100:AO120,5,FALSE)))*EXP(-(LN(2)/$D$65+0.04)*AN120)*EXP(-(LN(2)/$D$65+0.1)*AO120),IF(AL120=3,AR$100*EXP(-(LN(2)/$D$65+0.04)*(VLOOKUP(($F$16-$F$15)-1,AK$100:AO120,4,FALSE)))*EXP(-(LN(2)/$D$65+0.1)*(VLOOKUP(($F$16-$F$15)-1,AK$100:AO120,5,FALSE)))*EXP(-(LN(2)/$D$65+0.04)*(VLOOKUP(($F$16-$F$15)*2-1,AK$100:AO120,4,FALSE)))*EXP(-(LN(2)/$D$65+0.1)*(VLOOKUP(($F$16-$F$15)*2-1,AK$100:AO120,5,FALSE)))*EXP(-(LN(2)/$D$65+0.04)*AN120)*EXP(-(LN(2)/$D$65+0.1)*AO120),"-"))),"-")</f>
        <v>-</v>
      </c>
      <c r="AS120" s="274">
        <f t="shared" si="20"/>
        <v>0</v>
      </c>
      <c r="AT120" s="274">
        <f t="shared" si="21"/>
        <v>0</v>
      </c>
      <c r="AU120" s="274">
        <f t="shared" si="22"/>
        <v>0</v>
      </c>
      <c r="AV120" s="253">
        <f>IF($B120&lt;$F$22,SUM($T$100:$T120),"")</f>
        <v>0</v>
      </c>
      <c r="AW120" s="253" t="str">
        <f t="shared" si="55"/>
        <v>-</v>
      </c>
      <c r="AX120" s="253" t="str">
        <f t="shared" si="56"/>
        <v/>
      </c>
      <c r="AY120" s="295"/>
      <c r="AZ120" s="253" t="str">
        <f ca="1">IF(ISNUMBER(OFFSET(AV120,-$F$21,0)),SUM(OFFSET($T$100,$F$21,0):$T120),"")</f>
        <v/>
      </c>
      <c r="BA120" s="253" t="str">
        <f t="shared" ca="1" si="23"/>
        <v/>
      </c>
      <c r="BB120" s="253" t="str">
        <f ca="1">IF(ISNUMBER(AZ120),(AZ120-BA120)/(3*86400*(OFFSET($B120,-$F$21,0)+1))*1000,"")</f>
        <v/>
      </c>
      <c r="BC120" s="253"/>
      <c r="BD120" s="253" t="str">
        <f ca="1">IFERROR(IF(AND($B120&gt;=($F$16-$F$15),$B120&lt;$F$22+($F$16-$F$15)),SUM(OFFSET($T$100,($F$16-$F$15),0):$T120),""),"")</f>
        <v/>
      </c>
      <c r="BE120" s="253" t="str">
        <f t="shared" ca="1" si="58"/>
        <v/>
      </c>
      <c r="BF120" s="253" t="str">
        <f t="shared" ca="1" si="59"/>
        <v/>
      </c>
      <c r="BG120" s="295"/>
      <c r="BH120" s="253" t="str">
        <f ca="1">IF(ISNUMBER(OFFSET(BD120,-$F$21,0)),SUM(OFFSET($T$100,($F$16-$F$15+$F$21),0):$T120),"")</f>
        <v/>
      </c>
      <c r="BI120" s="253" t="str">
        <f t="shared" ca="1" si="24"/>
        <v/>
      </c>
      <c r="BJ120" s="253" t="str">
        <f t="shared" ca="1" si="60"/>
        <v/>
      </c>
      <c r="BK120" s="253"/>
      <c r="BL120" s="253" t="str">
        <f ca="1">IFERROR(IF(AND($B120&gt;=($F$17-$F$15),$B120&lt;$F$22+($F$17-$F$15)),SUM(OFFSET($T$100,($F$17-$F$15),0):$T120),""),"")</f>
        <v/>
      </c>
      <c r="BM120" s="253" t="str">
        <f t="shared" ca="1" si="25"/>
        <v/>
      </c>
      <c r="BN120" s="253" t="str">
        <f t="shared" ca="1" si="61"/>
        <v/>
      </c>
      <c r="BO120" s="295"/>
      <c r="BP120" s="253" t="str">
        <f ca="1">IF(ISNUMBER(OFFSET(BL120,-$F$21,0)),SUM(OFFSET($T$100,($F$17-$F$15+$F$21),0):$T120),"")</f>
        <v/>
      </c>
      <c r="BQ120" s="253" t="str">
        <f t="shared" ca="1" si="62"/>
        <v/>
      </c>
      <c r="BR120" s="253" t="str">
        <f t="shared" ca="1" si="63"/>
        <v/>
      </c>
      <c r="BS120" s="253"/>
      <c r="BT120" s="296"/>
      <c r="BU120" s="297" t="str">
        <f t="shared" si="64"/>
        <v>end</v>
      </c>
      <c r="BV120" s="277">
        <v>20</v>
      </c>
      <c r="BW120" s="298" t="str">
        <f t="shared" si="69"/>
        <v/>
      </c>
      <c r="BX120" s="298" t="str">
        <f t="shared" si="68"/>
        <v/>
      </c>
      <c r="BY120" s="299" t="str">
        <f t="shared" si="65"/>
        <v/>
      </c>
      <c r="BZ120" s="67"/>
      <c r="CA120" s="280" t="str">
        <f t="shared" si="26"/>
        <v>-</v>
      </c>
      <c r="CB120" s="71" t="str">
        <f t="shared" si="27"/>
        <v>-</v>
      </c>
      <c r="CC120" s="33" t="str">
        <f t="shared" si="28"/>
        <v>20-21</v>
      </c>
      <c r="CD120" s="261" t="str">
        <f t="shared" si="29"/>
        <v/>
      </c>
      <c r="CE120" s="280" t="str">
        <f t="shared" si="30"/>
        <v>-</v>
      </c>
      <c r="CF120" s="71" t="str">
        <f t="shared" ca="1" si="31"/>
        <v>-</v>
      </c>
      <c r="CG120" s="33" t="str">
        <f t="shared" si="32"/>
        <v>20-21</v>
      </c>
      <c r="CH120" s="261" t="str">
        <f t="shared" ca="1" si="33"/>
        <v/>
      </c>
      <c r="CI120" s="99"/>
      <c r="CJ120" s="99"/>
      <c r="CK120" s="99"/>
      <c r="CL120" s="99"/>
      <c r="CM120" s="99"/>
      <c r="CN120" s="99"/>
      <c r="CO120" s="99"/>
    </row>
    <row r="121" spans="2:93" ht="13.5" customHeight="1" x14ac:dyDescent="0.2">
      <c r="B121" s="262">
        <v>21</v>
      </c>
      <c r="C121" s="237" t="str">
        <f t="shared" si="1"/>
        <v/>
      </c>
      <c r="D121" s="237" t="str">
        <f t="shared" si="66"/>
        <v>-</v>
      </c>
      <c r="E121" s="290" t="str">
        <f t="shared" si="34"/>
        <v/>
      </c>
      <c r="F121" s="264" t="str">
        <f t="shared" si="35"/>
        <v/>
      </c>
      <c r="G121" s="291" t="str">
        <f t="shared" si="36"/>
        <v/>
      </c>
      <c r="H121" s="240" t="str">
        <f t="shared" si="37"/>
        <v/>
      </c>
      <c r="I121" s="265" t="str">
        <f t="shared" si="2"/>
        <v/>
      </c>
      <c r="J121" s="265" t="str">
        <f t="shared" si="3"/>
        <v/>
      </c>
      <c r="K121" s="240" t="str">
        <f t="shared" si="4"/>
        <v/>
      </c>
      <c r="L121" s="265" t="str">
        <f t="shared" si="5"/>
        <v/>
      </c>
      <c r="M121" s="265" t="str">
        <f t="shared" si="6"/>
        <v/>
      </c>
      <c r="N121" s="240" t="str">
        <f t="shared" si="7"/>
        <v>-</v>
      </c>
      <c r="O121" s="265" t="str">
        <f t="shared" si="38"/>
        <v>-</v>
      </c>
      <c r="P121" s="265" t="str">
        <f t="shared" si="39"/>
        <v>-</v>
      </c>
      <c r="Q121" s="266" t="str">
        <f t="shared" si="8"/>
        <v>-</v>
      </c>
      <c r="R121" s="267" t="str">
        <f t="shared" si="40"/>
        <v>-</v>
      </c>
      <c r="S121" s="268" t="str">
        <f t="shared" si="41"/>
        <v>-</v>
      </c>
      <c r="T121" s="269" t="str">
        <f t="shared" si="9"/>
        <v/>
      </c>
      <c r="U121" s="221">
        <f t="shared" si="10"/>
        <v>21</v>
      </c>
      <c r="V121" s="220" t="str">
        <f t="shared" si="42"/>
        <v>-</v>
      </c>
      <c r="W121" s="221" t="str">
        <f t="shared" si="43"/>
        <v>-</v>
      </c>
      <c r="X121" s="221" t="str">
        <f t="shared" si="11"/>
        <v>-</v>
      </c>
      <c r="Y121" s="221" t="str">
        <f t="shared" si="12"/>
        <v>-</v>
      </c>
      <c r="Z121" s="270">
        <f t="shared" si="44"/>
        <v>0.1</v>
      </c>
      <c r="AA121" s="271" t="str">
        <f>IFERROR(IF(V120=1,AA$100*EXP(-(LN(2)/$D$65+0.04)*X120)*EXP(-(LN(2)/$D$65+0.1)*Y120),IF(V120=2,AA$100*EXP(-(LN(2)/$D$65+0.04)*(VLOOKUP(($F$16-$F$15)-1,U$99:Y120,4,FALSE)))*EXP(-(LN(2)/$D$65+0.1)*(VLOOKUP(($F$16-$F$15)-1,U$99:Y120,5,FALSE)))*EXP(-(LN(2)/$D$65+0.04)*X120)*EXP(-(LN(2)/$D$65+0.1)*Y120),IF(V120=3,AA$100*EXP(-(LN(2)/$D$65+0.04)*(VLOOKUP(($F$16-$F$15)-1,U$99:Y120,4,FALSE)))*EXP(-(LN(2)/$D$65+0.1)*(VLOOKUP(($F$16-$F$15)-1,U$99:Y120,5,FALSE)))*EXP(-(LN(2)/$D$65+0.04)*(VLOOKUP(($F$16-$F$15)*2-1,U$99:Y120,4,FALSE)))*EXP(-(LN(2)/$D$65+0.1)*(VLOOKUP(($F$16-$F$15)*2-1,U$99:Y120,5,FALSE)))*EXP(-(LN(2)/$D$65+0.04)*X120)*EXP(-(LN(2)/$D$65+0.1)*Y120),"-"))),"-")</f>
        <v>-</v>
      </c>
      <c r="AB121" s="271" t="str">
        <f>IFERROR(IF(V121=1,AB$100*EXP(-(LN(2)/$D$65+0.04)*X121)*EXP(-(LN(2)/$D$65+0.1)*Y121),IF(V121=2,AB$100*EXP(-(LN(2)/$D$65+0.04)*(VLOOKUP(($F$16-$F$15)-1,U$100:Y121,4,FALSE)))*EXP(-(LN(2)/$D$65+0.1)*(VLOOKUP(($F$16-$F$15)-1,U$100:Y121,5,FALSE)))*EXP(-(LN(2)/$D$65+0.04)*X121)*EXP(-(LN(2)/$D$65+0.1)*Y121),IF(V121=3,AB$100*EXP(-(LN(2)/$D$65+0.04)*(VLOOKUP(($F$16-$F$15)-1,U$100:Y121,4,FALSE)))*EXP(-(LN(2)/$D$65+0.1)*(VLOOKUP(($F$16-$F$15)-1,U$100:Y121,5,FALSE)))*EXP(-(LN(2)/$D$65+0.04)*(VLOOKUP(($F$16-$F$15)*2-1,U$100:Y121,4,FALSE)))*EXP(-(LN(2)/$D$65+0.1)*(VLOOKUP(($F$16-$F$15)*2-1,U$100:Y121,5,FALSE)))*EXP(-(LN(2)/$D$65+0.04)*X121)*EXP(-(LN(2)/$D$65+0.1)*Y121),"-"))),"-")</f>
        <v>-</v>
      </c>
      <c r="AC121" s="224">
        <f t="shared" si="45"/>
        <v>21</v>
      </c>
      <c r="AD121" s="223" t="str">
        <f t="shared" si="14"/>
        <v>-</v>
      </c>
      <c r="AE121" s="224" t="str">
        <f t="shared" si="46"/>
        <v>-</v>
      </c>
      <c r="AF121" s="224" t="str">
        <f t="shared" si="15"/>
        <v>-</v>
      </c>
      <c r="AG121" s="224" t="str">
        <f t="shared" si="16"/>
        <v>-</v>
      </c>
      <c r="AH121" s="272">
        <f t="shared" si="47"/>
        <v>0.1</v>
      </c>
      <c r="AI121" s="271" t="str">
        <f>IFERROR(IF(AD120=1,AI$100*EXP(-(LN(2)/$D$65+0.04)*AF120)*EXP(-(LN(2)/$D$65+0.1)*AG120),IF(AD120=2,AI$100*EXP(-(LN(2)/$D$65+0.04)*(VLOOKUP(($F$16-$F$15)-1,AC$99:AG120,4,FALSE)))*EXP(-(LN(2)/$D$65+0.1)*(VLOOKUP(($F$16-$F$15)-1,AC$99:AG120,5,FALSE)))*EXP(-(LN(2)/$D$65+0.04)*AF120)*EXP(-(LN(2)/$D$65+0.1)*AG120),IF(AD120=3,AI$100*EXP(-(LN(2)/$D$65+0.04)*(VLOOKUP(($F$16-$F$15)-1,AC$99:AG120,4,FALSE)))*EXP(-(LN(2)/$D$65+0.1)*(VLOOKUP(($F$16-$F$15)-1,AC$99:AG120,5,FALSE)))*EXP(-(LN(2)/$D$65+0.04)*(VLOOKUP(($F$16-$F$15)*2-1,AC$99:AG120,4,FALSE)))*EXP(-(LN(2)/$D$65+0.1)*(VLOOKUP(($F$16-$F$15)*2-1,AC$99:AG120,5,FALSE)))*EXP(-(LN(2)/$D$65+0.04)*AF120)*EXP(-(LN(2)/$D$65+0.1)*AG120),"-"))),"-")</f>
        <v>-</v>
      </c>
      <c r="AJ121" s="271" t="str">
        <f>IFERROR(IF(AD121=1,AJ$100*EXP(-(LN(2)/$D$65+0.04)*AF121)*EXP(-(LN(2)/$D$65+0.1)*AG121),IF(AD121=2,AJ$100*EXP(-(LN(2)/$D$65+0.04)*(VLOOKUP(($F$16-$F$15)-1,AC$100:AG121,4,FALSE)))*EXP(-(LN(2)/$D$65+0.1)*(VLOOKUP(($F$16-$F$15)-1,AC$100:AG121,5,FALSE)))*EXP(-(LN(2)/$D$65+0.04)*AF121)*EXP(-(LN(2)/$D$65+0.1)*AG121),IF(AD121=3,AJ$100*EXP(-(LN(2)/$D$65+0.04)*(VLOOKUP(($F$16-$F$15)-1,AC$100:AG121,4,FALSE)))*EXP(-(LN(2)/$D$65+0.1)*(VLOOKUP(($F$16-$F$15)-1,AC$100:AG121,5,FALSE)))*EXP(-(LN(2)/$D$65+0.04)*(VLOOKUP(($F$16-$F$15)*2-1,AC$100:AG121,4,FALSE)))*EXP(-(LN(2)/$D$65+0.1)*(VLOOKUP(($F$16-$F$15)*2-1,AC$100:AG121,5,FALSE)))*EXP(-(LN(2)/$D$65+0.04)*AF121)*EXP(-(LN(2)/$D$65+0.1)*AG121),"-"))),"-")</f>
        <v>-</v>
      </c>
      <c r="AK121" s="227">
        <f t="shared" si="49"/>
        <v>21</v>
      </c>
      <c r="AL121" s="226" t="str">
        <f t="shared" si="18"/>
        <v>-</v>
      </c>
      <c r="AM121" s="227" t="str">
        <f t="shared" si="50"/>
        <v>-</v>
      </c>
      <c r="AN121" s="227" t="str">
        <f t="shared" si="51"/>
        <v>-</v>
      </c>
      <c r="AO121" s="227" t="str">
        <f t="shared" si="19"/>
        <v>-</v>
      </c>
      <c r="AP121" s="273">
        <f t="shared" si="52"/>
        <v>0.1</v>
      </c>
      <c r="AQ121" s="271" t="str">
        <f>IFERROR(IF(AL120=1,AQ$100*EXP(-(LN(2)/$D$65+0.04)*AN120)*EXP(-(LN(2)/$D$65+0.1)*AO120),IF(AL120=2,AQ$100*EXP(-(LN(2)/$D$65+0.04)*(VLOOKUP(($F$16-$F$15)-1,AK$99:AO120,4,FALSE)))*EXP(-(LN(2)/$D$65+0.1)*(VLOOKUP(($F$16-$F$15)-1,AK$99:AO120,5,FALSE)))*EXP(-(LN(2)/$D$65+0.04)*AN120)*EXP(-(LN(2)/$D$65+0.1)*AO120),IF(AL120=3,AQ$100*EXP(-(LN(2)/$D$65+0.04)*(VLOOKUP(($F$16-$F$15)-1,AK$99:AO120,4,FALSE)))*EXP(-(LN(2)/$D$65+0.1)*(VLOOKUP(($F$16-$F$15)-1,AK$99:AO120,5,FALSE)))*EXP(-(LN(2)/$D$65+0.04)*(VLOOKUP(($F$16-$F$15)*2-1,AK$99:AO120,4,FALSE)))*EXP(-(LN(2)/$D$65+0.1)*(VLOOKUP(($F$16-$F$15)*2-1,AK$99:AO120,5,FALSE)))*EXP(-(LN(2)/$D$65+0.04)*AN120)*EXP(-(LN(2)/$D$65+0.1)*AO120),"-"))),"-")</f>
        <v>-</v>
      </c>
      <c r="AR121" s="271" t="str">
        <f>IFERROR(IF(AL121=1,AR$100*EXP(-(LN(2)/$D$65+0.04)*AN121)*EXP(-(LN(2)/$D$65+0.1)*AO121),IF(AL121=2,AR$100*EXP(-(LN(2)/$D$65+0.04)*(VLOOKUP(($F$16-$F$15)-1,AK$100:AO121,4,FALSE)))*EXP(-(LN(2)/$D$65+0.1)*(VLOOKUP(($F$16-$F$15)-1,AK$100:AO121,5,FALSE)))*EXP(-(LN(2)/$D$65+0.04)*AN121)*EXP(-(LN(2)/$D$65+0.1)*AO121),IF(AL121=3,AR$100*EXP(-(LN(2)/$D$65+0.04)*(VLOOKUP(($F$16-$F$15)-1,AK$100:AO121,4,FALSE)))*EXP(-(LN(2)/$D$65+0.1)*(VLOOKUP(($F$16-$F$15)-1,AK$100:AO121,5,FALSE)))*EXP(-(LN(2)/$D$65+0.04)*(VLOOKUP(($F$16-$F$15)*2-1,AK$100:AO121,4,FALSE)))*EXP(-(LN(2)/$D$65+0.1)*(VLOOKUP(($F$16-$F$15)*2-1,AK$100:AO121,5,FALSE)))*EXP(-(LN(2)/$D$65+0.04)*AN121)*EXP(-(LN(2)/$D$65+0.1)*AO121),"-"))),"-")</f>
        <v>-</v>
      </c>
      <c r="AS121" s="274">
        <f t="shared" si="20"/>
        <v>0</v>
      </c>
      <c r="AT121" s="274">
        <f t="shared" si="21"/>
        <v>0</v>
      </c>
      <c r="AU121" s="274">
        <f t="shared" si="22"/>
        <v>0</v>
      </c>
      <c r="AV121" s="190">
        <f>IF($B121&lt;$F$22,SUM($T$100:$T121),"")</f>
        <v>0</v>
      </c>
      <c r="AW121" s="190" t="str">
        <f t="shared" si="55"/>
        <v>-</v>
      </c>
      <c r="AX121" s="190" t="str">
        <f t="shared" si="56"/>
        <v/>
      </c>
      <c r="AY121"/>
      <c r="AZ121" s="190" t="str">
        <f ca="1">IF(ISNUMBER(OFFSET(AV121,-$F$21,0)),SUM(OFFSET($T$100,$F$21,0):$T121),"")</f>
        <v/>
      </c>
      <c r="BA121" s="190" t="str">
        <f t="shared" ca="1" si="23"/>
        <v/>
      </c>
      <c r="BB121" s="190" t="str">
        <f t="shared" ref="BB121:BB184" ca="1" si="70">IF(ISNUMBER(AZ121),(AZ121-BA121)/(3*86400*(OFFSET($B121,-$F$21,0)+1))*1000,"")</f>
        <v/>
      </c>
      <c r="BC121" s="190"/>
      <c r="BD121" s="190" t="str">
        <f ca="1">IFERROR(IF(AND($B121&gt;=($F$16-$F$15),$B121&lt;$F$22+($F$16-$F$15)),SUM(OFFSET($T$100,($F$16-$F$15),0):$T121),""),"")</f>
        <v/>
      </c>
      <c r="BE121" s="190" t="str">
        <f t="shared" ca="1" si="58"/>
        <v/>
      </c>
      <c r="BF121" s="190" t="str">
        <f t="shared" ca="1" si="59"/>
        <v/>
      </c>
      <c r="BG121"/>
      <c r="BH121" s="190" t="str">
        <f ca="1">IF(ISNUMBER(OFFSET(BD121,-$F$21,0)),SUM(OFFSET($T$100,($F$16-$F$15+$F$21),0):$T121),"")</f>
        <v/>
      </c>
      <c r="BI121" s="190" t="str">
        <f t="shared" ca="1" si="24"/>
        <v/>
      </c>
      <c r="BJ121" s="190" t="str">
        <f t="shared" ca="1" si="60"/>
        <v/>
      </c>
      <c r="BK121" s="190"/>
      <c r="BL121" s="190" t="str">
        <f ca="1">IFERROR(IF(AND($B121&gt;=($F$17-$F$15),$B121&lt;$F$22+($F$17-$F$15)),SUM(OFFSET($T$100,($F$17-$F$15),0):$T121),""),"")</f>
        <v/>
      </c>
      <c r="BM121" s="190" t="str">
        <f t="shared" ca="1" si="25"/>
        <v/>
      </c>
      <c r="BN121" s="190" t="str">
        <f t="shared" ca="1" si="61"/>
        <v/>
      </c>
      <c r="BO121"/>
      <c r="BP121" s="190" t="str">
        <f ca="1">IF(ISNUMBER(OFFSET(BL121,-$F$21,0)),SUM(OFFSET($T$100,($F$17-$F$15+$F$21),0):$T121),"")</f>
        <v/>
      </c>
      <c r="BQ121" s="190" t="str">
        <f t="shared" ca="1" si="62"/>
        <v/>
      </c>
      <c r="BR121" s="190" t="str">
        <f t="shared" ca="1" si="63"/>
        <v/>
      </c>
      <c r="BS121" s="190"/>
      <c r="BT121"/>
      <c r="BU121" s="300" t="s">
        <v>289</v>
      </c>
      <c r="BV121" s="301"/>
      <c r="BW121" s="300"/>
      <c r="BX121" s="300"/>
      <c r="BY121" s="300"/>
      <c r="BZ121" s="302"/>
      <c r="CA121" s="280" t="str">
        <f t="shared" si="26"/>
        <v/>
      </c>
      <c r="CB121" s="71" t="str">
        <f t="shared" si="27"/>
        <v>-</v>
      </c>
      <c r="CC121" s="33"/>
      <c r="CD121" s="261" t="str">
        <f t="shared" si="29"/>
        <v/>
      </c>
      <c r="CE121" s="280" t="str">
        <f t="shared" si="30"/>
        <v>-</v>
      </c>
      <c r="CF121" s="71" t="str">
        <f t="shared" ca="1" si="31"/>
        <v>-</v>
      </c>
      <c r="CG121" s="33" t="str">
        <f t="shared" si="32"/>
        <v>21-22</v>
      </c>
      <c r="CH121" s="261" t="str">
        <f t="shared" ca="1" si="33"/>
        <v/>
      </c>
      <c r="CI121" s="99"/>
      <c r="CJ121" s="99"/>
      <c r="CK121" s="99"/>
      <c r="CL121" s="99"/>
      <c r="CM121" s="99"/>
      <c r="CN121" s="99"/>
      <c r="CO121" s="99"/>
    </row>
    <row r="122" spans="2:93" ht="13.5" customHeight="1" x14ac:dyDescent="0.2">
      <c r="B122" s="262">
        <v>22</v>
      </c>
      <c r="C122" s="237" t="str">
        <f t="shared" si="1"/>
        <v/>
      </c>
      <c r="D122" s="237" t="str">
        <f t="shared" si="66"/>
        <v>-</v>
      </c>
      <c r="E122" s="290" t="str">
        <f t="shared" si="34"/>
        <v/>
      </c>
      <c r="F122" s="264" t="str">
        <f t="shared" si="35"/>
        <v/>
      </c>
      <c r="G122" s="291" t="str">
        <f t="shared" si="36"/>
        <v/>
      </c>
      <c r="H122" s="240" t="str">
        <f t="shared" si="37"/>
        <v/>
      </c>
      <c r="I122" s="265" t="str">
        <f t="shared" si="2"/>
        <v/>
      </c>
      <c r="J122" s="265" t="str">
        <f t="shared" si="3"/>
        <v/>
      </c>
      <c r="K122" s="240" t="str">
        <f t="shared" si="4"/>
        <v/>
      </c>
      <c r="L122" s="265" t="str">
        <f t="shared" si="5"/>
        <v/>
      </c>
      <c r="M122" s="265" t="str">
        <f t="shared" si="6"/>
        <v/>
      </c>
      <c r="N122" s="240" t="str">
        <f t="shared" si="7"/>
        <v>-</v>
      </c>
      <c r="O122" s="265" t="str">
        <f t="shared" si="38"/>
        <v>-</v>
      </c>
      <c r="P122" s="265" t="str">
        <f t="shared" si="39"/>
        <v>-</v>
      </c>
      <c r="Q122" s="266" t="str">
        <f t="shared" si="8"/>
        <v>-</v>
      </c>
      <c r="R122" s="267" t="str">
        <f t="shared" si="40"/>
        <v>-</v>
      </c>
      <c r="S122" s="268" t="str">
        <f t="shared" si="41"/>
        <v>-</v>
      </c>
      <c r="T122" s="269" t="str">
        <f t="shared" si="9"/>
        <v/>
      </c>
      <c r="U122" s="221">
        <f t="shared" si="10"/>
        <v>22</v>
      </c>
      <c r="V122" s="220" t="str">
        <f t="shared" si="42"/>
        <v>-</v>
      </c>
      <c r="W122" s="221" t="str">
        <f t="shared" si="43"/>
        <v>-</v>
      </c>
      <c r="X122" s="221" t="str">
        <f t="shared" si="11"/>
        <v>-</v>
      </c>
      <c r="Y122" s="221" t="str">
        <f t="shared" si="12"/>
        <v>-</v>
      </c>
      <c r="Z122" s="270">
        <f t="shared" si="44"/>
        <v>0.1</v>
      </c>
      <c r="AA122" s="271" t="str">
        <f>IFERROR(IF(V121=1,AA$100*EXP(-(LN(2)/$D$65+0.04)*X121)*EXP(-(LN(2)/$D$65+0.1)*Y121),IF(V121=2,AA$100*EXP(-(LN(2)/$D$65+0.04)*(VLOOKUP(($F$16-$F$15)-1,U$99:Y121,4,FALSE)))*EXP(-(LN(2)/$D$65+0.1)*(VLOOKUP(($F$16-$F$15)-1,U$99:Y121,5,FALSE)))*EXP(-(LN(2)/$D$65+0.04)*X121)*EXP(-(LN(2)/$D$65+0.1)*Y121),IF(V121=3,AA$100*EXP(-(LN(2)/$D$65+0.04)*(VLOOKUP(($F$16-$F$15)-1,U$99:Y121,4,FALSE)))*EXP(-(LN(2)/$D$65+0.1)*(VLOOKUP(($F$16-$F$15)-1,U$99:Y121,5,FALSE)))*EXP(-(LN(2)/$D$65+0.04)*(VLOOKUP(($F$16-$F$15)*2-1,U$99:Y121,4,FALSE)))*EXP(-(LN(2)/$D$65+0.1)*(VLOOKUP(($F$16-$F$15)*2-1,U$99:Y121,5,FALSE)))*EXP(-(LN(2)/$D$65+0.04)*X121)*EXP(-(LN(2)/$D$65+0.1)*Y121),"-"))),"-")</f>
        <v>-</v>
      </c>
      <c r="AB122" s="271" t="str">
        <f>IFERROR(IF(V122=1,AB$100*EXP(-(LN(2)/$D$65+0.04)*X122)*EXP(-(LN(2)/$D$65+0.1)*Y122),IF(V122=2,AB$100*EXP(-(LN(2)/$D$65+0.04)*(VLOOKUP(($F$16-$F$15)-1,U$100:Y122,4,FALSE)))*EXP(-(LN(2)/$D$65+0.1)*(VLOOKUP(($F$16-$F$15)-1,U$100:Y122,5,FALSE)))*EXP(-(LN(2)/$D$65+0.04)*X122)*EXP(-(LN(2)/$D$65+0.1)*Y122),IF(V122=3,AB$100*EXP(-(LN(2)/$D$65+0.04)*(VLOOKUP(($F$16-$F$15)-1,U$100:Y122,4,FALSE)))*EXP(-(LN(2)/$D$65+0.1)*(VLOOKUP(($F$16-$F$15)-1,U$100:Y122,5,FALSE)))*EXP(-(LN(2)/$D$65+0.04)*(VLOOKUP(($F$16-$F$15)*2-1,U$100:Y122,4,FALSE)))*EXP(-(LN(2)/$D$65+0.1)*(VLOOKUP(($F$16-$F$15)*2-1,U$100:Y122,5,FALSE)))*EXP(-(LN(2)/$D$65+0.04)*X122)*EXP(-(LN(2)/$D$65+0.1)*Y122),"-"))),"-")</f>
        <v>-</v>
      </c>
      <c r="AC122" s="224">
        <f t="shared" si="45"/>
        <v>22</v>
      </c>
      <c r="AD122" s="223" t="str">
        <f t="shared" si="14"/>
        <v>-</v>
      </c>
      <c r="AE122" s="224" t="str">
        <f t="shared" si="46"/>
        <v>-</v>
      </c>
      <c r="AF122" s="224" t="str">
        <f t="shared" si="15"/>
        <v>-</v>
      </c>
      <c r="AG122" s="224" t="str">
        <f t="shared" si="16"/>
        <v>-</v>
      </c>
      <c r="AH122" s="272">
        <f t="shared" si="47"/>
        <v>0.1</v>
      </c>
      <c r="AI122" s="271" t="str">
        <f>IFERROR(IF(AD121=1,AI$100*EXP(-(LN(2)/$D$65+0.04)*AF121)*EXP(-(LN(2)/$D$65+0.1)*AG121),IF(AD121=2,AI$100*EXP(-(LN(2)/$D$65+0.04)*(VLOOKUP(($F$16-$F$15)-1,AC$99:AG121,4,FALSE)))*EXP(-(LN(2)/$D$65+0.1)*(VLOOKUP(($F$16-$F$15)-1,AC$99:AG121,5,FALSE)))*EXP(-(LN(2)/$D$65+0.04)*AF121)*EXP(-(LN(2)/$D$65+0.1)*AG121),IF(AD121=3,AI$100*EXP(-(LN(2)/$D$65+0.04)*(VLOOKUP(($F$16-$F$15)-1,AC$99:AG121,4,FALSE)))*EXP(-(LN(2)/$D$65+0.1)*(VLOOKUP(($F$16-$F$15)-1,AC$99:AG121,5,FALSE)))*EXP(-(LN(2)/$D$65+0.04)*(VLOOKUP(($F$16-$F$15)*2-1,AC$99:AG121,4,FALSE)))*EXP(-(LN(2)/$D$65+0.1)*(VLOOKUP(($F$16-$F$15)*2-1,AC$99:AG121,5,FALSE)))*EXP(-(LN(2)/$D$65+0.04)*AF121)*EXP(-(LN(2)/$D$65+0.1)*AG121),"-"))),"-")</f>
        <v>-</v>
      </c>
      <c r="AJ122" s="271" t="str">
        <f>IFERROR(IF(AD122=1,AJ$100*EXP(-(LN(2)/$D$65+0.04)*AF122)*EXP(-(LN(2)/$D$65+0.1)*AG122),IF(AD122=2,AJ$100*EXP(-(LN(2)/$D$65+0.04)*(VLOOKUP(($F$16-$F$15)-1,AC$100:AG122,4,FALSE)))*EXP(-(LN(2)/$D$65+0.1)*(VLOOKUP(($F$16-$F$15)-1,AC$100:AG122,5,FALSE)))*EXP(-(LN(2)/$D$65+0.04)*AF122)*EXP(-(LN(2)/$D$65+0.1)*AG122),IF(AD122=3,AJ$100*EXP(-(LN(2)/$D$65+0.04)*(VLOOKUP(($F$16-$F$15)-1,AC$100:AG122,4,FALSE)))*EXP(-(LN(2)/$D$65+0.1)*(VLOOKUP(($F$16-$F$15)-1,AC$100:AG122,5,FALSE)))*EXP(-(LN(2)/$D$65+0.04)*(VLOOKUP(($F$16-$F$15)*2-1,AC$100:AG122,4,FALSE)))*EXP(-(LN(2)/$D$65+0.1)*(VLOOKUP(($F$16-$F$15)*2-1,AC$100:AG122,5,FALSE)))*EXP(-(LN(2)/$D$65+0.04)*AF122)*EXP(-(LN(2)/$D$65+0.1)*AG122),"-"))),"-")</f>
        <v>-</v>
      </c>
      <c r="AK122" s="227">
        <f t="shared" si="49"/>
        <v>22</v>
      </c>
      <c r="AL122" s="226" t="str">
        <f t="shared" si="18"/>
        <v>-</v>
      </c>
      <c r="AM122" s="227" t="str">
        <f t="shared" si="50"/>
        <v>-</v>
      </c>
      <c r="AN122" s="227" t="str">
        <f t="shared" si="51"/>
        <v>-</v>
      </c>
      <c r="AO122" s="227" t="str">
        <f t="shared" si="19"/>
        <v>-</v>
      </c>
      <c r="AP122" s="273">
        <f t="shared" si="52"/>
        <v>0.1</v>
      </c>
      <c r="AQ122" s="271" t="str">
        <f>IFERROR(IF(AL121=1,AQ$100*EXP(-(LN(2)/$D$65+0.04)*AN121)*EXP(-(LN(2)/$D$65+0.1)*AO121),IF(AL121=2,AQ$100*EXP(-(LN(2)/$D$65+0.04)*(VLOOKUP(($F$16-$F$15)-1,AK$99:AO121,4,FALSE)))*EXP(-(LN(2)/$D$65+0.1)*(VLOOKUP(($F$16-$F$15)-1,AK$99:AO121,5,FALSE)))*EXP(-(LN(2)/$D$65+0.04)*AN121)*EXP(-(LN(2)/$D$65+0.1)*AO121),IF(AL121=3,AQ$100*EXP(-(LN(2)/$D$65+0.04)*(VLOOKUP(($F$16-$F$15)-1,AK$99:AO121,4,FALSE)))*EXP(-(LN(2)/$D$65+0.1)*(VLOOKUP(($F$16-$F$15)-1,AK$99:AO121,5,FALSE)))*EXP(-(LN(2)/$D$65+0.04)*(VLOOKUP(($F$16-$F$15)*2-1,AK$99:AO121,4,FALSE)))*EXP(-(LN(2)/$D$65+0.1)*(VLOOKUP(($F$16-$F$15)*2-1,AK$99:AO121,5,FALSE)))*EXP(-(LN(2)/$D$65+0.04)*AN121)*EXP(-(LN(2)/$D$65+0.1)*AO121),"-"))),"-")</f>
        <v>-</v>
      </c>
      <c r="AR122" s="271" t="str">
        <f>IFERROR(IF(AL122=1,AR$100*EXP(-(LN(2)/$D$65+0.04)*AN122)*EXP(-(LN(2)/$D$65+0.1)*AO122),IF(AL122=2,AR$100*EXP(-(LN(2)/$D$65+0.04)*(VLOOKUP(($F$16-$F$15)-1,AK$100:AO122,4,FALSE)))*EXP(-(LN(2)/$D$65+0.1)*(VLOOKUP(($F$16-$F$15)-1,AK$100:AO122,5,FALSE)))*EXP(-(LN(2)/$D$65+0.04)*AN122)*EXP(-(LN(2)/$D$65+0.1)*AO122),IF(AL122=3,AR$100*EXP(-(LN(2)/$D$65+0.04)*(VLOOKUP(($F$16-$F$15)-1,AK$100:AO122,4,FALSE)))*EXP(-(LN(2)/$D$65+0.1)*(VLOOKUP(($F$16-$F$15)-1,AK$100:AO122,5,FALSE)))*EXP(-(LN(2)/$D$65+0.04)*(VLOOKUP(($F$16-$F$15)*2-1,AK$100:AO122,4,FALSE)))*EXP(-(LN(2)/$D$65+0.1)*(VLOOKUP(($F$16-$F$15)*2-1,AK$100:AO122,5,FALSE)))*EXP(-(LN(2)/$D$65+0.04)*AN122)*EXP(-(LN(2)/$D$65+0.1)*AO122),"-"))),"-")</f>
        <v>-</v>
      </c>
      <c r="AS122" s="274">
        <f t="shared" si="20"/>
        <v>0</v>
      </c>
      <c r="AT122" s="274">
        <f t="shared" si="21"/>
        <v>0</v>
      </c>
      <c r="AU122" s="274">
        <f t="shared" si="22"/>
        <v>0</v>
      </c>
      <c r="AV122" s="190">
        <f>IF($B122&lt;$F$22,SUM($T$100:$T122),"")</f>
        <v>0</v>
      </c>
      <c r="AW122" s="190" t="str">
        <f t="shared" si="55"/>
        <v>-</v>
      </c>
      <c r="AX122" s="190" t="str">
        <f t="shared" si="56"/>
        <v/>
      </c>
      <c r="AY122"/>
      <c r="AZ122" s="190" t="str">
        <f ca="1">IF(ISNUMBER(OFFSET(AV122,-$F$21,0)),SUM(OFFSET($T$100,$F$21,0):$T122),"")</f>
        <v/>
      </c>
      <c r="BA122" s="190" t="str">
        <f t="shared" ca="1" si="23"/>
        <v/>
      </c>
      <c r="BB122" s="190" t="str">
        <f t="shared" ca="1" si="70"/>
        <v/>
      </c>
      <c r="BC122" s="190"/>
      <c r="BD122" s="190" t="str">
        <f ca="1">IFERROR(IF(AND($B122&gt;=($F$16-$F$15),$B122&lt;$F$22+($F$16-$F$15)),SUM(OFFSET($T$100,($F$16-$F$15),0):$T122),""),"")</f>
        <v/>
      </c>
      <c r="BE122" s="190" t="str">
        <f t="shared" ca="1" si="58"/>
        <v/>
      </c>
      <c r="BF122" s="190" t="str">
        <f t="shared" ca="1" si="59"/>
        <v/>
      </c>
      <c r="BG122"/>
      <c r="BH122" s="190" t="str">
        <f ca="1">IF(ISNUMBER(OFFSET(BD122,-$F$21,0)),SUM(OFFSET($T$100,($F$16-$F$15+$F$21),0):$T122),"")</f>
        <v/>
      </c>
      <c r="BI122" s="190" t="str">
        <f t="shared" ca="1" si="24"/>
        <v/>
      </c>
      <c r="BJ122" s="190" t="str">
        <f t="shared" ca="1" si="60"/>
        <v/>
      </c>
      <c r="BK122" s="190"/>
      <c r="BL122" s="190" t="str">
        <f ca="1">IFERROR(IF(AND($B122&gt;=($F$17-$F$15),$B122&lt;$F$22+($F$17-$F$15)),SUM(OFFSET($T$100,($F$17-$F$15),0):$T122),""),"")</f>
        <v/>
      </c>
      <c r="BM122" s="190" t="str">
        <f t="shared" ca="1" si="25"/>
        <v/>
      </c>
      <c r="BN122" s="190" t="str">
        <f t="shared" ca="1" si="61"/>
        <v/>
      </c>
      <c r="BO122"/>
      <c r="BP122" s="190" t="str">
        <f ca="1">IF(ISNUMBER(OFFSET(BL122,-$F$21,0)),SUM(OFFSET($T$100,($F$17-$F$15+$F$21),0):$T122),"")</f>
        <v/>
      </c>
      <c r="BQ122" s="190" t="str">
        <f t="shared" ca="1" si="62"/>
        <v/>
      </c>
      <c r="BR122" s="190" t="str">
        <f t="shared" ca="1" si="63"/>
        <v/>
      </c>
      <c r="BS122" s="190"/>
      <c r="BT122"/>
      <c r="BU122" s="185"/>
      <c r="BV122" s="303"/>
      <c r="BW122" s="185"/>
      <c r="BX122" s="185"/>
      <c r="BY122" s="185"/>
      <c r="BZ122" s="302"/>
      <c r="CA122" s="280" t="str">
        <f t="shared" si="26"/>
        <v/>
      </c>
      <c r="CB122" s="71" t="str">
        <f t="shared" si="27"/>
        <v>-</v>
      </c>
      <c r="CC122" s="33"/>
      <c r="CD122" s="261" t="str">
        <f t="shared" si="29"/>
        <v/>
      </c>
      <c r="CE122" s="280" t="str">
        <f t="shared" si="30"/>
        <v>-</v>
      </c>
      <c r="CF122" s="71" t="str">
        <f t="shared" ca="1" si="31"/>
        <v>-</v>
      </c>
      <c r="CG122" s="33" t="str">
        <f t="shared" si="32"/>
        <v>22-23</v>
      </c>
      <c r="CH122" s="261" t="str">
        <f t="shared" ca="1" si="33"/>
        <v/>
      </c>
      <c r="CI122" s="99"/>
      <c r="CJ122" s="99"/>
      <c r="CK122" s="99"/>
      <c r="CL122" s="99"/>
      <c r="CM122" s="99"/>
      <c r="CN122" s="99"/>
      <c r="CO122" s="99"/>
    </row>
    <row r="123" spans="2:93" ht="13.5" customHeight="1" x14ac:dyDescent="0.2">
      <c r="B123" s="262">
        <v>23</v>
      </c>
      <c r="C123" s="237" t="str">
        <f t="shared" si="1"/>
        <v/>
      </c>
      <c r="D123" s="237" t="str">
        <f t="shared" si="66"/>
        <v>-</v>
      </c>
      <c r="E123" s="290" t="str">
        <f t="shared" si="34"/>
        <v/>
      </c>
      <c r="F123" s="264" t="str">
        <f t="shared" si="35"/>
        <v/>
      </c>
      <c r="G123" s="291" t="str">
        <f t="shared" si="36"/>
        <v/>
      </c>
      <c r="H123" s="240" t="str">
        <f t="shared" si="37"/>
        <v/>
      </c>
      <c r="I123" s="265" t="str">
        <f t="shared" si="2"/>
        <v/>
      </c>
      <c r="J123" s="265" t="str">
        <f t="shared" si="3"/>
        <v/>
      </c>
      <c r="K123" s="240" t="str">
        <f t="shared" si="4"/>
        <v/>
      </c>
      <c r="L123" s="265" t="str">
        <f t="shared" si="5"/>
        <v/>
      </c>
      <c r="M123" s="265" t="str">
        <f t="shared" si="6"/>
        <v/>
      </c>
      <c r="N123" s="240" t="str">
        <f t="shared" si="7"/>
        <v>-</v>
      </c>
      <c r="O123" s="265" t="str">
        <f t="shared" si="38"/>
        <v>-</v>
      </c>
      <c r="P123" s="265" t="str">
        <f t="shared" si="39"/>
        <v>-</v>
      </c>
      <c r="Q123" s="266" t="str">
        <f t="shared" si="8"/>
        <v>-</v>
      </c>
      <c r="R123" s="267" t="str">
        <f t="shared" si="40"/>
        <v>-</v>
      </c>
      <c r="S123" s="268" t="str">
        <f t="shared" si="41"/>
        <v>-</v>
      </c>
      <c r="T123" s="269" t="str">
        <f t="shared" si="9"/>
        <v/>
      </c>
      <c r="U123" s="221">
        <f t="shared" si="10"/>
        <v>23</v>
      </c>
      <c r="V123" s="220" t="str">
        <f t="shared" si="42"/>
        <v>-</v>
      </c>
      <c r="W123" s="221" t="str">
        <f t="shared" si="43"/>
        <v>-</v>
      </c>
      <c r="X123" s="221" t="str">
        <f t="shared" si="11"/>
        <v>-</v>
      </c>
      <c r="Y123" s="221" t="str">
        <f t="shared" si="12"/>
        <v>-</v>
      </c>
      <c r="Z123" s="270">
        <f t="shared" si="44"/>
        <v>0.1</v>
      </c>
      <c r="AA123" s="271" t="str">
        <f>IFERROR(IF(V122=1,AA$100*EXP(-(LN(2)/$D$65+0.04)*X122)*EXP(-(LN(2)/$D$65+0.1)*Y122),IF(V122=2,AA$100*EXP(-(LN(2)/$D$65+0.04)*(VLOOKUP(($F$16-$F$15)-1,U$99:Y122,4,FALSE)))*EXP(-(LN(2)/$D$65+0.1)*(VLOOKUP(($F$16-$F$15)-1,U$99:Y122,5,FALSE)))*EXP(-(LN(2)/$D$65+0.04)*X122)*EXP(-(LN(2)/$D$65+0.1)*Y122),IF(V122=3,AA$100*EXP(-(LN(2)/$D$65+0.04)*(VLOOKUP(($F$16-$F$15)-1,U$99:Y122,4,FALSE)))*EXP(-(LN(2)/$D$65+0.1)*(VLOOKUP(($F$16-$F$15)-1,U$99:Y122,5,FALSE)))*EXP(-(LN(2)/$D$65+0.04)*(VLOOKUP(($F$16-$F$15)*2-1,U$99:Y122,4,FALSE)))*EXP(-(LN(2)/$D$65+0.1)*(VLOOKUP(($F$16-$F$15)*2-1,U$99:Y122,5,FALSE)))*EXP(-(LN(2)/$D$65+0.04)*X122)*EXP(-(LN(2)/$D$65+0.1)*Y122),"-"))),"-")</f>
        <v>-</v>
      </c>
      <c r="AB123" s="271" t="str">
        <f>IFERROR(IF(V123=1,AB$100*EXP(-(LN(2)/$D$65+0.04)*X123)*EXP(-(LN(2)/$D$65+0.1)*Y123),IF(V123=2,AB$100*EXP(-(LN(2)/$D$65+0.04)*(VLOOKUP(($F$16-$F$15)-1,U$100:Y123,4,FALSE)))*EXP(-(LN(2)/$D$65+0.1)*(VLOOKUP(($F$16-$F$15)-1,U$100:Y123,5,FALSE)))*EXP(-(LN(2)/$D$65+0.04)*X123)*EXP(-(LN(2)/$D$65+0.1)*Y123),IF(V123=3,AB$100*EXP(-(LN(2)/$D$65+0.04)*(VLOOKUP(($F$16-$F$15)-1,U$100:Y123,4,FALSE)))*EXP(-(LN(2)/$D$65+0.1)*(VLOOKUP(($F$16-$F$15)-1,U$100:Y123,5,FALSE)))*EXP(-(LN(2)/$D$65+0.04)*(VLOOKUP(($F$16-$F$15)*2-1,U$100:Y123,4,FALSE)))*EXP(-(LN(2)/$D$65+0.1)*(VLOOKUP(($F$16-$F$15)*2-1,U$100:Y123,5,FALSE)))*EXP(-(LN(2)/$D$65+0.04)*X123)*EXP(-(LN(2)/$D$65+0.1)*Y123),"-"))),"-")</f>
        <v>-</v>
      </c>
      <c r="AC123" s="224">
        <f t="shared" si="45"/>
        <v>23</v>
      </c>
      <c r="AD123" s="223" t="str">
        <f t="shared" si="14"/>
        <v>-</v>
      </c>
      <c r="AE123" s="224" t="str">
        <f t="shared" si="46"/>
        <v>-</v>
      </c>
      <c r="AF123" s="224" t="str">
        <f t="shared" si="15"/>
        <v>-</v>
      </c>
      <c r="AG123" s="224" t="str">
        <f t="shared" si="16"/>
        <v>-</v>
      </c>
      <c r="AH123" s="272">
        <f t="shared" si="47"/>
        <v>0.1</v>
      </c>
      <c r="AI123" s="271" t="str">
        <f>IFERROR(IF(AD122=1,AI$100*EXP(-(LN(2)/$D$65+0.04)*AF122)*EXP(-(LN(2)/$D$65+0.1)*AG122),IF(AD122=2,AI$100*EXP(-(LN(2)/$D$65+0.04)*(VLOOKUP(($F$16-$F$15)-1,AC$99:AG122,4,FALSE)))*EXP(-(LN(2)/$D$65+0.1)*(VLOOKUP(($F$16-$F$15)-1,AC$99:AG122,5,FALSE)))*EXP(-(LN(2)/$D$65+0.04)*AF122)*EXP(-(LN(2)/$D$65+0.1)*AG122),IF(AD122=3,AI$100*EXP(-(LN(2)/$D$65+0.04)*(VLOOKUP(($F$16-$F$15)-1,AC$99:AG122,4,FALSE)))*EXP(-(LN(2)/$D$65+0.1)*(VLOOKUP(($F$16-$F$15)-1,AC$99:AG122,5,FALSE)))*EXP(-(LN(2)/$D$65+0.04)*(VLOOKUP(($F$16-$F$15)*2-1,AC$99:AG122,4,FALSE)))*EXP(-(LN(2)/$D$65+0.1)*(VLOOKUP(($F$16-$F$15)*2-1,AC$99:AG122,5,FALSE)))*EXP(-(LN(2)/$D$65+0.04)*AF122)*EXP(-(LN(2)/$D$65+0.1)*AG122),"-"))),"-")</f>
        <v>-</v>
      </c>
      <c r="AJ123" s="271" t="str">
        <f>IFERROR(IF(AD123=1,AJ$100*EXP(-(LN(2)/$D$65+0.04)*AF123)*EXP(-(LN(2)/$D$65+0.1)*AG123),IF(AD123=2,AJ$100*EXP(-(LN(2)/$D$65+0.04)*(VLOOKUP(($F$16-$F$15)-1,AC$100:AG123,4,FALSE)))*EXP(-(LN(2)/$D$65+0.1)*(VLOOKUP(($F$16-$F$15)-1,AC$100:AG123,5,FALSE)))*EXP(-(LN(2)/$D$65+0.04)*AF123)*EXP(-(LN(2)/$D$65+0.1)*AG123),IF(AD123=3,AJ$100*EXP(-(LN(2)/$D$65+0.04)*(VLOOKUP(($F$16-$F$15)-1,AC$100:AG123,4,FALSE)))*EXP(-(LN(2)/$D$65+0.1)*(VLOOKUP(($F$16-$F$15)-1,AC$100:AG123,5,FALSE)))*EXP(-(LN(2)/$D$65+0.04)*(VLOOKUP(($F$16-$F$15)*2-1,AC$100:AG123,4,FALSE)))*EXP(-(LN(2)/$D$65+0.1)*(VLOOKUP(($F$16-$F$15)*2-1,AC$100:AG123,5,FALSE)))*EXP(-(LN(2)/$D$65+0.04)*AF123)*EXP(-(LN(2)/$D$65+0.1)*AG123),"-"))),"-")</f>
        <v>-</v>
      </c>
      <c r="AK123" s="227">
        <f t="shared" si="49"/>
        <v>23</v>
      </c>
      <c r="AL123" s="226" t="str">
        <f t="shared" si="18"/>
        <v>-</v>
      </c>
      <c r="AM123" s="227" t="str">
        <f t="shared" si="50"/>
        <v>-</v>
      </c>
      <c r="AN123" s="227" t="str">
        <f t="shared" si="51"/>
        <v>-</v>
      </c>
      <c r="AO123" s="227" t="str">
        <f t="shared" si="19"/>
        <v>-</v>
      </c>
      <c r="AP123" s="273">
        <f t="shared" si="52"/>
        <v>0.1</v>
      </c>
      <c r="AQ123" s="271" t="str">
        <f>IFERROR(IF(AL122=1,AQ$100*EXP(-(LN(2)/$D$65+0.04)*AN122)*EXP(-(LN(2)/$D$65+0.1)*AO122),IF(AL122=2,AQ$100*EXP(-(LN(2)/$D$65+0.04)*(VLOOKUP(($F$16-$F$15)-1,AK$99:AO122,4,FALSE)))*EXP(-(LN(2)/$D$65+0.1)*(VLOOKUP(($F$16-$F$15)-1,AK$99:AO122,5,FALSE)))*EXP(-(LN(2)/$D$65+0.04)*AN122)*EXP(-(LN(2)/$D$65+0.1)*AO122),IF(AL122=3,AQ$100*EXP(-(LN(2)/$D$65+0.04)*(VLOOKUP(($F$16-$F$15)-1,AK$99:AO122,4,FALSE)))*EXP(-(LN(2)/$D$65+0.1)*(VLOOKUP(($F$16-$F$15)-1,AK$99:AO122,5,FALSE)))*EXP(-(LN(2)/$D$65+0.04)*(VLOOKUP(($F$16-$F$15)*2-1,AK$99:AO122,4,FALSE)))*EXP(-(LN(2)/$D$65+0.1)*(VLOOKUP(($F$16-$F$15)*2-1,AK$99:AO122,5,FALSE)))*EXP(-(LN(2)/$D$65+0.04)*AN122)*EXP(-(LN(2)/$D$65+0.1)*AO122),"-"))),"-")</f>
        <v>-</v>
      </c>
      <c r="AR123" s="271" t="str">
        <f>IFERROR(IF(AL123=1,AR$100*EXP(-(LN(2)/$D$65+0.04)*AN123)*EXP(-(LN(2)/$D$65+0.1)*AO123),IF(AL123=2,AR$100*EXP(-(LN(2)/$D$65+0.04)*(VLOOKUP(($F$16-$F$15)-1,AK$100:AO123,4,FALSE)))*EXP(-(LN(2)/$D$65+0.1)*(VLOOKUP(($F$16-$F$15)-1,AK$100:AO123,5,FALSE)))*EXP(-(LN(2)/$D$65+0.04)*AN123)*EXP(-(LN(2)/$D$65+0.1)*AO123),IF(AL123=3,AR$100*EXP(-(LN(2)/$D$65+0.04)*(VLOOKUP(($F$16-$F$15)-1,AK$100:AO123,4,FALSE)))*EXP(-(LN(2)/$D$65+0.1)*(VLOOKUP(($F$16-$F$15)-1,AK$100:AO123,5,FALSE)))*EXP(-(LN(2)/$D$65+0.04)*(VLOOKUP(($F$16-$F$15)*2-1,AK$100:AO123,4,FALSE)))*EXP(-(LN(2)/$D$65+0.1)*(VLOOKUP(($F$16-$F$15)*2-1,AK$100:AO123,5,FALSE)))*EXP(-(LN(2)/$D$65+0.04)*AN123)*EXP(-(LN(2)/$D$65+0.1)*AO123),"-"))),"-")</f>
        <v>-</v>
      </c>
      <c r="AS123" s="274">
        <f t="shared" si="20"/>
        <v>0</v>
      </c>
      <c r="AT123" s="274">
        <f t="shared" si="21"/>
        <v>0</v>
      </c>
      <c r="AU123" s="274">
        <f t="shared" si="22"/>
        <v>0</v>
      </c>
      <c r="AV123" s="190">
        <f>IF($B123&lt;$F$22,SUM($T$100:$T123),"")</f>
        <v>0</v>
      </c>
      <c r="AW123" s="190" t="str">
        <f t="shared" si="55"/>
        <v>-</v>
      </c>
      <c r="AX123" s="190" t="str">
        <f t="shared" si="56"/>
        <v/>
      </c>
      <c r="AY123"/>
      <c r="AZ123" s="190" t="str">
        <f ca="1">IF(ISNUMBER(OFFSET(AV123,-$F$21,0)),SUM(OFFSET($T$100,$F$21,0):$T123),"")</f>
        <v/>
      </c>
      <c r="BA123" s="190" t="str">
        <f t="shared" ca="1" si="23"/>
        <v/>
      </c>
      <c r="BB123" s="190" t="str">
        <f t="shared" ca="1" si="70"/>
        <v/>
      </c>
      <c r="BC123" s="190"/>
      <c r="BD123" s="190" t="str">
        <f ca="1">IFERROR(IF(AND($B123&gt;=($F$16-$F$15),$B123&lt;$F$22+($F$16-$F$15)),SUM(OFFSET($T$100,($F$16-$F$15),0):$T123),""),"")</f>
        <v/>
      </c>
      <c r="BE123" s="190" t="str">
        <f t="shared" ca="1" si="58"/>
        <v/>
      </c>
      <c r="BF123" s="190" t="str">
        <f t="shared" ca="1" si="59"/>
        <v/>
      </c>
      <c r="BG123"/>
      <c r="BH123" s="190" t="str">
        <f ca="1">IF(ISNUMBER(OFFSET(BD123,-$F$21,0)),SUM(OFFSET($T$100,($F$16-$F$15+$F$21),0):$T123),"")</f>
        <v/>
      </c>
      <c r="BI123" s="190" t="str">
        <f t="shared" ca="1" si="24"/>
        <v/>
      </c>
      <c r="BJ123" s="190" t="str">
        <f t="shared" ca="1" si="60"/>
        <v/>
      </c>
      <c r="BK123" s="190"/>
      <c r="BL123" s="190" t="str">
        <f ca="1">IFERROR(IF(AND($B123&gt;=($F$17-$F$15),$B123&lt;$F$22+($F$17-$F$15)),SUM(OFFSET($T$100,($F$17-$F$15),0):$T123),""),"")</f>
        <v/>
      </c>
      <c r="BM123" s="190" t="str">
        <f t="shared" ca="1" si="25"/>
        <v/>
      </c>
      <c r="BN123" s="190" t="str">
        <f t="shared" ca="1" si="61"/>
        <v/>
      </c>
      <c r="BO123"/>
      <c r="BP123" s="190" t="str">
        <f ca="1">IF(ISNUMBER(OFFSET(BL123,-$F$21,0)),SUM(OFFSET($T$100,($F$17-$F$15+$F$21),0):$T123),"")</f>
        <v/>
      </c>
      <c r="BQ123" s="190" t="str">
        <f t="shared" ca="1" si="62"/>
        <v/>
      </c>
      <c r="BR123" s="190" t="str">
        <f t="shared" ca="1" si="63"/>
        <v/>
      </c>
      <c r="BS123" s="190"/>
      <c r="BT123"/>
      <c r="BU123" s="185"/>
      <c r="BV123" s="304"/>
      <c r="BW123" s="185"/>
      <c r="BX123" s="185"/>
      <c r="BY123" s="185"/>
      <c r="BZ123"/>
      <c r="CA123" s="280" t="str">
        <f t="shared" si="26"/>
        <v/>
      </c>
      <c r="CB123" s="71" t="str">
        <f t="shared" si="27"/>
        <v>-</v>
      </c>
      <c r="CC123" s="33"/>
      <c r="CD123" s="261" t="str">
        <f t="shared" si="29"/>
        <v/>
      </c>
      <c r="CE123" s="280" t="str">
        <f t="shared" si="30"/>
        <v>-</v>
      </c>
      <c r="CF123" s="71" t="str">
        <f t="shared" ca="1" si="31"/>
        <v>-</v>
      </c>
      <c r="CG123" s="33" t="str">
        <f t="shared" si="32"/>
        <v>23-24</v>
      </c>
      <c r="CH123" s="261" t="str">
        <f t="shared" ca="1" si="33"/>
        <v/>
      </c>
      <c r="CI123" s="99"/>
      <c r="CJ123" s="99"/>
      <c r="CK123" s="99"/>
      <c r="CL123" s="99"/>
      <c r="CM123" s="99"/>
      <c r="CN123" s="99"/>
      <c r="CO123" s="99"/>
    </row>
    <row r="124" spans="2:93" ht="13.5" customHeight="1" x14ac:dyDescent="0.2">
      <c r="B124" s="262">
        <v>24</v>
      </c>
      <c r="C124" s="237" t="str">
        <f t="shared" si="1"/>
        <v/>
      </c>
      <c r="D124" s="237" t="str">
        <f t="shared" si="66"/>
        <v>-</v>
      </c>
      <c r="E124" s="290" t="str">
        <f t="shared" si="34"/>
        <v/>
      </c>
      <c r="F124" s="264" t="str">
        <f t="shared" si="35"/>
        <v/>
      </c>
      <c r="G124" s="291" t="str">
        <f t="shared" si="36"/>
        <v/>
      </c>
      <c r="H124" s="240" t="str">
        <f t="shared" si="37"/>
        <v/>
      </c>
      <c r="I124" s="265" t="str">
        <f t="shared" si="2"/>
        <v/>
      </c>
      <c r="J124" s="265" t="str">
        <f t="shared" si="3"/>
        <v/>
      </c>
      <c r="K124" s="240" t="str">
        <f t="shared" si="4"/>
        <v/>
      </c>
      <c r="L124" s="265" t="str">
        <f t="shared" si="5"/>
        <v/>
      </c>
      <c r="M124" s="265" t="str">
        <f t="shared" si="6"/>
        <v/>
      </c>
      <c r="N124" s="240" t="str">
        <f t="shared" si="7"/>
        <v>-</v>
      </c>
      <c r="O124" s="265" t="str">
        <f t="shared" si="38"/>
        <v>-</v>
      </c>
      <c r="P124" s="265" t="str">
        <f t="shared" si="39"/>
        <v>-</v>
      </c>
      <c r="Q124" s="266" t="str">
        <f t="shared" si="8"/>
        <v>-</v>
      </c>
      <c r="R124" s="267" t="str">
        <f t="shared" si="40"/>
        <v>-</v>
      </c>
      <c r="S124" s="268" t="str">
        <f t="shared" si="41"/>
        <v>-</v>
      </c>
      <c r="T124" s="269" t="str">
        <f t="shared" si="9"/>
        <v/>
      </c>
      <c r="U124" s="221">
        <f t="shared" si="10"/>
        <v>24</v>
      </c>
      <c r="V124" s="220" t="str">
        <f t="shared" si="42"/>
        <v>-</v>
      </c>
      <c r="W124" s="221" t="str">
        <f t="shared" si="43"/>
        <v>-</v>
      </c>
      <c r="X124" s="221" t="str">
        <f t="shared" si="11"/>
        <v>-</v>
      </c>
      <c r="Y124" s="221" t="str">
        <f t="shared" si="12"/>
        <v>-</v>
      </c>
      <c r="Z124" s="270">
        <f t="shared" si="44"/>
        <v>0.1</v>
      </c>
      <c r="AA124" s="271" t="str">
        <f>IFERROR(IF(V123=1,AA$100*EXP(-(LN(2)/$D$65+0.04)*X123)*EXP(-(LN(2)/$D$65+0.1)*Y123),IF(V123=2,AA$100*EXP(-(LN(2)/$D$65+0.04)*(VLOOKUP(($F$16-$F$15)-1,U$99:Y123,4,FALSE)))*EXP(-(LN(2)/$D$65+0.1)*(VLOOKUP(($F$16-$F$15)-1,U$99:Y123,5,FALSE)))*EXP(-(LN(2)/$D$65+0.04)*X123)*EXP(-(LN(2)/$D$65+0.1)*Y123),IF(V123=3,AA$100*EXP(-(LN(2)/$D$65+0.04)*(VLOOKUP(($F$16-$F$15)-1,U$99:Y123,4,FALSE)))*EXP(-(LN(2)/$D$65+0.1)*(VLOOKUP(($F$16-$F$15)-1,U$99:Y123,5,FALSE)))*EXP(-(LN(2)/$D$65+0.04)*(VLOOKUP(($F$16-$F$15)*2-1,U$99:Y123,4,FALSE)))*EXP(-(LN(2)/$D$65+0.1)*(VLOOKUP(($F$16-$F$15)*2-1,U$99:Y123,5,FALSE)))*EXP(-(LN(2)/$D$65+0.04)*X123)*EXP(-(LN(2)/$D$65+0.1)*Y123),"-"))),"-")</f>
        <v>-</v>
      </c>
      <c r="AB124" s="271" t="str">
        <f>IFERROR(IF(V124=1,AB$100*EXP(-(LN(2)/$D$65+0.04)*X124)*EXP(-(LN(2)/$D$65+0.1)*Y124),IF(V124=2,AB$100*EXP(-(LN(2)/$D$65+0.04)*(VLOOKUP(($F$16-$F$15)-1,U$100:Y124,4,FALSE)))*EXP(-(LN(2)/$D$65+0.1)*(VLOOKUP(($F$16-$F$15)-1,U$100:Y124,5,FALSE)))*EXP(-(LN(2)/$D$65+0.04)*X124)*EXP(-(LN(2)/$D$65+0.1)*Y124),IF(V124=3,AB$100*EXP(-(LN(2)/$D$65+0.04)*(VLOOKUP(($F$16-$F$15)-1,U$100:Y124,4,FALSE)))*EXP(-(LN(2)/$D$65+0.1)*(VLOOKUP(($F$16-$F$15)-1,U$100:Y124,5,FALSE)))*EXP(-(LN(2)/$D$65+0.04)*(VLOOKUP(($F$16-$F$15)*2-1,U$100:Y124,4,FALSE)))*EXP(-(LN(2)/$D$65+0.1)*(VLOOKUP(($F$16-$F$15)*2-1,U$100:Y124,5,FALSE)))*EXP(-(LN(2)/$D$65+0.04)*X124)*EXP(-(LN(2)/$D$65+0.1)*Y124),"-"))),"-")</f>
        <v>-</v>
      </c>
      <c r="AC124" s="224">
        <f t="shared" si="45"/>
        <v>24</v>
      </c>
      <c r="AD124" s="223" t="str">
        <f t="shared" si="14"/>
        <v>-</v>
      </c>
      <c r="AE124" s="224" t="str">
        <f t="shared" si="46"/>
        <v>-</v>
      </c>
      <c r="AF124" s="224" t="str">
        <f t="shared" si="15"/>
        <v>-</v>
      </c>
      <c r="AG124" s="224" t="str">
        <f t="shared" si="16"/>
        <v>-</v>
      </c>
      <c r="AH124" s="272">
        <f t="shared" si="47"/>
        <v>0.1</v>
      </c>
      <c r="AI124" s="271" t="str">
        <f>IFERROR(IF(AD123=1,AI$100*EXP(-(LN(2)/$D$65+0.04)*AF123)*EXP(-(LN(2)/$D$65+0.1)*AG123),IF(AD123=2,AI$100*EXP(-(LN(2)/$D$65+0.04)*(VLOOKUP(($F$16-$F$15)-1,AC$99:AG123,4,FALSE)))*EXP(-(LN(2)/$D$65+0.1)*(VLOOKUP(($F$16-$F$15)-1,AC$99:AG123,5,FALSE)))*EXP(-(LN(2)/$D$65+0.04)*AF123)*EXP(-(LN(2)/$D$65+0.1)*AG123),IF(AD123=3,AI$100*EXP(-(LN(2)/$D$65+0.04)*(VLOOKUP(($F$16-$F$15)-1,AC$99:AG123,4,FALSE)))*EXP(-(LN(2)/$D$65+0.1)*(VLOOKUP(($F$16-$F$15)-1,AC$99:AG123,5,FALSE)))*EXP(-(LN(2)/$D$65+0.04)*(VLOOKUP(($F$16-$F$15)*2-1,AC$99:AG123,4,FALSE)))*EXP(-(LN(2)/$D$65+0.1)*(VLOOKUP(($F$16-$F$15)*2-1,AC$99:AG123,5,FALSE)))*EXP(-(LN(2)/$D$65+0.04)*AF123)*EXP(-(LN(2)/$D$65+0.1)*AG123),"-"))),"-")</f>
        <v>-</v>
      </c>
      <c r="AJ124" s="271" t="str">
        <f>IFERROR(IF(AD124=1,AJ$100*EXP(-(LN(2)/$D$65+0.04)*AF124)*EXP(-(LN(2)/$D$65+0.1)*AG124),IF(AD124=2,AJ$100*EXP(-(LN(2)/$D$65+0.04)*(VLOOKUP(($F$16-$F$15)-1,AC$100:AG124,4,FALSE)))*EXP(-(LN(2)/$D$65+0.1)*(VLOOKUP(($F$16-$F$15)-1,AC$100:AG124,5,FALSE)))*EXP(-(LN(2)/$D$65+0.04)*AF124)*EXP(-(LN(2)/$D$65+0.1)*AG124),IF(AD124=3,AJ$100*EXP(-(LN(2)/$D$65+0.04)*(VLOOKUP(($F$16-$F$15)-1,AC$100:AG124,4,FALSE)))*EXP(-(LN(2)/$D$65+0.1)*(VLOOKUP(($F$16-$F$15)-1,AC$100:AG124,5,FALSE)))*EXP(-(LN(2)/$D$65+0.04)*(VLOOKUP(($F$16-$F$15)*2-1,AC$100:AG124,4,FALSE)))*EXP(-(LN(2)/$D$65+0.1)*(VLOOKUP(($F$16-$F$15)*2-1,AC$100:AG124,5,FALSE)))*EXP(-(LN(2)/$D$65+0.04)*AF124)*EXP(-(LN(2)/$D$65+0.1)*AG124),"-"))),"-")</f>
        <v>-</v>
      </c>
      <c r="AK124" s="227">
        <f t="shared" si="49"/>
        <v>24</v>
      </c>
      <c r="AL124" s="226" t="str">
        <f t="shared" si="18"/>
        <v>-</v>
      </c>
      <c r="AM124" s="227" t="str">
        <f t="shared" si="50"/>
        <v>-</v>
      </c>
      <c r="AN124" s="227" t="str">
        <f t="shared" si="51"/>
        <v>-</v>
      </c>
      <c r="AO124" s="227" t="str">
        <f t="shared" si="19"/>
        <v>-</v>
      </c>
      <c r="AP124" s="273">
        <f t="shared" si="52"/>
        <v>0.1</v>
      </c>
      <c r="AQ124" s="271" t="str">
        <f>IFERROR(IF(AL123=1,AQ$100*EXP(-(LN(2)/$D$65+0.04)*AN123)*EXP(-(LN(2)/$D$65+0.1)*AO123),IF(AL123=2,AQ$100*EXP(-(LN(2)/$D$65+0.04)*(VLOOKUP(($F$16-$F$15)-1,AK$99:AO123,4,FALSE)))*EXP(-(LN(2)/$D$65+0.1)*(VLOOKUP(($F$16-$F$15)-1,AK$99:AO123,5,FALSE)))*EXP(-(LN(2)/$D$65+0.04)*AN123)*EXP(-(LN(2)/$D$65+0.1)*AO123),IF(AL123=3,AQ$100*EXP(-(LN(2)/$D$65+0.04)*(VLOOKUP(($F$16-$F$15)-1,AK$99:AO123,4,FALSE)))*EXP(-(LN(2)/$D$65+0.1)*(VLOOKUP(($F$16-$F$15)-1,AK$99:AO123,5,FALSE)))*EXP(-(LN(2)/$D$65+0.04)*(VLOOKUP(($F$16-$F$15)*2-1,AK$99:AO123,4,FALSE)))*EXP(-(LN(2)/$D$65+0.1)*(VLOOKUP(($F$16-$F$15)*2-1,AK$99:AO123,5,FALSE)))*EXP(-(LN(2)/$D$65+0.04)*AN123)*EXP(-(LN(2)/$D$65+0.1)*AO123),"-"))),"-")</f>
        <v>-</v>
      </c>
      <c r="AR124" s="271" t="str">
        <f>IFERROR(IF(AL124=1,AR$100*EXP(-(LN(2)/$D$65+0.04)*AN124)*EXP(-(LN(2)/$D$65+0.1)*AO124),IF(AL124=2,AR$100*EXP(-(LN(2)/$D$65+0.04)*(VLOOKUP(($F$16-$F$15)-1,AK$100:AO124,4,FALSE)))*EXP(-(LN(2)/$D$65+0.1)*(VLOOKUP(($F$16-$F$15)-1,AK$100:AO124,5,FALSE)))*EXP(-(LN(2)/$D$65+0.04)*AN124)*EXP(-(LN(2)/$D$65+0.1)*AO124),IF(AL124=3,AR$100*EXP(-(LN(2)/$D$65+0.04)*(VLOOKUP(($F$16-$F$15)-1,AK$100:AO124,4,FALSE)))*EXP(-(LN(2)/$D$65+0.1)*(VLOOKUP(($F$16-$F$15)-1,AK$100:AO124,5,FALSE)))*EXP(-(LN(2)/$D$65+0.04)*(VLOOKUP(($F$16-$F$15)*2-1,AK$100:AO124,4,FALSE)))*EXP(-(LN(2)/$D$65+0.1)*(VLOOKUP(($F$16-$F$15)*2-1,AK$100:AO124,5,FALSE)))*EXP(-(LN(2)/$D$65+0.04)*AN124)*EXP(-(LN(2)/$D$65+0.1)*AO124),"-"))),"-")</f>
        <v>-</v>
      </c>
      <c r="AS124" s="274">
        <f t="shared" si="20"/>
        <v>0</v>
      </c>
      <c r="AT124" s="274">
        <f t="shared" si="21"/>
        <v>0</v>
      </c>
      <c r="AU124" s="274">
        <f t="shared" si="22"/>
        <v>0</v>
      </c>
      <c r="AV124" s="190">
        <f>IF($B124&lt;$F$22,SUM($T$100:$T124),"")</f>
        <v>0</v>
      </c>
      <c r="AW124" s="190" t="str">
        <f t="shared" si="55"/>
        <v>-</v>
      </c>
      <c r="AX124" s="190" t="str">
        <f t="shared" si="56"/>
        <v/>
      </c>
      <c r="AY124"/>
      <c r="AZ124" s="190" t="str">
        <f ca="1">IF(ISNUMBER(OFFSET(AV124,-$F$21,0)),SUM(OFFSET($T$100,$F$21,0):$T124),"")</f>
        <v/>
      </c>
      <c r="BA124" s="190" t="str">
        <f t="shared" ca="1" si="23"/>
        <v/>
      </c>
      <c r="BB124" s="190" t="str">
        <f t="shared" ca="1" si="70"/>
        <v/>
      </c>
      <c r="BC124" s="190"/>
      <c r="BD124" s="190" t="str">
        <f ca="1">IFERROR(IF(AND($B124&gt;=($F$16-$F$15),$B124&lt;$F$22+($F$16-$F$15)),SUM(OFFSET($T$100,($F$16-$F$15),0):$T124),""),"")</f>
        <v/>
      </c>
      <c r="BE124" s="190" t="str">
        <f t="shared" ca="1" si="58"/>
        <v/>
      </c>
      <c r="BF124" s="190" t="str">
        <f t="shared" ca="1" si="59"/>
        <v/>
      </c>
      <c r="BG124"/>
      <c r="BH124" s="190" t="str">
        <f ca="1">IF(ISNUMBER(OFFSET(BD124,-$F$21,0)),SUM(OFFSET($T$100,($F$16-$F$15+$F$21),0):$T124),"")</f>
        <v/>
      </c>
      <c r="BI124" s="190" t="str">
        <f t="shared" ca="1" si="24"/>
        <v/>
      </c>
      <c r="BJ124" s="190" t="str">
        <f t="shared" ca="1" si="60"/>
        <v/>
      </c>
      <c r="BK124" s="190"/>
      <c r="BL124" s="190" t="str">
        <f ca="1">IFERROR(IF(AND($B124&gt;=($F$17-$F$15),$B124&lt;$F$22+($F$17-$F$15)),SUM(OFFSET($T$100,($F$17-$F$15),0):$T124),""),"")</f>
        <v/>
      </c>
      <c r="BM124" s="190" t="str">
        <f t="shared" ca="1" si="25"/>
        <v/>
      </c>
      <c r="BN124" s="190" t="str">
        <f t="shared" ca="1" si="61"/>
        <v/>
      </c>
      <c r="BO124"/>
      <c r="BP124" s="190" t="str">
        <f ca="1">IF(ISNUMBER(OFFSET(BL124,-$F$21,0)),SUM(OFFSET($T$100,($F$17-$F$15+$F$21),0):$T124),"")</f>
        <v/>
      </c>
      <c r="BQ124" s="190" t="str">
        <f t="shared" ca="1" si="62"/>
        <v/>
      </c>
      <c r="BR124" s="190" t="str">
        <f t="shared" ca="1" si="63"/>
        <v/>
      </c>
      <c r="BS124" s="190"/>
      <c r="BT124"/>
      <c r="BU124" s="185"/>
      <c r="BV124" s="184"/>
      <c r="BW124" s="185"/>
      <c r="BX124" s="185"/>
      <c r="BY124" s="185"/>
      <c r="BZ124"/>
      <c r="CA124" s="280" t="str">
        <f t="shared" si="26"/>
        <v/>
      </c>
      <c r="CB124" s="71" t="str">
        <f t="shared" si="27"/>
        <v>-</v>
      </c>
      <c r="CC124" s="33"/>
      <c r="CD124" s="261" t="str">
        <f t="shared" si="29"/>
        <v/>
      </c>
      <c r="CE124" s="280" t="str">
        <f t="shared" si="30"/>
        <v>-</v>
      </c>
      <c r="CF124" s="71" t="str">
        <f t="shared" ca="1" si="31"/>
        <v>-</v>
      </c>
      <c r="CG124" s="33" t="str">
        <f t="shared" si="32"/>
        <v>24-25</v>
      </c>
      <c r="CH124" s="261" t="str">
        <f t="shared" ca="1" si="33"/>
        <v/>
      </c>
      <c r="CI124" s="99"/>
      <c r="CJ124" s="99"/>
      <c r="CK124" s="99"/>
      <c r="CL124" s="99"/>
      <c r="CM124" s="99"/>
      <c r="CN124" s="99"/>
      <c r="CO124" s="99"/>
    </row>
    <row r="125" spans="2:93" ht="13.5" customHeight="1" x14ac:dyDescent="0.2">
      <c r="B125" s="262">
        <v>25</v>
      </c>
      <c r="C125" s="237" t="str">
        <f t="shared" si="1"/>
        <v/>
      </c>
      <c r="D125" s="237" t="str">
        <f t="shared" si="66"/>
        <v>-</v>
      </c>
      <c r="E125" s="290" t="str">
        <f t="shared" si="34"/>
        <v/>
      </c>
      <c r="F125" s="264" t="str">
        <f t="shared" si="35"/>
        <v/>
      </c>
      <c r="G125" s="291" t="str">
        <f t="shared" si="36"/>
        <v/>
      </c>
      <c r="H125" s="240" t="str">
        <f t="shared" si="37"/>
        <v/>
      </c>
      <c r="I125" s="265" t="str">
        <f t="shared" si="2"/>
        <v/>
      </c>
      <c r="J125" s="265" t="str">
        <f t="shared" si="3"/>
        <v/>
      </c>
      <c r="K125" s="240" t="str">
        <f t="shared" si="4"/>
        <v/>
      </c>
      <c r="L125" s="265" t="str">
        <f t="shared" si="5"/>
        <v/>
      </c>
      <c r="M125" s="265" t="str">
        <f t="shared" si="6"/>
        <v/>
      </c>
      <c r="N125" s="240" t="str">
        <f t="shared" si="7"/>
        <v>-</v>
      </c>
      <c r="O125" s="265" t="str">
        <f t="shared" si="38"/>
        <v>-</v>
      </c>
      <c r="P125" s="265" t="str">
        <f t="shared" si="39"/>
        <v>-</v>
      </c>
      <c r="Q125" s="266" t="str">
        <f t="shared" si="8"/>
        <v>-</v>
      </c>
      <c r="R125" s="267" t="str">
        <f t="shared" si="40"/>
        <v>-</v>
      </c>
      <c r="S125" s="268" t="str">
        <f t="shared" si="41"/>
        <v>-</v>
      </c>
      <c r="T125" s="269" t="str">
        <f t="shared" si="9"/>
        <v/>
      </c>
      <c r="U125" s="221">
        <f t="shared" si="10"/>
        <v>25</v>
      </c>
      <c r="V125" s="220" t="str">
        <f t="shared" si="42"/>
        <v>-</v>
      </c>
      <c r="W125" s="221" t="str">
        <f t="shared" si="43"/>
        <v>-</v>
      </c>
      <c r="X125" s="221" t="str">
        <f t="shared" si="11"/>
        <v>-</v>
      </c>
      <c r="Y125" s="221" t="str">
        <f t="shared" si="12"/>
        <v>-</v>
      </c>
      <c r="Z125" s="270">
        <f t="shared" si="44"/>
        <v>0.1</v>
      </c>
      <c r="AA125" s="271" t="str">
        <f>IFERROR(IF(V124=1,AA$100*EXP(-(LN(2)/$D$65+0.04)*X124)*EXP(-(LN(2)/$D$65+0.1)*Y124),IF(V124=2,AA$100*EXP(-(LN(2)/$D$65+0.04)*(VLOOKUP(($F$16-$F$15)-1,U$99:Y124,4,FALSE)))*EXP(-(LN(2)/$D$65+0.1)*(VLOOKUP(($F$16-$F$15)-1,U$99:Y124,5,FALSE)))*EXP(-(LN(2)/$D$65+0.04)*X124)*EXP(-(LN(2)/$D$65+0.1)*Y124),IF(V124=3,AA$100*EXP(-(LN(2)/$D$65+0.04)*(VLOOKUP(($F$16-$F$15)-1,U$99:Y124,4,FALSE)))*EXP(-(LN(2)/$D$65+0.1)*(VLOOKUP(($F$16-$F$15)-1,U$99:Y124,5,FALSE)))*EXP(-(LN(2)/$D$65+0.04)*(VLOOKUP(($F$16-$F$15)*2-1,U$99:Y124,4,FALSE)))*EXP(-(LN(2)/$D$65+0.1)*(VLOOKUP(($F$16-$F$15)*2-1,U$99:Y124,5,FALSE)))*EXP(-(LN(2)/$D$65+0.04)*X124)*EXP(-(LN(2)/$D$65+0.1)*Y124),"-"))),"-")</f>
        <v>-</v>
      </c>
      <c r="AB125" s="271" t="str">
        <f>IFERROR(IF(V125=1,AB$100*EXP(-(LN(2)/$D$65+0.04)*X125)*EXP(-(LN(2)/$D$65+0.1)*Y125),IF(V125=2,AB$100*EXP(-(LN(2)/$D$65+0.04)*(VLOOKUP(($F$16-$F$15)-1,U$100:Y125,4,FALSE)))*EXP(-(LN(2)/$D$65+0.1)*(VLOOKUP(($F$16-$F$15)-1,U$100:Y125,5,FALSE)))*EXP(-(LN(2)/$D$65+0.04)*X125)*EXP(-(LN(2)/$D$65+0.1)*Y125),IF(V125=3,AB$100*EXP(-(LN(2)/$D$65+0.04)*(VLOOKUP(($F$16-$F$15)-1,U$100:Y125,4,FALSE)))*EXP(-(LN(2)/$D$65+0.1)*(VLOOKUP(($F$16-$F$15)-1,U$100:Y125,5,FALSE)))*EXP(-(LN(2)/$D$65+0.04)*(VLOOKUP(($F$16-$F$15)*2-1,U$100:Y125,4,FALSE)))*EXP(-(LN(2)/$D$65+0.1)*(VLOOKUP(($F$16-$F$15)*2-1,U$100:Y125,5,FALSE)))*EXP(-(LN(2)/$D$65+0.04)*X125)*EXP(-(LN(2)/$D$65+0.1)*Y125),"-"))),"-")</f>
        <v>-</v>
      </c>
      <c r="AC125" s="224">
        <f t="shared" si="45"/>
        <v>25</v>
      </c>
      <c r="AD125" s="223" t="str">
        <f t="shared" si="14"/>
        <v>-</v>
      </c>
      <c r="AE125" s="224" t="str">
        <f t="shared" si="46"/>
        <v>-</v>
      </c>
      <c r="AF125" s="224" t="str">
        <f t="shared" si="15"/>
        <v>-</v>
      </c>
      <c r="AG125" s="224" t="str">
        <f t="shared" si="16"/>
        <v>-</v>
      </c>
      <c r="AH125" s="272">
        <f t="shared" si="47"/>
        <v>0.1</v>
      </c>
      <c r="AI125" s="271" t="str">
        <f>IFERROR(IF(AD124=1,AI$100*EXP(-(LN(2)/$D$65+0.04)*AF124)*EXP(-(LN(2)/$D$65+0.1)*AG124),IF(AD124=2,AI$100*EXP(-(LN(2)/$D$65+0.04)*(VLOOKUP(($F$16-$F$15)-1,AC$99:AG124,4,FALSE)))*EXP(-(LN(2)/$D$65+0.1)*(VLOOKUP(($F$16-$F$15)-1,AC$99:AG124,5,FALSE)))*EXP(-(LN(2)/$D$65+0.04)*AF124)*EXP(-(LN(2)/$D$65+0.1)*AG124),IF(AD124=3,AI$100*EXP(-(LN(2)/$D$65+0.04)*(VLOOKUP(($F$16-$F$15)-1,AC$99:AG124,4,FALSE)))*EXP(-(LN(2)/$D$65+0.1)*(VLOOKUP(($F$16-$F$15)-1,AC$99:AG124,5,FALSE)))*EXP(-(LN(2)/$D$65+0.04)*(VLOOKUP(($F$16-$F$15)*2-1,AC$99:AG124,4,FALSE)))*EXP(-(LN(2)/$D$65+0.1)*(VLOOKUP(($F$16-$F$15)*2-1,AC$99:AG124,5,FALSE)))*EXP(-(LN(2)/$D$65+0.04)*AF124)*EXP(-(LN(2)/$D$65+0.1)*AG124),"-"))),"-")</f>
        <v>-</v>
      </c>
      <c r="AJ125" s="271" t="str">
        <f>IFERROR(IF(AD125=1,AJ$100*EXP(-(LN(2)/$D$65+0.04)*AF125)*EXP(-(LN(2)/$D$65+0.1)*AG125),IF(AD125=2,AJ$100*EXP(-(LN(2)/$D$65+0.04)*(VLOOKUP(($F$16-$F$15)-1,AC$100:AG125,4,FALSE)))*EXP(-(LN(2)/$D$65+0.1)*(VLOOKUP(($F$16-$F$15)-1,AC$100:AG125,5,FALSE)))*EXP(-(LN(2)/$D$65+0.04)*AF125)*EXP(-(LN(2)/$D$65+0.1)*AG125),IF(AD125=3,AJ$100*EXP(-(LN(2)/$D$65+0.04)*(VLOOKUP(($F$16-$F$15)-1,AC$100:AG125,4,FALSE)))*EXP(-(LN(2)/$D$65+0.1)*(VLOOKUP(($F$16-$F$15)-1,AC$100:AG125,5,FALSE)))*EXP(-(LN(2)/$D$65+0.04)*(VLOOKUP(($F$16-$F$15)*2-1,AC$100:AG125,4,FALSE)))*EXP(-(LN(2)/$D$65+0.1)*(VLOOKUP(($F$16-$F$15)*2-1,AC$100:AG125,5,FALSE)))*EXP(-(LN(2)/$D$65+0.04)*AF125)*EXP(-(LN(2)/$D$65+0.1)*AG125),"-"))),"-")</f>
        <v>-</v>
      </c>
      <c r="AK125" s="227">
        <f t="shared" si="49"/>
        <v>25</v>
      </c>
      <c r="AL125" s="226" t="str">
        <f t="shared" si="18"/>
        <v>-</v>
      </c>
      <c r="AM125" s="227" t="str">
        <f t="shared" si="50"/>
        <v>-</v>
      </c>
      <c r="AN125" s="227" t="str">
        <f t="shared" si="51"/>
        <v>-</v>
      </c>
      <c r="AO125" s="227" t="str">
        <f t="shared" si="19"/>
        <v>-</v>
      </c>
      <c r="AP125" s="273">
        <f t="shared" si="52"/>
        <v>0.1</v>
      </c>
      <c r="AQ125" s="271" t="str">
        <f>IFERROR(IF(AL124=1,AQ$100*EXP(-(LN(2)/$D$65+0.04)*AN124)*EXP(-(LN(2)/$D$65+0.1)*AO124),IF(AL124=2,AQ$100*EXP(-(LN(2)/$D$65+0.04)*(VLOOKUP(($F$16-$F$15)-1,AK$99:AO124,4,FALSE)))*EXP(-(LN(2)/$D$65+0.1)*(VLOOKUP(($F$16-$F$15)-1,AK$99:AO124,5,FALSE)))*EXP(-(LN(2)/$D$65+0.04)*AN124)*EXP(-(LN(2)/$D$65+0.1)*AO124),IF(AL124=3,AQ$100*EXP(-(LN(2)/$D$65+0.04)*(VLOOKUP(($F$16-$F$15)-1,AK$99:AO124,4,FALSE)))*EXP(-(LN(2)/$D$65+0.1)*(VLOOKUP(($F$16-$F$15)-1,AK$99:AO124,5,FALSE)))*EXP(-(LN(2)/$D$65+0.04)*(VLOOKUP(($F$16-$F$15)*2-1,AK$99:AO124,4,FALSE)))*EXP(-(LN(2)/$D$65+0.1)*(VLOOKUP(($F$16-$F$15)*2-1,AK$99:AO124,5,FALSE)))*EXP(-(LN(2)/$D$65+0.04)*AN124)*EXP(-(LN(2)/$D$65+0.1)*AO124),"-"))),"-")</f>
        <v>-</v>
      </c>
      <c r="AR125" s="271" t="str">
        <f>IFERROR(IF(AL125=1,AR$100*EXP(-(LN(2)/$D$65+0.04)*AN125)*EXP(-(LN(2)/$D$65+0.1)*AO125),IF(AL125=2,AR$100*EXP(-(LN(2)/$D$65+0.04)*(VLOOKUP(($F$16-$F$15)-1,AK$100:AO125,4,FALSE)))*EXP(-(LN(2)/$D$65+0.1)*(VLOOKUP(($F$16-$F$15)-1,AK$100:AO125,5,FALSE)))*EXP(-(LN(2)/$D$65+0.04)*AN125)*EXP(-(LN(2)/$D$65+0.1)*AO125),IF(AL125=3,AR$100*EXP(-(LN(2)/$D$65+0.04)*(VLOOKUP(($F$16-$F$15)-1,AK$100:AO125,4,FALSE)))*EXP(-(LN(2)/$D$65+0.1)*(VLOOKUP(($F$16-$F$15)-1,AK$100:AO125,5,FALSE)))*EXP(-(LN(2)/$D$65+0.04)*(VLOOKUP(($F$16-$F$15)*2-1,AK$100:AO125,4,FALSE)))*EXP(-(LN(2)/$D$65+0.1)*(VLOOKUP(($F$16-$F$15)*2-1,AK$100:AO125,5,FALSE)))*EXP(-(LN(2)/$D$65+0.04)*AN125)*EXP(-(LN(2)/$D$65+0.1)*AO125),"-"))),"-")</f>
        <v>-</v>
      </c>
      <c r="AS125" s="274">
        <f t="shared" si="20"/>
        <v>0</v>
      </c>
      <c r="AT125" s="274">
        <f t="shared" si="21"/>
        <v>0</v>
      </c>
      <c r="AU125" s="274">
        <f t="shared" si="22"/>
        <v>0</v>
      </c>
      <c r="AV125" s="190">
        <f>IF($B125&lt;$F$22,SUM($T$100:$T125),"")</f>
        <v>0</v>
      </c>
      <c r="AW125" s="190" t="str">
        <f t="shared" si="55"/>
        <v>-</v>
      </c>
      <c r="AX125" s="190" t="str">
        <f t="shared" si="56"/>
        <v/>
      </c>
      <c r="AY125"/>
      <c r="AZ125" s="190" t="str">
        <f ca="1">IF(ISNUMBER(OFFSET(AV125,-$F$21,0)),SUM(OFFSET($T$100,$F$21,0):$T125),"")</f>
        <v/>
      </c>
      <c r="BA125" s="190" t="str">
        <f t="shared" ca="1" si="23"/>
        <v/>
      </c>
      <c r="BB125" s="190" t="str">
        <f t="shared" ca="1" si="70"/>
        <v/>
      </c>
      <c r="BC125" s="190"/>
      <c r="BD125" s="190" t="str">
        <f ca="1">IFERROR(IF(AND($B125&gt;=($F$16-$F$15),$B125&lt;$F$22+($F$16-$F$15)),SUM(OFFSET($T$100,($F$16-$F$15),0):$T125),""),"")</f>
        <v/>
      </c>
      <c r="BE125" s="190" t="str">
        <f t="shared" ca="1" si="58"/>
        <v/>
      </c>
      <c r="BF125" s="190" t="str">
        <f t="shared" ca="1" si="59"/>
        <v/>
      </c>
      <c r="BG125"/>
      <c r="BH125" s="190" t="str">
        <f ca="1">IF(ISNUMBER(OFFSET(BD125,-$F$21,0)),SUM(OFFSET($T$100,($F$16-$F$15+$F$21),0):$T125),"")</f>
        <v/>
      </c>
      <c r="BI125" s="190" t="str">
        <f t="shared" ca="1" si="24"/>
        <v/>
      </c>
      <c r="BJ125" s="190" t="str">
        <f t="shared" ca="1" si="60"/>
        <v/>
      </c>
      <c r="BK125" s="190"/>
      <c r="BL125" s="190" t="str">
        <f ca="1">IFERROR(IF(AND($B125&gt;=($F$17-$F$15),$B125&lt;$F$22+($F$17-$F$15)),SUM(OFFSET($T$100,($F$17-$F$15),0):$T125),""),"")</f>
        <v/>
      </c>
      <c r="BM125" s="190" t="str">
        <f t="shared" ca="1" si="25"/>
        <v/>
      </c>
      <c r="BN125" s="190" t="str">
        <f t="shared" ca="1" si="61"/>
        <v/>
      </c>
      <c r="BO125"/>
      <c r="BP125" s="190" t="str">
        <f ca="1">IF(ISNUMBER(OFFSET(BL125,-$F$21,0)),SUM(OFFSET($T$100,($F$17-$F$15+$F$21),0):$T125),"")</f>
        <v/>
      </c>
      <c r="BQ125" s="190" t="str">
        <f t="shared" ca="1" si="62"/>
        <v/>
      </c>
      <c r="BR125" s="190" t="str">
        <f t="shared" ca="1" si="63"/>
        <v/>
      </c>
      <c r="BS125" s="190"/>
      <c r="BT125"/>
      <c r="BU125" s="185"/>
      <c r="BV125" s="177"/>
      <c r="BW125" s="185"/>
      <c r="BX125" s="185"/>
      <c r="BY125" s="185"/>
      <c r="BZ125"/>
      <c r="CA125" s="280" t="str">
        <f t="shared" si="26"/>
        <v/>
      </c>
      <c r="CB125" s="71" t="str">
        <f t="shared" si="27"/>
        <v>-</v>
      </c>
      <c r="CC125" s="33"/>
      <c r="CD125" s="261" t="str">
        <f t="shared" si="29"/>
        <v/>
      </c>
      <c r="CE125" s="280" t="str">
        <f t="shared" si="30"/>
        <v>-</v>
      </c>
      <c r="CF125" s="71" t="str">
        <f t="shared" ca="1" si="31"/>
        <v>-</v>
      </c>
      <c r="CG125" s="33" t="str">
        <f t="shared" si="32"/>
        <v>25-26</v>
      </c>
      <c r="CH125" s="261" t="str">
        <f t="shared" ca="1" si="33"/>
        <v/>
      </c>
      <c r="CI125" s="99"/>
      <c r="CJ125" s="99"/>
      <c r="CK125" s="99"/>
      <c r="CL125" s="99"/>
      <c r="CM125" s="99"/>
      <c r="CN125" s="99"/>
      <c r="CO125" s="99"/>
    </row>
    <row r="126" spans="2:93" ht="13.5" customHeight="1" x14ac:dyDescent="0.2">
      <c r="B126" s="262">
        <v>26</v>
      </c>
      <c r="C126" s="237" t="str">
        <f t="shared" si="1"/>
        <v/>
      </c>
      <c r="D126" s="237" t="str">
        <f t="shared" si="66"/>
        <v>-</v>
      </c>
      <c r="E126" s="290" t="str">
        <f t="shared" si="34"/>
        <v/>
      </c>
      <c r="F126" s="264" t="str">
        <f t="shared" si="35"/>
        <v/>
      </c>
      <c r="G126" s="291" t="str">
        <f t="shared" si="36"/>
        <v/>
      </c>
      <c r="H126" s="240" t="str">
        <f t="shared" si="37"/>
        <v/>
      </c>
      <c r="I126" s="265" t="str">
        <f t="shared" si="2"/>
        <v/>
      </c>
      <c r="J126" s="265" t="str">
        <f t="shared" si="3"/>
        <v/>
      </c>
      <c r="K126" s="240" t="str">
        <f t="shared" si="4"/>
        <v/>
      </c>
      <c r="L126" s="265" t="str">
        <f t="shared" si="5"/>
        <v/>
      </c>
      <c r="M126" s="265" t="str">
        <f t="shared" si="6"/>
        <v/>
      </c>
      <c r="N126" s="240" t="str">
        <f t="shared" si="7"/>
        <v>-</v>
      </c>
      <c r="O126" s="265" t="str">
        <f t="shared" si="38"/>
        <v>-</v>
      </c>
      <c r="P126" s="265" t="str">
        <f t="shared" si="39"/>
        <v>-</v>
      </c>
      <c r="Q126" s="266" t="str">
        <f t="shared" si="8"/>
        <v>-</v>
      </c>
      <c r="R126" s="267" t="str">
        <f t="shared" si="40"/>
        <v>-</v>
      </c>
      <c r="S126" s="268" t="str">
        <f t="shared" si="41"/>
        <v>-</v>
      </c>
      <c r="T126" s="269" t="str">
        <f t="shared" si="9"/>
        <v/>
      </c>
      <c r="U126" s="221">
        <f t="shared" si="10"/>
        <v>26</v>
      </c>
      <c r="V126" s="220" t="str">
        <f t="shared" si="42"/>
        <v>-</v>
      </c>
      <c r="W126" s="221" t="str">
        <f t="shared" si="43"/>
        <v>-</v>
      </c>
      <c r="X126" s="221" t="str">
        <f t="shared" si="11"/>
        <v>-</v>
      </c>
      <c r="Y126" s="221" t="str">
        <f t="shared" si="12"/>
        <v>-</v>
      </c>
      <c r="Z126" s="270">
        <f t="shared" si="44"/>
        <v>0.1</v>
      </c>
      <c r="AA126" s="271" t="str">
        <f>IFERROR(IF(V125=1,AA$100*EXP(-(LN(2)/$D$65+0.04)*X125)*EXP(-(LN(2)/$D$65+0.1)*Y125),IF(V125=2,AA$100*EXP(-(LN(2)/$D$65+0.04)*(VLOOKUP(($F$16-$F$15)-1,U$99:Y125,4,FALSE)))*EXP(-(LN(2)/$D$65+0.1)*(VLOOKUP(($F$16-$F$15)-1,U$99:Y125,5,FALSE)))*EXP(-(LN(2)/$D$65+0.04)*X125)*EXP(-(LN(2)/$D$65+0.1)*Y125),IF(V125=3,AA$100*EXP(-(LN(2)/$D$65+0.04)*(VLOOKUP(($F$16-$F$15)-1,U$99:Y125,4,FALSE)))*EXP(-(LN(2)/$D$65+0.1)*(VLOOKUP(($F$16-$F$15)-1,U$99:Y125,5,FALSE)))*EXP(-(LN(2)/$D$65+0.04)*(VLOOKUP(($F$16-$F$15)*2-1,U$99:Y125,4,FALSE)))*EXP(-(LN(2)/$D$65+0.1)*(VLOOKUP(($F$16-$F$15)*2-1,U$99:Y125,5,FALSE)))*EXP(-(LN(2)/$D$65+0.04)*X125)*EXP(-(LN(2)/$D$65+0.1)*Y125),"-"))),"-")</f>
        <v>-</v>
      </c>
      <c r="AB126" s="271" t="str">
        <f>IFERROR(IF(V126=1,AB$100*EXP(-(LN(2)/$D$65+0.04)*X126)*EXP(-(LN(2)/$D$65+0.1)*Y126),IF(V126=2,AB$100*EXP(-(LN(2)/$D$65+0.04)*(VLOOKUP(($F$16-$F$15)-1,U$100:Y126,4,FALSE)))*EXP(-(LN(2)/$D$65+0.1)*(VLOOKUP(($F$16-$F$15)-1,U$100:Y126,5,FALSE)))*EXP(-(LN(2)/$D$65+0.04)*X126)*EXP(-(LN(2)/$D$65+0.1)*Y126),IF(V126=3,AB$100*EXP(-(LN(2)/$D$65+0.04)*(VLOOKUP(($F$16-$F$15)-1,U$100:Y126,4,FALSE)))*EXP(-(LN(2)/$D$65+0.1)*(VLOOKUP(($F$16-$F$15)-1,U$100:Y126,5,FALSE)))*EXP(-(LN(2)/$D$65+0.04)*(VLOOKUP(($F$16-$F$15)*2-1,U$100:Y126,4,FALSE)))*EXP(-(LN(2)/$D$65+0.1)*(VLOOKUP(($F$16-$F$15)*2-1,U$100:Y126,5,FALSE)))*EXP(-(LN(2)/$D$65+0.04)*X126)*EXP(-(LN(2)/$D$65+0.1)*Y126),"-"))),"-")</f>
        <v>-</v>
      </c>
      <c r="AC126" s="224">
        <f t="shared" si="45"/>
        <v>26</v>
      </c>
      <c r="AD126" s="223" t="str">
        <f t="shared" si="14"/>
        <v>-</v>
      </c>
      <c r="AE126" s="224" t="str">
        <f t="shared" si="46"/>
        <v>-</v>
      </c>
      <c r="AF126" s="224" t="str">
        <f t="shared" si="15"/>
        <v>-</v>
      </c>
      <c r="AG126" s="224" t="str">
        <f t="shared" si="16"/>
        <v>-</v>
      </c>
      <c r="AH126" s="272">
        <f t="shared" si="47"/>
        <v>0.1</v>
      </c>
      <c r="AI126" s="271" t="str">
        <f>IFERROR(IF(AD125=1,AI$100*EXP(-(LN(2)/$D$65+0.04)*AF125)*EXP(-(LN(2)/$D$65+0.1)*AG125),IF(AD125=2,AI$100*EXP(-(LN(2)/$D$65+0.04)*(VLOOKUP(($F$16-$F$15)-1,AC$99:AG125,4,FALSE)))*EXP(-(LN(2)/$D$65+0.1)*(VLOOKUP(($F$16-$F$15)-1,AC$99:AG125,5,FALSE)))*EXP(-(LN(2)/$D$65+0.04)*AF125)*EXP(-(LN(2)/$D$65+0.1)*AG125),IF(AD125=3,AI$100*EXP(-(LN(2)/$D$65+0.04)*(VLOOKUP(($F$16-$F$15)-1,AC$99:AG125,4,FALSE)))*EXP(-(LN(2)/$D$65+0.1)*(VLOOKUP(($F$16-$F$15)-1,AC$99:AG125,5,FALSE)))*EXP(-(LN(2)/$D$65+0.04)*(VLOOKUP(($F$16-$F$15)*2-1,AC$99:AG125,4,FALSE)))*EXP(-(LN(2)/$D$65+0.1)*(VLOOKUP(($F$16-$F$15)*2-1,AC$99:AG125,5,FALSE)))*EXP(-(LN(2)/$D$65+0.04)*AF125)*EXP(-(LN(2)/$D$65+0.1)*AG125),"-"))),"-")</f>
        <v>-</v>
      </c>
      <c r="AJ126" s="271" t="str">
        <f>IFERROR(IF(AD126=1,AJ$100*EXP(-(LN(2)/$D$65+0.04)*AF126)*EXP(-(LN(2)/$D$65+0.1)*AG126),IF(AD126=2,AJ$100*EXP(-(LN(2)/$D$65+0.04)*(VLOOKUP(($F$16-$F$15)-1,AC$100:AG126,4,FALSE)))*EXP(-(LN(2)/$D$65+0.1)*(VLOOKUP(($F$16-$F$15)-1,AC$100:AG126,5,FALSE)))*EXP(-(LN(2)/$D$65+0.04)*AF126)*EXP(-(LN(2)/$D$65+0.1)*AG126),IF(AD126=3,AJ$100*EXP(-(LN(2)/$D$65+0.04)*(VLOOKUP(($F$16-$F$15)-1,AC$100:AG126,4,FALSE)))*EXP(-(LN(2)/$D$65+0.1)*(VLOOKUP(($F$16-$F$15)-1,AC$100:AG126,5,FALSE)))*EXP(-(LN(2)/$D$65+0.04)*(VLOOKUP(($F$16-$F$15)*2-1,AC$100:AG126,4,FALSE)))*EXP(-(LN(2)/$D$65+0.1)*(VLOOKUP(($F$16-$F$15)*2-1,AC$100:AG126,5,FALSE)))*EXP(-(LN(2)/$D$65+0.04)*AF126)*EXP(-(LN(2)/$D$65+0.1)*AG126),"-"))),"-")</f>
        <v>-</v>
      </c>
      <c r="AK126" s="227">
        <f t="shared" si="49"/>
        <v>26</v>
      </c>
      <c r="AL126" s="226" t="str">
        <f t="shared" si="18"/>
        <v>-</v>
      </c>
      <c r="AM126" s="227" t="str">
        <f t="shared" si="50"/>
        <v>-</v>
      </c>
      <c r="AN126" s="227" t="str">
        <f t="shared" si="51"/>
        <v>-</v>
      </c>
      <c r="AO126" s="227" t="str">
        <f t="shared" si="19"/>
        <v>-</v>
      </c>
      <c r="AP126" s="273">
        <f t="shared" si="52"/>
        <v>0.1</v>
      </c>
      <c r="AQ126" s="271" t="str">
        <f>IFERROR(IF(AL125=1,AQ$100*EXP(-(LN(2)/$D$65+0.04)*AN125)*EXP(-(LN(2)/$D$65+0.1)*AO125),IF(AL125=2,AQ$100*EXP(-(LN(2)/$D$65+0.04)*(VLOOKUP(($F$16-$F$15)-1,AK$99:AO125,4,FALSE)))*EXP(-(LN(2)/$D$65+0.1)*(VLOOKUP(($F$16-$F$15)-1,AK$99:AO125,5,FALSE)))*EXP(-(LN(2)/$D$65+0.04)*AN125)*EXP(-(LN(2)/$D$65+0.1)*AO125),IF(AL125=3,AQ$100*EXP(-(LN(2)/$D$65+0.04)*(VLOOKUP(($F$16-$F$15)-1,AK$99:AO125,4,FALSE)))*EXP(-(LN(2)/$D$65+0.1)*(VLOOKUP(($F$16-$F$15)-1,AK$99:AO125,5,FALSE)))*EXP(-(LN(2)/$D$65+0.04)*(VLOOKUP(($F$16-$F$15)*2-1,AK$99:AO125,4,FALSE)))*EXP(-(LN(2)/$D$65+0.1)*(VLOOKUP(($F$16-$F$15)*2-1,AK$99:AO125,5,FALSE)))*EXP(-(LN(2)/$D$65+0.04)*AN125)*EXP(-(LN(2)/$D$65+0.1)*AO125),"-"))),"-")</f>
        <v>-</v>
      </c>
      <c r="AR126" s="271" t="str">
        <f>IFERROR(IF(AL126=1,AR$100*EXP(-(LN(2)/$D$65+0.04)*AN126)*EXP(-(LN(2)/$D$65+0.1)*AO126),IF(AL126=2,AR$100*EXP(-(LN(2)/$D$65+0.04)*(VLOOKUP(($F$16-$F$15)-1,AK$100:AO126,4,FALSE)))*EXP(-(LN(2)/$D$65+0.1)*(VLOOKUP(($F$16-$F$15)-1,AK$100:AO126,5,FALSE)))*EXP(-(LN(2)/$D$65+0.04)*AN126)*EXP(-(LN(2)/$D$65+0.1)*AO126),IF(AL126=3,AR$100*EXP(-(LN(2)/$D$65+0.04)*(VLOOKUP(($F$16-$F$15)-1,AK$100:AO126,4,FALSE)))*EXP(-(LN(2)/$D$65+0.1)*(VLOOKUP(($F$16-$F$15)-1,AK$100:AO126,5,FALSE)))*EXP(-(LN(2)/$D$65+0.04)*(VLOOKUP(($F$16-$F$15)*2-1,AK$100:AO126,4,FALSE)))*EXP(-(LN(2)/$D$65+0.1)*(VLOOKUP(($F$16-$F$15)*2-1,AK$100:AO126,5,FALSE)))*EXP(-(LN(2)/$D$65+0.04)*AN126)*EXP(-(LN(2)/$D$65+0.1)*AO126),"-"))),"-")</f>
        <v>-</v>
      </c>
      <c r="AS126" s="274">
        <f t="shared" si="20"/>
        <v>0</v>
      </c>
      <c r="AT126" s="274">
        <f t="shared" si="21"/>
        <v>0</v>
      </c>
      <c r="AU126" s="274">
        <f t="shared" si="22"/>
        <v>0</v>
      </c>
      <c r="AV126" s="190">
        <f>IF($B126&lt;$F$22,SUM($T$100:$T126),"")</f>
        <v>0</v>
      </c>
      <c r="AW126" s="190" t="str">
        <f t="shared" si="55"/>
        <v>-</v>
      </c>
      <c r="AX126" s="190" t="str">
        <f t="shared" si="56"/>
        <v/>
      </c>
      <c r="AY126"/>
      <c r="AZ126" s="190" t="str">
        <f ca="1">IF(ISNUMBER(OFFSET(AV126,-$F$21,0)),SUM(OFFSET($T$100,$F$21,0):$T126),"")</f>
        <v/>
      </c>
      <c r="BA126" s="190" t="str">
        <f t="shared" ca="1" si="23"/>
        <v/>
      </c>
      <c r="BB126" s="190" t="str">
        <f t="shared" ca="1" si="70"/>
        <v/>
      </c>
      <c r="BC126" s="190"/>
      <c r="BD126" s="190" t="str">
        <f ca="1">IFERROR(IF(AND($B126&gt;=($F$16-$F$15),$B126&lt;$F$22+($F$16-$F$15)),SUM(OFFSET($T$100,($F$16-$F$15),0):$T126),""),"")</f>
        <v/>
      </c>
      <c r="BE126" s="190" t="str">
        <f t="shared" ca="1" si="58"/>
        <v/>
      </c>
      <c r="BF126" s="190" t="str">
        <f t="shared" ca="1" si="59"/>
        <v/>
      </c>
      <c r="BG126"/>
      <c r="BH126" s="190" t="str">
        <f ca="1">IF(ISNUMBER(OFFSET(BD126,-$F$21,0)),SUM(OFFSET($T$100,($F$16-$F$15+$F$21),0):$T126),"")</f>
        <v/>
      </c>
      <c r="BI126" s="190" t="str">
        <f t="shared" ca="1" si="24"/>
        <v/>
      </c>
      <c r="BJ126" s="190" t="str">
        <f t="shared" ca="1" si="60"/>
        <v/>
      </c>
      <c r="BK126" s="190"/>
      <c r="BL126" s="190" t="str">
        <f ca="1">IFERROR(IF(AND($B126&gt;=($F$17-$F$15),$B126&lt;$F$22+($F$17-$F$15)),SUM(OFFSET($T$100,($F$17-$F$15),0):$T126),""),"")</f>
        <v/>
      </c>
      <c r="BM126" s="190" t="str">
        <f t="shared" ca="1" si="25"/>
        <v/>
      </c>
      <c r="BN126" s="190" t="str">
        <f t="shared" ca="1" si="61"/>
        <v/>
      </c>
      <c r="BO126"/>
      <c r="BP126" s="190" t="str">
        <f ca="1">IF(ISNUMBER(OFFSET(BL126,-$F$21,0)),SUM(OFFSET($T$100,($F$17-$F$15+$F$21),0):$T126),"")</f>
        <v/>
      </c>
      <c r="BQ126" s="190" t="str">
        <f t="shared" ca="1" si="62"/>
        <v/>
      </c>
      <c r="BR126" s="190" t="str">
        <f t="shared" ca="1" si="63"/>
        <v/>
      </c>
      <c r="BS126" s="190"/>
      <c r="BT126"/>
      <c r="BU126" s="185"/>
      <c r="BV126"/>
      <c r="BW126" s="185" t="str">
        <f>IF(BU126&lt;&gt;"",MIN(BU125:BU126),"")</f>
        <v/>
      </c>
      <c r="BX126" s="185" t="str">
        <f>IF(BU126&lt;&gt;"",MAX(BU125:BU126),"")</f>
        <v/>
      </c>
      <c r="BY126" s="185" t="str">
        <f>IF(B76&lt;&gt;"",(C75-C76)/(B76-B75),"")</f>
        <v/>
      </c>
      <c r="BZ126"/>
      <c r="CA126" s="280" t="str">
        <f t="shared" si="26"/>
        <v/>
      </c>
      <c r="CB126" s="71" t="str">
        <f t="shared" si="27"/>
        <v>-</v>
      </c>
      <c r="CC126" s="33"/>
      <c r="CD126" s="261" t="str">
        <f t="shared" si="29"/>
        <v/>
      </c>
      <c r="CE126" s="280" t="str">
        <f t="shared" si="30"/>
        <v>-</v>
      </c>
      <c r="CF126" s="71" t="str">
        <f t="shared" ca="1" si="31"/>
        <v>-</v>
      </c>
      <c r="CG126" s="33" t="str">
        <f t="shared" si="32"/>
        <v>26-27</v>
      </c>
      <c r="CH126" s="261" t="str">
        <f t="shared" ca="1" si="33"/>
        <v/>
      </c>
      <c r="CI126" s="99"/>
      <c r="CJ126" s="99"/>
      <c r="CK126" s="99"/>
      <c r="CL126" s="99"/>
      <c r="CM126" s="99"/>
      <c r="CN126" s="99"/>
      <c r="CO126" s="99"/>
    </row>
    <row r="127" spans="2:93" ht="13.5" customHeight="1" x14ac:dyDescent="0.2">
      <c r="B127" s="262">
        <v>27</v>
      </c>
      <c r="C127" s="237" t="str">
        <f t="shared" si="1"/>
        <v/>
      </c>
      <c r="D127" s="237" t="str">
        <f t="shared" si="66"/>
        <v>-</v>
      </c>
      <c r="E127" s="290" t="str">
        <f t="shared" si="34"/>
        <v/>
      </c>
      <c r="F127" s="264" t="str">
        <f t="shared" si="35"/>
        <v/>
      </c>
      <c r="G127" s="305" t="str">
        <f t="shared" si="36"/>
        <v/>
      </c>
      <c r="H127" s="240" t="str">
        <f t="shared" si="37"/>
        <v/>
      </c>
      <c r="I127" s="265" t="str">
        <f t="shared" si="2"/>
        <v/>
      </c>
      <c r="J127" s="265" t="str">
        <f t="shared" si="3"/>
        <v/>
      </c>
      <c r="K127" s="240" t="str">
        <f t="shared" si="4"/>
        <v/>
      </c>
      <c r="L127" s="265" t="str">
        <f t="shared" si="5"/>
        <v/>
      </c>
      <c r="M127" s="265" t="str">
        <f t="shared" si="6"/>
        <v/>
      </c>
      <c r="N127" s="240" t="str">
        <f t="shared" si="7"/>
        <v>-</v>
      </c>
      <c r="O127" s="265" t="str">
        <f t="shared" si="38"/>
        <v>-</v>
      </c>
      <c r="P127" s="265" t="str">
        <f t="shared" si="39"/>
        <v>-</v>
      </c>
      <c r="Q127" s="266" t="str">
        <f t="shared" si="8"/>
        <v>-</v>
      </c>
      <c r="R127" s="267" t="str">
        <f t="shared" si="40"/>
        <v>-</v>
      </c>
      <c r="S127" s="268" t="str">
        <f t="shared" si="41"/>
        <v>-</v>
      </c>
      <c r="T127" s="269" t="str">
        <f t="shared" si="9"/>
        <v/>
      </c>
      <c r="U127" s="221">
        <f t="shared" si="10"/>
        <v>27</v>
      </c>
      <c r="V127" s="220" t="str">
        <f t="shared" si="42"/>
        <v>-</v>
      </c>
      <c r="W127" s="221" t="str">
        <f t="shared" si="43"/>
        <v>-</v>
      </c>
      <c r="X127" s="221" t="str">
        <f t="shared" si="11"/>
        <v>-</v>
      </c>
      <c r="Y127" s="221" t="str">
        <f t="shared" si="12"/>
        <v>-</v>
      </c>
      <c r="Z127" s="270">
        <f t="shared" si="44"/>
        <v>0.1</v>
      </c>
      <c r="AA127" s="271" t="str">
        <f>IFERROR(IF(V126=1,AA$100*EXP(-(LN(2)/$D$65+0.04)*X126)*EXP(-(LN(2)/$D$65+0.1)*Y126),IF(V126=2,AA$100*EXP(-(LN(2)/$D$65+0.04)*(VLOOKUP(($F$16-$F$15)-1,U$99:Y126,4,FALSE)))*EXP(-(LN(2)/$D$65+0.1)*(VLOOKUP(($F$16-$F$15)-1,U$99:Y126,5,FALSE)))*EXP(-(LN(2)/$D$65+0.04)*X126)*EXP(-(LN(2)/$D$65+0.1)*Y126),IF(V126=3,AA$100*EXP(-(LN(2)/$D$65+0.04)*(VLOOKUP(($F$16-$F$15)-1,U$99:Y126,4,FALSE)))*EXP(-(LN(2)/$D$65+0.1)*(VLOOKUP(($F$16-$F$15)-1,U$99:Y126,5,FALSE)))*EXP(-(LN(2)/$D$65+0.04)*(VLOOKUP(($F$16-$F$15)*2-1,U$99:Y126,4,FALSE)))*EXP(-(LN(2)/$D$65+0.1)*(VLOOKUP(($F$16-$F$15)*2-1,U$99:Y126,5,FALSE)))*EXP(-(LN(2)/$D$65+0.04)*X126)*EXP(-(LN(2)/$D$65+0.1)*Y126),"-"))),"-")</f>
        <v>-</v>
      </c>
      <c r="AB127" s="271" t="str">
        <f>IFERROR(IF(V127=1,AB$100*EXP(-(LN(2)/$D$65+0.04)*X127)*EXP(-(LN(2)/$D$65+0.1)*Y127),IF(V127=2,AB$100*EXP(-(LN(2)/$D$65+0.04)*(VLOOKUP(($F$16-$F$15)-1,U$100:Y127,4,FALSE)))*EXP(-(LN(2)/$D$65+0.1)*(VLOOKUP(($F$16-$F$15)-1,U$100:Y127,5,FALSE)))*EXP(-(LN(2)/$D$65+0.04)*X127)*EXP(-(LN(2)/$D$65+0.1)*Y127),IF(V127=3,AB$100*EXP(-(LN(2)/$D$65+0.04)*(VLOOKUP(($F$16-$F$15)-1,U$100:Y127,4,FALSE)))*EXP(-(LN(2)/$D$65+0.1)*(VLOOKUP(($F$16-$F$15)-1,U$100:Y127,5,FALSE)))*EXP(-(LN(2)/$D$65+0.04)*(VLOOKUP(($F$16-$F$15)*2-1,U$100:Y127,4,FALSE)))*EXP(-(LN(2)/$D$65+0.1)*(VLOOKUP(($F$16-$F$15)*2-1,U$100:Y127,5,FALSE)))*EXP(-(LN(2)/$D$65+0.04)*X127)*EXP(-(LN(2)/$D$65+0.1)*Y127),"-"))),"-")</f>
        <v>-</v>
      </c>
      <c r="AC127" s="224">
        <f t="shared" si="45"/>
        <v>27</v>
      </c>
      <c r="AD127" s="223" t="str">
        <f t="shared" si="14"/>
        <v>-</v>
      </c>
      <c r="AE127" s="224" t="str">
        <f t="shared" si="46"/>
        <v>-</v>
      </c>
      <c r="AF127" s="224" t="str">
        <f t="shared" si="15"/>
        <v>-</v>
      </c>
      <c r="AG127" s="224" t="str">
        <f t="shared" si="16"/>
        <v>-</v>
      </c>
      <c r="AH127" s="272">
        <f t="shared" si="47"/>
        <v>0.1</v>
      </c>
      <c r="AI127" s="271" t="str">
        <f>IFERROR(IF(AD126=1,AI$100*EXP(-(LN(2)/$D$65+0.04)*AF126)*EXP(-(LN(2)/$D$65+0.1)*AG126),IF(AD126=2,AI$100*EXP(-(LN(2)/$D$65+0.04)*(VLOOKUP(($F$16-$F$15)-1,AC$99:AG126,4,FALSE)))*EXP(-(LN(2)/$D$65+0.1)*(VLOOKUP(($F$16-$F$15)-1,AC$99:AG126,5,FALSE)))*EXP(-(LN(2)/$D$65+0.04)*AF126)*EXP(-(LN(2)/$D$65+0.1)*AG126),IF(AD126=3,AI$100*EXP(-(LN(2)/$D$65+0.04)*(VLOOKUP(($F$16-$F$15)-1,AC$99:AG126,4,FALSE)))*EXP(-(LN(2)/$D$65+0.1)*(VLOOKUP(($F$16-$F$15)-1,AC$99:AG126,5,FALSE)))*EXP(-(LN(2)/$D$65+0.04)*(VLOOKUP(($F$16-$F$15)*2-1,AC$99:AG126,4,FALSE)))*EXP(-(LN(2)/$D$65+0.1)*(VLOOKUP(($F$16-$F$15)*2-1,AC$99:AG126,5,FALSE)))*EXP(-(LN(2)/$D$65+0.04)*AF126)*EXP(-(LN(2)/$D$65+0.1)*AG126),"-"))),"-")</f>
        <v>-</v>
      </c>
      <c r="AJ127" s="271" t="str">
        <f>IFERROR(IF(AD127=1,AJ$100*EXP(-(LN(2)/$D$65+0.04)*AF127)*EXP(-(LN(2)/$D$65+0.1)*AG127),IF(AD127=2,AJ$100*EXP(-(LN(2)/$D$65+0.04)*(VLOOKUP(($F$16-$F$15)-1,AC$100:AG127,4,FALSE)))*EXP(-(LN(2)/$D$65+0.1)*(VLOOKUP(($F$16-$F$15)-1,AC$100:AG127,5,FALSE)))*EXP(-(LN(2)/$D$65+0.04)*AF127)*EXP(-(LN(2)/$D$65+0.1)*AG127),IF(AD127=3,AJ$100*EXP(-(LN(2)/$D$65+0.04)*(VLOOKUP(($F$16-$F$15)-1,AC$100:AG127,4,FALSE)))*EXP(-(LN(2)/$D$65+0.1)*(VLOOKUP(($F$16-$F$15)-1,AC$100:AG127,5,FALSE)))*EXP(-(LN(2)/$D$65+0.04)*(VLOOKUP(($F$16-$F$15)*2-1,AC$100:AG127,4,FALSE)))*EXP(-(LN(2)/$D$65+0.1)*(VLOOKUP(($F$16-$F$15)*2-1,AC$100:AG127,5,FALSE)))*EXP(-(LN(2)/$D$65+0.04)*AF127)*EXP(-(LN(2)/$D$65+0.1)*AG127),"-"))),"-")</f>
        <v>-</v>
      </c>
      <c r="AK127" s="227">
        <f t="shared" si="49"/>
        <v>27</v>
      </c>
      <c r="AL127" s="226" t="str">
        <f t="shared" si="18"/>
        <v>-</v>
      </c>
      <c r="AM127" s="227" t="str">
        <f t="shared" si="50"/>
        <v>-</v>
      </c>
      <c r="AN127" s="227" t="str">
        <f t="shared" si="51"/>
        <v>-</v>
      </c>
      <c r="AO127" s="227" t="str">
        <f t="shared" si="19"/>
        <v>-</v>
      </c>
      <c r="AP127" s="273">
        <f t="shared" si="52"/>
        <v>0.1</v>
      </c>
      <c r="AQ127" s="271" t="str">
        <f>IFERROR(IF(AL126=1,AQ$100*EXP(-(LN(2)/$D$65+0.04)*AN126)*EXP(-(LN(2)/$D$65+0.1)*AO126),IF(AL126=2,AQ$100*EXP(-(LN(2)/$D$65+0.04)*(VLOOKUP(($F$16-$F$15)-1,AK$99:AO126,4,FALSE)))*EXP(-(LN(2)/$D$65+0.1)*(VLOOKUP(($F$16-$F$15)-1,AK$99:AO126,5,FALSE)))*EXP(-(LN(2)/$D$65+0.04)*AN126)*EXP(-(LN(2)/$D$65+0.1)*AO126),IF(AL126=3,AQ$100*EXP(-(LN(2)/$D$65+0.04)*(VLOOKUP(($F$16-$F$15)-1,AK$99:AO126,4,FALSE)))*EXP(-(LN(2)/$D$65+0.1)*(VLOOKUP(($F$16-$F$15)-1,AK$99:AO126,5,FALSE)))*EXP(-(LN(2)/$D$65+0.04)*(VLOOKUP(($F$16-$F$15)*2-1,AK$99:AO126,4,FALSE)))*EXP(-(LN(2)/$D$65+0.1)*(VLOOKUP(($F$16-$F$15)*2-1,AK$99:AO126,5,FALSE)))*EXP(-(LN(2)/$D$65+0.04)*AN126)*EXP(-(LN(2)/$D$65+0.1)*AO126),"-"))),"-")</f>
        <v>-</v>
      </c>
      <c r="AR127" s="271" t="str">
        <f>IFERROR(IF(AL127=1,AR$100*EXP(-(LN(2)/$D$65+0.04)*AN127)*EXP(-(LN(2)/$D$65+0.1)*AO127),IF(AL127=2,AR$100*EXP(-(LN(2)/$D$65+0.04)*(VLOOKUP(($F$16-$F$15)-1,AK$100:AO127,4,FALSE)))*EXP(-(LN(2)/$D$65+0.1)*(VLOOKUP(($F$16-$F$15)-1,AK$100:AO127,5,FALSE)))*EXP(-(LN(2)/$D$65+0.04)*AN127)*EXP(-(LN(2)/$D$65+0.1)*AO127),IF(AL127=3,AR$100*EXP(-(LN(2)/$D$65+0.04)*(VLOOKUP(($F$16-$F$15)-1,AK$100:AO127,4,FALSE)))*EXP(-(LN(2)/$D$65+0.1)*(VLOOKUP(($F$16-$F$15)-1,AK$100:AO127,5,FALSE)))*EXP(-(LN(2)/$D$65+0.04)*(VLOOKUP(($F$16-$F$15)*2-1,AK$100:AO127,4,FALSE)))*EXP(-(LN(2)/$D$65+0.1)*(VLOOKUP(($F$16-$F$15)*2-1,AK$100:AO127,5,FALSE)))*EXP(-(LN(2)/$D$65+0.04)*AN127)*EXP(-(LN(2)/$D$65+0.1)*AO127),"-"))),"-")</f>
        <v>-</v>
      </c>
      <c r="AS127" s="274">
        <f t="shared" si="20"/>
        <v>0</v>
      </c>
      <c r="AT127" s="274">
        <f t="shared" si="21"/>
        <v>0</v>
      </c>
      <c r="AU127" s="274">
        <f t="shared" si="22"/>
        <v>0</v>
      </c>
      <c r="AV127" s="190">
        <f>IF($B127&lt;$F$22,SUM($T$100:$T127),"")</f>
        <v>0</v>
      </c>
      <c r="AW127" s="190" t="str">
        <f t="shared" si="55"/>
        <v>-</v>
      </c>
      <c r="AX127" s="190" t="str">
        <f t="shared" si="56"/>
        <v/>
      </c>
      <c r="AY127"/>
      <c r="AZ127" s="190" t="str">
        <f ca="1">IF(ISNUMBER(OFFSET(AV127,-$F$21,0)),SUM(OFFSET($T$100,$F$21,0):$T127),"")</f>
        <v/>
      </c>
      <c r="BA127" s="190" t="str">
        <f t="shared" ca="1" si="23"/>
        <v/>
      </c>
      <c r="BB127" s="190" t="str">
        <f t="shared" ca="1" si="70"/>
        <v/>
      </c>
      <c r="BC127" s="190"/>
      <c r="BD127" s="190" t="str">
        <f ca="1">IFERROR(IF(AND($B127&gt;=($F$16-$F$15),$B127&lt;$F$22+($F$16-$F$15)),SUM(OFFSET($T$100,($F$16-$F$15),0):$T127),""),"")</f>
        <v/>
      </c>
      <c r="BE127" s="190" t="str">
        <f t="shared" ca="1" si="58"/>
        <v/>
      </c>
      <c r="BF127" s="190" t="str">
        <f t="shared" ca="1" si="59"/>
        <v/>
      </c>
      <c r="BG127"/>
      <c r="BH127" s="190" t="str">
        <f ca="1">IF(ISNUMBER(OFFSET(BD127,-$F$21,0)),SUM(OFFSET($T$100,($F$16-$F$15+$F$21),0):$T127),"")</f>
        <v/>
      </c>
      <c r="BI127" s="190" t="str">
        <f t="shared" ca="1" si="24"/>
        <v/>
      </c>
      <c r="BJ127" s="190" t="str">
        <f t="shared" ca="1" si="60"/>
        <v/>
      </c>
      <c r="BK127" s="190"/>
      <c r="BL127" s="190" t="str">
        <f ca="1">IFERROR(IF(AND($B127&gt;=($F$17-$F$15),$B127&lt;$F$22+($F$17-$F$15)),SUM(OFFSET($T$100,($F$17-$F$15),0):$T127),""),"")</f>
        <v/>
      </c>
      <c r="BM127" s="190" t="str">
        <f t="shared" ca="1" si="25"/>
        <v/>
      </c>
      <c r="BN127" s="190" t="str">
        <f t="shared" ca="1" si="61"/>
        <v/>
      </c>
      <c r="BO127"/>
      <c r="BP127" s="190" t="str">
        <f ca="1">IF(ISNUMBER(OFFSET(BL127,-$F$21,0)),SUM(OFFSET($T$100,($F$17-$F$15+$F$21),0):$T127),"")</f>
        <v/>
      </c>
      <c r="BQ127" s="190" t="str">
        <f t="shared" ca="1" si="62"/>
        <v/>
      </c>
      <c r="BR127" s="190" t="str">
        <f t="shared" ca="1" si="63"/>
        <v/>
      </c>
      <c r="BS127" s="190"/>
      <c r="BT127"/>
      <c r="BU127"/>
      <c r="BV127"/>
      <c r="BY127" s="99"/>
      <c r="BZ127" s="99"/>
      <c r="CA127" s="280" t="str">
        <f t="shared" si="26"/>
        <v/>
      </c>
      <c r="CB127" s="71" t="str">
        <f t="shared" si="27"/>
        <v>-</v>
      </c>
      <c r="CC127" s="33"/>
      <c r="CD127" s="261" t="str">
        <f t="shared" si="29"/>
        <v/>
      </c>
      <c r="CE127" s="280" t="str">
        <f t="shared" si="30"/>
        <v>-</v>
      </c>
      <c r="CF127" s="71" t="str">
        <f t="shared" ca="1" si="31"/>
        <v>-</v>
      </c>
      <c r="CG127" s="33" t="str">
        <f t="shared" si="32"/>
        <v>27-28</v>
      </c>
      <c r="CH127" s="261" t="str">
        <f t="shared" ca="1" si="33"/>
        <v/>
      </c>
      <c r="CI127" s="99"/>
      <c r="CJ127" s="99"/>
      <c r="CK127" s="99"/>
      <c r="CL127" s="99"/>
      <c r="CM127" s="99"/>
      <c r="CN127" s="99"/>
      <c r="CO127" s="99"/>
    </row>
    <row r="128" spans="2:93" ht="13.5" customHeight="1" x14ac:dyDescent="0.2">
      <c r="B128" s="262">
        <v>28</v>
      </c>
      <c r="C128" s="237" t="str">
        <f t="shared" si="1"/>
        <v/>
      </c>
      <c r="D128" s="237" t="str">
        <f t="shared" si="66"/>
        <v>-</v>
      </c>
      <c r="E128" s="290" t="str">
        <f t="shared" si="34"/>
        <v/>
      </c>
      <c r="F128" s="264" t="str">
        <f t="shared" si="35"/>
        <v/>
      </c>
      <c r="G128" s="306" t="str">
        <f t="shared" si="36"/>
        <v/>
      </c>
      <c r="H128" s="240" t="str">
        <f t="shared" si="37"/>
        <v/>
      </c>
      <c r="I128" s="265" t="str">
        <f t="shared" si="2"/>
        <v/>
      </c>
      <c r="J128" s="265" t="str">
        <f t="shared" si="3"/>
        <v/>
      </c>
      <c r="K128" s="240" t="str">
        <f t="shared" si="4"/>
        <v/>
      </c>
      <c r="L128" s="265" t="str">
        <f t="shared" si="5"/>
        <v/>
      </c>
      <c r="M128" s="265" t="str">
        <f t="shared" si="6"/>
        <v/>
      </c>
      <c r="N128" s="240" t="str">
        <f t="shared" si="7"/>
        <v>-</v>
      </c>
      <c r="O128" s="265" t="str">
        <f t="shared" si="38"/>
        <v>-</v>
      </c>
      <c r="P128" s="265" t="str">
        <f t="shared" si="39"/>
        <v>-</v>
      </c>
      <c r="Q128" s="266" t="str">
        <f t="shared" si="8"/>
        <v>-</v>
      </c>
      <c r="R128" s="267" t="str">
        <f t="shared" si="40"/>
        <v>-</v>
      </c>
      <c r="S128" s="268" t="str">
        <f t="shared" si="41"/>
        <v>-</v>
      </c>
      <c r="T128" s="269" t="str">
        <f t="shared" si="9"/>
        <v/>
      </c>
      <c r="U128" s="221">
        <f t="shared" si="10"/>
        <v>28</v>
      </c>
      <c r="V128" s="220" t="str">
        <f t="shared" si="42"/>
        <v>-</v>
      </c>
      <c r="W128" s="221" t="str">
        <f t="shared" si="43"/>
        <v>-</v>
      </c>
      <c r="X128" s="221" t="str">
        <f t="shared" si="11"/>
        <v>-</v>
      </c>
      <c r="Y128" s="221" t="str">
        <f t="shared" si="12"/>
        <v>-</v>
      </c>
      <c r="Z128" s="270">
        <f t="shared" si="44"/>
        <v>0.1</v>
      </c>
      <c r="AA128" s="271" t="str">
        <f>IFERROR(IF(V127=1,AA$100*EXP(-(LN(2)/$D$65+0.04)*X127)*EXP(-(LN(2)/$D$65+0.1)*Y127),IF(V127=2,AA$100*EXP(-(LN(2)/$D$65+0.04)*(VLOOKUP(($F$16-$F$15)-1,U$99:Y127,4,FALSE)))*EXP(-(LN(2)/$D$65+0.1)*(VLOOKUP(($F$16-$F$15)-1,U$99:Y127,5,FALSE)))*EXP(-(LN(2)/$D$65+0.04)*X127)*EXP(-(LN(2)/$D$65+0.1)*Y127),IF(V127=3,AA$100*EXP(-(LN(2)/$D$65+0.04)*(VLOOKUP(($F$16-$F$15)-1,U$99:Y127,4,FALSE)))*EXP(-(LN(2)/$D$65+0.1)*(VLOOKUP(($F$16-$F$15)-1,U$99:Y127,5,FALSE)))*EXP(-(LN(2)/$D$65+0.04)*(VLOOKUP(($F$16-$F$15)*2-1,U$99:Y127,4,FALSE)))*EXP(-(LN(2)/$D$65+0.1)*(VLOOKUP(($F$16-$F$15)*2-1,U$99:Y127,5,FALSE)))*EXP(-(LN(2)/$D$65+0.04)*X127)*EXP(-(LN(2)/$D$65+0.1)*Y127),"-"))),"-")</f>
        <v>-</v>
      </c>
      <c r="AB128" s="271" t="str">
        <f>IFERROR(IF(V128=1,AB$100*EXP(-(LN(2)/$D$65+0.04)*X128)*EXP(-(LN(2)/$D$65+0.1)*Y128),IF(V128=2,AB$100*EXP(-(LN(2)/$D$65+0.04)*(VLOOKUP(($F$16-$F$15)-1,U$100:Y128,4,FALSE)))*EXP(-(LN(2)/$D$65+0.1)*(VLOOKUP(($F$16-$F$15)-1,U$100:Y128,5,FALSE)))*EXP(-(LN(2)/$D$65+0.04)*X128)*EXP(-(LN(2)/$D$65+0.1)*Y128),IF(V128=3,AB$100*EXP(-(LN(2)/$D$65+0.04)*(VLOOKUP(($F$16-$F$15)-1,U$100:Y128,4,FALSE)))*EXP(-(LN(2)/$D$65+0.1)*(VLOOKUP(($F$16-$F$15)-1,U$100:Y128,5,FALSE)))*EXP(-(LN(2)/$D$65+0.04)*(VLOOKUP(($F$16-$F$15)*2-1,U$100:Y128,4,FALSE)))*EXP(-(LN(2)/$D$65+0.1)*(VLOOKUP(($F$16-$F$15)*2-1,U$100:Y128,5,FALSE)))*EXP(-(LN(2)/$D$65+0.04)*X128)*EXP(-(LN(2)/$D$65+0.1)*Y128),"-"))),"-")</f>
        <v>-</v>
      </c>
      <c r="AC128" s="224">
        <f t="shared" si="45"/>
        <v>28</v>
      </c>
      <c r="AD128" s="223" t="str">
        <f t="shared" si="14"/>
        <v>-</v>
      </c>
      <c r="AE128" s="224" t="str">
        <f t="shared" si="46"/>
        <v>-</v>
      </c>
      <c r="AF128" s="224" t="str">
        <f t="shared" si="15"/>
        <v>-</v>
      </c>
      <c r="AG128" s="224" t="str">
        <f t="shared" si="16"/>
        <v>-</v>
      </c>
      <c r="AH128" s="272">
        <f t="shared" si="47"/>
        <v>0.1</v>
      </c>
      <c r="AI128" s="271" t="str">
        <f>IFERROR(IF(AD127=1,AI$100*EXP(-(LN(2)/$D$65+0.04)*AF127)*EXP(-(LN(2)/$D$65+0.1)*AG127),IF(AD127=2,AI$100*EXP(-(LN(2)/$D$65+0.04)*(VLOOKUP(($F$16-$F$15)-1,AC$99:AG127,4,FALSE)))*EXP(-(LN(2)/$D$65+0.1)*(VLOOKUP(($F$16-$F$15)-1,AC$99:AG127,5,FALSE)))*EXP(-(LN(2)/$D$65+0.04)*AF127)*EXP(-(LN(2)/$D$65+0.1)*AG127),IF(AD127=3,AI$100*EXP(-(LN(2)/$D$65+0.04)*(VLOOKUP(($F$16-$F$15)-1,AC$99:AG127,4,FALSE)))*EXP(-(LN(2)/$D$65+0.1)*(VLOOKUP(($F$16-$F$15)-1,AC$99:AG127,5,FALSE)))*EXP(-(LN(2)/$D$65+0.04)*(VLOOKUP(($F$16-$F$15)*2-1,AC$99:AG127,4,FALSE)))*EXP(-(LN(2)/$D$65+0.1)*(VLOOKUP(($F$16-$F$15)*2-1,AC$99:AG127,5,FALSE)))*EXP(-(LN(2)/$D$65+0.04)*AF127)*EXP(-(LN(2)/$D$65+0.1)*AG127),"-"))),"-")</f>
        <v>-</v>
      </c>
      <c r="AJ128" s="271" t="str">
        <f>IFERROR(IF(AD128=1,AJ$100*EXP(-(LN(2)/$D$65+0.04)*AF128)*EXP(-(LN(2)/$D$65+0.1)*AG128),IF(AD128=2,AJ$100*EXP(-(LN(2)/$D$65+0.04)*(VLOOKUP(($F$16-$F$15)-1,AC$100:AG128,4,FALSE)))*EXP(-(LN(2)/$D$65+0.1)*(VLOOKUP(($F$16-$F$15)-1,AC$100:AG128,5,FALSE)))*EXP(-(LN(2)/$D$65+0.04)*AF128)*EXP(-(LN(2)/$D$65+0.1)*AG128),IF(AD128=3,AJ$100*EXP(-(LN(2)/$D$65+0.04)*(VLOOKUP(($F$16-$F$15)-1,AC$100:AG128,4,FALSE)))*EXP(-(LN(2)/$D$65+0.1)*(VLOOKUP(($F$16-$F$15)-1,AC$100:AG128,5,FALSE)))*EXP(-(LN(2)/$D$65+0.04)*(VLOOKUP(($F$16-$F$15)*2-1,AC$100:AG128,4,FALSE)))*EXP(-(LN(2)/$D$65+0.1)*(VLOOKUP(($F$16-$F$15)*2-1,AC$100:AG128,5,FALSE)))*EXP(-(LN(2)/$D$65+0.04)*AF128)*EXP(-(LN(2)/$D$65+0.1)*AG128),"-"))),"-")</f>
        <v>-</v>
      </c>
      <c r="AK128" s="227">
        <f t="shared" si="49"/>
        <v>28</v>
      </c>
      <c r="AL128" s="226" t="str">
        <f t="shared" si="18"/>
        <v>-</v>
      </c>
      <c r="AM128" s="227" t="str">
        <f t="shared" si="50"/>
        <v>-</v>
      </c>
      <c r="AN128" s="227" t="str">
        <f t="shared" si="51"/>
        <v>-</v>
      </c>
      <c r="AO128" s="227" t="str">
        <f t="shared" si="19"/>
        <v>-</v>
      </c>
      <c r="AP128" s="273">
        <f t="shared" si="52"/>
        <v>0.1</v>
      </c>
      <c r="AQ128" s="271" t="str">
        <f>IFERROR(IF(AL127=1,AQ$100*EXP(-(LN(2)/$D$65+0.04)*AN127)*EXP(-(LN(2)/$D$65+0.1)*AO127),IF(AL127=2,AQ$100*EXP(-(LN(2)/$D$65+0.04)*(VLOOKUP(($F$16-$F$15)-1,AK$99:AO127,4,FALSE)))*EXP(-(LN(2)/$D$65+0.1)*(VLOOKUP(($F$16-$F$15)-1,AK$99:AO127,5,FALSE)))*EXP(-(LN(2)/$D$65+0.04)*AN127)*EXP(-(LN(2)/$D$65+0.1)*AO127),IF(AL127=3,AQ$100*EXP(-(LN(2)/$D$65+0.04)*(VLOOKUP(($F$16-$F$15)-1,AK$99:AO127,4,FALSE)))*EXP(-(LN(2)/$D$65+0.1)*(VLOOKUP(($F$16-$F$15)-1,AK$99:AO127,5,FALSE)))*EXP(-(LN(2)/$D$65+0.04)*(VLOOKUP(($F$16-$F$15)*2-1,AK$99:AO127,4,FALSE)))*EXP(-(LN(2)/$D$65+0.1)*(VLOOKUP(($F$16-$F$15)*2-1,AK$99:AO127,5,FALSE)))*EXP(-(LN(2)/$D$65+0.04)*AN127)*EXP(-(LN(2)/$D$65+0.1)*AO127),"-"))),"-")</f>
        <v>-</v>
      </c>
      <c r="AR128" s="271" t="str">
        <f>IFERROR(IF(AL128=1,AR$100*EXP(-(LN(2)/$D$65+0.04)*AN128)*EXP(-(LN(2)/$D$65+0.1)*AO128),IF(AL128=2,AR$100*EXP(-(LN(2)/$D$65+0.04)*(VLOOKUP(($F$16-$F$15)-1,AK$100:AO128,4,FALSE)))*EXP(-(LN(2)/$D$65+0.1)*(VLOOKUP(($F$16-$F$15)-1,AK$100:AO128,5,FALSE)))*EXP(-(LN(2)/$D$65+0.04)*AN128)*EXP(-(LN(2)/$D$65+0.1)*AO128),IF(AL128=3,AR$100*EXP(-(LN(2)/$D$65+0.04)*(VLOOKUP(($F$16-$F$15)-1,AK$100:AO128,4,FALSE)))*EXP(-(LN(2)/$D$65+0.1)*(VLOOKUP(($F$16-$F$15)-1,AK$100:AO128,5,FALSE)))*EXP(-(LN(2)/$D$65+0.04)*(VLOOKUP(($F$16-$F$15)*2-1,AK$100:AO128,4,FALSE)))*EXP(-(LN(2)/$D$65+0.1)*(VLOOKUP(($F$16-$F$15)*2-1,AK$100:AO128,5,FALSE)))*EXP(-(LN(2)/$D$65+0.04)*AN128)*EXP(-(LN(2)/$D$65+0.1)*AO128),"-"))),"-")</f>
        <v>-</v>
      </c>
      <c r="AS128" s="274">
        <f t="shared" si="20"/>
        <v>0</v>
      </c>
      <c r="AT128" s="274">
        <f t="shared" si="21"/>
        <v>0</v>
      </c>
      <c r="AU128" s="274">
        <f t="shared" si="22"/>
        <v>0</v>
      </c>
      <c r="AV128" s="190">
        <f>IF($B128&lt;$F$22,SUM($T$100:$T128),"")</f>
        <v>0</v>
      </c>
      <c r="AW128" s="190" t="str">
        <f t="shared" si="55"/>
        <v>-</v>
      </c>
      <c r="AX128" s="190" t="str">
        <f t="shared" si="56"/>
        <v/>
      </c>
      <c r="AY128"/>
      <c r="AZ128" s="190" t="str">
        <f ca="1">IF(ISNUMBER(OFFSET(AV128,-$F$21,0)),SUM(OFFSET($T$100,$F$21,0):$T128),"")</f>
        <v/>
      </c>
      <c r="BA128" s="190" t="str">
        <f t="shared" ca="1" si="23"/>
        <v/>
      </c>
      <c r="BB128" s="190" t="str">
        <f t="shared" ca="1" si="70"/>
        <v/>
      </c>
      <c r="BC128" s="190"/>
      <c r="BD128" s="190" t="str">
        <f ca="1">IFERROR(IF(AND($B128&gt;=($F$16-$F$15),$B128&lt;$F$22+($F$16-$F$15)),SUM(OFFSET($T$100,($F$16-$F$15),0):$T128),""),"")</f>
        <v/>
      </c>
      <c r="BE128" s="190" t="str">
        <f t="shared" ca="1" si="58"/>
        <v/>
      </c>
      <c r="BF128" s="190" t="str">
        <f t="shared" ca="1" si="59"/>
        <v/>
      </c>
      <c r="BG128"/>
      <c r="BH128" s="190" t="str">
        <f ca="1">IF(ISNUMBER(OFFSET(BD128,-$F$21,0)),SUM(OFFSET($T$100,($F$16-$F$15+$F$21),0):$T128),"")</f>
        <v/>
      </c>
      <c r="BI128" s="190" t="str">
        <f t="shared" ca="1" si="24"/>
        <v/>
      </c>
      <c r="BJ128" s="190" t="str">
        <f t="shared" ca="1" si="60"/>
        <v/>
      </c>
      <c r="BK128" s="190"/>
      <c r="BL128" s="190" t="str">
        <f ca="1">IFERROR(IF(AND($B128&gt;=($F$17-$F$15),$B128&lt;$F$22+($F$17-$F$15)),SUM(OFFSET($T$100,($F$17-$F$15),0):$T128),""),"")</f>
        <v/>
      </c>
      <c r="BM128" s="190" t="str">
        <f t="shared" ca="1" si="25"/>
        <v/>
      </c>
      <c r="BN128" s="190" t="str">
        <f t="shared" ca="1" si="61"/>
        <v/>
      </c>
      <c r="BO128"/>
      <c r="BP128" s="190" t="str">
        <f ca="1">IF(ISNUMBER(OFFSET(BL128,-$F$21,0)),SUM(OFFSET($T$100,($F$17-$F$15+$F$21),0):$T128),"")</f>
        <v/>
      </c>
      <c r="BQ128" s="190" t="str">
        <f t="shared" ca="1" si="62"/>
        <v/>
      </c>
      <c r="BR128" s="190" t="str">
        <f t="shared" ca="1" si="63"/>
        <v/>
      </c>
      <c r="BS128" s="190"/>
      <c r="BT128"/>
      <c r="BU128"/>
      <c r="BV128"/>
      <c r="BY128" s="99"/>
      <c r="BZ128" s="99"/>
      <c r="CA128" s="280" t="str">
        <f t="shared" si="26"/>
        <v/>
      </c>
      <c r="CB128" s="71" t="str">
        <f t="shared" si="27"/>
        <v>-</v>
      </c>
      <c r="CC128" s="33"/>
      <c r="CD128" s="261" t="str">
        <f t="shared" si="29"/>
        <v/>
      </c>
      <c r="CE128" s="280" t="str">
        <f t="shared" si="30"/>
        <v>-</v>
      </c>
      <c r="CF128" s="71" t="str">
        <f t="shared" ca="1" si="31"/>
        <v>-</v>
      </c>
      <c r="CG128" s="33" t="str">
        <f t="shared" si="32"/>
        <v>28-29</v>
      </c>
      <c r="CH128" s="261" t="str">
        <f t="shared" ca="1" si="33"/>
        <v/>
      </c>
      <c r="CI128" s="99"/>
      <c r="CJ128" s="99"/>
      <c r="CK128" s="99"/>
      <c r="CL128" s="99"/>
      <c r="CM128" s="99"/>
      <c r="CN128" s="99"/>
      <c r="CO128" s="99"/>
    </row>
    <row r="129" spans="2:93" ht="13.5" customHeight="1" x14ac:dyDescent="0.2">
      <c r="B129" s="262">
        <v>29</v>
      </c>
      <c r="C129" s="237" t="str">
        <f t="shared" si="1"/>
        <v/>
      </c>
      <c r="D129" s="237" t="str">
        <f t="shared" si="66"/>
        <v>-</v>
      </c>
      <c r="E129" s="290" t="str">
        <f t="shared" si="34"/>
        <v/>
      </c>
      <c r="F129" s="264" t="str">
        <f t="shared" si="35"/>
        <v/>
      </c>
      <c r="G129" s="291" t="str">
        <f t="shared" si="36"/>
        <v/>
      </c>
      <c r="H129" s="240" t="str">
        <f t="shared" si="37"/>
        <v/>
      </c>
      <c r="I129" s="265" t="str">
        <f t="shared" si="2"/>
        <v/>
      </c>
      <c r="J129" s="265" t="str">
        <f t="shared" si="3"/>
        <v/>
      </c>
      <c r="K129" s="240" t="str">
        <f t="shared" si="4"/>
        <v/>
      </c>
      <c r="L129" s="265" t="str">
        <f t="shared" si="5"/>
        <v/>
      </c>
      <c r="M129" s="265" t="str">
        <f t="shared" si="6"/>
        <v/>
      </c>
      <c r="N129" s="240" t="str">
        <f t="shared" si="7"/>
        <v>-</v>
      </c>
      <c r="O129" s="265" t="str">
        <f t="shared" si="38"/>
        <v>-</v>
      </c>
      <c r="P129" s="265" t="str">
        <f t="shared" si="39"/>
        <v>-</v>
      </c>
      <c r="Q129" s="266" t="str">
        <f t="shared" si="8"/>
        <v>-</v>
      </c>
      <c r="R129" s="267" t="str">
        <f t="shared" si="40"/>
        <v>-</v>
      </c>
      <c r="S129" s="268" t="str">
        <f t="shared" si="41"/>
        <v>-</v>
      </c>
      <c r="T129" s="269" t="str">
        <f t="shared" si="9"/>
        <v/>
      </c>
      <c r="U129" s="221">
        <f t="shared" si="10"/>
        <v>29</v>
      </c>
      <c r="V129" s="220" t="str">
        <f t="shared" si="42"/>
        <v>-</v>
      </c>
      <c r="W129" s="221" t="str">
        <f t="shared" si="43"/>
        <v>-</v>
      </c>
      <c r="X129" s="221" t="str">
        <f t="shared" si="11"/>
        <v>-</v>
      </c>
      <c r="Y129" s="221" t="str">
        <f t="shared" si="12"/>
        <v>-</v>
      </c>
      <c r="Z129" s="270">
        <f t="shared" si="44"/>
        <v>0.1</v>
      </c>
      <c r="AA129" s="271" t="str">
        <f>IFERROR(IF(V128=1,AA$100*EXP(-(LN(2)/$D$65+0.04)*X128)*EXP(-(LN(2)/$D$65+0.1)*Y128),IF(V128=2,AA$100*EXP(-(LN(2)/$D$65+0.04)*(VLOOKUP(($F$16-$F$15)-1,U$99:Y128,4,FALSE)))*EXP(-(LN(2)/$D$65+0.1)*(VLOOKUP(($F$16-$F$15)-1,U$99:Y128,5,FALSE)))*EXP(-(LN(2)/$D$65+0.04)*X128)*EXP(-(LN(2)/$D$65+0.1)*Y128),IF(V128=3,AA$100*EXP(-(LN(2)/$D$65+0.04)*(VLOOKUP(($F$16-$F$15)-1,U$99:Y128,4,FALSE)))*EXP(-(LN(2)/$D$65+0.1)*(VLOOKUP(($F$16-$F$15)-1,U$99:Y128,5,FALSE)))*EXP(-(LN(2)/$D$65+0.04)*(VLOOKUP(($F$16-$F$15)*2-1,U$99:Y128,4,FALSE)))*EXP(-(LN(2)/$D$65+0.1)*(VLOOKUP(($F$16-$F$15)*2-1,U$99:Y128,5,FALSE)))*EXP(-(LN(2)/$D$65+0.04)*X128)*EXP(-(LN(2)/$D$65+0.1)*Y128),"-"))),"-")</f>
        <v>-</v>
      </c>
      <c r="AB129" s="271" t="str">
        <f>IFERROR(IF(V129=1,AB$100*EXP(-(LN(2)/$D$65+0.04)*X129)*EXP(-(LN(2)/$D$65+0.1)*Y129),IF(V129=2,AB$100*EXP(-(LN(2)/$D$65+0.04)*(VLOOKUP(($F$16-$F$15)-1,U$100:Y129,4,FALSE)))*EXP(-(LN(2)/$D$65+0.1)*(VLOOKUP(($F$16-$F$15)-1,U$100:Y129,5,FALSE)))*EXP(-(LN(2)/$D$65+0.04)*X129)*EXP(-(LN(2)/$D$65+0.1)*Y129),IF(V129=3,AB$100*EXP(-(LN(2)/$D$65+0.04)*(VLOOKUP(($F$16-$F$15)-1,U$100:Y129,4,FALSE)))*EXP(-(LN(2)/$D$65+0.1)*(VLOOKUP(($F$16-$F$15)-1,U$100:Y129,5,FALSE)))*EXP(-(LN(2)/$D$65+0.04)*(VLOOKUP(($F$16-$F$15)*2-1,U$100:Y129,4,FALSE)))*EXP(-(LN(2)/$D$65+0.1)*(VLOOKUP(($F$16-$F$15)*2-1,U$100:Y129,5,FALSE)))*EXP(-(LN(2)/$D$65+0.04)*X129)*EXP(-(LN(2)/$D$65+0.1)*Y129),"-"))),"-")</f>
        <v>-</v>
      </c>
      <c r="AC129" s="224">
        <f t="shared" si="45"/>
        <v>29</v>
      </c>
      <c r="AD129" s="223" t="str">
        <f t="shared" si="14"/>
        <v>-</v>
      </c>
      <c r="AE129" s="224" t="str">
        <f t="shared" si="46"/>
        <v>-</v>
      </c>
      <c r="AF129" s="224" t="str">
        <f t="shared" si="15"/>
        <v>-</v>
      </c>
      <c r="AG129" s="224" t="str">
        <f t="shared" si="16"/>
        <v>-</v>
      </c>
      <c r="AH129" s="272">
        <f t="shared" si="47"/>
        <v>0.1</v>
      </c>
      <c r="AI129" s="271" t="str">
        <f>IFERROR(IF(AD128=1,AI$100*EXP(-(LN(2)/$D$65+0.04)*AF128)*EXP(-(LN(2)/$D$65+0.1)*AG128),IF(AD128=2,AI$100*EXP(-(LN(2)/$D$65+0.04)*(VLOOKUP(($F$16-$F$15)-1,AC$99:AG128,4,FALSE)))*EXP(-(LN(2)/$D$65+0.1)*(VLOOKUP(($F$16-$F$15)-1,AC$99:AG128,5,FALSE)))*EXP(-(LN(2)/$D$65+0.04)*AF128)*EXP(-(LN(2)/$D$65+0.1)*AG128),IF(AD128=3,AI$100*EXP(-(LN(2)/$D$65+0.04)*(VLOOKUP(($F$16-$F$15)-1,AC$99:AG128,4,FALSE)))*EXP(-(LN(2)/$D$65+0.1)*(VLOOKUP(($F$16-$F$15)-1,AC$99:AG128,5,FALSE)))*EXP(-(LN(2)/$D$65+0.04)*(VLOOKUP(($F$16-$F$15)*2-1,AC$99:AG128,4,FALSE)))*EXP(-(LN(2)/$D$65+0.1)*(VLOOKUP(($F$16-$F$15)*2-1,AC$99:AG128,5,FALSE)))*EXP(-(LN(2)/$D$65+0.04)*AF128)*EXP(-(LN(2)/$D$65+0.1)*AG128),"-"))),"-")</f>
        <v>-</v>
      </c>
      <c r="AJ129" s="271" t="str">
        <f>IFERROR(IF(AD129=1,AJ$100*EXP(-(LN(2)/$D$65+0.04)*AF129)*EXP(-(LN(2)/$D$65+0.1)*AG129),IF(AD129=2,AJ$100*EXP(-(LN(2)/$D$65+0.04)*(VLOOKUP(($F$16-$F$15)-1,AC$100:AG129,4,FALSE)))*EXP(-(LN(2)/$D$65+0.1)*(VLOOKUP(($F$16-$F$15)-1,AC$100:AG129,5,FALSE)))*EXP(-(LN(2)/$D$65+0.04)*AF129)*EXP(-(LN(2)/$D$65+0.1)*AG129),IF(AD129=3,AJ$100*EXP(-(LN(2)/$D$65+0.04)*(VLOOKUP(($F$16-$F$15)-1,AC$100:AG129,4,FALSE)))*EXP(-(LN(2)/$D$65+0.1)*(VLOOKUP(($F$16-$F$15)-1,AC$100:AG129,5,FALSE)))*EXP(-(LN(2)/$D$65+0.04)*(VLOOKUP(($F$16-$F$15)*2-1,AC$100:AG129,4,FALSE)))*EXP(-(LN(2)/$D$65+0.1)*(VLOOKUP(($F$16-$F$15)*2-1,AC$100:AG129,5,FALSE)))*EXP(-(LN(2)/$D$65+0.04)*AF129)*EXP(-(LN(2)/$D$65+0.1)*AG129),"-"))),"-")</f>
        <v>-</v>
      </c>
      <c r="AK129" s="227">
        <f t="shared" si="49"/>
        <v>29</v>
      </c>
      <c r="AL129" s="226" t="str">
        <f t="shared" si="18"/>
        <v>-</v>
      </c>
      <c r="AM129" s="227" t="str">
        <f t="shared" si="50"/>
        <v>-</v>
      </c>
      <c r="AN129" s="227" t="str">
        <f t="shared" si="51"/>
        <v>-</v>
      </c>
      <c r="AO129" s="227" t="str">
        <f t="shared" si="19"/>
        <v>-</v>
      </c>
      <c r="AP129" s="273">
        <f t="shared" si="52"/>
        <v>0.1</v>
      </c>
      <c r="AQ129" s="271" t="str">
        <f>IFERROR(IF(AL128=1,AQ$100*EXP(-(LN(2)/$D$65+0.04)*AN128)*EXP(-(LN(2)/$D$65+0.1)*AO128),IF(AL128=2,AQ$100*EXP(-(LN(2)/$D$65+0.04)*(VLOOKUP(($F$16-$F$15)-1,AK$99:AO128,4,FALSE)))*EXP(-(LN(2)/$D$65+0.1)*(VLOOKUP(($F$16-$F$15)-1,AK$99:AO128,5,FALSE)))*EXP(-(LN(2)/$D$65+0.04)*AN128)*EXP(-(LN(2)/$D$65+0.1)*AO128),IF(AL128=3,AQ$100*EXP(-(LN(2)/$D$65+0.04)*(VLOOKUP(($F$16-$F$15)-1,AK$99:AO128,4,FALSE)))*EXP(-(LN(2)/$D$65+0.1)*(VLOOKUP(($F$16-$F$15)-1,AK$99:AO128,5,FALSE)))*EXP(-(LN(2)/$D$65+0.04)*(VLOOKUP(($F$16-$F$15)*2-1,AK$99:AO128,4,FALSE)))*EXP(-(LN(2)/$D$65+0.1)*(VLOOKUP(($F$16-$F$15)*2-1,AK$99:AO128,5,FALSE)))*EXP(-(LN(2)/$D$65+0.04)*AN128)*EXP(-(LN(2)/$D$65+0.1)*AO128),"-"))),"-")</f>
        <v>-</v>
      </c>
      <c r="AR129" s="271" t="str">
        <f>IFERROR(IF(AL129=1,AR$100*EXP(-(LN(2)/$D$65+0.04)*AN129)*EXP(-(LN(2)/$D$65+0.1)*AO129),IF(AL129=2,AR$100*EXP(-(LN(2)/$D$65+0.04)*(VLOOKUP(($F$16-$F$15)-1,AK$100:AO129,4,FALSE)))*EXP(-(LN(2)/$D$65+0.1)*(VLOOKUP(($F$16-$F$15)-1,AK$100:AO129,5,FALSE)))*EXP(-(LN(2)/$D$65+0.04)*AN129)*EXP(-(LN(2)/$D$65+0.1)*AO129),IF(AL129=3,AR$100*EXP(-(LN(2)/$D$65+0.04)*(VLOOKUP(($F$16-$F$15)-1,AK$100:AO129,4,FALSE)))*EXP(-(LN(2)/$D$65+0.1)*(VLOOKUP(($F$16-$F$15)-1,AK$100:AO129,5,FALSE)))*EXP(-(LN(2)/$D$65+0.04)*(VLOOKUP(($F$16-$F$15)*2-1,AK$100:AO129,4,FALSE)))*EXP(-(LN(2)/$D$65+0.1)*(VLOOKUP(($F$16-$F$15)*2-1,AK$100:AO129,5,FALSE)))*EXP(-(LN(2)/$D$65+0.04)*AN129)*EXP(-(LN(2)/$D$65+0.1)*AO129),"-"))),"-")</f>
        <v>-</v>
      </c>
      <c r="AS129" s="274">
        <f t="shared" si="20"/>
        <v>0</v>
      </c>
      <c r="AT129" s="274">
        <f t="shared" si="21"/>
        <v>0</v>
      </c>
      <c r="AU129" s="274">
        <f t="shared" si="22"/>
        <v>0</v>
      </c>
      <c r="AV129" s="190">
        <f>IF($B129&lt;$F$22,SUM($T$100:$T129),"")</f>
        <v>0</v>
      </c>
      <c r="AW129" s="190" t="str">
        <f t="shared" si="55"/>
        <v>-</v>
      </c>
      <c r="AX129" s="190" t="str">
        <f t="shared" si="56"/>
        <v/>
      </c>
      <c r="AY129"/>
      <c r="AZ129" s="190" t="str">
        <f ca="1">IF(ISNUMBER(OFFSET(AV129,-$F$21,0)),SUM(OFFSET($T$100,$F$21,0):$T129),"")</f>
        <v/>
      </c>
      <c r="BA129" s="190" t="str">
        <f t="shared" ca="1" si="23"/>
        <v/>
      </c>
      <c r="BB129" s="190" t="str">
        <f t="shared" ca="1" si="70"/>
        <v/>
      </c>
      <c r="BC129" s="190"/>
      <c r="BD129" s="190" t="str">
        <f ca="1">IFERROR(IF(AND($B129&gt;=($F$16-$F$15),$B129&lt;$F$22+($F$16-$F$15)),SUM(OFFSET($T$100,($F$16-$F$15),0):$T129),""),"")</f>
        <v/>
      </c>
      <c r="BE129" s="190" t="str">
        <f t="shared" ca="1" si="58"/>
        <v/>
      </c>
      <c r="BF129" s="190" t="str">
        <f t="shared" ca="1" si="59"/>
        <v/>
      </c>
      <c r="BG129"/>
      <c r="BH129" s="190" t="str">
        <f ca="1">IF(ISNUMBER(OFFSET(BD129,-$F$21,0)),SUM(OFFSET($T$100,($F$16-$F$15+$F$21),0):$T129),"")</f>
        <v/>
      </c>
      <c r="BI129" s="190" t="str">
        <f t="shared" ca="1" si="24"/>
        <v/>
      </c>
      <c r="BJ129" s="190" t="str">
        <f t="shared" ca="1" si="60"/>
        <v/>
      </c>
      <c r="BK129" s="190"/>
      <c r="BL129" s="190" t="str">
        <f ca="1">IFERROR(IF(AND($B129&gt;=($F$17-$F$15),$B129&lt;$F$22+($F$17-$F$15)),SUM(OFFSET($T$100,($F$17-$F$15),0):$T129),""),"")</f>
        <v/>
      </c>
      <c r="BM129" s="190" t="str">
        <f t="shared" ca="1" si="25"/>
        <v/>
      </c>
      <c r="BN129" s="190" t="str">
        <f t="shared" ca="1" si="61"/>
        <v/>
      </c>
      <c r="BO129"/>
      <c r="BP129" s="190" t="str">
        <f ca="1">IF(ISNUMBER(OFFSET(BL129,-$F$21,0)),SUM(OFFSET($T$100,($F$17-$F$15+$F$21),0):$T129),"")</f>
        <v/>
      </c>
      <c r="BQ129" s="190" t="str">
        <f t="shared" ca="1" si="62"/>
        <v/>
      </c>
      <c r="BR129" s="190" t="str">
        <f t="shared" ca="1" si="63"/>
        <v/>
      </c>
      <c r="BS129" s="190"/>
      <c r="BT129"/>
      <c r="BU129"/>
      <c r="BV129"/>
      <c r="BY129" s="99"/>
      <c r="BZ129" s="99"/>
      <c r="CA129" s="280" t="str">
        <f t="shared" si="26"/>
        <v/>
      </c>
      <c r="CB129" s="71" t="str">
        <f t="shared" si="27"/>
        <v>-</v>
      </c>
      <c r="CC129" s="33"/>
      <c r="CD129" s="261" t="str">
        <f t="shared" si="29"/>
        <v/>
      </c>
      <c r="CE129" s="280" t="str">
        <f t="shared" si="30"/>
        <v>-</v>
      </c>
      <c r="CF129" s="71" t="str">
        <f t="shared" ca="1" si="31"/>
        <v>-</v>
      </c>
      <c r="CG129" s="33" t="str">
        <f t="shared" si="32"/>
        <v>29-30</v>
      </c>
      <c r="CH129" s="261" t="str">
        <f t="shared" ca="1" si="33"/>
        <v/>
      </c>
      <c r="CI129" s="99"/>
      <c r="CJ129" s="99"/>
      <c r="CK129" s="99"/>
      <c r="CL129" s="99"/>
      <c r="CM129" s="99"/>
      <c r="CN129" s="99"/>
      <c r="CO129" s="99"/>
    </row>
    <row r="130" spans="2:93" ht="13.5" customHeight="1" x14ac:dyDescent="0.2">
      <c r="B130" s="262">
        <v>30</v>
      </c>
      <c r="C130" s="237" t="str">
        <f t="shared" si="1"/>
        <v/>
      </c>
      <c r="D130" s="237" t="str">
        <f t="shared" si="66"/>
        <v>-</v>
      </c>
      <c r="E130" s="290" t="str">
        <f t="shared" si="34"/>
        <v/>
      </c>
      <c r="F130" s="264" t="str">
        <f t="shared" si="35"/>
        <v/>
      </c>
      <c r="G130" s="291" t="str">
        <f t="shared" si="36"/>
        <v/>
      </c>
      <c r="H130" s="240" t="str">
        <f t="shared" si="37"/>
        <v/>
      </c>
      <c r="I130" s="265" t="str">
        <f t="shared" si="2"/>
        <v/>
      </c>
      <c r="J130" s="265" t="str">
        <f t="shared" si="3"/>
        <v/>
      </c>
      <c r="K130" s="240" t="str">
        <f t="shared" si="4"/>
        <v/>
      </c>
      <c r="L130" s="265" t="str">
        <f t="shared" si="5"/>
        <v/>
      </c>
      <c r="M130" s="265" t="str">
        <f t="shared" si="6"/>
        <v/>
      </c>
      <c r="N130" s="240" t="str">
        <f t="shared" si="7"/>
        <v>-</v>
      </c>
      <c r="O130" s="265" t="str">
        <f t="shared" si="38"/>
        <v>-</v>
      </c>
      <c r="P130" s="265" t="str">
        <f t="shared" si="39"/>
        <v>-</v>
      </c>
      <c r="Q130" s="266" t="str">
        <f t="shared" si="8"/>
        <v>-</v>
      </c>
      <c r="R130" s="267" t="str">
        <f t="shared" si="40"/>
        <v>-</v>
      </c>
      <c r="S130" s="268" t="str">
        <f t="shared" si="41"/>
        <v>-</v>
      </c>
      <c r="T130" s="269" t="str">
        <f t="shared" si="9"/>
        <v/>
      </c>
      <c r="U130" s="221">
        <f t="shared" si="10"/>
        <v>30</v>
      </c>
      <c r="V130" s="220" t="str">
        <f t="shared" si="42"/>
        <v>-</v>
      </c>
      <c r="W130" s="221" t="str">
        <f t="shared" si="43"/>
        <v>-</v>
      </c>
      <c r="X130" s="221" t="str">
        <f t="shared" si="11"/>
        <v>-</v>
      </c>
      <c r="Y130" s="221" t="str">
        <f t="shared" si="12"/>
        <v>-</v>
      </c>
      <c r="Z130" s="270">
        <f t="shared" si="44"/>
        <v>0.1</v>
      </c>
      <c r="AA130" s="271" t="str">
        <f>IFERROR(IF(V129=1,AA$100*EXP(-(LN(2)/$D$65+0.04)*X129)*EXP(-(LN(2)/$D$65+0.1)*Y129),IF(V129=2,AA$100*EXP(-(LN(2)/$D$65+0.04)*(VLOOKUP(($F$16-$F$15)-1,U$99:Y129,4,FALSE)))*EXP(-(LN(2)/$D$65+0.1)*(VLOOKUP(($F$16-$F$15)-1,U$99:Y129,5,FALSE)))*EXP(-(LN(2)/$D$65+0.04)*X129)*EXP(-(LN(2)/$D$65+0.1)*Y129),IF(V129=3,AA$100*EXP(-(LN(2)/$D$65+0.04)*(VLOOKUP(($F$16-$F$15)-1,U$99:Y129,4,FALSE)))*EXP(-(LN(2)/$D$65+0.1)*(VLOOKUP(($F$16-$F$15)-1,U$99:Y129,5,FALSE)))*EXP(-(LN(2)/$D$65+0.04)*(VLOOKUP(($F$16-$F$15)*2-1,U$99:Y129,4,FALSE)))*EXP(-(LN(2)/$D$65+0.1)*(VLOOKUP(($F$16-$F$15)*2-1,U$99:Y129,5,FALSE)))*EXP(-(LN(2)/$D$65+0.04)*X129)*EXP(-(LN(2)/$D$65+0.1)*Y129),"-"))),"-")</f>
        <v>-</v>
      </c>
      <c r="AB130" s="271" t="str">
        <f>IFERROR(IF(V130=1,AB$100*EXP(-(LN(2)/$D$65+0.04)*X130)*EXP(-(LN(2)/$D$65+0.1)*Y130),IF(V130=2,AB$100*EXP(-(LN(2)/$D$65+0.04)*(VLOOKUP(($F$16-$F$15)-1,U$100:Y130,4,FALSE)))*EXP(-(LN(2)/$D$65+0.1)*(VLOOKUP(($F$16-$F$15)-1,U$100:Y130,5,FALSE)))*EXP(-(LN(2)/$D$65+0.04)*X130)*EXP(-(LN(2)/$D$65+0.1)*Y130),IF(V130=3,AB$100*EXP(-(LN(2)/$D$65+0.04)*(VLOOKUP(($F$16-$F$15)-1,U$100:Y130,4,FALSE)))*EXP(-(LN(2)/$D$65+0.1)*(VLOOKUP(($F$16-$F$15)-1,U$100:Y130,5,FALSE)))*EXP(-(LN(2)/$D$65+0.04)*(VLOOKUP(($F$16-$F$15)*2-1,U$100:Y130,4,FALSE)))*EXP(-(LN(2)/$D$65+0.1)*(VLOOKUP(($F$16-$F$15)*2-1,U$100:Y130,5,FALSE)))*EXP(-(LN(2)/$D$65+0.04)*X130)*EXP(-(LN(2)/$D$65+0.1)*Y130),"-"))),"-")</f>
        <v>-</v>
      </c>
      <c r="AC130" s="224">
        <f t="shared" si="45"/>
        <v>30</v>
      </c>
      <c r="AD130" s="223" t="str">
        <f t="shared" si="14"/>
        <v>-</v>
      </c>
      <c r="AE130" s="224" t="str">
        <f t="shared" si="46"/>
        <v>-</v>
      </c>
      <c r="AF130" s="224" t="str">
        <f t="shared" si="15"/>
        <v>-</v>
      </c>
      <c r="AG130" s="224" t="str">
        <f t="shared" si="16"/>
        <v>-</v>
      </c>
      <c r="AH130" s="272">
        <f t="shared" si="47"/>
        <v>0.1</v>
      </c>
      <c r="AI130" s="271" t="str">
        <f>IFERROR(IF(AD129=1,AI$100*EXP(-(LN(2)/$D$65+0.04)*AF129)*EXP(-(LN(2)/$D$65+0.1)*AG129),IF(AD129=2,AI$100*EXP(-(LN(2)/$D$65+0.04)*(VLOOKUP(($F$16-$F$15)-1,AC$99:AG129,4,FALSE)))*EXP(-(LN(2)/$D$65+0.1)*(VLOOKUP(($F$16-$F$15)-1,AC$99:AG129,5,FALSE)))*EXP(-(LN(2)/$D$65+0.04)*AF129)*EXP(-(LN(2)/$D$65+0.1)*AG129),IF(AD129=3,AI$100*EXP(-(LN(2)/$D$65+0.04)*(VLOOKUP(($F$16-$F$15)-1,AC$99:AG129,4,FALSE)))*EXP(-(LN(2)/$D$65+0.1)*(VLOOKUP(($F$16-$F$15)-1,AC$99:AG129,5,FALSE)))*EXP(-(LN(2)/$D$65+0.04)*(VLOOKUP(($F$16-$F$15)*2-1,AC$99:AG129,4,FALSE)))*EXP(-(LN(2)/$D$65+0.1)*(VLOOKUP(($F$16-$F$15)*2-1,AC$99:AG129,5,FALSE)))*EXP(-(LN(2)/$D$65+0.04)*AF129)*EXP(-(LN(2)/$D$65+0.1)*AG129),"-"))),"-")</f>
        <v>-</v>
      </c>
      <c r="AJ130" s="271" t="str">
        <f>IFERROR(IF(AD130=1,AJ$100*EXP(-(LN(2)/$D$65+0.04)*AF130)*EXP(-(LN(2)/$D$65+0.1)*AG130),IF(AD130=2,AJ$100*EXP(-(LN(2)/$D$65+0.04)*(VLOOKUP(($F$16-$F$15)-1,AC$100:AG130,4,FALSE)))*EXP(-(LN(2)/$D$65+0.1)*(VLOOKUP(($F$16-$F$15)-1,AC$100:AG130,5,FALSE)))*EXP(-(LN(2)/$D$65+0.04)*AF130)*EXP(-(LN(2)/$D$65+0.1)*AG130),IF(AD130=3,AJ$100*EXP(-(LN(2)/$D$65+0.04)*(VLOOKUP(($F$16-$F$15)-1,AC$100:AG130,4,FALSE)))*EXP(-(LN(2)/$D$65+0.1)*(VLOOKUP(($F$16-$F$15)-1,AC$100:AG130,5,FALSE)))*EXP(-(LN(2)/$D$65+0.04)*(VLOOKUP(($F$16-$F$15)*2-1,AC$100:AG130,4,FALSE)))*EXP(-(LN(2)/$D$65+0.1)*(VLOOKUP(($F$16-$F$15)*2-1,AC$100:AG130,5,FALSE)))*EXP(-(LN(2)/$D$65+0.04)*AF130)*EXP(-(LN(2)/$D$65+0.1)*AG130),"-"))),"-")</f>
        <v>-</v>
      </c>
      <c r="AK130" s="227">
        <f t="shared" si="49"/>
        <v>30</v>
      </c>
      <c r="AL130" s="226" t="str">
        <f t="shared" si="18"/>
        <v>-</v>
      </c>
      <c r="AM130" s="227" t="str">
        <f t="shared" si="50"/>
        <v>-</v>
      </c>
      <c r="AN130" s="227" t="str">
        <f t="shared" si="51"/>
        <v>-</v>
      </c>
      <c r="AO130" s="227" t="str">
        <f t="shared" si="19"/>
        <v>-</v>
      </c>
      <c r="AP130" s="273">
        <f t="shared" si="52"/>
        <v>0.1</v>
      </c>
      <c r="AQ130" s="271" t="str">
        <f>IFERROR(IF(AL129=1,AQ$100*EXP(-(LN(2)/$D$65+0.04)*AN129)*EXP(-(LN(2)/$D$65+0.1)*AO129),IF(AL129=2,AQ$100*EXP(-(LN(2)/$D$65+0.04)*(VLOOKUP(($F$16-$F$15)-1,AK$99:AO129,4,FALSE)))*EXP(-(LN(2)/$D$65+0.1)*(VLOOKUP(($F$16-$F$15)-1,AK$99:AO129,5,FALSE)))*EXP(-(LN(2)/$D$65+0.04)*AN129)*EXP(-(LN(2)/$D$65+0.1)*AO129),IF(AL129=3,AQ$100*EXP(-(LN(2)/$D$65+0.04)*(VLOOKUP(($F$16-$F$15)-1,AK$99:AO129,4,FALSE)))*EXP(-(LN(2)/$D$65+0.1)*(VLOOKUP(($F$16-$F$15)-1,AK$99:AO129,5,FALSE)))*EXP(-(LN(2)/$D$65+0.04)*(VLOOKUP(($F$16-$F$15)*2-1,AK$99:AO129,4,FALSE)))*EXP(-(LN(2)/$D$65+0.1)*(VLOOKUP(($F$16-$F$15)*2-1,AK$99:AO129,5,FALSE)))*EXP(-(LN(2)/$D$65+0.04)*AN129)*EXP(-(LN(2)/$D$65+0.1)*AO129),"-"))),"-")</f>
        <v>-</v>
      </c>
      <c r="AR130" s="271" t="str">
        <f>IFERROR(IF(AL130=1,AR$100*EXP(-(LN(2)/$D$65+0.04)*AN130)*EXP(-(LN(2)/$D$65+0.1)*AO130),IF(AL130=2,AR$100*EXP(-(LN(2)/$D$65+0.04)*(VLOOKUP(($F$16-$F$15)-1,AK$100:AO130,4,FALSE)))*EXP(-(LN(2)/$D$65+0.1)*(VLOOKUP(($F$16-$F$15)-1,AK$100:AO130,5,FALSE)))*EXP(-(LN(2)/$D$65+0.04)*AN130)*EXP(-(LN(2)/$D$65+0.1)*AO130),IF(AL130=3,AR$100*EXP(-(LN(2)/$D$65+0.04)*(VLOOKUP(($F$16-$F$15)-1,AK$100:AO130,4,FALSE)))*EXP(-(LN(2)/$D$65+0.1)*(VLOOKUP(($F$16-$F$15)-1,AK$100:AO130,5,FALSE)))*EXP(-(LN(2)/$D$65+0.04)*(VLOOKUP(($F$16-$F$15)*2-1,AK$100:AO130,4,FALSE)))*EXP(-(LN(2)/$D$65+0.1)*(VLOOKUP(($F$16-$F$15)*2-1,AK$100:AO130,5,FALSE)))*EXP(-(LN(2)/$D$65+0.04)*AN130)*EXP(-(LN(2)/$D$65+0.1)*AO130),"-"))),"-")</f>
        <v>-</v>
      </c>
      <c r="AS130" s="274">
        <f t="shared" si="20"/>
        <v>0</v>
      </c>
      <c r="AT130" s="274">
        <f t="shared" si="21"/>
        <v>0</v>
      </c>
      <c r="AU130" s="274">
        <f t="shared" si="22"/>
        <v>0</v>
      </c>
      <c r="AV130" s="190">
        <f>IF($B130&lt;$F$22,SUM($T$100:$T130),"")</f>
        <v>0</v>
      </c>
      <c r="AW130" s="190" t="str">
        <f t="shared" si="55"/>
        <v>-</v>
      </c>
      <c r="AX130" s="190" t="str">
        <f t="shared" si="56"/>
        <v/>
      </c>
      <c r="AY130"/>
      <c r="AZ130" s="190" t="str">
        <f ca="1">IF(ISNUMBER(OFFSET(AV130,-$F$21,0)),SUM(OFFSET($T$100,$F$21,0):$T130),"")</f>
        <v/>
      </c>
      <c r="BA130" s="190" t="str">
        <f t="shared" ca="1" si="23"/>
        <v/>
      </c>
      <c r="BB130" s="190" t="str">
        <f t="shared" ca="1" si="70"/>
        <v/>
      </c>
      <c r="BC130" s="190"/>
      <c r="BD130" s="190" t="str">
        <f ca="1">IFERROR(IF(AND($B130&gt;=($F$16-$F$15),$B130&lt;$F$22+($F$16-$F$15)),SUM(OFFSET($T$100,($F$16-$F$15),0):$T130),""),"")</f>
        <v/>
      </c>
      <c r="BE130" s="190" t="str">
        <f t="shared" ca="1" si="58"/>
        <v/>
      </c>
      <c r="BF130" s="190" t="str">
        <f t="shared" ca="1" si="59"/>
        <v/>
      </c>
      <c r="BG130"/>
      <c r="BH130" s="190" t="str">
        <f ca="1">IF(ISNUMBER(OFFSET(BD130,-$F$21,0)),SUM(OFFSET($T$100,($F$16-$F$15+$F$21),0):$T130),"")</f>
        <v/>
      </c>
      <c r="BI130" s="190" t="str">
        <f t="shared" ca="1" si="24"/>
        <v/>
      </c>
      <c r="BJ130" s="190" t="str">
        <f t="shared" ca="1" si="60"/>
        <v/>
      </c>
      <c r="BK130" s="190"/>
      <c r="BL130" s="190" t="str">
        <f ca="1">IFERROR(IF(AND($B130&gt;=($F$17-$F$15),$B130&lt;$F$22+($F$17-$F$15)),SUM(OFFSET($T$100,($F$17-$F$15),0):$T130),""),"")</f>
        <v/>
      </c>
      <c r="BM130" s="190" t="str">
        <f t="shared" ca="1" si="25"/>
        <v/>
      </c>
      <c r="BN130" s="190" t="str">
        <f t="shared" ca="1" si="61"/>
        <v/>
      </c>
      <c r="BO130"/>
      <c r="BP130" s="190" t="str">
        <f ca="1">IF(ISNUMBER(OFFSET(BL130,-$F$21,0)),SUM(OFFSET($T$100,($F$17-$F$15+$F$21),0):$T130),"")</f>
        <v/>
      </c>
      <c r="BQ130" s="190" t="str">
        <f t="shared" ca="1" si="62"/>
        <v/>
      </c>
      <c r="BR130" s="190" t="str">
        <f t="shared" ca="1" si="63"/>
        <v/>
      </c>
      <c r="BS130" s="190"/>
      <c r="BT130"/>
      <c r="BU130"/>
      <c r="BV130"/>
      <c r="BY130" s="99"/>
      <c r="BZ130" s="99"/>
      <c r="CA130" s="280" t="str">
        <f t="shared" si="26"/>
        <v/>
      </c>
      <c r="CB130" s="71" t="str">
        <f t="shared" si="27"/>
        <v>-</v>
      </c>
      <c r="CC130" s="33"/>
      <c r="CD130" s="261" t="str">
        <f t="shared" si="29"/>
        <v/>
      </c>
      <c r="CE130" s="280" t="str">
        <f t="shared" si="30"/>
        <v>-</v>
      </c>
      <c r="CF130" s="71" t="str">
        <f t="shared" ca="1" si="31"/>
        <v>-</v>
      </c>
      <c r="CG130" s="33" t="str">
        <f t="shared" si="32"/>
        <v>30-31</v>
      </c>
      <c r="CH130" s="261" t="str">
        <f t="shared" ca="1" si="33"/>
        <v/>
      </c>
      <c r="CI130" s="99"/>
      <c r="CJ130" s="99"/>
      <c r="CK130" s="99"/>
      <c r="CL130" s="99"/>
      <c r="CM130" s="99"/>
      <c r="CN130" s="99"/>
      <c r="CO130" s="99"/>
    </row>
    <row r="131" spans="2:93" ht="13.5" customHeight="1" x14ac:dyDescent="0.2">
      <c r="B131" s="262">
        <v>31</v>
      </c>
      <c r="C131" s="237" t="str">
        <f t="shared" si="1"/>
        <v/>
      </c>
      <c r="D131" s="237" t="str">
        <f t="shared" si="66"/>
        <v>-</v>
      </c>
      <c r="E131" s="290" t="str">
        <f t="shared" si="34"/>
        <v/>
      </c>
      <c r="F131" s="264" t="str">
        <f t="shared" si="35"/>
        <v/>
      </c>
      <c r="G131" s="291" t="str">
        <f t="shared" si="36"/>
        <v/>
      </c>
      <c r="H131" s="240" t="str">
        <f t="shared" si="37"/>
        <v/>
      </c>
      <c r="I131" s="265" t="str">
        <f t="shared" si="2"/>
        <v/>
      </c>
      <c r="J131" s="265" t="str">
        <f t="shared" si="3"/>
        <v/>
      </c>
      <c r="K131" s="240" t="str">
        <f t="shared" si="4"/>
        <v/>
      </c>
      <c r="L131" s="265" t="str">
        <f t="shared" si="5"/>
        <v/>
      </c>
      <c r="M131" s="265" t="str">
        <f t="shared" si="6"/>
        <v/>
      </c>
      <c r="N131" s="240" t="str">
        <f t="shared" si="7"/>
        <v>-</v>
      </c>
      <c r="O131" s="265" t="str">
        <f t="shared" si="38"/>
        <v>-</v>
      </c>
      <c r="P131" s="265" t="str">
        <f t="shared" si="39"/>
        <v>-</v>
      </c>
      <c r="Q131" s="266" t="str">
        <f t="shared" si="8"/>
        <v>-</v>
      </c>
      <c r="R131" s="267" t="str">
        <f t="shared" si="40"/>
        <v>-</v>
      </c>
      <c r="S131" s="268" t="str">
        <f t="shared" si="41"/>
        <v>-</v>
      </c>
      <c r="T131" s="269" t="str">
        <f t="shared" si="9"/>
        <v/>
      </c>
      <c r="U131" s="221">
        <f t="shared" si="10"/>
        <v>31</v>
      </c>
      <c r="V131" s="220" t="str">
        <f t="shared" si="42"/>
        <v>-</v>
      </c>
      <c r="W131" s="221" t="str">
        <f t="shared" si="43"/>
        <v>-</v>
      </c>
      <c r="X131" s="221" t="str">
        <f t="shared" si="11"/>
        <v>-</v>
      </c>
      <c r="Y131" s="221" t="str">
        <f t="shared" si="12"/>
        <v>-</v>
      </c>
      <c r="Z131" s="270">
        <f t="shared" si="44"/>
        <v>0.1</v>
      </c>
      <c r="AA131" s="271" t="str">
        <f>IFERROR(IF(V130=1,AA$100*EXP(-(LN(2)/$D$65+0.04)*X130)*EXP(-(LN(2)/$D$65+0.1)*Y130),IF(V130=2,AA$100*EXP(-(LN(2)/$D$65+0.04)*(VLOOKUP(($F$16-$F$15)-1,U$99:Y130,4,FALSE)))*EXP(-(LN(2)/$D$65+0.1)*(VLOOKUP(($F$16-$F$15)-1,U$99:Y130,5,FALSE)))*EXP(-(LN(2)/$D$65+0.04)*X130)*EXP(-(LN(2)/$D$65+0.1)*Y130),IF(V130=3,AA$100*EXP(-(LN(2)/$D$65+0.04)*(VLOOKUP(($F$16-$F$15)-1,U$99:Y130,4,FALSE)))*EXP(-(LN(2)/$D$65+0.1)*(VLOOKUP(($F$16-$F$15)-1,U$99:Y130,5,FALSE)))*EXP(-(LN(2)/$D$65+0.04)*(VLOOKUP(($F$16-$F$15)*2-1,U$99:Y130,4,FALSE)))*EXP(-(LN(2)/$D$65+0.1)*(VLOOKUP(($F$16-$F$15)*2-1,U$99:Y130,5,FALSE)))*EXP(-(LN(2)/$D$65+0.04)*X130)*EXP(-(LN(2)/$D$65+0.1)*Y130),"-"))),"-")</f>
        <v>-</v>
      </c>
      <c r="AB131" s="271" t="str">
        <f>IFERROR(IF(V131=1,AB$100*EXP(-(LN(2)/$D$65+0.04)*X131)*EXP(-(LN(2)/$D$65+0.1)*Y131),IF(V131=2,AB$100*EXP(-(LN(2)/$D$65+0.04)*(VLOOKUP(($F$16-$F$15)-1,U$100:Y131,4,FALSE)))*EXP(-(LN(2)/$D$65+0.1)*(VLOOKUP(($F$16-$F$15)-1,U$100:Y131,5,FALSE)))*EXP(-(LN(2)/$D$65+0.04)*X131)*EXP(-(LN(2)/$D$65+0.1)*Y131),IF(V131=3,AB$100*EXP(-(LN(2)/$D$65+0.04)*(VLOOKUP(($F$16-$F$15)-1,U$100:Y131,4,FALSE)))*EXP(-(LN(2)/$D$65+0.1)*(VLOOKUP(($F$16-$F$15)-1,U$100:Y131,5,FALSE)))*EXP(-(LN(2)/$D$65+0.04)*(VLOOKUP(($F$16-$F$15)*2-1,U$100:Y131,4,FALSE)))*EXP(-(LN(2)/$D$65+0.1)*(VLOOKUP(($F$16-$F$15)*2-1,U$100:Y131,5,FALSE)))*EXP(-(LN(2)/$D$65+0.04)*X131)*EXP(-(LN(2)/$D$65+0.1)*Y131),"-"))),"-")</f>
        <v>-</v>
      </c>
      <c r="AC131" s="224">
        <f t="shared" si="45"/>
        <v>31</v>
      </c>
      <c r="AD131" s="223" t="str">
        <f t="shared" si="14"/>
        <v>-</v>
      </c>
      <c r="AE131" s="224" t="str">
        <f t="shared" si="46"/>
        <v>-</v>
      </c>
      <c r="AF131" s="224" t="str">
        <f t="shared" si="15"/>
        <v>-</v>
      </c>
      <c r="AG131" s="224" t="str">
        <f t="shared" si="16"/>
        <v>-</v>
      </c>
      <c r="AH131" s="272">
        <f t="shared" si="47"/>
        <v>0.1</v>
      </c>
      <c r="AI131" s="271" t="str">
        <f>IFERROR(IF(AD130=1,AI$100*EXP(-(LN(2)/$D$65+0.04)*AF130)*EXP(-(LN(2)/$D$65+0.1)*AG130),IF(AD130=2,AI$100*EXP(-(LN(2)/$D$65+0.04)*(VLOOKUP(($F$16-$F$15)-1,AC$99:AG130,4,FALSE)))*EXP(-(LN(2)/$D$65+0.1)*(VLOOKUP(($F$16-$F$15)-1,AC$99:AG130,5,FALSE)))*EXP(-(LN(2)/$D$65+0.04)*AF130)*EXP(-(LN(2)/$D$65+0.1)*AG130),IF(AD130=3,AI$100*EXP(-(LN(2)/$D$65+0.04)*(VLOOKUP(($F$16-$F$15)-1,AC$99:AG130,4,FALSE)))*EXP(-(LN(2)/$D$65+0.1)*(VLOOKUP(($F$16-$F$15)-1,AC$99:AG130,5,FALSE)))*EXP(-(LN(2)/$D$65+0.04)*(VLOOKUP(($F$16-$F$15)*2-1,AC$99:AG130,4,FALSE)))*EXP(-(LN(2)/$D$65+0.1)*(VLOOKUP(($F$16-$F$15)*2-1,AC$99:AG130,5,FALSE)))*EXP(-(LN(2)/$D$65+0.04)*AF130)*EXP(-(LN(2)/$D$65+0.1)*AG130),"-"))),"-")</f>
        <v>-</v>
      </c>
      <c r="AJ131" s="271" t="str">
        <f>IFERROR(IF(AD131=1,AJ$100*EXP(-(LN(2)/$D$65+0.04)*AF131)*EXP(-(LN(2)/$D$65+0.1)*AG131),IF(AD131=2,AJ$100*EXP(-(LN(2)/$D$65+0.04)*(VLOOKUP(($F$16-$F$15)-1,AC$100:AG131,4,FALSE)))*EXP(-(LN(2)/$D$65+0.1)*(VLOOKUP(($F$16-$F$15)-1,AC$100:AG131,5,FALSE)))*EXP(-(LN(2)/$D$65+0.04)*AF131)*EXP(-(LN(2)/$D$65+0.1)*AG131),IF(AD131=3,AJ$100*EXP(-(LN(2)/$D$65+0.04)*(VLOOKUP(($F$16-$F$15)-1,AC$100:AG131,4,FALSE)))*EXP(-(LN(2)/$D$65+0.1)*(VLOOKUP(($F$16-$F$15)-1,AC$100:AG131,5,FALSE)))*EXP(-(LN(2)/$D$65+0.04)*(VLOOKUP(($F$16-$F$15)*2-1,AC$100:AG131,4,FALSE)))*EXP(-(LN(2)/$D$65+0.1)*(VLOOKUP(($F$16-$F$15)*2-1,AC$100:AG131,5,FALSE)))*EXP(-(LN(2)/$D$65+0.04)*AF131)*EXP(-(LN(2)/$D$65+0.1)*AG131),"-"))),"-")</f>
        <v>-</v>
      </c>
      <c r="AK131" s="227">
        <f t="shared" si="49"/>
        <v>31</v>
      </c>
      <c r="AL131" s="226" t="str">
        <f t="shared" si="18"/>
        <v>-</v>
      </c>
      <c r="AM131" s="227" t="str">
        <f t="shared" si="50"/>
        <v>-</v>
      </c>
      <c r="AN131" s="227" t="str">
        <f t="shared" si="51"/>
        <v>-</v>
      </c>
      <c r="AO131" s="227" t="str">
        <f t="shared" si="19"/>
        <v>-</v>
      </c>
      <c r="AP131" s="273">
        <f t="shared" si="52"/>
        <v>0.1</v>
      </c>
      <c r="AQ131" s="271" t="str">
        <f>IFERROR(IF(AL130=1,AQ$100*EXP(-(LN(2)/$D$65+0.04)*AN130)*EXP(-(LN(2)/$D$65+0.1)*AO130),IF(AL130=2,AQ$100*EXP(-(LN(2)/$D$65+0.04)*(VLOOKUP(($F$16-$F$15)-1,AK$99:AO130,4,FALSE)))*EXP(-(LN(2)/$D$65+0.1)*(VLOOKUP(($F$16-$F$15)-1,AK$99:AO130,5,FALSE)))*EXP(-(LN(2)/$D$65+0.04)*AN130)*EXP(-(LN(2)/$D$65+0.1)*AO130),IF(AL130=3,AQ$100*EXP(-(LN(2)/$D$65+0.04)*(VLOOKUP(($F$16-$F$15)-1,AK$99:AO130,4,FALSE)))*EXP(-(LN(2)/$D$65+0.1)*(VLOOKUP(($F$16-$F$15)-1,AK$99:AO130,5,FALSE)))*EXP(-(LN(2)/$D$65+0.04)*(VLOOKUP(($F$16-$F$15)*2-1,AK$99:AO130,4,FALSE)))*EXP(-(LN(2)/$D$65+0.1)*(VLOOKUP(($F$16-$F$15)*2-1,AK$99:AO130,5,FALSE)))*EXP(-(LN(2)/$D$65+0.04)*AN130)*EXP(-(LN(2)/$D$65+0.1)*AO130),"-"))),"-")</f>
        <v>-</v>
      </c>
      <c r="AR131" s="271" t="str">
        <f>IFERROR(IF(AL131=1,AR$100*EXP(-(LN(2)/$D$65+0.04)*AN131)*EXP(-(LN(2)/$D$65+0.1)*AO131),IF(AL131=2,AR$100*EXP(-(LN(2)/$D$65+0.04)*(VLOOKUP(($F$16-$F$15)-1,AK$100:AO131,4,FALSE)))*EXP(-(LN(2)/$D$65+0.1)*(VLOOKUP(($F$16-$F$15)-1,AK$100:AO131,5,FALSE)))*EXP(-(LN(2)/$D$65+0.04)*AN131)*EXP(-(LN(2)/$D$65+0.1)*AO131),IF(AL131=3,AR$100*EXP(-(LN(2)/$D$65+0.04)*(VLOOKUP(($F$16-$F$15)-1,AK$100:AO131,4,FALSE)))*EXP(-(LN(2)/$D$65+0.1)*(VLOOKUP(($F$16-$F$15)-1,AK$100:AO131,5,FALSE)))*EXP(-(LN(2)/$D$65+0.04)*(VLOOKUP(($F$16-$F$15)*2-1,AK$100:AO131,4,FALSE)))*EXP(-(LN(2)/$D$65+0.1)*(VLOOKUP(($F$16-$F$15)*2-1,AK$100:AO131,5,FALSE)))*EXP(-(LN(2)/$D$65+0.04)*AN131)*EXP(-(LN(2)/$D$65+0.1)*AO131),"-"))),"-")</f>
        <v>-</v>
      </c>
      <c r="AS131" s="274">
        <f t="shared" si="20"/>
        <v>0</v>
      </c>
      <c r="AT131" s="274">
        <f t="shared" si="21"/>
        <v>0</v>
      </c>
      <c r="AU131" s="274">
        <f t="shared" si="22"/>
        <v>0</v>
      </c>
      <c r="AV131" s="190">
        <f>IF($B131&lt;$F$22,SUM($T$100:$T131),"")</f>
        <v>0</v>
      </c>
      <c r="AW131" s="190" t="str">
        <f t="shared" si="55"/>
        <v>-</v>
      </c>
      <c r="AX131" s="190" t="str">
        <f t="shared" si="56"/>
        <v/>
      </c>
      <c r="AY131"/>
      <c r="AZ131" s="190" t="str">
        <f ca="1">IF(ISNUMBER(OFFSET(AV131,-$F$21,0)),SUM(OFFSET($T$100,$F$21,0):$T131),"")</f>
        <v/>
      </c>
      <c r="BA131" s="190" t="str">
        <f t="shared" ca="1" si="23"/>
        <v/>
      </c>
      <c r="BB131" s="190" t="str">
        <f t="shared" ca="1" si="70"/>
        <v/>
      </c>
      <c r="BC131" s="190"/>
      <c r="BD131" s="190" t="str">
        <f ca="1">IFERROR(IF(AND($B131&gt;=($F$16-$F$15),$B131&lt;$F$22+($F$16-$F$15)),SUM(OFFSET($T$100,($F$16-$F$15),0):$T131),""),"")</f>
        <v/>
      </c>
      <c r="BE131" s="190" t="str">
        <f t="shared" ca="1" si="58"/>
        <v/>
      </c>
      <c r="BF131" s="190" t="str">
        <f t="shared" ca="1" si="59"/>
        <v/>
      </c>
      <c r="BG131"/>
      <c r="BH131" s="190" t="str">
        <f ca="1">IF(ISNUMBER(OFFSET(BD131,-$F$21,0)),SUM(OFFSET($T$100,($F$16-$F$15+$F$21),0):$T131),"")</f>
        <v/>
      </c>
      <c r="BI131" s="190" t="str">
        <f t="shared" ca="1" si="24"/>
        <v/>
      </c>
      <c r="BJ131" s="190" t="str">
        <f t="shared" ca="1" si="60"/>
        <v/>
      </c>
      <c r="BK131" s="190"/>
      <c r="BL131" s="190" t="str">
        <f ca="1">IFERROR(IF(AND($B131&gt;=($F$17-$F$15),$B131&lt;$F$22+($F$17-$F$15)),SUM(OFFSET($T$100,($F$17-$F$15),0):$T131),""),"")</f>
        <v/>
      </c>
      <c r="BM131" s="190" t="str">
        <f t="shared" ca="1" si="25"/>
        <v/>
      </c>
      <c r="BN131" s="190" t="str">
        <f t="shared" ca="1" si="61"/>
        <v/>
      </c>
      <c r="BO131"/>
      <c r="BP131" s="190" t="str">
        <f ca="1">IF(ISNUMBER(OFFSET(BL131,-$F$21,0)),SUM(OFFSET($T$100,($F$17-$F$15+$F$21),0):$T131),"")</f>
        <v/>
      </c>
      <c r="BQ131" s="190" t="str">
        <f t="shared" ca="1" si="62"/>
        <v/>
      </c>
      <c r="BR131" s="190" t="str">
        <f t="shared" ca="1" si="63"/>
        <v/>
      </c>
      <c r="BS131" s="190"/>
      <c r="BT131"/>
      <c r="BU131"/>
      <c r="BV131"/>
      <c r="BY131" s="99"/>
      <c r="BZ131" s="99"/>
      <c r="CA131" s="280" t="str">
        <f t="shared" si="26"/>
        <v/>
      </c>
      <c r="CB131" s="71" t="str">
        <f t="shared" si="27"/>
        <v>-</v>
      </c>
      <c r="CC131" s="33"/>
      <c r="CD131" s="261" t="str">
        <f t="shared" si="29"/>
        <v/>
      </c>
      <c r="CE131" s="280" t="str">
        <f t="shared" si="30"/>
        <v>-</v>
      </c>
      <c r="CF131" s="71" t="str">
        <f t="shared" ca="1" si="31"/>
        <v>-</v>
      </c>
      <c r="CG131" s="33" t="str">
        <f t="shared" si="32"/>
        <v>31-32</v>
      </c>
      <c r="CH131" s="261" t="str">
        <f t="shared" ca="1" si="33"/>
        <v/>
      </c>
      <c r="CI131" s="99"/>
      <c r="CJ131" s="99"/>
      <c r="CK131" s="99"/>
      <c r="CL131" s="99"/>
      <c r="CM131" s="99"/>
      <c r="CN131" s="99"/>
      <c r="CO131" s="99"/>
    </row>
    <row r="132" spans="2:93" ht="13.5" customHeight="1" x14ac:dyDescent="0.2">
      <c r="B132" s="262">
        <v>32</v>
      </c>
      <c r="C132" s="237" t="str">
        <f t="shared" si="1"/>
        <v/>
      </c>
      <c r="D132" s="237" t="str">
        <f t="shared" si="66"/>
        <v>-</v>
      </c>
      <c r="E132" s="290" t="str">
        <f t="shared" si="34"/>
        <v/>
      </c>
      <c r="F132" s="264" t="str">
        <f t="shared" si="35"/>
        <v/>
      </c>
      <c r="G132" s="291" t="str">
        <f t="shared" si="36"/>
        <v/>
      </c>
      <c r="H132" s="240" t="str">
        <f t="shared" ref="H132:H163" si="71">IF(E132&lt;&gt;"",IF($B132&lt;$F$21,"",IF(ISNUMBER(F132),IF(ISNUMBER(I132),(E132*30*50*ffp),""),(E132*30*50*ffp))),"")</f>
        <v/>
      </c>
      <c r="I132" s="265" t="str">
        <f t="shared" ref="I132:I163" si="72">IFERROR(IF(F132&lt;&gt;"",IF($B132&lt;$F$21+$F$16,"",IF(ISNUMBER(G132),IF(ISNUMBER(J132),(F132*30*50*ffp),""),(F132*30*50*ffp))),""),"")</f>
        <v/>
      </c>
      <c r="J132" s="265" t="str">
        <f t="shared" ref="J132:J163" si="73">IFERROR(IF(G132&lt;&gt;"",IF($B132&lt;$F$21+$F$17,"",(G132*30*50*ffp)),""),"")</f>
        <v/>
      </c>
      <c r="K132" s="240" t="str">
        <f t="shared" ref="K132:K163" si="74">IF(E132&lt;&gt;"",((E132*20*50*ffp)/Klevee),"")</f>
        <v/>
      </c>
      <c r="L132" s="265" t="str">
        <f t="shared" ref="L132:L163" si="75">IF(ISNUMBER(F132),((F132*20*50*ffp)/Klevee),"")</f>
        <v/>
      </c>
      <c r="M132" s="265" t="str">
        <f t="shared" ref="M132:M163" si="76">IF(ISNUMBER(G132),((G132*20*50*ffp)/Klevee),"")</f>
        <v/>
      </c>
      <c r="N132" s="240" t="str">
        <f t="shared" ref="N132:N163" si="77">IF(AND(ISNUMBER(I),ISNUMBER($F$14),ISNUMBER($F$20)),IF($B132=0,I*($J$40/100)*$J$42*1,""),"-")</f>
        <v>-</v>
      </c>
      <c r="O132" s="265" t="str">
        <f t="shared" ref="O132:O163" si="78">IF(ISNUMBER($F$14),IF($F$14&gt;1,IF($B132=0+$F$16,I*($J$40/100)*$J$42*1,""),""),"-")</f>
        <v>-</v>
      </c>
      <c r="P132" s="265" t="str">
        <f t="shared" ref="P132:P163" si="79">IF(ISNUMBER($F$14),IF($F$14&gt;2,IF($B132=0+$F$17,I*($J$40/100)*$J$42*1,""),""),"-")</f>
        <v>-</v>
      </c>
      <c r="Q132" s="266" t="str">
        <f t="shared" ref="Q132:Q163" si="80">IF(AND(ISNUMBER(I),ISNUMBER($F$14),ISNUMBER($F$20)),IF($B132=0,I*(dt/100)*$J$45*1,""),"-")</f>
        <v>-</v>
      </c>
      <c r="R132" s="267" t="str">
        <f t="shared" ref="R132:R163" si="81">IF(ISNUMBER($F$14),IF($F$14&gt;1,IF($B132=0+$F$16,I*(dt/100)*$J$45*1,""),""),"-")</f>
        <v>-</v>
      </c>
      <c r="S132" s="268" t="str">
        <f t="shared" ref="S132:S163" si="82">IF(ISNUMBER($F$14),IF($F$14&gt;2,IF($B132=0+$F$17,I*(dt/100)*$J$45*1,""),""),"-")</f>
        <v>-</v>
      </c>
      <c r="T132" s="269" t="str">
        <f t="shared" si="9"/>
        <v/>
      </c>
      <c r="U132" s="221">
        <f t="shared" si="10"/>
        <v>32</v>
      </c>
      <c r="V132" s="220" t="str">
        <f t="shared" si="42"/>
        <v>-</v>
      </c>
      <c r="W132" s="221" t="str">
        <f t="shared" si="43"/>
        <v>-</v>
      </c>
      <c r="X132" s="221" t="str">
        <f t="shared" si="11"/>
        <v>-</v>
      </c>
      <c r="Y132" s="221" t="str">
        <f t="shared" si="12"/>
        <v>-</v>
      </c>
      <c r="Z132" s="270">
        <f t="shared" si="44"/>
        <v>0.1</v>
      </c>
      <c r="AA132" s="271" t="str">
        <f>IFERROR(IF(V131=1,AA$100*EXP(-(LN(2)/$D$65+0.04)*X131)*EXP(-(LN(2)/$D$65+0.1)*Y131),IF(V131=2,AA$100*EXP(-(LN(2)/$D$65+0.04)*(VLOOKUP(($F$16-$F$15)-1,U$99:Y131,4,FALSE)))*EXP(-(LN(2)/$D$65+0.1)*(VLOOKUP(($F$16-$F$15)-1,U$99:Y131,5,FALSE)))*EXP(-(LN(2)/$D$65+0.04)*X131)*EXP(-(LN(2)/$D$65+0.1)*Y131),IF(V131=3,AA$100*EXP(-(LN(2)/$D$65+0.04)*(VLOOKUP(($F$16-$F$15)-1,U$99:Y131,4,FALSE)))*EXP(-(LN(2)/$D$65+0.1)*(VLOOKUP(($F$16-$F$15)-1,U$99:Y131,5,FALSE)))*EXP(-(LN(2)/$D$65+0.04)*(VLOOKUP(($F$16-$F$15)*2-1,U$99:Y131,4,FALSE)))*EXP(-(LN(2)/$D$65+0.1)*(VLOOKUP(($F$16-$F$15)*2-1,U$99:Y131,5,FALSE)))*EXP(-(LN(2)/$D$65+0.04)*X131)*EXP(-(LN(2)/$D$65+0.1)*Y131),"-"))),"-")</f>
        <v>-</v>
      </c>
      <c r="AB132" s="271" t="str">
        <f>IFERROR(IF(V132=1,AB$100*EXP(-(LN(2)/$D$65+0.04)*X132)*EXP(-(LN(2)/$D$65+0.1)*Y132),IF(V132=2,AB$100*EXP(-(LN(2)/$D$65+0.04)*(VLOOKUP(($F$16-$F$15)-1,U$100:Y132,4,FALSE)))*EXP(-(LN(2)/$D$65+0.1)*(VLOOKUP(($F$16-$F$15)-1,U$100:Y132,5,FALSE)))*EXP(-(LN(2)/$D$65+0.04)*X132)*EXP(-(LN(2)/$D$65+0.1)*Y132),IF(V132=3,AB$100*EXP(-(LN(2)/$D$65+0.04)*(VLOOKUP(($F$16-$F$15)-1,U$100:Y132,4,FALSE)))*EXP(-(LN(2)/$D$65+0.1)*(VLOOKUP(($F$16-$F$15)-1,U$100:Y132,5,FALSE)))*EXP(-(LN(2)/$D$65+0.04)*(VLOOKUP(($F$16-$F$15)*2-1,U$100:Y132,4,FALSE)))*EXP(-(LN(2)/$D$65+0.1)*(VLOOKUP(($F$16-$F$15)*2-1,U$100:Y132,5,FALSE)))*EXP(-(LN(2)/$D$65+0.04)*X132)*EXP(-(LN(2)/$D$65+0.1)*Y132),"-"))),"-")</f>
        <v>-</v>
      </c>
      <c r="AC132" s="224">
        <f t="shared" si="45"/>
        <v>32</v>
      </c>
      <c r="AD132" s="223" t="str">
        <f t="shared" si="14"/>
        <v>-</v>
      </c>
      <c r="AE132" s="224" t="str">
        <f t="shared" si="46"/>
        <v>-</v>
      </c>
      <c r="AF132" s="224" t="str">
        <f t="shared" si="15"/>
        <v>-</v>
      </c>
      <c r="AG132" s="224" t="str">
        <f t="shared" si="16"/>
        <v>-</v>
      </c>
      <c r="AH132" s="272">
        <f t="shared" si="47"/>
        <v>0.1</v>
      </c>
      <c r="AI132" s="271" t="str">
        <f>IFERROR(IF(AD131=1,AI$100*EXP(-(LN(2)/$D$65+0.04)*AF131)*EXP(-(LN(2)/$D$65+0.1)*AG131),IF(AD131=2,AI$100*EXP(-(LN(2)/$D$65+0.04)*(VLOOKUP(($F$16-$F$15)-1,AC$99:AG131,4,FALSE)))*EXP(-(LN(2)/$D$65+0.1)*(VLOOKUP(($F$16-$F$15)-1,AC$99:AG131,5,FALSE)))*EXP(-(LN(2)/$D$65+0.04)*AF131)*EXP(-(LN(2)/$D$65+0.1)*AG131),IF(AD131=3,AI$100*EXP(-(LN(2)/$D$65+0.04)*(VLOOKUP(($F$16-$F$15)-1,AC$99:AG131,4,FALSE)))*EXP(-(LN(2)/$D$65+0.1)*(VLOOKUP(($F$16-$F$15)-1,AC$99:AG131,5,FALSE)))*EXP(-(LN(2)/$D$65+0.04)*(VLOOKUP(($F$16-$F$15)*2-1,AC$99:AG131,4,FALSE)))*EXP(-(LN(2)/$D$65+0.1)*(VLOOKUP(($F$16-$F$15)*2-1,AC$99:AG131,5,FALSE)))*EXP(-(LN(2)/$D$65+0.04)*AF131)*EXP(-(LN(2)/$D$65+0.1)*AG131),"-"))),"-")</f>
        <v>-</v>
      </c>
      <c r="AJ132" s="271" t="str">
        <f>IFERROR(IF(AD132=1,AJ$100*EXP(-(LN(2)/$D$65+0.04)*AF132)*EXP(-(LN(2)/$D$65+0.1)*AG132),IF(AD132=2,AJ$100*EXP(-(LN(2)/$D$65+0.04)*(VLOOKUP(($F$16-$F$15)-1,AC$100:AG132,4,FALSE)))*EXP(-(LN(2)/$D$65+0.1)*(VLOOKUP(($F$16-$F$15)-1,AC$100:AG132,5,FALSE)))*EXP(-(LN(2)/$D$65+0.04)*AF132)*EXP(-(LN(2)/$D$65+0.1)*AG132),IF(AD132=3,AJ$100*EXP(-(LN(2)/$D$65+0.04)*(VLOOKUP(($F$16-$F$15)-1,AC$100:AG132,4,FALSE)))*EXP(-(LN(2)/$D$65+0.1)*(VLOOKUP(($F$16-$F$15)-1,AC$100:AG132,5,FALSE)))*EXP(-(LN(2)/$D$65+0.04)*(VLOOKUP(($F$16-$F$15)*2-1,AC$100:AG132,4,FALSE)))*EXP(-(LN(2)/$D$65+0.1)*(VLOOKUP(($F$16-$F$15)*2-1,AC$100:AG132,5,FALSE)))*EXP(-(LN(2)/$D$65+0.04)*AF132)*EXP(-(LN(2)/$D$65+0.1)*AG132),"-"))),"-")</f>
        <v>-</v>
      </c>
      <c r="AK132" s="227">
        <f t="shared" si="49"/>
        <v>32</v>
      </c>
      <c r="AL132" s="226" t="str">
        <f t="shared" si="18"/>
        <v>-</v>
      </c>
      <c r="AM132" s="227" t="str">
        <f t="shared" si="50"/>
        <v>-</v>
      </c>
      <c r="AN132" s="227" t="str">
        <f t="shared" si="51"/>
        <v>-</v>
      </c>
      <c r="AO132" s="227" t="str">
        <f t="shared" si="19"/>
        <v>-</v>
      </c>
      <c r="AP132" s="273">
        <f t="shared" si="52"/>
        <v>0.1</v>
      </c>
      <c r="AQ132" s="271" t="str">
        <f>IFERROR(IF(AL131=1,AQ$100*EXP(-(LN(2)/$D$65+0.04)*AN131)*EXP(-(LN(2)/$D$65+0.1)*AO131),IF(AL131=2,AQ$100*EXP(-(LN(2)/$D$65+0.04)*(VLOOKUP(($F$16-$F$15)-1,AK$99:AO131,4,FALSE)))*EXP(-(LN(2)/$D$65+0.1)*(VLOOKUP(($F$16-$F$15)-1,AK$99:AO131,5,FALSE)))*EXP(-(LN(2)/$D$65+0.04)*AN131)*EXP(-(LN(2)/$D$65+0.1)*AO131),IF(AL131=3,AQ$100*EXP(-(LN(2)/$D$65+0.04)*(VLOOKUP(($F$16-$F$15)-1,AK$99:AO131,4,FALSE)))*EXP(-(LN(2)/$D$65+0.1)*(VLOOKUP(($F$16-$F$15)-1,AK$99:AO131,5,FALSE)))*EXP(-(LN(2)/$D$65+0.04)*(VLOOKUP(($F$16-$F$15)*2-1,AK$99:AO131,4,FALSE)))*EXP(-(LN(2)/$D$65+0.1)*(VLOOKUP(($F$16-$F$15)*2-1,AK$99:AO131,5,FALSE)))*EXP(-(LN(2)/$D$65+0.04)*AN131)*EXP(-(LN(2)/$D$65+0.1)*AO131),"-"))),"-")</f>
        <v>-</v>
      </c>
      <c r="AR132" s="271" t="str">
        <f>IFERROR(IF(AL132=1,AR$100*EXP(-(LN(2)/$D$65+0.04)*AN132)*EXP(-(LN(2)/$D$65+0.1)*AO132),IF(AL132=2,AR$100*EXP(-(LN(2)/$D$65+0.04)*(VLOOKUP(($F$16-$F$15)-1,AK$100:AO132,4,FALSE)))*EXP(-(LN(2)/$D$65+0.1)*(VLOOKUP(($F$16-$F$15)-1,AK$100:AO132,5,FALSE)))*EXP(-(LN(2)/$D$65+0.04)*AN132)*EXP(-(LN(2)/$D$65+0.1)*AO132),IF(AL132=3,AR$100*EXP(-(LN(2)/$D$65+0.04)*(VLOOKUP(($F$16-$F$15)-1,AK$100:AO132,4,FALSE)))*EXP(-(LN(2)/$D$65+0.1)*(VLOOKUP(($F$16-$F$15)-1,AK$100:AO132,5,FALSE)))*EXP(-(LN(2)/$D$65+0.04)*(VLOOKUP(($F$16-$F$15)*2-1,AK$100:AO132,4,FALSE)))*EXP(-(LN(2)/$D$65+0.1)*(VLOOKUP(($F$16-$F$15)*2-1,AK$100:AO132,5,FALSE)))*EXP(-(LN(2)/$D$65+0.04)*AN132)*EXP(-(LN(2)/$D$65+0.1)*AO132),"-"))),"-")</f>
        <v>-</v>
      </c>
      <c r="AS132" s="274">
        <f t="shared" si="20"/>
        <v>0</v>
      </c>
      <c r="AT132" s="274">
        <f t="shared" si="21"/>
        <v>0</v>
      </c>
      <c r="AU132" s="274">
        <f t="shared" si="22"/>
        <v>0</v>
      </c>
      <c r="AV132" s="190">
        <f>IF($B132&lt;$F$22,SUM($T$100:$T132),"")</f>
        <v>0</v>
      </c>
      <c r="AW132" s="190" t="str">
        <f t="shared" ref="AW132:AW163" si="83">IF(ISNUMBER(Koc),IF(ISNUMBER(AV132),AV132*(Koc*(Ocse/100)*Pse*Vse)/(Koc*(Ocse/100)*Pse*Vse+1*86400*($B132+1)),""),"-")</f>
        <v>-</v>
      </c>
      <c r="AX132" s="190" t="str">
        <f t="shared" si="56"/>
        <v/>
      </c>
      <c r="AY132"/>
      <c r="AZ132" s="190" t="str">
        <f ca="1">IF(ISNUMBER(OFFSET(AV132,-$F$21,0)),SUM(OFFSET($T$100,$F$21,0):$T132),"")</f>
        <v/>
      </c>
      <c r="BA132" s="190" t="str">
        <f t="shared" ref="BA132:BA163" ca="1" si="84">IF(ISNUMBER(OFFSET(AV132,-$F$21,0)),AZ132*(Koc*(Ocse/100)*Pse*Vse)/(Koc*(Ocse/100)*Pse*Vse+1*86400*($B132+1)),"")</f>
        <v/>
      </c>
      <c r="BB132" s="190" t="str">
        <f t="shared" ca="1" si="70"/>
        <v/>
      </c>
      <c r="BC132" s="190"/>
      <c r="BD132" s="190" t="str">
        <f ca="1">IFERROR(IF(AND($B132&gt;=($F$16-$F$15),$B132&lt;$F$22+($F$16-$F$15)),SUM(OFFSET($T$100,($F$16-$F$15),0):$T132),""),"")</f>
        <v/>
      </c>
      <c r="BE132" s="190" t="str">
        <f t="shared" ca="1" si="58"/>
        <v/>
      </c>
      <c r="BF132" s="190" t="str">
        <f t="shared" ca="1" si="59"/>
        <v/>
      </c>
      <c r="BG132"/>
      <c r="BH132" s="190" t="str">
        <f ca="1">IF(ISNUMBER(OFFSET(BD132,-$F$21,0)),SUM(OFFSET($T$100,($F$16-$F$15+$F$21),0):$T132),"")</f>
        <v/>
      </c>
      <c r="BI132" s="190" t="str">
        <f t="shared" ref="BI132:BI163" ca="1" si="85">IF(ISNUMBER(OFFSET(BD132,-$F$21,0)),BH132*(Koc*(Ocse/100)*Pse*Vse)/(Koc*(Ocse/100)*Pse*Vse+1*86400*($B132+1)),"")</f>
        <v/>
      </c>
      <c r="BJ132" s="190" t="str">
        <f t="shared" ca="1" si="60"/>
        <v/>
      </c>
      <c r="BK132" s="190"/>
      <c r="BL132" s="190" t="str">
        <f ca="1">IFERROR(IF(AND($B132&gt;=($F$17-$F$15),$B132&lt;$F$22+($F$17-$F$15)),SUM(OFFSET($T$100,($F$17-$F$15),0):$T132),""),"")</f>
        <v/>
      </c>
      <c r="BM132" s="190" t="str">
        <f t="shared" ref="BM132:BM163" ca="1" si="86">IF(ISNUMBER(BL132),BL132*(Koc*(Ocse/100)*Pse*Vse)/(Koc*(Ocse/100)*Pse*Vse+1*86400*($B132+1)),"")</f>
        <v/>
      </c>
      <c r="BN132" s="190" t="str">
        <f t="shared" ca="1" si="61"/>
        <v/>
      </c>
      <c r="BO132"/>
      <c r="BP132" s="190" t="str">
        <f ca="1">IF(ISNUMBER(OFFSET(BL132,-$F$21,0)),SUM(OFFSET($T$100,($F$17-$F$15+$F$21),0):$T132),"")</f>
        <v/>
      </c>
      <c r="BQ132" s="190" t="str">
        <f t="shared" ref="BQ132:BQ163" ca="1" si="87">IF(ISNUMBER(OFFSET(BL132,-$F$21,0)),BP132*(Koc*(Ocse/100)*Pse*Vse)/(Koc*(Ocse/100)*Pse*Vse+1*86400*($B132+1)),"")</f>
        <v/>
      </c>
      <c r="BR132" s="190" t="str">
        <f t="shared" ca="1" si="63"/>
        <v/>
      </c>
      <c r="BS132" s="190"/>
      <c r="BT132"/>
      <c r="BU132"/>
      <c r="BV132"/>
      <c r="BY132" s="99"/>
      <c r="BZ132" s="99"/>
      <c r="CA132" s="280" t="str">
        <f t="shared" ref="CA132:CA163" si="88">IFERROR(IF($B132&lt;$CA$94,T132*(Koc*(Ocse/100)*Pse*Vse)/(Koc*(Ocse/100)*Pse*Vse+1*86400*$CA$94),""),"-")</f>
        <v/>
      </c>
      <c r="CB132" s="71" t="str">
        <f t="shared" si="27"/>
        <v>-</v>
      </c>
      <c r="CC132" s="33"/>
      <c r="CD132" s="261" t="str">
        <f t="shared" si="29"/>
        <v/>
      </c>
      <c r="CE132" s="280" t="str">
        <f t="shared" ref="CE132:CE163" si="89">IFERROR(IF($B132&lt;$CE$94,T132*(Koc*(Ocse/100)*Pse*Vse)/(Koc*(Ocse/100)*Pse*Vse+1*86400*$CE$94),""),"-")</f>
        <v>-</v>
      </c>
      <c r="CF132" s="71" t="str">
        <f t="shared" ref="CF132:CF163" ca="1" si="90">IFERROR(IF($B132&lt;$CE$94,IF(NOT(ISNUMBER(ffp)),"-",IF($F$70=$AX$87,AX132,IF($F$70=$BB$87,OFFSET(BB132,$F$21,0),IF($F$70=$BF$87,OFFSET(BF132,$F$16,0),IF($F$70=$BJ$87,OFFSET(BJ132,$F$16+$F$21,0),IF($F$70=$BN$87,OFFSET(BN132,$F$17,0),OFFSET(BR132,$F$17+$F$21,0))))))),""),"-")</f>
        <v>-</v>
      </c>
      <c r="CG132" s="33" t="str">
        <f t="shared" si="32"/>
        <v>32-33</v>
      </c>
      <c r="CH132" s="261" t="str">
        <f t="shared" ca="1" si="33"/>
        <v/>
      </c>
      <c r="CI132" s="99"/>
      <c r="CJ132" s="99"/>
      <c r="CK132" s="99"/>
      <c r="CL132" s="99"/>
      <c r="CM132" s="99"/>
      <c r="CN132" s="99"/>
      <c r="CO132" s="99"/>
    </row>
    <row r="133" spans="2:93" ht="13.5" customHeight="1" x14ac:dyDescent="0.2">
      <c r="B133" s="262">
        <v>33</v>
      </c>
      <c r="C133" s="237" t="str">
        <f t="shared" si="1"/>
        <v/>
      </c>
      <c r="D133" s="237" t="str">
        <f t="shared" si="66"/>
        <v>-</v>
      </c>
      <c r="E133" s="290" t="str">
        <f t="shared" si="34"/>
        <v/>
      </c>
      <c r="F133" s="264" t="str">
        <f t="shared" si="35"/>
        <v/>
      </c>
      <c r="G133" s="291" t="str">
        <f t="shared" si="36"/>
        <v/>
      </c>
      <c r="H133" s="240" t="str">
        <f t="shared" si="71"/>
        <v/>
      </c>
      <c r="I133" s="265" t="str">
        <f t="shared" si="72"/>
        <v/>
      </c>
      <c r="J133" s="265" t="str">
        <f t="shared" si="73"/>
        <v/>
      </c>
      <c r="K133" s="240" t="str">
        <f t="shared" si="74"/>
        <v/>
      </c>
      <c r="L133" s="265" t="str">
        <f t="shared" si="75"/>
        <v/>
      </c>
      <c r="M133" s="265" t="str">
        <f t="shared" si="76"/>
        <v/>
      </c>
      <c r="N133" s="240" t="str">
        <f t="shared" si="77"/>
        <v>-</v>
      </c>
      <c r="O133" s="265" t="str">
        <f t="shared" si="78"/>
        <v>-</v>
      </c>
      <c r="P133" s="265" t="str">
        <f t="shared" si="79"/>
        <v>-</v>
      </c>
      <c r="Q133" s="266" t="str">
        <f t="shared" si="80"/>
        <v>-</v>
      </c>
      <c r="R133" s="267" t="str">
        <f t="shared" si="81"/>
        <v>-</v>
      </c>
      <c r="S133" s="268" t="str">
        <f t="shared" si="82"/>
        <v>-</v>
      </c>
      <c r="T133" s="269" t="str">
        <f t="shared" si="9"/>
        <v/>
      </c>
      <c r="U133" s="221">
        <f t="shared" si="10"/>
        <v>33</v>
      </c>
      <c r="V133" s="220" t="str">
        <f t="shared" si="42"/>
        <v>-</v>
      </c>
      <c r="W133" s="221" t="str">
        <f t="shared" si="43"/>
        <v>-</v>
      </c>
      <c r="X133" s="221" t="str">
        <f t="shared" si="11"/>
        <v>-</v>
      </c>
      <c r="Y133" s="221" t="str">
        <f t="shared" si="12"/>
        <v>-</v>
      </c>
      <c r="Z133" s="270">
        <f t="shared" si="44"/>
        <v>0.1</v>
      </c>
      <c r="AA133" s="271" t="str">
        <f>IFERROR(IF(V132=1,AA$100*EXP(-(LN(2)/$D$65+0.04)*X132)*EXP(-(LN(2)/$D$65+0.1)*Y132),IF(V132=2,AA$100*EXP(-(LN(2)/$D$65+0.04)*(VLOOKUP(($F$16-$F$15)-1,U$99:Y132,4,FALSE)))*EXP(-(LN(2)/$D$65+0.1)*(VLOOKUP(($F$16-$F$15)-1,U$99:Y132,5,FALSE)))*EXP(-(LN(2)/$D$65+0.04)*X132)*EXP(-(LN(2)/$D$65+0.1)*Y132),IF(V132=3,AA$100*EXP(-(LN(2)/$D$65+0.04)*(VLOOKUP(($F$16-$F$15)-1,U$99:Y132,4,FALSE)))*EXP(-(LN(2)/$D$65+0.1)*(VLOOKUP(($F$16-$F$15)-1,U$99:Y132,5,FALSE)))*EXP(-(LN(2)/$D$65+0.04)*(VLOOKUP(($F$16-$F$15)*2-1,U$99:Y132,4,FALSE)))*EXP(-(LN(2)/$D$65+0.1)*(VLOOKUP(($F$16-$F$15)*2-1,U$99:Y132,5,FALSE)))*EXP(-(LN(2)/$D$65+0.04)*X132)*EXP(-(LN(2)/$D$65+0.1)*Y132),"-"))),"-")</f>
        <v>-</v>
      </c>
      <c r="AB133" s="271" t="str">
        <f>IFERROR(IF(V133=1,AB$100*EXP(-(LN(2)/$D$65+0.04)*X133)*EXP(-(LN(2)/$D$65+0.1)*Y133),IF(V133=2,AB$100*EXP(-(LN(2)/$D$65+0.04)*(VLOOKUP(($F$16-$F$15)-1,U$100:Y133,4,FALSE)))*EXP(-(LN(2)/$D$65+0.1)*(VLOOKUP(($F$16-$F$15)-1,U$100:Y133,5,FALSE)))*EXP(-(LN(2)/$D$65+0.04)*X133)*EXP(-(LN(2)/$D$65+0.1)*Y133),IF(V133=3,AB$100*EXP(-(LN(2)/$D$65+0.04)*(VLOOKUP(($F$16-$F$15)-1,U$100:Y133,4,FALSE)))*EXP(-(LN(2)/$D$65+0.1)*(VLOOKUP(($F$16-$F$15)-1,U$100:Y133,5,FALSE)))*EXP(-(LN(2)/$D$65+0.04)*(VLOOKUP(($F$16-$F$15)*2-1,U$100:Y133,4,FALSE)))*EXP(-(LN(2)/$D$65+0.1)*(VLOOKUP(($F$16-$F$15)*2-1,U$100:Y133,5,FALSE)))*EXP(-(LN(2)/$D$65+0.04)*X133)*EXP(-(LN(2)/$D$65+0.1)*Y133),"-"))),"-")</f>
        <v>-</v>
      </c>
      <c r="AC133" s="224">
        <f t="shared" si="45"/>
        <v>33</v>
      </c>
      <c r="AD133" s="223" t="str">
        <f t="shared" si="14"/>
        <v>-</v>
      </c>
      <c r="AE133" s="224" t="str">
        <f t="shared" si="46"/>
        <v>-</v>
      </c>
      <c r="AF133" s="224" t="str">
        <f t="shared" si="15"/>
        <v>-</v>
      </c>
      <c r="AG133" s="224" t="str">
        <f t="shared" si="16"/>
        <v>-</v>
      </c>
      <c r="AH133" s="272">
        <f t="shared" si="47"/>
        <v>0.1</v>
      </c>
      <c r="AI133" s="271" t="str">
        <f>IFERROR(IF(AD132=1,AI$100*EXP(-(LN(2)/$D$65+0.04)*AF132)*EXP(-(LN(2)/$D$65+0.1)*AG132),IF(AD132=2,AI$100*EXP(-(LN(2)/$D$65+0.04)*(VLOOKUP(($F$16-$F$15)-1,AC$99:AG132,4,FALSE)))*EXP(-(LN(2)/$D$65+0.1)*(VLOOKUP(($F$16-$F$15)-1,AC$99:AG132,5,FALSE)))*EXP(-(LN(2)/$D$65+0.04)*AF132)*EXP(-(LN(2)/$D$65+0.1)*AG132),IF(AD132=3,AI$100*EXP(-(LN(2)/$D$65+0.04)*(VLOOKUP(($F$16-$F$15)-1,AC$99:AG132,4,FALSE)))*EXP(-(LN(2)/$D$65+0.1)*(VLOOKUP(($F$16-$F$15)-1,AC$99:AG132,5,FALSE)))*EXP(-(LN(2)/$D$65+0.04)*(VLOOKUP(($F$16-$F$15)*2-1,AC$99:AG132,4,FALSE)))*EXP(-(LN(2)/$D$65+0.1)*(VLOOKUP(($F$16-$F$15)*2-1,AC$99:AG132,5,FALSE)))*EXP(-(LN(2)/$D$65+0.04)*AF132)*EXP(-(LN(2)/$D$65+0.1)*AG132),"-"))),"-")</f>
        <v>-</v>
      </c>
      <c r="AJ133" s="271" t="str">
        <f>IFERROR(IF(AD133=1,AJ$100*EXP(-(LN(2)/$D$65+0.04)*AF133)*EXP(-(LN(2)/$D$65+0.1)*AG133),IF(AD133=2,AJ$100*EXP(-(LN(2)/$D$65+0.04)*(VLOOKUP(($F$16-$F$15)-1,AC$100:AG133,4,FALSE)))*EXP(-(LN(2)/$D$65+0.1)*(VLOOKUP(($F$16-$F$15)-1,AC$100:AG133,5,FALSE)))*EXP(-(LN(2)/$D$65+0.04)*AF133)*EXP(-(LN(2)/$D$65+0.1)*AG133),IF(AD133=3,AJ$100*EXP(-(LN(2)/$D$65+0.04)*(VLOOKUP(($F$16-$F$15)-1,AC$100:AG133,4,FALSE)))*EXP(-(LN(2)/$D$65+0.1)*(VLOOKUP(($F$16-$F$15)-1,AC$100:AG133,5,FALSE)))*EXP(-(LN(2)/$D$65+0.04)*(VLOOKUP(($F$16-$F$15)*2-1,AC$100:AG133,4,FALSE)))*EXP(-(LN(2)/$D$65+0.1)*(VLOOKUP(($F$16-$F$15)*2-1,AC$100:AG133,5,FALSE)))*EXP(-(LN(2)/$D$65+0.04)*AF133)*EXP(-(LN(2)/$D$65+0.1)*AG133),"-"))),"-")</f>
        <v>-</v>
      </c>
      <c r="AK133" s="227">
        <f t="shared" si="49"/>
        <v>33</v>
      </c>
      <c r="AL133" s="226" t="str">
        <f t="shared" si="18"/>
        <v>-</v>
      </c>
      <c r="AM133" s="227" t="str">
        <f t="shared" si="50"/>
        <v>-</v>
      </c>
      <c r="AN133" s="227" t="str">
        <f t="shared" si="51"/>
        <v>-</v>
      </c>
      <c r="AO133" s="227" t="str">
        <f t="shared" si="19"/>
        <v>-</v>
      </c>
      <c r="AP133" s="273">
        <f t="shared" si="52"/>
        <v>0.1</v>
      </c>
      <c r="AQ133" s="271" t="str">
        <f>IFERROR(IF(AL132=1,AQ$100*EXP(-(LN(2)/$D$65+0.04)*AN132)*EXP(-(LN(2)/$D$65+0.1)*AO132),IF(AL132=2,AQ$100*EXP(-(LN(2)/$D$65+0.04)*(VLOOKUP(($F$16-$F$15)-1,AK$99:AO132,4,FALSE)))*EXP(-(LN(2)/$D$65+0.1)*(VLOOKUP(($F$16-$F$15)-1,AK$99:AO132,5,FALSE)))*EXP(-(LN(2)/$D$65+0.04)*AN132)*EXP(-(LN(2)/$D$65+0.1)*AO132),IF(AL132=3,AQ$100*EXP(-(LN(2)/$D$65+0.04)*(VLOOKUP(($F$16-$F$15)-1,AK$99:AO132,4,FALSE)))*EXP(-(LN(2)/$D$65+0.1)*(VLOOKUP(($F$16-$F$15)-1,AK$99:AO132,5,FALSE)))*EXP(-(LN(2)/$D$65+0.04)*(VLOOKUP(($F$16-$F$15)*2-1,AK$99:AO132,4,FALSE)))*EXP(-(LN(2)/$D$65+0.1)*(VLOOKUP(($F$16-$F$15)*2-1,AK$99:AO132,5,FALSE)))*EXP(-(LN(2)/$D$65+0.04)*AN132)*EXP(-(LN(2)/$D$65+0.1)*AO132),"-"))),"-")</f>
        <v>-</v>
      </c>
      <c r="AR133" s="271" t="str">
        <f>IFERROR(IF(AL133=1,AR$100*EXP(-(LN(2)/$D$65+0.04)*AN133)*EXP(-(LN(2)/$D$65+0.1)*AO133),IF(AL133=2,AR$100*EXP(-(LN(2)/$D$65+0.04)*(VLOOKUP(($F$16-$F$15)-1,AK$100:AO133,4,FALSE)))*EXP(-(LN(2)/$D$65+0.1)*(VLOOKUP(($F$16-$F$15)-1,AK$100:AO133,5,FALSE)))*EXP(-(LN(2)/$D$65+0.04)*AN133)*EXP(-(LN(2)/$D$65+0.1)*AO133),IF(AL133=3,AR$100*EXP(-(LN(2)/$D$65+0.04)*(VLOOKUP(($F$16-$F$15)-1,AK$100:AO133,4,FALSE)))*EXP(-(LN(2)/$D$65+0.1)*(VLOOKUP(($F$16-$F$15)-1,AK$100:AO133,5,FALSE)))*EXP(-(LN(2)/$D$65+0.04)*(VLOOKUP(($F$16-$F$15)*2-1,AK$100:AO133,4,FALSE)))*EXP(-(LN(2)/$D$65+0.1)*(VLOOKUP(($F$16-$F$15)*2-1,AK$100:AO133,5,FALSE)))*EXP(-(LN(2)/$D$65+0.04)*AN133)*EXP(-(LN(2)/$D$65+0.1)*AO133),"-"))),"-")</f>
        <v>-</v>
      </c>
      <c r="AS133" s="274">
        <f t="shared" si="20"/>
        <v>0</v>
      </c>
      <c r="AT133" s="274">
        <f t="shared" si="21"/>
        <v>0</v>
      </c>
      <c r="AU133" s="274">
        <f t="shared" si="22"/>
        <v>0</v>
      </c>
      <c r="AV133" s="190">
        <f>IF($B133&lt;$F$22,SUM($T$100:$T133),"")</f>
        <v>0</v>
      </c>
      <c r="AW133" s="190" t="str">
        <f t="shared" si="83"/>
        <v>-</v>
      </c>
      <c r="AX133" s="190" t="str">
        <f t="shared" si="56"/>
        <v/>
      </c>
      <c r="AY133"/>
      <c r="AZ133" s="190" t="str">
        <f ca="1">IF(ISNUMBER(OFFSET(AV133,-$F$21,0)),SUM(OFFSET($T$100,$F$21,0):$T133),"")</f>
        <v/>
      </c>
      <c r="BA133" s="190" t="str">
        <f t="shared" ca="1" si="84"/>
        <v/>
      </c>
      <c r="BB133" s="190" t="str">
        <f t="shared" ca="1" si="70"/>
        <v/>
      </c>
      <c r="BC133" s="190"/>
      <c r="BD133" s="190" t="str">
        <f ca="1">IFERROR(IF(AND($B133&gt;=($F$16-$F$15),$B133&lt;$F$22+($F$16-$F$15)),SUM(OFFSET($T$100,($F$16-$F$15),0):$T133),""),"")</f>
        <v/>
      </c>
      <c r="BE133" s="190" t="str">
        <f t="shared" ca="1" si="58"/>
        <v/>
      </c>
      <c r="BF133" s="190" t="str">
        <f t="shared" ca="1" si="59"/>
        <v/>
      </c>
      <c r="BG133"/>
      <c r="BH133" s="190" t="str">
        <f ca="1">IF(ISNUMBER(OFFSET(BD133,-$F$21,0)),SUM(OFFSET($T$100,($F$16-$F$15+$F$21),0):$T133),"")</f>
        <v/>
      </c>
      <c r="BI133" s="190" t="str">
        <f t="shared" ca="1" si="85"/>
        <v/>
      </c>
      <c r="BJ133" s="190" t="str">
        <f t="shared" ca="1" si="60"/>
        <v/>
      </c>
      <c r="BK133" s="190"/>
      <c r="BL133" s="190" t="str">
        <f ca="1">IFERROR(IF(AND($B133&gt;=($F$17-$F$15),$B133&lt;$F$22+($F$17-$F$15)),SUM(OFFSET($T$100,($F$17-$F$15),0):$T133),""),"")</f>
        <v/>
      </c>
      <c r="BM133" s="190" t="str">
        <f t="shared" ca="1" si="86"/>
        <v/>
      </c>
      <c r="BN133" s="190" t="str">
        <f t="shared" ca="1" si="61"/>
        <v/>
      </c>
      <c r="BO133"/>
      <c r="BP133" s="190" t="str">
        <f ca="1">IF(ISNUMBER(OFFSET(BL133,-$F$21,0)),SUM(OFFSET($T$100,($F$17-$F$15+$F$21),0):$T133),"")</f>
        <v/>
      </c>
      <c r="BQ133" s="190" t="str">
        <f t="shared" ca="1" si="87"/>
        <v/>
      </c>
      <c r="BR133" s="190" t="str">
        <f t="shared" ca="1" si="63"/>
        <v/>
      </c>
      <c r="BS133" s="190"/>
      <c r="BT133"/>
      <c r="BU133"/>
      <c r="BV133"/>
      <c r="BY133" s="99"/>
      <c r="BZ133" s="99"/>
      <c r="CA133" s="280" t="str">
        <f t="shared" si="88"/>
        <v/>
      </c>
      <c r="CB133" s="71" t="str">
        <f t="shared" si="27"/>
        <v>-</v>
      </c>
      <c r="CC133" s="33"/>
      <c r="CD133" s="261" t="str">
        <f t="shared" si="29"/>
        <v/>
      </c>
      <c r="CE133" s="280" t="str">
        <f t="shared" si="89"/>
        <v>-</v>
      </c>
      <c r="CF133" s="71" t="str">
        <f t="shared" ca="1" si="90"/>
        <v>-</v>
      </c>
      <c r="CG133" s="33" t="str">
        <f t="shared" si="32"/>
        <v>33-34</v>
      </c>
      <c r="CH133" s="261" t="str">
        <f t="shared" ca="1" si="33"/>
        <v/>
      </c>
      <c r="CI133" s="99"/>
      <c r="CJ133" s="99"/>
      <c r="CK133" s="99"/>
      <c r="CL133" s="99"/>
      <c r="CM133" s="99"/>
      <c r="CN133" s="99"/>
      <c r="CO133" s="99"/>
    </row>
    <row r="134" spans="2:93" ht="13.5" customHeight="1" x14ac:dyDescent="0.2">
      <c r="B134" s="262">
        <v>34</v>
      </c>
      <c r="C134" s="237" t="str">
        <f t="shared" si="1"/>
        <v/>
      </c>
      <c r="D134" s="237" t="str">
        <f t="shared" si="66"/>
        <v>-</v>
      </c>
      <c r="E134" s="290" t="str">
        <f t="shared" si="34"/>
        <v/>
      </c>
      <c r="F134" s="264" t="str">
        <f t="shared" si="35"/>
        <v/>
      </c>
      <c r="G134" s="291" t="str">
        <f t="shared" si="36"/>
        <v/>
      </c>
      <c r="H134" s="240" t="str">
        <f t="shared" si="71"/>
        <v/>
      </c>
      <c r="I134" s="265" t="str">
        <f t="shared" si="72"/>
        <v/>
      </c>
      <c r="J134" s="265" t="str">
        <f t="shared" si="73"/>
        <v/>
      </c>
      <c r="K134" s="240" t="str">
        <f t="shared" si="74"/>
        <v/>
      </c>
      <c r="L134" s="265" t="str">
        <f t="shared" si="75"/>
        <v/>
      </c>
      <c r="M134" s="265" t="str">
        <f t="shared" si="76"/>
        <v/>
      </c>
      <c r="N134" s="240" t="str">
        <f t="shared" si="77"/>
        <v>-</v>
      </c>
      <c r="O134" s="265" t="str">
        <f t="shared" si="78"/>
        <v>-</v>
      </c>
      <c r="P134" s="265" t="str">
        <f t="shared" si="79"/>
        <v>-</v>
      </c>
      <c r="Q134" s="266" t="str">
        <f t="shared" si="80"/>
        <v>-</v>
      </c>
      <c r="R134" s="267" t="str">
        <f t="shared" si="81"/>
        <v>-</v>
      </c>
      <c r="S134" s="268" t="str">
        <f t="shared" si="82"/>
        <v>-</v>
      </c>
      <c r="T134" s="269" t="str">
        <f t="shared" si="9"/>
        <v/>
      </c>
      <c r="U134" s="221">
        <f t="shared" si="10"/>
        <v>34</v>
      </c>
      <c r="V134" s="220" t="str">
        <f t="shared" si="42"/>
        <v>-</v>
      </c>
      <c r="W134" s="221" t="str">
        <f t="shared" si="43"/>
        <v>-</v>
      </c>
      <c r="X134" s="221" t="str">
        <f t="shared" si="11"/>
        <v>-</v>
      </c>
      <c r="Y134" s="221" t="str">
        <f t="shared" si="12"/>
        <v>-</v>
      </c>
      <c r="Z134" s="270">
        <f t="shared" si="44"/>
        <v>0.1</v>
      </c>
      <c r="AA134" s="271" t="str">
        <f>IFERROR(IF(V133=1,AA$100*EXP(-(LN(2)/$D$65+0.04)*X133)*EXP(-(LN(2)/$D$65+0.1)*Y133),IF(V133=2,AA$100*EXP(-(LN(2)/$D$65+0.04)*(VLOOKUP(($F$16-$F$15)-1,U$99:Y133,4,FALSE)))*EXP(-(LN(2)/$D$65+0.1)*(VLOOKUP(($F$16-$F$15)-1,U$99:Y133,5,FALSE)))*EXP(-(LN(2)/$D$65+0.04)*X133)*EXP(-(LN(2)/$D$65+0.1)*Y133),IF(V133=3,AA$100*EXP(-(LN(2)/$D$65+0.04)*(VLOOKUP(($F$16-$F$15)-1,U$99:Y133,4,FALSE)))*EXP(-(LN(2)/$D$65+0.1)*(VLOOKUP(($F$16-$F$15)-1,U$99:Y133,5,FALSE)))*EXP(-(LN(2)/$D$65+0.04)*(VLOOKUP(($F$16-$F$15)*2-1,U$99:Y133,4,FALSE)))*EXP(-(LN(2)/$D$65+0.1)*(VLOOKUP(($F$16-$F$15)*2-1,U$99:Y133,5,FALSE)))*EXP(-(LN(2)/$D$65+0.04)*X133)*EXP(-(LN(2)/$D$65+0.1)*Y133),"-"))),"-")</f>
        <v>-</v>
      </c>
      <c r="AB134" s="271" t="str">
        <f>IFERROR(IF(V134=1,AB$100*EXP(-(LN(2)/$D$65+0.04)*X134)*EXP(-(LN(2)/$D$65+0.1)*Y134),IF(V134=2,AB$100*EXP(-(LN(2)/$D$65+0.04)*(VLOOKUP(($F$16-$F$15)-1,U$100:Y134,4,FALSE)))*EXP(-(LN(2)/$D$65+0.1)*(VLOOKUP(($F$16-$F$15)-1,U$100:Y134,5,FALSE)))*EXP(-(LN(2)/$D$65+0.04)*X134)*EXP(-(LN(2)/$D$65+0.1)*Y134),IF(V134=3,AB$100*EXP(-(LN(2)/$D$65+0.04)*(VLOOKUP(($F$16-$F$15)-1,U$100:Y134,4,FALSE)))*EXP(-(LN(2)/$D$65+0.1)*(VLOOKUP(($F$16-$F$15)-1,U$100:Y134,5,FALSE)))*EXP(-(LN(2)/$D$65+0.04)*(VLOOKUP(($F$16-$F$15)*2-1,U$100:Y134,4,FALSE)))*EXP(-(LN(2)/$D$65+0.1)*(VLOOKUP(($F$16-$F$15)*2-1,U$100:Y134,5,FALSE)))*EXP(-(LN(2)/$D$65+0.04)*X134)*EXP(-(LN(2)/$D$65+0.1)*Y134),"-"))),"-")</f>
        <v>-</v>
      </c>
      <c r="AC134" s="224">
        <f t="shared" si="45"/>
        <v>34</v>
      </c>
      <c r="AD134" s="223" t="str">
        <f t="shared" si="14"/>
        <v>-</v>
      </c>
      <c r="AE134" s="224" t="str">
        <f t="shared" si="46"/>
        <v>-</v>
      </c>
      <c r="AF134" s="224" t="str">
        <f t="shared" si="15"/>
        <v>-</v>
      </c>
      <c r="AG134" s="224" t="str">
        <f t="shared" si="16"/>
        <v>-</v>
      </c>
      <c r="AH134" s="272">
        <f t="shared" si="47"/>
        <v>0.1</v>
      </c>
      <c r="AI134" s="271" t="str">
        <f>IFERROR(IF(AD133=1,AI$100*EXP(-(LN(2)/$D$65+0.04)*AF133)*EXP(-(LN(2)/$D$65+0.1)*AG133),IF(AD133=2,AI$100*EXP(-(LN(2)/$D$65+0.04)*(VLOOKUP(($F$16-$F$15)-1,AC$99:AG133,4,FALSE)))*EXP(-(LN(2)/$D$65+0.1)*(VLOOKUP(($F$16-$F$15)-1,AC$99:AG133,5,FALSE)))*EXP(-(LN(2)/$D$65+0.04)*AF133)*EXP(-(LN(2)/$D$65+0.1)*AG133),IF(AD133=3,AI$100*EXP(-(LN(2)/$D$65+0.04)*(VLOOKUP(($F$16-$F$15)-1,AC$99:AG133,4,FALSE)))*EXP(-(LN(2)/$D$65+0.1)*(VLOOKUP(($F$16-$F$15)-1,AC$99:AG133,5,FALSE)))*EXP(-(LN(2)/$D$65+0.04)*(VLOOKUP(($F$16-$F$15)*2-1,AC$99:AG133,4,FALSE)))*EXP(-(LN(2)/$D$65+0.1)*(VLOOKUP(($F$16-$F$15)*2-1,AC$99:AG133,5,FALSE)))*EXP(-(LN(2)/$D$65+0.04)*AF133)*EXP(-(LN(2)/$D$65+0.1)*AG133),"-"))),"-")</f>
        <v>-</v>
      </c>
      <c r="AJ134" s="271" t="str">
        <f>IFERROR(IF(AD134=1,AJ$100*EXP(-(LN(2)/$D$65+0.04)*AF134)*EXP(-(LN(2)/$D$65+0.1)*AG134),IF(AD134=2,AJ$100*EXP(-(LN(2)/$D$65+0.04)*(VLOOKUP(($F$16-$F$15)-1,AC$100:AG134,4,FALSE)))*EXP(-(LN(2)/$D$65+0.1)*(VLOOKUP(($F$16-$F$15)-1,AC$100:AG134,5,FALSE)))*EXP(-(LN(2)/$D$65+0.04)*AF134)*EXP(-(LN(2)/$D$65+0.1)*AG134),IF(AD134=3,AJ$100*EXP(-(LN(2)/$D$65+0.04)*(VLOOKUP(($F$16-$F$15)-1,AC$100:AG134,4,FALSE)))*EXP(-(LN(2)/$D$65+0.1)*(VLOOKUP(($F$16-$F$15)-1,AC$100:AG134,5,FALSE)))*EXP(-(LN(2)/$D$65+0.04)*(VLOOKUP(($F$16-$F$15)*2-1,AC$100:AG134,4,FALSE)))*EXP(-(LN(2)/$D$65+0.1)*(VLOOKUP(($F$16-$F$15)*2-1,AC$100:AG134,5,FALSE)))*EXP(-(LN(2)/$D$65+0.04)*AF134)*EXP(-(LN(2)/$D$65+0.1)*AG134),"-"))),"-")</f>
        <v>-</v>
      </c>
      <c r="AK134" s="227">
        <f t="shared" si="49"/>
        <v>34</v>
      </c>
      <c r="AL134" s="226" t="str">
        <f t="shared" si="18"/>
        <v>-</v>
      </c>
      <c r="AM134" s="227" t="str">
        <f t="shared" si="50"/>
        <v>-</v>
      </c>
      <c r="AN134" s="227" t="str">
        <f t="shared" si="51"/>
        <v>-</v>
      </c>
      <c r="AO134" s="227" t="str">
        <f t="shared" si="19"/>
        <v>-</v>
      </c>
      <c r="AP134" s="273">
        <f t="shared" si="52"/>
        <v>0.1</v>
      </c>
      <c r="AQ134" s="271" t="str">
        <f>IFERROR(IF(AL133=1,AQ$100*EXP(-(LN(2)/$D$65+0.04)*AN133)*EXP(-(LN(2)/$D$65+0.1)*AO133),IF(AL133=2,AQ$100*EXP(-(LN(2)/$D$65+0.04)*(VLOOKUP(($F$16-$F$15)-1,AK$99:AO133,4,FALSE)))*EXP(-(LN(2)/$D$65+0.1)*(VLOOKUP(($F$16-$F$15)-1,AK$99:AO133,5,FALSE)))*EXP(-(LN(2)/$D$65+0.04)*AN133)*EXP(-(LN(2)/$D$65+0.1)*AO133),IF(AL133=3,AQ$100*EXP(-(LN(2)/$D$65+0.04)*(VLOOKUP(($F$16-$F$15)-1,AK$99:AO133,4,FALSE)))*EXP(-(LN(2)/$D$65+0.1)*(VLOOKUP(($F$16-$F$15)-1,AK$99:AO133,5,FALSE)))*EXP(-(LN(2)/$D$65+0.04)*(VLOOKUP(($F$16-$F$15)*2-1,AK$99:AO133,4,FALSE)))*EXP(-(LN(2)/$D$65+0.1)*(VLOOKUP(($F$16-$F$15)*2-1,AK$99:AO133,5,FALSE)))*EXP(-(LN(2)/$D$65+0.04)*AN133)*EXP(-(LN(2)/$D$65+0.1)*AO133),"-"))),"-")</f>
        <v>-</v>
      </c>
      <c r="AR134" s="271" t="str">
        <f>IFERROR(IF(AL134=1,AR$100*EXP(-(LN(2)/$D$65+0.04)*AN134)*EXP(-(LN(2)/$D$65+0.1)*AO134),IF(AL134=2,AR$100*EXP(-(LN(2)/$D$65+0.04)*(VLOOKUP(($F$16-$F$15)-1,AK$100:AO134,4,FALSE)))*EXP(-(LN(2)/$D$65+0.1)*(VLOOKUP(($F$16-$F$15)-1,AK$100:AO134,5,FALSE)))*EXP(-(LN(2)/$D$65+0.04)*AN134)*EXP(-(LN(2)/$D$65+0.1)*AO134),IF(AL134=3,AR$100*EXP(-(LN(2)/$D$65+0.04)*(VLOOKUP(($F$16-$F$15)-1,AK$100:AO134,4,FALSE)))*EXP(-(LN(2)/$D$65+0.1)*(VLOOKUP(($F$16-$F$15)-1,AK$100:AO134,5,FALSE)))*EXP(-(LN(2)/$D$65+0.04)*(VLOOKUP(($F$16-$F$15)*2-1,AK$100:AO134,4,FALSE)))*EXP(-(LN(2)/$D$65+0.1)*(VLOOKUP(($F$16-$F$15)*2-1,AK$100:AO134,5,FALSE)))*EXP(-(LN(2)/$D$65+0.04)*AN134)*EXP(-(LN(2)/$D$65+0.1)*AO134),"-"))),"-")</f>
        <v>-</v>
      </c>
      <c r="AS134" s="274">
        <f t="shared" si="20"/>
        <v>0</v>
      </c>
      <c r="AT134" s="274">
        <f t="shared" si="21"/>
        <v>0</v>
      </c>
      <c r="AU134" s="274">
        <f t="shared" si="22"/>
        <v>0</v>
      </c>
      <c r="AV134" s="190">
        <f>IF($B134&lt;$F$22,SUM($T$100:$T134),"")</f>
        <v>0</v>
      </c>
      <c r="AW134" s="190" t="str">
        <f t="shared" si="83"/>
        <v>-</v>
      </c>
      <c r="AX134" s="190" t="str">
        <f t="shared" si="56"/>
        <v/>
      </c>
      <c r="AY134"/>
      <c r="AZ134" s="190" t="str">
        <f ca="1">IF(ISNUMBER(OFFSET(AV134,-$F$21,0)),SUM(OFFSET($T$100,$F$21,0):$T134),"")</f>
        <v/>
      </c>
      <c r="BA134" s="190" t="str">
        <f t="shared" ca="1" si="84"/>
        <v/>
      </c>
      <c r="BB134" s="190" t="str">
        <f t="shared" ca="1" si="70"/>
        <v/>
      </c>
      <c r="BC134" s="190"/>
      <c r="BD134" s="190" t="str">
        <f ca="1">IFERROR(IF(AND($B134&gt;=($F$16-$F$15),$B134&lt;$F$22+($F$16-$F$15)),SUM(OFFSET($T$100,($F$16-$F$15),0):$T134),""),"")</f>
        <v/>
      </c>
      <c r="BE134" s="190" t="str">
        <f t="shared" ca="1" si="58"/>
        <v/>
      </c>
      <c r="BF134" s="190" t="str">
        <f t="shared" ca="1" si="59"/>
        <v/>
      </c>
      <c r="BG134"/>
      <c r="BH134" s="190" t="str">
        <f ca="1">IF(ISNUMBER(OFFSET(BD134,-$F$21,0)),SUM(OFFSET($T$100,($F$16-$F$15+$F$21),0):$T134),"")</f>
        <v/>
      </c>
      <c r="BI134" s="190" t="str">
        <f t="shared" ca="1" si="85"/>
        <v/>
      </c>
      <c r="BJ134" s="190" t="str">
        <f t="shared" ca="1" si="60"/>
        <v/>
      </c>
      <c r="BK134" s="190"/>
      <c r="BL134" s="190" t="str">
        <f ca="1">IFERROR(IF(AND($B134&gt;=($F$17-$F$15),$B134&lt;$F$22+($F$17-$F$15)),SUM(OFFSET($T$100,($F$17-$F$15),0):$T134),""),"")</f>
        <v/>
      </c>
      <c r="BM134" s="190" t="str">
        <f t="shared" ca="1" si="86"/>
        <v/>
      </c>
      <c r="BN134" s="190" t="str">
        <f t="shared" ca="1" si="61"/>
        <v/>
      </c>
      <c r="BO134"/>
      <c r="BP134" s="190" t="str">
        <f ca="1">IF(ISNUMBER(OFFSET(BL134,-$F$21,0)),SUM(OFFSET($T$100,($F$17-$F$15+$F$21),0):$T134),"")</f>
        <v/>
      </c>
      <c r="BQ134" s="190" t="str">
        <f t="shared" ca="1" si="87"/>
        <v/>
      </c>
      <c r="BR134" s="190" t="str">
        <f t="shared" ca="1" si="63"/>
        <v/>
      </c>
      <c r="BS134" s="190"/>
      <c r="BT134"/>
      <c r="BU134"/>
      <c r="BV134"/>
      <c r="BY134" s="99"/>
      <c r="BZ134" s="99"/>
      <c r="CA134" s="280" t="str">
        <f t="shared" si="88"/>
        <v/>
      </c>
      <c r="CB134" s="71" t="str">
        <f t="shared" si="27"/>
        <v>-</v>
      </c>
      <c r="CC134" s="33"/>
      <c r="CD134" s="261" t="str">
        <f t="shared" si="29"/>
        <v/>
      </c>
      <c r="CE134" s="280" t="str">
        <f t="shared" si="89"/>
        <v>-</v>
      </c>
      <c r="CF134" s="71" t="str">
        <f t="shared" ca="1" si="90"/>
        <v>-</v>
      </c>
      <c r="CG134" s="33" t="str">
        <f t="shared" si="32"/>
        <v>34-35</v>
      </c>
      <c r="CH134" s="261" t="str">
        <f t="shared" ca="1" si="33"/>
        <v/>
      </c>
      <c r="CI134" s="99"/>
      <c r="CJ134" s="99"/>
      <c r="CK134" s="99"/>
      <c r="CL134" s="99"/>
      <c r="CM134" s="99"/>
      <c r="CN134" s="99"/>
      <c r="CO134" s="99"/>
    </row>
    <row r="135" spans="2:93" ht="13.5" customHeight="1" x14ac:dyDescent="0.2">
      <c r="B135" s="262">
        <v>35</v>
      </c>
      <c r="C135" s="237" t="str">
        <f t="shared" si="1"/>
        <v/>
      </c>
      <c r="D135" s="237" t="str">
        <f t="shared" si="66"/>
        <v>-</v>
      </c>
      <c r="E135" s="290" t="str">
        <f t="shared" si="34"/>
        <v/>
      </c>
      <c r="F135" s="264" t="str">
        <f t="shared" si="35"/>
        <v/>
      </c>
      <c r="G135" s="291" t="str">
        <f t="shared" si="36"/>
        <v/>
      </c>
      <c r="H135" s="240" t="str">
        <f t="shared" si="71"/>
        <v/>
      </c>
      <c r="I135" s="265" t="str">
        <f t="shared" si="72"/>
        <v/>
      </c>
      <c r="J135" s="265" t="str">
        <f t="shared" si="73"/>
        <v/>
      </c>
      <c r="K135" s="240" t="str">
        <f t="shared" si="74"/>
        <v/>
      </c>
      <c r="L135" s="265" t="str">
        <f t="shared" si="75"/>
        <v/>
      </c>
      <c r="M135" s="265" t="str">
        <f t="shared" si="76"/>
        <v/>
      </c>
      <c r="N135" s="240" t="str">
        <f t="shared" si="77"/>
        <v>-</v>
      </c>
      <c r="O135" s="265" t="str">
        <f t="shared" si="78"/>
        <v>-</v>
      </c>
      <c r="P135" s="265" t="str">
        <f t="shared" si="79"/>
        <v>-</v>
      </c>
      <c r="Q135" s="266" t="str">
        <f t="shared" si="80"/>
        <v>-</v>
      </c>
      <c r="R135" s="267" t="str">
        <f t="shared" si="81"/>
        <v>-</v>
      </c>
      <c r="S135" s="268" t="str">
        <f t="shared" si="82"/>
        <v>-</v>
      </c>
      <c r="T135" s="269" t="str">
        <f t="shared" si="9"/>
        <v/>
      </c>
      <c r="U135" s="221">
        <f t="shared" si="10"/>
        <v>35</v>
      </c>
      <c r="V135" s="220" t="str">
        <f t="shared" si="42"/>
        <v>-</v>
      </c>
      <c r="W135" s="221" t="str">
        <f t="shared" si="43"/>
        <v>-</v>
      </c>
      <c r="X135" s="221" t="str">
        <f t="shared" si="11"/>
        <v>-</v>
      </c>
      <c r="Y135" s="221" t="str">
        <f t="shared" si="12"/>
        <v>-</v>
      </c>
      <c r="Z135" s="270">
        <f t="shared" si="44"/>
        <v>0.1</v>
      </c>
      <c r="AA135" s="271" t="str">
        <f>IFERROR(IF(V134=1,AA$100*EXP(-(LN(2)/$D$65+0.04)*X134)*EXP(-(LN(2)/$D$65+0.1)*Y134),IF(V134=2,AA$100*EXP(-(LN(2)/$D$65+0.04)*(VLOOKUP(($F$16-$F$15)-1,U$99:Y134,4,FALSE)))*EXP(-(LN(2)/$D$65+0.1)*(VLOOKUP(($F$16-$F$15)-1,U$99:Y134,5,FALSE)))*EXP(-(LN(2)/$D$65+0.04)*X134)*EXP(-(LN(2)/$D$65+0.1)*Y134),IF(V134=3,AA$100*EXP(-(LN(2)/$D$65+0.04)*(VLOOKUP(($F$16-$F$15)-1,U$99:Y134,4,FALSE)))*EXP(-(LN(2)/$D$65+0.1)*(VLOOKUP(($F$16-$F$15)-1,U$99:Y134,5,FALSE)))*EXP(-(LN(2)/$D$65+0.04)*(VLOOKUP(($F$16-$F$15)*2-1,U$99:Y134,4,FALSE)))*EXP(-(LN(2)/$D$65+0.1)*(VLOOKUP(($F$16-$F$15)*2-1,U$99:Y134,5,FALSE)))*EXP(-(LN(2)/$D$65+0.04)*X134)*EXP(-(LN(2)/$D$65+0.1)*Y134),"-"))),"-")</f>
        <v>-</v>
      </c>
      <c r="AB135" s="271" t="str">
        <f>IFERROR(IF(V135=1,AB$100*EXP(-(LN(2)/$D$65+0.04)*X135)*EXP(-(LN(2)/$D$65+0.1)*Y135),IF(V135=2,AB$100*EXP(-(LN(2)/$D$65+0.04)*(VLOOKUP(($F$16-$F$15)-1,U$100:Y135,4,FALSE)))*EXP(-(LN(2)/$D$65+0.1)*(VLOOKUP(($F$16-$F$15)-1,U$100:Y135,5,FALSE)))*EXP(-(LN(2)/$D$65+0.04)*X135)*EXP(-(LN(2)/$D$65+0.1)*Y135),IF(V135=3,AB$100*EXP(-(LN(2)/$D$65+0.04)*(VLOOKUP(($F$16-$F$15)-1,U$100:Y135,4,FALSE)))*EXP(-(LN(2)/$D$65+0.1)*(VLOOKUP(($F$16-$F$15)-1,U$100:Y135,5,FALSE)))*EXP(-(LN(2)/$D$65+0.04)*(VLOOKUP(($F$16-$F$15)*2-1,U$100:Y135,4,FALSE)))*EXP(-(LN(2)/$D$65+0.1)*(VLOOKUP(($F$16-$F$15)*2-1,U$100:Y135,5,FALSE)))*EXP(-(LN(2)/$D$65+0.04)*X135)*EXP(-(LN(2)/$D$65+0.1)*Y135),"-"))),"-")</f>
        <v>-</v>
      </c>
      <c r="AC135" s="224">
        <f t="shared" si="45"/>
        <v>35</v>
      </c>
      <c r="AD135" s="223" t="str">
        <f t="shared" si="14"/>
        <v>-</v>
      </c>
      <c r="AE135" s="224" t="str">
        <f t="shared" si="46"/>
        <v>-</v>
      </c>
      <c r="AF135" s="224" t="str">
        <f t="shared" si="15"/>
        <v>-</v>
      </c>
      <c r="AG135" s="224" t="str">
        <f t="shared" si="16"/>
        <v>-</v>
      </c>
      <c r="AH135" s="272">
        <f t="shared" si="47"/>
        <v>0.1</v>
      </c>
      <c r="AI135" s="271" t="str">
        <f>IFERROR(IF(AD134=1,AI$100*EXP(-(LN(2)/$D$65+0.04)*AF134)*EXP(-(LN(2)/$D$65+0.1)*AG134),IF(AD134=2,AI$100*EXP(-(LN(2)/$D$65+0.04)*(VLOOKUP(($F$16-$F$15)-1,AC$99:AG134,4,FALSE)))*EXP(-(LN(2)/$D$65+0.1)*(VLOOKUP(($F$16-$F$15)-1,AC$99:AG134,5,FALSE)))*EXP(-(LN(2)/$D$65+0.04)*AF134)*EXP(-(LN(2)/$D$65+0.1)*AG134),IF(AD134=3,AI$100*EXP(-(LN(2)/$D$65+0.04)*(VLOOKUP(($F$16-$F$15)-1,AC$99:AG134,4,FALSE)))*EXP(-(LN(2)/$D$65+0.1)*(VLOOKUP(($F$16-$F$15)-1,AC$99:AG134,5,FALSE)))*EXP(-(LN(2)/$D$65+0.04)*(VLOOKUP(($F$16-$F$15)*2-1,AC$99:AG134,4,FALSE)))*EXP(-(LN(2)/$D$65+0.1)*(VLOOKUP(($F$16-$F$15)*2-1,AC$99:AG134,5,FALSE)))*EXP(-(LN(2)/$D$65+0.04)*AF134)*EXP(-(LN(2)/$D$65+0.1)*AG134),"-"))),"-")</f>
        <v>-</v>
      </c>
      <c r="AJ135" s="271" t="str">
        <f>IFERROR(IF(AD135=1,AJ$100*EXP(-(LN(2)/$D$65+0.04)*AF135)*EXP(-(LN(2)/$D$65+0.1)*AG135),IF(AD135=2,AJ$100*EXP(-(LN(2)/$D$65+0.04)*(VLOOKUP(($F$16-$F$15)-1,AC$100:AG135,4,FALSE)))*EXP(-(LN(2)/$D$65+0.1)*(VLOOKUP(($F$16-$F$15)-1,AC$100:AG135,5,FALSE)))*EXP(-(LN(2)/$D$65+0.04)*AF135)*EXP(-(LN(2)/$D$65+0.1)*AG135),IF(AD135=3,AJ$100*EXP(-(LN(2)/$D$65+0.04)*(VLOOKUP(($F$16-$F$15)-1,AC$100:AG135,4,FALSE)))*EXP(-(LN(2)/$D$65+0.1)*(VLOOKUP(($F$16-$F$15)-1,AC$100:AG135,5,FALSE)))*EXP(-(LN(2)/$D$65+0.04)*(VLOOKUP(($F$16-$F$15)*2-1,AC$100:AG135,4,FALSE)))*EXP(-(LN(2)/$D$65+0.1)*(VLOOKUP(($F$16-$F$15)*2-1,AC$100:AG135,5,FALSE)))*EXP(-(LN(2)/$D$65+0.04)*AF135)*EXP(-(LN(2)/$D$65+0.1)*AG135),"-"))),"-")</f>
        <v>-</v>
      </c>
      <c r="AK135" s="227">
        <f t="shared" si="49"/>
        <v>35</v>
      </c>
      <c r="AL135" s="226" t="str">
        <f t="shared" si="18"/>
        <v>-</v>
      </c>
      <c r="AM135" s="227" t="str">
        <f t="shared" si="50"/>
        <v>-</v>
      </c>
      <c r="AN135" s="227" t="str">
        <f t="shared" si="51"/>
        <v>-</v>
      </c>
      <c r="AO135" s="227" t="str">
        <f t="shared" si="19"/>
        <v>-</v>
      </c>
      <c r="AP135" s="273">
        <f t="shared" si="52"/>
        <v>0.1</v>
      </c>
      <c r="AQ135" s="271" t="str">
        <f>IFERROR(IF(AL134=1,AQ$100*EXP(-(LN(2)/$D$65+0.04)*AN134)*EXP(-(LN(2)/$D$65+0.1)*AO134),IF(AL134=2,AQ$100*EXP(-(LN(2)/$D$65+0.04)*(VLOOKUP(($F$16-$F$15)-1,AK$99:AO134,4,FALSE)))*EXP(-(LN(2)/$D$65+0.1)*(VLOOKUP(($F$16-$F$15)-1,AK$99:AO134,5,FALSE)))*EXP(-(LN(2)/$D$65+0.04)*AN134)*EXP(-(LN(2)/$D$65+0.1)*AO134),IF(AL134=3,AQ$100*EXP(-(LN(2)/$D$65+0.04)*(VLOOKUP(($F$16-$F$15)-1,AK$99:AO134,4,FALSE)))*EXP(-(LN(2)/$D$65+0.1)*(VLOOKUP(($F$16-$F$15)-1,AK$99:AO134,5,FALSE)))*EXP(-(LN(2)/$D$65+0.04)*(VLOOKUP(($F$16-$F$15)*2-1,AK$99:AO134,4,FALSE)))*EXP(-(LN(2)/$D$65+0.1)*(VLOOKUP(($F$16-$F$15)*2-1,AK$99:AO134,5,FALSE)))*EXP(-(LN(2)/$D$65+0.04)*AN134)*EXP(-(LN(2)/$D$65+0.1)*AO134),"-"))),"-")</f>
        <v>-</v>
      </c>
      <c r="AR135" s="271" t="str">
        <f>IFERROR(IF(AL135=1,AR$100*EXP(-(LN(2)/$D$65+0.04)*AN135)*EXP(-(LN(2)/$D$65+0.1)*AO135),IF(AL135=2,AR$100*EXP(-(LN(2)/$D$65+0.04)*(VLOOKUP(($F$16-$F$15)-1,AK$100:AO135,4,FALSE)))*EXP(-(LN(2)/$D$65+0.1)*(VLOOKUP(($F$16-$F$15)-1,AK$100:AO135,5,FALSE)))*EXP(-(LN(2)/$D$65+0.04)*AN135)*EXP(-(LN(2)/$D$65+0.1)*AO135),IF(AL135=3,AR$100*EXP(-(LN(2)/$D$65+0.04)*(VLOOKUP(($F$16-$F$15)-1,AK$100:AO135,4,FALSE)))*EXP(-(LN(2)/$D$65+0.1)*(VLOOKUP(($F$16-$F$15)-1,AK$100:AO135,5,FALSE)))*EXP(-(LN(2)/$D$65+0.04)*(VLOOKUP(($F$16-$F$15)*2-1,AK$100:AO135,4,FALSE)))*EXP(-(LN(2)/$D$65+0.1)*(VLOOKUP(($F$16-$F$15)*2-1,AK$100:AO135,5,FALSE)))*EXP(-(LN(2)/$D$65+0.04)*AN135)*EXP(-(LN(2)/$D$65+0.1)*AO135),"-"))),"-")</f>
        <v>-</v>
      </c>
      <c r="AS135" s="274">
        <f t="shared" si="20"/>
        <v>0</v>
      </c>
      <c r="AT135" s="274">
        <f t="shared" si="21"/>
        <v>0</v>
      </c>
      <c r="AU135" s="274">
        <f t="shared" si="22"/>
        <v>0</v>
      </c>
      <c r="AV135" s="190">
        <f>IF($B135&lt;$F$22,SUM($T$100:$T135),"")</f>
        <v>0</v>
      </c>
      <c r="AW135" s="190" t="str">
        <f t="shared" si="83"/>
        <v>-</v>
      </c>
      <c r="AX135" s="190" t="str">
        <f t="shared" si="56"/>
        <v/>
      </c>
      <c r="AY135"/>
      <c r="AZ135" s="190" t="str">
        <f ca="1">IF(ISNUMBER(OFFSET(AV135,-$F$21,0)),SUM(OFFSET($T$100,$F$21,0):$T135),"")</f>
        <v/>
      </c>
      <c r="BA135" s="190" t="str">
        <f t="shared" ca="1" si="84"/>
        <v/>
      </c>
      <c r="BB135" s="190" t="str">
        <f t="shared" ca="1" si="70"/>
        <v/>
      </c>
      <c r="BC135" s="190"/>
      <c r="BD135" s="190" t="str">
        <f ca="1">IFERROR(IF(AND($B135&gt;=($F$16-$F$15),$B135&lt;$F$22+($F$16-$F$15)),SUM(OFFSET($T$100,($F$16-$F$15),0):$T135),""),"")</f>
        <v/>
      </c>
      <c r="BE135" s="190" t="str">
        <f t="shared" ca="1" si="58"/>
        <v/>
      </c>
      <c r="BF135" s="190" t="str">
        <f t="shared" ca="1" si="59"/>
        <v/>
      </c>
      <c r="BG135"/>
      <c r="BH135" s="190" t="str">
        <f ca="1">IF(ISNUMBER(OFFSET(BD135,-$F$21,0)),SUM(OFFSET($T$100,($F$16-$F$15+$F$21),0):$T135),"")</f>
        <v/>
      </c>
      <c r="BI135" s="190" t="str">
        <f t="shared" ca="1" si="85"/>
        <v/>
      </c>
      <c r="BJ135" s="190" t="str">
        <f t="shared" ca="1" si="60"/>
        <v/>
      </c>
      <c r="BK135" s="190"/>
      <c r="BL135" s="190" t="str">
        <f ca="1">IFERROR(IF(AND($B135&gt;=($F$17-$F$15),$B135&lt;$F$22+($F$17-$F$15)),SUM(OFFSET($T$100,($F$17-$F$15),0):$T135),""),"")</f>
        <v/>
      </c>
      <c r="BM135" s="190" t="str">
        <f t="shared" ca="1" si="86"/>
        <v/>
      </c>
      <c r="BN135" s="190" t="str">
        <f t="shared" ca="1" si="61"/>
        <v/>
      </c>
      <c r="BO135"/>
      <c r="BP135" s="190" t="str">
        <f ca="1">IF(ISNUMBER(OFFSET(BL135,-$F$21,0)),SUM(OFFSET($T$100,($F$17-$F$15+$F$21),0):$T135),"")</f>
        <v/>
      </c>
      <c r="BQ135" s="190" t="str">
        <f t="shared" ca="1" si="87"/>
        <v/>
      </c>
      <c r="BR135" s="190" t="str">
        <f t="shared" ca="1" si="63"/>
        <v/>
      </c>
      <c r="BS135" s="190"/>
      <c r="BT135"/>
      <c r="BU135"/>
      <c r="BV135"/>
      <c r="BY135" s="99"/>
      <c r="BZ135" s="99"/>
      <c r="CA135" s="280" t="str">
        <f t="shared" si="88"/>
        <v/>
      </c>
      <c r="CB135" s="71" t="str">
        <f t="shared" si="27"/>
        <v>-</v>
      </c>
      <c r="CC135" s="33"/>
      <c r="CD135" s="261" t="str">
        <f t="shared" si="29"/>
        <v/>
      </c>
      <c r="CE135" s="280" t="str">
        <f t="shared" si="89"/>
        <v>-</v>
      </c>
      <c r="CF135" s="71" t="str">
        <f t="shared" ca="1" si="90"/>
        <v>-</v>
      </c>
      <c r="CG135" s="33" t="str">
        <f t="shared" si="32"/>
        <v>35-36</v>
      </c>
      <c r="CH135" s="261" t="str">
        <f t="shared" ca="1" si="33"/>
        <v/>
      </c>
      <c r="CI135" s="99"/>
      <c r="CJ135" s="99"/>
      <c r="CK135" s="99"/>
      <c r="CL135" s="99"/>
      <c r="CM135" s="99"/>
      <c r="CN135" s="99"/>
      <c r="CO135" s="99"/>
    </row>
    <row r="136" spans="2:93" ht="13.5" customHeight="1" x14ac:dyDescent="0.2">
      <c r="B136" s="262">
        <v>36</v>
      </c>
      <c r="C136" s="237" t="str">
        <f t="shared" si="1"/>
        <v/>
      </c>
      <c r="D136" s="237" t="str">
        <f t="shared" si="66"/>
        <v>-</v>
      </c>
      <c r="E136" s="290" t="str">
        <f t="shared" si="34"/>
        <v/>
      </c>
      <c r="F136" s="264" t="str">
        <f t="shared" si="35"/>
        <v/>
      </c>
      <c r="G136" s="291" t="str">
        <f t="shared" si="36"/>
        <v/>
      </c>
      <c r="H136" s="240" t="str">
        <f t="shared" si="71"/>
        <v/>
      </c>
      <c r="I136" s="265" t="str">
        <f t="shared" si="72"/>
        <v/>
      </c>
      <c r="J136" s="265" t="str">
        <f t="shared" si="73"/>
        <v/>
      </c>
      <c r="K136" s="240" t="str">
        <f t="shared" si="74"/>
        <v/>
      </c>
      <c r="L136" s="265" t="str">
        <f t="shared" si="75"/>
        <v/>
      </c>
      <c r="M136" s="265" t="str">
        <f t="shared" si="76"/>
        <v/>
      </c>
      <c r="N136" s="240" t="str">
        <f t="shared" si="77"/>
        <v>-</v>
      </c>
      <c r="O136" s="265" t="str">
        <f t="shared" si="78"/>
        <v>-</v>
      </c>
      <c r="P136" s="265" t="str">
        <f t="shared" si="79"/>
        <v>-</v>
      </c>
      <c r="Q136" s="266" t="str">
        <f t="shared" si="80"/>
        <v>-</v>
      </c>
      <c r="R136" s="267" t="str">
        <f t="shared" si="81"/>
        <v>-</v>
      </c>
      <c r="S136" s="268" t="str">
        <f t="shared" si="82"/>
        <v>-</v>
      </c>
      <c r="T136" s="269" t="str">
        <f t="shared" si="9"/>
        <v/>
      </c>
      <c r="U136" s="221">
        <f t="shared" si="10"/>
        <v>36</v>
      </c>
      <c r="V136" s="220" t="str">
        <f t="shared" si="42"/>
        <v>-</v>
      </c>
      <c r="W136" s="221" t="str">
        <f t="shared" si="43"/>
        <v>-</v>
      </c>
      <c r="X136" s="221" t="str">
        <f t="shared" si="11"/>
        <v>-</v>
      </c>
      <c r="Y136" s="221" t="str">
        <f t="shared" si="12"/>
        <v>-</v>
      </c>
      <c r="Z136" s="270">
        <f t="shared" si="44"/>
        <v>0.1</v>
      </c>
      <c r="AA136" s="271" t="str">
        <f>IFERROR(IF(V135=1,AA$100*EXP(-(LN(2)/$D$65+0.04)*X135)*EXP(-(LN(2)/$D$65+0.1)*Y135),IF(V135=2,AA$100*EXP(-(LN(2)/$D$65+0.04)*(VLOOKUP(($F$16-$F$15)-1,U$99:Y135,4,FALSE)))*EXP(-(LN(2)/$D$65+0.1)*(VLOOKUP(($F$16-$F$15)-1,U$99:Y135,5,FALSE)))*EXP(-(LN(2)/$D$65+0.04)*X135)*EXP(-(LN(2)/$D$65+0.1)*Y135),IF(V135=3,AA$100*EXP(-(LN(2)/$D$65+0.04)*(VLOOKUP(($F$16-$F$15)-1,U$99:Y135,4,FALSE)))*EXP(-(LN(2)/$D$65+0.1)*(VLOOKUP(($F$16-$F$15)-1,U$99:Y135,5,FALSE)))*EXP(-(LN(2)/$D$65+0.04)*(VLOOKUP(($F$16-$F$15)*2-1,U$99:Y135,4,FALSE)))*EXP(-(LN(2)/$D$65+0.1)*(VLOOKUP(($F$16-$F$15)*2-1,U$99:Y135,5,FALSE)))*EXP(-(LN(2)/$D$65+0.04)*X135)*EXP(-(LN(2)/$D$65+0.1)*Y135),"-"))),"-")</f>
        <v>-</v>
      </c>
      <c r="AB136" s="271" t="str">
        <f>IFERROR(IF(V136=1,AB$100*EXP(-(LN(2)/$D$65+0.04)*X136)*EXP(-(LN(2)/$D$65+0.1)*Y136),IF(V136=2,AB$100*EXP(-(LN(2)/$D$65+0.04)*(VLOOKUP(($F$16-$F$15)-1,U$100:Y136,4,FALSE)))*EXP(-(LN(2)/$D$65+0.1)*(VLOOKUP(($F$16-$F$15)-1,U$100:Y136,5,FALSE)))*EXP(-(LN(2)/$D$65+0.04)*X136)*EXP(-(LN(2)/$D$65+0.1)*Y136),IF(V136=3,AB$100*EXP(-(LN(2)/$D$65+0.04)*(VLOOKUP(($F$16-$F$15)-1,U$100:Y136,4,FALSE)))*EXP(-(LN(2)/$D$65+0.1)*(VLOOKUP(($F$16-$F$15)-1,U$100:Y136,5,FALSE)))*EXP(-(LN(2)/$D$65+0.04)*(VLOOKUP(($F$16-$F$15)*2-1,U$100:Y136,4,FALSE)))*EXP(-(LN(2)/$D$65+0.1)*(VLOOKUP(($F$16-$F$15)*2-1,U$100:Y136,5,FALSE)))*EXP(-(LN(2)/$D$65+0.04)*X136)*EXP(-(LN(2)/$D$65+0.1)*Y136),"-"))),"-")</f>
        <v>-</v>
      </c>
      <c r="AC136" s="224">
        <f t="shared" si="45"/>
        <v>36</v>
      </c>
      <c r="AD136" s="223" t="str">
        <f t="shared" si="14"/>
        <v>-</v>
      </c>
      <c r="AE136" s="224" t="str">
        <f t="shared" si="46"/>
        <v>-</v>
      </c>
      <c r="AF136" s="224" t="str">
        <f t="shared" si="15"/>
        <v>-</v>
      </c>
      <c r="AG136" s="224" t="str">
        <f t="shared" si="16"/>
        <v>-</v>
      </c>
      <c r="AH136" s="272">
        <f t="shared" si="47"/>
        <v>0.1</v>
      </c>
      <c r="AI136" s="271" t="str">
        <f>IFERROR(IF(AD135=1,AI$100*EXP(-(LN(2)/$D$65+0.04)*AF135)*EXP(-(LN(2)/$D$65+0.1)*AG135),IF(AD135=2,AI$100*EXP(-(LN(2)/$D$65+0.04)*(VLOOKUP(($F$16-$F$15)-1,AC$99:AG135,4,FALSE)))*EXP(-(LN(2)/$D$65+0.1)*(VLOOKUP(($F$16-$F$15)-1,AC$99:AG135,5,FALSE)))*EXP(-(LN(2)/$D$65+0.04)*AF135)*EXP(-(LN(2)/$D$65+0.1)*AG135),IF(AD135=3,AI$100*EXP(-(LN(2)/$D$65+0.04)*(VLOOKUP(($F$16-$F$15)-1,AC$99:AG135,4,FALSE)))*EXP(-(LN(2)/$D$65+0.1)*(VLOOKUP(($F$16-$F$15)-1,AC$99:AG135,5,FALSE)))*EXP(-(LN(2)/$D$65+0.04)*(VLOOKUP(($F$16-$F$15)*2-1,AC$99:AG135,4,FALSE)))*EXP(-(LN(2)/$D$65+0.1)*(VLOOKUP(($F$16-$F$15)*2-1,AC$99:AG135,5,FALSE)))*EXP(-(LN(2)/$D$65+0.04)*AF135)*EXP(-(LN(2)/$D$65+0.1)*AG135),"-"))),"-")</f>
        <v>-</v>
      </c>
      <c r="AJ136" s="271" t="str">
        <f>IFERROR(IF(AD136=1,AJ$100*EXP(-(LN(2)/$D$65+0.04)*AF136)*EXP(-(LN(2)/$D$65+0.1)*AG136),IF(AD136=2,AJ$100*EXP(-(LN(2)/$D$65+0.04)*(VLOOKUP(($F$16-$F$15)-1,AC$100:AG136,4,FALSE)))*EXP(-(LN(2)/$D$65+0.1)*(VLOOKUP(($F$16-$F$15)-1,AC$100:AG136,5,FALSE)))*EXP(-(LN(2)/$D$65+0.04)*AF136)*EXP(-(LN(2)/$D$65+0.1)*AG136),IF(AD136=3,AJ$100*EXP(-(LN(2)/$D$65+0.04)*(VLOOKUP(($F$16-$F$15)-1,AC$100:AG136,4,FALSE)))*EXP(-(LN(2)/$D$65+0.1)*(VLOOKUP(($F$16-$F$15)-1,AC$100:AG136,5,FALSE)))*EXP(-(LN(2)/$D$65+0.04)*(VLOOKUP(($F$16-$F$15)*2-1,AC$100:AG136,4,FALSE)))*EXP(-(LN(2)/$D$65+0.1)*(VLOOKUP(($F$16-$F$15)*2-1,AC$100:AG136,5,FALSE)))*EXP(-(LN(2)/$D$65+0.04)*AF136)*EXP(-(LN(2)/$D$65+0.1)*AG136),"-"))),"-")</f>
        <v>-</v>
      </c>
      <c r="AK136" s="227">
        <f t="shared" si="49"/>
        <v>36</v>
      </c>
      <c r="AL136" s="226" t="str">
        <f t="shared" si="18"/>
        <v>-</v>
      </c>
      <c r="AM136" s="227" t="str">
        <f t="shared" si="50"/>
        <v>-</v>
      </c>
      <c r="AN136" s="227" t="str">
        <f t="shared" si="51"/>
        <v>-</v>
      </c>
      <c r="AO136" s="227" t="str">
        <f t="shared" si="19"/>
        <v>-</v>
      </c>
      <c r="AP136" s="273">
        <f t="shared" si="52"/>
        <v>0.1</v>
      </c>
      <c r="AQ136" s="271" t="str">
        <f>IFERROR(IF(AL135=1,AQ$100*EXP(-(LN(2)/$D$65+0.04)*AN135)*EXP(-(LN(2)/$D$65+0.1)*AO135),IF(AL135=2,AQ$100*EXP(-(LN(2)/$D$65+0.04)*(VLOOKUP(($F$16-$F$15)-1,AK$99:AO135,4,FALSE)))*EXP(-(LN(2)/$D$65+0.1)*(VLOOKUP(($F$16-$F$15)-1,AK$99:AO135,5,FALSE)))*EXP(-(LN(2)/$D$65+0.04)*AN135)*EXP(-(LN(2)/$D$65+0.1)*AO135),IF(AL135=3,AQ$100*EXP(-(LN(2)/$D$65+0.04)*(VLOOKUP(($F$16-$F$15)-1,AK$99:AO135,4,FALSE)))*EXP(-(LN(2)/$D$65+0.1)*(VLOOKUP(($F$16-$F$15)-1,AK$99:AO135,5,FALSE)))*EXP(-(LN(2)/$D$65+0.04)*(VLOOKUP(($F$16-$F$15)*2-1,AK$99:AO135,4,FALSE)))*EXP(-(LN(2)/$D$65+0.1)*(VLOOKUP(($F$16-$F$15)*2-1,AK$99:AO135,5,FALSE)))*EXP(-(LN(2)/$D$65+0.04)*AN135)*EXP(-(LN(2)/$D$65+0.1)*AO135),"-"))),"-")</f>
        <v>-</v>
      </c>
      <c r="AR136" s="271" t="str">
        <f>IFERROR(IF(AL136=1,AR$100*EXP(-(LN(2)/$D$65+0.04)*AN136)*EXP(-(LN(2)/$D$65+0.1)*AO136),IF(AL136=2,AR$100*EXP(-(LN(2)/$D$65+0.04)*(VLOOKUP(($F$16-$F$15)-1,AK$100:AO136,4,FALSE)))*EXP(-(LN(2)/$D$65+0.1)*(VLOOKUP(($F$16-$F$15)-1,AK$100:AO136,5,FALSE)))*EXP(-(LN(2)/$D$65+0.04)*AN136)*EXP(-(LN(2)/$D$65+0.1)*AO136),IF(AL136=3,AR$100*EXP(-(LN(2)/$D$65+0.04)*(VLOOKUP(($F$16-$F$15)-1,AK$100:AO136,4,FALSE)))*EXP(-(LN(2)/$D$65+0.1)*(VLOOKUP(($F$16-$F$15)-1,AK$100:AO136,5,FALSE)))*EXP(-(LN(2)/$D$65+0.04)*(VLOOKUP(($F$16-$F$15)*2-1,AK$100:AO136,4,FALSE)))*EXP(-(LN(2)/$D$65+0.1)*(VLOOKUP(($F$16-$F$15)*2-1,AK$100:AO136,5,FALSE)))*EXP(-(LN(2)/$D$65+0.04)*AN136)*EXP(-(LN(2)/$D$65+0.1)*AO136),"-"))),"-")</f>
        <v>-</v>
      </c>
      <c r="AS136" s="274">
        <f t="shared" si="20"/>
        <v>0</v>
      </c>
      <c r="AT136" s="274">
        <f t="shared" si="21"/>
        <v>0</v>
      </c>
      <c r="AU136" s="274">
        <f t="shared" si="22"/>
        <v>0</v>
      </c>
      <c r="AV136" s="190">
        <f>IF($B136&lt;$F$22,SUM($T$100:$T136),"")</f>
        <v>0</v>
      </c>
      <c r="AW136" s="190" t="str">
        <f t="shared" si="83"/>
        <v>-</v>
      </c>
      <c r="AX136" s="190" t="str">
        <f t="shared" si="56"/>
        <v/>
      </c>
      <c r="AY136"/>
      <c r="AZ136" s="190" t="str">
        <f ca="1">IF(ISNUMBER(OFFSET(AV136,-$F$21,0)),SUM(OFFSET($T$100,$F$21,0):$T136),"")</f>
        <v/>
      </c>
      <c r="BA136" s="190" t="str">
        <f t="shared" ca="1" si="84"/>
        <v/>
      </c>
      <c r="BB136" s="190" t="str">
        <f t="shared" ca="1" si="70"/>
        <v/>
      </c>
      <c r="BC136" s="190"/>
      <c r="BD136" s="190" t="str">
        <f ca="1">IFERROR(IF(AND($B136&gt;=($F$16-$F$15),$B136&lt;$F$22+($F$16-$F$15)),SUM(OFFSET($T$100,($F$16-$F$15),0):$T136),""),"")</f>
        <v/>
      </c>
      <c r="BE136" s="190" t="str">
        <f t="shared" ca="1" si="58"/>
        <v/>
      </c>
      <c r="BF136" s="190" t="str">
        <f t="shared" ca="1" si="59"/>
        <v/>
      </c>
      <c r="BG136"/>
      <c r="BH136" s="190" t="str">
        <f ca="1">IF(ISNUMBER(OFFSET(BD136,-$F$21,0)),SUM(OFFSET($T$100,($F$16-$F$15+$F$21),0):$T136),"")</f>
        <v/>
      </c>
      <c r="BI136" s="190" t="str">
        <f t="shared" ca="1" si="85"/>
        <v/>
      </c>
      <c r="BJ136" s="190" t="str">
        <f t="shared" ca="1" si="60"/>
        <v/>
      </c>
      <c r="BK136" s="190"/>
      <c r="BL136" s="190" t="str">
        <f ca="1">IFERROR(IF(AND($B136&gt;=($F$17-$F$15),$B136&lt;$F$22+($F$17-$F$15)),SUM(OFFSET($T$100,($F$17-$F$15),0):$T136),""),"")</f>
        <v/>
      </c>
      <c r="BM136" s="190" t="str">
        <f t="shared" ca="1" si="86"/>
        <v/>
      </c>
      <c r="BN136" s="190" t="str">
        <f t="shared" ca="1" si="61"/>
        <v/>
      </c>
      <c r="BO136"/>
      <c r="BP136" s="190" t="str">
        <f ca="1">IF(ISNUMBER(OFFSET(BL136,-$F$21,0)),SUM(OFFSET($T$100,($F$17-$F$15+$F$21),0):$T136),"")</f>
        <v/>
      </c>
      <c r="BQ136" s="190" t="str">
        <f t="shared" ca="1" si="87"/>
        <v/>
      </c>
      <c r="BR136" s="190" t="str">
        <f t="shared" ca="1" si="63"/>
        <v/>
      </c>
      <c r="BS136" s="190"/>
      <c r="BT136"/>
      <c r="BU136"/>
      <c r="BV136"/>
      <c r="BY136" s="99"/>
      <c r="BZ136" s="99"/>
      <c r="CA136" s="280" t="str">
        <f t="shared" si="88"/>
        <v/>
      </c>
      <c r="CB136" s="71" t="str">
        <f t="shared" si="27"/>
        <v>-</v>
      </c>
      <c r="CC136" s="33"/>
      <c r="CD136" s="261" t="str">
        <f t="shared" si="29"/>
        <v/>
      </c>
      <c r="CE136" s="280" t="str">
        <f t="shared" si="89"/>
        <v>-</v>
      </c>
      <c r="CF136" s="71" t="str">
        <f t="shared" ca="1" si="90"/>
        <v>-</v>
      </c>
      <c r="CG136" s="33" t="str">
        <f t="shared" si="32"/>
        <v>36-37</v>
      </c>
      <c r="CH136" s="261" t="str">
        <f t="shared" ca="1" si="33"/>
        <v/>
      </c>
      <c r="CI136" s="99"/>
      <c r="CJ136" s="99"/>
      <c r="CK136" s="99"/>
      <c r="CL136" s="99"/>
      <c r="CM136" s="99"/>
      <c r="CN136" s="99"/>
      <c r="CO136" s="99"/>
    </row>
    <row r="137" spans="2:93" ht="13.5" customHeight="1" x14ac:dyDescent="0.2">
      <c r="B137" s="262">
        <v>37</v>
      </c>
      <c r="C137" s="237" t="str">
        <f t="shared" si="1"/>
        <v/>
      </c>
      <c r="D137" s="237" t="str">
        <f t="shared" si="66"/>
        <v>-</v>
      </c>
      <c r="E137" s="290" t="str">
        <f t="shared" si="34"/>
        <v/>
      </c>
      <c r="F137" s="264" t="str">
        <f t="shared" si="35"/>
        <v/>
      </c>
      <c r="G137" s="291" t="str">
        <f t="shared" si="36"/>
        <v/>
      </c>
      <c r="H137" s="240" t="str">
        <f t="shared" si="71"/>
        <v/>
      </c>
      <c r="I137" s="265" t="str">
        <f t="shared" si="72"/>
        <v/>
      </c>
      <c r="J137" s="265" t="str">
        <f t="shared" si="73"/>
        <v/>
      </c>
      <c r="K137" s="240" t="str">
        <f t="shared" si="74"/>
        <v/>
      </c>
      <c r="L137" s="265" t="str">
        <f t="shared" si="75"/>
        <v/>
      </c>
      <c r="M137" s="265" t="str">
        <f t="shared" si="76"/>
        <v/>
      </c>
      <c r="N137" s="240" t="str">
        <f t="shared" si="77"/>
        <v>-</v>
      </c>
      <c r="O137" s="265" t="str">
        <f t="shared" si="78"/>
        <v>-</v>
      </c>
      <c r="P137" s="265" t="str">
        <f t="shared" si="79"/>
        <v>-</v>
      </c>
      <c r="Q137" s="266" t="str">
        <f t="shared" si="80"/>
        <v>-</v>
      </c>
      <c r="R137" s="267" t="str">
        <f t="shared" si="81"/>
        <v>-</v>
      </c>
      <c r="S137" s="268" t="str">
        <f t="shared" si="82"/>
        <v>-</v>
      </c>
      <c r="T137" s="269" t="str">
        <f t="shared" si="9"/>
        <v/>
      </c>
      <c r="U137" s="221">
        <f t="shared" si="10"/>
        <v>37</v>
      </c>
      <c r="V137" s="220" t="str">
        <f t="shared" si="42"/>
        <v>-</v>
      </c>
      <c r="W137" s="221" t="str">
        <f t="shared" si="43"/>
        <v>-</v>
      </c>
      <c r="X137" s="221" t="str">
        <f t="shared" si="11"/>
        <v>-</v>
      </c>
      <c r="Y137" s="221" t="str">
        <f t="shared" si="12"/>
        <v>-</v>
      </c>
      <c r="Z137" s="270">
        <f t="shared" si="44"/>
        <v>0.1</v>
      </c>
      <c r="AA137" s="271" t="str">
        <f>IFERROR(IF(V136=1,AA$100*EXP(-(LN(2)/$D$65+0.04)*X136)*EXP(-(LN(2)/$D$65+0.1)*Y136),IF(V136=2,AA$100*EXP(-(LN(2)/$D$65+0.04)*(VLOOKUP(($F$16-$F$15)-1,U$99:Y136,4,FALSE)))*EXP(-(LN(2)/$D$65+0.1)*(VLOOKUP(($F$16-$F$15)-1,U$99:Y136,5,FALSE)))*EXP(-(LN(2)/$D$65+0.04)*X136)*EXP(-(LN(2)/$D$65+0.1)*Y136),IF(V136=3,AA$100*EXP(-(LN(2)/$D$65+0.04)*(VLOOKUP(($F$16-$F$15)-1,U$99:Y136,4,FALSE)))*EXP(-(LN(2)/$D$65+0.1)*(VLOOKUP(($F$16-$F$15)-1,U$99:Y136,5,FALSE)))*EXP(-(LN(2)/$D$65+0.04)*(VLOOKUP(($F$16-$F$15)*2-1,U$99:Y136,4,FALSE)))*EXP(-(LN(2)/$D$65+0.1)*(VLOOKUP(($F$16-$F$15)*2-1,U$99:Y136,5,FALSE)))*EXP(-(LN(2)/$D$65+0.04)*X136)*EXP(-(LN(2)/$D$65+0.1)*Y136),"-"))),"-")</f>
        <v>-</v>
      </c>
      <c r="AB137" s="271" t="str">
        <f>IFERROR(IF(V137=1,AB$100*EXP(-(LN(2)/$D$65+0.04)*X137)*EXP(-(LN(2)/$D$65+0.1)*Y137),IF(V137=2,AB$100*EXP(-(LN(2)/$D$65+0.04)*(VLOOKUP(($F$16-$F$15)-1,U$100:Y137,4,FALSE)))*EXP(-(LN(2)/$D$65+0.1)*(VLOOKUP(($F$16-$F$15)-1,U$100:Y137,5,FALSE)))*EXP(-(LN(2)/$D$65+0.04)*X137)*EXP(-(LN(2)/$D$65+0.1)*Y137),IF(V137=3,AB$100*EXP(-(LN(2)/$D$65+0.04)*(VLOOKUP(($F$16-$F$15)-1,U$100:Y137,4,FALSE)))*EXP(-(LN(2)/$D$65+0.1)*(VLOOKUP(($F$16-$F$15)-1,U$100:Y137,5,FALSE)))*EXP(-(LN(2)/$D$65+0.04)*(VLOOKUP(($F$16-$F$15)*2-1,U$100:Y137,4,FALSE)))*EXP(-(LN(2)/$D$65+0.1)*(VLOOKUP(($F$16-$F$15)*2-1,U$100:Y137,5,FALSE)))*EXP(-(LN(2)/$D$65+0.04)*X137)*EXP(-(LN(2)/$D$65+0.1)*Y137),"-"))),"-")</f>
        <v>-</v>
      </c>
      <c r="AC137" s="224">
        <f t="shared" si="45"/>
        <v>37</v>
      </c>
      <c r="AD137" s="223" t="str">
        <f t="shared" si="14"/>
        <v>-</v>
      </c>
      <c r="AE137" s="224" t="str">
        <f t="shared" si="46"/>
        <v>-</v>
      </c>
      <c r="AF137" s="224" t="str">
        <f t="shared" si="15"/>
        <v>-</v>
      </c>
      <c r="AG137" s="224" t="str">
        <f t="shared" si="16"/>
        <v>-</v>
      </c>
      <c r="AH137" s="272">
        <f t="shared" si="47"/>
        <v>0.1</v>
      </c>
      <c r="AI137" s="271" t="str">
        <f>IFERROR(IF(AD136=1,AI$100*EXP(-(LN(2)/$D$65+0.04)*AF136)*EXP(-(LN(2)/$D$65+0.1)*AG136),IF(AD136=2,AI$100*EXP(-(LN(2)/$D$65+0.04)*(VLOOKUP(($F$16-$F$15)-1,AC$99:AG136,4,FALSE)))*EXP(-(LN(2)/$D$65+0.1)*(VLOOKUP(($F$16-$F$15)-1,AC$99:AG136,5,FALSE)))*EXP(-(LN(2)/$D$65+0.04)*AF136)*EXP(-(LN(2)/$D$65+0.1)*AG136),IF(AD136=3,AI$100*EXP(-(LN(2)/$D$65+0.04)*(VLOOKUP(($F$16-$F$15)-1,AC$99:AG136,4,FALSE)))*EXP(-(LN(2)/$D$65+0.1)*(VLOOKUP(($F$16-$F$15)-1,AC$99:AG136,5,FALSE)))*EXP(-(LN(2)/$D$65+0.04)*(VLOOKUP(($F$16-$F$15)*2-1,AC$99:AG136,4,FALSE)))*EXP(-(LN(2)/$D$65+0.1)*(VLOOKUP(($F$16-$F$15)*2-1,AC$99:AG136,5,FALSE)))*EXP(-(LN(2)/$D$65+0.04)*AF136)*EXP(-(LN(2)/$D$65+0.1)*AG136),"-"))),"-")</f>
        <v>-</v>
      </c>
      <c r="AJ137" s="271" t="str">
        <f>IFERROR(IF(AD137=1,AJ$100*EXP(-(LN(2)/$D$65+0.04)*AF137)*EXP(-(LN(2)/$D$65+0.1)*AG137),IF(AD137=2,AJ$100*EXP(-(LN(2)/$D$65+0.04)*(VLOOKUP(($F$16-$F$15)-1,AC$100:AG137,4,FALSE)))*EXP(-(LN(2)/$D$65+0.1)*(VLOOKUP(($F$16-$F$15)-1,AC$100:AG137,5,FALSE)))*EXP(-(LN(2)/$D$65+0.04)*AF137)*EXP(-(LN(2)/$D$65+0.1)*AG137),IF(AD137=3,AJ$100*EXP(-(LN(2)/$D$65+0.04)*(VLOOKUP(($F$16-$F$15)-1,AC$100:AG137,4,FALSE)))*EXP(-(LN(2)/$D$65+0.1)*(VLOOKUP(($F$16-$F$15)-1,AC$100:AG137,5,FALSE)))*EXP(-(LN(2)/$D$65+0.04)*(VLOOKUP(($F$16-$F$15)*2-1,AC$100:AG137,4,FALSE)))*EXP(-(LN(2)/$D$65+0.1)*(VLOOKUP(($F$16-$F$15)*2-1,AC$100:AG137,5,FALSE)))*EXP(-(LN(2)/$D$65+0.04)*AF137)*EXP(-(LN(2)/$D$65+0.1)*AG137),"-"))),"-")</f>
        <v>-</v>
      </c>
      <c r="AK137" s="227">
        <f t="shared" si="49"/>
        <v>37</v>
      </c>
      <c r="AL137" s="226" t="str">
        <f t="shared" si="18"/>
        <v>-</v>
      </c>
      <c r="AM137" s="227" t="str">
        <f t="shared" si="50"/>
        <v>-</v>
      </c>
      <c r="AN137" s="227" t="str">
        <f t="shared" si="51"/>
        <v>-</v>
      </c>
      <c r="AO137" s="227" t="str">
        <f t="shared" si="19"/>
        <v>-</v>
      </c>
      <c r="AP137" s="273">
        <f t="shared" si="52"/>
        <v>0.1</v>
      </c>
      <c r="AQ137" s="271" t="str">
        <f>IFERROR(IF(AL136=1,AQ$100*EXP(-(LN(2)/$D$65+0.04)*AN136)*EXP(-(LN(2)/$D$65+0.1)*AO136),IF(AL136=2,AQ$100*EXP(-(LN(2)/$D$65+0.04)*(VLOOKUP(($F$16-$F$15)-1,AK$99:AO136,4,FALSE)))*EXP(-(LN(2)/$D$65+0.1)*(VLOOKUP(($F$16-$F$15)-1,AK$99:AO136,5,FALSE)))*EXP(-(LN(2)/$D$65+0.04)*AN136)*EXP(-(LN(2)/$D$65+0.1)*AO136),IF(AL136=3,AQ$100*EXP(-(LN(2)/$D$65+0.04)*(VLOOKUP(($F$16-$F$15)-1,AK$99:AO136,4,FALSE)))*EXP(-(LN(2)/$D$65+0.1)*(VLOOKUP(($F$16-$F$15)-1,AK$99:AO136,5,FALSE)))*EXP(-(LN(2)/$D$65+0.04)*(VLOOKUP(($F$16-$F$15)*2-1,AK$99:AO136,4,FALSE)))*EXP(-(LN(2)/$D$65+0.1)*(VLOOKUP(($F$16-$F$15)*2-1,AK$99:AO136,5,FALSE)))*EXP(-(LN(2)/$D$65+0.04)*AN136)*EXP(-(LN(2)/$D$65+0.1)*AO136),"-"))),"-")</f>
        <v>-</v>
      </c>
      <c r="AR137" s="271" t="str">
        <f>IFERROR(IF(AL137=1,AR$100*EXP(-(LN(2)/$D$65+0.04)*AN137)*EXP(-(LN(2)/$D$65+0.1)*AO137),IF(AL137=2,AR$100*EXP(-(LN(2)/$D$65+0.04)*(VLOOKUP(($F$16-$F$15)-1,AK$100:AO137,4,FALSE)))*EXP(-(LN(2)/$D$65+0.1)*(VLOOKUP(($F$16-$F$15)-1,AK$100:AO137,5,FALSE)))*EXP(-(LN(2)/$D$65+0.04)*AN137)*EXP(-(LN(2)/$D$65+0.1)*AO137),IF(AL137=3,AR$100*EXP(-(LN(2)/$D$65+0.04)*(VLOOKUP(($F$16-$F$15)-1,AK$100:AO137,4,FALSE)))*EXP(-(LN(2)/$D$65+0.1)*(VLOOKUP(($F$16-$F$15)-1,AK$100:AO137,5,FALSE)))*EXP(-(LN(2)/$D$65+0.04)*(VLOOKUP(($F$16-$F$15)*2-1,AK$100:AO137,4,FALSE)))*EXP(-(LN(2)/$D$65+0.1)*(VLOOKUP(($F$16-$F$15)*2-1,AK$100:AO137,5,FALSE)))*EXP(-(LN(2)/$D$65+0.04)*AN137)*EXP(-(LN(2)/$D$65+0.1)*AO137),"-"))),"-")</f>
        <v>-</v>
      </c>
      <c r="AS137" s="274">
        <f t="shared" si="20"/>
        <v>0</v>
      </c>
      <c r="AT137" s="274">
        <f t="shared" si="21"/>
        <v>0</v>
      </c>
      <c r="AU137" s="274">
        <f t="shared" si="22"/>
        <v>0</v>
      </c>
      <c r="AV137" s="190">
        <f>IF($B137&lt;$F$22,SUM($T$100:$T137),"")</f>
        <v>0</v>
      </c>
      <c r="AW137" s="190" t="str">
        <f t="shared" si="83"/>
        <v>-</v>
      </c>
      <c r="AX137" s="190" t="str">
        <f t="shared" si="56"/>
        <v/>
      </c>
      <c r="AY137"/>
      <c r="AZ137" s="190" t="str">
        <f ca="1">IF(ISNUMBER(OFFSET(AV137,-$F$21,0)),SUM(OFFSET($T$100,$F$21,0):$T137),"")</f>
        <v/>
      </c>
      <c r="BA137" s="190" t="str">
        <f t="shared" ca="1" si="84"/>
        <v/>
      </c>
      <c r="BB137" s="190" t="str">
        <f t="shared" ca="1" si="70"/>
        <v/>
      </c>
      <c r="BC137" s="190"/>
      <c r="BD137" s="190" t="str">
        <f ca="1">IFERROR(IF(AND($B137&gt;=($F$16-$F$15),$B137&lt;$F$22+($F$16-$F$15)),SUM(OFFSET($T$100,($F$16-$F$15),0):$T137),""),"")</f>
        <v/>
      </c>
      <c r="BE137" s="190" t="str">
        <f t="shared" ca="1" si="58"/>
        <v/>
      </c>
      <c r="BF137" s="190" t="str">
        <f t="shared" ca="1" si="59"/>
        <v/>
      </c>
      <c r="BG137"/>
      <c r="BH137" s="190" t="str">
        <f ca="1">IF(ISNUMBER(OFFSET(BD137,-$F$21,0)),SUM(OFFSET($T$100,($F$16-$F$15+$F$21),0):$T137),"")</f>
        <v/>
      </c>
      <c r="BI137" s="190" t="str">
        <f t="shared" ca="1" si="85"/>
        <v/>
      </c>
      <c r="BJ137" s="190" t="str">
        <f t="shared" ca="1" si="60"/>
        <v/>
      </c>
      <c r="BK137" s="190"/>
      <c r="BL137" s="190" t="str">
        <f ca="1">IFERROR(IF(AND($B137&gt;=($F$17-$F$15),$B137&lt;$F$22+($F$17-$F$15)),SUM(OFFSET($T$100,($F$17-$F$15),0):$T137),""),"")</f>
        <v/>
      </c>
      <c r="BM137" s="190" t="str">
        <f t="shared" ca="1" si="86"/>
        <v/>
      </c>
      <c r="BN137" s="190" t="str">
        <f t="shared" ca="1" si="61"/>
        <v/>
      </c>
      <c r="BO137"/>
      <c r="BP137" s="190" t="str">
        <f ca="1">IF(ISNUMBER(OFFSET(BL137,-$F$21,0)),SUM(OFFSET($T$100,($F$17-$F$15+$F$21),0):$T137),"")</f>
        <v/>
      </c>
      <c r="BQ137" s="190" t="str">
        <f t="shared" ca="1" si="87"/>
        <v/>
      </c>
      <c r="BR137" s="190" t="str">
        <f t="shared" ca="1" si="63"/>
        <v/>
      </c>
      <c r="BS137" s="190"/>
      <c r="BT137"/>
      <c r="BU137"/>
      <c r="BV137"/>
      <c r="BY137" s="99"/>
      <c r="BZ137" s="99"/>
      <c r="CA137" s="280" t="str">
        <f t="shared" si="88"/>
        <v/>
      </c>
      <c r="CB137" s="71" t="str">
        <f t="shared" si="27"/>
        <v>-</v>
      </c>
      <c r="CC137" s="33"/>
      <c r="CD137" s="261" t="str">
        <f t="shared" si="29"/>
        <v/>
      </c>
      <c r="CE137" s="280" t="str">
        <f t="shared" si="89"/>
        <v>-</v>
      </c>
      <c r="CF137" s="71" t="str">
        <f t="shared" ca="1" si="90"/>
        <v>-</v>
      </c>
      <c r="CG137" s="33" t="str">
        <f t="shared" si="32"/>
        <v>37-38</v>
      </c>
      <c r="CH137" s="261" t="str">
        <f t="shared" ca="1" si="33"/>
        <v/>
      </c>
      <c r="CI137" s="99"/>
      <c r="CJ137" s="99"/>
      <c r="CK137" s="99"/>
      <c r="CL137" s="99"/>
      <c r="CM137" s="99"/>
      <c r="CN137" s="99"/>
      <c r="CO137" s="99"/>
    </row>
    <row r="138" spans="2:93" ht="13.5" customHeight="1" x14ac:dyDescent="0.2">
      <c r="B138" s="262">
        <v>38</v>
      </c>
      <c r="C138" s="237" t="str">
        <f t="shared" si="1"/>
        <v/>
      </c>
      <c r="D138" s="237" t="str">
        <f t="shared" si="66"/>
        <v>-</v>
      </c>
      <c r="E138" s="290" t="str">
        <f t="shared" si="34"/>
        <v/>
      </c>
      <c r="F138" s="264" t="str">
        <f t="shared" si="35"/>
        <v/>
      </c>
      <c r="G138" s="291" t="str">
        <f t="shared" si="36"/>
        <v/>
      </c>
      <c r="H138" s="240" t="str">
        <f t="shared" si="71"/>
        <v/>
      </c>
      <c r="I138" s="265" t="str">
        <f t="shared" si="72"/>
        <v/>
      </c>
      <c r="J138" s="265" t="str">
        <f t="shared" si="73"/>
        <v/>
      </c>
      <c r="K138" s="240" t="str">
        <f t="shared" si="74"/>
        <v/>
      </c>
      <c r="L138" s="265" t="str">
        <f t="shared" si="75"/>
        <v/>
      </c>
      <c r="M138" s="265" t="str">
        <f t="shared" si="76"/>
        <v/>
      </c>
      <c r="N138" s="240" t="str">
        <f t="shared" si="77"/>
        <v>-</v>
      </c>
      <c r="O138" s="265" t="str">
        <f t="shared" si="78"/>
        <v>-</v>
      </c>
      <c r="P138" s="265" t="str">
        <f t="shared" si="79"/>
        <v>-</v>
      </c>
      <c r="Q138" s="266" t="str">
        <f t="shared" si="80"/>
        <v>-</v>
      </c>
      <c r="R138" s="267" t="str">
        <f t="shared" si="81"/>
        <v>-</v>
      </c>
      <c r="S138" s="268" t="str">
        <f t="shared" si="82"/>
        <v>-</v>
      </c>
      <c r="T138" s="269" t="str">
        <f t="shared" si="9"/>
        <v/>
      </c>
      <c r="U138" s="221">
        <f t="shared" si="10"/>
        <v>38</v>
      </c>
      <c r="V138" s="220" t="str">
        <f t="shared" si="42"/>
        <v>-</v>
      </c>
      <c r="W138" s="221" t="str">
        <f t="shared" si="43"/>
        <v>-</v>
      </c>
      <c r="X138" s="221" t="str">
        <f t="shared" si="11"/>
        <v>-</v>
      </c>
      <c r="Y138" s="221" t="str">
        <f t="shared" si="12"/>
        <v>-</v>
      </c>
      <c r="Z138" s="270">
        <f t="shared" si="44"/>
        <v>0.1</v>
      </c>
      <c r="AA138" s="271" t="str">
        <f>IFERROR(IF(V137=1,AA$100*EXP(-(LN(2)/$D$65+0.04)*X137)*EXP(-(LN(2)/$D$65+0.1)*Y137),IF(V137=2,AA$100*EXP(-(LN(2)/$D$65+0.04)*(VLOOKUP(($F$16-$F$15)-1,U$99:Y137,4,FALSE)))*EXP(-(LN(2)/$D$65+0.1)*(VLOOKUP(($F$16-$F$15)-1,U$99:Y137,5,FALSE)))*EXP(-(LN(2)/$D$65+0.04)*X137)*EXP(-(LN(2)/$D$65+0.1)*Y137),IF(V137=3,AA$100*EXP(-(LN(2)/$D$65+0.04)*(VLOOKUP(($F$16-$F$15)-1,U$99:Y137,4,FALSE)))*EXP(-(LN(2)/$D$65+0.1)*(VLOOKUP(($F$16-$F$15)-1,U$99:Y137,5,FALSE)))*EXP(-(LN(2)/$D$65+0.04)*(VLOOKUP(($F$16-$F$15)*2-1,U$99:Y137,4,FALSE)))*EXP(-(LN(2)/$D$65+0.1)*(VLOOKUP(($F$16-$F$15)*2-1,U$99:Y137,5,FALSE)))*EXP(-(LN(2)/$D$65+0.04)*X137)*EXP(-(LN(2)/$D$65+0.1)*Y137),"-"))),"-")</f>
        <v>-</v>
      </c>
      <c r="AB138" s="271" t="str">
        <f>IFERROR(IF(V138=1,AB$100*EXP(-(LN(2)/$D$65+0.04)*X138)*EXP(-(LN(2)/$D$65+0.1)*Y138),IF(V138=2,AB$100*EXP(-(LN(2)/$D$65+0.04)*(VLOOKUP(($F$16-$F$15)-1,U$100:Y138,4,FALSE)))*EXP(-(LN(2)/$D$65+0.1)*(VLOOKUP(($F$16-$F$15)-1,U$100:Y138,5,FALSE)))*EXP(-(LN(2)/$D$65+0.04)*X138)*EXP(-(LN(2)/$D$65+0.1)*Y138),IF(V138=3,AB$100*EXP(-(LN(2)/$D$65+0.04)*(VLOOKUP(($F$16-$F$15)-1,U$100:Y138,4,FALSE)))*EXP(-(LN(2)/$D$65+0.1)*(VLOOKUP(($F$16-$F$15)-1,U$100:Y138,5,FALSE)))*EXP(-(LN(2)/$D$65+0.04)*(VLOOKUP(($F$16-$F$15)*2-1,U$100:Y138,4,FALSE)))*EXP(-(LN(2)/$D$65+0.1)*(VLOOKUP(($F$16-$F$15)*2-1,U$100:Y138,5,FALSE)))*EXP(-(LN(2)/$D$65+0.04)*X138)*EXP(-(LN(2)/$D$65+0.1)*Y138),"-"))),"-")</f>
        <v>-</v>
      </c>
      <c r="AC138" s="224">
        <f t="shared" si="45"/>
        <v>38</v>
      </c>
      <c r="AD138" s="223" t="str">
        <f t="shared" si="14"/>
        <v>-</v>
      </c>
      <c r="AE138" s="224" t="str">
        <f t="shared" si="46"/>
        <v>-</v>
      </c>
      <c r="AF138" s="224" t="str">
        <f t="shared" si="15"/>
        <v>-</v>
      </c>
      <c r="AG138" s="224" t="str">
        <f t="shared" si="16"/>
        <v>-</v>
      </c>
      <c r="AH138" s="272">
        <f t="shared" si="47"/>
        <v>0.1</v>
      </c>
      <c r="AI138" s="271" t="str">
        <f>IFERROR(IF(AD137=1,AI$100*EXP(-(LN(2)/$D$65+0.04)*AF137)*EXP(-(LN(2)/$D$65+0.1)*AG137),IF(AD137=2,AI$100*EXP(-(LN(2)/$D$65+0.04)*(VLOOKUP(($F$16-$F$15)-1,AC$99:AG137,4,FALSE)))*EXP(-(LN(2)/$D$65+0.1)*(VLOOKUP(($F$16-$F$15)-1,AC$99:AG137,5,FALSE)))*EXP(-(LN(2)/$D$65+0.04)*AF137)*EXP(-(LN(2)/$D$65+0.1)*AG137),IF(AD137=3,AI$100*EXP(-(LN(2)/$D$65+0.04)*(VLOOKUP(($F$16-$F$15)-1,AC$99:AG137,4,FALSE)))*EXP(-(LN(2)/$D$65+0.1)*(VLOOKUP(($F$16-$F$15)-1,AC$99:AG137,5,FALSE)))*EXP(-(LN(2)/$D$65+0.04)*(VLOOKUP(($F$16-$F$15)*2-1,AC$99:AG137,4,FALSE)))*EXP(-(LN(2)/$D$65+0.1)*(VLOOKUP(($F$16-$F$15)*2-1,AC$99:AG137,5,FALSE)))*EXP(-(LN(2)/$D$65+0.04)*AF137)*EXP(-(LN(2)/$D$65+0.1)*AG137),"-"))),"-")</f>
        <v>-</v>
      </c>
      <c r="AJ138" s="271" t="str">
        <f>IFERROR(IF(AD138=1,AJ$100*EXP(-(LN(2)/$D$65+0.04)*AF138)*EXP(-(LN(2)/$D$65+0.1)*AG138),IF(AD138=2,AJ$100*EXP(-(LN(2)/$D$65+0.04)*(VLOOKUP(($F$16-$F$15)-1,AC$100:AG138,4,FALSE)))*EXP(-(LN(2)/$D$65+0.1)*(VLOOKUP(($F$16-$F$15)-1,AC$100:AG138,5,FALSE)))*EXP(-(LN(2)/$D$65+0.04)*AF138)*EXP(-(LN(2)/$D$65+0.1)*AG138),IF(AD138=3,AJ$100*EXP(-(LN(2)/$D$65+0.04)*(VLOOKUP(($F$16-$F$15)-1,AC$100:AG138,4,FALSE)))*EXP(-(LN(2)/$D$65+0.1)*(VLOOKUP(($F$16-$F$15)-1,AC$100:AG138,5,FALSE)))*EXP(-(LN(2)/$D$65+0.04)*(VLOOKUP(($F$16-$F$15)*2-1,AC$100:AG138,4,FALSE)))*EXP(-(LN(2)/$D$65+0.1)*(VLOOKUP(($F$16-$F$15)*2-1,AC$100:AG138,5,FALSE)))*EXP(-(LN(2)/$D$65+0.04)*AF138)*EXP(-(LN(2)/$D$65+0.1)*AG138),"-"))),"-")</f>
        <v>-</v>
      </c>
      <c r="AK138" s="227">
        <f t="shared" si="49"/>
        <v>38</v>
      </c>
      <c r="AL138" s="226" t="str">
        <f t="shared" si="18"/>
        <v>-</v>
      </c>
      <c r="AM138" s="227" t="str">
        <f t="shared" si="50"/>
        <v>-</v>
      </c>
      <c r="AN138" s="227" t="str">
        <f t="shared" si="51"/>
        <v>-</v>
      </c>
      <c r="AO138" s="227" t="str">
        <f t="shared" si="19"/>
        <v>-</v>
      </c>
      <c r="AP138" s="273">
        <f t="shared" si="52"/>
        <v>0.1</v>
      </c>
      <c r="AQ138" s="271" t="str">
        <f>IFERROR(IF(AL137=1,AQ$100*EXP(-(LN(2)/$D$65+0.04)*AN137)*EXP(-(LN(2)/$D$65+0.1)*AO137),IF(AL137=2,AQ$100*EXP(-(LN(2)/$D$65+0.04)*(VLOOKUP(($F$16-$F$15)-1,AK$99:AO137,4,FALSE)))*EXP(-(LN(2)/$D$65+0.1)*(VLOOKUP(($F$16-$F$15)-1,AK$99:AO137,5,FALSE)))*EXP(-(LN(2)/$D$65+0.04)*AN137)*EXP(-(LN(2)/$D$65+0.1)*AO137),IF(AL137=3,AQ$100*EXP(-(LN(2)/$D$65+0.04)*(VLOOKUP(($F$16-$F$15)-1,AK$99:AO137,4,FALSE)))*EXP(-(LN(2)/$D$65+0.1)*(VLOOKUP(($F$16-$F$15)-1,AK$99:AO137,5,FALSE)))*EXP(-(LN(2)/$D$65+0.04)*(VLOOKUP(($F$16-$F$15)*2-1,AK$99:AO137,4,FALSE)))*EXP(-(LN(2)/$D$65+0.1)*(VLOOKUP(($F$16-$F$15)*2-1,AK$99:AO137,5,FALSE)))*EXP(-(LN(2)/$D$65+0.04)*AN137)*EXP(-(LN(2)/$D$65+0.1)*AO137),"-"))),"-")</f>
        <v>-</v>
      </c>
      <c r="AR138" s="271" t="str">
        <f>IFERROR(IF(AL138=1,AR$100*EXP(-(LN(2)/$D$65+0.04)*AN138)*EXP(-(LN(2)/$D$65+0.1)*AO138),IF(AL138=2,AR$100*EXP(-(LN(2)/$D$65+0.04)*(VLOOKUP(($F$16-$F$15)-1,AK$100:AO138,4,FALSE)))*EXP(-(LN(2)/$D$65+0.1)*(VLOOKUP(($F$16-$F$15)-1,AK$100:AO138,5,FALSE)))*EXP(-(LN(2)/$D$65+0.04)*AN138)*EXP(-(LN(2)/$D$65+0.1)*AO138),IF(AL138=3,AR$100*EXP(-(LN(2)/$D$65+0.04)*(VLOOKUP(($F$16-$F$15)-1,AK$100:AO138,4,FALSE)))*EXP(-(LN(2)/$D$65+0.1)*(VLOOKUP(($F$16-$F$15)-1,AK$100:AO138,5,FALSE)))*EXP(-(LN(2)/$D$65+0.04)*(VLOOKUP(($F$16-$F$15)*2-1,AK$100:AO138,4,FALSE)))*EXP(-(LN(2)/$D$65+0.1)*(VLOOKUP(($F$16-$F$15)*2-1,AK$100:AO138,5,FALSE)))*EXP(-(LN(2)/$D$65+0.04)*AN138)*EXP(-(LN(2)/$D$65+0.1)*AO138),"-"))),"-")</f>
        <v>-</v>
      </c>
      <c r="AS138" s="274">
        <f t="shared" si="20"/>
        <v>0</v>
      </c>
      <c r="AT138" s="274">
        <f t="shared" si="21"/>
        <v>0</v>
      </c>
      <c r="AU138" s="274">
        <f t="shared" si="22"/>
        <v>0</v>
      </c>
      <c r="AV138" s="190">
        <f>IF($B138&lt;$F$22,SUM($T$100:$T138),"")</f>
        <v>0</v>
      </c>
      <c r="AW138" s="190" t="str">
        <f t="shared" si="83"/>
        <v>-</v>
      </c>
      <c r="AX138" s="190" t="str">
        <f t="shared" si="56"/>
        <v/>
      </c>
      <c r="AY138"/>
      <c r="AZ138" s="190" t="str">
        <f ca="1">IF(ISNUMBER(OFFSET(AV138,-$F$21,0)),SUM(OFFSET($T$100,$F$21,0):$T138),"")</f>
        <v/>
      </c>
      <c r="BA138" s="190" t="str">
        <f t="shared" ca="1" si="84"/>
        <v/>
      </c>
      <c r="BB138" s="190" t="str">
        <f t="shared" ca="1" si="70"/>
        <v/>
      </c>
      <c r="BC138" s="190"/>
      <c r="BD138" s="190" t="str">
        <f ca="1">IFERROR(IF(AND($B138&gt;=($F$16-$F$15),$B138&lt;$F$22+($F$16-$F$15)),SUM(OFFSET($T$100,($F$16-$F$15),0):$T138),""),"")</f>
        <v/>
      </c>
      <c r="BE138" s="190" t="str">
        <f t="shared" ca="1" si="58"/>
        <v/>
      </c>
      <c r="BF138" s="190" t="str">
        <f t="shared" ca="1" si="59"/>
        <v/>
      </c>
      <c r="BG138"/>
      <c r="BH138" s="190" t="str">
        <f ca="1">IF(ISNUMBER(OFFSET(BD138,-$F$21,0)),SUM(OFFSET($T$100,($F$16-$F$15+$F$21),0):$T138),"")</f>
        <v/>
      </c>
      <c r="BI138" s="190" t="str">
        <f t="shared" ca="1" si="85"/>
        <v/>
      </c>
      <c r="BJ138" s="190" t="str">
        <f t="shared" ca="1" si="60"/>
        <v/>
      </c>
      <c r="BK138" s="190"/>
      <c r="BL138" s="190" t="str">
        <f ca="1">IFERROR(IF(AND($B138&gt;=($F$17-$F$15),$B138&lt;$F$22+($F$17-$F$15)),SUM(OFFSET($T$100,($F$17-$F$15),0):$T138),""),"")</f>
        <v/>
      </c>
      <c r="BM138" s="190" t="str">
        <f t="shared" ca="1" si="86"/>
        <v/>
      </c>
      <c r="BN138" s="190" t="str">
        <f t="shared" ca="1" si="61"/>
        <v/>
      </c>
      <c r="BO138"/>
      <c r="BP138" s="190" t="str">
        <f ca="1">IF(ISNUMBER(OFFSET(BL138,-$F$21,0)),SUM(OFFSET($T$100,($F$17-$F$15+$F$21),0):$T138),"")</f>
        <v/>
      </c>
      <c r="BQ138" s="190" t="str">
        <f t="shared" ca="1" si="87"/>
        <v/>
      </c>
      <c r="BR138" s="190" t="str">
        <f t="shared" ca="1" si="63"/>
        <v/>
      </c>
      <c r="BS138" s="190"/>
      <c r="BT138"/>
      <c r="BU138"/>
      <c r="BV138"/>
      <c r="BY138" s="99"/>
      <c r="BZ138" s="99"/>
      <c r="CA138" s="280" t="str">
        <f t="shared" si="88"/>
        <v/>
      </c>
      <c r="CB138" s="71" t="str">
        <f t="shared" si="27"/>
        <v>-</v>
      </c>
      <c r="CC138" s="33"/>
      <c r="CD138" s="261" t="str">
        <f t="shared" si="29"/>
        <v/>
      </c>
      <c r="CE138" s="280" t="str">
        <f t="shared" si="89"/>
        <v>-</v>
      </c>
      <c r="CF138" s="71" t="str">
        <f t="shared" ca="1" si="90"/>
        <v>-</v>
      </c>
      <c r="CG138" s="33" t="str">
        <f t="shared" si="32"/>
        <v>38-39</v>
      </c>
      <c r="CH138" s="261" t="str">
        <f t="shared" ca="1" si="33"/>
        <v/>
      </c>
      <c r="CI138" s="99"/>
      <c r="CJ138" s="99"/>
      <c r="CK138" s="99"/>
      <c r="CL138" s="99"/>
      <c r="CM138" s="99"/>
      <c r="CN138" s="99"/>
      <c r="CO138" s="99"/>
    </row>
    <row r="139" spans="2:93" ht="13.5" customHeight="1" x14ac:dyDescent="0.2">
      <c r="B139" s="262">
        <v>39</v>
      </c>
      <c r="C139" s="237" t="str">
        <f t="shared" si="1"/>
        <v/>
      </c>
      <c r="D139" s="237" t="str">
        <f t="shared" si="66"/>
        <v>-</v>
      </c>
      <c r="E139" s="290" t="str">
        <f t="shared" si="34"/>
        <v/>
      </c>
      <c r="F139" s="264" t="str">
        <f t="shared" si="35"/>
        <v/>
      </c>
      <c r="G139" s="291" t="str">
        <f t="shared" si="36"/>
        <v/>
      </c>
      <c r="H139" s="240" t="str">
        <f t="shared" si="71"/>
        <v/>
      </c>
      <c r="I139" s="265" t="str">
        <f t="shared" si="72"/>
        <v/>
      </c>
      <c r="J139" s="265" t="str">
        <f t="shared" si="73"/>
        <v/>
      </c>
      <c r="K139" s="240" t="str">
        <f t="shared" si="74"/>
        <v/>
      </c>
      <c r="L139" s="265" t="str">
        <f t="shared" si="75"/>
        <v/>
      </c>
      <c r="M139" s="265" t="str">
        <f t="shared" si="76"/>
        <v/>
      </c>
      <c r="N139" s="240" t="str">
        <f t="shared" si="77"/>
        <v>-</v>
      </c>
      <c r="O139" s="265" t="str">
        <f t="shared" si="78"/>
        <v>-</v>
      </c>
      <c r="P139" s="265" t="str">
        <f t="shared" si="79"/>
        <v>-</v>
      </c>
      <c r="Q139" s="266" t="str">
        <f t="shared" si="80"/>
        <v>-</v>
      </c>
      <c r="R139" s="267" t="str">
        <f t="shared" si="81"/>
        <v>-</v>
      </c>
      <c r="S139" s="268" t="str">
        <f t="shared" si="82"/>
        <v>-</v>
      </c>
      <c r="T139" s="269" t="str">
        <f t="shared" si="9"/>
        <v/>
      </c>
      <c r="U139" s="221">
        <f t="shared" si="10"/>
        <v>39</v>
      </c>
      <c r="V139" s="220" t="str">
        <f t="shared" si="42"/>
        <v>-</v>
      </c>
      <c r="W139" s="221" t="str">
        <f t="shared" si="43"/>
        <v>-</v>
      </c>
      <c r="X139" s="221" t="str">
        <f t="shared" si="11"/>
        <v>-</v>
      </c>
      <c r="Y139" s="221" t="str">
        <f t="shared" si="12"/>
        <v>-</v>
      </c>
      <c r="Z139" s="270">
        <f t="shared" si="44"/>
        <v>0.1</v>
      </c>
      <c r="AA139" s="271" t="str">
        <f>IFERROR(IF(V138=1,AA$100*EXP(-(LN(2)/$D$65+0.04)*X138)*EXP(-(LN(2)/$D$65+0.1)*Y138),IF(V138=2,AA$100*EXP(-(LN(2)/$D$65+0.04)*(VLOOKUP(($F$16-$F$15)-1,U$99:Y138,4,FALSE)))*EXP(-(LN(2)/$D$65+0.1)*(VLOOKUP(($F$16-$F$15)-1,U$99:Y138,5,FALSE)))*EXP(-(LN(2)/$D$65+0.04)*X138)*EXP(-(LN(2)/$D$65+0.1)*Y138),IF(V138=3,AA$100*EXP(-(LN(2)/$D$65+0.04)*(VLOOKUP(($F$16-$F$15)-1,U$99:Y138,4,FALSE)))*EXP(-(LN(2)/$D$65+0.1)*(VLOOKUP(($F$16-$F$15)-1,U$99:Y138,5,FALSE)))*EXP(-(LN(2)/$D$65+0.04)*(VLOOKUP(($F$16-$F$15)*2-1,U$99:Y138,4,FALSE)))*EXP(-(LN(2)/$D$65+0.1)*(VLOOKUP(($F$16-$F$15)*2-1,U$99:Y138,5,FALSE)))*EXP(-(LN(2)/$D$65+0.04)*X138)*EXP(-(LN(2)/$D$65+0.1)*Y138),"-"))),"-")</f>
        <v>-</v>
      </c>
      <c r="AB139" s="271" t="str">
        <f>IFERROR(IF(V139=1,AB$100*EXP(-(LN(2)/$D$65+0.04)*X139)*EXP(-(LN(2)/$D$65+0.1)*Y139),IF(V139=2,AB$100*EXP(-(LN(2)/$D$65+0.04)*(VLOOKUP(($F$16-$F$15)-1,U$100:Y139,4,FALSE)))*EXP(-(LN(2)/$D$65+0.1)*(VLOOKUP(($F$16-$F$15)-1,U$100:Y139,5,FALSE)))*EXP(-(LN(2)/$D$65+0.04)*X139)*EXP(-(LN(2)/$D$65+0.1)*Y139),IF(V139=3,AB$100*EXP(-(LN(2)/$D$65+0.04)*(VLOOKUP(($F$16-$F$15)-1,U$100:Y139,4,FALSE)))*EXP(-(LN(2)/$D$65+0.1)*(VLOOKUP(($F$16-$F$15)-1,U$100:Y139,5,FALSE)))*EXP(-(LN(2)/$D$65+0.04)*(VLOOKUP(($F$16-$F$15)*2-1,U$100:Y139,4,FALSE)))*EXP(-(LN(2)/$D$65+0.1)*(VLOOKUP(($F$16-$F$15)*2-1,U$100:Y139,5,FALSE)))*EXP(-(LN(2)/$D$65+0.04)*X139)*EXP(-(LN(2)/$D$65+0.1)*Y139),"-"))),"-")</f>
        <v>-</v>
      </c>
      <c r="AC139" s="224">
        <f t="shared" si="45"/>
        <v>39</v>
      </c>
      <c r="AD139" s="223" t="str">
        <f t="shared" si="14"/>
        <v>-</v>
      </c>
      <c r="AE139" s="224" t="str">
        <f t="shared" si="46"/>
        <v>-</v>
      </c>
      <c r="AF139" s="224" t="str">
        <f t="shared" si="15"/>
        <v>-</v>
      </c>
      <c r="AG139" s="224" t="str">
        <f t="shared" si="16"/>
        <v>-</v>
      </c>
      <c r="AH139" s="272">
        <f t="shared" si="47"/>
        <v>0.1</v>
      </c>
      <c r="AI139" s="271" t="str">
        <f>IFERROR(IF(AD138=1,AI$100*EXP(-(LN(2)/$D$65+0.04)*AF138)*EXP(-(LN(2)/$D$65+0.1)*AG138),IF(AD138=2,AI$100*EXP(-(LN(2)/$D$65+0.04)*(VLOOKUP(($F$16-$F$15)-1,AC$99:AG138,4,FALSE)))*EXP(-(LN(2)/$D$65+0.1)*(VLOOKUP(($F$16-$F$15)-1,AC$99:AG138,5,FALSE)))*EXP(-(LN(2)/$D$65+0.04)*AF138)*EXP(-(LN(2)/$D$65+0.1)*AG138),IF(AD138=3,AI$100*EXP(-(LN(2)/$D$65+0.04)*(VLOOKUP(($F$16-$F$15)-1,AC$99:AG138,4,FALSE)))*EXP(-(LN(2)/$D$65+0.1)*(VLOOKUP(($F$16-$F$15)-1,AC$99:AG138,5,FALSE)))*EXP(-(LN(2)/$D$65+0.04)*(VLOOKUP(($F$16-$F$15)*2-1,AC$99:AG138,4,FALSE)))*EXP(-(LN(2)/$D$65+0.1)*(VLOOKUP(($F$16-$F$15)*2-1,AC$99:AG138,5,FALSE)))*EXP(-(LN(2)/$D$65+0.04)*AF138)*EXP(-(LN(2)/$D$65+0.1)*AG138),"-"))),"-")</f>
        <v>-</v>
      </c>
      <c r="AJ139" s="271" t="str">
        <f>IFERROR(IF(AD139=1,AJ$100*EXP(-(LN(2)/$D$65+0.04)*AF139)*EXP(-(LN(2)/$D$65+0.1)*AG139),IF(AD139=2,AJ$100*EXP(-(LN(2)/$D$65+0.04)*(VLOOKUP(($F$16-$F$15)-1,AC$100:AG139,4,FALSE)))*EXP(-(LN(2)/$D$65+0.1)*(VLOOKUP(($F$16-$F$15)-1,AC$100:AG139,5,FALSE)))*EXP(-(LN(2)/$D$65+0.04)*AF139)*EXP(-(LN(2)/$D$65+0.1)*AG139),IF(AD139=3,AJ$100*EXP(-(LN(2)/$D$65+0.04)*(VLOOKUP(($F$16-$F$15)-1,AC$100:AG139,4,FALSE)))*EXP(-(LN(2)/$D$65+0.1)*(VLOOKUP(($F$16-$F$15)-1,AC$100:AG139,5,FALSE)))*EXP(-(LN(2)/$D$65+0.04)*(VLOOKUP(($F$16-$F$15)*2-1,AC$100:AG139,4,FALSE)))*EXP(-(LN(2)/$D$65+0.1)*(VLOOKUP(($F$16-$F$15)*2-1,AC$100:AG139,5,FALSE)))*EXP(-(LN(2)/$D$65+0.04)*AF139)*EXP(-(LN(2)/$D$65+0.1)*AG139),"-"))),"-")</f>
        <v>-</v>
      </c>
      <c r="AK139" s="227">
        <f t="shared" si="49"/>
        <v>39</v>
      </c>
      <c r="AL139" s="226" t="str">
        <f t="shared" si="18"/>
        <v>-</v>
      </c>
      <c r="AM139" s="227" t="str">
        <f t="shared" si="50"/>
        <v>-</v>
      </c>
      <c r="AN139" s="227" t="str">
        <f t="shared" si="51"/>
        <v>-</v>
      </c>
      <c r="AO139" s="227" t="str">
        <f t="shared" si="19"/>
        <v>-</v>
      </c>
      <c r="AP139" s="273">
        <f t="shared" si="52"/>
        <v>0.1</v>
      </c>
      <c r="AQ139" s="271" t="str">
        <f>IFERROR(IF(AL138=1,AQ$100*EXP(-(LN(2)/$D$65+0.04)*AN138)*EXP(-(LN(2)/$D$65+0.1)*AO138),IF(AL138=2,AQ$100*EXP(-(LN(2)/$D$65+0.04)*(VLOOKUP(($F$16-$F$15)-1,AK$99:AO138,4,FALSE)))*EXP(-(LN(2)/$D$65+0.1)*(VLOOKUP(($F$16-$F$15)-1,AK$99:AO138,5,FALSE)))*EXP(-(LN(2)/$D$65+0.04)*AN138)*EXP(-(LN(2)/$D$65+0.1)*AO138),IF(AL138=3,AQ$100*EXP(-(LN(2)/$D$65+0.04)*(VLOOKUP(($F$16-$F$15)-1,AK$99:AO138,4,FALSE)))*EXP(-(LN(2)/$D$65+0.1)*(VLOOKUP(($F$16-$F$15)-1,AK$99:AO138,5,FALSE)))*EXP(-(LN(2)/$D$65+0.04)*(VLOOKUP(($F$16-$F$15)*2-1,AK$99:AO138,4,FALSE)))*EXP(-(LN(2)/$D$65+0.1)*(VLOOKUP(($F$16-$F$15)*2-1,AK$99:AO138,5,FALSE)))*EXP(-(LN(2)/$D$65+0.04)*AN138)*EXP(-(LN(2)/$D$65+0.1)*AO138),"-"))),"-")</f>
        <v>-</v>
      </c>
      <c r="AR139" s="271" t="str">
        <f>IFERROR(IF(AL139=1,AR$100*EXP(-(LN(2)/$D$65+0.04)*AN139)*EXP(-(LN(2)/$D$65+0.1)*AO139),IF(AL139=2,AR$100*EXP(-(LN(2)/$D$65+0.04)*(VLOOKUP(($F$16-$F$15)-1,AK$100:AO139,4,FALSE)))*EXP(-(LN(2)/$D$65+0.1)*(VLOOKUP(($F$16-$F$15)-1,AK$100:AO139,5,FALSE)))*EXP(-(LN(2)/$D$65+0.04)*AN139)*EXP(-(LN(2)/$D$65+0.1)*AO139),IF(AL139=3,AR$100*EXP(-(LN(2)/$D$65+0.04)*(VLOOKUP(($F$16-$F$15)-1,AK$100:AO139,4,FALSE)))*EXP(-(LN(2)/$D$65+0.1)*(VLOOKUP(($F$16-$F$15)-1,AK$100:AO139,5,FALSE)))*EXP(-(LN(2)/$D$65+0.04)*(VLOOKUP(($F$16-$F$15)*2-1,AK$100:AO139,4,FALSE)))*EXP(-(LN(2)/$D$65+0.1)*(VLOOKUP(($F$16-$F$15)*2-1,AK$100:AO139,5,FALSE)))*EXP(-(LN(2)/$D$65+0.04)*AN139)*EXP(-(LN(2)/$D$65+0.1)*AO139),"-"))),"-")</f>
        <v>-</v>
      </c>
      <c r="AS139" s="274">
        <f t="shared" si="20"/>
        <v>0</v>
      </c>
      <c r="AT139" s="274">
        <f t="shared" si="21"/>
        <v>0</v>
      </c>
      <c r="AU139" s="274">
        <f t="shared" si="22"/>
        <v>0</v>
      </c>
      <c r="AV139" s="190">
        <f>IF($B139&lt;$F$22,SUM($T$100:$T139),"")</f>
        <v>0</v>
      </c>
      <c r="AW139" s="190" t="str">
        <f t="shared" si="83"/>
        <v>-</v>
      </c>
      <c r="AX139" s="190" t="str">
        <f t="shared" si="56"/>
        <v/>
      </c>
      <c r="AY139"/>
      <c r="AZ139" s="190" t="str">
        <f ca="1">IF(ISNUMBER(OFFSET(AV139,-$F$21,0)),SUM(OFFSET($T$100,$F$21,0):$T139),"")</f>
        <v/>
      </c>
      <c r="BA139" s="190" t="str">
        <f t="shared" ca="1" si="84"/>
        <v/>
      </c>
      <c r="BB139" s="190" t="str">
        <f t="shared" ca="1" si="70"/>
        <v/>
      </c>
      <c r="BC139" s="190"/>
      <c r="BD139" s="190" t="str">
        <f ca="1">IFERROR(IF(AND($B139&gt;=($F$16-$F$15),$B139&lt;$F$22+($F$16-$F$15)),SUM(OFFSET($T$100,($F$16-$F$15),0):$T139),""),"")</f>
        <v/>
      </c>
      <c r="BE139" s="190" t="str">
        <f t="shared" ca="1" si="58"/>
        <v/>
      </c>
      <c r="BF139" s="190" t="str">
        <f t="shared" ca="1" si="59"/>
        <v/>
      </c>
      <c r="BG139"/>
      <c r="BH139" s="190" t="str">
        <f ca="1">IF(ISNUMBER(OFFSET(BD139,-$F$21,0)),SUM(OFFSET($T$100,($F$16-$F$15+$F$21),0):$T139),"")</f>
        <v/>
      </c>
      <c r="BI139" s="190" t="str">
        <f t="shared" ca="1" si="85"/>
        <v/>
      </c>
      <c r="BJ139" s="190" t="str">
        <f t="shared" ca="1" si="60"/>
        <v/>
      </c>
      <c r="BK139" s="190"/>
      <c r="BL139" s="190" t="str">
        <f ca="1">IFERROR(IF(AND($B139&gt;=($F$17-$F$15),$B139&lt;$F$22+($F$17-$F$15)),SUM(OFFSET($T$100,($F$17-$F$15),0):$T139),""),"")</f>
        <v/>
      </c>
      <c r="BM139" s="190" t="str">
        <f t="shared" ca="1" si="86"/>
        <v/>
      </c>
      <c r="BN139" s="190" t="str">
        <f t="shared" ca="1" si="61"/>
        <v/>
      </c>
      <c r="BO139"/>
      <c r="BP139" s="190" t="str">
        <f ca="1">IF(ISNUMBER(OFFSET(BL139,-$F$21,0)),SUM(OFFSET($T$100,($F$17-$F$15+$F$21),0):$T139),"")</f>
        <v/>
      </c>
      <c r="BQ139" s="190" t="str">
        <f t="shared" ca="1" si="87"/>
        <v/>
      </c>
      <c r="BR139" s="190" t="str">
        <f t="shared" ca="1" si="63"/>
        <v/>
      </c>
      <c r="BS139" s="190"/>
      <c r="BT139"/>
      <c r="BU139"/>
      <c r="BV139"/>
      <c r="BY139" s="99"/>
      <c r="BZ139" s="99"/>
      <c r="CA139" s="280" t="str">
        <f t="shared" si="88"/>
        <v/>
      </c>
      <c r="CB139" s="71" t="str">
        <f t="shared" si="27"/>
        <v>-</v>
      </c>
      <c r="CC139" s="33"/>
      <c r="CD139" s="261" t="str">
        <f t="shared" si="29"/>
        <v/>
      </c>
      <c r="CE139" s="280" t="str">
        <f t="shared" si="89"/>
        <v>-</v>
      </c>
      <c r="CF139" s="71" t="str">
        <f t="shared" ca="1" si="90"/>
        <v>-</v>
      </c>
      <c r="CG139" s="33" t="str">
        <f t="shared" si="32"/>
        <v>39-40</v>
      </c>
      <c r="CH139" s="261" t="str">
        <f t="shared" ca="1" si="33"/>
        <v/>
      </c>
      <c r="CI139" s="99"/>
      <c r="CJ139" s="99"/>
      <c r="CK139" s="99"/>
      <c r="CL139" s="99"/>
      <c r="CM139" s="99"/>
      <c r="CN139" s="99"/>
      <c r="CO139" s="99"/>
    </row>
    <row r="140" spans="2:93" ht="13.5" customHeight="1" x14ac:dyDescent="0.2">
      <c r="B140" s="262">
        <v>40</v>
      </c>
      <c r="C140" s="237" t="str">
        <f t="shared" si="1"/>
        <v/>
      </c>
      <c r="D140" s="237" t="str">
        <f t="shared" si="66"/>
        <v>-</v>
      </c>
      <c r="E140" s="290" t="str">
        <f t="shared" si="34"/>
        <v/>
      </c>
      <c r="F140" s="264" t="str">
        <f t="shared" si="35"/>
        <v/>
      </c>
      <c r="G140" s="291" t="str">
        <f t="shared" si="36"/>
        <v/>
      </c>
      <c r="H140" s="240" t="str">
        <f t="shared" si="71"/>
        <v/>
      </c>
      <c r="I140" s="265" t="str">
        <f t="shared" si="72"/>
        <v/>
      </c>
      <c r="J140" s="265" t="str">
        <f t="shared" si="73"/>
        <v/>
      </c>
      <c r="K140" s="240" t="str">
        <f t="shared" si="74"/>
        <v/>
      </c>
      <c r="L140" s="265" t="str">
        <f t="shared" si="75"/>
        <v/>
      </c>
      <c r="M140" s="265" t="str">
        <f t="shared" si="76"/>
        <v/>
      </c>
      <c r="N140" s="240" t="str">
        <f t="shared" si="77"/>
        <v>-</v>
      </c>
      <c r="O140" s="265" t="str">
        <f t="shared" si="78"/>
        <v>-</v>
      </c>
      <c r="P140" s="265" t="str">
        <f t="shared" si="79"/>
        <v>-</v>
      </c>
      <c r="Q140" s="266" t="str">
        <f t="shared" si="80"/>
        <v>-</v>
      </c>
      <c r="R140" s="267" t="str">
        <f t="shared" si="81"/>
        <v>-</v>
      </c>
      <c r="S140" s="268" t="str">
        <f t="shared" si="82"/>
        <v>-</v>
      </c>
      <c r="T140" s="269" t="str">
        <f t="shared" si="9"/>
        <v/>
      </c>
      <c r="U140" s="221">
        <f t="shared" si="10"/>
        <v>40</v>
      </c>
      <c r="V140" s="220" t="str">
        <f t="shared" si="42"/>
        <v>-</v>
      </c>
      <c r="W140" s="221" t="str">
        <f t="shared" si="43"/>
        <v>-</v>
      </c>
      <c r="X140" s="221" t="str">
        <f t="shared" si="11"/>
        <v>-</v>
      </c>
      <c r="Y140" s="221" t="str">
        <f t="shared" si="12"/>
        <v>-</v>
      </c>
      <c r="Z140" s="270">
        <f t="shared" si="44"/>
        <v>0.1</v>
      </c>
      <c r="AA140" s="271" t="str">
        <f>IFERROR(IF(V139=1,AA$100*EXP(-(LN(2)/$D$65+0.04)*X139)*EXP(-(LN(2)/$D$65+0.1)*Y139),IF(V139=2,AA$100*EXP(-(LN(2)/$D$65+0.04)*(VLOOKUP(($F$16-$F$15)-1,U$99:Y139,4,FALSE)))*EXP(-(LN(2)/$D$65+0.1)*(VLOOKUP(($F$16-$F$15)-1,U$99:Y139,5,FALSE)))*EXP(-(LN(2)/$D$65+0.04)*X139)*EXP(-(LN(2)/$D$65+0.1)*Y139),IF(V139=3,AA$100*EXP(-(LN(2)/$D$65+0.04)*(VLOOKUP(($F$16-$F$15)-1,U$99:Y139,4,FALSE)))*EXP(-(LN(2)/$D$65+0.1)*(VLOOKUP(($F$16-$F$15)-1,U$99:Y139,5,FALSE)))*EXP(-(LN(2)/$D$65+0.04)*(VLOOKUP(($F$16-$F$15)*2-1,U$99:Y139,4,FALSE)))*EXP(-(LN(2)/$D$65+0.1)*(VLOOKUP(($F$16-$F$15)*2-1,U$99:Y139,5,FALSE)))*EXP(-(LN(2)/$D$65+0.04)*X139)*EXP(-(LN(2)/$D$65+0.1)*Y139),"-"))),"-")</f>
        <v>-</v>
      </c>
      <c r="AB140" s="271" t="str">
        <f>IFERROR(IF(V140=1,AB$100*EXP(-(LN(2)/$D$65+0.04)*X140)*EXP(-(LN(2)/$D$65+0.1)*Y140),IF(V140=2,AB$100*EXP(-(LN(2)/$D$65+0.04)*(VLOOKUP(($F$16-$F$15)-1,U$100:Y140,4,FALSE)))*EXP(-(LN(2)/$D$65+0.1)*(VLOOKUP(($F$16-$F$15)-1,U$100:Y140,5,FALSE)))*EXP(-(LN(2)/$D$65+0.04)*X140)*EXP(-(LN(2)/$D$65+0.1)*Y140),IF(V140=3,AB$100*EXP(-(LN(2)/$D$65+0.04)*(VLOOKUP(($F$16-$F$15)-1,U$100:Y140,4,FALSE)))*EXP(-(LN(2)/$D$65+0.1)*(VLOOKUP(($F$16-$F$15)-1,U$100:Y140,5,FALSE)))*EXP(-(LN(2)/$D$65+0.04)*(VLOOKUP(($F$16-$F$15)*2-1,U$100:Y140,4,FALSE)))*EXP(-(LN(2)/$D$65+0.1)*(VLOOKUP(($F$16-$F$15)*2-1,U$100:Y140,5,FALSE)))*EXP(-(LN(2)/$D$65+0.04)*X140)*EXP(-(LN(2)/$D$65+0.1)*Y140),"-"))),"-")</f>
        <v>-</v>
      </c>
      <c r="AC140" s="224">
        <f t="shared" si="45"/>
        <v>40</v>
      </c>
      <c r="AD140" s="223" t="str">
        <f t="shared" si="14"/>
        <v>-</v>
      </c>
      <c r="AE140" s="224" t="str">
        <f t="shared" si="46"/>
        <v>-</v>
      </c>
      <c r="AF140" s="224" t="str">
        <f t="shared" si="15"/>
        <v>-</v>
      </c>
      <c r="AG140" s="224" t="str">
        <f t="shared" si="16"/>
        <v>-</v>
      </c>
      <c r="AH140" s="272">
        <f t="shared" si="47"/>
        <v>0.1</v>
      </c>
      <c r="AI140" s="271" t="str">
        <f>IFERROR(IF(AD139=1,AI$100*EXP(-(LN(2)/$D$65+0.04)*AF139)*EXP(-(LN(2)/$D$65+0.1)*AG139),IF(AD139=2,AI$100*EXP(-(LN(2)/$D$65+0.04)*(VLOOKUP(($F$16-$F$15)-1,AC$99:AG139,4,FALSE)))*EXP(-(LN(2)/$D$65+0.1)*(VLOOKUP(($F$16-$F$15)-1,AC$99:AG139,5,FALSE)))*EXP(-(LN(2)/$D$65+0.04)*AF139)*EXP(-(LN(2)/$D$65+0.1)*AG139),IF(AD139=3,AI$100*EXP(-(LN(2)/$D$65+0.04)*(VLOOKUP(($F$16-$F$15)-1,AC$99:AG139,4,FALSE)))*EXP(-(LN(2)/$D$65+0.1)*(VLOOKUP(($F$16-$F$15)-1,AC$99:AG139,5,FALSE)))*EXP(-(LN(2)/$D$65+0.04)*(VLOOKUP(($F$16-$F$15)*2-1,AC$99:AG139,4,FALSE)))*EXP(-(LN(2)/$D$65+0.1)*(VLOOKUP(($F$16-$F$15)*2-1,AC$99:AG139,5,FALSE)))*EXP(-(LN(2)/$D$65+0.04)*AF139)*EXP(-(LN(2)/$D$65+0.1)*AG139),"-"))),"-")</f>
        <v>-</v>
      </c>
      <c r="AJ140" s="271" t="str">
        <f>IFERROR(IF(AD140=1,AJ$100*EXP(-(LN(2)/$D$65+0.04)*AF140)*EXP(-(LN(2)/$D$65+0.1)*AG140),IF(AD140=2,AJ$100*EXP(-(LN(2)/$D$65+0.04)*(VLOOKUP(($F$16-$F$15)-1,AC$100:AG140,4,FALSE)))*EXP(-(LN(2)/$D$65+0.1)*(VLOOKUP(($F$16-$F$15)-1,AC$100:AG140,5,FALSE)))*EXP(-(LN(2)/$D$65+0.04)*AF140)*EXP(-(LN(2)/$D$65+0.1)*AG140),IF(AD140=3,AJ$100*EXP(-(LN(2)/$D$65+0.04)*(VLOOKUP(($F$16-$F$15)-1,AC$100:AG140,4,FALSE)))*EXP(-(LN(2)/$D$65+0.1)*(VLOOKUP(($F$16-$F$15)-1,AC$100:AG140,5,FALSE)))*EXP(-(LN(2)/$D$65+0.04)*(VLOOKUP(($F$16-$F$15)*2-1,AC$100:AG140,4,FALSE)))*EXP(-(LN(2)/$D$65+0.1)*(VLOOKUP(($F$16-$F$15)*2-1,AC$100:AG140,5,FALSE)))*EXP(-(LN(2)/$D$65+0.04)*AF140)*EXP(-(LN(2)/$D$65+0.1)*AG140),"-"))),"-")</f>
        <v>-</v>
      </c>
      <c r="AK140" s="227">
        <f t="shared" si="49"/>
        <v>40</v>
      </c>
      <c r="AL140" s="226" t="str">
        <f t="shared" si="18"/>
        <v>-</v>
      </c>
      <c r="AM140" s="227" t="str">
        <f t="shared" si="50"/>
        <v>-</v>
      </c>
      <c r="AN140" s="227" t="str">
        <f t="shared" si="51"/>
        <v>-</v>
      </c>
      <c r="AO140" s="227" t="str">
        <f t="shared" si="19"/>
        <v>-</v>
      </c>
      <c r="AP140" s="273">
        <f t="shared" si="52"/>
        <v>0.1</v>
      </c>
      <c r="AQ140" s="271" t="str">
        <f>IFERROR(IF(AL139=1,AQ$100*EXP(-(LN(2)/$D$65+0.04)*AN139)*EXP(-(LN(2)/$D$65+0.1)*AO139),IF(AL139=2,AQ$100*EXP(-(LN(2)/$D$65+0.04)*(VLOOKUP(($F$16-$F$15)-1,AK$99:AO139,4,FALSE)))*EXP(-(LN(2)/$D$65+0.1)*(VLOOKUP(($F$16-$F$15)-1,AK$99:AO139,5,FALSE)))*EXP(-(LN(2)/$D$65+0.04)*AN139)*EXP(-(LN(2)/$D$65+0.1)*AO139),IF(AL139=3,AQ$100*EXP(-(LN(2)/$D$65+0.04)*(VLOOKUP(($F$16-$F$15)-1,AK$99:AO139,4,FALSE)))*EXP(-(LN(2)/$D$65+0.1)*(VLOOKUP(($F$16-$F$15)-1,AK$99:AO139,5,FALSE)))*EXP(-(LN(2)/$D$65+0.04)*(VLOOKUP(($F$16-$F$15)*2-1,AK$99:AO139,4,FALSE)))*EXP(-(LN(2)/$D$65+0.1)*(VLOOKUP(($F$16-$F$15)*2-1,AK$99:AO139,5,FALSE)))*EXP(-(LN(2)/$D$65+0.04)*AN139)*EXP(-(LN(2)/$D$65+0.1)*AO139),"-"))),"-")</f>
        <v>-</v>
      </c>
      <c r="AR140" s="271" t="str">
        <f>IFERROR(IF(AL140=1,AR$100*EXP(-(LN(2)/$D$65+0.04)*AN140)*EXP(-(LN(2)/$D$65+0.1)*AO140),IF(AL140=2,AR$100*EXP(-(LN(2)/$D$65+0.04)*(VLOOKUP(($F$16-$F$15)-1,AK$100:AO140,4,FALSE)))*EXP(-(LN(2)/$D$65+0.1)*(VLOOKUP(($F$16-$F$15)-1,AK$100:AO140,5,FALSE)))*EXP(-(LN(2)/$D$65+0.04)*AN140)*EXP(-(LN(2)/$D$65+0.1)*AO140),IF(AL140=3,AR$100*EXP(-(LN(2)/$D$65+0.04)*(VLOOKUP(($F$16-$F$15)-1,AK$100:AO140,4,FALSE)))*EXP(-(LN(2)/$D$65+0.1)*(VLOOKUP(($F$16-$F$15)-1,AK$100:AO140,5,FALSE)))*EXP(-(LN(2)/$D$65+0.04)*(VLOOKUP(($F$16-$F$15)*2-1,AK$100:AO140,4,FALSE)))*EXP(-(LN(2)/$D$65+0.1)*(VLOOKUP(($F$16-$F$15)*2-1,AK$100:AO140,5,FALSE)))*EXP(-(LN(2)/$D$65+0.04)*AN140)*EXP(-(LN(2)/$D$65+0.1)*AO140),"-"))),"-")</f>
        <v>-</v>
      </c>
      <c r="AS140" s="274">
        <f t="shared" si="20"/>
        <v>0</v>
      </c>
      <c r="AT140" s="274">
        <f t="shared" si="21"/>
        <v>0</v>
      </c>
      <c r="AU140" s="274">
        <f t="shared" si="22"/>
        <v>0</v>
      </c>
      <c r="AV140" s="190">
        <f>IF($B140&lt;$F$22,SUM($T$100:$T140),"")</f>
        <v>0</v>
      </c>
      <c r="AW140" s="190" t="str">
        <f t="shared" si="83"/>
        <v>-</v>
      </c>
      <c r="AX140" s="190" t="str">
        <f t="shared" si="56"/>
        <v/>
      </c>
      <c r="AY140"/>
      <c r="AZ140" s="190" t="str">
        <f ca="1">IF(ISNUMBER(OFFSET(AV140,-$F$21,0)),SUM(OFFSET($T$100,$F$21,0):$T140),"")</f>
        <v/>
      </c>
      <c r="BA140" s="190" t="str">
        <f t="shared" ca="1" si="84"/>
        <v/>
      </c>
      <c r="BB140" s="190" t="str">
        <f t="shared" ca="1" si="70"/>
        <v/>
      </c>
      <c r="BC140" s="190"/>
      <c r="BD140" s="190" t="str">
        <f ca="1">IFERROR(IF(AND($B140&gt;=($F$16-$F$15),$B140&lt;$F$22+($F$16-$F$15)),SUM(OFFSET($T$100,($F$16-$F$15),0):$T140),""),"")</f>
        <v/>
      </c>
      <c r="BE140" s="190" t="str">
        <f t="shared" ca="1" si="58"/>
        <v/>
      </c>
      <c r="BF140" s="190" t="str">
        <f t="shared" ca="1" si="59"/>
        <v/>
      </c>
      <c r="BG140"/>
      <c r="BH140" s="190" t="str">
        <f ca="1">IF(ISNUMBER(OFFSET(BD140,-$F$21,0)),SUM(OFFSET($T$100,($F$16-$F$15+$F$21),0):$T140),"")</f>
        <v/>
      </c>
      <c r="BI140" s="190" t="str">
        <f t="shared" ca="1" si="85"/>
        <v/>
      </c>
      <c r="BJ140" s="190" t="str">
        <f t="shared" ca="1" si="60"/>
        <v/>
      </c>
      <c r="BK140" s="190"/>
      <c r="BL140" s="190" t="str">
        <f ca="1">IFERROR(IF(AND($B140&gt;=($F$17-$F$15),$B140&lt;$F$22+($F$17-$F$15)),SUM(OFFSET($T$100,($F$17-$F$15),0):$T140),""),"")</f>
        <v/>
      </c>
      <c r="BM140" s="190" t="str">
        <f t="shared" ca="1" si="86"/>
        <v/>
      </c>
      <c r="BN140" s="190" t="str">
        <f t="shared" ca="1" si="61"/>
        <v/>
      </c>
      <c r="BO140"/>
      <c r="BP140" s="190" t="str">
        <f ca="1">IF(ISNUMBER(OFFSET(BL140,-$F$21,0)),SUM(OFFSET($T$100,($F$17-$F$15+$F$21),0):$T140),"")</f>
        <v/>
      </c>
      <c r="BQ140" s="190" t="str">
        <f t="shared" ca="1" si="87"/>
        <v/>
      </c>
      <c r="BR140" s="190" t="str">
        <f t="shared" ca="1" si="63"/>
        <v/>
      </c>
      <c r="BS140" s="190"/>
      <c r="BT140"/>
      <c r="BU140"/>
      <c r="BV140"/>
      <c r="BY140" s="99"/>
      <c r="BZ140" s="99"/>
      <c r="CA140" s="280" t="str">
        <f t="shared" si="88"/>
        <v/>
      </c>
      <c r="CB140" s="71" t="str">
        <f t="shared" si="27"/>
        <v>-</v>
      </c>
      <c r="CC140" s="33"/>
      <c r="CD140" s="261" t="str">
        <f t="shared" si="29"/>
        <v/>
      </c>
      <c r="CE140" s="280" t="str">
        <f t="shared" si="89"/>
        <v>-</v>
      </c>
      <c r="CF140" s="71" t="str">
        <f t="shared" ca="1" si="90"/>
        <v>-</v>
      </c>
      <c r="CG140" s="33" t="str">
        <f t="shared" si="32"/>
        <v>40-41</v>
      </c>
      <c r="CH140" s="261" t="str">
        <f t="shared" ca="1" si="33"/>
        <v/>
      </c>
      <c r="CI140" s="99"/>
      <c r="CJ140" s="99"/>
      <c r="CK140" s="99"/>
      <c r="CL140" s="99"/>
      <c r="CM140" s="99"/>
      <c r="CN140" s="99"/>
      <c r="CO140" s="99"/>
    </row>
    <row r="141" spans="2:93" ht="13.5" customHeight="1" x14ac:dyDescent="0.2">
      <c r="B141" s="262">
        <v>41</v>
      </c>
      <c r="C141" s="237" t="str">
        <f t="shared" si="1"/>
        <v/>
      </c>
      <c r="D141" s="237" t="str">
        <f t="shared" si="66"/>
        <v>-</v>
      </c>
      <c r="E141" s="290" t="str">
        <f t="shared" si="34"/>
        <v/>
      </c>
      <c r="F141" s="264" t="str">
        <f t="shared" si="35"/>
        <v/>
      </c>
      <c r="G141" s="291" t="str">
        <f t="shared" si="36"/>
        <v/>
      </c>
      <c r="H141" s="240" t="str">
        <f t="shared" si="71"/>
        <v/>
      </c>
      <c r="I141" s="265" t="str">
        <f t="shared" si="72"/>
        <v/>
      </c>
      <c r="J141" s="265" t="str">
        <f t="shared" si="73"/>
        <v/>
      </c>
      <c r="K141" s="240" t="str">
        <f t="shared" si="74"/>
        <v/>
      </c>
      <c r="L141" s="265" t="str">
        <f t="shared" si="75"/>
        <v/>
      </c>
      <c r="M141" s="265" t="str">
        <f t="shared" si="76"/>
        <v/>
      </c>
      <c r="N141" s="240" t="str">
        <f t="shared" si="77"/>
        <v>-</v>
      </c>
      <c r="O141" s="265" t="str">
        <f t="shared" si="78"/>
        <v>-</v>
      </c>
      <c r="P141" s="265" t="str">
        <f t="shared" si="79"/>
        <v>-</v>
      </c>
      <c r="Q141" s="266" t="str">
        <f t="shared" si="80"/>
        <v>-</v>
      </c>
      <c r="R141" s="267" t="str">
        <f t="shared" si="81"/>
        <v>-</v>
      </c>
      <c r="S141" s="268" t="str">
        <f t="shared" si="82"/>
        <v>-</v>
      </c>
      <c r="T141" s="269" t="str">
        <f t="shared" si="9"/>
        <v/>
      </c>
      <c r="U141" s="221">
        <f t="shared" si="10"/>
        <v>41</v>
      </c>
      <c r="V141" s="220" t="str">
        <f t="shared" si="42"/>
        <v>-</v>
      </c>
      <c r="W141" s="221" t="str">
        <f t="shared" si="43"/>
        <v>-</v>
      </c>
      <c r="X141" s="221" t="str">
        <f t="shared" si="11"/>
        <v>-</v>
      </c>
      <c r="Y141" s="221" t="str">
        <f t="shared" si="12"/>
        <v>-</v>
      </c>
      <c r="Z141" s="270">
        <f t="shared" si="44"/>
        <v>0.1</v>
      </c>
      <c r="AA141" s="271" t="str">
        <f>IFERROR(IF(V140=1,AA$100*EXP(-(LN(2)/$D$65+0.04)*X140)*EXP(-(LN(2)/$D$65+0.1)*Y140),IF(V140=2,AA$100*EXP(-(LN(2)/$D$65+0.04)*(VLOOKUP(($F$16-$F$15)-1,U$99:Y140,4,FALSE)))*EXP(-(LN(2)/$D$65+0.1)*(VLOOKUP(($F$16-$F$15)-1,U$99:Y140,5,FALSE)))*EXP(-(LN(2)/$D$65+0.04)*X140)*EXP(-(LN(2)/$D$65+0.1)*Y140),IF(V140=3,AA$100*EXP(-(LN(2)/$D$65+0.04)*(VLOOKUP(($F$16-$F$15)-1,U$99:Y140,4,FALSE)))*EXP(-(LN(2)/$D$65+0.1)*(VLOOKUP(($F$16-$F$15)-1,U$99:Y140,5,FALSE)))*EXP(-(LN(2)/$D$65+0.04)*(VLOOKUP(($F$16-$F$15)*2-1,U$99:Y140,4,FALSE)))*EXP(-(LN(2)/$D$65+0.1)*(VLOOKUP(($F$16-$F$15)*2-1,U$99:Y140,5,FALSE)))*EXP(-(LN(2)/$D$65+0.04)*X140)*EXP(-(LN(2)/$D$65+0.1)*Y140),"-"))),"-")</f>
        <v>-</v>
      </c>
      <c r="AB141" s="271" t="str">
        <f>IFERROR(IF(V141=1,AB$100*EXP(-(LN(2)/$D$65+0.04)*X141)*EXP(-(LN(2)/$D$65+0.1)*Y141),IF(V141=2,AB$100*EXP(-(LN(2)/$D$65+0.04)*(VLOOKUP(($F$16-$F$15)-1,U$100:Y141,4,FALSE)))*EXP(-(LN(2)/$D$65+0.1)*(VLOOKUP(($F$16-$F$15)-1,U$100:Y141,5,FALSE)))*EXP(-(LN(2)/$D$65+0.04)*X141)*EXP(-(LN(2)/$D$65+0.1)*Y141),IF(V141=3,AB$100*EXP(-(LN(2)/$D$65+0.04)*(VLOOKUP(($F$16-$F$15)-1,U$100:Y141,4,FALSE)))*EXP(-(LN(2)/$D$65+0.1)*(VLOOKUP(($F$16-$F$15)-1,U$100:Y141,5,FALSE)))*EXP(-(LN(2)/$D$65+0.04)*(VLOOKUP(($F$16-$F$15)*2-1,U$100:Y141,4,FALSE)))*EXP(-(LN(2)/$D$65+0.1)*(VLOOKUP(($F$16-$F$15)*2-1,U$100:Y141,5,FALSE)))*EXP(-(LN(2)/$D$65+0.04)*X141)*EXP(-(LN(2)/$D$65+0.1)*Y141),"-"))),"-")</f>
        <v>-</v>
      </c>
      <c r="AC141" s="224">
        <f t="shared" si="45"/>
        <v>41</v>
      </c>
      <c r="AD141" s="223" t="str">
        <f t="shared" si="14"/>
        <v>-</v>
      </c>
      <c r="AE141" s="224" t="str">
        <f t="shared" si="46"/>
        <v>-</v>
      </c>
      <c r="AF141" s="224" t="str">
        <f t="shared" si="15"/>
        <v>-</v>
      </c>
      <c r="AG141" s="224" t="str">
        <f t="shared" si="16"/>
        <v>-</v>
      </c>
      <c r="AH141" s="272">
        <f t="shared" si="47"/>
        <v>0.1</v>
      </c>
      <c r="AI141" s="271" t="str">
        <f>IFERROR(IF(AD140=1,AI$100*EXP(-(LN(2)/$D$65+0.04)*AF140)*EXP(-(LN(2)/$D$65+0.1)*AG140),IF(AD140=2,AI$100*EXP(-(LN(2)/$D$65+0.04)*(VLOOKUP(($F$16-$F$15)-1,AC$99:AG140,4,FALSE)))*EXP(-(LN(2)/$D$65+0.1)*(VLOOKUP(($F$16-$F$15)-1,AC$99:AG140,5,FALSE)))*EXP(-(LN(2)/$D$65+0.04)*AF140)*EXP(-(LN(2)/$D$65+0.1)*AG140),IF(AD140=3,AI$100*EXP(-(LN(2)/$D$65+0.04)*(VLOOKUP(($F$16-$F$15)-1,AC$99:AG140,4,FALSE)))*EXP(-(LN(2)/$D$65+0.1)*(VLOOKUP(($F$16-$F$15)-1,AC$99:AG140,5,FALSE)))*EXP(-(LN(2)/$D$65+0.04)*(VLOOKUP(($F$16-$F$15)*2-1,AC$99:AG140,4,FALSE)))*EXP(-(LN(2)/$D$65+0.1)*(VLOOKUP(($F$16-$F$15)*2-1,AC$99:AG140,5,FALSE)))*EXP(-(LN(2)/$D$65+0.04)*AF140)*EXP(-(LN(2)/$D$65+0.1)*AG140),"-"))),"-")</f>
        <v>-</v>
      </c>
      <c r="AJ141" s="271" t="str">
        <f>IFERROR(IF(AD141=1,AJ$100*EXP(-(LN(2)/$D$65+0.04)*AF141)*EXP(-(LN(2)/$D$65+0.1)*AG141),IF(AD141=2,AJ$100*EXP(-(LN(2)/$D$65+0.04)*(VLOOKUP(($F$16-$F$15)-1,AC$100:AG141,4,FALSE)))*EXP(-(LN(2)/$D$65+0.1)*(VLOOKUP(($F$16-$F$15)-1,AC$100:AG141,5,FALSE)))*EXP(-(LN(2)/$D$65+0.04)*AF141)*EXP(-(LN(2)/$D$65+0.1)*AG141),IF(AD141=3,AJ$100*EXP(-(LN(2)/$D$65+0.04)*(VLOOKUP(($F$16-$F$15)-1,AC$100:AG141,4,FALSE)))*EXP(-(LN(2)/$D$65+0.1)*(VLOOKUP(($F$16-$F$15)-1,AC$100:AG141,5,FALSE)))*EXP(-(LN(2)/$D$65+0.04)*(VLOOKUP(($F$16-$F$15)*2-1,AC$100:AG141,4,FALSE)))*EXP(-(LN(2)/$D$65+0.1)*(VLOOKUP(($F$16-$F$15)*2-1,AC$100:AG141,5,FALSE)))*EXP(-(LN(2)/$D$65+0.04)*AF141)*EXP(-(LN(2)/$D$65+0.1)*AG141),"-"))),"-")</f>
        <v>-</v>
      </c>
      <c r="AK141" s="227">
        <f t="shared" si="49"/>
        <v>41</v>
      </c>
      <c r="AL141" s="226" t="str">
        <f t="shared" si="18"/>
        <v>-</v>
      </c>
      <c r="AM141" s="227" t="str">
        <f t="shared" si="50"/>
        <v>-</v>
      </c>
      <c r="AN141" s="227" t="str">
        <f t="shared" si="51"/>
        <v>-</v>
      </c>
      <c r="AO141" s="227" t="str">
        <f t="shared" si="19"/>
        <v>-</v>
      </c>
      <c r="AP141" s="273">
        <f t="shared" si="52"/>
        <v>0.1</v>
      </c>
      <c r="AQ141" s="271" t="str">
        <f>IFERROR(IF(AL140=1,AQ$100*EXP(-(LN(2)/$D$65+0.04)*AN140)*EXP(-(LN(2)/$D$65+0.1)*AO140),IF(AL140=2,AQ$100*EXP(-(LN(2)/$D$65+0.04)*(VLOOKUP(($F$16-$F$15)-1,AK$99:AO140,4,FALSE)))*EXP(-(LN(2)/$D$65+0.1)*(VLOOKUP(($F$16-$F$15)-1,AK$99:AO140,5,FALSE)))*EXP(-(LN(2)/$D$65+0.04)*AN140)*EXP(-(LN(2)/$D$65+0.1)*AO140),IF(AL140=3,AQ$100*EXP(-(LN(2)/$D$65+0.04)*(VLOOKUP(($F$16-$F$15)-1,AK$99:AO140,4,FALSE)))*EXP(-(LN(2)/$D$65+0.1)*(VLOOKUP(($F$16-$F$15)-1,AK$99:AO140,5,FALSE)))*EXP(-(LN(2)/$D$65+0.04)*(VLOOKUP(($F$16-$F$15)*2-1,AK$99:AO140,4,FALSE)))*EXP(-(LN(2)/$D$65+0.1)*(VLOOKUP(($F$16-$F$15)*2-1,AK$99:AO140,5,FALSE)))*EXP(-(LN(2)/$D$65+0.04)*AN140)*EXP(-(LN(2)/$D$65+0.1)*AO140),"-"))),"-")</f>
        <v>-</v>
      </c>
      <c r="AR141" s="271" t="str">
        <f>IFERROR(IF(AL141=1,AR$100*EXP(-(LN(2)/$D$65+0.04)*AN141)*EXP(-(LN(2)/$D$65+0.1)*AO141),IF(AL141=2,AR$100*EXP(-(LN(2)/$D$65+0.04)*(VLOOKUP(($F$16-$F$15)-1,AK$100:AO141,4,FALSE)))*EXP(-(LN(2)/$D$65+0.1)*(VLOOKUP(($F$16-$F$15)-1,AK$100:AO141,5,FALSE)))*EXP(-(LN(2)/$D$65+0.04)*AN141)*EXP(-(LN(2)/$D$65+0.1)*AO141),IF(AL141=3,AR$100*EXP(-(LN(2)/$D$65+0.04)*(VLOOKUP(($F$16-$F$15)-1,AK$100:AO141,4,FALSE)))*EXP(-(LN(2)/$D$65+0.1)*(VLOOKUP(($F$16-$F$15)-1,AK$100:AO141,5,FALSE)))*EXP(-(LN(2)/$D$65+0.04)*(VLOOKUP(($F$16-$F$15)*2-1,AK$100:AO141,4,FALSE)))*EXP(-(LN(2)/$D$65+0.1)*(VLOOKUP(($F$16-$F$15)*2-1,AK$100:AO141,5,FALSE)))*EXP(-(LN(2)/$D$65+0.04)*AN141)*EXP(-(LN(2)/$D$65+0.1)*AO141),"-"))),"-")</f>
        <v>-</v>
      </c>
      <c r="AS141" s="274">
        <f t="shared" si="20"/>
        <v>0</v>
      </c>
      <c r="AT141" s="274">
        <f t="shared" si="21"/>
        <v>0</v>
      </c>
      <c r="AU141" s="274">
        <f t="shared" si="22"/>
        <v>0</v>
      </c>
      <c r="AV141" s="190">
        <f>IF($B141&lt;$F$22,SUM($T$100:$T141),"")</f>
        <v>0</v>
      </c>
      <c r="AW141" s="190" t="str">
        <f t="shared" si="83"/>
        <v>-</v>
      </c>
      <c r="AX141" s="190" t="str">
        <f t="shared" si="56"/>
        <v/>
      </c>
      <c r="AY141"/>
      <c r="AZ141" s="190" t="str">
        <f ca="1">IF(ISNUMBER(OFFSET(AV141,-$F$21,0)),SUM(OFFSET($T$100,$F$21,0):$T141),"")</f>
        <v/>
      </c>
      <c r="BA141" s="190" t="str">
        <f t="shared" ca="1" si="84"/>
        <v/>
      </c>
      <c r="BB141" s="190" t="str">
        <f t="shared" ca="1" si="70"/>
        <v/>
      </c>
      <c r="BC141" s="190"/>
      <c r="BD141" s="190" t="str">
        <f ca="1">IFERROR(IF(AND($B141&gt;=($F$16-$F$15),$B141&lt;$F$22+($F$16-$F$15)),SUM(OFFSET($T$100,($F$16-$F$15),0):$T141),""),"")</f>
        <v/>
      </c>
      <c r="BE141" s="190" t="str">
        <f t="shared" ca="1" si="58"/>
        <v/>
      </c>
      <c r="BF141" s="190" t="str">
        <f t="shared" ca="1" si="59"/>
        <v/>
      </c>
      <c r="BG141"/>
      <c r="BH141" s="190" t="str">
        <f ca="1">IF(ISNUMBER(OFFSET(BD141,-$F$21,0)),SUM(OFFSET($T$100,($F$16-$F$15+$F$21),0):$T141),"")</f>
        <v/>
      </c>
      <c r="BI141" s="190" t="str">
        <f t="shared" ca="1" si="85"/>
        <v/>
      </c>
      <c r="BJ141" s="190" t="str">
        <f t="shared" ca="1" si="60"/>
        <v/>
      </c>
      <c r="BK141" s="190"/>
      <c r="BL141" s="190" t="str">
        <f ca="1">IFERROR(IF(AND($B141&gt;=($F$17-$F$15),$B141&lt;$F$22+($F$17-$F$15)),SUM(OFFSET($T$100,($F$17-$F$15),0):$T141),""),"")</f>
        <v/>
      </c>
      <c r="BM141" s="190" t="str">
        <f t="shared" ca="1" si="86"/>
        <v/>
      </c>
      <c r="BN141" s="190" t="str">
        <f t="shared" ca="1" si="61"/>
        <v/>
      </c>
      <c r="BO141"/>
      <c r="BP141" s="190" t="str">
        <f ca="1">IF(ISNUMBER(OFFSET(BL141,-$F$21,0)),SUM(OFFSET($T$100,($F$17-$F$15+$F$21),0):$T141),"")</f>
        <v/>
      </c>
      <c r="BQ141" s="190" t="str">
        <f t="shared" ca="1" si="87"/>
        <v/>
      </c>
      <c r="BR141" s="190" t="str">
        <f t="shared" ca="1" si="63"/>
        <v/>
      </c>
      <c r="BS141" s="190"/>
      <c r="BT141"/>
      <c r="BU141"/>
      <c r="BV141"/>
      <c r="BY141" s="99"/>
      <c r="BZ141" s="99"/>
      <c r="CA141" s="280" t="str">
        <f t="shared" si="88"/>
        <v/>
      </c>
      <c r="CB141" s="71" t="str">
        <f t="shared" si="27"/>
        <v>-</v>
      </c>
      <c r="CC141" s="33"/>
      <c r="CD141" s="261" t="str">
        <f t="shared" si="29"/>
        <v/>
      </c>
      <c r="CE141" s="280" t="str">
        <f t="shared" si="89"/>
        <v>-</v>
      </c>
      <c r="CF141" s="71" t="str">
        <f t="shared" ca="1" si="90"/>
        <v>-</v>
      </c>
      <c r="CG141" s="33" t="str">
        <f t="shared" si="32"/>
        <v>41-42</v>
      </c>
      <c r="CH141" s="261" t="str">
        <f t="shared" ca="1" si="33"/>
        <v/>
      </c>
      <c r="CI141" s="99"/>
      <c r="CJ141" s="99"/>
      <c r="CK141" s="99"/>
      <c r="CL141" s="99"/>
      <c r="CM141" s="99"/>
      <c r="CN141" s="99"/>
      <c r="CO141" s="99"/>
    </row>
    <row r="142" spans="2:93" ht="13.5" customHeight="1" x14ac:dyDescent="0.2">
      <c r="B142" s="262">
        <v>42</v>
      </c>
      <c r="C142" s="237" t="str">
        <f t="shared" si="1"/>
        <v/>
      </c>
      <c r="D142" s="237" t="str">
        <f t="shared" si="66"/>
        <v>-</v>
      </c>
      <c r="E142" s="290" t="str">
        <f t="shared" si="34"/>
        <v/>
      </c>
      <c r="F142" s="264" t="str">
        <f t="shared" si="35"/>
        <v/>
      </c>
      <c r="G142" s="291" t="str">
        <f t="shared" si="36"/>
        <v/>
      </c>
      <c r="H142" s="240" t="str">
        <f t="shared" si="71"/>
        <v/>
      </c>
      <c r="I142" s="265" t="str">
        <f t="shared" si="72"/>
        <v/>
      </c>
      <c r="J142" s="265" t="str">
        <f t="shared" si="73"/>
        <v/>
      </c>
      <c r="K142" s="240" t="str">
        <f t="shared" si="74"/>
        <v/>
      </c>
      <c r="L142" s="265" t="str">
        <f t="shared" si="75"/>
        <v/>
      </c>
      <c r="M142" s="265" t="str">
        <f t="shared" si="76"/>
        <v/>
      </c>
      <c r="N142" s="240" t="str">
        <f t="shared" si="77"/>
        <v>-</v>
      </c>
      <c r="O142" s="265" t="str">
        <f t="shared" si="78"/>
        <v>-</v>
      </c>
      <c r="P142" s="265" t="str">
        <f t="shared" si="79"/>
        <v>-</v>
      </c>
      <c r="Q142" s="266" t="str">
        <f t="shared" si="80"/>
        <v>-</v>
      </c>
      <c r="R142" s="267" t="str">
        <f t="shared" si="81"/>
        <v>-</v>
      </c>
      <c r="S142" s="268" t="str">
        <f t="shared" si="82"/>
        <v>-</v>
      </c>
      <c r="T142" s="269" t="str">
        <f t="shared" si="9"/>
        <v/>
      </c>
      <c r="U142" s="221">
        <f t="shared" si="10"/>
        <v>42</v>
      </c>
      <c r="V142" s="220" t="str">
        <f t="shared" si="42"/>
        <v>-</v>
      </c>
      <c r="W142" s="221" t="str">
        <f t="shared" si="43"/>
        <v>-</v>
      </c>
      <c r="X142" s="221" t="str">
        <f t="shared" si="11"/>
        <v>-</v>
      </c>
      <c r="Y142" s="221" t="str">
        <f t="shared" si="12"/>
        <v>-</v>
      </c>
      <c r="Z142" s="270">
        <f t="shared" si="44"/>
        <v>0.1</v>
      </c>
      <c r="AA142" s="271" t="str">
        <f>IFERROR(IF(V141=1,AA$100*EXP(-(LN(2)/$D$65+0.04)*X141)*EXP(-(LN(2)/$D$65+0.1)*Y141),IF(V141=2,AA$100*EXP(-(LN(2)/$D$65+0.04)*(VLOOKUP(($F$16-$F$15)-1,U$99:Y141,4,FALSE)))*EXP(-(LN(2)/$D$65+0.1)*(VLOOKUP(($F$16-$F$15)-1,U$99:Y141,5,FALSE)))*EXP(-(LN(2)/$D$65+0.04)*X141)*EXP(-(LN(2)/$D$65+0.1)*Y141),IF(V141=3,AA$100*EXP(-(LN(2)/$D$65+0.04)*(VLOOKUP(($F$16-$F$15)-1,U$99:Y141,4,FALSE)))*EXP(-(LN(2)/$D$65+0.1)*(VLOOKUP(($F$16-$F$15)-1,U$99:Y141,5,FALSE)))*EXP(-(LN(2)/$D$65+0.04)*(VLOOKUP(($F$16-$F$15)*2-1,U$99:Y141,4,FALSE)))*EXP(-(LN(2)/$D$65+0.1)*(VLOOKUP(($F$16-$F$15)*2-1,U$99:Y141,5,FALSE)))*EXP(-(LN(2)/$D$65+0.04)*X141)*EXP(-(LN(2)/$D$65+0.1)*Y141),"-"))),"-")</f>
        <v>-</v>
      </c>
      <c r="AB142" s="271" t="str">
        <f>IFERROR(IF(V142=1,AB$100*EXP(-(LN(2)/$D$65+0.04)*X142)*EXP(-(LN(2)/$D$65+0.1)*Y142),IF(V142=2,AB$100*EXP(-(LN(2)/$D$65+0.04)*(VLOOKUP(($F$16-$F$15)-1,U$100:Y142,4,FALSE)))*EXP(-(LN(2)/$D$65+0.1)*(VLOOKUP(($F$16-$F$15)-1,U$100:Y142,5,FALSE)))*EXP(-(LN(2)/$D$65+0.04)*X142)*EXP(-(LN(2)/$D$65+0.1)*Y142),IF(V142=3,AB$100*EXP(-(LN(2)/$D$65+0.04)*(VLOOKUP(($F$16-$F$15)-1,U$100:Y142,4,FALSE)))*EXP(-(LN(2)/$D$65+0.1)*(VLOOKUP(($F$16-$F$15)-1,U$100:Y142,5,FALSE)))*EXP(-(LN(2)/$D$65+0.04)*(VLOOKUP(($F$16-$F$15)*2-1,U$100:Y142,4,FALSE)))*EXP(-(LN(2)/$D$65+0.1)*(VLOOKUP(($F$16-$F$15)*2-1,U$100:Y142,5,FALSE)))*EXP(-(LN(2)/$D$65+0.04)*X142)*EXP(-(LN(2)/$D$65+0.1)*Y142),"-"))),"-")</f>
        <v>-</v>
      </c>
      <c r="AC142" s="224">
        <f t="shared" si="45"/>
        <v>42</v>
      </c>
      <c r="AD142" s="223" t="str">
        <f t="shared" si="14"/>
        <v>-</v>
      </c>
      <c r="AE142" s="224" t="str">
        <f t="shared" si="46"/>
        <v>-</v>
      </c>
      <c r="AF142" s="224" t="str">
        <f t="shared" si="15"/>
        <v>-</v>
      </c>
      <c r="AG142" s="224" t="str">
        <f t="shared" si="16"/>
        <v>-</v>
      </c>
      <c r="AH142" s="272">
        <f t="shared" si="47"/>
        <v>0.1</v>
      </c>
      <c r="AI142" s="271" t="str">
        <f>IFERROR(IF(AD141=1,AI$100*EXP(-(LN(2)/$D$65+0.04)*AF141)*EXP(-(LN(2)/$D$65+0.1)*AG141),IF(AD141=2,AI$100*EXP(-(LN(2)/$D$65+0.04)*(VLOOKUP(($F$16-$F$15)-1,AC$99:AG141,4,FALSE)))*EXP(-(LN(2)/$D$65+0.1)*(VLOOKUP(($F$16-$F$15)-1,AC$99:AG141,5,FALSE)))*EXP(-(LN(2)/$D$65+0.04)*AF141)*EXP(-(LN(2)/$D$65+0.1)*AG141),IF(AD141=3,AI$100*EXP(-(LN(2)/$D$65+0.04)*(VLOOKUP(($F$16-$F$15)-1,AC$99:AG141,4,FALSE)))*EXP(-(LN(2)/$D$65+0.1)*(VLOOKUP(($F$16-$F$15)-1,AC$99:AG141,5,FALSE)))*EXP(-(LN(2)/$D$65+0.04)*(VLOOKUP(($F$16-$F$15)*2-1,AC$99:AG141,4,FALSE)))*EXP(-(LN(2)/$D$65+0.1)*(VLOOKUP(($F$16-$F$15)*2-1,AC$99:AG141,5,FALSE)))*EXP(-(LN(2)/$D$65+0.04)*AF141)*EXP(-(LN(2)/$D$65+0.1)*AG141),"-"))),"-")</f>
        <v>-</v>
      </c>
      <c r="AJ142" s="271" t="str">
        <f>IFERROR(IF(AD142=1,AJ$100*EXP(-(LN(2)/$D$65+0.04)*AF142)*EXP(-(LN(2)/$D$65+0.1)*AG142),IF(AD142=2,AJ$100*EXP(-(LN(2)/$D$65+0.04)*(VLOOKUP(($F$16-$F$15)-1,AC$100:AG142,4,FALSE)))*EXP(-(LN(2)/$D$65+0.1)*(VLOOKUP(($F$16-$F$15)-1,AC$100:AG142,5,FALSE)))*EXP(-(LN(2)/$D$65+0.04)*AF142)*EXP(-(LN(2)/$D$65+0.1)*AG142),IF(AD142=3,AJ$100*EXP(-(LN(2)/$D$65+0.04)*(VLOOKUP(($F$16-$F$15)-1,AC$100:AG142,4,FALSE)))*EXP(-(LN(2)/$D$65+0.1)*(VLOOKUP(($F$16-$F$15)-1,AC$100:AG142,5,FALSE)))*EXP(-(LN(2)/$D$65+0.04)*(VLOOKUP(($F$16-$F$15)*2-1,AC$100:AG142,4,FALSE)))*EXP(-(LN(2)/$D$65+0.1)*(VLOOKUP(($F$16-$F$15)*2-1,AC$100:AG142,5,FALSE)))*EXP(-(LN(2)/$D$65+0.04)*AF142)*EXP(-(LN(2)/$D$65+0.1)*AG142),"-"))),"-")</f>
        <v>-</v>
      </c>
      <c r="AK142" s="227">
        <f t="shared" si="49"/>
        <v>42</v>
      </c>
      <c r="AL142" s="226" t="str">
        <f t="shared" si="18"/>
        <v>-</v>
      </c>
      <c r="AM142" s="227" t="str">
        <f t="shared" si="50"/>
        <v>-</v>
      </c>
      <c r="AN142" s="227" t="str">
        <f t="shared" si="51"/>
        <v>-</v>
      </c>
      <c r="AO142" s="227" t="str">
        <f t="shared" si="19"/>
        <v>-</v>
      </c>
      <c r="AP142" s="273">
        <f t="shared" si="52"/>
        <v>0.1</v>
      </c>
      <c r="AQ142" s="271" t="str">
        <f>IFERROR(IF(AL141=1,AQ$100*EXP(-(LN(2)/$D$65+0.04)*AN141)*EXP(-(LN(2)/$D$65+0.1)*AO141),IF(AL141=2,AQ$100*EXP(-(LN(2)/$D$65+0.04)*(VLOOKUP(($F$16-$F$15)-1,AK$99:AO141,4,FALSE)))*EXP(-(LN(2)/$D$65+0.1)*(VLOOKUP(($F$16-$F$15)-1,AK$99:AO141,5,FALSE)))*EXP(-(LN(2)/$D$65+0.04)*AN141)*EXP(-(LN(2)/$D$65+0.1)*AO141),IF(AL141=3,AQ$100*EXP(-(LN(2)/$D$65+0.04)*(VLOOKUP(($F$16-$F$15)-1,AK$99:AO141,4,FALSE)))*EXP(-(LN(2)/$D$65+0.1)*(VLOOKUP(($F$16-$F$15)-1,AK$99:AO141,5,FALSE)))*EXP(-(LN(2)/$D$65+0.04)*(VLOOKUP(($F$16-$F$15)*2-1,AK$99:AO141,4,FALSE)))*EXP(-(LN(2)/$D$65+0.1)*(VLOOKUP(($F$16-$F$15)*2-1,AK$99:AO141,5,FALSE)))*EXP(-(LN(2)/$D$65+0.04)*AN141)*EXP(-(LN(2)/$D$65+0.1)*AO141),"-"))),"-")</f>
        <v>-</v>
      </c>
      <c r="AR142" s="271" t="str">
        <f>IFERROR(IF(AL142=1,AR$100*EXP(-(LN(2)/$D$65+0.04)*AN142)*EXP(-(LN(2)/$D$65+0.1)*AO142),IF(AL142=2,AR$100*EXP(-(LN(2)/$D$65+0.04)*(VLOOKUP(($F$16-$F$15)-1,AK$100:AO142,4,FALSE)))*EXP(-(LN(2)/$D$65+0.1)*(VLOOKUP(($F$16-$F$15)-1,AK$100:AO142,5,FALSE)))*EXP(-(LN(2)/$D$65+0.04)*AN142)*EXP(-(LN(2)/$D$65+0.1)*AO142),IF(AL142=3,AR$100*EXP(-(LN(2)/$D$65+0.04)*(VLOOKUP(($F$16-$F$15)-1,AK$100:AO142,4,FALSE)))*EXP(-(LN(2)/$D$65+0.1)*(VLOOKUP(($F$16-$F$15)-1,AK$100:AO142,5,FALSE)))*EXP(-(LN(2)/$D$65+0.04)*(VLOOKUP(($F$16-$F$15)*2-1,AK$100:AO142,4,FALSE)))*EXP(-(LN(2)/$D$65+0.1)*(VLOOKUP(($F$16-$F$15)*2-1,AK$100:AO142,5,FALSE)))*EXP(-(LN(2)/$D$65+0.04)*AN142)*EXP(-(LN(2)/$D$65+0.1)*AO142),"-"))),"-")</f>
        <v>-</v>
      </c>
      <c r="AS142" s="274">
        <f t="shared" si="20"/>
        <v>0</v>
      </c>
      <c r="AT142" s="274">
        <f t="shared" si="21"/>
        <v>0</v>
      </c>
      <c r="AU142" s="274">
        <f t="shared" si="22"/>
        <v>0</v>
      </c>
      <c r="AV142" s="190">
        <f>IF($B142&lt;$F$22,SUM($T$100:$T142),"")</f>
        <v>0</v>
      </c>
      <c r="AW142" s="190" t="str">
        <f t="shared" si="83"/>
        <v>-</v>
      </c>
      <c r="AX142" s="190" t="str">
        <f t="shared" si="56"/>
        <v/>
      </c>
      <c r="AY142"/>
      <c r="AZ142" s="190" t="str">
        <f ca="1">IF(ISNUMBER(OFFSET(AV142,-$F$21,0)),SUM(OFFSET($T$100,$F$21,0):$T142),"")</f>
        <v/>
      </c>
      <c r="BA142" s="190" t="str">
        <f t="shared" ca="1" si="84"/>
        <v/>
      </c>
      <c r="BB142" s="190" t="str">
        <f t="shared" ca="1" si="70"/>
        <v/>
      </c>
      <c r="BC142" s="190"/>
      <c r="BD142" s="190" t="str">
        <f ca="1">IFERROR(IF(AND($B142&gt;=($F$16-$F$15),$B142&lt;$F$22+($F$16-$F$15)),SUM(OFFSET($T$100,($F$16-$F$15),0):$T142),""),"")</f>
        <v/>
      </c>
      <c r="BE142" s="190" t="str">
        <f t="shared" ca="1" si="58"/>
        <v/>
      </c>
      <c r="BF142" s="190" t="str">
        <f t="shared" ca="1" si="59"/>
        <v/>
      </c>
      <c r="BG142"/>
      <c r="BH142" s="190" t="str">
        <f ca="1">IF(ISNUMBER(OFFSET(BD142,-$F$21,0)),SUM(OFFSET($T$100,($F$16-$F$15+$F$21),0):$T142),"")</f>
        <v/>
      </c>
      <c r="BI142" s="190" t="str">
        <f t="shared" ca="1" si="85"/>
        <v/>
      </c>
      <c r="BJ142" s="190" t="str">
        <f t="shared" ca="1" si="60"/>
        <v/>
      </c>
      <c r="BK142" s="190"/>
      <c r="BL142" s="190" t="str">
        <f ca="1">IFERROR(IF(AND($B142&gt;=($F$17-$F$15),$B142&lt;$F$22+($F$17-$F$15)),SUM(OFFSET($T$100,($F$17-$F$15),0):$T142),""),"")</f>
        <v/>
      </c>
      <c r="BM142" s="190" t="str">
        <f t="shared" ca="1" si="86"/>
        <v/>
      </c>
      <c r="BN142" s="190" t="str">
        <f t="shared" ca="1" si="61"/>
        <v/>
      </c>
      <c r="BO142"/>
      <c r="BP142" s="190" t="str">
        <f ca="1">IF(ISNUMBER(OFFSET(BL142,-$F$21,0)),SUM(OFFSET($T$100,($F$17-$F$15+$F$21),0):$T142),"")</f>
        <v/>
      </c>
      <c r="BQ142" s="190" t="str">
        <f t="shared" ca="1" si="87"/>
        <v/>
      </c>
      <c r="BR142" s="190" t="str">
        <f t="shared" ca="1" si="63"/>
        <v/>
      </c>
      <c r="BS142" s="190"/>
      <c r="BT142"/>
      <c r="BU142"/>
      <c r="BV142"/>
      <c r="BY142" s="99"/>
      <c r="BZ142" s="99"/>
      <c r="CA142" s="280" t="str">
        <f t="shared" si="88"/>
        <v/>
      </c>
      <c r="CB142" s="71" t="str">
        <f t="shared" si="27"/>
        <v>-</v>
      </c>
      <c r="CC142" s="33"/>
      <c r="CD142" s="261" t="str">
        <f t="shared" si="29"/>
        <v/>
      </c>
      <c r="CE142" s="280" t="str">
        <f t="shared" si="89"/>
        <v>-</v>
      </c>
      <c r="CF142" s="71" t="str">
        <f t="shared" ca="1" si="90"/>
        <v>-</v>
      </c>
      <c r="CG142" s="33" t="str">
        <f t="shared" si="32"/>
        <v>42-43</v>
      </c>
      <c r="CH142" s="261" t="str">
        <f t="shared" ca="1" si="33"/>
        <v/>
      </c>
      <c r="CI142" s="99"/>
      <c r="CJ142" s="99"/>
      <c r="CK142" s="99"/>
      <c r="CL142" s="99"/>
      <c r="CM142" s="99"/>
      <c r="CN142" s="99"/>
      <c r="CO142" s="99"/>
    </row>
    <row r="143" spans="2:93" ht="13.5" customHeight="1" x14ac:dyDescent="0.2">
      <c r="B143" s="262">
        <v>43</v>
      </c>
      <c r="C143" s="237" t="str">
        <f t="shared" si="1"/>
        <v/>
      </c>
      <c r="D143" s="237" t="str">
        <f t="shared" si="66"/>
        <v>-</v>
      </c>
      <c r="E143" s="290" t="str">
        <f t="shared" si="34"/>
        <v/>
      </c>
      <c r="F143" s="264" t="str">
        <f t="shared" si="35"/>
        <v/>
      </c>
      <c r="G143" s="291" t="str">
        <f t="shared" si="36"/>
        <v/>
      </c>
      <c r="H143" s="240" t="str">
        <f t="shared" si="71"/>
        <v/>
      </c>
      <c r="I143" s="265" t="str">
        <f t="shared" si="72"/>
        <v/>
      </c>
      <c r="J143" s="265" t="str">
        <f t="shared" si="73"/>
        <v/>
      </c>
      <c r="K143" s="240" t="str">
        <f t="shared" si="74"/>
        <v/>
      </c>
      <c r="L143" s="265" t="str">
        <f t="shared" si="75"/>
        <v/>
      </c>
      <c r="M143" s="265" t="str">
        <f t="shared" si="76"/>
        <v/>
      </c>
      <c r="N143" s="240" t="str">
        <f t="shared" si="77"/>
        <v>-</v>
      </c>
      <c r="O143" s="265" t="str">
        <f t="shared" si="78"/>
        <v>-</v>
      </c>
      <c r="P143" s="265" t="str">
        <f t="shared" si="79"/>
        <v>-</v>
      </c>
      <c r="Q143" s="266" t="str">
        <f t="shared" si="80"/>
        <v>-</v>
      </c>
      <c r="R143" s="267" t="str">
        <f t="shared" si="81"/>
        <v>-</v>
      </c>
      <c r="S143" s="268" t="str">
        <f t="shared" si="82"/>
        <v>-</v>
      </c>
      <c r="T143" s="269" t="str">
        <f t="shared" si="9"/>
        <v/>
      </c>
      <c r="U143" s="221">
        <f t="shared" si="10"/>
        <v>43</v>
      </c>
      <c r="V143" s="220" t="str">
        <f t="shared" si="42"/>
        <v>-</v>
      </c>
      <c r="W143" s="221" t="str">
        <f t="shared" si="43"/>
        <v>-</v>
      </c>
      <c r="X143" s="221" t="str">
        <f t="shared" si="11"/>
        <v>-</v>
      </c>
      <c r="Y143" s="221" t="str">
        <f t="shared" si="12"/>
        <v>-</v>
      </c>
      <c r="Z143" s="270">
        <f t="shared" si="44"/>
        <v>0.1</v>
      </c>
      <c r="AA143" s="271" t="str">
        <f>IFERROR(IF(V142=1,AA$100*EXP(-(LN(2)/$D$65+0.04)*X142)*EXP(-(LN(2)/$D$65+0.1)*Y142),IF(V142=2,AA$100*EXP(-(LN(2)/$D$65+0.04)*(VLOOKUP(($F$16-$F$15)-1,U$99:Y142,4,FALSE)))*EXP(-(LN(2)/$D$65+0.1)*(VLOOKUP(($F$16-$F$15)-1,U$99:Y142,5,FALSE)))*EXP(-(LN(2)/$D$65+0.04)*X142)*EXP(-(LN(2)/$D$65+0.1)*Y142),IF(V142=3,AA$100*EXP(-(LN(2)/$D$65+0.04)*(VLOOKUP(($F$16-$F$15)-1,U$99:Y142,4,FALSE)))*EXP(-(LN(2)/$D$65+0.1)*(VLOOKUP(($F$16-$F$15)-1,U$99:Y142,5,FALSE)))*EXP(-(LN(2)/$D$65+0.04)*(VLOOKUP(($F$16-$F$15)*2-1,U$99:Y142,4,FALSE)))*EXP(-(LN(2)/$D$65+0.1)*(VLOOKUP(($F$16-$F$15)*2-1,U$99:Y142,5,FALSE)))*EXP(-(LN(2)/$D$65+0.04)*X142)*EXP(-(LN(2)/$D$65+0.1)*Y142),"-"))),"-")</f>
        <v>-</v>
      </c>
      <c r="AB143" s="271" t="str">
        <f>IFERROR(IF(V143=1,AB$100*EXP(-(LN(2)/$D$65+0.04)*X143)*EXP(-(LN(2)/$D$65+0.1)*Y143),IF(V143=2,AB$100*EXP(-(LN(2)/$D$65+0.04)*(VLOOKUP(($F$16-$F$15)-1,U$100:Y143,4,FALSE)))*EXP(-(LN(2)/$D$65+0.1)*(VLOOKUP(($F$16-$F$15)-1,U$100:Y143,5,FALSE)))*EXP(-(LN(2)/$D$65+0.04)*X143)*EXP(-(LN(2)/$D$65+0.1)*Y143),IF(V143=3,AB$100*EXP(-(LN(2)/$D$65+0.04)*(VLOOKUP(($F$16-$F$15)-1,U$100:Y143,4,FALSE)))*EXP(-(LN(2)/$D$65+0.1)*(VLOOKUP(($F$16-$F$15)-1,U$100:Y143,5,FALSE)))*EXP(-(LN(2)/$D$65+0.04)*(VLOOKUP(($F$16-$F$15)*2-1,U$100:Y143,4,FALSE)))*EXP(-(LN(2)/$D$65+0.1)*(VLOOKUP(($F$16-$F$15)*2-1,U$100:Y143,5,FALSE)))*EXP(-(LN(2)/$D$65+0.04)*X143)*EXP(-(LN(2)/$D$65+0.1)*Y143),"-"))),"-")</f>
        <v>-</v>
      </c>
      <c r="AC143" s="224">
        <f t="shared" si="45"/>
        <v>43</v>
      </c>
      <c r="AD143" s="223" t="str">
        <f t="shared" si="14"/>
        <v>-</v>
      </c>
      <c r="AE143" s="224" t="str">
        <f t="shared" si="46"/>
        <v>-</v>
      </c>
      <c r="AF143" s="224" t="str">
        <f t="shared" si="15"/>
        <v>-</v>
      </c>
      <c r="AG143" s="224" t="str">
        <f t="shared" si="16"/>
        <v>-</v>
      </c>
      <c r="AH143" s="272">
        <f t="shared" si="47"/>
        <v>0.1</v>
      </c>
      <c r="AI143" s="271" t="str">
        <f>IFERROR(IF(AD142=1,AI$100*EXP(-(LN(2)/$D$65+0.04)*AF142)*EXP(-(LN(2)/$D$65+0.1)*AG142),IF(AD142=2,AI$100*EXP(-(LN(2)/$D$65+0.04)*(VLOOKUP(($F$16-$F$15)-1,AC$99:AG142,4,FALSE)))*EXP(-(LN(2)/$D$65+0.1)*(VLOOKUP(($F$16-$F$15)-1,AC$99:AG142,5,FALSE)))*EXP(-(LN(2)/$D$65+0.04)*AF142)*EXP(-(LN(2)/$D$65+0.1)*AG142),IF(AD142=3,AI$100*EXP(-(LN(2)/$D$65+0.04)*(VLOOKUP(($F$16-$F$15)-1,AC$99:AG142,4,FALSE)))*EXP(-(LN(2)/$D$65+0.1)*(VLOOKUP(($F$16-$F$15)-1,AC$99:AG142,5,FALSE)))*EXP(-(LN(2)/$D$65+0.04)*(VLOOKUP(($F$16-$F$15)*2-1,AC$99:AG142,4,FALSE)))*EXP(-(LN(2)/$D$65+0.1)*(VLOOKUP(($F$16-$F$15)*2-1,AC$99:AG142,5,FALSE)))*EXP(-(LN(2)/$D$65+0.04)*AF142)*EXP(-(LN(2)/$D$65+0.1)*AG142),"-"))),"-")</f>
        <v>-</v>
      </c>
      <c r="AJ143" s="271" t="str">
        <f>IFERROR(IF(AD143=1,AJ$100*EXP(-(LN(2)/$D$65+0.04)*AF143)*EXP(-(LN(2)/$D$65+0.1)*AG143),IF(AD143=2,AJ$100*EXP(-(LN(2)/$D$65+0.04)*(VLOOKUP(($F$16-$F$15)-1,AC$100:AG143,4,FALSE)))*EXP(-(LN(2)/$D$65+0.1)*(VLOOKUP(($F$16-$F$15)-1,AC$100:AG143,5,FALSE)))*EXP(-(LN(2)/$D$65+0.04)*AF143)*EXP(-(LN(2)/$D$65+0.1)*AG143),IF(AD143=3,AJ$100*EXP(-(LN(2)/$D$65+0.04)*(VLOOKUP(($F$16-$F$15)-1,AC$100:AG143,4,FALSE)))*EXP(-(LN(2)/$D$65+0.1)*(VLOOKUP(($F$16-$F$15)-1,AC$100:AG143,5,FALSE)))*EXP(-(LN(2)/$D$65+0.04)*(VLOOKUP(($F$16-$F$15)*2-1,AC$100:AG143,4,FALSE)))*EXP(-(LN(2)/$D$65+0.1)*(VLOOKUP(($F$16-$F$15)*2-1,AC$100:AG143,5,FALSE)))*EXP(-(LN(2)/$D$65+0.04)*AF143)*EXP(-(LN(2)/$D$65+0.1)*AG143),"-"))),"-")</f>
        <v>-</v>
      </c>
      <c r="AK143" s="227">
        <f t="shared" si="49"/>
        <v>43</v>
      </c>
      <c r="AL143" s="226" t="str">
        <f t="shared" si="18"/>
        <v>-</v>
      </c>
      <c r="AM143" s="227" t="str">
        <f t="shared" si="50"/>
        <v>-</v>
      </c>
      <c r="AN143" s="227" t="str">
        <f t="shared" si="51"/>
        <v>-</v>
      </c>
      <c r="AO143" s="227" t="str">
        <f t="shared" si="19"/>
        <v>-</v>
      </c>
      <c r="AP143" s="273">
        <f t="shared" si="52"/>
        <v>0.1</v>
      </c>
      <c r="AQ143" s="271" t="str">
        <f>IFERROR(IF(AL142=1,AQ$100*EXP(-(LN(2)/$D$65+0.04)*AN142)*EXP(-(LN(2)/$D$65+0.1)*AO142),IF(AL142=2,AQ$100*EXP(-(LN(2)/$D$65+0.04)*(VLOOKUP(($F$16-$F$15)-1,AK$99:AO142,4,FALSE)))*EXP(-(LN(2)/$D$65+0.1)*(VLOOKUP(($F$16-$F$15)-1,AK$99:AO142,5,FALSE)))*EXP(-(LN(2)/$D$65+0.04)*AN142)*EXP(-(LN(2)/$D$65+0.1)*AO142),IF(AL142=3,AQ$100*EXP(-(LN(2)/$D$65+0.04)*(VLOOKUP(($F$16-$F$15)-1,AK$99:AO142,4,FALSE)))*EXP(-(LN(2)/$D$65+0.1)*(VLOOKUP(($F$16-$F$15)-1,AK$99:AO142,5,FALSE)))*EXP(-(LN(2)/$D$65+0.04)*(VLOOKUP(($F$16-$F$15)*2-1,AK$99:AO142,4,FALSE)))*EXP(-(LN(2)/$D$65+0.1)*(VLOOKUP(($F$16-$F$15)*2-1,AK$99:AO142,5,FALSE)))*EXP(-(LN(2)/$D$65+0.04)*AN142)*EXP(-(LN(2)/$D$65+0.1)*AO142),"-"))),"-")</f>
        <v>-</v>
      </c>
      <c r="AR143" s="271" t="str">
        <f>IFERROR(IF(AL143=1,AR$100*EXP(-(LN(2)/$D$65+0.04)*AN143)*EXP(-(LN(2)/$D$65+0.1)*AO143),IF(AL143=2,AR$100*EXP(-(LN(2)/$D$65+0.04)*(VLOOKUP(($F$16-$F$15)-1,AK$100:AO143,4,FALSE)))*EXP(-(LN(2)/$D$65+0.1)*(VLOOKUP(($F$16-$F$15)-1,AK$100:AO143,5,FALSE)))*EXP(-(LN(2)/$D$65+0.04)*AN143)*EXP(-(LN(2)/$D$65+0.1)*AO143),IF(AL143=3,AR$100*EXP(-(LN(2)/$D$65+0.04)*(VLOOKUP(($F$16-$F$15)-1,AK$100:AO143,4,FALSE)))*EXP(-(LN(2)/$D$65+0.1)*(VLOOKUP(($F$16-$F$15)-1,AK$100:AO143,5,FALSE)))*EXP(-(LN(2)/$D$65+0.04)*(VLOOKUP(($F$16-$F$15)*2-1,AK$100:AO143,4,FALSE)))*EXP(-(LN(2)/$D$65+0.1)*(VLOOKUP(($F$16-$F$15)*2-1,AK$100:AO143,5,FALSE)))*EXP(-(LN(2)/$D$65+0.04)*AN143)*EXP(-(LN(2)/$D$65+0.1)*AO143),"-"))),"-")</f>
        <v>-</v>
      </c>
      <c r="AS143" s="274">
        <f t="shared" si="20"/>
        <v>0</v>
      </c>
      <c r="AT143" s="274">
        <f t="shared" si="21"/>
        <v>0</v>
      </c>
      <c r="AU143" s="274">
        <f t="shared" si="22"/>
        <v>0</v>
      </c>
      <c r="AV143" s="190">
        <f>IF($B143&lt;$F$22,SUM($T$100:$T143),"")</f>
        <v>0</v>
      </c>
      <c r="AW143" s="190" t="str">
        <f t="shared" si="83"/>
        <v>-</v>
      </c>
      <c r="AX143" s="190" t="str">
        <f t="shared" si="56"/>
        <v/>
      </c>
      <c r="AY143"/>
      <c r="AZ143" s="190" t="str">
        <f ca="1">IF(ISNUMBER(OFFSET(AV143,-$F$21,0)),SUM(OFFSET($T$100,$F$21,0):$T143),"")</f>
        <v/>
      </c>
      <c r="BA143" s="190" t="str">
        <f t="shared" ca="1" si="84"/>
        <v/>
      </c>
      <c r="BB143" s="190" t="str">
        <f t="shared" ca="1" si="70"/>
        <v/>
      </c>
      <c r="BC143" s="190"/>
      <c r="BD143" s="190" t="str">
        <f ca="1">IFERROR(IF(AND($B143&gt;=($F$16-$F$15),$B143&lt;$F$22+($F$16-$F$15)),SUM(OFFSET($T$100,($F$16-$F$15),0):$T143),""),"")</f>
        <v/>
      </c>
      <c r="BE143" s="190" t="str">
        <f t="shared" ca="1" si="58"/>
        <v/>
      </c>
      <c r="BF143" s="190" t="str">
        <f t="shared" ca="1" si="59"/>
        <v/>
      </c>
      <c r="BG143"/>
      <c r="BH143" s="190" t="str">
        <f ca="1">IF(ISNUMBER(OFFSET(BD143,-$F$21,0)),SUM(OFFSET($T$100,($F$16-$F$15+$F$21),0):$T143),"")</f>
        <v/>
      </c>
      <c r="BI143" s="190" t="str">
        <f t="shared" ca="1" si="85"/>
        <v/>
      </c>
      <c r="BJ143" s="190" t="str">
        <f t="shared" ca="1" si="60"/>
        <v/>
      </c>
      <c r="BK143" s="190"/>
      <c r="BL143" s="190" t="str">
        <f ca="1">IFERROR(IF(AND($B143&gt;=($F$17-$F$15),$B143&lt;$F$22+($F$17-$F$15)),SUM(OFFSET($T$100,($F$17-$F$15),0):$T143),""),"")</f>
        <v/>
      </c>
      <c r="BM143" s="190" t="str">
        <f t="shared" ca="1" si="86"/>
        <v/>
      </c>
      <c r="BN143" s="190" t="str">
        <f t="shared" ca="1" si="61"/>
        <v/>
      </c>
      <c r="BO143"/>
      <c r="BP143" s="190" t="str">
        <f ca="1">IF(ISNUMBER(OFFSET(BL143,-$F$21,0)),SUM(OFFSET($T$100,($F$17-$F$15+$F$21),0):$T143),"")</f>
        <v/>
      </c>
      <c r="BQ143" s="190" t="str">
        <f t="shared" ca="1" si="87"/>
        <v/>
      </c>
      <c r="BR143" s="190" t="str">
        <f t="shared" ca="1" si="63"/>
        <v/>
      </c>
      <c r="BS143" s="190"/>
      <c r="BT143"/>
      <c r="BU143"/>
      <c r="BV143"/>
      <c r="BY143" s="99"/>
      <c r="BZ143" s="99"/>
      <c r="CA143" s="280" t="str">
        <f t="shared" si="88"/>
        <v/>
      </c>
      <c r="CB143" s="71" t="str">
        <f t="shared" si="27"/>
        <v>-</v>
      </c>
      <c r="CC143" s="33"/>
      <c r="CD143" s="261" t="str">
        <f t="shared" si="29"/>
        <v/>
      </c>
      <c r="CE143" s="280" t="str">
        <f t="shared" si="89"/>
        <v>-</v>
      </c>
      <c r="CF143" s="71" t="str">
        <f t="shared" ca="1" si="90"/>
        <v>-</v>
      </c>
      <c r="CG143" s="33" t="str">
        <f t="shared" si="32"/>
        <v>43-44</v>
      </c>
      <c r="CH143" s="261" t="str">
        <f t="shared" ca="1" si="33"/>
        <v/>
      </c>
      <c r="CI143" s="99"/>
      <c r="CJ143" s="99"/>
      <c r="CK143" s="99"/>
      <c r="CL143" s="99"/>
      <c r="CM143" s="99"/>
      <c r="CN143" s="99"/>
      <c r="CO143" s="99"/>
    </row>
    <row r="144" spans="2:93" ht="13.5" customHeight="1" x14ac:dyDescent="0.2">
      <c r="B144" s="262">
        <v>44</v>
      </c>
      <c r="C144" s="237" t="str">
        <f t="shared" si="1"/>
        <v/>
      </c>
      <c r="D144" s="237" t="str">
        <f t="shared" si="66"/>
        <v>-</v>
      </c>
      <c r="E144" s="290" t="str">
        <f t="shared" si="34"/>
        <v/>
      </c>
      <c r="F144" s="264" t="str">
        <f t="shared" si="35"/>
        <v/>
      </c>
      <c r="G144" s="291" t="str">
        <f t="shared" si="36"/>
        <v/>
      </c>
      <c r="H144" s="240" t="str">
        <f t="shared" si="71"/>
        <v/>
      </c>
      <c r="I144" s="265" t="str">
        <f t="shared" si="72"/>
        <v/>
      </c>
      <c r="J144" s="265" t="str">
        <f t="shared" si="73"/>
        <v/>
      </c>
      <c r="K144" s="240" t="str">
        <f t="shared" si="74"/>
        <v/>
      </c>
      <c r="L144" s="265" t="str">
        <f t="shared" si="75"/>
        <v/>
      </c>
      <c r="M144" s="265" t="str">
        <f t="shared" si="76"/>
        <v/>
      </c>
      <c r="N144" s="240" t="str">
        <f t="shared" si="77"/>
        <v>-</v>
      </c>
      <c r="O144" s="265" t="str">
        <f t="shared" si="78"/>
        <v>-</v>
      </c>
      <c r="P144" s="265" t="str">
        <f t="shared" si="79"/>
        <v>-</v>
      </c>
      <c r="Q144" s="266" t="str">
        <f t="shared" si="80"/>
        <v>-</v>
      </c>
      <c r="R144" s="267" t="str">
        <f t="shared" si="81"/>
        <v>-</v>
      </c>
      <c r="S144" s="268" t="str">
        <f t="shared" si="82"/>
        <v>-</v>
      </c>
      <c r="T144" s="269" t="str">
        <f t="shared" si="9"/>
        <v/>
      </c>
      <c r="U144" s="221">
        <f t="shared" si="10"/>
        <v>44</v>
      </c>
      <c r="V144" s="220" t="str">
        <f t="shared" si="42"/>
        <v>-</v>
      </c>
      <c r="W144" s="221" t="str">
        <f t="shared" si="43"/>
        <v>-</v>
      </c>
      <c r="X144" s="221" t="str">
        <f t="shared" si="11"/>
        <v>-</v>
      </c>
      <c r="Y144" s="221" t="str">
        <f t="shared" si="12"/>
        <v>-</v>
      </c>
      <c r="Z144" s="270">
        <f t="shared" si="44"/>
        <v>0.1</v>
      </c>
      <c r="AA144" s="271" t="str">
        <f>IFERROR(IF(V143=1,AA$100*EXP(-(LN(2)/$D$65+0.04)*X143)*EXP(-(LN(2)/$D$65+0.1)*Y143),IF(V143=2,AA$100*EXP(-(LN(2)/$D$65+0.04)*(VLOOKUP(($F$16-$F$15)-1,U$99:Y143,4,FALSE)))*EXP(-(LN(2)/$D$65+0.1)*(VLOOKUP(($F$16-$F$15)-1,U$99:Y143,5,FALSE)))*EXP(-(LN(2)/$D$65+0.04)*X143)*EXP(-(LN(2)/$D$65+0.1)*Y143),IF(V143=3,AA$100*EXP(-(LN(2)/$D$65+0.04)*(VLOOKUP(($F$16-$F$15)-1,U$99:Y143,4,FALSE)))*EXP(-(LN(2)/$D$65+0.1)*(VLOOKUP(($F$16-$F$15)-1,U$99:Y143,5,FALSE)))*EXP(-(LN(2)/$D$65+0.04)*(VLOOKUP(($F$16-$F$15)*2-1,U$99:Y143,4,FALSE)))*EXP(-(LN(2)/$D$65+0.1)*(VLOOKUP(($F$16-$F$15)*2-1,U$99:Y143,5,FALSE)))*EXP(-(LN(2)/$D$65+0.04)*X143)*EXP(-(LN(2)/$D$65+0.1)*Y143),"-"))),"-")</f>
        <v>-</v>
      </c>
      <c r="AB144" s="271" t="str">
        <f>IFERROR(IF(V144=1,AB$100*EXP(-(LN(2)/$D$65+0.04)*X144)*EXP(-(LN(2)/$D$65+0.1)*Y144),IF(V144=2,AB$100*EXP(-(LN(2)/$D$65+0.04)*(VLOOKUP(($F$16-$F$15)-1,U$100:Y144,4,FALSE)))*EXP(-(LN(2)/$D$65+0.1)*(VLOOKUP(($F$16-$F$15)-1,U$100:Y144,5,FALSE)))*EXP(-(LN(2)/$D$65+0.04)*X144)*EXP(-(LN(2)/$D$65+0.1)*Y144),IF(V144=3,AB$100*EXP(-(LN(2)/$D$65+0.04)*(VLOOKUP(($F$16-$F$15)-1,U$100:Y144,4,FALSE)))*EXP(-(LN(2)/$D$65+0.1)*(VLOOKUP(($F$16-$F$15)-1,U$100:Y144,5,FALSE)))*EXP(-(LN(2)/$D$65+0.04)*(VLOOKUP(($F$16-$F$15)*2-1,U$100:Y144,4,FALSE)))*EXP(-(LN(2)/$D$65+0.1)*(VLOOKUP(($F$16-$F$15)*2-1,U$100:Y144,5,FALSE)))*EXP(-(LN(2)/$D$65+0.04)*X144)*EXP(-(LN(2)/$D$65+0.1)*Y144),"-"))),"-")</f>
        <v>-</v>
      </c>
      <c r="AC144" s="224">
        <f t="shared" si="45"/>
        <v>44</v>
      </c>
      <c r="AD144" s="223" t="str">
        <f t="shared" si="14"/>
        <v>-</v>
      </c>
      <c r="AE144" s="224" t="str">
        <f t="shared" si="46"/>
        <v>-</v>
      </c>
      <c r="AF144" s="224" t="str">
        <f t="shared" si="15"/>
        <v>-</v>
      </c>
      <c r="AG144" s="224" t="str">
        <f t="shared" si="16"/>
        <v>-</v>
      </c>
      <c r="AH144" s="272">
        <f t="shared" si="47"/>
        <v>0.1</v>
      </c>
      <c r="AI144" s="271" t="str">
        <f>IFERROR(IF(AD143=1,AI$100*EXP(-(LN(2)/$D$65+0.04)*AF143)*EXP(-(LN(2)/$D$65+0.1)*AG143),IF(AD143=2,AI$100*EXP(-(LN(2)/$D$65+0.04)*(VLOOKUP(($F$16-$F$15)-1,AC$99:AG143,4,FALSE)))*EXP(-(LN(2)/$D$65+0.1)*(VLOOKUP(($F$16-$F$15)-1,AC$99:AG143,5,FALSE)))*EXP(-(LN(2)/$D$65+0.04)*AF143)*EXP(-(LN(2)/$D$65+0.1)*AG143),IF(AD143=3,AI$100*EXP(-(LN(2)/$D$65+0.04)*(VLOOKUP(($F$16-$F$15)-1,AC$99:AG143,4,FALSE)))*EXP(-(LN(2)/$D$65+0.1)*(VLOOKUP(($F$16-$F$15)-1,AC$99:AG143,5,FALSE)))*EXP(-(LN(2)/$D$65+0.04)*(VLOOKUP(($F$16-$F$15)*2-1,AC$99:AG143,4,FALSE)))*EXP(-(LN(2)/$D$65+0.1)*(VLOOKUP(($F$16-$F$15)*2-1,AC$99:AG143,5,FALSE)))*EXP(-(LN(2)/$D$65+0.04)*AF143)*EXP(-(LN(2)/$D$65+0.1)*AG143),"-"))),"-")</f>
        <v>-</v>
      </c>
      <c r="AJ144" s="271" t="str">
        <f>IFERROR(IF(AD144=1,AJ$100*EXP(-(LN(2)/$D$65+0.04)*AF144)*EXP(-(LN(2)/$D$65+0.1)*AG144),IF(AD144=2,AJ$100*EXP(-(LN(2)/$D$65+0.04)*(VLOOKUP(($F$16-$F$15)-1,AC$100:AG144,4,FALSE)))*EXP(-(LN(2)/$D$65+0.1)*(VLOOKUP(($F$16-$F$15)-1,AC$100:AG144,5,FALSE)))*EXP(-(LN(2)/$D$65+0.04)*AF144)*EXP(-(LN(2)/$D$65+0.1)*AG144),IF(AD144=3,AJ$100*EXP(-(LN(2)/$D$65+0.04)*(VLOOKUP(($F$16-$F$15)-1,AC$100:AG144,4,FALSE)))*EXP(-(LN(2)/$D$65+0.1)*(VLOOKUP(($F$16-$F$15)-1,AC$100:AG144,5,FALSE)))*EXP(-(LN(2)/$D$65+0.04)*(VLOOKUP(($F$16-$F$15)*2-1,AC$100:AG144,4,FALSE)))*EXP(-(LN(2)/$D$65+0.1)*(VLOOKUP(($F$16-$F$15)*2-1,AC$100:AG144,5,FALSE)))*EXP(-(LN(2)/$D$65+0.04)*AF144)*EXP(-(LN(2)/$D$65+0.1)*AG144),"-"))),"-")</f>
        <v>-</v>
      </c>
      <c r="AK144" s="227">
        <f t="shared" si="49"/>
        <v>44</v>
      </c>
      <c r="AL144" s="226" t="str">
        <f t="shared" si="18"/>
        <v>-</v>
      </c>
      <c r="AM144" s="227" t="str">
        <f t="shared" si="50"/>
        <v>-</v>
      </c>
      <c r="AN144" s="227" t="str">
        <f t="shared" si="51"/>
        <v>-</v>
      </c>
      <c r="AO144" s="227" t="str">
        <f t="shared" si="19"/>
        <v>-</v>
      </c>
      <c r="AP144" s="273">
        <f t="shared" si="52"/>
        <v>0.1</v>
      </c>
      <c r="AQ144" s="271" t="str">
        <f>IFERROR(IF(AL143=1,AQ$100*EXP(-(LN(2)/$D$65+0.04)*AN143)*EXP(-(LN(2)/$D$65+0.1)*AO143),IF(AL143=2,AQ$100*EXP(-(LN(2)/$D$65+0.04)*(VLOOKUP(($F$16-$F$15)-1,AK$99:AO143,4,FALSE)))*EXP(-(LN(2)/$D$65+0.1)*(VLOOKUP(($F$16-$F$15)-1,AK$99:AO143,5,FALSE)))*EXP(-(LN(2)/$D$65+0.04)*AN143)*EXP(-(LN(2)/$D$65+0.1)*AO143),IF(AL143=3,AQ$100*EXP(-(LN(2)/$D$65+0.04)*(VLOOKUP(($F$16-$F$15)-1,AK$99:AO143,4,FALSE)))*EXP(-(LN(2)/$D$65+0.1)*(VLOOKUP(($F$16-$F$15)-1,AK$99:AO143,5,FALSE)))*EXP(-(LN(2)/$D$65+0.04)*(VLOOKUP(($F$16-$F$15)*2-1,AK$99:AO143,4,FALSE)))*EXP(-(LN(2)/$D$65+0.1)*(VLOOKUP(($F$16-$F$15)*2-1,AK$99:AO143,5,FALSE)))*EXP(-(LN(2)/$D$65+0.04)*AN143)*EXP(-(LN(2)/$D$65+0.1)*AO143),"-"))),"-")</f>
        <v>-</v>
      </c>
      <c r="AR144" s="271" t="str">
        <f>IFERROR(IF(AL144=1,AR$100*EXP(-(LN(2)/$D$65+0.04)*AN144)*EXP(-(LN(2)/$D$65+0.1)*AO144),IF(AL144=2,AR$100*EXP(-(LN(2)/$D$65+0.04)*(VLOOKUP(($F$16-$F$15)-1,AK$100:AO144,4,FALSE)))*EXP(-(LN(2)/$D$65+0.1)*(VLOOKUP(($F$16-$F$15)-1,AK$100:AO144,5,FALSE)))*EXP(-(LN(2)/$D$65+0.04)*AN144)*EXP(-(LN(2)/$D$65+0.1)*AO144),IF(AL144=3,AR$100*EXP(-(LN(2)/$D$65+0.04)*(VLOOKUP(($F$16-$F$15)-1,AK$100:AO144,4,FALSE)))*EXP(-(LN(2)/$D$65+0.1)*(VLOOKUP(($F$16-$F$15)-1,AK$100:AO144,5,FALSE)))*EXP(-(LN(2)/$D$65+0.04)*(VLOOKUP(($F$16-$F$15)*2-1,AK$100:AO144,4,FALSE)))*EXP(-(LN(2)/$D$65+0.1)*(VLOOKUP(($F$16-$F$15)*2-1,AK$100:AO144,5,FALSE)))*EXP(-(LN(2)/$D$65+0.04)*AN144)*EXP(-(LN(2)/$D$65+0.1)*AO144),"-"))),"-")</f>
        <v>-</v>
      </c>
      <c r="AS144" s="274">
        <f t="shared" si="20"/>
        <v>0</v>
      </c>
      <c r="AT144" s="274">
        <f t="shared" si="21"/>
        <v>0</v>
      </c>
      <c r="AU144" s="274">
        <f t="shared" si="22"/>
        <v>0</v>
      </c>
      <c r="AV144" s="190">
        <f>IF($B144&lt;$F$22,SUM($T$100:$T144),"")</f>
        <v>0</v>
      </c>
      <c r="AW144" s="190" t="str">
        <f t="shared" si="83"/>
        <v>-</v>
      </c>
      <c r="AX144" s="190" t="str">
        <f t="shared" si="56"/>
        <v/>
      </c>
      <c r="AY144"/>
      <c r="AZ144" s="190" t="str">
        <f ca="1">IF(ISNUMBER(OFFSET(AV144,-$F$21,0)),SUM(OFFSET($T$100,$F$21,0):$T144),"")</f>
        <v/>
      </c>
      <c r="BA144" s="190" t="str">
        <f t="shared" ca="1" si="84"/>
        <v/>
      </c>
      <c r="BB144" s="190" t="str">
        <f t="shared" ca="1" si="70"/>
        <v/>
      </c>
      <c r="BC144" s="190"/>
      <c r="BD144" s="190" t="str">
        <f ca="1">IFERROR(IF(AND($B144&gt;=($F$16-$F$15),$B144&lt;$F$22+($F$16-$F$15)),SUM(OFFSET($T$100,($F$16-$F$15),0):$T144),""),"")</f>
        <v/>
      </c>
      <c r="BE144" s="190" t="str">
        <f t="shared" ca="1" si="58"/>
        <v/>
      </c>
      <c r="BF144" s="190" t="str">
        <f t="shared" ca="1" si="59"/>
        <v/>
      </c>
      <c r="BG144"/>
      <c r="BH144" s="190" t="str">
        <f ca="1">IF(ISNUMBER(OFFSET(BD144,-$F$21,0)),SUM(OFFSET($T$100,($F$16-$F$15+$F$21),0):$T144),"")</f>
        <v/>
      </c>
      <c r="BI144" s="190" t="str">
        <f t="shared" ca="1" si="85"/>
        <v/>
      </c>
      <c r="BJ144" s="190" t="str">
        <f t="shared" ca="1" si="60"/>
        <v/>
      </c>
      <c r="BK144" s="190"/>
      <c r="BL144" s="190" t="str">
        <f ca="1">IFERROR(IF(AND($B144&gt;=($F$17-$F$15),$B144&lt;$F$22+($F$17-$F$15)),SUM(OFFSET($T$100,($F$17-$F$15),0):$T144),""),"")</f>
        <v/>
      </c>
      <c r="BM144" s="190" t="str">
        <f t="shared" ca="1" si="86"/>
        <v/>
      </c>
      <c r="BN144" s="190" t="str">
        <f t="shared" ca="1" si="61"/>
        <v/>
      </c>
      <c r="BO144"/>
      <c r="BP144" s="190" t="str">
        <f ca="1">IF(ISNUMBER(OFFSET(BL144,-$F$21,0)),SUM(OFFSET($T$100,($F$17-$F$15+$F$21),0):$T144),"")</f>
        <v/>
      </c>
      <c r="BQ144" s="190" t="str">
        <f t="shared" ca="1" si="87"/>
        <v/>
      </c>
      <c r="BR144" s="190" t="str">
        <f t="shared" ca="1" si="63"/>
        <v/>
      </c>
      <c r="BS144" s="190"/>
      <c r="BT144"/>
      <c r="BU144"/>
      <c r="BV144"/>
      <c r="BY144" s="99"/>
      <c r="BZ144" s="99"/>
      <c r="CA144" s="280" t="str">
        <f t="shared" si="88"/>
        <v/>
      </c>
      <c r="CB144" s="71" t="str">
        <f t="shared" si="27"/>
        <v>-</v>
      </c>
      <c r="CC144" s="33"/>
      <c r="CD144" s="261" t="str">
        <f t="shared" si="29"/>
        <v/>
      </c>
      <c r="CE144" s="280" t="str">
        <f t="shared" si="89"/>
        <v>-</v>
      </c>
      <c r="CF144" s="71" t="str">
        <f t="shared" ca="1" si="90"/>
        <v>-</v>
      </c>
      <c r="CG144" s="33" t="str">
        <f t="shared" si="32"/>
        <v>44-45</v>
      </c>
      <c r="CH144" s="261" t="str">
        <f t="shared" ca="1" si="33"/>
        <v/>
      </c>
      <c r="CI144" s="99"/>
      <c r="CJ144" s="99"/>
      <c r="CK144" s="99"/>
      <c r="CL144" s="99"/>
      <c r="CM144" s="99"/>
      <c r="CN144" s="99"/>
      <c r="CO144" s="99"/>
    </row>
    <row r="145" spans="2:93" ht="13.5" customHeight="1" x14ac:dyDescent="0.2">
      <c r="B145" s="262">
        <v>45</v>
      </c>
      <c r="C145" s="237" t="str">
        <f t="shared" si="1"/>
        <v/>
      </c>
      <c r="D145" s="237" t="str">
        <f t="shared" si="66"/>
        <v>-</v>
      </c>
      <c r="E145" s="290" t="str">
        <f t="shared" si="34"/>
        <v/>
      </c>
      <c r="F145" s="264" t="str">
        <f t="shared" si="35"/>
        <v/>
      </c>
      <c r="G145" s="291" t="str">
        <f t="shared" si="36"/>
        <v/>
      </c>
      <c r="H145" s="240" t="str">
        <f t="shared" si="71"/>
        <v/>
      </c>
      <c r="I145" s="265" t="str">
        <f t="shared" si="72"/>
        <v/>
      </c>
      <c r="J145" s="265" t="str">
        <f t="shared" si="73"/>
        <v/>
      </c>
      <c r="K145" s="240" t="str">
        <f t="shared" si="74"/>
        <v/>
      </c>
      <c r="L145" s="265" t="str">
        <f t="shared" si="75"/>
        <v/>
      </c>
      <c r="M145" s="265" t="str">
        <f t="shared" si="76"/>
        <v/>
      </c>
      <c r="N145" s="240" t="str">
        <f t="shared" si="77"/>
        <v>-</v>
      </c>
      <c r="O145" s="265" t="str">
        <f t="shared" si="78"/>
        <v>-</v>
      </c>
      <c r="P145" s="265" t="str">
        <f t="shared" si="79"/>
        <v>-</v>
      </c>
      <c r="Q145" s="266" t="str">
        <f t="shared" si="80"/>
        <v>-</v>
      </c>
      <c r="R145" s="267" t="str">
        <f t="shared" si="81"/>
        <v>-</v>
      </c>
      <c r="S145" s="268" t="str">
        <f t="shared" si="82"/>
        <v>-</v>
      </c>
      <c r="T145" s="269" t="str">
        <f t="shared" si="9"/>
        <v/>
      </c>
      <c r="U145" s="221">
        <f t="shared" si="10"/>
        <v>45</v>
      </c>
      <c r="V145" s="220" t="str">
        <f t="shared" si="42"/>
        <v>-</v>
      </c>
      <c r="W145" s="221" t="str">
        <f t="shared" si="43"/>
        <v>-</v>
      </c>
      <c r="X145" s="221" t="str">
        <f t="shared" si="11"/>
        <v>-</v>
      </c>
      <c r="Y145" s="221" t="str">
        <f t="shared" si="12"/>
        <v>-</v>
      </c>
      <c r="Z145" s="270">
        <f t="shared" si="44"/>
        <v>0.1</v>
      </c>
      <c r="AA145" s="271" t="str">
        <f>IFERROR(IF(V144=1,AA$100*EXP(-(LN(2)/$D$65+0.04)*X144)*EXP(-(LN(2)/$D$65+0.1)*Y144),IF(V144=2,AA$100*EXP(-(LN(2)/$D$65+0.04)*(VLOOKUP(($F$16-$F$15)-1,U$99:Y144,4,FALSE)))*EXP(-(LN(2)/$D$65+0.1)*(VLOOKUP(($F$16-$F$15)-1,U$99:Y144,5,FALSE)))*EXP(-(LN(2)/$D$65+0.04)*X144)*EXP(-(LN(2)/$D$65+0.1)*Y144),IF(V144=3,AA$100*EXP(-(LN(2)/$D$65+0.04)*(VLOOKUP(($F$16-$F$15)-1,U$99:Y144,4,FALSE)))*EXP(-(LN(2)/$D$65+0.1)*(VLOOKUP(($F$16-$F$15)-1,U$99:Y144,5,FALSE)))*EXP(-(LN(2)/$D$65+0.04)*(VLOOKUP(($F$16-$F$15)*2-1,U$99:Y144,4,FALSE)))*EXP(-(LN(2)/$D$65+0.1)*(VLOOKUP(($F$16-$F$15)*2-1,U$99:Y144,5,FALSE)))*EXP(-(LN(2)/$D$65+0.04)*X144)*EXP(-(LN(2)/$D$65+0.1)*Y144),"-"))),"-")</f>
        <v>-</v>
      </c>
      <c r="AB145" s="271" t="str">
        <f>IFERROR(IF(V145=1,AB$100*EXP(-(LN(2)/$D$65+0.04)*X145)*EXP(-(LN(2)/$D$65+0.1)*Y145),IF(V145=2,AB$100*EXP(-(LN(2)/$D$65+0.04)*(VLOOKUP(($F$16-$F$15)-1,U$100:Y145,4,FALSE)))*EXP(-(LN(2)/$D$65+0.1)*(VLOOKUP(($F$16-$F$15)-1,U$100:Y145,5,FALSE)))*EXP(-(LN(2)/$D$65+0.04)*X145)*EXP(-(LN(2)/$D$65+0.1)*Y145),IF(V145=3,AB$100*EXP(-(LN(2)/$D$65+0.04)*(VLOOKUP(($F$16-$F$15)-1,U$100:Y145,4,FALSE)))*EXP(-(LN(2)/$D$65+0.1)*(VLOOKUP(($F$16-$F$15)-1,U$100:Y145,5,FALSE)))*EXP(-(LN(2)/$D$65+0.04)*(VLOOKUP(($F$16-$F$15)*2-1,U$100:Y145,4,FALSE)))*EXP(-(LN(2)/$D$65+0.1)*(VLOOKUP(($F$16-$F$15)*2-1,U$100:Y145,5,FALSE)))*EXP(-(LN(2)/$D$65+0.04)*X145)*EXP(-(LN(2)/$D$65+0.1)*Y145),"-"))),"-")</f>
        <v>-</v>
      </c>
      <c r="AC145" s="224">
        <f t="shared" si="45"/>
        <v>45</v>
      </c>
      <c r="AD145" s="223" t="str">
        <f t="shared" si="14"/>
        <v>-</v>
      </c>
      <c r="AE145" s="224" t="str">
        <f t="shared" si="46"/>
        <v>-</v>
      </c>
      <c r="AF145" s="224" t="str">
        <f t="shared" si="15"/>
        <v>-</v>
      </c>
      <c r="AG145" s="224" t="str">
        <f t="shared" si="16"/>
        <v>-</v>
      </c>
      <c r="AH145" s="272">
        <f t="shared" si="47"/>
        <v>0.1</v>
      </c>
      <c r="AI145" s="271" t="str">
        <f>IFERROR(IF(AD144=1,AI$100*EXP(-(LN(2)/$D$65+0.04)*AF144)*EXP(-(LN(2)/$D$65+0.1)*AG144),IF(AD144=2,AI$100*EXP(-(LN(2)/$D$65+0.04)*(VLOOKUP(($F$16-$F$15)-1,AC$99:AG144,4,FALSE)))*EXP(-(LN(2)/$D$65+0.1)*(VLOOKUP(($F$16-$F$15)-1,AC$99:AG144,5,FALSE)))*EXP(-(LN(2)/$D$65+0.04)*AF144)*EXP(-(LN(2)/$D$65+0.1)*AG144),IF(AD144=3,AI$100*EXP(-(LN(2)/$D$65+0.04)*(VLOOKUP(($F$16-$F$15)-1,AC$99:AG144,4,FALSE)))*EXP(-(LN(2)/$D$65+0.1)*(VLOOKUP(($F$16-$F$15)-1,AC$99:AG144,5,FALSE)))*EXP(-(LN(2)/$D$65+0.04)*(VLOOKUP(($F$16-$F$15)*2-1,AC$99:AG144,4,FALSE)))*EXP(-(LN(2)/$D$65+0.1)*(VLOOKUP(($F$16-$F$15)*2-1,AC$99:AG144,5,FALSE)))*EXP(-(LN(2)/$D$65+0.04)*AF144)*EXP(-(LN(2)/$D$65+0.1)*AG144),"-"))),"-")</f>
        <v>-</v>
      </c>
      <c r="AJ145" s="271" t="str">
        <f>IFERROR(IF(AD145=1,AJ$100*EXP(-(LN(2)/$D$65+0.04)*AF145)*EXP(-(LN(2)/$D$65+0.1)*AG145),IF(AD145=2,AJ$100*EXP(-(LN(2)/$D$65+0.04)*(VLOOKUP(($F$16-$F$15)-1,AC$100:AG145,4,FALSE)))*EXP(-(LN(2)/$D$65+0.1)*(VLOOKUP(($F$16-$F$15)-1,AC$100:AG145,5,FALSE)))*EXP(-(LN(2)/$D$65+0.04)*AF145)*EXP(-(LN(2)/$D$65+0.1)*AG145),IF(AD145=3,AJ$100*EXP(-(LN(2)/$D$65+0.04)*(VLOOKUP(($F$16-$F$15)-1,AC$100:AG145,4,FALSE)))*EXP(-(LN(2)/$D$65+0.1)*(VLOOKUP(($F$16-$F$15)-1,AC$100:AG145,5,FALSE)))*EXP(-(LN(2)/$D$65+0.04)*(VLOOKUP(($F$16-$F$15)*2-1,AC$100:AG145,4,FALSE)))*EXP(-(LN(2)/$D$65+0.1)*(VLOOKUP(($F$16-$F$15)*2-1,AC$100:AG145,5,FALSE)))*EXP(-(LN(2)/$D$65+0.04)*AF145)*EXP(-(LN(2)/$D$65+0.1)*AG145),"-"))),"-")</f>
        <v>-</v>
      </c>
      <c r="AK145" s="227">
        <f t="shared" si="49"/>
        <v>45</v>
      </c>
      <c r="AL145" s="226" t="str">
        <f t="shared" si="18"/>
        <v>-</v>
      </c>
      <c r="AM145" s="227" t="str">
        <f t="shared" si="50"/>
        <v>-</v>
      </c>
      <c r="AN145" s="227" t="str">
        <f t="shared" si="51"/>
        <v>-</v>
      </c>
      <c r="AO145" s="227" t="str">
        <f t="shared" si="19"/>
        <v>-</v>
      </c>
      <c r="AP145" s="273">
        <f t="shared" si="52"/>
        <v>0.1</v>
      </c>
      <c r="AQ145" s="271" t="str">
        <f>IFERROR(IF(AL144=1,AQ$100*EXP(-(LN(2)/$D$65+0.04)*AN144)*EXP(-(LN(2)/$D$65+0.1)*AO144),IF(AL144=2,AQ$100*EXP(-(LN(2)/$D$65+0.04)*(VLOOKUP(($F$16-$F$15)-1,AK$99:AO144,4,FALSE)))*EXP(-(LN(2)/$D$65+0.1)*(VLOOKUP(($F$16-$F$15)-1,AK$99:AO144,5,FALSE)))*EXP(-(LN(2)/$D$65+0.04)*AN144)*EXP(-(LN(2)/$D$65+0.1)*AO144),IF(AL144=3,AQ$100*EXP(-(LN(2)/$D$65+0.04)*(VLOOKUP(($F$16-$F$15)-1,AK$99:AO144,4,FALSE)))*EXP(-(LN(2)/$D$65+0.1)*(VLOOKUP(($F$16-$F$15)-1,AK$99:AO144,5,FALSE)))*EXP(-(LN(2)/$D$65+0.04)*(VLOOKUP(($F$16-$F$15)*2-1,AK$99:AO144,4,FALSE)))*EXP(-(LN(2)/$D$65+0.1)*(VLOOKUP(($F$16-$F$15)*2-1,AK$99:AO144,5,FALSE)))*EXP(-(LN(2)/$D$65+0.04)*AN144)*EXP(-(LN(2)/$D$65+0.1)*AO144),"-"))),"-")</f>
        <v>-</v>
      </c>
      <c r="AR145" s="271" t="str">
        <f>IFERROR(IF(AL145=1,AR$100*EXP(-(LN(2)/$D$65+0.04)*AN145)*EXP(-(LN(2)/$D$65+0.1)*AO145),IF(AL145=2,AR$100*EXP(-(LN(2)/$D$65+0.04)*(VLOOKUP(($F$16-$F$15)-1,AK$100:AO145,4,FALSE)))*EXP(-(LN(2)/$D$65+0.1)*(VLOOKUP(($F$16-$F$15)-1,AK$100:AO145,5,FALSE)))*EXP(-(LN(2)/$D$65+0.04)*AN145)*EXP(-(LN(2)/$D$65+0.1)*AO145),IF(AL145=3,AR$100*EXP(-(LN(2)/$D$65+0.04)*(VLOOKUP(($F$16-$F$15)-1,AK$100:AO145,4,FALSE)))*EXP(-(LN(2)/$D$65+0.1)*(VLOOKUP(($F$16-$F$15)-1,AK$100:AO145,5,FALSE)))*EXP(-(LN(2)/$D$65+0.04)*(VLOOKUP(($F$16-$F$15)*2-1,AK$100:AO145,4,FALSE)))*EXP(-(LN(2)/$D$65+0.1)*(VLOOKUP(($F$16-$F$15)*2-1,AK$100:AO145,5,FALSE)))*EXP(-(LN(2)/$D$65+0.04)*AN145)*EXP(-(LN(2)/$D$65+0.1)*AO145),"-"))),"-")</f>
        <v>-</v>
      </c>
      <c r="AS145" s="274">
        <f t="shared" si="20"/>
        <v>0</v>
      </c>
      <c r="AT145" s="274">
        <f t="shared" si="21"/>
        <v>0</v>
      </c>
      <c r="AU145" s="274">
        <f t="shared" si="22"/>
        <v>0</v>
      </c>
      <c r="AV145" s="190">
        <f>IF($B145&lt;$F$22,SUM($T$100:$T145),"")</f>
        <v>0</v>
      </c>
      <c r="AW145" s="190" t="str">
        <f t="shared" si="83"/>
        <v>-</v>
      </c>
      <c r="AX145" s="190" t="str">
        <f t="shared" si="56"/>
        <v/>
      </c>
      <c r="AY145"/>
      <c r="AZ145" s="190" t="str">
        <f ca="1">IF(ISNUMBER(OFFSET(AV145,-$F$21,0)),SUM(OFFSET($T$100,$F$21,0):$T145),"")</f>
        <v/>
      </c>
      <c r="BA145" s="190" t="str">
        <f t="shared" ca="1" si="84"/>
        <v/>
      </c>
      <c r="BB145" s="190" t="str">
        <f t="shared" ca="1" si="70"/>
        <v/>
      </c>
      <c r="BC145" s="190"/>
      <c r="BD145" s="190" t="str">
        <f ca="1">IFERROR(IF(AND($B145&gt;=($F$16-$F$15),$B145&lt;$F$22+($F$16-$F$15)),SUM(OFFSET($T$100,($F$16-$F$15),0):$T145),""),"")</f>
        <v/>
      </c>
      <c r="BE145" s="190" t="str">
        <f t="shared" ca="1" si="58"/>
        <v/>
      </c>
      <c r="BF145" s="190" t="str">
        <f t="shared" ca="1" si="59"/>
        <v/>
      </c>
      <c r="BG145"/>
      <c r="BH145" s="190" t="str">
        <f ca="1">IF(ISNUMBER(OFFSET(BD145,-$F$21,0)),SUM(OFFSET($T$100,($F$16-$F$15+$F$21),0):$T145),"")</f>
        <v/>
      </c>
      <c r="BI145" s="190" t="str">
        <f t="shared" ca="1" si="85"/>
        <v/>
      </c>
      <c r="BJ145" s="190" t="str">
        <f t="shared" ca="1" si="60"/>
        <v/>
      </c>
      <c r="BK145" s="190"/>
      <c r="BL145" s="190" t="str">
        <f ca="1">IFERROR(IF(AND($B145&gt;=($F$17-$F$15),$B145&lt;$F$22+($F$17-$F$15)),SUM(OFFSET($T$100,($F$17-$F$15),0):$T145),""),"")</f>
        <v/>
      </c>
      <c r="BM145" s="190" t="str">
        <f t="shared" ca="1" si="86"/>
        <v/>
      </c>
      <c r="BN145" s="190" t="str">
        <f t="shared" ca="1" si="61"/>
        <v/>
      </c>
      <c r="BO145"/>
      <c r="BP145" s="190" t="str">
        <f ca="1">IF(ISNUMBER(OFFSET(BL145,-$F$21,0)),SUM(OFFSET($T$100,($F$17-$F$15+$F$21),0):$T145),"")</f>
        <v/>
      </c>
      <c r="BQ145" s="190" t="str">
        <f t="shared" ca="1" si="87"/>
        <v/>
      </c>
      <c r="BR145" s="190" t="str">
        <f t="shared" ca="1" si="63"/>
        <v/>
      </c>
      <c r="BS145" s="190"/>
      <c r="BT145"/>
      <c r="BU145"/>
      <c r="BV145"/>
      <c r="BY145" s="99"/>
      <c r="BZ145" s="99"/>
      <c r="CA145" s="280" t="str">
        <f t="shared" si="88"/>
        <v/>
      </c>
      <c r="CB145" s="71" t="str">
        <f t="shared" si="27"/>
        <v>-</v>
      </c>
      <c r="CC145" s="33"/>
      <c r="CD145" s="261" t="str">
        <f t="shared" si="29"/>
        <v/>
      </c>
      <c r="CE145" s="280" t="str">
        <f t="shared" si="89"/>
        <v>-</v>
      </c>
      <c r="CF145" s="71" t="str">
        <f t="shared" ca="1" si="90"/>
        <v>-</v>
      </c>
      <c r="CG145" s="33" t="str">
        <f t="shared" si="32"/>
        <v>45-46</v>
      </c>
      <c r="CH145" s="261" t="str">
        <f t="shared" ca="1" si="33"/>
        <v/>
      </c>
      <c r="CI145" s="99"/>
      <c r="CJ145" s="99"/>
      <c r="CK145" s="99"/>
      <c r="CL145" s="99"/>
      <c r="CM145" s="99"/>
      <c r="CN145" s="99"/>
      <c r="CO145" s="99"/>
    </row>
    <row r="146" spans="2:93" ht="13.5" customHeight="1" x14ac:dyDescent="0.2">
      <c r="B146" s="262">
        <v>46</v>
      </c>
      <c r="C146" s="237" t="str">
        <f t="shared" si="1"/>
        <v/>
      </c>
      <c r="D146" s="237" t="str">
        <f t="shared" si="66"/>
        <v>-</v>
      </c>
      <c r="E146" s="290" t="str">
        <f t="shared" si="34"/>
        <v/>
      </c>
      <c r="F146" s="264" t="str">
        <f t="shared" si="35"/>
        <v/>
      </c>
      <c r="G146" s="291" t="str">
        <f t="shared" si="36"/>
        <v/>
      </c>
      <c r="H146" s="240" t="str">
        <f t="shared" si="71"/>
        <v/>
      </c>
      <c r="I146" s="265" t="str">
        <f t="shared" si="72"/>
        <v/>
      </c>
      <c r="J146" s="265" t="str">
        <f t="shared" si="73"/>
        <v/>
      </c>
      <c r="K146" s="240" t="str">
        <f t="shared" si="74"/>
        <v/>
      </c>
      <c r="L146" s="265" t="str">
        <f t="shared" si="75"/>
        <v/>
      </c>
      <c r="M146" s="265" t="str">
        <f t="shared" si="76"/>
        <v/>
      </c>
      <c r="N146" s="240" t="str">
        <f t="shared" si="77"/>
        <v>-</v>
      </c>
      <c r="O146" s="265" t="str">
        <f t="shared" si="78"/>
        <v>-</v>
      </c>
      <c r="P146" s="265" t="str">
        <f t="shared" si="79"/>
        <v>-</v>
      </c>
      <c r="Q146" s="266" t="str">
        <f t="shared" si="80"/>
        <v>-</v>
      </c>
      <c r="R146" s="267" t="str">
        <f t="shared" si="81"/>
        <v>-</v>
      </c>
      <c r="S146" s="268" t="str">
        <f t="shared" si="82"/>
        <v>-</v>
      </c>
      <c r="T146" s="269" t="str">
        <f t="shared" si="9"/>
        <v/>
      </c>
      <c r="U146" s="221">
        <f t="shared" si="10"/>
        <v>46</v>
      </c>
      <c r="V146" s="220" t="str">
        <f t="shared" si="42"/>
        <v>-</v>
      </c>
      <c r="W146" s="221" t="str">
        <f t="shared" si="43"/>
        <v>-</v>
      </c>
      <c r="X146" s="221" t="str">
        <f t="shared" si="11"/>
        <v>-</v>
      </c>
      <c r="Y146" s="221" t="str">
        <f t="shared" si="12"/>
        <v>-</v>
      </c>
      <c r="Z146" s="270">
        <f t="shared" si="44"/>
        <v>0.1</v>
      </c>
      <c r="AA146" s="271" t="str">
        <f>IFERROR(IF(V145=1,AA$100*EXP(-(LN(2)/$D$65+0.04)*X145)*EXP(-(LN(2)/$D$65+0.1)*Y145),IF(V145=2,AA$100*EXP(-(LN(2)/$D$65+0.04)*(VLOOKUP(($F$16-$F$15)-1,U$99:Y145,4,FALSE)))*EXP(-(LN(2)/$D$65+0.1)*(VLOOKUP(($F$16-$F$15)-1,U$99:Y145,5,FALSE)))*EXP(-(LN(2)/$D$65+0.04)*X145)*EXP(-(LN(2)/$D$65+0.1)*Y145),IF(V145=3,AA$100*EXP(-(LN(2)/$D$65+0.04)*(VLOOKUP(($F$16-$F$15)-1,U$99:Y145,4,FALSE)))*EXP(-(LN(2)/$D$65+0.1)*(VLOOKUP(($F$16-$F$15)-1,U$99:Y145,5,FALSE)))*EXP(-(LN(2)/$D$65+0.04)*(VLOOKUP(($F$16-$F$15)*2-1,U$99:Y145,4,FALSE)))*EXP(-(LN(2)/$D$65+0.1)*(VLOOKUP(($F$16-$F$15)*2-1,U$99:Y145,5,FALSE)))*EXP(-(LN(2)/$D$65+0.04)*X145)*EXP(-(LN(2)/$D$65+0.1)*Y145),"-"))),"-")</f>
        <v>-</v>
      </c>
      <c r="AB146" s="271" t="str">
        <f>IFERROR(IF(V146=1,AB$100*EXP(-(LN(2)/$D$65+0.04)*X146)*EXP(-(LN(2)/$D$65+0.1)*Y146),IF(V146=2,AB$100*EXP(-(LN(2)/$D$65+0.04)*(VLOOKUP(($F$16-$F$15)-1,U$100:Y146,4,FALSE)))*EXP(-(LN(2)/$D$65+0.1)*(VLOOKUP(($F$16-$F$15)-1,U$100:Y146,5,FALSE)))*EXP(-(LN(2)/$D$65+0.04)*X146)*EXP(-(LN(2)/$D$65+0.1)*Y146),IF(V146=3,AB$100*EXP(-(LN(2)/$D$65+0.04)*(VLOOKUP(($F$16-$F$15)-1,U$100:Y146,4,FALSE)))*EXP(-(LN(2)/$D$65+0.1)*(VLOOKUP(($F$16-$F$15)-1,U$100:Y146,5,FALSE)))*EXP(-(LN(2)/$D$65+0.04)*(VLOOKUP(($F$16-$F$15)*2-1,U$100:Y146,4,FALSE)))*EXP(-(LN(2)/$D$65+0.1)*(VLOOKUP(($F$16-$F$15)*2-1,U$100:Y146,5,FALSE)))*EXP(-(LN(2)/$D$65+0.04)*X146)*EXP(-(LN(2)/$D$65+0.1)*Y146),"-"))),"-")</f>
        <v>-</v>
      </c>
      <c r="AC146" s="224">
        <f t="shared" si="45"/>
        <v>46</v>
      </c>
      <c r="AD146" s="223" t="str">
        <f t="shared" si="14"/>
        <v>-</v>
      </c>
      <c r="AE146" s="224" t="str">
        <f t="shared" si="46"/>
        <v>-</v>
      </c>
      <c r="AF146" s="224" t="str">
        <f t="shared" si="15"/>
        <v>-</v>
      </c>
      <c r="AG146" s="224" t="str">
        <f t="shared" si="16"/>
        <v>-</v>
      </c>
      <c r="AH146" s="272">
        <f t="shared" si="47"/>
        <v>0.1</v>
      </c>
      <c r="AI146" s="271" t="str">
        <f>IFERROR(IF(AD145=1,AI$100*EXP(-(LN(2)/$D$65+0.04)*AF145)*EXP(-(LN(2)/$D$65+0.1)*AG145),IF(AD145=2,AI$100*EXP(-(LN(2)/$D$65+0.04)*(VLOOKUP(($F$16-$F$15)-1,AC$99:AG145,4,FALSE)))*EXP(-(LN(2)/$D$65+0.1)*(VLOOKUP(($F$16-$F$15)-1,AC$99:AG145,5,FALSE)))*EXP(-(LN(2)/$D$65+0.04)*AF145)*EXP(-(LN(2)/$D$65+0.1)*AG145),IF(AD145=3,AI$100*EXP(-(LN(2)/$D$65+0.04)*(VLOOKUP(($F$16-$F$15)-1,AC$99:AG145,4,FALSE)))*EXP(-(LN(2)/$D$65+0.1)*(VLOOKUP(($F$16-$F$15)-1,AC$99:AG145,5,FALSE)))*EXP(-(LN(2)/$D$65+0.04)*(VLOOKUP(($F$16-$F$15)*2-1,AC$99:AG145,4,FALSE)))*EXP(-(LN(2)/$D$65+0.1)*(VLOOKUP(($F$16-$F$15)*2-1,AC$99:AG145,5,FALSE)))*EXP(-(LN(2)/$D$65+0.04)*AF145)*EXP(-(LN(2)/$D$65+0.1)*AG145),"-"))),"-")</f>
        <v>-</v>
      </c>
      <c r="AJ146" s="271" t="str">
        <f>IFERROR(IF(AD146=1,AJ$100*EXP(-(LN(2)/$D$65+0.04)*AF146)*EXP(-(LN(2)/$D$65+0.1)*AG146),IF(AD146=2,AJ$100*EXP(-(LN(2)/$D$65+0.04)*(VLOOKUP(($F$16-$F$15)-1,AC$100:AG146,4,FALSE)))*EXP(-(LN(2)/$D$65+0.1)*(VLOOKUP(($F$16-$F$15)-1,AC$100:AG146,5,FALSE)))*EXP(-(LN(2)/$D$65+0.04)*AF146)*EXP(-(LN(2)/$D$65+0.1)*AG146),IF(AD146=3,AJ$100*EXP(-(LN(2)/$D$65+0.04)*(VLOOKUP(($F$16-$F$15)-1,AC$100:AG146,4,FALSE)))*EXP(-(LN(2)/$D$65+0.1)*(VLOOKUP(($F$16-$F$15)-1,AC$100:AG146,5,FALSE)))*EXP(-(LN(2)/$D$65+0.04)*(VLOOKUP(($F$16-$F$15)*2-1,AC$100:AG146,4,FALSE)))*EXP(-(LN(2)/$D$65+0.1)*(VLOOKUP(($F$16-$F$15)*2-1,AC$100:AG146,5,FALSE)))*EXP(-(LN(2)/$D$65+0.04)*AF146)*EXP(-(LN(2)/$D$65+0.1)*AG146),"-"))),"-")</f>
        <v>-</v>
      </c>
      <c r="AK146" s="227">
        <f t="shared" si="49"/>
        <v>46</v>
      </c>
      <c r="AL146" s="226" t="str">
        <f t="shared" si="18"/>
        <v>-</v>
      </c>
      <c r="AM146" s="227" t="str">
        <f t="shared" si="50"/>
        <v>-</v>
      </c>
      <c r="AN146" s="227" t="str">
        <f t="shared" si="51"/>
        <v>-</v>
      </c>
      <c r="AO146" s="227" t="str">
        <f t="shared" si="19"/>
        <v>-</v>
      </c>
      <c r="AP146" s="273">
        <f t="shared" si="52"/>
        <v>0.1</v>
      </c>
      <c r="AQ146" s="271" t="str">
        <f>IFERROR(IF(AL145=1,AQ$100*EXP(-(LN(2)/$D$65+0.04)*AN145)*EXP(-(LN(2)/$D$65+0.1)*AO145),IF(AL145=2,AQ$100*EXP(-(LN(2)/$D$65+0.04)*(VLOOKUP(($F$16-$F$15)-1,AK$99:AO145,4,FALSE)))*EXP(-(LN(2)/$D$65+0.1)*(VLOOKUP(($F$16-$F$15)-1,AK$99:AO145,5,FALSE)))*EXP(-(LN(2)/$D$65+0.04)*AN145)*EXP(-(LN(2)/$D$65+0.1)*AO145),IF(AL145=3,AQ$100*EXP(-(LN(2)/$D$65+0.04)*(VLOOKUP(($F$16-$F$15)-1,AK$99:AO145,4,FALSE)))*EXP(-(LN(2)/$D$65+0.1)*(VLOOKUP(($F$16-$F$15)-1,AK$99:AO145,5,FALSE)))*EXP(-(LN(2)/$D$65+0.04)*(VLOOKUP(($F$16-$F$15)*2-1,AK$99:AO145,4,FALSE)))*EXP(-(LN(2)/$D$65+0.1)*(VLOOKUP(($F$16-$F$15)*2-1,AK$99:AO145,5,FALSE)))*EXP(-(LN(2)/$D$65+0.04)*AN145)*EXP(-(LN(2)/$D$65+0.1)*AO145),"-"))),"-")</f>
        <v>-</v>
      </c>
      <c r="AR146" s="271" t="str">
        <f>IFERROR(IF(AL146=1,AR$100*EXP(-(LN(2)/$D$65+0.04)*AN146)*EXP(-(LN(2)/$D$65+0.1)*AO146),IF(AL146=2,AR$100*EXP(-(LN(2)/$D$65+0.04)*(VLOOKUP(($F$16-$F$15)-1,AK$100:AO146,4,FALSE)))*EXP(-(LN(2)/$D$65+0.1)*(VLOOKUP(($F$16-$F$15)-1,AK$100:AO146,5,FALSE)))*EXP(-(LN(2)/$D$65+0.04)*AN146)*EXP(-(LN(2)/$D$65+0.1)*AO146),IF(AL146=3,AR$100*EXP(-(LN(2)/$D$65+0.04)*(VLOOKUP(($F$16-$F$15)-1,AK$100:AO146,4,FALSE)))*EXP(-(LN(2)/$D$65+0.1)*(VLOOKUP(($F$16-$F$15)-1,AK$100:AO146,5,FALSE)))*EXP(-(LN(2)/$D$65+0.04)*(VLOOKUP(($F$16-$F$15)*2-1,AK$100:AO146,4,FALSE)))*EXP(-(LN(2)/$D$65+0.1)*(VLOOKUP(($F$16-$F$15)*2-1,AK$100:AO146,5,FALSE)))*EXP(-(LN(2)/$D$65+0.04)*AN146)*EXP(-(LN(2)/$D$65+0.1)*AO146),"-"))),"-")</f>
        <v>-</v>
      </c>
      <c r="AS146" s="274">
        <f t="shared" si="20"/>
        <v>0</v>
      </c>
      <c r="AT146" s="274">
        <f t="shared" si="21"/>
        <v>0</v>
      </c>
      <c r="AU146" s="274">
        <f t="shared" si="22"/>
        <v>0</v>
      </c>
      <c r="AV146" s="190">
        <f>IF($B146&lt;$F$22,SUM($T$100:$T146),"")</f>
        <v>0</v>
      </c>
      <c r="AW146" s="190" t="str">
        <f t="shared" si="83"/>
        <v>-</v>
      </c>
      <c r="AX146" s="190" t="str">
        <f t="shared" si="56"/>
        <v/>
      </c>
      <c r="AY146"/>
      <c r="AZ146" s="190" t="str">
        <f ca="1">IF(ISNUMBER(OFFSET(AV146,-$F$21,0)),SUM(OFFSET($T$100,$F$21,0):$T146),"")</f>
        <v/>
      </c>
      <c r="BA146" s="190" t="str">
        <f t="shared" ca="1" si="84"/>
        <v/>
      </c>
      <c r="BB146" s="190" t="str">
        <f t="shared" ca="1" si="70"/>
        <v/>
      </c>
      <c r="BC146" s="190"/>
      <c r="BD146" s="190" t="str">
        <f ca="1">IFERROR(IF(AND($B146&gt;=($F$16-$F$15),$B146&lt;$F$22+($F$16-$F$15)),SUM(OFFSET($T$100,($F$16-$F$15),0):$T146),""),"")</f>
        <v/>
      </c>
      <c r="BE146" s="190" t="str">
        <f t="shared" ca="1" si="58"/>
        <v/>
      </c>
      <c r="BF146" s="190" t="str">
        <f t="shared" ca="1" si="59"/>
        <v/>
      </c>
      <c r="BG146"/>
      <c r="BH146" s="190" t="str">
        <f ca="1">IF(ISNUMBER(OFFSET(BD146,-$F$21,0)),SUM(OFFSET($T$100,($F$16-$F$15+$F$21),0):$T146),"")</f>
        <v/>
      </c>
      <c r="BI146" s="190" t="str">
        <f t="shared" ca="1" si="85"/>
        <v/>
      </c>
      <c r="BJ146" s="190" t="str">
        <f t="shared" ca="1" si="60"/>
        <v/>
      </c>
      <c r="BK146" s="190"/>
      <c r="BL146" s="190" t="str">
        <f ca="1">IFERROR(IF(AND($B146&gt;=($F$17-$F$15),$B146&lt;$F$22+($F$17-$F$15)),SUM(OFFSET($T$100,($F$17-$F$15),0):$T146),""),"")</f>
        <v/>
      </c>
      <c r="BM146" s="190" t="str">
        <f t="shared" ca="1" si="86"/>
        <v/>
      </c>
      <c r="BN146" s="190" t="str">
        <f t="shared" ca="1" si="61"/>
        <v/>
      </c>
      <c r="BO146"/>
      <c r="BP146" s="190" t="str">
        <f ca="1">IF(ISNUMBER(OFFSET(BL146,-$F$21,0)),SUM(OFFSET($T$100,($F$17-$F$15+$F$21),0):$T146),"")</f>
        <v/>
      </c>
      <c r="BQ146" s="190" t="str">
        <f t="shared" ca="1" si="87"/>
        <v/>
      </c>
      <c r="BR146" s="190" t="str">
        <f t="shared" ca="1" si="63"/>
        <v/>
      </c>
      <c r="BS146" s="190"/>
      <c r="BT146"/>
      <c r="BU146"/>
      <c r="BV146"/>
      <c r="BY146" s="99"/>
      <c r="BZ146" s="99"/>
      <c r="CA146" s="280" t="str">
        <f t="shared" si="88"/>
        <v/>
      </c>
      <c r="CB146" s="71" t="str">
        <f t="shared" si="27"/>
        <v>-</v>
      </c>
      <c r="CC146" s="33"/>
      <c r="CD146" s="261" t="str">
        <f t="shared" si="29"/>
        <v/>
      </c>
      <c r="CE146" s="280" t="str">
        <f t="shared" si="89"/>
        <v>-</v>
      </c>
      <c r="CF146" s="71" t="str">
        <f t="shared" ca="1" si="90"/>
        <v>-</v>
      </c>
      <c r="CG146" s="33" t="str">
        <f t="shared" si="32"/>
        <v>46-47</v>
      </c>
      <c r="CH146" s="261" t="str">
        <f t="shared" ca="1" si="33"/>
        <v/>
      </c>
      <c r="CI146" s="99"/>
      <c r="CJ146" s="99"/>
      <c r="CK146" s="99"/>
      <c r="CL146" s="99"/>
      <c r="CM146" s="99"/>
      <c r="CN146" s="99"/>
      <c r="CO146" s="99"/>
    </row>
    <row r="147" spans="2:93" ht="13.5" customHeight="1" x14ac:dyDescent="0.2">
      <c r="B147" s="262">
        <v>47</v>
      </c>
      <c r="C147" s="237" t="str">
        <f t="shared" si="1"/>
        <v/>
      </c>
      <c r="D147" s="237" t="str">
        <f t="shared" si="66"/>
        <v>-</v>
      </c>
      <c r="E147" s="290" t="str">
        <f t="shared" si="34"/>
        <v/>
      </c>
      <c r="F147" s="264" t="str">
        <f t="shared" si="35"/>
        <v/>
      </c>
      <c r="G147" s="291" t="str">
        <f t="shared" si="36"/>
        <v/>
      </c>
      <c r="H147" s="240" t="str">
        <f t="shared" si="71"/>
        <v/>
      </c>
      <c r="I147" s="265" t="str">
        <f t="shared" si="72"/>
        <v/>
      </c>
      <c r="J147" s="265" t="str">
        <f t="shared" si="73"/>
        <v/>
      </c>
      <c r="K147" s="240" t="str">
        <f t="shared" si="74"/>
        <v/>
      </c>
      <c r="L147" s="265" t="str">
        <f t="shared" si="75"/>
        <v/>
      </c>
      <c r="M147" s="265" t="str">
        <f t="shared" si="76"/>
        <v/>
      </c>
      <c r="N147" s="240" t="str">
        <f t="shared" si="77"/>
        <v>-</v>
      </c>
      <c r="O147" s="265" t="str">
        <f t="shared" si="78"/>
        <v>-</v>
      </c>
      <c r="P147" s="265" t="str">
        <f t="shared" si="79"/>
        <v>-</v>
      </c>
      <c r="Q147" s="266" t="str">
        <f t="shared" si="80"/>
        <v>-</v>
      </c>
      <c r="R147" s="267" t="str">
        <f t="shared" si="81"/>
        <v>-</v>
      </c>
      <c r="S147" s="268" t="str">
        <f t="shared" si="82"/>
        <v>-</v>
      </c>
      <c r="T147" s="269" t="str">
        <f t="shared" si="9"/>
        <v/>
      </c>
      <c r="U147" s="221">
        <f t="shared" si="10"/>
        <v>47</v>
      </c>
      <c r="V147" s="220" t="str">
        <f t="shared" si="42"/>
        <v>-</v>
      </c>
      <c r="W147" s="221" t="str">
        <f t="shared" si="43"/>
        <v>-</v>
      </c>
      <c r="X147" s="221" t="str">
        <f t="shared" si="11"/>
        <v>-</v>
      </c>
      <c r="Y147" s="221" t="str">
        <f t="shared" si="12"/>
        <v>-</v>
      </c>
      <c r="Z147" s="270">
        <f t="shared" si="44"/>
        <v>0.1</v>
      </c>
      <c r="AA147" s="271" t="str">
        <f>IFERROR(IF(V146=1,AA$100*EXP(-(LN(2)/$D$65+0.04)*X146)*EXP(-(LN(2)/$D$65+0.1)*Y146),IF(V146=2,AA$100*EXP(-(LN(2)/$D$65+0.04)*(VLOOKUP(($F$16-$F$15)-1,U$99:Y146,4,FALSE)))*EXP(-(LN(2)/$D$65+0.1)*(VLOOKUP(($F$16-$F$15)-1,U$99:Y146,5,FALSE)))*EXP(-(LN(2)/$D$65+0.04)*X146)*EXP(-(LN(2)/$D$65+0.1)*Y146),IF(V146=3,AA$100*EXP(-(LN(2)/$D$65+0.04)*(VLOOKUP(($F$16-$F$15)-1,U$99:Y146,4,FALSE)))*EXP(-(LN(2)/$D$65+0.1)*(VLOOKUP(($F$16-$F$15)-1,U$99:Y146,5,FALSE)))*EXP(-(LN(2)/$D$65+0.04)*(VLOOKUP(($F$16-$F$15)*2-1,U$99:Y146,4,FALSE)))*EXP(-(LN(2)/$D$65+0.1)*(VLOOKUP(($F$16-$F$15)*2-1,U$99:Y146,5,FALSE)))*EXP(-(LN(2)/$D$65+0.04)*X146)*EXP(-(LN(2)/$D$65+0.1)*Y146),"-"))),"-")</f>
        <v>-</v>
      </c>
      <c r="AB147" s="271" t="str">
        <f>IFERROR(IF(V147=1,AB$100*EXP(-(LN(2)/$D$65+0.04)*X147)*EXP(-(LN(2)/$D$65+0.1)*Y147),IF(V147=2,AB$100*EXP(-(LN(2)/$D$65+0.04)*(VLOOKUP(($F$16-$F$15)-1,U$100:Y147,4,FALSE)))*EXP(-(LN(2)/$D$65+0.1)*(VLOOKUP(($F$16-$F$15)-1,U$100:Y147,5,FALSE)))*EXP(-(LN(2)/$D$65+0.04)*X147)*EXP(-(LN(2)/$D$65+0.1)*Y147),IF(V147=3,AB$100*EXP(-(LN(2)/$D$65+0.04)*(VLOOKUP(($F$16-$F$15)-1,U$100:Y147,4,FALSE)))*EXP(-(LN(2)/$D$65+0.1)*(VLOOKUP(($F$16-$F$15)-1,U$100:Y147,5,FALSE)))*EXP(-(LN(2)/$D$65+0.04)*(VLOOKUP(($F$16-$F$15)*2-1,U$100:Y147,4,FALSE)))*EXP(-(LN(2)/$D$65+0.1)*(VLOOKUP(($F$16-$F$15)*2-1,U$100:Y147,5,FALSE)))*EXP(-(LN(2)/$D$65+0.04)*X147)*EXP(-(LN(2)/$D$65+0.1)*Y147),"-"))),"-")</f>
        <v>-</v>
      </c>
      <c r="AC147" s="224">
        <f t="shared" si="45"/>
        <v>47</v>
      </c>
      <c r="AD147" s="223" t="str">
        <f t="shared" si="14"/>
        <v>-</v>
      </c>
      <c r="AE147" s="224" t="str">
        <f t="shared" si="46"/>
        <v>-</v>
      </c>
      <c r="AF147" s="224" t="str">
        <f t="shared" si="15"/>
        <v>-</v>
      </c>
      <c r="AG147" s="224" t="str">
        <f t="shared" si="16"/>
        <v>-</v>
      </c>
      <c r="AH147" s="272">
        <f t="shared" si="47"/>
        <v>0.1</v>
      </c>
      <c r="AI147" s="271" t="str">
        <f>IFERROR(IF(AD146=1,AI$100*EXP(-(LN(2)/$D$65+0.04)*AF146)*EXP(-(LN(2)/$D$65+0.1)*AG146),IF(AD146=2,AI$100*EXP(-(LN(2)/$D$65+0.04)*(VLOOKUP(($F$16-$F$15)-1,AC$99:AG146,4,FALSE)))*EXP(-(LN(2)/$D$65+0.1)*(VLOOKUP(($F$16-$F$15)-1,AC$99:AG146,5,FALSE)))*EXP(-(LN(2)/$D$65+0.04)*AF146)*EXP(-(LN(2)/$D$65+0.1)*AG146),IF(AD146=3,AI$100*EXP(-(LN(2)/$D$65+0.04)*(VLOOKUP(($F$16-$F$15)-1,AC$99:AG146,4,FALSE)))*EXP(-(LN(2)/$D$65+0.1)*(VLOOKUP(($F$16-$F$15)-1,AC$99:AG146,5,FALSE)))*EXP(-(LN(2)/$D$65+0.04)*(VLOOKUP(($F$16-$F$15)*2-1,AC$99:AG146,4,FALSE)))*EXP(-(LN(2)/$D$65+0.1)*(VLOOKUP(($F$16-$F$15)*2-1,AC$99:AG146,5,FALSE)))*EXP(-(LN(2)/$D$65+0.04)*AF146)*EXP(-(LN(2)/$D$65+0.1)*AG146),"-"))),"-")</f>
        <v>-</v>
      </c>
      <c r="AJ147" s="271" t="str">
        <f>IFERROR(IF(AD147=1,AJ$100*EXP(-(LN(2)/$D$65+0.04)*AF147)*EXP(-(LN(2)/$D$65+0.1)*AG147),IF(AD147=2,AJ$100*EXP(-(LN(2)/$D$65+0.04)*(VLOOKUP(($F$16-$F$15)-1,AC$100:AG147,4,FALSE)))*EXP(-(LN(2)/$D$65+0.1)*(VLOOKUP(($F$16-$F$15)-1,AC$100:AG147,5,FALSE)))*EXP(-(LN(2)/$D$65+0.04)*AF147)*EXP(-(LN(2)/$D$65+0.1)*AG147),IF(AD147=3,AJ$100*EXP(-(LN(2)/$D$65+0.04)*(VLOOKUP(($F$16-$F$15)-1,AC$100:AG147,4,FALSE)))*EXP(-(LN(2)/$D$65+0.1)*(VLOOKUP(($F$16-$F$15)-1,AC$100:AG147,5,FALSE)))*EXP(-(LN(2)/$D$65+0.04)*(VLOOKUP(($F$16-$F$15)*2-1,AC$100:AG147,4,FALSE)))*EXP(-(LN(2)/$D$65+0.1)*(VLOOKUP(($F$16-$F$15)*2-1,AC$100:AG147,5,FALSE)))*EXP(-(LN(2)/$D$65+0.04)*AF147)*EXP(-(LN(2)/$D$65+0.1)*AG147),"-"))),"-")</f>
        <v>-</v>
      </c>
      <c r="AK147" s="227">
        <f t="shared" si="49"/>
        <v>47</v>
      </c>
      <c r="AL147" s="226" t="str">
        <f t="shared" si="18"/>
        <v>-</v>
      </c>
      <c r="AM147" s="227" t="str">
        <f t="shared" si="50"/>
        <v>-</v>
      </c>
      <c r="AN147" s="227" t="str">
        <f t="shared" si="51"/>
        <v>-</v>
      </c>
      <c r="AO147" s="227" t="str">
        <f t="shared" si="19"/>
        <v>-</v>
      </c>
      <c r="AP147" s="273">
        <f t="shared" si="52"/>
        <v>0.1</v>
      </c>
      <c r="AQ147" s="271" t="str">
        <f>IFERROR(IF(AL146=1,AQ$100*EXP(-(LN(2)/$D$65+0.04)*AN146)*EXP(-(LN(2)/$D$65+0.1)*AO146),IF(AL146=2,AQ$100*EXP(-(LN(2)/$D$65+0.04)*(VLOOKUP(($F$16-$F$15)-1,AK$99:AO146,4,FALSE)))*EXP(-(LN(2)/$D$65+0.1)*(VLOOKUP(($F$16-$F$15)-1,AK$99:AO146,5,FALSE)))*EXP(-(LN(2)/$D$65+0.04)*AN146)*EXP(-(LN(2)/$D$65+0.1)*AO146),IF(AL146=3,AQ$100*EXP(-(LN(2)/$D$65+0.04)*(VLOOKUP(($F$16-$F$15)-1,AK$99:AO146,4,FALSE)))*EXP(-(LN(2)/$D$65+0.1)*(VLOOKUP(($F$16-$F$15)-1,AK$99:AO146,5,FALSE)))*EXP(-(LN(2)/$D$65+0.04)*(VLOOKUP(($F$16-$F$15)*2-1,AK$99:AO146,4,FALSE)))*EXP(-(LN(2)/$D$65+0.1)*(VLOOKUP(($F$16-$F$15)*2-1,AK$99:AO146,5,FALSE)))*EXP(-(LN(2)/$D$65+0.04)*AN146)*EXP(-(LN(2)/$D$65+0.1)*AO146),"-"))),"-")</f>
        <v>-</v>
      </c>
      <c r="AR147" s="271" t="str">
        <f>IFERROR(IF(AL147=1,AR$100*EXP(-(LN(2)/$D$65+0.04)*AN147)*EXP(-(LN(2)/$D$65+0.1)*AO147),IF(AL147=2,AR$100*EXP(-(LN(2)/$D$65+0.04)*(VLOOKUP(($F$16-$F$15)-1,AK$100:AO147,4,FALSE)))*EXP(-(LN(2)/$D$65+0.1)*(VLOOKUP(($F$16-$F$15)-1,AK$100:AO147,5,FALSE)))*EXP(-(LN(2)/$D$65+0.04)*AN147)*EXP(-(LN(2)/$D$65+0.1)*AO147),IF(AL147=3,AR$100*EXP(-(LN(2)/$D$65+0.04)*(VLOOKUP(($F$16-$F$15)-1,AK$100:AO147,4,FALSE)))*EXP(-(LN(2)/$D$65+0.1)*(VLOOKUP(($F$16-$F$15)-1,AK$100:AO147,5,FALSE)))*EXP(-(LN(2)/$D$65+0.04)*(VLOOKUP(($F$16-$F$15)*2-1,AK$100:AO147,4,FALSE)))*EXP(-(LN(2)/$D$65+0.1)*(VLOOKUP(($F$16-$F$15)*2-1,AK$100:AO147,5,FALSE)))*EXP(-(LN(2)/$D$65+0.04)*AN147)*EXP(-(LN(2)/$D$65+0.1)*AO147),"-"))),"-")</f>
        <v>-</v>
      </c>
      <c r="AS147" s="274">
        <f t="shared" si="20"/>
        <v>0</v>
      </c>
      <c r="AT147" s="274">
        <f t="shared" si="21"/>
        <v>0</v>
      </c>
      <c r="AU147" s="274">
        <f t="shared" si="22"/>
        <v>0</v>
      </c>
      <c r="AV147" s="190">
        <f>IF($B147&lt;$F$22,SUM($T$100:$T147),"")</f>
        <v>0</v>
      </c>
      <c r="AW147" s="190" t="str">
        <f t="shared" si="83"/>
        <v>-</v>
      </c>
      <c r="AX147" s="190" t="str">
        <f t="shared" si="56"/>
        <v/>
      </c>
      <c r="AY147"/>
      <c r="AZ147" s="190" t="str">
        <f ca="1">IF(ISNUMBER(OFFSET(AV147,-$F$21,0)),SUM(OFFSET($T$100,$F$21,0):$T147),"")</f>
        <v/>
      </c>
      <c r="BA147" s="190" t="str">
        <f t="shared" ca="1" si="84"/>
        <v/>
      </c>
      <c r="BB147" s="190" t="str">
        <f t="shared" ca="1" si="70"/>
        <v/>
      </c>
      <c r="BC147" s="190"/>
      <c r="BD147" s="190" t="str">
        <f ca="1">IFERROR(IF(AND($B147&gt;=($F$16-$F$15),$B147&lt;$F$22+($F$16-$F$15)),SUM(OFFSET($T$100,($F$16-$F$15),0):$T147),""),"")</f>
        <v/>
      </c>
      <c r="BE147" s="190" t="str">
        <f t="shared" ca="1" si="58"/>
        <v/>
      </c>
      <c r="BF147" s="190" t="str">
        <f t="shared" ca="1" si="59"/>
        <v/>
      </c>
      <c r="BG147"/>
      <c r="BH147" s="190" t="str">
        <f ca="1">IF(ISNUMBER(OFFSET(BD147,-$F$21,0)),SUM(OFFSET($T$100,($F$16-$F$15+$F$21),0):$T147),"")</f>
        <v/>
      </c>
      <c r="BI147" s="190" t="str">
        <f t="shared" ca="1" si="85"/>
        <v/>
      </c>
      <c r="BJ147" s="190" t="str">
        <f t="shared" ca="1" si="60"/>
        <v/>
      </c>
      <c r="BK147" s="190"/>
      <c r="BL147" s="190" t="str">
        <f ca="1">IFERROR(IF(AND($B147&gt;=($F$17-$F$15),$B147&lt;$F$22+($F$17-$F$15)),SUM(OFFSET($T$100,($F$17-$F$15),0):$T147),""),"")</f>
        <v/>
      </c>
      <c r="BM147" s="190" t="str">
        <f t="shared" ca="1" si="86"/>
        <v/>
      </c>
      <c r="BN147" s="190" t="str">
        <f t="shared" ca="1" si="61"/>
        <v/>
      </c>
      <c r="BO147"/>
      <c r="BP147" s="190" t="str">
        <f ca="1">IF(ISNUMBER(OFFSET(BL147,-$F$21,0)),SUM(OFFSET($T$100,($F$17-$F$15+$F$21),0):$T147),"")</f>
        <v/>
      </c>
      <c r="BQ147" s="190" t="str">
        <f t="shared" ca="1" si="87"/>
        <v/>
      </c>
      <c r="BR147" s="190" t="str">
        <f t="shared" ca="1" si="63"/>
        <v/>
      </c>
      <c r="BS147" s="190"/>
      <c r="BT147"/>
      <c r="BU147"/>
      <c r="BV147"/>
      <c r="BY147" s="99"/>
      <c r="BZ147" s="99"/>
      <c r="CA147" s="280" t="str">
        <f t="shared" si="88"/>
        <v/>
      </c>
      <c r="CB147" s="71" t="str">
        <f t="shared" si="27"/>
        <v>-</v>
      </c>
      <c r="CC147" s="33"/>
      <c r="CD147" s="261" t="str">
        <f t="shared" si="29"/>
        <v/>
      </c>
      <c r="CE147" s="280" t="str">
        <f t="shared" si="89"/>
        <v>-</v>
      </c>
      <c r="CF147" s="71" t="str">
        <f t="shared" ca="1" si="90"/>
        <v>-</v>
      </c>
      <c r="CG147" s="33" t="str">
        <f t="shared" si="32"/>
        <v>47-48</v>
      </c>
      <c r="CH147" s="261" t="str">
        <f t="shared" ca="1" si="33"/>
        <v/>
      </c>
      <c r="CI147" s="99"/>
      <c r="CJ147" s="99"/>
      <c r="CK147" s="99"/>
      <c r="CL147" s="99"/>
      <c r="CM147" s="99"/>
      <c r="CN147" s="99"/>
      <c r="CO147" s="99"/>
    </row>
    <row r="148" spans="2:93" ht="13.5" customHeight="1" x14ac:dyDescent="0.2">
      <c r="B148" s="262">
        <v>48</v>
      </c>
      <c r="C148" s="237" t="str">
        <f t="shared" si="1"/>
        <v/>
      </c>
      <c r="D148" s="237" t="str">
        <f t="shared" si="66"/>
        <v>-</v>
      </c>
      <c r="E148" s="290" t="str">
        <f t="shared" si="34"/>
        <v/>
      </c>
      <c r="F148" s="264" t="str">
        <f t="shared" si="35"/>
        <v/>
      </c>
      <c r="G148" s="291" t="str">
        <f t="shared" si="36"/>
        <v/>
      </c>
      <c r="H148" s="240" t="str">
        <f t="shared" si="71"/>
        <v/>
      </c>
      <c r="I148" s="265" t="str">
        <f t="shared" si="72"/>
        <v/>
      </c>
      <c r="J148" s="265" t="str">
        <f t="shared" si="73"/>
        <v/>
      </c>
      <c r="K148" s="240" t="str">
        <f t="shared" si="74"/>
        <v/>
      </c>
      <c r="L148" s="265" t="str">
        <f t="shared" si="75"/>
        <v/>
      </c>
      <c r="M148" s="265" t="str">
        <f t="shared" si="76"/>
        <v/>
      </c>
      <c r="N148" s="240" t="str">
        <f t="shared" si="77"/>
        <v>-</v>
      </c>
      <c r="O148" s="265" t="str">
        <f t="shared" si="78"/>
        <v>-</v>
      </c>
      <c r="P148" s="265" t="str">
        <f t="shared" si="79"/>
        <v>-</v>
      </c>
      <c r="Q148" s="266" t="str">
        <f t="shared" si="80"/>
        <v>-</v>
      </c>
      <c r="R148" s="267" t="str">
        <f t="shared" si="81"/>
        <v>-</v>
      </c>
      <c r="S148" s="268" t="str">
        <f t="shared" si="82"/>
        <v>-</v>
      </c>
      <c r="T148" s="269" t="str">
        <f t="shared" si="9"/>
        <v/>
      </c>
      <c r="U148" s="221">
        <f t="shared" si="10"/>
        <v>48</v>
      </c>
      <c r="V148" s="220" t="str">
        <f t="shared" si="42"/>
        <v>-</v>
      </c>
      <c r="W148" s="221" t="str">
        <f t="shared" si="43"/>
        <v>-</v>
      </c>
      <c r="X148" s="221" t="str">
        <f t="shared" si="11"/>
        <v>-</v>
      </c>
      <c r="Y148" s="221" t="str">
        <f t="shared" si="12"/>
        <v>-</v>
      </c>
      <c r="Z148" s="270">
        <f t="shared" si="44"/>
        <v>0.1</v>
      </c>
      <c r="AA148" s="271" t="str">
        <f>IFERROR(IF(V147=1,AA$100*EXP(-(LN(2)/$D$65+0.04)*X147)*EXP(-(LN(2)/$D$65+0.1)*Y147),IF(V147=2,AA$100*EXP(-(LN(2)/$D$65+0.04)*(VLOOKUP(($F$16-$F$15)-1,U$99:Y147,4,FALSE)))*EXP(-(LN(2)/$D$65+0.1)*(VLOOKUP(($F$16-$F$15)-1,U$99:Y147,5,FALSE)))*EXP(-(LN(2)/$D$65+0.04)*X147)*EXP(-(LN(2)/$D$65+0.1)*Y147),IF(V147=3,AA$100*EXP(-(LN(2)/$D$65+0.04)*(VLOOKUP(($F$16-$F$15)-1,U$99:Y147,4,FALSE)))*EXP(-(LN(2)/$D$65+0.1)*(VLOOKUP(($F$16-$F$15)-1,U$99:Y147,5,FALSE)))*EXP(-(LN(2)/$D$65+0.04)*(VLOOKUP(($F$16-$F$15)*2-1,U$99:Y147,4,FALSE)))*EXP(-(LN(2)/$D$65+0.1)*(VLOOKUP(($F$16-$F$15)*2-1,U$99:Y147,5,FALSE)))*EXP(-(LN(2)/$D$65+0.04)*X147)*EXP(-(LN(2)/$D$65+0.1)*Y147),"-"))),"-")</f>
        <v>-</v>
      </c>
      <c r="AB148" s="271" t="str">
        <f>IFERROR(IF(V148=1,AB$100*EXP(-(LN(2)/$D$65+0.04)*X148)*EXP(-(LN(2)/$D$65+0.1)*Y148),IF(V148=2,AB$100*EXP(-(LN(2)/$D$65+0.04)*(VLOOKUP(($F$16-$F$15)-1,U$100:Y148,4,FALSE)))*EXP(-(LN(2)/$D$65+0.1)*(VLOOKUP(($F$16-$F$15)-1,U$100:Y148,5,FALSE)))*EXP(-(LN(2)/$D$65+0.04)*X148)*EXP(-(LN(2)/$D$65+0.1)*Y148),IF(V148=3,AB$100*EXP(-(LN(2)/$D$65+0.04)*(VLOOKUP(($F$16-$F$15)-1,U$100:Y148,4,FALSE)))*EXP(-(LN(2)/$D$65+0.1)*(VLOOKUP(($F$16-$F$15)-1,U$100:Y148,5,FALSE)))*EXP(-(LN(2)/$D$65+0.04)*(VLOOKUP(($F$16-$F$15)*2-1,U$100:Y148,4,FALSE)))*EXP(-(LN(2)/$D$65+0.1)*(VLOOKUP(($F$16-$F$15)*2-1,U$100:Y148,5,FALSE)))*EXP(-(LN(2)/$D$65+0.04)*X148)*EXP(-(LN(2)/$D$65+0.1)*Y148),"-"))),"-")</f>
        <v>-</v>
      </c>
      <c r="AC148" s="224">
        <f t="shared" si="45"/>
        <v>48</v>
      </c>
      <c r="AD148" s="223" t="str">
        <f t="shared" si="14"/>
        <v>-</v>
      </c>
      <c r="AE148" s="224" t="str">
        <f t="shared" si="46"/>
        <v>-</v>
      </c>
      <c r="AF148" s="224" t="str">
        <f t="shared" si="15"/>
        <v>-</v>
      </c>
      <c r="AG148" s="224" t="str">
        <f t="shared" si="16"/>
        <v>-</v>
      </c>
      <c r="AH148" s="272">
        <f t="shared" si="47"/>
        <v>0.1</v>
      </c>
      <c r="AI148" s="271" t="str">
        <f>IFERROR(IF(AD147=1,AI$100*EXP(-(LN(2)/$D$65+0.04)*AF147)*EXP(-(LN(2)/$D$65+0.1)*AG147),IF(AD147=2,AI$100*EXP(-(LN(2)/$D$65+0.04)*(VLOOKUP(($F$16-$F$15)-1,AC$99:AG147,4,FALSE)))*EXP(-(LN(2)/$D$65+0.1)*(VLOOKUP(($F$16-$F$15)-1,AC$99:AG147,5,FALSE)))*EXP(-(LN(2)/$D$65+0.04)*AF147)*EXP(-(LN(2)/$D$65+0.1)*AG147),IF(AD147=3,AI$100*EXP(-(LN(2)/$D$65+0.04)*(VLOOKUP(($F$16-$F$15)-1,AC$99:AG147,4,FALSE)))*EXP(-(LN(2)/$D$65+0.1)*(VLOOKUP(($F$16-$F$15)-1,AC$99:AG147,5,FALSE)))*EXP(-(LN(2)/$D$65+0.04)*(VLOOKUP(($F$16-$F$15)*2-1,AC$99:AG147,4,FALSE)))*EXP(-(LN(2)/$D$65+0.1)*(VLOOKUP(($F$16-$F$15)*2-1,AC$99:AG147,5,FALSE)))*EXP(-(LN(2)/$D$65+0.04)*AF147)*EXP(-(LN(2)/$D$65+0.1)*AG147),"-"))),"-")</f>
        <v>-</v>
      </c>
      <c r="AJ148" s="271" t="str">
        <f>IFERROR(IF(AD148=1,AJ$100*EXP(-(LN(2)/$D$65+0.04)*AF148)*EXP(-(LN(2)/$D$65+0.1)*AG148),IF(AD148=2,AJ$100*EXP(-(LN(2)/$D$65+0.04)*(VLOOKUP(($F$16-$F$15)-1,AC$100:AG148,4,FALSE)))*EXP(-(LN(2)/$D$65+0.1)*(VLOOKUP(($F$16-$F$15)-1,AC$100:AG148,5,FALSE)))*EXP(-(LN(2)/$D$65+0.04)*AF148)*EXP(-(LN(2)/$D$65+0.1)*AG148),IF(AD148=3,AJ$100*EXP(-(LN(2)/$D$65+0.04)*(VLOOKUP(($F$16-$F$15)-1,AC$100:AG148,4,FALSE)))*EXP(-(LN(2)/$D$65+0.1)*(VLOOKUP(($F$16-$F$15)-1,AC$100:AG148,5,FALSE)))*EXP(-(LN(2)/$D$65+0.04)*(VLOOKUP(($F$16-$F$15)*2-1,AC$100:AG148,4,FALSE)))*EXP(-(LN(2)/$D$65+0.1)*(VLOOKUP(($F$16-$F$15)*2-1,AC$100:AG148,5,FALSE)))*EXP(-(LN(2)/$D$65+0.04)*AF148)*EXP(-(LN(2)/$D$65+0.1)*AG148),"-"))),"-")</f>
        <v>-</v>
      </c>
      <c r="AK148" s="227">
        <f t="shared" si="49"/>
        <v>48</v>
      </c>
      <c r="AL148" s="226" t="str">
        <f t="shared" si="18"/>
        <v>-</v>
      </c>
      <c r="AM148" s="227" t="str">
        <f t="shared" si="50"/>
        <v>-</v>
      </c>
      <c r="AN148" s="227" t="str">
        <f t="shared" si="51"/>
        <v>-</v>
      </c>
      <c r="AO148" s="227" t="str">
        <f t="shared" si="19"/>
        <v>-</v>
      </c>
      <c r="AP148" s="273">
        <f t="shared" si="52"/>
        <v>0.1</v>
      </c>
      <c r="AQ148" s="271" t="str">
        <f>IFERROR(IF(AL147=1,AQ$100*EXP(-(LN(2)/$D$65+0.04)*AN147)*EXP(-(LN(2)/$D$65+0.1)*AO147),IF(AL147=2,AQ$100*EXP(-(LN(2)/$D$65+0.04)*(VLOOKUP(($F$16-$F$15)-1,AK$99:AO147,4,FALSE)))*EXP(-(LN(2)/$D$65+0.1)*(VLOOKUP(($F$16-$F$15)-1,AK$99:AO147,5,FALSE)))*EXP(-(LN(2)/$D$65+0.04)*AN147)*EXP(-(LN(2)/$D$65+0.1)*AO147),IF(AL147=3,AQ$100*EXP(-(LN(2)/$D$65+0.04)*(VLOOKUP(($F$16-$F$15)-1,AK$99:AO147,4,FALSE)))*EXP(-(LN(2)/$D$65+0.1)*(VLOOKUP(($F$16-$F$15)-1,AK$99:AO147,5,FALSE)))*EXP(-(LN(2)/$D$65+0.04)*(VLOOKUP(($F$16-$F$15)*2-1,AK$99:AO147,4,FALSE)))*EXP(-(LN(2)/$D$65+0.1)*(VLOOKUP(($F$16-$F$15)*2-1,AK$99:AO147,5,FALSE)))*EXP(-(LN(2)/$D$65+0.04)*AN147)*EXP(-(LN(2)/$D$65+0.1)*AO147),"-"))),"-")</f>
        <v>-</v>
      </c>
      <c r="AR148" s="271" t="str">
        <f>IFERROR(IF(AL148=1,AR$100*EXP(-(LN(2)/$D$65+0.04)*AN148)*EXP(-(LN(2)/$D$65+0.1)*AO148),IF(AL148=2,AR$100*EXP(-(LN(2)/$D$65+0.04)*(VLOOKUP(($F$16-$F$15)-1,AK$100:AO148,4,FALSE)))*EXP(-(LN(2)/$D$65+0.1)*(VLOOKUP(($F$16-$F$15)-1,AK$100:AO148,5,FALSE)))*EXP(-(LN(2)/$D$65+0.04)*AN148)*EXP(-(LN(2)/$D$65+0.1)*AO148),IF(AL148=3,AR$100*EXP(-(LN(2)/$D$65+0.04)*(VLOOKUP(($F$16-$F$15)-1,AK$100:AO148,4,FALSE)))*EXP(-(LN(2)/$D$65+0.1)*(VLOOKUP(($F$16-$F$15)-1,AK$100:AO148,5,FALSE)))*EXP(-(LN(2)/$D$65+0.04)*(VLOOKUP(($F$16-$F$15)*2-1,AK$100:AO148,4,FALSE)))*EXP(-(LN(2)/$D$65+0.1)*(VLOOKUP(($F$16-$F$15)*2-1,AK$100:AO148,5,FALSE)))*EXP(-(LN(2)/$D$65+0.04)*AN148)*EXP(-(LN(2)/$D$65+0.1)*AO148),"-"))),"-")</f>
        <v>-</v>
      </c>
      <c r="AS148" s="274">
        <f t="shared" si="20"/>
        <v>0</v>
      </c>
      <c r="AT148" s="274">
        <f t="shared" si="21"/>
        <v>0</v>
      </c>
      <c r="AU148" s="274">
        <f t="shared" si="22"/>
        <v>0</v>
      </c>
      <c r="AV148" s="190">
        <f>IF($B148&lt;$F$22,SUM($T$100:$T148),"")</f>
        <v>0</v>
      </c>
      <c r="AW148" s="190" t="str">
        <f t="shared" si="83"/>
        <v>-</v>
      </c>
      <c r="AX148" s="190" t="str">
        <f t="shared" si="56"/>
        <v/>
      </c>
      <c r="AY148"/>
      <c r="AZ148" s="190" t="str">
        <f ca="1">IF(ISNUMBER(OFFSET(AV148,-$F$21,0)),SUM(OFFSET($T$100,$F$21,0):$T148),"")</f>
        <v/>
      </c>
      <c r="BA148" s="190" t="str">
        <f t="shared" ca="1" si="84"/>
        <v/>
      </c>
      <c r="BB148" s="190" t="str">
        <f t="shared" ca="1" si="70"/>
        <v/>
      </c>
      <c r="BC148" s="190"/>
      <c r="BD148" s="190" t="str">
        <f ca="1">IFERROR(IF(AND($B148&gt;=($F$16-$F$15),$B148&lt;$F$22+($F$16-$F$15)),SUM(OFFSET($T$100,($F$16-$F$15),0):$T148),""),"")</f>
        <v/>
      </c>
      <c r="BE148" s="190" t="str">
        <f t="shared" ca="1" si="58"/>
        <v/>
      </c>
      <c r="BF148" s="190" t="str">
        <f t="shared" ca="1" si="59"/>
        <v/>
      </c>
      <c r="BG148"/>
      <c r="BH148" s="190" t="str">
        <f ca="1">IF(ISNUMBER(OFFSET(BD148,-$F$21,0)),SUM(OFFSET($T$100,($F$16-$F$15+$F$21),0):$T148),"")</f>
        <v/>
      </c>
      <c r="BI148" s="190" t="str">
        <f t="shared" ca="1" si="85"/>
        <v/>
      </c>
      <c r="BJ148" s="190" t="str">
        <f t="shared" ca="1" si="60"/>
        <v/>
      </c>
      <c r="BK148" s="190"/>
      <c r="BL148" s="190" t="str">
        <f ca="1">IFERROR(IF(AND($B148&gt;=($F$17-$F$15),$B148&lt;$F$22+($F$17-$F$15)),SUM(OFFSET($T$100,($F$17-$F$15),0):$T148),""),"")</f>
        <v/>
      </c>
      <c r="BM148" s="190" t="str">
        <f t="shared" ca="1" si="86"/>
        <v/>
      </c>
      <c r="BN148" s="190" t="str">
        <f t="shared" ca="1" si="61"/>
        <v/>
      </c>
      <c r="BO148"/>
      <c r="BP148" s="190" t="str">
        <f ca="1">IF(ISNUMBER(OFFSET(BL148,-$F$21,0)),SUM(OFFSET($T$100,($F$17-$F$15+$F$21),0):$T148),"")</f>
        <v/>
      </c>
      <c r="BQ148" s="190" t="str">
        <f t="shared" ca="1" si="87"/>
        <v/>
      </c>
      <c r="BR148" s="190" t="str">
        <f t="shared" ca="1" si="63"/>
        <v/>
      </c>
      <c r="BS148" s="190"/>
      <c r="BT148"/>
      <c r="BU148"/>
      <c r="BV148"/>
      <c r="BY148" s="99"/>
      <c r="BZ148" s="99"/>
      <c r="CA148" s="280" t="str">
        <f t="shared" si="88"/>
        <v/>
      </c>
      <c r="CB148" s="71" t="str">
        <f t="shared" si="27"/>
        <v>-</v>
      </c>
      <c r="CC148" s="33"/>
      <c r="CD148" s="261" t="str">
        <f t="shared" si="29"/>
        <v/>
      </c>
      <c r="CE148" s="280" t="str">
        <f t="shared" si="89"/>
        <v>-</v>
      </c>
      <c r="CF148" s="71" t="str">
        <f t="shared" ca="1" si="90"/>
        <v>-</v>
      </c>
      <c r="CG148" s="33" t="str">
        <f t="shared" si="32"/>
        <v>48-49</v>
      </c>
      <c r="CH148" s="261" t="str">
        <f t="shared" ca="1" si="33"/>
        <v/>
      </c>
      <c r="CI148" s="99"/>
      <c r="CJ148" s="99"/>
      <c r="CK148" s="99"/>
      <c r="CL148" s="99"/>
      <c r="CM148" s="99"/>
      <c r="CN148" s="99"/>
      <c r="CO148" s="99"/>
    </row>
    <row r="149" spans="2:93" ht="13.5" customHeight="1" x14ac:dyDescent="0.2">
      <c r="B149" s="262">
        <v>49</v>
      </c>
      <c r="C149" s="237" t="str">
        <f t="shared" si="1"/>
        <v/>
      </c>
      <c r="D149" s="237" t="str">
        <f t="shared" si="66"/>
        <v>-</v>
      </c>
      <c r="E149" s="290" t="str">
        <f t="shared" si="34"/>
        <v/>
      </c>
      <c r="F149" s="264" t="str">
        <f t="shared" si="35"/>
        <v/>
      </c>
      <c r="G149" s="291" t="str">
        <f t="shared" si="36"/>
        <v/>
      </c>
      <c r="H149" s="240" t="str">
        <f t="shared" si="71"/>
        <v/>
      </c>
      <c r="I149" s="265" t="str">
        <f t="shared" si="72"/>
        <v/>
      </c>
      <c r="J149" s="265" t="str">
        <f t="shared" si="73"/>
        <v/>
      </c>
      <c r="K149" s="240" t="str">
        <f t="shared" si="74"/>
        <v/>
      </c>
      <c r="L149" s="265" t="str">
        <f t="shared" si="75"/>
        <v/>
      </c>
      <c r="M149" s="265" t="str">
        <f t="shared" si="76"/>
        <v/>
      </c>
      <c r="N149" s="240" t="str">
        <f t="shared" si="77"/>
        <v>-</v>
      </c>
      <c r="O149" s="265" t="str">
        <f t="shared" si="78"/>
        <v>-</v>
      </c>
      <c r="P149" s="265" t="str">
        <f t="shared" si="79"/>
        <v>-</v>
      </c>
      <c r="Q149" s="266" t="str">
        <f t="shared" si="80"/>
        <v>-</v>
      </c>
      <c r="R149" s="267" t="str">
        <f t="shared" si="81"/>
        <v>-</v>
      </c>
      <c r="S149" s="268" t="str">
        <f t="shared" si="82"/>
        <v>-</v>
      </c>
      <c r="T149" s="269" t="str">
        <f t="shared" si="9"/>
        <v/>
      </c>
      <c r="U149" s="221">
        <f t="shared" si="10"/>
        <v>49</v>
      </c>
      <c r="V149" s="220" t="str">
        <f t="shared" si="42"/>
        <v>-</v>
      </c>
      <c r="W149" s="221" t="str">
        <f t="shared" si="43"/>
        <v>-</v>
      </c>
      <c r="X149" s="221" t="str">
        <f t="shared" si="11"/>
        <v>-</v>
      </c>
      <c r="Y149" s="221" t="str">
        <f t="shared" si="12"/>
        <v>-</v>
      </c>
      <c r="Z149" s="270">
        <f t="shared" si="44"/>
        <v>0.1</v>
      </c>
      <c r="AA149" s="271" t="str">
        <f>IFERROR(IF(V148=1,AA$100*EXP(-(LN(2)/$D$65+0.04)*X148)*EXP(-(LN(2)/$D$65+0.1)*Y148),IF(V148=2,AA$100*EXP(-(LN(2)/$D$65+0.04)*(VLOOKUP(($F$16-$F$15)-1,U$99:Y148,4,FALSE)))*EXP(-(LN(2)/$D$65+0.1)*(VLOOKUP(($F$16-$F$15)-1,U$99:Y148,5,FALSE)))*EXP(-(LN(2)/$D$65+0.04)*X148)*EXP(-(LN(2)/$D$65+0.1)*Y148),IF(V148=3,AA$100*EXP(-(LN(2)/$D$65+0.04)*(VLOOKUP(($F$16-$F$15)-1,U$99:Y148,4,FALSE)))*EXP(-(LN(2)/$D$65+0.1)*(VLOOKUP(($F$16-$F$15)-1,U$99:Y148,5,FALSE)))*EXP(-(LN(2)/$D$65+0.04)*(VLOOKUP(($F$16-$F$15)*2-1,U$99:Y148,4,FALSE)))*EXP(-(LN(2)/$D$65+0.1)*(VLOOKUP(($F$16-$F$15)*2-1,U$99:Y148,5,FALSE)))*EXP(-(LN(2)/$D$65+0.04)*X148)*EXP(-(LN(2)/$D$65+0.1)*Y148),"-"))),"-")</f>
        <v>-</v>
      </c>
      <c r="AB149" s="271" t="str">
        <f>IFERROR(IF(V149=1,AB$100*EXP(-(LN(2)/$D$65+0.04)*X149)*EXP(-(LN(2)/$D$65+0.1)*Y149),IF(V149=2,AB$100*EXP(-(LN(2)/$D$65+0.04)*(VLOOKUP(($F$16-$F$15)-1,U$100:Y149,4,FALSE)))*EXP(-(LN(2)/$D$65+0.1)*(VLOOKUP(($F$16-$F$15)-1,U$100:Y149,5,FALSE)))*EXP(-(LN(2)/$D$65+0.04)*X149)*EXP(-(LN(2)/$D$65+0.1)*Y149),IF(V149=3,AB$100*EXP(-(LN(2)/$D$65+0.04)*(VLOOKUP(($F$16-$F$15)-1,U$100:Y149,4,FALSE)))*EXP(-(LN(2)/$D$65+0.1)*(VLOOKUP(($F$16-$F$15)-1,U$100:Y149,5,FALSE)))*EXP(-(LN(2)/$D$65+0.04)*(VLOOKUP(($F$16-$F$15)*2-1,U$100:Y149,4,FALSE)))*EXP(-(LN(2)/$D$65+0.1)*(VLOOKUP(($F$16-$F$15)*2-1,U$100:Y149,5,FALSE)))*EXP(-(LN(2)/$D$65+0.04)*X149)*EXP(-(LN(2)/$D$65+0.1)*Y149),"-"))),"-")</f>
        <v>-</v>
      </c>
      <c r="AC149" s="224">
        <f t="shared" si="45"/>
        <v>49</v>
      </c>
      <c r="AD149" s="223" t="str">
        <f t="shared" si="14"/>
        <v>-</v>
      </c>
      <c r="AE149" s="224" t="str">
        <f t="shared" si="46"/>
        <v>-</v>
      </c>
      <c r="AF149" s="224" t="str">
        <f t="shared" si="15"/>
        <v>-</v>
      </c>
      <c r="AG149" s="224" t="str">
        <f t="shared" si="16"/>
        <v>-</v>
      </c>
      <c r="AH149" s="272">
        <f t="shared" si="47"/>
        <v>0.1</v>
      </c>
      <c r="AI149" s="271" t="str">
        <f>IFERROR(IF(AD148=1,AI$100*EXP(-(LN(2)/$D$65+0.04)*AF148)*EXP(-(LN(2)/$D$65+0.1)*AG148),IF(AD148=2,AI$100*EXP(-(LN(2)/$D$65+0.04)*(VLOOKUP(($F$16-$F$15)-1,AC$99:AG148,4,FALSE)))*EXP(-(LN(2)/$D$65+0.1)*(VLOOKUP(($F$16-$F$15)-1,AC$99:AG148,5,FALSE)))*EXP(-(LN(2)/$D$65+0.04)*AF148)*EXP(-(LN(2)/$D$65+0.1)*AG148),IF(AD148=3,AI$100*EXP(-(LN(2)/$D$65+0.04)*(VLOOKUP(($F$16-$F$15)-1,AC$99:AG148,4,FALSE)))*EXP(-(LN(2)/$D$65+0.1)*(VLOOKUP(($F$16-$F$15)-1,AC$99:AG148,5,FALSE)))*EXP(-(LN(2)/$D$65+0.04)*(VLOOKUP(($F$16-$F$15)*2-1,AC$99:AG148,4,FALSE)))*EXP(-(LN(2)/$D$65+0.1)*(VLOOKUP(($F$16-$F$15)*2-1,AC$99:AG148,5,FALSE)))*EXP(-(LN(2)/$D$65+0.04)*AF148)*EXP(-(LN(2)/$D$65+0.1)*AG148),"-"))),"-")</f>
        <v>-</v>
      </c>
      <c r="AJ149" s="271" t="str">
        <f>IFERROR(IF(AD149=1,AJ$100*EXP(-(LN(2)/$D$65+0.04)*AF149)*EXP(-(LN(2)/$D$65+0.1)*AG149),IF(AD149=2,AJ$100*EXP(-(LN(2)/$D$65+0.04)*(VLOOKUP(($F$16-$F$15)-1,AC$100:AG149,4,FALSE)))*EXP(-(LN(2)/$D$65+0.1)*(VLOOKUP(($F$16-$F$15)-1,AC$100:AG149,5,FALSE)))*EXP(-(LN(2)/$D$65+0.04)*AF149)*EXP(-(LN(2)/$D$65+0.1)*AG149),IF(AD149=3,AJ$100*EXP(-(LN(2)/$D$65+0.04)*(VLOOKUP(($F$16-$F$15)-1,AC$100:AG149,4,FALSE)))*EXP(-(LN(2)/$D$65+0.1)*(VLOOKUP(($F$16-$F$15)-1,AC$100:AG149,5,FALSE)))*EXP(-(LN(2)/$D$65+0.04)*(VLOOKUP(($F$16-$F$15)*2-1,AC$100:AG149,4,FALSE)))*EXP(-(LN(2)/$D$65+0.1)*(VLOOKUP(($F$16-$F$15)*2-1,AC$100:AG149,5,FALSE)))*EXP(-(LN(2)/$D$65+0.04)*AF149)*EXP(-(LN(2)/$D$65+0.1)*AG149),"-"))),"-")</f>
        <v>-</v>
      </c>
      <c r="AK149" s="227">
        <f t="shared" si="49"/>
        <v>49</v>
      </c>
      <c r="AL149" s="226" t="str">
        <f t="shared" si="18"/>
        <v>-</v>
      </c>
      <c r="AM149" s="227" t="str">
        <f t="shared" si="50"/>
        <v>-</v>
      </c>
      <c r="AN149" s="227" t="str">
        <f t="shared" si="51"/>
        <v>-</v>
      </c>
      <c r="AO149" s="227" t="str">
        <f t="shared" si="19"/>
        <v>-</v>
      </c>
      <c r="AP149" s="273">
        <f t="shared" si="52"/>
        <v>0.1</v>
      </c>
      <c r="AQ149" s="271" t="str">
        <f>IFERROR(IF(AL148=1,AQ$100*EXP(-(LN(2)/$D$65+0.04)*AN148)*EXP(-(LN(2)/$D$65+0.1)*AO148),IF(AL148=2,AQ$100*EXP(-(LN(2)/$D$65+0.04)*(VLOOKUP(($F$16-$F$15)-1,AK$99:AO148,4,FALSE)))*EXP(-(LN(2)/$D$65+0.1)*(VLOOKUP(($F$16-$F$15)-1,AK$99:AO148,5,FALSE)))*EXP(-(LN(2)/$D$65+0.04)*AN148)*EXP(-(LN(2)/$D$65+0.1)*AO148),IF(AL148=3,AQ$100*EXP(-(LN(2)/$D$65+0.04)*(VLOOKUP(($F$16-$F$15)-1,AK$99:AO148,4,FALSE)))*EXP(-(LN(2)/$D$65+0.1)*(VLOOKUP(($F$16-$F$15)-1,AK$99:AO148,5,FALSE)))*EXP(-(LN(2)/$D$65+0.04)*(VLOOKUP(($F$16-$F$15)*2-1,AK$99:AO148,4,FALSE)))*EXP(-(LN(2)/$D$65+0.1)*(VLOOKUP(($F$16-$F$15)*2-1,AK$99:AO148,5,FALSE)))*EXP(-(LN(2)/$D$65+0.04)*AN148)*EXP(-(LN(2)/$D$65+0.1)*AO148),"-"))),"-")</f>
        <v>-</v>
      </c>
      <c r="AR149" s="271" t="str">
        <f>IFERROR(IF(AL149=1,AR$100*EXP(-(LN(2)/$D$65+0.04)*AN149)*EXP(-(LN(2)/$D$65+0.1)*AO149),IF(AL149=2,AR$100*EXP(-(LN(2)/$D$65+0.04)*(VLOOKUP(($F$16-$F$15)-1,AK$100:AO149,4,FALSE)))*EXP(-(LN(2)/$D$65+0.1)*(VLOOKUP(($F$16-$F$15)-1,AK$100:AO149,5,FALSE)))*EXP(-(LN(2)/$D$65+0.04)*AN149)*EXP(-(LN(2)/$D$65+0.1)*AO149),IF(AL149=3,AR$100*EXP(-(LN(2)/$D$65+0.04)*(VLOOKUP(($F$16-$F$15)-1,AK$100:AO149,4,FALSE)))*EXP(-(LN(2)/$D$65+0.1)*(VLOOKUP(($F$16-$F$15)-1,AK$100:AO149,5,FALSE)))*EXP(-(LN(2)/$D$65+0.04)*(VLOOKUP(($F$16-$F$15)*2-1,AK$100:AO149,4,FALSE)))*EXP(-(LN(2)/$D$65+0.1)*(VLOOKUP(($F$16-$F$15)*2-1,AK$100:AO149,5,FALSE)))*EXP(-(LN(2)/$D$65+0.04)*AN149)*EXP(-(LN(2)/$D$65+0.1)*AO149),"-"))),"-")</f>
        <v>-</v>
      </c>
      <c r="AS149" s="274">
        <f t="shared" si="20"/>
        <v>0</v>
      </c>
      <c r="AT149" s="274">
        <f t="shared" si="21"/>
        <v>0</v>
      </c>
      <c r="AU149" s="274">
        <f t="shared" si="22"/>
        <v>0</v>
      </c>
      <c r="AV149" s="190">
        <f>IF($B149&lt;$F$22,SUM($T$100:$T149),"")</f>
        <v>0</v>
      </c>
      <c r="AW149" s="190" t="str">
        <f t="shared" si="83"/>
        <v>-</v>
      </c>
      <c r="AX149" s="190" t="str">
        <f t="shared" si="56"/>
        <v/>
      </c>
      <c r="AY149"/>
      <c r="AZ149" s="190" t="str">
        <f ca="1">IF(ISNUMBER(OFFSET(AV149,-$F$21,0)),SUM(OFFSET($T$100,$F$21,0):$T149),"")</f>
        <v/>
      </c>
      <c r="BA149" s="190" t="str">
        <f t="shared" ca="1" si="84"/>
        <v/>
      </c>
      <c r="BB149" s="190" t="str">
        <f t="shared" ca="1" si="70"/>
        <v/>
      </c>
      <c r="BC149" s="190"/>
      <c r="BD149" s="190" t="str">
        <f ca="1">IFERROR(IF(AND($B149&gt;=($F$16-$F$15),$B149&lt;$F$22+($F$16-$F$15)),SUM(OFFSET($T$100,($F$16-$F$15),0):$T149),""),"")</f>
        <v/>
      </c>
      <c r="BE149" s="190" t="str">
        <f t="shared" ca="1" si="58"/>
        <v/>
      </c>
      <c r="BF149" s="190" t="str">
        <f t="shared" ca="1" si="59"/>
        <v/>
      </c>
      <c r="BG149"/>
      <c r="BH149" s="190" t="str">
        <f ca="1">IF(ISNUMBER(OFFSET(BD149,-$F$21,0)),SUM(OFFSET($T$100,($F$16-$F$15+$F$21),0):$T149),"")</f>
        <v/>
      </c>
      <c r="BI149" s="190" t="str">
        <f t="shared" ca="1" si="85"/>
        <v/>
      </c>
      <c r="BJ149" s="190" t="str">
        <f t="shared" ca="1" si="60"/>
        <v/>
      </c>
      <c r="BK149" s="190"/>
      <c r="BL149" s="190" t="str">
        <f ca="1">IFERROR(IF(AND($B149&gt;=($F$17-$F$15),$B149&lt;$F$22+($F$17-$F$15)),SUM(OFFSET($T$100,($F$17-$F$15),0):$T149),""),"")</f>
        <v/>
      </c>
      <c r="BM149" s="190" t="str">
        <f t="shared" ca="1" si="86"/>
        <v/>
      </c>
      <c r="BN149" s="190" t="str">
        <f t="shared" ca="1" si="61"/>
        <v/>
      </c>
      <c r="BO149"/>
      <c r="BP149" s="190" t="str">
        <f ca="1">IF(ISNUMBER(OFFSET(BL149,-$F$21,0)),SUM(OFFSET($T$100,($F$17-$F$15+$F$21),0):$T149),"")</f>
        <v/>
      </c>
      <c r="BQ149" s="190" t="str">
        <f t="shared" ca="1" si="87"/>
        <v/>
      </c>
      <c r="BR149" s="190" t="str">
        <f t="shared" ca="1" si="63"/>
        <v/>
      </c>
      <c r="BS149" s="190"/>
      <c r="BT149"/>
      <c r="BU149"/>
      <c r="BV149"/>
      <c r="BY149" s="99"/>
      <c r="BZ149" s="99"/>
      <c r="CA149" s="280" t="str">
        <f t="shared" si="88"/>
        <v/>
      </c>
      <c r="CB149" s="71" t="str">
        <f t="shared" si="27"/>
        <v>-</v>
      </c>
      <c r="CC149" s="33"/>
      <c r="CD149" s="261" t="str">
        <f t="shared" si="29"/>
        <v/>
      </c>
      <c r="CE149" s="280" t="str">
        <f t="shared" si="89"/>
        <v>-</v>
      </c>
      <c r="CF149" s="71" t="str">
        <f t="shared" ca="1" si="90"/>
        <v>-</v>
      </c>
      <c r="CG149" s="33" t="str">
        <f t="shared" si="32"/>
        <v>49-50</v>
      </c>
      <c r="CH149" s="261" t="str">
        <f t="shared" ca="1" si="33"/>
        <v/>
      </c>
      <c r="CI149" s="99"/>
      <c r="CJ149" s="99"/>
      <c r="CK149" s="99"/>
      <c r="CL149" s="99"/>
      <c r="CM149" s="99"/>
      <c r="CN149" s="99"/>
      <c r="CO149" s="99"/>
    </row>
    <row r="150" spans="2:93" ht="13.5" customHeight="1" x14ac:dyDescent="0.2">
      <c r="B150" s="262">
        <v>50</v>
      </c>
      <c r="C150" s="237" t="str">
        <f t="shared" si="1"/>
        <v/>
      </c>
      <c r="D150" s="237" t="str">
        <f t="shared" si="66"/>
        <v>-</v>
      </c>
      <c r="E150" s="290" t="str">
        <f t="shared" si="34"/>
        <v/>
      </c>
      <c r="F150" s="264" t="str">
        <f t="shared" si="35"/>
        <v/>
      </c>
      <c r="G150" s="291" t="str">
        <f t="shared" si="36"/>
        <v/>
      </c>
      <c r="H150" s="240" t="str">
        <f t="shared" si="71"/>
        <v/>
      </c>
      <c r="I150" s="265" t="str">
        <f t="shared" si="72"/>
        <v/>
      </c>
      <c r="J150" s="265" t="str">
        <f t="shared" si="73"/>
        <v/>
      </c>
      <c r="K150" s="240" t="str">
        <f t="shared" si="74"/>
        <v/>
      </c>
      <c r="L150" s="265" t="str">
        <f t="shared" si="75"/>
        <v/>
      </c>
      <c r="M150" s="265" t="str">
        <f t="shared" si="76"/>
        <v/>
      </c>
      <c r="N150" s="240" t="str">
        <f t="shared" si="77"/>
        <v>-</v>
      </c>
      <c r="O150" s="265" t="str">
        <f t="shared" si="78"/>
        <v>-</v>
      </c>
      <c r="P150" s="265" t="str">
        <f t="shared" si="79"/>
        <v>-</v>
      </c>
      <c r="Q150" s="266" t="str">
        <f t="shared" si="80"/>
        <v>-</v>
      </c>
      <c r="R150" s="267" t="str">
        <f t="shared" si="81"/>
        <v>-</v>
      </c>
      <c r="S150" s="268" t="str">
        <f t="shared" si="82"/>
        <v>-</v>
      </c>
      <c r="T150" s="269" t="str">
        <f t="shared" si="9"/>
        <v/>
      </c>
      <c r="U150" s="221">
        <f t="shared" si="10"/>
        <v>50</v>
      </c>
      <c r="V150" s="220" t="str">
        <f t="shared" si="42"/>
        <v>-</v>
      </c>
      <c r="W150" s="221" t="str">
        <f t="shared" si="43"/>
        <v>-</v>
      </c>
      <c r="X150" s="221" t="str">
        <f t="shared" si="11"/>
        <v>-</v>
      </c>
      <c r="Y150" s="221" t="str">
        <f t="shared" si="12"/>
        <v>-</v>
      </c>
      <c r="Z150" s="270">
        <f t="shared" si="44"/>
        <v>0.1</v>
      </c>
      <c r="AA150" s="271" t="str">
        <f>IFERROR(IF(V149=1,AA$100*EXP(-(LN(2)/$D$65+0.04)*X149)*EXP(-(LN(2)/$D$65+0.1)*Y149),IF(V149=2,AA$100*EXP(-(LN(2)/$D$65+0.04)*(VLOOKUP(($F$16-$F$15)-1,U$99:Y149,4,FALSE)))*EXP(-(LN(2)/$D$65+0.1)*(VLOOKUP(($F$16-$F$15)-1,U$99:Y149,5,FALSE)))*EXP(-(LN(2)/$D$65+0.04)*X149)*EXP(-(LN(2)/$D$65+0.1)*Y149),IF(V149=3,AA$100*EXP(-(LN(2)/$D$65+0.04)*(VLOOKUP(($F$16-$F$15)-1,U$99:Y149,4,FALSE)))*EXP(-(LN(2)/$D$65+0.1)*(VLOOKUP(($F$16-$F$15)-1,U$99:Y149,5,FALSE)))*EXP(-(LN(2)/$D$65+0.04)*(VLOOKUP(($F$16-$F$15)*2-1,U$99:Y149,4,FALSE)))*EXP(-(LN(2)/$D$65+0.1)*(VLOOKUP(($F$16-$F$15)*2-1,U$99:Y149,5,FALSE)))*EXP(-(LN(2)/$D$65+0.04)*X149)*EXP(-(LN(2)/$D$65+0.1)*Y149),"-"))),"-")</f>
        <v>-</v>
      </c>
      <c r="AB150" s="271" t="str">
        <f>IFERROR(IF(V150=1,AB$100*EXP(-(LN(2)/$D$65+0.04)*X150)*EXP(-(LN(2)/$D$65+0.1)*Y150),IF(V150=2,AB$100*EXP(-(LN(2)/$D$65+0.04)*(VLOOKUP(($F$16-$F$15)-1,U$100:Y150,4,FALSE)))*EXP(-(LN(2)/$D$65+0.1)*(VLOOKUP(($F$16-$F$15)-1,U$100:Y150,5,FALSE)))*EXP(-(LN(2)/$D$65+0.04)*X150)*EXP(-(LN(2)/$D$65+0.1)*Y150),IF(V150=3,AB$100*EXP(-(LN(2)/$D$65+0.04)*(VLOOKUP(($F$16-$F$15)-1,U$100:Y150,4,FALSE)))*EXP(-(LN(2)/$D$65+0.1)*(VLOOKUP(($F$16-$F$15)-1,U$100:Y150,5,FALSE)))*EXP(-(LN(2)/$D$65+0.04)*(VLOOKUP(($F$16-$F$15)*2-1,U$100:Y150,4,FALSE)))*EXP(-(LN(2)/$D$65+0.1)*(VLOOKUP(($F$16-$F$15)*2-1,U$100:Y150,5,FALSE)))*EXP(-(LN(2)/$D$65+0.04)*X150)*EXP(-(LN(2)/$D$65+0.1)*Y150),"-"))),"-")</f>
        <v>-</v>
      </c>
      <c r="AC150" s="224">
        <f t="shared" si="45"/>
        <v>50</v>
      </c>
      <c r="AD150" s="223" t="str">
        <f t="shared" si="14"/>
        <v>-</v>
      </c>
      <c r="AE150" s="224" t="str">
        <f t="shared" si="46"/>
        <v>-</v>
      </c>
      <c r="AF150" s="224" t="str">
        <f t="shared" si="15"/>
        <v>-</v>
      </c>
      <c r="AG150" s="224" t="str">
        <f t="shared" si="16"/>
        <v>-</v>
      </c>
      <c r="AH150" s="272">
        <f t="shared" si="47"/>
        <v>0.1</v>
      </c>
      <c r="AI150" s="271" t="str">
        <f>IFERROR(IF(AD149=1,AI$100*EXP(-(LN(2)/$D$65+0.04)*AF149)*EXP(-(LN(2)/$D$65+0.1)*AG149),IF(AD149=2,AI$100*EXP(-(LN(2)/$D$65+0.04)*(VLOOKUP(($F$16-$F$15)-1,AC$99:AG149,4,FALSE)))*EXP(-(LN(2)/$D$65+0.1)*(VLOOKUP(($F$16-$F$15)-1,AC$99:AG149,5,FALSE)))*EXP(-(LN(2)/$D$65+0.04)*AF149)*EXP(-(LN(2)/$D$65+0.1)*AG149),IF(AD149=3,AI$100*EXP(-(LN(2)/$D$65+0.04)*(VLOOKUP(($F$16-$F$15)-1,AC$99:AG149,4,FALSE)))*EXP(-(LN(2)/$D$65+0.1)*(VLOOKUP(($F$16-$F$15)-1,AC$99:AG149,5,FALSE)))*EXP(-(LN(2)/$D$65+0.04)*(VLOOKUP(($F$16-$F$15)*2-1,AC$99:AG149,4,FALSE)))*EXP(-(LN(2)/$D$65+0.1)*(VLOOKUP(($F$16-$F$15)*2-1,AC$99:AG149,5,FALSE)))*EXP(-(LN(2)/$D$65+0.04)*AF149)*EXP(-(LN(2)/$D$65+0.1)*AG149),"-"))),"-")</f>
        <v>-</v>
      </c>
      <c r="AJ150" s="271" t="str">
        <f>IFERROR(IF(AD150=1,AJ$100*EXP(-(LN(2)/$D$65+0.04)*AF150)*EXP(-(LN(2)/$D$65+0.1)*AG150),IF(AD150=2,AJ$100*EXP(-(LN(2)/$D$65+0.04)*(VLOOKUP(($F$16-$F$15)-1,AC$100:AG150,4,FALSE)))*EXP(-(LN(2)/$D$65+0.1)*(VLOOKUP(($F$16-$F$15)-1,AC$100:AG150,5,FALSE)))*EXP(-(LN(2)/$D$65+0.04)*AF150)*EXP(-(LN(2)/$D$65+0.1)*AG150),IF(AD150=3,AJ$100*EXP(-(LN(2)/$D$65+0.04)*(VLOOKUP(($F$16-$F$15)-1,AC$100:AG150,4,FALSE)))*EXP(-(LN(2)/$D$65+0.1)*(VLOOKUP(($F$16-$F$15)-1,AC$100:AG150,5,FALSE)))*EXP(-(LN(2)/$D$65+0.04)*(VLOOKUP(($F$16-$F$15)*2-1,AC$100:AG150,4,FALSE)))*EXP(-(LN(2)/$D$65+0.1)*(VLOOKUP(($F$16-$F$15)*2-1,AC$100:AG150,5,FALSE)))*EXP(-(LN(2)/$D$65+0.04)*AF150)*EXP(-(LN(2)/$D$65+0.1)*AG150),"-"))),"-")</f>
        <v>-</v>
      </c>
      <c r="AK150" s="227">
        <f t="shared" si="49"/>
        <v>50</v>
      </c>
      <c r="AL150" s="226" t="str">
        <f t="shared" si="18"/>
        <v>-</v>
      </c>
      <c r="AM150" s="227" t="str">
        <f t="shared" si="50"/>
        <v>-</v>
      </c>
      <c r="AN150" s="227" t="str">
        <f t="shared" si="51"/>
        <v>-</v>
      </c>
      <c r="AO150" s="227" t="str">
        <f t="shared" si="19"/>
        <v>-</v>
      </c>
      <c r="AP150" s="273">
        <f t="shared" si="52"/>
        <v>0.1</v>
      </c>
      <c r="AQ150" s="271" t="str">
        <f>IFERROR(IF(AL149=1,AQ$100*EXP(-(LN(2)/$D$65+0.04)*AN149)*EXP(-(LN(2)/$D$65+0.1)*AO149),IF(AL149=2,AQ$100*EXP(-(LN(2)/$D$65+0.04)*(VLOOKUP(($F$16-$F$15)-1,AK$99:AO149,4,FALSE)))*EXP(-(LN(2)/$D$65+0.1)*(VLOOKUP(($F$16-$F$15)-1,AK$99:AO149,5,FALSE)))*EXP(-(LN(2)/$D$65+0.04)*AN149)*EXP(-(LN(2)/$D$65+0.1)*AO149),IF(AL149=3,AQ$100*EXP(-(LN(2)/$D$65+0.04)*(VLOOKUP(($F$16-$F$15)-1,AK$99:AO149,4,FALSE)))*EXP(-(LN(2)/$D$65+0.1)*(VLOOKUP(($F$16-$F$15)-1,AK$99:AO149,5,FALSE)))*EXP(-(LN(2)/$D$65+0.04)*(VLOOKUP(($F$16-$F$15)*2-1,AK$99:AO149,4,FALSE)))*EXP(-(LN(2)/$D$65+0.1)*(VLOOKUP(($F$16-$F$15)*2-1,AK$99:AO149,5,FALSE)))*EXP(-(LN(2)/$D$65+0.04)*AN149)*EXP(-(LN(2)/$D$65+0.1)*AO149),"-"))),"-")</f>
        <v>-</v>
      </c>
      <c r="AR150" s="271" t="str">
        <f>IFERROR(IF(AL150=1,AR$100*EXP(-(LN(2)/$D$65+0.04)*AN150)*EXP(-(LN(2)/$D$65+0.1)*AO150),IF(AL150=2,AR$100*EXP(-(LN(2)/$D$65+0.04)*(VLOOKUP(($F$16-$F$15)-1,AK$100:AO150,4,FALSE)))*EXP(-(LN(2)/$D$65+0.1)*(VLOOKUP(($F$16-$F$15)-1,AK$100:AO150,5,FALSE)))*EXP(-(LN(2)/$D$65+0.04)*AN150)*EXP(-(LN(2)/$D$65+0.1)*AO150),IF(AL150=3,AR$100*EXP(-(LN(2)/$D$65+0.04)*(VLOOKUP(($F$16-$F$15)-1,AK$100:AO150,4,FALSE)))*EXP(-(LN(2)/$D$65+0.1)*(VLOOKUP(($F$16-$F$15)-1,AK$100:AO150,5,FALSE)))*EXP(-(LN(2)/$D$65+0.04)*(VLOOKUP(($F$16-$F$15)*2-1,AK$100:AO150,4,FALSE)))*EXP(-(LN(2)/$D$65+0.1)*(VLOOKUP(($F$16-$F$15)*2-1,AK$100:AO150,5,FALSE)))*EXP(-(LN(2)/$D$65+0.04)*AN150)*EXP(-(LN(2)/$D$65+0.1)*AO150),"-"))),"-")</f>
        <v>-</v>
      </c>
      <c r="AS150" s="274">
        <f t="shared" si="20"/>
        <v>0</v>
      </c>
      <c r="AT150" s="274">
        <f t="shared" si="21"/>
        <v>0</v>
      </c>
      <c r="AU150" s="274">
        <f t="shared" si="22"/>
        <v>0</v>
      </c>
      <c r="AV150" s="190">
        <f>IF($B150&lt;$F$22,SUM($T$100:$T150),"")</f>
        <v>0</v>
      </c>
      <c r="AW150" s="190" t="str">
        <f t="shared" si="83"/>
        <v>-</v>
      </c>
      <c r="AX150" s="190" t="str">
        <f t="shared" si="56"/>
        <v/>
      </c>
      <c r="AY150"/>
      <c r="AZ150" s="190" t="str">
        <f ca="1">IF(ISNUMBER(OFFSET(AV150,-$F$21,0)),SUM(OFFSET($T$100,$F$21,0):$T150),"")</f>
        <v/>
      </c>
      <c r="BA150" s="190" t="str">
        <f t="shared" ca="1" si="84"/>
        <v/>
      </c>
      <c r="BB150" s="190" t="str">
        <f t="shared" ca="1" si="70"/>
        <v/>
      </c>
      <c r="BC150" s="190"/>
      <c r="BD150" s="190" t="str">
        <f ca="1">IFERROR(IF(AND($B150&gt;=($F$16-$F$15),$B150&lt;$F$22+($F$16-$F$15)),SUM(OFFSET($T$100,($F$16-$F$15),0):$T150),""),"")</f>
        <v/>
      </c>
      <c r="BE150" s="190" t="str">
        <f t="shared" ca="1" si="58"/>
        <v/>
      </c>
      <c r="BF150" s="190" t="str">
        <f t="shared" ca="1" si="59"/>
        <v/>
      </c>
      <c r="BG150"/>
      <c r="BH150" s="190" t="str">
        <f ca="1">IF(ISNUMBER(OFFSET(BD150,-$F$21,0)),SUM(OFFSET($T$100,($F$16-$F$15+$F$21),0):$T150),"")</f>
        <v/>
      </c>
      <c r="BI150" s="190" t="str">
        <f t="shared" ca="1" si="85"/>
        <v/>
      </c>
      <c r="BJ150" s="190" t="str">
        <f t="shared" ca="1" si="60"/>
        <v/>
      </c>
      <c r="BK150" s="190"/>
      <c r="BL150" s="190" t="str">
        <f ca="1">IFERROR(IF(AND($B150&gt;=($F$17-$F$15),$B150&lt;$F$22+($F$17-$F$15)),SUM(OFFSET($T$100,($F$17-$F$15),0):$T150),""),"")</f>
        <v/>
      </c>
      <c r="BM150" s="190" t="str">
        <f t="shared" ca="1" si="86"/>
        <v/>
      </c>
      <c r="BN150" s="190" t="str">
        <f t="shared" ca="1" si="61"/>
        <v/>
      </c>
      <c r="BO150"/>
      <c r="BP150" s="190" t="str">
        <f ca="1">IF(ISNUMBER(OFFSET(BL150,-$F$21,0)),SUM(OFFSET($T$100,($F$17-$F$15+$F$21),0):$T150),"")</f>
        <v/>
      </c>
      <c r="BQ150" s="190" t="str">
        <f t="shared" ca="1" si="87"/>
        <v/>
      </c>
      <c r="BR150" s="190" t="str">
        <f t="shared" ca="1" si="63"/>
        <v/>
      </c>
      <c r="BS150" s="190"/>
      <c r="BT150"/>
      <c r="BU150"/>
      <c r="BV150"/>
      <c r="BY150" s="99"/>
      <c r="BZ150" s="99"/>
      <c r="CA150" s="280" t="str">
        <f t="shared" si="88"/>
        <v/>
      </c>
      <c r="CB150" s="71" t="str">
        <f t="shared" si="27"/>
        <v>-</v>
      </c>
      <c r="CC150" s="33"/>
      <c r="CD150" s="261" t="str">
        <f t="shared" si="29"/>
        <v/>
      </c>
      <c r="CE150" s="280" t="str">
        <f t="shared" si="89"/>
        <v>-</v>
      </c>
      <c r="CF150" s="71" t="str">
        <f t="shared" ca="1" si="90"/>
        <v>-</v>
      </c>
      <c r="CG150" s="33" t="str">
        <f t="shared" si="32"/>
        <v>50-51</v>
      </c>
      <c r="CH150" s="261" t="str">
        <f t="shared" ca="1" si="33"/>
        <v/>
      </c>
      <c r="CI150" s="99"/>
      <c r="CJ150" s="99"/>
      <c r="CK150" s="99"/>
      <c r="CL150" s="99"/>
      <c r="CM150" s="99"/>
      <c r="CN150" s="99"/>
      <c r="CO150" s="99"/>
    </row>
    <row r="151" spans="2:93" ht="13.5" customHeight="1" x14ac:dyDescent="0.2">
      <c r="B151" s="262">
        <v>51</v>
      </c>
      <c r="C151" s="237" t="str">
        <f t="shared" si="1"/>
        <v/>
      </c>
      <c r="D151" s="237" t="str">
        <f t="shared" si="66"/>
        <v>-</v>
      </c>
      <c r="E151" s="290" t="str">
        <f t="shared" si="34"/>
        <v/>
      </c>
      <c r="F151" s="264" t="str">
        <f t="shared" si="35"/>
        <v/>
      </c>
      <c r="G151" s="291" t="str">
        <f t="shared" si="36"/>
        <v/>
      </c>
      <c r="H151" s="240" t="str">
        <f t="shared" si="71"/>
        <v/>
      </c>
      <c r="I151" s="265" t="str">
        <f t="shared" si="72"/>
        <v/>
      </c>
      <c r="J151" s="265" t="str">
        <f t="shared" si="73"/>
        <v/>
      </c>
      <c r="K151" s="240" t="str">
        <f t="shared" si="74"/>
        <v/>
      </c>
      <c r="L151" s="265" t="str">
        <f t="shared" si="75"/>
        <v/>
      </c>
      <c r="M151" s="265" t="str">
        <f t="shared" si="76"/>
        <v/>
      </c>
      <c r="N151" s="240" t="str">
        <f t="shared" si="77"/>
        <v>-</v>
      </c>
      <c r="O151" s="265" t="str">
        <f t="shared" si="78"/>
        <v>-</v>
      </c>
      <c r="P151" s="265" t="str">
        <f t="shared" si="79"/>
        <v>-</v>
      </c>
      <c r="Q151" s="266" t="str">
        <f t="shared" si="80"/>
        <v>-</v>
      </c>
      <c r="R151" s="267" t="str">
        <f t="shared" si="81"/>
        <v>-</v>
      </c>
      <c r="S151" s="268" t="str">
        <f t="shared" si="82"/>
        <v>-</v>
      </c>
      <c r="T151" s="269" t="str">
        <f t="shared" si="9"/>
        <v/>
      </c>
      <c r="U151" s="221">
        <f t="shared" si="10"/>
        <v>51</v>
      </c>
      <c r="V151" s="220" t="str">
        <f t="shared" si="42"/>
        <v>-</v>
      </c>
      <c r="W151" s="221" t="str">
        <f t="shared" si="43"/>
        <v>-</v>
      </c>
      <c r="X151" s="221" t="str">
        <f t="shared" si="11"/>
        <v>-</v>
      </c>
      <c r="Y151" s="221" t="str">
        <f t="shared" si="12"/>
        <v>-</v>
      </c>
      <c r="Z151" s="270">
        <f t="shared" si="44"/>
        <v>0.1</v>
      </c>
      <c r="AA151" s="271" t="str">
        <f>IFERROR(IF(V150=1,AA$100*EXP(-(LN(2)/$D$65+0.04)*X150)*EXP(-(LN(2)/$D$65+0.1)*Y150),IF(V150=2,AA$100*EXP(-(LN(2)/$D$65+0.04)*(VLOOKUP(($F$16-$F$15)-1,U$99:Y150,4,FALSE)))*EXP(-(LN(2)/$D$65+0.1)*(VLOOKUP(($F$16-$F$15)-1,U$99:Y150,5,FALSE)))*EXP(-(LN(2)/$D$65+0.04)*X150)*EXP(-(LN(2)/$D$65+0.1)*Y150),IF(V150=3,AA$100*EXP(-(LN(2)/$D$65+0.04)*(VLOOKUP(($F$16-$F$15)-1,U$99:Y150,4,FALSE)))*EXP(-(LN(2)/$D$65+0.1)*(VLOOKUP(($F$16-$F$15)-1,U$99:Y150,5,FALSE)))*EXP(-(LN(2)/$D$65+0.04)*(VLOOKUP(($F$16-$F$15)*2-1,U$99:Y150,4,FALSE)))*EXP(-(LN(2)/$D$65+0.1)*(VLOOKUP(($F$16-$F$15)*2-1,U$99:Y150,5,FALSE)))*EXP(-(LN(2)/$D$65+0.04)*X150)*EXP(-(LN(2)/$D$65+0.1)*Y150),"-"))),"-")</f>
        <v>-</v>
      </c>
      <c r="AB151" s="271" t="str">
        <f>IFERROR(IF(V151=1,AB$100*EXP(-(LN(2)/$D$65+0.04)*X151)*EXP(-(LN(2)/$D$65+0.1)*Y151),IF(V151=2,AB$100*EXP(-(LN(2)/$D$65+0.04)*(VLOOKUP(($F$16-$F$15)-1,U$100:Y151,4,FALSE)))*EXP(-(LN(2)/$D$65+0.1)*(VLOOKUP(($F$16-$F$15)-1,U$100:Y151,5,FALSE)))*EXP(-(LN(2)/$D$65+0.04)*X151)*EXP(-(LN(2)/$D$65+0.1)*Y151),IF(V151=3,AB$100*EXP(-(LN(2)/$D$65+0.04)*(VLOOKUP(($F$16-$F$15)-1,U$100:Y151,4,FALSE)))*EXP(-(LN(2)/$D$65+0.1)*(VLOOKUP(($F$16-$F$15)-1,U$100:Y151,5,FALSE)))*EXP(-(LN(2)/$D$65+0.04)*(VLOOKUP(($F$16-$F$15)*2-1,U$100:Y151,4,FALSE)))*EXP(-(LN(2)/$D$65+0.1)*(VLOOKUP(($F$16-$F$15)*2-1,U$100:Y151,5,FALSE)))*EXP(-(LN(2)/$D$65+0.04)*X151)*EXP(-(LN(2)/$D$65+0.1)*Y151),"-"))),"-")</f>
        <v>-</v>
      </c>
      <c r="AC151" s="224">
        <f t="shared" si="45"/>
        <v>51</v>
      </c>
      <c r="AD151" s="223" t="str">
        <f t="shared" si="14"/>
        <v>-</v>
      </c>
      <c r="AE151" s="224" t="str">
        <f t="shared" si="46"/>
        <v>-</v>
      </c>
      <c r="AF151" s="224" t="str">
        <f t="shared" si="15"/>
        <v>-</v>
      </c>
      <c r="AG151" s="224" t="str">
        <f t="shared" si="16"/>
        <v>-</v>
      </c>
      <c r="AH151" s="272">
        <f t="shared" si="47"/>
        <v>0.1</v>
      </c>
      <c r="AI151" s="271" t="str">
        <f>IFERROR(IF(AD150=1,AI$100*EXP(-(LN(2)/$D$65+0.04)*AF150)*EXP(-(LN(2)/$D$65+0.1)*AG150),IF(AD150=2,AI$100*EXP(-(LN(2)/$D$65+0.04)*(VLOOKUP(($F$16-$F$15)-1,AC$99:AG150,4,FALSE)))*EXP(-(LN(2)/$D$65+0.1)*(VLOOKUP(($F$16-$F$15)-1,AC$99:AG150,5,FALSE)))*EXP(-(LN(2)/$D$65+0.04)*AF150)*EXP(-(LN(2)/$D$65+0.1)*AG150),IF(AD150=3,AI$100*EXP(-(LN(2)/$D$65+0.04)*(VLOOKUP(($F$16-$F$15)-1,AC$99:AG150,4,FALSE)))*EXP(-(LN(2)/$D$65+0.1)*(VLOOKUP(($F$16-$F$15)-1,AC$99:AG150,5,FALSE)))*EXP(-(LN(2)/$D$65+0.04)*(VLOOKUP(($F$16-$F$15)*2-1,AC$99:AG150,4,FALSE)))*EXP(-(LN(2)/$D$65+0.1)*(VLOOKUP(($F$16-$F$15)*2-1,AC$99:AG150,5,FALSE)))*EXP(-(LN(2)/$D$65+0.04)*AF150)*EXP(-(LN(2)/$D$65+0.1)*AG150),"-"))),"-")</f>
        <v>-</v>
      </c>
      <c r="AJ151" s="271" t="str">
        <f>IFERROR(IF(AD151=1,AJ$100*EXP(-(LN(2)/$D$65+0.04)*AF151)*EXP(-(LN(2)/$D$65+0.1)*AG151),IF(AD151=2,AJ$100*EXP(-(LN(2)/$D$65+0.04)*(VLOOKUP(($F$16-$F$15)-1,AC$100:AG151,4,FALSE)))*EXP(-(LN(2)/$D$65+0.1)*(VLOOKUP(($F$16-$F$15)-1,AC$100:AG151,5,FALSE)))*EXP(-(LN(2)/$D$65+0.04)*AF151)*EXP(-(LN(2)/$D$65+0.1)*AG151),IF(AD151=3,AJ$100*EXP(-(LN(2)/$D$65+0.04)*(VLOOKUP(($F$16-$F$15)-1,AC$100:AG151,4,FALSE)))*EXP(-(LN(2)/$D$65+0.1)*(VLOOKUP(($F$16-$F$15)-1,AC$100:AG151,5,FALSE)))*EXP(-(LN(2)/$D$65+0.04)*(VLOOKUP(($F$16-$F$15)*2-1,AC$100:AG151,4,FALSE)))*EXP(-(LN(2)/$D$65+0.1)*(VLOOKUP(($F$16-$F$15)*2-1,AC$100:AG151,5,FALSE)))*EXP(-(LN(2)/$D$65+0.04)*AF151)*EXP(-(LN(2)/$D$65+0.1)*AG151),"-"))),"-")</f>
        <v>-</v>
      </c>
      <c r="AK151" s="227">
        <f t="shared" si="49"/>
        <v>51</v>
      </c>
      <c r="AL151" s="226" t="str">
        <f t="shared" si="18"/>
        <v>-</v>
      </c>
      <c r="AM151" s="227" t="str">
        <f t="shared" si="50"/>
        <v>-</v>
      </c>
      <c r="AN151" s="227" t="str">
        <f t="shared" si="51"/>
        <v>-</v>
      </c>
      <c r="AO151" s="227" t="str">
        <f t="shared" si="19"/>
        <v>-</v>
      </c>
      <c r="AP151" s="273">
        <f t="shared" si="52"/>
        <v>0.1</v>
      </c>
      <c r="AQ151" s="271" t="str">
        <f>IFERROR(IF(AL150=1,AQ$100*EXP(-(LN(2)/$D$65+0.04)*AN150)*EXP(-(LN(2)/$D$65+0.1)*AO150),IF(AL150=2,AQ$100*EXP(-(LN(2)/$D$65+0.04)*(VLOOKUP(($F$16-$F$15)-1,AK$99:AO150,4,FALSE)))*EXP(-(LN(2)/$D$65+0.1)*(VLOOKUP(($F$16-$F$15)-1,AK$99:AO150,5,FALSE)))*EXP(-(LN(2)/$D$65+0.04)*AN150)*EXP(-(LN(2)/$D$65+0.1)*AO150),IF(AL150=3,AQ$100*EXP(-(LN(2)/$D$65+0.04)*(VLOOKUP(($F$16-$F$15)-1,AK$99:AO150,4,FALSE)))*EXP(-(LN(2)/$D$65+0.1)*(VLOOKUP(($F$16-$F$15)-1,AK$99:AO150,5,FALSE)))*EXP(-(LN(2)/$D$65+0.04)*(VLOOKUP(($F$16-$F$15)*2-1,AK$99:AO150,4,FALSE)))*EXP(-(LN(2)/$D$65+0.1)*(VLOOKUP(($F$16-$F$15)*2-1,AK$99:AO150,5,FALSE)))*EXP(-(LN(2)/$D$65+0.04)*AN150)*EXP(-(LN(2)/$D$65+0.1)*AO150),"-"))),"-")</f>
        <v>-</v>
      </c>
      <c r="AR151" s="271" t="str">
        <f>IFERROR(IF(AL151=1,AR$100*EXP(-(LN(2)/$D$65+0.04)*AN151)*EXP(-(LN(2)/$D$65+0.1)*AO151),IF(AL151=2,AR$100*EXP(-(LN(2)/$D$65+0.04)*(VLOOKUP(($F$16-$F$15)-1,AK$100:AO151,4,FALSE)))*EXP(-(LN(2)/$D$65+0.1)*(VLOOKUP(($F$16-$F$15)-1,AK$100:AO151,5,FALSE)))*EXP(-(LN(2)/$D$65+0.04)*AN151)*EXP(-(LN(2)/$D$65+0.1)*AO151),IF(AL151=3,AR$100*EXP(-(LN(2)/$D$65+0.04)*(VLOOKUP(($F$16-$F$15)-1,AK$100:AO151,4,FALSE)))*EXP(-(LN(2)/$D$65+0.1)*(VLOOKUP(($F$16-$F$15)-1,AK$100:AO151,5,FALSE)))*EXP(-(LN(2)/$D$65+0.04)*(VLOOKUP(($F$16-$F$15)*2-1,AK$100:AO151,4,FALSE)))*EXP(-(LN(2)/$D$65+0.1)*(VLOOKUP(($F$16-$F$15)*2-1,AK$100:AO151,5,FALSE)))*EXP(-(LN(2)/$D$65+0.04)*AN151)*EXP(-(LN(2)/$D$65+0.1)*AO151),"-"))),"-")</f>
        <v>-</v>
      </c>
      <c r="AS151" s="274">
        <f t="shared" si="20"/>
        <v>0</v>
      </c>
      <c r="AT151" s="274">
        <f t="shared" si="21"/>
        <v>0</v>
      </c>
      <c r="AU151" s="274">
        <f t="shared" si="22"/>
        <v>0</v>
      </c>
      <c r="AV151" s="190">
        <f>IF($B151&lt;$F$22,SUM($T$100:$T151),"")</f>
        <v>0</v>
      </c>
      <c r="AW151" s="190" t="str">
        <f t="shared" si="83"/>
        <v>-</v>
      </c>
      <c r="AX151" s="190" t="str">
        <f t="shared" si="56"/>
        <v/>
      </c>
      <c r="AY151"/>
      <c r="AZ151" s="190" t="str">
        <f ca="1">IF(ISNUMBER(OFFSET(AV151,-$F$21,0)),SUM(OFFSET($T$100,$F$21,0):$T151),"")</f>
        <v/>
      </c>
      <c r="BA151" s="190" t="str">
        <f t="shared" ca="1" si="84"/>
        <v/>
      </c>
      <c r="BB151" s="190" t="str">
        <f t="shared" ca="1" si="70"/>
        <v/>
      </c>
      <c r="BC151" s="190"/>
      <c r="BD151" s="190" t="str">
        <f ca="1">IFERROR(IF(AND($B151&gt;=($F$16-$F$15),$B151&lt;$F$22+($F$16-$F$15)),SUM(OFFSET($T$100,($F$16-$F$15),0):$T151),""),"")</f>
        <v/>
      </c>
      <c r="BE151" s="190" t="str">
        <f t="shared" ca="1" si="58"/>
        <v/>
      </c>
      <c r="BF151" s="190" t="str">
        <f t="shared" ca="1" si="59"/>
        <v/>
      </c>
      <c r="BG151"/>
      <c r="BH151" s="190" t="str">
        <f ca="1">IF(ISNUMBER(OFFSET(BD151,-$F$21,0)),SUM(OFFSET($T$100,($F$16-$F$15+$F$21),0):$T151),"")</f>
        <v/>
      </c>
      <c r="BI151" s="190" t="str">
        <f t="shared" ca="1" si="85"/>
        <v/>
      </c>
      <c r="BJ151" s="190" t="str">
        <f t="shared" ca="1" si="60"/>
        <v/>
      </c>
      <c r="BK151" s="190"/>
      <c r="BL151" s="190" t="str">
        <f ca="1">IFERROR(IF(AND($B151&gt;=($F$17-$F$15),$B151&lt;$F$22+($F$17-$F$15)),SUM(OFFSET($T$100,($F$17-$F$15),0):$T151),""),"")</f>
        <v/>
      </c>
      <c r="BM151" s="190" t="str">
        <f t="shared" ca="1" si="86"/>
        <v/>
      </c>
      <c r="BN151" s="190" t="str">
        <f t="shared" ca="1" si="61"/>
        <v/>
      </c>
      <c r="BO151"/>
      <c r="BP151" s="190" t="str">
        <f ca="1">IF(ISNUMBER(OFFSET(BL151,-$F$21,0)),SUM(OFFSET($T$100,($F$17-$F$15+$F$21),0):$T151),"")</f>
        <v/>
      </c>
      <c r="BQ151" s="190" t="str">
        <f t="shared" ca="1" si="87"/>
        <v/>
      </c>
      <c r="BR151" s="190" t="str">
        <f t="shared" ca="1" si="63"/>
        <v/>
      </c>
      <c r="BS151" s="190"/>
      <c r="BT151"/>
      <c r="BU151"/>
      <c r="BV151"/>
      <c r="BY151" s="99"/>
      <c r="BZ151" s="99"/>
      <c r="CA151" s="280" t="str">
        <f t="shared" si="88"/>
        <v/>
      </c>
      <c r="CB151" s="71" t="str">
        <f t="shared" si="27"/>
        <v>-</v>
      </c>
      <c r="CC151" s="33"/>
      <c r="CD151" s="261" t="str">
        <f t="shared" si="29"/>
        <v/>
      </c>
      <c r="CE151" s="280" t="str">
        <f t="shared" si="89"/>
        <v>-</v>
      </c>
      <c r="CF151" s="71" t="str">
        <f t="shared" ca="1" si="90"/>
        <v>-</v>
      </c>
      <c r="CG151" s="33" t="str">
        <f t="shared" si="32"/>
        <v>51-52</v>
      </c>
      <c r="CH151" s="261" t="str">
        <f t="shared" ca="1" si="33"/>
        <v/>
      </c>
      <c r="CI151" s="99"/>
      <c r="CJ151" s="99"/>
      <c r="CK151" s="99"/>
      <c r="CL151" s="99"/>
      <c r="CM151" s="99"/>
      <c r="CN151" s="99"/>
      <c r="CO151" s="99"/>
    </row>
    <row r="152" spans="2:93" ht="13.5" customHeight="1" x14ac:dyDescent="0.2">
      <c r="B152" s="262">
        <v>52</v>
      </c>
      <c r="C152" s="237" t="str">
        <f t="shared" si="1"/>
        <v/>
      </c>
      <c r="D152" s="237" t="str">
        <f t="shared" si="66"/>
        <v>-</v>
      </c>
      <c r="E152" s="290" t="str">
        <f t="shared" si="34"/>
        <v/>
      </c>
      <c r="F152" s="264" t="str">
        <f t="shared" si="35"/>
        <v/>
      </c>
      <c r="G152" s="291" t="str">
        <f t="shared" si="36"/>
        <v/>
      </c>
      <c r="H152" s="240" t="str">
        <f t="shared" si="71"/>
        <v/>
      </c>
      <c r="I152" s="265" t="str">
        <f t="shared" si="72"/>
        <v/>
      </c>
      <c r="J152" s="265" t="str">
        <f t="shared" si="73"/>
        <v/>
      </c>
      <c r="K152" s="240" t="str">
        <f t="shared" si="74"/>
        <v/>
      </c>
      <c r="L152" s="265" t="str">
        <f t="shared" si="75"/>
        <v/>
      </c>
      <c r="M152" s="265" t="str">
        <f t="shared" si="76"/>
        <v/>
      </c>
      <c r="N152" s="240" t="str">
        <f t="shared" si="77"/>
        <v>-</v>
      </c>
      <c r="O152" s="265" t="str">
        <f t="shared" si="78"/>
        <v>-</v>
      </c>
      <c r="P152" s="265" t="str">
        <f t="shared" si="79"/>
        <v>-</v>
      </c>
      <c r="Q152" s="266" t="str">
        <f t="shared" si="80"/>
        <v>-</v>
      </c>
      <c r="R152" s="267" t="str">
        <f t="shared" si="81"/>
        <v>-</v>
      </c>
      <c r="S152" s="268" t="str">
        <f t="shared" si="82"/>
        <v>-</v>
      </c>
      <c r="T152" s="269" t="str">
        <f t="shared" si="9"/>
        <v/>
      </c>
      <c r="U152" s="221">
        <f t="shared" si="10"/>
        <v>52</v>
      </c>
      <c r="V152" s="220" t="str">
        <f t="shared" si="42"/>
        <v>-</v>
      </c>
      <c r="W152" s="221" t="str">
        <f t="shared" si="43"/>
        <v>-</v>
      </c>
      <c r="X152" s="221" t="str">
        <f t="shared" si="11"/>
        <v>-</v>
      </c>
      <c r="Y152" s="221" t="str">
        <f t="shared" si="12"/>
        <v>-</v>
      </c>
      <c r="Z152" s="270">
        <f t="shared" si="44"/>
        <v>0.1</v>
      </c>
      <c r="AA152" s="271" t="str">
        <f>IFERROR(IF(V151=1,AA$100*EXP(-(LN(2)/$D$65+0.04)*X151)*EXP(-(LN(2)/$D$65+0.1)*Y151),IF(V151=2,AA$100*EXP(-(LN(2)/$D$65+0.04)*(VLOOKUP(($F$16-$F$15)-1,U$99:Y151,4,FALSE)))*EXP(-(LN(2)/$D$65+0.1)*(VLOOKUP(($F$16-$F$15)-1,U$99:Y151,5,FALSE)))*EXP(-(LN(2)/$D$65+0.04)*X151)*EXP(-(LN(2)/$D$65+0.1)*Y151),IF(V151=3,AA$100*EXP(-(LN(2)/$D$65+0.04)*(VLOOKUP(($F$16-$F$15)-1,U$99:Y151,4,FALSE)))*EXP(-(LN(2)/$D$65+0.1)*(VLOOKUP(($F$16-$F$15)-1,U$99:Y151,5,FALSE)))*EXP(-(LN(2)/$D$65+0.04)*(VLOOKUP(($F$16-$F$15)*2-1,U$99:Y151,4,FALSE)))*EXP(-(LN(2)/$D$65+0.1)*(VLOOKUP(($F$16-$F$15)*2-1,U$99:Y151,5,FALSE)))*EXP(-(LN(2)/$D$65+0.04)*X151)*EXP(-(LN(2)/$D$65+0.1)*Y151),"-"))),"-")</f>
        <v>-</v>
      </c>
      <c r="AB152" s="271" t="str">
        <f>IFERROR(IF(V152=1,AB$100*EXP(-(LN(2)/$D$65+0.04)*X152)*EXP(-(LN(2)/$D$65+0.1)*Y152),IF(V152=2,AB$100*EXP(-(LN(2)/$D$65+0.04)*(VLOOKUP(($F$16-$F$15)-1,U$100:Y152,4,FALSE)))*EXP(-(LN(2)/$D$65+0.1)*(VLOOKUP(($F$16-$F$15)-1,U$100:Y152,5,FALSE)))*EXP(-(LN(2)/$D$65+0.04)*X152)*EXP(-(LN(2)/$D$65+0.1)*Y152),IF(V152=3,AB$100*EXP(-(LN(2)/$D$65+0.04)*(VLOOKUP(($F$16-$F$15)-1,U$100:Y152,4,FALSE)))*EXP(-(LN(2)/$D$65+0.1)*(VLOOKUP(($F$16-$F$15)-1,U$100:Y152,5,FALSE)))*EXP(-(LN(2)/$D$65+0.04)*(VLOOKUP(($F$16-$F$15)*2-1,U$100:Y152,4,FALSE)))*EXP(-(LN(2)/$D$65+0.1)*(VLOOKUP(($F$16-$F$15)*2-1,U$100:Y152,5,FALSE)))*EXP(-(LN(2)/$D$65+0.04)*X152)*EXP(-(LN(2)/$D$65+0.1)*Y152),"-"))),"-")</f>
        <v>-</v>
      </c>
      <c r="AC152" s="224">
        <f t="shared" si="45"/>
        <v>52</v>
      </c>
      <c r="AD152" s="223" t="str">
        <f t="shared" si="14"/>
        <v>-</v>
      </c>
      <c r="AE152" s="224" t="str">
        <f t="shared" si="46"/>
        <v>-</v>
      </c>
      <c r="AF152" s="224" t="str">
        <f t="shared" si="15"/>
        <v>-</v>
      </c>
      <c r="AG152" s="224" t="str">
        <f t="shared" si="16"/>
        <v>-</v>
      </c>
      <c r="AH152" s="272">
        <f t="shared" si="47"/>
        <v>0.1</v>
      </c>
      <c r="AI152" s="271" t="str">
        <f>IFERROR(IF(AD151=1,AI$100*EXP(-(LN(2)/$D$65+0.04)*AF151)*EXP(-(LN(2)/$D$65+0.1)*AG151),IF(AD151=2,AI$100*EXP(-(LN(2)/$D$65+0.04)*(VLOOKUP(($F$16-$F$15)-1,AC$99:AG151,4,FALSE)))*EXP(-(LN(2)/$D$65+0.1)*(VLOOKUP(($F$16-$F$15)-1,AC$99:AG151,5,FALSE)))*EXP(-(LN(2)/$D$65+0.04)*AF151)*EXP(-(LN(2)/$D$65+0.1)*AG151),IF(AD151=3,AI$100*EXP(-(LN(2)/$D$65+0.04)*(VLOOKUP(($F$16-$F$15)-1,AC$99:AG151,4,FALSE)))*EXP(-(LN(2)/$D$65+0.1)*(VLOOKUP(($F$16-$F$15)-1,AC$99:AG151,5,FALSE)))*EXP(-(LN(2)/$D$65+0.04)*(VLOOKUP(($F$16-$F$15)*2-1,AC$99:AG151,4,FALSE)))*EXP(-(LN(2)/$D$65+0.1)*(VLOOKUP(($F$16-$F$15)*2-1,AC$99:AG151,5,FALSE)))*EXP(-(LN(2)/$D$65+0.04)*AF151)*EXP(-(LN(2)/$D$65+0.1)*AG151),"-"))),"-")</f>
        <v>-</v>
      </c>
      <c r="AJ152" s="271" t="str">
        <f>IFERROR(IF(AD152=1,AJ$100*EXP(-(LN(2)/$D$65+0.04)*AF152)*EXP(-(LN(2)/$D$65+0.1)*AG152),IF(AD152=2,AJ$100*EXP(-(LN(2)/$D$65+0.04)*(VLOOKUP(($F$16-$F$15)-1,AC$100:AG152,4,FALSE)))*EXP(-(LN(2)/$D$65+0.1)*(VLOOKUP(($F$16-$F$15)-1,AC$100:AG152,5,FALSE)))*EXP(-(LN(2)/$D$65+0.04)*AF152)*EXP(-(LN(2)/$D$65+0.1)*AG152),IF(AD152=3,AJ$100*EXP(-(LN(2)/$D$65+0.04)*(VLOOKUP(($F$16-$F$15)-1,AC$100:AG152,4,FALSE)))*EXP(-(LN(2)/$D$65+0.1)*(VLOOKUP(($F$16-$F$15)-1,AC$100:AG152,5,FALSE)))*EXP(-(LN(2)/$D$65+0.04)*(VLOOKUP(($F$16-$F$15)*2-1,AC$100:AG152,4,FALSE)))*EXP(-(LN(2)/$D$65+0.1)*(VLOOKUP(($F$16-$F$15)*2-1,AC$100:AG152,5,FALSE)))*EXP(-(LN(2)/$D$65+0.04)*AF152)*EXP(-(LN(2)/$D$65+0.1)*AG152),"-"))),"-")</f>
        <v>-</v>
      </c>
      <c r="AK152" s="227">
        <f t="shared" si="49"/>
        <v>52</v>
      </c>
      <c r="AL152" s="226" t="str">
        <f t="shared" si="18"/>
        <v>-</v>
      </c>
      <c r="AM152" s="227" t="str">
        <f t="shared" si="50"/>
        <v>-</v>
      </c>
      <c r="AN152" s="227" t="str">
        <f t="shared" si="51"/>
        <v>-</v>
      </c>
      <c r="AO152" s="227" t="str">
        <f t="shared" si="19"/>
        <v>-</v>
      </c>
      <c r="AP152" s="273">
        <f t="shared" si="52"/>
        <v>0.1</v>
      </c>
      <c r="AQ152" s="271" t="str">
        <f>IFERROR(IF(AL151=1,AQ$100*EXP(-(LN(2)/$D$65+0.04)*AN151)*EXP(-(LN(2)/$D$65+0.1)*AO151),IF(AL151=2,AQ$100*EXP(-(LN(2)/$D$65+0.04)*(VLOOKUP(($F$16-$F$15)-1,AK$99:AO151,4,FALSE)))*EXP(-(LN(2)/$D$65+0.1)*(VLOOKUP(($F$16-$F$15)-1,AK$99:AO151,5,FALSE)))*EXP(-(LN(2)/$D$65+0.04)*AN151)*EXP(-(LN(2)/$D$65+0.1)*AO151),IF(AL151=3,AQ$100*EXP(-(LN(2)/$D$65+0.04)*(VLOOKUP(($F$16-$F$15)-1,AK$99:AO151,4,FALSE)))*EXP(-(LN(2)/$D$65+0.1)*(VLOOKUP(($F$16-$F$15)-1,AK$99:AO151,5,FALSE)))*EXP(-(LN(2)/$D$65+0.04)*(VLOOKUP(($F$16-$F$15)*2-1,AK$99:AO151,4,FALSE)))*EXP(-(LN(2)/$D$65+0.1)*(VLOOKUP(($F$16-$F$15)*2-1,AK$99:AO151,5,FALSE)))*EXP(-(LN(2)/$D$65+0.04)*AN151)*EXP(-(LN(2)/$D$65+0.1)*AO151),"-"))),"-")</f>
        <v>-</v>
      </c>
      <c r="AR152" s="271" t="str">
        <f>IFERROR(IF(AL152=1,AR$100*EXP(-(LN(2)/$D$65+0.04)*AN152)*EXP(-(LN(2)/$D$65+0.1)*AO152),IF(AL152=2,AR$100*EXP(-(LN(2)/$D$65+0.04)*(VLOOKUP(($F$16-$F$15)-1,AK$100:AO152,4,FALSE)))*EXP(-(LN(2)/$D$65+0.1)*(VLOOKUP(($F$16-$F$15)-1,AK$100:AO152,5,FALSE)))*EXP(-(LN(2)/$D$65+0.04)*AN152)*EXP(-(LN(2)/$D$65+0.1)*AO152),IF(AL152=3,AR$100*EXP(-(LN(2)/$D$65+0.04)*(VLOOKUP(($F$16-$F$15)-1,AK$100:AO152,4,FALSE)))*EXP(-(LN(2)/$D$65+0.1)*(VLOOKUP(($F$16-$F$15)-1,AK$100:AO152,5,FALSE)))*EXP(-(LN(2)/$D$65+0.04)*(VLOOKUP(($F$16-$F$15)*2-1,AK$100:AO152,4,FALSE)))*EXP(-(LN(2)/$D$65+0.1)*(VLOOKUP(($F$16-$F$15)*2-1,AK$100:AO152,5,FALSE)))*EXP(-(LN(2)/$D$65+0.04)*AN152)*EXP(-(LN(2)/$D$65+0.1)*AO152),"-"))),"-")</f>
        <v>-</v>
      </c>
      <c r="AS152" s="274">
        <f t="shared" si="20"/>
        <v>0</v>
      </c>
      <c r="AT152" s="274">
        <f t="shared" si="21"/>
        <v>0</v>
      </c>
      <c r="AU152" s="274">
        <f t="shared" si="22"/>
        <v>0</v>
      </c>
      <c r="AV152" s="190">
        <f>IF($B152&lt;$F$22,SUM($T$100:$T152),"")</f>
        <v>0</v>
      </c>
      <c r="AW152" s="190" t="str">
        <f t="shared" si="83"/>
        <v>-</v>
      </c>
      <c r="AX152" s="190" t="str">
        <f t="shared" si="56"/>
        <v/>
      </c>
      <c r="AY152"/>
      <c r="AZ152" s="190" t="str">
        <f ca="1">IF(ISNUMBER(OFFSET(AV152,-$F$21,0)),SUM(OFFSET($T$100,$F$21,0):$T152),"")</f>
        <v/>
      </c>
      <c r="BA152" s="190" t="str">
        <f t="shared" ca="1" si="84"/>
        <v/>
      </c>
      <c r="BB152" s="190" t="str">
        <f t="shared" ca="1" si="70"/>
        <v/>
      </c>
      <c r="BC152" s="190"/>
      <c r="BD152" s="190" t="str">
        <f ca="1">IFERROR(IF(AND($B152&gt;=($F$16-$F$15),$B152&lt;$F$22+($F$16-$F$15)),SUM(OFFSET($T$100,($F$16-$F$15),0):$T152),""),"")</f>
        <v/>
      </c>
      <c r="BE152" s="190" t="str">
        <f t="shared" ca="1" si="58"/>
        <v/>
      </c>
      <c r="BF152" s="190" t="str">
        <f t="shared" ca="1" si="59"/>
        <v/>
      </c>
      <c r="BG152"/>
      <c r="BH152" s="190" t="str">
        <f ca="1">IF(ISNUMBER(OFFSET(BD152,-$F$21,0)),SUM(OFFSET($T$100,($F$16-$F$15+$F$21),0):$T152),"")</f>
        <v/>
      </c>
      <c r="BI152" s="190" t="str">
        <f t="shared" ca="1" si="85"/>
        <v/>
      </c>
      <c r="BJ152" s="190" t="str">
        <f t="shared" ca="1" si="60"/>
        <v/>
      </c>
      <c r="BK152" s="190"/>
      <c r="BL152" s="190" t="str">
        <f ca="1">IFERROR(IF(AND($B152&gt;=($F$17-$F$15),$B152&lt;$F$22+($F$17-$F$15)),SUM(OFFSET($T$100,($F$17-$F$15),0):$T152),""),"")</f>
        <v/>
      </c>
      <c r="BM152" s="190" t="str">
        <f t="shared" ca="1" si="86"/>
        <v/>
      </c>
      <c r="BN152" s="190" t="str">
        <f t="shared" ca="1" si="61"/>
        <v/>
      </c>
      <c r="BO152"/>
      <c r="BP152" s="190" t="str">
        <f ca="1">IF(ISNUMBER(OFFSET(BL152,-$F$21,0)),SUM(OFFSET($T$100,($F$17-$F$15+$F$21),0):$T152),"")</f>
        <v/>
      </c>
      <c r="BQ152" s="190" t="str">
        <f t="shared" ca="1" si="87"/>
        <v/>
      </c>
      <c r="BR152" s="190" t="str">
        <f t="shared" ca="1" si="63"/>
        <v/>
      </c>
      <c r="BS152" s="190"/>
      <c r="BT152"/>
      <c r="BU152"/>
      <c r="BV152"/>
      <c r="BY152" s="99"/>
      <c r="BZ152" s="99"/>
      <c r="CA152" s="280" t="str">
        <f t="shared" si="88"/>
        <v/>
      </c>
      <c r="CB152" s="71" t="str">
        <f t="shared" si="27"/>
        <v>-</v>
      </c>
      <c r="CC152" s="33"/>
      <c r="CD152" s="261" t="str">
        <f t="shared" si="29"/>
        <v/>
      </c>
      <c r="CE152" s="280" t="str">
        <f t="shared" si="89"/>
        <v>-</v>
      </c>
      <c r="CF152" s="71" t="str">
        <f t="shared" ca="1" si="90"/>
        <v>-</v>
      </c>
      <c r="CG152" s="33" t="str">
        <f t="shared" si="32"/>
        <v>52-53</v>
      </c>
      <c r="CH152" s="261" t="str">
        <f t="shared" ca="1" si="33"/>
        <v/>
      </c>
      <c r="CI152" s="99"/>
      <c r="CJ152" s="99"/>
      <c r="CK152" s="99"/>
      <c r="CL152" s="99"/>
      <c r="CM152" s="99"/>
      <c r="CN152" s="99"/>
      <c r="CO152" s="99"/>
    </row>
    <row r="153" spans="2:93" ht="13.5" customHeight="1" x14ac:dyDescent="0.2">
      <c r="B153" s="262">
        <v>53</v>
      </c>
      <c r="C153" s="237" t="str">
        <f t="shared" si="1"/>
        <v/>
      </c>
      <c r="D153" s="237" t="str">
        <f t="shared" si="66"/>
        <v>-</v>
      </c>
      <c r="E153" s="290" t="str">
        <f t="shared" si="34"/>
        <v/>
      </c>
      <c r="F153" s="264" t="str">
        <f t="shared" si="35"/>
        <v/>
      </c>
      <c r="G153" s="291" t="str">
        <f t="shared" si="36"/>
        <v/>
      </c>
      <c r="H153" s="240" t="str">
        <f t="shared" si="71"/>
        <v/>
      </c>
      <c r="I153" s="265" t="str">
        <f t="shared" si="72"/>
        <v/>
      </c>
      <c r="J153" s="265" t="str">
        <f t="shared" si="73"/>
        <v/>
      </c>
      <c r="K153" s="240" t="str">
        <f t="shared" si="74"/>
        <v/>
      </c>
      <c r="L153" s="265" t="str">
        <f t="shared" si="75"/>
        <v/>
      </c>
      <c r="M153" s="265" t="str">
        <f t="shared" si="76"/>
        <v/>
      </c>
      <c r="N153" s="240" t="str">
        <f t="shared" si="77"/>
        <v>-</v>
      </c>
      <c r="O153" s="265" t="str">
        <f t="shared" si="78"/>
        <v>-</v>
      </c>
      <c r="P153" s="265" t="str">
        <f t="shared" si="79"/>
        <v>-</v>
      </c>
      <c r="Q153" s="266" t="str">
        <f t="shared" si="80"/>
        <v>-</v>
      </c>
      <c r="R153" s="267" t="str">
        <f t="shared" si="81"/>
        <v>-</v>
      </c>
      <c r="S153" s="268" t="str">
        <f t="shared" si="82"/>
        <v>-</v>
      </c>
      <c r="T153" s="269" t="str">
        <f t="shared" si="9"/>
        <v/>
      </c>
      <c r="U153" s="221">
        <f t="shared" si="10"/>
        <v>53</v>
      </c>
      <c r="V153" s="220" t="str">
        <f t="shared" si="42"/>
        <v>-</v>
      </c>
      <c r="W153" s="221" t="str">
        <f t="shared" si="43"/>
        <v>-</v>
      </c>
      <c r="X153" s="221" t="str">
        <f t="shared" si="11"/>
        <v>-</v>
      </c>
      <c r="Y153" s="221" t="str">
        <f t="shared" si="12"/>
        <v>-</v>
      </c>
      <c r="Z153" s="270">
        <f t="shared" si="44"/>
        <v>0.1</v>
      </c>
      <c r="AA153" s="271" t="str">
        <f>IFERROR(IF(V152=1,AA$100*EXP(-(LN(2)/$D$65+0.04)*X152)*EXP(-(LN(2)/$D$65+0.1)*Y152),IF(V152=2,AA$100*EXP(-(LN(2)/$D$65+0.04)*(VLOOKUP(($F$16-$F$15)-1,U$99:Y152,4,FALSE)))*EXP(-(LN(2)/$D$65+0.1)*(VLOOKUP(($F$16-$F$15)-1,U$99:Y152,5,FALSE)))*EXP(-(LN(2)/$D$65+0.04)*X152)*EXP(-(LN(2)/$D$65+0.1)*Y152),IF(V152=3,AA$100*EXP(-(LN(2)/$D$65+0.04)*(VLOOKUP(($F$16-$F$15)-1,U$99:Y152,4,FALSE)))*EXP(-(LN(2)/$D$65+0.1)*(VLOOKUP(($F$16-$F$15)-1,U$99:Y152,5,FALSE)))*EXP(-(LN(2)/$D$65+0.04)*(VLOOKUP(($F$16-$F$15)*2-1,U$99:Y152,4,FALSE)))*EXP(-(LN(2)/$D$65+0.1)*(VLOOKUP(($F$16-$F$15)*2-1,U$99:Y152,5,FALSE)))*EXP(-(LN(2)/$D$65+0.04)*X152)*EXP(-(LN(2)/$D$65+0.1)*Y152),"-"))),"-")</f>
        <v>-</v>
      </c>
      <c r="AB153" s="271" t="str">
        <f>IFERROR(IF(V153=1,AB$100*EXP(-(LN(2)/$D$65+0.04)*X153)*EXP(-(LN(2)/$D$65+0.1)*Y153),IF(V153=2,AB$100*EXP(-(LN(2)/$D$65+0.04)*(VLOOKUP(($F$16-$F$15)-1,U$100:Y153,4,FALSE)))*EXP(-(LN(2)/$D$65+0.1)*(VLOOKUP(($F$16-$F$15)-1,U$100:Y153,5,FALSE)))*EXP(-(LN(2)/$D$65+0.04)*X153)*EXP(-(LN(2)/$D$65+0.1)*Y153),IF(V153=3,AB$100*EXP(-(LN(2)/$D$65+0.04)*(VLOOKUP(($F$16-$F$15)-1,U$100:Y153,4,FALSE)))*EXP(-(LN(2)/$D$65+0.1)*(VLOOKUP(($F$16-$F$15)-1,U$100:Y153,5,FALSE)))*EXP(-(LN(2)/$D$65+0.04)*(VLOOKUP(($F$16-$F$15)*2-1,U$100:Y153,4,FALSE)))*EXP(-(LN(2)/$D$65+0.1)*(VLOOKUP(($F$16-$F$15)*2-1,U$100:Y153,5,FALSE)))*EXP(-(LN(2)/$D$65+0.04)*X153)*EXP(-(LN(2)/$D$65+0.1)*Y153),"-"))),"-")</f>
        <v>-</v>
      </c>
      <c r="AC153" s="224">
        <f t="shared" si="45"/>
        <v>53</v>
      </c>
      <c r="AD153" s="223" t="str">
        <f t="shared" si="14"/>
        <v>-</v>
      </c>
      <c r="AE153" s="224" t="str">
        <f t="shared" si="46"/>
        <v>-</v>
      </c>
      <c r="AF153" s="224" t="str">
        <f t="shared" si="15"/>
        <v>-</v>
      </c>
      <c r="AG153" s="224" t="str">
        <f t="shared" si="16"/>
        <v>-</v>
      </c>
      <c r="AH153" s="272">
        <f t="shared" si="47"/>
        <v>0.1</v>
      </c>
      <c r="AI153" s="271" t="str">
        <f>IFERROR(IF(AD152=1,AI$100*EXP(-(LN(2)/$D$65+0.04)*AF152)*EXP(-(LN(2)/$D$65+0.1)*AG152),IF(AD152=2,AI$100*EXP(-(LN(2)/$D$65+0.04)*(VLOOKUP(($F$16-$F$15)-1,AC$99:AG152,4,FALSE)))*EXP(-(LN(2)/$D$65+0.1)*(VLOOKUP(($F$16-$F$15)-1,AC$99:AG152,5,FALSE)))*EXP(-(LN(2)/$D$65+0.04)*AF152)*EXP(-(LN(2)/$D$65+0.1)*AG152),IF(AD152=3,AI$100*EXP(-(LN(2)/$D$65+0.04)*(VLOOKUP(($F$16-$F$15)-1,AC$99:AG152,4,FALSE)))*EXP(-(LN(2)/$D$65+0.1)*(VLOOKUP(($F$16-$F$15)-1,AC$99:AG152,5,FALSE)))*EXP(-(LN(2)/$D$65+0.04)*(VLOOKUP(($F$16-$F$15)*2-1,AC$99:AG152,4,FALSE)))*EXP(-(LN(2)/$D$65+0.1)*(VLOOKUP(($F$16-$F$15)*2-1,AC$99:AG152,5,FALSE)))*EXP(-(LN(2)/$D$65+0.04)*AF152)*EXP(-(LN(2)/$D$65+0.1)*AG152),"-"))),"-")</f>
        <v>-</v>
      </c>
      <c r="AJ153" s="271" t="str">
        <f>IFERROR(IF(AD153=1,AJ$100*EXP(-(LN(2)/$D$65+0.04)*AF153)*EXP(-(LN(2)/$D$65+0.1)*AG153),IF(AD153=2,AJ$100*EXP(-(LN(2)/$D$65+0.04)*(VLOOKUP(($F$16-$F$15)-1,AC$100:AG153,4,FALSE)))*EXP(-(LN(2)/$D$65+0.1)*(VLOOKUP(($F$16-$F$15)-1,AC$100:AG153,5,FALSE)))*EXP(-(LN(2)/$D$65+0.04)*AF153)*EXP(-(LN(2)/$D$65+0.1)*AG153),IF(AD153=3,AJ$100*EXP(-(LN(2)/$D$65+0.04)*(VLOOKUP(($F$16-$F$15)-1,AC$100:AG153,4,FALSE)))*EXP(-(LN(2)/$D$65+0.1)*(VLOOKUP(($F$16-$F$15)-1,AC$100:AG153,5,FALSE)))*EXP(-(LN(2)/$D$65+0.04)*(VLOOKUP(($F$16-$F$15)*2-1,AC$100:AG153,4,FALSE)))*EXP(-(LN(2)/$D$65+0.1)*(VLOOKUP(($F$16-$F$15)*2-1,AC$100:AG153,5,FALSE)))*EXP(-(LN(2)/$D$65+0.04)*AF153)*EXP(-(LN(2)/$D$65+0.1)*AG153),"-"))),"-")</f>
        <v>-</v>
      </c>
      <c r="AK153" s="227">
        <f t="shared" si="49"/>
        <v>53</v>
      </c>
      <c r="AL153" s="226" t="str">
        <f t="shared" si="18"/>
        <v>-</v>
      </c>
      <c r="AM153" s="227" t="str">
        <f t="shared" si="50"/>
        <v>-</v>
      </c>
      <c r="AN153" s="227" t="str">
        <f t="shared" si="51"/>
        <v>-</v>
      </c>
      <c r="AO153" s="227" t="str">
        <f t="shared" si="19"/>
        <v>-</v>
      </c>
      <c r="AP153" s="273">
        <f t="shared" si="52"/>
        <v>0.1</v>
      </c>
      <c r="AQ153" s="271" t="str">
        <f>IFERROR(IF(AL152=1,AQ$100*EXP(-(LN(2)/$D$65+0.04)*AN152)*EXP(-(LN(2)/$D$65+0.1)*AO152),IF(AL152=2,AQ$100*EXP(-(LN(2)/$D$65+0.04)*(VLOOKUP(($F$16-$F$15)-1,AK$99:AO152,4,FALSE)))*EXP(-(LN(2)/$D$65+0.1)*(VLOOKUP(($F$16-$F$15)-1,AK$99:AO152,5,FALSE)))*EXP(-(LN(2)/$D$65+0.04)*AN152)*EXP(-(LN(2)/$D$65+0.1)*AO152),IF(AL152=3,AQ$100*EXP(-(LN(2)/$D$65+0.04)*(VLOOKUP(($F$16-$F$15)-1,AK$99:AO152,4,FALSE)))*EXP(-(LN(2)/$D$65+0.1)*(VLOOKUP(($F$16-$F$15)-1,AK$99:AO152,5,FALSE)))*EXP(-(LN(2)/$D$65+0.04)*(VLOOKUP(($F$16-$F$15)*2-1,AK$99:AO152,4,FALSE)))*EXP(-(LN(2)/$D$65+0.1)*(VLOOKUP(($F$16-$F$15)*2-1,AK$99:AO152,5,FALSE)))*EXP(-(LN(2)/$D$65+0.04)*AN152)*EXP(-(LN(2)/$D$65+0.1)*AO152),"-"))),"-")</f>
        <v>-</v>
      </c>
      <c r="AR153" s="271" t="str">
        <f>IFERROR(IF(AL153=1,AR$100*EXP(-(LN(2)/$D$65+0.04)*AN153)*EXP(-(LN(2)/$D$65+0.1)*AO153),IF(AL153=2,AR$100*EXP(-(LN(2)/$D$65+0.04)*(VLOOKUP(($F$16-$F$15)-1,AK$100:AO153,4,FALSE)))*EXP(-(LN(2)/$D$65+0.1)*(VLOOKUP(($F$16-$F$15)-1,AK$100:AO153,5,FALSE)))*EXP(-(LN(2)/$D$65+0.04)*AN153)*EXP(-(LN(2)/$D$65+0.1)*AO153),IF(AL153=3,AR$100*EXP(-(LN(2)/$D$65+0.04)*(VLOOKUP(($F$16-$F$15)-1,AK$100:AO153,4,FALSE)))*EXP(-(LN(2)/$D$65+0.1)*(VLOOKUP(($F$16-$F$15)-1,AK$100:AO153,5,FALSE)))*EXP(-(LN(2)/$D$65+0.04)*(VLOOKUP(($F$16-$F$15)*2-1,AK$100:AO153,4,FALSE)))*EXP(-(LN(2)/$D$65+0.1)*(VLOOKUP(($F$16-$F$15)*2-1,AK$100:AO153,5,FALSE)))*EXP(-(LN(2)/$D$65+0.04)*AN153)*EXP(-(LN(2)/$D$65+0.1)*AO153),"-"))),"-")</f>
        <v>-</v>
      </c>
      <c r="AS153" s="274">
        <f t="shared" si="20"/>
        <v>0</v>
      </c>
      <c r="AT153" s="274">
        <f t="shared" si="21"/>
        <v>0</v>
      </c>
      <c r="AU153" s="274">
        <f t="shared" si="22"/>
        <v>0</v>
      </c>
      <c r="AV153" s="190">
        <f>IF($B153&lt;$F$22,SUM($T$100:$T153),"")</f>
        <v>0</v>
      </c>
      <c r="AW153" s="190" t="str">
        <f t="shared" si="83"/>
        <v>-</v>
      </c>
      <c r="AX153" s="190" t="str">
        <f t="shared" si="56"/>
        <v/>
      </c>
      <c r="AY153"/>
      <c r="AZ153" s="190" t="str">
        <f ca="1">IF(ISNUMBER(OFFSET(AV153,-$F$21,0)),SUM(OFFSET($T$100,$F$21,0):$T153),"")</f>
        <v/>
      </c>
      <c r="BA153" s="190" t="str">
        <f t="shared" ca="1" si="84"/>
        <v/>
      </c>
      <c r="BB153" s="190" t="str">
        <f t="shared" ca="1" si="70"/>
        <v/>
      </c>
      <c r="BC153" s="190"/>
      <c r="BD153" s="190" t="str">
        <f ca="1">IFERROR(IF(AND($B153&gt;=($F$16-$F$15),$B153&lt;$F$22+($F$16-$F$15)),SUM(OFFSET($T$100,($F$16-$F$15),0):$T153),""),"")</f>
        <v/>
      </c>
      <c r="BE153" s="190" t="str">
        <f t="shared" ca="1" si="58"/>
        <v/>
      </c>
      <c r="BF153" s="190" t="str">
        <f t="shared" ca="1" si="59"/>
        <v/>
      </c>
      <c r="BG153"/>
      <c r="BH153" s="190" t="str">
        <f ca="1">IF(ISNUMBER(OFFSET(BD153,-$F$21,0)),SUM(OFFSET($T$100,($F$16-$F$15+$F$21),0):$T153),"")</f>
        <v/>
      </c>
      <c r="BI153" s="190" t="str">
        <f t="shared" ca="1" si="85"/>
        <v/>
      </c>
      <c r="BJ153" s="190" t="str">
        <f t="shared" ca="1" si="60"/>
        <v/>
      </c>
      <c r="BK153" s="190"/>
      <c r="BL153" s="190" t="str">
        <f ca="1">IFERROR(IF(AND($B153&gt;=($F$17-$F$15),$B153&lt;$F$22+($F$17-$F$15)),SUM(OFFSET($T$100,($F$17-$F$15),0):$T153),""),"")</f>
        <v/>
      </c>
      <c r="BM153" s="190" t="str">
        <f t="shared" ca="1" si="86"/>
        <v/>
      </c>
      <c r="BN153" s="190" t="str">
        <f t="shared" ca="1" si="61"/>
        <v/>
      </c>
      <c r="BO153"/>
      <c r="BP153" s="190" t="str">
        <f ca="1">IF(ISNUMBER(OFFSET(BL153,-$F$21,0)),SUM(OFFSET($T$100,($F$17-$F$15+$F$21),0):$T153),"")</f>
        <v/>
      </c>
      <c r="BQ153" s="190" t="str">
        <f t="shared" ca="1" si="87"/>
        <v/>
      </c>
      <c r="BR153" s="190" t="str">
        <f t="shared" ca="1" si="63"/>
        <v/>
      </c>
      <c r="BS153" s="190"/>
      <c r="BT153"/>
      <c r="BU153"/>
      <c r="BV153"/>
      <c r="BY153" s="99"/>
      <c r="BZ153" s="99"/>
      <c r="CA153" s="280" t="str">
        <f t="shared" si="88"/>
        <v/>
      </c>
      <c r="CB153" s="71" t="str">
        <f t="shared" si="27"/>
        <v>-</v>
      </c>
      <c r="CC153" s="33"/>
      <c r="CD153" s="261" t="str">
        <f t="shared" si="29"/>
        <v/>
      </c>
      <c r="CE153" s="280" t="str">
        <f t="shared" si="89"/>
        <v>-</v>
      </c>
      <c r="CF153" s="71" t="str">
        <f t="shared" ca="1" si="90"/>
        <v>-</v>
      </c>
      <c r="CG153" s="33" t="str">
        <f t="shared" si="32"/>
        <v>53-54</v>
      </c>
      <c r="CH153" s="261" t="str">
        <f t="shared" ca="1" si="33"/>
        <v/>
      </c>
      <c r="CI153" s="99"/>
      <c r="CJ153" s="99"/>
      <c r="CK153" s="99"/>
      <c r="CL153" s="99"/>
      <c r="CM153" s="99"/>
      <c r="CN153" s="99"/>
      <c r="CO153" s="99"/>
    </row>
    <row r="154" spans="2:93" ht="13.5" customHeight="1" x14ac:dyDescent="0.2">
      <c r="B154" s="262">
        <v>54</v>
      </c>
      <c r="C154" s="237" t="str">
        <f t="shared" si="1"/>
        <v/>
      </c>
      <c r="D154" s="237" t="str">
        <f t="shared" si="66"/>
        <v>-</v>
      </c>
      <c r="E154" s="290" t="str">
        <f t="shared" si="34"/>
        <v/>
      </c>
      <c r="F154" s="264" t="str">
        <f t="shared" si="35"/>
        <v/>
      </c>
      <c r="G154" s="291" t="str">
        <f t="shared" si="36"/>
        <v/>
      </c>
      <c r="H154" s="240" t="str">
        <f t="shared" si="71"/>
        <v/>
      </c>
      <c r="I154" s="265" t="str">
        <f t="shared" si="72"/>
        <v/>
      </c>
      <c r="J154" s="265" t="str">
        <f t="shared" si="73"/>
        <v/>
      </c>
      <c r="K154" s="240" t="str">
        <f t="shared" si="74"/>
        <v/>
      </c>
      <c r="L154" s="265" t="str">
        <f t="shared" si="75"/>
        <v/>
      </c>
      <c r="M154" s="265" t="str">
        <f t="shared" si="76"/>
        <v/>
      </c>
      <c r="N154" s="240" t="str">
        <f t="shared" si="77"/>
        <v>-</v>
      </c>
      <c r="O154" s="265" t="str">
        <f t="shared" si="78"/>
        <v>-</v>
      </c>
      <c r="P154" s="265" t="str">
        <f t="shared" si="79"/>
        <v>-</v>
      </c>
      <c r="Q154" s="266" t="str">
        <f t="shared" si="80"/>
        <v>-</v>
      </c>
      <c r="R154" s="267" t="str">
        <f t="shared" si="81"/>
        <v>-</v>
      </c>
      <c r="S154" s="268" t="str">
        <f t="shared" si="82"/>
        <v>-</v>
      </c>
      <c r="T154" s="269" t="str">
        <f t="shared" si="9"/>
        <v/>
      </c>
      <c r="U154" s="221">
        <f t="shared" si="10"/>
        <v>54</v>
      </c>
      <c r="V154" s="220" t="str">
        <f t="shared" si="42"/>
        <v>-</v>
      </c>
      <c r="W154" s="221" t="str">
        <f t="shared" si="43"/>
        <v>-</v>
      </c>
      <c r="X154" s="221" t="str">
        <f t="shared" si="11"/>
        <v>-</v>
      </c>
      <c r="Y154" s="221" t="str">
        <f t="shared" si="12"/>
        <v>-</v>
      </c>
      <c r="Z154" s="270">
        <f t="shared" si="44"/>
        <v>0.1</v>
      </c>
      <c r="AA154" s="271" t="str">
        <f>IFERROR(IF(V153=1,AA$100*EXP(-(LN(2)/$D$65+0.04)*X153)*EXP(-(LN(2)/$D$65+0.1)*Y153),IF(V153=2,AA$100*EXP(-(LN(2)/$D$65+0.04)*(VLOOKUP(($F$16-$F$15)-1,U$99:Y153,4,FALSE)))*EXP(-(LN(2)/$D$65+0.1)*(VLOOKUP(($F$16-$F$15)-1,U$99:Y153,5,FALSE)))*EXP(-(LN(2)/$D$65+0.04)*X153)*EXP(-(LN(2)/$D$65+0.1)*Y153),IF(V153=3,AA$100*EXP(-(LN(2)/$D$65+0.04)*(VLOOKUP(($F$16-$F$15)-1,U$99:Y153,4,FALSE)))*EXP(-(LN(2)/$D$65+0.1)*(VLOOKUP(($F$16-$F$15)-1,U$99:Y153,5,FALSE)))*EXP(-(LN(2)/$D$65+0.04)*(VLOOKUP(($F$16-$F$15)*2-1,U$99:Y153,4,FALSE)))*EXP(-(LN(2)/$D$65+0.1)*(VLOOKUP(($F$16-$F$15)*2-1,U$99:Y153,5,FALSE)))*EXP(-(LN(2)/$D$65+0.04)*X153)*EXP(-(LN(2)/$D$65+0.1)*Y153),"-"))),"-")</f>
        <v>-</v>
      </c>
      <c r="AB154" s="271" t="str">
        <f>IFERROR(IF(V154=1,AB$100*EXP(-(LN(2)/$D$65+0.04)*X154)*EXP(-(LN(2)/$D$65+0.1)*Y154),IF(V154=2,AB$100*EXP(-(LN(2)/$D$65+0.04)*(VLOOKUP(($F$16-$F$15)-1,U$100:Y154,4,FALSE)))*EXP(-(LN(2)/$D$65+0.1)*(VLOOKUP(($F$16-$F$15)-1,U$100:Y154,5,FALSE)))*EXP(-(LN(2)/$D$65+0.04)*X154)*EXP(-(LN(2)/$D$65+0.1)*Y154),IF(V154=3,AB$100*EXP(-(LN(2)/$D$65+0.04)*(VLOOKUP(($F$16-$F$15)-1,U$100:Y154,4,FALSE)))*EXP(-(LN(2)/$D$65+0.1)*(VLOOKUP(($F$16-$F$15)-1,U$100:Y154,5,FALSE)))*EXP(-(LN(2)/$D$65+0.04)*(VLOOKUP(($F$16-$F$15)*2-1,U$100:Y154,4,FALSE)))*EXP(-(LN(2)/$D$65+0.1)*(VLOOKUP(($F$16-$F$15)*2-1,U$100:Y154,5,FALSE)))*EXP(-(LN(2)/$D$65+0.04)*X154)*EXP(-(LN(2)/$D$65+0.1)*Y154),"-"))),"-")</f>
        <v>-</v>
      </c>
      <c r="AC154" s="224">
        <f t="shared" si="45"/>
        <v>54</v>
      </c>
      <c r="AD154" s="223" t="str">
        <f t="shared" si="14"/>
        <v>-</v>
      </c>
      <c r="AE154" s="224" t="str">
        <f t="shared" si="46"/>
        <v>-</v>
      </c>
      <c r="AF154" s="224" t="str">
        <f t="shared" si="15"/>
        <v>-</v>
      </c>
      <c r="AG154" s="224" t="str">
        <f t="shared" si="16"/>
        <v>-</v>
      </c>
      <c r="AH154" s="272">
        <f t="shared" si="47"/>
        <v>0.1</v>
      </c>
      <c r="AI154" s="271" t="str">
        <f>IFERROR(IF(AD153=1,AI$100*EXP(-(LN(2)/$D$65+0.04)*AF153)*EXP(-(LN(2)/$D$65+0.1)*AG153),IF(AD153=2,AI$100*EXP(-(LN(2)/$D$65+0.04)*(VLOOKUP(($F$16-$F$15)-1,AC$99:AG153,4,FALSE)))*EXP(-(LN(2)/$D$65+0.1)*(VLOOKUP(($F$16-$F$15)-1,AC$99:AG153,5,FALSE)))*EXP(-(LN(2)/$D$65+0.04)*AF153)*EXP(-(LN(2)/$D$65+0.1)*AG153),IF(AD153=3,AI$100*EXP(-(LN(2)/$D$65+0.04)*(VLOOKUP(($F$16-$F$15)-1,AC$99:AG153,4,FALSE)))*EXP(-(LN(2)/$D$65+0.1)*(VLOOKUP(($F$16-$F$15)-1,AC$99:AG153,5,FALSE)))*EXP(-(LN(2)/$D$65+0.04)*(VLOOKUP(($F$16-$F$15)*2-1,AC$99:AG153,4,FALSE)))*EXP(-(LN(2)/$D$65+0.1)*(VLOOKUP(($F$16-$F$15)*2-1,AC$99:AG153,5,FALSE)))*EXP(-(LN(2)/$D$65+0.04)*AF153)*EXP(-(LN(2)/$D$65+0.1)*AG153),"-"))),"-")</f>
        <v>-</v>
      </c>
      <c r="AJ154" s="271" t="str">
        <f>IFERROR(IF(AD154=1,AJ$100*EXP(-(LN(2)/$D$65+0.04)*AF154)*EXP(-(LN(2)/$D$65+0.1)*AG154),IF(AD154=2,AJ$100*EXP(-(LN(2)/$D$65+0.04)*(VLOOKUP(($F$16-$F$15)-1,AC$100:AG154,4,FALSE)))*EXP(-(LN(2)/$D$65+0.1)*(VLOOKUP(($F$16-$F$15)-1,AC$100:AG154,5,FALSE)))*EXP(-(LN(2)/$D$65+0.04)*AF154)*EXP(-(LN(2)/$D$65+0.1)*AG154),IF(AD154=3,AJ$100*EXP(-(LN(2)/$D$65+0.04)*(VLOOKUP(($F$16-$F$15)-1,AC$100:AG154,4,FALSE)))*EXP(-(LN(2)/$D$65+0.1)*(VLOOKUP(($F$16-$F$15)-1,AC$100:AG154,5,FALSE)))*EXP(-(LN(2)/$D$65+0.04)*(VLOOKUP(($F$16-$F$15)*2-1,AC$100:AG154,4,FALSE)))*EXP(-(LN(2)/$D$65+0.1)*(VLOOKUP(($F$16-$F$15)*2-1,AC$100:AG154,5,FALSE)))*EXP(-(LN(2)/$D$65+0.04)*AF154)*EXP(-(LN(2)/$D$65+0.1)*AG154),"-"))),"-")</f>
        <v>-</v>
      </c>
      <c r="AK154" s="227">
        <f t="shared" si="49"/>
        <v>54</v>
      </c>
      <c r="AL154" s="226" t="str">
        <f t="shared" si="18"/>
        <v>-</v>
      </c>
      <c r="AM154" s="227" t="str">
        <f t="shared" si="50"/>
        <v>-</v>
      </c>
      <c r="AN154" s="227" t="str">
        <f t="shared" si="51"/>
        <v>-</v>
      </c>
      <c r="AO154" s="227" t="str">
        <f t="shared" si="19"/>
        <v>-</v>
      </c>
      <c r="AP154" s="273">
        <f t="shared" si="52"/>
        <v>0.1</v>
      </c>
      <c r="AQ154" s="271" t="str">
        <f>IFERROR(IF(AL153=1,AQ$100*EXP(-(LN(2)/$D$65+0.04)*AN153)*EXP(-(LN(2)/$D$65+0.1)*AO153),IF(AL153=2,AQ$100*EXP(-(LN(2)/$D$65+0.04)*(VLOOKUP(($F$16-$F$15)-1,AK$99:AO153,4,FALSE)))*EXP(-(LN(2)/$D$65+0.1)*(VLOOKUP(($F$16-$F$15)-1,AK$99:AO153,5,FALSE)))*EXP(-(LN(2)/$D$65+0.04)*AN153)*EXP(-(LN(2)/$D$65+0.1)*AO153),IF(AL153=3,AQ$100*EXP(-(LN(2)/$D$65+0.04)*(VLOOKUP(($F$16-$F$15)-1,AK$99:AO153,4,FALSE)))*EXP(-(LN(2)/$D$65+0.1)*(VLOOKUP(($F$16-$F$15)-1,AK$99:AO153,5,FALSE)))*EXP(-(LN(2)/$D$65+0.04)*(VLOOKUP(($F$16-$F$15)*2-1,AK$99:AO153,4,FALSE)))*EXP(-(LN(2)/$D$65+0.1)*(VLOOKUP(($F$16-$F$15)*2-1,AK$99:AO153,5,FALSE)))*EXP(-(LN(2)/$D$65+0.04)*AN153)*EXP(-(LN(2)/$D$65+0.1)*AO153),"-"))),"-")</f>
        <v>-</v>
      </c>
      <c r="AR154" s="271" t="str">
        <f>IFERROR(IF(AL154=1,AR$100*EXP(-(LN(2)/$D$65+0.04)*AN154)*EXP(-(LN(2)/$D$65+0.1)*AO154),IF(AL154=2,AR$100*EXP(-(LN(2)/$D$65+0.04)*(VLOOKUP(($F$16-$F$15)-1,AK$100:AO154,4,FALSE)))*EXP(-(LN(2)/$D$65+0.1)*(VLOOKUP(($F$16-$F$15)-1,AK$100:AO154,5,FALSE)))*EXP(-(LN(2)/$D$65+0.04)*AN154)*EXP(-(LN(2)/$D$65+0.1)*AO154),IF(AL154=3,AR$100*EXP(-(LN(2)/$D$65+0.04)*(VLOOKUP(($F$16-$F$15)-1,AK$100:AO154,4,FALSE)))*EXP(-(LN(2)/$D$65+0.1)*(VLOOKUP(($F$16-$F$15)-1,AK$100:AO154,5,FALSE)))*EXP(-(LN(2)/$D$65+0.04)*(VLOOKUP(($F$16-$F$15)*2-1,AK$100:AO154,4,FALSE)))*EXP(-(LN(2)/$D$65+0.1)*(VLOOKUP(($F$16-$F$15)*2-1,AK$100:AO154,5,FALSE)))*EXP(-(LN(2)/$D$65+0.04)*AN154)*EXP(-(LN(2)/$D$65+0.1)*AO154),"-"))),"-")</f>
        <v>-</v>
      </c>
      <c r="AS154" s="274">
        <f t="shared" si="20"/>
        <v>0</v>
      </c>
      <c r="AT154" s="274">
        <f t="shared" si="21"/>
        <v>0</v>
      </c>
      <c r="AU154" s="274">
        <f t="shared" si="22"/>
        <v>0</v>
      </c>
      <c r="AV154" s="190">
        <f>IF($B154&lt;$F$22,SUM($T$100:$T154),"")</f>
        <v>0</v>
      </c>
      <c r="AW154" s="190" t="str">
        <f t="shared" si="83"/>
        <v>-</v>
      </c>
      <c r="AX154" s="190" t="str">
        <f t="shared" si="56"/>
        <v/>
      </c>
      <c r="AY154"/>
      <c r="AZ154" s="190" t="str">
        <f ca="1">IF(ISNUMBER(OFFSET(AV154,-$F$21,0)),SUM(OFFSET($T$100,$F$21,0):$T154),"")</f>
        <v/>
      </c>
      <c r="BA154" s="190" t="str">
        <f t="shared" ca="1" si="84"/>
        <v/>
      </c>
      <c r="BB154" s="190" t="str">
        <f t="shared" ca="1" si="70"/>
        <v/>
      </c>
      <c r="BC154" s="190"/>
      <c r="BD154" s="190" t="str">
        <f ca="1">IFERROR(IF(AND($B154&gt;=($F$16-$F$15),$B154&lt;$F$22+($F$16-$F$15)),SUM(OFFSET($T$100,($F$16-$F$15),0):$T154),""),"")</f>
        <v/>
      </c>
      <c r="BE154" s="190" t="str">
        <f t="shared" ca="1" si="58"/>
        <v/>
      </c>
      <c r="BF154" s="190" t="str">
        <f t="shared" ca="1" si="59"/>
        <v/>
      </c>
      <c r="BG154"/>
      <c r="BH154" s="190" t="str">
        <f ca="1">IF(ISNUMBER(OFFSET(BD154,-$F$21,0)),SUM(OFFSET($T$100,($F$16-$F$15+$F$21),0):$T154),"")</f>
        <v/>
      </c>
      <c r="BI154" s="190" t="str">
        <f t="shared" ca="1" si="85"/>
        <v/>
      </c>
      <c r="BJ154" s="190" t="str">
        <f t="shared" ca="1" si="60"/>
        <v/>
      </c>
      <c r="BK154" s="190"/>
      <c r="BL154" s="190" t="str">
        <f ca="1">IFERROR(IF(AND($B154&gt;=($F$17-$F$15),$B154&lt;$F$22+($F$17-$F$15)),SUM(OFFSET($T$100,($F$17-$F$15),0):$T154),""),"")</f>
        <v/>
      </c>
      <c r="BM154" s="190" t="str">
        <f t="shared" ca="1" si="86"/>
        <v/>
      </c>
      <c r="BN154" s="190" t="str">
        <f t="shared" ca="1" si="61"/>
        <v/>
      </c>
      <c r="BO154"/>
      <c r="BP154" s="190" t="str">
        <f ca="1">IF(ISNUMBER(OFFSET(BL154,-$F$21,0)),SUM(OFFSET($T$100,($F$17-$F$15+$F$21),0):$T154),"")</f>
        <v/>
      </c>
      <c r="BQ154" s="190" t="str">
        <f t="shared" ca="1" si="87"/>
        <v/>
      </c>
      <c r="BR154" s="190" t="str">
        <f t="shared" ca="1" si="63"/>
        <v/>
      </c>
      <c r="BS154" s="190"/>
      <c r="BT154"/>
      <c r="BU154"/>
      <c r="BV154"/>
      <c r="BY154" s="99"/>
      <c r="BZ154" s="99"/>
      <c r="CA154" s="280" t="str">
        <f t="shared" si="88"/>
        <v/>
      </c>
      <c r="CB154" s="71" t="str">
        <f t="shared" si="27"/>
        <v>-</v>
      </c>
      <c r="CC154" s="33"/>
      <c r="CD154" s="261" t="str">
        <f t="shared" si="29"/>
        <v/>
      </c>
      <c r="CE154" s="280" t="str">
        <f t="shared" si="89"/>
        <v>-</v>
      </c>
      <c r="CF154" s="71" t="str">
        <f t="shared" ca="1" si="90"/>
        <v>-</v>
      </c>
      <c r="CG154" s="33" t="str">
        <f t="shared" si="32"/>
        <v>54-55</v>
      </c>
      <c r="CH154" s="261" t="str">
        <f t="shared" ca="1" si="33"/>
        <v/>
      </c>
      <c r="CI154" s="99"/>
      <c r="CJ154" s="99"/>
      <c r="CK154" s="99"/>
      <c r="CL154" s="99"/>
      <c r="CM154" s="99"/>
      <c r="CN154" s="99"/>
      <c r="CO154" s="99"/>
    </row>
    <row r="155" spans="2:93" ht="13.5" customHeight="1" x14ac:dyDescent="0.2">
      <c r="B155" s="262">
        <v>55</v>
      </c>
      <c r="C155" s="237" t="str">
        <f t="shared" si="1"/>
        <v/>
      </c>
      <c r="D155" s="237" t="str">
        <f t="shared" si="66"/>
        <v>-</v>
      </c>
      <c r="E155" s="290" t="str">
        <f t="shared" si="34"/>
        <v/>
      </c>
      <c r="F155" s="264" t="str">
        <f t="shared" si="35"/>
        <v/>
      </c>
      <c r="G155" s="291" t="str">
        <f t="shared" si="36"/>
        <v/>
      </c>
      <c r="H155" s="240" t="str">
        <f t="shared" si="71"/>
        <v/>
      </c>
      <c r="I155" s="265" t="str">
        <f t="shared" si="72"/>
        <v/>
      </c>
      <c r="J155" s="265" t="str">
        <f t="shared" si="73"/>
        <v/>
      </c>
      <c r="K155" s="240" t="str">
        <f t="shared" si="74"/>
        <v/>
      </c>
      <c r="L155" s="265" t="str">
        <f t="shared" si="75"/>
        <v/>
      </c>
      <c r="M155" s="265" t="str">
        <f t="shared" si="76"/>
        <v/>
      </c>
      <c r="N155" s="240" t="str">
        <f t="shared" si="77"/>
        <v>-</v>
      </c>
      <c r="O155" s="265" t="str">
        <f t="shared" si="78"/>
        <v>-</v>
      </c>
      <c r="P155" s="265" t="str">
        <f t="shared" si="79"/>
        <v>-</v>
      </c>
      <c r="Q155" s="266" t="str">
        <f t="shared" si="80"/>
        <v>-</v>
      </c>
      <c r="R155" s="267" t="str">
        <f t="shared" si="81"/>
        <v>-</v>
      </c>
      <c r="S155" s="268" t="str">
        <f t="shared" si="82"/>
        <v>-</v>
      </c>
      <c r="T155" s="269" t="str">
        <f t="shared" si="9"/>
        <v/>
      </c>
      <c r="U155" s="221">
        <f t="shared" si="10"/>
        <v>55</v>
      </c>
      <c r="V155" s="220" t="str">
        <f t="shared" si="42"/>
        <v>-</v>
      </c>
      <c r="W155" s="221" t="str">
        <f t="shared" si="43"/>
        <v>-</v>
      </c>
      <c r="X155" s="221" t="str">
        <f t="shared" si="11"/>
        <v>-</v>
      </c>
      <c r="Y155" s="221" t="str">
        <f t="shared" si="12"/>
        <v>-</v>
      </c>
      <c r="Z155" s="270">
        <f t="shared" si="44"/>
        <v>0.1</v>
      </c>
      <c r="AA155" s="271" t="str">
        <f>IFERROR(IF(V154=1,AA$100*EXP(-(LN(2)/$D$65+0.04)*X154)*EXP(-(LN(2)/$D$65+0.1)*Y154),IF(V154=2,AA$100*EXP(-(LN(2)/$D$65+0.04)*(VLOOKUP(($F$16-$F$15)-1,U$99:Y154,4,FALSE)))*EXP(-(LN(2)/$D$65+0.1)*(VLOOKUP(($F$16-$F$15)-1,U$99:Y154,5,FALSE)))*EXP(-(LN(2)/$D$65+0.04)*X154)*EXP(-(LN(2)/$D$65+0.1)*Y154),IF(V154=3,AA$100*EXP(-(LN(2)/$D$65+0.04)*(VLOOKUP(($F$16-$F$15)-1,U$99:Y154,4,FALSE)))*EXP(-(LN(2)/$D$65+0.1)*(VLOOKUP(($F$16-$F$15)-1,U$99:Y154,5,FALSE)))*EXP(-(LN(2)/$D$65+0.04)*(VLOOKUP(($F$16-$F$15)*2-1,U$99:Y154,4,FALSE)))*EXP(-(LN(2)/$D$65+0.1)*(VLOOKUP(($F$16-$F$15)*2-1,U$99:Y154,5,FALSE)))*EXP(-(LN(2)/$D$65+0.04)*X154)*EXP(-(LN(2)/$D$65+0.1)*Y154),"-"))),"-")</f>
        <v>-</v>
      </c>
      <c r="AB155" s="271" t="str">
        <f>IFERROR(IF(V155=1,AB$100*EXP(-(LN(2)/$D$65+0.04)*X155)*EXP(-(LN(2)/$D$65+0.1)*Y155),IF(V155=2,AB$100*EXP(-(LN(2)/$D$65+0.04)*(VLOOKUP(($F$16-$F$15)-1,U$100:Y155,4,FALSE)))*EXP(-(LN(2)/$D$65+0.1)*(VLOOKUP(($F$16-$F$15)-1,U$100:Y155,5,FALSE)))*EXP(-(LN(2)/$D$65+0.04)*X155)*EXP(-(LN(2)/$D$65+0.1)*Y155),IF(V155=3,AB$100*EXP(-(LN(2)/$D$65+0.04)*(VLOOKUP(($F$16-$F$15)-1,U$100:Y155,4,FALSE)))*EXP(-(LN(2)/$D$65+0.1)*(VLOOKUP(($F$16-$F$15)-1,U$100:Y155,5,FALSE)))*EXP(-(LN(2)/$D$65+0.04)*(VLOOKUP(($F$16-$F$15)*2-1,U$100:Y155,4,FALSE)))*EXP(-(LN(2)/$D$65+0.1)*(VLOOKUP(($F$16-$F$15)*2-1,U$100:Y155,5,FALSE)))*EXP(-(LN(2)/$D$65+0.04)*X155)*EXP(-(LN(2)/$D$65+0.1)*Y155),"-"))),"-")</f>
        <v>-</v>
      </c>
      <c r="AC155" s="224">
        <f t="shared" si="45"/>
        <v>55</v>
      </c>
      <c r="AD155" s="223" t="str">
        <f t="shared" si="14"/>
        <v>-</v>
      </c>
      <c r="AE155" s="224" t="str">
        <f t="shared" si="46"/>
        <v>-</v>
      </c>
      <c r="AF155" s="224" t="str">
        <f t="shared" si="15"/>
        <v>-</v>
      </c>
      <c r="AG155" s="224" t="str">
        <f t="shared" si="16"/>
        <v>-</v>
      </c>
      <c r="AH155" s="272">
        <f t="shared" si="47"/>
        <v>0.1</v>
      </c>
      <c r="AI155" s="271" t="str">
        <f>IFERROR(IF(AD154=1,AI$100*EXP(-(LN(2)/$D$65+0.04)*AF154)*EXP(-(LN(2)/$D$65+0.1)*AG154),IF(AD154=2,AI$100*EXP(-(LN(2)/$D$65+0.04)*(VLOOKUP(($F$16-$F$15)-1,AC$99:AG154,4,FALSE)))*EXP(-(LN(2)/$D$65+0.1)*(VLOOKUP(($F$16-$F$15)-1,AC$99:AG154,5,FALSE)))*EXP(-(LN(2)/$D$65+0.04)*AF154)*EXP(-(LN(2)/$D$65+0.1)*AG154),IF(AD154=3,AI$100*EXP(-(LN(2)/$D$65+0.04)*(VLOOKUP(($F$16-$F$15)-1,AC$99:AG154,4,FALSE)))*EXP(-(LN(2)/$D$65+0.1)*(VLOOKUP(($F$16-$F$15)-1,AC$99:AG154,5,FALSE)))*EXP(-(LN(2)/$D$65+0.04)*(VLOOKUP(($F$16-$F$15)*2-1,AC$99:AG154,4,FALSE)))*EXP(-(LN(2)/$D$65+0.1)*(VLOOKUP(($F$16-$F$15)*2-1,AC$99:AG154,5,FALSE)))*EXP(-(LN(2)/$D$65+0.04)*AF154)*EXP(-(LN(2)/$D$65+0.1)*AG154),"-"))),"-")</f>
        <v>-</v>
      </c>
      <c r="AJ155" s="271" t="str">
        <f>IFERROR(IF(AD155=1,AJ$100*EXP(-(LN(2)/$D$65+0.04)*AF155)*EXP(-(LN(2)/$D$65+0.1)*AG155),IF(AD155=2,AJ$100*EXP(-(LN(2)/$D$65+0.04)*(VLOOKUP(($F$16-$F$15)-1,AC$100:AG155,4,FALSE)))*EXP(-(LN(2)/$D$65+0.1)*(VLOOKUP(($F$16-$F$15)-1,AC$100:AG155,5,FALSE)))*EXP(-(LN(2)/$D$65+0.04)*AF155)*EXP(-(LN(2)/$D$65+0.1)*AG155),IF(AD155=3,AJ$100*EXP(-(LN(2)/$D$65+0.04)*(VLOOKUP(($F$16-$F$15)-1,AC$100:AG155,4,FALSE)))*EXP(-(LN(2)/$D$65+0.1)*(VLOOKUP(($F$16-$F$15)-1,AC$100:AG155,5,FALSE)))*EXP(-(LN(2)/$D$65+0.04)*(VLOOKUP(($F$16-$F$15)*2-1,AC$100:AG155,4,FALSE)))*EXP(-(LN(2)/$D$65+0.1)*(VLOOKUP(($F$16-$F$15)*2-1,AC$100:AG155,5,FALSE)))*EXP(-(LN(2)/$D$65+0.04)*AF155)*EXP(-(LN(2)/$D$65+0.1)*AG155),"-"))),"-")</f>
        <v>-</v>
      </c>
      <c r="AK155" s="227">
        <f t="shared" si="49"/>
        <v>55</v>
      </c>
      <c r="AL155" s="226" t="str">
        <f t="shared" si="18"/>
        <v>-</v>
      </c>
      <c r="AM155" s="227" t="str">
        <f t="shared" si="50"/>
        <v>-</v>
      </c>
      <c r="AN155" s="227" t="str">
        <f t="shared" si="51"/>
        <v>-</v>
      </c>
      <c r="AO155" s="227" t="str">
        <f t="shared" si="19"/>
        <v>-</v>
      </c>
      <c r="AP155" s="273">
        <f t="shared" si="52"/>
        <v>0.1</v>
      </c>
      <c r="AQ155" s="271" t="str">
        <f>IFERROR(IF(AL154=1,AQ$100*EXP(-(LN(2)/$D$65+0.04)*AN154)*EXP(-(LN(2)/$D$65+0.1)*AO154),IF(AL154=2,AQ$100*EXP(-(LN(2)/$D$65+0.04)*(VLOOKUP(($F$16-$F$15)-1,AK$99:AO154,4,FALSE)))*EXP(-(LN(2)/$D$65+0.1)*(VLOOKUP(($F$16-$F$15)-1,AK$99:AO154,5,FALSE)))*EXP(-(LN(2)/$D$65+0.04)*AN154)*EXP(-(LN(2)/$D$65+0.1)*AO154),IF(AL154=3,AQ$100*EXP(-(LN(2)/$D$65+0.04)*(VLOOKUP(($F$16-$F$15)-1,AK$99:AO154,4,FALSE)))*EXP(-(LN(2)/$D$65+0.1)*(VLOOKUP(($F$16-$F$15)-1,AK$99:AO154,5,FALSE)))*EXP(-(LN(2)/$D$65+0.04)*(VLOOKUP(($F$16-$F$15)*2-1,AK$99:AO154,4,FALSE)))*EXP(-(LN(2)/$D$65+0.1)*(VLOOKUP(($F$16-$F$15)*2-1,AK$99:AO154,5,FALSE)))*EXP(-(LN(2)/$D$65+0.04)*AN154)*EXP(-(LN(2)/$D$65+0.1)*AO154),"-"))),"-")</f>
        <v>-</v>
      </c>
      <c r="AR155" s="271" t="str">
        <f>IFERROR(IF(AL155=1,AR$100*EXP(-(LN(2)/$D$65+0.04)*AN155)*EXP(-(LN(2)/$D$65+0.1)*AO155),IF(AL155=2,AR$100*EXP(-(LN(2)/$D$65+0.04)*(VLOOKUP(($F$16-$F$15)-1,AK$100:AO155,4,FALSE)))*EXP(-(LN(2)/$D$65+0.1)*(VLOOKUP(($F$16-$F$15)-1,AK$100:AO155,5,FALSE)))*EXP(-(LN(2)/$D$65+0.04)*AN155)*EXP(-(LN(2)/$D$65+0.1)*AO155),IF(AL155=3,AR$100*EXP(-(LN(2)/$D$65+0.04)*(VLOOKUP(($F$16-$F$15)-1,AK$100:AO155,4,FALSE)))*EXP(-(LN(2)/$D$65+0.1)*(VLOOKUP(($F$16-$F$15)-1,AK$100:AO155,5,FALSE)))*EXP(-(LN(2)/$D$65+0.04)*(VLOOKUP(($F$16-$F$15)*2-1,AK$100:AO155,4,FALSE)))*EXP(-(LN(2)/$D$65+0.1)*(VLOOKUP(($F$16-$F$15)*2-1,AK$100:AO155,5,FALSE)))*EXP(-(LN(2)/$D$65+0.04)*AN155)*EXP(-(LN(2)/$D$65+0.1)*AO155),"-"))),"-")</f>
        <v>-</v>
      </c>
      <c r="AS155" s="274">
        <f t="shared" si="20"/>
        <v>0</v>
      </c>
      <c r="AT155" s="274">
        <f t="shared" si="21"/>
        <v>0</v>
      </c>
      <c r="AU155" s="274">
        <f t="shared" si="22"/>
        <v>0</v>
      </c>
      <c r="AV155" s="190">
        <f>IF($B155&lt;$F$22,SUM($T$100:$T155),"")</f>
        <v>0</v>
      </c>
      <c r="AW155" s="190" t="str">
        <f t="shared" si="83"/>
        <v>-</v>
      </c>
      <c r="AX155" s="190" t="str">
        <f t="shared" si="56"/>
        <v/>
      </c>
      <c r="AY155"/>
      <c r="AZ155" s="190" t="str">
        <f ca="1">IF(ISNUMBER(OFFSET(AV155,-$F$21,0)),SUM(OFFSET($T$100,$F$21,0):$T155),"")</f>
        <v/>
      </c>
      <c r="BA155" s="190" t="str">
        <f t="shared" ca="1" si="84"/>
        <v/>
      </c>
      <c r="BB155" s="190" t="str">
        <f t="shared" ca="1" si="70"/>
        <v/>
      </c>
      <c r="BC155" s="190"/>
      <c r="BD155" s="190" t="str">
        <f ca="1">IFERROR(IF(AND($B155&gt;=($F$16-$F$15),$B155&lt;$F$22+($F$16-$F$15)),SUM(OFFSET($T$100,($F$16-$F$15),0):$T155),""),"")</f>
        <v/>
      </c>
      <c r="BE155" s="190" t="str">
        <f t="shared" ca="1" si="58"/>
        <v/>
      </c>
      <c r="BF155" s="190" t="str">
        <f t="shared" ca="1" si="59"/>
        <v/>
      </c>
      <c r="BG155"/>
      <c r="BH155" s="190" t="str">
        <f ca="1">IF(ISNUMBER(OFFSET(BD155,-$F$21,0)),SUM(OFFSET($T$100,($F$16-$F$15+$F$21),0):$T155),"")</f>
        <v/>
      </c>
      <c r="BI155" s="190" t="str">
        <f t="shared" ca="1" si="85"/>
        <v/>
      </c>
      <c r="BJ155" s="190" t="str">
        <f t="shared" ca="1" si="60"/>
        <v/>
      </c>
      <c r="BK155" s="190"/>
      <c r="BL155" s="190" t="str">
        <f ca="1">IFERROR(IF(AND($B155&gt;=($F$17-$F$15),$B155&lt;$F$22+($F$17-$F$15)),SUM(OFFSET($T$100,($F$17-$F$15),0):$T155),""),"")</f>
        <v/>
      </c>
      <c r="BM155" s="190" t="str">
        <f t="shared" ca="1" si="86"/>
        <v/>
      </c>
      <c r="BN155" s="190" t="str">
        <f t="shared" ca="1" si="61"/>
        <v/>
      </c>
      <c r="BO155"/>
      <c r="BP155" s="190" t="str">
        <f ca="1">IF(ISNUMBER(OFFSET(BL155,-$F$21,0)),SUM(OFFSET($T$100,($F$17-$F$15+$F$21),0):$T155),"")</f>
        <v/>
      </c>
      <c r="BQ155" s="190" t="str">
        <f t="shared" ca="1" si="87"/>
        <v/>
      </c>
      <c r="BR155" s="190" t="str">
        <f t="shared" ca="1" si="63"/>
        <v/>
      </c>
      <c r="BS155" s="190"/>
      <c r="BT155"/>
      <c r="BU155"/>
      <c r="BV155"/>
      <c r="BY155" s="99"/>
      <c r="BZ155" s="99"/>
      <c r="CA155" s="280" t="str">
        <f t="shared" si="88"/>
        <v/>
      </c>
      <c r="CB155" s="71" t="str">
        <f t="shared" si="27"/>
        <v>-</v>
      </c>
      <c r="CC155" s="33"/>
      <c r="CD155" s="261" t="str">
        <f t="shared" si="29"/>
        <v/>
      </c>
      <c r="CE155" s="280" t="str">
        <f t="shared" si="89"/>
        <v>-</v>
      </c>
      <c r="CF155" s="71" t="str">
        <f t="shared" ca="1" si="90"/>
        <v>-</v>
      </c>
      <c r="CG155" s="33" t="str">
        <f t="shared" si="32"/>
        <v>55-56</v>
      </c>
      <c r="CH155" s="261" t="str">
        <f t="shared" ca="1" si="33"/>
        <v/>
      </c>
      <c r="CI155" s="99"/>
      <c r="CJ155" s="99"/>
      <c r="CK155" s="99"/>
      <c r="CL155" s="99"/>
      <c r="CM155" s="99"/>
      <c r="CN155" s="99"/>
      <c r="CO155" s="99"/>
    </row>
    <row r="156" spans="2:93" ht="13.5" customHeight="1" x14ac:dyDescent="0.2">
      <c r="B156" s="262">
        <v>56</v>
      </c>
      <c r="C156" s="237" t="str">
        <f t="shared" si="1"/>
        <v/>
      </c>
      <c r="D156" s="237" t="str">
        <f t="shared" si="66"/>
        <v>-</v>
      </c>
      <c r="E156" s="290" t="str">
        <f t="shared" si="34"/>
        <v/>
      </c>
      <c r="F156" s="264" t="str">
        <f t="shared" si="35"/>
        <v/>
      </c>
      <c r="G156" s="291" t="str">
        <f t="shared" si="36"/>
        <v/>
      </c>
      <c r="H156" s="240" t="str">
        <f t="shared" si="71"/>
        <v/>
      </c>
      <c r="I156" s="265" t="str">
        <f t="shared" si="72"/>
        <v/>
      </c>
      <c r="J156" s="265" t="str">
        <f t="shared" si="73"/>
        <v/>
      </c>
      <c r="K156" s="240" t="str">
        <f t="shared" si="74"/>
        <v/>
      </c>
      <c r="L156" s="265" t="str">
        <f t="shared" si="75"/>
        <v/>
      </c>
      <c r="M156" s="265" t="str">
        <f t="shared" si="76"/>
        <v/>
      </c>
      <c r="N156" s="240" t="str">
        <f t="shared" si="77"/>
        <v>-</v>
      </c>
      <c r="O156" s="265" t="str">
        <f t="shared" si="78"/>
        <v>-</v>
      </c>
      <c r="P156" s="265" t="str">
        <f t="shared" si="79"/>
        <v>-</v>
      </c>
      <c r="Q156" s="266" t="str">
        <f t="shared" si="80"/>
        <v>-</v>
      </c>
      <c r="R156" s="267" t="str">
        <f t="shared" si="81"/>
        <v>-</v>
      </c>
      <c r="S156" s="268" t="str">
        <f t="shared" si="82"/>
        <v>-</v>
      </c>
      <c r="T156" s="269" t="str">
        <f t="shared" si="9"/>
        <v/>
      </c>
      <c r="U156" s="221">
        <f t="shared" si="10"/>
        <v>56</v>
      </c>
      <c r="V156" s="220" t="str">
        <f t="shared" si="42"/>
        <v>-</v>
      </c>
      <c r="W156" s="221" t="str">
        <f t="shared" si="43"/>
        <v>-</v>
      </c>
      <c r="X156" s="221" t="str">
        <f t="shared" si="11"/>
        <v>-</v>
      </c>
      <c r="Y156" s="221" t="str">
        <f t="shared" si="12"/>
        <v>-</v>
      </c>
      <c r="Z156" s="270">
        <f t="shared" si="44"/>
        <v>0.1</v>
      </c>
      <c r="AA156" s="271" t="str">
        <f>IFERROR(IF(V155=1,AA$100*EXP(-(LN(2)/$D$65+0.04)*X155)*EXP(-(LN(2)/$D$65+0.1)*Y155),IF(V155=2,AA$100*EXP(-(LN(2)/$D$65+0.04)*(VLOOKUP(($F$16-$F$15)-1,U$99:Y155,4,FALSE)))*EXP(-(LN(2)/$D$65+0.1)*(VLOOKUP(($F$16-$F$15)-1,U$99:Y155,5,FALSE)))*EXP(-(LN(2)/$D$65+0.04)*X155)*EXP(-(LN(2)/$D$65+0.1)*Y155),IF(V155=3,AA$100*EXP(-(LN(2)/$D$65+0.04)*(VLOOKUP(($F$16-$F$15)-1,U$99:Y155,4,FALSE)))*EXP(-(LN(2)/$D$65+0.1)*(VLOOKUP(($F$16-$F$15)-1,U$99:Y155,5,FALSE)))*EXP(-(LN(2)/$D$65+0.04)*(VLOOKUP(($F$16-$F$15)*2-1,U$99:Y155,4,FALSE)))*EXP(-(LN(2)/$D$65+0.1)*(VLOOKUP(($F$16-$F$15)*2-1,U$99:Y155,5,FALSE)))*EXP(-(LN(2)/$D$65+0.04)*X155)*EXP(-(LN(2)/$D$65+0.1)*Y155),"-"))),"-")</f>
        <v>-</v>
      </c>
      <c r="AB156" s="271" t="str">
        <f>IFERROR(IF(V156=1,AB$100*EXP(-(LN(2)/$D$65+0.04)*X156)*EXP(-(LN(2)/$D$65+0.1)*Y156),IF(V156=2,AB$100*EXP(-(LN(2)/$D$65+0.04)*(VLOOKUP(($F$16-$F$15)-1,U$100:Y156,4,FALSE)))*EXP(-(LN(2)/$D$65+0.1)*(VLOOKUP(($F$16-$F$15)-1,U$100:Y156,5,FALSE)))*EXP(-(LN(2)/$D$65+0.04)*X156)*EXP(-(LN(2)/$D$65+0.1)*Y156),IF(V156=3,AB$100*EXP(-(LN(2)/$D$65+0.04)*(VLOOKUP(($F$16-$F$15)-1,U$100:Y156,4,FALSE)))*EXP(-(LN(2)/$D$65+0.1)*(VLOOKUP(($F$16-$F$15)-1,U$100:Y156,5,FALSE)))*EXP(-(LN(2)/$D$65+0.04)*(VLOOKUP(($F$16-$F$15)*2-1,U$100:Y156,4,FALSE)))*EXP(-(LN(2)/$D$65+0.1)*(VLOOKUP(($F$16-$F$15)*2-1,U$100:Y156,5,FALSE)))*EXP(-(LN(2)/$D$65+0.04)*X156)*EXP(-(LN(2)/$D$65+0.1)*Y156),"-"))),"-")</f>
        <v>-</v>
      </c>
      <c r="AC156" s="224">
        <f t="shared" si="45"/>
        <v>56</v>
      </c>
      <c r="AD156" s="223" t="str">
        <f t="shared" si="14"/>
        <v>-</v>
      </c>
      <c r="AE156" s="224" t="str">
        <f t="shared" si="46"/>
        <v>-</v>
      </c>
      <c r="AF156" s="224" t="str">
        <f t="shared" si="15"/>
        <v>-</v>
      </c>
      <c r="AG156" s="224" t="str">
        <f t="shared" si="16"/>
        <v>-</v>
      </c>
      <c r="AH156" s="272">
        <f t="shared" si="47"/>
        <v>0.1</v>
      </c>
      <c r="AI156" s="271" t="str">
        <f>IFERROR(IF(AD155=1,AI$100*EXP(-(LN(2)/$D$65+0.04)*AF155)*EXP(-(LN(2)/$D$65+0.1)*AG155),IF(AD155=2,AI$100*EXP(-(LN(2)/$D$65+0.04)*(VLOOKUP(($F$16-$F$15)-1,AC$99:AG155,4,FALSE)))*EXP(-(LN(2)/$D$65+0.1)*(VLOOKUP(($F$16-$F$15)-1,AC$99:AG155,5,FALSE)))*EXP(-(LN(2)/$D$65+0.04)*AF155)*EXP(-(LN(2)/$D$65+0.1)*AG155),IF(AD155=3,AI$100*EXP(-(LN(2)/$D$65+0.04)*(VLOOKUP(($F$16-$F$15)-1,AC$99:AG155,4,FALSE)))*EXP(-(LN(2)/$D$65+0.1)*(VLOOKUP(($F$16-$F$15)-1,AC$99:AG155,5,FALSE)))*EXP(-(LN(2)/$D$65+0.04)*(VLOOKUP(($F$16-$F$15)*2-1,AC$99:AG155,4,FALSE)))*EXP(-(LN(2)/$D$65+0.1)*(VLOOKUP(($F$16-$F$15)*2-1,AC$99:AG155,5,FALSE)))*EXP(-(LN(2)/$D$65+0.04)*AF155)*EXP(-(LN(2)/$D$65+0.1)*AG155),"-"))),"-")</f>
        <v>-</v>
      </c>
      <c r="AJ156" s="271" t="str">
        <f>IFERROR(IF(AD156=1,AJ$100*EXP(-(LN(2)/$D$65+0.04)*AF156)*EXP(-(LN(2)/$D$65+0.1)*AG156),IF(AD156=2,AJ$100*EXP(-(LN(2)/$D$65+0.04)*(VLOOKUP(($F$16-$F$15)-1,AC$100:AG156,4,FALSE)))*EXP(-(LN(2)/$D$65+0.1)*(VLOOKUP(($F$16-$F$15)-1,AC$100:AG156,5,FALSE)))*EXP(-(LN(2)/$D$65+0.04)*AF156)*EXP(-(LN(2)/$D$65+0.1)*AG156),IF(AD156=3,AJ$100*EXP(-(LN(2)/$D$65+0.04)*(VLOOKUP(($F$16-$F$15)-1,AC$100:AG156,4,FALSE)))*EXP(-(LN(2)/$D$65+0.1)*(VLOOKUP(($F$16-$F$15)-1,AC$100:AG156,5,FALSE)))*EXP(-(LN(2)/$D$65+0.04)*(VLOOKUP(($F$16-$F$15)*2-1,AC$100:AG156,4,FALSE)))*EXP(-(LN(2)/$D$65+0.1)*(VLOOKUP(($F$16-$F$15)*2-1,AC$100:AG156,5,FALSE)))*EXP(-(LN(2)/$D$65+0.04)*AF156)*EXP(-(LN(2)/$D$65+0.1)*AG156),"-"))),"-")</f>
        <v>-</v>
      </c>
      <c r="AK156" s="227">
        <f t="shared" si="49"/>
        <v>56</v>
      </c>
      <c r="AL156" s="226" t="str">
        <f t="shared" si="18"/>
        <v>-</v>
      </c>
      <c r="AM156" s="227" t="str">
        <f t="shared" si="50"/>
        <v>-</v>
      </c>
      <c r="AN156" s="227" t="str">
        <f t="shared" si="51"/>
        <v>-</v>
      </c>
      <c r="AO156" s="227" t="str">
        <f t="shared" si="19"/>
        <v>-</v>
      </c>
      <c r="AP156" s="273">
        <f t="shared" si="52"/>
        <v>0.1</v>
      </c>
      <c r="AQ156" s="271" t="str">
        <f>IFERROR(IF(AL155=1,AQ$100*EXP(-(LN(2)/$D$65+0.04)*AN155)*EXP(-(LN(2)/$D$65+0.1)*AO155),IF(AL155=2,AQ$100*EXP(-(LN(2)/$D$65+0.04)*(VLOOKUP(($F$16-$F$15)-1,AK$99:AO155,4,FALSE)))*EXP(-(LN(2)/$D$65+0.1)*(VLOOKUP(($F$16-$F$15)-1,AK$99:AO155,5,FALSE)))*EXP(-(LN(2)/$D$65+0.04)*AN155)*EXP(-(LN(2)/$D$65+0.1)*AO155),IF(AL155=3,AQ$100*EXP(-(LN(2)/$D$65+0.04)*(VLOOKUP(($F$16-$F$15)-1,AK$99:AO155,4,FALSE)))*EXP(-(LN(2)/$D$65+0.1)*(VLOOKUP(($F$16-$F$15)-1,AK$99:AO155,5,FALSE)))*EXP(-(LN(2)/$D$65+0.04)*(VLOOKUP(($F$16-$F$15)*2-1,AK$99:AO155,4,FALSE)))*EXP(-(LN(2)/$D$65+0.1)*(VLOOKUP(($F$16-$F$15)*2-1,AK$99:AO155,5,FALSE)))*EXP(-(LN(2)/$D$65+0.04)*AN155)*EXP(-(LN(2)/$D$65+0.1)*AO155),"-"))),"-")</f>
        <v>-</v>
      </c>
      <c r="AR156" s="271" t="str">
        <f>IFERROR(IF(AL156=1,AR$100*EXP(-(LN(2)/$D$65+0.04)*AN156)*EXP(-(LN(2)/$D$65+0.1)*AO156),IF(AL156=2,AR$100*EXP(-(LN(2)/$D$65+0.04)*(VLOOKUP(($F$16-$F$15)-1,AK$100:AO156,4,FALSE)))*EXP(-(LN(2)/$D$65+0.1)*(VLOOKUP(($F$16-$F$15)-1,AK$100:AO156,5,FALSE)))*EXP(-(LN(2)/$D$65+0.04)*AN156)*EXP(-(LN(2)/$D$65+0.1)*AO156),IF(AL156=3,AR$100*EXP(-(LN(2)/$D$65+0.04)*(VLOOKUP(($F$16-$F$15)-1,AK$100:AO156,4,FALSE)))*EXP(-(LN(2)/$D$65+0.1)*(VLOOKUP(($F$16-$F$15)-1,AK$100:AO156,5,FALSE)))*EXP(-(LN(2)/$D$65+0.04)*(VLOOKUP(($F$16-$F$15)*2-1,AK$100:AO156,4,FALSE)))*EXP(-(LN(2)/$D$65+0.1)*(VLOOKUP(($F$16-$F$15)*2-1,AK$100:AO156,5,FALSE)))*EXP(-(LN(2)/$D$65+0.04)*AN156)*EXP(-(LN(2)/$D$65+0.1)*AO156),"-"))),"-")</f>
        <v>-</v>
      </c>
      <c r="AS156" s="274">
        <f t="shared" si="20"/>
        <v>0</v>
      </c>
      <c r="AT156" s="274">
        <f t="shared" si="21"/>
        <v>0</v>
      </c>
      <c r="AU156" s="274">
        <f t="shared" si="22"/>
        <v>0</v>
      </c>
      <c r="AV156" s="190">
        <f>IF($B156&lt;$F$22,SUM($T$100:$T156),"")</f>
        <v>0</v>
      </c>
      <c r="AW156" s="190" t="str">
        <f t="shared" si="83"/>
        <v>-</v>
      </c>
      <c r="AX156" s="190" t="str">
        <f t="shared" si="56"/>
        <v/>
      </c>
      <c r="AY156"/>
      <c r="AZ156" s="190" t="str">
        <f ca="1">IF(ISNUMBER(OFFSET(AV156,-$F$21,0)),SUM(OFFSET($T$100,$F$21,0):$T156),"")</f>
        <v/>
      </c>
      <c r="BA156" s="190" t="str">
        <f t="shared" ca="1" si="84"/>
        <v/>
      </c>
      <c r="BB156" s="190" t="str">
        <f t="shared" ca="1" si="70"/>
        <v/>
      </c>
      <c r="BC156" s="190"/>
      <c r="BD156" s="190" t="str">
        <f ca="1">IFERROR(IF(AND($B156&gt;=($F$16-$F$15),$B156&lt;$F$22+($F$16-$F$15)),SUM(OFFSET($T$100,($F$16-$F$15),0):$T156),""),"")</f>
        <v/>
      </c>
      <c r="BE156" s="190" t="str">
        <f t="shared" ca="1" si="58"/>
        <v/>
      </c>
      <c r="BF156" s="190" t="str">
        <f t="shared" ca="1" si="59"/>
        <v/>
      </c>
      <c r="BG156"/>
      <c r="BH156" s="190" t="str">
        <f ca="1">IF(ISNUMBER(OFFSET(BD156,-$F$21,0)),SUM(OFFSET($T$100,($F$16-$F$15+$F$21),0):$T156),"")</f>
        <v/>
      </c>
      <c r="BI156" s="190" t="str">
        <f t="shared" ca="1" si="85"/>
        <v/>
      </c>
      <c r="BJ156" s="190" t="str">
        <f t="shared" ca="1" si="60"/>
        <v/>
      </c>
      <c r="BK156" s="190"/>
      <c r="BL156" s="190" t="str">
        <f ca="1">IFERROR(IF(AND($B156&gt;=($F$17-$F$15),$B156&lt;$F$22+($F$17-$F$15)),SUM(OFFSET($T$100,($F$17-$F$15),0):$T156),""),"")</f>
        <v/>
      </c>
      <c r="BM156" s="190" t="str">
        <f t="shared" ca="1" si="86"/>
        <v/>
      </c>
      <c r="BN156" s="190" t="str">
        <f t="shared" ca="1" si="61"/>
        <v/>
      </c>
      <c r="BO156"/>
      <c r="BP156" s="190" t="str">
        <f ca="1">IF(ISNUMBER(OFFSET(BL156,-$F$21,0)),SUM(OFFSET($T$100,($F$17-$F$15+$F$21),0):$T156),"")</f>
        <v/>
      </c>
      <c r="BQ156" s="190" t="str">
        <f t="shared" ca="1" si="87"/>
        <v/>
      </c>
      <c r="BR156" s="190" t="str">
        <f t="shared" ca="1" si="63"/>
        <v/>
      </c>
      <c r="BS156" s="190"/>
      <c r="BT156"/>
      <c r="BU156"/>
      <c r="BV156"/>
      <c r="BY156" s="99"/>
      <c r="BZ156" s="99"/>
      <c r="CA156" s="280" t="str">
        <f t="shared" si="88"/>
        <v/>
      </c>
      <c r="CB156" s="71" t="str">
        <f t="shared" si="27"/>
        <v>-</v>
      </c>
      <c r="CC156" s="33"/>
      <c r="CD156" s="261" t="str">
        <f t="shared" si="29"/>
        <v/>
      </c>
      <c r="CE156" s="280" t="str">
        <f t="shared" si="89"/>
        <v>-</v>
      </c>
      <c r="CF156" s="71" t="str">
        <f t="shared" ca="1" si="90"/>
        <v>-</v>
      </c>
      <c r="CG156" s="33" t="str">
        <f t="shared" si="32"/>
        <v>56-57</v>
      </c>
      <c r="CH156" s="261" t="str">
        <f t="shared" ca="1" si="33"/>
        <v/>
      </c>
      <c r="CI156" s="99"/>
      <c r="CJ156" s="99"/>
      <c r="CK156" s="99"/>
      <c r="CL156" s="99"/>
      <c r="CM156" s="99"/>
      <c r="CN156" s="99"/>
      <c r="CO156" s="99"/>
    </row>
    <row r="157" spans="2:93" ht="13.5" customHeight="1" x14ac:dyDescent="0.2">
      <c r="B157" s="262">
        <v>57</v>
      </c>
      <c r="C157" s="237" t="str">
        <f t="shared" si="1"/>
        <v/>
      </c>
      <c r="D157" s="237" t="str">
        <f t="shared" si="66"/>
        <v>-</v>
      </c>
      <c r="E157" s="290" t="str">
        <f t="shared" si="34"/>
        <v/>
      </c>
      <c r="F157" s="264" t="str">
        <f t="shared" si="35"/>
        <v/>
      </c>
      <c r="G157" s="291" t="str">
        <f t="shared" si="36"/>
        <v/>
      </c>
      <c r="H157" s="240" t="str">
        <f t="shared" si="71"/>
        <v/>
      </c>
      <c r="I157" s="265" t="str">
        <f t="shared" si="72"/>
        <v/>
      </c>
      <c r="J157" s="265" t="str">
        <f t="shared" si="73"/>
        <v/>
      </c>
      <c r="K157" s="240" t="str">
        <f t="shared" si="74"/>
        <v/>
      </c>
      <c r="L157" s="265" t="str">
        <f t="shared" si="75"/>
        <v/>
      </c>
      <c r="M157" s="265" t="str">
        <f t="shared" si="76"/>
        <v/>
      </c>
      <c r="N157" s="240" t="str">
        <f t="shared" si="77"/>
        <v>-</v>
      </c>
      <c r="O157" s="265" t="str">
        <f t="shared" si="78"/>
        <v>-</v>
      </c>
      <c r="P157" s="265" t="str">
        <f t="shared" si="79"/>
        <v>-</v>
      </c>
      <c r="Q157" s="266" t="str">
        <f t="shared" si="80"/>
        <v>-</v>
      </c>
      <c r="R157" s="267" t="str">
        <f t="shared" si="81"/>
        <v>-</v>
      </c>
      <c r="S157" s="268" t="str">
        <f t="shared" si="82"/>
        <v>-</v>
      </c>
      <c r="T157" s="269" t="str">
        <f t="shared" si="9"/>
        <v/>
      </c>
      <c r="U157" s="221">
        <f t="shared" si="10"/>
        <v>57</v>
      </c>
      <c r="V157" s="220" t="str">
        <f t="shared" si="42"/>
        <v>-</v>
      </c>
      <c r="W157" s="221" t="str">
        <f t="shared" si="43"/>
        <v>-</v>
      </c>
      <c r="X157" s="221" t="str">
        <f t="shared" si="11"/>
        <v>-</v>
      </c>
      <c r="Y157" s="221" t="str">
        <f t="shared" si="12"/>
        <v>-</v>
      </c>
      <c r="Z157" s="270">
        <f t="shared" si="44"/>
        <v>0.1</v>
      </c>
      <c r="AA157" s="271" t="str">
        <f>IFERROR(IF(V156=1,AA$100*EXP(-(LN(2)/$D$65+0.04)*X156)*EXP(-(LN(2)/$D$65+0.1)*Y156),IF(V156=2,AA$100*EXP(-(LN(2)/$D$65+0.04)*(VLOOKUP(($F$16-$F$15)-1,U$99:Y156,4,FALSE)))*EXP(-(LN(2)/$D$65+0.1)*(VLOOKUP(($F$16-$F$15)-1,U$99:Y156,5,FALSE)))*EXP(-(LN(2)/$D$65+0.04)*X156)*EXP(-(LN(2)/$D$65+0.1)*Y156),IF(V156=3,AA$100*EXP(-(LN(2)/$D$65+0.04)*(VLOOKUP(($F$16-$F$15)-1,U$99:Y156,4,FALSE)))*EXP(-(LN(2)/$D$65+0.1)*(VLOOKUP(($F$16-$F$15)-1,U$99:Y156,5,FALSE)))*EXP(-(LN(2)/$D$65+0.04)*(VLOOKUP(($F$16-$F$15)*2-1,U$99:Y156,4,FALSE)))*EXP(-(LN(2)/$D$65+0.1)*(VLOOKUP(($F$16-$F$15)*2-1,U$99:Y156,5,FALSE)))*EXP(-(LN(2)/$D$65+0.04)*X156)*EXP(-(LN(2)/$D$65+0.1)*Y156),"-"))),"-")</f>
        <v>-</v>
      </c>
      <c r="AB157" s="271" t="str">
        <f>IFERROR(IF(V157=1,AB$100*EXP(-(LN(2)/$D$65+0.04)*X157)*EXP(-(LN(2)/$D$65+0.1)*Y157),IF(V157=2,AB$100*EXP(-(LN(2)/$D$65+0.04)*(VLOOKUP(($F$16-$F$15)-1,U$100:Y157,4,FALSE)))*EXP(-(LN(2)/$D$65+0.1)*(VLOOKUP(($F$16-$F$15)-1,U$100:Y157,5,FALSE)))*EXP(-(LN(2)/$D$65+0.04)*X157)*EXP(-(LN(2)/$D$65+0.1)*Y157),IF(V157=3,AB$100*EXP(-(LN(2)/$D$65+0.04)*(VLOOKUP(($F$16-$F$15)-1,U$100:Y157,4,FALSE)))*EXP(-(LN(2)/$D$65+0.1)*(VLOOKUP(($F$16-$F$15)-1,U$100:Y157,5,FALSE)))*EXP(-(LN(2)/$D$65+0.04)*(VLOOKUP(($F$16-$F$15)*2-1,U$100:Y157,4,FALSE)))*EXP(-(LN(2)/$D$65+0.1)*(VLOOKUP(($F$16-$F$15)*2-1,U$100:Y157,5,FALSE)))*EXP(-(LN(2)/$D$65+0.04)*X157)*EXP(-(LN(2)/$D$65+0.1)*Y157),"-"))),"-")</f>
        <v>-</v>
      </c>
      <c r="AC157" s="224">
        <f t="shared" si="45"/>
        <v>57</v>
      </c>
      <c r="AD157" s="223" t="str">
        <f t="shared" si="14"/>
        <v>-</v>
      </c>
      <c r="AE157" s="224" t="str">
        <f t="shared" si="46"/>
        <v>-</v>
      </c>
      <c r="AF157" s="224" t="str">
        <f t="shared" si="15"/>
        <v>-</v>
      </c>
      <c r="AG157" s="224" t="str">
        <f t="shared" si="16"/>
        <v>-</v>
      </c>
      <c r="AH157" s="272">
        <f t="shared" si="47"/>
        <v>0.1</v>
      </c>
      <c r="AI157" s="271" t="str">
        <f>IFERROR(IF(AD156=1,AI$100*EXP(-(LN(2)/$D$65+0.04)*AF156)*EXP(-(LN(2)/$D$65+0.1)*AG156),IF(AD156=2,AI$100*EXP(-(LN(2)/$D$65+0.04)*(VLOOKUP(($F$16-$F$15)-1,AC$99:AG156,4,FALSE)))*EXP(-(LN(2)/$D$65+0.1)*(VLOOKUP(($F$16-$F$15)-1,AC$99:AG156,5,FALSE)))*EXP(-(LN(2)/$D$65+0.04)*AF156)*EXP(-(LN(2)/$D$65+0.1)*AG156),IF(AD156=3,AI$100*EXP(-(LN(2)/$D$65+0.04)*(VLOOKUP(($F$16-$F$15)-1,AC$99:AG156,4,FALSE)))*EXP(-(LN(2)/$D$65+0.1)*(VLOOKUP(($F$16-$F$15)-1,AC$99:AG156,5,FALSE)))*EXP(-(LN(2)/$D$65+0.04)*(VLOOKUP(($F$16-$F$15)*2-1,AC$99:AG156,4,FALSE)))*EXP(-(LN(2)/$D$65+0.1)*(VLOOKUP(($F$16-$F$15)*2-1,AC$99:AG156,5,FALSE)))*EXP(-(LN(2)/$D$65+0.04)*AF156)*EXP(-(LN(2)/$D$65+0.1)*AG156),"-"))),"-")</f>
        <v>-</v>
      </c>
      <c r="AJ157" s="271" t="str">
        <f>IFERROR(IF(AD157=1,AJ$100*EXP(-(LN(2)/$D$65+0.04)*AF157)*EXP(-(LN(2)/$D$65+0.1)*AG157),IF(AD157=2,AJ$100*EXP(-(LN(2)/$D$65+0.04)*(VLOOKUP(($F$16-$F$15)-1,AC$100:AG157,4,FALSE)))*EXP(-(LN(2)/$D$65+0.1)*(VLOOKUP(($F$16-$F$15)-1,AC$100:AG157,5,FALSE)))*EXP(-(LN(2)/$D$65+0.04)*AF157)*EXP(-(LN(2)/$D$65+0.1)*AG157),IF(AD157=3,AJ$100*EXP(-(LN(2)/$D$65+0.04)*(VLOOKUP(($F$16-$F$15)-1,AC$100:AG157,4,FALSE)))*EXP(-(LN(2)/$D$65+0.1)*(VLOOKUP(($F$16-$F$15)-1,AC$100:AG157,5,FALSE)))*EXP(-(LN(2)/$D$65+0.04)*(VLOOKUP(($F$16-$F$15)*2-1,AC$100:AG157,4,FALSE)))*EXP(-(LN(2)/$D$65+0.1)*(VLOOKUP(($F$16-$F$15)*2-1,AC$100:AG157,5,FALSE)))*EXP(-(LN(2)/$D$65+0.04)*AF157)*EXP(-(LN(2)/$D$65+0.1)*AG157),"-"))),"-")</f>
        <v>-</v>
      </c>
      <c r="AK157" s="227">
        <f t="shared" si="49"/>
        <v>57</v>
      </c>
      <c r="AL157" s="226" t="str">
        <f t="shared" si="18"/>
        <v>-</v>
      </c>
      <c r="AM157" s="227" t="str">
        <f t="shared" si="50"/>
        <v>-</v>
      </c>
      <c r="AN157" s="227" t="str">
        <f t="shared" si="51"/>
        <v>-</v>
      </c>
      <c r="AO157" s="227" t="str">
        <f t="shared" si="19"/>
        <v>-</v>
      </c>
      <c r="AP157" s="273">
        <f t="shared" si="52"/>
        <v>0.1</v>
      </c>
      <c r="AQ157" s="271" t="str">
        <f>IFERROR(IF(AL156=1,AQ$100*EXP(-(LN(2)/$D$65+0.04)*AN156)*EXP(-(LN(2)/$D$65+0.1)*AO156),IF(AL156=2,AQ$100*EXP(-(LN(2)/$D$65+0.04)*(VLOOKUP(($F$16-$F$15)-1,AK$99:AO156,4,FALSE)))*EXP(-(LN(2)/$D$65+0.1)*(VLOOKUP(($F$16-$F$15)-1,AK$99:AO156,5,FALSE)))*EXP(-(LN(2)/$D$65+0.04)*AN156)*EXP(-(LN(2)/$D$65+0.1)*AO156),IF(AL156=3,AQ$100*EXP(-(LN(2)/$D$65+0.04)*(VLOOKUP(($F$16-$F$15)-1,AK$99:AO156,4,FALSE)))*EXP(-(LN(2)/$D$65+0.1)*(VLOOKUP(($F$16-$F$15)-1,AK$99:AO156,5,FALSE)))*EXP(-(LN(2)/$D$65+0.04)*(VLOOKUP(($F$16-$F$15)*2-1,AK$99:AO156,4,FALSE)))*EXP(-(LN(2)/$D$65+0.1)*(VLOOKUP(($F$16-$F$15)*2-1,AK$99:AO156,5,FALSE)))*EXP(-(LN(2)/$D$65+0.04)*AN156)*EXP(-(LN(2)/$D$65+0.1)*AO156),"-"))),"-")</f>
        <v>-</v>
      </c>
      <c r="AR157" s="271" t="str">
        <f>IFERROR(IF(AL157=1,AR$100*EXP(-(LN(2)/$D$65+0.04)*AN157)*EXP(-(LN(2)/$D$65+0.1)*AO157),IF(AL157=2,AR$100*EXP(-(LN(2)/$D$65+0.04)*(VLOOKUP(($F$16-$F$15)-1,AK$100:AO157,4,FALSE)))*EXP(-(LN(2)/$D$65+0.1)*(VLOOKUP(($F$16-$F$15)-1,AK$100:AO157,5,FALSE)))*EXP(-(LN(2)/$D$65+0.04)*AN157)*EXP(-(LN(2)/$D$65+0.1)*AO157),IF(AL157=3,AR$100*EXP(-(LN(2)/$D$65+0.04)*(VLOOKUP(($F$16-$F$15)-1,AK$100:AO157,4,FALSE)))*EXP(-(LN(2)/$D$65+0.1)*(VLOOKUP(($F$16-$F$15)-1,AK$100:AO157,5,FALSE)))*EXP(-(LN(2)/$D$65+0.04)*(VLOOKUP(($F$16-$F$15)*2-1,AK$100:AO157,4,FALSE)))*EXP(-(LN(2)/$D$65+0.1)*(VLOOKUP(($F$16-$F$15)*2-1,AK$100:AO157,5,FALSE)))*EXP(-(LN(2)/$D$65+0.04)*AN157)*EXP(-(LN(2)/$D$65+0.1)*AO157),"-"))),"-")</f>
        <v>-</v>
      </c>
      <c r="AS157" s="274">
        <f t="shared" si="20"/>
        <v>0</v>
      </c>
      <c r="AT157" s="274">
        <f t="shared" si="21"/>
        <v>0</v>
      </c>
      <c r="AU157" s="274">
        <f t="shared" si="22"/>
        <v>0</v>
      </c>
      <c r="AV157" s="190">
        <f>IF($B157&lt;$F$22,SUM($T$100:$T157),"")</f>
        <v>0</v>
      </c>
      <c r="AW157" s="190" t="str">
        <f t="shared" si="83"/>
        <v>-</v>
      </c>
      <c r="AX157" s="190" t="str">
        <f t="shared" si="56"/>
        <v/>
      </c>
      <c r="AY157"/>
      <c r="AZ157" s="190" t="str">
        <f ca="1">IF(ISNUMBER(OFFSET(AV157,-$F$21,0)),SUM(OFFSET($T$100,$F$21,0):$T157),"")</f>
        <v/>
      </c>
      <c r="BA157" s="190" t="str">
        <f t="shared" ca="1" si="84"/>
        <v/>
      </c>
      <c r="BB157" s="190" t="str">
        <f t="shared" ca="1" si="70"/>
        <v/>
      </c>
      <c r="BC157" s="190"/>
      <c r="BD157" s="190" t="str">
        <f ca="1">IFERROR(IF(AND($B157&gt;=($F$16-$F$15),$B157&lt;$F$22+($F$16-$F$15)),SUM(OFFSET($T$100,($F$16-$F$15),0):$T157),""),"")</f>
        <v/>
      </c>
      <c r="BE157" s="190" t="str">
        <f t="shared" ca="1" si="58"/>
        <v/>
      </c>
      <c r="BF157" s="190" t="str">
        <f t="shared" ca="1" si="59"/>
        <v/>
      </c>
      <c r="BG157"/>
      <c r="BH157" s="190" t="str">
        <f ca="1">IF(ISNUMBER(OFFSET(BD157,-$F$21,0)),SUM(OFFSET($T$100,($F$16-$F$15+$F$21),0):$T157),"")</f>
        <v/>
      </c>
      <c r="BI157" s="190" t="str">
        <f t="shared" ca="1" si="85"/>
        <v/>
      </c>
      <c r="BJ157" s="190" t="str">
        <f t="shared" ca="1" si="60"/>
        <v/>
      </c>
      <c r="BK157" s="190"/>
      <c r="BL157" s="190" t="str">
        <f ca="1">IFERROR(IF(AND($B157&gt;=($F$17-$F$15),$B157&lt;$F$22+($F$17-$F$15)),SUM(OFFSET($T$100,($F$17-$F$15),0):$T157),""),"")</f>
        <v/>
      </c>
      <c r="BM157" s="190" t="str">
        <f t="shared" ca="1" si="86"/>
        <v/>
      </c>
      <c r="BN157" s="190" t="str">
        <f t="shared" ca="1" si="61"/>
        <v/>
      </c>
      <c r="BO157"/>
      <c r="BP157" s="190" t="str">
        <f ca="1">IF(ISNUMBER(OFFSET(BL157,-$F$21,0)),SUM(OFFSET($T$100,($F$17-$F$15+$F$21),0):$T157),"")</f>
        <v/>
      </c>
      <c r="BQ157" s="190" t="str">
        <f t="shared" ca="1" si="87"/>
        <v/>
      </c>
      <c r="BR157" s="190" t="str">
        <f t="shared" ca="1" si="63"/>
        <v/>
      </c>
      <c r="BS157" s="190"/>
      <c r="BT157"/>
      <c r="BU157"/>
      <c r="BV157"/>
      <c r="BY157" s="99"/>
      <c r="BZ157" s="99"/>
      <c r="CA157" s="280" t="str">
        <f t="shared" si="88"/>
        <v/>
      </c>
      <c r="CB157" s="71" t="str">
        <f t="shared" si="27"/>
        <v>-</v>
      </c>
      <c r="CC157" s="33"/>
      <c r="CD157" s="261" t="str">
        <f t="shared" si="29"/>
        <v/>
      </c>
      <c r="CE157" s="280" t="str">
        <f t="shared" si="89"/>
        <v>-</v>
      </c>
      <c r="CF157" s="71" t="str">
        <f t="shared" ca="1" si="90"/>
        <v>-</v>
      </c>
      <c r="CG157" s="33" t="str">
        <f t="shared" si="32"/>
        <v>57-58</v>
      </c>
      <c r="CH157" s="261" t="str">
        <f t="shared" ca="1" si="33"/>
        <v/>
      </c>
      <c r="CI157" s="99"/>
      <c r="CJ157" s="99"/>
      <c r="CK157" s="99"/>
      <c r="CL157" s="99"/>
      <c r="CM157" s="99"/>
      <c r="CN157" s="99"/>
      <c r="CO157" s="99"/>
    </row>
    <row r="158" spans="2:93" ht="13.5" customHeight="1" x14ac:dyDescent="0.2">
      <c r="B158" s="262">
        <v>58</v>
      </c>
      <c r="C158" s="237" t="str">
        <f t="shared" si="1"/>
        <v/>
      </c>
      <c r="D158" s="237" t="str">
        <f t="shared" si="66"/>
        <v>-</v>
      </c>
      <c r="E158" s="290" t="str">
        <f t="shared" si="34"/>
        <v/>
      </c>
      <c r="F158" s="264" t="str">
        <f t="shared" si="35"/>
        <v/>
      </c>
      <c r="G158" s="291" t="str">
        <f t="shared" si="36"/>
        <v/>
      </c>
      <c r="H158" s="240" t="str">
        <f t="shared" si="71"/>
        <v/>
      </c>
      <c r="I158" s="265" t="str">
        <f t="shared" si="72"/>
        <v/>
      </c>
      <c r="J158" s="265" t="str">
        <f t="shared" si="73"/>
        <v/>
      </c>
      <c r="K158" s="240" t="str">
        <f t="shared" si="74"/>
        <v/>
      </c>
      <c r="L158" s="265" t="str">
        <f t="shared" si="75"/>
        <v/>
      </c>
      <c r="M158" s="265" t="str">
        <f t="shared" si="76"/>
        <v/>
      </c>
      <c r="N158" s="240" t="str">
        <f t="shared" si="77"/>
        <v>-</v>
      </c>
      <c r="O158" s="265" t="str">
        <f t="shared" si="78"/>
        <v>-</v>
      </c>
      <c r="P158" s="265" t="str">
        <f t="shared" si="79"/>
        <v>-</v>
      </c>
      <c r="Q158" s="266" t="str">
        <f t="shared" si="80"/>
        <v>-</v>
      </c>
      <c r="R158" s="267" t="str">
        <f t="shared" si="81"/>
        <v>-</v>
      </c>
      <c r="S158" s="268" t="str">
        <f t="shared" si="82"/>
        <v>-</v>
      </c>
      <c r="T158" s="269" t="str">
        <f t="shared" si="9"/>
        <v/>
      </c>
      <c r="U158" s="221">
        <f t="shared" si="10"/>
        <v>58</v>
      </c>
      <c r="V158" s="220" t="str">
        <f t="shared" si="42"/>
        <v>-</v>
      </c>
      <c r="W158" s="221" t="str">
        <f t="shared" si="43"/>
        <v>-</v>
      </c>
      <c r="X158" s="221" t="str">
        <f t="shared" si="11"/>
        <v>-</v>
      </c>
      <c r="Y158" s="221" t="str">
        <f t="shared" si="12"/>
        <v>-</v>
      </c>
      <c r="Z158" s="270">
        <f t="shared" si="44"/>
        <v>0.1</v>
      </c>
      <c r="AA158" s="271" t="str">
        <f>IFERROR(IF(V157=1,AA$100*EXP(-(LN(2)/$D$65+0.04)*X157)*EXP(-(LN(2)/$D$65+0.1)*Y157),IF(V157=2,AA$100*EXP(-(LN(2)/$D$65+0.04)*(VLOOKUP(($F$16-$F$15)-1,U$99:Y157,4,FALSE)))*EXP(-(LN(2)/$D$65+0.1)*(VLOOKUP(($F$16-$F$15)-1,U$99:Y157,5,FALSE)))*EXP(-(LN(2)/$D$65+0.04)*X157)*EXP(-(LN(2)/$D$65+0.1)*Y157),IF(V157=3,AA$100*EXP(-(LN(2)/$D$65+0.04)*(VLOOKUP(($F$16-$F$15)-1,U$99:Y157,4,FALSE)))*EXP(-(LN(2)/$D$65+0.1)*(VLOOKUP(($F$16-$F$15)-1,U$99:Y157,5,FALSE)))*EXP(-(LN(2)/$D$65+0.04)*(VLOOKUP(($F$16-$F$15)*2-1,U$99:Y157,4,FALSE)))*EXP(-(LN(2)/$D$65+0.1)*(VLOOKUP(($F$16-$F$15)*2-1,U$99:Y157,5,FALSE)))*EXP(-(LN(2)/$D$65+0.04)*X157)*EXP(-(LN(2)/$D$65+0.1)*Y157),"-"))),"-")</f>
        <v>-</v>
      </c>
      <c r="AB158" s="271" t="str">
        <f>IFERROR(IF(V158=1,AB$100*EXP(-(LN(2)/$D$65+0.04)*X158)*EXP(-(LN(2)/$D$65+0.1)*Y158),IF(V158=2,AB$100*EXP(-(LN(2)/$D$65+0.04)*(VLOOKUP(($F$16-$F$15)-1,U$100:Y158,4,FALSE)))*EXP(-(LN(2)/$D$65+0.1)*(VLOOKUP(($F$16-$F$15)-1,U$100:Y158,5,FALSE)))*EXP(-(LN(2)/$D$65+0.04)*X158)*EXP(-(LN(2)/$D$65+0.1)*Y158),IF(V158=3,AB$100*EXP(-(LN(2)/$D$65+0.04)*(VLOOKUP(($F$16-$F$15)-1,U$100:Y158,4,FALSE)))*EXP(-(LN(2)/$D$65+0.1)*(VLOOKUP(($F$16-$F$15)-1,U$100:Y158,5,FALSE)))*EXP(-(LN(2)/$D$65+0.04)*(VLOOKUP(($F$16-$F$15)*2-1,U$100:Y158,4,FALSE)))*EXP(-(LN(2)/$D$65+0.1)*(VLOOKUP(($F$16-$F$15)*2-1,U$100:Y158,5,FALSE)))*EXP(-(LN(2)/$D$65+0.04)*X158)*EXP(-(LN(2)/$D$65+0.1)*Y158),"-"))),"-")</f>
        <v>-</v>
      </c>
      <c r="AC158" s="224">
        <f t="shared" si="45"/>
        <v>58</v>
      </c>
      <c r="AD158" s="223" t="str">
        <f t="shared" si="14"/>
        <v>-</v>
      </c>
      <c r="AE158" s="224" t="str">
        <f t="shared" si="46"/>
        <v>-</v>
      </c>
      <c r="AF158" s="224" t="str">
        <f t="shared" si="15"/>
        <v>-</v>
      </c>
      <c r="AG158" s="224" t="str">
        <f t="shared" si="16"/>
        <v>-</v>
      </c>
      <c r="AH158" s="272">
        <f t="shared" si="47"/>
        <v>0.1</v>
      </c>
      <c r="AI158" s="271" t="str">
        <f>IFERROR(IF(AD157=1,AI$100*EXP(-(LN(2)/$D$65+0.04)*AF157)*EXP(-(LN(2)/$D$65+0.1)*AG157),IF(AD157=2,AI$100*EXP(-(LN(2)/$D$65+0.04)*(VLOOKUP(($F$16-$F$15)-1,AC$99:AG157,4,FALSE)))*EXP(-(LN(2)/$D$65+0.1)*(VLOOKUP(($F$16-$F$15)-1,AC$99:AG157,5,FALSE)))*EXP(-(LN(2)/$D$65+0.04)*AF157)*EXP(-(LN(2)/$D$65+0.1)*AG157),IF(AD157=3,AI$100*EXP(-(LN(2)/$D$65+0.04)*(VLOOKUP(($F$16-$F$15)-1,AC$99:AG157,4,FALSE)))*EXP(-(LN(2)/$D$65+0.1)*(VLOOKUP(($F$16-$F$15)-1,AC$99:AG157,5,FALSE)))*EXP(-(LN(2)/$D$65+0.04)*(VLOOKUP(($F$16-$F$15)*2-1,AC$99:AG157,4,FALSE)))*EXP(-(LN(2)/$D$65+0.1)*(VLOOKUP(($F$16-$F$15)*2-1,AC$99:AG157,5,FALSE)))*EXP(-(LN(2)/$D$65+0.04)*AF157)*EXP(-(LN(2)/$D$65+0.1)*AG157),"-"))),"-")</f>
        <v>-</v>
      </c>
      <c r="AJ158" s="271" t="str">
        <f>IFERROR(IF(AD158=1,AJ$100*EXP(-(LN(2)/$D$65+0.04)*AF158)*EXP(-(LN(2)/$D$65+0.1)*AG158),IF(AD158=2,AJ$100*EXP(-(LN(2)/$D$65+0.04)*(VLOOKUP(($F$16-$F$15)-1,AC$100:AG158,4,FALSE)))*EXP(-(LN(2)/$D$65+0.1)*(VLOOKUP(($F$16-$F$15)-1,AC$100:AG158,5,FALSE)))*EXP(-(LN(2)/$D$65+0.04)*AF158)*EXP(-(LN(2)/$D$65+0.1)*AG158),IF(AD158=3,AJ$100*EXP(-(LN(2)/$D$65+0.04)*(VLOOKUP(($F$16-$F$15)-1,AC$100:AG158,4,FALSE)))*EXP(-(LN(2)/$D$65+0.1)*(VLOOKUP(($F$16-$F$15)-1,AC$100:AG158,5,FALSE)))*EXP(-(LN(2)/$D$65+0.04)*(VLOOKUP(($F$16-$F$15)*2-1,AC$100:AG158,4,FALSE)))*EXP(-(LN(2)/$D$65+0.1)*(VLOOKUP(($F$16-$F$15)*2-1,AC$100:AG158,5,FALSE)))*EXP(-(LN(2)/$D$65+0.04)*AF158)*EXP(-(LN(2)/$D$65+0.1)*AG158),"-"))),"-")</f>
        <v>-</v>
      </c>
      <c r="AK158" s="227">
        <f t="shared" si="49"/>
        <v>58</v>
      </c>
      <c r="AL158" s="226" t="str">
        <f t="shared" si="18"/>
        <v>-</v>
      </c>
      <c r="AM158" s="227" t="str">
        <f t="shared" si="50"/>
        <v>-</v>
      </c>
      <c r="AN158" s="227" t="str">
        <f t="shared" si="51"/>
        <v>-</v>
      </c>
      <c r="AO158" s="227" t="str">
        <f t="shared" si="19"/>
        <v>-</v>
      </c>
      <c r="AP158" s="273">
        <f t="shared" si="52"/>
        <v>0.1</v>
      </c>
      <c r="AQ158" s="271" t="str">
        <f>IFERROR(IF(AL157=1,AQ$100*EXP(-(LN(2)/$D$65+0.04)*AN157)*EXP(-(LN(2)/$D$65+0.1)*AO157),IF(AL157=2,AQ$100*EXP(-(LN(2)/$D$65+0.04)*(VLOOKUP(($F$16-$F$15)-1,AK$99:AO157,4,FALSE)))*EXP(-(LN(2)/$D$65+0.1)*(VLOOKUP(($F$16-$F$15)-1,AK$99:AO157,5,FALSE)))*EXP(-(LN(2)/$D$65+0.04)*AN157)*EXP(-(LN(2)/$D$65+0.1)*AO157),IF(AL157=3,AQ$100*EXP(-(LN(2)/$D$65+0.04)*(VLOOKUP(($F$16-$F$15)-1,AK$99:AO157,4,FALSE)))*EXP(-(LN(2)/$D$65+0.1)*(VLOOKUP(($F$16-$F$15)-1,AK$99:AO157,5,FALSE)))*EXP(-(LN(2)/$D$65+0.04)*(VLOOKUP(($F$16-$F$15)*2-1,AK$99:AO157,4,FALSE)))*EXP(-(LN(2)/$D$65+0.1)*(VLOOKUP(($F$16-$F$15)*2-1,AK$99:AO157,5,FALSE)))*EXP(-(LN(2)/$D$65+0.04)*AN157)*EXP(-(LN(2)/$D$65+0.1)*AO157),"-"))),"-")</f>
        <v>-</v>
      </c>
      <c r="AR158" s="271" t="str">
        <f>IFERROR(IF(AL158=1,AR$100*EXP(-(LN(2)/$D$65+0.04)*AN158)*EXP(-(LN(2)/$D$65+0.1)*AO158),IF(AL158=2,AR$100*EXP(-(LN(2)/$D$65+0.04)*(VLOOKUP(($F$16-$F$15)-1,AK$100:AO158,4,FALSE)))*EXP(-(LN(2)/$D$65+0.1)*(VLOOKUP(($F$16-$F$15)-1,AK$100:AO158,5,FALSE)))*EXP(-(LN(2)/$D$65+0.04)*AN158)*EXP(-(LN(2)/$D$65+0.1)*AO158),IF(AL158=3,AR$100*EXP(-(LN(2)/$D$65+0.04)*(VLOOKUP(($F$16-$F$15)-1,AK$100:AO158,4,FALSE)))*EXP(-(LN(2)/$D$65+0.1)*(VLOOKUP(($F$16-$F$15)-1,AK$100:AO158,5,FALSE)))*EXP(-(LN(2)/$D$65+0.04)*(VLOOKUP(($F$16-$F$15)*2-1,AK$100:AO158,4,FALSE)))*EXP(-(LN(2)/$D$65+0.1)*(VLOOKUP(($F$16-$F$15)*2-1,AK$100:AO158,5,FALSE)))*EXP(-(LN(2)/$D$65+0.04)*AN158)*EXP(-(LN(2)/$D$65+0.1)*AO158),"-"))),"-")</f>
        <v>-</v>
      </c>
      <c r="AS158" s="274">
        <f t="shared" si="20"/>
        <v>0</v>
      </c>
      <c r="AT158" s="274">
        <f t="shared" si="21"/>
        <v>0</v>
      </c>
      <c r="AU158" s="274">
        <f t="shared" si="22"/>
        <v>0</v>
      </c>
      <c r="AV158" s="190">
        <f>IF($B158&lt;$F$22,SUM($T$100:$T158),"")</f>
        <v>0</v>
      </c>
      <c r="AW158" s="190" t="str">
        <f t="shared" si="83"/>
        <v>-</v>
      </c>
      <c r="AX158" s="190" t="str">
        <f t="shared" si="56"/>
        <v/>
      </c>
      <c r="AY158"/>
      <c r="AZ158" s="190" t="str">
        <f ca="1">IF(ISNUMBER(OFFSET(AV158,-$F$21,0)),SUM(OFFSET($T$100,$F$21,0):$T158),"")</f>
        <v/>
      </c>
      <c r="BA158" s="190" t="str">
        <f t="shared" ca="1" si="84"/>
        <v/>
      </c>
      <c r="BB158" s="190" t="str">
        <f t="shared" ca="1" si="70"/>
        <v/>
      </c>
      <c r="BC158" s="190"/>
      <c r="BD158" s="190" t="str">
        <f ca="1">IFERROR(IF(AND($B158&gt;=($F$16-$F$15),$B158&lt;$F$22+($F$16-$F$15)),SUM(OFFSET($T$100,($F$16-$F$15),0):$T158),""),"")</f>
        <v/>
      </c>
      <c r="BE158" s="190" t="str">
        <f t="shared" ca="1" si="58"/>
        <v/>
      </c>
      <c r="BF158" s="190" t="str">
        <f t="shared" ca="1" si="59"/>
        <v/>
      </c>
      <c r="BG158"/>
      <c r="BH158" s="190" t="str">
        <f ca="1">IF(ISNUMBER(OFFSET(BD158,-$F$21,0)),SUM(OFFSET($T$100,($F$16-$F$15+$F$21),0):$T158),"")</f>
        <v/>
      </c>
      <c r="BI158" s="190" t="str">
        <f t="shared" ca="1" si="85"/>
        <v/>
      </c>
      <c r="BJ158" s="190" t="str">
        <f t="shared" ca="1" si="60"/>
        <v/>
      </c>
      <c r="BK158" s="190"/>
      <c r="BL158" s="190" t="str">
        <f ca="1">IFERROR(IF(AND($B158&gt;=($F$17-$F$15),$B158&lt;$F$22+($F$17-$F$15)),SUM(OFFSET($T$100,($F$17-$F$15),0):$T158),""),"")</f>
        <v/>
      </c>
      <c r="BM158" s="190" t="str">
        <f t="shared" ca="1" si="86"/>
        <v/>
      </c>
      <c r="BN158" s="190" t="str">
        <f t="shared" ca="1" si="61"/>
        <v/>
      </c>
      <c r="BO158"/>
      <c r="BP158" s="190" t="str">
        <f ca="1">IF(ISNUMBER(OFFSET(BL158,-$F$21,0)),SUM(OFFSET($T$100,($F$17-$F$15+$F$21),0):$T158),"")</f>
        <v/>
      </c>
      <c r="BQ158" s="190" t="str">
        <f t="shared" ca="1" si="87"/>
        <v/>
      </c>
      <c r="BR158" s="190" t="str">
        <f t="shared" ca="1" si="63"/>
        <v/>
      </c>
      <c r="BS158" s="190"/>
      <c r="BT158"/>
      <c r="BU158"/>
      <c r="BV158"/>
      <c r="BY158" s="99"/>
      <c r="BZ158" s="99"/>
      <c r="CA158" s="280" t="str">
        <f t="shared" si="88"/>
        <v/>
      </c>
      <c r="CB158" s="71" t="str">
        <f t="shared" si="27"/>
        <v>-</v>
      </c>
      <c r="CC158" s="33"/>
      <c r="CD158" s="261" t="str">
        <f t="shared" si="29"/>
        <v/>
      </c>
      <c r="CE158" s="280" t="str">
        <f t="shared" si="89"/>
        <v>-</v>
      </c>
      <c r="CF158" s="71" t="str">
        <f t="shared" ca="1" si="90"/>
        <v>-</v>
      </c>
      <c r="CG158" s="33" t="str">
        <f t="shared" si="32"/>
        <v>58-59</v>
      </c>
      <c r="CH158" s="261" t="str">
        <f t="shared" ca="1" si="33"/>
        <v/>
      </c>
      <c r="CI158" s="99"/>
      <c r="CJ158" s="99"/>
      <c r="CK158" s="99"/>
      <c r="CL158" s="99"/>
      <c r="CM158" s="99"/>
      <c r="CN158" s="99"/>
      <c r="CO158" s="99"/>
    </row>
    <row r="159" spans="2:93" ht="13.5" customHeight="1" x14ac:dyDescent="0.2">
      <c r="B159" s="262">
        <v>59</v>
      </c>
      <c r="C159" s="237" t="str">
        <f t="shared" si="1"/>
        <v/>
      </c>
      <c r="D159" s="237" t="str">
        <f t="shared" si="66"/>
        <v>-</v>
      </c>
      <c r="E159" s="290" t="str">
        <f t="shared" si="34"/>
        <v/>
      </c>
      <c r="F159" s="264" t="str">
        <f t="shared" si="35"/>
        <v/>
      </c>
      <c r="G159" s="291" t="str">
        <f t="shared" si="36"/>
        <v/>
      </c>
      <c r="H159" s="240" t="str">
        <f t="shared" si="71"/>
        <v/>
      </c>
      <c r="I159" s="265" t="str">
        <f t="shared" si="72"/>
        <v/>
      </c>
      <c r="J159" s="265" t="str">
        <f t="shared" si="73"/>
        <v/>
      </c>
      <c r="K159" s="240" t="str">
        <f t="shared" si="74"/>
        <v/>
      </c>
      <c r="L159" s="265" t="str">
        <f t="shared" si="75"/>
        <v/>
      </c>
      <c r="M159" s="265" t="str">
        <f t="shared" si="76"/>
        <v/>
      </c>
      <c r="N159" s="240" t="str">
        <f t="shared" si="77"/>
        <v>-</v>
      </c>
      <c r="O159" s="265" t="str">
        <f t="shared" si="78"/>
        <v>-</v>
      </c>
      <c r="P159" s="265" t="str">
        <f t="shared" si="79"/>
        <v>-</v>
      </c>
      <c r="Q159" s="266" t="str">
        <f t="shared" si="80"/>
        <v>-</v>
      </c>
      <c r="R159" s="267" t="str">
        <f t="shared" si="81"/>
        <v>-</v>
      </c>
      <c r="S159" s="268" t="str">
        <f t="shared" si="82"/>
        <v>-</v>
      </c>
      <c r="T159" s="269" t="str">
        <f t="shared" si="9"/>
        <v/>
      </c>
      <c r="U159" s="221">
        <f t="shared" si="10"/>
        <v>59</v>
      </c>
      <c r="V159" s="220" t="str">
        <f t="shared" si="42"/>
        <v>-</v>
      </c>
      <c r="W159" s="221" t="str">
        <f t="shared" si="43"/>
        <v>-</v>
      </c>
      <c r="X159" s="221" t="str">
        <f t="shared" si="11"/>
        <v>-</v>
      </c>
      <c r="Y159" s="221" t="str">
        <f t="shared" si="12"/>
        <v>-</v>
      </c>
      <c r="Z159" s="270">
        <f t="shared" si="44"/>
        <v>0.1</v>
      </c>
      <c r="AA159" s="271" t="str">
        <f>IFERROR(IF(V158=1,AA$100*EXP(-(LN(2)/$D$65+0.04)*X158)*EXP(-(LN(2)/$D$65+0.1)*Y158),IF(V158=2,AA$100*EXP(-(LN(2)/$D$65+0.04)*(VLOOKUP(($F$16-$F$15)-1,U$99:Y158,4,FALSE)))*EXP(-(LN(2)/$D$65+0.1)*(VLOOKUP(($F$16-$F$15)-1,U$99:Y158,5,FALSE)))*EXP(-(LN(2)/$D$65+0.04)*X158)*EXP(-(LN(2)/$D$65+0.1)*Y158),IF(V158=3,AA$100*EXP(-(LN(2)/$D$65+0.04)*(VLOOKUP(($F$16-$F$15)-1,U$99:Y158,4,FALSE)))*EXP(-(LN(2)/$D$65+0.1)*(VLOOKUP(($F$16-$F$15)-1,U$99:Y158,5,FALSE)))*EXP(-(LN(2)/$D$65+0.04)*(VLOOKUP(($F$16-$F$15)*2-1,U$99:Y158,4,FALSE)))*EXP(-(LN(2)/$D$65+0.1)*(VLOOKUP(($F$16-$F$15)*2-1,U$99:Y158,5,FALSE)))*EXP(-(LN(2)/$D$65+0.04)*X158)*EXP(-(LN(2)/$D$65+0.1)*Y158),"-"))),"-")</f>
        <v>-</v>
      </c>
      <c r="AB159" s="271" t="str">
        <f>IFERROR(IF(V159=1,AB$100*EXP(-(LN(2)/$D$65+0.04)*X159)*EXP(-(LN(2)/$D$65+0.1)*Y159),IF(V159=2,AB$100*EXP(-(LN(2)/$D$65+0.04)*(VLOOKUP(($F$16-$F$15)-1,U$100:Y159,4,FALSE)))*EXP(-(LN(2)/$D$65+0.1)*(VLOOKUP(($F$16-$F$15)-1,U$100:Y159,5,FALSE)))*EXP(-(LN(2)/$D$65+0.04)*X159)*EXP(-(LN(2)/$D$65+0.1)*Y159),IF(V159=3,AB$100*EXP(-(LN(2)/$D$65+0.04)*(VLOOKUP(($F$16-$F$15)-1,U$100:Y159,4,FALSE)))*EXP(-(LN(2)/$D$65+0.1)*(VLOOKUP(($F$16-$F$15)-1,U$100:Y159,5,FALSE)))*EXP(-(LN(2)/$D$65+0.04)*(VLOOKUP(($F$16-$F$15)*2-1,U$100:Y159,4,FALSE)))*EXP(-(LN(2)/$D$65+0.1)*(VLOOKUP(($F$16-$F$15)*2-1,U$100:Y159,5,FALSE)))*EXP(-(LN(2)/$D$65+0.04)*X159)*EXP(-(LN(2)/$D$65+0.1)*Y159),"-"))),"-")</f>
        <v>-</v>
      </c>
      <c r="AC159" s="224">
        <f t="shared" si="45"/>
        <v>59</v>
      </c>
      <c r="AD159" s="223" t="str">
        <f t="shared" si="14"/>
        <v>-</v>
      </c>
      <c r="AE159" s="224" t="str">
        <f t="shared" si="46"/>
        <v>-</v>
      </c>
      <c r="AF159" s="224" t="str">
        <f t="shared" si="15"/>
        <v>-</v>
      </c>
      <c r="AG159" s="224" t="str">
        <f t="shared" si="16"/>
        <v>-</v>
      </c>
      <c r="AH159" s="272">
        <f t="shared" si="47"/>
        <v>0.1</v>
      </c>
      <c r="AI159" s="271" t="str">
        <f>IFERROR(IF(AD158=1,AI$100*EXP(-(LN(2)/$D$65+0.04)*AF158)*EXP(-(LN(2)/$D$65+0.1)*AG158),IF(AD158=2,AI$100*EXP(-(LN(2)/$D$65+0.04)*(VLOOKUP(($F$16-$F$15)-1,AC$99:AG158,4,FALSE)))*EXP(-(LN(2)/$D$65+0.1)*(VLOOKUP(($F$16-$F$15)-1,AC$99:AG158,5,FALSE)))*EXP(-(LN(2)/$D$65+0.04)*AF158)*EXP(-(LN(2)/$D$65+0.1)*AG158),IF(AD158=3,AI$100*EXP(-(LN(2)/$D$65+0.04)*(VLOOKUP(($F$16-$F$15)-1,AC$99:AG158,4,FALSE)))*EXP(-(LN(2)/$D$65+0.1)*(VLOOKUP(($F$16-$F$15)-1,AC$99:AG158,5,FALSE)))*EXP(-(LN(2)/$D$65+0.04)*(VLOOKUP(($F$16-$F$15)*2-1,AC$99:AG158,4,FALSE)))*EXP(-(LN(2)/$D$65+0.1)*(VLOOKUP(($F$16-$F$15)*2-1,AC$99:AG158,5,FALSE)))*EXP(-(LN(2)/$D$65+0.04)*AF158)*EXP(-(LN(2)/$D$65+0.1)*AG158),"-"))),"-")</f>
        <v>-</v>
      </c>
      <c r="AJ159" s="271" t="str">
        <f>IFERROR(IF(AD159=1,AJ$100*EXP(-(LN(2)/$D$65+0.04)*AF159)*EXP(-(LN(2)/$D$65+0.1)*AG159),IF(AD159=2,AJ$100*EXP(-(LN(2)/$D$65+0.04)*(VLOOKUP(($F$16-$F$15)-1,AC$100:AG159,4,FALSE)))*EXP(-(LN(2)/$D$65+0.1)*(VLOOKUP(($F$16-$F$15)-1,AC$100:AG159,5,FALSE)))*EXP(-(LN(2)/$D$65+0.04)*AF159)*EXP(-(LN(2)/$D$65+0.1)*AG159),IF(AD159=3,AJ$100*EXP(-(LN(2)/$D$65+0.04)*(VLOOKUP(($F$16-$F$15)-1,AC$100:AG159,4,FALSE)))*EXP(-(LN(2)/$D$65+0.1)*(VLOOKUP(($F$16-$F$15)-1,AC$100:AG159,5,FALSE)))*EXP(-(LN(2)/$D$65+0.04)*(VLOOKUP(($F$16-$F$15)*2-1,AC$100:AG159,4,FALSE)))*EXP(-(LN(2)/$D$65+0.1)*(VLOOKUP(($F$16-$F$15)*2-1,AC$100:AG159,5,FALSE)))*EXP(-(LN(2)/$D$65+0.04)*AF159)*EXP(-(LN(2)/$D$65+0.1)*AG159),"-"))),"-")</f>
        <v>-</v>
      </c>
      <c r="AK159" s="227">
        <f t="shared" si="49"/>
        <v>59</v>
      </c>
      <c r="AL159" s="226" t="str">
        <f t="shared" si="18"/>
        <v>-</v>
      </c>
      <c r="AM159" s="227" t="str">
        <f t="shared" si="50"/>
        <v>-</v>
      </c>
      <c r="AN159" s="227" t="str">
        <f t="shared" si="51"/>
        <v>-</v>
      </c>
      <c r="AO159" s="227" t="str">
        <f t="shared" si="19"/>
        <v>-</v>
      </c>
      <c r="AP159" s="273">
        <f t="shared" si="52"/>
        <v>0.1</v>
      </c>
      <c r="AQ159" s="271" t="str">
        <f>IFERROR(IF(AL158=1,AQ$100*EXP(-(LN(2)/$D$65+0.04)*AN158)*EXP(-(LN(2)/$D$65+0.1)*AO158),IF(AL158=2,AQ$100*EXP(-(LN(2)/$D$65+0.04)*(VLOOKUP(($F$16-$F$15)-1,AK$99:AO158,4,FALSE)))*EXP(-(LN(2)/$D$65+0.1)*(VLOOKUP(($F$16-$F$15)-1,AK$99:AO158,5,FALSE)))*EXP(-(LN(2)/$D$65+0.04)*AN158)*EXP(-(LN(2)/$D$65+0.1)*AO158),IF(AL158=3,AQ$100*EXP(-(LN(2)/$D$65+0.04)*(VLOOKUP(($F$16-$F$15)-1,AK$99:AO158,4,FALSE)))*EXP(-(LN(2)/$D$65+0.1)*(VLOOKUP(($F$16-$F$15)-1,AK$99:AO158,5,FALSE)))*EXP(-(LN(2)/$D$65+0.04)*(VLOOKUP(($F$16-$F$15)*2-1,AK$99:AO158,4,FALSE)))*EXP(-(LN(2)/$D$65+0.1)*(VLOOKUP(($F$16-$F$15)*2-1,AK$99:AO158,5,FALSE)))*EXP(-(LN(2)/$D$65+0.04)*AN158)*EXP(-(LN(2)/$D$65+0.1)*AO158),"-"))),"-")</f>
        <v>-</v>
      </c>
      <c r="AR159" s="271" t="str">
        <f>IFERROR(IF(AL159=1,AR$100*EXP(-(LN(2)/$D$65+0.04)*AN159)*EXP(-(LN(2)/$D$65+0.1)*AO159),IF(AL159=2,AR$100*EXP(-(LN(2)/$D$65+0.04)*(VLOOKUP(($F$16-$F$15)-1,AK$100:AO159,4,FALSE)))*EXP(-(LN(2)/$D$65+0.1)*(VLOOKUP(($F$16-$F$15)-1,AK$100:AO159,5,FALSE)))*EXP(-(LN(2)/$D$65+0.04)*AN159)*EXP(-(LN(2)/$D$65+0.1)*AO159),IF(AL159=3,AR$100*EXP(-(LN(2)/$D$65+0.04)*(VLOOKUP(($F$16-$F$15)-1,AK$100:AO159,4,FALSE)))*EXP(-(LN(2)/$D$65+0.1)*(VLOOKUP(($F$16-$F$15)-1,AK$100:AO159,5,FALSE)))*EXP(-(LN(2)/$D$65+0.04)*(VLOOKUP(($F$16-$F$15)*2-1,AK$100:AO159,4,FALSE)))*EXP(-(LN(2)/$D$65+0.1)*(VLOOKUP(($F$16-$F$15)*2-1,AK$100:AO159,5,FALSE)))*EXP(-(LN(2)/$D$65+0.04)*AN159)*EXP(-(LN(2)/$D$65+0.1)*AO159),"-"))),"-")</f>
        <v>-</v>
      </c>
      <c r="AS159" s="274">
        <f t="shared" si="20"/>
        <v>0</v>
      </c>
      <c r="AT159" s="274">
        <f t="shared" si="21"/>
        <v>0</v>
      </c>
      <c r="AU159" s="274">
        <f t="shared" si="22"/>
        <v>0</v>
      </c>
      <c r="AV159" s="190">
        <f>IF($B159&lt;$F$22,SUM($T$100:$T159),"")</f>
        <v>0</v>
      </c>
      <c r="AW159" s="190" t="str">
        <f t="shared" si="83"/>
        <v>-</v>
      </c>
      <c r="AX159" s="190" t="str">
        <f t="shared" si="56"/>
        <v/>
      </c>
      <c r="AY159"/>
      <c r="AZ159" s="190" t="str">
        <f ca="1">IF(ISNUMBER(OFFSET(AV159,-$F$21,0)),SUM(OFFSET($T$100,$F$21,0):$T159),"")</f>
        <v/>
      </c>
      <c r="BA159" s="190" t="str">
        <f t="shared" ca="1" si="84"/>
        <v/>
      </c>
      <c r="BB159" s="190" t="str">
        <f t="shared" ca="1" si="70"/>
        <v/>
      </c>
      <c r="BC159" s="190"/>
      <c r="BD159" s="190" t="str">
        <f ca="1">IFERROR(IF(AND($B159&gt;=($F$16-$F$15),$B159&lt;$F$22+($F$16-$F$15)),SUM(OFFSET($T$100,($F$16-$F$15),0):$T159),""),"")</f>
        <v/>
      </c>
      <c r="BE159" s="190" t="str">
        <f t="shared" ca="1" si="58"/>
        <v/>
      </c>
      <c r="BF159" s="190" t="str">
        <f t="shared" ca="1" si="59"/>
        <v/>
      </c>
      <c r="BG159"/>
      <c r="BH159" s="190" t="str">
        <f ca="1">IF(ISNUMBER(OFFSET(BD159,-$F$21,0)),SUM(OFFSET($T$100,($F$16-$F$15+$F$21),0):$T159),"")</f>
        <v/>
      </c>
      <c r="BI159" s="190" t="str">
        <f t="shared" ca="1" si="85"/>
        <v/>
      </c>
      <c r="BJ159" s="190" t="str">
        <f t="shared" ca="1" si="60"/>
        <v/>
      </c>
      <c r="BK159" s="190"/>
      <c r="BL159" s="190" t="str">
        <f ca="1">IFERROR(IF(AND($B159&gt;=($F$17-$F$15),$B159&lt;$F$22+($F$17-$F$15)),SUM(OFFSET($T$100,($F$17-$F$15),0):$T159),""),"")</f>
        <v/>
      </c>
      <c r="BM159" s="190" t="str">
        <f t="shared" ca="1" si="86"/>
        <v/>
      </c>
      <c r="BN159" s="190" t="str">
        <f t="shared" ca="1" si="61"/>
        <v/>
      </c>
      <c r="BO159"/>
      <c r="BP159" s="190" t="str">
        <f ca="1">IF(ISNUMBER(OFFSET(BL159,-$F$21,0)),SUM(OFFSET($T$100,($F$17-$F$15+$F$21),0):$T159),"")</f>
        <v/>
      </c>
      <c r="BQ159" s="190" t="str">
        <f t="shared" ca="1" si="87"/>
        <v/>
      </c>
      <c r="BR159" s="190" t="str">
        <f t="shared" ca="1" si="63"/>
        <v/>
      </c>
      <c r="BS159" s="190"/>
      <c r="BT159"/>
      <c r="BU159"/>
      <c r="BV159"/>
      <c r="BY159" s="99"/>
      <c r="BZ159" s="99"/>
      <c r="CA159" s="280" t="str">
        <f t="shared" si="88"/>
        <v/>
      </c>
      <c r="CB159" s="71" t="str">
        <f t="shared" si="27"/>
        <v>-</v>
      </c>
      <c r="CC159" s="33"/>
      <c r="CD159" s="261" t="str">
        <f t="shared" si="29"/>
        <v/>
      </c>
      <c r="CE159" s="280" t="str">
        <f t="shared" si="89"/>
        <v>-</v>
      </c>
      <c r="CF159" s="71" t="str">
        <f t="shared" ca="1" si="90"/>
        <v>-</v>
      </c>
      <c r="CG159" s="33" t="str">
        <f t="shared" si="32"/>
        <v>59-60</v>
      </c>
      <c r="CH159" s="261" t="str">
        <f t="shared" ca="1" si="33"/>
        <v/>
      </c>
      <c r="CI159" s="99"/>
      <c r="CJ159" s="99"/>
      <c r="CK159" s="99"/>
      <c r="CL159" s="99"/>
      <c r="CM159" s="99"/>
      <c r="CN159" s="99"/>
      <c r="CO159" s="99"/>
    </row>
    <row r="160" spans="2:93" ht="13.5" customHeight="1" x14ac:dyDescent="0.2">
      <c r="B160" s="262">
        <v>60</v>
      </c>
      <c r="C160" s="237" t="str">
        <f t="shared" si="1"/>
        <v/>
      </c>
      <c r="D160" s="237" t="str">
        <f t="shared" si="66"/>
        <v>-</v>
      </c>
      <c r="E160" s="290" t="str">
        <f t="shared" si="34"/>
        <v/>
      </c>
      <c r="F160" s="264" t="str">
        <f t="shared" si="35"/>
        <v/>
      </c>
      <c r="G160" s="291" t="str">
        <f t="shared" si="36"/>
        <v/>
      </c>
      <c r="H160" s="240" t="str">
        <f t="shared" si="71"/>
        <v/>
      </c>
      <c r="I160" s="265" t="str">
        <f t="shared" si="72"/>
        <v/>
      </c>
      <c r="J160" s="265" t="str">
        <f t="shared" si="73"/>
        <v/>
      </c>
      <c r="K160" s="240" t="str">
        <f t="shared" si="74"/>
        <v/>
      </c>
      <c r="L160" s="265" t="str">
        <f t="shared" si="75"/>
        <v/>
      </c>
      <c r="M160" s="265" t="str">
        <f t="shared" si="76"/>
        <v/>
      </c>
      <c r="N160" s="240" t="str">
        <f t="shared" si="77"/>
        <v>-</v>
      </c>
      <c r="O160" s="265" t="str">
        <f t="shared" si="78"/>
        <v>-</v>
      </c>
      <c r="P160" s="265" t="str">
        <f t="shared" si="79"/>
        <v>-</v>
      </c>
      <c r="Q160" s="266" t="str">
        <f t="shared" si="80"/>
        <v>-</v>
      </c>
      <c r="R160" s="267" t="str">
        <f t="shared" si="81"/>
        <v>-</v>
      </c>
      <c r="S160" s="268" t="str">
        <f t="shared" si="82"/>
        <v>-</v>
      </c>
      <c r="T160" s="269" t="str">
        <f t="shared" si="9"/>
        <v/>
      </c>
      <c r="U160" s="221">
        <f t="shared" si="10"/>
        <v>60</v>
      </c>
      <c r="V160" s="220" t="str">
        <f t="shared" si="42"/>
        <v>-</v>
      </c>
      <c r="W160" s="221" t="str">
        <f t="shared" si="43"/>
        <v>-</v>
      </c>
      <c r="X160" s="221" t="str">
        <f t="shared" si="11"/>
        <v>-</v>
      </c>
      <c r="Y160" s="221" t="str">
        <f t="shared" si="12"/>
        <v>-</v>
      </c>
      <c r="Z160" s="270">
        <f t="shared" si="44"/>
        <v>0.1</v>
      </c>
      <c r="AA160" s="271" t="str">
        <f>IFERROR(IF(V159=1,AA$100*EXP(-(LN(2)/$D$65+0.04)*X159)*EXP(-(LN(2)/$D$65+0.1)*Y159),IF(V159=2,AA$100*EXP(-(LN(2)/$D$65+0.04)*(VLOOKUP(($F$16-$F$15)-1,U$99:Y159,4,FALSE)))*EXP(-(LN(2)/$D$65+0.1)*(VLOOKUP(($F$16-$F$15)-1,U$99:Y159,5,FALSE)))*EXP(-(LN(2)/$D$65+0.04)*X159)*EXP(-(LN(2)/$D$65+0.1)*Y159),IF(V159=3,AA$100*EXP(-(LN(2)/$D$65+0.04)*(VLOOKUP(($F$16-$F$15)-1,U$99:Y159,4,FALSE)))*EXP(-(LN(2)/$D$65+0.1)*(VLOOKUP(($F$16-$F$15)-1,U$99:Y159,5,FALSE)))*EXP(-(LN(2)/$D$65+0.04)*(VLOOKUP(($F$16-$F$15)*2-1,U$99:Y159,4,FALSE)))*EXP(-(LN(2)/$D$65+0.1)*(VLOOKUP(($F$16-$F$15)*2-1,U$99:Y159,5,FALSE)))*EXP(-(LN(2)/$D$65+0.04)*X159)*EXP(-(LN(2)/$D$65+0.1)*Y159),"-"))),"-")</f>
        <v>-</v>
      </c>
      <c r="AB160" s="271" t="str">
        <f>IFERROR(IF(V160=1,AB$100*EXP(-(LN(2)/$D$65+0.04)*X160)*EXP(-(LN(2)/$D$65+0.1)*Y160),IF(V160=2,AB$100*EXP(-(LN(2)/$D$65+0.04)*(VLOOKUP(($F$16-$F$15)-1,U$100:Y160,4,FALSE)))*EXP(-(LN(2)/$D$65+0.1)*(VLOOKUP(($F$16-$F$15)-1,U$100:Y160,5,FALSE)))*EXP(-(LN(2)/$D$65+0.04)*X160)*EXP(-(LN(2)/$D$65+0.1)*Y160),IF(V160=3,AB$100*EXP(-(LN(2)/$D$65+0.04)*(VLOOKUP(($F$16-$F$15)-1,U$100:Y160,4,FALSE)))*EXP(-(LN(2)/$D$65+0.1)*(VLOOKUP(($F$16-$F$15)-1,U$100:Y160,5,FALSE)))*EXP(-(LN(2)/$D$65+0.04)*(VLOOKUP(($F$16-$F$15)*2-1,U$100:Y160,4,FALSE)))*EXP(-(LN(2)/$D$65+0.1)*(VLOOKUP(($F$16-$F$15)*2-1,U$100:Y160,5,FALSE)))*EXP(-(LN(2)/$D$65+0.04)*X160)*EXP(-(LN(2)/$D$65+0.1)*Y160),"-"))),"-")</f>
        <v>-</v>
      </c>
      <c r="AC160" s="224">
        <f t="shared" si="45"/>
        <v>60</v>
      </c>
      <c r="AD160" s="223" t="str">
        <f t="shared" si="14"/>
        <v>-</v>
      </c>
      <c r="AE160" s="224" t="str">
        <f t="shared" si="46"/>
        <v>-</v>
      </c>
      <c r="AF160" s="224" t="str">
        <f t="shared" si="15"/>
        <v>-</v>
      </c>
      <c r="AG160" s="224" t="str">
        <f t="shared" si="16"/>
        <v>-</v>
      </c>
      <c r="AH160" s="272">
        <f t="shared" si="47"/>
        <v>0.1</v>
      </c>
      <c r="AI160" s="271" t="str">
        <f>IFERROR(IF(AD159=1,AI$100*EXP(-(LN(2)/$D$65+0.04)*AF159)*EXP(-(LN(2)/$D$65+0.1)*AG159),IF(AD159=2,AI$100*EXP(-(LN(2)/$D$65+0.04)*(VLOOKUP(($F$16-$F$15)-1,AC$99:AG159,4,FALSE)))*EXP(-(LN(2)/$D$65+0.1)*(VLOOKUP(($F$16-$F$15)-1,AC$99:AG159,5,FALSE)))*EXP(-(LN(2)/$D$65+0.04)*AF159)*EXP(-(LN(2)/$D$65+0.1)*AG159),IF(AD159=3,AI$100*EXP(-(LN(2)/$D$65+0.04)*(VLOOKUP(($F$16-$F$15)-1,AC$99:AG159,4,FALSE)))*EXP(-(LN(2)/$D$65+0.1)*(VLOOKUP(($F$16-$F$15)-1,AC$99:AG159,5,FALSE)))*EXP(-(LN(2)/$D$65+0.04)*(VLOOKUP(($F$16-$F$15)*2-1,AC$99:AG159,4,FALSE)))*EXP(-(LN(2)/$D$65+0.1)*(VLOOKUP(($F$16-$F$15)*2-1,AC$99:AG159,5,FALSE)))*EXP(-(LN(2)/$D$65+0.04)*AF159)*EXP(-(LN(2)/$D$65+0.1)*AG159),"-"))),"-")</f>
        <v>-</v>
      </c>
      <c r="AJ160" s="271" t="str">
        <f>IFERROR(IF(AD160=1,AJ$100*EXP(-(LN(2)/$D$65+0.04)*AF160)*EXP(-(LN(2)/$D$65+0.1)*AG160),IF(AD160=2,AJ$100*EXP(-(LN(2)/$D$65+0.04)*(VLOOKUP(($F$16-$F$15)-1,AC$100:AG160,4,FALSE)))*EXP(-(LN(2)/$D$65+0.1)*(VLOOKUP(($F$16-$F$15)-1,AC$100:AG160,5,FALSE)))*EXP(-(LN(2)/$D$65+0.04)*AF160)*EXP(-(LN(2)/$D$65+0.1)*AG160),IF(AD160=3,AJ$100*EXP(-(LN(2)/$D$65+0.04)*(VLOOKUP(($F$16-$F$15)-1,AC$100:AG160,4,FALSE)))*EXP(-(LN(2)/$D$65+0.1)*(VLOOKUP(($F$16-$F$15)-1,AC$100:AG160,5,FALSE)))*EXP(-(LN(2)/$D$65+0.04)*(VLOOKUP(($F$16-$F$15)*2-1,AC$100:AG160,4,FALSE)))*EXP(-(LN(2)/$D$65+0.1)*(VLOOKUP(($F$16-$F$15)*2-1,AC$100:AG160,5,FALSE)))*EXP(-(LN(2)/$D$65+0.04)*AF160)*EXP(-(LN(2)/$D$65+0.1)*AG160),"-"))),"-")</f>
        <v>-</v>
      </c>
      <c r="AK160" s="227">
        <f t="shared" si="49"/>
        <v>60</v>
      </c>
      <c r="AL160" s="226" t="str">
        <f t="shared" si="18"/>
        <v>-</v>
      </c>
      <c r="AM160" s="227" t="str">
        <f t="shared" si="50"/>
        <v>-</v>
      </c>
      <c r="AN160" s="227" t="str">
        <f t="shared" si="51"/>
        <v>-</v>
      </c>
      <c r="AO160" s="227" t="str">
        <f t="shared" si="19"/>
        <v>-</v>
      </c>
      <c r="AP160" s="273">
        <f t="shared" si="52"/>
        <v>0.1</v>
      </c>
      <c r="AQ160" s="271" t="str">
        <f>IFERROR(IF(AL159=1,AQ$100*EXP(-(LN(2)/$D$65+0.04)*AN159)*EXP(-(LN(2)/$D$65+0.1)*AO159),IF(AL159=2,AQ$100*EXP(-(LN(2)/$D$65+0.04)*(VLOOKUP(($F$16-$F$15)-1,AK$99:AO159,4,FALSE)))*EXP(-(LN(2)/$D$65+0.1)*(VLOOKUP(($F$16-$F$15)-1,AK$99:AO159,5,FALSE)))*EXP(-(LN(2)/$D$65+0.04)*AN159)*EXP(-(LN(2)/$D$65+0.1)*AO159),IF(AL159=3,AQ$100*EXP(-(LN(2)/$D$65+0.04)*(VLOOKUP(($F$16-$F$15)-1,AK$99:AO159,4,FALSE)))*EXP(-(LN(2)/$D$65+0.1)*(VLOOKUP(($F$16-$F$15)-1,AK$99:AO159,5,FALSE)))*EXP(-(LN(2)/$D$65+0.04)*(VLOOKUP(($F$16-$F$15)*2-1,AK$99:AO159,4,FALSE)))*EXP(-(LN(2)/$D$65+0.1)*(VLOOKUP(($F$16-$F$15)*2-1,AK$99:AO159,5,FALSE)))*EXP(-(LN(2)/$D$65+0.04)*AN159)*EXP(-(LN(2)/$D$65+0.1)*AO159),"-"))),"-")</f>
        <v>-</v>
      </c>
      <c r="AR160" s="271" t="str">
        <f>IFERROR(IF(AL160=1,AR$100*EXP(-(LN(2)/$D$65+0.04)*AN160)*EXP(-(LN(2)/$D$65+0.1)*AO160),IF(AL160=2,AR$100*EXP(-(LN(2)/$D$65+0.04)*(VLOOKUP(($F$16-$F$15)-1,AK$100:AO160,4,FALSE)))*EXP(-(LN(2)/$D$65+0.1)*(VLOOKUP(($F$16-$F$15)-1,AK$100:AO160,5,FALSE)))*EXP(-(LN(2)/$D$65+0.04)*AN160)*EXP(-(LN(2)/$D$65+0.1)*AO160),IF(AL160=3,AR$100*EXP(-(LN(2)/$D$65+0.04)*(VLOOKUP(($F$16-$F$15)-1,AK$100:AO160,4,FALSE)))*EXP(-(LN(2)/$D$65+0.1)*(VLOOKUP(($F$16-$F$15)-1,AK$100:AO160,5,FALSE)))*EXP(-(LN(2)/$D$65+0.04)*(VLOOKUP(($F$16-$F$15)*2-1,AK$100:AO160,4,FALSE)))*EXP(-(LN(2)/$D$65+0.1)*(VLOOKUP(($F$16-$F$15)*2-1,AK$100:AO160,5,FALSE)))*EXP(-(LN(2)/$D$65+0.04)*AN160)*EXP(-(LN(2)/$D$65+0.1)*AO160),"-"))),"-")</f>
        <v>-</v>
      </c>
      <c r="AS160" s="274">
        <f t="shared" si="20"/>
        <v>0</v>
      </c>
      <c r="AT160" s="274">
        <f t="shared" si="21"/>
        <v>0</v>
      </c>
      <c r="AU160" s="274">
        <f t="shared" si="22"/>
        <v>0</v>
      </c>
      <c r="AV160" s="190">
        <f>IF($B160&lt;$F$22,SUM($T$100:$T160),"")</f>
        <v>0</v>
      </c>
      <c r="AW160" s="190" t="str">
        <f t="shared" si="83"/>
        <v>-</v>
      </c>
      <c r="AX160" s="190" t="str">
        <f t="shared" si="56"/>
        <v/>
      </c>
      <c r="AY160"/>
      <c r="AZ160" s="190" t="str">
        <f ca="1">IF(ISNUMBER(OFFSET(AV160,-$F$21,0)),SUM(OFFSET($T$100,$F$21,0):$T160),"")</f>
        <v/>
      </c>
      <c r="BA160" s="190" t="str">
        <f t="shared" ca="1" si="84"/>
        <v/>
      </c>
      <c r="BB160" s="190" t="str">
        <f t="shared" ca="1" si="70"/>
        <v/>
      </c>
      <c r="BC160" s="190"/>
      <c r="BD160" s="190" t="str">
        <f ca="1">IFERROR(IF(AND($B160&gt;=($F$16-$F$15),$B160&lt;$F$22+($F$16-$F$15)),SUM(OFFSET($T$100,($F$16-$F$15),0):$T160),""),"")</f>
        <v/>
      </c>
      <c r="BE160" s="190" t="str">
        <f t="shared" ca="1" si="58"/>
        <v/>
      </c>
      <c r="BF160" s="190" t="str">
        <f t="shared" ca="1" si="59"/>
        <v/>
      </c>
      <c r="BG160"/>
      <c r="BH160" s="190" t="str">
        <f ca="1">IF(ISNUMBER(OFFSET(BD160,-$F$21,0)),SUM(OFFSET($T$100,($F$16-$F$15+$F$21),0):$T160),"")</f>
        <v/>
      </c>
      <c r="BI160" s="190" t="str">
        <f t="shared" ca="1" si="85"/>
        <v/>
      </c>
      <c r="BJ160" s="190" t="str">
        <f t="shared" ca="1" si="60"/>
        <v/>
      </c>
      <c r="BK160" s="190"/>
      <c r="BL160" s="190" t="str">
        <f ca="1">IFERROR(IF(AND($B160&gt;=($F$17-$F$15),$B160&lt;$F$22+($F$17-$F$15)),SUM(OFFSET($T$100,($F$17-$F$15),0):$T160),""),"")</f>
        <v/>
      </c>
      <c r="BM160" s="190" t="str">
        <f t="shared" ca="1" si="86"/>
        <v/>
      </c>
      <c r="BN160" s="190" t="str">
        <f t="shared" ca="1" si="61"/>
        <v/>
      </c>
      <c r="BO160"/>
      <c r="BP160" s="190" t="str">
        <f ca="1">IF(ISNUMBER(OFFSET(BL160,-$F$21,0)),SUM(OFFSET($T$100,($F$17-$F$15+$F$21),0):$T160),"")</f>
        <v/>
      </c>
      <c r="BQ160" s="190" t="str">
        <f t="shared" ca="1" si="87"/>
        <v/>
      </c>
      <c r="BR160" s="190" t="str">
        <f t="shared" ca="1" si="63"/>
        <v/>
      </c>
      <c r="BS160" s="190"/>
      <c r="BT160"/>
      <c r="BU160"/>
      <c r="BV160"/>
      <c r="BY160" s="99"/>
      <c r="BZ160" s="99"/>
      <c r="CA160" s="280" t="str">
        <f t="shared" si="88"/>
        <v/>
      </c>
      <c r="CB160" s="71" t="str">
        <f t="shared" si="27"/>
        <v>-</v>
      </c>
      <c r="CC160" s="33"/>
      <c r="CD160" s="261" t="str">
        <f t="shared" si="29"/>
        <v/>
      </c>
      <c r="CE160" s="280" t="str">
        <f t="shared" si="89"/>
        <v>-</v>
      </c>
      <c r="CF160" s="71" t="str">
        <f t="shared" ca="1" si="90"/>
        <v>-</v>
      </c>
      <c r="CG160" s="33" t="str">
        <f t="shared" si="32"/>
        <v>60-61</v>
      </c>
      <c r="CH160" s="261" t="str">
        <f t="shared" ca="1" si="33"/>
        <v/>
      </c>
      <c r="CI160" s="99"/>
      <c r="CJ160" s="99"/>
      <c r="CK160" s="99"/>
      <c r="CL160" s="99"/>
      <c r="CM160" s="99"/>
      <c r="CN160" s="99"/>
      <c r="CO160" s="99"/>
    </row>
    <row r="161" spans="2:93" ht="13.5" customHeight="1" x14ac:dyDescent="0.2">
      <c r="B161" s="262">
        <v>61</v>
      </c>
      <c r="C161" s="237" t="str">
        <f t="shared" si="1"/>
        <v/>
      </c>
      <c r="D161" s="237" t="str">
        <f t="shared" si="66"/>
        <v>-</v>
      </c>
      <c r="E161" s="290" t="str">
        <f t="shared" si="34"/>
        <v/>
      </c>
      <c r="F161" s="264" t="str">
        <f t="shared" si="35"/>
        <v/>
      </c>
      <c r="G161" s="291" t="str">
        <f t="shared" si="36"/>
        <v/>
      </c>
      <c r="H161" s="240" t="str">
        <f t="shared" si="71"/>
        <v/>
      </c>
      <c r="I161" s="265" t="str">
        <f t="shared" si="72"/>
        <v/>
      </c>
      <c r="J161" s="265" t="str">
        <f t="shared" si="73"/>
        <v/>
      </c>
      <c r="K161" s="240" t="str">
        <f t="shared" si="74"/>
        <v/>
      </c>
      <c r="L161" s="265" t="str">
        <f t="shared" si="75"/>
        <v/>
      </c>
      <c r="M161" s="265" t="str">
        <f t="shared" si="76"/>
        <v/>
      </c>
      <c r="N161" s="240" t="str">
        <f t="shared" si="77"/>
        <v>-</v>
      </c>
      <c r="O161" s="265" t="str">
        <f t="shared" si="78"/>
        <v>-</v>
      </c>
      <c r="P161" s="265" t="str">
        <f t="shared" si="79"/>
        <v>-</v>
      </c>
      <c r="Q161" s="266" t="str">
        <f t="shared" si="80"/>
        <v>-</v>
      </c>
      <c r="R161" s="267" t="str">
        <f t="shared" si="81"/>
        <v>-</v>
      </c>
      <c r="S161" s="268" t="str">
        <f t="shared" si="82"/>
        <v>-</v>
      </c>
      <c r="T161" s="269" t="str">
        <f t="shared" si="9"/>
        <v/>
      </c>
      <c r="U161" s="221">
        <f t="shared" si="10"/>
        <v>61</v>
      </c>
      <c r="V161" s="220" t="str">
        <f t="shared" si="42"/>
        <v>-</v>
      </c>
      <c r="W161" s="221" t="str">
        <f t="shared" si="43"/>
        <v>-</v>
      </c>
      <c r="X161" s="221" t="str">
        <f t="shared" si="11"/>
        <v>-</v>
      </c>
      <c r="Y161" s="221" t="str">
        <f t="shared" si="12"/>
        <v>-</v>
      </c>
      <c r="Z161" s="270">
        <f t="shared" si="44"/>
        <v>0.1</v>
      </c>
      <c r="AA161" s="271" t="str">
        <f>IFERROR(IF(V160=1,AA$100*EXP(-(LN(2)/$D$65+0.04)*X160)*EXP(-(LN(2)/$D$65+0.1)*Y160),IF(V160=2,AA$100*EXP(-(LN(2)/$D$65+0.04)*(VLOOKUP(($F$16-$F$15)-1,U$99:Y160,4,FALSE)))*EXP(-(LN(2)/$D$65+0.1)*(VLOOKUP(($F$16-$F$15)-1,U$99:Y160,5,FALSE)))*EXP(-(LN(2)/$D$65+0.04)*X160)*EXP(-(LN(2)/$D$65+0.1)*Y160),IF(V160=3,AA$100*EXP(-(LN(2)/$D$65+0.04)*(VLOOKUP(($F$16-$F$15)-1,U$99:Y160,4,FALSE)))*EXP(-(LN(2)/$D$65+0.1)*(VLOOKUP(($F$16-$F$15)-1,U$99:Y160,5,FALSE)))*EXP(-(LN(2)/$D$65+0.04)*(VLOOKUP(($F$16-$F$15)*2-1,U$99:Y160,4,FALSE)))*EXP(-(LN(2)/$D$65+0.1)*(VLOOKUP(($F$16-$F$15)*2-1,U$99:Y160,5,FALSE)))*EXP(-(LN(2)/$D$65+0.04)*X160)*EXP(-(LN(2)/$D$65+0.1)*Y160),"-"))),"-")</f>
        <v>-</v>
      </c>
      <c r="AB161" s="271" t="str">
        <f>IFERROR(IF(V161=1,AB$100*EXP(-(LN(2)/$D$65+0.04)*X161)*EXP(-(LN(2)/$D$65+0.1)*Y161),IF(V161=2,AB$100*EXP(-(LN(2)/$D$65+0.04)*(VLOOKUP(($F$16-$F$15)-1,U$100:Y161,4,FALSE)))*EXP(-(LN(2)/$D$65+0.1)*(VLOOKUP(($F$16-$F$15)-1,U$100:Y161,5,FALSE)))*EXP(-(LN(2)/$D$65+0.04)*X161)*EXP(-(LN(2)/$D$65+0.1)*Y161),IF(V161=3,AB$100*EXP(-(LN(2)/$D$65+0.04)*(VLOOKUP(($F$16-$F$15)-1,U$100:Y161,4,FALSE)))*EXP(-(LN(2)/$D$65+0.1)*(VLOOKUP(($F$16-$F$15)-1,U$100:Y161,5,FALSE)))*EXP(-(LN(2)/$D$65+0.04)*(VLOOKUP(($F$16-$F$15)*2-1,U$100:Y161,4,FALSE)))*EXP(-(LN(2)/$D$65+0.1)*(VLOOKUP(($F$16-$F$15)*2-1,U$100:Y161,5,FALSE)))*EXP(-(LN(2)/$D$65+0.04)*X161)*EXP(-(LN(2)/$D$65+0.1)*Y161),"-"))),"-")</f>
        <v>-</v>
      </c>
      <c r="AC161" s="224">
        <f t="shared" si="45"/>
        <v>61</v>
      </c>
      <c r="AD161" s="223" t="str">
        <f t="shared" si="14"/>
        <v>-</v>
      </c>
      <c r="AE161" s="224" t="str">
        <f t="shared" si="46"/>
        <v>-</v>
      </c>
      <c r="AF161" s="224" t="str">
        <f t="shared" si="15"/>
        <v>-</v>
      </c>
      <c r="AG161" s="224" t="str">
        <f t="shared" si="16"/>
        <v>-</v>
      </c>
      <c r="AH161" s="272">
        <f t="shared" si="47"/>
        <v>0.1</v>
      </c>
      <c r="AI161" s="271" t="str">
        <f>IFERROR(IF(AD160=1,AI$100*EXP(-(LN(2)/$D$65+0.04)*AF160)*EXP(-(LN(2)/$D$65+0.1)*AG160),IF(AD160=2,AI$100*EXP(-(LN(2)/$D$65+0.04)*(VLOOKUP(($F$16-$F$15)-1,AC$99:AG160,4,FALSE)))*EXP(-(LN(2)/$D$65+0.1)*(VLOOKUP(($F$16-$F$15)-1,AC$99:AG160,5,FALSE)))*EXP(-(LN(2)/$D$65+0.04)*AF160)*EXP(-(LN(2)/$D$65+0.1)*AG160),IF(AD160=3,AI$100*EXP(-(LN(2)/$D$65+0.04)*(VLOOKUP(($F$16-$F$15)-1,AC$99:AG160,4,FALSE)))*EXP(-(LN(2)/$D$65+0.1)*(VLOOKUP(($F$16-$F$15)-1,AC$99:AG160,5,FALSE)))*EXP(-(LN(2)/$D$65+0.04)*(VLOOKUP(($F$16-$F$15)*2-1,AC$99:AG160,4,FALSE)))*EXP(-(LN(2)/$D$65+0.1)*(VLOOKUP(($F$16-$F$15)*2-1,AC$99:AG160,5,FALSE)))*EXP(-(LN(2)/$D$65+0.04)*AF160)*EXP(-(LN(2)/$D$65+0.1)*AG160),"-"))),"-")</f>
        <v>-</v>
      </c>
      <c r="AJ161" s="271" t="str">
        <f>IFERROR(IF(AD161=1,AJ$100*EXP(-(LN(2)/$D$65+0.04)*AF161)*EXP(-(LN(2)/$D$65+0.1)*AG161),IF(AD161=2,AJ$100*EXP(-(LN(2)/$D$65+0.04)*(VLOOKUP(($F$16-$F$15)-1,AC$100:AG161,4,FALSE)))*EXP(-(LN(2)/$D$65+0.1)*(VLOOKUP(($F$16-$F$15)-1,AC$100:AG161,5,FALSE)))*EXP(-(LN(2)/$D$65+0.04)*AF161)*EXP(-(LN(2)/$D$65+0.1)*AG161),IF(AD161=3,AJ$100*EXP(-(LN(2)/$D$65+0.04)*(VLOOKUP(($F$16-$F$15)-1,AC$100:AG161,4,FALSE)))*EXP(-(LN(2)/$D$65+0.1)*(VLOOKUP(($F$16-$F$15)-1,AC$100:AG161,5,FALSE)))*EXP(-(LN(2)/$D$65+0.04)*(VLOOKUP(($F$16-$F$15)*2-1,AC$100:AG161,4,FALSE)))*EXP(-(LN(2)/$D$65+0.1)*(VLOOKUP(($F$16-$F$15)*2-1,AC$100:AG161,5,FALSE)))*EXP(-(LN(2)/$D$65+0.04)*AF161)*EXP(-(LN(2)/$D$65+0.1)*AG161),"-"))),"-")</f>
        <v>-</v>
      </c>
      <c r="AK161" s="227">
        <f t="shared" si="49"/>
        <v>61</v>
      </c>
      <c r="AL161" s="226" t="str">
        <f t="shared" si="18"/>
        <v>-</v>
      </c>
      <c r="AM161" s="227" t="str">
        <f t="shared" si="50"/>
        <v>-</v>
      </c>
      <c r="AN161" s="227" t="str">
        <f t="shared" si="51"/>
        <v>-</v>
      </c>
      <c r="AO161" s="227" t="str">
        <f t="shared" si="19"/>
        <v>-</v>
      </c>
      <c r="AP161" s="273">
        <f t="shared" si="52"/>
        <v>0.1</v>
      </c>
      <c r="AQ161" s="271" t="str">
        <f>IFERROR(IF(AL160=1,AQ$100*EXP(-(LN(2)/$D$65+0.04)*AN160)*EXP(-(LN(2)/$D$65+0.1)*AO160),IF(AL160=2,AQ$100*EXP(-(LN(2)/$D$65+0.04)*(VLOOKUP(($F$16-$F$15)-1,AK$99:AO160,4,FALSE)))*EXP(-(LN(2)/$D$65+0.1)*(VLOOKUP(($F$16-$F$15)-1,AK$99:AO160,5,FALSE)))*EXP(-(LN(2)/$D$65+0.04)*AN160)*EXP(-(LN(2)/$D$65+0.1)*AO160),IF(AL160=3,AQ$100*EXP(-(LN(2)/$D$65+0.04)*(VLOOKUP(($F$16-$F$15)-1,AK$99:AO160,4,FALSE)))*EXP(-(LN(2)/$D$65+0.1)*(VLOOKUP(($F$16-$F$15)-1,AK$99:AO160,5,FALSE)))*EXP(-(LN(2)/$D$65+0.04)*(VLOOKUP(($F$16-$F$15)*2-1,AK$99:AO160,4,FALSE)))*EXP(-(LN(2)/$D$65+0.1)*(VLOOKUP(($F$16-$F$15)*2-1,AK$99:AO160,5,FALSE)))*EXP(-(LN(2)/$D$65+0.04)*AN160)*EXP(-(LN(2)/$D$65+0.1)*AO160),"-"))),"-")</f>
        <v>-</v>
      </c>
      <c r="AR161" s="271" t="str">
        <f>IFERROR(IF(AL161=1,AR$100*EXP(-(LN(2)/$D$65+0.04)*AN161)*EXP(-(LN(2)/$D$65+0.1)*AO161),IF(AL161=2,AR$100*EXP(-(LN(2)/$D$65+0.04)*(VLOOKUP(($F$16-$F$15)-1,AK$100:AO161,4,FALSE)))*EXP(-(LN(2)/$D$65+0.1)*(VLOOKUP(($F$16-$F$15)-1,AK$100:AO161,5,FALSE)))*EXP(-(LN(2)/$D$65+0.04)*AN161)*EXP(-(LN(2)/$D$65+0.1)*AO161),IF(AL161=3,AR$100*EXP(-(LN(2)/$D$65+0.04)*(VLOOKUP(($F$16-$F$15)-1,AK$100:AO161,4,FALSE)))*EXP(-(LN(2)/$D$65+0.1)*(VLOOKUP(($F$16-$F$15)-1,AK$100:AO161,5,FALSE)))*EXP(-(LN(2)/$D$65+0.04)*(VLOOKUP(($F$16-$F$15)*2-1,AK$100:AO161,4,FALSE)))*EXP(-(LN(2)/$D$65+0.1)*(VLOOKUP(($F$16-$F$15)*2-1,AK$100:AO161,5,FALSE)))*EXP(-(LN(2)/$D$65+0.04)*AN161)*EXP(-(LN(2)/$D$65+0.1)*AO161),"-"))),"-")</f>
        <v>-</v>
      </c>
      <c r="AS161" s="274">
        <f t="shared" si="20"/>
        <v>0</v>
      </c>
      <c r="AT161" s="274">
        <f t="shared" si="21"/>
        <v>0</v>
      </c>
      <c r="AU161" s="274">
        <f t="shared" si="22"/>
        <v>0</v>
      </c>
      <c r="AV161" s="190">
        <f>IF($B161&lt;$F$22,SUM($T$100:$T161),"")</f>
        <v>0</v>
      </c>
      <c r="AW161" s="190" t="str">
        <f t="shared" si="83"/>
        <v>-</v>
      </c>
      <c r="AX161" s="190" t="str">
        <f t="shared" si="56"/>
        <v/>
      </c>
      <c r="AY161"/>
      <c r="AZ161" s="190" t="str">
        <f ca="1">IF(ISNUMBER(OFFSET(AV161,-$F$21,0)),SUM(OFFSET($T$100,$F$21,0):$T161),"")</f>
        <v/>
      </c>
      <c r="BA161" s="190" t="str">
        <f t="shared" ca="1" si="84"/>
        <v/>
      </c>
      <c r="BB161" s="190" t="str">
        <f t="shared" ca="1" si="70"/>
        <v/>
      </c>
      <c r="BC161" s="190"/>
      <c r="BD161" s="190" t="str">
        <f ca="1">IFERROR(IF(AND($B161&gt;=($F$16-$F$15),$B161&lt;$F$22+($F$16-$F$15)),SUM(OFFSET($T$100,($F$16-$F$15),0):$T161),""),"")</f>
        <v/>
      </c>
      <c r="BE161" s="190" t="str">
        <f t="shared" ca="1" si="58"/>
        <v/>
      </c>
      <c r="BF161" s="190" t="str">
        <f t="shared" ca="1" si="59"/>
        <v/>
      </c>
      <c r="BG161"/>
      <c r="BH161" s="190" t="str">
        <f ca="1">IF(ISNUMBER(OFFSET(BD161,-$F$21,0)),SUM(OFFSET($T$100,($F$16-$F$15+$F$21),0):$T161),"")</f>
        <v/>
      </c>
      <c r="BI161" s="190" t="str">
        <f t="shared" ca="1" si="85"/>
        <v/>
      </c>
      <c r="BJ161" s="190" t="str">
        <f t="shared" ca="1" si="60"/>
        <v/>
      </c>
      <c r="BK161" s="190"/>
      <c r="BL161" s="190" t="str">
        <f ca="1">IFERROR(IF(AND($B161&gt;=($F$17-$F$15),$B161&lt;$F$22+($F$17-$F$15)),SUM(OFFSET($T$100,($F$17-$F$15),0):$T161),""),"")</f>
        <v/>
      </c>
      <c r="BM161" s="190" t="str">
        <f t="shared" ca="1" si="86"/>
        <v/>
      </c>
      <c r="BN161" s="190" t="str">
        <f t="shared" ca="1" si="61"/>
        <v/>
      </c>
      <c r="BO161"/>
      <c r="BP161" s="190" t="str">
        <f ca="1">IF(ISNUMBER(OFFSET(BL161,-$F$21,0)),SUM(OFFSET($T$100,($F$17-$F$15+$F$21),0):$T161),"")</f>
        <v/>
      </c>
      <c r="BQ161" s="190" t="str">
        <f t="shared" ca="1" si="87"/>
        <v/>
      </c>
      <c r="BR161" s="190" t="str">
        <f t="shared" ca="1" si="63"/>
        <v/>
      </c>
      <c r="BS161" s="190"/>
      <c r="BT161"/>
      <c r="BU161"/>
      <c r="BV161"/>
      <c r="BY161" s="99"/>
      <c r="BZ161" s="99"/>
      <c r="CA161" s="280" t="str">
        <f t="shared" si="88"/>
        <v/>
      </c>
      <c r="CB161" s="71" t="str">
        <f t="shared" si="27"/>
        <v>-</v>
      </c>
      <c r="CC161" s="33"/>
      <c r="CD161" s="261" t="str">
        <f t="shared" si="29"/>
        <v/>
      </c>
      <c r="CE161" s="280" t="str">
        <f t="shared" si="89"/>
        <v>-</v>
      </c>
      <c r="CF161" s="71" t="str">
        <f t="shared" ca="1" si="90"/>
        <v>-</v>
      </c>
      <c r="CG161" s="33" t="str">
        <f t="shared" si="32"/>
        <v>61-62</v>
      </c>
      <c r="CH161" s="261" t="str">
        <f t="shared" ca="1" si="33"/>
        <v/>
      </c>
      <c r="CI161" s="99"/>
      <c r="CJ161" s="99"/>
      <c r="CK161" s="99"/>
      <c r="CL161" s="99"/>
      <c r="CM161" s="99"/>
      <c r="CN161" s="99"/>
      <c r="CO161" s="99"/>
    </row>
    <row r="162" spans="2:93" ht="13.5" customHeight="1" x14ac:dyDescent="0.2">
      <c r="B162" s="262">
        <v>62</v>
      </c>
      <c r="C162" s="237" t="str">
        <f t="shared" si="1"/>
        <v/>
      </c>
      <c r="D162" s="237" t="str">
        <f t="shared" si="66"/>
        <v>-</v>
      </c>
      <c r="E162" s="290" t="str">
        <f t="shared" si="34"/>
        <v/>
      </c>
      <c r="F162" s="264" t="str">
        <f t="shared" si="35"/>
        <v/>
      </c>
      <c r="G162" s="291" t="str">
        <f t="shared" si="36"/>
        <v/>
      </c>
      <c r="H162" s="240" t="str">
        <f t="shared" si="71"/>
        <v/>
      </c>
      <c r="I162" s="265" t="str">
        <f t="shared" si="72"/>
        <v/>
      </c>
      <c r="J162" s="265" t="str">
        <f t="shared" si="73"/>
        <v/>
      </c>
      <c r="K162" s="240" t="str">
        <f t="shared" si="74"/>
        <v/>
      </c>
      <c r="L162" s="265" t="str">
        <f t="shared" si="75"/>
        <v/>
      </c>
      <c r="M162" s="265" t="str">
        <f t="shared" si="76"/>
        <v/>
      </c>
      <c r="N162" s="240" t="str">
        <f t="shared" si="77"/>
        <v>-</v>
      </c>
      <c r="O162" s="265" t="str">
        <f t="shared" si="78"/>
        <v>-</v>
      </c>
      <c r="P162" s="265" t="str">
        <f t="shared" si="79"/>
        <v>-</v>
      </c>
      <c r="Q162" s="266" t="str">
        <f t="shared" si="80"/>
        <v>-</v>
      </c>
      <c r="R162" s="267" t="str">
        <f t="shared" si="81"/>
        <v>-</v>
      </c>
      <c r="S162" s="268" t="str">
        <f t="shared" si="82"/>
        <v>-</v>
      </c>
      <c r="T162" s="269" t="str">
        <f t="shared" si="9"/>
        <v/>
      </c>
      <c r="U162" s="221">
        <f t="shared" si="10"/>
        <v>62</v>
      </c>
      <c r="V162" s="220" t="str">
        <f t="shared" si="42"/>
        <v>-</v>
      </c>
      <c r="W162" s="221" t="str">
        <f t="shared" si="43"/>
        <v>-</v>
      </c>
      <c r="X162" s="221" t="str">
        <f t="shared" si="11"/>
        <v>-</v>
      </c>
      <c r="Y162" s="221" t="str">
        <f t="shared" si="12"/>
        <v>-</v>
      </c>
      <c r="Z162" s="270">
        <f t="shared" si="44"/>
        <v>0.1</v>
      </c>
      <c r="AA162" s="271" t="str">
        <f>IFERROR(IF(V161=1,AA$100*EXP(-(LN(2)/$D$65+0.04)*X161)*EXP(-(LN(2)/$D$65+0.1)*Y161),IF(V161=2,AA$100*EXP(-(LN(2)/$D$65+0.04)*(VLOOKUP(($F$16-$F$15)-1,U$99:Y161,4,FALSE)))*EXP(-(LN(2)/$D$65+0.1)*(VLOOKUP(($F$16-$F$15)-1,U$99:Y161,5,FALSE)))*EXP(-(LN(2)/$D$65+0.04)*X161)*EXP(-(LN(2)/$D$65+0.1)*Y161),IF(V161=3,AA$100*EXP(-(LN(2)/$D$65+0.04)*(VLOOKUP(($F$16-$F$15)-1,U$99:Y161,4,FALSE)))*EXP(-(LN(2)/$D$65+0.1)*(VLOOKUP(($F$16-$F$15)-1,U$99:Y161,5,FALSE)))*EXP(-(LN(2)/$D$65+0.04)*(VLOOKUP(($F$16-$F$15)*2-1,U$99:Y161,4,FALSE)))*EXP(-(LN(2)/$D$65+0.1)*(VLOOKUP(($F$16-$F$15)*2-1,U$99:Y161,5,FALSE)))*EXP(-(LN(2)/$D$65+0.04)*X161)*EXP(-(LN(2)/$D$65+0.1)*Y161),"-"))),"-")</f>
        <v>-</v>
      </c>
      <c r="AB162" s="271" t="str">
        <f>IFERROR(IF(V162=1,AB$100*EXP(-(LN(2)/$D$65+0.04)*X162)*EXP(-(LN(2)/$D$65+0.1)*Y162),IF(V162=2,AB$100*EXP(-(LN(2)/$D$65+0.04)*(VLOOKUP(($F$16-$F$15)-1,U$100:Y162,4,FALSE)))*EXP(-(LN(2)/$D$65+0.1)*(VLOOKUP(($F$16-$F$15)-1,U$100:Y162,5,FALSE)))*EXP(-(LN(2)/$D$65+0.04)*X162)*EXP(-(LN(2)/$D$65+0.1)*Y162),IF(V162=3,AB$100*EXP(-(LN(2)/$D$65+0.04)*(VLOOKUP(($F$16-$F$15)-1,U$100:Y162,4,FALSE)))*EXP(-(LN(2)/$D$65+0.1)*(VLOOKUP(($F$16-$F$15)-1,U$100:Y162,5,FALSE)))*EXP(-(LN(2)/$D$65+0.04)*(VLOOKUP(($F$16-$F$15)*2-1,U$100:Y162,4,FALSE)))*EXP(-(LN(2)/$D$65+0.1)*(VLOOKUP(($F$16-$F$15)*2-1,U$100:Y162,5,FALSE)))*EXP(-(LN(2)/$D$65+0.04)*X162)*EXP(-(LN(2)/$D$65+0.1)*Y162),"-"))),"-")</f>
        <v>-</v>
      </c>
      <c r="AC162" s="224">
        <f t="shared" si="45"/>
        <v>62</v>
      </c>
      <c r="AD162" s="223" t="str">
        <f t="shared" si="14"/>
        <v>-</v>
      </c>
      <c r="AE162" s="224" t="str">
        <f t="shared" si="46"/>
        <v>-</v>
      </c>
      <c r="AF162" s="224" t="str">
        <f t="shared" si="15"/>
        <v>-</v>
      </c>
      <c r="AG162" s="224" t="str">
        <f t="shared" si="16"/>
        <v>-</v>
      </c>
      <c r="AH162" s="272">
        <f t="shared" si="47"/>
        <v>0.1</v>
      </c>
      <c r="AI162" s="271" t="str">
        <f>IFERROR(IF(AD161=1,AI$100*EXP(-(LN(2)/$D$65+0.04)*AF161)*EXP(-(LN(2)/$D$65+0.1)*AG161),IF(AD161=2,AI$100*EXP(-(LN(2)/$D$65+0.04)*(VLOOKUP(($F$16-$F$15)-1,AC$99:AG161,4,FALSE)))*EXP(-(LN(2)/$D$65+0.1)*(VLOOKUP(($F$16-$F$15)-1,AC$99:AG161,5,FALSE)))*EXP(-(LN(2)/$D$65+0.04)*AF161)*EXP(-(LN(2)/$D$65+0.1)*AG161),IF(AD161=3,AI$100*EXP(-(LN(2)/$D$65+0.04)*(VLOOKUP(($F$16-$F$15)-1,AC$99:AG161,4,FALSE)))*EXP(-(LN(2)/$D$65+0.1)*(VLOOKUP(($F$16-$F$15)-1,AC$99:AG161,5,FALSE)))*EXP(-(LN(2)/$D$65+0.04)*(VLOOKUP(($F$16-$F$15)*2-1,AC$99:AG161,4,FALSE)))*EXP(-(LN(2)/$D$65+0.1)*(VLOOKUP(($F$16-$F$15)*2-1,AC$99:AG161,5,FALSE)))*EXP(-(LN(2)/$D$65+0.04)*AF161)*EXP(-(LN(2)/$D$65+0.1)*AG161),"-"))),"-")</f>
        <v>-</v>
      </c>
      <c r="AJ162" s="271" t="str">
        <f>IFERROR(IF(AD162=1,AJ$100*EXP(-(LN(2)/$D$65+0.04)*AF162)*EXP(-(LN(2)/$D$65+0.1)*AG162),IF(AD162=2,AJ$100*EXP(-(LN(2)/$D$65+0.04)*(VLOOKUP(($F$16-$F$15)-1,AC$100:AG162,4,FALSE)))*EXP(-(LN(2)/$D$65+0.1)*(VLOOKUP(($F$16-$F$15)-1,AC$100:AG162,5,FALSE)))*EXP(-(LN(2)/$D$65+0.04)*AF162)*EXP(-(LN(2)/$D$65+0.1)*AG162),IF(AD162=3,AJ$100*EXP(-(LN(2)/$D$65+0.04)*(VLOOKUP(($F$16-$F$15)-1,AC$100:AG162,4,FALSE)))*EXP(-(LN(2)/$D$65+0.1)*(VLOOKUP(($F$16-$F$15)-1,AC$100:AG162,5,FALSE)))*EXP(-(LN(2)/$D$65+0.04)*(VLOOKUP(($F$16-$F$15)*2-1,AC$100:AG162,4,FALSE)))*EXP(-(LN(2)/$D$65+0.1)*(VLOOKUP(($F$16-$F$15)*2-1,AC$100:AG162,5,FALSE)))*EXP(-(LN(2)/$D$65+0.04)*AF162)*EXP(-(LN(2)/$D$65+0.1)*AG162),"-"))),"-")</f>
        <v>-</v>
      </c>
      <c r="AK162" s="227">
        <f t="shared" si="49"/>
        <v>62</v>
      </c>
      <c r="AL162" s="226" t="str">
        <f t="shared" si="18"/>
        <v>-</v>
      </c>
      <c r="AM162" s="227" t="str">
        <f t="shared" si="50"/>
        <v>-</v>
      </c>
      <c r="AN162" s="227" t="str">
        <f t="shared" si="51"/>
        <v>-</v>
      </c>
      <c r="AO162" s="227" t="str">
        <f t="shared" si="19"/>
        <v>-</v>
      </c>
      <c r="AP162" s="273">
        <f t="shared" si="52"/>
        <v>0.1</v>
      </c>
      <c r="AQ162" s="271" t="str">
        <f>IFERROR(IF(AL161=1,AQ$100*EXP(-(LN(2)/$D$65+0.04)*AN161)*EXP(-(LN(2)/$D$65+0.1)*AO161),IF(AL161=2,AQ$100*EXP(-(LN(2)/$D$65+0.04)*(VLOOKUP(($F$16-$F$15)-1,AK$99:AO161,4,FALSE)))*EXP(-(LN(2)/$D$65+0.1)*(VLOOKUP(($F$16-$F$15)-1,AK$99:AO161,5,FALSE)))*EXP(-(LN(2)/$D$65+0.04)*AN161)*EXP(-(LN(2)/$D$65+0.1)*AO161),IF(AL161=3,AQ$100*EXP(-(LN(2)/$D$65+0.04)*(VLOOKUP(($F$16-$F$15)-1,AK$99:AO161,4,FALSE)))*EXP(-(LN(2)/$D$65+0.1)*(VLOOKUP(($F$16-$F$15)-1,AK$99:AO161,5,FALSE)))*EXP(-(LN(2)/$D$65+0.04)*(VLOOKUP(($F$16-$F$15)*2-1,AK$99:AO161,4,FALSE)))*EXP(-(LN(2)/$D$65+0.1)*(VLOOKUP(($F$16-$F$15)*2-1,AK$99:AO161,5,FALSE)))*EXP(-(LN(2)/$D$65+0.04)*AN161)*EXP(-(LN(2)/$D$65+0.1)*AO161),"-"))),"-")</f>
        <v>-</v>
      </c>
      <c r="AR162" s="271" t="str">
        <f>IFERROR(IF(AL162=1,AR$100*EXP(-(LN(2)/$D$65+0.04)*AN162)*EXP(-(LN(2)/$D$65+0.1)*AO162),IF(AL162=2,AR$100*EXP(-(LN(2)/$D$65+0.04)*(VLOOKUP(($F$16-$F$15)-1,AK$100:AO162,4,FALSE)))*EXP(-(LN(2)/$D$65+0.1)*(VLOOKUP(($F$16-$F$15)-1,AK$100:AO162,5,FALSE)))*EXP(-(LN(2)/$D$65+0.04)*AN162)*EXP(-(LN(2)/$D$65+0.1)*AO162),IF(AL162=3,AR$100*EXP(-(LN(2)/$D$65+0.04)*(VLOOKUP(($F$16-$F$15)-1,AK$100:AO162,4,FALSE)))*EXP(-(LN(2)/$D$65+0.1)*(VLOOKUP(($F$16-$F$15)-1,AK$100:AO162,5,FALSE)))*EXP(-(LN(2)/$D$65+0.04)*(VLOOKUP(($F$16-$F$15)*2-1,AK$100:AO162,4,FALSE)))*EXP(-(LN(2)/$D$65+0.1)*(VLOOKUP(($F$16-$F$15)*2-1,AK$100:AO162,5,FALSE)))*EXP(-(LN(2)/$D$65+0.04)*AN162)*EXP(-(LN(2)/$D$65+0.1)*AO162),"-"))),"-")</f>
        <v>-</v>
      </c>
      <c r="AS162" s="274">
        <f t="shared" si="20"/>
        <v>0</v>
      </c>
      <c r="AT162" s="274">
        <f t="shared" si="21"/>
        <v>0</v>
      </c>
      <c r="AU162" s="274">
        <f t="shared" si="22"/>
        <v>0</v>
      </c>
      <c r="AV162" s="190">
        <f>IF($B162&lt;$F$22,SUM($T$100:$T162),"")</f>
        <v>0</v>
      </c>
      <c r="AW162" s="190" t="str">
        <f t="shared" si="83"/>
        <v>-</v>
      </c>
      <c r="AX162" s="190" t="str">
        <f t="shared" si="56"/>
        <v/>
      </c>
      <c r="AY162"/>
      <c r="AZ162" s="190" t="str">
        <f ca="1">IF(ISNUMBER(OFFSET(AV162,-$F$21,0)),SUM(OFFSET($T$100,$F$21,0):$T162),"")</f>
        <v/>
      </c>
      <c r="BA162" s="190" t="str">
        <f t="shared" ca="1" si="84"/>
        <v/>
      </c>
      <c r="BB162" s="190" t="str">
        <f t="shared" ca="1" si="70"/>
        <v/>
      </c>
      <c r="BC162" s="190"/>
      <c r="BD162" s="190" t="str">
        <f ca="1">IFERROR(IF(AND($B162&gt;=($F$16-$F$15),$B162&lt;$F$22+($F$16-$F$15)),SUM(OFFSET($T$100,($F$16-$F$15),0):$T162),""),"")</f>
        <v/>
      </c>
      <c r="BE162" s="190" t="str">
        <f t="shared" ca="1" si="58"/>
        <v/>
      </c>
      <c r="BF162" s="190" t="str">
        <f t="shared" ca="1" si="59"/>
        <v/>
      </c>
      <c r="BG162"/>
      <c r="BH162" s="190" t="str">
        <f ca="1">IF(ISNUMBER(OFFSET(BD162,-$F$21,0)),SUM(OFFSET($T$100,($F$16-$F$15+$F$21),0):$T162),"")</f>
        <v/>
      </c>
      <c r="BI162" s="190" t="str">
        <f t="shared" ca="1" si="85"/>
        <v/>
      </c>
      <c r="BJ162" s="190" t="str">
        <f t="shared" ca="1" si="60"/>
        <v/>
      </c>
      <c r="BK162" s="190"/>
      <c r="BL162" s="190" t="str">
        <f ca="1">IFERROR(IF(AND($B162&gt;=($F$17-$F$15),$B162&lt;$F$22+($F$17-$F$15)),SUM(OFFSET($T$100,($F$17-$F$15),0):$T162),""),"")</f>
        <v/>
      </c>
      <c r="BM162" s="190" t="str">
        <f t="shared" ca="1" si="86"/>
        <v/>
      </c>
      <c r="BN162" s="190" t="str">
        <f t="shared" ca="1" si="61"/>
        <v/>
      </c>
      <c r="BO162"/>
      <c r="BP162" s="190" t="str">
        <f ca="1">IF(ISNUMBER(OFFSET(BL162,-$F$21,0)),SUM(OFFSET($T$100,($F$17-$F$15+$F$21),0):$T162),"")</f>
        <v/>
      </c>
      <c r="BQ162" s="190" t="str">
        <f t="shared" ca="1" si="87"/>
        <v/>
      </c>
      <c r="BR162" s="190" t="str">
        <f t="shared" ca="1" si="63"/>
        <v/>
      </c>
      <c r="BS162" s="190"/>
      <c r="BT162"/>
      <c r="BU162"/>
      <c r="BV162"/>
      <c r="BY162" s="99"/>
      <c r="BZ162" s="99"/>
      <c r="CA162" s="280" t="str">
        <f t="shared" si="88"/>
        <v/>
      </c>
      <c r="CB162" s="71" t="str">
        <f t="shared" si="27"/>
        <v>-</v>
      </c>
      <c r="CC162" s="33"/>
      <c r="CD162" s="261" t="str">
        <f t="shared" si="29"/>
        <v/>
      </c>
      <c r="CE162" s="280" t="str">
        <f t="shared" si="89"/>
        <v>-</v>
      </c>
      <c r="CF162" s="71" t="str">
        <f t="shared" ca="1" si="90"/>
        <v>-</v>
      </c>
      <c r="CG162" s="33" t="str">
        <f t="shared" si="32"/>
        <v>62-63</v>
      </c>
      <c r="CH162" s="261" t="str">
        <f t="shared" ca="1" si="33"/>
        <v/>
      </c>
      <c r="CI162" s="99"/>
      <c r="CJ162" s="99"/>
      <c r="CK162" s="99"/>
      <c r="CL162" s="99"/>
      <c r="CM162" s="99"/>
      <c r="CN162" s="99"/>
      <c r="CO162" s="99"/>
    </row>
    <row r="163" spans="2:93" ht="13.5" customHeight="1" x14ac:dyDescent="0.2">
      <c r="B163" s="262">
        <v>63</v>
      </c>
      <c r="C163" s="237" t="str">
        <f t="shared" si="1"/>
        <v/>
      </c>
      <c r="D163" s="237" t="str">
        <f t="shared" si="66"/>
        <v>-</v>
      </c>
      <c r="E163" s="290" t="str">
        <f t="shared" si="34"/>
        <v/>
      </c>
      <c r="F163" s="264" t="str">
        <f t="shared" si="35"/>
        <v/>
      </c>
      <c r="G163" s="291" t="str">
        <f t="shared" si="36"/>
        <v/>
      </c>
      <c r="H163" s="240" t="str">
        <f t="shared" si="71"/>
        <v/>
      </c>
      <c r="I163" s="265" t="str">
        <f t="shared" si="72"/>
        <v/>
      </c>
      <c r="J163" s="265" t="str">
        <f t="shared" si="73"/>
        <v/>
      </c>
      <c r="K163" s="240" t="str">
        <f t="shared" si="74"/>
        <v/>
      </c>
      <c r="L163" s="265" t="str">
        <f t="shared" si="75"/>
        <v/>
      </c>
      <c r="M163" s="265" t="str">
        <f t="shared" si="76"/>
        <v/>
      </c>
      <c r="N163" s="240" t="str">
        <f t="shared" si="77"/>
        <v>-</v>
      </c>
      <c r="O163" s="265" t="str">
        <f t="shared" si="78"/>
        <v>-</v>
      </c>
      <c r="P163" s="265" t="str">
        <f t="shared" si="79"/>
        <v>-</v>
      </c>
      <c r="Q163" s="266" t="str">
        <f t="shared" si="80"/>
        <v>-</v>
      </c>
      <c r="R163" s="267" t="str">
        <f t="shared" si="81"/>
        <v>-</v>
      </c>
      <c r="S163" s="268" t="str">
        <f t="shared" si="82"/>
        <v>-</v>
      </c>
      <c r="T163" s="269" t="str">
        <f t="shared" si="9"/>
        <v/>
      </c>
      <c r="U163" s="221">
        <f t="shared" si="10"/>
        <v>63</v>
      </c>
      <c r="V163" s="220" t="str">
        <f t="shared" si="42"/>
        <v>-</v>
      </c>
      <c r="W163" s="221" t="str">
        <f t="shared" si="43"/>
        <v>-</v>
      </c>
      <c r="X163" s="221" t="str">
        <f t="shared" si="11"/>
        <v>-</v>
      </c>
      <c r="Y163" s="221" t="str">
        <f t="shared" si="12"/>
        <v>-</v>
      </c>
      <c r="Z163" s="270">
        <f t="shared" si="44"/>
        <v>0.1</v>
      </c>
      <c r="AA163" s="271" t="str">
        <f>IFERROR(IF(V162=1,AA$100*EXP(-(LN(2)/$D$65+0.04)*X162)*EXP(-(LN(2)/$D$65+0.1)*Y162),IF(V162=2,AA$100*EXP(-(LN(2)/$D$65+0.04)*(VLOOKUP(($F$16-$F$15)-1,U$99:Y162,4,FALSE)))*EXP(-(LN(2)/$D$65+0.1)*(VLOOKUP(($F$16-$F$15)-1,U$99:Y162,5,FALSE)))*EXP(-(LN(2)/$D$65+0.04)*X162)*EXP(-(LN(2)/$D$65+0.1)*Y162),IF(V162=3,AA$100*EXP(-(LN(2)/$D$65+0.04)*(VLOOKUP(($F$16-$F$15)-1,U$99:Y162,4,FALSE)))*EXP(-(LN(2)/$D$65+0.1)*(VLOOKUP(($F$16-$F$15)-1,U$99:Y162,5,FALSE)))*EXP(-(LN(2)/$D$65+0.04)*(VLOOKUP(($F$16-$F$15)*2-1,U$99:Y162,4,FALSE)))*EXP(-(LN(2)/$D$65+0.1)*(VLOOKUP(($F$16-$F$15)*2-1,U$99:Y162,5,FALSE)))*EXP(-(LN(2)/$D$65+0.04)*X162)*EXP(-(LN(2)/$D$65+0.1)*Y162),"-"))),"-")</f>
        <v>-</v>
      </c>
      <c r="AB163" s="271" t="str">
        <f>IFERROR(IF(V163=1,AB$100*EXP(-(LN(2)/$D$65+0.04)*X163)*EXP(-(LN(2)/$D$65+0.1)*Y163),IF(V163=2,AB$100*EXP(-(LN(2)/$D$65+0.04)*(VLOOKUP(($F$16-$F$15)-1,U$100:Y163,4,FALSE)))*EXP(-(LN(2)/$D$65+0.1)*(VLOOKUP(($F$16-$F$15)-1,U$100:Y163,5,FALSE)))*EXP(-(LN(2)/$D$65+0.04)*X163)*EXP(-(LN(2)/$D$65+0.1)*Y163),IF(V163=3,AB$100*EXP(-(LN(2)/$D$65+0.04)*(VLOOKUP(($F$16-$F$15)-1,U$100:Y163,4,FALSE)))*EXP(-(LN(2)/$D$65+0.1)*(VLOOKUP(($F$16-$F$15)-1,U$100:Y163,5,FALSE)))*EXP(-(LN(2)/$D$65+0.04)*(VLOOKUP(($F$16-$F$15)*2-1,U$100:Y163,4,FALSE)))*EXP(-(LN(2)/$D$65+0.1)*(VLOOKUP(($F$16-$F$15)*2-1,U$100:Y163,5,FALSE)))*EXP(-(LN(2)/$D$65+0.04)*X163)*EXP(-(LN(2)/$D$65+0.1)*Y163),"-"))),"-")</f>
        <v>-</v>
      </c>
      <c r="AC163" s="224">
        <f t="shared" si="45"/>
        <v>63</v>
      </c>
      <c r="AD163" s="223" t="str">
        <f t="shared" si="14"/>
        <v>-</v>
      </c>
      <c r="AE163" s="224" t="str">
        <f t="shared" si="46"/>
        <v>-</v>
      </c>
      <c r="AF163" s="224" t="str">
        <f t="shared" si="15"/>
        <v>-</v>
      </c>
      <c r="AG163" s="224" t="str">
        <f t="shared" si="16"/>
        <v>-</v>
      </c>
      <c r="AH163" s="272">
        <f t="shared" si="47"/>
        <v>0.1</v>
      </c>
      <c r="AI163" s="271" t="str">
        <f>IFERROR(IF(AD162=1,AI$100*EXP(-(LN(2)/$D$65+0.04)*AF162)*EXP(-(LN(2)/$D$65+0.1)*AG162),IF(AD162=2,AI$100*EXP(-(LN(2)/$D$65+0.04)*(VLOOKUP(($F$16-$F$15)-1,AC$99:AG162,4,FALSE)))*EXP(-(LN(2)/$D$65+0.1)*(VLOOKUP(($F$16-$F$15)-1,AC$99:AG162,5,FALSE)))*EXP(-(LN(2)/$D$65+0.04)*AF162)*EXP(-(LN(2)/$D$65+0.1)*AG162),IF(AD162=3,AI$100*EXP(-(LN(2)/$D$65+0.04)*(VLOOKUP(($F$16-$F$15)-1,AC$99:AG162,4,FALSE)))*EXP(-(LN(2)/$D$65+0.1)*(VLOOKUP(($F$16-$F$15)-1,AC$99:AG162,5,FALSE)))*EXP(-(LN(2)/$D$65+0.04)*(VLOOKUP(($F$16-$F$15)*2-1,AC$99:AG162,4,FALSE)))*EXP(-(LN(2)/$D$65+0.1)*(VLOOKUP(($F$16-$F$15)*2-1,AC$99:AG162,5,FALSE)))*EXP(-(LN(2)/$D$65+0.04)*AF162)*EXP(-(LN(2)/$D$65+0.1)*AG162),"-"))),"-")</f>
        <v>-</v>
      </c>
      <c r="AJ163" s="271" t="str">
        <f>IFERROR(IF(AD163=1,AJ$100*EXP(-(LN(2)/$D$65+0.04)*AF163)*EXP(-(LN(2)/$D$65+0.1)*AG163),IF(AD163=2,AJ$100*EXP(-(LN(2)/$D$65+0.04)*(VLOOKUP(($F$16-$F$15)-1,AC$100:AG163,4,FALSE)))*EXP(-(LN(2)/$D$65+0.1)*(VLOOKUP(($F$16-$F$15)-1,AC$100:AG163,5,FALSE)))*EXP(-(LN(2)/$D$65+0.04)*AF163)*EXP(-(LN(2)/$D$65+0.1)*AG163),IF(AD163=3,AJ$100*EXP(-(LN(2)/$D$65+0.04)*(VLOOKUP(($F$16-$F$15)-1,AC$100:AG163,4,FALSE)))*EXP(-(LN(2)/$D$65+0.1)*(VLOOKUP(($F$16-$F$15)-1,AC$100:AG163,5,FALSE)))*EXP(-(LN(2)/$D$65+0.04)*(VLOOKUP(($F$16-$F$15)*2-1,AC$100:AG163,4,FALSE)))*EXP(-(LN(2)/$D$65+0.1)*(VLOOKUP(($F$16-$F$15)*2-1,AC$100:AG163,5,FALSE)))*EXP(-(LN(2)/$D$65+0.04)*AF163)*EXP(-(LN(2)/$D$65+0.1)*AG163),"-"))),"-")</f>
        <v>-</v>
      </c>
      <c r="AK163" s="227">
        <f t="shared" si="49"/>
        <v>63</v>
      </c>
      <c r="AL163" s="226" t="str">
        <f t="shared" si="18"/>
        <v>-</v>
      </c>
      <c r="AM163" s="227" t="str">
        <f t="shared" si="50"/>
        <v>-</v>
      </c>
      <c r="AN163" s="227" t="str">
        <f t="shared" si="51"/>
        <v>-</v>
      </c>
      <c r="AO163" s="227" t="str">
        <f t="shared" si="19"/>
        <v>-</v>
      </c>
      <c r="AP163" s="273">
        <f t="shared" si="52"/>
        <v>0.1</v>
      </c>
      <c r="AQ163" s="271" t="str">
        <f>IFERROR(IF(AL162=1,AQ$100*EXP(-(LN(2)/$D$65+0.04)*AN162)*EXP(-(LN(2)/$D$65+0.1)*AO162),IF(AL162=2,AQ$100*EXP(-(LN(2)/$D$65+0.04)*(VLOOKUP(($F$16-$F$15)-1,AK$99:AO162,4,FALSE)))*EXP(-(LN(2)/$D$65+0.1)*(VLOOKUP(($F$16-$F$15)-1,AK$99:AO162,5,FALSE)))*EXP(-(LN(2)/$D$65+0.04)*AN162)*EXP(-(LN(2)/$D$65+0.1)*AO162),IF(AL162=3,AQ$100*EXP(-(LN(2)/$D$65+0.04)*(VLOOKUP(($F$16-$F$15)-1,AK$99:AO162,4,FALSE)))*EXP(-(LN(2)/$D$65+0.1)*(VLOOKUP(($F$16-$F$15)-1,AK$99:AO162,5,FALSE)))*EXP(-(LN(2)/$D$65+0.04)*(VLOOKUP(($F$16-$F$15)*2-1,AK$99:AO162,4,FALSE)))*EXP(-(LN(2)/$D$65+0.1)*(VLOOKUP(($F$16-$F$15)*2-1,AK$99:AO162,5,FALSE)))*EXP(-(LN(2)/$D$65+0.04)*AN162)*EXP(-(LN(2)/$D$65+0.1)*AO162),"-"))),"-")</f>
        <v>-</v>
      </c>
      <c r="AR163" s="271" t="str">
        <f>IFERROR(IF(AL163=1,AR$100*EXP(-(LN(2)/$D$65+0.04)*AN163)*EXP(-(LN(2)/$D$65+0.1)*AO163),IF(AL163=2,AR$100*EXP(-(LN(2)/$D$65+0.04)*(VLOOKUP(($F$16-$F$15)-1,AK$100:AO163,4,FALSE)))*EXP(-(LN(2)/$D$65+0.1)*(VLOOKUP(($F$16-$F$15)-1,AK$100:AO163,5,FALSE)))*EXP(-(LN(2)/$D$65+0.04)*AN163)*EXP(-(LN(2)/$D$65+0.1)*AO163),IF(AL163=3,AR$100*EXP(-(LN(2)/$D$65+0.04)*(VLOOKUP(($F$16-$F$15)-1,AK$100:AO163,4,FALSE)))*EXP(-(LN(2)/$D$65+0.1)*(VLOOKUP(($F$16-$F$15)-1,AK$100:AO163,5,FALSE)))*EXP(-(LN(2)/$D$65+0.04)*(VLOOKUP(($F$16-$F$15)*2-1,AK$100:AO163,4,FALSE)))*EXP(-(LN(2)/$D$65+0.1)*(VLOOKUP(($F$16-$F$15)*2-1,AK$100:AO163,5,FALSE)))*EXP(-(LN(2)/$D$65+0.04)*AN163)*EXP(-(LN(2)/$D$65+0.1)*AO163),"-"))),"-")</f>
        <v>-</v>
      </c>
      <c r="AS163" s="274">
        <f t="shared" si="20"/>
        <v>0</v>
      </c>
      <c r="AT163" s="274">
        <f t="shared" si="21"/>
        <v>0</v>
      </c>
      <c r="AU163" s="274">
        <f t="shared" si="22"/>
        <v>0</v>
      </c>
      <c r="AV163" s="190">
        <f>IF($B163&lt;$F$22,SUM($T$100:$T163),"")</f>
        <v>0</v>
      </c>
      <c r="AW163" s="190" t="str">
        <f t="shared" si="83"/>
        <v>-</v>
      </c>
      <c r="AX163" s="190" t="str">
        <f t="shared" si="56"/>
        <v/>
      </c>
      <c r="AY163"/>
      <c r="AZ163" s="190" t="str">
        <f ca="1">IF(ISNUMBER(OFFSET(AV163,-$F$21,0)),SUM(OFFSET($T$100,$F$21,0):$T163),"")</f>
        <v/>
      </c>
      <c r="BA163" s="190" t="str">
        <f t="shared" ca="1" si="84"/>
        <v/>
      </c>
      <c r="BB163" s="190" t="str">
        <f t="shared" ca="1" si="70"/>
        <v/>
      </c>
      <c r="BC163" s="190"/>
      <c r="BD163" s="190" t="str">
        <f ca="1">IFERROR(IF(AND($B163&gt;=($F$16-$F$15),$B163&lt;$F$22+($F$16-$F$15)),SUM(OFFSET($T$100,($F$16-$F$15),0):$T163),""),"")</f>
        <v/>
      </c>
      <c r="BE163" s="190" t="str">
        <f t="shared" ca="1" si="58"/>
        <v/>
      </c>
      <c r="BF163" s="190" t="str">
        <f t="shared" ca="1" si="59"/>
        <v/>
      </c>
      <c r="BG163"/>
      <c r="BH163" s="190" t="str">
        <f ca="1">IF(ISNUMBER(OFFSET(BD163,-$F$21,0)),SUM(OFFSET($T$100,($F$16-$F$15+$F$21),0):$T163),"")</f>
        <v/>
      </c>
      <c r="BI163" s="190" t="str">
        <f t="shared" ca="1" si="85"/>
        <v/>
      </c>
      <c r="BJ163" s="190" t="str">
        <f t="shared" ca="1" si="60"/>
        <v/>
      </c>
      <c r="BK163" s="190"/>
      <c r="BL163" s="190" t="str">
        <f ca="1">IFERROR(IF(AND($B163&gt;=($F$17-$F$15),$B163&lt;$F$22+($F$17-$F$15)),SUM(OFFSET($T$100,($F$17-$F$15),0):$T163),""),"")</f>
        <v/>
      </c>
      <c r="BM163" s="190" t="str">
        <f t="shared" ca="1" si="86"/>
        <v/>
      </c>
      <c r="BN163" s="190" t="str">
        <f t="shared" ca="1" si="61"/>
        <v/>
      </c>
      <c r="BO163"/>
      <c r="BP163" s="190" t="str">
        <f ca="1">IF(ISNUMBER(OFFSET(BL163,-$F$21,0)),SUM(OFFSET($T$100,($F$17-$F$15+$F$21),0):$T163),"")</f>
        <v/>
      </c>
      <c r="BQ163" s="190" t="str">
        <f t="shared" ca="1" si="87"/>
        <v/>
      </c>
      <c r="BR163" s="190" t="str">
        <f t="shared" ca="1" si="63"/>
        <v/>
      </c>
      <c r="BS163" s="190"/>
      <c r="BT163"/>
      <c r="BU163"/>
      <c r="BV163"/>
      <c r="BY163" s="99"/>
      <c r="BZ163" s="99"/>
      <c r="CA163" s="280" t="str">
        <f t="shared" si="88"/>
        <v/>
      </c>
      <c r="CB163" s="71" t="str">
        <f t="shared" si="27"/>
        <v>-</v>
      </c>
      <c r="CC163" s="33"/>
      <c r="CD163" s="261" t="str">
        <f t="shared" si="29"/>
        <v/>
      </c>
      <c r="CE163" s="280" t="str">
        <f t="shared" si="89"/>
        <v>-</v>
      </c>
      <c r="CF163" s="71" t="str">
        <f t="shared" ca="1" si="90"/>
        <v>-</v>
      </c>
      <c r="CG163" s="33" t="str">
        <f t="shared" si="32"/>
        <v>63-64</v>
      </c>
      <c r="CH163" s="261" t="str">
        <f t="shared" ca="1" si="33"/>
        <v/>
      </c>
      <c r="CI163" s="99"/>
      <c r="CJ163" s="99"/>
      <c r="CK163" s="99"/>
      <c r="CL163" s="99"/>
      <c r="CM163" s="99"/>
      <c r="CN163" s="99"/>
      <c r="CO163" s="99"/>
    </row>
    <row r="164" spans="2:93" ht="13.5" customHeight="1" x14ac:dyDescent="0.2">
      <c r="B164" s="262">
        <v>64</v>
      </c>
      <c r="C164" s="237" t="str">
        <f t="shared" ref="C164:C227" si="91">IF(ISERROR(VLOOKUP(B164,$B$39:$C$73,2,0)),"",VLOOKUP(B164,$B$39:$C$73,2,0))</f>
        <v/>
      </c>
      <c r="D164" s="237" t="str">
        <f t="shared" si="66"/>
        <v>-</v>
      </c>
      <c r="E164" s="290" t="str">
        <f t="shared" si="34"/>
        <v/>
      </c>
      <c r="F164" s="264" t="str">
        <f t="shared" si="35"/>
        <v/>
      </c>
      <c r="G164" s="291" t="str">
        <f t="shared" si="36"/>
        <v/>
      </c>
      <c r="H164" s="240" t="str">
        <f t="shared" ref="H164:H195" si="92">IF(E164&lt;&gt;"",IF($B164&lt;$F$21,"",IF(ISNUMBER(F164),IF(ISNUMBER(I164),(E164*30*50*ffp),""),(E164*30*50*ffp))),"")</f>
        <v/>
      </c>
      <c r="I164" s="265" t="str">
        <f t="shared" ref="I164:I195" si="93">IFERROR(IF(F164&lt;&gt;"",IF($B164&lt;$F$21+$F$16,"",IF(ISNUMBER(G164),IF(ISNUMBER(J164),(F164*30*50*ffp),""),(F164*30*50*ffp))),""),"")</f>
        <v/>
      </c>
      <c r="J164" s="265" t="str">
        <f t="shared" ref="J164:J195" si="94">IFERROR(IF(G164&lt;&gt;"",IF($B164&lt;$F$21+$F$17,"",(G164*30*50*ffp)),""),"")</f>
        <v/>
      </c>
      <c r="K164" s="240" t="str">
        <f t="shared" ref="K164:K195" si="95">IF(E164&lt;&gt;"",((E164*20*50*ffp)/Klevee),"")</f>
        <v/>
      </c>
      <c r="L164" s="265" t="str">
        <f t="shared" ref="L164:L195" si="96">IF(ISNUMBER(F164),((F164*20*50*ffp)/Klevee),"")</f>
        <v/>
      </c>
      <c r="M164" s="265" t="str">
        <f t="shared" ref="M164:M195" si="97">IF(ISNUMBER(G164),((G164*20*50*ffp)/Klevee),"")</f>
        <v/>
      </c>
      <c r="N164" s="240" t="str">
        <f t="shared" ref="N164:N195" si="98">IF(AND(ISNUMBER(I),ISNUMBER($F$14),ISNUMBER($F$20)),IF($B164=0,I*($J$40/100)*$J$42*1,""),"-")</f>
        <v>-</v>
      </c>
      <c r="O164" s="265" t="str">
        <f t="shared" ref="O164:O195" si="99">IF(ISNUMBER($F$14),IF($F$14&gt;1,IF($B164=0+$F$16,I*($J$40/100)*$J$42*1,""),""),"-")</f>
        <v>-</v>
      </c>
      <c r="P164" s="265" t="str">
        <f t="shared" ref="P164:P195" si="100">IF(ISNUMBER($F$14),IF($F$14&gt;2,IF($B164=0+$F$17,I*($J$40/100)*$J$42*1,""),""),"-")</f>
        <v>-</v>
      </c>
      <c r="Q164" s="266" t="str">
        <f t="shared" ref="Q164:Q195" si="101">IF(AND(ISNUMBER(I),ISNUMBER($F$14),ISNUMBER($F$20)),IF($B164=0,I*(dt/100)*$J$45*1,""),"-")</f>
        <v>-</v>
      </c>
      <c r="R164" s="267" t="str">
        <f t="shared" ref="R164:R195" si="102">IF(ISNUMBER($F$14),IF($F$14&gt;1,IF($B164=0+$F$16,I*(dt/100)*$J$45*1,""),""),"-")</f>
        <v>-</v>
      </c>
      <c r="S164" s="268" t="str">
        <f t="shared" ref="S164:S195" si="103">IF(ISNUMBER($F$14),IF($F$14&gt;2,IF($B164=0+$F$17,I*(dt/100)*$J$45*1,""),""),"-")</f>
        <v>-</v>
      </c>
      <c r="T164" s="269" t="str">
        <f t="shared" ref="T164:T227" si="104">IF(SUM(H164:S164)=0,"",SUM(H164:S164))</f>
        <v/>
      </c>
      <c r="U164" s="221">
        <f t="shared" ref="U164:U227" si="105">B164</f>
        <v>64</v>
      </c>
      <c r="V164" s="220" t="str">
        <f t="shared" si="42"/>
        <v>-</v>
      </c>
      <c r="W164" s="221" t="str">
        <f t="shared" si="43"/>
        <v>-</v>
      </c>
      <c r="X164" s="221" t="str">
        <f t="shared" ref="X164:X227" si="106">IFERROR(IF($F$21=0,0,IF(V164=V163,IF(B164-(V164-1)*($F$16-$F$15)&lt;$F$21,X163+1,X163),1)),"-")</f>
        <v>-</v>
      </c>
      <c r="Y164" s="221" t="str">
        <f t="shared" ref="Y164:Y227" si="107">IFERROR(W164-X164,"-")</f>
        <v>-</v>
      </c>
      <c r="Z164" s="270">
        <f t="shared" si="44"/>
        <v>0.1</v>
      </c>
      <c r="AA164" s="271" t="str">
        <f>IFERROR(IF(V163=1,AA$100*EXP(-(LN(2)/$D$65+0.04)*X163)*EXP(-(LN(2)/$D$65+0.1)*Y163),IF(V163=2,AA$100*EXP(-(LN(2)/$D$65+0.04)*(VLOOKUP(($F$16-$F$15)-1,U$99:Y163,4,FALSE)))*EXP(-(LN(2)/$D$65+0.1)*(VLOOKUP(($F$16-$F$15)-1,U$99:Y163,5,FALSE)))*EXP(-(LN(2)/$D$65+0.04)*X163)*EXP(-(LN(2)/$D$65+0.1)*Y163),IF(V163=3,AA$100*EXP(-(LN(2)/$D$65+0.04)*(VLOOKUP(($F$16-$F$15)-1,U$99:Y163,4,FALSE)))*EXP(-(LN(2)/$D$65+0.1)*(VLOOKUP(($F$16-$F$15)-1,U$99:Y163,5,FALSE)))*EXP(-(LN(2)/$D$65+0.04)*(VLOOKUP(($F$16-$F$15)*2-1,U$99:Y163,4,FALSE)))*EXP(-(LN(2)/$D$65+0.1)*(VLOOKUP(($F$16-$F$15)*2-1,U$99:Y163,5,FALSE)))*EXP(-(LN(2)/$D$65+0.04)*X163)*EXP(-(LN(2)/$D$65+0.1)*Y163),"-"))),"-")</f>
        <v>-</v>
      </c>
      <c r="AB164" s="271" t="str">
        <f>IFERROR(IF(V164=1,AB$100*EXP(-(LN(2)/$D$65+0.04)*X164)*EXP(-(LN(2)/$D$65+0.1)*Y164),IF(V164=2,AB$100*EXP(-(LN(2)/$D$65+0.04)*(VLOOKUP(($F$16-$F$15)-1,U$100:Y164,4,FALSE)))*EXP(-(LN(2)/$D$65+0.1)*(VLOOKUP(($F$16-$F$15)-1,U$100:Y164,5,FALSE)))*EXP(-(LN(2)/$D$65+0.04)*X164)*EXP(-(LN(2)/$D$65+0.1)*Y164),IF(V164=3,AB$100*EXP(-(LN(2)/$D$65+0.04)*(VLOOKUP(($F$16-$F$15)-1,U$100:Y164,4,FALSE)))*EXP(-(LN(2)/$D$65+0.1)*(VLOOKUP(($F$16-$F$15)-1,U$100:Y164,5,FALSE)))*EXP(-(LN(2)/$D$65+0.04)*(VLOOKUP(($F$16-$F$15)*2-1,U$100:Y164,4,FALSE)))*EXP(-(LN(2)/$D$65+0.1)*(VLOOKUP(($F$16-$F$15)*2-1,U$100:Y164,5,FALSE)))*EXP(-(LN(2)/$D$65+0.04)*X164)*EXP(-(LN(2)/$D$65+0.1)*Y164),"-"))),"-")</f>
        <v>-</v>
      </c>
      <c r="AC164" s="224">
        <f t="shared" si="45"/>
        <v>64</v>
      </c>
      <c r="AD164" s="223" t="str">
        <f t="shared" ref="AD164:AD227" si="108">IFERROR(IF($F$14-1&gt;0,IF(B164&lt;($F$16-$F$15)*($F$14-1),INT(B164/($F$16-$F$15))+1,AD162),"-"),"-")</f>
        <v>-</v>
      </c>
      <c r="AE164" s="224" t="str">
        <f t="shared" si="46"/>
        <v>-</v>
      </c>
      <c r="AF164" s="224" t="str">
        <f t="shared" ref="AF164:AF227" si="109">IFERROR(IF($F$21=0,0,IF(AD164=AD163,IF(B164-(AD164-1)*($F$16-$F$15)&lt;$F$21,AF163+1,AF163),1)),"-")</f>
        <v>-</v>
      </c>
      <c r="AG164" s="224" t="str">
        <f t="shared" ref="AG164:AG227" si="110">IFERROR(AE164-AF164,"-")</f>
        <v>-</v>
      </c>
      <c r="AH164" s="272">
        <f t="shared" si="47"/>
        <v>0.1</v>
      </c>
      <c r="AI164" s="271" t="str">
        <f>IFERROR(IF(AD163=1,AI$100*EXP(-(LN(2)/$D$65+0.04)*AF163)*EXP(-(LN(2)/$D$65+0.1)*AG163),IF(AD163=2,AI$100*EXP(-(LN(2)/$D$65+0.04)*(VLOOKUP(($F$16-$F$15)-1,AC$99:AG163,4,FALSE)))*EXP(-(LN(2)/$D$65+0.1)*(VLOOKUP(($F$16-$F$15)-1,AC$99:AG163,5,FALSE)))*EXP(-(LN(2)/$D$65+0.04)*AF163)*EXP(-(LN(2)/$D$65+0.1)*AG163),IF(AD163=3,AI$100*EXP(-(LN(2)/$D$65+0.04)*(VLOOKUP(($F$16-$F$15)-1,AC$99:AG163,4,FALSE)))*EXP(-(LN(2)/$D$65+0.1)*(VLOOKUP(($F$16-$F$15)-1,AC$99:AG163,5,FALSE)))*EXP(-(LN(2)/$D$65+0.04)*(VLOOKUP(($F$16-$F$15)*2-1,AC$99:AG163,4,FALSE)))*EXP(-(LN(2)/$D$65+0.1)*(VLOOKUP(($F$16-$F$15)*2-1,AC$99:AG163,5,FALSE)))*EXP(-(LN(2)/$D$65+0.04)*AF163)*EXP(-(LN(2)/$D$65+0.1)*AG163),"-"))),"-")</f>
        <v>-</v>
      </c>
      <c r="AJ164" s="271" t="str">
        <f>IFERROR(IF(AD164=1,AJ$100*EXP(-(LN(2)/$D$65+0.04)*AF164)*EXP(-(LN(2)/$D$65+0.1)*AG164),IF(AD164=2,AJ$100*EXP(-(LN(2)/$D$65+0.04)*(VLOOKUP(($F$16-$F$15)-1,AC$100:AG164,4,FALSE)))*EXP(-(LN(2)/$D$65+0.1)*(VLOOKUP(($F$16-$F$15)-1,AC$100:AG164,5,FALSE)))*EXP(-(LN(2)/$D$65+0.04)*AF164)*EXP(-(LN(2)/$D$65+0.1)*AG164),IF(AD164=3,AJ$100*EXP(-(LN(2)/$D$65+0.04)*(VLOOKUP(($F$16-$F$15)-1,AC$100:AG164,4,FALSE)))*EXP(-(LN(2)/$D$65+0.1)*(VLOOKUP(($F$16-$F$15)-1,AC$100:AG164,5,FALSE)))*EXP(-(LN(2)/$D$65+0.04)*(VLOOKUP(($F$16-$F$15)*2-1,AC$100:AG164,4,FALSE)))*EXP(-(LN(2)/$D$65+0.1)*(VLOOKUP(($F$16-$F$15)*2-1,AC$100:AG164,5,FALSE)))*EXP(-(LN(2)/$D$65+0.04)*AF164)*EXP(-(LN(2)/$D$65+0.1)*AG164),"-"))),"-")</f>
        <v>-</v>
      </c>
      <c r="AK164" s="227">
        <f t="shared" si="49"/>
        <v>64</v>
      </c>
      <c r="AL164" s="226" t="str">
        <f t="shared" ref="AL164:AL227" si="111">IFERROR(IF($F$14-2&gt;0,IF(B164&lt;($F$16-$F$15)*($F$14-2),INT(B164/($F$16-$F$15))+1,AL162),"-"),"-")</f>
        <v>-</v>
      </c>
      <c r="AM164" s="227" t="str">
        <f t="shared" si="50"/>
        <v>-</v>
      </c>
      <c r="AN164" s="227" t="str">
        <f t="shared" si="51"/>
        <v>-</v>
      </c>
      <c r="AO164" s="227" t="str">
        <f t="shared" ref="AO164:AO227" si="112">IFERROR(AM164-AN164,"-")</f>
        <v>-</v>
      </c>
      <c r="AP164" s="273">
        <f t="shared" si="52"/>
        <v>0.1</v>
      </c>
      <c r="AQ164" s="271" t="str">
        <f>IFERROR(IF(AL163=1,AQ$100*EXP(-(LN(2)/$D$65+0.04)*AN163)*EXP(-(LN(2)/$D$65+0.1)*AO163),IF(AL163=2,AQ$100*EXP(-(LN(2)/$D$65+0.04)*(VLOOKUP(($F$16-$F$15)-1,AK$99:AO163,4,FALSE)))*EXP(-(LN(2)/$D$65+0.1)*(VLOOKUP(($F$16-$F$15)-1,AK$99:AO163,5,FALSE)))*EXP(-(LN(2)/$D$65+0.04)*AN163)*EXP(-(LN(2)/$D$65+0.1)*AO163),IF(AL163=3,AQ$100*EXP(-(LN(2)/$D$65+0.04)*(VLOOKUP(($F$16-$F$15)-1,AK$99:AO163,4,FALSE)))*EXP(-(LN(2)/$D$65+0.1)*(VLOOKUP(($F$16-$F$15)-1,AK$99:AO163,5,FALSE)))*EXP(-(LN(2)/$D$65+0.04)*(VLOOKUP(($F$16-$F$15)*2-1,AK$99:AO163,4,FALSE)))*EXP(-(LN(2)/$D$65+0.1)*(VLOOKUP(($F$16-$F$15)*2-1,AK$99:AO163,5,FALSE)))*EXP(-(LN(2)/$D$65+0.04)*AN163)*EXP(-(LN(2)/$D$65+0.1)*AO163),"-"))),"-")</f>
        <v>-</v>
      </c>
      <c r="AR164" s="271" t="str">
        <f>IFERROR(IF(AL164=1,AR$100*EXP(-(LN(2)/$D$65+0.04)*AN164)*EXP(-(LN(2)/$D$65+0.1)*AO164),IF(AL164=2,AR$100*EXP(-(LN(2)/$D$65+0.04)*(VLOOKUP(($F$16-$F$15)-1,AK$100:AO164,4,FALSE)))*EXP(-(LN(2)/$D$65+0.1)*(VLOOKUP(($F$16-$F$15)-1,AK$100:AO164,5,FALSE)))*EXP(-(LN(2)/$D$65+0.04)*AN164)*EXP(-(LN(2)/$D$65+0.1)*AO164),IF(AL164=3,AR$100*EXP(-(LN(2)/$D$65+0.04)*(VLOOKUP(($F$16-$F$15)-1,AK$100:AO164,4,FALSE)))*EXP(-(LN(2)/$D$65+0.1)*(VLOOKUP(($F$16-$F$15)-1,AK$100:AO164,5,FALSE)))*EXP(-(LN(2)/$D$65+0.04)*(VLOOKUP(($F$16-$F$15)*2-1,AK$100:AO164,4,FALSE)))*EXP(-(LN(2)/$D$65+0.1)*(VLOOKUP(($F$16-$F$15)*2-1,AK$100:AO164,5,FALSE)))*EXP(-(LN(2)/$D$65+0.04)*AN164)*EXP(-(LN(2)/$D$65+0.1)*AO164),"-"))),"-")</f>
        <v>-</v>
      </c>
      <c r="AS164" s="274">
        <f t="shared" ref="AS164:AS227" si="113">SUM(H164:J164)</f>
        <v>0</v>
      </c>
      <c r="AT164" s="274">
        <f t="shared" ref="AT164:AT227" si="114">SUM(K164:M164)</f>
        <v>0</v>
      </c>
      <c r="AU164" s="274">
        <f t="shared" ref="AU164:AU227" si="115">SUM(N164:S164)</f>
        <v>0</v>
      </c>
      <c r="AV164" s="190">
        <f>IF($B164&lt;$F$22,SUM($T$100:$T164),"")</f>
        <v>0</v>
      </c>
      <c r="AW164" s="190" t="str">
        <f t="shared" ref="AW164:AW195" si="116">IF(ISNUMBER(Koc),IF(ISNUMBER(AV164),AV164*(Koc*(Ocse/100)*Pse*Vse)/(Koc*(Ocse/100)*Pse*Vse+1*86400*($B164+1)),""),"-")</f>
        <v>-</v>
      </c>
      <c r="AX164" s="190" t="str">
        <f t="shared" si="56"/>
        <v/>
      </c>
      <c r="AY164"/>
      <c r="AZ164" s="190" t="str">
        <f ca="1">IF(ISNUMBER(OFFSET(AV164,-$F$21,0)),SUM(OFFSET($T$100,$F$21,0):$T164),"")</f>
        <v/>
      </c>
      <c r="BA164" s="190" t="str">
        <f t="shared" ref="BA164:BA195" ca="1" si="117">IF(ISNUMBER(OFFSET(AV164,-$F$21,0)),AZ164*(Koc*(Ocse/100)*Pse*Vse)/(Koc*(Ocse/100)*Pse*Vse+1*86400*($B164+1)),"")</f>
        <v/>
      </c>
      <c r="BB164" s="190" t="str">
        <f t="shared" ca="1" si="70"/>
        <v/>
      </c>
      <c r="BC164" s="190"/>
      <c r="BD164" s="190" t="str">
        <f ca="1">IFERROR(IF(AND($B164&gt;=($F$16-$F$15),$B164&lt;$F$22+($F$16-$F$15)),SUM(OFFSET($T$100,($F$16-$F$15),0):$T164),""),"")</f>
        <v/>
      </c>
      <c r="BE164" s="190" t="str">
        <f t="shared" ca="1" si="58"/>
        <v/>
      </c>
      <c r="BF164" s="190" t="str">
        <f t="shared" ca="1" si="59"/>
        <v/>
      </c>
      <c r="BG164"/>
      <c r="BH164" s="190" t="str">
        <f ca="1">IF(ISNUMBER(OFFSET(BD164,-$F$21,0)),SUM(OFFSET($T$100,($F$16-$F$15+$F$21),0):$T164),"")</f>
        <v/>
      </c>
      <c r="BI164" s="190" t="str">
        <f t="shared" ref="BI164:BI195" ca="1" si="118">IF(ISNUMBER(OFFSET(BD164,-$F$21,0)),BH164*(Koc*(Ocse/100)*Pse*Vse)/(Koc*(Ocse/100)*Pse*Vse+1*86400*($B164+1)),"")</f>
        <v/>
      </c>
      <c r="BJ164" s="190" t="str">
        <f t="shared" ca="1" si="60"/>
        <v/>
      </c>
      <c r="BK164" s="190"/>
      <c r="BL164" s="190" t="str">
        <f ca="1">IFERROR(IF(AND($B164&gt;=($F$17-$F$15),$B164&lt;$F$22+($F$17-$F$15)),SUM(OFFSET($T$100,($F$17-$F$15),0):$T164),""),"")</f>
        <v/>
      </c>
      <c r="BM164" s="190" t="str">
        <f t="shared" ref="BM164:BM195" ca="1" si="119">IF(ISNUMBER(BL164),BL164*(Koc*(Ocse/100)*Pse*Vse)/(Koc*(Ocse/100)*Pse*Vse+1*86400*($B164+1)),"")</f>
        <v/>
      </c>
      <c r="BN164" s="190" t="str">
        <f t="shared" ca="1" si="61"/>
        <v/>
      </c>
      <c r="BO164"/>
      <c r="BP164" s="190" t="str">
        <f ca="1">IF(ISNUMBER(OFFSET(BL164,-$F$21,0)),SUM(OFFSET($T$100,($F$17-$F$15+$F$21),0):$T164),"")</f>
        <v/>
      </c>
      <c r="BQ164" s="190" t="str">
        <f t="shared" ref="BQ164:BQ195" ca="1" si="120">IF(ISNUMBER(OFFSET(BL164,-$F$21,0)),BP164*(Koc*(Ocse/100)*Pse*Vse)/(Koc*(Ocse/100)*Pse*Vse+1*86400*($B164+1)),"")</f>
        <v/>
      </c>
      <c r="BR164" s="190" t="str">
        <f t="shared" ca="1" si="63"/>
        <v/>
      </c>
      <c r="BS164" s="190"/>
      <c r="BT164"/>
      <c r="BU164"/>
      <c r="BV164"/>
      <c r="BY164" s="99"/>
      <c r="BZ164" s="99"/>
      <c r="CA164" s="280" t="str">
        <f t="shared" ref="CA164:CA195" si="121">IFERROR(IF($B164&lt;$CA$94,T164*(Koc*(Ocse/100)*Pse*Vse)/(Koc*(Ocse/100)*Pse*Vse+1*86400*$CA$94),""),"-")</f>
        <v/>
      </c>
      <c r="CB164" s="71" t="str">
        <f t="shared" ref="CB164:CB227" si="122">IF(ISNUMBER(T164),IF($B164&lt;$CA$94,(T164-CA164)/(3*86400)*1000,""),"-")</f>
        <v>-</v>
      </c>
      <c r="CC164" s="33"/>
      <c r="CD164" s="261" t="str">
        <f t="shared" ref="CD164:CD227" si="123">IF(CC164=CA$96,CB$96,"")</f>
        <v/>
      </c>
      <c r="CE164" s="280" t="str">
        <f t="shared" ref="CE164:CE195" si="124">IFERROR(IF($B164&lt;$CE$94,T164*(Koc*(Ocse/100)*Pse*Vse)/(Koc*(Ocse/100)*Pse*Vse+1*86400*$CE$94),""),"-")</f>
        <v>-</v>
      </c>
      <c r="CF164" s="71" t="str">
        <f t="shared" ref="CF164:CF195" ca="1" si="125">IFERROR(IF($B164&lt;$CE$94,IF(NOT(ISNUMBER(ffp)),"-",IF($F$70=$AX$87,AX164,IF($F$70=$BB$87,OFFSET(BB164,$F$21,0),IF($F$70=$BF$87,OFFSET(BF164,$F$16,0),IF($F$70=$BJ$87,OFFSET(BJ164,$F$16+$F$21,0),IF($F$70=$BN$87,OFFSET(BN164,$F$17,0),OFFSET(BR164,$F$17+$F$21,0))))))),""),"-")</f>
        <v>-</v>
      </c>
      <c r="CG164" s="33" t="str">
        <f t="shared" ref="CG164:CG227" si="126">IF($B164&lt;$CE$94,$B164&amp;"-"&amp;$B164+1,"")</f>
        <v>64-65</v>
      </c>
      <c r="CH164" s="261" t="str">
        <f t="shared" ref="CH164:CH227" ca="1" si="127">IF(CG164=CE$96,CF$96,"")</f>
        <v/>
      </c>
      <c r="CI164" s="99"/>
      <c r="CJ164" s="99"/>
      <c r="CK164" s="99"/>
      <c r="CL164" s="99"/>
      <c r="CM164" s="99"/>
      <c r="CN164" s="99"/>
      <c r="CO164" s="99"/>
    </row>
    <row r="165" spans="2:93" ht="13.5" customHeight="1" x14ac:dyDescent="0.2">
      <c r="B165" s="262">
        <v>65</v>
      </c>
      <c r="C165" s="237" t="str">
        <f t="shared" si="91"/>
        <v/>
      </c>
      <c r="D165" s="237" t="str">
        <f t="shared" si="66"/>
        <v>-</v>
      </c>
      <c r="E165" s="290" t="str">
        <f t="shared" ref="E165:E228" si="128">IF(ISNUMBER($F$14),IF(ISNUMBER(AA165),AA165,""),"")</f>
        <v/>
      </c>
      <c r="F165" s="264" t="str">
        <f t="shared" ref="F165:F228" si="129">IF(OR($F$14=2,$F$14=3),IF(($F$16-$F$15)&gt;B165," ",VLOOKUP((B165-($F$16-$F$15)),$AC$100:$AI$250,7,FALSE)),"")</f>
        <v/>
      </c>
      <c r="G165" s="291" t="str">
        <f t="shared" ref="G165:G228" si="130">IF($F$14=3,IF(($F$16-$F$15)*2&gt;B165," ",VLOOKUP((B165-($F$16-$F$15)*2),$AK$100:$AQ$250,7,FALSE)),"")</f>
        <v/>
      </c>
      <c r="H165" s="240" t="str">
        <f t="shared" si="92"/>
        <v/>
      </c>
      <c r="I165" s="265" t="str">
        <f t="shared" si="93"/>
        <v/>
      </c>
      <c r="J165" s="265" t="str">
        <f t="shared" si="94"/>
        <v/>
      </c>
      <c r="K165" s="240" t="str">
        <f t="shared" si="95"/>
        <v/>
      </c>
      <c r="L165" s="265" t="str">
        <f t="shared" si="96"/>
        <v/>
      </c>
      <c r="M165" s="265" t="str">
        <f t="shared" si="97"/>
        <v/>
      </c>
      <c r="N165" s="240" t="str">
        <f t="shared" si="98"/>
        <v>-</v>
      </c>
      <c r="O165" s="265" t="str">
        <f t="shared" si="99"/>
        <v>-</v>
      </c>
      <c r="P165" s="265" t="str">
        <f t="shared" si="100"/>
        <v>-</v>
      </c>
      <c r="Q165" s="266" t="str">
        <f t="shared" si="101"/>
        <v>-</v>
      </c>
      <c r="R165" s="267" t="str">
        <f t="shared" si="102"/>
        <v>-</v>
      </c>
      <c r="S165" s="268" t="str">
        <f t="shared" si="103"/>
        <v>-</v>
      </c>
      <c r="T165" s="269" t="str">
        <f t="shared" si="104"/>
        <v/>
      </c>
      <c r="U165" s="221">
        <f t="shared" si="105"/>
        <v>65</v>
      </c>
      <c r="V165" s="220" t="str">
        <f t="shared" ref="V165:V228" si="131">IF(ISNUMBER($F$14),IF(B165&lt;($F$16-$F$15)*$F$14,INT(B165/($F$16-$F$15))+1,V163),"-")</f>
        <v>-</v>
      </c>
      <c r="W165" s="221" t="str">
        <f t="shared" ref="W165:W228" si="132">IF(ISNUMBER($F$14),IF(B165&lt;$F$14*($F$16-$F$15),B165-INT(B165/($F$16-$F$15))*($F$16-$F$15)+1,W164+1),"-")</f>
        <v>-</v>
      </c>
      <c r="X165" s="221" t="str">
        <f t="shared" si="106"/>
        <v>-</v>
      </c>
      <c r="Y165" s="221" t="str">
        <f t="shared" si="107"/>
        <v>-</v>
      </c>
      <c r="Z165" s="270">
        <f t="shared" ref="Z165:Z228" si="133">IF(Y165&gt;0,0.1,0.04)</f>
        <v>0.1</v>
      </c>
      <c r="AA165" s="271" t="str">
        <f>IFERROR(IF(V164=1,AA$100*EXP(-(LN(2)/$D$65+0.04)*X164)*EXP(-(LN(2)/$D$65+0.1)*Y164),IF(V164=2,AA$100*EXP(-(LN(2)/$D$65+0.04)*(VLOOKUP(($F$16-$F$15)-1,U$99:Y164,4,FALSE)))*EXP(-(LN(2)/$D$65+0.1)*(VLOOKUP(($F$16-$F$15)-1,U$99:Y164,5,FALSE)))*EXP(-(LN(2)/$D$65+0.04)*X164)*EXP(-(LN(2)/$D$65+0.1)*Y164),IF(V164=3,AA$100*EXP(-(LN(2)/$D$65+0.04)*(VLOOKUP(($F$16-$F$15)-1,U$99:Y164,4,FALSE)))*EXP(-(LN(2)/$D$65+0.1)*(VLOOKUP(($F$16-$F$15)-1,U$99:Y164,5,FALSE)))*EXP(-(LN(2)/$D$65+0.04)*(VLOOKUP(($F$16-$F$15)*2-1,U$99:Y164,4,FALSE)))*EXP(-(LN(2)/$D$65+0.1)*(VLOOKUP(($F$16-$F$15)*2-1,U$99:Y164,5,FALSE)))*EXP(-(LN(2)/$D$65+0.04)*X164)*EXP(-(LN(2)/$D$65+0.1)*Y164),"-"))),"-")</f>
        <v>-</v>
      </c>
      <c r="AB165" s="271" t="str">
        <f>IFERROR(IF(V165=1,AB$100*EXP(-(LN(2)/$D$65+0.04)*X165)*EXP(-(LN(2)/$D$65+0.1)*Y165),IF(V165=2,AB$100*EXP(-(LN(2)/$D$65+0.04)*(VLOOKUP(($F$16-$F$15)-1,U$100:Y165,4,FALSE)))*EXP(-(LN(2)/$D$65+0.1)*(VLOOKUP(($F$16-$F$15)-1,U$100:Y165,5,FALSE)))*EXP(-(LN(2)/$D$65+0.04)*X165)*EXP(-(LN(2)/$D$65+0.1)*Y165),IF(V165=3,AB$100*EXP(-(LN(2)/$D$65+0.04)*(VLOOKUP(($F$16-$F$15)-1,U$100:Y165,4,FALSE)))*EXP(-(LN(2)/$D$65+0.1)*(VLOOKUP(($F$16-$F$15)-1,U$100:Y165,5,FALSE)))*EXP(-(LN(2)/$D$65+0.04)*(VLOOKUP(($F$16-$F$15)*2-1,U$100:Y165,4,FALSE)))*EXP(-(LN(2)/$D$65+0.1)*(VLOOKUP(($F$16-$F$15)*2-1,U$100:Y165,5,FALSE)))*EXP(-(LN(2)/$D$65+0.04)*X165)*EXP(-(LN(2)/$D$65+0.1)*Y165),"-"))),"-")</f>
        <v>-</v>
      </c>
      <c r="AC165" s="224">
        <f t="shared" ref="AC165:AC228" si="134">B165</f>
        <v>65</v>
      </c>
      <c r="AD165" s="223" t="str">
        <f t="shared" si="108"/>
        <v>-</v>
      </c>
      <c r="AE165" s="224" t="str">
        <f t="shared" ref="AE165:AE228" si="135">IFERROR(IF($F$14-1&gt;0,IF(B165&lt;($F$14-1)*($F$16-$F$15),B165-INT(B165/($F$16-$F$15))*($F$16-$F$15)+1,AE164+1),"-"),"-")</f>
        <v>-</v>
      </c>
      <c r="AF165" s="224" t="str">
        <f t="shared" si="109"/>
        <v>-</v>
      </c>
      <c r="AG165" s="224" t="str">
        <f t="shared" si="110"/>
        <v>-</v>
      </c>
      <c r="AH165" s="272">
        <f t="shared" ref="AH165:AH228" si="136">IF(AG165&gt;0,0.1,0.04)</f>
        <v>0.1</v>
      </c>
      <c r="AI165" s="271" t="str">
        <f>IFERROR(IF(AD164=1,AI$100*EXP(-(LN(2)/$D$65+0.04)*AF164)*EXP(-(LN(2)/$D$65+0.1)*AG164),IF(AD164=2,AI$100*EXP(-(LN(2)/$D$65+0.04)*(VLOOKUP(($F$16-$F$15)-1,AC$99:AG164,4,FALSE)))*EXP(-(LN(2)/$D$65+0.1)*(VLOOKUP(($F$16-$F$15)-1,AC$99:AG164,5,FALSE)))*EXP(-(LN(2)/$D$65+0.04)*AF164)*EXP(-(LN(2)/$D$65+0.1)*AG164),IF(AD164=3,AI$100*EXP(-(LN(2)/$D$65+0.04)*(VLOOKUP(($F$16-$F$15)-1,AC$99:AG164,4,FALSE)))*EXP(-(LN(2)/$D$65+0.1)*(VLOOKUP(($F$16-$F$15)-1,AC$99:AG164,5,FALSE)))*EXP(-(LN(2)/$D$65+0.04)*(VLOOKUP(($F$16-$F$15)*2-1,AC$99:AG164,4,FALSE)))*EXP(-(LN(2)/$D$65+0.1)*(VLOOKUP(($F$16-$F$15)*2-1,AC$99:AG164,5,FALSE)))*EXP(-(LN(2)/$D$65+0.04)*AF164)*EXP(-(LN(2)/$D$65+0.1)*AG164),"-"))),"-")</f>
        <v>-</v>
      </c>
      <c r="AJ165" s="271" t="str">
        <f>IFERROR(IF(AD165=1,AJ$100*EXP(-(LN(2)/$D$65+0.04)*AF165)*EXP(-(LN(2)/$D$65+0.1)*AG165),IF(AD165=2,AJ$100*EXP(-(LN(2)/$D$65+0.04)*(VLOOKUP(($F$16-$F$15)-1,AC$100:AG165,4,FALSE)))*EXP(-(LN(2)/$D$65+0.1)*(VLOOKUP(($F$16-$F$15)-1,AC$100:AG165,5,FALSE)))*EXP(-(LN(2)/$D$65+0.04)*AF165)*EXP(-(LN(2)/$D$65+0.1)*AG165),IF(AD165=3,AJ$100*EXP(-(LN(2)/$D$65+0.04)*(VLOOKUP(($F$16-$F$15)-1,AC$100:AG165,4,FALSE)))*EXP(-(LN(2)/$D$65+0.1)*(VLOOKUP(($F$16-$F$15)-1,AC$100:AG165,5,FALSE)))*EXP(-(LN(2)/$D$65+0.04)*(VLOOKUP(($F$16-$F$15)*2-1,AC$100:AG165,4,FALSE)))*EXP(-(LN(2)/$D$65+0.1)*(VLOOKUP(($F$16-$F$15)*2-1,AC$100:AG165,5,FALSE)))*EXP(-(LN(2)/$D$65+0.04)*AF165)*EXP(-(LN(2)/$D$65+0.1)*AG165),"-"))),"-")</f>
        <v>-</v>
      </c>
      <c r="AK165" s="227">
        <f t="shared" ref="AK165:AK228" si="137">B165</f>
        <v>65</v>
      </c>
      <c r="AL165" s="226" t="str">
        <f t="shared" si="111"/>
        <v>-</v>
      </c>
      <c r="AM165" s="227" t="str">
        <f t="shared" ref="AM165:AM228" si="138">IFERROR(IF($F$14-2&gt;0,IF(B165&lt;($F$14-2)*($F$16-$F$15),B165-INT(B165/($F$16-$F$15))*($F$16-$F$15)+1,AM164+1),"-"),"-")</f>
        <v>-</v>
      </c>
      <c r="AN165" s="227" t="str">
        <f t="shared" ref="AN165:AN228" si="139">IFERROR(IF($F$21=0,0,IF(AL165=AL164,IF(B165-(AL165-1)*($F$16-$F$15)&lt;$F$21,AN164+1,AN164),1)),"-")</f>
        <v>-</v>
      </c>
      <c r="AO165" s="227" t="str">
        <f t="shared" si="112"/>
        <v>-</v>
      </c>
      <c r="AP165" s="273">
        <f t="shared" ref="AP165:AP228" si="140">IF(AO165&gt;0,0.1,0.04)</f>
        <v>0.1</v>
      </c>
      <c r="AQ165" s="271" t="str">
        <f>IFERROR(IF(AL164=1,AQ$100*EXP(-(LN(2)/$D$65+0.04)*AN164)*EXP(-(LN(2)/$D$65+0.1)*AO164),IF(AL164=2,AQ$100*EXP(-(LN(2)/$D$65+0.04)*(VLOOKUP(($F$16-$F$15)-1,AK$99:AO164,4,FALSE)))*EXP(-(LN(2)/$D$65+0.1)*(VLOOKUP(($F$16-$F$15)-1,AK$99:AO164,5,FALSE)))*EXP(-(LN(2)/$D$65+0.04)*AN164)*EXP(-(LN(2)/$D$65+0.1)*AO164),IF(AL164=3,AQ$100*EXP(-(LN(2)/$D$65+0.04)*(VLOOKUP(($F$16-$F$15)-1,AK$99:AO164,4,FALSE)))*EXP(-(LN(2)/$D$65+0.1)*(VLOOKUP(($F$16-$F$15)-1,AK$99:AO164,5,FALSE)))*EXP(-(LN(2)/$D$65+0.04)*(VLOOKUP(($F$16-$F$15)*2-1,AK$99:AO164,4,FALSE)))*EXP(-(LN(2)/$D$65+0.1)*(VLOOKUP(($F$16-$F$15)*2-1,AK$99:AO164,5,FALSE)))*EXP(-(LN(2)/$D$65+0.04)*AN164)*EXP(-(LN(2)/$D$65+0.1)*AO164),"-"))),"-")</f>
        <v>-</v>
      </c>
      <c r="AR165" s="271" t="str">
        <f>IFERROR(IF(AL165=1,AR$100*EXP(-(LN(2)/$D$65+0.04)*AN165)*EXP(-(LN(2)/$D$65+0.1)*AO165),IF(AL165=2,AR$100*EXP(-(LN(2)/$D$65+0.04)*(VLOOKUP(($F$16-$F$15)-1,AK$100:AO165,4,FALSE)))*EXP(-(LN(2)/$D$65+0.1)*(VLOOKUP(($F$16-$F$15)-1,AK$100:AO165,5,FALSE)))*EXP(-(LN(2)/$D$65+0.04)*AN165)*EXP(-(LN(2)/$D$65+0.1)*AO165),IF(AL165=3,AR$100*EXP(-(LN(2)/$D$65+0.04)*(VLOOKUP(($F$16-$F$15)-1,AK$100:AO165,4,FALSE)))*EXP(-(LN(2)/$D$65+0.1)*(VLOOKUP(($F$16-$F$15)-1,AK$100:AO165,5,FALSE)))*EXP(-(LN(2)/$D$65+0.04)*(VLOOKUP(($F$16-$F$15)*2-1,AK$100:AO165,4,FALSE)))*EXP(-(LN(2)/$D$65+0.1)*(VLOOKUP(($F$16-$F$15)*2-1,AK$100:AO165,5,FALSE)))*EXP(-(LN(2)/$D$65+0.04)*AN165)*EXP(-(LN(2)/$D$65+0.1)*AO165),"-"))),"-")</f>
        <v>-</v>
      </c>
      <c r="AS165" s="274">
        <f t="shared" si="113"/>
        <v>0</v>
      </c>
      <c r="AT165" s="274">
        <f t="shared" si="114"/>
        <v>0</v>
      </c>
      <c r="AU165" s="274">
        <f t="shared" si="115"/>
        <v>0</v>
      </c>
      <c r="AV165" s="190">
        <f>IF($B165&lt;$F$22,SUM($T$100:$T165),"")</f>
        <v>0</v>
      </c>
      <c r="AW165" s="190" t="str">
        <f t="shared" si="116"/>
        <v>-</v>
      </c>
      <c r="AX165" s="190" t="str">
        <f t="shared" ref="AX165:AX228" si="141">IF(ISNUMBER(AW165),IF(ISNUMBER(AV165),(AV165-AW165)/(3*86400*($B165+1))*1000,""),"")</f>
        <v/>
      </c>
      <c r="AY165"/>
      <c r="AZ165" s="190" t="str">
        <f ca="1">IF(ISNUMBER(OFFSET(AV165,-$F$21,0)),SUM(OFFSET($T$100,$F$21,0):$T165),"")</f>
        <v/>
      </c>
      <c r="BA165" s="190" t="str">
        <f t="shared" ca="1" si="117"/>
        <v/>
      </c>
      <c r="BB165" s="190" t="str">
        <f t="shared" ca="1" si="70"/>
        <v/>
      </c>
      <c r="BC165" s="190"/>
      <c r="BD165" s="190" t="str">
        <f ca="1">IFERROR(IF(AND($B165&gt;=($F$16-$F$15),$B165&lt;$F$22+($F$16-$F$15)),SUM(OFFSET($T$100,($F$16-$F$15),0):$T165),""),"")</f>
        <v/>
      </c>
      <c r="BE165" s="190" t="str">
        <f t="shared" ref="BE165:BE228" ca="1" si="142">IF(ISNUMBER(BD165),BD165*(Koc*(Ocse/100)*Pse*Vse)/(Koc*(Ocse/100)*Pse*Vse+1*86400*($B165+1)),"")</f>
        <v/>
      </c>
      <c r="BF165" s="190" t="str">
        <f t="shared" ref="BF165:BF228" ca="1" si="143">IF(ISNUMBER(BD165),(BD165-BE165)/(3*86400*($B165-($F$16-$F$15)+1))*1000,"")</f>
        <v/>
      </c>
      <c r="BG165"/>
      <c r="BH165" s="190" t="str">
        <f ca="1">IF(ISNUMBER(OFFSET(BD165,-$F$21,0)),SUM(OFFSET($T$100,($F$16-$F$15+$F$21),0):$T165),"")</f>
        <v/>
      </c>
      <c r="BI165" s="190" t="str">
        <f t="shared" ca="1" si="118"/>
        <v/>
      </c>
      <c r="BJ165" s="190" t="str">
        <f t="shared" ref="BJ165:BJ228" ca="1" si="144">IF(ISNUMBER(BH165),(BH165-BI165)/(3*86400*((OFFSET($B165,-$F$21,0)-($F$16-$F$15)+1)))*1000,"")</f>
        <v/>
      </c>
      <c r="BK165" s="190"/>
      <c r="BL165" s="190" t="str">
        <f ca="1">IFERROR(IF(AND($B165&gt;=($F$17-$F$15),$B165&lt;$F$22+($F$17-$F$15)),SUM(OFFSET($T$100,($F$17-$F$15),0):$T165),""),"")</f>
        <v/>
      </c>
      <c r="BM165" s="190" t="str">
        <f t="shared" ca="1" si="119"/>
        <v/>
      </c>
      <c r="BN165" s="190" t="str">
        <f t="shared" ref="BN165:BN228" ca="1" si="145">IF(ISNUMBER(BL165),(BL165-BM165)/(3*86400*($B165-($F$17-$F$15)+1))*1000,"")</f>
        <v/>
      </c>
      <c r="BO165"/>
      <c r="BP165" s="190" t="str">
        <f ca="1">IF(ISNUMBER(OFFSET(BL165,-$F$21,0)),SUM(OFFSET($T$100,($F$17-$F$15+$F$21),0):$T165),"")</f>
        <v/>
      </c>
      <c r="BQ165" s="190" t="str">
        <f t="shared" ca="1" si="120"/>
        <v/>
      </c>
      <c r="BR165" s="190" t="str">
        <f t="shared" ref="BR165:BR228" ca="1" si="146">IF(ISNUMBER(BP165),(BP165-BQ165)/(3*86400*(OFFSET($B165,-$F$21,0)-($F$17-$F$15)+1))*1000,"")</f>
        <v/>
      </c>
      <c r="BS165" s="190"/>
      <c r="BT165"/>
      <c r="BU165"/>
      <c r="BV165"/>
      <c r="BY165" s="99"/>
      <c r="BZ165" s="99"/>
      <c r="CA165" s="280" t="str">
        <f t="shared" si="121"/>
        <v/>
      </c>
      <c r="CB165" s="71" t="str">
        <f t="shared" si="122"/>
        <v>-</v>
      </c>
      <c r="CC165" s="33"/>
      <c r="CD165" s="261" t="str">
        <f t="shared" si="123"/>
        <v/>
      </c>
      <c r="CE165" s="280" t="str">
        <f t="shared" si="124"/>
        <v>-</v>
      </c>
      <c r="CF165" s="71" t="str">
        <f t="shared" ca="1" si="125"/>
        <v>-</v>
      </c>
      <c r="CG165" s="33" t="str">
        <f t="shared" si="126"/>
        <v>65-66</v>
      </c>
      <c r="CH165" s="261" t="str">
        <f t="shared" ca="1" si="127"/>
        <v/>
      </c>
      <c r="CI165" s="99"/>
      <c r="CJ165" s="99"/>
      <c r="CK165" s="99"/>
      <c r="CL165" s="99"/>
      <c r="CM165" s="99"/>
      <c r="CN165" s="99"/>
      <c r="CO165" s="99"/>
    </row>
    <row r="166" spans="2:93" ht="13.5" customHeight="1" x14ac:dyDescent="0.2">
      <c r="B166" s="262">
        <v>66</v>
      </c>
      <c r="C166" s="237" t="str">
        <f t="shared" si="91"/>
        <v/>
      </c>
      <c r="D166" s="237" t="str">
        <f t="shared" ref="D166:D229" si="147">IFERROR(IF(B166&lt;$F$22,IF(ISNUMBER($D$65),IF(MAX($BU$101:$BU$120)&lt;B166, "", IF(B166=VLOOKUP(B166, $BU$101:$BU$120,1,1), C166,D165-INDEX($BY$101:$BY$120, MATCH(VLOOKUP(B166, $BU$101:$BU$120,1,1), $BU$101:$BU$120)+1, 1))),D165-VLOOKUP(MAX($BU$101:$BU$120),$BU$101:$BY$120,5)),""),"-")</f>
        <v>-</v>
      </c>
      <c r="E166" s="290" t="str">
        <f t="shared" si="128"/>
        <v/>
      </c>
      <c r="F166" s="264" t="str">
        <f t="shared" si="129"/>
        <v/>
      </c>
      <c r="G166" s="291" t="str">
        <f t="shared" si="130"/>
        <v/>
      </c>
      <c r="H166" s="240" t="str">
        <f t="shared" si="92"/>
        <v/>
      </c>
      <c r="I166" s="265" t="str">
        <f t="shared" si="93"/>
        <v/>
      </c>
      <c r="J166" s="265" t="str">
        <f t="shared" si="94"/>
        <v/>
      </c>
      <c r="K166" s="240" t="str">
        <f t="shared" si="95"/>
        <v/>
      </c>
      <c r="L166" s="265" t="str">
        <f t="shared" si="96"/>
        <v/>
      </c>
      <c r="M166" s="265" t="str">
        <f t="shared" si="97"/>
        <v/>
      </c>
      <c r="N166" s="240" t="str">
        <f t="shared" si="98"/>
        <v>-</v>
      </c>
      <c r="O166" s="265" t="str">
        <f t="shared" si="99"/>
        <v>-</v>
      </c>
      <c r="P166" s="265" t="str">
        <f t="shared" si="100"/>
        <v>-</v>
      </c>
      <c r="Q166" s="266" t="str">
        <f t="shared" si="101"/>
        <v>-</v>
      </c>
      <c r="R166" s="267" t="str">
        <f t="shared" si="102"/>
        <v>-</v>
      </c>
      <c r="S166" s="268" t="str">
        <f t="shared" si="103"/>
        <v>-</v>
      </c>
      <c r="T166" s="269" t="str">
        <f t="shared" si="104"/>
        <v/>
      </c>
      <c r="U166" s="221">
        <f t="shared" si="105"/>
        <v>66</v>
      </c>
      <c r="V166" s="220" t="str">
        <f t="shared" si="131"/>
        <v>-</v>
      </c>
      <c r="W166" s="221" t="str">
        <f t="shared" si="132"/>
        <v>-</v>
      </c>
      <c r="X166" s="221" t="str">
        <f t="shared" si="106"/>
        <v>-</v>
      </c>
      <c r="Y166" s="221" t="str">
        <f t="shared" si="107"/>
        <v>-</v>
      </c>
      <c r="Z166" s="270">
        <f t="shared" si="133"/>
        <v>0.1</v>
      </c>
      <c r="AA166" s="271" t="str">
        <f>IFERROR(IF(V165=1,AA$100*EXP(-(LN(2)/$D$65+0.04)*X165)*EXP(-(LN(2)/$D$65+0.1)*Y165),IF(V165=2,AA$100*EXP(-(LN(2)/$D$65+0.04)*(VLOOKUP(($F$16-$F$15)-1,U$99:Y165,4,FALSE)))*EXP(-(LN(2)/$D$65+0.1)*(VLOOKUP(($F$16-$F$15)-1,U$99:Y165,5,FALSE)))*EXP(-(LN(2)/$D$65+0.04)*X165)*EXP(-(LN(2)/$D$65+0.1)*Y165),IF(V165=3,AA$100*EXP(-(LN(2)/$D$65+0.04)*(VLOOKUP(($F$16-$F$15)-1,U$99:Y165,4,FALSE)))*EXP(-(LN(2)/$D$65+0.1)*(VLOOKUP(($F$16-$F$15)-1,U$99:Y165,5,FALSE)))*EXP(-(LN(2)/$D$65+0.04)*(VLOOKUP(($F$16-$F$15)*2-1,U$99:Y165,4,FALSE)))*EXP(-(LN(2)/$D$65+0.1)*(VLOOKUP(($F$16-$F$15)*2-1,U$99:Y165,5,FALSE)))*EXP(-(LN(2)/$D$65+0.04)*X165)*EXP(-(LN(2)/$D$65+0.1)*Y165),"-"))),"-")</f>
        <v>-</v>
      </c>
      <c r="AB166" s="271" t="str">
        <f>IFERROR(IF(V166=1,AB$100*EXP(-(LN(2)/$D$65+0.04)*X166)*EXP(-(LN(2)/$D$65+0.1)*Y166),IF(V166=2,AB$100*EXP(-(LN(2)/$D$65+0.04)*(VLOOKUP(($F$16-$F$15)-1,U$100:Y166,4,FALSE)))*EXP(-(LN(2)/$D$65+0.1)*(VLOOKUP(($F$16-$F$15)-1,U$100:Y166,5,FALSE)))*EXP(-(LN(2)/$D$65+0.04)*X166)*EXP(-(LN(2)/$D$65+0.1)*Y166),IF(V166=3,AB$100*EXP(-(LN(2)/$D$65+0.04)*(VLOOKUP(($F$16-$F$15)-1,U$100:Y166,4,FALSE)))*EXP(-(LN(2)/$D$65+0.1)*(VLOOKUP(($F$16-$F$15)-1,U$100:Y166,5,FALSE)))*EXP(-(LN(2)/$D$65+0.04)*(VLOOKUP(($F$16-$F$15)*2-1,U$100:Y166,4,FALSE)))*EXP(-(LN(2)/$D$65+0.1)*(VLOOKUP(($F$16-$F$15)*2-1,U$100:Y166,5,FALSE)))*EXP(-(LN(2)/$D$65+0.04)*X166)*EXP(-(LN(2)/$D$65+0.1)*Y166),"-"))),"-")</f>
        <v>-</v>
      </c>
      <c r="AC166" s="224">
        <f t="shared" si="134"/>
        <v>66</v>
      </c>
      <c r="AD166" s="223" t="str">
        <f t="shared" si="108"/>
        <v>-</v>
      </c>
      <c r="AE166" s="224" t="str">
        <f t="shared" si="135"/>
        <v>-</v>
      </c>
      <c r="AF166" s="224" t="str">
        <f t="shared" si="109"/>
        <v>-</v>
      </c>
      <c r="AG166" s="224" t="str">
        <f t="shared" si="110"/>
        <v>-</v>
      </c>
      <c r="AH166" s="272">
        <f t="shared" si="136"/>
        <v>0.1</v>
      </c>
      <c r="AI166" s="271" t="str">
        <f>IFERROR(IF(AD165=1,AI$100*EXP(-(LN(2)/$D$65+0.04)*AF165)*EXP(-(LN(2)/$D$65+0.1)*AG165),IF(AD165=2,AI$100*EXP(-(LN(2)/$D$65+0.04)*(VLOOKUP(($F$16-$F$15)-1,AC$99:AG165,4,FALSE)))*EXP(-(LN(2)/$D$65+0.1)*(VLOOKUP(($F$16-$F$15)-1,AC$99:AG165,5,FALSE)))*EXP(-(LN(2)/$D$65+0.04)*AF165)*EXP(-(LN(2)/$D$65+0.1)*AG165),IF(AD165=3,AI$100*EXP(-(LN(2)/$D$65+0.04)*(VLOOKUP(($F$16-$F$15)-1,AC$99:AG165,4,FALSE)))*EXP(-(LN(2)/$D$65+0.1)*(VLOOKUP(($F$16-$F$15)-1,AC$99:AG165,5,FALSE)))*EXP(-(LN(2)/$D$65+0.04)*(VLOOKUP(($F$16-$F$15)*2-1,AC$99:AG165,4,FALSE)))*EXP(-(LN(2)/$D$65+0.1)*(VLOOKUP(($F$16-$F$15)*2-1,AC$99:AG165,5,FALSE)))*EXP(-(LN(2)/$D$65+0.04)*AF165)*EXP(-(LN(2)/$D$65+0.1)*AG165),"-"))),"-")</f>
        <v>-</v>
      </c>
      <c r="AJ166" s="271" t="str">
        <f>IFERROR(IF(AD166=1,AJ$100*EXP(-(LN(2)/$D$65+0.04)*AF166)*EXP(-(LN(2)/$D$65+0.1)*AG166),IF(AD166=2,AJ$100*EXP(-(LN(2)/$D$65+0.04)*(VLOOKUP(($F$16-$F$15)-1,AC$100:AG166,4,FALSE)))*EXP(-(LN(2)/$D$65+0.1)*(VLOOKUP(($F$16-$F$15)-1,AC$100:AG166,5,FALSE)))*EXP(-(LN(2)/$D$65+0.04)*AF166)*EXP(-(LN(2)/$D$65+0.1)*AG166),IF(AD166=3,AJ$100*EXP(-(LN(2)/$D$65+0.04)*(VLOOKUP(($F$16-$F$15)-1,AC$100:AG166,4,FALSE)))*EXP(-(LN(2)/$D$65+0.1)*(VLOOKUP(($F$16-$F$15)-1,AC$100:AG166,5,FALSE)))*EXP(-(LN(2)/$D$65+0.04)*(VLOOKUP(($F$16-$F$15)*2-1,AC$100:AG166,4,FALSE)))*EXP(-(LN(2)/$D$65+0.1)*(VLOOKUP(($F$16-$F$15)*2-1,AC$100:AG166,5,FALSE)))*EXP(-(LN(2)/$D$65+0.04)*AF166)*EXP(-(LN(2)/$D$65+0.1)*AG166),"-"))),"-")</f>
        <v>-</v>
      </c>
      <c r="AK166" s="227">
        <f t="shared" si="137"/>
        <v>66</v>
      </c>
      <c r="AL166" s="226" t="str">
        <f t="shared" si="111"/>
        <v>-</v>
      </c>
      <c r="AM166" s="227" t="str">
        <f t="shared" si="138"/>
        <v>-</v>
      </c>
      <c r="AN166" s="227" t="str">
        <f t="shared" si="139"/>
        <v>-</v>
      </c>
      <c r="AO166" s="227" t="str">
        <f t="shared" si="112"/>
        <v>-</v>
      </c>
      <c r="AP166" s="273">
        <f t="shared" si="140"/>
        <v>0.1</v>
      </c>
      <c r="AQ166" s="271" t="str">
        <f>IFERROR(IF(AL165=1,AQ$100*EXP(-(LN(2)/$D$65+0.04)*AN165)*EXP(-(LN(2)/$D$65+0.1)*AO165),IF(AL165=2,AQ$100*EXP(-(LN(2)/$D$65+0.04)*(VLOOKUP(($F$16-$F$15)-1,AK$99:AO165,4,FALSE)))*EXP(-(LN(2)/$D$65+0.1)*(VLOOKUP(($F$16-$F$15)-1,AK$99:AO165,5,FALSE)))*EXP(-(LN(2)/$D$65+0.04)*AN165)*EXP(-(LN(2)/$D$65+0.1)*AO165),IF(AL165=3,AQ$100*EXP(-(LN(2)/$D$65+0.04)*(VLOOKUP(($F$16-$F$15)-1,AK$99:AO165,4,FALSE)))*EXP(-(LN(2)/$D$65+0.1)*(VLOOKUP(($F$16-$F$15)-1,AK$99:AO165,5,FALSE)))*EXP(-(LN(2)/$D$65+0.04)*(VLOOKUP(($F$16-$F$15)*2-1,AK$99:AO165,4,FALSE)))*EXP(-(LN(2)/$D$65+0.1)*(VLOOKUP(($F$16-$F$15)*2-1,AK$99:AO165,5,FALSE)))*EXP(-(LN(2)/$D$65+0.04)*AN165)*EXP(-(LN(2)/$D$65+0.1)*AO165),"-"))),"-")</f>
        <v>-</v>
      </c>
      <c r="AR166" s="271" t="str">
        <f>IFERROR(IF(AL166=1,AR$100*EXP(-(LN(2)/$D$65+0.04)*AN166)*EXP(-(LN(2)/$D$65+0.1)*AO166),IF(AL166=2,AR$100*EXP(-(LN(2)/$D$65+0.04)*(VLOOKUP(($F$16-$F$15)-1,AK$100:AO166,4,FALSE)))*EXP(-(LN(2)/$D$65+0.1)*(VLOOKUP(($F$16-$F$15)-1,AK$100:AO166,5,FALSE)))*EXP(-(LN(2)/$D$65+0.04)*AN166)*EXP(-(LN(2)/$D$65+0.1)*AO166),IF(AL166=3,AR$100*EXP(-(LN(2)/$D$65+0.04)*(VLOOKUP(($F$16-$F$15)-1,AK$100:AO166,4,FALSE)))*EXP(-(LN(2)/$D$65+0.1)*(VLOOKUP(($F$16-$F$15)-1,AK$100:AO166,5,FALSE)))*EXP(-(LN(2)/$D$65+0.04)*(VLOOKUP(($F$16-$F$15)*2-1,AK$100:AO166,4,FALSE)))*EXP(-(LN(2)/$D$65+0.1)*(VLOOKUP(($F$16-$F$15)*2-1,AK$100:AO166,5,FALSE)))*EXP(-(LN(2)/$D$65+0.04)*AN166)*EXP(-(LN(2)/$D$65+0.1)*AO166),"-"))),"-")</f>
        <v>-</v>
      </c>
      <c r="AS166" s="274">
        <f t="shared" si="113"/>
        <v>0</v>
      </c>
      <c r="AT166" s="274">
        <f t="shared" si="114"/>
        <v>0</v>
      </c>
      <c r="AU166" s="274">
        <f t="shared" si="115"/>
        <v>0</v>
      </c>
      <c r="AV166" s="190">
        <f>IF($B166&lt;$F$22,SUM($T$100:$T166),"")</f>
        <v>0</v>
      </c>
      <c r="AW166" s="190" t="str">
        <f t="shared" si="116"/>
        <v>-</v>
      </c>
      <c r="AX166" s="190" t="str">
        <f t="shared" si="141"/>
        <v/>
      </c>
      <c r="AY166"/>
      <c r="AZ166" s="190" t="str">
        <f ca="1">IF(ISNUMBER(OFFSET(AV166,-$F$21,0)),SUM(OFFSET($T$100,$F$21,0):$T166),"")</f>
        <v/>
      </c>
      <c r="BA166" s="190" t="str">
        <f t="shared" ca="1" si="117"/>
        <v/>
      </c>
      <c r="BB166" s="190" t="str">
        <f t="shared" ca="1" si="70"/>
        <v/>
      </c>
      <c r="BC166" s="190"/>
      <c r="BD166" s="190" t="str">
        <f ca="1">IFERROR(IF(AND($B166&gt;=($F$16-$F$15),$B166&lt;$F$22+($F$16-$F$15)),SUM(OFFSET($T$100,($F$16-$F$15),0):$T166),""),"")</f>
        <v/>
      </c>
      <c r="BE166" s="190" t="str">
        <f t="shared" ca="1" si="142"/>
        <v/>
      </c>
      <c r="BF166" s="190" t="str">
        <f t="shared" ca="1" si="143"/>
        <v/>
      </c>
      <c r="BG166"/>
      <c r="BH166" s="190" t="str">
        <f ca="1">IF(ISNUMBER(OFFSET(BD166,-$F$21,0)),SUM(OFFSET($T$100,($F$16-$F$15+$F$21),0):$T166),"")</f>
        <v/>
      </c>
      <c r="BI166" s="190" t="str">
        <f t="shared" ca="1" si="118"/>
        <v/>
      </c>
      <c r="BJ166" s="190" t="str">
        <f t="shared" ca="1" si="144"/>
        <v/>
      </c>
      <c r="BK166" s="190"/>
      <c r="BL166" s="190" t="str">
        <f ca="1">IFERROR(IF(AND($B166&gt;=($F$17-$F$15),$B166&lt;$F$22+($F$17-$F$15)),SUM(OFFSET($T$100,($F$17-$F$15),0):$T166),""),"")</f>
        <v/>
      </c>
      <c r="BM166" s="190" t="str">
        <f t="shared" ca="1" si="119"/>
        <v/>
      </c>
      <c r="BN166" s="190" t="str">
        <f t="shared" ca="1" si="145"/>
        <v/>
      </c>
      <c r="BO166"/>
      <c r="BP166" s="190" t="str">
        <f ca="1">IF(ISNUMBER(OFFSET(BL166,-$F$21,0)),SUM(OFFSET($T$100,($F$17-$F$15+$F$21),0):$T166),"")</f>
        <v/>
      </c>
      <c r="BQ166" s="190" t="str">
        <f t="shared" ca="1" si="120"/>
        <v/>
      </c>
      <c r="BR166" s="190" t="str">
        <f t="shared" ca="1" si="146"/>
        <v/>
      </c>
      <c r="BS166" s="190"/>
      <c r="BT166"/>
      <c r="BU166"/>
      <c r="BV166"/>
      <c r="BY166" s="99"/>
      <c r="BZ166" s="99"/>
      <c r="CA166" s="280" t="str">
        <f t="shared" si="121"/>
        <v/>
      </c>
      <c r="CB166" s="71" t="str">
        <f t="shared" si="122"/>
        <v>-</v>
      </c>
      <c r="CC166" s="33"/>
      <c r="CD166" s="261" t="str">
        <f t="shared" si="123"/>
        <v/>
      </c>
      <c r="CE166" s="280" t="str">
        <f t="shared" si="124"/>
        <v>-</v>
      </c>
      <c r="CF166" s="71" t="str">
        <f t="shared" ca="1" si="125"/>
        <v>-</v>
      </c>
      <c r="CG166" s="33" t="str">
        <f t="shared" si="126"/>
        <v>66-67</v>
      </c>
      <c r="CH166" s="261" t="str">
        <f t="shared" ca="1" si="127"/>
        <v/>
      </c>
      <c r="CI166" s="99"/>
      <c r="CJ166" s="99"/>
      <c r="CK166" s="99"/>
      <c r="CL166" s="99"/>
      <c r="CM166" s="99"/>
      <c r="CN166" s="99"/>
      <c r="CO166" s="99"/>
    </row>
    <row r="167" spans="2:93" ht="13.5" customHeight="1" x14ac:dyDescent="0.2">
      <c r="B167" s="262">
        <v>67</v>
      </c>
      <c r="C167" s="237" t="str">
        <f t="shared" si="91"/>
        <v/>
      </c>
      <c r="D167" s="237" t="str">
        <f t="shared" si="147"/>
        <v>-</v>
      </c>
      <c r="E167" s="290" t="str">
        <f t="shared" si="128"/>
        <v/>
      </c>
      <c r="F167" s="264" t="str">
        <f t="shared" si="129"/>
        <v/>
      </c>
      <c r="G167" s="291" t="str">
        <f t="shared" si="130"/>
        <v/>
      </c>
      <c r="H167" s="240" t="str">
        <f t="shared" si="92"/>
        <v/>
      </c>
      <c r="I167" s="265" t="str">
        <f t="shared" si="93"/>
        <v/>
      </c>
      <c r="J167" s="265" t="str">
        <f t="shared" si="94"/>
        <v/>
      </c>
      <c r="K167" s="240" t="str">
        <f t="shared" si="95"/>
        <v/>
      </c>
      <c r="L167" s="265" t="str">
        <f t="shared" si="96"/>
        <v/>
      </c>
      <c r="M167" s="265" t="str">
        <f t="shared" si="97"/>
        <v/>
      </c>
      <c r="N167" s="240" t="str">
        <f t="shared" si="98"/>
        <v>-</v>
      </c>
      <c r="O167" s="265" t="str">
        <f t="shared" si="99"/>
        <v>-</v>
      </c>
      <c r="P167" s="265" t="str">
        <f t="shared" si="100"/>
        <v>-</v>
      </c>
      <c r="Q167" s="266" t="str">
        <f t="shared" si="101"/>
        <v>-</v>
      </c>
      <c r="R167" s="267" t="str">
        <f t="shared" si="102"/>
        <v>-</v>
      </c>
      <c r="S167" s="268" t="str">
        <f t="shared" si="103"/>
        <v>-</v>
      </c>
      <c r="T167" s="269" t="str">
        <f t="shared" si="104"/>
        <v/>
      </c>
      <c r="U167" s="221">
        <f t="shared" si="105"/>
        <v>67</v>
      </c>
      <c r="V167" s="220" t="str">
        <f t="shared" si="131"/>
        <v>-</v>
      </c>
      <c r="W167" s="221" t="str">
        <f t="shared" si="132"/>
        <v>-</v>
      </c>
      <c r="X167" s="221" t="str">
        <f t="shared" si="106"/>
        <v>-</v>
      </c>
      <c r="Y167" s="221" t="str">
        <f t="shared" si="107"/>
        <v>-</v>
      </c>
      <c r="Z167" s="270">
        <f t="shared" si="133"/>
        <v>0.1</v>
      </c>
      <c r="AA167" s="271" t="str">
        <f>IFERROR(IF(V166=1,AA$100*EXP(-(LN(2)/$D$65+0.04)*X166)*EXP(-(LN(2)/$D$65+0.1)*Y166),IF(V166=2,AA$100*EXP(-(LN(2)/$D$65+0.04)*(VLOOKUP(($F$16-$F$15)-1,U$99:Y166,4,FALSE)))*EXP(-(LN(2)/$D$65+0.1)*(VLOOKUP(($F$16-$F$15)-1,U$99:Y166,5,FALSE)))*EXP(-(LN(2)/$D$65+0.04)*X166)*EXP(-(LN(2)/$D$65+0.1)*Y166),IF(V166=3,AA$100*EXP(-(LN(2)/$D$65+0.04)*(VLOOKUP(($F$16-$F$15)-1,U$99:Y166,4,FALSE)))*EXP(-(LN(2)/$D$65+0.1)*(VLOOKUP(($F$16-$F$15)-1,U$99:Y166,5,FALSE)))*EXP(-(LN(2)/$D$65+0.04)*(VLOOKUP(($F$16-$F$15)*2-1,U$99:Y166,4,FALSE)))*EXP(-(LN(2)/$D$65+0.1)*(VLOOKUP(($F$16-$F$15)*2-1,U$99:Y166,5,FALSE)))*EXP(-(LN(2)/$D$65+0.04)*X166)*EXP(-(LN(2)/$D$65+0.1)*Y166),"-"))),"-")</f>
        <v>-</v>
      </c>
      <c r="AB167" s="271" t="str">
        <f>IFERROR(IF(V167=1,AB$100*EXP(-(LN(2)/$D$65+0.04)*X167)*EXP(-(LN(2)/$D$65+0.1)*Y167),IF(V167=2,AB$100*EXP(-(LN(2)/$D$65+0.04)*(VLOOKUP(($F$16-$F$15)-1,U$100:Y167,4,FALSE)))*EXP(-(LN(2)/$D$65+0.1)*(VLOOKUP(($F$16-$F$15)-1,U$100:Y167,5,FALSE)))*EXP(-(LN(2)/$D$65+0.04)*X167)*EXP(-(LN(2)/$D$65+0.1)*Y167),IF(V167=3,AB$100*EXP(-(LN(2)/$D$65+0.04)*(VLOOKUP(($F$16-$F$15)-1,U$100:Y167,4,FALSE)))*EXP(-(LN(2)/$D$65+0.1)*(VLOOKUP(($F$16-$F$15)-1,U$100:Y167,5,FALSE)))*EXP(-(LN(2)/$D$65+0.04)*(VLOOKUP(($F$16-$F$15)*2-1,U$100:Y167,4,FALSE)))*EXP(-(LN(2)/$D$65+0.1)*(VLOOKUP(($F$16-$F$15)*2-1,U$100:Y167,5,FALSE)))*EXP(-(LN(2)/$D$65+0.04)*X167)*EXP(-(LN(2)/$D$65+0.1)*Y167),"-"))),"-")</f>
        <v>-</v>
      </c>
      <c r="AC167" s="224">
        <f t="shared" si="134"/>
        <v>67</v>
      </c>
      <c r="AD167" s="223" t="str">
        <f t="shared" si="108"/>
        <v>-</v>
      </c>
      <c r="AE167" s="224" t="str">
        <f t="shared" si="135"/>
        <v>-</v>
      </c>
      <c r="AF167" s="224" t="str">
        <f t="shared" si="109"/>
        <v>-</v>
      </c>
      <c r="AG167" s="224" t="str">
        <f t="shared" si="110"/>
        <v>-</v>
      </c>
      <c r="AH167" s="272">
        <f t="shared" si="136"/>
        <v>0.1</v>
      </c>
      <c r="AI167" s="271" t="str">
        <f>IFERROR(IF(AD166=1,AI$100*EXP(-(LN(2)/$D$65+0.04)*AF166)*EXP(-(LN(2)/$D$65+0.1)*AG166),IF(AD166=2,AI$100*EXP(-(LN(2)/$D$65+0.04)*(VLOOKUP(($F$16-$F$15)-1,AC$99:AG166,4,FALSE)))*EXP(-(LN(2)/$D$65+0.1)*(VLOOKUP(($F$16-$F$15)-1,AC$99:AG166,5,FALSE)))*EXP(-(LN(2)/$D$65+0.04)*AF166)*EXP(-(LN(2)/$D$65+0.1)*AG166),IF(AD166=3,AI$100*EXP(-(LN(2)/$D$65+0.04)*(VLOOKUP(($F$16-$F$15)-1,AC$99:AG166,4,FALSE)))*EXP(-(LN(2)/$D$65+0.1)*(VLOOKUP(($F$16-$F$15)-1,AC$99:AG166,5,FALSE)))*EXP(-(LN(2)/$D$65+0.04)*(VLOOKUP(($F$16-$F$15)*2-1,AC$99:AG166,4,FALSE)))*EXP(-(LN(2)/$D$65+0.1)*(VLOOKUP(($F$16-$F$15)*2-1,AC$99:AG166,5,FALSE)))*EXP(-(LN(2)/$D$65+0.04)*AF166)*EXP(-(LN(2)/$D$65+0.1)*AG166),"-"))),"-")</f>
        <v>-</v>
      </c>
      <c r="AJ167" s="271" t="str">
        <f>IFERROR(IF(AD167=1,AJ$100*EXP(-(LN(2)/$D$65+0.04)*AF167)*EXP(-(LN(2)/$D$65+0.1)*AG167),IF(AD167=2,AJ$100*EXP(-(LN(2)/$D$65+0.04)*(VLOOKUP(($F$16-$F$15)-1,AC$100:AG167,4,FALSE)))*EXP(-(LN(2)/$D$65+0.1)*(VLOOKUP(($F$16-$F$15)-1,AC$100:AG167,5,FALSE)))*EXP(-(LN(2)/$D$65+0.04)*AF167)*EXP(-(LN(2)/$D$65+0.1)*AG167),IF(AD167=3,AJ$100*EXP(-(LN(2)/$D$65+0.04)*(VLOOKUP(($F$16-$F$15)-1,AC$100:AG167,4,FALSE)))*EXP(-(LN(2)/$D$65+0.1)*(VLOOKUP(($F$16-$F$15)-1,AC$100:AG167,5,FALSE)))*EXP(-(LN(2)/$D$65+0.04)*(VLOOKUP(($F$16-$F$15)*2-1,AC$100:AG167,4,FALSE)))*EXP(-(LN(2)/$D$65+0.1)*(VLOOKUP(($F$16-$F$15)*2-1,AC$100:AG167,5,FALSE)))*EXP(-(LN(2)/$D$65+0.04)*AF167)*EXP(-(LN(2)/$D$65+0.1)*AG167),"-"))),"-")</f>
        <v>-</v>
      </c>
      <c r="AK167" s="227">
        <f t="shared" si="137"/>
        <v>67</v>
      </c>
      <c r="AL167" s="226" t="str">
        <f t="shared" si="111"/>
        <v>-</v>
      </c>
      <c r="AM167" s="227" t="str">
        <f t="shared" si="138"/>
        <v>-</v>
      </c>
      <c r="AN167" s="227" t="str">
        <f t="shared" si="139"/>
        <v>-</v>
      </c>
      <c r="AO167" s="227" t="str">
        <f t="shared" si="112"/>
        <v>-</v>
      </c>
      <c r="AP167" s="273">
        <f t="shared" si="140"/>
        <v>0.1</v>
      </c>
      <c r="AQ167" s="271" t="str">
        <f>IFERROR(IF(AL166=1,AQ$100*EXP(-(LN(2)/$D$65+0.04)*AN166)*EXP(-(LN(2)/$D$65+0.1)*AO166),IF(AL166=2,AQ$100*EXP(-(LN(2)/$D$65+0.04)*(VLOOKUP(($F$16-$F$15)-1,AK$99:AO166,4,FALSE)))*EXP(-(LN(2)/$D$65+0.1)*(VLOOKUP(($F$16-$F$15)-1,AK$99:AO166,5,FALSE)))*EXP(-(LN(2)/$D$65+0.04)*AN166)*EXP(-(LN(2)/$D$65+0.1)*AO166),IF(AL166=3,AQ$100*EXP(-(LN(2)/$D$65+0.04)*(VLOOKUP(($F$16-$F$15)-1,AK$99:AO166,4,FALSE)))*EXP(-(LN(2)/$D$65+0.1)*(VLOOKUP(($F$16-$F$15)-1,AK$99:AO166,5,FALSE)))*EXP(-(LN(2)/$D$65+0.04)*(VLOOKUP(($F$16-$F$15)*2-1,AK$99:AO166,4,FALSE)))*EXP(-(LN(2)/$D$65+0.1)*(VLOOKUP(($F$16-$F$15)*2-1,AK$99:AO166,5,FALSE)))*EXP(-(LN(2)/$D$65+0.04)*AN166)*EXP(-(LN(2)/$D$65+0.1)*AO166),"-"))),"-")</f>
        <v>-</v>
      </c>
      <c r="AR167" s="271" t="str">
        <f>IFERROR(IF(AL167=1,AR$100*EXP(-(LN(2)/$D$65+0.04)*AN167)*EXP(-(LN(2)/$D$65+0.1)*AO167),IF(AL167=2,AR$100*EXP(-(LN(2)/$D$65+0.04)*(VLOOKUP(($F$16-$F$15)-1,AK$100:AO167,4,FALSE)))*EXP(-(LN(2)/$D$65+0.1)*(VLOOKUP(($F$16-$F$15)-1,AK$100:AO167,5,FALSE)))*EXP(-(LN(2)/$D$65+0.04)*AN167)*EXP(-(LN(2)/$D$65+0.1)*AO167),IF(AL167=3,AR$100*EXP(-(LN(2)/$D$65+0.04)*(VLOOKUP(($F$16-$F$15)-1,AK$100:AO167,4,FALSE)))*EXP(-(LN(2)/$D$65+0.1)*(VLOOKUP(($F$16-$F$15)-1,AK$100:AO167,5,FALSE)))*EXP(-(LN(2)/$D$65+0.04)*(VLOOKUP(($F$16-$F$15)*2-1,AK$100:AO167,4,FALSE)))*EXP(-(LN(2)/$D$65+0.1)*(VLOOKUP(($F$16-$F$15)*2-1,AK$100:AO167,5,FALSE)))*EXP(-(LN(2)/$D$65+0.04)*AN167)*EXP(-(LN(2)/$D$65+0.1)*AO167),"-"))),"-")</f>
        <v>-</v>
      </c>
      <c r="AS167" s="274">
        <f t="shared" si="113"/>
        <v>0</v>
      </c>
      <c r="AT167" s="274">
        <f t="shared" si="114"/>
        <v>0</v>
      </c>
      <c r="AU167" s="274">
        <f t="shared" si="115"/>
        <v>0</v>
      </c>
      <c r="AV167" s="190">
        <f>IF($B167&lt;$F$22,SUM($T$100:$T167),"")</f>
        <v>0</v>
      </c>
      <c r="AW167" s="190" t="str">
        <f t="shared" si="116"/>
        <v>-</v>
      </c>
      <c r="AX167" s="190" t="str">
        <f t="shared" si="141"/>
        <v/>
      </c>
      <c r="AY167"/>
      <c r="AZ167" s="190" t="str">
        <f ca="1">IF(ISNUMBER(OFFSET(AV167,-$F$21,0)),SUM(OFFSET($T$100,$F$21,0):$T167),"")</f>
        <v/>
      </c>
      <c r="BA167" s="190" t="str">
        <f t="shared" ca="1" si="117"/>
        <v/>
      </c>
      <c r="BB167" s="190" t="str">
        <f t="shared" ca="1" si="70"/>
        <v/>
      </c>
      <c r="BC167" s="190"/>
      <c r="BD167" s="190" t="str">
        <f ca="1">IFERROR(IF(AND($B167&gt;=($F$16-$F$15),$B167&lt;$F$22+($F$16-$F$15)),SUM(OFFSET($T$100,($F$16-$F$15),0):$T167),""),"")</f>
        <v/>
      </c>
      <c r="BE167" s="190" t="str">
        <f t="shared" ca="1" si="142"/>
        <v/>
      </c>
      <c r="BF167" s="190" t="str">
        <f t="shared" ca="1" si="143"/>
        <v/>
      </c>
      <c r="BG167"/>
      <c r="BH167" s="190" t="str">
        <f ca="1">IF(ISNUMBER(OFFSET(BD167,-$F$21,0)),SUM(OFFSET($T$100,($F$16-$F$15+$F$21),0):$T167),"")</f>
        <v/>
      </c>
      <c r="BI167" s="190" t="str">
        <f t="shared" ca="1" si="118"/>
        <v/>
      </c>
      <c r="BJ167" s="190" t="str">
        <f t="shared" ca="1" si="144"/>
        <v/>
      </c>
      <c r="BK167" s="190"/>
      <c r="BL167" s="190" t="str">
        <f ca="1">IFERROR(IF(AND($B167&gt;=($F$17-$F$15),$B167&lt;$F$22+($F$17-$F$15)),SUM(OFFSET($T$100,($F$17-$F$15),0):$T167),""),"")</f>
        <v/>
      </c>
      <c r="BM167" s="190" t="str">
        <f t="shared" ca="1" si="119"/>
        <v/>
      </c>
      <c r="BN167" s="190" t="str">
        <f t="shared" ca="1" si="145"/>
        <v/>
      </c>
      <c r="BO167"/>
      <c r="BP167" s="190" t="str">
        <f ca="1">IF(ISNUMBER(OFFSET(BL167,-$F$21,0)),SUM(OFFSET($T$100,($F$17-$F$15+$F$21),0):$T167),"")</f>
        <v/>
      </c>
      <c r="BQ167" s="190" t="str">
        <f t="shared" ca="1" si="120"/>
        <v/>
      </c>
      <c r="BR167" s="190" t="str">
        <f t="shared" ca="1" si="146"/>
        <v/>
      </c>
      <c r="BS167" s="190"/>
      <c r="BT167"/>
      <c r="BU167"/>
      <c r="BV167"/>
      <c r="BY167" s="99"/>
      <c r="BZ167" s="99"/>
      <c r="CA167" s="280" t="str">
        <f t="shared" si="121"/>
        <v/>
      </c>
      <c r="CB167" s="71" t="str">
        <f t="shared" si="122"/>
        <v>-</v>
      </c>
      <c r="CC167" s="33"/>
      <c r="CD167" s="261" t="str">
        <f t="shared" si="123"/>
        <v/>
      </c>
      <c r="CE167" s="280" t="str">
        <f t="shared" si="124"/>
        <v>-</v>
      </c>
      <c r="CF167" s="71" t="str">
        <f t="shared" ca="1" si="125"/>
        <v>-</v>
      </c>
      <c r="CG167" s="33" t="str">
        <f t="shared" si="126"/>
        <v>67-68</v>
      </c>
      <c r="CH167" s="261" t="str">
        <f t="shared" ca="1" si="127"/>
        <v/>
      </c>
      <c r="CI167" s="99"/>
      <c r="CJ167" s="99"/>
      <c r="CK167" s="99"/>
      <c r="CL167" s="99"/>
      <c r="CM167" s="99"/>
      <c r="CN167" s="99"/>
      <c r="CO167" s="99"/>
    </row>
    <row r="168" spans="2:93" ht="13.5" customHeight="1" x14ac:dyDescent="0.2">
      <c r="B168" s="262">
        <v>68</v>
      </c>
      <c r="C168" s="237" t="str">
        <f t="shared" si="91"/>
        <v/>
      </c>
      <c r="D168" s="237" t="str">
        <f t="shared" si="147"/>
        <v>-</v>
      </c>
      <c r="E168" s="290" t="str">
        <f t="shared" si="128"/>
        <v/>
      </c>
      <c r="F168" s="264" t="str">
        <f t="shared" si="129"/>
        <v/>
      </c>
      <c r="G168" s="291" t="str">
        <f t="shared" si="130"/>
        <v/>
      </c>
      <c r="H168" s="240" t="str">
        <f t="shared" si="92"/>
        <v/>
      </c>
      <c r="I168" s="265" t="str">
        <f t="shared" si="93"/>
        <v/>
      </c>
      <c r="J168" s="265" t="str">
        <f t="shared" si="94"/>
        <v/>
      </c>
      <c r="K168" s="240" t="str">
        <f t="shared" si="95"/>
        <v/>
      </c>
      <c r="L168" s="265" t="str">
        <f t="shared" si="96"/>
        <v/>
      </c>
      <c r="M168" s="265" t="str">
        <f t="shared" si="97"/>
        <v/>
      </c>
      <c r="N168" s="240" t="str">
        <f t="shared" si="98"/>
        <v>-</v>
      </c>
      <c r="O168" s="265" t="str">
        <f t="shared" si="99"/>
        <v>-</v>
      </c>
      <c r="P168" s="265" t="str">
        <f t="shared" si="100"/>
        <v>-</v>
      </c>
      <c r="Q168" s="266" t="str">
        <f t="shared" si="101"/>
        <v>-</v>
      </c>
      <c r="R168" s="267" t="str">
        <f t="shared" si="102"/>
        <v>-</v>
      </c>
      <c r="S168" s="268" t="str">
        <f t="shared" si="103"/>
        <v>-</v>
      </c>
      <c r="T168" s="269" t="str">
        <f t="shared" si="104"/>
        <v/>
      </c>
      <c r="U168" s="221">
        <f t="shared" si="105"/>
        <v>68</v>
      </c>
      <c r="V168" s="220" t="str">
        <f t="shared" si="131"/>
        <v>-</v>
      </c>
      <c r="W168" s="221" t="str">
        <f t="shared" si="132"/>
        <v>-</v>
      </c>
      <c r="X168" s="221" t="str">
        <f t="shared" si="106"/>
        <v>-</v>
      </c>
      <c r="Y168" s="221" t="str">
        <f t="shared" si="107"/>
        <v>-</v>
      </c>
      <c r="Z168" s="270">
        <f t="shared" si="133"/>
        <v>0.1</v>
      </c>
      <c r="AA168" s="271" t="str">
        <f>IFERROR(IF(V167=1,AA$100*EXP(-(LN(2)/$D$65+0.04)*X167)*EXP(-(LN(2)/$D$65+0.1)*Y167),IF(V167=2,AA$100*EXP(-(LN(2)/$D$65+0.04)*(VLOOKUP(($F$16-$F$15)-1,U$99:Y167,4,FALSE)))*EXP(-(LN(2)/$D$65+0.1)*(VLOOKUP(($F$16-$F$15)-1,U$99:Y167,5,FALSE)))*EXP(-(LN(2)/$D$65+0.04)*X167)*EXP(-(LN(2)/$D$65+0.1)*Y167),IF(V167=3,AA$100*EXP(-(LN(2)/$D$65+0.04)*(VLOOKUP(($F$16-$F$15)-1,U$99:Y167,4,FALSE)))*EXP(-(LN(2)/$D$65+0.1)*(VLOOKUP(($F$16-$F$15)-1,U$99:Y167,5,FALSE)))*EXP(-(LN(2)/$D$65+0.04)*(VLOOKUP(($F$16-$F$15)*2-1,U$99:Y167,4,FALSE)))*EXP(-(LN(2)/$D$65+0.1)*(VLOOKUP(($F$16-$F$15)*2-1,U$99:Y167,5,FALSE)))*EXP(-(LN(2)/$D$65+0.04)*X167)*EXP(-(LN(2)/$D$65+0.1)*Y167),"-"))),"-")</f>
        <v>-</v>
      </c>
      <c r="AB168" s="271" t="str">
        <f>IFERROR(IF(V168=1,AB$100*EXP(-(LN(2)/$D$65+0.04)*X168)*EXP(-(LN(2)/$D$65+0.1)*Y168),IF(V168=2,AB$100*EXP(-(LN(2)/$D$65+0.04)*(VLOOKUP(($F$16-$F$15)-1,U$100:Y168,4,FALSE)))*EXP(-(LN(2)/$D$65+0.1)*(VLOOKUP(($F$16-$F$15)-1,U$100:Y168,5,FALSE)))*EXP(-(LN(2)/$D$65+0.04)*X168)*EXP(-(LN(2)/$D$65+0.1)*Y168),IF(V168=3,AB$100*EXP(-(LN(2)/$D$65+0.04)*(VLOOKUP(($F$16-$F$15)-1,U$100:Y168,4,FALSE)))*EXP(-(LN(2)/$D$65+0.1)*(VLOOKUP(($F$16-$F$15)-1,U$100:Y168,5,FALSE)))*EXP(-(LN(2)/$D$65+0.04)*(VLOOKUP(($F$16-$F$15)*2-1,U$100:Y168,4,FALSE)))*EXP(-(LN(2)/$D$65+0.1)*(VLOOKUP(($F$16-$F$15)*2-1,U$100:Y168,5,FALSE)))*EXP(-(LN(2)/$D$65+0.04)*X168)*EXP(-(LN(2)/$D$65+0.1)*Y168),"-"))),"-")</f>
        <v>-</v>
      </c>
      <c r="AC168" s="224">
        <f t="shared" si="134"/>
        <v>68</v>
      </c>
      <c r="AD168" s="223" t="str">
        <f t="shared" si="108"/>
        <v>-</v>
      </c>
      <c r="AE168" s="224" t="str">
        <f t="shared" si="135"/>
        <v>-</v>
      </c>
      <c r="AF168" s="224" t="str">
        <f t="shared" si="109"/>
        <v>-</v>
      </c>
      <c r="AG168" s="224" t="str">
        <f t="shared" si="110"/>
        <v>-</v>
      </c>
      <c r="AH168" s="272">
        <f t="shared" si="136"/>
        <v>0.1</v>
      </c>
      <c r="AI168" s="271" t="str">
        <f>IFERROR(IF(AD167=1,AI$100*EXP(-(LN(2)/$D$65+0.04)*AF167)*EXP(-(LN(2)/$D$65+0.1)*AG167),IF(AD167=2,AI$100*EXP(-(LN(2)/$D$65+0.04)*(VLOOKUP(($F$16-$F$15)-1,AC$99:AG167,4,FALSE)))*EXP(-(LN(2)/$D$65+0.1)*(VLOOKUP(($F$16-$F$15)-1,AC$99:AG167,5,FALSE)))*EXP(-(LN(2)/$D$65+0.04)*AF167)*EXP(-(LN(2)/$D$65+0.1)*AG167),IF(AD167=3,AI$100*EXP(-(LN(2)/$D$65+0.04)*(VLOOKUP(($F$16-$F$15)-1,AC$99:AG167,4,FALSE)))*EXP(-(LN(2)/$D$65+0.1)*(VLOOKUP(($F$16-$F$15)-1,AC$99:AG167,5,FALSE)))*EXP(-(LN(2)/$D$65+0.04)*(VLOOKUP(($F$16-$F$15)*2-1,AC$99:AG167,4,FALSE)))*EXP(-(LN(2)/$D$65+0.1)*(VLOOKUP(($F$16-$F$15)*2-1,AC$99:AG167,5,FALSE)))*EXP(-(LN(2)/$D$65+0.04)*AF167)*EXP(-(LN(2)/$D$65+0.1)*AG167),"-"))),"-")</f>
        <v>-</v>
      </c>
      <c r="AJ168" s="271" t="str">
        <f>IFERROR(IF(AD168=1,AJ$100*EXP(-(LN(2)/$D$65+0.04)*AF168)*EXP(-(LN(2)/$D$65+0.1)*AG168),IF(AD168=2,AJ$100*EXP(-(LN(2)/$D$65+0.04)*(VLOOKUP(($F$16-$F$15)-1,AC$100:AG168,4,FALSE)))*EXP(-(LN(2)/$D$65+0.1)*(VLOOKUP(($F$16-$F$15)-1,AC$100:AG168,5,FALSE)))*EXP(-(LN(2)/$D$65+0.04)*AF168)*EXP(-(LN(2)/$D$65+0.1)*AG168),IF(AD168=3,AJ$100*EXP(-(LN(2)/$D$65+0.04)*(VLOOKUP(($F$16-$F$15)-1,AC$100:AG168,4,FALSE)))*EXP(-(LN(2)/$D$65+0.1)*(VLOOKUP(($F$16-$F$15)-1,AC$100:AG168,5,FALSE)))*EXP(-(LN(2)/$D$65+0.04)*(VLOOKUP(($F$16-$F$15)*2-1,AC$100:AG168,4,FALSE)))*EXP(-(LN(2)/$D$65+0.1)*(VLOOKUP(($F$16-$F$15)*2-1,AC$100:AG168,5,FALSE)))*EXP(-(LN(2)/$D$65+0.04)*AF168)*EXP(-(LN(2)/$D$65+0.1)*AG168),"-"))),"-")</f>
        <v>-</v>
      </c>
      <c r="AK168" s="227">
        <f t="shared" si="137"/>
        <v>68</v>
      </c>
      <c r="AL168" s="226" t="str">
        <f t="shared" si="111"/>
        <v>-</v>
      </c>
      <c r="AM168" s="227" t="str">
        <f t="shared" si="138"/>
        <v>-</v>
      </c>
      <c r="AN168" s="227" t="str">
        <f t="shared" si="139"/>
        <v>-</v>
      </c>
      <c r="AO168" s="227" t="str">
        <f t="shared" si="112"/>
        <v>-</v>
      </c>
      <c r="AP168" s="273">
        <f t="shared" si="140"/>
        <v>0.1</v>
      </c>
      <c r="AQ168" s="271" t="str">
        <f>IFERROR(IF(AL167=1,AQ$100*EXP(-(LN(2)/$D$65+0.04)*AN167)*EXP(-(LN(2)/$D$65+0.1)*AO167),IF(AL167=2,AQ$100*EXP(-(LN(2)/$D$65+0.04)*(VLOOKUP(($F$16-$F$15)-1,AK$99:AO167,4,FALSE)))*EXP(-(LN(2)/$D$65+0.1)*(VLOOKUP(($F$16-$F$15)-1,AK$99:AO167,5,FALSE)))*EXP(-(LN(2)/$D$65+0.04)*AN167)*EXP(-(LN(2)/$D$65+0.1)*AO167),IF(AL167=3,AQ$100*EXP(-(LN(2)/$D$65+0.04)*(VLOOKUP(($F$16-$F$15)-1,AK$99:AO167,4,FALSE)))*EXP(-(LN(2)/$D$65+0.1)*(VLOOKUP(($F$16-$F$15)-1,AK$99:AO167,5,FALSE)))*EXP(-(LN(2)/$D$65+0.04)*(VLOOKUP(($F$16-$F$15)*2-1,AK$99:AO167,4,FALSE)))*EXP(-(LN(2)/$D$65+0.1)*(VLOOKUP(($F$16-$F$15)*2-1,AK$99:AO167,5,FALSE)))*EXP(-(LN(2)/$D$65+0.04)*AN167)*EXP(-(LN(2)/$D$65+0.1)*AO167),"-"))),"-")</f>
        <v>-</v>
      </c>
      <c r="AR168" s="271" t="str">
        <f>IFERROR(IF(AL168=1,AR$100*EXP(-(LN(2)/$D$65+0.04)*AN168)*EXP(-(LN(2)/$D$65+0.1)*AO168),IF(AL168=2,AR$100*EXP(-(LN(2)/$D$65+0.04)*(VLOOKUP(($F$16-$F$15)-1,AK$100:AO168,4,FALSE)))*EXP(-(LN(2)/$D$65+0.1)*(VLOOKUP(($F$16-$F$15)-1,AK$100:AO168,5,FALSE)))*EXP(-(LN(2)/$D$65+0.04)*AN168)*EXP(-(LN(2)/$D$65+0.1)*AO168),IF(AL168=3,AR$100*EXP(-(LN(2)/$D$65+0.04)*(VLOOKUP(($F$16-$F$15)-1,AK$100:AO168,4,FALSE)))*EXP(-(LN(2)/$D$65+0.1)*(VLOOKUP(($F$16-$F$15)-1,AK$100:AO168,5,FALSE)))*EXP(-(LN(2)/$D$65+0.04)*(VLOOKUP(($F$16-$F$15)*2-1,AK$100:AO168,4,FALSE)))*EXP(-(LN(2)/$D$65+0.1)*(VLOOKUP(($F$16-$F$15)*2-1,AK$100:AO168,5,FALSE)))*EXP(-(LN(2)/$D$65+0.04)*AN168)*EXP(-(LN(2)/$D$65+0.1)*AO168),"-"))),"-")</f>
        <v>-</v>
      </c>
      <c r="AS168" s="274">
        <f t="shared" si="113"/>
        <v>0</v>
      </c>
      <c r="AT168" s="274">
        <f t="shared" si="114"/>
        <v>0</v>
      </c>
      <c r="AU168" s="274">
        <f t="shared" si="115"/>
        <v>0</v>
      </c>
      <c r="AV168" s="190">
        <f>IF($B168&lt;$F$22,SUM($T$100:$T168),"")</f>
        <v>0</v>
      </c>
      <c r="AW168" s="190" t="str">
        <f t="shared" si="116"/>
        <v>-</v>
      </c>
      <c r="AX168" s="190" t="str">
        <f t="shared" si="141"/>
        <v/>
      </c>
      <c r="AY168"/>
      <c r="AZ168" s="190" t="str">
        <f ca="1">IF(ISNUMBER(OFFSET(AV168,-$F$21,0)),SUM(OFFSET($T$100,$F$21,0):$T168),"")</f>
        <v/>
      </c>
      <c r="BA168" s="190" t="str">
        <f t="shared" ca="1" si="117"/>
        <v/>
      </c>
      <c r="BB168" s="190" t="str">
        <f t="shared" ca="1" si="70"/>
        <v/>
      </c>
      <c r="BC168" s="190"/>
      <c r="BD168" s="190" t="str">
        <f ca="1">IFERROR(IF(AND($B168&gt;=($F$16-$F$15),$B168&lt;$F$22+($F$16-$F$15)),SUM(OFFSET($T$100,($F$16-$F$15),0):$T168),""),"")</f>
        <v/>
      </c>
      <c r="BE168" s="190" t="str">
        <f t="shared" ca="1" si="142"/>
        <v/>
      </c>
      <c r="BF168" s="190" t="str">
        <f t="shared" ca="1" si="143"/>
        <v/>
      </c>
      <c r="BG168"/>
      <c r="BH168" s="190" t="str">
        <f ca="1">IF(ISNUMBER(OFFSET(BD168,-$F$21,0)),SUM(OFFSET($T$100,($F$16-$F$15+$F$21),0):$T168),"")</f>
        <v/>
      </c>
      <c r="BI168" s="190" t="str">
        <f t="shared" ca="1" si="118"/>
        <v/>
      </c>
      <c r="BJ168" s="190" t="str">
        <f t="shared" ca="1" si="144"/>
        <v/>
      </c>
      <c r="BK168" s="190"/>
      <c r="BL168" s="190" t="str">
        <f ca="1">IFERROR(IF(AND($B168&gt;=($F$17-$F$15),$B168&lt;$F$22+($F$17-$F$15)),SUM(OFFSET($T$100,($F$17-$F$15),0):$T168),""),"")</f>
        <v/>
      </c>
      <c r="BM168" s="190" t="str">
        <f t="shared" ca="1" si="119"/>
        <v/>
      </c>
      <c r="BN168" s="190" t="str">
        <f t="shared" ca="1" si="145"/>
        <v/>
      </c>
      <c r="BO168"/>
      <c r="BP168" s="190" t="str">
        <f ca="1">IF(ISNUMBER(OFFSET(BL168,-$F$21,0)),SUM(OFFSET($T$100,($F$17-$F$15+$F$21),0):$T168),"")</f>
        <v/>
      </c>
      <c r="BQ168" s="190" t="str">
        <f t="shared" ca="1" si="120"/>
        <v/>
      </c>
      <c r="BR168" s="190" t="str">
        <f t="shared" ca="1" si="146"/>
        <v/>
      </c>
      <c r="BS168" s="190"/>
      <c r="BT168"/>
      <c r="BU168"/>
      <c r="BV168"/>
      <c r="BY168" s="99"/>
      <c r="BZ168" s="99"/>
      <c r="CA168" s="280" t="str">
        <f t="shared" si="121"/>
        <v/>
      </c>
      <c r="CB168" s="71" t="str">
        <f t="shared" si="122"/>
        <v>-</v>
      </c>
      <c r="CC168" s="33"/>
      <c r="CD168" s="261" t="str">
        <f t="shared" si="123"/>
        <v/>
      </c>
      <c r="CE168" s="280" t="str">
        <f t="shared" si="124"/>
        <v>-</v>
      </c>
      <c r="CF168" s="71" t="str">
        <f t="shared" ca="1" si="125"/>
        <v>-</v>
      </c>
      <c r="CG168" s="33" t="str">
        <f t="shared" si="126"/>
        <v>68-69</v>
      </c>
      <c r="CH168" s="261" t="str">
        <f t="shared" ca="1" si="127"/>
        <v/>
      </c>
      <c r="CI168" s="99"/>
      <c r="CJ168" s="99"/>
      <c r="CK168" s="99"/>
      <c r="CL168" s="99"/>
      <c r="CM168" s="99"/>
      <c r="CN168" s="99"/>
      <c r="CO168" s="99"/>
    </row>
    <row r="169" spans="2:93" ht="13.5" customHeight="1" x14ac:dyDescent="0.2">
      <c r="B169" s="262">
        <v>69</v>
      </c>
      <c r="C169" s="237" t="str">
        <f t="shared" si="91"/>
        <v/>
      </c>
      <c r="D169" s="237" t="str">
        <f t="shared" si="147"/>
        <v>-</v>
      </c>
      <c r="E169" s="290" t="str">
        <f t="shared" si="128"/>
        <v/>
      </c>
      <c r="F169" s="264" t="str">
        <f t="shared" si="129"/>
        <v/>
      </c>
      <c r="G169" s="291" t="str">
        <f t="shared" si="130"/>
        <v/>
      </c>
      <c r="H169" s="240" t="str">
        <f t="shared" si="92"/>
        <v/>
      </c>
      <c r="I169" s="265" t="str">
        <f t="shared" si="93"/>
        <v/>
      </c>
      <c r="J169" s="265" t="str">
        <f t="shared" si="94"/>
        <v/>
      </c>
      <c r="K169" s="240" t="str">
        <f t="shared" si="95"/>
        <v/>
      </c>
      <c r="L169" s="265" t="str">
        <f t="shared" si="96"/>
        <v/>
      </c>
      <c r="M169" s="265" t="str">
        <f t="shared" si="97"/>
        <v/>
      </c>
      <c r="N169" s="240" t="str">
        <f t="shared" si="98"/>
        <v>-</v>
      </c>
      <c r="O169" s="265" t="str">
        <f t="shared" si="99"/>
        <v>-</v>
      </c>
      <c r="P169" s="265" t="str">
        <f t="shared" si="100"/>
        <v>-</v>
      </c>
      <c r="Q169" s="266" t="str">
        <f t="shared" si="101"/>
        <v>-</v>
      </c>
      <c r="R169" s="267" t="str">
        <f t="shared" si="102"/>
        <v>-</v>
      </c>
      <c r="S169" s="268" t="str">
        <f t="shared" si="103"/>
        <v>-</v>
      </c>
      <c r="T169" s="269" t="str">
        <f t="shared" si="104"/>
        <v/>
      </c>
      <c r="U169" s="221">
        <f t="shared" si="105"/>
        <v>69</v>
      </c>
      <c r="V169" s="220" t="str">
        <f t="shared" si="131"/>
        <v>-</v>
      </c>
      <c r="W169" s="221" t="str">
        <f t="shared" si="132"/>
        <v>-</v>
      </c>
      <c r="X169" s="221" t="str">
        <f t="shared" si="106"/>
        <v>-</v>
      </c>
      <c r="Y169" s="221" t="str">
        <f t="shared" si="107"/>
        <v>-</v>
      </c>
      <c r="Z169" s="270">
        <f t="shared" si="133"/>
        <v>0.1</v>
      </c>
      <c r="AA169" s="271" t="str">
        <f>IFERROR(IF(V168=1,AA$100*EXP(-(LN(2)/$D$65+0.04)*X168)*EXP(-(LN(2)/$D$65+0.1)*Y168),IF(V168=2,AA$100*EXP(-(LN(2)/$D$65+0.04)*(VLOOKUP(($F$16-$F$15)-1,U$99:Y168,4,FALSE)))*EXP(-(LN(2)/$D$65+0.1)*(VLOOKUP(($F$16-$F$15)-1,U$99:Y168,5,FALSE)))*EXP(-(LN(2)/$D$65+0.04)*X168)*EXP(-(LN(2)/$D$65+0.1)*Y168),IF(V168=3,AA$100*EXP(-(LN(2)/$D$65+0.04)*(VLOOKUP(($F$16-$F$15)-1,U$99:Y168,4,FALSE)))*EXP(-(LN(2)/$D$65+0.1)*(VLOOKUP(($F$16-$F$15)-1,U$99:Y168,5,FALSE)))*EXP(-(LN(2)/$D$65+0.04)*(VLOOKUP(($F$16-$F$15)*2-1,U$99:Y168,4,FALSE)))*EXP(-(LN(2)/$D$65+0.1)*(VLOOKUP(($F$16-$F$15)*2-1,U$99:Y168,5,FALSE)))*EXP(-(LN(2)/$D$65+0.04)*X168)*EXP(-(LN(2)/$D$65+0.1)*Y168),"-"))),"-")</f>
        <v>-</v>
      </c>
      <c r="AB169" s="271" t="str">
        <f>IFERROR(IF(V169=1,AB$100*EXP(-(LN(2)/$D$65+0.04)*X169)*EXP(-(LN(2)/$D$65+0.1)*Y169),IF(V169=2,AB$100*EXP(-(LN(2)/$D$65+0.04)*(VLOOKUP(($F$16-$F$15)-1,U$100:Y169,4,FALSE)))*EXP(-(LN(2)/$D$65+0.1)*(VLOOKUP(($F$16-$F$15)-1,U$100:Y169,5,FALSE)))*EXP(-(LN(2)/$D$65+0.04)*X169)*EXP(-(LN(2)/$D$65+0.1)*Y169),IF(V169=3,AB$100*EXP(-(LN(2)/$D$65+0.04)*(VLOOKUP(($F$16-$F$15)-1,U$100:Y169,4,FALSE)))*EXP(-(LN(2)/$D$65+0.1)*(VLOOKUP(($F$16-$F$15)-1,U$100:Y169,5,FALSE)))*EXP(-(LN(2)/$D$65+0.04)*(VLOOKUP(($F$16-$F$15)*2-1,U$100:Y169,4,FALSE)))*EXP(-(LN(2)/$D$65+0.1)*(VLOOKUP(($F$16-$F$15)*2-1,U$100:Y169,5,FALSE)))*EXP(-(LN(2)/$D$65+0.04)*X169)*EXP(-(LN(2)/$D$65+0.1)*Y169),"-"))),"-")</f>
        <v>-</v>
      </c>
      <c r="AC169" s="224">
        <f t="shared" si="134"/>
        <v>69</v>
      </c>
      <c r="AD169" s="223" t="str">
        <f t="shared" si="108"/>
        <v>-</v>
      </c>
      <c r="AE169" s="224" t="str">
        <f t="shared" si="135"/>
        <v>-</v>
      </c>
      <c r="AF169" s="224" t="str">
        <f t="shared" si="109"/>
        <v>-</v>
      </c>
      <c r="AG169" s="224" t="str">
        <f t="shared" si="110"/>
        <v>-</v>
      </c>
      <c r="AH169" s="272">
        <f t="shared" si="136"/>
        <v>0.1</v>
      </c>
      <c r="AI169" s="271" t="str">
        <f>IFERROR(IF(AD168=1,AI$100*EXP(-(LN(2)/$D$65+0.04)*AF168)*EXP(-(LN(2)/$D$65+0.1)*AG168),IF(AD168=2,AI$100*EXP(-(LN(2)/$D$65+0.04)*(VLOOKUP(($F$16-$F$15)-1,AC$99:AG168,4,FALSE)))*EXP(-(LN(2)/$D$65+0.1)*(VLOOKUP(($F$16-$F$15)-1,AC$99:AG168,5,FALSE)))*EXP(-(LN(2)/$D$65+0.04)*AF168)*EXP(-(LN(2)/$D$65+0.1)*AG168),IF(AD168=3,AI$100*EXP(-(LN(2)/$D$65+0.04)*(VLOOKUP(($F$16-$F$15)-1,AC$99:AG168,4,FALSE)))*EXP(-(LN(2)/$D$65+0.1)*(VLOOKUP(($F$16-$F$15)-1,AC$99:AG168,5,FALSE)))*EXP(-(LN(2)/$D$65+0.04)*(VLOOKUP(($F$16-$F$15)*2-1,AC$99:AG168,4,FALSE)))*EXP(-(LN(2)/$D$65+0.1)*(VLOOKUP(($F$16-$F$15)*2-1,AC$99:AG168,5,FALSE)))*EXP(-(LN(2)/$D$65+0.04)*AF168)*EXP(-(LN(2)/$D$65+0.1)*AG168),"-"))),"-")</f>
        <v>-</v>
      </c>
      <c r="AJ169" s="271" t="str">
        <f>IFERROR(IF(AD169=1,AJ$100*EXP(-(LN(2)/$D$65+0.04)*AF169)*EXP(-(LN(2)/$D$65+0.1)*AG169),IF(AD169=2,AJ$100*EXP(-(LN(2)/$D$65+0.04)*(VLOOKUP(($F$16-$F$15)-1,AC$100:AG169,4,FALSE)))*EXP(-(LN(2)/$D$65+0.1)*(VLOOKUP(($F$16-$F$15)-1,AC$100:AG169,5,FALSE)))*EXP(-(LN(2)/$D$65+0.04)*AF169)*EXP(-(LN(2)/$D$65+0.1)*AG169),IF(AD169=3,AJ$100*EXP(-(LN(2)/$D$65+0.04)*(VLOOKUP(($F$16-$F$15)-1,AC$100:AG169,4,FALSE)))*EXP(-(LN(2)/$D$65+0.1)*(VLOOKUP(($F$16-$F$15)-1,AC$100:AG169,5,FALSE)))*EXP(-(LN(2)/$D$65+0.04)*(VLOOKUP(($F$16-$F$15)*2-1,AC$100:AG169,4,FALSE)))*EXP(-(LN(2)/$D$65+0.1)*(VLOOKUP(($F$16-$F$15)*2-1,AC$100:AG169,5,FALSE)))*EXP(-(LN(2)/$D$65+0.04)*AF169)*EXP(-(LN(2)/$D$65+0.1)*AG169),"-"))),"-")</f>
        <v>-</v>
      </c>
      <c r="AK169" s="227">
        <f t="shared" si="137"/>
        <v>69</v>
      </c>
      <c r="AL169" s="226" t="str">
        <f t="shared" si="111"/>
        <v>-</v>
      </c>
      <c r="AM169" s="227" t="str">
        <f t="shared" si="138"/>
        <v>-</v>
      </c>
      <c r="AN169" s="227" t="str">
        <f t="shared" si="139"/>
        <v>-</v>
      </c>
      <c r="AO169" s="227" t="str">
        <f t="shared" si="112"/>
        <v>-</v>
      </c>
      <c r="AP169" s="273">
        <f t="shared" si="140"/>
        <v>0.1</v>
      </c>
      <c r="AQ169" s="271" t="str">
        <f>IFERROR(IF(AL168=1,AQ$100*EXP(-(LN(2)/$D$65+0.04)*AN168)*EXP(-(LN(2)/$D$65+0.1)*AO168),IF(AL168=2,AQ$100*EXP(-(LN(2)/$D$65+0.04)*(VLOOKUP(($F$16-$F$15)-1,AK$99:AO168,4,FALSE)))*EXP(-(LN(2)/$D$65+0.1)*(VLOOKUP(($F$16-$F$15)-1,AK$99:AO168,5,FALSE)))*EXP(-(LN(2)/$D$65+0.04)*AN168)*EXP(-(LN(2)/$D$65+0.1)*AO168),IF(AL168=3,AQ$100*EXP(-(LN(2)/$D$65+0.04)*(VLOOKUP(($F$16-$F$15)-1,AK$99:AO168,4,FALSE)))*EXP(-(LN(2)/$D$65+0.1)*(VLOOKUP(($F$16-$F$15)-1,AK$99:AO168,5,FALSE)))*EXP(-(LN(2)/$D$65+0.04)*(VLOOKUP(($F$16-$F$15)*2-1,AK$99:AO168,4,FALSE)))*EXP(-(LN(2)/$D$65+0.1)*(VLOOKUP(($F$16-$F$15)*2-1,AK$99:AO168,5,FALSE)))*EXP(-(LN(2)/$D$65+0.04)*AN168)*EXP(-(LN(2)/$D$65+0.1)*AO168),"-"))),"-")</f>
        <v>-</v>
      </c>
      <c r="AR169" s="271" t="str">
        <f>IFERROR(IF(AL169=1,AR$100*EXP(-(LN(2)/$D$65+0.04)*AN169)*EXP(-(LN(2)/$D$65+0.1)*AO169),IF(AL169=2,AR$100*EXP(-(LN(2)/$D$65+0.04)*(VLOOKUP(($F$16-$F$15)-1,AK$100:AO169,4,FALSE)))*EXP(-(LN(2)/$D$65+0.1)*(VLOOKUP(($F$16-$F$15)-1,AK$100:AO169,5,FALSE)))*EXP(-(LN(2)/$D$65+0.04)*AN169)*EXP(-(LN(2)/$D$65+0.1)*AO169),IF(AL169=3,AR$100*EXP(-(LN(2)/$D$65+0.04)*(VLOOKUP(($F$16-$F$15)-1,AK$100:AO169,4,FALSE)))*EXP(-(LN(2)/$D$65+0.1)*(VLOOKUP(($F$16-$F$15)-1,AK$100:AO169,5,FALSE)))*EXP(-(LN(2)/$D$65+0.04)*(VLOOKUP(($F$16-$F$15)*2-1,AK$100:AO169,4,FALSE)))*EXP(-(LN(2)/$D$65+0.1)*(VLOOKUP(($F$16-$F$15)*2-1,AK$100:AO169,5,FALSE)))*EXP(-(LN(2)/$D$65+0.04)*AN169)*EXP(-(LN(2)/$D$65+0.1)*AO169),"-"))),"-")</f>
        <v>-</v>
      </c>
      <c r="AS169" s="274">
        <f t="shared" si="113"/>
        <v>0</v>
      </c>
      <c r="AT169" s="274">
        <f t="shared" si="114"/>
        <v>0</v>
      </c>
      <c r="AU169" s="274">
        <f t="shared" si="115"/>
        <v>0</v>
      </c>
      <c r="AV169" s="190">
        <f>IF($B169&lt;$F$22,SUM($T$100:$T169),"")</f>
        <v>0</v>
      </c>
      <c r="AW169" s="190" t="str">
        <f t="shared" si="116"/>
        <v>-</v>
      </c>
      <c r="AX169" s="190" t="str">
        <f t="shared" si="141"/>
        <v/>
      </c>
      <c r="AY169"/>
      <c r="AZ169" s="190" t="str">
        <f ca="1">IF(ISNUMBER(OFFSET(AV169,-$F$21,0)),SUM(OFFSET($T$100,$F$21,0):$T169),"")</f>
        <v/>
      </c>
      <c r="BA169" s="190" t="str">
        <f t="shared" ca="1" si="117"/>
        <v/>
      </c>
      <c r="BB169" s="190" t="str">
        <f t="shared" ca="1" si="70"/>
        <v/>
      </c>
      <c r="BC169" s="190"/>
      <c r="BD169" s="190" t="str">
        <f ca="1">IFERROR(IF(AND($B169&gt;=($F$16-$F$15),$B169&lt;$F$22+($F$16-$F$15)),SUM(OFFSET($T$100,($F$16-$F$15),0):$T169),""),"")</f>
        <v/>
      </c>
      <c r="BE169" s="190" t="str">
        <f t="shared" ca="1" si="142"/>
        <v/>
      </c>
      <c r="BF169" s="190" t="str">
        <f t="shared" ca="1" si="143"/>
        <v/>
      </c>
      <c r="BG169"/>
      <c r="BH169" s="190" t="str">
        <f ca="1">IF(ISNUMBER(OFFSET(BD169,-$F$21,0)),SUM(OFFSET($T$100,($F$16-$F$15+$F$21),0):$T169),"")</f>
        <v/>
      </c>
      <c r="BI169" s="190" t="str">
        <f t="shared" ca="1" si="118"/>
        <v/>
      </c>
      <c r="BJ169" s="190" t="str">
        <f t="shared" ca="1" si="144"/>
        <v/>
      </c>
      <c r="BK169" s="190"/>
      <c r="BL169" s="190" t="str">
        <f ca="1">IFERROR(IF(AND($B169&gt;=($F$17-$F$15),$B169&lt;$F$22+($F$17-$F$15)),SUM(OFFSET($T$100,($F$17-$F$15),0):$T169),""),"")</f>
        <v/>
      </c>
      <c r="BM169" s="190" t="str">
        <f t="shared" ca="1" si="119"/>
        <v/>
      </c>
      <c r="BN169" s="190" t="str">
        <f t="shared" ca="1" si="145"/>
        <v/>
      </c>
      <c r="BO169"/>
      <c r="BP169" s="190" t="str">
        <f ca="1">IF(ISNUMBER(OFFSET(BL169,-$F$21,0)),SUM(OFFSET($T$100,($F$17-$F$15+$F$21),0):$T169),"")</f>
        <v/>
      </c>
      <c r="BQ169" s="190" t="str">
        <f t="shared" ca="1" si="120"/>
        <v/>
      </c>
      <c r="BR169" s="190" t="str">
        <f t="shared" ca="1" si="146"/>
        <v/>
      </c>
      <c r="BS169" s="190"/>
      <c r="BT169"/>
      <c r="BU169"/>
      <c r="BV169"/>
      <c r="BY169" s="99"/>
      <c r="BZ169" s="99"/>
      <c r="CA169" s="280" t="str">
        <f t="shared" si="121"/>
        <v/>
      </c>
      <c r="CB169" s="71" t="str">
        <f t="shared" si="122"/>
        <v>-</v>
      </c>
      <c r="CC169" s="33"/>
      <c r="CD169" s="261" t="str">
        <f t="shared" si="123"/>
        <v/>
      </c>
      <c r="CE169" s="280" t="str">
        <f t="shared" si="124"/>
        <v>-</v>
      </c>
      <c r="CF169" s="71" t="str">
        <f t="shared" ca="1" si="125"/>
        <v>-</v>
      </c>
      <c r="CG169" s="33" t="str">
        <f t="shared" si="126"/>
        <v>69-70</v>
      </c>
      <c r="CH169" s="261" t="str">
        <f t="shared" ca="1" si="127"/>
        <v/>
      </c>
      <c r="CI169" s="99"/>
      <c r="CJ169" s="99"/>
      <c r="CK169" s="99"/>
      <c r="CL169" s="99"/>
      <c r="CM169" s="99"/>
      <c r="CN169" s="99"/>
      <c r="CO169" s="99"/>
    </row>
    <row r="170" spans="2:93" ht="13.5" customHeight="1" x14ac:dyDescent="0.2">
      <c r="B170" s="262">
        <v>70</v>
      </c>
      <c r="C170" s="237" t="str">
        <f t="shared" si="91"/>
        <v/>
      </c>
      <c r="D170" s="237" t="str">
        <f t="shared" si="147"/>
        <v>-</v>
      </c>
      <c r="E170" s="290" t="str">
        <f t="shared" si="128"/>
        <v/>
      </c>
      <c r="F170" s="264" t="str">
        <f t="shared" si="129"/>
        <v/>
      </c>
      <c r="G170" s="291" t="str">
        <f t="shared" si="130"/>
        <v/>
      </c>
      <c r="H170" s="240" t="str">
        <f t="shared" si="92"/>
        <v/>
      </c>
      <c r="I170" s="265" t="str">
        <f t="shared" si="93"/>
        <v/>
      </c>
      <c r="J170" s="265" t="str">
        <f t="shared" si="94"/>
        <v/>
      </c>
      <c r="K170" s="240" t="str">
        <f t="shared" si="95"/>
        <v/>
      </c>
      <c r="L170" s="265" t="str">
        <f t="shared" si="96"/>
        <v/>
      </c>
      <c r="M170" s="265" t="str">
        <f t="shared" si="97"/>
        <v/>
      </c>
      <c r="N170" s="240" t="str">
        <f t="shared" si="98"/>
        <v>-</v>
      </c>
      <c r="O170" s="265" t="str">
        <f t="shared" si="99"/>
        <v>-</v>
      </c>
      <c r="P170" s="265" t="str">
        <f t="shared" si="100"/>
        <v>-</v>
      </c>
      <c r="Q170" s="266" t="str">
        <f t="shared" si="101"/>
        <v>-</v>
      </c>
      <c r="R170" s="267" t="str">
        <f t="shared" si="102"/>
        <v>-</v>
      </c>
      <c r="S170" s="268" t="str">
        <f t="shared" si="103"/>
        <v>-</v>
      </c>
      <c r="T170" s="269" t="str">
        <f t="shared" si="104"/>
        <v/>
      </c>
      <c r="U170" s="221">
        <f t="shared" si="105"/>
        <v>70</v>
      </c>
      <c r="V170" s="220" t="str">
        <f t="shared" si="131"/>
        <v>-</v>
      </c>
      <c r="W170" s="221" t="str">
        <f t="shared" si="132"/>
        <v>-</v>
      </c>
      <c r="X170" s="221" t="str">
        <f t="shared" si="106"/>
        <v>-</v>
      </c>
      <c r="Y170" s="221" t="str">
        <f t="shared" si="107"/>
        <v>-</v>
      </c>
      <c r="Z170" s="270">
        <f t="shared" si="133"/>
        <v>0.1</v>
      </c>
      <c r="AA170" s="271" t="str">
        <f>IFERROR(IF(V169=1,AA$100*EXP(-(LN(2)/$D$65+0.04)*X169)*EXP(-(LN(2)/$D$65+0.1)*Y169),IF(V169=2,AA$100*EXP(-(LN(2)/$D$65+0.04)*(VLOOKUP(($F$16-$F$15)-1,U$99:Y169,4,FALSE)))*EXP(-(LN(2)/$D$65+0.1)*(VLOOKUP(($F$16-$F$15)-1,U$99:Y169,5,FALSE)))*EXP(-(LN(2)/$D$65+0.04)*X169)*EXP(-(LN(2)/$D$65+0.1)*Y169),IF(V169=3,AA$100*EXP(-(LN(2)/$D$65+0.04)*(VLOOKUP(($F$16-$F$15)-1,U$99:Y169,4,FALSE)))*EXP(-(LN(2)/$D$65+0.1)*(VLOOKUP(($F$16-$F$15)-1,U$99:Y169,5,FALSE)))*EXP(-(LN(2)/$D$65+0.04)*(VLOOKUP(($F$16-$F$15)*2-1,U$99:Y169,4,FALSE)))*EXP(-(LN(2)/$D$65+0.1)*(VLOOKUP(($F$16-$F$15)*2-1,U$99:Y169,5,FALSE)))*EXP(-(LN(2)/$D$65+0.04)*X169)*EXP(-(LN(2)/$D$65+0.1)*Y169),"-"))),"-")</f>
        <v>-</v>
      </c>
      <c r="AB170" s="271" t="str">
        <f>IFERROR(IF(V170=1,AB$100*EXP(-(LN(2)/$D$65+0.04)*X170)*EXP(-(LN(2)/$D$65+0.1)*Y170),IF(V170=2,AB$100*EXP(-(LN(2)/$D$65+0.04)*(VLOOKUP(($F$16-$F$15)-1,U$100:Y170,4,FALSE)))*EXP(-(LN(2)/$D$65+0.1)*(VLOOKUP(($F$16-$F$15)-1,U$100:Y170,5,FALSE)))*EXP(-(LN(2)/$D$65+0.04)*X170)*EXP(-(LN(2)/$D$65+0.1)*Y170),IF(V170=3,AB$100*EXP(-(LN(2)/$D$65+0.04)*(VLOOKUP(($F$16-$F$15)-1,U$100:Y170,4,FALSE)))*EXP(-(LN(2)/$D$65+0.1)*(VLOOKUP(($F$16-$F$15)-1,U$100:Y170,5,FALSE)))*EXP(-(LN(2)/$D$65+0.04)*(VLOOKUP(($F$16-$F$15)*2-1,U$100:Y170,4,FALSE)))*EXP(-(LN(2)/$D$65+0.1)*(VLOOKUP(($F$16-$F$15)*2-1,U$100:Y170,5,FALSE)))*EXP(-(LN(2)/$D$65+0.04)*X170)*EXP(-(LN(2)/$D$65+0.1)*Y170),"-"))),"-")</f>
        <v>-</v>
      </c>
      <c r="AC170" s="224">
        <f t="shared" si="134"/>
        <v>70</v>
      </c>
      <c r="AD170" s="223" t="str">
        <f t="shared" si="108"/>
        <v>-</v>
      </c>
      <c r="AE170" s="224" t="str">
        <f t="shared" si="135"/>
        <v>-</v>
      </c>
      <c r="AF170" s="224" t="str">
        <f t="shared" si="109"/>
        <v>-</v>
      </c>
      <c r="AG170" s="224" t="str">
        <f t="shared" si="110"/>
        <v>-</v>
      </c>
      <c r="AH170" s="272">
        <f t="shared" si="136"/>
        <v>0.1</v>
      </c>
      <c r="AI170" s="271" t="str">
        <f>IFERROR(IF(AD169=1,AI$100*EXP(-(LN(2)/$D$65+0.04)*AF169)*EXP(-(LN(2)/$D$65+0.1)*AG169),IF(AD169=2,AI$100*EXP(-(LN(2)/$D$65+0.04)*(VLOOKUP(($F$16-$F$15)-1,AC$99:AG169,4,FALSE)))*EXP(-(LN(2)/$D$65+0.1)*(VLOOKUP(($F$16-$F$15)-1,AC$99:AG169,5,FALSE)))*EXP(-(LN(2)/$D$65+0.04)*AF169)*EXP(-(LN(2)/$D$65+0.1)*AG169),IF(AD169=3,AI$100*EXP(-(LN(2)/$D$65+0.04)*(VLOOKUP(($F$16-$F$15)-1,AC$99:AG169,4,FALSE)))*EXP(-(LN(2)/$D$65+0.1)*(VLOOKUP(($F$16-$F$15)-1,AC$99:AG169,5,FALSE)))*EXP(-(LN(2)/$D$65+0.04)*(VLOOKUP(($F$16-$F$15)*2-1,AC$99:AG169,4,FALSE)))*EXP(-(LN(2)/$D$65+0.1)*(VLOOKUP(($F$16-$F$15)*2-1,AC$99:AG169,5,FALSE)))*EXP(-(LN(2)/$D$65+0.04)*AF169)*EXP(-(LN(2)/$D$65+0.1)*AG169),"-"))),"-")</f>
        <v>-</v>
      </c>
      <c r="AJ170" s="271" t="str">
        <f>IFERROR(IF(AD170=1,AJ$100*EXP(-(LN(2)/$D$65+0.04)*AF170)*EXP(-(LN(2)/$D$65+0.1)*AG170),IF(AD170=2,AJ$100*EXP(-(LN(2)/$D$65+0.04)*(VLOOKUP(($F$16-$F$15)-1,AC$100:AG170,4,FALSE)))*EXP(-(LN(2)/$D$65+0.1)*(VLOOKUP(($F$16-$F$15)-1,AC$100:AG170,5,FALSE)))*EXP(-(LN(2)/$D$65+0.04)*AF170)*EXP(-(LN(2)/$D$65+0.1)*AG170),IF(AD170=3,AJ$100*EXP(-(LN(2)/$D$65+0.04)*(VLOOKUP(($F$16-$F$15)-1,AC$100:AG170,4,FALSE)))*EXP(-(LN(2)/$D$65+0.1)*(VLOOKUP(($F$16-$F$15)-1,AC$100:AG170,5,FALSE)))*EXP(-(LN(2)/$D$65+0.04)*(VLOOKUP(($F$16-$F$15)*2-1,AC$100:AG170,4,FALSE)))*EXP(-(LN(2)/$D$65+0.1)*(VLOOKUP(($F$16-$F$15)*2-1,AC$100:AG170,5,FALSE)))*EXP(-(LN(2)/$D$65+0.04)*AF170)*EXP(-(LN(2)/$D$65+0.1)*AG170),"-"))),"-")</f>
        <v>-</v>
      </c>
      <c r="AK170" s="227">
        <f t="shared" si="137"/>
        <v>70</v>
      </c>
      <c r="AL170" s="226" t="str">
        <f t="shared" si="111"/>
        <v>-</v>
      </c>
      <c r="AM170" s="227" t="str">
        <f t="shared" si="138"/>
        <v>-</v>
      </c>
      <c r="AN170" s="227" t="str">
        <f t="shared" si="139"/>
        <v>-</v>
      </c>
      <c r="AO170" s="227" t="str">
        <f t="shared" si="112"/>
        <v>-</v>
      </c>
      <c r="AP170" s="273">
        <f t="shared" si="140"/>
        <v>0.1</v>
      </c>
      <c r="AQ170" s="271" t="str">
        <f>IFERROR(IF(AL169=1,AQ$100*EXP(-(LN(2)/$D$65+0.04)*AN169)*EXP(-(LN(2)/$D$65+0.1)*AO169),IF(AL169=2,AQ$100*EXP(-(LN(2)/$D$65+0.04)*(VLOOKUP(($F$16-$F$15)-1,AK$99:AO169,4,FALSE)))*EXP(-(LN(2)/$D$65+0.1)*(VLOOKUP(($F$16-$F$15)-1,AK$99:AO169,5,FALSE)))*EXP(-(LN(2)/$D$65+0.04)*AN169)*EXP(-(LN(2)/$D$65+0.1)*AO169),IF(AL169=3,AQ$100*EXP(-(LN(2)/$D$65+0.04)*(VLOOKUP(($F$16-$F$15)-1,AK$99:AO169,4,FALSE)))*EXP(-(LN(2)/$D$65+0.1)*(VLOOKUP(($F$16-$F$15)-1,AK$99:AO169,5,FALSE)))*EXP(-(LN(2)/$D$65+0.04)*(VLOOKUP(($F$16-$F$15)*2-1,AK$99:AO169,4,FALSE)))*EXP(-(LN(2)/$D$65+0.1)*(VLOOKUP(($F$16-$F$15)*2-1,AK$99:AO169,5,FALSE)))*EXP(-(LN(2)/$D$65+0.04)*AN169)*EXP(-(LN(2)/$D$65+0.1)*AO169),"-"))),"-")</f>
        <v>-</v>
      </c>
      <c r="AR170" s="271" t="str">
        <f>IFERROR(IF(AL170=1,AR$100*EXP(-(LN(2)/$D$65+0.04)*AN170)*EXP(-(LN(2)/$D$65+0.1)*AO170),IF(AL170=2,AR$100*EXP(-(LN(2)/$D$65+0.04)*(VLOOKUP(($F$16-$F$15)-1,AK$100:AO170,4,FALSE)))*EXP(-(LN(2)/$D$65+0.1)*(VLOOKUP(($F$16-$F$15)-1,AK$100:AO170,5,FALSE)))*EXP(-(LN(2)/$D$65+0.04)*AN170)*EXP(-(LN(2)/$D$65+0.1)*AO170),IF(AL170=3,AR$100*EXP(-(LN(2)/$D$65+0.04)*(VLOOKUP(($F$16-$F$15)-1,AK$100:AO170,4,FALSE)))*EXP(-(LN(2)/$D$65+0.1)*(VLOOKUP(($F$16-$F$15)-1,AK$100:AO170,5,FALSE)))*EXP(-(LN(2)/$D$65+0.04)*(VLOOKUP(($F$16-$F$15)*2-1,AK$100:AO170,4,FALSE)))*EXP(-(LN(2)/$D$65+0.1)*(VLOOKUP(($F$16-$F$15)*2-1,AK$100:AO170,5,FALSE)))*EXP(-(LN(2)/$D$65+0.04)*AN170)*EXP(-(LN(2)/$D$65+0.1)*AO170),"-"))),"-")</f>
        <v>-</v>
      </c>
      <c r="AS170" s="274">
        <f t="shared" si="113"/>
        <v>0</v>
      </c>
      <c r="AT170" s="274">
        <f t="shared" si="114"/>
        <v>0</v>
      </c>
      <c r="AU170" s="274">
        <f t="shared" si="115"/>
        <v>0</v>
      </c>
      <c r="AV170" s="190">
        <f>IF($B170&lt;$F$22,SUM($T$100:$T170),"")</f>
        <v>0</v>
      </c>
      <c r="AW170" s="190" t="str">
        <f t="shared" si="116"/>
        <v>-</v>
      </c>
      <c r="AX170" s="190" t="str">
        <f t="shared" si="141"/>
        <v/>
      </c>
      <c r="AY170"/>
      <c r="AZ170" s="190" t="str">
        <f ca="1">IF(ISNUMBER(OFFSET(AV170,-$F$21,0)),SUM(OFFSET($T$100,$F$21,0):$T170),"")</f>
        <v/>
      </c>
      <c r="BA170" s="190" t="str">
        <f t="shared" ca="1" si="117"/>
        <v/>
      </c>
      <c r="BB170" s="190" t="str">
        <f t="shared" ca="1" si="70"/>
        <v/>
      </c>
      <c r="BC170" s="190"/>
      <c r="BD170" s="190" t="str">
        <f ca="1">IFERROR(IF(AND($B170&gt;=($F$16-$F$15),$B170&lt;$F$22+($F$16-$F$15)),SUM(OFFSET($T$100,($F$16-$F$15),0):$T170),""),"")</f>
        <v/>
      </c>
      <c r="BE170" s="190" t="str">
        <f t="shared" ca="1" si="142"/>
        <v/>
      </c>
      <c r="BF170" s="190" t="str">
        <f t="shared" ca="1" si="143"/>
        <v/>
      </c>
      <c r="BG170"/>
      <c r="BH170" s="190" t="str">
        <f ca="1">IF(ISNUMBER(OFFSET(BD170,-$F$21,0)),SUM(OFFSET($T$100,($F$16-$F$15+$F$21),0):$T170),"")</f>
        <v/>
      </c>
      <c r="BI170" s="190" t="str">
        <f t="shared" ca="1" si="118"/>
        <v/>
      </c>
      <c r="BJ170" s="190" t="str">
        <f t="shared" ca="1" si="144"/>
        <v/>
      </c>
      <c r="BK170" s="190"/>
      <c r="BL170" s="190" t="str">
        <f ca="1">IFERROR(IF(AND($B170&gt;=($F$17-$F$15),$B170&lt;$F$22+($F$17-$F$15)),SUM(OFFSET($T$100,($F$17-$F$15),0):$T170),""),"")</f>
        <v/>
      </c>
      <c r="BM170" s="190" t="str">
        <f t="shared" ca="1" si="119"/>
        <v/>
      </c>
      <c r="BN170" s="190" t="str">
        <f t="shared" ca="1" si="145"/>
        <v/>
      </c>
      <c r="BO170"/>
      <c r="BP170" s="190" t="str">
        <f ca="1">IF(ISNUMBER(OFFSET(BL170,-$F$21,0)),SUM(OFFSET($T$100,($F$17-$F$15+$F$21),0):$T170),"")</f>
        <v/>
      </c>
      <c r="BQ170" s="190" t="str">
        <f t="shared" ca="1" si="120"/>
        <v/>
      </c>
      <c r="BR170" s="190" t="str">
        <f t="shared" ca="1" si="146"/>
        <v/>
      </c>
      <c r="BS170" s="190"/>
      <c r="BT170"/>
      <c r="BU170"/>
      <c r="BV170"/>
      <c r="BY170" s="99"/>
      <c r="BZ170" s="99"/>
      <c r="CA170" s="280" t="str">
        <f t="shared" si="121"/>
        <v/>
      </c>
      <c r="CB170" s="71" t="str">
        <f t="shared" si="122"/>
        <v>-</v>
      </c>
      <c r="CC170" s="33"/>
      <c r="CD170" s="261" t="str">
        <f t="shared" si="123"/>
        <v/>
      </c>
      <c r="CE170" s="280" t="str">
        <f t="shared" si="124"/>
        <v>-</v>
      </c>
      <c r="CF170" s="71" t="str">
        <f t="shared" ca="1" si="125"/>
        <v>-</v>
      </c>
      <c r="CG170" s="33" t="str">
        <f t="shared" si="126"/>
        <v>70-71</v>
      </c>
      <c r="CH170" s="261" t="str">
        <f t="shared" ca="1" si="127"/>
        <v/>
      </c>
      <c r="CI170" s="99"/>
      <c r="CJ170" s="99"/>
      <c r="CK170" s="99"/>
      <c r="CL170" s="99"/>
      <c r="CM170" s="99"/>
      <c r="CN170" s="99"/>
      <c r="CO170" s="99"/>
    </row>
    <row r="171" spans="2:93" ht="13.5" customHeight="1" x14ac:dyDescent="0.2">
      <c r="B171" s="262">
        <v>71</v>
      </c>
      <c r="C171" s="237" t="str">
        <f t="shared" si="91"/>
        <v/>
      </c>
      <c r="D171" s="237" t="str">
        <f t="shared" si="147"/>
        <v>-</v>
      </c>
      <c r="E171" s="290" t="str">
        <f t="shared" si="128"/>
        <v/>
      </c>
      <c r="F171" s="264" t="str">
        <f t="shared" si="129"/>
        <v/>
      </c>
      <c r="G171" s="291" t="str">
        <f t="shared" si="130"/>
        <v/>
      </c>
      <c r="H171" s="240" t="str">
        <f t="shared" si="92"/>
        <v/>
      </c>
      <c r="I171" s="265" t="str">
        <f t="shared" si="93"/>
        <v/>
      </c>
      <c r="J171" s="265" t="str">
        <f t="shared" si="94"/>
        <v/>
      </c>
      <c r="K171" s="240" t="str">
        <f t="shared" si="95"/>
        <v/>
      </c>
      <c r="L171" s="265" t="str">
        <f t="shared" si="96"/>
        <v/>
      </c>
      <c r="M171" s="265" t="str">
        <f t="shared" si="97"/>
        <v/>
      </c>
      <c r="N171" s="240" t="str">
        <f t="shared" si="98"/>
        <v>-</v>
      </c>
      <c r="O171" s="265" t="str">
        <f t="shared" si="99"/>
        <v>-</v>
      </c>
      <c r="P171" s="265" t="str">
        <f t="shared" si="100"/>
        <v>-</v>
      </c>
      <c r="Q171" s="266" t="str">
        <f t="shared" si="101"/>
        <v>-</v>
      </c>
      <c r="R171" s="267" t="str">
        <f t="shared" si="102"/>
        <v>-</v>
      </c>
      <c r="S171" s="268" t="str">
        <f t="shared" si="103"/>
        <v>-</v>
      </c>
      <c r="T171" s="269" t="str">
        <f t="shared" si="104"/>
        <v/>
      </c>
      <c r="U171" s="221">
        <f t="shared" si="105"/>
        <v>71</v>
      </c>
      <c r="V171" s="220" t="str">
        <f t="shared" si="131"/>
        <v>-</v>
      </c>
      <c r="W171" s="221" t="str">
        <f t="shared" si="132"/>
        <v>-</v>
      </c>
      <c r="X171" s="221" t="str">
        <f t="shared" si="106"/>
        <v>-</v>
      </c>
      <c r="Y171" s="221" t="str">
        <f t="shared" si="107"/>
        <v>-</v>
      </c>
      <c r="Z171" s="270">
        <f t="shared" si="133"/>
        <v>0.1</v>
      </c>
      <c r="AA171" s="271" t="str">
        <f>IFERROR(IF(V170=1,AA$100*EXP(-(LN(2)/$D$65+0.04)*X170)*EXP(-(LN(2)/$D$65+0.1)*Y170),IF(V170=2,AA$100*EXP(-(LN(2)/$D$65+0.04)*(VLOOKUP(($F$16-$F$15)-1,U$99:Y170,4,FALSE)))*EXP(-(LN(2)/$D$65+0.1)*(VLOOKUP(($F$16-$F$15)-1,U$99:Y170,5,FALSE)))*EXP(-(LN(2)/$D$65+0.04)*X170)*EXP(-(LN(2)/$D$65+0.1)*Y170),IF(V170=3,AA$100*EXP(-(LN(2)/$D$65+0.04)*(VLOOKUP(($F$16-$F$15)-1,U$99:Y170,4,FALSE)))*EXP(-(LN(2)/$D$65+0.1)*(VLOOKUP(($F$16-$F$15)-1,U$99:Y170,5,FALSE)))*EXP(-(LN(2)/$D$65+0.04)*(VLOOKUP(($F$16-$F$15)*2-1,U$99:Y170,4,FALSE)))*EXP(-(LN(2)/$D$65+0.1)*(VLOOKUP(($F$16-$F$15)*2-1,U$99:Y170,5,FALSE)))*EXP(-(LN(2)/$D$65+0.04)*X170)*EXP(-(LN(2)/$D$65+0.1)*Y170),"-"))),"-")</f>
        <v>-</v>
      </c>
      <c r="AB171" s="271" t="str">
        <f>IFERROR(IF(V171=1,AB$100*EXP(-(LN(2)/$D$65+0.04)*X171)*EXP(-(LN(2)/$D$65+0.1)*Y171),IF(V171=2,AB$100*EXP(-(LN(2)/$D$65+0.04)*(VLOOKUP(($F$16-$F$15)-1,U$100:Y171,4,FALSE)))*EXP(-(LN(2)/$D$65+0.1)*(VLOOKUP(($F$16-$F$15)-1,U$100:Y171,5,FALSE)))*EXP(-(LN(2)/$D$65+0.04)*X171)*EXP(-(LN(2)/$D$65+0.1)*Y171),IF(V171=3,AB$100*EXP(-(LN(2)/$D$65+0.04)*(VLOOKUP(($F$16-$F$15)-1,U$100:Y171,4,FALSE)))*EXP(-(LN(2)/$D$65+0.1)*(VLOOKUP(($F$16-$F$15)-1,U$100:Y171,5,FALSE)))*EXP(-(LN(2)/$D$65+0.04)*(VLOOKUP(($F$16-$F$15)*2-1,U$100:Y171,4,FALSE)))*EXP(-(LN(2)/$D$65+0.1)*(VLOOKUP(($F$16-$F$15)*2-1,U$100:Y171,5,FALSE)))*EXP(-(LN(2)/$D$65+0.04)*X171)*EXP(-(LN(2)/$D$65+0.1)*Y171),"-"))),"-")</f>
        <v>-</v>
      </c>
      <c r="AC171" s="224">
        <f t="shared" si="134"/>
        <v>71</v>
      </c>
      <c r="AD171" s="223" t="str">
        <f t="shared" si="108"/>
        <v>-</v>
      </c>
      <c r="AE171" s="224" t="str">
        <f t="shared" si="135"/>
        <v>-</v>
      </c>
      <c r="AF171" s="224" t="str">
        <f t="shared" si="109"/>
        <v>-</v>
      </c>
      <c r="AG171" s="224" t="str">
        <f t="shared" si="110"/>
        <v>-</v>
      </c>
      <c r="AH171" s="272">
        <f t="shared" si="136"/>
        <v>0.1</v>
      </c>
      <c r="AI171" s="271" t="str">
        <f>IFERROR(IF(AD170=1,AI$100*EXP(-(LN(2)/$D$65+0.04)*AF170)*EXP(-(LN(2)/$D$65+0.1)*AG170),IF(AD170=2,AI$100*EXP(-(LN(2)/$D$65+0.04)*(VLOOKUP(($F$16-$F$15)-1,AC$99:AG170,4,FALSE)))*EXP(-(LN(2)/$D$65+0.1)*(VLOOKUP(($F$16-$F$15)-1,AC$99:AG170,5,FALSE)))*EXP(-(LN(2)/$D$65+0.04)*AF170)*EXP(-(LN(2)/$D$65+0.1)*AG170),IF(AD170=3,AI$100*EXP(-(LN(2)/$D$65+0.04)*(VLOOKUP(($F$16-$F$15)-1,AC$99:AG170,4,FALSE)))*EXP(-(LN(2)/$D$65+0.1)*(VLOOKUP(($F$16-$F$15)-1,AC$99:AG170,5,FALSE)))*EXP(-(LN(2)/$D$65+0.04)*(VLOOKUP(($F$16-$F$15)*2-1,AC$99:AG170,4,FALSE)))*EXP(-(LN(2)/$D$65+0.1)*(VLOOKUP(($F$16-$F$15)*2-1,AC$99:AG170,5,FALSE)))*EXP(-(LN(2)/$D$65+0.04)*AF170)*EXP(-(LN(2)/$D$65+0.1)*AG170),"-"))),"-")</f>
        <v>-</v>
      </c>
      <c r="AJ171" s="271" t="str">
        <f>IFERROR(IF(AD171=1,AJ$100*EXP(-(LN(2)/$D$65+0.04)*AF171)*EXP(-(LN(2)/$D$65+0.1)*AG171),IF(AD171=2,AJ$100*EXP(-(LN(2)/$D$65+0.04)*(VLOOKUP(($F$16-$F$15)-1,AC$100:AG171,4,FALSE)))*EXP(-(LN(2)/$D$65+0.1)*(VLOOKUP(($F$16-$F$15)-1,AC$100:AG171,5,FALSE)))*EXP(-(LN(2)/$D$65+0.04)*AF171)*EXP(-(LN(2)/$D$65+0.1)*AG171),IF(AD171=3,AJ$100*EXP(-(LN(2)/$D$65+0.04)*(VLOOKUP(($F$16-$F$15)-1,AC$100:AG171,4,FALSE)))*EXP(-(LN(2)/$D$65+0.1)*(VLOOKUP(($F$16-$F$15)-1,AC$100:AG171,5,FALSE)))*EXP(-(LN(2)/$D$65+0.04)*(VLOOKUP(($F$16-$F$15)*2-1,AC$100:AG171,4,FALSE)))*EXP(-(LN(2)/$D$65+0.1)*(VLOOKUP(($F$16-$F$15)*2-1,AC$100:AG171,5,FALSE)))*EXP(-(LN(2)/$D$65+0.04)*AF171)*EXP(-(LN(2)/$D$65+0.1)*AG171),"-"))),"-")</f>
        <v>-</v>
      </c>
      <c r="AK171" s="227">
        <f t="shared" si="137"/>
        <v>71</v>
      </c>
      <c r="AL171" s="226" t="str">
        <f t="shared" si="111"/>
        <v>-</v>
      </c>
      <c r="AM171" s="227" t="str">
        <f t="shared" si="138"/>
        <v>-</v>
      </c>
      <c r="AN171" s="227" t="str">
        <f t="shared" si="139"/>
        <v>-</v>
      </c>
      <c r="AO171" s="227" t="str">
        <f t="shared" si="112"/>
        <v>-</v>
      </c>
      <c r="AP171" s="273">
        <f t="shared" si="140"/>
        <v>0.1</v>
      </c>
      <c r="AQ171" s="271" t="str">
        <f>IFERROR(IF(AL170=1,AQ$100*EXP(-(LN(2)/$D$65+0.04)*AN170)*EXP(-(LN(2)/$D$65+0.1)*AO170),IF(AL170=2,AQ$100*EXP(-(LN(2)/$D$65+0.04)*(VLOOKUP(($F$16-$F$15)-1,AK$99:AO170,4,FALSE)))*EXP(-(LN(2)/$D$65+0.1)*(VLOOKUP(($F$16-$F$15)-1,AK$99:AO170,5,FALSE)))*EXP(-(LN(2)/$D$65+0.04)*AN170)*EXP(-(LN(2)/$D$65+0.1)*AO170),IF(AL170=3,AQ$100*EXP(-(LN(2)/$D$65+0.04)*(VLOOKUP(($F$16-$F$15)-1,AK$99:AO170,4,FALSE)))*EXP(-(LN(2)/$D$65+0.1)*(VLOOKUP(($F$16-$F$15)-1,AK$99:AO170,5,FALSE)))*EXP(-(LN(2)/$D$65+0.04)*(VLOOKUP(($F$16-$F$15)*2-1,AK$99:AO170,4,FALSE)))*EXP(-(LN(2)/$D$65+0.1)*(VLOOKUP(($F$16-$F$15)*2-1,AK$99:AO170,5,FALSE)))*EXP(-(LN(2)/$D$65+0.04)*AN170)*EXP(-(LN(2)/$D$65+0.1)*AO170),"-"))),"-")</f>
        <v>-</v>
      </c>
      <c r="AR171" s="271" t="str">
        <f>IFERROR(IF(AL171=1,AR$100*EXP(-(LN(2)/$D$65+0.04)*AN171)*EXP(-(LN(2)/$D$65+0.1)*AO171),IF(AL171=2,AR$100*EXP(-(LN(2)/$D$65+0.04)*(VLOOKUP(($F$16-$F$15)-1,AK$100:AO171,4,FALSE)))*EXP(-(LN(2)/$D$65+0.1)*(VLOOKUP(($F$16-$F$15)-1,AK$100:AO171,5,FALSE)))*EXP(-(LN(2)/$D$65+0.04)*AN171)*EXP(-(LN(2)/$D$65+0.1)*AO171),IF(AL171=3,AR$100*EXP(-(LN(2)/$D$65+0.04)*(VLOOKUP(($F$16-$F$15)-1,AK$100:AO171,4,FALSE)))*EXP(-(LN(2)/$D$65+0.1)*(VLOOKUP(($F$16-$F$15)-1,AK$100:AO171,5,FALSE)))*EXP(-(LN(2)/$D$65+0.04)*(VLOOKUP(($F$16-$F$15)*2-1,AK$100:AO171,4,FALSE)))*EXP(-(LN(2)/$D$65+0.1)*(VLOOKUP(($F$16-$F$15)*2-1,AK$100:AO171,5,FALSE)))*EXP(-(LN(2)/$D$65+0.04)*AN171)*EXP(-(LN(2)/$D$65+0.1)*AO171),"-"))),"-")</f>
        <v>-</v>
      </c>
      <c r="AS171" s="274">
        <f t="shared" si="113"/>
        <v>0</v>
      </c>
      <c r="AT171" s="274">
        <f t="shared" si="114"/>
        <v>0</v>
      </c>
      <c r="AU171" s="274">
        <f t="shared" si="115"/>
        <v>0</v>
      </c>
      <c r="AV171" s="190">
        <f>IF($B171&lt;$F$22,SUM($T$100:$T171),"")</f>
        <v>0</v>
      </c>
      <c r="AW171" s="190" t="str">
        <f t="shared" si="116"/>
        <v>-</v>
      </c>
      <c r="AX171" s="190" t="str">
        <f t="shared" si="141"/>
        <v/>
      </c>
      <c r="AY171"/>
      <c r="AZ171" s="190" t="str">
        <f ca="1">IF(ISNUMBER(OFFSET(AV171,-$F$21,0)),SUM(OFFSET($T$100,$F$21,0):$T171),"")</f>
        <v/>
      </c>
      <c r="BA171" s="190" t="str">
        <f t="shared" ca="1" si="117"/>
        <v/>
      </c>
      <c r="BB171" s="190" t="str">
        <f t="shared" ca="1" si="70"/>
        <v/>
      </c>
      <c r="BC171" s="190"/>
      <c r="BD171" s="190" t="str">
        <f ca="1">IFERROR(IF(AND($B171&gt;=($F$16-$F$15),$B171&lt;$F$22+($F$16-$F$15)),SUM(OFFSET($T$100,($F$16-$F$15),0):$T171),""),"")</f>
        <v/>
      </c>
      <c r="BE171" s="190" t="str">
        <f t="shared" ca="1" si="142"/>
        <v/>
      </c>
      <c r="BF171" s="190" t="str">
        <f t="shared" ca="1" si="143"/>
        <v/>
      </c>
      <c r="BG171"/>
      <c r="BH171" s="190" t="str">
        <f ca="1">IF(ISNUMBER(OFFSET(BD171,-$F$21,0)),SUM(OFFSET($T$100,($F$16-$F$15+$F$21),0):$T171),"")</f>
        <v/>
      </c>
      <c r="BI171" s="190" t="str">
        <f t="shared" ca="1" si="118"/>
        <v/>
      </c>
      <c r="BJ171" s="190" t="str">
        <f t="shared" ca="1" si="144"/>
        <v/>
      </c>
      <c r="BK171" s="190"/>
      <c r="BL171" s="190" t="str">
        <f ca="1">IFERROR(IF(AND($B171&gt;=($F$17-$F$15),$B171&lt;$F$22+($F$17-$F$15)),SUM(OFFSET($T$100,($F$17-$F$15),0):$T171),""),"")</f>
        <v/>
      </c>
      <c r="BM171" s="190" t="str">
        <f t="shared" ca="1" si="119"/>
        <v/>
      </c>
      <c r="BN171" s="190" t="str">
        <f t="shared" ca="1" si="145"/>
        <v/>
      </c>
      <c r="BO171"/>
      <c r="BP171" s="190" t="str">
        <f ca="1">IF(ISNUMBER(OFFSET(BL171,-$F$21,0)),SUM(OFFSET($T$100,($F$17-$F$15+$F$21),0):$T171),"")</f>
        <v/>
      </c>
      <c r="BQ171" s="190" t="str">
        <f t="shared" ca="1" si="120"/>
        <v/>
      </c>
      <c r="BR171" s="190" t="str">
        <f t="shared" ca="1" si="146"/>
        <v/>
      </c>
      <c r="BS171" s="190"/>
      <c r="BT171"/>
      <c r="BU171"/>
      <c r="BV171"/>
      <c r="BY171" s="99"/>
      <c r="BZ171" s="99"/>
      <c r="CA171" s="280" t="str">
        <f t="shared" si="121"/>
        <v/>
      </c>
      <c r="CB171" s="71" t="str">
        <f t="shared" si="122"/>
        <v>-</v>
      </c>
      <c r="CC171" s="33"/>
      <c r="CD171" s="261" t="str">
        <f t="shared" si="123"/>
        <v/>
      </c>
      <c r="CE171" s="280" t="str">
        <f t="shared" si="124"/>
        <v>-</v>
      </c>
      <c r="CF171" s="71" t="str">
        <f t="shared" ca="1" si="125"/>
        <v>-</v>
      </c>
      <c r="CG171" s="33" t="str">
        <f t="shared" si="126"/>
        <v>71-72</v>
      </c>
      <c r="CH171" s="261" t="str">
        <f t="shared" ca="1" si="127"/>
        <v/>
      </c>
      <c r="CI171" s="99"/>
      <c r="CJ171" s="99"/>
      <c r="CK171" s="99"/>
      <c r="CL171" s="99"/>
      <c r="CM171" s="99"/>
      <c r="CN171" s="99"/>
      <c r="CO171" s="99"/>
    </row>
    <row r="172" spans="2:93" ht="13.5" customHeight="1" x14ac:dyDescent="0.2">
      <c r="B172" s="262">
        <v>72</v>
      </c>
      <c r="C172" s="237" t="str">
        <f t="shared" si="91"/>
        <v/>
      </c>
      <c r="D172" s="237" t="str">
        <f t="shared" si="147"/>
        <v>-</v>
      </c>
      <c r="E172" s="290" t="str">
        <f t="shared" si="128"/>
        <v/>
      </c>
      <c r="F172" s="264" t="str">
        <f t="shared" si="129"/>
        <v/>
      </c>
      <c r="G172" s="291" t="str">
        <f t="shared" si="130"/>
        <v/>
      </c>
      <c r="H172" s="240" t="str">
        <f t="shared" si="92"/>
        <v/>
      </c>
      <c r="I172" s="265" t="str">
        <f t="shared" si="93"/>
        <v/>
      </c>
      <c r="J172" s="265" t="str">
        <f t="shared" si="94"/>
        <v/>
      </c>
      <c r="K172" s="240" t="str">
        <f t="shared" si="95"/>
        <v/>
      </c>
      <c r="L172" s="265" t="str">
        <f t="shared" si="96"/>
        <v/>
      </c>
      <c r="M172" s="265" t="str">
        <f t="shared" si="97"/>
        <v/>
      </c>
      <c r="N172" s="240" t="str">
        <f t="shared" si="98"/>
        <v>-</v>
      </c>
      <c r="O172" s="265" t="str">
        <f t="shared" si="99"/>
        <v>-</v>
      </c>
      <c r="P172" s="265" t="str">
        <f t="shared" si="100"/>
        <v>-</v>
      </c>
      <c r="Q172" s="266" t="str">
        <f t="shared" si="101"/>
        <v>-</v>
      </c>
      <c r="R172" s="267" t="str">
        <f t="shared" si="102"/>
        <v>-</v>
      </c>
      <c r="S172" s="268" t="str">
        <f t="shared" si="103"/>
        <v>-</v>
      </c>
      <c r="T172" s="269" t="str">
        <f t="shared" si="104"/>
        <v/>
      </c>
      <c r="U172" s="221">
        <f t="shared" si="105"/>
        <v>72</v>
      </c>
      <c r="V172" s="220" t="str">
        <f t="shared" si="131"/>
        <v>-</v>
      </c>
      <c r="W172" s="221" t="str">
        <f t="shared" si="132"/>
        <v>-</v>
      </c>
      <c r="X172" s="221" t="str">
        <f t="shared" si="106"/>
        <v>-</v>
      </c>
      <c r="Y172" s="221" t="str">
        <f t="shared" si="107"/>
        <v>-</v>
      </c>
      <c r="Z172" s="270">
        <f t="shared" si="133"/>
        <v>0.1</v>
      </c>
      <c r="AA172" s="271" t="str">
        <f>IFERROR(IF(V171=1,AA$100*EXP(-(LN(2)/$D$65+0.04)*X171)*EXP(-(LN(2)/$D$65+0.1)*Y171),IF(V171=2,AA$100*EXP(-(LN(2)/$D$65+0.04)*(VLOOKUP(($F$16-$F$15)-1,U$99:Y171,4,FALSE)))*EXP(-(LN(2)/$D$65+0.1)*(VLOOKUP(($F$16-$F$15)-1,U$99:Y171,5,FALSE)))*EXP(-(LN(2)/$D$65+0.04)*X171)*EXP(-(LN(2)/$D$65+0.1)*Y171),IF(V171=3,AA$100*EXP(-(LN(2)/$D$65+0.04)*(VLOOKUP(($F$16-$F$15)-1,U$99:Y171,4,FALSE)))*EXP(-(LN(2)/$D$65+0.1)*(VLOOKUP(($F$16-$F$15)-1,U$99:Y171,5,FALSE)))*EXP(-(LN(2)/$D$65+0.04)*(VLOOKUP(($F$16-$F$15)*2-1,U$99:Y171,4,FALSE)))*EXP(-(LN(2)/$D$65+0.1)*(VLOOKUP(($F$16-$F$15)*2-1,U$99:Y171,5,FALSE)))*EXP(-(LN(2)/$D$65+0.04)*X171)*EXP(-(LN(2)/$D$65+0.1)*Y171),"-"))),"-")</f>
        <v>-</v>
      </c>
      <c r="AB172" s="271" t="str">
        <f>IFERROR(IF(V172=1,AB$100*EXP(-(LN(2)/$D$65+0.04)*X172)*EXP(-(LN(2)/$D$65+0.1)*Y172),IF(V172=2,AB$100*EXP(-(LN(2)/$D$65+0.04)*(VLOOKUP(($F$16-$F$15)-1,U$100:Y172,4,FALSE)))*EXP(-(LN(2)/$D$65+0.1)*(VLOOKUP(($F$16-$F$15)-1,U$100:Y172,5,FALSE)))*EXP(-(LN(2)/$D$65+0.04)*X172)*EXP(-(LN(2)/$D$65+0.1)*Y172),IF(V172=3,AB$100*EXP(-(LN(2)/$D$65+0.04)*(VLOOKUP(($F$16-$F$15)-1,U$100:Y172,4,FALSE)))*EXP(-(LN(2)/$D$65+0.1)*(VLOOKUP(($F$16-$F$15)-1,U$100:Y172,5,FALSE)))*EXP(-(LN(2)/$D$65+0.04)*(VLOOKUP(($F$16-$F$15)*2-1,U$100:Y172,4,FALSE)))*EXP(-(LN(2)/$D$65+0.1)*(VLOOKUP(($F$16-$F$15)*2-1,U$100:Y172,5,FALSE)))*EXP(-(LN(2)/$D$65+0.04)*X172)*EXP(-(LN(2)/$D$65+0.1)*Y172),"-"))),"-")</f>
        <v>-</v>
      </c>
      <c r="AC172" s="224">
        <f t="shared" si="134"/>
        <v>72</v>
      </c>
      <c r="AD172" s="223" t="str">
        <f t="shared" si="108"/>
        <v>-</v>
      </c>
      <c r="AE172" s="224" t="str">
        <f t="shared" si="135"/>
        <v>-</v>
      </c>
      <c r="AF172" s="224" t="str">
        <f t="shared" si="109"/>
        <v>-</v>
      </c>
      <c r="AG172" s="224" t="str">
        <f t="shared" si="110"/>
        <v>-</v>
      </c>
      <c r="AH172" s="272">
        <f t="shared" si="136"/>
        <v>0.1</v>
      </c>
      <c r="AI172" s="271" t="str">
        <f>IFERROR(IF(AD171=1,AI$100*EXP(-(LN(2)/$D$65+0.04)*AF171)*EXP(-(LN(2)/$D$65+0.1)*AG171),IF(AD171=2,AI$100*EXP(-(LN(2)/$D$65+0.04)*(VLOOKUP(($F$16-$F$15)-1,AC$99:AG171,4,FALSE)))*EXP(-(LN(2)/$D$65+0.1)*(VLOOKUP(($F$16-$F$15)-1,AC$99:AG171,5,FALSE)))*EXP(-(LN(2)/$D$65+0.04)*AF171)*EXP(-(LN(2)/$D$65+0.1)*AG171),IF(AD171=3,AI$100*EXP(-(LN(2)/$D$65+0.04)*(VLOOKUP(($F$16-$F$15)-1,AC$99:AG171,4,FALSE)))*EXP(-(LN(2)/$D$65+0.1)*(VLOOKUP(($F$16-$F$15)-1,AC$99:AG171,5,FALSE)))*EXP(-(LN(2)/$D$65+0.04)*(VLOOKUP(($F$16-$F$15)*2-1,AC$99:AG171,4,FALSE)))*EXP(-(LN(2)/$D$65+0.1)*(VLOOKUP(($F$16-$F$15)*2-1,AC$99:AG171,5,FALSE)))*EXP(-(LN(2)/$D$65+0.04)*AF171)*EXP(-(LN(2)/$D$65+0.1)*AG171),"-"))),"-")</f>
        <v>-</v>
      </c>
      <c r="AJ172" s="271" t="str">
        <f>IFERROR(IF(AD172=1,AJ$100*EXP(-(LN(2)/$D$65+0.04)*AF172)*EXP(-(LN(2)/$D$65+0.1)*AG172),IF(AD172=2,AJ$100*EXP(-(LN(2)/$D$65+0.04)*(VLOOKUP(($F$16-$F$15)-1,AC$100:AG172,4,FALSE)))*EXP(-(LN(2)/$D$65+0.1)*(VLOOKUP(($F$16-$F$15)-1,AC$100:AG172,5,FALSE)))*EXP(-(LN(2)/$D$65+0.04)*AF172)*EXP(-(LN(2)/$D$65+0.1)*AG172),IF(AD172=3,AJ$100*EXP(-(LN(2)/$D$65+0.04)*(VLOOKUP(($F$16-$F$15)-1,AC$100:AG172,4,FALSE)))*EXP(-(LN(2)/$D$65+0.1)*(VLOOKUP(($F$16-$F$15)-1,AC$100:AG172,5,FALSE)))*EXP(-(LN(2)/$D$65+0.04)*(VLOOKUP(($F$16-$F$15)*2-1,AC$100:AG172,4,FALSE)))*EXP(-(LN(2)/$D$65+0.1)*(VLOOKUP(($F$16-$F$15)*2-1,AC$100:AG172,5,FALSE)))*EXP(-(LN(2)/$D$65+0.04)*AF172)*EXP(-(LN(2)/$D$65+0.1)*AG172),"-"))),"-")</f>
        <v>-</v>
      </c>
      <c r="AK172" s="227">
        <f t="shared" si="137"/>
        <v>72</v>
      </c>
      <c r="AL172" s="226" t="str">
        <f t="shared" si="111"/>
        <v>-</v>
      </c>
      <c r="AM172" s="227" t="str">
        <f t="shared" si="138"/>
        <v>-</v>
      </c>
      <c r="AN172" s="227" t="str">
        <f t="shared" si="139"/>
        <v>-</v>
      </c>
      <c r="AO172" s="227" t="str">
        <f t="shared" si="112"/>
        <v>-</v>
      </c>
      <c r="AP172" s="273">
        <f t="shared" si="140"/>
        <v>0.1</v>
      </c>
      <c r="AQ172" s="271" t="str">
        <f>IFERROR(IF(AL171=1,AQ$100*EXP(-(LN(2)/$D$65+0.04)*AN171)*EXP(-(LN(2)/$D$65+0.1)*AO171),IF(AL171=2,AQ$100*EXP(-(LN(2)/$D$65+0.04)*(VLOOKUP(($F$16-$F$15)-1,AK$99:AO171,4,FALSE)))*EXP(-(LN(2)/$D$65+0.1)*(VLOOKUP(($F$16-$F$15)-1,AK$99:AO171,5,FALSE)))*EXP(-(LN(2)/$D$65+0.04)*AN171)*EXP(-(LN(2)/$D$65+0.1)*AO171),IF(AL171=3,AQ$100*EXP(-(LN(2)/$D$65+0.04)*(VLOOKUP(($F$16-$F$15)-1,AK$99:AO171,4,FALSE)))*EXP(-(LN(2)/$D$65+0.1)*(VLOOKUP(($F$16-$F$15)-1,AK$99:AO171,5,FALSE)))*EXP(-(LN(2)/$D$65+0.04)*(VLOOKUP(($F$16-$F$15)*2-1,AK$99:AO171,4,FALSE)))*EXP(-(LN(2)/$D$65+0.1)*(VLOOKUP(($F$16-$F$15)*2-1,AK$99:AO171,5,FALSE)))*EXP(-(LN(2)/$D$65+0.04)*AN171)*EXP(-(LN(2)/$D$65+0.1)*AO171),"-"))),"-")</f>
        <v>-</v>
      </c>
      <c r="AR172" s="271" t="str">
        <f>IFERROR(IF(AL172=1,AR$100*EXP(-(LN(2)/$D$65+0.04)*AN172)*EXP(-(LN(2)/$D$65+0.1)*AO172),IF(AL172=2,AR$100*EXP(-(LN(2)/$D$65+0.04)*(VLOOKUP(($F$16-$F$15)-1,AK$100:AO172,4,FALSE)))*EXP(-(LN(2)/$D$65+0.1)*(VLOOKUP(($F$16-$F$15)-1,AK$100:AO172,5,FALSE)))*EXP(-(LN(2)/$D$65+0.04)*AN172)*EXP(-(LN(2)/$D$65+0.1)*AO172),IF(AL172=3,AR$100*EXP(-(LN(2)/$D$65+0.04)*(VLOOKUP(($F$16-$F$15)-1,AK$100:AO172,4,FALSE)))*EXP(-(LN(2)/$D$65+0.1)*(VLOOKUP(($F$16-$F$15)-1,AK$100:AO172,5,FALSE)))*EXP(-(LN(2)/$D$65+0.04)*(VLOOKUP(($F$16-$F$15)*2-1,AK$100:AO172,4,FALSE)))*EXP(-(LN(2)/$D$65+0.1)*(VLOOKUP(($F$16-$F$15)*2-1,AK$100:AO172,5,FALSE)))*EXP(-(LN(2)/$D$65+0.04)*AN172)*EXP(-(LN(2)/$D$65+0.1)*AO172),"-"))),"-")</f>
        <v>-</v>
      </c>
      <c r="AS172" s="274">
        <f t="shared" si="113"/>
        <v>0</v>
      </c>
      <c r="AT172" s="274">
        <f t="shared" si="114"/>
        <v>0</v>
      </c>
      <c r="AU172" s="274">
        <f t="shared" si="115"/>
        <v>0</v>
      </c>
      <c r="AV172" s="190">
        <f>IF($B172&lt;$F$22,SUM($T$100:$T172),"")</f>
        <v>0</v>
      </c>
      <c r="AW172" s="190" t="str">
        <f t="shared" si="116"/>
        <v>-</v>
      </c>
      <c r="AX172" s="190" t="str">
        <f t="shared" si="141"/>
        <v/>
      </c>
      <c r="AY172"/>
      <c r="AZ172" s="190" t="str">
        <f ca="1">IF(ISNUMBER(OFFSET(AV172,-$F$21,0)),SUM(OFFSET($T$100,$F$21,0):$T172),"")</f>
        <v/>
      </c>
      <c r="BA172" s="190" t="str">
        <f t="shared" ca="1" si="117"/>
        <v/>
      </c>
      <c r="BB172" s="190" t="str">
        <f t="shared" ca="1" si="70"/>
        <v/>
      </c>
      <c r="BC172" s="190"/>
      <c r="BD172" s="190" t="str">
        <f ca="1">IFERROR(IF(AND($B172&gt;=($F$16-$F$15),$B172&lt;$F$22+($F$16-$F$15)),SUM(OFFSET($T$100,($F$16-$F$15),0):$T172),""),"")</f>
        <v/>
      </c>
      <c r="BE172" s="190" t="str">
        <f t="shared" ca="1" si="142"/>
        <v/>
      </c>
      <c r="BF172" s="190" t="str">
        <f t="shared" ca="1" si="143"/>
        <v/>
      </c>
      <c r="BG172"/>
      <c r="BH172" s="190" t="str">
        <f ca="1">IF(ISNUMBER(OFFSET(BD172,-$F$21,0)),SUM(OFFSET($T$100,($F$16-$F$15+$F$21),0):$T172),"")</f>
        <v/>
      </c>
      <c r="BI172" s="190" t="str">
        <f t="shared" ca="1" si="118"/>
        <v/>
      </c>
      <c r="BJ172" s="190" t="str">
        <f t="shared" ca="1" si="144"/>
        <v/>
      </c>
      <c r="BK172" s="190"/>
      <c r="BL172" s="190" t="str">
        <f ca="1">IFERROR(IF(AND($B172&gt;=($F$17-$F$15),$B172&lt;$F$22+($F$17-$F$15)),SUM(OFFSET($T$100,($F$17-$F$15),0):$T172),""),"")</f>
        <v/>
      </c>
      <c r="BM172" s="190" t="str">
        <f t="shared" ca="1" si="119"/>
        <v/>
      </c>
      <c r="BN172" s="190" t="str">
        <f t="shared" ca="1" si="145"/>
        <v/>
      </c>
      <c r="BO172"/>
      <c r="BP172" s="190" t="str">
        <f ca="1">IF(ISNUMBER(OFFSET(BL172,-$F$21,0)),SUM(OFFSET($T$100,($F$17-$F$15+$F$21),0):$T172),"")</f>
        <v/>
      </c>
      <c r="BQ172" s="190" t="str">
        <f t="shared" ca="1" si="120"/>
        <v/>
      </c>
      <c r="BR172" s="190" t="str">
        <f t="shared" ca="1" si="146"/>
        <v/>
      </c>
      <c r="BS172" s="190"/>
      <c r="BT172"/>
      <c r="BU172"/>
      <c r="BV172"/>
      <c r="BY172" s="99"/>
      <c r="BZ172" s="99"/>
      <c r="CA172" s="280" t="str">
        <f t="shared" si="121"/>
        <v/>
      </c>
      <c r="CB172" s="71" t="str">
        <f t="shared" si="122"/>
        <v>-</v>
      </c>
      <c r="CC172" s="33"/>
      <c r="CD172" s="261" t="str">
        <f t="shared" si="123"/>
        <v/>
      </c>
      <c r="CE172" s="280" t="str">
        <f t="shared" si="124"/>
        <v>-</v>
      </c>
      <c r="CF172" s="71" t="str">
        <f t="shared" ca="1" si="125"/>
        <v>-</v>
      </c>
      <c r="CG172" s="33" t="str">
        <f t="shared" si="126"/>
        <v>72-73</v>
      </c>
      <c r="CH172" s="261" t="str">
        <f t="shared" ca="1" si="127"/>
        <v/>
      </c>
      <c r="CI172" s="99"/>
      <c r="CJ172" s="99"/>
      <c r="CK172" s="99"/>
      <c r="CL172" s="99"/>
      <c r="CM172" s="99"/>
      <c r="CN172" s="99"/>
      <c r="CO172" s="99"/>
    </row>
    <row r="173" spans="2:93" ht="13.5" customHeight="1" x14ac:dyDescent="0.2">
      <c r="B173" s="262">
        <v>73</v>
      </c>
      <c r="C173" s="237" t="str">
        <f t="shared" si="91"/>
        <v/>
      </c>
      <c r="D173" s="237" t="str">
        <f t="shared" si="147"/>
        <v>-</v>
      </c>
      <c r="E173" s="290" t="str">
        <f t="shared" si="128"/>
        <v/>
      </c>
      <c r="F173" s="264" t="str">
        <f t="shared" si="129"/>
        <v/>
      </c>
      <c r="G173" s="291" t="str">
        <f t="shared" si="130"/>
        <v/>
      </c>
      <c r="H173" s="240" t="str">
        <f t="shared" si="92"/>
        <v/>
      </c>
      <c r="I173" s="265" t="str">
        <f t="shared" si="93"/>
        <v/>
      </c>
      <c r="J173" s="265" t="str">
        <f t="shared" si="94"/>
        <v/>
      </c>
      <c r="K173" s="240" t="str">
        <f t="shared" si="95"/>
        <v/>
      </c>
      <c r="L173" s="265" t="str">
        <f t="shared" si="96"/>
        <v/>
      </c>
      <c r="M173" s="265" t="str">
        <f t="shared" si="97"/>
        <v/>
      </c>
      <c r="N173" s="240" t="str">
        <f t="shared" si="98"/>
        <v>-</v>
      </c>
      <c r="O173" s="265" t="str">
        <f t="shared" si="99"/>
        <v>-</v>
      </c>
      <c r="P173" s="265" t="str">
        <f t="shared" si="100"/>
        <v>-</v>
      </c>
      <c r="Q173" s="266" t="str">
        <f t="shared" si="101"/>
        <v>-</v>
      </c>
      <c r="R173" s="267" t="str">
        <f t="shared" si="102"/>
        <v>-</v>
      </c>
      <c r="S173" s="268" t="str">
        <f t="shared" si="103"/>
        <v>-</v>
      </c>
      <c r="T173" s="269" t="str">
        <f t="shared" si="104"/>
        <v/>
      </c>
      <c r="U173" s="221">
        <f t="shared" si="105"/>
        <v>73</v>
      </c>
      <c r="V173" s="220" t="str">
        <f t="shared" si="131"/>
        <v>-</v>
      </c>
      <c r="W173" s="221" t="str">
        <f t="shared" si="132"/>
        <v>-</v>
      </c>
      <c r="X173" s="221" t="str">
        <f t="shared" si="106"/>
        <v>-</v>
      </c>
      <c r="Y173" s="221" t="str">
        <f t="shared" si="107"/>
        <v>-</v>
      </c>
      <c r="Z173" s="270">
        <f t="shared" si="133"/>
        <v>0.1</v>
      </c>
      <c r="AA173" s="271" t="str">
        <f>IFERROR(IF(V172=1,AA$100*EXP(-(LN(2)/$D$65+0.04)*X172)*EXP(-(LN(2)/$D$65+0.1)*Y172),IF(V172=2,AA$100*EXP(-(LN(2)/$D$65+0.04)*(VLOOKUP(($F$16-$F$15)-1,U$99:Y172,4,FALSE)))*EXP(-(LN(2)/$D$65+0.1)*(VLOOKUP(($F$16-$F$15)-1,U$99:Y172,5,FALSE)))*EXP(-(LN(2)/$D$65+0.04)*X172)*EXP(-(LN(2)/$D$65+0.1)*Y172),IF(V172=3,AA$100*EXP(-(LN(2)/$D$65+0.04)*(VLOOKUP(($F$16-$F$15)-1,U$99:Y172,4,FALSE)))*EXP(-(LN(2)/$D$65+0.1)*(VLOOKUP(($F$16-$F$15)-1,U$99:Y172,5,FALSE)))*EXP(-(LN(2)/$D$65+0.04)*(VLOOKUP(($F$16-$F$15)*2-1,U$99:Y172,4,FALSE)))*EXP(-(LN(2)/$D$65+0.1)*(VLOOKUP(($F$16-$F$15)*2-1,U$99:Y172,5,FALSE)))*EXP(-(LN(2)/$D$65+0.04)*X172)*EXP(-(LN(2)/$D$65+0.1)*Y172),"-"))),"-")</f>
        <v>-</v>
      </c>
      <c r="AB173" s="271" t="str">
        <f>IFERROR(IF(V173=1,AB$100*EXP(-(LN(2)/$D$65+0.04)*X173)*EXP(-(LN(2)/$D$65+0.1)*Y173),IF(V173=2,AB$100*EXP(-(LN(2)/$D$65+0.04)*(VLOOKUP(($F$16-$F$15)-1,U$100:Y173,4,FALSE)))*EXP(-(LN(2)/$D$65+0.1)*(VLOOKUP(($F$16-$F$15)-1,U$100:Y173,5,FALSE)))*EXP(-(LN(2)/$D$65+0.04)*X173)*EXP(-(LN(2)/$D$65+0.1)*Y173),IF(V173=3,AB$100*EXP(-(LN(2)/$D$65+0.04)*(VLOOKUP(($F$16-$F$15)-1,U$100:Y173,4,FALSE)))*EXP(-(LN(2)/$D$65+0.1)*(VLOOKUP(($F$16-$F$15)-1,U$100:Y173,5,FALSE)))*EXP(-(LN(2)/$D$65+0.04)*(VLOOKUP(($F$16-$F$15)*2-1,U$100:Y173,4,FALSE)))*EXP(-(LN(2)/$D$65+0.1)*(VLOOKUP(($F$16-$F$15)*2-1,U$100:Y173,5,FALSE)))*EXP(-(LN(2)/$D$65+0.04)*X173)*EXP(-(LN(2)/$D$65+0.1)*Y173),"-"))),"-")</f>
        <v>-</v>
      </c>
      <c r="AC173" s="224">
        <f t="shared" si="134"/>
        <v>73</v>
      </c>
      <c r="AD173" s="223" t="str">
        <f t="shared" si="108"/>
        <v>-</v>
      </c>
      <c r="AE173" s="224" t="str">
        <f t="shared" si="135"/>
        <v>-</v>
      </c>
      <c r="AF173" s="224" t="str">
        <f t="shared" si="109"/>
        <v>-</v>
      </c>
      <c r="AG173" s="224" t="str">
        <f t="shared" si="110"/>
        <v>-</v>
      </c>
      <c r="AH173" s="272">
        <f t="shared" si="136"/>
        <v>0.1</v>
      </c>
      <c r="AI173" s="271" t="str">
        <f>IFERROR(IF(AD172=1,AI$100*EXP(-(LN(2)/$D$65+0.04)*AF172)*EXP(-(LN(2)/$D$65+0.1)*AG172),IF(AD172=2,AI$100*EXP(-(LN(2)/$D$65+0.04)*(VLOOKUP(($F$16-$F$15)-1,AC$99:AG172,4,FALSE)))*EXP(-(LN(2)/$D$65+0.1)*(VLOOKUP(($F$16-$F$15)-1,AC$99:AG172,5,FALSE)))*EXP(-(LN(2)/$D$65+0.04)*AF172)*EXP(-(LN(2)/$D$65+0.1)*AG172),IF(AD172=3,AI$100*EXP(-(LN(2)/$D$65+0.04)*(VLOOKUP(($F$16-$F$15)-1,AC$99:AG172,4,FALSE)))*EXP(-(LN(2)/$D$65+0.1)*(VLOOKUP(($F$16-$F$15)-1,AC$99:AG172,5,FALSE)))*EXP(-(LN(2)/$D$65+0.04)*(VLOOKUP(($F$16-$F$15)*2-1,AC$99:AG172,4,FALSE)))*EXP(-(LN(2)/$D$65+0.1)*(VLOOKUP(($F$16-$F$15)*2-1,AC$99:AG172,5,FALSE)))*EXP(-(LN(2)/$D$65+0.04)*AF172)*EXP(-(LN(2)/$D$65+0.1)*AG172),"-"))),"-")</f>
        <v>-</v>
      </c>
      <c r="AJ173" s="271" t="str">
        <f>IFERROR(IF(AD173=1,AJ$100*EXP(-(LN(2)/$D$65+0.04)*AF173)*EXP(-(LN(2)/$D$65+0.1)*AG173),IF(AD173=2,AJ$100*EXP(-(LN(2)/$D$65+0.04)*(VLOOKUP(($F$16-$F$15)-1,AC$100:AG173,4,FALSE)))*EXP(-(LN(2)/$D$65+0.1)*(VLOOKUP(($F$16-$F$15)-1,AC$100:AG173,5,FALSE)))*EXP(-(LN(2)/$D$65+0.04)*AF173)*EXP(-(LN(2)/$D$65+0.1)*AG173),IF(AD173=3,AJ$100*EXP(-(LN(2)/$D$65+0.04)*(VLOOKUP(($F$16-$F$15)-1,AC$100:AG173,4,FALSE)))*EXP(-(LN(2)/$D$65+0.1)*(VLOOKUP(($F$16-$F$15)-1,AC$100:AG173,5,FALSE)))*EXP(-(LN(2)/$D$65+0.04)*(VLOOKUP(($F$16-$F$15)*2-1,AC$100:AG173,4,FALSE)))*EXP(-(LN(2)/$D$65+0.1)*(VLOOKUP(($F$16-$F$15)*2-1,AC$100:AG173,5,FALSE)))*EXP(-(LN(2)/$D$65+0.04)*AF173)*EXP(-(LN(2)/$D$65+0.1)*AG173),"-"))),"-")</f>
        <v>-</v>
      </c>
      <c r="AK173" s="227">
        <f t="shared" si="137"/>
        <v>73</v>
      </c>
      <c r="AL173" s="226" t="str">
        <f t="shared" si="111"/>
        <v>-</v>
      </c>
      <c r="AM173" s="227" t="str">
        <f t="shared" si="138"/>
        <v>-</v>
      </c>
      <c r="AN173" s="227" t="str">
        <f t="shared" si="139"/>
        <v>-</v>
      </c>
      <c r="AO173" s="227" t="str">
        <f t="shared" si="112"/>
        <v>-</v>
      </c>
      <c r="AP173" s="273">
        <f t="shared" si="140"/>
        <v>0.1</v>
      </c>
      <c r="AQ173" s="271" t="str">
        <f>IFERROR(IF(AL172=1,AQ$100*EXP(-(LN(2)/$D$65+0.04)*AN172)*EXP(-(LN(2)/$D$65+0.1)*AO172),IF(AL172=2,AQ$100*EXP(-(LN(2)/$D$65+0.04)*(VLOOKUP(($F$16-$F$15)-1,AK$99:AO172,4,FALSE)))*EXP(-(LN(2)/$D$65+0.1)*(VLOOKUP(($F$16-$F$15)-1,AK$99:AO172,5,FALSE)))*EXP(-(LN(2)/$D$65+0.04)*AN172)*EXP(-(LN(2)/$D$65+0.1)*AO172),IF(AL172=3,AQ$100*EXP(-(LN(2)/$D$65+0.04)*(VLOOKUP(($F$16-$F$15)-1,AK$99:AO172,4,FALSE)))*EXP(-(LN(2)/$D$65+0.1)*(VLOOKUP(($F$16-$F$15)-1,AK$99:AO172,5,FALSE)))*EXP(-(LN(2)/$D$65+0.04)*(VLOOKUP(($F$16-$F$15)*2-1,AK$99:AO172,4,FALSE)))*EXP(-(LN(2)/$D$65+0.1)*(VLOOKUP(($F$16-$F$15)*2-1,AK$99:AO172,5,FALSE)))*EXP(-(LN(2)/$D$65+0.04)*AN172)*EXP(-(LN(2)/$D$65+0.1)*AO172),"-"))),"-")</f>
        <v>-</v>
      </c>
      <c r="AR173" s="271" t="str">
        <f>IFERROR(IF(AL173=1,AR$100*EXP(-(LN(2)/$D$65+0.04)*AN173)*EXP(-(LN(2)/$D$65+0.1)*AO173),IF(AL173=2,AR$100*EXP(-(LN(2)/$D$65+0.04)*(VLOOKUP(($F$16-$F$15)-1,AK$100:AO173,4,FALSE)))*EXP(-(LN(2)/$D$65+0.1)*(VLOOKUP(($F$16-$F$15)-1,AK$100:AO173,5,FALSE)))*EXP(-(LN(2)/$D$65+0.04)*AN173)*EXP(-(LN(2)/$D$65+0.1)*AO173),IF(AL173=3,AR$100*EXP(-(LN(2)/$D$65+0.04)*(VLOOKUP(($F$16-$F$15)-1,AK$100:AO173,4,FALSE)))*EXP(-(LN(2)/$D$65+0.1)*(VLOOKUP(($F$16-$F$15)-1,AK$100:AO173,5,FALSE)))*EXP(-(LN(2)/$D$65+0.04)*(VLOOKUP(($F$16-$F$15)*2-1,AK$100:AO173,4,FALSE)))*EXP(-(LN(2)/$D$65+0.1)*(VLOOKUP(($F$16-$F$15)*2-1,AK$100:AO173,5,FALSE)))*EXP(-(LN(2)/$D$65+0.04)*AN173)*EXP(-(LN(2)/$D$65+0.1)*AO173),"-"))),"-")</f>
        <v>-</v>
      </c>
      <c r="AS173" s="274">
        <f t="shared" si="113"/>
        <v>0</v>
      </c>
      <c r="AT173" s="274">
        <f t="shared" si="114"/>
        <v>0</v>
      </c>
      <c r="AU173" s="274">
        <f t="shared" si="115"/>
        <v>0</v>
      </c>
      <c r="AV173" s="190">
        <f>IF($B173&lt;$F$22,SUM($T$100:$T173),"")</f>
        <v>0</v>
      </c>
      <c r="AW173" s="190" t="str">
        <f t="shared" si="116"/>
        <v>-</v>
      </c>
      <c r="AX173" s="190" t="str">
        <f t="shared" si="141"/>
        <v/>
      </c>
      <c r="AY173"/>
      <c r="AZ173" s="190" t="str">
        <f ca="1">IF(ISNUMBER(OFFSET(AV173,-$F$21,0)),SUM(OFFSET($T$100,$F$21,0):$T173),"")</f>
        <v/>
      </c>
      <c r="BA173" s="190" t="str">
        <f t="shared" ca="1" si="117"/>
        <v/>
      </c>
      <c r="BB173" s="190" t="str">
        <f t="shared" ca="1" si="70"/>
        <v/>
      </c>
      <c r="BC173" s="190"/>
      <c r="BD173" s="190" t="str">
        <f ca="1">IFERROR(IF(AND($B173&gt;=($F$16-$F$15),$B173&lt;$F$22+($F$16-$F$15)),SUM(OFFSET($T$100,($F$16-$F$15),0):$T173),""),"")</f>
        <v/>
      </c>
      <c r="BE173" s="190" t="str">
        <f t="shared" ca="1" si="142"/>
        <v/>
      </c>
      <c r="BF173" s="190" t="str">
        <f t="shared" ca="1" si="143"/>
        <v/>
      </c>
      <c r="BG173"/>
      <c r="BH173" s="190" t="str">
        <f ca="1">IF(ISNUMBER(OFFSET(BD173,-$F$21,0)),SUM(OFFSET($T$100,($F$16-$F$15+$F$21),0):$T173),"")</f>
        <v/>
      </c>
      <c r="BI173" s="190" t="str">
        <f t="shared" ca="1" si="118"/>
        <v/>
      </c>
      <c r="BJ173" s="190" t="str">
        <f t="shared" ca="1" si="144"/>
        <v/>
      </c>
      <c r="BK173" s="190"/>
      <c r="BL173" s="190" t="str">
        <f ca="1">IFERROR(IF(AND($B173&gt;=($F$17-$F$15),$B173&lt;$F$22+($F$17-$F$15)),SUM(OFFSET($T$100,($F$17-$F$15),0):$T173),""),"")</f>
        <v/>
      </c>
      <c r="BM173" s="190" t="str">
        <f t="shared" ca="1" si="119"/>
        <v/>
      </c>
      <c r="BN173" s="190" t="str">
        <f t="shared" ca="1" si="145"/>
        <v/>
      </c>
      <c r="BO173"/>
      <c r="BP173" s="190" t="str">
        <f ca="1">IF(ISNUMBER(OFFSET(BL173,-$F$21,0)),SUM(OFFSET($T$100,($F$17-$F$15+$F$21),0):$T173),"")</f>
        <v/>
      </c>
      <c r="BQ173" s="190" t="str">
        <f t="shared" ca="1" si="120"/>
        <v/>
      </c>
      <c r="BR173" s="190" t="str">
        <f t="shared" ca="1" si="146"/>
        <v/>
      </c>
      <c r="BS173" s="190"/>
      <c r="BT173"/>
      <c r="BU173"/>
      <c r="BV173"/>
      <c r="BY173" s="99"/>
      <c r="BZ173" s="99"/>
      <c r="CA173" s="280" t="str">
        <f t="shared" si="121"/>
        <v/>
      </c>
      <c r="CB173" s="71" t="str">
        <f t="shared" si="122"/>
        <v>-</v>
      </c>
      <c r="CC173" s="33"/>
      <c r="CD173" s="261" t="str">
        <f t="shared" si="123"/>
        <v/>
      </c>
      <c r="CE173" s="280" t="str">
        <f t="shared" si="124"/>
        <v>-</v>
      </c>
      <c r="CF173" s="71" t="str">
        <f t="shared" ca="1" si="125"/>
        <v>-</v>
      </c>
      <c r="CG173" s="33" t="str">
        <f t="shared" si="126"/>
        <v>73-74</v>
      </c>
      <c r="CH173" s="261" t="str">
        <f t="shared" ca="1" si="127"/>
        <v/>
      </c>
      <c r="CI173" s="99"/>
      <c r="CJ173" s="99"/>
      <c r="CK173" s="99"/>
      <c r="CL173" s="99"/>
      <c r="CM173" s="99"/>
      <c r="CN173" s="99"/>
      <c r="CO173" s="99"/>
    </row>
    <row r="174" spans="2:93" ht="13.5" customHeight="1" x14ac:dyDescent="0.2">
      <c r="B174" s="262">
        <v>74</v>
      </c>
      <c r="C174" s="237" t="str">
        <f t="shared" si="91"/>
        <v/>
      </c>
      <c r="D174" s="237" t="str">
        <f t="shared" si="147"/>
        <v>-</v>
      </c>
      <c r="E174" s="290" t="str">
        <f t="shared" si="128"/>
        <v/>
      </c>
      <c r="F174" s="264" t="str">
        <f t="shared" si="129"/>
        <v/>
      </c>
      <c r="G174" s="291" t="str">
        <f t="shared" si="130"/>
        <v/>
      </c>
      <c r="H174" s="240" t="str">
        <f t="shared" si="92"/>
        <v/>
      </c>
      <c r="I174" s="265" t="str">
        <f t="shared" si="93"/>
        <v/>
      </c>
      <c r="J174" s="265" t="str">
        <f t="shared" si="94"/>
        <v/>
      </c>
      <c r="K174" s="240" t="str">
        <f t="shared" si="95"/>
        <v/>
      </c>
      <c r="L174" s="265" t="str">
        <f t="shared" si="96"/>
        <v/>
      </c>
      <c r="M174" s="265" t="str">
        <f t="shared" si="97"/>
        <v/>
      </c>
      <c r="N174" s="240" t="str">
        <f t="shared" si="98"/>
        <v>-</v>
      </c>
      <c r="O174" s="265" t="str">
        <f t="shared" si="99"/>
        <v>-</v>
      </c>
      <c r="P174" s="265" t="str">
        <f t="shared" si="100"/>
        <v>-</v>
      </c>
      <c r="Q174" s="266" t="str">
        <f t="shared" si="101"/>
        <v>-</v>
      </c>
      <c r="R174" s="267" t="str">
        <f t="shared" si="102"/>
        <v>-</v>
      </c>
      <c r="S174" s="268" t="str">
        <f t="shared" si="103"/>
        <v>-</v>
      </c>
      <c r="T174" s="269" t="str">
        <f t="shared" si="104"/>
        <v/>
      </c>
      <c r="U174" s="221">
        <f t="shared" si="105"/>
        <v>74</v>
      </c>
      <c r="V174" s="220" t="str">
        <f t="shared" si="131"/>
        <v>-</v>
      </c>
      <c r="W174" s="221" t="str">
        <f t="shared" si="132"/>
        <v>-</v>
      </c>
      <c r="X174" s="221" t="str">
        <f t="shared" si="106"/>
        <v>-</v>
      </c>
      <c r="Y174" s="221" t="str">
        <f t="shared" si="107"/>
        <v>-</v>
      </c>
      <c r="Z174" s="270">
        <f t="shared" si="133"/>
        <v>0.1</v>
      </c>
      <c r="AA174" s="271" t="str">
        <f>IFERROR(IF(V173=1,AA$100*EXP(-(LN(2)/$D$65+0.04)*X173)*EXP(-(LN(2)/$D$65+0.1)*Y173),IF(V173=2,AA$100*EXP(-(LN(2)/$D$65+0.04)*(VLOOKUP(($F$16-$F$15)-1,U$99:Y173,4,FALSE)))*EXP(-(LN(2)/$D$65+0.1)*(VLOOKUP(($F$16-$F$15)-1,U$99:Y173,5,FALSE)))*EXP(-(LN(2)/$D$65+0.04)*X173)*EXP(-(LN(2)/$D$65+0.1)*Y173),IF(V173=3,AA$100*EXP(-(LN(2)/$D$65+0.04)*(VLOOKUP(($F$16-$F$15)-1,U$99:Y173,4,FALSE)))*EXP(-(LN(2)/$D$65+0.1)*(VLOOKUP(($F$16-$F$15)-1,U$99:Y173,5,FALSE)))*EXP(-(LN(2)/$D$65+0.04)*(VLOOKUP(($F$16-$F$15)*2-1,U$99:Y173,4,FALSE)))*EXP(-(LN(2)/$D$65+0.1)*(VLOOKUP(($F$16-$F$15)*2-1,U$99:Y173,5,FALSE)))*EXP(-(LN(2)/$D$65+0.04)*X173)*EXP(-(LN(2)/$D$65+0.1)*Y173),"-"))),"-")</f>
        <v>-</v>
      </c>
      <c r="AB174" s="271" t="str">
        <f>IFERROR(IF(V174=1,AB$100*EXP(-(LN(2)/$D$65+0.04)*X174)*EXP(-(LN(2)/$D$65+0.1)*Y174),IF(V174=2,AB$100*EXP(-(LN(2)/$D$65+0.04)*(VLOOKUP(($F$16-$F$15)-1,U$100:Y174,4,FALSE)))*EXP(-(LN(2)/$D$65+0.1)*(VLOOKUP(($F$16-$F$15)-1,U$100:Y174,5,FALSE)))*EXP(-(LN(2)/$D$65+0.04)*X174)*EXP(-(LN(2)/$D$65+0.1)*Y174),IF(V174=3,AB$100*EXP(-(LN(2)/$D$65+0.04)*(VLOOKUP(($F$16-$F$15)-1,U$100:Y174,4,FALSE)))*EXP(-(LN(2)/$D$65+0.1)*(VLOOKUP(($F$16-$F$15)-1,U$100:Y174,5,FALSE)))*EXP(-(LN(2)/$D$65+0.04)*(VLOOKUP(($F$16-$F$15)*2-1,U$100:Y174,4,FALSE)))*EXP(-(LN(2)/$D$65+0.1)*(VLOOKUP(($F$16-$F$15)*2-1,U$100:Y174,5,FALSE)))*EXP(-(LN(2)/$D$65+0.04)*X174)*EXP(-(LN(2)/$D$65+0.1)*Y174),"-"))),"-")</f>
        <v>-</v>
      </c>
      <c r="AC174" s="224">
        <f t="shared" si="134"/>
        <v>74</v>
      </c>
      <c r="AD174" s="223" t="str">
        <f t="shared" si="108"/>
        <v>-</v>
      </c>
      <c r="AE174" s="224" t="str">
        <f t="shared" si="135"/>
        <v>-</v>
      </c>
      <c r="AF174" s="224" t="str">
        <f t="shared" si="109"/>
        <v>-</v>
      </c>
      <c r="AG174" s="224" t="str">
        <f t="shared" si="110"/>
        <v>-</v>
      </c>
      <c r="AH174" s="272">
        <f t="shared" si="136"/>
        <v>0.1</v>
      </c>
      <c r="AI174" s="271" t="str">
        <f>IFERROR(IF(AD173=1,AI$100*EXP(-(LN(2)/$D$65+0.04)*AF173)*EXP(-(LN(2)/$D$65+0.1)*AG173),IF(AD173=2,AI$100*EXP(-(LN(2)/$D$65+0.04)*(VLOOKUP(($F$16-$F$15)-1,AC$99:AG173,4,FALSE)))*EXP(-(LN(2)/$D$65+0.1)*(VLOOKUP(($F$16-$F$15)-1,AC$99:AG173,5,FALSE)))*EXP(-(LN(2)/$D$65+0.04)*AF173)*EXP(-(LN(2)/$D$65+0.1)*AG173),IF(AD173=3,AI$100*EXP(-(LN(2)/$D$65+0.04)*(VLOOKUP(($F$16-$F$15)-1,AC$99:AG173,4,FALSE)))*EXP(-(LN(2)/$D$65+0.1)*(VLOOKUP(($F$16-$F$15)-1,AC$99:AG173,5,FALSE)))*EXP(-(LN(2)/$D$65+0.04)*(VLOOKUP(($F$16-$F$15)*2-1,AC$99:AG173,4,FALSE)))*EXP(-(LN(2)/$D$65+0.1)*(VLOOKUP(($F$16-$F$15)*2-1,AC$99:AG173,5,FALSE)))*EXP(-(LN(2)/$D$65+0.04)*AF173)*EXP(-(LN(2)/$D$65+0.1)*AG173),"-"))),"-")</f>
        <v>-</v>
      </c>
      <c r="AJ174" s="271" t="str">
        <f>IFERROR(IF(AD174=1,AJ$100*EXP(-(LN(2)/$D$65+0.04)*AF174)*EXP(-(LN(2)/$D$65+0.1)*AG174),IF(AD174=2,AJ$100*EXP(-(LN(2)/$D$65+0.04)*(VLOOKUP(($F$16-$F$15)-1,AC$100:AG174,4,FALSE)))*EXP(-(LN(2)/$D$65+0.1)*(VLOOKUP(($F$16-$F$15)-1,AC$100:AG174,5,FALSE)))*EXP(-(LN(2)/$D$65+0.04)*AF174)*EXP(-(LN(2)/$D$65+0.1)*AG174),IF(AD174=3,AJ$100*EXP(-(LN(2)/$D$65+0.04)*(VLOOKUP(($F$16-$F$15)-1,AC$100:AG174,4,FALSE)))*EXP(-(LN(2)/$D$65+0.1)*(VLOOKUP(($F$16-$F$15)-1,AC$100:AG174,5,FALSE)))*EXP(-(LN(2)/$D$65+0.04)*(VLOOKUP(($F$16-$F$15)*2-1,AC$100:AG174,4,FALSE)))*EXP(-(LN(2)/$D$65+0.1)*(VLOOKUP(($F$16-$F$15)*2-1,AC$100:AG174,5,FALSE)))*EXP(-(LN(2)/$D$65+0.04)*AF174)*EXP(-(LN(2)/$D$65+0.1)*AG174),"-"))),"-")</f>
        <v>-</v>
      </c>
      <c r="AK174" s="227">
        <f t="shared" si="137"/>
        <v>74</v>
      </c>
      <c r="AL174" s="226" t="str">
        <f t="shared" si="111"/>
        <v>-</v>
      </c>
      <c r="AM174" s="227" t="str">
        <f t="shared" si="138"/>
        <v>-</v>
      </c>
      <c r="AN174" s="227" t="str">
        <f t="shared" si="139"/>
        <v>-</v>
      </c>
      <c r="AO174" s="227" t="str">
        <f t="shared" si="112"/>
        <v>-</v>
      </c>
      <c r="AP174" s="273">
        <f t="shared" si="140"/>
        <v>0.1</v>
      </c>
      <c r="AQ174" s="271" t="str">
        <f>IFERROR(IF(AL173=1,AQ$100*EXP(-(LN(2)/$D$65+0.04)*AN173)*EXP(-(LN(2)/$D$65+0.1)*AO173),IF(AL173=2,AQ$100*EXP(-(LN(2)/$D$65+0.04)*(VLOOKUP(($F$16-$F$15)-1,AK$99:AO173,4,FALSE)))*EXP(-(LN(2)/$D$65+0.1)*(VLOOKUP(($F$16-$F$15)-1,AK$99:AO173,5,FALSE)))*EXP(-(LN(2)/$D$65+0.04)*AN173)*EXP(-(LN(2)/$D$65+0.1)*AO173),IF(AL173=3,AQ$100*EXP(-(LN(2)/$D$65+0.04)*(VLOOKUP(($F$16-$F$15)-1,AK$99:AO173,4,FALSE)))*EXP(-(LN(2)/$D$65+0.1)*(VLOOKUP(($F$16-$F$15)-1,AK$99:AO173,5,FALSE)))*EXP(-(LN(2)/$D$65+0.04)*(VLOOKUP(($F$16-$F$15)*2-1,AK$99:AO173,4,FALSE)))*EXP(-(LN(2)/$D$65+0.1)*(VLOOKUP(($F$16-$F$15)*2-1,AK$99:AO173,5,FALSE)))*EXP(-(LN(2)/$D$65+0.04)*AN173)*EXP(-(LN(2)/$D$65+0.1)*AO173),"-"))),"-")</f>
        <v>-</v>
      </c>
      <c r="AR174" s="271" t="str">
        <f>IFERROR(IF(AL174=1,AR$100*EXP(-(LN(2)/$D$65+0.04)*AN174)*EXP(-(LN(2)/$D$65+0.1)*AO174),IF(AL174=2,AR$100*EXP(-(LN(2)/$D$65+0.04)*(VLOOKUP(($F$16-$F$15)-1,AK$100:AO174,4,FALSE)))*EXP(-(LN(2)/$D$65+0.1)*(VLOOKUP(($F$16-$F$15)-1,AK$100:AO174,5,FALSE)))*EXP(-(LN(2)/$D$65+0.04)*AN174)*EXP(-(LN(2)/$D$65+0.1)*AO174),IF(AL174=3,AR$100*EXP(-(LN(2)/$D$65+0.04)*(VLOOKUP(($F$16-$F$15)-1,AK$100:AO174,4,FALSE)))*EXP(-(LN(2)/$D$65+0.1)*(VLOOKUP(($F$16-$F$15)-1,AK$100:AO174,5,FALSE)))*EXP(-(LN(2)/$D$65+0.04)*(VLOOKUP(($F$16-$F$15)*2-1,AK$100:AO174,4,FALSE)))*EXP(-(LN(2)/$D$65+0.1)*(VLOOKUP(($F$16-$F$15)*2-1,AK$100:AO174,5,FALSE)))*EXP(-(LN(2)/$D$65+0.04)*AN174)*EXP(-(LN(2)/$D$65+0.1)*AO174),"-"))),"-")</f>
        <v>-</v>
      </c>
      <c r="AS174" s="274">
        <f t="shared" si="113"/>
        <v>0</v>
      </c>
      <c r="AT174" s="274">
        <f t="shared" si="114"/>
        <v>0</v>
      </c>
      <c r="AU174" s="274">
        <f t="shared" si="115"/>
        <v>0</v>
      </c>
      <c r="AV174" s="190">
        <f>IF($B174&lt;$F$22,SUM($T$100:$T174),"")</f>
        <v>0</v>
      </c>
      <c r="AW174" s="190" t="str">
        <f t="shared" si="116"/>
        <v>-</v>
      </c>
      <c r="AX174" s="190" t="str">
        <f t="shared" si="141"/>
        <v/>
      </c>
      <c r="AY174"/>
      <c r="AZ174" s="190" t="str">
        <f ca="1">IF(ISNUMBER(OFFSET(AV174,-$F$21,0)),SUM(OFFSET($T$100,$F$21,0):$T174),"")</f>
        <v/>
      </c>
      <c r="BA174" s="190" t="str">
        <f t="shared" ca="1" si="117"/>
        <v/>
      </c>
      <c r="BB174" s="190" t="str">
        <f t="shared" ca="1" si="70"/>
        <v/>
      </c>
      <c r="BC174" s="190"/>
      <c r="BD174" s="190" t="str">
        <f ca="1">IFERROR(IF(AND($B174&gt;=($F$16-$F$15),$B174&lt;$F$22+($F$16-$F$15)),SUM(OFFSET($T$100,($F$16-$F$15),0):$T174),""),"")</f>
        <v/>
      </c>
      <c r="BE174" s="190" t="str">
        <f t="shared" ca="1" si="142"/>
        <v/>
      </c>
      <c r="BF174" s="190" t="str">
        <f t="shared" ca="1" si="143"/>
        <v/>
      </c>
      <c r="BG174"/>
      <c r="BH174" s="190" t="str">
        <f ca="1">IF(ISNUMBER(OFFSET(BD174,-$F$21,0)),SUM(OFFSET($T$100,($F$16-$F$15+$F$21),0):$T174),"")</f>
        <v/>
      </c>
      <c r="BI174" s="190" t="str">
        <f t="shared" ca="1" si="118"/>
        <v/>
      </c>
      <c r="BJ174" s="190" t="str">
        <f t="shared" ca="1" si="144"/>
        <v/>
      </c>
      <c r="BK174" s="190"/>
      <c r="BL174" s="190" t="str">
        <f ca="1">IFERROR(IF(AND($B174&gt;=($F$17-$F$15),$B174&lt;$F$22+($F$17-$F$15)),SUM(OFFSET($T$100,($F$17-$F$15),0):$T174),""),"")</f>
        <v/>
      </c>
      <c r="BM174" s="190" t="str">
        <f t="shared" ca="1" si="119"/>
        <v/>
      </c>
      <c r="BN174" s="190" t="str">
        <f t="shared" ca="1" si="145"/>
        <v/>
      </c>
      <c r="BO174"/>
      <c r="BP174" s="190" t="str">
        <f ca="1">IF(ISNUMBER(OFFSET(BL174,-$F$21,0)),SUM(OFFSET($T$100,($F$17-$F$15+$F$21),0):$T174),"")</f>
        <v/>
      </c>
      <c r="BQ174" s="190" t="str">
        <f t="shared" ca="1" si="120"/>
        <v/>
      </c>
      <c r="BR174" s="190" t="str">
        <f t="shared" ca="1" si="146"/>
        <v/>
      </c>
      <c r="BS174" s="190"/>
      <c r="BT174"/>
      <c r="BU174"/>
      <c r="BV174"/>
      <c r="BY174" s="99"/>
      <c r="BZ174" s="99"/>
      <c r="CA174" s="280" t="str">
        <f t="shared" si="121"/>
        <v/>
      </c>
      <c r="CB174" s="71" t="str">
        <f t="shared" si="122"/>
        <v>-</v>
      </c>
      <c r="CC174" s="33"/>
      <c r="CD174" s="261" t="str">
        <f t="shared" si="123"/>
        <v/>
      </c>
      <c r="CE174" s="280" t="str">
        <f t="shared" si="124"/>
        <v>-</v>
      </c>
      <c r="CF174" s="71" t="str">
        <f t="shared" ca="1" si="125"/>
        <v>-</v>
      </c>
      <c r="CG174" s="33" t="str">
        <f t="shared" si="126"/>
        <v>74-75</v>
      </c>
      <c r="CH174" s="261" t="str">
        <f t="shared" ca="1" si="127"/>
        <v/>
      </c>
      <c r="CI174" s="99"/>
      <c r="CJ174" s="99"/>
      <c r="CK174" s="99"/>
      <c r="CL174" s="99"/>
      <c r="CM174" s="99"/>
      <c r="CN174" s="99"/>
      <c r="CO174" s="99"/>
    </row>
    <row r="175" spans="2:93" ht="13.5" customHeight="1" x14ac:dyDescent="0.2">
      <c r="B175" s="262">
        <v>75</v>
      </c>
      <c r="C175" s="237" t="str">
        <f t="shared" si="91"/>
        <v/>
      </c>
      <c r="D175" s="237" t="str">
        <f t="shared" si="147"/>
        <v>-</v>
      </c>
      <c r="E175" s="290" t="str">
        <f t="shared" si="128"/>
        <v/>
      </c>
      <c r="F175" s="264" t="str">
        <f t="shared" si="129"/>
        <v/>
      </c>
      <c r="G175" s="291" t="str">
        <f t="shared" si="130"/>
        <v/>
      </c>
      <c r="H175" s="240" t="str">
        <f t="shared" si="92"/>
        <v/>
      </c>
      <c r="I175" s="265" t="str">
        <f t="shared" si="93"/>
        <v/>
      </c>
      <c r="J175" s="265" t="str">
        <f t="shared" si="94"/>
        <v/>
      </c>
      <c r="K175" s="240" t="str">
        <f t="shared" si="95"/>
        <v/>
      </c>
      <c r="L175" s="265" t="str">
        <f t="shared" si="96"/>
        <v/>
      </c>
      <c r="M175" s="265" t="str">
        <f t="shared" si="97"/>
        <v/>
      </c>
      <c r="N175" s="240" t="str">
        <f t="shared" si="98"/>
        <v>-</v>
      </c>
      <c r="O175" s="265" t="str">
        <f t="shared" si="99"/>
        <v>-</v>
      </c>
      <c r="P175" s="265" t="str">
        <f t="shared" si="100"/>
        <v>-</v>
      </c>
      <c r="Q175" s="266" t="str">
        <f t="shared" si="101"/>
        <v>-</v>
      </c>
      <c r="R175" s="267" t="str">
        <f t="shared" si="102"/>
        <v>-</v>
      </c>
      <c r="S175" s="268" t="str">
        <f t="shared" si="103"/>
        <v>-</v>
      </c>
      <c r="T175" s="269" t="str">
        <f t="shared" si="104"/>
        <v/>
      </c>
      <c r="U175" s="221">
        <f t="shared" si="105"/>
        <v>75</v>
      </c>
      <c r="V175" s="220" t="str">
        <f t="shared" si="131"/>
        <v>-</v>
      </c>
      <c r="W175" s="221" t="str">
        <f t="shared" si="132"/>
        <v>-</v>
      </c>
      <c r="X175" s="221" t="str">
        <f t="shared" si="106"/>
        <v>-</v>
      </c>
      <c r="Y175" s="221" t="str">
        <f t="shared" si="107"/>
        <v>-</v>
      </c>
      <c r="Z175" s="270">
        <f t="shared" si="133"/>
        <v>0.1</v>
      </c>
      <c r="AA175" s="271" t="str">
        <f>IFERROR(IF(V174=1,AA$100*EXP(-(LN(2)/$D$65+0.04)*X174)*EXP(-(LN(2)/$D$65+0.1)*Y174),IF(V174=2,AA$100*EXP(-(LN(2)/$D$65+0.04)*(VLOOKUP(($F$16-$F$15)-1,U$99:Y174,4,FALSE)))*EXP(-(LN(2)/$D$65+0.1)*(VLOOKUP(($F$16-$F$15)-1,U$99:Y174,5,FALSE)))*EXP(-(LN(2)/$D$65+0.04)*X174)*EXP(-(LN(2)/$D$65+0.1)*Y174),IF(V174=3,AA$100*EXP(-(LN(2)/$D$65+0.04)*(VLOOKUP(($F$16-$F$15)-1,U$99:Y174,4,FALSE)))*EXP(-(LN(2)/$D$65+0.1)*(VLOOKUP(($F$16-$F$15)-1,U$99:Y174,5,FALSE)))*EXP(-(LN(2)/$D$65+0.04)*(VLOOKUP(($F$16-$F$15)*2-1,U$99:Y174,4,FALSE)))*EXP(-(LN(2)/$D$65+0.1)*(VLOOKUP(($F$16-$F$15)*2-1,U$99:Y174,5,FALSE)))*EXP(-(LN(2)/$D$65+0.04)*X174)*EXP(-(LN(2)/$D$65+0.1)*Y174),"-"))),"-")</f>
        <v>-</v>
      </c>
      <c r="AB175" s="271" t="str">
        <f>IFERROR(IF(V175=1,AB$100*EXP(-(LN(2)/$D$65+0.04)*X175)*EXP(-(LN(2)/$D$65+0.1)*Y175),IF(V175=2,AB$100*EXP(-(LN(2)/$D$65+0.04)*(VLOOKUP(($F$16-$F$15)-1,U$100:Y175,4,FALSE)))*EXP(-(LN(2)/$D$65+0.1)*(VLOOKUP(($F$16-$F$15)-1,U$100:Y175,5,FALSE)))*EXP(-(LN(2)/$D$65+0.04)*X175)*EXP(-(LN(2)/$D$65+0.1)*Y175),IF(V175=3,AB$100*EXP(-(LN(2)/$D$65+0.04)*(VLOOKUP(($F$16-$F$15)-1,U$100:Y175,4,FALSE)))*EXP(-(LN(2)/$D$65+0.1)*(VLOOKUP(($F$16-$F$15)-1,U$100:Y175,5,FALSE)))*EXP(-(LN(2)/$D$65+0.04)*(VLOOKUP(($F$16-$F$15)*2-1,U$100:Y175,4,FALSE)))*EXP(-(LN(2)/$D$65+0.1)*(VLOOKUP(($F$16-$F$15)*2-1,U$100:Y175,5,FALSE)))*EXP(-(LN(2)/$D$65+0.04)*X175)*EXP(-(LN(2)/$D$65+0.1)*Y175),"-"))),"-")</f>
        <v>-</v>
      </c>
      <c r="AC175" s="224">
        <f t="shared" si="134"/>
        <v>75</v>
      </c>
      <c r="AD175" s="223" t="str">
        <f t="shared" si="108"/>
        <v>-</v>
      </c>
      <c r="AE175" s="224" t="str">
        <f t="shared" si="135"/>
        <v>-</v>
      </c>
      <c r="AF175" s="224" t="str">
        <f t="shared" si="109"/>
        <v>-</v>
      </c>
      <c r="AG175" s="224" t="str">
        <f t="shared" si="110"/>
        <v>-</v>
      </c>
      <c r="AH175" s="272">
        <f t="shared" si="136"/>
        <v>0.1</v>
      </c>
      <c r="AI175" s="271" t="str">
        <f>IFERROR(IF(AD174=1,AI$100*EXP(-(LN(2)/$D$65+0.04)*AF174)*EXP(-(LN(2)/$D$65+0.1)*AG174),IF(AD174=2,AI$100*EXP(-(LN(2)/$D$65+0.04)*(VLOOKUP(($F$16-$F$15)-1,AC$99:AG174,4,FALSE)))*EXP(-(LN(2)/$D$65+0.1)*(VLOOKUP(($F$16-$F$15)-1,AC$99:AG174,5,FALSE)))*EXP(-(LN(2)/$D$65+0.04)*AF174)*EXP(-(LN(2)/$D$65+0.1)*AG174),IF(AD174=3,AI$100*EXP(-(LN(2)/$D$65+0.04)*(VLOOKUP(($F$16-$F$15)-1,AC$99:AG174,4,FALSE)))*EXP(-(LN(2)/$D$65+0.1)*(VLOOKUP(($F$16-$F$15)-1,AC$99:AG174,5,FALSE)))*EXP(-(LN(2)/$D$65+0.04)*(VLOOKUP(($F$16-$F$15)*2-1,AC$99:AG174,4,FALSE)))*EXP(-(LN(2)/$D$65+0.1)*(VLOOKUP(($F$16-$F$15)*2-1,AC$99:AG174,5,FALSE)))*EXP(-(LN(2)/$D$65+0.04)*AF174)*EXP(-(LN(2)/$D$65+0.1)*AG174),"-"))),"-")</f>
        <v>-</v>
      </c>
      <c r="AJ175" s="271" t="str">
        <f>IFERROR(IF(AD175=1,AJ$100*EXP(-(LN(2)/$D$65+0.04)*AF175)*EXP(-(LN(2)/$D$65+0.1)*AG175),IF(AD175=2,AJ$100*EXP(-(LN(2)/$D$65+0.04)*(VLOOKUP(($F$16-$F$15)-1,AC$100:AG175,4,FALSE)))*EXP(-(LN(2)/$D$65+0.1)*(VLOOKUP(($F$16-$F$15)-1,AC$100:AG175,5,FALSE)))*EXP(-(LN(2)/$D$65+0.04)*AF175)*EXP(-(LN(2)/$D$65+0.1)*AG175),IF(AD175=3,AJ$100*EXP(-(LN(2)/$D$65+0.04)*(VLOOKUP(($F$16-$F$15)-1,AC$100:AG175,4,FALSE)))*EXP(-(LN(2)/$D$65+0.1)*(VLOOKUP(($F$16-$F$15)-1,AC$100:AG175,5,FALSE)))*EXP(-(LN(2)/$D$65+0.04)*(VLOOKUP(($F$16-$F$15)*2-1,AC$100:AG175,4,FALSE)))*EXP(-(LN(2)/$D$65+0.1)*(VLOOKUP(($F$16-$F$15)*2-1,AC$100:AG175,5,FALSE)))*EXP(-(LN(2)/$D$65+0.04)*AF175)*EXP(-(LN(2)/$D$65+0.1)*AG175),"-"))),"-")</f>
        <v>-</v>
      </c>
      <c r="AK175" s="227">
        <f t="shared" si="137"/>
        <v>75</v>
      </c>
      <c r="AL175" s="226" t="str">
        <f t="shared" si="111"/>
        <v>-</v>
      </c>
      <c r="AM175" s="227" t="str">
        <f t="shared" si="138"/>
        <v>-</v>
      </c>
      <c r="AN175" s="227" t="str">
        <f t="shared" si="139"/>
        <v>-</v>
      </c>
      <c r="AO175" s="227" t="str">
        <f t="shared" si="112"/>
        <v>-</v>
      </c>
      <c r="AP175" s="273">
        <f t="shared" si="140"/>
        <v>0.1</v>
      </c>
      <c r="AQ175" s="271" t="str">
        <f>IFERROR(IF(AL174=1,AQ$100*EXP(-(LN(2)/$D$65+0.04)*AN174)*EXP(-(LN(2)/$D$65+0.1)*AO174),IF(AL174=2,AQ$100*EXP(-(LN(2)/$D$65+0.04)*(VLOOKUP(($F$16-$F$15)-1,AK$99:AO174,4,FALSE)))*EXP(-(LN(2)/$D$65+0.1)*(VLOOKUP(($F$16-$F$15)-1,AK$99:AO174,5,FALSE)))*EXP(-(LN(2)/$D$65+0.04)*AN174)*EXP(-(LN(2)/$D$65+0.1)*AO174),IF(AL174=3,AQ$100*EXP(-(LN(2)/$D$65+0.04)*(VLOOKUP(($F$16-$F$15)-1,AK$99:AO174,4,FALSE)))*EXP(-(LN(2)/$D$65+0.1)*(VLOOKUP(($F$16-$F$15)-1,AK$99:AO174,5,FALSE)))*EXP(-(LN(2)/$D$65+0.04)*(VLOOKUP(($F$16-$F$15)*2-1,AK$99:AO174,4,FALSE)))*EXP(-(LN(2)/$D$65+0.1)*(VLOOKUP(($F$16-$F$15)*2-1,AK$99:AO174,5,FALSE)))*EXP(-(LN(2)/$D$65+0.04)*AN174)*EXP(-(LN(2)/$D$65+0.1)*AO174),"-"))),"-")</f>
        <v>-</v>
      </c>
      <c r="AR175" s="271" t="str">
        <f>IFERROR(IF(AL175=1,AR$100*EXP(-(LN(2)/$D$65+0.04)*AN175)*EXP(-(LN(2)/$D$65+0.1)*AO175),IF(AL175=2,AR$100*EXP(-(LN(2)/$D$65+0.04)*(VLOOKUP(($F$16-$F$15)-1,AK$100:AO175,4,FALSE)))*EXP(-(LN(2)/$D$65+0.1)*(VLOOKUP(($F$16-$F$15)-1,AK$100:AO175,5,FALSE)))*EXP(-(LN(2)/$D$65+0.04)*AN175)*EXP(-(LN(2)/$D$65+0.1)*AO175),IF(AL175=3,AR$100*EXP(-(LN(2)/$D$65+0.04)*(VLOOKUP(($F$16-$F$15)-1,AK$100:AO175,4,FALSE)))*EXP(-(LN(2)/$D$65+0.1)*(VLOOKUP(($F$16-$F$15)-1,AK$100:AO175,5,FALSE)))*EXP(-(LN(2)/$D$65+0.04)*(VLOOKUP(($F$16-$F$15)*2-1,AK$100:AO175,4,FALSE)))*EXP(-(LN(2)/$D$65+0.1)*(VLOOKUP(($F$16-$F$15)*2-1,AK$100:AO175,5,FALSE)))*EXP(-(LN(2)/$D$65+0.04)*AN175)*EXP(-(LN(2)/$D$65+0.1)*AO175),"-"))),"-")</f>
        <v>-</v>
      </c>
      <c r="AS175" s="274">
        <f t="shared" si="113"/>
        <v>0</v>
      </c>
      <c r="AT175" s="274">
        <f t="shared" si="114"/>
        <v>0</v>
      </c>
      <c r="AU175" s="274">
        <f t="shared" si="115"/>
        <v>0</v>
      </c>
      <c r="AV175" s="190">
        <f>IF($B175&lt;$F$22,SUM($T$100:$T175),"")</f>
        <v>0</v>
      </c>
      <c r="AW175" s="190" t="str">
        <f t="shared" si="116"/>
        <v>-</v>
      </c>
      <c r="AX175" s="190" t="str">
        <f t="shared" si="141"/>
        <v/>
      </c>
      <c r="AY175"/>
      <c r="AZ175" s="190" t="str">
        <f ca="1">IF(ISNUMBER(OFFSET(AV175,-$F$21,0)),SUM(OFFSET($T$100,$F$21,0):$T175),"")</f>
        <v/>
      </c>
      <c r="BA175" s="190" t="str">
        <f t="shared" ca="1" si="117"/>
        <v/>
      </c>
      <c r="BB175" s="190" t="str">
        <f t="shared" ca="1" si="70"/>
        <v/>
      </c>
      <c r="BC175" s="190"/>
      <c r="BD175" s="190" t="str">
        <f ca="1">IFERROR(IF(AND($B175&gt;=($F$16-$F$15),$B175&lt;$F$22+($F$16-$F$15)),SUM(OFFSET($T$100,($F$16-$F$15),0):$T175),""),"")</f>
        <v/>
      </c>
      <c r="BE175" s="190" t="str">
        <f t="shared" ca="1" si="142"/>
        <v/>
      </c>
      <c r="BF175" s="190" t="str">
        <f t="shared" ca="1" si="143"/>
        <v/>
      </c>
      <c r="BG175"/>
      <c r="BH175" s="190" t="str">
        <f ca="1">IF(ISNUMBER(OFFSET(BD175,-$F$21,0)),SUM(OFFSET($T$100,($F$16-$F$15+$F$21),0):$T175),"")</f>
        <v/>
      </c>
      <c r="BI175" s="190" t="str">
        <f t="shared" ca="1" si="118"/>
        <v/>
      </c>
      <c r="BJ175" s="190" t="str">
        <f t="shared" ca="1" si="144"/>
        <v/>
      </c>
      <c r="BK175" s="190"/>
      <c r="BL175" s="190" t="str">
        <f ca="1">IFERROR(IF(AND($B175&gt;=($F$17-$F$15),$B175&lt;$F$22+($F$17-$F$15)),SUM(OFFSET($T$100,($F$17-$F$15),0):$T175),""),"")</f>
        <v/>
      </c>
      <c r="BM175" s="190" t="str">
        <f t="shared" ca="1" si="119"/>
        <v/>
      </c>
      <c r="BN175" s="190" t="str">
        <f t="shared" ca="1" si="145"/>
        <v/>
      </c>
      <c r="BO175"/>
      <c r="BP175" s="190" t="str">
        <f ca="1">IF(ISNUMBER(OFFSET(BL175,-$F$21,0)),SUM(OFFSET($T$100,($F$17-$F$15+$F$21),0):$T175),"")</f>
        <v/>
      </c>
      <c r="BQ175" s="190" t="str">
        <f t="shared" ca="1" si="120"/>
        <v/>
      </c>
      <c r="BR175" s="190" t="str">
        <f t="shared" ca="1" si="146"/>
        <v/>
      </c>
      <c r="BS175" s="190"/>
      <c r="BT175"/>
      <c r="BU175"/>
      <c r="BV175"/>
      <c r="BY175" s="99"/>
      <c r="BZ175" s="99"/>
      <c r="CA175" s="280" t="str">
        <f t="shared" si="121"/>
        <v/>
      </c>
      <c r="CB175" s="71" t="str">
        <f t="shared" si="122"/>
        <v>-</v>
      </c>
      <c r="CC175" s="33"/>
      <c r="CD175" s="261" t="str">
        <f t="shared" si="123"/>
        <v/>
      </c>
      <c r="CE175" s="280" t="str">
        <f t="shared" si="124"/>
        <v>-</v>
      </c>
      <c r="CF175" s="71" t="str">
        <f t="shared" ca="1" si="125"/>
        <v>-</v>
      </c>
      <c r="CG175" s="33" t="str">
        <f t="shared" si="126"/>
        <v>75-76</v>
      </c>
      <c r="CH175" s="261" t="str">
        <f t="shared" ca="1" si="127"/>
        <v/>
      </c>
      <c r="CI175" s="99"/>
      <c r="CJ175" s="99"/>
      <c r="CK175" s="99"/>
      <c r="CL175" s="99"/>
      <c r="CM175" s="99"/>
      <c r="CN175" s="99"/>
      <c r="CO175" s="99"/>
    </row>
    <row r="176" spans="2:93" ht="13.5" customHeight="1" x14ac:dyDescent="0.2">
      <c r="B176" s="262">
        <v>76</v>
      </c>
      <c r="C176" s="237" t="str">
        <f t="shared" si="91"/>
        <v/>
      </c>
      <c r="D176" s="237" t="str">
        <f t="shared" si="147"/>
        <v>-</v>
      </c>
      <c r="E176" s="290" t="str">
        <f t="shared" si="128"/>
        <v/>
      </c>
      <c r="F176" s="264" t="str">
        <f t="shared" si="129"/>
        <v/>
      </c>
      <c r="G176" s="291" t="str">
        <f t="shared" si="130"/>
        <v/>
      </c>
      <c r="H176" s="240" t="str">
        <f t="shared" si="92"/>
        <v/>
      </c>
      <c r="I176" s="265" t="str">
        <f t="shared" si="93"/>
        <v/>
      </c>
      <c r="J176" s="265" t="str">
        <f t="shared" si="94"/>
        <v/>
      </c>
      <c r="K176" s="240" t="str">
        <f t="shared" si="95"/>
        <v/>
      </c>
      <c r="L176" s="265" t="str">
        <f t="shared" si="96"/>
        <v/>
      </c>
      <c r="M176" s="265" t="str">
        <f t="shared" si="97"/>
        <v/>
      </c>
      <c r="N176" s="240" t="str">
        <f t="shared" si="98"/>
        <v>-</v>
      </c>
      <c r="O176" s="265" t="str">
        <f t="shared" si="99"/>
        <v>-</v>
      </c>
      <c r="P176" s="265" t="str">
        <f t="shared" si="100"/>
        <v>-</v>
      </c>
      <c r="Q176" s="266" t="str">
        <f t="shared" si="101"/>
        <v>-</v>
      </c>
      <c r="R176" s="267" t="str">
        <f t="shared" si="102"/>
        <v>-</v>
      </c>
      <c r="S176" s="268" t="str">
        <f t="shared" si="103"/>
        <v>-</v>
      </c>
      <c r="T176" s="269" t="str">
        <f t="shared" si="104"/>
        <v/>
      </c>
      <c r="U176" s="221">
        <f t="shared" si="105"/>
        <v>76</v>
      </c>
      <c r="V176" s="220" t="str">
        <f t="shared" si="131"/>
        <v>-</v>
      </c>
      <c r="W176" s="221" t="str">
        <f t="shared" si="132"/>
        <v>-</v>
      </c>
      <c r="X176" s="221" t="str">
        <f t="shared" si="106"/>
        <v>-</v>
      </c>
      <c r="Y176" s="221" t="str">
        <f t="shared" si="107"/>
        <v>-</v>
      </c>
      <c r="Z176" s="270">
        <f t="shared" si="133"/>
        <v>0.1</v>
      </c>
      <c r="AA176" s="271" t="str">
        <f>IFERROR(IF(V175=1,AA$100*EXP(-(LN(2)/$D$65+0.04)*X175)*EXP(-(LN(2)/$D$65+0.1)*Y175),IF(V175=2,AA$100*EXP(-(LN(2)/$D$65+0.04)*(VLOOKUP(($F$16-$F$15)-1,U$99:Y175,4,FALSE)))*EXP(-(LN(2)/$D$65+0.1)*(VLOOKUP(($F$16-$F$15)-1,U$99:Y175,5,FALSE)))*EXP(-(LN(2)/$D$65+0.04)*X175)*EXP(-(LN(2)/$D$65+0.1)*Y175),IF(V175=3,AA$100*EXP(-(LN(2)/$D$65+0.04)*(VLOOKUP(($F$16-$F$15)-1,U$99:Y175,4,FALSE)))*EXP(-(LN(2)/$D$65+0.1)*(VLOOKUP(($F$16-$F$15)-1,U$99:Y175,5,FALSE)))*EXP(-(LN(2)/$D$65+0.04)*(VLOOKUP(($F$16-$F$15)*2-1,U$99:Y175,4,FALSE)))*EXP(-(LN(2)/$D$65+0.1)*(VLOOKUP(($F$16-$F$15)*2-1,U$99:Y175,5,FALSE)))*EXP(-(LN(2)/$D$65+0.04)*X175)*EXP(-(LN(2)/$D$65+0.1)*Y175),"-"))),"-")</f>
        <v>-</v>
      </c>
      <c r="AB176" s="271" t="str">
        <f>IFERROR(IF(V176=1,AB$100*EXP(-(LN(2)/$D$65+0.04)*X176)*EXP(-(LN(2)/$D$65+0.1)*Y176),IF(V176=2,AB$100*EXP(-(LN(2)/$D$65+0.04)*(VLOOKUP(($F$16-$F$15)-1,U$100:Y176,4,FALSE)))*EXP(-(LN(2)/$D$65+0.1)*(VLOOKUP(($F$16-$F$15)-1,U$100:Y176,5,FALSE)))*EXP(-(LN(2)/$D$65+0.04)*X176)*EXP(-(LN(2)/$D$65+0.1)*Y176),IF(V176=3,AB$100*EXP(-(LN(2)/$D$65+0.04)*(VLOOKUP(($F$16-$F$15)-1,U$100:Y176,4,FALSE)))*EXP(-(LN(2)/$D$65+0.1)*(VLOOKUP(($F$16-$F$15)-1,U$100:Y176,5,FALSE)))*EXP(-(LN(2)/$D$65+0.04)*(VLOOKUP(($F$16-$F$15)*2-1,U$100:Y176,4,FALSE)))*EXP(-(LN(2)/$D$65+0.1)*(VLOOKUP(($F$16-$F$15)*2-1,U$100:Y176,5,FALSE)))*EXP(-(LN(2)/$D$65+0.04)*X176)*EXP(-(LN(2)/$D$65+0.1)*Y176),"-"))),"-")</f>
        <v>-</v>
      </c>
      <c r="AC176" s="224">
        <f t="shared" si="134"/>
        <v>76</v>
      </c>
      <c r="AD176" s="223" t="str">
        <f t="shared" si="108"/>
        <v>-</v>
      </c>
      <c r="AE176" s="224" t="str">
        <f t="shared" si="135"/>
        <v>-</v>
      </c>
      <c r="AF176" s="224" t="str">
        <f t="shared" si="109"/>
        <v>-</v>
      </c>
      <c r="AG176" s="224" t="str">
        <f t="shared" si="110"/>
        <v>-</v>
      </c>
      <c r="AH176" s="272">
        <f t="shared" si="136"/>
        <v>0.1</v>
      </c>
      <c r="AI176" s="271" t="str">
        <f>IFERROR(IF(AD175=1,AI$100*EXP(-(LN(2)/$D$65+0.04)*AF175)*EXP(-(LN(2)/$D$65+0.1)*AG175),IF(AD175=2,AI$100*EXP(-(LN(2)/$D$65+0.04)*(VLOOKUP(($F$16-$F$15)-1,AC$99:AG175,4,FALSE)))*EXP(-(LN(2)/$D$65+0.1)*(VLOOKUP(($F$16-$F$15)-1,AC$99:AG175,5,FALSE)))*EXP(-(LN(2)/$D$65+0.04)*AF175)*EXP(-(LN(2)/$D$65+0.1)*AG175),IF(AD175=3,AI$100*EXP(-(LN(2)/$D$65+0.04)*(VLOOKUP(($F$16-$F$15)-1,AC$99:AG175,4,FALSE)))*EXP(-(LN(2)/$D$65+0.1)*(VLOOKUP(($F$16-$F$15)-1,AC$99:AG175,5,FALSE)))*EXP(-(LN(2)/$D$65+0.04)*(VLOOKUP(($F$16-$F$15)*2-1,AC$99:AG175,4,FALSE)))*EXP(-(LN(2)/$D$65+0.1)*(VLOOKUP(($F$16-$F$15)*2-1,AC$99:AG175,5,FALSE)))*EXP(-(LN(2)/$D$65+0.04)*AF175)*EXP(-(LN(2)/$D$65+0.1)*AG175),"-"))),"-")</f>
        <v>-</v>
      </c>
      <c r="AJ176" s="271" t="str">
        <f>IFERROR(IF(AD176=1,AJ$100*EXP(-(LN(2)/$D$65+0.04)*AF176)*EXP(-(LN(2)/$D$65+0.1)*AG176),IF(AD176=2,AJ$100*EXP(-(LN(2)/$D$65+0.04)*(VLOOKUP(($F$16-$F$15)-1,AC$100:AG176,4,FALSE)))*EXP(-(LN(2)/$D$65+0.1)*(VLOOKUP(($F$16-$F$15)-1,AC$100:AG176,5,FALSE)))*EXP(-(LN(2)/$D$65+0.04)*AF176)*EXP(-(LN(2)/$D$65+0.1)*AG176),IF(AD176=3,AJ$100*EXP(-(LN(2)/$D$65+0.04)*(VLOOKUP(($F$16-$F$15)-1,AC$100:AG176,4,FALSE)))*EXP(-(LN(2)/$D$65+0.1)*(VLOOKUP(($F$16-$F$15)-1,AC$100:AG176,5,FALSE)))*EXP(-(LN(2)/$D$65+0.04)*(VLOOKUP(($F$16-$F$15)*2-1,AC$100:AG176,4,FALSE)))*EXP(-(LN(2)/$D$65+0.1)*(VLOOKUP(($F$16-$F$15)*2-1,AC$100:AG176,5,FALSE)))*EXP(-(LN(2)/$D$65+0.04)*AF176)*EXP(-(LN(2)/$D$65+0.1)*AG176),"-"))),"-")</f>
        <v>-</v>
      </c>
      <c r="AK176" s="227">
        <f t="shared" si="137"/>
        <v>76</v>
      </c>
      <c r="AL176" s="226" t="str">
        <f t="shared" si="111"/>
        <v>-</v>
      </c>
      <c r="AM176" s="227" t="str">
        <f t="shared" si="138"/>
        <v>-</v>
      </c>
      <c r="AN176" s="227" t="str">
        <f t="shared" si="139"/>
        <v>-</v>
      </c>
      <c r="AO176" s="227" t="str">
        <f t="shared" si="112"/>
        <v>-</v>
      </c>
      <c r="AP176" s="273">
        <f t="shared" si="140"/>
        <v>0.1</v>
      </c>
      <c r="AQ176" s="271" t="str">
        <f>IFERROR(IF(AL175=1,AQ$100*EXP(-(LN(2)/$D$65+0.04)*AN175)*EXP(-(LN(2)/$D$65+0.1)*AO175),IF(AL175=2,AQ$100*EXP(-(LN(2)/$D$65+0.04)*(VLOOKUP(($F$16-$F$15)-1,AK$99:AO175,4,FALSE)))*EXP(-(LN(2)/$D$65+0.1)*(VLOOKUP(($F$16-$F$15)-1,AK$99:AO175,5,FALSE)))*EXP(-(LN(2)/$D$65+0.04)*AN175)*EXP(-(LN(2)/$D$65+0.1)*AO175),IF(AL175=3,AQ$100*EXP(-(LN(2)/$D$65+0.04)*(VLOOKUP(($F$16-$F$15)-1,AK$99:AO175,4,FALSE)))*EXP(-(LN(2)/$D$65+0.1)*(VLOOKUP(($F$16-$F$15)-1,AK$99:AO175,5,FALSE)))*EXP(-(LN(2)/$D$65+0.04)*(VLOOKUP(($F$16-$F$15)*2-1,AK$99:AO175,4,FALSE)))*EXP(-(LN(2)/$D$65+0.1)*(VLOOKUP(($F$16-$F$15)*2-1,AK$99:AO175,5,FALSE)))*EXP(-(LN(2)/$D$65+0.04)*AN175)*EXP(-(LN(2)/$D$65+0.1)*AO175),"-"))),"-")</f>
        <v>-</v>
      </c>
      <c r="AR176" s="271" t="str">
        <f>IFERROR(IF(AL176=1,AR$100*EXP(-(LN(2)/$D$65+0.04)*AN176)*EXP(-(LN(2)/$D$65+0.1)*AO176),IF(AL176=2,AR$100*EXP(-(LN(2)/$D$65+0.04)*(VLOOKUP(($F$16-$F$15)-1,AK$100:AO176,4,FALSE)))*EXP(-(LN(2)/$D$65+0.1)*(VLOOKUP(($F$16-$F$15)-1,AK$100:AO176,5,FALSE)))*EXP(-(LN(2)/$D$65+0.04)*AN176)*EXP(-(LN(2)/$D$65+0.1)*AO176),IF(AL176=3,AR$100*EXP(-(LN(2)/$D$65+0.04)*(VLOOKUP(($F$16-$F$15)-1,AK$100:AO176,4,FALSE)))*EXP(-(LN(2)/$D$65+0.1)*(VLOOKUP(($F$16-$F$15)-1,AK$100:AO176,5,FALSE)))*EXP(-(LN(2)/$D$65+0.04)*(VLOOKUP(($F$16-$F$15)*2-1,AK$100:AO176,4,FALSE)))*EXP(-(LN(2)/$D$65+0.1)*(VLOOKUP(($F$16-$F$15)*2-1,AK$100:AO176,5,FALSE)))*EXP(-(LN(2)/$D$65+0.04)*AN176)*EXP(-(LN(2)/$D$65+0.1)*AO176),"-"))),"-")</f>
        <v>-</v>
      </c>
      <c r="AS176" s="274">
        <f t="shared" si="113"/>
        <v>0</v>
      </c>
      <c r="AT176" s="274">
        <f t="shared" si="114"/>
        <v>0</v>
      </c>
      <c r="AU176" s="274">
        <f t="shared" si="115"/>
        <v>0</v>
      </c>
      <c r="AV176" s="190">
        <f>IF($B176&lt;$F$22,SUM($T$100:$T176),"")</f>
        <v>0</v>
      </c>
      <c r="AW176" s="190" t="str">
        <f t="shared" si="116"/>
        <v>-</v>
      </c>
      <c r="AX176" s="190" t="str">
        <f t="shared" si="141"/>
        <v/>
      </c>
      <c r="AY176"/>
      <c r="AZ176" s="190" t="str">
        <f ca="1">IF(ISNUMBER(OFFSET(AV176,-$F$21,0)),SUM(OFFSET($T$100,$F$21,0):$T176),"")</f>
        <v/>
      </c>
      <c r="BA176" s="190" t="str">
        <f t="shared" ca="1" si="117"/>
        <v/>
      </c>
      <c r="BB176" s="190" t="str">
        <f t="shared" ca="1" si="70"/>
        <v/>
      </c>
      <c r="BC176" s="190"/>
      <c r="BD176" s="190" t="str">
        <f ca="1">IFERROR(IF(AND($B176&gt;=($F$16-$F$15),$B176&lt;$F$22+($F$16-$F$15)),SUM(OFFSET($T$100,($F$16-$F$15),0):$T176),""),"")</f>
        <v/>
      </c>
      <c r="BE176" s="190" t="str">
        <f t="shared" ca="1" si="142"/>
        <v/>
      </c>
      <c r="BF176" s="190" t="str">
        <f t="shared" ca="1" si="143"/>
        <v/>
      </c>
      <c r="BG176"/>
      <c r="BH176" s="190" t="str">
        <f ca="1">IF(ISNUMBER(OFFSET(BD176,-$F$21,0)),SUM(OFFSET($T$100,($F$16-$F$15+$F$21),0):$T176),"")</f>
        <v/>
      </c>
      <c r="BI176" s="190" t="str">
        <f t="shared" ca="1" si="118"/>
        <v/>
      </c>
      <c r="BJ176" s="190" t="str">
        <f t="shared" ca="1" si="144"/>
        <v/>
      </c>
      <c r="BK176" s="190"/>
      <c r="BL176" s="190" t="str">
        <f ca="1">IFERROR(IF(AND($B176&gt;=($F$17-$F$15),$B176&lt;$F$22+($F$17-$F$15)),SUM(OFFSET($T$100,($F$17-$F$15),0):$T176),""),"")</f>
        <v/>
      </c>
      <c r="BM176" s="190" t="str">
        <f t="shared" ca="1" si="119"/>
        <v/>
      </c>
      <c r="BN176" s="190" t="str">
        <f t="shared" ca="1" si="145"/>
        <v/>
      </c>
      <c r="BO176"/>
      <c r="BP176" s="190" t="str">
        <f ca="1">IF(ISNUMBER(OFFSET(BL176,-$F$21,0)),SUM(OFFSET($T$100,($F$17-$F$15+$F$21),0):$T176),"")</f>
        <v/>
      </c>
      <c r="BQ176" s="190" t="str">
        <f t="shared" ca="1" si="120"/>
        <v/>
      </c>
      <c r="BR176" s="190" t="str">
        <f t="shared" ca="1" si="146"/>
        <v/>
      </c>
      <c r="BS176" s="190"/>
      <c r="BT176"/>
      <c r="BU176"/>
      <c r="BV176"/>
      <c r="BY176" s="99"/>
      <c r="BZ176" s="99"/>
      <c r="CA176" s="280" t="str">
        <f t="shared" si="121"/>
        <v/>
      </c>
      <c r="CB176" s="71" t="str">
        <f t="shared" si="122"/>
        <v>-</v>
      </c>
      <c r="CC176" s="33"/>
      <c r="CD176" s="261" t="str">
        <f t="shared" si="123"/>
        <v/>
      </c>
      <c r="CE176" s="280" t="str">
        <f t="shared" si="124"/>
        <v>-</v>
      </c>
      <c r="CF176" s="71" t="str">
        <f t="shared" ca="1" si="125"/>
        <v>-</v>
      </c>
      <c r="CG176" s="33" t="str">
        <f t="shared" si="126"/>
        <v>76-77</v>
      </c>
      <c r="CH176" s="261" t="str">
        <f t="shared" ca="1" si="127"/>
        <v/>
      </c>
      <c r="CI176" s="99"/>
      <c r="CJ176" s="99"/>
      <c r="CK176" s="99"/>
      <c r="CL176" s="99"/>
      <c r="CM176" s="99"/>
      <c r="CN176" s="99"/>
      <c r="CO176" s="99"/>
    </row>
    <row r="177" spans="2:93" ht="13.5" customHeight="1" x14ac:dyDescent="0.2">
      <c r="B177" s="262">
        <v>77</v>
      </c>
      <c r="C177" s="237" t="str">
        <f t="shared" si="91"/>
        <v/>
      </c>
      <c r="D177" s="237" t="str">
        <f t="shared" si="147"/>
        <v>-</v>
      </c>
      <c r="E177" s="290" t="str">
        <f t="shared" si="128"/>
        <v/>
      </c>
      <c r="F177" s="264" t="str">
        <f t="shared" si="129"/>
        <v/>
      </c>
      <c r="G177" s="291" t="str">
        <f t="shared" si="130"/>
        <v/>
      </c>
      <c r="H177" s="240" t="str">
        <f t="shared" si="92"/>
        <v/>
      </c>
      <c r="I177" s="265" t="str">
        <f t="shared" si="93"/>
        <v/>
      </c>
      <c r="J177" s="265" t="str">
        <f t="shared" si="94"/>
        <v/>
      </c>
      <c r="K177" s="240" t="str">
        <f t="shared" si="95"/>
        <v/>
      </c>
      <c r="L177" s="265" t="str">
        <f t="shared" si="96"/>
        <v/>
      </c>
      <c r="M177" s="265" t="str">
        <f t="shared" si="97"/>
        <v/>
      </c>
      <c r="N177" s="240" t="str">
        <f t="shared" si="98"/>
        <v>-</v>
      </c>
      <c r="O177" s="265" t="str">
        <f t="shared" si="99"/>
        <v>-</v>
      </c>
      <c r="P177" s="265" t="str">
        <f t="shared" si="100"/>
        <v>-</v>
      </c>
      <c r="Q177" s="266" t="str">
        <f t="shared" si="101"/>
        <v>-</v>
      </c>
      <c r="R177" s="267" t="str">
        <f t="shared" si="102"/>
        <v>-</v>
      </c>
      <c r="S177" s="268" t="str">
        <f t="shared" si="103"/>
        <v>-</v>
      </c>
      <c r="T177" s="269" t="str">
        <f t="shared" si="104"/>
        <v/>
      </c>
      <c r="U177" s="221">
        <f t="shared" si="105"/>
        <v>77</v>
      </c>
      <c r="V177" s="220" t="str">
        <f t="shared" si="131"/>
        <v>-</v>
      </c>
      <c r="W177" s="221" t="str">
        <f t="shared" si="132"/>
        <v>-</v>
      </c>
      <c r="X177" s="221" t="str">
        <f t="shared" si="106"/>
        <v>-</v>
      </c>
      <c r="Y177" s="221" t="str">
        <f t="shared" si="107"/>
        <v>-</v>
      </c>
      <c r="Z177" s="270">
        <f t="shared" si="133"/>
        <v>0.1</v>
      </c>
      <c r="AA177" s="271" t="str">
        <f>IFERROR(IF(V176=1,AA$100*EXP(-(LN(2)/$D$65+0.04)*X176)*EXP(-(LN(2)/$D$65+0.1)*Y176),IF(V176=2,AA$100*EXP(-(LN(2)/$D$65+0.04)*(VLOOKUP(($F$16-$F$15)-1,U$99:Y176,4,FALSE)))*EXP(-(LN(2)/$D$65+0.1)*(VLOOKUP(($F$16-$F$15)-1,U$99:Y176,5,FALSE)))*EXP(-(LN(2)/$D$65+0.04)*X176)*EXP(-(LN(2)/$D$65+0.1)*Y176),IF(V176=3,AA$100*EXP(-(LN(2)/$D$65+0.04)*(VLOOKUP(($F$16-$F$15)-1,U$99:Y176,4,FALSE)))*EXP(-(LN(2)/$D$65+0.1)*(VLOOKUP(($F$16-$F$15)-1,U$99:Y176,5,FALSE)))*EXP(-(LN(2)/$D$65+0.04)*(VLOOKUP(($F$16-$F$15)*2-1,U$99:Y176,4,FALSE)))*EXP(-(LN(2)/$D$65+0.1)*(VLOOKUP(($F$16-$F$15)*2-1,U$99:Y176,5,FALSE)))*EXP(-(LN(2)/$D$65+0.04)*X176)*EXP(-(LN(2)/$D$65+0.1)*Y176),"-"))),"-")</f>
        <v>-</v>
      </c>
      <c r="AB177" s="271" t="str">
        <f>IFERROR(IF(V177=1,AB$100*EXP(-(LN(2)/$D$65+0.04)*X177)*EXP(-(LN(2)/$D$65+0.1)*Y177),IF(V177=2,AB$100*EXP(-(LN(2)/$D$65+0.04)*(VLOOKUP(($F$16-$F$15)-1,U$100:Y177,4,FALSE)))*EXP(-(LN(2)/$D$65+0.1)*(VLOOKUP(($F$16-$F$15)-1,U$100:Y177,5,FALSE)))*EXP(-(LN(2)/$D$65+0.04)*X177)*EXP(-(LN(2)/$D$65+0.1)*Y177),IF(V177=3,AB$100*EXP(-(LN(2)/$D$65+0.04)*(VLOOKUP(($F$16-$F$15)-1,U$100:Y177,4,FALSE)))*EXP(-(LN(2)/$D$65+0.1)*(VLOOKUP(($F$16-$F$15)-1,U$100:Y177,5,FALSE)))*EXP(-(LN(2)/$D$65+0.04)*(VLOOKUP(($F$16-$F$15)*2-1,U$100:Y177,4,FALSE)))*EXP(-(LN(2)/$D$65+0.1)*(VLOOKUP(($F$16-$F$15)*2-1,U$100:Y177,5,FALSE)))*EXP(-(LN(2)/$D$65+0.04)*X177)*EXP(-(LN(2)/$D$65+0.1)*Y177),"-"))),"-")</f>
        <v>-</v>
      </c>
      <c r="AC177" s="224">
        <f t="shared" si="134"/>
        <v>77</v>
      </c>
      <c r="AD177" s="223" t="str">
        <f t="shared" si="108"/>
        <v>-</v>
      </c>
      <c r="AE177" s="224" t="str">
        <f t="shared" si="135"/>
        <v>-</v>
      </c>
      <c r="AF177" s="224" t="str">
        <f t="shared" si="109"/>
        <v>-</v>
      </c>
      <c r="AG177" s="224" t="str">
        <f t="shared" si="110"/>
        <v>-</v>
      </c>
      <c r="AH177" s="272">
        <f t="shared" si="136"/>
        <v>0.1</v>
      </c>
      <c r="AI177" s="271" t="str">
        <f>IFERROR(IF(AD176=1,AI$100*EXP(-(LN(2)/$D$65+0.04)*AF176)*EXP(-(LN(2)/$D$65+0.1)*AG176),IF(AD176=2,AI$100*EXP(-(LN(2)/$D$65+0.04)*(VLOOKUP(($F$16-$F$15)-1,AC$99:AG176,4,FALSE)))*EXP(-(LN(2)/$D$65+0.1)*(VLOOKUP(($F$16-$F$15)-1,AC$99:AG176,5,FALSE)))*EXP(-(LN(2)/$D$65+0.04)*AF176)*EXP(-(LN(2)/$D$65+0.1)*AG176),IF(AD176=3,AI$100*EXP(-(LN(2)/$D$65+0.04)*(VLOOKUP(($F$16-$F$15)-1,AC$99:AG176,4,FALSE)))*EXP(-(LN(2)/$D$65+0.1)*(VLOOKUP(($F$16-$F$15)-1,AC$99:AG176,5,FALSE)))*EXP(-(LN(2)/$D$65+0.04)*(VLOOKUP(($F$16-$F$15)*2-1,AC$99:AG176,4,FALSE)))*EXP(-(LN(2)/$D$65+0.1)*(VLOOKUP(($F$16-$F$15)*2-1,AC$99:AG176,5,FALSE)))*EXP(-(LN(2)/$D$65+0.04)*AF176)*EXP(-(LN(2)/$D$65+0.1)*AG176),"-"))),"-")</f>
        <v>-</v>
      </c>
      <c r="AJ177" s="271" t="str">
        <f>IFERROR(IF(AD177=1,AJ$100*EXP(-(LN(2)/$D$65+0.04)*AF177)*EXP(-(LN(2)/$D$65+0.1)*AG177),IF(AD177=2,AJ$100*EXP(-(LN(2)/$D$65+0.04)*(VLOOKUP(($F$16-$F$15)-1,AC$100:AG177,4,FALSE)))*EXP(-(LN(2)/$D$65+0.1)*(VLOOKUP(($F$16-$F$15)-1,AC$100:AG177,5,FALSE)))*EXP(-(LN(2)/$D$65+0.04)*AF177)*EXP(-(LN(2)/$D$65+0.1)*AG177),IF(AD177=3,AJ$100*EXP(-(LN(2)/$D$65+0.04)*(VLOOKUP(($F$16-$F$15)-1,AC$100:AG177,4,FALSE)))*EXP(-(LN(2)/$D$65+0.1)*(VLOOKUP(($F$16-$F$15)-1,AC$100:AG177,5,FALSE)))*EXP(-(LN(2)/$D$65+0.04)*(VLOOKUP(($F$16-$F$15)*2-1,AC$100:AG177,4,FALSE)))*EXP(-(LN(2)/$D$65+0.1)*(VLOOKUP(($F$16-$F$15)*2-1,AC$100:AG177,5,FALSE)))*EXP(-(LN(2)/$D$65+0.04)*AF177)*EXP(-(LN(2)/$D$65+0.1)*AG177),"-"))),"-")</f>
        <v>-</v>
      </c>
      <c r="AK177" s="227">
        <f t="shared" si="137"/>
        <v>77</v>
      </c>
      <c r="AL177" s="226" t="str">
        <f t="shared" si="111"/>
        <v>-</v>
      </c>
      <c r="AM177" s="227" t="str">
        <f t="shared" si="138"/>
        <v>-</v>
      </c>
      <c r="AN177" s="227" t="str">
        <f t="shared" si="139"/>
        <v>-</v>
      </c>
      <c r="AO177" s="227" t="str">
        <f t="shared" si="112"/>
        <v>-</v>
      </c>
      <c r="AP177" s="273">
        <f t="shared" si="140"/>
        <v>0.1</v>
      </c>
      <c r="AQ177" s="271" t="str">
        <f>IFERROR(IF(AL176=1,AQ$100*EXP(-(LN(2)/$D$65+0.04)*AN176)*EXP(-(LN(2)/$D$65+0.1)*AO176),IF(AL176=2,AQ$100*EXP(-(LN(2)/$D$65+0.04)*(VLOOKUP(($F$16-$F$15)-1,AK$99:AO176,4,FALSE)))*EXP(-(LN(2)/$D$65+0.1)*(VLOOKUP(($F$16-$F$15)-1,AK$99:AO176,5,FALSE)))*EXP(-(LN(2)/$D$65+0.04)*AN176)*EXP(-(LN(2)/$D$65+0.1)*AO176),IF(AL176=3,AQ$100*EXP(-(LN(2)/$D$65+0.04)*(VLOOKUP(($F$16-$F$15)-1,AK$99:AO176,4,FALSE)))*EXP(-(LN(2)/$D$65+0.1)*(VLOOKUP(($F$16-$F$15)-1,AK$99:AO176,5,FALSE)))*EXP(-(LN(2)/$D$65+0.04)*(VLOOKUP(($F$16-$F$15)*2-1,AK$99:AO176,4,FALSE)))*EXP(-(LN(2)/$D$65+0.1)*(VLOOKUP(($F$16-$F$15)*2-1,AK$99:AO176,5,FALSE)))*EXP(-(LN(2)/$D$65+0.04)*AN176)*EXP(-(LN(2)/$D$65+0.1)*AO176),"-"))),"-")</f>
        <v>-</v>
      </c>
      <c r="AR177" s="271" t="str">
        <f>IFERROR(IF(AL177=1,AR$100*EXP(-(LN(2)/$D$65+0.04)*AN177)*EXP(-(LN(2)/$D$65+0.1)*AO177),IF(AL177=2,AR$100*EXP(-(LN(2)/$D$65+0.04)*(VLOOKUP(($F$16-$F$15)-1,AK$100:AO177,4,FALSE)))*EXP(-(LN(2)/$D$65+0.1)*(VLOOKUP(($F$16-$F$15)-1,AK$100:AO177,5,FALSE)))*EXP(-(LN(2)/$D$65+0.04)*AN177)*EXP(-(LN(2)/$D$65+0.1)*AO177),IF(AL177=3,AR$100*EXP(-(LN(2)/$D$65+0.04)*(VLOOKUP(($F$16-$F$15)-1,AK$100:AO177,4,FALSE)))*EXP(-(LN(2)/$D$65+0.1)*(VLOOKUP(($F$16-$F$15)-1,AK$100:AO177,5,FALSE)))*EXP(-(LN(2)/$D$65+0.04)*(VLOOKUP(($F$16-$F$15)*2-1,AK$100:AO177,4,FALSE)))*EXP(-(LN(2)/$D$65+0.1)*(VLOOKUP(($F$16-$F$15)*2-1,AK$100:AO177,5,FALSE)))*EXP(-(LN(2)/$D$65+0.04)*AN177)*EXP(-(LN(2)/$D$65+0.1)*AO177),"-"))),"-")</f>
        <v>-</v>
      </c>
      <c r="AS177" s="274">
        <f t="shared" si="113"/>
        <v>0</v>
      </c>
      <c r="AT177" s="274">
        <f t="shared" si="114"/>
        <v>0</v>
      </c>
      <c r="AU177" s="274">
        <f t="shared" si="115"/>
        <v>0</v>
      </c>
      <c r="AV177" s="190">
        <f>IF($B177&lt;$F$22,SUM($T$100:$T177),"")</f>
        <v>0</v>
      </c>
      <c r="AW177" s="190" t="str">
        <f t="shared" si="116"/>
        <v>-</v>
      </c>
      <c r="AX177" s="190" t="str">
        <f t="shared" si="141"/>
        <v/>
      </c>
      <c r="AY177"/>
      <c r="AZ177" s="190" t="str">
        <f ca="1">IF(ISNUMBER(OFFSET(AV177,-$F$21,0)),SUM(OFFSET($T$100,$F$21,0):$T177),"")</f>
        <v/>
      </c>
      <c r="BA177" s="190" t="str">
        <f t="shared" ca="1" si="117"/>
        <v/>
      </c>
      <c r="BB177" s="190" t="str">
        <f t="shared" ca="1" si="70"/>
        <v/>
      </c>
      <c r="BC177" s="190"/>
      <c r="BD177" s="190" t="str">
        <f ca="1">IFERROR(IF(AND($B177&gt;=($F$16-$F$15),$B177&lt;$F$22+($F$16-$F$15)),SUM(OFFSET($T$100,($F$16-$F$15),0):$T177),""),"")</f>
        <v/>
      </c>
      <c r="BE177" s="190" t="str">
        <f t="shared" ca="1" si="142"/>
        <v/>
      </c>
      <c r="BF177" s="190" t="str">
        <f t="shared" ca="1" si="143"/>
        <v/>
      </c>
      <c r="BG177"/>
      <c r="BH177" s="190" t="str">
        <f ca="1">IF(ISNUMBER(OFFSET(BD177,-$F$21,0)),SUM(OFFSET($T$100,($F$16-$F$15+$F$21),0):$T177),"")</f>
        <v/>
      </c>
      <c r="BI177" s="190" t="str">
        <f t="shared" ca="1" si="118"/>
        <v/>
      </c>
      <c r="BJ177" s="190" t="str">
        <f t="shared" ca="1" si="144"/>
        <v/>
      </c>
      <c r="BK177" s="190"/>
      <c r="BL177" s="190" t="str">
        <f ca="1">IFERROR(IF(AND($B177&gt;=($F$17-$F$15),$B177&lt;$F$22+($F$17-$F$15)),SUM(OFFSET($T$100,($F$17-$F$15),0):$T177),""),"")</f>
        <v/>
      </c>
      <c r="BM177" s="190" t="str">
        <f t="shared" ca="1" si="119"/>
        <v/>
      </c>
      <c r="BN177" s="190" t="str">
        <f t="shared" ca="1" si="145"/>
        <v/>
      </c>
      <c r="BO177"/>
      <c r="BP177" s="190" t="str">
        <f ca="1">IF(ISNUMBER(OFFSET(BL177,-$F$21,0)),SUM(OFFSET($T$100,($F$17-$F$15+$F$21),0):$T177),"")</f>
        <v/>
      </c>
      <c r="BQ177" s="190" t="str">
        <f t="shared" ca="1" si="120"/>
        <v/>
      </c>
      <c r="BR177" s="190" t="str">
        <f t="shared" ca="1" si="146"/>
        <v/>
      </c>
      <c r="BS177" s="190"/>
      <c r="BT177"/>
      <c r="BU177"/>
      <c r="BV177"/>
      <c r="BY177" s="99"/>
      <c r="BZ177" s="99"/>
      <c r="CA177" s="280" t="str">
        <f t="shared" si="121"/>
        <v/>
      </c>
      <c r="CB177" s="71" t="str">
        <f t="shared" si="122"/>
        <v>-</v>
      </c>
      <c r="CC177" s="33"/>
      <c r="CD177" s="261" t="str">
        <f t="shared" si="123"/>
        <v/>
      </c>
      <c r="CE177" s="280" t="str">
        <f t="shared" si="124"/>
        <v>-</v>
      </c>
      <c r="CF177" s="71" t="str">
        <f t="shared" ca="1" si="125"/>
        <v>-</v>
      </c>
      <c r="CG177" s="33" t="str">
        <f t="shared" si="126"/>
        <v>77-78</v>
      </c>
      <c r="CH177" s="261" t="str">
        <f t="shared" ca="1" si="127"/>
        <v/>
      </c>
      <c r="CI177" s="99"/>
      <c r="CJ177" s="99"/>
      <c r="CK177" s="99"/>
      <c r="CL177" s="99"/>
      <c r="CM177" s="99"/>
      <c r="CN177" s="99"/>
      <c r="CO177" s="99"/>
    </row>
    <row r="178" spans="2:93" ht="13.5" customHeight="1" x14ac:dyDescent="0.2">
      <c r="B178" s="262">
        <v>78</v>
      </c>
      <c r="C178" s="237" t="str">
        <f t="shared" si="91"/>
        <v/>
      </c>
      <c r="D178" s="237" t="str">
        <f t="shared" si="147"/>
        <v>-</v>
      </c>
      <c r="E178" s="290" t="str">
        <f t="shared" si="128"/>
        <v/>
      </c>
      <c r="F178" s="264" t="str">
        <f t="shared" si="129"/>
        <v/>
      </c>
      <c r="G178" s="291" t="str">
        <f t="shared" si="130"/>
        <v/>
      </c>
      <c r="H178" s="240" t="str">
        <f t="shared" si="92"/>
        <v/>
      </c>
      <c r="I178" s="265" t="str">
        <f t="shared" si="93"/>
        <v/>
      </c>
      <c r="J178" s="265" t="str">
        <f t="shared" si="94"/>
        <v/>
      </c>
      <c r="K178" s="240" t="str">
        <f t="shared" si="95"/>
        <v/>
      </c>
      <c r="L178" s="265" t="str">
        <f t="shared" si="96"/>
        <v/>
      </c>
      <c r="M178" s="265" t="str">
        <f t="shared" si="97"/>
        <v/>
      </c>
      <c r="N178" s="240" t="str">
        <f t="shared" si="98"/>
        <v>-</v>
      </c>
      <c r="O178" s="265" t="str">
        <f t="shared" si="99"/>
        <v>-</v>
      </c>
      <c r="P178" s="265" t="str">
        <f t="shared" si="100"/>
        <v>-</v>
      </c>
      <c r="Q178" s="266" t="str">
        <f t="shared" si="101"/>
        <v>-</v>
      </c>
      <c r="R178" s="267" t="str">
        <f t="shared" si="102"/>
        <v>-</v>
      </c>
      <c r="S178" s="268" t="str">
        <f t="shared" si="103"/>
        <v>-</v>
      </c>
      <c r="T178" s="269" t="str">
        <f t="shared" si="104"/>
        <v/>
      </c>
      <c r="U178" s="221">
        <f t="shared" si="105"/>
        <v>78</v>
      </c>
      <c r="V178" s="220" t="str">
        <f t="shared" si="131"/>
        <v>-</v>
      </c>
      <c r="W178" s="221" t="str">
        <f t="shared" si="132"/>
        <v>-</v>
      </c>
      <c r="X178" s="221" t="str">
        <f t="shared" si="106"/>
        <v>-</v>
      </c>
      <c r="Y178" s="221" t="str">
        <f t="shared" si="107"/>
        <v>-</v>
      </c>
      <c r="Z178" s="270">
        <f t="shared" si="133"/>
        <v>0.1</v>
      </c>
      <c r="AA178" s="271" t="str">
        <f>IFERROR(IF(V177=1,AA$100*EXP(-(LN(2)/$D$65+0.04)*X177)*EXP(-(LN(2)/$D$65+0.1)*Y177),IF(V177=2,AA$100*EXP(-(LN(2)/$D$65+0.04)*(VLOOKUP(($F$16-$F$15)-1,U$99:Y177,4,FALSE)))*EXP(-(LN(2)/$D$65+0.1)*(VLOOKUP(($F$16-$F$15)-1,U$99:Y177,5,FALSE)))*EXP(-(LN(2)/$D$65+0.04)*X177)*EXP(-(LN(2)/$D$65+0.1)*Y177),IF(V177=3,AA$100*EXP(-(LN(2)/$D$65+0.04)*(VLOOKUP(($F$16-$F$15)-1,U$99:Y177,4,FALSE)))*EXP(-(LN(2)/$D$65+0.1)*(VLOOKUP(($F$16-$F$15)-1,U$99:Y177,5,FALSE)))*EXP(-(LN(2)/$D$65+0.04)*(VLOOKUP(($F$16-$F$15)*2-1,U$99:Y177,4,FALSE)))*EXP(-(LN(2)/$D$65+0.1)*(VLOOKUP(($F$16-$F$15)*2-1,U$99:Y177,5,FALSE)))*EXP(-(LN(2)/$D$65+0.04)*X177)*EXP(-(LN(2)/$D$65+0.1)*Y177),"-"))),"-")</f>
        <v>-</v>
      </c>
      <c r="AB178" s="271" t="str">
        <f>IFERROR(IF(V178=1,AB$100*EXP(-(LN(2)/$D$65+0.04)*X178)*EXP(-(LN(2)/$D$65+0.1)*Y178),IF(V178=2,AB$100*EXP(-(LN(2)/$D$65+0.04)*(VLOOKUP(($F$16-$F$15)-1,U$100:Y178,4,FALSE)))*EXP(-(LN(2)/$D$65+0.1)*(VLOOKUP(($F$16-$F$15)-1,U$100:Y178,5,FALSE)))*EXP(-(LN(2)/$D$65+0.04)*X178)*EXP(-(LN(2)/$D$65+0.1)*Y178),IF(V178=3,AB$100*EXP(-(LN(2)/$D$65+0.04)*(VLOOKUP(($F$16-$F$15)-1,U$100:Y178,4,FALSE)))*EXP(-(LN(2)/$D$65+0.1)*(VLOOKUP(($F$16-$F$15)-1,U$100:Y178,5,FALSE)))*EXP(-(LN(2)/$D$65+0.04)*(VLOOKUP(($F$16-$F$15)*2-1,U$100:Y178,4,FALSE)))*EXP(-(LN(2)/$D$65+0.1)*(VLOOKUP(($F$16-$F$15)*2-1,U$100:Y178,5,FALSE)))*EXP(-(LN(2)/$D$65+0.04)*X178)*EXP(-(LN(2)/$D$65+0.1)*Y178),"-"))),"-")</f>
        <v>-</v>
      </c>
      <c r="AC178" s="224">
        <f t="shared" si="134"/>
        <v>78</v>
      </c>
      <c r="AD178" s="223" t="str">
        <f t="shared" si="108"/>
        <v>-</v>
      </c>
      <c r="AE178" s="224" t="str">
        <f t="shared" si="135"/>
        <v>-</v>
      </c>
      <c r="AF178" s="224" t="str">
        <f t="shared" si="109"/>
        <v>-</v>
      </c>
      <c r="AG178" s="224" t="str">
        <f t="shared" si="110"/>
        <v>-</v>
      </c>
      <c r="AH178" s="272">
        <f t="shared" si="136"/>
        <v>0.1</v>
      </c>
      <c r="AI178" s="271" t="str">
        <f>IFERROR(IF(AD177=1,AI$100*EXP(-(LN(2)/$D$65+0.04)*AF177)*EXP(-(LN(2)/$D$65+0.1)*AG177),IF(AD177=2,AI$100*EXP(-(LN(2)/$D$65+0.04)*(VLOOKUP(($F$16-$F$15)-1,AC$99:AG177,4,FALSE)))*EXP(-(LN(2)/$D$65+0.1)*(VLOOKUP(($F$16-$F$15)-1,AC$99:AG177,5,FALSE)))*EXP(-(LN(2)/$D$65+0.04)*AF177)*EXP(-(LN(2)/$D$65+0.1)*AG177),IF(AD177=3,AI$100*EXP(-(LN(2)/$D$65+0.04)*(VLOOKUP(($F$16-$F$15)-1,AC$99:AG177,4,FALSE)))*EXP(-(LN(2)/$D$65+0.1)*(VLOOKUP(($F$16-$F$15)-1,AC$99:AG177,5,FALSE)))*EXP(-(LN(2)/$D$65+0.04)*(VLOOKUP(($F$16-$F$15)*2-1,AC$99:AG177,4,FALSE)))*EXP(-(LN(2)/$D$65+0.1)*(VLOOKUP(($F$16-$F$15)*2-1,AC$99:AG177,5,FALSE)))*EXP(-(LN(2)/$D$65+0.04)*AF177)*EXP(-(LN(2)/$D$65+0.1)*AG177),"-"))),"-")</f>
        <v>-</v>
      </c>
      <c r="AJ178" s="271" t="str">
        <f>IFERROR(IF(AD178=1,AJ$100*EXP(-(LN(2)/$D$65+0.04)*AF178)*EXP(-(LN(2)/$D$65+0.1)*AG178),IF(AD178=2,AJ$100*EXP(-(LN(2)/$D$65+0.04)*(VLOOKUP(($F$16-$F$15)-1,AC$100:AG178,4,FALSE)))*EXP(-(LN(2)/$D$65+0.1)*(VLOOKUP(($F$16-$F$15)-1,AC$100:AG178,5,FALSE)))*EXP(-(LN(2)/$D$65+0.04)*AF178)*EXP(-(LN(2)/$D$65+0.1)*AG178),IF(AD178=3,AJ$100*EXP(-(LN(2)/$D$65+0.04)*(VLOOKUP(($F$16-$F$15)-1,AC$100:AG178,4,FALSE)))*EXP(-(LN(2)/$D$65+0.1)*(VLOOKUP(($F$16-$F$15)-1,AC$100:AG178,5,FALSE)))*EXP(-(LN(2)/$D$65+0.04)*(VLOOKUP(($F$16-$F$15)*2-1,AC$100:AG178,4,FALSE)))*EXP(-(LN(2)/$D$65+0.1)*(VLOOKUP(($F$16-$F$15)*2-1,AC$100:AG178,5,FALSE)))*EXP(-(LN(2)/$D$65+0.04)*AF178)*EXP(-(LN(2)/$D$65+0.1)*AG178),"-"))),"-")</f>
        <v>-</v>
      </c>
      <c r="AK178" s="227">
        <f t="shared" si="137"/>
        <v>78</v>
      </c>
      <c r="AL178" s="226" t="str">
        <f t="shared" si="111"/>
        <v>-</v>
      </c>
      <c r="AM178" s="227" t="str">
        <f t="shared" si="138"/>
        <v>-</v>
      </c>
      <c r="AN178" s="227" t="str">
        <f t="shared" si="139"/>
        <v>-</v>
      </c>
      <c r="AO178" s="227" t="str">
        <f t="shared" si="112"/>
        <v>-</v>
      </c>
      <c r="AP178" s="273">
        <f t="shared" si="140"/>
        <v>0.1</v>
      </c>
      <c r="AQ178" s="271" t="str">
        <f>IFERROR(IF(AL177=1,AQ$100*EXP(-(LN(2)/$D$65+0.04)*AN177)*EXP(-(LN(2)/$D$65+0.1)*AO177),IF(AL177=2,AQ$100*EXP(-(LN(2)/$D$65+0.04)*(VLOOKUP(($F$16-$F$15)-1,AK$99:AO177,4,FALSE)))*EXP(-(LN(2)/$D$65+0.1)*(VLOOKUP(($F$16-$F$15)-1,AK$99:AO177,5,FALSE)))*EXP(-(LN(2)/$D$65+0.04)*AN177)*EXP(-(LN(2)/$D$65+0.1)*AO177),IF(AL177=3,AQ$100*EXP(-(LN(2)/$D$65+0.04)*(VLOOKUP(($F$16-$F$15)-1,AK$99:AO177,4,FALSE)))*EXP(-(LN(2)/$D$65+0.1)*(VLOOKUP(($F$16-$F$15)-1,AK$99:AO177,5,FALSE)))*EXP(-(LN(2)/$D$65+0.04)*(VLOOKUP(($F$16-$F$15)*2-1,AK$99:AO177,4,FALSE)))*EXP(-(LN(2)/$D$65+0.1)*(VLOOKUP(($F$16-$F$15)*2-1,AK$99:AO177,5,FALSE)))*EXP(-(LN(2)/$D$65+0.04)*AN177)*EXP(-(LN(2)/$D$65+0.1)*AO177),"-"))),"-")</f>
        <v>-</v>
      </c>
      <c r="AR178" s="271" t="str">
        <f>IFERROR(IF(AL178=1,AR$100*EXP(-(LN(2)/$D$65+0.04)*AN178)*EXP(-(LN(2)/$D$65+0.1)*AO178),IF(AL178=2,AR$100*EXP(-(LN(2)/$D$65+0.04)*(VLOOKUP(($F$16-$F$15)-1,AK$100:AO178,4,FALSE)))*EXP(-(LN(2)/$D$65+0.1)*(VLOOKUP(($F$16-$F$15)-1,AK$100:AO178,5,FALSE)))*EXP(-(LN(2)/$D$65+0.04)*AN178)*EXP(-(LN(2)/$D$65+0.1)*AO178),IF(AL178=3,AR$100*EXP(-(LN(2)/$D$65+0.04)*(VLOOKUP(($F$16-$F$15)-1,AK$100:AO178,4,FALSE)))*EXP(-(LN(2)/$D$65+0.1)*(VLOOKUP(($F$16-$F$15)-1,AK$100:AO178,5,FALSE)))*EXP(-(LN(2)/$D$65+0.04)*(VLOOKUP(($F$16-$F$15)*2-1,AK$100:AO178,4,FALSE)))*EXP(-(LN(2)/$D$65+0.1)*(VLOOKUP(($F$16-$F$15)*2-1,AK$100:AO178,5,FALSE)))*EXP(-(LN(2)/$D$65+0.04)*AN178)*EXP(-(LN(2)/$D$65+0.1)*AO178),"-"))),"-")</f>
        <v>-</v>
      </c>
      <c r="AS178" s="274">
        <f t="shared" si="113"/>
        <v>0</v>
      </c>
      <c r="AT178" s="274">
        <f t="shared" si="114"/>
        <v>0</v>
      </c>
      <c r="AU178" s="274">
        <f t="shared" si="115"/>
        <v>0</v>
      </c>
      <c r="AV178" s="190">
        <f>IF($B178&lt;$F$22,SUM($T$100:$T178),"")</f>
        <v>0</v>
      </c>
      <c r="AW178" s="190" t="str">
        <f t="shared" si="116"/>
        <v>-</v>
      </c>
      <c r="AX178" s="190" t="str">
        <f t="shared" si="141"/>
        <v/>
      </c>
      <c r="AY178"/>
      <c r="AZ178" s="190" t="str">
        <f ca="1">IF(ISNUMBER(OFFSET(AV178,-$F$21,0)),SUM(OFFSET($T$100,$F$21,0):$T178),"")</f>
        <v/>
      </c>
      <c r="BA178" s="190" t="str">
        <f t="shared" ca="1" si="117"/>
        <v/>
      </c>
      <c r="BB178" s="190" t="str">
        <f t="shared" ca="1" si="70"/>
        <v/>
      </c>
      <c r="BC178" s="190"/>
      <c r="BD178" s="190" t="str">
        <f ca="1">IFERROR(IF(AND($B178&gt;=($F$16-$F$15),$B178&lt;$F$22+($F$16-$F$15)),SUM(OFFSET($T$100,($F$16-$F$15),0):$T178),""),"")</f>
        <v/>
      </c>
      <c r="BE178" s="190" t="str">
        <f t="shared" ca="1" si="142"/>
        <v/>
      </c>
      <c r="BF178" s="190" t="str">
        <f t="shared" ca="1" si="143"/>
        <v/>
      </c>
      <c r="BG178"/>
      <c r="BH178" s="190" t="str">
        <f ca="1">IF(ISNUMBER(OFFSET(BD178,-$F$21,0)),SUM(OFFSET($T$100,($F$16-$F$15+$F$21),0):$T178),"")</f>
        <v/>
      </c>
      <c r="BI178" s="190" t="str">
        <f t="shared" ca="1" si="118"/>
        <v/>
      </c>
      <c r="BJ178" s="190" t="str">
        <f t="shared" ca="1" si="144"/>
        <v/>
      </c>
      <c r="BK178" s="190"/>
      <c r="BL178" s="190" t="str">
        <f ca="1">IFERROR(IF(AND($B178&gt;=($F$17-$F$15),$B178&lt;$F$22+($F$17-$F$15)),SUM(OFFSET($T$100,($F$17-$F$15),0):$T178),""),"")</f>
        <v/>
      </c>
      <c r="BM178" s="190" t="str">
        <f t="shared" ca="1" si="119"/>
        <v/>
      </c>
      <c r="BN178" s="190" t="str">
        <f t="shared" ca="1" si="145"/>
        <v/>
      </c>
      <c r="BO178"/>
      <c r="BP178" s="190" t="str">
        <f ca="1">IF(ISNUMBER(OFFSET(BL178,-$F$21,0)),SUM(OFFSET($T$100,($F$17-$F$15+$F$21),0):$T178),"")</f>
        <v/>
      </c>
      <c r="BQ178" s="190" t="str">
        <f t="shared" ca="1" si="120"/>
        <v/>
      </c>
      <c r="BR178" s="190" t="str">
        <f t="shared" ca="1" si="146"/>
        <v/>
      </c>
      <c r="BS178" s="190"/>
      <c r="BT178"/>
      <c r="BU178"/>
      <c r="BV178"/>
      <c r="BY178" s="99"/>
      <c r="BZ178" s="99"/>
      <c r="CA178" s="280" t="str">
        <f t="shared" si="121"/>
        <v/>
      </c>
      <c r="CB178" s="71" t="str">
        <f t="shared" si="122"/>
        <v>-</v>
      </c>
      <c r="CC178" s="33"/>
      <c r="CD178" s="261" t="str">
        <f t="shared" si="123"/>
        <v/>
      </c>
      <c r="CE178" s="280" t="str">
        <f t="shared" si="124"/>
        <v>-</v>
      </c>
      <c r="CF178" s="71" t="str">
        <f t="shared" ca="1" si="125"/>
        <v>-</v>
      </c>
      <c r="CG178" s="33" t="str">
        <f t="shared" si="126"/>
        <v>78-79</v>
      </c>
      <c r="CH178" s="261" t="str">
        <f t="shared" ca="1" si="127"/>
        <v/>
      </c>
      <c r="CI178" s="99"/>
      <c r="CJ178" s="99"/>
      <c r="CK178" s="99"/>
      <c r="CL178" s="99"/>
      <c r="CM178" s="99"/>
      <c r="CN178" s="99"/>
      <c r="CO178" s="99"/>
    </row>
    <row r="179" spans="2:93" ht="13.5" customHeight="1" x14ac:dyDescent="0.2">
      <c r="B179" s="262">
        <v>79</v>
      </c>
      <c r="C179" s="237" t="str">
        <f t="shared" si="91"/>
        <v/>
      </c>
      <c r="D179" s="237" t="str">
        <f t="shared" si="147"/>
        <v>-</v>
      </c>
      <c r="E179" s="290" t="str">
        <f t="shared" si="128"/>
        <v/>
      </c>
      <c r="F179" s="264" t="str">
        <f t="shared" si="129"/>
        <v/>
      </c>
      <c r="G179" s="291" t="str">
        <f t="shared" si="130"/>
        <v/>
      </c>
      <c r="H179" s="240" t="str">
        <f t="shared" si="92"/>
        <v/>
      </c>
      <c r="I179" s="265" t="str">
        <f t="shared" si="93"/>
        <v/>
      </c>
      <c r="J179" s="265" t="str">
        <f t="shared" si="94"/>
        <v/>
      </c>
      <c r="K179" s="240" t="str">
        <f t="shared" si="95"/>
        <v/>
      </c>
      <c r="L179" s="265" t="str">
        <f t="shared" si="96"/>
        <v/>
      </c>
      <c r="M179" s="265" t="str">
        <f t="shared" si="97"/>
        <v/>
      </c>
      <c r="N179" s="240" t="str">
        <f t="shared" si="98"/>
        <v>-</v>
      </c>
      <c r="O179" s="265" t="str">
        <f t="shared" si="99"/>
        <v>-</v>
      </c>
      <c r="P179" s="265" t="str">
        <f t="shared" si="100"/>
        <v>-</v>
      </c>
      <c r="Q179" s="266" t="str">
        <f t="shared" si="101"/>
        <v>-</v>
      </c>
      <c r="R179" s="267" t="str">
        <f t="shared" si="102"/>
        <v>-</v>
      </c>
      <c r="S179" s="268" t="str">
        <f t="shared" si="103"/>
        <v>-</v>
      </c>
      <c r="T179" s="269" t="str">
        <f t="shared" si="104"/>
        <v/>
      </c>
      <c r="U179" s="221">
        <f t="shared" si="105"/>
        <v>79</v>
      </c>
      <c r="V179" s="220" t="str">
        <f t="shared" si="131"/>
        <v>-</v>
      </c>
      <c r="W179" s="221" t="str">
        <f t="shared" si="132"/>
        <v>-</v>
      </c>
      <c r="X179" s="221" t="str">
        <f t="shared" si="106"/>
        <v>-</v>
      </c>
      <c r="Y179" s="221" t="str">
        <f t="shared" si="107"/>
        <v>-</v>
      </c>
      <c r="Z179" s="270">
        <f t="shared" si="133"/>
        <v>0.1</v>
      </c>
      <c r="AA179" s="271" t="str">
        <f>IFERROR(IF(V178=1,AA$100*EXP(-(LN(2)/$D$65+0.04)*X178)*EXP(-(LN(2)/$D$65+0.1)*Y178),IF(V178=2,AA$100*EXP(-(LN(2)/$D$65+0.04)*(VLOOKUP(($F$16-$F$15)-1,U$99:Y178,4,FALSE)))*EXP(-(LN(2)/$D$65+0.1)*(VLOOKUP(($F$16-$F$15)-1,U$99:Y178,5,FALSE)))*EXP(-(LN(2)/$D$65+0.04)*X178)*EXP(-(LN(2)/$D$65+0.1)*Y178),IF(V178=3,AA$100*EXP(-(LN(2)/$D$65+0.04)*(VLOOKUP(($F$16-$F$15)-1,U$99:Y178,4,FALSE)))*EXP(-(LN(2)/$D$65+0.1)*(VLOOKUP(($F$16-$F$15)-1,U$99:Y178,5,FALSE)))*EXP(-(LN(2)/$D$65+0.04)*(VLOOKUP(($F$16-$F$15)*2-1,U$99:Y178,4,FALSE)))*EXP(-(LN(2)/$D$65+0.1)*(VLOOKUP(($F$16-$F$15)*2-1,U$99:Y178,5,FALSE)))*EXP(-(LN(2)/$D$65+0.04)*X178)*EXP(-(LN(2)/$D$65+0.1)*Y178),"-"))),"-")</f>
        <v>-</v>
      </c>
      <c r="AB179" s="271" t="str">
        <f>IFERROR(IF(V179=1,AB$100*EXP(-(LN(2)/$D$65+0.04)*X179)*EXP(-(LN(2)/$D$65+0.1)*Y179),IF(V179=2,AB$100*EXP(-(LN(2)/$D$65+0.04)*(VLOOKUP(($F$16-$F$15)-1,U$100:Y179,4,FALSE)))*EXP(-(LN(2)/$D$65+0.1)*(VLOOKUP(($F$16-$F$15)-1,U$100:Y179,5,FALSE)))*EXP(-(LN(2)/$D$65+0.04)*X179)*EXP(-(LN(2)/$D$65+0.1)*Y179),IF(V179=3,AB$100*EXP(-(LN(2)/$D$65+0.04)*(VLOOKUP(($F$16-$F$15)-1,U$100:Y179,4,FALSE)))*EXP(-(LN(2)/$D$65+0.1)*(VLOOKUP(($F$16-$F$15)-1,U$100:Y179,5,FALSE)))*EXP(-(LN(2)/$D$65+0.04)*(VLOOKUP(($F$16-$F$15)*2-1,U$100:Y179,4,FALSE)))*EXP(-(LN(2)/$D$65+0.1)*(VLOOKUP(($F$16-$F$15)*2-1,U$100:Y179,5,FALSE)))*EXP(-(LN(2)/$D$65+0.04)*X179)*EXP(-(LN(2)/$D$65+0.1)*Y179),"-"))),"-")</f>
        <v>-</v>
      </c>
      <c r="AC179" s="224">
        <f t="shared" si="134"/>
        <v>79</v>
      </c>
      <c r="AD179" s="223" t="str">
        <f t="shared" si="108"/>
        <v>-</v>
      </c>
      <c r="AE179" s="224" t="str">
        <f t="shared" si="135"/>
        <v>-</v>
      </c>
      <c r="AF179" s="224" t="str">
        <f t="shared" si="109"/>
        <v>-</v>
      </c>
      <c r="AG179" s="224" t="str">
        <f t="shared" si="110"/>
        <v>-</v>
      </c>
      <c r="AH179" s="272">
        <f t="shared" si="136"/>
        <v>0.1</v>
      </c>
      <c r="AI179" s="271" t="str">
        <f>IFERROR(IF(AD178=1,AI$100*EXP(-(LN(2)/$D$65+0.04)*AF178)*EXP(-(LN(2)/$D$65+0.1)*AG178),IF(AD178=2,AI$100*EXP(-(LN(2)/$D$65+0.04)*(VLOOKUP(($F$16-$F$15)-1,AC$99:AG178,4,FALSE)))*EXP(-(LN(2)/$D$65+0.1)*(VLOOKUP(($F$16-$F$15)-1,AC$99:AG178,5,FALSE)))*EXP(-(LN(2)/$D$65+0.04)*AF178)*EXP(-(LN(2)/$D$65+0.1)*AG178),IF(AD178=3,AI$100*EXP(-(LN(2)/$D$65+0.04)*(VLOOKUP(($F$16-$F$15)-1,AC$99:AG178,4,FALSE)))*EXP(-(LN(2)/$D$65+0.1)*(VLOOKUP(($F$16-$F$15)-1,AC$99:AG178,5,FALSE)))*EXP(-(LN(2)/$D$65+0.04)*(VLOOKUP(($F$16-$F$15)*2-1,AC$99:AG178,4,FALSE)))*EXP(-(LN(2)/$D$65+0.1)*(VLOOKUP(($F$16-$F$15)*2-1,AC$99:AG178,5,FALSE)))*EXP(-(LN(2)/$D$65+0.04)*AF178)*EXP(-(LN(2)/$D$65+0.1)*AG178),"-"))),"-")</f>
        <v>-</v>
      </c>
      <c r="AJ179" s="271" t="str">
        <f>IFERROR(IF(AD179=1,AJ$100*EXP(-(LN(2)/$D$65+0.04)*AF179)*EXP(-(LN(2)/$D$65+0.1)*AG179),IF(AD179=2,AJ$100*EXP(-(LN(2)/$D$65+0.04)*(VLOOKUP(($F$16-$F$15)-1,AC$100:AG179,4,FALSE)))*EXP(-(LN(2)/$D$65+0.1)*(VLOOKUP(($F$16-$F$15)-1,AC$100:AG179,5,FALSE)))*EXP(-(LN(2)/$D$65+0.04)*AF179)*EXP(-(LN(2)/$D$65+0.1)*AG179),IF(AD179=3,AJ$100*EXP(-(LN(2)/$D$65+0.04)*(VLOOKUP(($F$16-$F$15)-1,AC$100:AG179,4,FALSE)))*EXP(-(LN(2)/$D$65+0.1)*(VLOOKUP(($F$16-$F$15)-1,AC$100:AG179,5,FALSE)))*EXP(-(LN(2)/$D$65+0.04)*(VLOOKUP(($F$16-$F$15)*2-1,AC$100:AG179,4,FALSE)))*EXP(-(LN(2)/$D$65+0.1)*(VLOOKUP(($F$16-$F$15)*2-1,AC$100:AG179,5,FALSE)))*EXP(-(LN(2)/$D$65+0.04)*AF179)*EXP(-(LN(2)/$D$65+0.1)*AG179),"-"))),"-")</f>
        <v>-</v>
      </c>
      <c r="AK179" s="227">
        <f t="shared" si="137"/>
        <v>79</v>
      </c>
      <c r="AL179" s="226" t="str">
        <f t="shared" si="111"/>
        <v>-</v>
      </c>
      <c r="AM179" s="227" t="str">
        <f t="shared" si="138"/>
        <v>-</v>
      </c>
      <c r="AN179" s="227" t="str">
        <f t="shared" si="139"/>
        <v>-</v>
      </c>
      <c r="AO179" s="227" t="str">
        <f t="shared" si="112"/>
        <v>-</v>
      </c>
      <c r="AP179" s="273">
        <f t="shared" si="140"/>
        <v>0.1</v>
      </c>
      <c r="AQ179" s="271" t="str">
        <f>IFERROR(IF(AL178=1,AQ$100*EXP(-(LN(2)/$D$65+0.04)*AN178)*EXP(-(LN(2)/$D$65+0.1)*AO178),IF(AL178=2,AQ$100*EXP(-(LN(2)/$D$65+0.04)*(VLOOKUP(($F$16-$F$15)-1,AK$99:AO178,4,FALSE)))*EXP(-(LN(2)/$D$65+0.1)*(VLOOKUP(($F$16-$F$15)-1,AK$99:AO178,5,FALSE)))*EXP(-(LN(2)/$D$65+0.04)*AN178)*EXP(-(LN(2)/$D$65+0.1)*AO178),IF(AL178=3,AQ$100*EXP(-(LN(2)/$D$65+0.04)*(VLOOKUP(($F$16-$F$15)-1,AK$99:AO178,4,FALSE)))*EXP(-(LN(2)/$D$65+0.1)*(VLOOKUP(($F$16-$F$15)-1,AK$99:AO178,5,FALSE)))*EXP(-(LN(2)/$D$65+0.04)*(VLOOKUP(($F$16-$F$15)*2-1,AK$99:AO178,4,FALSE)))*EXP(-(LN(2)/$D$65+0.1)*(VLOOKUP(($F$16-$F$15)*2-1,AK$99:AO178,5,FALSE)))*EXP(-(LN(2)/$D$65+0.04)*AN178)*EXP(-(LN(2)/$D$65+0.1)*AO178),"-"))),"-")</f>
        <v>-</v>
      </c>
      <c r="AR179" s="271" t="str">
        <f>IFERROR(IF(AL179=1,AR$100*EXP(-(LN(2)/$D$65+0.04)*AN179)*EXP(-(LN(2)/$D$65+0.1)*AO179),IF(AL179=2,AR$100*EXP(-(LN(2)/$D$65+0.04)*(VLOOKUP(($F$16-$F$15)-1,AK$100:AO179,4,FALSE)))*EXP(-(LN(2)/$D$65+0.1)*(VLOOKUP(($F$16-$F$15)-1,AK$100:AO179,5,FALSE)))*EXP(-(LN(2)/$D$65+0.04)*AN179)*EXP(-(LN(2)/$D$65+0.1)*AO179),IF(AL179=3,AR$100*EXP(-(LN(2)/$D$65+0.04)*(VLOOKUP(($F$16-$F$15)-1,AK$100:AO179,4,FALSE)))*EXP(-(LN(2)/$D$65+0.1)*(VLOOKUP(($F$16-$F$15)-1,AK$100:AO179,5,FALSE)))*EXP(-(LN(2)/$D$65+0.04)*(VLOOKUP(($F$16-$F$15)*2-1,AK$100:AO179,4,FALSE)))*EXP(-(LN(2)/$D$65+0.1)*(VLOOKUP(($F$16-$F$15)*2-1,AK$100:AO179,5,FALSE)))*EXP(-(LN(2)/$D$65+0.04)*AN179)*EXP(-(LN(2)/$D$65+0.1)*AO179),"-"))),"-")</f>
        <v>-</v>
      </c>
      <c r="AS179" s="274">
        <f t="shared" si="113"/>
        <v>0</v>
      </c>
      <c r="AT179" s="274">
        <f t="shared" si="114"/>
        <v>0</v>
      </c>
      <c r="AU179" s="274">
        <f t="shared" si="115"/>
        <v>0</v>
      </c>
      <c r="AV179" s="190">
        <f>IF($B179&lt;$F$22,SUM($T$100:$T179),"")</f>
        <v>0</v>
      </c>
      <c r="AW179" s="190" t="str">
        <f t="shared" si="116"/>
        <v>-</v>
      </c>
      <c r="AX179" s="190" t="str">
        <f t="shared" si="141"/>
        <v/>
      </c>
      <c r="AY179"/>
      <c r="AZ179" s="190" t="str">
        <f ca="1">IF(ISNUMBER(OFFSET(AV179,-$F$21,0)),SUM(OFFSET($T$100,$F$21,0):$T179),"")</f>
        <v/>
      </c>
      <c r="BA179" s="190" t="str">
        <f t="shared" ca="1" si="117"/>
        <v/>
      </c>
      <c r="BB179" s="190" t="str">
        <f t="shared" ca="1" si="70"/>
        <v/>
      </c>
      <c r="BC179" s="190"/>
      <c r="BD179" s="190" t="str">
        <f ca="1">IFERROR(IF(AND($B179&gt;=($F$16-$F$15),$B179&lt;$F$22+($F$16-$F$15)),SUM(OFFSET($T$100,($F$16-$F$15),0):$T179),""),"")</f>
        <v/>
      </c>
      <c r="BE179" s="190" t="str">
        <f t="shared" ca="1" si="142"/>
        <v/>
      </c>
      <c r="BF179" s="190" t="str">
        <f t="shared" ca="1" si="143"/>
        <v/>
      </c>
      <c r="BG179"/>
      <c r="BH179" s="190" t="str">
        <f ca="1">IF(ISNUMBER(OFFSET(BD179,-$F$21,0)),SUM(OFFSET($T$100,($F$16-$F$15+$F$21),0):$T179),"")</f>
        <v/>
      </c>
      <c r="BI179" s="190" t="str">
        <f t="shared" ca="1" si="118"/>
        <v/>
      </c>
      <c r="BJ179" s="190" t="str">
        <f t="shared" ca="1" si="144"/>
        <v/>
      </c>
      <c r="BK179" s="190"/>
      <c r="BL179" s="190" t="str">
        <f ca="1">IFERROR(IF(AND($B179&gt;=($F$17-$F$15),$B179&lt;$F$22+($F$17-$F$15)),SUM(OFFSET($T$100,($F$17-$F$15),0):$T179),""),"")</f>
        <v/>
      </c>
      <c r="BM179" s="190" t="str">
        <f t="shared" ca="1" si="119"/>
        <v/>
      </c>
      <c r="BN179" s="190" t="str">
        <f t="shared" ca="1" si="145"/>
        <v/>
      </c>
      <c r="BO179"/>
      <c r="BP179" s="190" t="str">
        <f ca="1">IF(ISNUMBER(OFFSET(BL179,-$F$21,0)),SUM(OFFSET($T$100,($F$17-$F$15+$F$21),0):$T179),"")</f>
        <v/>
      </c>
      <c r="BQ179" s="190" t="str">
        <f t="shared" ca="1" si="120"/>
        <v/>
      </c>
      <c r="BR179" s="190" t="str">
        <f t="shared" ca="1" si="146"/>
        <v/>
      </c>
      <c r="BS179" s="190"/>
      <c r="BT179"/>
      <c r="BU179"/>
      <c r="BV179"/>
      <c r="BY179" s="99"/>
      <c r="BZ179" s="99"/>
      <c r="CA179" s="280" t="str">
        <f t="shared" si="121"/>
        <v/>
      </c>
      <c r="CB179" s="71" t="str">
        <f t="shared" si="122"/>
        <v>-</v>
      </c>
      <c r="CC179" s="33"/>
      <c r="CD179" s="261" t="str">
        <f t="shared" si="123"/>
        <v/>
      </c>
      <c r="CE179" s="280" t="str">
        <f t="shared" si="124"/>
        <v>-</v>
      </c>
      <c r="CF179" s="71" t="str">
        <f t="shared" ca="1" si="125"/>
        <v>-</v>
      </c>
      <c r="CG179" s="33" t="str">
        <f t="shared" si="126"/>
        <v>79-80</v>
      </c>
      <c r="CH179" s="261" t="str">
        <f t="shared" ca="1" si="127"/>
        <v/>
      </c>
      <c r="CI179" s="99"/>
      <c r="CJ179" s="99"/>
      <c r="CK179" s="99"/>
      <c r="CL179" s="99"/>
      <c r="CM179" s="99"/>
      <c r="CN179" s="99"/>
      <c r="CO179" s="99"/>
    </row>
    <row r="180" spans="2:93" ht="13.5" customHeight="1" x14ac:dyDescent="0.2">
      <c r="B180" s="262">
        <v>80</v>
      </c>
      <c r="C180" s="237" t="str">
        <f t="shared" si="91"/>
        <v/>
      </c>
      <c r="D180" s="237" t="str">
        <f t="shared" si="147"/>
        <v>-</v>
      </c>
      <c r="E180" s="263" t="str">
        <f t="shared" si="128"/>
        <v/>
      </c>
      <c r="F180" s="264" t="str">
        <f t="shared" si="129"/>
        <v/>
      </c>
      <c r="G180" s="263" t="str">
        <f t="shared" si="130"/>
        <v/>
      </c>
      <c r="H180" s="240" t="str">
        <f t="shared" si="92"/>
        <v/>
      </c>
      <c r="I180" s="265" t="str">
        <f t="shared" si="93"/>
        <v/>
      </c>
      <c r="J180" s="265" t="str">
        <f t="shared" si="94"/>
        <v/>
      </c>
      <c r="K180" s="240" t="str">
        <f t="shared" si="95"/>
        <v/>
      </c>
      <c r="L180" s="265" t="str">
        <f t="shared" si="96"/>
        <v/>
      </c>
      <c r="M180" s="265" t="str">
        <f t="shared" si="97"/>
        <v/>
      </c>
      <c r="N180" s="240" t="str">
        <f t="shared" si="98"/>
        <v>-</v>
      </c>
      <c r="O180" s="265" t="str">
        <f t="shared" si="99"/>
        <v>-</v>
      </c>
      <c r="P180" s="265" t="str">
        <f t="shared" si="100"/>
        <v>-</v>
      </c>
      <c r="Q180" s="266" t="str">
        <f t="shared" si="101"/>
        <v>-</v>
      </c>
      <c r="R180" s="267" t="str">
        <f t="shared" si="102"/>
        <v>-</v>
      </c>
      <c r="S180" s="268" t="str">
        <f t="shared" si="103"/>
        <v>-</v>
      </c>
      <c r="T180" s="269" t="str">
        <f t="shared" si="104"/>
        <v/>
      </c>
      <c r="U180" s="221">
        <f t="shared" si="105"/>
        <v>80</v>
      </c>
      <c r="V180" s="220" t="str">
        <f t="shared" si="131"/>
        <v>-</v>
      </c>
      <c r="W180" s="221" t="str">
        <f t="shared" si="132"/>
        <v>-</v>
      </c>
      <c r="X180" s="221" t="str">
        <f t="shared" si="106"/>
        <v>-</v>
      </c>
      <c r="Y180" s="221" t="str">
        <f t="shared" si="107"/>
        <v>-</v>
      </c>
      <c r="Z180" s="270">
        <f t="shared" si="133"/>
        <v>0.1</v>
      </c>
      <c r="AA180" s="271" t="str">
        <f>IFERROR(IF(V179=1,AA$100*EXP(-(LN(2)/$D$65+0.04)*X179)*EXP(-(LN(2)/$D$65+0.1)*Y179),IF(V179=2,AA$100*EXP(-(LN(2)/$D$65+0.04)*(VLOOKUP(($F$16-$F$15)-1,U$99:Y179,4,FALSE)))*EXP(-(LN(2)/$D$65+0.1)*(VLOOKUP(($F$16-$F$15)-1,U$99:Y179,5,FALSE)))*EXP(-(LN(2)/$D$65+0.04)*X179)*EXP(-(LN(2)/$D$65+0.1)*Y179),IF(V179=3,AA$100*EXP(-(LN(2)/$D$65+0.04)*(VLOOKUP(($F$16-$F$15)-1,U$99:Y179,4,FALSE)))*EXP(-(LN(2)/$D$65+0.1)*(VLOOKUP(($F$16-$F$15)-1,U$99:Y179,5,FALSE)))*EXP(-(LN(2)/$D$65+0.04)*(VLOOKUP(($F$16-$F$15)*2-1,U$99:Y179,4,FALSE)))*EXP(-(LN(2)/$D$65+0.1)*(VLOOKUP(($F$16-$F$15)*2-1,U$99:Y179,5,FALSE)))*EXP(-(LN(2)/$D$65+0.04)*X179)*EXP(-(LN(2)/$D$65+0.1)*Y179),"-"))),"-")</f>
        <v>-</v>
      </c>
      <c r="AB180" s="271" t="str">
        <f>IFERROR(IF(V180=1,AB$100*EXP(-(LN(2)/$D$65+0.04)*X180)*EXP(-(LN(2)/$D$65+0.1)*Y180),IF(V180=2,AB$100*EXP(-(LN(2)/$D$65+0.04)*(VLOOKUP(($F$16-$F$15)-1,U$100:Y180,4,FALSE)))*EXP(-(LN(2)/$D$65+0.1)*(VLOOKUP(($F$16-$F$15)-1,U$100:Y180,5,FALSE)))*EXP(-(LN(2)/$D$65+0.04)*X180)*EXP(-(LN(2)/$D$65+0.1)*Y180),IF(V180=3,AB$100*EXP(-(LN(2)/$D$65+0.04)*(VLOOKUP(($F$16-$F$15)-1,U$100:Y180,4,FALSE)))*EXP(-(LN(2)/$D$65+0.1)*(VLOOKUP(($F$16-$F$15)-1,U$100:Y180,5,FALSE)))*EXP(-(LN(2)/$D$65+0.04)*(VLOOKUP(($F$16-$F$15)*2-1,U$100:Y180,4,FALSE)))*EXP(-(LN(2)/$D$65+0.1)*(VLOOKUP(($F$16-$F$15)*2-1,U$100:Y180,5,FALSE)))*EXP(-(LN(2)/$D$65+0.04)*X180)*EXP(-(LN(2)/$D$65+0.1)*Y180),"-"))),"-")</f>
        <v>-</v>
      </c>
      <c r="AC180" s="224">
        <f t="shared" si="134"/>
        <v>80</v>
      </c>
      <c r="AD180" s="223" t="str">
        <f t="shared" si="108"/>
        <v>-</v>
      </c>
      <c r="AE180" s="224" t="str">
        <f t="shared" si="135"/>
        <v>-</v>
      </c>
      <c r="AF180" s="224" t="str">
        <f t="shared" si="109"/>
        <v>-</v>
      </c>
      <c r="AG180" s="224" t="str">
        <f t="shared" si="110"/>
        <v>-</v>
      </c>
      <c r="AH180" s="272">
        <f t="shared" si="136"/>
        <v>0.1</v>
      </c>
      <c r="AI180" s="271" t="str">
        <f>IFERROR(IF(AD179=1,AI$100*EXP(-(LN(2)/$D$65+0.04)*AF179)*EXP(-(LN(2)/$D$65+0.1)*AG179),IF(AD179=2,AI$100*EXP(-(LN(2)/$D$65+0.04)*(VLOOKUP(($F$16-$F$15)-1,AC$99:AG179,4,FALSE)))*EXP(-(LN(2)/$D$65+0.1)*(VLOOKUP(($F$16-$F$15)-1,AC$99:AG179,5,FALSE)))*EXP(-(LN(2)/$D$65+0.04)*AF179)*EXP(-(LN(2)/$D$65+0.1)*AG179),IF(AD179=3,AI$100*EXP(-(LN(2)/$D$65+0.04)*(VLOOKUP(($F$16-$F$15)-1,AC$99:AG179,4,FALSE)))*EXP(-(LN(2)/$D$65+0.1)*(VLOOKUP(($F$16-$F$15)-1,AC$99:AG179,5,FALSE)))*EXP(-(LN(2)/$D$65+0.04)*(VLOOKUP(($F$16-$F$15)*2-1,AC$99:AG179,4,FALSE)))*EXP(-(LN(2)/$D$65+0.1)*(VLOOKUP(($F$16-$F$15)*2-1,AC$99:AG179,5,FALSE)))*EXP(-(LN(2)/$D$65+0.04)*AF179)*EXP(-(LN(2)/$D$65+0.1)*AG179),"-"))),"-")</f>
        <v>-</v>
      </c>
      <c r="AJ180" s="271" t="str">
        <f>IFERROR(IF(AD180=1,AJ$100*EXP(-(LN(2)/$D$65+0.04)*AF180)*EXP(-(LN(2)/$D$65+0.1)*AG180),IF(AD180=2,AJ$100*EXP(-(LN(2)/$D$65+0.04)*(VLOOKUP(($F$16-$F$15)-1,AC$100:AG180,4,FALSE)))*EXP(-(LN(2)/$D$65+0.1)*(VLOOKUP(($F$16-$F$15)-1,AC$100:AG180,5,FALSE)))*EXP(-(LN(2)/$D$65+0.04)*AF180)*EXP(-(LN(2)/$D$65+0.1)*AG180),IF(AD180=3,AJ$100*EXP(-(LN(2)/$D$65+0.04)*(VLOOKUP(($F$16-$F$15)-1,AC$100:AG180,4,FALSE)))*EXP(-(LN(2)/$D$65+0.1)*(VLOOKUP(($F$16-$F$15)-1,AC$100:AG180,5,FALSE)))*EXP(-(LN(2)/$D$65+0.04)*(VLOOKUP(($F$16-$F$15)*2-1,AC$100:AG180,4,FALSE)))*EXP(-(LN(2)/$D$65+0.1)*(VLOOKUP(($F$16-$F$15)*2-1,AC$100:AG180,5,FALSE)))*EXP(-(LN(2)/$D$65+0.04)*AF180)*EXP(-(LN(2)/$D$65+0.1)*AG180),"-"))),"-")</f>
        <v>-</v>
      </c>
      <c r="AK180" s="227">
        <f t="shared" si="137"/>
        <v>80</v>
      </c>
      <c r="AL180" s="226" t="str">
        <f t="shared" si="111"/>
        <v>-</v>
      </c>
      <c r="AM180" s="227" t="str">
        <f t="shared" si="138"/>
        <v>-</v>
      </c>
      <c r="AN180" s="227" t="str">
        <f t="shared" si="139"/>
        <v>-</v>
      </c>
      <c r="AO180" s="227" t="str">
        <f t="shared" si="112"/>
        <v>-</v>
      </c>
      <c r="AP180" s="273">
        <f t="shared" si="140"/>
        <v>0.1</v>
      </c>
      <c r="AQ180" s="271" t="str">
        <f>IFERROR(IF(AL179=1,AQ$100*EXP(-(LN(2)/$D$65+0.04)*AN179)*EXP(-(LN(2)/$D$65+0.1)*AO179),IF(AL179=2,AQ$100*EXP(-(LN(2)/$D$65+0.04)*(VLOOKUP(($F$16-$F$15)-1,AK$99:AO179,4,FALSE)))*EXP(-(LN(2)/$D$65+0.1)*(VLOOKUP(($F$16-$F$15)-1,AK$99:AO179,5,FALSE)))*EXP(-(LN(2)/$D$65+0.04)*AN179)*EXP(-(LN(2)/$D$65+0.1)*AO179),IF(AL179=3,AQ$100*EXP(-(LN(2)/$D$65+0.04)*(VLOOKUP(($F$16-$F$15)-1,AK$99:AO179,4,FALSE)))*EXP(-(LN(2)/$D$65+0.1)*(VLOOKUP(($F$16-$F$15)-1,AK$99:AO179,5,FALSE)))*EXP(-(LN(2)/$D$65+0.04)*(VLOOKUP(($F$16-$F$15)*2-1,AK$99:AO179,4,FALSE)))*EXP(-(LN(2)/$D$65+0.1)*(VLOOKUP(($F$16-$F$15)*2-1,AK$99:AO179,5,FALSE)))*EXP(-(LN(2)/$D$65+0.04)*AN179)*EXP(-(LN(2)/$D$65+0.1)*AO179),"-"))),"-")</f>
        <v>-</v>
      </c>
      <c r="AR180" s="271" t="str">
        <f>IFERROR(IF(AL180=1,AR$100*EXP(-(LN(2)/$D$65+0.04)*AN180)*EXP(-(LN(2)/$D$65+0.1)*AO180),IF(AL180=2,AR$100*EXP(-(LN(2)/$D$65+0.04)*(VLOOKUP(($F$16-$F$15)-1,AK$100:AO180,4,FALSE)))*EXP(-(LN(2)/$D$65+0.1)*(VLOOKUP(($F$16-$F$15)-1,AK$100:AO180,5,FALSE)))*EXP(-(LN(2)/$D$65+0.04)*AN180)*EXP(-(LN(2)/$D$65+0.1)*AO180),IF(AL180=3,AR$100*EXP(-(LN(2)/$D$65+0.04)*(VLOOKUP(($F$16-$F$15)-1,AK$100:AO180,4,FALSE)))*EXP(-(LN(2)/$D$65+0.1)*(VLOOKUP(($F$16-$F$15)-1,AK$100:AO180,5,FALSE)))*EXP(-(LN(2)/$D$65+0.04)*(VLOOKUP(($F$16-$F$15)*2-1,AK$100:AO180,4,FALSE)))*EXP(-(LN(2)/$D$65+0.1)*(VLOOKUP(($F$16-$F$15)*2-1,AK$100:AO180,5,FALSE)))*EXP(-(LN(2)/$D$65+0.04)*AN180)*EXP(-(LN(2)/$D$65+0.1)*AO180),"-"))),"-")</f>
        <v>-</v>
      </c>
      <c r="AS180" s="274">
        <f t="shared" si="113"/>
        <v>0</v>
      </c>
      <c r="AT180" s="274">
        <f t="shared" si="114"/>
        <v>0</v>
      </c>
      <c r="AU180" s="274">
        <f t="shared" si="115"/>
        <v>0</v>
      </c>
      <c r="AV180" s="190">
        <f>IF($B180&lt;$F$22,SUM($T$100:$T180),"")</f>
        <v>0</v>
      </c>
      <c r="AW180" s="190" t="str">
        <f t="shared" si="116"/>
        <v>-</v>
      </c>
      <c r="AX180" s="190" t="str">
        <f t="shared" si="141"/>
        <v/>
      </c>
      <c r="AY180"/>
      <c r="AZ180" s="190" t="str">
        <f ca="1">IF(ISNUMBER(OFFSET(AV180,-$F$21,0)),SUM(OFFSET($T$100,$F$21,0):$T180),"")</f>
        <v/>
      </c>
      <c r="BA180" s="190" t="str">
        <f t="shared" ca="1" si="117"/>
        <v/>
      </c>
      <c r="BB180" s="190" t="str">
        <f t="shared" ca="1" si="70"/>
        <v/>
      </c>
      <c r="BC180" s="190"/>
      <c r="BD180" s="190" t="str">
        <f ca="1">IFERROR(IF(AND($B180&gt;=($F$16-$F$15),$B180&lt;$F$22+($F$16-$F$15)),SUM(OFFSET($T$100,($F$16-$F$15),0):$T180),""),"")</f>
        <v/>
      </c>
      <c r="BE180" s="190" t="str">
        <f t="shared" ca="1" si="142"/>
        <v/>
      </c>
      <c r="BF180" s="190" t="str">
        <f t="shared" ca="1" si="143"/>
        <v/>
      </c>
      <c r="BG180"/>
      <c r="BH180" s="190" t="str">
        <f ca="1">IF(ISNUMBER(OFFSET(BD180,-$F$21,0)),SUM(OFFSET($T$100,($F$16-$F$15+$F$21),0):$T180),"")</f>
        <v/>
      </c>
      <c r="BI180" s="190" t="str">
        <f t="shared" ca="1" si="118"/>
        <v/>
      </c>
      <c r="BJ180" s="190" t="str">
        <f t="shared" ca="1" si="144"/>
        <v/>
      </c>
      <c r="BK180" s="190"/>
      <c r="BL180" s="190" t="str">
        <f ca="1">IFERROR(IF(AND($B180&gt;=($F$17-$F$15),$B180&lt;$F$22+($F$17-$F$15)),SUM(OFFSET($T$100,($F$17-$F$15),0):$T180),""),"")</f>
        <v/>
      </c>
      <c r="BM180" s="190" t="str">
        <f t="shared" ca="1" si="119"/>
        <v/>
      </c>
      <c r="BN180" s="190" t="str">
        <f t="shared" ca="1" si="145"/>
        <v/>
      </c>
      <c r="BO180"/>
      <c r="BP180" s="190" t="str">
        <f ca="1">IF(ISNUMBER(OFFSET(BL180,-$F$21,0)),SUM(OFFSET($T$100,($F$17-$F$15+$F$21),0):$T180),"")</f>
        <v/>
      </c>
      <c r="BQ180" s="190" t="str">
        <f t="shared" ca="1" si="120"/>
        <v/>
      </c>
      <c r="BR180" s="190" t="str">
        <f t="shared" ca="1" si="146"/>
        <v/>
      </c>
      <c r="BS180" s="190"/>
      <c r="BT180"/>
      <c r="BU180"/>
      <c r="BV180"/>
      <c r="BY180" s="99"/>
      <c r="BZ180" s="99"/>
      <c r="CA180" s="280" t="str">
        <f t="shared" si="121"/>
        <v/>
      </c>
      <c r="CB180" s="71" t="str">
        <f t="shared" si="122"/>
        <v>-</v>
      </c>
      <c r="CC180" s="33"/>
      <c r="CD180" s="261" t="str">
        <f t="shared" si="123"/>
        <v/>
      </c>
      <c r="CE180" s="280" t="str">
        <f t="shared" si="124"/>
        <v>-</v>
      </c>
      <c r="CF180" s="71" t="str">
        <f t="shared" ca="1" si="125"/>
        <v>-</v>
      </c>
      <c r="CG180" s="33" t="str">
        <f t="shared" si="126"/>
        <v>80-81</v>
      </c>
      <c r="CH180" s="261" t="str">
        <f t="shared" ca="1" si="127"/>
        <v/>
      </c>
      <c r="CI180" s="99"/>
      <c r="CJ180" s="99"/>
      <c r="CK180" s="99"/>
      <c r="CL180" s="99"/>
      <c r="CM180" s="99"/>
      <c r="CN180" s="99"/>
      <c r="CO180" s="99"/>
    </row>
    <row r="181" spans="2:93" ht="13.5" customHeight="1" x14ac:dyDescent="0.2">
      <c r="B181" s="262">
        <v>81</v>
      </c>
      <c r="C181" s="237" t="str">
        <f t="shared" si="91"/>
        <v/>
      </c>
      <c r="D181" s="237" t="str">
        <f t="shared" si="147"/>
        <v>-</v>
      </c>
      <c r="E181" s="263" t="str">
        <f t="shared" si="128"/>
        <v/>
      </c>
      <c r="F181" s="264" t="str">
        <f t="shared" si="129"/>
        <v/>
      </c>
      <c r="G181" s="263" t="str">
        <f t="shared" si="130"/>
        <v/>
      </c>
      <c r="H181" s="240" t="str">
        <f t="shared" si="92"/>
        <v/>
      </c>
      <c r="I181" s="265" t="str">
        <f t="shared" si="93"/>
        <v/>
      </c>
      <c r="J181" s="265" t="str">
        <f t="shared" si="94"/>
        <v/>
      </c>
      <c r="K181" s="240" t="str">
        <f t="shared" si="95"/>
        <v/>
      </c>
      <c r="L181" s="265" t="str">
        <f t="shared" si="96"/>
        <v/>
      </c>
      <c r="M181" s="265" t="str">
        <f t="shared" si="97"/>
        <v/>
      </c>
      <c r="N181" s="240" t="str">
        <f t="shared" si="98"/>
        <v>-</v>
      </c>
      <c r="O181" s="265" t="str">
        <f t="shared" si="99"/>
        <v>-</v>
      </c>
      <c r="P181" s="265" t="str">
        <f t="shared" si="100"/>
        <v>-</v>
      </c>
      <c r="Q181" s="266" t="str">
        <f t="shared" si="101"/>
        <v>-</v>
      </c>
      <c r="R181" s="267" t="str">
        <f t="shared" si="102"/>
        <v>-</v>
      </c>
      <c r="S181" s="268" t="str">
        <f t="shared" si="103"/>
        <v>-</v>
      </c>
      <c r="T181" s="269" t="str">
        <f t="shared" si="104"/>
        <v/>
      </c>
      <c r="U181" s="221">
        <f t="shared" si="105"/>
        <v>81</v>
      </c>
      <c r="V181" s="220" t="str">
        <f t="shared" si="131"/>
        <v>-</v>
      </c>
      <c r="W181" s="221" t="str">
        <f t="shared" si="132"/>
        <v>-</v>
      </c>
      <c r="X181" s="221" t="str">
        <f t="shared" si="106"/>
        <v>-</v>
      </c>
      <c r="Y181" s="221" t="str">
        <f t="shared" si="107"/>
        <v>-</v>
      </c>
      <c r="Z181" s="270">
        <f t="shared" si="133"/>
        <v>0.1</v>
      </c>
      <c r="AA181" s="271" t="str">
        <f>IFERROR(IF(V180=1,AA$100*EXP(-(LN(2)/$D$65+0.04)*X180)*EXP(-(LN(2)/$D$65+0.1)*Y180),IF(V180=2,AA$100*EXP(-(LN(2)/$D$65+0.04)*(VLOOKUP(($F$16-$F$15)-1,U$99:Y180,4,FALSE)))*EXP(-(LN(2)/$D$65+0.1)*(VLOOKUP(($F$16-$F$15)-1,U$99:Y180,5,FALSE)))*EXP(-(LN(2)/$D$65+0.04)*X180)*EXP(-(LN(2)/$D$65+0.1)*Y180),IF(V180=3,AA$100*EXP(-(LN(2)/$D$65+0.04)*(VLOOKUP(($F$16-$F$15)-1,U$99:Y180,4,FALSE)))*EXP(-(LN(2)/$D$65+0.1)*(VLOOKUP(($F$16-$F$15)-1,U$99:Y180,5,FALSE)))*EXP(-(LN(2)/$D$65+0.04)*(VLOOKUP(($F$16-$F$15)*2-1,U$99:Y180,4,FALSE)))*EXP(-(LN(2)/$D$65+0.1)*(VLOOKUP(($F$16-$F$15)*2-1,U$99:Y180,5,FALSE)))*EXP(-(LN(2)/$D$65+0.04)*X180)*EXP(-(LN(2)/$D$65+0.1)*Y180),"-"))),"-")</f>
        <v>-</v>
      </c>
      <c r="AB181" s="271" t="str">
        <f>IFERROR(IF(V181=1,AB$100*EXP(-(LN(2)/$D$65+0.04)*X181)*EXP(-(LN(2)/$D$65+0.1)*Y181),IF(V181=2,AB$100*EXP(-(LN(2)/$D$65+0.04)*(VLOOKUP(($F$16-$F$15)-1,U$100:Y181,4,FALSE)))*EXP(-(LN(2)/$D$65+0.1)*(VLOOKUP(($F$16-$F$15)-1,U$100:Y181,5,FALSE)))*EXP(-(LN(2)/$D$65+0.04)*X181)*EXP(-(LN(2)/$D$65+0.1)*Y181),IF(V181=3,AB$100*EXP(-(LN(2)/$D$65+0.04)*(VLOOKUP(($F$16-$F$15)-1,U$100:Y181,4,FALSE)))*EXP(-(LN(2)/$D$65+0.1)*(VLOOKUP(($F$16-$F$15)-1,U$100:Y181,5,FALSE)))*EXP(-(LN(2)/$D$65+0.04)*(VLOOKUP(($F$16-$F$15)*2-1,U$100:Y181,4,FALSE)))*EXP(-(LN(2)/$D$65+0.1)*(VLOOKUP(($F$16-$F$15)*2-1,U$100:Y181,5,FALSE)))*EXP(-(LN(2)/$D$65+0.04)*X181)*EXP(-(LN(2)/$D$65+0.1)*Y181),"-"))),"-")</f>
        <v>-</v>
      </c>
      <c r="AC181" s="224">
        <f t="shared" si="134"/>
        <v>81</v>
      </c>
      <c r="AD181" s="223" t="str">
        <f t="shared" si="108"/>
        <v>-</v>
      </c>
      <c r="AE181" s="224" t="str">
        <f t="shared" si="135"/>
        <v>-</v>
      </c>
      <c r="AF181" s="224" t="str">
        <f t="shared" si="109"/>
        <v>-</v>
      </c>
      <c r="AG181" s="224" t="str">
        <f t="shared" si="110"/>
        <v>-</v>
      </c>
      <c r="AH181" s="272">
        <f t="shared" si="136"/>
        <v>0.1</v>
      </c>
      <c r="AI181" s="271" t="str">
        <f>IFERROR(IF(AD180=1,AI$100*EXP(-(LN(2)/$D$65+0.04)*AF180)*EXP(-(LN(2)/$D$65+0.1)*AG180),IF(AD180=2,AI$100*EXP(-(LN(2)/$D$65+0.04)*(VLOOKUP(($F$16-$F$15)-1,AC$99:AG180,4,FALSE)))*EXP(-(LN(2)/$D$65+0.1)*(VLOOKUP(($F$16-$F$15)-1,AC$99:AG180,5,FALSE)))*EXP(-(LN(2)/$D$65+0.04)*AF180)*EXP(-(LN(2)/$D$65+0.1)*AG180),IF(AD180=3,AI$100*EXP(-(LN(2)/$D$65+0.04)*(VLOOKUP(($F$16-$F$15)-1,AC$99:AG180,4,FALSE)))*EXP(-(LN(2)/$D$65+0.1)*(VLOOKUP(($F$16-$F$15)-1,AC$99:AG180,5,FALSE)))*EXP(-(LN(2)/$D$65+0.04)*(VLOOKUP(($F$16-$F$15)*2-1,AC$99:AG180,4,FALSE)))*EXP(-(LN(2)/$D$65+0.1)*(VLOOKUP(($F$16-$F$15)*2-1,AC$99:AG180,5,FALSE)))*EXP(-(LN(2)/$D$65+0.04)*AF180)*EXP(-(LN(2)/$D$65+0.1)*AG180),"-"))),"-")</f>
        <v>-</v>
      </c>
      <c r="AJ181" s="271" t="str">
        <f>IFERROR(IF(AD181=1,AJ$100*EXP(-(LN(2)/$D$65+0.04)*AF181)*EXP(-(LN(2)/$D$65+0.1)*AG181),IF(AD181=2,AJ$100*EXP(-(LN(2)/$D$65+0.04)*(VLOOKUP(($F$16-$F$15)-1,AC$100:AG181,4,FALSE)))*EXP(-(LN(2)/$D$65+0.1)*(VLOOKUP(($F$16-$F$15)-1,AC$100:AG181,5,FALSE)))*EXP(-(LN(2)/$D$65+0.04)*AF181)*EXP(-(LN(2)/$D$65+0.1)*AG181),IF(AD181=3,AJ$100*EXP(-(LN(2)/$D$65+0.04)*(VLOOKUP(($F$16-$F$15)-1,AC$100:AG181,4,FALSE)))*EXP(-(LN(2)/$D$65+0.1)*(VLOOKUP(($F$16-$F$15)-1,AC$100:AG181,5,FALSE)))*EXP(-(LN(2)/$D$65+0.04)*(VLOOKUP(($F$16-$F$15)*2-1,AC$100:AG181,4,FALSE)))*EXP(-(LN(2)/$D$65+0.1)*(VLOOKUP(($F$16-$F$15)*2-1,AC$100:AG181,5,FALSE)))*EXP(-(LN(2)/$D$65+0.04)*AF181)*EXP(-(LN(2)/$D$65+0.1)*AG181),"-"))),"-")</f>
        <v>-</v>
      </c>
      <c r="AK181" s="227">
        <f t="shared" si="137"/>
        <v>81</v>
      </c>
      <c r="AL181" s="226" t="str">
        <f t="shared" si="111"/>
        <v>-</v>
      </c>
      <c r="AM181" s="227" t="str">
        <f t="shared" si="138"/>
        <v>-</v>
      </c>
      <c r="AN181" s="227" t="str">
        <f t="shared" si="139"/>
        <v>-</v>
      </c>
      <c r="AO181" s="227" t="str">
        <f t="shared" si="112"/>
        <v>-</v>
      </c>
      <c r="AP181" s="273">
        <f t="shared" si="140"/>
        <v>0.1</v>
      </c>
      <c r="AQ181" s="271" t="str">
        <f>IFERROR(IF(AL180=1,AQ$100*EXP(-(LN(2)/$D$65+0.04)*AN180)*EXP(-(LN(2)/$D$65+0.1)*AO180),IF(AL180=2,AQ$100*EXP(-(LN(2)/$D$65+0.04)*(VLOOKUP(($F$16-$F$15)-1,AK$99:AO180,4,FALSE)))*EXP(-(LN(2)/$D$65+0.1)*(VLOOKUP(($F$16-$F$15)-1,AK$99:AO180,5,FALSE)))*EXP(-(LN(2)/$D$65+0.04)*AN180)*EXP(-(LN(2)/$D$65+0.1)*AO180),IF(AL180=3,AQ$100*EXP(-(LN(2)/$D$65+0.04)*(VLOOKUP(($F$16-$F$15)-1,AK$99:AO180,4,FALSE)))*EXP(-(LN(2)/$D$65+0.1)*(VLOOKUP(($F$16-$F$15)-1,AK$99:AO180,5,FALSE)))*EXP(-(LN(2)/$D$65+0.04)*(VLOOKUP(($F$16-$F$15)*2-1,AK$99:AO180,4,FALSE)))*EXP(-(LN(2)/$D$65+0.1)*(VLOOKUP(($F$16-$F$15)*2-1,AK$99:AO180,5,FALSE)))*EXP(-(LN(2)/$D$65+0.04)*AN180)*EXP(-(LN(2)/$D$65+0.1)*AO180),"-"))),"-")</f>
        <v>-</v>
      </c>
      <c r="AR181" s="271" t="str">
        <f>IFERROR(IF(AL181=1,AR$100*EXP(-(LN(2)/$D$65+0.04)*AN181)*EXP(-(LN(2)/$D$65+0.1)*AO181),IF(AL181=2,AR$100*EXP(-(LN(2)/$D$65+0.04)*(VLOOKUP(($F$16-$F$15)-1,AK$100:AO181,4,FALSE)))*EXP(-(LN(2)/$D$65+0.1)*(VLOOKUP(($F$16-$F$15)-1,AK$100:AO181,5,FALSE)))*EXP(-(LN(2)/$D$65+0.04)*AN181)*EXP(-(LN(2)/$D$65+0.1)*AO181),IF(AL181=3,AR$100*EXP(-(LN(2)/$D$65+0.04)*(VLOOKUP(($F$16-$F$15)-1,AK$100:AO181,4,FALSE)))*EXP(-(LN(2)/$D$65+0.1)*(VLOOKUP(($F$16-$F$15)-1,AK$100:AO181,5,FALSE)))*EXP(-(LN(2)/$D$65+0.04)*(VLOOKUP(($F$16-$F$15)*2-1,AK$100:AO181,4,FALSE)))*EXP(-(LN(2)/$D$65+0.1)*(VLOOKUP(($F$16-$F$15)*2-1,AK$100:AO181,5,FALSE)))*EXP(-(LN(2)/$D$65+0.04)*AN181)*EXP(-(LN(2)/$D$65+0.1)*AO181),"-"))),"-")</f>
        <v>-</v>
      </c>
      <c r="AS181" s="274">
        <f t="shared" si="113"/>
        <v>0</v>
      </c>
      <c r="AT181" s="274">
        <f t="shared" si="114"/>
        <v>0</v>
      </c>
      <c r="AU181" s="274">
        <f t="shared" si="115"/>
        <v>0</v>
      </c>
      <c r="AV181" s="190">
        <f>IF($B181&lt;$F$22,SUM($T$100:$T181),"")</f>
        <v>0</v>
      </c>
      <c r="AW181" s="190" t="str">
        <f t="shared" si="116"/>
        <v>-</v>
      </c>
      <c r="AX181" s="190" t="str">
        <f t="shared" si="141"/>
        <v/>
      </c>
      <c r="AY181"/>
      <c r="AZ181" s="190" t="str">
        <f ca="1">IF(ISNUMBER(OFFSET(AV181,-$F$21,0)),SUM(OFFSET($T$100,$F$21,0):$T181),"")</f>
        <v/>
      </c>
      <c r="BA181" s="190" t="str">
        <f t="shared" ca="1" si="117"/>
        <v/>
      </c>
      <c r="BB181" s="190" t="str">
        <f t="shared" ca="1" si="70"/>
        <v/>
      </c>
      <c r="BC181" s="190"/>
      <c r="BD181" s="190" t="str">
        <f ca="1">IFERROR(IF(AND($B181&gt;=($F$16-$F$15),$B181&lt;$F$22+($F$16-$F$15)),SUM(OFFSET($T$100,($F$16-$F$15),0):$T181),""),"")</f>
        <v/>
      </c>
      <c r="BE181" s="190" t="str">
        <f t="shared" ca="1" si="142"/>
        <v/>
      </c>
      <c r="BF181" s="190" t="str">
        <f t="shared" ca="1" si="143"/>
        <v/>
      </c>
      <c r="BG181"/>
      <c r="BH181" s="190" t="str">
        <f ca="1">IF(ISNUMBER(OFFSET(BD181,-$F$21,0)),SUM(OFFSET($T$100,($F$16-$F$15+$F$21),0):$T181),"")</f>
        <v/>
      </c>
      <c r="BI181" s="190" t="str">
        <f t="shared" ca="1" si="118"/>
        <v/>
      </c>
      <c r="BJ181" s="190" t="str">
        <f t="shared" ca="1" si="144"/>
        <v/>
      </c>
      <c r="BK181" s="190"/>
      <c r="BL181" s="190" t="str">
        <f ca="1">IFERROR(IF(AND($B181&gt;=($F$17-$F$15),$B181&lt;$F$22+($F$17-$F$15)),SUM(OFFSET($T$100,($F$17-$F$15),0):$T181),""),"")</f>
        <v/>
      </c>
      <c r="BM181" s="190" t="str">
        <f t="shared" ca="1" si="119"/>
        <v/>
      </c>
      <c r="BN181" s="190" t="str">
        <f t="shared" ca="1" si="145"/>
        <v/>
      </c>
      <c r="BO181"/>
      <c r="BP181" s="190" t="str">
        <f ca="1">IF(ISNUMBER(OFFSET(BL181,-$F$21,0)),SUM(OFFSET($T$100,($F$17-$F$15+$F$21),0):$T181),"")</f>
        <v/>
      </c>
      <c r="BQ181" s="190" t="str">
        <f t="shared" ca="1" si="120"/>
        <v/>
      </c>
      <c r="BR181" s="190" t="str">
        <f t="shared" ca="1" si="146"/>
        <v/>
      </c>
      <c r="BS181" s="190"/>
      <c r="BT181"/>
      <c r="BU181"/>
      <c r="BV181"/>
      <c r="BY181" s="99"/>
      <c r="BZ181" s="99"/>
      <c r="CA181" s="280" t="str">
        <f t="shared" si="121"/>
        <v/>
      </c>
      <c r="CB181" s="71" t="str">
        <f t="shared" si="122"/>
        <v>-</v>
      </c>
      <c r="CC181" s="33"/>
      <c r="CD181" s="261" t="str">
        <f t="shared" si="123"/>
        <v/>
      </c>
      <c r="CE181" s="280" t="str">
        <f t="shared" si="124"/>
        <v>-</v>
      </c>
      <c r="CF181" s="71" t="str">
        <f t="shared" ca="1" si="125"/>
        <v>-</v>
      </c>
      <c r="CG181" s="33" t="str">
        <f t="shared" si="126"/>
        <v>81-82</v>
      </c>
      <c r="CH181" s="261" t="str">
        <f t="shared" ca="1" si="127"/>
        <v/>
      </c>
      <c r="CI181" s="99"/>
      <c r="CJ181" s="99"/>
      <c r="CK181" s="99"/>
      <c r="CL181" s="99"/>
      <c r="CM181" s="99"/>
      <c r="CN181" s="99"/>
      <c r="CO181" s="99"/>
    </row>
    <row r="182" spans="2:93" ht="13.5" customHeight="1" x14ac:dyDescent="0.2">
      <c r="B182" s="262">
        <v>82</v>
      </c>
      <c r="C182" s="237" t="str">
        <f t="shared" si="91"/>
        <v/>
      </c>
      <c r="D182" s="237" t="str">
        <f t="shared" si="147"/>
        <v>-</v>
      </c>
      <c r="E182" s="263" t="str">
        <f t="shared" si="128"/>
        <v/>
      </c>
      <c r="F182" s="264" t="str">
        <f t="shared" si="129"/>
        <v/>
      </c>
      <c r="G182" s="263" t="str">
        <f t="shared" si="130"/>
        <v/>
      </c>
      <c r="H182" s="240" t="str">
        <f t="shared" si="92"/>
        <v/>
      </c>
      <c r="I182" s="265" t="str">
        <f t="shared" si="93"/>
        <v/>
      </c>
      <c r="J182" s="265" t="str">
        <f t="shared" si="94"/>
        <v/>
      </c>
      <c r="K182" s="240" t="str">
        <f t="shared" si="95"/>
        <v/>
      </c>
      <c r="L182" s="265" t="str">
        <f t="shared" si="96"/>
        <v/>
      </c>
      <c r="M182" s="265" t="str">
        <f t="shared" si="97"/>
        <v/>
      </c>
      <c r="N182" s="240" t="str">
        <f t="shared" si="98"/>
        <v>-</v>
      </c>
      <c r="O182" s="265" t="str">
        <f t="shared" si="99"/>
        <v>-</v>
      </c>
      <c r="P182" s="265" t="str">
        <f t="shared" si="100"/>
        <v>-</v>
      </c>
      <c r="Q182" s="266" t="str">
        <f t="shared" si="101"/>
        <v>-</v>
      </c>
      <c r="R182" s="267" t="str">
        <f t="shared" si="102"/>
        <v>-</v>
      </c>
      <c r="S182" s="268" t="str">
        <f t="shared" si="103"/>
        <v>-</v>
      </c>
      <c r="T182" s="269" t="str">
        <f t="shared" si="104"/>
        <v/>
      </c>
      <c r="U182" s="221">
        <f t="shared" si="105"/>
        <v>82</v>
      </c>
      <c r="V182" s="220" t="str">
        <f t="shared" si="131"/>
        <v>-</v>
      </c>
      <c r="W182" s="221" t="str">
        <f t="shared" si="132"/>
        <v>-</v>
      </c>
      <c r="X182" s="221" t="str">
        <f t="shared" si="106"/>
        <v>-</v>
      </c>
      <c r="Y182" s="221" t="str">
        <f t="shared" si="107"/>
        <v>-</v>
      </c>
      <c r="Z182" s="270">
        <f t="shared" si="133"/>
        <v>0.1</v>
      </c>
      <c r="AA182" s="271" t="str">
        <f>IFERROR(IF(V181=1,AA$100*EXP(-(LN(2)/$D$65+0.04)*X181)*EXP(-(LN(2)/$D$65+0.1)*Y181),IF(V181=2,AA$100*EXP(-(LN(2)/$D$65+0.04)*(VLOOKUP(($F$16-$F$15)-1,U$99:Y181,4,FALSE)))*EXP(-(LN(2)/$D$65+0.1)*(VLOOKUP(($F$16-$F$15)-1,U$99:Y181,5,FALSE)))*EXP(-(LN(2)/$D$65+0.04)*X181)*EXP(-(LN(2)/$D$65+0.1)*Y181),IF(V181=3,AA$100*EXP(-(LN(2)/$D$65+0.04)*(VLOOKUP(($F$16-$F$15)-1,U$99:Y181,4,FALSE)))*EXP(-(LN(2)/$D$65+0.1)*(VLOOKUP(($F$16-$F$15)-1,U$99:Y181,5,FALSE)))*EXP(-(LN(2)/$D$65+0.04)*(VLOOKUP(($F$16-$F$15)*2-1,U$99:Y181,4,FALSE)))*EXP(-(LN(2)/$D$65+0.1)*(VLOOKUP(($F$16-$F$15)*2-1,U$99:Y181,5,FALSE)))*EXP(-(LN(2)/$D$65+0.04)*X181)*EXP(-(LN(2)/$D$65+0.1)*Y181),"-"))),"-")</f>
        <v>-</v>
      </c>
      <c r="AB182" s="271" t="str">
        <f>IFERROR(IF(V182=1,AB$100*EXP(-(LN(2)/$D$65+0.04)*X182)*EXP(-(LN(2)/$D$65+0.1)*Y182),IF(V182=2,AB$100*EXP(-(LN(2)/$D$65+0.04)*(VLOOKUP(($F$16-$F$15)-1,U$100:Y182,4,FALSE)))*EXP(-(LN(2)/$D$65+0.1)*(VLOOKUP(($F$16-$F$15)-1,U$100:Y182,5,FALSE)))*EXP(-(LN(2)/$D$65+0.04)*X182)*EXP(-(LN(2)/$D$65+0.1)*Y182),IF(V182=3,AB$100*EXP(-(LN(2)/$D$65+0.04)*(VLOOKUP(($F$16-$F$15)-1,U$100:Y182,4,FALSE)))*EXP(-(LN(2)/$D$65+0.1)*(VLOOKUP(($F$16-$F$15)-1,U$100:Y182,5,FALSE)))*EXP(-(LN(2)/$D$65+0.04)*(VLOOKUP(($F$16-$F$15)*2-1,U$100:Y182,4,FALSE)))*EXP(-(LN(2)/$D$65+0.1)*(VLOOKUP(($F$16-$F$15)*2-1,U$100:Y182,5,FALSE)))*EXP(-(LN(2)/$D$65+0.04)*X182)*EXP(-(LN(2)/$D$65+0.1)*Y182),"-"))),"-")</f>
        <v>-</v>
      </c>
      <c r="AC182" s="224">
        <f t="shared" si="134"/>
        <v>82</v>
      </c>
      <c r="AD182" s="223" t="str">
        <f t="shared" si="108"/>
        <v>-</v>
      </c>
      <c r="AE182" s="224" t="str">
        <f t="shared" si="135"/>
        <v>-</v>
      </c>
      <c r="AF182" s="224" t="str">
        <f t="shared" si="109"/>
        <v>-</v>
      </c>
      <c r="AG182" s="224" t="str">
        <f t="shared" si="110"/>
        <v>-</v>
      </c>
      <c r="AH182" s="272">
        <f t="shared" si="136"/>
        <v>0.1</v>
      </c>
      <c r="AI182" s="271" t="str">
        <f>IFERROR(IF(AD181=1,AI$100*EXP(-(LN(2)/$D$65+0.04)*AF181)*EXP(-(LN(2)/$D$65+0.1)*AG181),IF(AD181=2,AI$100*EXP(-(LN(2)/$D$65+0.04)*(VLOOKUP(($F$16-$F$15)-1,AC$99:AG181,4,FALSE)))*EXP(-(LN(2)/$D$65+0.1)*(VLOOKUP(($F$16-$F$15)-1,AC$99:AG181,5,FALSE)))*EXP(-(LN(2)/$D$65+0.04)*AF181)*EXP(-(LN(2)/$D$65+0.1)*AG181),IF(AD181=3,AI$100*EXP(-(LN(2)/$D$65+0.04)*(VLOOKUP(($F$16-$F$15)-1,AC$99:AG181,4,FALSE)))*EXP(-(LN(2)/$D$65+0.1)*(VLOOKUP(($F$16-$F$15)-1,AC$99:AG181,5,FALSE)))*EXP(-(LN(2)/$D$65+0.04)*(VLOOKUP(($F$16-$F$15)*2-1,AC$99:AG181,4,FALSE)))*EXP(-(LN(2)/$D$65+0.1)*(VLOOKUP(($F$16-$F$15)*2-1,AC$99:AG181,5,FALSE)))*EXP(-(LN(2)/$D$65+0.04)*AF181)*EXP(-(LN(2)/$D$65+0.1)*AG181),"-"))),"-")</f>
        <v>-</v>
      </c>
      <c r="AJ182" s="271" t="str">
        <f>IFERROR(IF(AD182=1,AJ$100*EXP(-(LN(2)/$D$65+0.04)*AF182)*EXP(-(LN(2)/$D$65+0.1)*AG182),IF(AD182=2,AJ$100*EXP(-(LN(2)/$D$65+0.04)*(VLOOKUP(($F$16-$F$15)-1,AC$100:AG182,4,FALSE)))*EXP(-(LN(2)/$D$65+0.1)*(VLOOKUP(($F$16-$F$15)-1,AC$100:AG182,5,FALSE)))*EXP(-(LN(2)/$D$65+0.04)*AF182)*EXP(-(LN(2)/$D$65+0.1)*AG182),IF(AD182=3,AJ$100*EXP(-(LN(2)/$D$65+0.04)*(VLOOKUP(($F$16-$F$15)-1,AC$100:AG182,4,FALSE)))*EXP(-(LN(2)/$D$65+0.1)*(VLOOKUP(($F$16-$F$15)-1,AC$100:AG182,5,FALSE)))*EXP(-(LN(2)/$D$65+0.04)*(VLOOKUP(($F$16-$F$15)*2-1,AC$100:AG182,4,FALSE)))*EXP(-(LN(2)/$D$65+0.1)*(VLOOKUP(($F$16-$F$15)*2-1,AC$100:AG182,5,FALSE)))*EXP(-(LN(2)/$D$65+0.04)*AF182)*EXP(-(LN(2)/$D$65+0.1)*AG182),"-"))),"-")</f>
        <v>-</v>
      </c>
      <c r="AK182" s="227">
        <f t="shared" si="137"/>
        <v>82</v>
      </c>
      <c r="AL182" s="226" t="str">
        <f t="shared" si="111"/>
        <v>-</v>
      </c>
      <c r="AM182" s="227" t="str">
        <f t="shared" si="138"/>
        <v>-</v>
      </c>
      <c r="AN182" s="227" t="str">
        <f t="shared" si="139"/>
        <v>-</v>
      </c>
      <c r="AO182" s="227" t="str">
        <f t="shared" si="112"/>
        <v>-</v>
      </c>
      <c r="AP182" s="273">
        <f t="shared" si="140"/>
        <v>0.1</v>
      </c>
      <c r="AQ182" s="271" t="str">
        <f>IFERROR(IF(AL181=1,AQ$100*EXP(-(LN(2)/$D$65+0.04)*AN181)*EXP(-(LN(2)/$D$65+0.1)*AO181),IF(AL181=2,AQ$100*EXP(-(LN(2)/$D$65+0.04)*(VLOOKUP(($F$16-$F$15)-1,AK$99:AO181,4,FALSE)))*EXP(-(LN(2)/$D$65+0.1)*(VLOOKUP(($F$16-$F$15)-1,AK$99:AO181,5,FALSE)))*EXP(-(LN(2)/$D$65+0.04)*AN181)*EXP(-(LN(2)/$D$65+0.1)*AO181),IF(AL181=3,AQ$100*EXP(-(LN(2)/$D$65+0.04)*(VLOOKUP(($F$16-$F$15)-1,AK$99:AO181,4,FALSE)))*EXP(-(LN(2)/$D$65+0.1)*(VLOOKUP(($F$16-$F$15)-1,AK$99:AO181,5,FALSE)))*EXP(-(LN(2)/$D$65+0.04)*(VLOOKUP(($F$16-$F$15)*2-1,AK$99:AO181,4,FALSE)))*EXP(-(LN(2)/$D$65+0.1)*(VLOOKUP(($F$16-$F$15)*2-1,AK$99:AO181,5,FALSE)))*EXP(-(LN(2)/$D$65+0.04)*AN181)*EXP(-(LN(2)/$D$65+0.1)*AO181),"-"))),"-")</f>
        <v>-</v>
      </c>
      <c r="AR182" s="271" t="str">
        <f>IFERROR(IF(AL182=1,AR$100*EXP(-(LN(2)/$D$65+0.04)*AN182)*EXP(-(LN(2)/$D$65+0.1)*AO182),IF(AL182=2,AR$100*EXP(-(LN(2)/$D$65+0.04)*(VLOOKUP(($F$16-$F$15)-1,AK$100:AO182,4,FALSE)))*EXP(-(LN(2)/$D$65+0.1)*(VLOOKUP(($F$16-$F$15)-1,AK$100:AO182,5,FALSE)))*EXP(-(LN(2)/$D$65+0.04)*AN182)*EXP(-(LN(2)/$D$65+0.1)*AO182),IF(AL182=3,AR$100*EXP(-(LN(2)/$D$65+0.04)*(VLOOKUP(($F$16-$F$15)-1,AK$100:AO182,4,FALSE)))*EXP(-(LN(2)/$D$65+0.1)*(VLOOKUP(($F$16-$F$15)-1,AK$100:AO182,5,FALSE)))*EXP(-(LN(2)/$D$65+0.04)*(VLOOKUP(($F$16-$F$15)*2-1,AK$100:AO182,4,FALSE)))*EXP(-(LN(2)/$D$65+0.1)*(VLOOKUP(($F$16-$F$15)*2-1,AK$100:AO182,5,FALSE)))*EXP(-(LN(2)/$D$65+0.04)*AN182)*EXP(-(LN(2)/$D$65+0.1)*AO182),"-"))),"-")</f>
        <v>-</v>
      </c>
      <c r="AS182" s="274">
        <f t="shared" si="113"/>
        <v>0</v>
      </c>
      <c r="AT182" s="274">
        <f t="shared" si="114"/>
        <v>0</v>
      </c>
      <c r="AU182" s="274">
        <f t="shared" si="115"/>
        <v>0</v>
      </c>
      <c r="AV182" s="190">
        <f>IF($B182&lt;$F$22,SUM($T$100:$T182),"")</f>
        <v>0</v>
      </c>
      <c r="AW182" s="190" t="str">
        <f t="shared" si="116"/>
        <v>-</v>
      </c>
      <c r="AX182" s="190" t="str">
        <f t="shared" si="141"/>
        <v/>
      </c>
      <c r="AY182"/>
      <c r="AZ182" s="190" t="str">
        <f ca="1">IF(ISNUMBER(OFFSET(AV182,-$F$21,0)),SUM(OFFSET($T$100,$F$21,0):$T182),"")</f>
        <v/>
      </c>
      <c r="BA182" s="190" t="str">
        <f t="shared" ca="1" si="117"/>
        <v/>
      </c>
      <c r="BB182" s="190" t="str">
        <f t="shared" ca="1" si="70"/>
        <v/>
      </c>
      <c r="BC182" s="190"/>
      <c r="BD182" s="190" t="str">
        <f ca="1">IFERROR(IF(AND($B182&gt;=($F$16-$F$15),$B182&lt;$F$22+($F$16-$F$15)),SUM(OFFSET($T$100,($F$16-$F$15),0):$T182),""),"")</f>
        <v/>
      </c>
      <c r="BE182" s="190" t="str">
        <f t="shared" ca="1" si="142"/>
        <v/>
      </c>
      <c r="BF182" s="190" t="str">
        <f t="shared" ca="1" si="143"/>
        <v/>
      </c>
      <c r="BG182"/>
      <c r="BH182" s="190" t="str">
        <f ca="1">IF(ISNUMBER(OFFSET(BD182,-$F$21,0)),SUM(OFFSET($T$100,($F$16-$F$15+$F$21),0):$T182),"")</f>
        <v/>
      </c>
      <c r="BI182" s="190" t="str">
        <f t="shared" ca="1" si="118"/>
        <v/>
      </c>
      <c r="BJ182" s="190" t="str">
        <f t="shared" ca="1" si="144"/>
        <v/>
      </c>
      <c r="BK182" s="190"/>
      <c r="BL182" s="190" t="str">
        <f ca="1">IFERROR(IF(AND($B182&gt;=($F$17-$F$15),$B182&lt;$F$22+($F$17-$F$15)),SUM(OFFSET($T$100,($F$17-$F$15),0):$T182),""),"")</f>
        <v/>
      </c>
      <c r="BM182" s="190" t="str">
        <f t="shared" ca="1" si="119"/>
        <v/>
      </c>
      <c r="BN182" s="190" t="str">
        <f t="shared" ca="1" si="145"/>
        <v/>
      </c>
      <c r="BO182"/>
      <c r="BP182" s="190" t="str">
        <f ca="1">IF(ISNUMBER(OFFSET(BL182,-$F$21,0)),SUM(OFFSET($T$100,($F$17-$F$15+$F$21),0):$T182),"")</f>
        <v/>
      </c>
      <c r="BQ182" s="190" t="str">
        <f t="shared" ca="1" si="120"/>
        <v/>
      </c>
      <c r="BR182" s="190" t="str">
        <f t="shared" ca="1" si="146"/>
        <v/>
      </c>
      <c r="BS182" s="190"/>
      <c r="BT182"/>
      <c r="BU182"/>
      <c r="BV182"/>
      <c r="BY182" s="99"/>
      <c r="BZ182" s="99"/>
      <c r="CA182" s="280" t="str">
        <f t="shared" si="121"/>
        <v/>
      </c>
      <c r="CB182" s="71" t="str">
        <f t="shared" si="122"/>
        <v>-</v>
      </c>
      <c r="CC182" s="33"/>
      <c r="CD182" s="261" t="str">
        <f t="shared" si="123"/>
        <v/>
      </c>
      <c r="CE182" s="280" t="str">
        <f t="shared" si="124"/>
        <v>-</v>
      </c>
      <c r="CF182" s="71" t="str">
        <f t="shared" ca="1" si="125"/>
        <v>-</v>
      </c>
      <c r="CG182" s="33" t="str">
        <f t="shared" si="126"/>
        <v>82-83</v>
      </c>
      <c r="CH182" s="261" t="str">
        <f t="shared" ca="1" si="127"/>
        <v/>
      </c>
      <c r="CI182" s="99"/>
      <c r="CJ182" s="99"/>
      <c r="CK182" s="99"/>
      <c r="CL182" s="99"/>
      <c r="CM182" s="99"/>
      <c r="CN182" s="99"/>
      <c r="CO182" s="99"/>
    </row>
    <row r="183" spans="2:93" ht="13.5" customHeight="1" x14ac:dyDescent="0.2">
      <c r="B183" s="262">
        <v>83</v>
      </c>
      <c r="C183" s="237" t="str">
        <f t="shared" si="91"/>
        <v/>
      </c>
      <c r="D183" s="237" t="str">
        <f t="shared" si="147"/>
        <v>-</v>
      </c>
      <c r="E183" s="263" t="str">
        <f t="shared" si="128"/>
        <v/>
      </c>
      <c r="F183" s="264" t="str">
        <f t="shared" si="129"/>
        <v/>
      </c>
      <c r="G183" s="263" t="str">
        <f t="shared" si="130"/>
        <v/>
      </c>
      <c r="H183" s="240" t="str">
        <f t="shared" si="92"/>
        <v/>
      </c>
      <c r="I183" s="265" t="str">
        <f t="shared" si="93"/>
        <v/>
      </c>
      <c r="J183" s="265" t="str">
        <f t="shared" si="94"/>
        <v/>
      </c>
      <c r="K183" s="240" t="str">
        <f t="shared" si="95"/>
        <v/>
      </c>
      <c r="L183" s="265" t="str">
        <f t="shared" si="96"/>
        <v/>
      </c>
      <c r="M183" s="265" t="str">
        <f t="shared" si="97"/>
        <v/>
      </c>
      <c r="N183" s="240" t="str">
        <f t="shared" si="98"/>
        <v>-</v>
      </c>
      <c r="O183" s="265" t="str">
        <f t="shared" si="99"/>
        <v>-</v>
      </c>
      <c r="P183" s="265" t="str">
        <f t="shared" si="100"/>
        <v>-</v>
      </c>
      <c r="Q183" s="266" t="str">
        <f t="shared" si="101"/>
        <v>-</v>
      </c>
      <c r="R183" s="267" t="str">
        <f t="shared" si="102"/>
        <v>-</v>
      </c>
      <c r="S183" s="268" t="str">
        <f t="shared" si="103"/>
        <v>-</v>
      </c>
      <c r="T183" s="269" t="str">
        <f t="shared" si="104"/>
        <v/>
      </c>
      <c r="U183" s="221">
        <f t="shared" si="105"/>
        <v>83</v>
      </c>
      <c r="V183" s="220" t="str">
        <f t="shared" si="131"/>
        <v>-</v>
      </c>
      <c r="W183" s="221" t="str">
        <f t="shared" si="132"/>
        <v>-</v>
      </c>
      <c r="X183" s="221" t="str">
        <f t="shared" si="106"/>
        <v>-</v>
      </c>
      <c r="Y183" s="221" t="str">
        <f t="shared" si="107"/>
        <v>-</v>
      </c>
      <c r="Z183" s="270">
        <f t="shared" si="133"/>
        <v>0.1</v>
      </c>
      <c r="AA183" s="271" t="str">
        <f>IFERROR(IF(V182=1,AA$100*EXP(-(LN(2)/$D$65+0.04)*X182)*EXP(-(LN(2)/$D$65+0.1)*Y182),IF(V182=2,AA$100*EXP(-(LN(2)/$D$65+0.04)*(VLOOKUP(($F$16-$F$15)-1,U$99:Y182,4,FALSE)))*EXP(-(LN(2)/$D$65+0.1)*(VLOOKUP(($F$16-$F$15)-1,U$99:Y182,5,FALSE)))*EXP(-(LN(2)/$D$65+0.04)*X182)*EXP(-(LN(2)/$D$65+0.1)*Y182),IF(V182=3,AA$100*EXP(-(LN(2)/$D$65+0.04)*(VLOOKUP(($F$16-$F$15)-1,U$99:Y182,4,FALSE)))*EXP(-(LN(2)/$D$65+0.1)*(VLOOKUP(($F$16-$F$15)-1,U$99:Y182,5,FALSE)))*EXP(-(LN(2)/$D$65+0.04)*(VLOOKUP(($F$16-$F$15)*2-1,U$99:Y182,4,FALSE)))*EXP(-(LN(2)/$D$65+0.1)*(VLOOKUP(($F$16-$F$15)*2-1,U$99:Y182,5,FALSE)))*EXP(-(LN(2)/$D$65+0.04)*X182)*EXP(-(LN(2)/$D$65+0.1)*Y182),"-"))),"-")</f>
        <v>-</v>
      </c>
      <c r="AB183" s="271" t="str">
        <f>IFERROR(IF(V183=1,AB$100*EXP(-(LN(2)/$D$65+0.04)*X183)*EXP(-(LN(2)/$D$65+0.1)*Y183),IF(V183=2,AB$100*EXP(-(LN(2)/$D$65+0.04)*(VLOOKUP(($F$16-$F$15)-1,U$100:Y183,4,FALSE)))*EXP(-(LN(2)/$D$65+0.1)*(VLOOKUP(($F$16-$F$15)-1,U$100:Y183,5,FALSE)))*EXP(-(LN(2)/$D$65+0.04)*X183)*EXP(-(LN(2)/$D$65+0.1)*Y183),IF(V183=3,AB$100*EXP(-(LN(2)/$D$65+0.04)*(VLOOKUP(($F$16-$F$15)-1,U$100:Y183,4,FALSE)))*EXP(-(LN(2)/$D$65+0.1)*(VLOOKUP(($F$16-$F$15)-1,U$100:Y183,5,FALSE)))*EXP(-(LN(2)/$D$65+0.04)*(VLOOKUP(($F$16-$F$15)*2-1,U$100:Y183,4,FALSE)))*EXP(-(LN(2)/$D$65+0.1)*(VLOOKUP(($F$16-$F$15)*2-1,U$100:Y183,5,FALSE)))*EXP(-(LN(2)/$D$65+0.04)*X183)*EXP(-(LN(2)/$D$65+0.1)*Y183),"-"))),"-")</f>
        <v>-</v>
      </c>
      <c r="AC183" s="224">
        <f t="shared" si="134"/>
        <v>83</v>
      </c>
      <c r="AD183" s="223" t="str">
        <f t="shared" si="108"/>
        <v>-</v>
      </c>
      <c r="AE183" s="224" t="str">
        <f t="shared" si="135"/>
        <v>-</v>
      </c>
      <c r="AF183" s="224" t="str">
        <f t="shared" si="109"/>
        <v>-</v>
      </c>
      <c r="AG183" s="224" t="str">
        <f t="shared" si="110"/>
        <v>-</v>
      </c>
      <c r="AH183" s="272">
        <f t="shared" si="136"/>
        <v>0.1</v>
      </c>
      <c r="AI183" s="271" t="str">
        <f>IFERROR(IF(AD182=1,AI$100*EXP(-(LN(2)/$D$65+0.04)*AF182)*EXP(-(LN(2)/$D$65+0.1)*AG182),IF(AD182=2,AI$100*EXP(-(LN(2)/$D$65+0.04)*(VLOOKUP(($F$16-$F$15)-1,AC$99:AG182,4,FALSE)))*EXP(-(LN(2)/$D$65+0.1)*(VLOOKUP(($F$16-$F$15)-1,AC$99:AG182,5,FALSE)))*EXP(-(LN(2)/$D$65+0.04)*AF182)*EXP(-(LN(2)/$D$65+0.1)*AG182),IF(AD182=3,AI$100*EXP(-(LN(2)/$D$65+0.04)*(VLOOKUP(($F$16-$F$15)-1,AC$99:AG182,4,FALSE)))*EXP(-(LN(2)/$D$65+0.1)*(VLOOKUP(($F$16-$F$15)-1,AC$99:AG182,5,FALSE)))*EXP(-(LN(2)/$D$65+0.04)*(VLOOKUP(($F$16-$F$15)*2-1,AC$99:AG182,4,FALSE)))*EXP(-(LN(2)/$D$65+0.1)*(VLOOKUP(($F$16-$F$15)*2-1,AC$99:AG182,5,FALSE)))*EXP(-(LN(2)/$D$65+0.04)*AF182)*EXP(-(LN(2)/$D$65+0.1)*AG182),"-"))),"-")</f>
        <v>-</v>
      </c>
      <c r="AJ183" s="271" t="str">
        <f>IFERROR(IF(AD183=1,AJ$100*EXP(-(LN(2)/$D$65+0.04)*AF183)*EXP(-(LN(2)/$D$65+0.1)*AG183),IF(AD183=2,AJ$100*EXP(-(LN(2)/$D$65+0.04)*(VLOOKUP(($F$16-$F$15)-1,AC$100:AG183,4,FALSE)))*EXP(-(LN(2)/$D$65+0.1)*(VLOOKUP(($F$16-$F$15)-1,AC$100:AG183,5,FALSE)))*EXP(-(LN(2)/$D$65+0.04)*AF183)*EXP(-(LN(2)/$D$65+0.1)*AG183),IF(AD183=3,AJ$100*EXP(-(LN(2)/$D$65+0.04)*(VLOOKUP(($F$16-$F$15)-1,AC$100:AG183,4,FALSE)))*EXP(-(LN(2)/$D$65+0.1)*(VLOOKUP(($F$16-$F$15)-1,AC$100:AG183,5,FALSE)))*EXP(-(LN(2)/$D$65+0.04)*(VLOOKUP(($F$16-$F$15)*2-1,AC$100:AG183,4,FALSE)))*EXP(-(LN(2)/$D$65+0.1)*(VLOOKUP(($F$16-$F$15)*2-1,AC$100:AG183,5,FALSE)))*EXP(-(LN(2)/$D$65+0.04)*AF183)*EXP(-(LN(2)/$D$65+0.1)*AG183),"-"))),"-")</f>
        <v>-</v>
      </c>
      <c r="AK183" s="227">
        <f t="shared" si="137"/>
        <v>83</v>
      </c>
      <c r="AL183" s="226" t="str">
        <f t="shared" si="111"/>
        <v>-</v>
      </c>
      <c r="AM183" s="227" t="str">
        <f t="shared" si="138"/>
        <v>-</v>
      </c>
      <c r="AN183" s="227" t="str">
        <f t="shared" si="139"/>
        <v>-</v>
      </c>
      <c r="AO183" s="227" t="str">
        <f t="shared" si="112"/>
        <v>-</v>
      </c>
      <c r="AP183" s="273">
        <f t="shared" si="140"/>
        <v>0.1</v>
      </c>
      <c r="AQ183" s="271" t="str">
        <f>IFERROR(IF(AL182=1,AQ$100*EXP(-(LN(2)/$D$65+0.04)*AN182)*EXP(-(LN(2)/$D$65+0.1)*AO182),IF(AL182=2,AQ$100*EXP(-(LN(2)/$D$65+0.04)*(VLOOKUP(($F$16-$F$15)-1,AK$99:AO182,4,FALSE)))*EXP(-(LN(2)/$D$65+0.1)*(VLOOKUP(($F$16-$F$15)-1,AK$99:AO182,5,FALSE)))*EXP(-(LN(2)/$D$65+0.04)*AN182)*EXP(-(LN(2)/$D$65+0.1)*AO182),IF(AL182=3,AQ$100*EXP(-(LN(2)/$D$65+0.04)*(VLOOKUP(($F$16-$F$15)-1,AK$99:AO182,4,FALSE)))*EXP(-(LN(2)/$D$65+0.1)*(VLOOKUP(($F$16-$F$15)-1,AK$99:AO182,5,FALSE)))*EXP(-(LN(2)/$D$65+0.04)*(VLOOKUP(($F$16-$F$15)*2-1,AK$99:AO182,4,FALSE)))*EXP(-(LN(2)/$D$65+0.1)*(VLOOKUP(($F$16-$F$15)*2-1,AK$99:AO182,5,FALSE)))*EXP(-(LN(2)/$D$65+0.04)*AN182)*EXP(-(LN(2)/$D$65+0.1)*AO182),"-"))),"-")</f>
        <v>-</v>
      </c>
      <c r="AR183" s="271" t="str">
        <f>IFERROR(IF(AL183=1,AR$100*EXP(-(LN(2)/$D$65+0.04)*AN183)*EXP(-(LN(2)/$D$65+0.1)*AO183),IF(AL183=2,AR$100*EXP(-(LN(2)/$D$65+0.04)*(VLOOKUP(($F$16-$F$15)-1,AK$100:AO183,4,FALSE)))*EXP(-(LN(2)/$D$65+0.1)*(VLOOKUP(($F$16-$F$15)-1,AK$100:AO183,5,FALSE)))*EXP(-(LN(2)/$D$65+0.04)*AN183)*EXP(-(LN(2)/$D$65+0.1)*AO183),IF(AL183=3,AR$100*EXP(-(LN(2)/$D$65+0.04)*(VLOOKUP(($F$16-$F$15)-1,AK$100:AO183,4,FALSE)))*EXP(-(LN(2)/$D$65+0.1)*(VLOOKUP(($F$16-$F$15)-1,AK$100:AO183,5,FALSE)))*EXP(-(LN(2)/$D$65+0.04)*(VLOOKUP(($F$16-$F$15)*2-1,AK$100:AO183,4,FALSE)))*EXP(-(LN(2)/$D$65+0.1)*(VLOOKUP(($F$16-$F$15)*2-1,AK$100:AO183,5,FALSE)))*EXP(-(LN(2)/$D$65+0.04)*AN183)*EXP(-(LN(2)/$D$65+0.1)*AO183),"-"))),"-")</f>
        <v>-</v>
      </c>
      <c r="AS183" s="274">
        <f t="shared" si="113"/>
        <v>0</v>
      </c>
      <c r="AT183" s="274">
        <f t="shared" si="114"/>
        <v>0</v>
      </c>
      <c r="AU183" s="274">
        <f t="shared" si="115"/>
        <v>0</v>
      </c>
      <c r="AV183" s="190">
        <f>IF($B183&lt;$F$22,SUM($T$100:$T183),"")</f>
        <v>0</v>
      </c>
      <c r="AW183" s="190" t="str">
        <f t="shared" si="116"/>
        <v>-</v>
      </c>
      <c r="AX183" s="190" t="str">
        <f t="shared" si="141"/>
        <v/>
      </c>
      <c r="AY183"/>
      <c r="AZ183" s="190" t="str">
        <f ca="1">IF(ISNUMBER(OFFSET(AV183,-$F$21,0)),SUM(OFFSET($T$100,$F$21,0):$T183),"")</f>
        <v/>
      </c>
      <c r="BA183" s="190" t="str">
        <f t="shared" ca="1" si="117"/>
        <v/>
      </c>
      <c r="BB183" s="190" t="str">
        <f t="shared" ca="1" si="70"/>
        <v/>
      </c>
      <c r="BC183" s="190"/>
      <c r="BD183" s="190" t="str">
        <f ca="1">IFERROR(IF(AND($B183&gt;=($F$16-$F$15),$B183&lt;$F$22+($F$16-$F$15)),SUM(OFFSET($T$100,($F$16-$F$15),0):$T183),""),"")</f>
        <v/>
      </c>
      <c r="BE183" s="190" t="str">
        <f t="shared" ca="1" si="142"/>
        <v/>
      </c>
      <c r="BF183" s="190" t="str">
        <f t="shared" ca="1" si="143"/>
        <v/>
      </c>
      <c r="BG183"/>
      <c r="BH183" s="190" t="str">
        <f ca="1">IF(ISNUMBER(OFFSET(BD183,-$F$21,0)),SUM(OFFSET($T$100,($F$16-$F$15+$F$21),0):$T183),"")</f>
        <v/>
      </c>
      <c r="BI183" s="190" t="str">
        <f t="shared" ca="1" si="118"/>
        <v/>
      </c>
      <c r="BJ183" s="190" t="str">
        <f t="shared" ca="1" si="144"/>
        <v/>
      </c>
      <c r="BK183" s="190"/>
      <c r="BL183" s="190" t="str">
        <f ca="1">IFERROR(IF(AND($B183&gt;=($F$17-$F$15),$B183&lt;$F$22+($F$17-$F$15)),SUM(OFFSET($T$100,($F$17-$F$15),0):$T183),""),"")</f>
        <v/>
      </c>
      <c r="BM183" s="190" t="str">
        <f t="shared" ca="1" si="119"/>
        <v/>
      </c>
      <c r="BN183" s="190" t="str">
        <f t="shared" ca="1" si="145"/>
        <v/>
      </c>
      <c r="BO183"/>
      <c r="BP183" s="190" t="str">
        <f ca="1">IF(ISNUMBER(OFFSET(BL183,-$F$21,0)),SUM(OFFSET($T$100,($F$17-$F$15+$F$21),0):$T183),"")</f>
        <v/>
      </c>
      <c r="BQ183" s="190" t="str">
        <f t="shared" ca="1" si="120"/>
        <v/>
      </c>
      <c r="BR183" s="190" t="str">
        <f t="shared" ca="1" si="146"/>
        <v/>
      </c>
      <c r="BS183" s="190"/>
      <c r="BT183"/>
      <c r="BU183"/>
      <c r="BV183"/>
      <c r="BY183" s="99"/>
      <c r="BZ183" s="99"/>
      <c r="CA183" s="280" t="str">
        <f t="shared" si="121"/>
        <v/>
      </c>
      <c r="CB183" s="71" t="str">
        <f t="shared" si="122"/>
        <v>-</v>
      </c>
      <c r="CC183" s="33"/>
      <c r="CD183" s="261" t="str">
        <f t="shared" si="123"/>
        <v/>
      </c>
      <c r="CE183" s="280" t="str">
        <f t="shared" si="124"/>
        <v>-</v>
      </c>
      <c r="CF183" s="71" t="str">
        <f t="shared" ca="1" si="125"/>
        <v>-</v>
      </c>
      <c r="CG183" s="33" t="str">
        <f t="shared" si="126"/>
        <v>83-84</v>
      </c>
      <c r="CH183" s="261" t="str">
        <f t="shared" ca="1" si="127"/>
        <v/>
      </c>
      <c r="CI183" s="99"/>
      <c r="CJ183" s="99"/>
      <c r="CK183" s="99"/>
      <c r="CL183" s="99"/>
      <c r="CM183" s="99"/>
      <c r="CN183" s="99"/>
      <c r="CO183" s="99"/>
    </row>
    <row r="184" spans="2:93" ht="13.5" customHeight="1" x14ac:dyDescent="0.2">
      <c r="B184" s="262">
        <v>84</v>
      </c>
      <c r="C184" s="237" t="str">
        <f t="shared" si="91"/>
        <v/>
      </c>
      <c r="D184" s="237" t="str">
        <f t="shared" si="147"/>
        <v>-</v>
      </c>
      <c r="E184" s="263" t="str">
        <f t="shared" si="128"/>
        <v/>
      </c>
      <c r="F184" s="264" t="str">
        <f t="shared" si="129"/>
        <v/>
      </c>
      <c r="G184" s="263" t="str">
        <f t="shared" si="130"/>
        <v/>
      </c>
      <c r="H184" s="240" t="str">
        <f t="shared" si="92"/>
        <v/>
      </c>
      <c r="I184" s="265" t="str">
        <f t="shared" si="93"/>
        <v/>
      </c>
      <c r="J184" s="265" t="str">
        <f t="shared" si="94"/>
        <v/>
      </c>
      <c r="K184" s="240" t="str">
        <f t="shared" si="95"/>
        <v/>
      </c>
      <c r="L184" s="265" t="str">
        <f t="shared" si="96"/>
        <v/>
      </c>
      <c r="M184" s="265" t="str">
        <f t="shared" si="97"/>
        <v/>
      </c>
      <c r="N184" s="240" t="str">
        <f t="shared" si="98"/>
        <v>-</v>
      </c>
      <c r="O184" s="265" t="str">
        <f t="shared" si="99"/>
        <v>-</v>
      </c>
      <c r="P184" s="265" t="str">
        <f t="shared" si="100"/>
        <v>-</v>
      </c>
      <c r="Q184" s="266" t="str">
        <f t="shared" si="101"/>
        <v>-</v>
      </c>
      <c r="R184" s="267" t="str">
        <f t="shared" si="102"/>
        <v>-</v>
      </c>
      <c r="S184" s="268" t="str">
        <f t="shared" si="103"/>
        <v>-</v>
      </c>
      <c r="T184" s="269" t="str">
        <f t="shared" si="104"/>
        <v/>
      </c>
      <c r="U184" s="221">
        <f t="shared" si="105"/>
        <v>84</v>
      </c>
      <c r="V184" s="220" t="str">
        <f t="shared" si="131"/>
        <v>-</v>
      </c>
      <c r="W184" s="221" t="str">
        <f t="shared" si="132"/>
        <v>-</v>
      </c>
      <c r="X184" s="221" t="str">
        <f t="shared" si="106"/>
        <v>-</v>
      </c>
      <c r="Y184" s="221" t="str">
        <f t="shared" si="107"/>
        <v>-</v>
      </c>
      <c r="Z184" s="270">
        <f t="shared" si="133"/>
        <v>0.1</v>
      </c>
      <c r="AA184" s="271" t="str">
        <f>IFERROR(IF(V183=1,AA$100*EXP(-(LN(2)/$D$65+0.04)*X183)*EXP(-(LN(2)/$D$65+0.1)*Y183),IF(V183=2,AA$100*EXP(-(LN(2)/$D$65+0.04)*(VLOOKUP(($F$16-$F$15)-1,U$99:Y183,4,FALSE)))*EXP(-(LN(2)/$D$65+0.1)*(VLOOKUP(($F$16-$F$15)-1,U$99:Y183,5,FALSE)))*EXP(-(LN(2)/$D$65+0.04)*X183)*EXP(-(LN(2)/$D$65+0.1)*Y183),IF(V183=3,AA$100*EXP(-(LN(2)/$D$65+0.04)*(VLOOKUP(($F$16-$F$15)-1,U$99:Y183,4,FALSE)))*EXP(-(LN(2)/$D$65+0.1)*(VLOOKUP(($F$16-$F$15)-1,U$99:Y183,5,FALSE)))*EXP(-(LN(2)/$D$65+0.04)*(VLOOKUP(($F$16-$F$15)*2-1,U$99:Y183,4,FALSE)))*EXP(-(LN(2)/$D$65+0.1)*(VLOOKUP(($F$16-$F$15)*2-1,U$99:Y183,5,FALSE)))*EXP(-(LN(2)/$D$65+0.04)*X183)*EXP(-(LN(2)/$D$65+0.1)*Y183),"-"))),"-")</f>
        <v>-</v>
      </c>
      <c r="AB184" s="271" t="str">
        <f>IFERROR(IF(V184=1,AB$100*EXP(-(LN(2)/$D$65+0.04)*X184)*EXP(-(LN(2)/$D$65+0.1)*Y184),IF(V184=2,AB$100*EXP(-(LN(2)/$D$65+0.04)*(VLOOKUP(($F$16-$F$15)-1,U$100:Y184,4,FALSE)))*EXP(-(LN(2)/$D$65+0.1)*(VLOOKUP(($F$16-$F$15)-1,U$100:Y184,5,FALSE)))*EXP(-(LN(2)/$D$65+0.04)*X184)*EXP(-(LN(2)/$D$65+0.1)*Y184),IF(V184=3,AB$100*EXP(-(LN(2)/$D$65+0.04)*(VLOOKUP(($F$16-$F$15)-1,U$100:Y184,4,FALSE)))*EXP(-(LN(2)/$D$65+0.1)*(VLOOKUP(($F$16-$F$15)-1,U$100:Y184,5,FALSE)))*EXP(-(LN(2)/$D$65+0.04)*(VLOOKUP(($F$16-$F$15)*2-1,U$100:Y184,4,FALSE)))*EXP(-(LN(2)/$D$65+0.1)*(VLOOKUP(($F$16-$F$15)*2-1,U$100:Y184,5,FALSE)))*EXP(-(LN(2)/$D$65+0.04)*X184)*EXP(-(LN(2)/$D$65+0.1)*Y184),"-"))),"-")</f>
        <v>-</v>
      </c>
      <c r="AC184" s="224">
        <f t="shared" si="134"/>
        <v>84</v>
      </c>
      <c r="AD184" s="223" t="str">
        <f t="shared" si="108"/>
        <v>-</v>
      </c>
      <c r="AE184" s="224" t="str">
        <f t="shared" si="135"/>
        <v>-</v>
      </c>
      <c r="AF184" s="224" t="str">
        <f t="shared" si="109"/>
        <v>-</v>
      </c>
      <c r="AG184" s="224" t="str">
        <f t="shared" si="110"/>
        <v>-</v>
      </c>
      <c r="AH184" s="272">
        <f t="shared" si="136"/>
        <v>0.1</v>
      </c>
      <c r="AI184" s="271" t="str">
        <f>IFERROR(IF(AD183=1,AI$100*EXP(-(LN(2)/$D$65+0.04)*AF183)*EXP(-(LN(2)/$D$65+0.1)*AG183),IF(AD183=2,AI$100*EXP(-(LN(2)/$D$65+0.04)*(VLOOKUP(($F$16-$F$15)-1,AC$99:AG183,4,FALSE)))*EXP(-(LN(2)/$D$65+0.1)*(VLOOKUP(($F$16-$F$15)-1,AC$99:AG183,5,FALSE)))*EXP(-(LN(2)/$D$65+0.04)*AF183)*EXP(-(LN(2)/$D$65+0.1)*AG183),IF(AD183=3,AI$100*EXP(-(LN(2)/$D$65+0.04)*(VLOOKUP(($F$16-$F$15)-1,AC$99:AG183,4,FALSE)))*EXP(-(LN(2)/$D$65+0.1)*(VLOOKUP(($F$16-$F$15)-1,AC$99:AG183,5,FALSE)))*EXP(-(LN(2)/$D$65+0.04)*(VLOOKUP(($F$16-$F$15)*2-1,AC$99:AG183,4,FALSE)))*EXP(-(LN(2)/$D$65+0.1)*(VLOOKUP(($F$16-$F$15)*2-1,AC$99:AG183,5,FALSE)))*EXP(-(LN(2)/$D$65+0.04)*AF183)*EXP(-(LN(2)/$D$65+0.1)*AG183),"-"))),"-")</f>
        <v>-</v>
      </c>
      <c r="AJ184" s="271" t="str">
        <f>IFERROR(IF(AD184=1,AJ$100*EXP(-(LN(2)/$D$65+0.04)*AF184)*EXP(-(LN(2)/$D$65+0.1)*AG184),IF(AD184=2,AJ$100*EXP(-(LN(2)/$D$65+0.04)*(VLOOKUP(($F$16-$F$15)-1,AC$100:AG184,4,FALSE)))*EXP(-(LN(2)/$D$65+0.1)*(VLOOKUP(($F$16-$F$15)-1,AC$100:AG184,5,FALSE)))*EXP(-(LN(2)/$D$65+0.04)*AF184)*EXP(-(LN(2)/$D$65+0.1)*AG184),IF(AD184=3,AJ$100*EXP(-(LN(2)/$D$65+0.04)*(VLOOKUP(($F$16-$F$15)-1,AC$100:AG184,4,FALSE)))*EXP(-(LN(2)/$D$65+0.1)*(VLOOKUP(($F$16-$F$15)-1,AC$100:AG184,5,FALSE)))*EXP(-(LN(2)/$D$65+0.04)*(VLOOKUP(($F$16-$F$15)*2-1,AC$100:AG184,4,FALSE)))*EXP(-(LN(2)/$D$65+0.1)*(VLOOKUP(($F$16-$F$15)*2-1,AC$100:AG184,5,FALSE)))*EXP(-(LN(2)/$D$65+0.04)*AF184)*EXP(-(LN(2)/$D$65+0.1)*AG184),"-"))),"-")</f>
        <v>-</v>
      </c>
      <c r="AK184" s="227">
        <f t="shared" si="137"/>
        <v>84</v>
      </c>
      <c r="AL184" s="226" t="str">
        <f t="shared" si="111"/>
        <v>-</v>
      </c>
      <c r="AM184" s="227" t="str">
        <f t="shared" si="138"/>
        <v>-</v>
      </c>
      <c r="AN184" s="227" t="str">
        <f t="shared" si="139"/>
        <v>-</v>
      </c>
      <c r="AO184" s="227" t="str">
        <f t="shared" si="112"/>
        <v>-</v>
      </c>
      <c r="AP184" s="273">
        <f t="shared" si="140"/>
        <v>0.1</v>
      </c>
      <c r="AQ184" s="271" t="str">
        <f>IFERROR(IF(AL183=1,AQ$100*EXP(-(LN(2)/$D$65+0.04)*AN183)*EXP(-(LN(2)/$D$65+0.1)*AO183),IF(AL183=2,AQ$100*EXP(-(LN(2)/$D$65+0.04)*(VLOOKUP(($F$16-$F$15)-1,AK$99:AO183,4,FALSE)))*EXP(-(LN(2)/$D$65+0.1)*(VLOOKUP(($F$16-$F$15)-1,AK$99:AO183,5,FALSE)))*EXP(-(LN(2)/$D$65+0.04)*AN183)*EXP(-(LN(2)/$D$65+0.1)*AO183),IF(AL183=3,AQ$100*EXP(-(LN(2)/$D$65+0.04)*(VLOOKUP(($F$16-$F$15)-1,AK$99:AO183,4,FALSE)))*EXP(-(LN(2)/$D$65+0.1)*(VLOOKUP(($F$16-$F$15)-1,AK$99:AO183,5,FALSE)))*EXP(-(LN(2)/$D$65+0.04)*(VLOOKUP(($F$16-$F$15)*2-1,AK$99:AO183,4,FALSE)))*EXP(-(LN(2)/$D$65+0.1)*(VLOOKUP(($F$16-$F$15)*2-1,AK$99:AO183,5,FALSE)))*EXP(-(LN(2)/$D$65+0.04)*AN183)*EXP(-(LN(2)/$D$65+0.1)*AO183),"-"))),"-")</f>
        <v>-</v>
      </c>
      <c r="AR184" s="271" t="str">
        <f>IFERROR(IF(AL184=1,AR$100*EXP(-(LN(2)/$D$65+0.04)*AN184)*EXP(-(LN(2)/$D$65+0.1)*AO184),IF(AL184=2,AR$100*EXP(-(LN(2)/$D$65+0.04)*(VLOOKUP(($F$16-$F$15)-1,AK$100:AO184,4,FALSE)))*EXP(-(LN(2)/$D$65+0.1)*(VLOOKUP(($F$16-$F$15)-1,AK$100:AO184,5,FALSE)))*EXP(-(LN(2)/$D$65+0.04)*AN184)*EXP(-(LN(2)/$D$65+0.1)*AO184),IF(AL184=3,AR$100*EXP(-(LN(2)/$D$65+0.04)*(VLOOKUP(($F$16-$F$15)-1,AK$100:AO184,4,FALSE)))*EXP(-(LN(2)/$D$65+0.1)*(VLOOKUP(($F$16-$F$15)-1,AK$100:AO184,5,FALSE)))*EXP(-(LN(2)/$D$65+0.04)*(VLOOKUP(($F$16-$F$15)*2-1,AK$100:AO184,4,FALSE)))*EXP(-(LN(2)/$D$65+0.1)*(VLOOKUP(($F$16-$F$15)*2-1,AK$100:AO184,5,FALSE)))*EXP(-(LN(2)/$D$65+0.04)*AN184)*EXP(-(LN(2)/$D$65+0.1)*AO184),"-"))),"-")</f>
        <v>-</v>
      </c>
      <c r="AS184" s="274">
        <f t="shared" si="113"/>
        <v>0</v>
      </c>
      <c r="AT184" s="274">
        <f t="shared" si="114"/>
        <v>0</v>
      </c>
      <c r="AU184" s="274">
        <f t="shared" si="115"/>
        <v>0</v>
      </c>
      <c r="AV184" s="190">
        <f>IF($B184&lt;$F$22,SUM($T$100:$T184),"")</f>
        <v>0</v>
      </c>
      <c r="AW184" s="190" t="str">
        <f t="shared" si="116"/>
        <v>-</v>
      </c>
      <c r="AX184" s="190" t="str">
        <f t="shared" si="141"/>
        <v/>
      </c>
      <c r="AY184"/>
      <c r="AZ184" s="190" t="str">
        <f ca="1">IF(ISNUMBER(OFFSET(AV184,-$F$21,0)),SUM(OFFSET($T$100,$F$21,0):$T184),"")</f>
        <v/>
      </c>
      <c r="BA184" s="190" t="str">
        <f t="shared" ca="1" si="117"/>
        <v/>
      </c>
      <c r="BB184" s="190" t="str">
        <f t="shared" ca="1" si="70"/>
        <v/>
      </c>
      <c r="BC184" s="190"/>
      <c r="BD184" s="190" t="str">
        <f ca="1">IFERROR(IF(AND($B184&gt;=($F$16-$F$15),$B184&lt;$F$22+($F$16-$F$15)),SUM(OFFSET($T$100,($F$16-$F$15),0):$T184),""),"")</f>
        <v/>
      </c>
      <c r="BE184" s="190" t="str">
        <f t="shared" ca="1" si="142"/>
        <v/>
      </c>
      <c r="BF184" s="190" t="str">
        <f t="shared" ca="1" si="143"/>
        <v/>
      </c>
      <c r="BG184"/>
      <c r="BH184" s="190" t="str">
        <f ca="1">IF(ISNUMBER(OFFSET(BD184,-$F$21,0)),SUM(OFFSET($T$100,($F$16-$F$15+$F$21),0):$T184),"")</f>
        <v/>
      </c>
      <c r="BI184" s="190" t="str">
        <f t="shared" ca="1" si="118"/>
        <v/>
      </c>
      <c r="BJ184" s="190" t="str">
        <f t="shared" ca="1" si="144"/>
        <v/>
      </c>
      <c r="BK184" s="190"/>
      <c r="BL184" s="190" t="str">
        <f ca="1">IFERROR(IF(AND($B184&gt;=($F$17-$F$15),$B184&lt;$F$22+($F$17-$F$15)),SUM(OFFSET($T$100,($F$17-$F$15),0):$T184),""),"")</f>
        <v/>
      </c>
      <c r="BM184" s="190" t="str">
        <f t="shared" ca="1" si="119"/>
        <v/>
      </c>
      <c r="BN184" s="190" t="str">
        <f t="shared" ca="1" si="145"/>
        <v/>
      </c>
      <c r="BO184"/>
      <c r="BP184" s="190" t="str">
        <f ca="1">IF(ISNUMBER(OFFSET(BL184,-$F$21,0)),SUM(OFFSET($T$100,($F$17-$F$15+$F$21),0):$T184),"")</f>
        <v/>
      </c>
      <c r="BQ184" s="190" t="str">
        <f t="shared" ca="1" si="120"/>
        <v/>
      </c>
      <c r="BR184" s="190" t="str">
        <f t="shared" ca="1" si="146"/>
        <v/>
      </c>
      <c r="BS184" s="190"/>
      <c r="BT184"/>
      <c r="BU184"/>
      <c r="BV184"/>
      <c r="BY184" s="99"/>
      <c r="BZ184" s="99"/>
      <c r="CA184" s="280" t="str">
        <f t="shared" si="121"/>
        <v/>
      </c>
      <c r="CB184" s="71" t="str">
        <f t="shared" si="122"/>
        <v>-</v>
      </c>
      <c r="CC184" s="33"/>
      <c r="CD184" s="261" t="str">
        <f t="shared" si="123"/>
        <v/>
      </c>
      <c r="CE184" s="280" t="str">
        <f t="shared" si="124"/>
        <v>-</v>
      </c>
      <c r="CF184" s="71" t="str">
        <f t="shared" ca="1" si="125"/>
        <v>-</v>
      </c>
      <c r="CG184" s="33" t="str">
        <f t="shared" si="126"/>
        <v>84-85</v>
      </c>
      <c r="CH184" s="261" t="str">
        <f t="shared" ca="1" si="127"/>
        <v/>
      </c>
      <c r="CI184" s="99"/>
      <c r="CJ184" s="99"/>
      <c r="CK184" s="99"/>
      <c r="CL184" s="99"/>
      <c r="CM184" s="99"/>
      <c r="CN184" s="99"/>
      <c r="CO184" s="99"/>
    </row>
    <row r="185" spans="2:93" ht="13.5" customHeight="1" x14ac:dyDescent="0.2">
      <c r="B185" s="262">
        <v>85</v>
      </c>
      <c r="C185" s="237" t="str">
        <f t="shared" si="91"/>
        <v/>
      </c>
      <c r="D185" s="237" t="str">
        <f t="shared" si="147"/>
        <v>-</v>
      </c>
      <c r="E185" s="263" t="str">
        <f t="shared" si="128"/>
        <v/>
      </c>
      <c r="F185" s="264" t="str">
        <f t="shared" si="129"/>
        <v/>
      </c>
      <c r="G185" s="263" t="str">
        <f t="shared" si="130"/>
        <v/>
      </c>
      <c r="H185" s="240" t="str">
        <f t="shared" si="92"/>
        <v/>
      </c>
      <c r="I185" s="265" t="str">
        <f t="shared" si="93"/>
        <v/>
      </c>
      <c r="J185" s="265" t="str">
        <f t="shared" si="94"/>
        <v/>
      </c>
      <c r="K185" s="240" t="str">
        <f t="shared" si="95"/>
        <v/>
      </c>
      <c r="L185" s="265" t="str">
        <f t="shared" si="96"/>
        <v/>
      </c>
      <c r="M185" s="265" t="str">
        <f t="shared" si="97"/>
        <v/>
      </c>
      <c r="N185" s="240" t="str">
        <f t="shared" si="98"/>
        <v>-</v>
      </c>
      <c r="O185" s="265" t="str">
        <f t="shared" si="99"/>
        <v>-</v>
      </c>
      <c r="P185" s="265" t="str">
        <f t="shared" si="100"/>
        <v>-</v>
      </c>
      <c r="Q185" s="266" t="str">
        <f t="shared" si="101"/>
        <v>-</v>
      </c>
      <c r="R185" s="267" t="str">
        <f t="shared" si="102"/>
        <v>-</v>
      </c>
      <c r="S185" s="268" t="str">
        <f t="shared" si="103"/>
        <v>-</v>
      </c>
      <c r="T185" s="269" t="str">
        <f t="shared" si="104"/>
        <v/>
      </c>
      <c r="U185" s="221">
        <f t="shared" si="105"/>
        <v>85</v>
      </c>
      <c r="V185" s="220" t="str">
        <f t="shared" si="131"/>
        <v>-</v>
      </c>
      <c r="W185" s="221" t="str">
        <f t="shared" si="132"/>
        <v>-</v>
      </c>
      <c r="X185" s="221" t="str">
        <f t="shared" si="106"/>
        <v>-</v>
      </c>
      <c r="Y185" s="221" t="str">
        <f t="shared" si="107"/>
        <v>-</v>
      </c>
      <c r="Z185" s="270">
        <f t="shared" si="133"/>
        <v>0.1</v>
      </c>
      <c r="AA185" s="271" t="str">
        <f>IFERROR(IF(V184=1,AA$100*EXP(-(LN(2)/$D$65+0.04)*X184)*EXP(-(LN(2)/$D$65+0.1)*Y184),IF(V184=2,AA$100*EXP(-(LN(2)/$D$65+0.04)*(VLOOKUP(($F$16-$F$15)-1,U$99:Y184,4,FALSE)))*EXP(-(LN(2)/$D$65+0.1)*(VLOOKUP(($F$16-$F$15)-1,U$99:Y184,5,FALSE)))*EXP(-(LN(2)/$D$65+0.04)*X184)*EXP(-(LN(2)/$D$65+0.1)*Y184),IF(V184=3,AA$100*EXP(-(LN(2)/$D$65+0.04)*(VLOOKUP(($F$16-$F$15)-1,U$99:Y184,4,FALSE)))*EXP(-(LN(2)/$D$65+0.1)*(VLOOKUP(($F$16-$F$15)-1,U$99:Y184,5,FALSE)))*EXP(-(LN(2)/$D$65+0.04)*(VLOOKUP(($F$16-$F$15)*2-1,U$99:Y184,4,FALSE)))*EXP(-(LN(2)/$D$65+0.1)*(VLOOKUP(($F$16-$F$15)*2-1,U$99:Y184,5,FALSE)))*EXP(-(LN(2)/$D$65+0.04)*X184)*EXP(-(LN(2)/$D$65+0.1)*Y184),"-"))),"-")</f>
        <v>-</v>
      </c>
      <c r="AB185" s="271" t="str">
        <f>IFERROR(IF(V185=1,AB$100*EXP(-(LN(2)/$D$65+0.04)*X185)*EXP(-(LN(2)/$D$65+0.1)*Y185),IF(V185=2,AB$100*EXP(-(LN(2)/$D$65+0.04)*(VLOOKUP(($F$16-$F$15)-1,U$100:Y185,4,FALSE)))*EXP(-(LN(2)/$D$65+0.1)*(VLOOKUP(($F$16-$F$15)-1,U$100:Y185,5,FALSE)))*EXP(-(LN(2)/$D$65+0.04)*X185)*EXP(-(LN(2)/$D$65+0.1)*Y185),IF(V185=3,AB$100*EXP(-(LN(2)/$D$65+0.04)*(VLOOKUP(($F$16-$F$15)-1,U$100:Y185,4,FALSE)))*EXP(-(LN(2)/$D$65+0.1)*(VLOOKUP(($F$16-$F$15)-1,U$100:Y185,5,FALSE)))*EXP(-(LN(2)/$D$65+0.04)*(VLOOKUP(($F$16-$F$15)*2-1,U$100:Y185,4,FALSE)))*EXP(-(LN(2)/$D$65+0.1)*(VLOOKUP(($F$16-$F$15)*2-1,U$100:Y185,5,FALSE)))*EXP(-(LN(2)/$D$65+0.04)*X185)*EXP(-(LN(2)/$D$65+0.1)*Y185),"-"))),"-")</f>
        <v>-</v>
      </c>
      <c r="AC185" s="224">
        <f t="shared" si="134"/>
        <v>85</v>
      </c>
      <c r="AD185" s="223" t="str">
        <f t="shared" si="108"/>
        <v>-</v>
      </c>
      <c r="AE185" s="224" t="str">
        <f t="shared" si="135"/>
        <v>-</v>
      </c>
      <c r="AF185" s="224" t="str">
        <f t="shared" si="109"/>
        <v>-</v>
      </c>
      <c r="AG185" s="224" t="str">
        <f t="shared" si="110"/>
        <v>-</v>
      </c>
      <c r="AH185" s="272">
        <f t="shared" si="136"/>
        <v>0.1</v>
      </c>
      <c r="AI185" s="271" t="str">
        <f>IFERROR(IF(AD184=1,AI$100*EXP(-(LN(2)/$D$65+0.04)*AF184)*EXP(-(LN(2)/$D$65+0.1)*AG184),IF(AD184=2,AI$100*EXP(-(LN(2)/$D$65+0.04)*(VLOOKUP(($F$16-$F$15)-1,AC$99:AG184,4,FALSE)))*EXP(-(LN(2)/$D$65+0.1)*(VLOOKUP(($F$16-$F$15)-1,AC$99:AG184,5,FALSE)))*EXP(-(LN(2)/$D$65+0.04)*AF184)*EXP(-(LN(2)/$D$65+0.1)*AG184),IF(AD184=3,AI$100*EXP(-(LN(2)/$D$65+0.04)*(VLOOKUP(($F$16-$F$15)-1,AC$99:AG184,4,FALSE)))*EXP(-(LN(2)/$D$65+0.1)*(VLOOKUP(($F$16-$F$15)-1,AC$99:AG184,5,FALSE)))*EXP(-(LN(2)/$D$65+0.04)*(VLOOKUP(($F$16-$F$15)*2-1,AC$99:AG184,4,FALSE)))*EXP(-(LN(2)/$D$65+0.1)*(VLOOKUP(($F$16-$F$15)*2-1,AC$99:AG184,5,FALSE)))*EXP(-(LN(2)/$D$65+0.04)*AF184)*EXP(-(LN(2)/$D$65+0.1)*AG184),"-"))),"-")</f>
        <v>-</v>
      </c>
      <c r="AJ185" s="271" t="str">
        <f>IFERROR(IF(AD185=1,AJ$100*EXP(-(LN(2)/$D$65+0.04)*AF185)*EXP(-(LN(2)/$D$65+0.1)*AG185),IF(AD185=2,AJ$100*EXP(-(LN(2)/$D$65+0.04)*(VLOOKUP(($F$16-$F$15)-1,AC$100:AG185,4,FALSE)))*EXP(-(LN(2)/$D$65+0.1)*(VLOOKUP(($F$16-$F$15)-1,AC$100:AG185,5,FALSE)))*EXP(-(LN(2)/$D$65+0.04)*AF185)*EXP(-(LN(2)/$D$65+0.1)*AG185),IF(AD185=3,AJ$100*EXP(-(LN(2)/$D$65+0.04)*(VLOOKUP(($F$16-$F$15)-1,AC$100:AG185,4,FALSE)))*EXP(-(LN(2)/$D$65+0.1)*(VLOOKUP(($F$16-$F$15)-1,AC$100:AG185,5,FALSE)))*EXP(-(LN(2)/$D$65+0.04)*(VLOOKUP(($F$16-$F$15)*2-1,AC$100:AG185,4,FALSE)))*EXP(-(LN(2)/$D$65+0.1)*(VLOOKUP(($F$16-$F$15)*2-1,AC$100:AG185,5,FALSE)))*EXP(-(LN(2)/$D$65+0.04)*AF185)*EXP(-(LN(2)/$D$65+0.1)*AG185),"-"))),"-")</f>
        <v>-</v>
      </c>
      <c r="AK185" s="227">
        <f t="shared" si="137"/>
        <v>85</v>
      </c>
      <c r="AL185" s="226" t="str">
        <f t="shared" si="111"/>
        <v>-</v>
      </c>
      <c r="AM185" s="227" t="str">
        <f t="shared" si="138"/>
        <v>-</v>
      </c>
      <c r="AN185" s="227" t="str">
        <f t="shared" si="139"/>
        <v>-</v>
      </c>
      <c r="AO185" s="227" t="str">
        <f t="shared" si="112"/>
        <v>-</v>
      </c>
      <c r="AP185" s="273">
        <f t="shared" si="140"/>
        <v>0.1</v>
      </c>
      <c r="AQ185" s="271" t="str">
        <f>IFERROR(IF(AL184=1,AQ$100*EXP(-(LN(2)/$D$65+0.04)*AN184)*EXP(-(LN(2)/$D$65+0.1)*AO184),IF(AL184=2,AQ$100*EXP(-(LN(2)/$D$65+0.04)*(VLOOKUP(($F$16-$F$15)-1,AK$99:AO184,4,FALSE)))*EXP(-(LN(2)/$D$65+0.1)*(VLOOKUP(($F$16-$F$15)-1,AK$99:AO184,5,FALSE)))*EXP(-(LN(2)/$D$65+0.04)*AN184)*EXP(-(LN(2)/$D$65+0.1)*AO184),IF(AL184=3,AQ$100*EXP(-(LN(2)/$D$65+0.04)*(VLOOKUP(($F$16-$F$15)-1,AK$99:AO184,4,FALSE)))*EXP(-(LN(2)/$D$65+0.1)*(VLOOKUP(($F$16-$F$15)-1,AK$99:AO184,5,FALSE)))*EXP(-(LN(2)/$D$65+0.04)*(VLOOKUP(($F$16-$F$15)*2-1,AK$99:AO184,4,FALSE)))*EXP(-(LN(2)/$D$65+0.1)*(VLOOKUP(($F$16-$F$15)*2-1,AK$99:AO184,5,FALSE)))*EXP(-(LN(2)/$D$65+0.04)*AN184)*EXP(-(LN(2)/$D$65+0.1)*AO184),"-"))),"-")</f>
        <v>-</v>
      </c>
      <c r="AR185" s="271" t="str">
        <f>IFERROR(IF(AL185=1,AR$100*EXP(-(LN(2)/$D$65+0.04)*AN185)*EXP(-(LN(2)/$D$65+0.1)*AO185),IF(AL185=2,AR$100*EXP(-(LN(2)/$D$65+0.04)*(VLOOKUP(($F$16-$F$15)-1,AK$100:AO185,4,FALSE)))*EXP(-(LN(2)/$D$65+0.1)*(VLOOKUP(($F$16-$F$15)-1,AK$100:AO185,5,FALSE)))*EXP(-(LN(2)/$D$65+0.04)*AN185)*EXP(-(LN(2)/$D$65+0.1)*AO185),IF(AL185=3,AR$100*EXP(-(LN(2)/$D$65+0.04)*(VLOOKUP(($F$16-$F$15)-1,AK$100:AO185,4,FALSE)))*EXP(-(LN(2)/$D$65+0.1)*(VLOOKUP(($F$16-$F$15)-1,AK$100:AO185,5,FALSE)))*EXP(-(LN(2)/$D$65+0.04)*(VLOOKUP(($F$16-$F$15)*2-1,AK$100:AO185,4,FALSE)))*EXP(-(LN(2)/$D$65+0.1)*(VLOOKUP(($F$16-$F$15)*2-1,AK$100:AO185,5,FALSE)))*EXP(-(LN(2)/$D$65+0.04)*AN185)*EXP(-(LN(2)/$D$65+0.1)*AO185),"-"))),"-")</f>
        <v>-</v>
      </c>
      <c r="AS185" s="274">
        <f t="shared" si="113"/>
        <v>0</v>
      </c>
      <c r="AT185" s="274">
        <f t="shared" si="114"/>
        <v>0</v>
      </c>
      <c r="AU185" s="274">
        <f t="shared" si="115"/>
        <v>0</v>
      </c>
      <c r="AV185" s="190">
        <f>IF($B185&lt;$F$22,SUM($T$100:$T185),"")</f>
        <v>0</v>
      </c>
      <c r="AW185" s="190" t="str">
        <f t="shared" si="116"/>
        <v>-</v>
      </c>
      <c r="AX185" s="190" t="str">
        <f t="shared" si="141"/>
        <v/>
      </c>
      <c r="AY185"/>
      <c r="AZ185" s="190" t="str">
        <f ca="1">IF(ISNUMBER(OFFSET(AV185,-$F$21,0)),SUM(OFFSET($T$100,$F$21,0):$T185),"")</f>
        <v/>
      </c>
      <c r="BA185" s="190" t="str">
        <f t="shared" ca="1" si="117"/>
        <v/>
      </c>
      <c r="BB185" s="190" t="str">
        <f t="shared" ref="BB185:BB248" ca="1" si="148">IF(ISNUMBER(AZ185),(AZ185-BA185)/(3*86400*(OFFSET($B185,-$F$21,0)+1))*1000,"")</f>
        <v/>
      </c>
      <c r="BC185" s="190"/>
      <c r="BD185" s="190" t="str">
        <f ca="1">IFERROR(IF(AND($B185&gt;=($F$16-$F$15),$B185&lt;$F$22+($F$16-$F$15)),SUM(OFFSET($T$100,($F$16-$F$15),0):$T185),""),"")</f>
        <v/>
      </c>
      <c r="BE185" s="190" t="str">
        <f t="shared" ca="1" si="142"/>
        <v/>
      </c>
      <c r="BF185" s="190" t="str">
        <f t="shared" ca="1" si="143"/>
        <v/>
      </c>
      <c r="BG185"/>
      <c r="BH185" s="190" t="str">
        <f ca="1">IF(ISNUMBER(OFFSET(BD185,-$F$21,0)),SUM(OFFSET($T$100,($F$16-$F$15+$F$21),0):$T185),"")</f>
        <v/>
      </c>
      <c r="BI185" s="190" t="str">
        <f t="shared" ca="1" si="118"/>
        <v/>
      </c>
      <c r="BJ185" s="190" t="str">
        <f t="shared" ca="1" si="144"/>
        <v/>
      </c>
      <c r="BK185" s="190"/>
      <c r="BL185" s="190" t="str">
        <f ca="1">IFERROR(IF(AND($B185&gt;=($F$17-$F$15),$B185&lt;$F$22+($F$17-$F$15)),SUM(OFFSET($T$100,($F$17-$F$15),0):$T185),""),"")</f>
        <v/>
      </c>
      <c r="BM185" s="190" t="str">
        <f t="shared" ca="1" si="119"/>
        <v/>
      </c>
      <c r="BN185" s="190" t="str">
        <f t="shared" ca="1" si="145"/>
        <v/>
      </c>
      <c r="BO185"/>
      <c r="BP185" s="190" t="str">
        <f ca="1">IF(ISNUMBER(OFFSET(BL185,-$F$21,0)),SUM(OFFSET($T$100,($F$17-$F$15+$F$21),0):$T185),"")</f>
        <v/>
      </c>
      <c r="BQ185" s="190" t="str">
        <f t="shared" ca="1" si="120"/>
        <v/>
      </c>
      <c r="BR185" s="190" t="str">
        <f t="shared" ca="1" si="146"/>
        <v/>
      </c>
      <c r="BS185" s="190"/>
      <c r="BT185"/>
      <c r="BU185"/>
      <c r="BV185"/>
      <c r="BY185" s="99"/>
      <c r="BZ185" s="99"/>
      <c r="CA185" s="280" t="str">
        <f t="shared" si="121"/>
        <v/>
      </c>
      <c r="CB185" s="71" t="str">
        <f t="shared" si="122"/>
        <v>-</v>
      </c>
      <c r="CC185" s="33"/>
      <c r="CD185" s="261" t="str">
        <f t="shared" si="123"/>
        <v/>
      </c>
      <c r="CE185" s="280" t="str">
        <f t="shared" si="124"/>
        <v>-</v>
      </c>
      <c r="CF185" s="71" t="str">
        <f t="shared" ca="1" si="125"/>
        <v>-</v>
      </c>
      <c r="CG185" s="33" t="str">
        <f t="shared" si="126"/>
        <v>85-86</v>
      </c>
      <c r="CH185" s="261" t="str">
        <f t="shared" ca="1" si="127"/>
        <v/>
      </c>
      <c r="CI185" s="99"/>
      <c r="CJ185" s="99"/>
      <c r="CK185" s="99"/>
      <c r="CL185" s="99"/>
      <c r="CM185" s="99"/>
      <c r="CN185" s="99"/>
      <c r="CO185" s="99"/>
    </row>
    <row r="186" spans="2:93" ht="13.5" customHeight="1" x14ac:dyDescent="0.2">
      <c r="B186" s="262">
        <v>86</v>
      </c>
      <c r="C186" s="237" t="str">
        <f t="shared" si="91"/>
        <v/>
      </c>
      <c r="D186" s="237" t="str">
        <f t="shared" si="147"/>
        <v>-</v>
      </c>
      <c r="E186" s="263" t="str">
        <f t="shared" si="128"/>
        <v/>
      </c>
      <c r="F186" s="264" t="str">
        <f t="shared" si="129"/>
        <v/>
      </c>
      <c r="G186" s="264" t="str">
        <f t="shared" si="130"/>
        <v/>
      </c>
      <c r="H186" s="240" t="str">
        <f t="shared" si="92"/>
        <v/>
      </c>
      <c r="I186" s="265" t="str">
        <f t="shared" si="93"/>
        <v/>
      </c>
      <c r="J186" s="265" t="str">
        <f t="shared" si="94"/>
        <v/>
      </c>
      <c r="K186" s="240" t="str">
        <f t="shared" si="95"/>
        <v/>
      </c>
      <c r="L186" s="265" t="str">
        <f t="shared" si="96"/>
        <v/>
      </c>
      <c r="M186" s="265" t="str">
        <f t="shared" si="97"/>
        <v/>
      </c>
      <c r="N186" s="240" t="str">
        <f t="shared" si="98"/>
        <v>-</v>
      </c>
      <c r="O186" s="265" t="str">
        <f t="shared" si="99"/>
        <v>-</v>
      </c>
      <c r="P186" s="265" t="str">
        <f t="shared" si="100"/>
        <v>-</v>
      </c>
      <c r="Q186" s="266" t="str">
        <f t="shared" si="101"/>
        <v>-</v>
      </c>
      <c r="R186" s="267" t="str">
        <f t="shared" si="102"/>
        <v>-</v>
      </c>
      <c r="S186" s="268" t="str">
        <f t="shared" si="103"/>
        <v>-</v>
      </c>
      <c r="T186" s="269" t="str">
        <f t="shared" si="104"/>
        <v/>
      </c>
      <c r="U186" s="221">
        <f t="shared" si="105"/>
        <v>86</v>
      </c>
      <c r="V186" s="220" t="str">
        <f t="shared" si="131"/>
        <v>-</v>
      </c>
      <c r="W186" s="221" t="str">
        <f t="shared" si="132"/>
        <v>-</v>
      </c>
      <c r="X186" s="221" t="str">
        <f t="shared" si="106"/>
        <v>-</v>
      </c>
      <c r="Y186" s="221" t="str">
        <f t="shared" si="107"/>
        <v>-</v>
      </c>
      <c r="Z186" s="270">
        <f t="shared" si="133"/>
        <v>0.1</v>
      </c>
      <c r="AA186" s="271" t="str">
        <f>IFERROR(IF(V185=1,AA$100*EXP(-(LN(2)/$D$65+0.04)*X185)*EXP(-(LN(2)/$D$65+0.1)*Y185),IF(V185=2,AA$100*EXP(-(LN(2)/$D$65+0.04)*(VLOOKUP(($F$16-$F$15)-1,U$99:Y185,4,FALSE)))*EXP(-(LN(2)/$D$65+0.1)*(VLOOKUP(($F$16-$F$15)-1,U$99:Y185,5,FALSE)))*EXP(-(LN(2)/$D$65+0.04)*X185)*EXP(-(LN(2)/$D$65+0.1)*Y185),IF(V185=3,AA$100*EXP(-(LN(2)/$D$65+0.04)*(VLOOKUP(($F$16-$F$15)-1,U$99:Y185,4,FALSE)))*EXP(-(LN(2)/$D$65+0.1)*(VLOOKUP(($F$16-$F$15)-1,U$99:Y185,5,FALSE)))*EXP(-(LN(2)/$D$65+0.04)*(VLOOKUP(($F$16-$F$15)*2-1,U$99:Y185,4,FALSE)))*EXP(-(LN(2)/$D$65+0.1)*(VLOOKUP(($F$16-$F$15)*2-1,U$99:Y185,5,FALSE)))*EXP(-(LN(2)/$D$65+0.04)*X185)*EXP(-(LN(2)/$D$65+0.1)*Y185),"-"))),"-")</f>
        <v>-</v>
      </c>
      <c r="AB186" s="271" t="str">
        <f>IFERROR(IF(V186=1,AB$100*EXP(-(LN(2)/$D$65+0.04)*X186)*EXP(-(LN(2)/$D$65+0.1)*Y186),IF(V186=2,AB$100*EXP(-(LN(2)/$D$65+0.04)*(VLOOKUP(($F$16-$F$15)-1,U$100:Y186,4,FALSE)))*EXP(-(LN(2)/$D$65+0.1)*(VLOOKUP(($F$16-$F$15)-1,U$100:Y186,5,FALSE)))*EXP(-(LN(2)/$D$65+0.04)*X186)*EXP(-(LN(2)/$D$65+0.1)*Y186),IF(V186=3,AB$100*EXP(-(LN(2)/$D$65+0.04)*(VLOOKUP(($F$16-$F$15)-1,U$100:Y186,4,FALSE)))*EXP(-(LN(2)/$D$65+0.1)*(VLOOKUP(($F$16-$F$15)-1,U$100:Y186,5,FALSE)))*EXP(-(LN(2)/$D$65+0.04)*(VLOOKUP(($F$16-$F$15)*2-1,U$100:Y186,4,FALSE)))*EXP(-(LN(2)/$D$65+0.1)*(VLOOKUP(($F$16-$F$15)*2-1,U$100:Y186,5,FALSE)))*EXP(-(LN(2)/$D$65+0.04)*X186)*EXP(-(LN(2)/$D$65+0.1)*Y186),"-"))),"-")</f>
        <v>-</v>
      </c>
      <c r="AC186" s="224">
        <f t="shared" si="134"/>
        <v>86</v>
      </c>
      <c r="AD186" s="223" t="str">
        <f t="shared" si="108"/>
        <v>-</v>
      </c>
      <c r="AE186" s="224" t="str">
        <f t="shared" si="135"/>
        <v>-</v>
      </c>
      <c r="AF186" s="224" t="str">
        <f t="shared" si="109"/>
        <v>-</v>
      </c>
      <c r="AG186" s="224" t="str">
        <f t="shared" si="110"/>
        <v>-</v>
      </c>
      <c r="AH186" s="272">
        <f t="shared" si="136"/>
        <v>0.1</v>
      </c>
      <c r="AI186" s="271" t="str">
        <f>IFERROR(IF(AD185=1,AI$100*EXP(-(LN(2)/$D$65+0.04)*AF185)*EXP(-(LN(2)/$D$65+0.1)*AG185),IF(AD185=2,AI$100*EXP(-(LN(2)/$D$65+0.04)*(VLOOKUP(($F$16-$F$15)-1,AC$99:AG185,4,FALSE)))*EXP(-(LN(2)/$D$65+0.1)*(VLOOKUP(($F$16-$F$15)-1,AC$99:AG185,5,FALSE)))*EXP(-(LN(2)/$D$65+0.04)*AF185)*EXP(-(LN(2)/$D$65+0.1)*AG185),IF(AD185=3,AI$100*EXP(-(LN(2)/$D$65+0.04)*(VLOOKUP(($F$16-$F$15)-1,AC$99:AG185,4,FALSE)))*EXP(-(LN(2)/$D$65+0.1)*(VLOOKUP(($F$16-$F$15)-1,AC$99:AG185,5,FALSE)))*EXP(-(LN(2)/$D$65+0.04)*(VLOOKUP(($F$16-$F$15)*2-1,AC$99:AG185,4,FALSE)))*EXP(-(LN(2)/$D$65+0.1)*(VLOOKUP(($F$16-$F$15)*2-1,AC$99:AG185,5,FALSE)))*EXP(-(LN(2)/$D$65+0.04)*AF185)*EXP(-(LN(2)/$D$65+0.1)*AG185),"-"))),"-")</f>
        <v>-</v>
      </c>
      <c r="AJ186" s="271" t="str">
        <f>IFERROR(IF(AD186=1,AJ$100*EXP(-(LN(2)/$D$65+0.04)*AF186)*EXP(-(LN(2)/$D$65+0.1)*AG186),IF(AD186=2,AJ$100*EXP(-(LN(2)/$D$65+0.04)*(VLOOKUP(($F$16-$F$15)-1,AC$100:AG186,4,FALSE)))*EXP(-(LN(2)/$D$65+0.1)*(VLOOKUP(($F$16-$F$15)-1,AC$100:AG186,5,FALSE)))*EXP(-(LN(2)/$D$65+0.04)*AF186)*EXP(-(LN(2)/$D$65+0.1)*AG186),IF(AD186=3,AJ$100*EXP(-(LN(2)/$D$65+0.04)*(VLOOKUP(($F$16-$F$15)-1,AC$100:AG186,4,FALSE)))*EXP(-(LN(2)/$D$65+0.1)*(VLOOKUP(($F$16-$F$15)-1,AC$100:AG186,5,FALSE)))*EXP(-(LN(2)/$D$65+0.04)*(VLOOKUP(($F$16-$F$15)*2-1,AC$100:AG186,4,FALSE)))*EXP(-(LN(2)/$D$65+0.1)*(VLOOKUP(($F$16-$F$15)*2-1,AC$100:AG186,5,FALSE)))*EXP(-(LN(2)/$D$65+0.04)*AF186)*EXP(-(LN(2)/$D$65+0.1)*AG186),"-"))),"-")</f>
        <v>-</v>
      </c>
      <c r="AK186" s="227">
        <f t="shared" si="137"/>
        <v>86</v>
      </c>
      <c r="AL186" s="226" t="str">
        <f t="shared" si="111"/>
        <v>-</v>
      </c>
      <c r="AM186" s="227" t="str">
        <f t="shared" si="138"/>
        <v>-</v>
      </c>
      <c r="AN186" s="227" t="str">
        <f t="shared" si="139"/>
        <v>-</v>
      </c>
      <c r="AO186" s="227" t="str">
        <f t="shared" si="112"/>
        <v>-</v>
      </c>
      <c r="AP186" s="273">
        <f t="shared" si="140"/>
        <v>0.1</v>
      </c>
      <c r="AQ186" s="271" t="str">
        <f>IFERROR(IF(AL185=1,AQ$100*EXP(-(LN(2)/$D$65+0.04)*AN185)*EXP(-(LN(2)/$D$65+0.1)*AO185),IF(AL185=2,AQ$100*EXP(-(LN(2)/$D$65+0.04)*(VLOOKUP(($F$16-$F$15)-1,AK$99:AO185,4,FALSE)))*EXP(-(LN(2)/$D$65+0.1)*(VLOOKUP(($F$16-$F$15)-1,AK$99:AO185,5,FALSE)))*EXP(-(LN(2)/$D$65+0.04)*AN185)*EXP(-(LN(2)/$D$65+0.1)*AO185),IF(AL185=3,AQ$100*EXP(-(LN(2)/$D$65+0.04)*(VLOOKUP(($F$16-$F$15)-1,AK$99:AO185,4,FALSE)))*EXP(-(LN(2)/$D$65+0.1)*(VLOOKUP(($F$16-$F$15)-1,AK$99:AO185,5,FALSE)))*EXP(-(LN(2)/$D$65+0.04)*(VLOOKUP(($F$16-$F$15)*2-1,AK$99:AO185,4,FALSE)))*EXP(-(LN(2)/$D$65+0.1)*(VLOOKUP(($F$16-$F$15)*2-1,AK$99:AO185,5,FALSE)))*EXP(-(LN(2)/$D$65+0.04)*AN185)*EXP(-(LN(2)/$D$65+0.1)*AO185),"-"))),"-")</f>
        <v>-</v>
      </c>
      <c r="AR186" s="271" t="str">
        <f>IFERROR(IF(AL186=1,AR$100*EXP(-(LN(2)/$D$65+0.04)*AN186)*EXP(-(LN(2)/$D$65+0.1)*AO186),IF(AL186=2,AR$100*EXP(-(LN(2)/$D$65+0.04)*(VLOOKUP(($F$16-$F$15)-1,AK$100:AO186,4,FALSE)))*EXP(-(LN(2)/$D$65+0.1)*(VLOOKUP(($F$16-$F$15)-1,AK$100:AO186,5,FALSE)))*EXP(-(LN(2)/$D$65+0.04)*AN186)*EXP(-(LN(2)/$D$65+0.1)*AO186),IF(AL186=3,AR$100*EXP(-(LN(2)/$D$65+0.04)*(VLOOKUP(($F$16-$F$15)-1,AK$100:AO186,4,FALSE)))*EXP(-(LN(2)/$D$65+0.1)*(VLOOKUP(($F$16-$F$15)-1,AK$100:AO186,5,FALSE)))*EXP(-(LN(2)/$D$65+0.04)*(VLOOKUP(($F$16-$F$15)*2-1,AK$100:AO186,4,FALSE)))*EXP(-(LN(2)/$D$65+0.1)*(VLOOKUP(($F$16-$F$15)*2-1,AK$100:AO186,5,FALSE)))*EXP(-(LN(2)/$D$65+0.04)*AN186)*EXP(-(LN(2)/$D$65+0.1)*AO186),"-"))),"-")</f>
        <v>-</v>
      </c>
      <c r="AS186" s="274">
        <f t="shared" si="113"/>
        <v>0</v>
      </c>
      <c r="AT186" s="274">
        <f t="shared" si="114"/>
        <v>0</v>
      </c>
      <c r="AU186" s="274">
        <f t="shared" si="115"/>
        <v>0</v>
      </c>
      <c r="AV186" s="190">
        <f>IF($B186&lt;$F$22,SUM($T$100:$T186),"")</f>
        <v>0</v>
      </c>
      <c r="AW186" s="190" t="str">
        <f t="shared" si="116"/>
        <v>-</v>
      </c>
      <c r="AX186" s="190" t="str">
        <f t="shared" si="141"/>
        <v/>
      </c>
      <c r="AY186"/>
      <c r="AZ186" s="190" t="str">
        <f ca="1">IF(ISNUMBER(OFFSET(AV186,-$F$21,0)),SUM(OFFSET($T$100,$F$21,0):$T186),"")</f>
        <v/>
      </c>
      <c r="BA186" s="190" t="str">
        <f t="shared" ca="1" si="117"/>
        <v/>
      </c>
      <c r="BB186" s="190" t="str">
        <f t="shared" ca="1" si="148"/>
        <v/>
      </c>
      <c r="BC186" s="190"/>
      <c r="BD186" s="190" t="str">
        <f ca="1">IFERROR(IF(AND($B186&gt;=($F$16-$F$15),$B186&lt;$F$22+($F$16-$F$15)),SUM(OFFSET($T$100,($F$16-$F$15),0):$T186),""),"")</f>
        <v/>
      </c>
      <c r="BE186" s="190" t="str">
        <f t="shared" ca="1" si="142"/>
        <v/>
      </c>
      <c r="BF186" s="190" t="str">
        <f t="shared" ca="1" si="143"/>
        <v/>
      </c>
      <c r="BG186"/>
      <c r="BH186" s="190" t="str">
        <f ca="1">IF(ISNUMBER(OFFSET(BD186,-$F$21,0)),SUM(OFFSET($T$100,($F$16-$F$15+$F$21),0):$T186),"")</f>
        <v/>
      </c>
      <c r="BI186" s="190" t="str">
        <f t="shared" ca="1" si="118"/>
        <v/>
      </c>
      <c r="BJ186" s="190" t="str">
        <f t="shared" ca="1" si="144"/>
        <v/>
      </c>
      <c r="BK186" s="190"/>
      <c r="BL186" s="190" t="str">
        <f ca="1">IFERROR(IF(AND($B186&gt;=($F$17-$F$15),$B186&lt;$F$22+($F$17-$F$15)),SUM(OFFSET($T$100,($F$17-$F$15),0):$T186),""),"")</f>
        <v/>
      </c>
      <c r="BM186" s="190" t="str">
        <f t="shared" ca="1" si="119"/>
        <v/>
      </c>
      <c r="BN186" s="190" t="str">
        <f t="shared" ca="1" si="145"/>
        <v/>
      </c>
      <c r="BO186"/>
      <c r="BP186" s="190" t="str">
        <f ca="1">IF(ISNUMBER(OFFSET(BL186,-$F$21,0)),SUM(OFFSET($T$100,($F$17-$F$15+$F$21),0):$T186),"")</f>
        <v/>
      </c>
      <c r="BQ186" s="190" t="str">
        <f t="shared" ca="1" si="120"/>
        <v/>
      </c>
      <c r="BR186" s="190" t="str">
        <f t="shared" ca="1" si="146"/>
        <v/>
      </c>
      <c r="BS186" s="190"/>
      <c r="BT186"/>
      <c r="BU186"/>
      <c r="BV186"/>
      <c r="BY186" s="99"/>
      <c r="BZ186" s="99"/>
      <c r="CA186" s="280" t="str">
        <f t="shared" si="121"/>
        <v/>
      </c>
      <c r="CB186" s="71" t="str">
        <f t="shared" si="122"/>
        <v>-</v>
      </c>
      <c r="CC186" s="33"/>
      <c r="CD186" s="261" t="str">
        <f t="shared" si="123"/>
        <v/>
      </c>
      <c r="CE186" s="280" t="str">
        <f t="shared" si="124"/>
        <v>-</v>
      </c>
      <c r="CF186" s="71" t="str">
        <f t="shared" ca="1" si="125"/>
        <v>-</v>
      </c>
      <c r="CG186" s="33" t="str">
        <f t="shared" si="126"/>
        <v>86-87</v>
      </c>
      <c r="CH186" s="261" t="str">
        <f t="shared" ca="1" si="127"/>
        <v/>
      </c>
      <c r="CI186" s="99"/>
      <c r="CJ186" s="99"/>
      <c r="CK186" s="99"/>
      <c r="CL186" s="99"/>
      <c r="CM186" s="99"/>
      <c r="CN186" s="99"/>
      <c r="CO186" s="99"/>
    </row>
    <row r="187" spans="2:93" ht="13.5" customHeight="1" x14ac:dyDescent="0.2">
      <c r="B187" s="262">
        <v>87</v>
      </c>
      <c r="C187" s="237" t="str">
        <f t="shared" si="91"/>
        <v/>
      </c>
      <c r="D187" s="237" t="str">
        <f t="shared" si="147"/>
        <v>-</v>
      </c>
      <c r="E187" s="263" t="str">
        <f t="shared" si="128"/>
        <v/>
      </c>
      <c r="F187" s="264" t="str">
        <f t="shared" si="129"/>
        <v/>
      </c>
      <c r="G187" s="264" t="str">
        <f t="shared" si="130"/>
        <v/>
      </c>
      <c r="H187" s="240" t="str">
        <f t="shared" si="92"/>
        <v/>
      </c>
      <c r="I187" s="265" t="str">
        <f t="shared" si="93"/>
        <v/>
      </c>
      <c r="J187" s="265" t="str">
        <f t="shared" si="94"/>
        <v/>
      </c>
      <c r="K187" s="240" t="str">
        <f t="shared" si="95"/>
        <v/>
      </c>
      <c r="L187" s="265" t="str">
        <f t="shared" si="96"/>
        <v/>
      </c>
      <c r="M187" s="265" t="str">
        <f t="shared" si="97"/>
        <v/>
      </c>
      <c r="N187" s="240" t="str">
        <f t="shared" si="98"/>
        <v>-</v>
      </c>
      <c r="O187" s="265" t="str">
        <f t="shared" si="99"/>
        <v>-</v>
      </c>
      <c r="P187" s="265" t="str">
        <f t="shared" si="100"/>
        <v>-</v>
      </c>
      <c r="Q187" s="266" t="str">
        <f t="shared" si="101"/>
        <v>-</v>
      </c>
      <c r="R187" s="267" t="str">
        <f t="shared" si="102"/>
        <v>-</v>
      </c>
      <c r="S187" s="268" t="str">
        <f t="shared" si="103"/>
        <v>-</v>
      </c>
      <c r="T187" s="269" t="str">
        <f t="shared" si="104"/>
        <v/>
      </c>
      <c r="U187" s="221">
        <f t="shared" si="105"/>
        <v>87</v>
      </c>
      <c r="V187" s="220" t="str">
        <f t="shared" si="131"/>
        <v>-</v>
      </c>
      <c r="W187" s="221" t="str">
        <f t="shared" si="132"/>
        <v>-</v>
      </c>
      <c r="X187" s="221" t="str">
        <f t="shared" si="106"/>
        <v>-</v>
      </c>
      <c r="Y187" s="221" t="str">
        <f t="shared" si="107"/>
        <v>-</v>
      </c>
      <c r="Z187" s="270">
        <f t="shared" si="133"/>
        <v>0.1</v>
      </c>
      <c r="AA187" s="271" t="str">
        <f>IFERROR(IF(V186=1,AA$100*EXP(-(LN(2)/$D$65+0.04)*X186)*EXP(-(LN(2)/$D$65+0.1)*Y186),IF(V186=2,AA$100*EXP(-(LN(2)/$D$65+0.04)*(VLOOKUP(($F$16-$F$15)-1,U$99:Y186,4,FALSE)))*EXP(-(LN(2)/$D$65+0.1)*(VLOOKUP(($F$16-$F$15)-1,U$99:Y186,5,FALSE)))*EXP(-(LN(2)/$D$65+0.04)*X186)*EXP(-(LN(2)/$D$65+0.1)*Y186),IF(V186=3,AA$100*EXP(-(LN(2)/$D$65+0.04)*(VLOOKUP(($F$16-$F$15)-1,U$99:Y186,4,FALSE)))*EXP(-(LN(2)/$D$65+0.1)*(VLOOKUP(($F$16-$F$15)-1,U$99:Y186,5,FALSE)))*EXP(-(LN(2)/$D$65+0.04)*(VLOOKUP(($F$16-$F$15)*2-1,U$99:Y186,4,FALSE)))*EXP(-(LN(2)/$D$65+0.1)*(VLOOKUP(($F$16-$F$15)*2-1,U$99:Y186,5,FALSE)))*EXP(-(LN(2)/$D$65+0.04)*X186)*EXP(-(LN(2)/$D$65+0.1)*Y186),"-"))),"-")</f>
        <v>-</v>
      </c>
      <c r="AB187" s="271" t="str">
        <f>IFERROR(IF(V187=1,AB$100*EXP(-(LN(2)/$D$65+0.04)*X187)*EXP(-(LN(2)/$D$65+0.1)*Y187),IF(V187=2,AB$100*EXP(-(LN(2)/$D$65+0.04)*(VLOOKUP(($F$16-$F$15)-1,U$100:Y187,4,FALSE)))*EXP(-(LN(2)/$D$65+0.1)*(VLOOKUP(($F$16-$F$15)-1,U$100:Y187,5,FALSE)))*EXP(-(LN(2)/$D$65+0.04)*X187)*EXP(-(LN(2)/$D$65+0.1)*Y187),IF(V187=3,AB$100*EXP(-(LN(2)/$D$65+0.04)*(VLOOKUP(($F$16-$F$15)-1,U$100:Y187,4,FALSE)))*EXP(-(LN(2)/$D$65+0.1)*(VLOOKUP(($F$16-$F$15)-1,U$100:Y187,5,FALSE)))*EXP(-(LN(2)/$D$65+0.04)*(VLOOKUP(($F$16-$F$15)*2-1,U$100:Y187,4,FALSE)))*EXP(-(LN(2)/$D$65+0.1)*(VLOOKUP(($F$16-$F$15)*2-1,U$100:Y187,5,FALSE)))*EXP(-(LN(2)/$D$65+0.04)*X187)*EXP(-(LN(2)/$D$65+0.1)*Y187),"-"))),"-")</f>
        <v>-</v>
      </c>
      <c r="AC187" s="224">
        <f t="shared" si="134"/>
        <v>87</v>
      </c>
      <c r="AD187" s="223" t="str">
        <f t="shared" si="108"/>
        <v>-</v>
      </c>
      <c r="AE187" s="224" t="str">
        <f t="shared" si="135"/>
        <v>-</v>
      </c>
      <c r="AF187" s="224" t="str">
        <f t="shared" si="109"/>
        <v>-</v>
      </c>
      <c r="AG187" s="224" t="str">
        <f t="shared" si="110"/>
        <v>-</v>
      </c>
      <c r="AH187" s="272">
        <f t="shared" si="136"/>
        <v>0.1</v>
      </c>
      <c r="AI187" s="271" t="str">
        <f>IFERROR(IF(AD186=1,AI$100*EXP(-(LN(2)/$D$65+0.04)*AF186)*EXP(-(LN(2)/$D$65+0.1)*AG186),IF(AD186=2,AI$100*EXP(-(LN(2)/$D$65+0.04)*(VLOOKUP(($F$16-$F$15)-1,AC$99:AG186,4,FALSE)))*EXP(-(LN(2)/$D$65+0.1)*(VLOOKUP(($F$16-$F$15)-1,AC$99:AG186,5,FALSE)))*EXP(-(LN(2)/$D$65+0.04)*AF186)*EXP(-(LN(2)/$D$65+0.1)*AG186),IF(AD186=3,AI$100*EXP(-(LN(2)/$D$65+0.04)*(VLOOKUP(($F$16-$F$15)-1,AC$99:AG186,4,FALSE)))*EXP(-(LN(2)/$D$65+0.1)*(VLOOKUP(($F$16-$F$15)-1,AC$99:AG186,5,FALSE)))*EXP(-(LN(2)/$D$65+0.04)*(VLOOKUP(($F$16-$F$15)*2-1,AC$99:AG186,4,FALSE)))*EXP(-(LN(2)/$D$65+0.1)*(VLOOKUP(($F$16-$F$15)*2-1,AC$99:AG186,5,FALSE)))*EXP(-(LN(2)/$D$65+0.04)*AF186)*EXP(-(LN(2)/$D$65+0.1)*AG186),"-"))),"-")</f>
        <v>-</v>
      </c>
      <c r="AJ187" s="271" t="str">
        <f>IFERROR(IF(AD187=1,AJ$100*EXP(-(LN(2)/$D$65+0.04)*AF187)*EXP(-(LN(2)/$D$65+0.1)*AG187),IF(AD187=2,AJ$100*EXP(-(LN(2)/$D$65+0.04)*(VLOOKUP(($F$16-$F$15)-1,AC$100:AG187,4,FALSE)))*EXP(-(LN(2)/$D$65+0.1)*(VLOOKUP(($F$16-$F$15)-1,AC$100:AG187,5,FALSE)))*EXP(-(LN(2)/$D$65+0.04)*AF187)*EXP(-(LN(2)/$D$65+0.1)*AG187),IF(AD187=3,AJ$100*EXP(-(LN(2)/$D$65+0.04)*(VLOOKUP(($F$16-$F$15)-1,AC$100:AG187,4,FALSE)))*EXP(-(LN(2)/$D$65+0.1)*(VLOOKUP(($F$16-$F$15)-1,AC$100:AG187,5,FALSE)))*EXP(-(LN(2)/$D$65+0.04)*(VLOOKUP(($F$16-$F$15)*2-1,AC$100:AG187,4,FALSE)))*EXP(-(LN(2)/$D$65+0.1)*(VLOOKUP(($F$16-$F$15)*2-1,AC$100:AG187,5,FALSE)))*EXP(-(LN(2)/$D$65+0.04)*AF187)*EXP(-(LN(2)/$D$65+0.1)*AG187),"-"))),"-")</f>
        <v>-</v>
      </c>
      <c r="AK187" s="227">
        <f t="shared" si="137"/>
        <v>87</v>
      </c>
      <c r="AL187" s="226" t="str">
        <f t="shared" si="111"/>
        <v>-</v>
      </c>
      <c r="AM187" s="227" t="str">
        <f t="shared" si="138"/>
        <v>-</v>
      </c>
      <c r="AN187" s="227" t="str">
        <f t="shared" si="139"/>
        <v>-</v>
      </c>
      <c r="AO187" s="227" t="str">
        <f t="shared" si="112"/>
        <v>-</v>
      </c>
      <c r="AP187" s="273">
        <f t="shared" si="140"/>
        <v>0.1</v>
      </c>
      <c r="AQ187" s="271" t="str">
        <f>IFERROR(IF(AL186=1,AQ$100*EXP(-(LN(2)/$D$65+0.04)*AN186)*EXP(-(LN(2)/$D$65+0.1)*AO186),IF(AL186=2,AQ$100*EXP(-(LN(2)/$D$65+0.04)*(VLOOKUP(($F$16-$F$15)-1,AK$99:AO186,4,FALSE)))*EXP(-(LN(2)/$D$65+0.1)*(VLOOKUP(($F$16-$F$15)-1,AK$99:AO186,5,FALSE)))*EXP(-(LN(2)/$D$65+0.04)*AN186)*EXP(-(LN(2)/$D$65+0.1)*AO186),IF(AL186=3,AQ$100*EXP(-(LN(2)/$D$65+0.04)*(VLOOKUP(($F$16-$F$15)-1,AK$99:AO186,4,FALSE)))*EXP(-(LN(2)/$D$65+0.1)*(VLOOKUP(($F$16-$F$15)-1,AK$99:AO186,5,FALSE)))*EXP(-(LN(2)/$D$65+0.04)*(VLOOKUP(($F$16-$F$15)*2-1,AK$99:AO186,4,FALSE)))*EXP(-(LN(2)/$D$65+0.1)*(VLOOKUP(($F$16-$F$15)*2-1,AK$99:AO186,5,FALSE)))*EXP(-(LN(2)/$D$65+0.04)*AN186)*EXP(-(LN(2)/$D$65+0.1)*AO186),"-"))),"-")</f>
        <v>-</v>
      </c>
      <c r="AR187" s="271" t="str">
        <f>IFERROR(IF(AL187=1,AR$100*EXP(-(LN(2)/$D$65+0.04)*AN187)*EXP(-(LN(2)/$D$65+0.1)*AO187),IF(AL187=2,AR$100*EXP(-(LN(2)/$D$65+0.04)*(VLOOKUP(($F$16-$F$15)-1,AK$100:AO187,4,FALSE)))*EXP(-(LN(2)/$D$65+0.1)*(VLOOKUP(($F$16-$F$15)-1,AK$100:AO187,5,FALSE)))*EXP(-(LN(2)/$D$65+0.04)*AN187)*EXP(-(LN(2)/$D$65+0.1)*AO187),IF(AL187=3,AR$100*EXP(-(LN(2)/$D$65+0.04)*(VLOOKUP(($F$16-$F$15)-1,AK$100:AO187,4,FALSE)))*EXP(-(LN(2)/$D$65+0.1)*(VLOOKUP(($F$16-$F$15)-1,AK$100:AO187,5,FALSE)))*EXP(-(LN(2)/$D$65+0.04)*(VLOOKUP(($F$16-$F$15)*2-1,AK$100:AO187,4,FALSE)))*EXP(-(LN(2)/$D$65+0.1)*(VLOOKUP(($F$16-$F$15)*2-1,AK$100:AO187,5,FALSE)))*EXP(-(LN(2)/$D$65+0.04)*AN187)*EXP(-(LN(2)/$D$65+0.1)*AO187),"-"))),"-")</f>
        <v>-</v>
      </c>
      <c r="AS187" s="274">
        <f t="shared" si="113"/>
        <v>0</v>
      </c>
      <c r="AT187" s="274">
        <f t="shared" si="114"/>
        <v>0</v>
      </c>
      <c r="AU187" s="274">
        <f t="shared" si="115"/>
        <v>0</v>
      </c>
      <c r="AV187" s="190">
        <f>IF($B187&lt;$F$22,SUM($T$100:$T187),"")</f>
        <v>0</v>
      </c>
      <c r="AW187" s="190" t="str">
        <f t="shared" si="116"/>
        <v>-</v>
      </c>
      <c r="AX187" s="190" t="str">
        <f t="shared" si="141"/>
        <v/>
      </c>
      <c r="AY187"/>
      <c r="AZ187" s="190" t="str">
        <f ca="1">IF(ISNUMBER(OFFSET(AV187,-$F$21,0)),SUM(OFFSET($T$100,$F$21,0):$T187),"")</f>
        <v/>
      </c>
      <c r="BA187" s="190" t="str">
        <f t="shared" ca="1" si="117"/>
        <v/>
      </c>
      <c r="BB187" s="190" t="str">
        <f t="shared" ca="1" si="148"/>
        <v/>
      </c>
      <c r="BC187" s="190"/>
      <c r="BD187" s="190" t="str">
        <f ca="1">IFERROR(IF(AND($B187&gt;=($F$16-$F$15),$B187&lt;$F$22+($F$16-$F$15)),SUM(OFFSET($T$100,($F$16-$F$15),0):$T187),""),"")</f>
        <v/>
      </c>
      <c r="BE187" s="190" t="str">
        <f t="shared" ca="1" si="142"/>
        <v/>
      </c>
      <c r="BF187" s="190" t="str">
        <f t="shared" ca="1" si="143"/>
        <v/>
      </c>
      <c r="BG187"/>
      <c r="BH187" s="190" t="str">
        <f ca="1">IF(ISNUMBER(OFFSET(BD187,-$F$21,0)),SUM(OFFSET($T$100,($F$16-$F$15+$F$21),0):$T187),"")</f>
        <v/>
      </c>
      <c r="BI187" s="190" t="str">
        <f t="shared" ca="1" si="118"/>
        <v/>
      </c>
      <c r="BJ187" s="190" t="str">
        <f t="shared" ca="1" si="144"/>
        <v/>
      </c>
      <c r="BK187" s="190"/>
      <c r="BL187" s="190" t="str">
        <f ca="1">IFERROR(IF(AND($B187&gt;=($F$17-$F$15),$B187&lt;$F$22+($F$17-$F$15)),SUM(OFFSET($T$100,($F$17-$F$15),0):$T187),""),"")</f>
        <v/>
      </c>
      <c r="BM187" s="190" t="str">
        <f t="shared" ca="1" si="119"/>
        <v/>
      </c>
      <c r="BN187" s="190" t="str">
        <f t="shared" ca="1" si="145"/>
        <v/>
      </c>
      <c r="BO187"/>
      <c r="BP187" s="190" t="str">
        <f ca="1">IF(ISNUMBER(OFFSET(BL187,-$F$21,0)),SUM(OFFSET($T$100,($F$17-$F$15+$F$21),0):$T187),"")</f>
        <v/>
      </c>
      <c r="BQ187" s="190" t="str">
        <f t="shared" ca="1" si="120"/>
        <v/>
      </c>
      <c r="BR187" s="190" t="str">
        <f t="shared" ca="1" si="146"/>
        <v/>
      </c>
      <c r="BS187" s="190"/>
      <c r="BT187"/>
      <c r="BU187"/>
      <c r="BV187"/>
      <c r="BY187" s="99"/>
      <c r="BZ187" s="99"/>
      <c r="CA187" s="280" t="str">
        <f t="shared" si="121"/>
        <v/>
      </c>
      <c r="CB187" s="71" t="str">
        <f t="shared" si="122"/>
        <v>-</v>
      </c>
      <c r="CC187" s="33"/>
      <c r="CD187" s="261" t="str">
        <f t="shared" si="123"/>
        <v/>
      </c>
      <c r="CE187" s="280" t="str">
        <f t="shared" si="124"/>
        <v>-</v>
      </c>
      <c r="CF187" s="71" t="str">
        <f t="shared" ca="1" si="125"/>
        <v>-</v>
      </c>
      <c r="CG187" s="33" t="str">
        <f t="shared" si="126"/>
        <v>87-88</v>
      </c>
      <c r="CH187" s="261" t="str">
        <f t="shared" ca="1" si="127"/>
        <v/>
      </c>
      <c r="CI187" s="99"/>
      <c r="CJ187" s="99"/>
      <c r="CK187" s="99"/>
      <c r="CL187" s="99"/>
      <c r="CM187" s="99"/>
      <c r="CN187" s="99"/>
      <c r="CO187" s="99"/>
    </row>
    <row r="188" spans="2:93" ht="13.5" customHeight="1" x14ac:dyDescent="0.2">
      <c r="B188" s="262">
        <v>88</v>
      </c>
      <c r="C188" s="237" t="str">
        <f t="shared" si="91"/>
        <v/>
      </c>
      <c r="D188" s="237" t="str">
        <f t="shared" si="147"/>
        <v>-</v>
      </c>
      <c r="E188" s="263" t="str">
        <f t="shared" si="128"/>
        <v/>
      </c>
      <c r="F188" s="264" t="str">
        <f t="shared" si="129"/>
        <v/>
      </c>
      <c r="G188" s="264" t="str">
        <f t="shared" si="130"/>
        <v/>
      </c>
      <c r="H188" s="240" t="str">
        <f t="shared" si="92"/>
        <v/>
      </c>
      <c r="I188" s="265" t="str">
        <f t="shared" si="93"/>
        <v/>
      </c>
      <c r="J188" s="265" t="str">
        <f t="shared" si="94"/>
        <v/>
      </c>
      <c r="K188" s="240" t="str">
        <f t="shared" si="95"/>
        <v/>
      </c>
      <c r="L188" s="265" t="str">
        <f t="shared" si="96"/>
        <v/>
      </c>
      <c r="M188" s="265" t="str">
        <f t="shared" si="97"/>
        <v/>
      </c>
      <c r="N188" s="240" t="str">
        <f t="shared" si="98"/>
        <v>-</v>
      </c>
      <c r="O188" s="265" t="str">
        <f t="shared" si="99"/>
        <v>-</v>
      </c>
      <c r="P188" s="265" t="str">
        <f t="shared" si="100"/>
        <v>-</v>
      </c>
      <c r="Q188" s="266" t="str">
        <f t="shared" si="101"/>
        <v>-</v>
      </c>
      <c r="R188" s="267" t="str">
        <f t="shared" si="102"/>
        <v>-</v>
      </c>
      <c r="S188" s="268" t="str">
        <f t="shared" si="103"/>
        <v>-</v>
      </c>
      <c r="T188" s="269" t="str">
        <f t="shared" si="104"/>
        <v/>
      </c>
      <c r="U188" s="221">
        <f t="shared" si="105"/>
        <v>88</v>
      </c>
      <c r="V188" s="220" t="str">
        <f t="shared" si="131"/>
        <v>-</v>
      </c>
      <c r="W188" s="221" t="str">
        <f t="shared" si="132"/>
        <v>-</v>
      </c>
      <c r="X188" s="221" t="str">
        <f t="shared" si="106"/>
        <v>-</v>
      </c>
      <c r="Y188" s="221" t="str">
        <f t="shared" si="107"/>
        <v>-</v>
      </c>
      <c r="Z188" s="270">
        <f t="shared" si="133"/>
        <v>0.1</v>
      </c>
      <c r="AA188" s="271" t="str">
        <f>IFERROR(IF(V187=1,AA$100*EXP(-(LN(2)/$D$65+0.04)*X187)*EXP(-(LN(2)/$D$65+0.1)*Y187),IF(V187=2,AA$100*EXP(-(LN(2)/$D$65+0.04)*(VLOOKUP(($F$16-$F$15)-1,U$99:Y187,4,FALSE)))*EXP(-(LN(2)/$D$65+0.1)*(VLOOKUP(($F$16-$F$15)-1,U$99:Y187,5,FALSE)))*EXP(-(LN(2)/$D$65+0.04)*X187)*EXP(-(LN(2)/$D$65+0.1)*Y187),IF(V187=3,AA$100*EXP(-(LN(2)/$D$65+0.04)*(VLOOKUP(($F$16-$F$15)-1,U$99:Y187,4,FALSE)))*EXP(-(LN(2)/$D$65+0.1)*(VLOOKUP(($F$16-$F$15)-1,U$99:Y187,5,FALSE)))*EXP(-(LN(2)/$D$65+0.04)*(VLOOKUP(($F$16-$F$15)*2-1,U$99:Y187,4,FALSE)))*EXP(-(LN(2)/$D$65+0.1)*(VLOOKUP(($F$16-$F$15)*2-1,U$99:Y187,5,FALSE)))*EXP(-(LN(2)/$D$65+0.04)*X187)*EXP(-(LN(2)/$D$65+0.1)*Y187),"-"))),"-")</f>
        <v>-</v>
      </c>
      <c r="AB188" s="271" t="str">
        <f>IFERROR(IF(V188=1,AB$100*EXP(-(LN(2)/$D$65+0.04)*X188)*EXP(-(LN(2)/$D$65+0.1)*Y188),IF(V188=2,AB$100*EXP(-(LN(2)/$D$65+0.04)*(VLOOKUP(($F$16-$F$15)-1,U$100:Y188,4,FALSE)))*EXP(-(LN(2)/$D$65+0.1)*(VLOOKUP(($F$16-$F$15)-1,U$100:Y188,5,FALSE)))*EXP(-(LN(2)/$D$65+0.04)*X188)*EXP(-(LN(2)/$D$65+0.1)*Y188),IF(V188=3,AB$100*EXP(-(LN(2)/$D$65+0.04)*(VLOOKUP(($F$16-$F$15)-1,U$100:Y188,4,FALSE)))*EXP(-(LN(2)/$D$65+0.1)*(VLOOKUP(($F$16-$F$15)-1,U$100:Y188,5,FALSE)))*EXP(-(LN(2)/$D$65+0.04)*(VLOOKUP(($F$16-$F$15)*2-1,U$100:Y188,4,FALSE)))*EXP(-(LN(2)/$D$65+0.1)*(VLOOKUP(($F$16-$F$15)*2-1,U$100:Y188,5,FALSE)))*EXP(-(LN(2)/$D$65+0.04)*X188)*EXP(-(LN(2)/$D$65+0.1)*Y188),"-"))),"-")</f>
        <v>-</v>
      </c>
      <c r="AC188" s="224">
        <f t="shared" si="134"/>
        <v>88</v>
      </c>
      <c r="AD188" s="223" t="str">
        <f t="shared" si="108"/>
        <v>-</v>
      </c>
      <c r="AE188" s="224" t="str">
        <f t="shared" si="135"/>
        <v>-</v>
      </c>
      <c r="AF188" s="224" t="str">
        <f t="shared" si="109"/>
        <v>-</v>
      </c>
      <c r="AG188" s="224" t="str">
        <f t="shared" si="110"/>
        <v>-</v>
      </c>
      <c r="AH188" s="272">
        <f t="shared" si="136"/>
        <v>0.1</v>
      </c>
      <c r="AI188" s="271" t="str">
        <f>IFERROR(IF(AD187=1,AI$100*EXP(-(LN(2)/$D$65+0.04)*AF187)*EXP(-(LN(2)/$D$65+0.1)*AG187),IF(AD187=2,AI$100*EXP(-(LN(2)/$D$65+0.04)*(VLOOKUP(($F$16-$F$15)-1,AC$99:AG187,4,FALSE)))*EXP(-(LN(2)/$D$65+0.1)*(VLOOKUP(($F$16-$F$15)-1,AC$99:AG187,5,FALSE)))*EXP(-(LN(2)/$D$65+0.04)*AF187)*EXP(-(LN(2)/$D$65+0.1)*AG187),IF(AD187=3,AI$100*EXP(-(LN(2)/$D$65+0.04)*(VLOOKUP(($F$16-$F$15)-1,AC$99:AG187,4,FALSE)))*EXP(-(LN(2)/$D$65+0.1)*(VLOOKUP(($F$16-$F$15)-1,AC$99:AG187,5,FALSE)))*EXP(-(LN(2)/$D$65+0.04)*(VLOOKUP(($F$16-$F$15)*2-1,AC$99:AG187,4,FALSE)))*EXP(-(LN(2)/$D$65+0.1)*(VLOOKUP(($F$16-$F$15)*2-1,AC$99:AG187,5,FALSE)))*EXP(-(LN(2)/$D$65+0.04)*AF187)*EXP(-(LN(2)/$D$65+0.1)*AG187),"-"))),"-")</f>
        <v>-</v>
      </c>
      <c r="AJ188" s="271" t="str">
        <f>IFERROR(IF(AD188=1,AJ$100*EXP(-(LN(2)/$D$65+0.04)*AF188)*EXP(-(LN(2)/$D$65+0.1)*AG188),IF(AD188=2,AJ$100*EXP(-(LN(2)/$D$65+0.04)*(VLOOKUP(($F$16-$F$15)-1,AC$100:AG188,4,FALSE)))*EXP(-(LN(2)/$D$65+0.1)*(VLOOKUP(($F$16-$F$15)-1,AC$100:AG188,5,FALSE)))*EXP(-(LN(2)/$D$65+0.04)*AF188)*EXP(-(LN(2)/$D$65+0.1)*AG188),IF(AD188=3,AJ$100*EXP(-(LN(2)/$D$65+0.04)*(VLOOKUP(($F$16-$F$15)-1,AC$100:AG188,4,FALSE)))*EXP(-(LN(2)/$D$65+0.1)*(VLOOKUP(($F$16-$F$15)-1,AC$100:AG188,5,FALSE)))*EXP(-(LN(2)/$D$65+0.04)*(VLOOKUP(($F$16-$F$15)*2-1,AC$100:AG188,4,FALSE)))*EXP(-(LN(2)/$D$65+0.1)*(VLOOKUP(($F$16-$F$15)*2-1,AC$100:AG188,5,FALSE)))*EXP(-(LN(2)/$D$65+0.04)*AF188)*EXP(-(LN(2)/$D$65+0.1)*AG188),"-"))),"-")</f>
        <v>-</v>
      </c>
      <c r="AK188" s="227">
        <f t="shared" si="137"/>
        <v>88</v>
      </c>
      <c r="AL188" s="226" t="str">
        <f t="shared" si="111"/>
        <v>-</v>
      </c>
      <c r="AM188" s="227" t="str">
        <f t="shared" si="138"/>
        <v>-</v>
      </c>
      <c r="AN188" s="227" t="str">
        <f t="shared" si="139"/>
        <v>-</v>
      </c>
      <c r="AO188" s="227" t="str">
        <f t="shared" si="112"/>
        <v>-</v>
      </c>
      <c r="AP188" s="273">
        <f t="shared" si="140"/>
        <v>0.1</v>
      </c>
      <c r="AQ188" s="271" t="str">
        <f>IFERROR(IF(AL187=1,AQ$100*EXP(-(LN(2)/$D$65+0.04)*AN187)*EXP(-(LN(2)/$D$65+0.1)*AO187),IF(AL187=2,AQ$100*EXP(-(LN(2)/$D$65+0.04)*(VLOOKUP(($F$16-$F$15)-1,AK$99:AO187,4,FALSE)))*EXP(-(LN(2)/$D$65+0.1)*(VLOOKUP(($F$16-$F$15)-1,AK$99:AO187,5,FALSE)))*EXP(-(LN(2)/$D$65+0.04)*AN187)*EXP(-(LN(2)/$D$65+0.1)*AO187),IF(AL187=3,AQ$100*EXP(-(LN(2)/$D$65+0.04)*(VLOOKUP(($F$16-$F$15)-1,AK$99:AO187,4,FALSE)))*EXP(-(LN(2)/$D$65+0.1)*(VLOOKUP(($F$16-$F$15)-1,AK$99:AO187,5,FALSE)))*EXP(-(LN(2)/$D$65+0.04)*(VLOOKUP(($F$16-$F$15)*2-1,AK$99:AO187,4,FALSE)))*EXP(-(LN(2)/$D$65+0.1)*(VLOOKUP(($F$16-$F$15)*2-1,AK$99:AO187,5,FALSE)))*EXP(-(LN(2)/$D$65+0.04)*AN187)*EXP(-(LN(2)/$D$65+0.1)*AO187),"-"))),"-")</f>
        <v>-</v>
      </c>
      <c r="AR188" s="271" t="str">
        <f>IFERROR(IF(AL188=1,AR$100*EXP(-(LN(2)/$D$65+0.04)*AN188)*EXP(-(LN(2)/$D$65+0.1)*AO188),IF(AL188=2,AR$100*EXP(-(LN(2)/$D$65+0.04)*(VLOOKUP(($F$16-$F$15)-1,AK$100:AO188,4,FALSE)))*EXP(-(LN(2)/$D$65+0.1)*(VLOOKUP(($F$16-$F$15)-1,AK$100:AO188,5,FALSE)))*EXP(-(LN(2)/$D$65+0.04)*AN188)*EXP(-(LN(2)/$D$65+0.1)*AO188),IF(AL188=3,AR$100*EXP(-(LN(2)/$D$65+0.04)*(VLOOKUP(($F$16-$F$15)-1,AK$100:AO188,4,FALSE)))*EXP(-(LN(2)/$D$65+0.1)*(VLOOKUP(($F$16-$F$15)-1,AK$100:AO188,5,FALSE)))*EXP(-(LN(2)/$D$65+0.04)*(VLOOKUP(($F$16-$F$15)*2-1,AK$100:AO188,4,FALSE)))*EXP(-(LN(2)/$D$65+0.1)*(VLOOKUP(($F$16-$F$15)*2-1,AK$100:AO188,5,FALSE)))*EXP(-(LN(2)/$D$65+0.04)*AN188)*EXP(-(LN(2)/$D$65+0.1)*AO188),"-"))),"-")</f>
        <v>-</v>
      </c>
      <c r="AS188" s="274">
        <f t="shared" si="113"/>
        <v>0</v>
      </c>
      <c r="AT188" s="274">
        <f t="shared" si="114"/>
        <v>0</v>
      </c>
      <c r="AU188" s="274">
        <f t="shared" si="115"/>
        <v>0</v>
      </c>
      <c r="AV188" s="190">
        <f>IF($B188&lt;$F$22,SUM($T$100:$T188),"")</f>
        <v>0</v>
      </c>
      <c r="AW188" s="190" t="str">
        <f t="shared" si="116"/>
        <v>-</v>
      </c>
      <c r="AX188" s="190" t="str">
        <f t="shared" si="141"/>
        <v/>
      </c>
      <c r="AY188"/>
      <c r="AZ188" s="190" t="str">
        <f ca="1">IF(ISNUMBER(OFFSET(AV188,-$F$21,0)),SUM(OFFSET($T$100,$F$21,0):$T188),"")</f>
        <v/>
      </c>
      <c r="BA188" s="190" t="str">
        <f t="shared" ca="1" si="117"/>
        <v/>
      </c>
      <c r="BB188" s="190" t="str">
        <f t="shared" ca="1" si="148"/>
        <v/>
      </c>
      <c r="BC188" s="190"/>
      <c r="BD188" s="190" t="str">
        <f ca="1">IFERROR(IF(AND($B188&gt;=($F$16-$F$15),$B188&lt;$F$22+($F$16-$F$15)),SUM(OFFSET($T$100,($F$16-$F$15),0):$T188),""),"")</f>
        <v/>
      </c>
      <c r="BE188" s="190" t="str">
        <f t="shared" ca="1" si="142"/>
        <v/>
      </c>
      <c r="BF188" s="190" t="str">
        <f t="shared" ca="1" si="143"/>
        <v/>
      </c>
      <c r="BG188"/>
      <c r="BH188" s="190" t="str">
        <f ca="1">IF(ISNUMBER(OFFSET(BD188,-$F$21,0)),SUM(OFFSET($T$100,($F$16-$F$15+$F$21),0):$T188),"")</f>
        <v/>
      </c>
      <c r="BI188" s="190" t="str">
        <f t="shared" ca="1" si="118"/>
        <v/>
      </c>
      <c r="BJ188" s="190" t="str">
        <f t="shared" ca="1" si="144"/>
        <v/>
      </c>
      <c r="BK188" s="190"/>
      <c r="BL188" s="190" t="str">
        <f ca="1">IFERROR(IF(AND($B188&gt;=($F$17-$F$15),$B188&lt;$F$22+($F$17-$F$15)),SUM(OFFSET($T$100,($F$17-$F$15),0):$T188),""),"")</f>
        <v/>
      </c>
      <c r="BM188" s="190" t="str">
        <f t="shared" ca="1" si="119"/>
        <v/>
      </c>
      <c r="BN188" s="190" t="str">
        <f t="shared" ca="1" si="145"/>
        <v/>
      </c>
      <c r="BO188"/>
      <c r="BP188" s="190" t="str">
        <f ca="1">IF(ISNUMBER(OFFSET(BL188,-$F$21,0)),SUM(OFFSET($T$100,($F$17-$F$15+$F$21),0):$T188),"")</f>
        <v/>
      </c>
      <c r="BQ188" s="190" t="str">
        <f t="shared" ca="1" si="120"/>
        <v/>
      </c>
      <c r="BR188" s="190" t="str">
        <f t="shared" ca="1" si="146"/>
        <v/>
      </c>
      <c r="BS188" s="190"/>
      <c r="BT188"/>
      <c r="BU188"/>
      <c r="BV188"/>
      <c r="BY188" s="99"/>
      <c r="BZ188" s="99"/>
      <c r="CA188" s="280" t="str">
        <f t="shared" si="121"/>
        <v/>
      </c>
      <c r="CB188" s="71" t="str">
        <f t="shared" si="122"/>
        <v>-</v>
      </c>
      <c r="CC188" s="33"/>
      <c r="CD188" s="261" t="str">
        <f t="shared" si="123"/>
        <v/>
      </c>
      <c r="CE188" s="280" t="str">
        <f t="shared" si="124"/>
        <v>-</v>
      </c>
      <c r="CF188" s="71" t="str">
        <f t="shared" ca="1" si="125"/>
        <v>-</v>
      </c>
      <c r="CG188" s="33" t="str">
        <f t="shared" si="126"/>
        <v>88-89</v>
      </c>
      <c r="CH188" s="261" t="str">
        <f t="shared" ca="1" si="127"/>
        <v/>
      </c>
      <c r="CI188" s="99"/>
      <c r="CJ188" s="99"/>
      <c r="CK188" s="99"/>
      <c r="CL188" s="99"/>
      <c r="CM188" s="99"/>
      <c r="CN188" s="99"/>
      <c r="CO188" s="99"/>
    </row>
    <row r="189" spans="2:93" ht="13.5" customHeight="1" x14ac:dyDescent="0.2">
      <c r="B189" s="262">
        <v>89</v>
      </c>
      <c r="C189" s="237" t="str">
        <f t="shared" si="91"/>
        <v/>
      </c>
      <c r="D189" s="237" t="str">
        <f t="shared" si="147"/>
        <v>-</v>
      </c>
      <c r="E189" s="263" t="str">
        <f t="shared" si="128"/>
        <v/>
      </c>
      <c r="F189" s="264" t="str">
        <f t="shared" si="129"/>
        <v/>
      </c>
      <c r="G189" s="264" t="str">
        <f t="shared" si="130"/>
        <v/>
      </c>
      <c r="H189" s="240" t="str">
        <f t="shared" si="92"/>
        <v/>
      </c>
      <c r="I189" s="265" t="str">
        <f t="shared" si="93"/>
        <v/>
      </c>
      <c r="J189" s="265" t="str">
        <f t="shared" si="94"/>
        <v/>
      </c>
      <c r="K189" s="240" t="str">
        <f t="shared" si="95"/>
        <v/>
      </c>
      <c r="L189" s="265" t="str">
        <f t="shared" si="96"/>
        <v/>
      </c>
      <c r="M189" s="265" t="str">
        <f t="shared" si="97"/>
        <v/>
      </c>
      <c r="N189" s="240" t="str">
        <f t="shared" si="98"/>
        <v>-</v>
      </c>
      <c r="O189" s="265" t="str">
        <f t="shared" si="99"/>
        <v>-</v>
      </c>
      <c r="P189" s="265" t="str">
        <f t="shared" si="100"/>
        <v>-</v>
      </c>
      <c r="Q189" s="266" t="str">
        <f t="shared" si="101"/>
        <v>-</v>
      </c>
      <c r="R189" s="267" t="str">
        <f t="shared" si="102"/>
        <v>-</v>
      </c>
      <c r="S189" s="268" t="str">
        <f t="shared" si="103"/>
        <v>-</v>
      </c>
      <c r="T189" s="269" t="str">
        <f t="shared" si="104"/>
        <v/>
      </c>
      <c r="U189" s="221">
        <f t="shared" si="105"/>
        <v>89</v>
      </c>
      <c r="V189" s="220" t="str">
        <f t="shared" si="131"/>
        <v>-</v>
      </c>
      <c r="W189" s="221" t="str">
        <f t="shared" si="132"/>
        <v>-</v>
      </c>
      <c r="X189" s="221" t="str">
        <f t="shared" si="106"/>
        <v>-</v>
      </c>
      <c r="Y189" s="221" t="str">
        <f t="shared" si="107"/>
        <v>-</v>
      </c>
      <c r="Z189" s="270">
        <f t="shared" si="133"/>
        <v>0.1</v>
      </c>
      <c r="AA189" s="271" t="str">
        <f>IFERROR(IF(V188=1,AA$100*EXP(-(LN(2)/$D$65+0.04)*X188)*EXP(-(LN(2)/$D$65+0.1)*Y188),IF(V188=2,AA$100*EXP(-(LN(2)/$D$65+0.04)*(VLOOKUP(($F$16-$F$15)-1,U$99:Y188,4,FALSE)))*EXP(-(LN(2)/$D$65+0.1)*(VLOOKUP(($F$16-$F$15)-1,U$99:Y188,5,FALSE)))*EXP(-(LN(2)/$D$65+0.04)*X188)*EXP(-(LN(2)/$D$65+0.1)*Y188),IF(V188=3,AA$100*EXP(-(LN(2)/$D$65+0.04)*(VLOOKUP(($F$16-$F$15)-1,U$99:Y188,4,FALSE)))*EXP(-(LN(2)/$D$65+0.1)*(VLOOKUP(($F$16-$F$15)-1,U$99:Y188,5,FALSE)))*EXP(-(LN(2)/$D$65+0.04)*(VLOOKUP(($F$16-$F$15)*2-1,U$99:Y188,4,FALSE)))*EXP(-(LN(2)/$D$65+0.1)*(VLOOKUP(($F$16-$F$15)*2-1,U$99:Y188,5,FALSE)))*EXP(-(LN(2)/$D$65+0.04)*X188)*EXP(-(LN(2)/$D$65+0.1)*Y188),"-"))),"-")</f>
        <v>-</v>
      </c>
      <c r="AB189" s="271" t="str">
        <f>IFERROR(IF(V189=1,AB$100*EXP(-(LN(2)/$D$65+0.04)*X189)*EXP(-(LN(2)/$D$65+0.1)*Y189),IF(V189=2,AB$100*EXP(-(LN(2)/$D$65+0.04)*(VLOOKUP(($F$16-$F$15)-1,U$100:Y189,4,FALSE)))*EXP(-(LN(2)/$D$65+0.1)*(VLOOKUP(($F$16-$F$15)-1,U$100:Y189,5,FALSE)))*EXP(-(LN(2)/$D$65+0.04)*X189)*EXP(-(LN(2)/$D$65+0.1)*Y189),IF(V189=3,AB$100*EXP(-(LN(2)/$D$65+0.04)*(VLOOKUP(($F$16-$F$15)-1,U$100:Y189,4,FALSE)))*EXP(-(LN(2)/$D$65+0.1)*(VLOOKUP(($F$16-$F$15)-1,U$100:Y189,5,FALSE)))*EXP(-(LN(2)/$D$65+0.04)*(VLOOKUP(($F$16-$F$15)*2-1,U$100:Y189,4,FALSE)))*EXP(-(LN(2)/$D$65+0.1)*(VLOOKUP(($F$16-$F$15)*2-1,U$100:Y189,5,FALSE)))*EXP(-(LN(2)/$D$65+0.04)*X189)*EXP(-(LN(2)/$D$65+0.1)*Y189),"-"))),"-")</f>
        <v>-</v>
      </c>
      <c r="AC189" s="224">
        <f t="shared" si="134"/>
        <v>89</v>
      </c>
      <c r="AD189" s="223" t="str">
        <f t="shared" si="108"/>
        <v>-</v>
      </c>
      <c r="AE189" s="224" t="str">
        <f t="shared" si="135"/>
        <v>-</v>
      </c>
      <c r="AF189" s="224" t="str">
        <f t="shared" si="109"/>
        <v>-</v>
      </c>
      <c r="AG189" s="224" t="str">
        <f t="shared" si="110"/>
        <v>-</v>
      </c>
      <c r="AH189" s="272">
        <f t="shared" si="136"/>
        <v>0.1</v>
      </c>
      <c r="AI189" s="271" t="str">
        <f>IFERROR(IF(AD188=1,AI$100*EXP(-(LN(2)/$D$65+0.04)*AF188)*EXP(-(LN(2)/$D$65+0.1)*AG188),IF(AD188=2,AI$100*EXP(-(LN(2)/$D$65+0.04)*(VLOOKUP(($F$16-$F$15)-1,AC$99:AG188,4,FALSE)))*EXP(-(LN(2)/$D$65+0.1)*(VLOOKUP(($F$16-$F$15)-1,AC$99:AG188,5,FALSE)))*EXP(-(LN(2)/$D$65+0.04)*AF188)*EXP(-(LN(2)/$D$65+0.1)*AG188),IF(AD188=3,AI$100*EXP(-(LN(2)/$D$65+0.04)*(VLOOKUP(($F$16-$F$15)-1,AC$99:AG188,4,FALSE)))*EXP(-(LN(2)/$D$65+0.1)*(VLOOKUP(($F$16-$F$15)-1,AC$99:AG188,5,FALSE)))*EXP(-(LN(2)/$D$65+0.04)*(VLOOKUP(($F$16-$F$15)*2-1,AC$99:AG188,4,FALSE)))*EXP(-(LN(2)/$D$65+0.1)*(VLOOKUP(($F$16-$F$15)*2-1,AC$99:AG188,5,FALSE)))*EXP(-(LN(2)/$D$65+0.04)*AF188)*EXP(-(LN(2)/$D$65+0.1)*AG188),"-"))),"-")</f>
        <v>-</v>
      </c>
      <c r="AJ189" s="271" t="str">
        <f>IFERROR(IF(AD189=1,AJ$100*EXP(-(LN(2)/$D$65+0.04)*AF189)*EXP(-(LN(2)/$D$65+0.1)*AG189),IF(AD189=2,AJ$100*EXP(-(LN(2)/$D$65+0.04)*(VLOOKUP(($F$16-$F$15)-1,AC$100:AG189,4,FALSE)))*EXP(-(LN(2)/$D$65+0.1)*(VLOOKUP(($F$16-$F$15)-1,AC$100:AG189,5,FALSE)))*EXP(-(LN(2)/$D$65+0.04)*AF189)*EXP(-(LN(2)/$D$65+0.1)*AG189),IF(AD189=3,AJ$100*EXP(-(LN(2)/$D$65+0.04)*(VLOOKUP(($F$16-$F$15)-1,AC$100:AG189,4,FALSE)))*EXP(-(LN(2)/$D$65+0.1)*(VLOOKUP(($F$16-$F$15)-1,AC$100:AG189,5,FALSE)))*EXP(-(LN(2)/$D$65+0.04)*(VLOOKUP(($F$16-$F$15)*2-1,AC$100:AG189,4,FALSE)))*EXP(-(LN(2)/$D$65+0.1)*(VLOOKUP(($F$16-$F$15)*2-1,AC$100:AG189,5,FALSE)))*EXP(-(LN(2)/$D$65+0.04)*AF189)*EXP(-(LN(2)/$D$65+0.1)*AG189),"-"))),"-")</f>
        <v>-</v>
      </c>
      <c r="AK189" s="227">
        <f t="shared" si="137"/>
        <v>89</v>
      </c>
      <c r="AL189" s="226" t="str">
        <f t="shared" si="111"/>
        <v>-</v>
      </c>
      <c r="AM189" s="227" t="str">
        <f t="shared" si="138"/>
        <v>-</v>
      </c>
      <c r="AN189" s="227" t="str">
        <f t="shared" si="139"/>
        <v>-</v>
      </c>
      <c r="AO189" s="227" t="str">
        <f t="shared" si="112"/>
        <v>-</v>
      </c>
      <c r="AP189" s="273">
        <f t="shared" si="140"/>
        <v>0.1</v>
      </c>
      <c r="AQ189" s="271" t="str">
        <f>IFERROR(IF(AL188=1,AQ$100*EXP(-(LN(2)/$D$65+0.04)*AN188)*EXP(-(LN(2)/$D$65+0.1)*AO188),IF(AL188=2,AQ$100*EXP(-(LN(2)/$D$65+0.04)*(VLOOKUP(($F$16-$F$15)-1,AK$99:AO188,4,FALSE)))*EXP(-(LN(2)/$D$65+0.1)*(VLOOKUP(($F$16-$F$15)-1,AK$99:AO188,5,FALSE)))*EXP(-(LN(2)/$D$65+0.04)*AN188)*EXP(-(LN(2)/$D$65+0.1)*AO188),IF(AL188=3,AQ$100*EXP(-(LN(2)/$D$65+0.04)*(VLOOKUP(($F$16-$F$15)-1,AK$99:AO188,4,FALSE)))*EXP(-(LN(2)/$D$65+0.1)*(VLOOKUP(($F$16-$F$15)-1,AK$99:AO188,5,FALSE)))*EXP(-(LN(2)/$D$65+0.04)*(VLOOKUP(($F$16-$F$15)*2-1,AK$99:AO188,4,FALSE)))*EXP(-(LN(2)/$D$65+0.1)*(VLOOKUP(($F$16-$F$15)*2-1,AK$99:AO188,5,FALSE)))*EXP(-(LN(2)/$D$65+0.04)*AN188)*EXP(-(LN(2)/$D$65+0.1)*AO188),"-"))),"-")</f>
        <v>-</v>
      </c>
      <c r="AR189" s="271" t="str">
        <f>IFERROR(IF(AL189=1,AR$100*EXP(-(LN(2)/$D$65+0.04)*AN189)*EXP(-(LN(2)/$D$65+0.1)*AO189),IF(AL189=2,AR$100*EXP(-(LN(2)/$D$65+0.04)*(VLOOKUP(($F$16-$F$15)-1,AK$100:AO189,4,FALSE)))*EXP(-(LN(2)/$D$65+0.1)*(VLOOKUP(($F$16-$F$15)-1,AK$100:AO189,5,FALSE)))*EXP(-(LN(2)/$D$65+0.04)*AN189)*EXP(-(LN(2)/$D$65+0.1)*AO189),IF(AL189=3,AR$100*EXP(-(LN(2)/$D$65+0.04)*(VLOOKUP(($F$16-$F$15)-1,AK$100:AO189,4,FALSE)))*EXP(-(LN(2)/$D$65+0.1)*(VLOOKUP(($F$16-$F$15)-1,AK$100:AO189,5,FALSE)))*EXP(-(LN(2)/$D$65+0.04)*(VLOOKUP(($F$16-$F$15)*2-1,AK$100:AO189,4,FALSE)))*EXP(-(LN(2)/$D$65+0.1)*(VLOOKUP(($F$16-$F$15)*2-1,AK$100:AO189,5,FALSE)))*EXP(-(LN(2)/$D$65+0.04)*AN189)*EXP(-(LN(2)/$D$65+0.1)*AO189),"-"))),"-")</f>
        <v>-</v>
      </c>
      <c r="AS189" s="274">
        <f t="shared" si="113"/>
        <v>0</v>
      </c>
      <c r="AT189" s="274">
        <f t="shared" si="114"/>
        <v>0</v>
      </c>
      <c r="AU189" s="274">
        <f t="shared" si="115"/>
        <v>0</v>
      </c>
      <c r="AV189" s="190">
        <f>IF($B189&lt;$F$22,SUM($T$100:$T189),"")</f>
        <v>0</v>
      </c>
      <c r="AW189" s="190" t="str">
        <f t="shared" si="116"/>
        <v>-</v>
      </c>
      <c r="AX189" s="190" t="str">
        <f t="shared" si="141"/>
        <v/>
      </c>
      <c r="AY189"/>
      <c r="AZ189" s="190" t="str">
        <f ca="1">IF(ISNUMBER(OFFSET(AV189,-$F$21,0)),SUM(OFFSET($T$100,$F$21,0):$T189),"")</f>
        <v/>
      </c>
      <c r="BA189" s="190" t="str">
        <f t="shared" ca="1" si="117"/>
        <v/>
      </c>
      <c r="BB189" s="190" t="str">
        <f t="shared" ca="1" si="148"/>
        <v/>
      </c>
      <c r="BC189" s="190"/>
      <c r="BD189" s="190" t="str">
        <f ca="1">IFERROR(IF(AND($B189&gt;=($F$16-$F$15),$B189&lt;$F$22+($F$16-$F$15)),SUM(OFFSET($T$100,($F$16-$F$15),0):$T189),""),"")</f>
        <v/>
      </c>
      <c r="BE189" s="190" t="str">
        <f t="shared" ca="1" si="142"/>
        <v/>
      </c>
      <c r="BF189" s="190" t="str">
        <f t="shared" ca="1" si="143"/>
        <v/>
      </c>
      <c r="BG189"/>
      <c r="BH189" s="190" t="str">
        <f ca="1">IF(ISNUMBER(OFFSET(BD189,-$F$21,0)),SUM(OFFSET($T$100,($F$16-$F$15+$F$21),0):$T189),"")</f>
        <v/>
      </c>
      <c r="BI189" s="190" t="str">
        <f t="shared" ca="1" si="118"/>
        <v/>
      </c>
      <c r="BJ189" s="190" t="str">
        <f t="shared" ca="1" si="144"/>
        <v/>
      </c>
      <c r="BK189" s="190"/>
      <c r="BL189" s="190" t="str">
        <f ca="1">IFERROR(IF(AND($B189&gt;=($F$17-$F$15),$B189&lt;$F$22+($F$17-$F$15)),SUM(OFFSET($T$100,($F$17-$F$15),0):$T189),""),"")</f>
        <v/>
      </c>
      <c r="BM189" s="190" t="str">
        <f t="shared" ca="1" si="119"/>
        <v/>
      </c>
      <c r="BN189" s="190" t="str">
        <f t="shared" ca="1" si="145"/>
        <v/>
      </c>
      <c r="BO189"/>
      <c r="BP189" s="190" t="str">
        <f ca="1">IF(ISNUMBER(OFFSET(BL189,-$F$21,0)),SUM(OFFSET($T$100,($F$17-$F$15+$F$21),0):$T189),"")</f>
        <v/>
      </c>
      <c r="BQ189" s="190" t="str">
        <f t="shared" ca="1" si="120"/>
        <v/>
      </c>
      <c r="BR189" s="190" t="str">
        <f t="shared" ca="1" si="146"/>
        <v/>
      </c>
      <c r="BS189" s="190"/>
      <c r="BT189"/>
      <c r="BU189"/>
      <c r="BV189"/>
      <c r="BY189" s="99"/>
      <c r="BZ189" s="99"/>
      <c r="CA189" s="280" t="str">
        <f t="shared" si="121"/>
        <v/>
      </c>
      <c r="CB189" s="71" t="str">
        <f t="shared" si="122"/>
        <v>-</v>
      </c>
      <c r="CC189" s="33"/>
      <c r="CD189" s="261" t="str">
        <f t="shared" si="123"/>
        <v/>
      </c>
      <c r="CE189" s="280" t="str">
        <f t="shared" si="124"/>
        <v>-</v>
      </c>
      <c r="CF189" s="71" t="str">
        <f t="shared" ca="1" si="125"/>
        <v>-</v>
      </c>
      <c r="CG189" s="33" t="str">
        <f t="shared" si="126"/>
        <v>89-90</v>
      </c>
      <c r="CH189" s="261" t="str">
        <f t="shared" ca="1" si="127"/>
        <v/>
      </c>
    </row>
    <row r="190" spans="2:93" ht="13.5" customHeight="1" x14ac:dyDescent="0.2">
      <c r="B190" s="262">
        <v>90</v>
      </c>
      <c r="C190" s="237" t="str">
        <f t="shared" si="91"/>
        <v/>
      </c>
      <c r="D190" s="237" t="str">
        <f t="shared" si="147"/>
        <v>-</v>
      </c>
      <c r="E190" s="263" t="str">
        <f t="shared" si="128"/>
        <v/>
      </c>
      <c r="F190" s="264" t="str">
        <f t="shared" si="129"/>
        <v/>
      </c>
      <c r="G190" s="264" t="str">
        <f t="shared" si="130"/>
        <v/>
      </c>
      <c r="H190" s="240" t="str">
        <f t="shared" si="92"/>
        <v/>
      </c>
      <c r="I190" s="265" t="str">
        <f t="shared" si="93"/>
        <v/>
      </c>
      <c r="J190" s="265" t="str">
        <f t="shared" si="94"/>
        <v/>
      </c>
      <c r="K190" s="240" t="str">
        <f t="shared" si="95"/>
        <v/>
      </c>
      <c r="L190" s="265" t="str">
        <f t="shared" si="96"/>
        <v/>
      </c>
      <c r="M190" s="265" t="str">
        <f t="shared" si="97"/>
        <v/>
      </c>
      <c r="N190" s="240" t="str">
        <f t="shared" si="98"/>
        <v>-</v>
      </c>
      <c r="O190" s="265" t="str">
        <f t="shared" si="99"/>
        <v>-</v>
      </c>
      <c r="P190" s="265" t="str">
        <f t="shared" si="100"/>
        <v>-</v>
      </c>
      <c r="Q190" s="266" t="str">
        <f t="shared" si="101"/>
        <v>-</v>
      </c>
      <c r="R190" s="267" t="str">
        <f t="shared" si="102"/>
        <v>-</v>
      </c>
      <c r="S190" s="268" t="str">
        <f t="shared" si="103"/>
        <v>-</v>
      </c>
      <c r="T190" s="269" t="str">
        <f t="shared" si="104"/>
        <v/>
      </c>
      <c r="U190" s="221">
        <f t="shared" si="105"/>
        <v>90</v>
      </c>
      <c r="V190" s="220" t="str">
        <f t="shared" si="131"/>
        <v>-</v>
      </c>
      <c r="W190" s="221" t="str">
        <f t="shared" si="132"/>
        <v>-</v>
      </c>
      <c r="X190" s="221" t="str">
        <f t="shared" si="106"/>
        <v>-</v>
      </c>
      <c r="Y190" s="221" t="str">
        <f t="shared" si="107"/>
        <v>-</v>
      </c>
      <c r="Z190" s="270">
        <f t="shared" si="133"/>
        <v>0.1</v>
      </c>
      <c r="AA190" s="271" t="str">
        <f>IFERROR(IF(V189=1,AA$100*EXP(-(LN(2)/$D$65+0.04)*X189)*EXP(-(LN(2)/$D$65+0.1)*Y189),IF(V189=2,AA$100*EXP(-(LN(2)/$D$65+0.04)*(VLOOKUP(($F$16-$F$15)-1,U$99:Y189,4,FALSE)))*EXP(-(LN(2)/$D$65+0.1)*(VLOOKUP(($F$16-$F$15)-1,U$99:Y189,5,FALSE)))*EXP(-(LN(2)/$D$65+0.04)*X189)*EXP(-(LN(2)/$D$65+0.1)*Y189),IF(V189=3,AA$100*EXP(-(LN(2)/$D$65+0.04)*(VLOOKUP(($F$16-$F$15)-1,U$99:Y189,4,FALSE)))*EXP(-(LN(2)/$D$65+0.1)*(VLOOKUP(($F$16-$F$15)-1,U$99:Y189,5,FALSE)))*EXP(-(LN(2)/$D$65+0.04)*(VLOOKUP(($F$16-$F$15)*2-1,U$99:Y189,4,FALSE)))*EXP(-(LN(2)/$D$65+0.1)*(VLOOKUP(($F$16-$F$15)*2-1,U$99:Y189,5,FALSE)))*EXP(-(LN(2)/$D$65+0.04)*X189)*EXP(-(LN(2)/$D$65+0.1)*Y189),"-"))),"-")</f>
        <v>-</v>
      </c>
      <c r="AB190" s="271" t="str">
        <f>IFERROR(IF(V190=1,AB$100*EXP(-(LN(2)/$D$65+0.04)*X190)*EXP(-(LN(2)/$D$65+0.1)*Y190),IF(V190=2,AB$100*EXP(-(LN(2)/$D$65+0.04)*(VLOOKUP(($F$16-$F$15)-1,U$100:Y190,4,FALSE)))*EXP(-(LN(2)/$D$65+0.1)*(VLOOKUP(($F$16-$F$15)-1,U$100:Y190,5,FALSE)))*EXP(-(LN(2)/$D$65+0.04)*X190)*EXP(-(LN(2)/$D$65+0.1)*Y190),IF(V190=3,AB$100*EXP(-(LN(2)/$D$65+0.04)*(VLOOKUP(($F$16-$F$15)-1,U$100:Y190,4,FALSE)))*EXP(-(LN(2)/$D$65+0.1)*(VLOOKUP(($F$16-$F$15)-1,U$100:Y190,5,FALSE)))*EXP(-(LN(2)/$D$65+0.04)*(VLOOKUP(($F$16-$F$15)*2-1,U$100:Y190,4,FALSE)))*EXP(-(LN(2)/$D$65+0.1)*(VLOOKUP(($F$16-$F$15)*2-1,U$100:Y190,5,FALSE)))*EXP(-(LN(2)/$D$65+0.04)*X190)*EXP(-(LN(2)/$D$65+0.1)*Y190),"-"))),"-")</f>
        <v>-</v>
      </c>
      <c r="AC190" s="224">
        <f t="shared" si="134"/>
        <v>90</v>
      </c>
      <c r="AD190" s="223" t="str">
        <f t="shared" si="108"/>
        <v>-</v>
      </c>
      <c r="AE190" s="224" t="str">
        <f t="shared" si="135"/>
        <v>-</v>
      </c>
      <c r="AF190" s="224" t="str">
        <f t="shared" si="109"/>
        <v>-</v>
      </c>
      <c r="AG190" s="224" t="str">
        <f t="shared" si="110"/>
        <v>-</v>
      </c>
      <c r="AH190" s="272">
        <f t="shared" si="136"/>
        <v>0.1</v>
      </c>
      <c r="AI190" s="271" t="str">
        <f>IFERROR(IF(AD189=1,AI$100*EXP(-(LN(2)/$D$65+0.04)*AF189)*EXP(-(LN(2)/$D$65+0.1)*AG189),IF(AD189=2,AI$100*EXP(-(LN(2)/$D$65+0.04)*(VLOOKUP(($F$16-$F$15)-1,AC$99:AG189,4,FALSE)))*EXP(-(LN(2)/$D$65+0.1)*(VLOOKUP(($F$16-$F$15)-1,AC$99:AG189,5,FALSE)))*EXP(-(LN(2)/$D$65+0.04)*AF189)*EXP(-(LN(2)/$D$65+0.1)*AG189),IF(AD189=3,AI$100*EXP(-(LN(2)/$D$65+0.04)*(VLOOKUP(($F$16-$F$15)-1,AC$99:AG189,4,FALSE)))*EXP(-(LN(2)/$D$65+0.1)*(VLOOKUP(($F$16-$F$15)-1,AC$99:AG189,5,FALSE)))*EXP(-(LN(2)/$D$65+0.04)*(VLOOKUP(($F$16-$F$15)*2-1,AC$99:AG189,4,FALSE)))*EXP(-(LN(2)/$D$65+0.1)*(VLOOKUP(($F$16-$F$15)*2-1,AC$99:AG189,5,FALSE)))*EXP(-(LN(2)/$D$65+0.04)*AF189)*EXP(-(LN(2)/$D$65+0.1)*AG189),"-"))),"-")</f>
        <v>-</v>
      </c>
      <c r="AJ190" s="271" t="str">
        <f>IFERROR(IF(AD190=1,AJ$100*EXP(-(LN(2)/$D$65+0.04)*AF190)*EXP(-(LN(2)/$D$65+0.1)*AG190),IF(AD190=2,AJ$100*EXP(-(LN(2)/$D$65+0.04)*(VLOOKUP(($F$16-$F$15)-1,AC$100:AG190,4,FALSE)))*EXP(-(LN(2)/$D$65+0.1)*(VLOOKUP(($F$16-$F$15)-1,AC$100:AG190,5,FALSE)))*EXP(-(LN(2)/$D$65+0.04)*AF190)*EXP(-(LN(2)/$D$65+0.1)*AG190),IF(AD190=3,AJ$100*EXP(-(LN(2)/$D$65+0.04)*(VLOOKUP(($F$16-$F$15)-1,AC$100:AG190,4,FALSE)))*EXP(-(LN(2)/$D$65+0.1)*(VLOOKUP(($F$16-$F$15)-1,AC$100:AG190,5,FALSE)))*EXP(-(LN(2)/$D$65+0.04)*(VLOOKUP(($F$16-$F$15)*2-1,AC$100:AG190,4,FALSE)))*EXP(-(LN(2)/$D$65+0.1)*(VLOOKUP(($F$16-$F$15)*2-1,AC$100:AG190,5,FALSE)))*EXP(-(LN(2)/$D$65+0.04)*AF190)*EXP(-(LN(2)/$D$65+0.1)*AG190),"-"))),"-")</f>
        <v>-</v>
      </c>
      <c r="AK190" s="227">
        <f t="shared" si="137"/>
        <v>90</v>
      </c>
      <c r="AL190" s="226" t="str">
        <f t="shared" si="111"/>
        <v>-</v>
      </c>
      <c r="AM190" s="227" t="str">
        <f t="shared" si="138"/>
        <v>-</v>
      </c>
      <c r="AN190" s="227" t="str">
        <f t="shared" si="139"/>
        <v>-</v>
      </c>
      <c r="AO190" s="227" t="str">
        <f t="shared" si="112"/>
        <v>-</v>
      </c>
      <c r="AP190" s="273">
        <f t="shared" si="140"/>
        <v>0.1</v>
      </c>
      <c r="AQ190" s="271" t="str">
        <f>IFERROR(IF(AL189=1,AQ$100*EXP(-(LN(2)/$D$65+0.04)*AN189)*EXP(-(LN(2)/$D$65+0.1)*AO189),IF(AL189=2,AQ$100*EXP(-(LN(2)/$D$65+0.04)*(VLOOKUP(($F$16-$F$15)-1,AK$99:AO189,4,FALSE)))*EXP(-(LN(2)/$D$65+0.1)*(VLOOKUP(($F$16-$F$15)-1,AK$99:AO189,5,FALSE)))*EXP(-(LN(2)/$D$65+0.04)*AN189)*EXP(-(LN(2)/$D$65+0.1)*AO189),IF(AL189=3,AQ$100*EXP(-(LN(2)/$D$65+0.04)*(VLOOKUP(($F$16-$F$15)-1,AK$99:AO189,4,FALSE)))*EXP(-(LN(2)/$D$65+0.1)*(VLOOKUP(($F$16-$F$15)-1,AK$99:AO189,5,FALSE)))*EXP(-(LN(2)/$D$65+0.04)*(VLOOKUP(($F$16-$F$15)*2-1,AK$99:AO189,4,FALSE)))*EXP(-(LN(2)/$D$65+0.1)*(VLOOKUP(($F$16-$F$15)*2-1,AK$99:AO189,5,FALSE)))*EXP(-(LN(2)/$D$65+0.04)*AN189)*EXP(-(LN(2)/$D$65+0.1)*AO189),"-"))),"-")</f>
        <v>-</v>
      </c>
      <c r="AR190" s="271" t="str">
        <f>IFERROR(IF(AL190=1,AR$100*EXP(-(LN(2)/$D$65+0.04)*AN190)*EXP(-(LN(2)/$D$65+0.1)*AO190),IF(AL190=2,AR$100*EXP(-(LN(2)/$D$65+0.04)*(VLOOKUP(($F$16-$F$15)-1,AK$100:AO190,4,FALSE)))*EXP(-(LN(2)/$D$65+0.1)*(VLOOKUP(($F$16-$F$15)-1,AK$100:AO190,5,FALSE)))*EXP(-(LN(2)/$D$65+0.04)*AN190)*EXP(-(LN(2)/$D$65+0.1)*AO190),IF(AL190=3,AR$100*EXP(-(LN(2)/$D$65+0.04)*(VLOOKUP(($F$16-$F$15)-1,AK$100:AO190,4,FALSE)))*EXP(-(LN(2)/$D$65+0.1)*(VLOOKUP(($F$16-$F$15)-1,AK$100:AO190,5,FALSE)))*EXP(-(LN(2)/$D$65+0.04)*(VLOOKUP(($F$16-$F$15)*2-1,AK$100:AO190,4,FALSE)))*EXP(-(LN(2)/$D$65+0.1)*(VLOOKUP(($F$16-$F$15)*2-1,AK$100:AO190,5,FALSE)))*EXP(-(LN(2)/$D$65+0.04)*AN190)*EXP(-(LN(2)/$D$65+0.1)*AO190),"-"))),"-")</f>
        <v>-</v>
      </c>
      <c r="AS190" s="274">
        <f t="shared" si="113"/>
        <v>0</v>
      </c>
      <c r="AT190" s="274">
        <f t="shared" si="114"/>
        <v>0</v>
      </c>
      <c r="AU190" s="274">
        <f t="shared" si="115"/>
        <v>0</v>
      </c>
      <c r="AV190" s="190">
        <f>IF($B190&lt;$F$22,SUM($T$100:$T190),"")</f>
        <v>0</v>
      </c>
      <c r="AW190" s="190" t="str">
        <f t="shared" si="116"/>
        <v>-</v>
      </c>
      <c r="AX190" s="190" t="str">
        <f t="shared" si="141"/>
        <v/>
      </c>
      <c r="AY190"/>
      <c r="AZ190" s="190" t="str">
        <f ca="1">IF(ISNUMBER(OFFSET(AV190,-$F$21,0)),SUM(OFFSET($T$100,$F$21,0):$T190),"")</f>
        <v/>
      </c>
      <c r="BA190" s="190" t="str">
        <f t="shared" ca="1" si="117"/>
        <v/>
      </c>
      <c r="BB190" s="190" t="str">
        <f t="shared" ca="1" si="148"/>
        <v/>
      </c>
      <c r="BC190" s="190"/>
      <c r="BD190" s="190" t="str">
        <f ca="1">IFERROR(IF(AND($B190&gt;=($F$16-$F$15),$B190&lt;$F$22+($F$16-$F$15)),SUM(OFFSET($T$100,($F$16-$F$15),0):$T190),""),"")</f>
        <v/>
      </c>
      <c r="BE190" s="190" t="str">
        <f t="shared" ca="1" si="142"/>
        <v/>
      </c>
      <c r="BF190" s="190" t="str">
        <f t="shared" ca="1" si="143"/>
        <v/>
      </c>
      <c r="BG190"/>
      <c r="BH190" s="190" t="str">
        <f ca="1">IF(ISNUMBER(OFFSET(BD190,-$F$21,0)),SUM(OFFSET($T$100,($F$16-$F$15+$F$21),0):$T190),"")</f>
        <v/>
      </c>
      <c r="BI190" s="190" t="str">
        <f t="shared" ca="1" si="118"/>
        <v/>
      </c>
      <c r="BJ190" s="190" t="str">
        <f t="shared" ca="1" si="144"/>
        <v/>
      </c>
      <c r="BK190" s="190"/>
      <c r="BL190" s="190" t="str">
        <f ca="1">IFERROR(IF(AND($B190&gt;=($F$17-$F$15),$B190&lt;$F$22+($F$17-$F$15)),SUM(OFFSET($T$100,($F$17-$F$15),0):$T190),""),"")</f>
        <v/>
      </c>
      <c r="BM190" s="190" t="str">
        <f t="shared" ca="1" si="119"/>
        <v/>
      </c>
      <c r="BN190" s="190" t="str">
        <f t="shared" ca="1" si="145"/>
        <v/>
      </c>
      <c r="BO190"/>
      <c r="BP190" s="190" t="str">
        <f ca="1">IF(ISNUMBER(OFFSET(BL190,-$F$21,0)),SUM(OFFSET($T$100,($F$17-$F$15+$F$21),0):$T190),"")</f>
        <v/>
      </c>
      <c r="BQ190" s="190" t="str">
        <f t="shared" ca="1" si="120"/>
        <v/>
      </c>
      <c r="BR190" s="190" t="str">
        <f t="shared" ca="1" si="146"/>
        <v/>
      </c>
      <c r="BS190" s="190"/>
      <c r="BT190"/>
      <c r="BU190"/>
      <c r="BV190"/>
      <c r="BY190" s="99"/>
      <c r="BZ190" s="99"/>
      <c r="CA190" s="280" t="str">
        <f t="shared" si="121"/>
        <v/>
      </c>
      <c r="CB190" s="71" t="str">
        <f t="shared" si="122"/>
        <v>-</v>
      </c>
      <c r="CC190" s="33"/>
      <c r="CD190" s="261" t="str">
        <f t="shared" si="123"/>
        <v/>
      </c>
      <c r="CE190" s="280" t="str">
        <f t="shared" si="124"/>
        <v>-</v>
      </c>
      <c r="CF190" s="71" t="str">
        <f t="shared" ca="1" si="125"/>
        <v>-</v>
      </c>
      <c r="CG190" s="33" t="str">
        <f t="shared" si="126"/>
        <v>90-91</v>
      </c>
      <c r="CH190" s="261" t="str">
        <f t="shared" ca="1" si="127"/>
        <v/>
      </c>
    </row>
    <row r="191" spans="2:93" ht="13.5" customHeight="1" x14ac:dyDescent="0.2">
      <c r="B191" s="262">
        <v>91</v>
      </c>
      <c r="C191" s="237" t="str">
        <f t="shared" si="91"/>
        <v/>
      </c>
      <c r="D191" s="237" t="str">
        <f t="shared" si="147"/>
        <v>-</v>
      </c>
      <c r="E191" s="263" t="str">
        <f t="shared" si="128"/>
        <v/>
      </c>
      <c r="F191" s="264" t="str">
        <f t="shared" si="129"/>
        <v/>
      </c>
      <c r="G191" s="264" t="str">
        <f t="shared" si="130"/>
        <v/>
      </c>
      <c r="H191" s="240" t="str">
        <f t="shared" si="92"/>
        <v/>
      </c>
      <c r="I191" s="265" t="str">
        <f t="shared" si="93"/>
        <v/>
      </c>
      <c r="J191" s="265" t="str">
        <f t="shared" si="94"/>
        <v/>
      </c>
      <c r="K191" s="240" t="str">
        <f t="shared" si="95"/>
        <v/>
      </c>
      <c r="L191" s="265" t="str">
        <f t="shared" si="96"/>
        <v/>
      </c>
      <c r="M191" s="265" t="str">
        <f t="shared" si="97"/>
        <v/>
      </c>
      <c r="N191" s="240" t="str">
        <f t="shared" si="98"/>
        <v>-</v>
      </c>
      <c r="O191" s="265" t="str">
        <f t="shared" si="99"/>
        <v>-</v>
      </c>
      <c r="P191" s="265" t="str">
        <f t="shared" si="100"/>
        <v>-</v>
      </c>
      <c r="Q191" s="266" t="str">
        <f t="shared" si="101"/>
        <v>-</v>
      </c>
      <c r="R191" s="267" t="str">
        <f t="shared" si="102"/>
        <v>-</v>
      </c>
      <c r="S191" s="268" t="str">
        <f t="shared" si="103"/>
        <v>-</v>
      </c>
      <c r="T191" s="269" t="str">
        <f t="shared" si="104"/>
        <v/>
      </c>
      <c r="U191" s="221">
        <f t="shared" si="105"/>
        <v>91</v>
      </c>
      <c r="V191" s="220" t="str">
        <f t="shared" si="131"/>
        <v>-</v>
      </c>
      <c r="W191" s="221" t="str">
        <f t="shared" si="132"/>
        <v>-</v>
      </c>
      <c r="X191" s="221" t="str">
        <f t="shared" si="106"/>
        <v>-</v>
      </c>
      <c r="Y191" s="221" t="str">
        <f t="shared" si="107"/>
        <v>-</v>
      </c>
      <c r="Z191" s="270">
        <f t="shared" si="133"/>
        <v>0.1</v>
      </c>
      <c r="AA191" s="271" t="str">
        <f>IFERROR(IF(V190=1,AA$100*EXP(-(LN(2)/$D$65+0.04)*X190)*EXP(-(LN(2)/$D$65+0.1)*Y190),IF(V190=2,AA$100*EXP(-(LN(2)/$D$65+0.04)*(VLOOKUP(($F$16-$F$15)-1,U$99:Y190,4,FALSE)))*EXP(-(LN(2)/$D$65+0.1)*(VLOOKUP(($F$16-$F$15)-1,U$99:Y190,5,FALSE)))*EXP(-(LN(2)/$D$65+0.04)*X190)*EXP(-(LN(2)/$D$65+0.1)*Y190),IF(V190=3,AA$100*EXP(-(LN(2)/$D$65+0.04)*(VLOOKUP(($F$16-$F$15)-1,U$99:Y190,4,FALSE)))*EXP(-(LN(2)/$D$65+0.1)*(VLOOKUP(($F$16-$F$15)-1,U$99:Y190,5,FALSE)))*EXP(-(LN(2)/$D$65+0.04)*(VLOOKUP(($F$16-$F$15)*2-1,U$99:Y190,4,FALSE)))*EXP(-(LN(2)/$D$65+0.1)*(VLOOKUP(($F$16-$F$15)*2-1,U$99:Y190,5,FALSE)))*EXP(-(LN(2)/$D$65+0.04)*X190)*EXP(-(LN(2)/$D$65+0.1)*Y190),"-"))),"-")</f>
        <v>-</v>
      </c>
      <c r="AB191" s="271" t="str">
        <f>IFERROR(IF(V191=1,AB$100*EXP(-(LN(2)/$D$65+0.04)*X191)*EXP(-(LN(2)/$D$65+0.1)*Y191),IF(V191=2,AB$100*EXP(-(LN(2)/$D$65+0.04)*(VLOOKUP(($F$16-$F$15)-1,U$100:Y191,4,FALSE)))*EXP(-(LN(2)/$D$65+0.1)*(VLOOKUP(($F$16-$F$15)-1,U$100:Y191,5,FALSE)))*EXP(-(LN(2)/$D$65+0.04)*X191)*EXP(-(LN(2)/$D$65+0.1)*Y191),IF(V191=3,AB$100*EXP(-(LN(2)/$D$65+0.04)*(VLOOKUP(($F$16-$F$15)-1,U$100:Y191,4,FALSE)))*EXP(-(LN(2)/$D$65+0.1)*(VLOOKUP(($F$16-$F$15)-1,U$100:Y191,5,FALSE)))*EXP(-(LN(2)/$D$65+0.04)*(VLOOKUP(($F$16-$F$15)*2-1,U$100:Y191,4,FALSE)))*EXP(-(LN(2)/$D$65+0.1)*(VLOOKUP(($F$16-$F$15)*2-1,U$100:Y191,5,FALSE)))*EXP(-(LN(2)/$D$65+0.04)*X191)*EXP(-(LN(2)/$D$65+0.1)*Y191),"-"))),"-")</f>
        <v>-</v>
      </c>
      <c r="AC191" s="224">
        <f t="shared" si="134"/>
        <v>91</v>
      </c>
      <c r="AD191" s="223" t="str">
        <f t="shared" si="108"/>
        <v>-</v>
      </c>
      <c r="AE191" s="224" t="str">
        <f t="shared" si="135"/>
        <v>-</v>
      </c>
      <c r="AF191" s="224" t="str">
        <f t="shared" si="109"/>
        <v>-</v>
      </c>
      <c r="AG191" s="224" t="str">
        <f t="shared" si="110"/>
        <v>-</v>
      </c>
      <c r="AH191" s="272">
        <f t="shared" si="136"/>
        <v>0.1</v>
      </c>
      <c r="AI191" s="271" t="str">
        <f>IFERROR(IF(AD190=1,AI$100*EXP(-(LN(2)/$D$65+0.04)*AF190)*EXP(-(LN(2)/$D$65+0.1)*AG190),IF(AD190=2,AI$100*EXP(-(LN(2)/$D$65+0.04)*(VLOOKUP(($F$16-$F$15)-1,AC$99:AG190,4,FALSE)))*EXP(-(LN(2)/$D$65+0.1)*(VLOOKUP(($F$16-$F$15)-1,AC$99:AG190,5,FALSE)))*EXP(-(LN(2)/$D$65+0.04)*AF190)*EXP(-(LN(2)/$D$65+0.1)*AG190),IF(AD190=3,AI$100*EXP(-(LN(2)/$D$65+0.04)*(VLOOKUP(($F$16-$F$15)-1,AC$99:AG190,4,FALSE)))*EXP(-(LN(2)/$D$65+0.1)*(VLOOKUP(($F$16-$F$15)-1,AC$99:AG190,5,FALSE)))*EXP(-(LN(2)/$D$65+0.04)*(VLOOKUP(($F$16-$F$15)*2-1,AC$99:AG190,4,FALSE)))*EXP(-(LN(2)/$D$65+0.1)*(VLOOKUP(($F$16-$F$15)*2-1,AC$99:AG190,5,FALSE)))*EXP(-(LN(2)/$D$65+0.04)*AF190)*EXP(-(LN(2)/$D$65+0.1)*AG190),"-"))),"-")</f>
        <v>-</v>
      </c>
      <c r="AJ191" s="271" t="str">
        <f>IFERROR(IF(AD191=1,AJ$100*EXP(-(LN(2)/$D$65+0.04)*AF191)*EXP(-(LN(2)/$D$65+0.1)*AG191),IF(AD191=2,AJ$100*EXP(-(LN(2)/$D$65+0.04)*(VLOOKUP(($F$16-$F$15)-1,AC$100:AG191,4,FALSE)))*EXP(-(LN(2)/$D$65+0.1)*(VLOOKUP(($F$16-$F$15)-1,AC$100:AG191,5,FALSE)))*EXP(-(LN(2)/$D$65+0.04)*AF191)*EXP(-(LN(2)/$D$65+0.1)*AG191),IF(AD191=3,AJ$100*EXP(-(LN(2)/$D$65+0.04)*(VLOOKUP(($F$16-$F$15)-1,AC$100:AG191,4,FALSE)))*EXP(-(LN(2)/$D$65+0.1)*(VLOOKUP(($F$16-$F$15)-1,AC$100:AG191,5,FALSE)))*EXP(-(LN(2)/$D$65+0.04)*(VLOOKUP(($F$16-$F$15)*2-1,AC$100:AG191,4,FALSE)))*EXP(-(LN(2)/$D$65+0.1)*(VLOOKUP(($F$16-$F$15)*2-1,AC$100:AG191,5,FALSE)))*EXP(-(LN(2)/$D$65+0.04)*AF191)*EXP(-(LN(2)/$D$65+0.1)*AG191),"-"))),"-")</f>
        <v>-</v>
      </c>
      <c r="AK191" s="227">
        <f t="shared" si="137"/>
        <v>91</v>
      </c>
      <c r="AL191" s="226" t="str">
        <f t="shared" si="111"/>
        <v>-</v>
      </c>
      <c r="AM191" s="227" t="str">
        <f t="shared" si="138"/>
        <v>-</v>
      </c>
      <c r="AN191" s="227" t="str">
        <f t="shared" si="139"/>
        <v>-</v>
      </c>
      <c r="AO191" s="227" t="str">
        <f t="shared" si="112"/>
        <v>-</v>
      </c>
      <c r="AP191" s="273">
        <f t="shared" si="140"/>
        <v>0.1</v>
      </c>
      <c r="AQ191" s="271" t="str">
        <f>IFERROR(IF(AL190=1,AQ$100*EXP(-(LN(2)/$D$65+0.04)*AN190)*EXP(-(LN(2)/$D$65+0.1)*AO190),IF(AL190=2,AQ$100*EXP(-(LN(2)/$D$65+0.04)*(VLOOKUP(($F$16-$F$15)-1,AK$99:AO190,4,FALSE)))*EXP(-(LN(2)/$D$65+0.1)*(VLOOKUP(($F$16-$F$15)-1,AK$99:AO190,5,FALSE)))*EXP(-(LN(2)/$D$65+0.04)*AN190)*EXP(-(LN(2)/$D$65+0.1)*AO190),IF(AL190=3,AQ$100*EXP(-(LN(2)/$D$65+0.04)*(VLOOKUP(($F$16-$F$15)-1,AK$99:AO190,4,FALSE)))*EXP(-(LN(2)/$D$65+0.1)*(VLOOKUP(($F$16-$F$15)-1,AK$99:AO190,5,FALSE)))*EXP(-(LN(2)/$D$65+0.04)*(VLOOKUP(($F$16-$F$15)*2-1,AK$99:AO190,4,FALSE)))*EXP(-(LN(2)/$D$65+0.1)*(VLOOKUP(($F$16-$F$15)*2-1,AK$99:AO190,5,FALSE)))*EXP(-(LN(2)/$D$65+0.04)*AN190)*EXP(-(LN(2)/$D$65+0.1)*AO190),"-"))),"-")</f>
        <v>-</v>
      </c>
      <c r="AR191" s="271" t="str">
        <f>IFERROR(IF(AL191=1,AR$100*EXP(-(LN(2)/$D$65+0.04)*AN191)*EXP(-(LN(2)/$D$65+0.1)*AO191),IF(AL191=2,AR$100*EXP(-(LN(2)/$D$65+0.04)*(VLOOKUP(($F$16-$F$15)-1,AK$100:AO191,4,FALSE)))*EXP(-(LN(2)/$D$65+0.1)*(VLOOKUP(($F$16-$F$15)-1,AK$100:AO191,5,FALSE)))*EXP(-(LN(2)/$D$65+0.04)*AN191)*EXP(-(LN(2)/$D$65+0.1)*AO191),IF(AL191=3,AR$100*EXP(-(LN(2)/$D$65+0.04)*(VLOOKUP(($F$16-$F$15)-1,AK$100:AO191,4,FALSE)))*EXP(-(LN(2)/$D$65+0.1)*(VLOOKUP(($F$16-$F$15)-1,AK$100:AO191,5,FALSE)))*EXP(-(LN(2)/$D$65+0.04)*(VLOOKUP(($F$16-$F$15)*2-1,AK$100:AO191,4,FALSE)))*EXP(-(LN(2)/$D$65+0.1)*(VLOOKUP(($F$16-$F$15)*2-1,AK$100:AO191,5,FALSE)))*EXP(-(LN(2)/$D$65+0.04)*AN191)*EXP(-(LN(2)/$D$65+0.1)*AO191),"-"))),"-")</f>
        <v>-</v>
      </c>
      <c r="AS191" s="274">
        <f t="shared" si="113"/>
        <v>0</v>
      </c>
      <c r="AT191" s="274">
        <f t="shared" si="114"/>
        <v>0</v>
      </c>
      <c r="AU191" s="274">
        <f t="shared" si="115"/>
        <v>0</v>
      </c>
      <c r="AV191" s="190">
        <f>IF($B191&lt;$F$22,SUM($T$100:$T191),"")</f>
        <v>0</v>
      </c>
      <c r="AW191" s="190" t="str">
        <f t="shared" si="116"/>
        <v>-</v>
      </c>
      <c r="AX191" s="190" t="str">
        <f t="shared" si="141"/>
        <v/>
      </c>
      <c r="AY191"/>
      <c r="AZ191" s="190" t="str">
        <f ca="1">IF(ISNUMBER(OFFSET(AV191,-$F$21,0)),SUM(OFFSET($T$100,$F$21,0):$T191),"")</f>
        <v/>
      </c>
      <c r="BA191" s="190" t="str">
        <f t="shared" ca="1" si="117"/>
        <v/>
      </c>
      <c r="BB191" s="190" t="str">
        <f t="shared" ca="1" si="148"/>
        <v/>
      </c>
      <c r="BC191" s="190"/>
      <c r="BD191" s="190" t="str">
        <f ca="1">IFERROR(IF(AND($B191&gt;=($F$16-$F$15),$B191&lt;$F$22+($F$16-$F$15)),SUM(OFFSET($T$100,($F$16-$F$15),0):$T191),""),"")</f>
        <v/>
      </c>
      <c r="BE191" s="190" t="str">
        <f t="shared" ca="1" si="142"/>
        <v/>
      </c>
      <c r="BF191" s="190" t="str">
        <f t="shared" ca="1" si="143"/>
        <v/>
      </c>
      <c r="BG191"/>
      <c r="BH191" s="190" t="str">
        <f ca="1">IF(ISNUMBER(OFFSET(BD191,-$F$21,0)),SUM(OFFSET($T$100,($F$16-$F$15+$F$21),0):$T191),"")</f>
        <v/>
      </c>
      <c r="BI191" s="190" t="str">
        <f t="shared" ca="1" si="118"/>
        <v/>
      </c>
      <c r="BJ191" s="190" t="str">
        <f t="shared" ca="1" si="144"/>
        <v/>
      </c>
      <c r="BK191" s="190"/>
      <c r="BL191" s="190" t="str">
        <f ca="1">IFERROR(IF(AND($B191&gt;=($F$17-$F$15),$B191&lt;$F$22+($F$17-$F$15)),SUM(OFFSET($T$100,($F$17-$F$15),0):$T191),""),"")</f>
        <v/>
      </c>
      <c r="BM191" s="190" t="str">
        <f t="shared" ca="1" si="119"/>
        <v/>
      </c>
      <c r="BN191" s="190" t="str">
        <f t="shared" ca="1" si="145"/>
        <v/>
      </c>
      <c r="BO191"/>
      <c r="BP191" s="190" t="str">
        <f ca="1">IF(ISNUMBER(OFFSET(BL191,-$F$21,0)),SUM(OFFSET($T$100,($F$17-$F$15+$F$21),0):$T191),"")</f>
        <v/>
      </c>
      <c r="BQ191" s="190" t="str">
        <f t="shared" ca="1" si="120"/>
        <v/>
      </c>
      <c r="BR191" s="190" t="str">
        <f t="shared" ca="1" si="146"/>
        <v/>
      </c>
      <c r="BS191" s="190"/>
      <c r="BT191"/>
      <c r="BU191"/>
      <c r="BV191"/>
      <c r="BY191" s="99"/>
      <c r="BZ191" s="99"/>
      <c r="CA191" s="280" t="str">
        <f t="shared" si="121"/>
        <v/>
      </c>
      <c r="CB191" s="71" t="str">
        <f t="shared" si="122"/>
        <v>-</v>
      </c>
      <c r="CC191" s="33"/>
      <c r="CD191" s="261" t="str">
        <f t="shared" si="123"/>
        <v/>
      </c>
      <c r="CE191" s="280" t="str">
        <f t="shared" si="124"/>
        <v>-</v>
      </c>
      <c r="CF191" s="71" t="str">
        <f t="shared" ca="1" si="125"/>
        <v>-</v>
      </c>
      <c r="CG191" s="33" t="str">
        <f t="shared" si="126"/>
        <v>91-92</v>
      </c>
      <c r="CH191" s="261" t="str">
        <f t="shared" ca="1" si="127"/>
        <v/>
      </c>
    </row>
    <row r="192" spans="2:93" ht="13.5" customHeight="1" x14ac:dyDescent="0.2">
      <c r="B192" s="262">
        <v>92</v>
      </c>
      <c r="C192" s="237" t="str">
        <f t="shared" si="91"/>
        <v/>
      </c>
      <c r="D192" s="237" t="str">
        <f t="shared" si="147"/>
        <v>-</v>
      </c>
      <c r="E192" s="263" t="str">
        <f t="shared" si="128"/>
        <v/>
      </c>
      <c r="F192" s="264" t="str">
        <f t="shared" si="129"/>
        <v/>
      </c>
      <c r="G192" s="264" t="str">
        <f t="shared" si="130"/>
        <v/>
      </c>
      <c r="H192" s="240" t="str">
        <f t="shared" si="92"/>
        <v/>
      </c>
      <c r="I192" s="265" t="str">
        <f t="shared" si="93"/>
        <v/>
      </c>
      <c r="J192" s="265" t="str">
        <f t="shared" si="94"/>
        <v/>
      </c>
      <c r="K192" s="240" t="str">
        <f t="shared" si="95"/>
        <v/>
      </c>
      <c r="L192" s="265" t="str">
        <f t="shared" si="96"/>
        <v/>
      </c>
      <c r="M192" s="265" t="str">
        <f t="shared" si="97"/>
        <v/>
      </c>
      <c r="N192" s="240" t="str">
        <f t="shared" si="98"/>
        <v>-</v>
      </c>
      <c r="O192" s="265" t="str">
        <f t="shared" si="99"/>
        <v>-</v>
      </c>
      <c r="P192" s="265" t="str">
        <f t="shared" si="100"/>
        <v>-</v>
      </c>
      <c r="Q192" s="266" t="str">
        <f t="shared" si="101"/>
        <v>-</v>
      </c>
      <c r="R192" s="267" t="str">
        <f t="shared" si="102"/>
        <v>-</v>
      </c>
      <c r="S192" s="268" t="str">
        <f t="shared" si="103"/>
        <v>-</v>
      </c>
      <c r="T192" s="269" t="str">
        <f t="shared" si="104"/>
        <v/>
      </c>
      <c r="U192" s="221">
        <f t="shared" si="105"/>
        <v>92</v>
      </c>
      <c r="V192" s="220" t="str">
        <f t="shared" si="131"/>
        <v>-</v>
      </c>
      <c r="W192" s="221" t="str">
        <f t="shared" si="132"/>
        <v>-</v>
      </c>
      <c r="X192" s="221" t="str">
        <f t="shared" si="106"/>
        <v>-</v>
      </c>
      <c r="Y192" s="221" t="str">
        <f t="shared" si="107"/>
        <v>-</v>
      </c>
      <c r="Z192" s="270">
        <f t="shared" si="133"/>
        <v>0.1</v>
      </c>
      <c r="AA192" s="271" t="str">
        <f>IFERROR(IF(V191=1,AA$100*EXP(-(LN(2)/$D$65+0.04)*X191)*EXP(-(LN(2)/$D$65+0.1)*Y191),IF(V191=2,AA$100*EXP(-(LN(2)/$D$65+0.04)*(VLOOKUP(($F$16-$F$15)-1,U$99:Y191,4,FALSE)))*EXP(-(LN(2)/$D$65+0.1)*(VLOOKUP(($F$16-$F$15)-1,U$99:Y191,5,FALSE)))*EXP(-(LN(2)/$D$65+0.04)*X191)*EXP(-(LN(2)/$D$65+0.1)*Y191),IF(V191=3,AA$100*EXP(-(LN(2)/$D$65+0.04)*(VLOOKUP(($F$16-$F$15)-1,U$99:Y191,4,FALSE)))*EXP(-(LN(2)/$D$65+0.1)*(VLOOKUP(($F$16-$F$15)-1,U$99:Y191,5,FALSE)))*EXP(-(LN(2)/$D$65+0.04)*(VLOOKUP(($F$16-$F$15)*2-1,U$99:Y191,4,FALSE)))*EXP(-(LN(2)/$D$65+0.1)*(VLOOKUP(($F$16-$F$15)*2-1,U$99:Y191,5,FALSE)))*EXP(-(LN(2)/$D$65+0.04)*X191)*EXP(-(LN(2)/$D$65+0.1)*Y191),"-"))),"-")</f>
        <v>-</v>
      </c>
      <c r="AB192" s="271" t="str">
        <f>IFERROR(IF(V192=1,AB$100*EXP(-(LN(2)/$D$65+0.04)*X192)*EXP(-(LN(2)/$D$65+0.1)*Y192),IF(V192=2,AB$100*EXP(-(LN(2)/$D$65+0.04)*(VLOOKUP(($F$16-$F$15)-1,U$100:Y192,4,FALSE)))*EXP(-(LN(2)/$D$65+0.1)*(VLOOKUP(($F$16-$F$15)-1,U$100:Y192,5,FALSE)))*EXP(-(LN(2)/$D$65+0.04)*X192)*EXP(-(LN(2)/$D$65+0.1)*Y192),IF(V192=3,AB$100*EXP(-(LN(2)/$D$65+0.04)*(VLOOKUP(($F$16-$F$15)-1,U$100:Y192,4,FALSE)))*EXP(-(LN(2)/$D$65+0.1)*(VLOOKUP(($F$16-$F$15)-1,U$100:Y192,5,FALSE)))*EXP(-(LN(2)/$D$65+0.04)*(VLOOKUP(($F$16-$F$15)*2-1,U$100:Y192,4,FALSE)))*EXP(-(LN(2)/$D$65+0.1)*(VLOOKUP(($F$16-$F$15)*2-1,U$100:Y192,5,FALSE)))*EXP(-(LN(2)/$D$65+0.04)*X192)*EXP(-(LN(2)/$D$65+0.1)*Y192),"-"))),"-")</f>
        <v>-</v>
      </c>
      <c r="AC192" s="224">
        <f t="shared" si="134"/>
        <v>92</v>
      </c>
      <c r="AD192" s="223" t="str">
        <f t="shared" si="108"/>
        <v>-</v>
      </c>
      <c r="AE192" s="224" t="str">
        <f t="shared" si="135"/>
        <v>-</v>
      </c>
      <c r="AF192" s="224" t="str">
        <f t="shared" si="109"/>
        <v>-</v>
      </c>
      <c r="AG192" s="224" t="str">
        <f t="shared" si="110"/>
        <v>-</v>
      </c>
      <c r="AH192" s="272">
        <f t="shared" si="136"/>
        <v>0.1</v>
      </c>
      <c r="AI192" s="271" t="str">
        <f>IFERROR(IF(AD191=1,AI$100*EXP(-(LN(2)/$D$65+0.04)*AF191)*EXP(-(LN(2)/$D$65+0.1)*AG191),IF(AD191=2,AI$100*EXP(-(LN(2)/$D$65+0.04)*(VLOOKUP(($F$16-$F$15)-1,AC$99:AG191,4,FALSE)))*EXP(-(LN(2)/$D$65+0.1)*(VLOOKUP(($F$16-$F$15)-1,AC$99:AG191,5,FALSE)))*EXP(-(LN(2)/$D$65+0.04)*AF191)*EXP(-(LN(2)/$D$65+0.1)*AG191),IF(AD191=3,AI$100*EXP(-(LN(2)/$D$65+0.04)*(VLOOKUP(($F$16-$F$15)-1,AC$99:AG191,4,FALSE)))*EXP(-(LN(2)/$D$65+0.1)*(VLOOKUP(($F$16-$F$15)-1,AC$99:AG191,5,FALSE)))*EXP(-(LN(2)/$D$65+0.04)*(VLOOKUP(($F$16-$F$15)*2-1,AC$99:AG191,4,FALSE)))*EXP(-(LN(2)/$D$65+0.1)*(VLOOKUP(($F$16-$F$15)*2-1,AC$99:AG191,5,FALSE)))*EXP(-(LN(2)/$D$65+0.04)*AF191)*EXP(-(LN(2)/$D$65+0.1)*AG191),"-"))),"-")</f>
        <v>-</v>
      </c>
      <c r="AJ192" s="271" t="str">
        <f>IFERROR(IF(AD192=1,AJ$100*EXP(-(LN(2)/$D$65+0.04)*AF192)*EXP(-(LN(2)/$D$65+0.1)*AG192),IF(AD192=2,AJ$100*EXP(-(LN(2)/$D$65+0.04)*(VLOOKUP(($F$16-$F$15)-1,AC$100:AG192,4,FALSE)))*EXP(-(LN(2)/$D$65+0.1)*(VLOOKUP(($F$16-$F$15)-1,AC$100:AG192,5,FALSE)))*EXP(-(LN(2)/$D$65+0.04)*AF192)*EXP(-(LN(2)/$D$65+0.1)*AG192),IF(AD192=3,AJ$100*EXP(-(LN(2)/$D$65+0.04)*(VLOOKUP(($F$16-$F$15)-1,AC$100:AG192,4,FALSE)))*EXP(-(LN(2)/$D$65+0.1)*(VLOOKUP(($F$16-$F$15)-1,AC$100:AG192,5,FALSE)))*EXP(-(LN(2)/$D$65+0.04)*(VLOOKUP(($F$16-$F$15)*2-1,AC$100:AG192,4,FALSE)))*EXP(-(LN(2)/$D$65+0.1)*(VLOOKUP(($F$16-$F$15)*2-1,AC$100:AG192,5,FALSE)))*EXP(-(LN(2)/$D$65+0.04)*AF192)*EXP(-(LN(2)/$D$65+0.1)*AG192),"-"))),"-")</f>
        <v>-</v>
      </c>
      <c r="AK192" s="227">
        <f t="shared" si="137"/>
        <v>92</v>
      </c>
      <c r="AL192" s="226" t="str">
        <f t="shared" si="111"/>
        <v>-</v>
      </c>
      <c r="AM192" s="227" t="str">
        <f t="shared" si="138"/>
        <v>-</v>
      </c>
      <c r="AN192" s="227" t="str">
        <f t="shared" si="139"/>
        <v>-</v>
      </c>
      <c r="AO192" s="227" t="str">
        <f t="shared" si="112"/>
        <v>-</v>
      </c>
      <c r="AP192" s="273">
        <f t="shared" si="140"/>
        <v>0.1</v>
      </c>
      <c r="AQ192" s="271" t="str">
        <f>IFERROR(IF(AL191=1,AQ$100*EXP(-(LN(2)/$D$65+0.04)*AN191)*EXP(-(LN(2)/$D$65+0.1)*AO191),IF(AL191=2,AQ$100*EXP(-(LN(2)/$D$65+0.04)*(VLOOKUP(($F$16-$F$15)-1,AK$99:AO191,4,FALSE)))*EXP(-(LN(2)/$D$65+0.1)*(VLOOKUP(($F$16-$F$15)-1,AK$99:AO191,5,FALSE)))*EXP(-(LN(2)/$D$65+0.04)*AN191)*EXP(-(LN(2)/$D$65+0.1)*AO191),IF(AL191=3,AQ$100*EXP(-(LN(2)/$D$65+0.04)*(VLOOKUP(($F$16-$F$15)-1,AK$99:AO191,4,FALSE)))*EXP(-(LN(2)/$D$65+0.1)*(VLOOKUP(($F$16-$F$15)-1,AK$99:AO191,5,FALSE)))*EXP(-(LN(2)/$D$65+0.04)*(VLOOKUP(($F$16-$F$15)*2-1,AK$99:AO191,4,FALSE)))*EXP(-(LN(2)/$D$65+0.1)*(VLOOKUP(($F$16-$F$15)*2-1,AK$99:AO191,5,FALSE)))*EXP(-(LN(2)/$D$65+0.04)*AN191)*EXP(-(LN(2)/$D$65+0.1)*AO191),"-"))),"-")</f>
        <v>-</v>
      </c>
      <c r="AR192" s="271" t="str">
        <f>IFERROR(IF(AL192=1,AR$100*EXP(-(LN(2)/$D$65+0.04)*AN192)*EXP(-(LN(2)/$D$65+0.1)*AO192),IF(AL192=2,AR$100*EXP(-(LN(2)/$D$65+0.04)*(VLOOKUP(($F$16-$F$15)-1,AK$100:AO192,4,FALSE)))*EXP(-(LN(2)/$D$65+0.1)*(VLOOKUP(($F$16-$F$15)-1,AK$100:AO192,5,FALSE)))*EXP(-(LN(2)/$D$65+0.04)*AN192)*EXP(-(LN(2)/$D$65+0.1)*AO192),IF(AL192=3,AR$100*EXP(-(LN(2)/$D$65+0.04)*(VLOOKUP(($F$16-$F$15)-1,AK$100:AO192,4,FALSE)))*EXP(-(LN(2)/$D$65+0.1)*(VLOOKUP(($F$16-$F$15)-1,AK$100:AO192,5,FALSE)))*EXP(-(LN(2)/$D$65+0.04)*(VLOOKUP(($F$16-$F$15)*2-1,AK$100:AO192,4,FALSE)))*EXP(-(LN(2)/$D$65+0.1)*(VLOOKUP(($F$16-$F$15)*2-1,AK$100:AO192,5,FALSE)))*EXP(-(LN(2)/$D$65+0.04)*AN192)*EXP(-(LN(2)/$D$65+0.1)*AO192),"-"))),"-")</f>
        <v>-</v>
      </c>
      <c r="AS192" s="274">
        <f t="shared" si="113"/>
        <v>0</v>
      </c>
      <c r="AT192" s="274">
        <f t="shared" si="114"/>
        <v>0</v>
      </c>
      <c r="AU192" s="274">
        <f t="shared" si="115"/>
        <v>0</v>
      </c>
      <c r="AV192" s="190">
        <f>IF($B192&lt;$F$22,SUM($T$100:$T192),"")</f>
        <v>0</v>
      </c>
      <c r="AW192" s="190" t="str">
        <f t="shared" si="116"/>
        <v>-</v>
      </c>
      <c r="AX192" s="190" t="str">
        <f t="shared" si="141"/>
        <v/>
      </c>
      <c r="AY192"/>
      <c r="AZ192" s="190" t="str">
        <f ca="1">IF(ISNUMBER(OFFSET(AV192,-$F$21,0)),SUM(OFFSET($T$100,$F$21,0):$T192),"")</f>
        <v/>
      </c>
      <c r="BA192" s="190" t="str">
        <f t="shared" ca="1" si="117"/>
        <v/>
      </c>
      <c r="BB192" s="190" t="str">
        <f t="shared" ca="1" si="148"/>
        <v/>
      </c>
      <c r="BC192" s="190"/>
      <c r="BD192" s="190" t="str">
        <f ca="1">IFERROR(IF(AND($B192&gt;=($F$16-$F$15),$B192&lt;$F$22+($F$16-$F$15)),SUM(OFFSET($T$100,($F$16-$F$15),0):$T192),""),"")</f>
        <v/>
      </c>
      <c r="BE192" s="190" t="str">
        <f t="shared" ca="1" si="142"/>
        <v/>
      </c>
      <c r="BF192" s="190" t="str">
        <f t="shared" ca="1" si="143"/>
        <v/>
      </c>
      <c r="BG192"/>
      <c r="BH192" s="190" t="str">
        <f ca="1">IF(ISNUMBER(OFFSET(BD192,-$F$21,0)),SUM(OFFSET($T$100,($F$16-$F$15+$F$21),0):$T192),"")</f>
        <v/>
      </c>
      <c r="BI192" s="190" t="str">
        <f t="shared" ca="1" si="118"/>
        <v/>
      </c>
      <c r="BJ192" s="190" t="str">
        <f t="shared" ca="1" si="144"/>
        <v/>
      </c>
      <c r="BK192" s="190"/>
      <c r="BL192" s="190" t="str">
        <f ca="1">IFERROR(IF(AND($B192&gt;=($F$17-$F$15),$B192&lt;$F$22+($F$17-$F$15)),SUM(OFFSET($T$100,($F$17-$F$15),0):$T192),""),"")</f>
        <v/>
      </c>
      <c r="BM192" s="190" t="str">
        <f t="shared" ca="1" si="119"/>
        <v/>
      </c>
      <c r="BN192" s="190" t="str">
        <f t="shared" ca="1" si="145"/>
        <v/>
      </c>
      <c r="BO192"/>
      <c r="BP192" s="190" t="str">
        <f ca="1">IF(ISNUMBER(OFFSET(BL192,-$F$21,0)),SUM(OFFSET($T$100,($F$17-$F$15+$F$21),0):$T192),"")</f>
        <v/>
      </c>
      <c r="BQ192" s="190" t="str">
        <f t="shared" ca="1" si="120"/>
        <v/>
      </c>
      <c r="BR192" s="190" t="str">
        <f t="shared" ca="1" si="146"/>
        <v/>
      </c>
      <c r="BS192" s="190"/>
      <c r="BT192"/>
      <c r="BU192"/>
      <c r="BV192"/>
      <c r="BY192" s="99"/>
      <c r="BZ192" s="99"/>
      <c r="CA192" s="280" t="str">
        <f t="shared" si="121"/>
        <v/>
      </c>
      <c r="CB192" s="71" t="str">
        <f t="shared" si="122"/>
        <v>-</v>
      </c>
      <c r="CC192" s="33"/>
      <c r="CD192" s="261" t="str">
        <f t="shared" si="123"/>
        <v/>
      </c>
      <c r="CE192" s="280" t="str">
        <f t="shared" si="124"/>
        <v>-</v>
      </c>
      <c r="CF192" s="71" t="str">
        <f t="shared" ca="1" si="125"/>
        <v>-</v>
      </c>
      <c r="CG192" s="33" t="str">
        <f t="shared" si="126"/>
        <v>92-93</v>
      </c>
      <c r="CH192" s="261" t="str">
        <f t="shared" ca="1" si="127"/>
        <v/>
      </c>
    </row>
    <row r="193" spans="2:86" ht="13.5" customHeight="1" x14ac:dyDescent="0.2">
      <c r="B193" s="262">
        <v>93</v>
      </c>
      <c r="C193" s="237" t="str">
        <f t="shared" si="91"/>
        <v/>
      </c>
      <c r="D193" s="237" t="str">
        <f t="shared" si="147"/>
        <v>-</v>
      </c>
      <c r="E193" s="263" t="str">
        <f t="shared" si="128"/>
        <v/>
      </c>
      <c r="F193" s="264" t="str">
        <f t="shared" si="129"/>
        <v/>
      </c>
      <c r="G193" s="264" t="str">
        <f t="shared" si="130"/>
        <v/>
      </c>
      <c r="H193" s="240" t="str">
        <f t="shared" si="92"/>
        <v/>
      </c>
      <c r="I193" s="265" t="str">
        <f t="shared" si="93"/>
        <v/>
      </c>
      <c r="J193" s="265" t="str">
        <f t="shared" si="94"/>
        <v/>
      </c>
      <c r="K193" s="240" t="str">
        <f t="shared" si="95"/>
        <v/>
      </c>
      <c r="L193" s="265" t="str">
        <f t="shared" si="96"/>
        <v/>
      </c>
      <c r="M193" s="265" t="str">
        <f t="shared" si="97"/>
        <v/>
      </c>
      <c r="N193" s="240" t="str">
        <f t="shared" si="98"/>
        <v>-</v>
      </c>
      <c r="O193" s="265" t="str">
        <f t="shared" si="99"/>
        <v>-</v>
      </c>
      <c r="P193" s="265" t="str">
        <f t="shared" si="100"/>
        <v>-</v>
      </c>
      <c r="Q193" s="266" t="str">
        <f t="shared" si="101"/>
        <v>-</v>
      </c>
      <c r="R193" s="267" t="str">
        <f t="shared" si="102"/>
        <v>-</v>
      </c>
      <c r="S193" s="268" t="str">
        <f t="shared" si="103"/>
        <v>-</v>
      </c>
      <c r="T193" s="269" t="str">
        <f t="shared" si="104"/>
        <v/>
      </c>
      <c r="U193" s="221">
        <f t="shared" si="105"/>
        <v>93</v>
      </c>
      <c r="V193" s="220" t="str">
        <f t="shared" si="131"/>
        <v>-</v>
      </c>
      <c r="W193" s="221" t="str">
        <f t="shared" si="132"/>
        <v>-</v>
      </c>
      <c r="X193" s="221" t="str">
        <f t="shared" si="106"/>
        <v>-</v>
      </c>
      <c r="Y193" s="221" t="str">
        <f t="shared" si="107"/>
        <v>-</v>
      </c>
      <c r="Z193" s="270">
        <f t="shared" si="133"/>
        <v>0.1</v>
      </c>
      <c r="AA193" s="271" t="str">
        <f>IFERROR(IF(V192=1,AA$100*EXP(-(LN(2)/$D$65+0.04)*X192)*EXP(-(LN(2)/$D$65+0.1)*Y192),IF(V192=2,AA$100*EXP(-(LN(2)/$D$65+0.04)*(VLOOKUP(($F$16-$F$15)-1,U$99:Y192,4,FALSE)))*EXP(-(LN(2)/$D$65+0.1)*(VLOOKUP(($F$16-$F$15)-1,U$99:Y192,5,FALSE)))*EXP(-(LN(2)/$D$65+0.04)*X192)*EXP(-(LN(2)/$D$65+0.1)*Y192),IF(V192=3,AA$100*EXP(-(LN(2)/$D$65+0.04)*(VLOOKUP(($F$16-$F$15)-1,U$99:Y192,4,FALSE)))*EXP(-(LN(2)/$D$65+0.1)*(VLOOKUP(($F$16-$F$15)-1,U$99:Y192,5,FALSE)))*EXP(-(LN(2)/$D$65+0.04)*(VLOOKUP(($F$16-$F$15)*2-1,U$99:Y192,4,FALSE)))*EXP(-(LN(2)/$D$65+0.1)*(VLOOKUP(($F$16-$F$15)*2-1,U$99:Y192,5,FALSE)))*EXP(-(LN(2)/$D$65+0.04)*X192)*EXP(-(LN(2)/$D$65+0.1)*Y192),"-"))),"-")</f>
        <v>-</v>
      </c>
      <c r="AB193" s="271" t="str">
        <f>IFERROR(IF(V193=1,AB$100*EXP(-(LN(2)/$D$65+0.04)*X193)*EXP(-(LN(2)/$D$65+0.1)*Y193),IF(V193=2,AB$100*EXP(-(LN(2)/$D$65+0.04)*(VLOOKUP(($F$16-$F$15)-1,U$100:Y193,4,FALSE)))*EXP(-(LN(2)/$D$65+0.1)*(VLOOKUP(($F$16-$F$15)-1,U$100:Y193,5,FALSE)))*EXP(-(LN(2)/$D$65+0.04)*X193)*EXP(-(LN(2)/$D$65+0.1)*Y193),IF(V193=3,AB$100*EXP(-(LN(2)/$D$65+0.04)*(VLOOKUP(($F$16-$F$15)-1,U$100:Y193,4,FALSE)))*EXP(-(LN(2)/$D$65+0.1)*(VLOOKUP(($F$16-$F$15)-1,U$100:Y193,5,FALSE)))*EXP(-(LN(2)/$D$65+0.04)*(VLOOKUP(($F$16-$F$15)*2-1,U$100:Y193,4,FALSE)))*EXP(-(LN(2)/$D$65+0.1)*(VLOOKUP(($F$16-$F$15)*2-1,U$100:Y193,5,FALSE)))*EXP(-(LN(2)/$D$65+0.04)*X193)*EXP(-(LN(2)/$D$65+0.1)*Y193),"-"))),"-")</f>
        <v>-</v>
      </c>
      <c r="AC193" s="224">
        <f t="shared" si="134"/>
        <v>93</v>
      </c>
      <c r="AD193" s="223" t="str">
        <f t="shared" si="108"/>
        <v>-</v>
      </c>
      <c r="AE193" s="224" t="str">
        <f t="shared" si="135"/>
        <v>-</v>
      </c>
      <c r="AF193" s="224" t="str">
        <f t="shared" si="109"/>
        <v>-</v>
      </c>
      <c r="AG193" s="224" t="str">
        <f t="shared" si="110"/>
        <v>-</v>
      </c>
      <c r="AH193" s="272">
        <f t="shared" si="136"/>
        <v>0.1</v>
      </c>
      <c r="AI193" s="271" t="str">
        <f>IFERROR(IF(AD192=1,AI$100*EXP(-(LN(2)/$D$65+0.04)*AF192)*EXP(-(LN(2)/$D$65+0.1)*AG192),IF(AD192=2,AI$100*EXP(-(LN(2)/$D$65+0.04)*(VLOOKUP(($F$16-$F$15)-1,AC$99:AG192,4,FALSE)))*EXP(-(LN(2)/$D$65+0.1)*(VLOOKUP(($F$16-$F$15)-1,AC$99:AG192,5,FALSE)))*EXP(-(LN(2)/$D$65+0.04)*AF192)*EXP(-(LN(2)/$D$65+0.1)*AG192),IF(AD192=3,AI$100*EXP(-(LN(2)/$D$65+0.04)*(VLOOKUP(($F$16-$F$15)-1,AC$99:AG192,4,FALSE)))*EXP(-(LN(2)/$D$65+0.1)*(VLOOKUP(($F$16-$F$15)-1,AC$99:AG192,5,FALSE)))*EXP(-(LN(2)/$D$65+0.04)*(VLOOKUP(($F$16-$F$15)*2-1,AC$99:AG192,4,FALSE)))*EXP(-(LN(2)/$D$65+0.1)*(VLOOKUP(($F$16-$F$15)*2-1,AC$99:AG192,5,FALSE)))*EXP(-(LN(2)/$D$65+0.04)*AF192)*EXP(-(LN(2)/$D$65+0.1)*AG192),"-"))),"-")</f>
        <v>-</v>
      </c>
      <c r="AJ193" s="271" t="str">
        <f>IFERROR(IF(AD193=1,AJ$100*EXP(-(LN(2)/$D$65+0.04)*AF193)*EXP(-(LN(2)/$D$65+0.1)*AG193),IF(AD193=2,AJ$100*EXP(-(LN(2)/$D$65+0.04)*(VLOOKUP(($F$16-$F$15)-1,AC$100:AG193,4,FALSE)))*EXP(-(LN(2)/$D$65+0.1)*(VLOOKUP(($F$16-$F$15)-1,AC$100:AG193,5,FALSE)))*EXP(-(LN(2)/$D$65+0.04)*AF193)*EXP(-(LN(2)/$D$65+0.1)*AG193),IF(AD193=3,AJ$100*EXP(-(LN(2)/$D$65+0.04)*(VLOOKUP(($F$16-$F$15)-1,AC$100:AG193,4,FALSE)))*EXP(-(LN(2)/$D$65+0.1)*(VLOOKUP(($F$16-$F$15)-1,AC$100:AG193,5,FALSE)))*EXP(-(LN(2)/$D$65+0.04)*(VLOOKUP(($F$16-$F$15)*2-1,AC$100:AG193,4,FALSE)))*EXP(-(LN(2)/$D$65+0.1)*(VLOOKUP(($F$16-$F$15)*2-1,AC$100:AG193,5,FALSE)))*EXP(-(LN(2)/$D$65+0.04)*AF193)*EXP(-(LN(2)/$D$65+0.1)*AG193),"-"))),"-")</f>
        <v>-</v>
      </c>
      <c r="AK193" s="227">
        <f t="shared" si="137"/>
        <v>93</v>
      </c>
      <c r="AL193" s="226" t="str">
        <f t="shared" si="111"/>
        <v>-</v>
      </c>
      <c r="AM193" s="227" t="str">
        <f t="shared" si="138"/>
        <v>-</v>
      </c>
      <c r="AN193" s="227" t="str">
        <f t="shared" si="139"/>
        <v>-</v>
      </c>
      <c r="AO193" s="227" t="str">
        <f t="shared" si="112"/>
        <v>-</v>
      </c>
      <c r="AP193" s="273">
        <f t="shared" si="140"/>
        <v>0.1</v>
      </c>
      <c r="AQ193" s="271" t="str">
        <f>IFERROR(IF(AL192=1,AQ$100*EXP(-(LN(2)/$D$65+0.04)*AN192)*EXP(-(LN(2)/$D$65+0.1)*AO192),IF(AL192=2,AQ$100*EXP(-(LN(2)/$D$65+0.04)*(VLOOKUP(($F$16-$F$15)-1,AK$99:AO192,4,FALSE)))*EXP(-(LN(2)/$D$65+0.1)*(VLOOKUP(($F$16-$F$15)-1,AK$99:AO192,5,FALSE)))*EXP(-(LN(2)/$D$65+0.04)*AN192)*EXP(-(LN(2)/$D$65+0.1)*AO192),IF(AL192=3,AQ$100*EXP(-(LN(2)/$D$65+0.04)*(VLOOKUP(($F$16-$F$15)-1,AK$99:AO192,4,FALSE)))*EXP(-(LN(2)/$D$65+0.1)*(VLOOKUP(($F$16-$F$15)-1,AK$99:AO192,5,FALSE)))*EXP(-(LN(2)/$D$65+0.04)*(VLOOKUP(($F$16-$F$15)*2-1,AK$99:AO192,4,FALSE)))*EXP(-(LN(2)/$D$65+0.1)*(VLOOKUP(($F$16-$F$15)*2-1,AK$99:AO192,5,FALSE)))*EXP(-(LN(2)/$D$65+0.04)*AN192)*EXP(-(LN(2)/$D$65+0.1)*AO192),"-"))),"-")</f>
        <v>-</v>
      </c>
      <c r="AR193" s="271" t="str">
        <f>IFERROR(IF(AL193=1,AR$100*EXP(-(LN(2)/$D$65+0.04)*AN193)*EXP(-(LN(2)/$D$65+0.1)*AO193),IF(AL193=2,AR$100*EXP(-(LN(2)/$D$65+0.04)*(VLOOKUP(($F$16-$F$15)-1,AK$100:AO193,4,FALSE)))*EXP(-(LN(2)/$D$65+0.1)*(VLOOKUP(($F$16-$F$15)-1,AK$100:AO193,5,FALSE)))*EXP(-(LN(2)/$D$65+0.04)*AN193)*EXP(-(LN(2)/$D$65+0.1)*AO193),IF(AL193=3,AR$100*EXP(-(LN(2)/$D$65+0.04)*(VLOOKUP(($F$16-$F$15)-1,AK$100:AO193,4,FALSE)))*EXP(-(LN(2)/$D$65+0.1)*(VLOOKUP(($F$16-$F$15)-1,AK$100:AO193,5,FALSE)))*EXP(-(LN(2)/$D$65+0.04)*(VLOOKUP(($F$16-$F$15)*2-1,AK$100:AO193,4,FALSE)))*EXP(-(LN(2)/$D$65+0.1)*(VLOOKUP(($F$16-$F$15)*2-1,AK$100:AO193,5,FALSE)))*EXP(-(LN(2)/$D$65+0.04)*AN193)*EXP(-(LN(2)/$D$65+0.1)*AO193),"-"))),"-")</f>
        <v>-</v>
      </c>
      <c r="AS193" s="274">
        <f t="shared" si="113"/>
        <v>0</v>
      </c>
      <c r="AT193" s="274">
        <f t="shared" si="114"/>
        <v>0</v>
      </c>
      <c r="AU193" s="274">
        <f t="shared" si="115"/>
        <v>0</v>
      </c>
      <c r="AV193" s="190">
        <f>IF($B193&lt;$F$22,SUM($T$100:$T193),"")</f>
        <v>0</v>
      </c>
      <c r="AW193" s="190" t="str">
        <f t="shared" si="116"/>
        <v>-</v>
      </c>
      <c r="AX193" s="190" t="str">
        <f t="shared" si="141"/>
        <v/>
      </c>
      <c r="AY193"/>
      <c r="AZ193" s="190" t="str">
        <f ca="1">IF(ISNUMBER(OFFSET(AV193,-$F$21,0)),SUM(OFFSET($T$100,$F$21,0):$T193),"")</f>
        <v/>
      </c>
      <c r="BA193" s="190" t="str">
        <f t="shared" ca="1" si="117"/>
        <v/>
      </c>
      <c r="BB193" s="190" t="str">
        <f t="shared" ca="1" si="148"/>
        <v/>
      </c>
      <c r="BC193" s="190"/>
      <c r="BD193" s="190" t="str">
        <f ca="1">IFERROR(IF(AND($B193&gt;=($F$16-$F$15),$B193&lt;$F$22+($F$16-$F$15)),SUM(OFFSET($T$100,($F$16-$F$15),0):$T193),""),"")</f>
        <v/>
      </c>
      <c r="BE193" s="190" t="str">
        <f t="shared" ca="1" si="142"/>
        <v/>
      </c>
      <c r="BF193" s="190" t="str">
        <f t="shared" ca="1" si="143"/>
        <v/>
      </c>
      <c r="BG193"/>
      <c r="BH193" s="190" t="str">
        <f ca="1">IF(ISNUMBER(OFFSET(BD193,-$F$21,0)),SUM(OFFSET($T$100,($F$16-$F$15+$F$21),0):$T193),"")</f>
        <v/>
      </c>
      <c r="BI193" s="190" t="str">
        <f t="shared" ca="1" si="118"/>
        <v/>
      </c>
      <c r="BJ193" s="190" t="str">
        <f t="shared" ca="1" si="144"/>
        <v/>
      </c>
      <c r="BK193" s="190"/>
      <c r="BL193" s="190" t="str">
        <f ca="1">IFERROR(IF(AND($B193&gt;=($F$17-$F$15),$B193&lt;$F$22+($F$17-$F$15)),SUM(OFFSET($T$100,($F$17-$F$15),0):$T193),""),"")</f>
        <v/>
      </c>
      <c r="BM193" s="190" t="str">
        <f t="shared" ca="1" si="119"/>
        <v/>
      </c>
      <c r="BN193" s="190" t="str">
        <f t="shared" ca="1" si="145"/>
        <v/>
      </c>
      <c r="BO193"/>
      <c r="BP193" s="190" t="str">
        <f ca="1">IF(ISNUMBER(OFFSET(BL193,-$F$21,0)),SUM(OFFSET($T$100,($F$17-$F$15+$F$21),0):$T193),"")</f>
        <v/>
      </c>
      <c r="BQ193" s="190" t="str">
        <f t="shared" ca="1" si="120"/>
        <v/>
      </c>
      <c r="BR193" s="190" t="str">
        <f t="shared" ca="1" si="146"/>
        <v/>
      </c>
      <c r="BS193" s="190"/>
      <c r="BT193"/>
      <c r="BU193"/>
      <c r="BV193"/>
      <c r="BY193" s="99"/>
      <c r="BZ193" s="99"/>
      <c r="CA193" s="280" t="str">
        <f t="shared" si="121"/>
        <v/>
      </c>
      <c r="CB193" s="71" t="str">
        <f t="shared" si="122"/>
        <v>-</v>
      </c>
      <c r="CC193" s="33"/>
      <c r="CD193" s="261" t="str">
        <f t="shared" si="123"/>
        <v/>
      </c>
      <c r="CE193" s="280" t="str">
        <f t="shared" si="124"/>
        <v>-</v>
      </c>
      <c r="CF193" s="71" t="str">
        <f t="shared" ca="1" si="125"/>
        <v>-</v>
      </c>
      <c r="CG193" s="33" t="str">
        <f t="shared" si="126"/>
        <v>93-94</v>
      </c>
      <c r="CH193" s="261" t="str">
        <f t="shared" ca="1" si="127"/>
        <v/>
      </c>
    </row>
    <row r="194" spans="2:86" ht="13.5" customHeight="1" x14ac:dyDescent="0.2">
      <c r="B194" s="262">
        <v>94</v>
      </c>
      <c r="C194" s="237" t="str">
        <f t="shared" si="91"/>
        <v/>
      </c>
      <c r="D194" s="237" t="str">
        <f t="shared" si="147"/>
        <v>-</v>
      </c>
      <c r="E194" s="263" t="str">
        <f t="shared" si="128"/>
        <v/>
      </c>
      <c r="F194" s="264" t="str">
        <f t="shared" si="129"/>
        <v/>
      </c>
      <c r="G194" s="264" t="str">
        <f t="shared" si="130"/>
        <v/>
      </c>
      <c r="H194" s="240" t="str">
        <f t="shared" si="92"/>
        <v/>
      </c>
      <c r="I194" s="265" t="str">
        <f t="shared" si="93"/>
        <v/>
      </c>
      <c r="J194" s="265" t="str">
        <f t="shared" si="94"/>
        <v/>
      </c>
      <c r="K194" s="240" t="str">
        <f t="shared" si="95"/>
        <v/>
      </c>
      <c r="L194" s="265" t="str">
        <f t="shared" si="96"/>
        <v/>
      </c>
      <c r="M194" s="265" t="str">
        <f t="shared" si="97"/>
        <v/>
      </c>
      <c r="N194" s="240" t="str">
        <f t="shared" si="98"/>
        <v>-</v>
      </c>
      <c r="O194" s="265" t="str">
        <f t="shared" si="99"/>
        <v>-</v>
      </c>
      <c r="P194" s="265" t="str">
        <f t="shared" si="100"/>
        <v>-</v>
      </c>
      <c r="Q194" s="266" t="str">
        <f t="shared" si="101"/>
        <v>-</v>
      </c>
      <c r="R194" s="267" t="str">
        <f t="shared" si="102"/>
        <v>-</v>
      </c>
      <c r="S194" s="268" t="str">
        <f t="shared" si="103"/>
        <v>-</v>
      </c>
      <c r="T194" s="269" t="str">
        <f t="shared" si="104"/>
        <v/>
      </c>
      <c r="U194" s="221">
        <f t="shared" si="105"/>
        <v>94</v>
      </c>
      <c r="V194" s="220" t="str">
        <f t="shared" si="131"/>
        <v>-</v>
      </c>
      <c r="W194" s="221" t="str">
        <f t="shared" si="132"/>
        <v>-</v>
      </c>
      <c r="X194" s="221" t="str">
        <f t="shared" si="106"/>
        <v>-</v>
      </c>
      <c r="Y194" s="221" t="str">
        <f t="shared" si="107"/>
        <v>-</v>
      </c>
      <c r="Z194" s="270">
        <f t="shared" si="133"/>
        <v>0.1</v>
      </c>
      <c r="AA194" s="271" t="str">
        <f>IFERROR(IF(V193=1,AA$100*EXP(-(LN(2)/$D$65+0.04)*X193)*EXP(-(LN(2)/$D$65+0.1)*Y193),IF(V193=2,AA$100*EXP(-(LN(2)/$D$65+0.04)*(VLOOKUP(($F$16-$F$15)-1,U$99:Y193,4,FALSE)))*EXP(-(LN(2)/$D$65+0.1)*(VLOOKUP(($F$16-$F$15)-1,U$99:Y193,5,FALSE)))*EXP(-(LN(2)/$D$65+0.04)*X193)*EXP(-(LN(2)/$D$65+0.1)*Y193),IF(V193=3,AA$100*EXP(-(LN(2)/$D$65+0.04)*(VLOOKUP(($F$16-$F$15)-1,U$99:Y193,4,FALSE)))*EXP(-(LN(2)/$D$65+0.1)*(VLOOKUP(($F$16-$F$15)-1,U$99:Y193,5,FALSE)))*EXP(-(LN(2)/$D$65+0.04)*(VLOOKUP(($F$16-$F$15)*2-1,U$99:Y193,4,FALSE)))*EXP(-(LN(2)/$D$65+0.1)*(VLOOKUP(($F$16-$F$15)*2-1,U$99:Y193,5,FALSE)))*EXP(-(LN(2)/$D$65+0.04)*X193)*EXP(-(LN(2)/$D$65+0.1)*Y193),"-"))),"-")</f>
        <v>-</v>
      </c>
      <c r="AB194" s="271" t="str">
        <f>IFERROR(IF(V194=1,AB$100*EXP(-(LN(2)/$D$65+0.04)*X194)*EXP(-(LN(2)/$D$65+0.1)*Y194),IF(V194=2,AB$100*EXP(-(LN(2)/$D$65+0.04)*(VLOOKUP(($F$16-$F$15)-1,U$100:Y194,4,FALSE)))*EXP(-(LN(2)/$D$65+0.1)*(VLOOKUP(($F$16-$F$15)-1,U$100:Y194,5,FALSE)))*EXP(-(LN(2)/$D$65+0.04)*X194)*EXP(-(LN(2)/$D$65+0.1)*Y194),IF(V194=3,AB$100*EXP(-(LN(2)/$D$65+0.04)*(VLOOKUP(($F$16-$F$15)-1,U$100:Y194,4,FALSE)))*EXP(-(LN(2)/$D$65+0.1)*(VLOOKUP(($F$16-$F$15)-1,U$100:Y194,5,FALSE)))*EXP(-(LN(2)/$D$65+0.04)*(VLOOKUP(($F$16-$F$15)*2-1,U$100:Y194,4,FALSE)))*EXP(-(LN(2)/$D$65+0.1)*(VLOOKUP(($F$16-$F$15)*2-1,U$100:Y194,5,FALSE)))*EXP(-(LN(2)/$D$65+0.04)*X194)*EXP(-(LN(2)/$D$65+0.1)*Y194),"-"))),"-")</f>
        <v>-</v>
      </c>
      <c r="AC194" s="224">
        <f t="shared" si="134"/>
        <v>94</v>
      </c>
      <c r="AD194" s="223" t="str">
        <f t="shared" si="108"/>
        <v>-</v>
      </c>
      <c r="AE194" s="224" t="str">
        <f t="shared" si="135"/>
        <v>-</v>
      </c>
      <c r="AF194" s="224" t="str">
        <f t="shared" si="109"/>
        <v>-</v>
      </c>
      <c r="AG194" s="224" t="str">
        <f t="shared" si="110"/>
        <v>-</v>
      </c>
      <c r="AH194" s="272">
        <f t="shared" si="136"/>
        <v>0.1</v>
      </c>
      <c r="AI194" s="271" t="str">
        <f>IFERROR(IF(AD193=1,AI$100*EXP(-(LN(2)/$D$65+0.04)*AF193)*EXP(-(LN(2)/$D$65+0.1)*AG193),IF(AD193=2,AI$100*EXP(-(LN(2)/$D$65+0.04)*(VLOOKUP(($F$16-$F$15)-1,AC$99:AG193,4,FALSE)))*EXP(-(LN(2)/$D$65+0.1)*(VLOOKUP(($F$16-$F$15)-1,AC$99:AG193,5,FALSE)))*EXP(-(LN(2)/$D$65+0.04)*AF193)*EXP(-(LN(2)/$D$65+0.1)*AG193),IF(AD193=3,AI$100*EXP(-(LN(2)/$D$65+0.04)*(VLOOKUP(($F$16-$F$15)-1,AC$99:AG193,4,FALSE)))*EXP(-(LN(2)/$D$65+0.1)*(VLOOKUP(($F$16-$F$15)-1,AC$99:AG193,5,FALSE)))*EXP(-(LN(2)/$D$65+0.04)*(VLOOKUP(($F$16-$F$15)*2-1,AC$99:AG193,4,FALSE)))*EXP(-(LN(2)/$D$65+0.1)*(VLOOKUP(($F$16-$F$15)*2-1,AC$99:AG193,5,FALSE)))*EXP(-(LN(2)/$D$65+0.04)*AF193)*EXP(-(LN(2)/$D$65+0.1)*AG193),"-"))),"-")</f>
        <v>-</v>
      </c>
      <c r="AJ194" s="271" t="str">
        <f>IFERROR(IF(AD194=1,AJ$100*EXP(-(LN(2)/$D$65+0.04)*AF194)*EXP(-(LN(2)/$D$65+0.1)*AG194),IF(AD194=2,AJ$100*EXP(-(LN(2)/$D$65+0.04)*(VLOOKUP(($F$16-$F$15)-1,AC$100:AG194,4,FALSE)))*EXP(-(LN(2)/$D$65+0.1)*(VLOOKUP(($F$16-$F$15)-1,AC$100:AG194,5,FALSE)))*EXP(-(LN(2)/$D$65+0.04)*AF194)*EXP(-(LN(2)/$D$65+0.1)*AG194),IF(AD194=3,AJ$100*EXP(-(LN(2)/$D$65+0.04)*(VLOOKUP(($F$16-$F$15)-1,AC$100:AG194,4,FALSE)))*EXP(-(LN(2)/$D$65+0.1)*(VLOOKUP(($F$16-$F$15)-1,AC$100:AG194,5,FALSE)))*EXP(-(LN(2)/$D$65+0.04)*(VLOOKUP(($F$16-$F$15)*2-1,AC$100:AG194,4,FALSE)))*EXP(-(LN(2)/$D$65+0.1)*(VLOOKUP(($F$16-$F$15)*2-1,AC$100:AG194,5,FALSE)))*EXP(-(LN(2)/$D$65+0.04)*AF194)*EXP(-(LN(2)/$D$65+0.1)*AG194),"-"))),"-")</f>
        <v>-</v>
      </c>
      <c r="AK194" s="227">
        <f t="shared" si="137"/>
        <v>94</v>
      </c>
      <c r="AL194" s="226" t="str">
        <f t="shared" si="111"/>
        <v>-</v>
      </c>
      <c r="AM194" s="227" t="str">
        <f t="shared" si="138"/>
        <v>-</v>
      </c>
      <c r="AN194" s="227" t="str">
        <f t="shared" si="139"/>
        <v>-</v>
      </c>
      <c r="AO194" s="227" t="str">
        <f t="shared" si="112"/>
        <v>-</v>
      </c>
      <c r="AP194" s="273">
        <f t="shared" si="140"/>
        <v>0.1</v>
      </c>
      <c r="AQ194" s="271" t="str">
        <f>IFERROR(IF(AL193=1,AQ$100*EXP(-(LN(2)/$D$65+0.04)*AN193)*EXP(-(LN(2)/$D$65+0.1)*AO193),IF(AL193=2,AQ$100*EXP(-(LN(2)/$D$65+0.04)*(VLOOKUP(($F$16-$F$15)-1,AK$99:AO193,4,FALSE)))*EXP(-(LN(2)/$D$65+0.1)*(VLOOKUP(($F$16-$F$15)-1,AK$99:AO193,5,FALSE)))*EXP(-(LN(2)/$D$65+0.04)*AN193)*EXP(-(LN(2)/$D$65+0.1)*AO193),IF(AL193=3,AQ$100*EXP(-(LN(2)/$D$65+0.04)*(VLOOKUP(($F$16-$F$15)-1,AK$99:AO193,4,FALSE)))*EXP(-(LN(2)/$D$65+0.1)*(VLOOKUP(($F$16-$F$15)-1,AK$99:AO193,5,FALSE)))*EXP(-(LN(2)/$D$65+0.04)*(VLOOKUP(($F$16-$F$15)*2-1,AK$99:AO193,4,FALSE)))*EXP(-(LN(2)/$D$65+0.1)*(VLOOKUP(($F$16-$F$15)*2-1,AK$99:AO193,5,FALSE)))*EXP(-(LN(2)/$D$65+0.04)*AN193)*EXP(-(LN(2)/$D$65+0.1)*AO193),"-"))),"-")</f>
        <v>-</v>
      </c>
      <c r="AR194" s="271" t="str">
        <f>IFERROR(IF(AL194=1,AR$100*EXP(-(LN(2)/$D$65+0.04)*AN194)*EXP(-(LN(2)/$D$65+0.1)*AO194),IF(AL194=2,AR$100*EXP(-(LN(2)/$D$65+0.04)*(VLOOKUP(($F$16-$F$15)-1,AK$100:AO194,4,FALSE)))*EXP(-(LN(2)/$D$65+0.1)*(VLOOKUP(($F$16-$F$15)-1,AK$100:AO194,5,FALSE)))*EXP(-(LN(2)/$D$65+0.04)*AN194)*EXP(-(LN(2)/$D$65+0.1)*AO194),IF(AL194=3,AR$100*EXP(-(LN(2)/$D$65+0.04)*(VLOOKUP(($F$16-$F$15)-1,AK$100:AO194,4,FALSE)))*EXP(-(LN(2)/$D$65+0.1)*(VLOOKUP(($F$16-$F$15)-1,AK$100:AO194,5,FALSE)))*EXP(-(LN(2)/$D$65+0.04)*(VLOOKUP(($F$16-$F$15)*2-1,AK$100:AO194,4,FALSE)))*EXP(-(LN(2)/$D$65+0.1)*(VLOOKUP(($F$16-$F$15)*2-1,AK$100:AO194,5,FALSE)))*EXP(-(LN(2)/$D$65+0.04)*AN194)*EXP(-(LN(2)/$D$65+0.1)*AO194),"-"))),"-")</f>
        <v>-</v>
      </c>
      <c r="AS194" s="274">
        <f t="shared" si="113"/>
        <v>0</v>
      </c>
      <c r="AT194" s="274">
        <f t="shared" si="114"/>
        <v>0</v>
      </c>
      <c r="AU194" s="274">
        <f t="shared" si="115"/>
        <v>0</v>
      </c>
      <c r="AV194" s="190">
        <f>IF($B194&lt;$F$22,SUM($T$100:$T194),"")</f>
        <v>0</v>
      </c>
      <c r="AW194" s="190" t="str">
        <f t="shared" si="116"/>
        <v>-</v>
      </c>
      <c r="AX194" s="190" t="str">
        <f t="shared" si="141"/>
        <v/>
      </c>
      <c r="AY194"/>
      <c r="AZ194" s="190" t="str">
        <f ca="1">IF(ISNUMBER(OFFSET(AV194,-$F$21,0)),SUM(OFFSET($T$100,$F$21,0):$T194),"")</f>
        <v/>
      </c>
      <c r="BA194" s="190" t="str">
        <f t="shared" ca="1" si="117"/>
        <v/>
      </c>
      <c r="BB194" s="190" t="str">
        <f t="shared" ca="1" si="148"/>
        <v/>
      </c>
      <c r="BC194" s="190"/>
      <c r="BD194" s="190" t="str">
        <f ca="1">IFERROR(IF(AND($B194&gt;=($F$16-$F$15),$B194&lt;$F$22+($F$16-$F$15)),SUM(OFFSET($T$100,($F$16-$F$15),0):$T194),""),"")</f>
        <v/>
      </c>
      <c r="BE194" s="190" t="str">
        <f t="shared" ca="1" si="142"/>
        <v/>
      </c>
      <c r="BF194" s="190" t="str">
        <f t="shared" ca="1" si="143"/>
        <v/>
      </c>
      <c r="BG194"/>
      <c r="BH194" s="190" t="str">
        <f ca="1">IF(ISNUMBER(OFFSET(BD194,-$F$21,0)),SUM(OFFSET($T$100,($F$16-$F$15+$F$21),0):$T194),"")</f>
        <v/>
      </c>
      <c r="BI194" s="190" t="str">
        <f t="shared" ca="1" si="118"/>
        <v/>
      </c>
      <c r="BJ194" s="190" t="str">
        <f t="shared" ca="1" si="144"/>
        <v/>
      </c>
      <c r="BK194" s="190"/>
      <c r="BL194" s="190" t="str">
        <f ca="1">IFERROR(IF(AND($B194&gt;=($F$17-$F$15),$B194&lt;$F$22+($F$17-$F$15)),SUM(OFFSET($T$100,($F$17-$F$15),0):$T194),""),"")</f>
        <v/>
      </c>
      <c r="BM194" s="190" t="str">
        <f t="shared" ca="1" si="119"/>
        <v/>
      </c>
      <c r="BN194" s="190" t="str">
        <f t="shared" ca="1" si="145"/>
        <v/>
      </c>
      <c r="BO194"/>
      <c r="BP194" s="190" t="str">
        <f ca="1">IF(ISNUMBER(OFFSET(BL194,-$F$21,0)),SUM(OFFSET($T$100,($F$17-$F$15+$F$21),0):$T194),"")</f>
        <v/>
      </c>
      <c r="BQ194" s="190" t="str">
        <f t="shared" ca="1" si="120"/>
        <v/>
      </c>
      <c r="BR194" s="190" t="str">
        <f t="shared" ca="1" si="146"/>
        <v/>
      </c>
      <c r="BS194" s="190"/>
      <c r="BT194"/>
      <c r="BU194"/>
      <c r="BV194"/>
      <c r="BY194" s="99"/>
      <c r="BZ194" s="99"/>
      <c r="CA194" s="280" t="str">
        <f t="shared" si="121"/>
        <v/>
      </c>
      <c r="CB194" s="71" t="str">
        <f t="shared" si="122"/>
        <v>-</v>
      </c>
      <c r="CC194" s="33"/>
      <c r="CD194" s="261" t="str">
        <f t="shared" si="123"/>
        <v/>
      </c>
      <c r="CE194" s="280" t="str">
        <f t="shared" si="124"/>
        <v>-</v>
      </c>
      <c r="CF194" s="71" t="str">
        <f t="shared" ca="1" si="125"/>
        <v>-</v>
      </c>
      <c r="CG194" s="33" t="str">
        <f t="shared" si="126"/>
        <v>94-95</v>
      </c>
      <c r="CH194" s="261" t="str">
        <f t="shared" ca="1" si="127"/>
        <v/>
      </c>
    </row>
    <row r="195" spans="2:86" ht="13.5" customHeight="1" x14ac:dyDescent="0.2">
      <c r="B195" s="262">
        <v>95</v>
      </c>
      <c r="C195" s="237" t="str">
        <f t="shared" si="91"/>
        <v/>
      </c>
      <c r="D195" s="237" t="str">
        <f t="shared" si="147"/>
        <v>-</v>
      </c>
      <c r="E195" s="263" t="str">
        <f t="shared" si="128"/>
        <v/>
      </c>
      <c r="F195" s="264" t="str">
        <f t="shared" si="129"/>
        <v/>
      </c>
      <c r="G195" s="264" t="str">
        <f t="shared" si="130"/>
        <v/>
      </c>
      <c r="H195" s="240" t="str">
        <f t="shared" si="92"/>
        <v/>
      </c>
      <c r="I195" s="265" t="str">
        <f t="shared" si="93"/>
        <v/>
      </c>
      <c r="J195" s="265" t="str">
        <f t="shared" si="94"/>
        <v/>
      </c>
      <c r="K195" s="240" t="str">
        <f t="shared" si="95"/>
        <v/>
      </c>
      <c r="L195" s="265" t="str">
        <f t="shared" si="96"/>
        <v/>
      </c>
      <c r="M195" s="265" t="str">
        <f t="shared" si="97"/>
        <v/>
      </c>
      <c r="N195" s="240" t="str">
        <f t="shared" si="98"/>
        <v>-</v>
      </c>
      <c r="O195" s="265" t="str">
        <f t="shared" si="99"/>
        <v>-</v>
      </c>
      <c r="P195" s="265" t="str">
        <f t="shared" si="100"/>
        <v>-</v>
      </c>
      <c r="Q195" s="266" t="str">
        <f t="shared" si="101"/>
        <v>-</v>
      </c>
      <c r="R195" s="267" t="str">
        <f t="shared" si="102"/>
        <v>-</v>
      </c>
      <c r="S195" s="268" t="str">
        <f t="shared" si="103"/>
        <v>-</v>
      </c>
      <c r="T195" s="269" t="str">
        <f t="shared" si="104"/>
        <v/>
      </c>
      <c r="U195" s="221">
        <f t="shared" si="105"/>
        <v>95</v>
      </c>
      <c r="V195" s="220" t="str">
        <f t="shared" si="131"/>
        <v>-</v>
      </c>
      <c r="W195" s="221" t="str">
        <f t="shared" si="132"/>
        <v>-</v>
      </c>
      <c r="X195" s="221" t="str">
        <f t="shared" si="106"/>
        <v>-</v>
      </c>
      <c r="Y195" s="221" t="str">
        <f t="shared" si="107"/>
        <v>-</v>
      </c>
      <c r="Z195" s="270">
        <f t="shared" si="133"/>
        <v>0.1</v>
      </c>
      <c r="AA195" s="271" t="str">
        <f>IFERROR(IF(V194=1,AA$100*EXP(-(LN(2)/$D$65+0.04)*X194)*EXP(-(LN(2)/$D$65+0.1)*Y194),IF(V194=2,AA$100*EXP(-(LN(2)/$D$65+0.04)*(VLOOKUP(($F$16-$F$15)-1,U$99:Y194,4,FALSE)))*EXP(-(LN(2)/$D$65+0.1)*(VLOOKUP(($F$16-$F$15)-1,U$99:Y194,5,FALSE)))*EXP(-(LN(2)/$D$65+0.04)*X194)*EXP(-(LN(2)/$D$65+0.1)*Y194),IF(V194=3,AA$100*EXP(-(LN(2)/$D$65+0.04)*(VLOOKUP(($F$16-$F$15)-1,U$99:Y194,4,FALSE)))*EXP(-(LN(2)/$D$65+0.1)*(VLOOKUP(($F$16-$F$15)-1,U$99:Y194,5,FALSE)))*EXP(-(LN(2)/$D$65+0.04)*(VLOOKUP(($F$16-$F$15)*2-1,U$99:Y194,4,FALSE)))*EXP(-(LN(2)/$D$65+0.1)*(VLOOKUP(($F$16-$F$15)*2-1,U$99:Y194,5,FALSE)))*EXP(-(LN(2)/$D$65+0.04)*X194)*EXP(-(LN(2)/$D$65+0.1)*Y194),"-"))),"-")</f>
        <v>-</v>
      </c>
      <c r="AB195" s="271" t="str">
        <f>IFERROR(IF(V195=1,AB$100*EXP(-(LN(2)/$D$65+0.04)*X195)*EXP(-(LN(2)/$D$65+0.1)*Y195),IF(V195=2,AB$100*EXP(-(LN(2)/$D$65+0.04)*(VLOOKUP(($F$16-$F$15)-1,U$100:Y195,4,FALSE)))*EXP(-(LN(2)/$D$65+0.1)*(VLOOKUP(($F$16-$F$15)-1,U$100:Y195,5,FALSE)))*EXP(-(LN(2)/$D$65+0.04)*X195)*EXP(-(LN(2)/$D$65+0.1)*Y195),IF(V195=3,AB$100*EXP(-(LN(2)/$D$65+0.04)*(VLOOKUP(($F$16-$F$15)-1,U$100:Y195,4,FALSE)))*EXP(-(LN(2)/$D$65+0.1)*(VLOOKUP(($F$16-$F$15)-1,U$100:Y195,5,FALSE)))*EXP(-(LN(2)/$D$65+0.04)*(VLOOKUP(($F$16-$F$15)*2-1,U$100:Y195,4,FALSE)))*EXP(-(LN(2)/$D$65+0.1)*(VLOOKUP(($F$16-$F$15)*2-1,U$100:Y195,5,FALSE)))*EXP(-(LN(2)/$D$65+0.04)*X195)*EXP(-(LN(2)/$D$65+0.1)*Y195),"-"))),"-")</f>
        <v>-</v>
      </c>
      <c r="AC195" s="224">
        <f t="shared" si="134"/>
        <v>95</v>
      </c>
      <c r="AD195" s="223" t="str">
        <f t="shared" si="108"/>
        <v>-</v>
      </c>
      <c r="AE195" s="224" t="str">
        <f t="shared" si="135"/>
        <v>-</v>
      </c>
      <c r="AF195" s="224" t="str">
        <f t="shared" si="109"/>
        <v>-</v>
      </c>
      <c r="AG195" s="224" t="str">
        <f t="shared" si="110"/>
        <v>-</v>
      </c>
      <c r="AH195" s="272">
        <f t="shared" si="136"/>
        <v>0.1</v>
      </c>
      <c r="AI195" s="271" t="str">
        <f>IFERROR(IF(AD194=1,AI$100*EXP(-(LN(2)/$D$65+0.04)*AF194)*EXP(-(LN(2)/$D$65+0.1)*AG194),IF(AD194=2,AI$100*EXP(-(LN(2)/$D$65+0.04)*(VLOOKUP(($F$16-$F$15)-1,AC$99:AG194,4,FALSE)))*EXP(-(LN(2)/$D$65+0.1)*(VLOOKUP(($F$16-$F$15)-1,AC$99:AG194,5,FALSE)))*EXP(-(LN(2)/$D$65+0.04)*AF194)*EXP(-(LN(2)/$D$65+0.1)*AG194),IF(AD194=3,AI$100*EXP(-(LN(2)/$D$65+0.04)*(VLOOKUP(($F$16-$F$15)-1,AC$99:AG194,4,FALSE)))*EXP(-(LN(2)/$D$65+0.1)*(VLOOKUP(($F$16-$F$15)-1,AC$99:AG194,5,FALSE)))*EXP(-(LN(2)/$D$65+0.04)*(VLOOKUP(($F$16-$F$15)*2-1,AC$99:AG194,4,FALSE)))*EXP(-(LN(2)/$D$65+0.1)*(VLOOKUP(($F$16-$F$15)*2-1,AC$99:AG194,5,FALSE)))*EXP(-(LN(2)/$D$65+0.04)*AF194)*EXP(-(LN(2)/$D$65+0.1)*AG194),"-"))),"-")</f>
        <v>-</v>
      </c>
      <c r="AJ195" s="271" t="str">
        <f>IFERROR(IF(AD195=1,AJ$100*EXP(-(LN(2)/$D$65+0.04)*AF195)*EXP(-(LN(2)/$D$65+0.1)*AG195),IF(AD195=2,AJ$100*EXP(-(LN(2)/$D$65+0.04)*(VLOOKUP(($F$16-$F$15)-1,AC$100:AG195,4,FALSE)))*EXP(-(LN(2)/$D$65+0.1)*(VLOOKUP(($F$16-$F$15)-1,AC$100:AG195,5,FALSE)))*EXP(-(LN(2)/$D$65+0.04)*AF195)*EXP(-(LN(2)/$D$65+0.1)*AG195),IF(AD195=3,AJ$100*EXP(-(LN(2)/$D$65+0.04)*(VLOOKUP(($F$16-$F$15)-1,AC$100:AG195,4,FALSE)))*EXP(-(LN(2)/$D$65+0.1)*(VLOOKUP(($F$16-$F$15)-1,AC$100:AG195,5,FALSE)))*EXP(-(LN(2)/$D$65+0.04)*(VLOOKUP(($F$16-$F$15)*2-1,AC$100:AG195,4,FALSE)))*EXP(-(LN(2)/$D$65+0.1)*(VLOOKUP(($F$16-$F$15)*2-1,AC$100:AG195,5,FALSE)))*EXP(-(LN(2)/$D$65+0.04)*AF195)*EXP(-(LN(2)/$D$65+0.1)*AG195),"-"))),"-")</f>
        <v>-</v>
      </c>
      <c r="AK195" s="227">
        <f t="shared" si="137"/>
        <v>95</v>
      </c>
      <c r="AL195" s="226" t="str">
        <f t="shared" si="111"/>
        <v>-</v>
      </c>
      <c r="AM195" s="227" t="str">
        <f t="shared" si="138"/>
        <v>-</v>
      </c>
      <c r="AN195" s="227" t="str">
        <f t="shared" si="139"/>
        <v>-</v>
      </c>
      <c r="AO195" s="227" t="str">
        <f t="shared" si="112"/>
        <v>-</v>
      </c>
      <c r="AP195" s="273">
        <f t="shared" si="140"/>
        <v>0.1</v>
      </c>
      <c r="AQ195" s="271" t="str">
        <f>IFERROR(IF(AL194=1,AQ$100*EXP(-(LN(2)/$D$65+0.04)*AN194)*EXP(-(LN(2)/$D$65+0.1)*AO194),IF(AL194=2,AQ$100*EXP(-(LN(2)/$D$65+0.04)*(VLOOKUP(($F$16-$F$15)-1,AK$99:AO194,4,FALSE)))*EXP(-(LN(2)/$D$65+0.1)*(VLOOKUP(($F$16-$F$15)-1,AK$99:AO194,5,FALSE)))*EXP(-(LN(2)/$D$65+0.04)*AN194)*EXP(-(LN(2)/$D$65+0.1)*AO194),IF(AL194=3,AQ$100*EXP(-(LN(2)/$D$65+0.04)*(VLOOKUP(($F$16-$F$15)-1,AK$99:AO194,4,FALSE)))*EXP(-(LN(2)/$D$65+0.1)*(VLOOKUP(($F$16-$F$15)-1,AK$99:AO194,5,FALSE)))*EXP(-(LN(2)/$D$65+0.04)*(VLOOKUP(($F$16-$F$15)*2-1,AK$99:AO194,4,FALSE)))*EXP(-(LN(2)/$D$65+0.1)*(VLOOKUP(($F$16-$F$15)*2-1,AK$99:AO194,5,FALSE)))*EXP(-(LN(2)/$D$65+0.04)*AN194)*EXP(-(LN(2)/$D$65+0.1)*AO194),"-"))),"-")</f>
        <v>-</v>
      </c>
      <c r="AR195" s="271" t="str">
        <f>IFERROR(IF(AL195=1,AR$100*EXP(-(LN(2)/$D$65+0.04)*AN195)*EXP(-(LN(2)/$D$65+0.1)*AO195),IF(AL195=2,AR$100*EXP(-(LN(2)/$D$65+0.04)*(VLOOKUP(($F$16-$F$15)-1,AK$100:AO195,4,FALSE)))*EXP(-(LN(2)/$D$65+0.1)*(VLOOKUP(($F$16-$F$15)-1,AK$100:AO195,5,FALSE)))*EXP(-(LN(2)/$D$65+0.04)*AN195)*EXP(-(LN(2)/$D$65+0.1)*AO195),IF(AL195=3,AR$100*EXP(-(LN(2)/$D$65+0.04)*(VLOOKUP(($F$16-$F$15)-1,AK$100:AO195,4,FALSE)))*EXP(-(LN(2)/$D$65+0.1)*(VLOOKUP(($F$16-$F$15)-1,AK$100:AO195,5,FALSE)))*EXP(-(LN(2)/$D$65+0.04)*(VLOOKUP(($F$16-$F$15)*2-1,AK$100:AO195,4,FALSE)))*EXP(-(LN(2)/$D$65+0.1)*(VLOOKUP(($F$16-$F$15)*2-1,AK$100:AO195,5,FALSE)))*EXP(-(LN(2)/$D$65+0.04)*AN195)*EXP(-(LN(2)/$D$65+0.1)*AO195),"-"))),"-")</f>
        <v>-</v>
      </c>
      <c r="AS195" s="274">
        <f t="shared" si="113"/>
        <v>0</v>
      </c>
      <c r="AT195" s="274">
        <f t="shared" si="114"/>
        <v>0</v>
      </c>
      <c r="AU195" s="274">
        <f t="shared" si="115"/>
        <v>0</v>
      </c>
      <c r="AV195" s="190">
        <f>IF($B195&lt;$F$22,SUM($T$100:$T195),"")</f>
        <v>0</v>
      </c>
      <c r="AW195" s="190" t="str">
        <f t="shared" si="116"/>
        <v>-</v>
      </c>
      <c r="AX195" s="190" t="str">
        <f t="shared" si="141"/>
        <v/>
      </c>
      <c r="AY195"/>
      <c r="AZ195" s="190" t="str">
        <f ca="1">IF(ISNUMBER(OFFSET(AV195,-$F$21,0)),SUM(OFFSET($T$100,$F$21,0):$T195),"")</f>
        <v/>
      </c>
      <c r="BA195" s="190" t="str">
        <f t="shared" ca="1" si="117"/>
        <v/>
      </c>
      <c r="BB195" s="190" t="str">
        <f t="shared" ca="1" si="148"/>
        <v/>
      </c>
      <c r="BC195" s="190"/>
      <c r="BD195" s="190" t="str">
        <f ca="1">IFERROR(IF(AND($B195&gt;=($F$16-$F$15),$B195&lt;$F$22+($F$16-$F$15)),SUM(OFFSET($T$100,($F$16-$F$15),0):$T195),""),"")</f>
        <v/>
      </c>
      <c r="BE195" s="190" t="str">
        <f t="shared" ca="1" si="142"/>
        <v/>
      </c>
      <c r="BF195" s="190" t="str">
        <f t="shared" ca="1" si="143"/>
        <v/>
      </c>
      <c r="BG195"/>
      <c r="BH195" s="190" t="str">
        <f ca="1">IF(ISNUMBER(OFFSET(BD195,-$F$21,0)),SUM(OFFSET($T$100,($F$16-$F$15+$F$21),0):$T195),"")</f>
        <v/>
      </c>
      <c r="BI195" s="190" t="str">
        <f t="shared" ca="1" si="118"/>
        <v/>
      </c>
      <c r="BJ195" s="190" t="str">
        <f t="shared" ca="1" si="144"/>
        <v/>
      </c>
      <c r="BK195" s="190"/>
      <c r="BL195" s="190" t="str">
        <f ca="1">IFERROR(IF(AND($B195&gt;=($F$17-$F$15),$B195&lt;$F$22+($F$17-$F$15)),SUM(OFFSET($T$100,($F$17-$F$15),0):$T195),""),"")</f>
        <v/>
      </c>
      <c r="BM195" s="190" t="str">
        <f t="shared" ca="1" si="119"/>
        <v/>
      </c>
      <c r="BN195" s="190" t="str">
        <f t="shared" ca="1" si="145"/>
        <v/>
      </c>
      <c r="BO195"/>
      <c r="BP195" s="190" t="str">
        <f ca="1">IF(ISNUMBER(OFFSET(BL195,-$F$21,0)),SUM(OFFSET($T$100,($F$17-$F$15+$F$21),0):$T195),"")</f>
        <v/>
      </c>
      <c r="BQ195" s="190" t="str">
        <f t="shared" ca="1" si="120"/>
        <v/>
      </c>
      <c r="BR195" s="190" t="str">
        <f t="shared" ca="1" si="146"/>
        <v/>
      </c>
      <c r="BS195" s="190"/>
      <c r="BT195"/>
      <c r="BU195"/>
      <c r="BV195"/>
      <c r="BY195" s="99"/>
      <c r="BZ195" s="99"/>
      <c r="CA195" s="280" t="str">
        <f t="shared" si="121"/>
        <v/>
      </c>
      <c r="CB195" s="71" t="str">
        <f t="shared" si="122"/>
        <v>-</v>
      </c>
      <c r="CC195" s="33"/>
      <c r="CD195" s="261" t="str">
        <f t="shared" si="123"/>
        <v/>
      </c>
      <c r="CE195" s="280" t="str">
        <f t="shared" si="124"/>
        <v>-</v>
      </c>
      <c r="CF195" s="71" t="str">
        <f t="shared" ca="1" si="125"/>
        <v>-</v>
      </c>
      <c r="CG195" s="33" t="str">
        <f t="shared" si="126"/>
        <v>95-96</v>
      </c>
      <c r="CH195" s="261" t="str">
        <f t="shared" ca="1" si="127"/>
        <v/>
      </c>
    </row>
    <row r="196" spans="2:86" ht="13.5" customHeight="1" x14ac:dyDescent="0.2">
      <c r="B196" s="262">
        <v>96</v>
      </c>
      <c r="C196" s="237" t="str">
        <f t="shared" si="91"/>
        <v/>
      </c>
      <c r="D196" s="237" t="str">
        <f t="shared" si="147"/>
        <v>-</v>
      </c>
      <c r="E196" s="263" t="str">
        <f t="shared" si="128"/>
        <v/>
      </c>
      <c r="F196" s="264" t="str">
        <f t="shared" si="129"/>
        <v/>
      </c>
      <c r="G196" s="264" t="str">
        <f t="shared" si="130"/>
        <v/>
      </c>
      <c r="H196" s="240" t="str">
        <f t="shared" ref="H196:H227" si="149">IF(E196&lt;&gt;"",IF($B196&lt;$F$21,"",IF(ISNUMBER(F196),IF(ISNUMBER(I196),(E196*30*50*ffp),""),(E196*30*50*ffp))),"")</f>
        <v/>
      </c>
      <c r="I196" s="265" t="str">
        <f t="shared" ref="I196:I227" si="150">IFERROR(IF(F196&lt;&gt;"",IF($B196&lt;$F$21+$F$16,"",IF(ISNUMBER(G196),IF(ISNUMBER(J196),(F196*30*50*ffp),""),(F196*30*50*ffp))),""),"")</f>
        <v/>
      </c>
      <c r="J196" s="265" t="str">
        <f t="shared" ref="J196:J227" si="151">IFERROR(IF(G196&lt;&gt;"",IF($B196&lt;$F$21+$F$17,"",(G196*30*50*ffp)),""),"")</f>
        <v/>
      </c>
      <c r="K196" s="240" t="str">
        <f t="shared" ref="K196:K227" si="152">IF(E196&lt;&gt;"",((E196*20*50*ffp)/Klevee),"")</f>
        <v/>
      </c>
      <c r="L196" s="265" t="str">
        <f t="shared" ref="L196:L227" si="153">IF(ISNUMBER(F196),((F196*20*50*ffp)/Klevee),"")</f>
        <v/>
      </c>
      <c r="M196" s="265" t="str">
        <f t="shared" ref="M196:M227" si="154">IF(ISNUMBER(G196),((G196*20*50*ffp)/Klevee),"")</f>
        <v/>
      </c>
      <c r="N196" s="240" t="str">
        <f t="shared" ref="N196:N227" si="155">IF(AND(ISNUMBER(I),ISNUMBER($F$14),ISNUMBER($F$20)),IF($B196=0,I*($J$40/100)*$J$42*1,""),"-")</f>
        <v>-</v>
      </c>
      <c r="O196" s="265" t="str">
        <f t="shared" ref="O196:O227" si="156">IF(ISNUMBER($F$14),IF($F$14&gt;1,IF($B196=0+$F$16,I*($J$40/100)*$J$42*1,""),""),"-")</f>
        <v>-</v>
      </c>
      <c r="P196" s="265" t="str">
        <f t="shared" ref="P196:P227" si="157">IF(ISNUMBER($F$14),IF($F$14&gt;2,IF($B196=0+$F$17,I*($J$40/100)*$J$42*1,""),""),"-")</f>
        <v>-</v>
      </c>
      <c r="Q196" s="266" t="str">
        <f t="shared" ref="Q196:Q227" si="158">IF(AND(ISNUMBER(I),ISNUMBER($F$14),ISNUMBER($F$20)),IF($B196=0,I*(dt/100)*$J$45*1,""),"-")</f>
        <v>-</v>
      </c>
      <c r="R196" s="267" t="str">
        <f t="shared" ref="R196:R227" si="159">IF(ISNUMBER($F$14),IF($F$14&gt;1,IF($B196=0+$F$16,I*(dt/100)*$J$45*1,""),""),"-")</f>
        <v>-</v>
      </c>
      <c r="S196" s="268" t="str">
        <f t="shared" ref="S196:S227" si="160">IF(ISNUMBER($F$14),IF($F$14&gt;2,IF($B196=0+$F$17,I*(dt/100)*$J$45*1,""),""),"-")</f>
        <v>-</v>
      </c>
      <c r="T196" s="269" t="str">
        <f t="shared" si="104"/>
        <v/>
      </c>
      <c r="U196" s="221">
        <f t="shared" si="105"/>
        <v>96</v>
      </c>
      <c r="V196" s="220" t="str">
        <f t="shared" si="131"/>
        <v>-</v>
      </c>
      <c r="W196" s="221" t="str">
        <f t="shared" si="132"/>
        <v>-</v>
      </c>
      <c r="X196" s="221" t="str">
        <f t="shared" si="106"/>
        <v>-</v>
      </c>
      <c r="Y196" s="221" t="str">
        <f t="shared" si="107"/>
        <v>-</v>
      </c>
      <c r="Z196" s="270">
        <f t="shared" si="133"/>
        <v>0.1</v>
      </c>
      <c r="AA196" s="271" t="str">
        <f>IFERROR(IF(V195=1,AA$100*EXP(-(LN(2)/$D$65+0.04)*X195)*EXP(-(LN(2)/$D$65+0.1)*Y195),IF(V195=2,AA$100*EXP(-(LN(2)/$D$65+0.04)*(VLOOKUP(($F$16-$F$15)-1,U$99:Y195,4,FALSE)))*EXP(-(LN(2)/$D$65+0.1)*(VLOOKUP(($F$16-$F$15)-1,U$99:Y195,5,FALSE)))*EXP(-(LN(2)/$D$65+0.04)*X195)*EXP(-(LN(2)/$D$65+0.1)*Y195),IF(V195=3,AA$100*EXP(-(LN(2)/$D$65+0.04)*(VLOOKUP(($F$16-$F$15)-1,U$99:Y195,4,FALSE)))*EXP(-(LN(2)/$D$65+0.1)*(VLOOKUP(($F$16-$F$15)-1,U$99:Y195,5,FALSE)))*EXP(-(LN(2)/$D$65+0.04)*(VLOOKUP(($F$16-$F$15)*2-1,U$99:Y195,4,FALSE)))*EXP(-(LN(2)/$D$65+0.1)*(VLOOKUP(($F$16-$F$15)*2-1,U$99:Y195,5,FALSE)))*EXP(-(LN(2)/$D$65+0.04)*X195)*EXP(-(LN(2)/$D$65+0.1)*Y195),"-"))),"-")</f>
        <v>-</v>
      </c>
      <c r="AB196" s="271" t="str">
        <f>IFERROR(IF(V196=1,AB$100*EXP(-(LN(2)/$D$65+0.04)*X196)*EXP(-(LN(2)/$D$65+0.1)*Y196),IF(V196=2,AB$100*EXP(-(LN(2)/$D$65+0.04)*(VLOOKUP(($F$16-$F$15)-1,U$100:Y196,4,FALSE)))*EXP(-(LN(2)/$D$65+0.1)*(VLOOKUP(($F$16-$F$15)-1,U$100:Y196,5,FALSE)))*EXP(-(LN(2)/$D$65+0.04)*X196)*EXP(-(LN(2)/$D$65+0.1)*Y196),IF(V196=3,AB$100*EXP(-(LN(2)/$D$65+0.04)*(VLOOKUP(($F$16-$F$15)-1,U$100:Y196,4,FALSE)))*EXP(-(LN(2)/$D$65+0.1)*(VLOOKUP(($F$16-$F$15)-1,U$100:Y196,5,FALSE)))*EXP(-(LN(2)/$D$65+0.04)*(VLOOKUP(($F$16-$F$15)*2-1,U$100:Y196,4,FALSE)))*EXP(-(LN(2)/$D$65+0.1)*(VLOOKUP(($F$16-$F$15)*2-1,U$100:Y196,5,FALSE)))*EXP(-(LN(2)/$D$65+0.04)*X196)*EXP(-(LN(2)/$D$65+0.1)*Y196),"-"))),"-")</f>
        <v>-</v>
      </c>
      <c r="AC196" s="224">
        <f t="shared" si="134"/>
        <v>96</v>
      </c>
      <c r="AD196" s="223" t="str">
        <f t="shared" si="108"/>
        <v>-</v>
      </c>
      <c r="AE196" s="224" t="str">
        <f t="shared" si="135"/>
        <v>-</v>
      </c>
      <c r="AF196" s="224" t="str">
        <f t="shared" si="109"/>
        <v>-</v>
      </c>
      <c r="AG196" s="224" t="str">
        <f t="shared" si="110"/>
        <v>-</v>
      </c>
      <c r="AH196" s="272">
        <f t="shared" si="136"/>
        <v>0.1</v>
      </c>
      <c r="AI196" s="271" t="str">
        <f>IFERROR(IF(AD195=1,AI$100*EXP(-(LN(2)/$D$65+0.04)*AF195)*EXP(-(LN(2)/$D$65+0.1)*AG195),IF(AD195=2,AI$100*EXP(-(LN(2)/$D$65+0.04)*(VLOOKUP(($F$16-$F$15)-1,AC$99:AG195,4,FALSE)))*EXP(-(LN(2)/$D$65+0.1)*(VLOOKUP(($F$16-$F$15)-1,AC$99:AG195,5,FALSE)))*EXP(-(LN(2)/$D$65+0.04)*AF195)*EXP(-(LN(2)/$D$65+0.1)*AG195),IF(AD195=3,AI$100*EXP(-(LN(2)/$D$65+0.04)*(VLOOKUP(($F$16-$F$15)-1,AC$99:AG195,4,FALSE)))*EXP(-(LN(2)/$D$65+0.1)*(VLOOKUP(($F$16-$F$15)-1,AC$99:AG195,5,FALSE)))*EXP(-(LN(2)/$D$65+0.04)*(VLOOKUP(($F$16-$F$15)*2-1,AC$99:AG195,4,FALSE)))*EXP(-(LN(2)/$D$65+0.1)*(VLOOKUP(($F$16-$F$15)*2-1,AC$99:AG195,5,FALSE)))*EXP(-(LN(2)/$D$65+0.04)*AF195)*EXP(-(LN(2)/$D$65+0.1)*AG195),"-"))),"-")</f>
        <v>-</v>
      </c>
      <c r="AJ196" s="271" t="str">
        <f>IFERROR(IF(AD196=1,AJ$100*EXP(-(LN(2)/$D$65+0.04)*AF196)*EXP(-(LN(2)/$D$65+0.1)*AG196),IF(AD196=2,AJ$100*EXP(-(LN(2)/$D$65+0.04)*(VLOOKUP(($F$16-$F$15)-1,AC$100:AG196,4,FALSE)))*EXP(-(LN(2)/$D$65+0.1)*(VLOOKUP(($F$16-$F$15)-1,AC$100:AG196,5,FALSE)))*EXP(-(LN(2)/$D$65+0.04)*AF196)*EXP(-(LN(2)/$D$65+0.1)*AG196),IF(AD196=3,AJ$100*EXP(-(LN(2)/$D$65+0.04)*(VLOOKUP(($F$16-$F$15)-1,AC$100:AG196,4,FALSE)))*EXP(-(LN(2)/$D$65+0.1)*(VLOOKUP(($F$16-$F$15)-1,AC$100:AG196,5,FALSE)))*EXP(-(LN(2)/$D$65+0.04)*(VLOOKUP(($F$16-$F$15)*2-1,AC$100:AG196,4,FALSE)))*EXP(-(LN(2)/$D$65+0.1)*(VLOOKUP(($F$16-$F$15)*2-1,AC$100:AG196,5,FALSE)))*EXP(-(LN(2)/$D$65+0.04)*AF196)*EXP(-(LN(2)/$D$65+0.1)*AG196),"-"))),"-")</f>
        <v>-</v>
      </c>
      <c r="AK196" s="227">
        <f t="shared" si="137"/>
        <v>96</v>
      </c>
      <c r="AL196" s="226" t="str">
        <f t="shared" si="111"/>
        <v>-</v>
      </c>
      <c r="AM196" s="227" t="str">
        <f t="shared" si="138"/>
        <v>-</v>
      </c>
      <c r="AN196" s="227" t="str">
        <f t="shared" si="139"/>
        <v>-</v>
      </c>
      <c r="AO196" s="227" t="str">
        <f t="shared" si="112"/>
        <v>-</v>
      </c>
      <c r="AP196" s="273">
        <f t="shared" si="140"/>
        <v>0.1</v>
      </c>
      <c r="AQ196" s="271" t="str">
        <f>IFERROR(IF(AL195=1,AQ$100*EXP(-(LN(2)/$D$65+0.04)*AN195)*EXP(-(LN(2)/$D$65+0.1)*AO195),IF(AL195=2,AQ$100*EXP(-(LN(2)/$D$65+0.04)*(VLOOKUP(($F$16-$F$15)-1,AK$99:AO195,4,FALSE)))*EXP(-(LN(2)/$D$65+0.1)*(VLOOKUP(($F$16-$F$15)-1,AK$99:AO195,5,FALSE)))*EXP(-(LN(2)/$D$65+0.04)*AN195)*EXP(-(LN(2)/$D$65+0.1)*AO195),IF(AL195=3,AQ$100*EXP(-(LN(2)/$D$65+0.04)*(VLOOKUP(($F$16-$F$15)-1,AK$99:AO195,4,FALSE)))*EXP(-(LN(2)/$D$65+0.1)*(VLOOKUP(($F$16-$F$15)-1,AK$99:AO195,5,FALSE)))*EXP(-(LN(2)/$D$65+0.04)*(VLOOKUP(($F$16-$F$15)*2-1,AK$99:AO195,4,FALSE)))*EXP(-(LN(2)/$D$65+0.1)*(VLOOKUP(($F$16-$F$15)*2-1,AK$99:AO195,5,FALSE)))*EXP(-(LN(2)/$D$65+0.04)*AN195)*EXP(-(LN(2)/$D$65+0.1)*AO195),"-"))),"-")</f>
        <v>-</v>
      </c>
      <c r="AR196" s="271" t="str">
        <f>IFERROR(IF(AL196=1,AR$100*EXP(-(LN(2)/$D$65+0.04)*AN196)*EXP(-(LN(2)/$D$65+0.1)*AO196),IF(AL196=2,AR$100*EXP(-(LN(2)/$D$65+0.04)*(VLOOKUP(($F$16-$F$15)-1,AK$100:AO196,4,FALSE)))*EXP(-(LN(2)/$D$65+0.1)*(VLOOKUP(($F$16-$F$15)-1,AK$100:AO196,5,FALSE)))*EXP(-(LN(2)/$D$65+0.04)*AN196)*EXP(-(LN(2)/$D$65+0.1)*AO196),IF(AL196=3,AR$100*EXP(-(LN(2)/$D$65+0.04)*(VLOOKUP(($F$16-$F$15)-1,AK$100:AO196,4,FALSE)))*EXP(-(LN(2)/$D$65+0.1)*(VLOOKUP(($F$16-$F$15)-1,AK$100:AO196,5,FALSE)))*EXP(-(LN(2)/$D$65+0.04)*(VLOOKUP(($F$16-$F$15)*2-1,AK$100:AO196,4,FALSE)))*EXP(-(LN(2)/$D$65+0.1)*(VLOOKUP(($F$16-$F$15)*2-1,AK$100:AO196,5,FALSE)))*EXP(-(LN(2)/$D$65+0.04)*AN196)*EXP(-(LN(2)/$D$65+0.1)*AO196),"-"))),"-")</f>
        <v>-</v>
      </c>
      <c r="AS196" s="274">
        <f t="shared" si="113"/>
        <v>0</v>
      </c>
      <c r="AT196" s="274">
        <f t="shared" si="114"/>
        <v>0</v>
      </c>
      <c r="AU196" s="274">
        <f t="shared" si="115"/>
        <v>0</v>
      </c>
      <c r="AV196" s="190">
        <f>IF($B196&lt;$F$22,SUM($T$100:$T196),"")</f>
        <v>0</v>
      </c>
      <c r="AW196" s="190" t="str">
        <f t="shared" ref="AW196:AW227" si="161">IF(ISNUMBER(Koc),IF(ISNUMBER(AV196),AV196*(Koc*(Ocse/100)*Pse*Vse)/(Koc*(Ocse/100)*Pse*Vse+1*86400*($B196+1)),""),"-")</f>
        <v>-</v>
      </c>
      <c r="AX196" s="190" t="str">
        <f t="shared" si="141"/>
        <v/>
      </c>
      <c r="AY196"/>
      <c r="AZ196" s="190" t="str">
        <f ca="1">IF(ISNUMBER(OFFSET(AV196,-$F$21,0)),SUM(OFFSET($T$100,$F$21,0):$T196),"")</f>
        <v/>
      </c>
      <c r="BA196" s="190" t="str">
        <f t="shared" ref="BA196:BA227" ca="1" si="162">IF(ISNUMBER(OFFSET(AV196,-$F$21,0)),AZ196*(Koc*(Ocse/100)*Pse*Vse)/(Koc*(Ocse/100)*Pse*Vse+1*86400*($B196+1)),"")</f>
        <v/>
      </c>
      <c r="BB196" s="190" t="str">
        <f t="shared" ca="1" si="148"/>
        <v/>
      </c>
      <c r="BC196" s="190"/>
      <c r="BD196" s="190" t="str">
        <f ca="1">IFERROR(IF(AND($B196&gt;=($F$16-$F$15),$B196&lt;$F$22+($F$16-$F$15)),SUM(OFFSET($T$100,($F$16-$F$15),0):$T196),""),"")</f>
        <v/>
      </c>
      <c r="BE196" s="190" t="str">
        <f t="shared" ca="1" si="142"/>
        <v/>
      </c>
      <c r="BF196" s="190" t="str">
        <f t="shared" ca="1" si="143"/>
        <v/>
      </c>
      <c r="BG196"/>
      <c r="BH196" s="190" t="str">
        <f ca="1">IF(ISNUMBER(OFFSET(BD196,-$F$21,0)),SUM(OFFSET($T$100,($F$16-$F$15+$F$21),0):$T196),"")</f>
        <v/>
      </c>
      <c r="BI196" s="190" t="str">
        <f t="shared" ref="BI196:BI227" ca="1" si="163">IF(ISNUMBER(OFFSET(BD196,-$F$21,0)),BH196*(Koc*(Ocse/100)*Pse*Vse)/(Koc*(Ocse/100)*Pse*Vse+1*86400*($B196+1)),"")</f>
        <v/>
      </c>
      <c r="BJ196" s="190" t="str">
        <f t="shared" ca="1" si="144"/>
        <v/>
      </c>
      <c r="BK196" s="190"/>
      <c r="BL196" s="190" t="str">
        <f ca="1">IFERROR(IF(AND($B196&gt;=($F$17-$F$15),$B196&lt;$F$22+($F$17-$F$15)),SUM(OFFSET($T$100,($F$17-$F$15),0):$T196),""),"")</f>
        <v/>
      </c>
      <c r="BM196" s="190" t="str">
        <f t="shared" ref="BM196:BM227" ca="1" si="164">IF(ISNUMBER(BL196),BL196*(Koc*(Ocse/100)*Pse*Vse)/(Koc*(Ocse/100)*Pse*Vse+1*86400*($B196+1)),"")</f>
        <v/>
      </c>
      <c r="BN196" s="190" t="str">
        <f t="shared" ca="1" si="145"/>
        <v/>
      </c>
      <c r="BO196"/>
      <c r="BP196" s="190" t="str">
        <f ca="1">IF(ISNUMBER(OFFSET(BL196,-$F$21,0)),SUM(OFFSET($T$100,($F$17-$F$15+$F$21),0):$T196),"")</f>
        <v/>
      </c>
      <c r="BQ196" s="190" t="str">
        <f t="shared" ref="BQ196:BQ227" ca="1" si="165">IF(ISNUMBER(OFFSET(BL196,-$F$21,0)),BP196*(Koc*(Ocse/100)*Pse*Vse)/(Koc*(Ocse/100)*Pse*Vse+1*86400*($B196+1)),"")</f>
        <v/>
      </c>
      <c r="BR196" s="190" t="str">
        <f t="shared" ca="1" si="146"/>
        <v/>
      </c>
      <c r="BS196" s="190"/>
      <c r="BT196"/>
      <c r="BU196"/>
      <c r="BV196"/>
      <c r="BY196" s="99"/>
      <c r="BZ196" s="99"/>
      <c r="CA196" s="280" t="str">
        <f t="shared" ref="CA196:CA227" si="166">IFERROR(IF($B196&lt;$CA$94,T196*(Koc*(Ocse/100)*Pse*Vse)/(Koc*(Ocse/100)*Pse*Vse+1*86400*$CA$94),""),"-")</f>
        <v/>
      </c>
      <c r="CB196" s="71" t="str">
        <f t="shared" si="122"/>
        <v>-</v>
      </c>
      <c r="CC196" s="33"/>
      <c r="CD196" s="261" t="str">
        <f t="shared" si="123"/>
        <v/>
      </c>
      <c r="CE196" s="280" t="str">
        <f t="shared" ref="CE196:CE227" si="167">IFERROR(IF($B196&lt;$CE$94,T196*(Koc*(Ocse/100)*Pse*Vse)/(Koc*(Ocse/100)*Pse*Vse+1*86400*$CE$94),""),"-")</f>
        <v>-</v>
      </c>
      <c r="CF196" s="71" t="str">
        <f t="shared" ref="CF196:CF227" ca="1" si="168">IFERROR(IF($B196&lt;$CE$94,IF(NOT(ISNUMBER(ffp)),"-",IF($F$70=$AX$87,AX196,IF($F$70=$BB$87,OFFSET(BB196,$F$21,0),IF($F$70=$BF$87,OFFSET(BF196,$F$16,0),IF($F$70=$BJ$87,OFFSET(BJ196,$F$16+$F$21,0),IF($F$70=$BN$87,OFFSET(BN196,$F$17,0),OFFSET(BR196,$F$17+$F$21,0))))))),""),"-")</f>
        <v>-</v>
      </c>
      <c r="CG196" s="33" t="str">
        <f t="shared" si="126"/>
        <v>96-97</v>
      </c>
      <c r="CH196" s="261" t="str">
        <f t="shared" ca="1" si="127"/>
        <v/>
      </c>
    </row>
    <row r="197" spans="2:86" ht="13.5" customHeight="1" x14ac:dyDescent="0.2">
      <c r="B197" s="262">
        <v>97</v>
      </c>
      <c r="C197" s="237" t="str">
        <f t="shared" si="91"/>
        <v/>
      </c>
      <c r="D197" s="237" t="str">
        <f t="shared" si="147"/>
        <v>-</v>
      </c>
      <c r="E197" s="263" t="str">
        <f t="shared" si="128"/>
        <v/>
      </c>
      <c r="F197" s="264" t="str">
        <f t="shared" si="129"/>
        <v/>
      </c>
      <c r="G197" s="264" t="str">
        <f t="shared" si="130"/>
        <v/>
      </c>
      <c r="H197" s="240" t="str">
        <f t="shared" si="149"/>
        <v/>
      </c>
      <c r="I197" s="265" t="str">
        <f t="shared" si="150"/>
        <v/>
      </c>
      <c r="J197" s="265" t="str">
        <f t="shared" si="151"/>
        <v/>
      </c>
      <c r="K197" s="240" t="str">
        <f t="shared" si="152"/>
        <v/>
      </c>
      <c r="L197" s="265" t="str">
        <f t="shared" si="153"/>
        <v/>
      </c>
      <c r="M197" s="265" t="str">
        <f t="shared" si="154"/>
        <v/>
      </c>
      <c r="N197" s="240" t="str">
        <f t="shared" si="155"/>
        <v>-</v>
      </c>
      <c r="O197" s="265" t="str">
        <f t="shared" si="156"/>
        <v>-</v>
      </c>
      <c r="P197" s="265" t="str">
        <f t="shared" si="157"/>
        <v>-</v>
      </c>
      <c r="Q197" s="266" t="str">
        <f t="shared" si="158"/>
        <v>-</v>
      </c>
      <c r="R197" s="267" t="str">
        <f t="shared" si="159"/>
        <v>-</v>
      </c>
      <c r="S197" s="268" t="str">
        <f t="shared" si="160"/>
        <v>-</v>
      </c>
      <c r="T197" s="269" t="str">
        <f t="shared" si="104"/>
        <v/>
      </c>
      <c r="U197" s="221">
        <f t="shared" si="105"/>
        <v>97</v>
      </c>
      <c r="V197" s="220" t="str">
        <f t="shared" si="131"/>
        <v>-</v>
      </c>
      <c r="W197" s="221" t="str">
        <f t="shared" si="132"/>
        <v>-</v>
      </c>
      <c r="X197" s="221" t="str">
        <f t="shared" si="106"/>
        <v>-</v>
      </c>
      <c r="Y197" s="221" t="str">
        <f t="shared" si="107"/>
        <v>-</v>
      </c>
      <c r="Z197" s="270">
        <f t="shared" si="133"/>
        <v>0.1</v>
      </c>
      <c r="AA197" s="271" t="str">
        <f>IFERROR(IF(V196=1,AA$100*EXP(-(LN(2)/$D$65+0.04)*X196)*EXP(-(LN(2)/$D$65+0.1)*Y196),IF(V196=2,AA$100*EXP(-(LN(2)/$D$65+0.04)*(VLOOKUP(($F$16-$F$15)-1,U$99:Y196,4,FALSE)))*EXP(-(LN(2)/$D$65+0.1)*(VLOOKUP(($F$16-$F$15)-1,U$99:Y196,5,FALSE)))*EXP(-(LN(2)/$D$65+0.04)*X196)*EXP(-(LN(2)/$D$65+0.1)*Y196),IF(V196=3,AA$100*EXP(-(LN(2)/$D$65+0.04)*(VLOOKUP(($F$16-$F$15)-1,U$99:Y196,4,FALSE)))*EXP(-(LN(2)/$D$65+0.1)*(VLOOKUP(($F$16-$F$15)-1,U$99:Y196,5,FALSE)))*EXP(-(LN(2)/$D$65+0.04)*(VLOOKUP(($F$16-$F$15)*2-1,U$99:Y196,4,FALSE)))*EXP(-(LN(2)/$D$65+0.1)*(VLOOKUP(($F$16-$F$15)*2-1,U$99:Y196,5,FALSE)))*EXP(-(LN(2)/$D$65+0.04)*X196)*EXP(-(LN(2)/$D$65+0.1)*Y196),"-"))),"-")</f>
        <v>-</v>
      </c>
      <c r="AB197" s="271" t="str">
        <f>IFERROR(IF(V197=1,AB$100*EXP(-(LN(2)/$D$65+0.04)*X197)*EXP(-(LN(2)/$D$65+0.1)*Y197),IF(V197=2,AB$100*EXP(-(LN(2)/$D$65+0.04)*(VLOOKUP(($F$16-$F$15)-1,U$100:Y197,4,FALSE)))*EXP(-(LN(2)/$D$65+0.1)*(VLOOKUP(($F$16-$F$15)-1,U$100:Y197,5,FALSE)))*EXP(-(LN(2)/$D$65+0.04)*X197)*EXP(-(LN(2)/$D$65+0.1)*Y197),IF(V197=3,AB$100*EXP(-(LN(2)/$D$65+0.04)*(VLOOKUP(($F$16-$F$15)-1,U$100:Y197,4,FALSE)))*EXP(-(LN(2)/$D$65+0.1)*(VLOOKUP(($F$16-$F$15)-1,U$100:Y197,5,FALSE)))*EXP(-(LN(2)/$D$65+0.04)*(VLOOKUP(($F$16-$F$15)*2-1,U$100:Y197,4,FALSE)))*EXP(-(LN(2)/$D$65+0.1)*(VLOOKUP(($F$16-$F$15)*2-1,U$100:Y197,5,FALSE)))*EXP(-(LN(2)/$D$65+0.04)*X197)*EXP(-(LN(2)/$D$65+0.1)*Y197),"-"))),"-")</f>
        <v>-</v>
      </c>
      <c r="AC197" s="224">
        <f t="shared" si="134"/>
        <v>97</v>
      </c>
      <c r="AD197" s="223" t="str">
        <f t="shared" si="108"/>
        <v>-</v>
      </c>
      <c r="AE197" s="224" t="str">
        <f t="shared" si="135"/>
        <v>-</v>
      </c>
      <c r="AF197" s="224" t="str">
        <f t="shared" si="109"/>
        <v>-</v>
      </c>
      <c r="AG197" s="224" t="str">
        <f t="shared" si="110"/>
        <v>-</v>
      </c>
      <c r="AH197" s="272">
        <f t="shared" si="136"/>
        <v>0.1</v>
      </c>
      <c r="AI197" s="271" t="str">
        <f>IFERROR(IF(AD196=1,AI$100*EXP(-(LN(2)/$D$65+0.04)*AF196)*EXP(-(LN(2)/$D$65+0.1)*AG196),IF(AD196=2,AI$100*EXP(-(LN(2)/$D$65+0.04)*(VLOOKUP(($F$16-$F$15)-1,AC$99:AG196,4,FALSE)))*EXP(-(LN(2)/$D$65+0.1)*(VLOOKUP(($F$16-$F$15)-1,AC$99:AG196,5,FALSE)))*EXP(-(LN(2)/$D$65+0.04)*AF196)*EXP(-(LN(2)/$D$65+0.1)*AG196),IF(AD196=3,AI$100*EXP(-(LN(2)/$D$65+0.04)*(VLOOKUP(($F$16-$F$15)-1,AC$99:AG196,4,FALSE)))*EXP(-(LN(2)/$D$65+0.1)*(VLOOKUP(($F$16-$F$15)-1,AC$99:AG196,5,FALSE)))*EXP(-(LN(2)/$D$65+0.04)*(VLOOKUP(($F$16-$F$15)*2-1,AC$99:AG196,4,FALSE)))*EXP(-(LN(2)/$D$65+0.1)*(VLOOKUP(($F$16-$F$15)*2-1,AC$99:AG196,5,FALSE)))*EXP(-(LN(2)/$D$65+0.04)*AF196)*EXP(-(LN(2)/$D$65+0.1)*AG196),"-"))),"-")</f>
        <v>-</v>
      </c>
      <c r="AJ197" s="271" t="str">
        <f>IFERROR(IF(AD197=1,AJ$100*EXP(-(LN(2)/$D$65+0.04)*AF197)*EXP(-(LN(2)/$D$65+0.1)*AG197),IF(AD197=2,AJ$100*EXP(-(LN(2)/$D$65+0.04)*(VLOOKUP(($F$16-$F$15)-1,AC$100:AG197,4,FALSE)))*EXP(-(LN(2)/$D$65+0.1)*(VLOOKUP(($F$16-$F$15)-1,AC$100:AG197,5,FALSE)))*EXP(-(LN(2)/$D$65+0.04)*AF197)*EXP(-(LN(2)/$D$65+0.1)*AG197),IF(AD197=3,AJ$100*EXP(-(LN(2)/$D$65+0.04)*(VLOOKUP(($F$16-$F$15)-1,AC$100:AG197,4,FALSE)))*EXP(-(LN(2)/$D$65+0.1)*(VLOOKUP(($F$16-$F$15)-1,AC$100:AG197,5,FALSE)))*EXP(-(LN(2)/$D$65+0.04)*(VLOOKUP(($F$16-$F$15)*2-1,AC$100:AG197,4,FALSE)))*EXP(-(LN(2)/$D$65+0.1)*(VLOOKUP(($F$16-$F$15)*2-1,AC$100:AG197,5,FALSE)))*EXP(-(LN(2)/$D$65+0.04)*AF197)*EXP(-(LN(2)/$D$65+0.1)*AG197),"-"))),"-")</f>
        <v>-</v>
      </c>
      <c r="AK197" s="227">
        <f t="shared" si="137"/>
        <v>97</v>
      </c>
      <c r="AL197" s="226" t="str">
        <f t="shared" si="111"/>
        <v>-</v>
      </c>
      <c r="AM197" s="227" t="str">
        <f t="shared" si="138"/>
        <v>-</v>
      </c>
      <c r="AN197" s="227" t="str">
        <f t="shared" si="139"/>
        <v>-</v>
      </c>
      <c r="AO197" s="227" t="str">
        <f t="shared" si="112"/>
        <v>-</v>
      </c>
      <c r="AP197" s="273">
        <f t="shared" si="140"/>
        <v>0.1</v>
      </c>
      <c r="AQ197" s="271" t="str">
        <f>IFERROR(IF(AL196=1,AQ$100*EXP(-(LN(2)/$D$65+0.04)*AN196)*EXP(-(LN(2)/$D$65+0.1)*AO196),IF(AL196=2,AQ$100*EXP(-(LN(2)/$D$65+0.04)*(VLOOKUP(($F$16-$F$15)-1,AK$99:AO196,4,FALSE)))*EXP(-(LN(2)/$D$65+0.1)*(VLOOKUP(($F$16-$F$15)-1,AK$99:AO196,5,FALSE)))*EXP(-(LN(2)/$D$65+0.04)*AN196)*EXP(-(LN(2)/$D$65+0.1)*AO196),IF(AL196=3,AQ$100*EXP(-(LN(2)/$D$65+0.04)*(VLOOKUP(($F$16-$F$15)-1,AK$99:AO196,4,FALSE)))*EXP(-(LN(2)/$D$65+0.1)*(VLOOKUP(($F$16-$F$15)-1,AK$99:AO196,5,FALSE)))*EXP(-(LN(2)/$D$65+0.04)*(VLOOKUP(($F$16-$F$15)*2-1,AK$99:AO196,4,FALSE)))*EXP(-(LN(2)/$D$65+0.1)*(VLOOKUP(($F$16-$F$15)*2-1,AK$99:AO196,5,FALSE)))*EXP(-(LN(2)/$D$65+0.04)*AN196)*EXP(-(LN(2)/$D$65+0.1)*AO196),"-"))),"-")</f>
        <v>-</v>
      </c>
      <c r="AR197" s="271" t="str">
        <f>IFERROR(IF(AL197=1,AR$100*EXP(-(LN(2)/$D$65+0.04)*AN197)*EXP(-(LN(2)/$D$65+0.1)*AO197),IF(AL197=2,AR$100*EXP(-(LN(2)/$D$65+0.04)*(VLOOKUP(($F$16-$F$15)-1,AK$100:AO197,4,FALSE)))*EXP(-(LN(2)/$D$65+0.1)*(VLOOKUP(($F$16-$F$15)-1,AK$100:AO197,5,FALSE)))*EXP(-(LN(2)/$D$65+0.04)*AN197)*EXP(-(LN(2)/$D$65+0.1)*AO197),IF(AL197=3,AR$100*EXP(-(LN(2)/$D$65+0.04)*(VLOOKUP(($F$16-$F$15)-1,AK$100:AO197,4,FALSE)))*EXP(-(LN(2)/$D$65+0.1)*(VLOOKUP(($F$16-$F$15)-1,AK$100:AO197,5,FALSE)))*EXP(-(LN(2)/$D$65+0.04)*(VLOOKUP(($F$16-$F$15)*2-1,AK$100:AO197,4,FALSE)))*EXP(-(LN(2)/$D$65+0.1)*(VLOOKUP(($F$16-$F$15)*2-1,AK$100:AO197,5,FALSE)))*EXP(-(LN(2)/$D$65+0.04)*AN197)*EXP(-(LN(2)/$D$65+0.1)*AO197),"-"))),"-")</f>
        <v>-</v>
      </c>
      <c r="AS197" s="274">
        <f t="shared" si="113"/>
        <v>0</v>
      </c>
      <c r="AT197" s="274">
        <f t="shared" si="114"/>
        <v>0</v>
      </c>
      <c r="AU197" s="274">
        <f t="shared" si="115"/>
        <v>0</v>
      </c>
      <c r="AV197" s="190">
        <f>IF($B197&lt;$F$22,SUM($T$100:$T197),"")</f>
        <v>0</v>
      </c>
      <c r="AW197" s="190" t="str">
        <f t="shared" si="161"/>
        <v>-</v>
      </c>
      <c r="AX197" s="190" t="str">
        <f t="shared" si="141"/>
        <v/>
      </c>
      <c r="AY197"/>
      <c r="AZ197" s="190" t="str">
        <f ca="1">IF(ISNUMBER(OFFSET(AV197,-$F$21,0)),SUM(OFFSET($T$100,$F$21,0):$T197),"")</f>
        <v/>
      </c>
      <c r="BA197" s="190" t="str">
        <f t="shared" ca="1" si="162"/>
        <v/>
      </c>
      <c r="BB197" s="190" t="str">
        <f t="shared" ca="1" si="148"/>
        <v/>
      </c>
      <c r="BC197" s="190"/>
      <c r="BD197" s="190" t="str">
        <f ca="1">IFERROR(IF(AND($B197&gt;=($F$16-$F$15),$B197&lt;$F$22+($F$16-$F$15)),SUM(OFFSET($T$100,($F$16-$F$15),0):$T197),""),"")</f>
        <v/>
      </c>
      <c r="BE197" s="190" t="str">
        <f t="shared" ca="1" si="142"/>
        <v/>
      </c>
      <c r="BF197" s="190" t="str">
        <f t="shared" ca="1" si="143"/>
        <v/>
      </c>
      <c r="BG197"/>
      <c r="BH197" s="190" t="str">
        <f ca="1">IF(ISNUMBER(OFFSET(BD197,-$F$21,0)),SUM(OFFSET($T$100,($F$16-$F$15+$F$21),0):$T197),"")</f>
        <v/>
      </c>
      <c r="BI197" s="190" t="str">
        <f t="shared" ca="1" si="163"/>
        <v/>
      </c>
      <c r="BJ197" s="190" t="str">
        <f t="shared" ca="1" si="144"/>
        <v/>
      </c>
      <c r="BK197" s="190"/>
      <c r="BL197" s="190" t="str">
        <f ca="1">IFERROR(IF(AND($B197&gt;=($F$17-$F$15),$B197&lt;$F$22+($F$17-$F$15)),SUM(OFFSET($T$100,($F$17-$F$15),0):$T197),""),"")</f>
        <v/>
      </c>
      <c r="BM197" s="190" t="str">
        <f t="shared" ca="1" si="164"/>
        <v/>
      </c>
      <c r="BN197" s="190" t="str">
        <f t="shared" ca="1" si="145"/>
        <v/>
      </c>
      <c r="BO197"/>
      <c r="BP197" s="190" t="str">
        <f ca="1">IF(ISNUMBER(OFFSET(BL197,-$F$21,0)),SUM(OFFSET($T$100,($F$17-$F$15+$F$21),0):$T197),"")</f>
        <v/>
      </c>
      <c r="BQ197" s="190" t="str">
        <f t="shared" ca="1" si="165"/>
        <v/>
      </c>
      <c r="BR197" s="190" t="str">
        <f t="shared" ca="1" si="146"/>
        <v/>
      </c>
      <c r="BS197" s="190"/>
      <c r="BT197"/>
      <c r="BU197"/>
      <c r="BV197"/>
      <c r="BY197" s="99"/>
      <c r="BZ197" s="99"/>
      <c r="CA197" s="280" t="str">
        <f t="shared" si="166"/>
        <v/>
      </c>
      <c r="CB197" s="71" t="str">
        <f t="shared" si="122"/>
        <v>-</v>
      </c>
      <c r="CC197" s="33"/>
      <c r="CD197" s="261" t="str">
        <f t="shared" si="123"/>
        <v/>
      </c>
      <c r="CE197" s="280" t="str">
        <f t="shared" si="167"/>
        <v>-</v>
      </c>
      <c r="CF197" s="71" t="str">
        <f t="shared" ca="1" si="168"/>
        <v>-</v>
      </c>
      <c r="CG197" s="33" t="str">
        <f t="shared" si="126"/>
        <v>97-98</v>
      </c>
      <c r="CH197" s="261" t="str">
        <f t="shared" ca="1" si="127"/>
        <v/>
      </c>
    </row>
    <row r="198" spans="2:86" ht="13.5" customHeight="1" x14ac:dyDescent="0.2">
      <c r="B198" s="262">
        <v>98</v>
      </c>
      <c r="C198" s="237" t="str">
        <f t="shared" si="91"/>
        <v/>
      </c>
      <c r="D198" s="237" t="str">
        <f t="shared" si="147"/>
        <v>-</v>
      </c>
      <c r="E198" s="263" t="str">
        <f t="shared" si="128"/>
        <v/>
      </c>
      <c r="F198" s="264" t="str">
        <f t="shared" si="129"/>
        <v/>
      </c>
      <c r="G198" s="264" t="str">
        <f t="shared" si="130"/>
        <v/>
      </c>
      <c r="H198" s="240" t="str">
        <f t="shared" si="149"/>
        <v/>
      </c>
      <c r="I198" s="265" t="str">
        <f t="shared" si="150"/>
        <v/>
      </c>
      <c r="J198" s="265" t="str">
        <f t="shared" si="151"/>
        <v/>
      </c>
      <c r="K198" s="240" t="str">
        <f t="shared" si="152"/>
        <v/>
      </c>
      <c r="L198" s="265" t="str">
        <f t="shared" si="153"/>
        <v/>
      </c>
      <c r="M198" s="265" t="str">
        <f t="shared" si="154"/>
        <v/>
      </c>
      <c r="N198" s="240" t="str">
        <f t="shared" si="155"/>
        <v>-</v>
      </c>
      <c r="O198" s="265" t="str">
        <f t="shared" si="156"/>
        <v>-</v>
      </c>
      <c r="P198" s="265" t="str">
        <f t="shared" si="157"/>
        <v>-</v>
      </c>
      <c r="Q198" s="266" t="str">
        <f t="shared" si="158"/>
        <v>-</v>
      </c>
      <c r="R198" s="267" t="str">
        <f t="shared" si="159"/>
        <v>-</v>
      </c>
      <c r="S198" s="268" t="str">
        <f t="shared" si="160"/>
        <v>-</v>
      </c>
      <c r="T198" s="269" t="str">
        <f t="shared" si="104"/>
        <v/>
      </c>
      <c r="U198" s="221">
        <f t="shared" si="105"/>
        <v>98</v>
      </c>
      <c r="V198" s="220" t="str">
        <f t="shared" si="131"/>
        <v>-</v>
      </c>
      <c r="W198" s="221" t="str">
        <f t="shared" si="132"/>
        <v>-</v>
      </c>
      <c r="X198" s="221" t="str">
        <f t="shared" si="106"/>
        <v>-</v>
      </c>
      <c r="Y198" s="221" t="str">
        <f t="shared" si="107"/>
        <v>-</v>
      </c>
      <c r="Z198" s="270">
        <f t="shared" si="133"/>
        <v>0.1</v>
      </c>
      <c r="AA198" s="271" t="str">
        <f>IFERROR(IF(V197=1,AA$100*EXP(-(LN(2)/$D$65+0.04)*X197)*EXP(-(LN(2)/$D$65+0.1)*Y197),IF(V197=2,AA$100*EXP(-(LN(2)/$D$65+0.04)*(VLOOKUP(($F$16-$F$15)-1,U$99:Y197,4,FALSE)))*EXP(-(LN(2)/$D$65+0.1)*(VLOOKUP(($F$16-$F$15)-1,U$99:Y197,5,FALSE)))*EXP(-(LN(2)/$D$65+0.04)*X197)*EXP(-(LN(2)/$D$65+0.1)*Y197),IF(V197=3,AA$100*EXP(-(LN(2)/$D$65+0.04)*(VLOOKUP(($F$16-$F$15)-1,U$99:Y197,4,FALSE)))*EXP(-(LN(2)/$D$65+0.1)*(VLOOKUP(($F$16-$F$15)-1,U$99:Y197,5,FALSE)))*EXP(-(LN(2)/$D$65+0.04)*(VLOOKUP(($F$16-$F$15)*2-1,U$99:Y197,4,FALSE)))*EXP(-(LN(2)/$D$65+0.1)*(VLOOKUP(($F$16-$F$15)*2-1,U$99:Y197,5,FALSE)))*EXP(-(LN(2)/$D$65+0.04)*X197)*EXP(-(LN(2)/$D$65+0.1)*Y197),"-"))),"-")</f>
        <v>-</v>
      </c>
      <c r="AB198" s="271" t="str">
        <f>IFERROR(IF(V198=1,AB$100*EXP(-(LN(2)/$D$65+0.04)*X198)*EXP(-(LN(2)/$D$65+0.1)*Y198),IF(V198=2,AB$100*EXP(-(LN(2)/$D$65+0.04)*(VLOOKUP(($F$16-$F$15)-1,U$100:Y198,4,FALSE)))*EXP(-(LN(2)/$D$65+0.1)*(VLOOKUP(($F$16-$F$15)-1,U$100:Y198,5,FALSE)))*EXP(-(LN(2)/$D$65+0.04)*X198)*EXP(-(LN(2)/$D$65+0.1)*Y198),IF(V198=3,AB$100*EXP(-(LN(2)/$D$65+0.04)*(VLOOKUP(($F$16-$F$15)-1,U$100:Y198,4,FALSE)))*EXP(-(LN(2)/$D$65+0.1)*(VLOOKUP(($F$16-$F$15)-1,U$100:Y198,5,FALSE)))*EXP(-(LN(2)/$D$65+0.04)*(VLOOKUP(($F$16-$F$15)*2-1,U$100:Y198,4,FALSE)))*EXP(-(LN(2)/$D$65+0.1)*(VLOOKUP(($F$16-$F$15)*2-1,U$100:Y198,5,FALSE)))*EXP(-(LN(2)/$D$65+0.04)*X198)*EXP(-(LN(2)/$D$65+0.1)*Y198),"-"))),"-")</f>
        <v>-</v>
      </c>
      <c r="AC198" s="224">
        <f t="shared" si="134"/>
        <v>98</v>
      </c>
      <c r="AD198" s="223" t="str">
        <f t="shared" si="108"/>
        <v>-</v>
      </c>
      <c r="AE198" s="224" t="str">
        <f t="shared" si="135"/>
        <v>-</v>
      </c>
      <c r="AF198" s="224" t="str">
        <f t="shared" si="109"/>
        <v>-</v>
      </c>
      <c r="AG198" s="224" t="str">
        <f t="shared" si="110"/>
        <v>-</v>
      </c>
      <c r="AH198" s="272">
        <f t="shared" si="136"/>
        <v>0.1</v>
      </c>
      <c r="AI198" s="271" t="str">
        <f>IFERROR(IF(AD197=1,AI$100*EXP(-(LN(2)/$D$65+0.04)*AF197)*EXP(-(LN(2)/$D$65+0.1)*AG197),IF(AD197=2,AI$100*EXP(-(LN(2)/$D$65+0.04)*(VLOOKUP(($F$16-$F$15)-1,AC$99:AG197,4,FALSE)))*EXP(-(LN(2)/$D$65+0.1)*(VLOOKUP(($F$16-$F$15)-1,AC$99:AG197,5,FALSE)))*EXP(-(LN(2)/$D$65+0.04)*AF197)*EXP(-(LN(2)/$D$65+0.1)*AG197),IF(AD197=3,AI$100*EXP(-(LN(2)/$D$65+0.04)*(VLOOKUP(($F$16-$F$15)-1,AC$99:AG197,4,FALSE)))*EXP(-(LN(2)/$D$65+0.1)*(VLOOKUP(($F$16-$F$15)-1,AC$99:AG197,5,FALSE)))*EXP(-(LN(2)/$D$65+0.04)*(VLOOKUP(($F$16-$F$15)*2-1,AC$99:AG197,4,FALSE)))*EXP(-(LN(2)/$D$65+0.1)*(VLOOKUP(($F$16-$F$15)*2-1,AC$99:AG197,5,FALSE)))*EXP(-(LN(2)/$D$65+0.04)*AF197)*EXP(-(LN(2)/$D$65+0.1)*AG197),"-"))),"-")</f>
        <v>-</v>
      </c>
      <c r="AJ198" s="271" t="str">
        <f>IFERROR(IF(AD198=1,AJ$100*EXP(-(LN(2)/$D$65+0.04)*AF198)*EXP(-(LN(2)/$D$65+0.1)*AG198),IF(AD198=2,AJ$100*EXP(-(LN(2)/$D$65+0.04)*(VLOOKUP(($F$16-$F$15)-1,AC$100:AG198,4,FALSE)))*EXP(-(LN(2)/$D$65+0.1)*(VLOOKUP(($F$16-$F$15)-1,AC$100:AG198,5,FALSE)))*EXP(-(LN(2)/$D$65+0.04)*AF198)*EXP(-(LN(2)/$D$65+0.1)*AG198),IF(AD198=3,AJ$100*EXP(-(LN(2)/$D$65+0.04)*(VLOOKUP(($F$16-$F$15)-1,AC$100:AG198,4,FALSE)))*EXP(-(LN(2)/$D$65+0.1)*(VLOOKUP(($F$16-$F$15)-1,AC$100:AG198,5,FALSE)))*EXP(-(LN(2)/$D$65+0.04)*(VLOOKUP(($F$16-$F$15)*2-1,AC$100:AG198,4,FALSE)))*EXP(-(LN(2)/$D$65+0.1)*(VLOOKUP(($F$16-$F$15)*2-1,AC$100:AG198,5,FALSE)))*EXP(-(LN(2)/$D$65+0.04)*AF198)*EXP(-(LN(2)/$D$65+0.1)*AG198),"-"))),"-")</f>
        <v>-</v>
      </c>
      <c r="AK198" s="227">
        <f t="shared" si="137"/>
        <v>98</v>
      </c>
      <c r="AL198" s="226" t="str">
        <f t="shared" si="111"/>
        <v>-</v>
      </c>
      <c r="AM198" s="227" t="str">
        <f t="shared" si="138"/>
        <v>-</v>
      </c>
      <c r="AN198" s="227" t="str">
        <f t="shared" si="139"/>
        <v>-</v>
      </c>
      <c r="AO198" s="227" t="str">
        <f t="shared" si="112"/>
        <v>-</v>
      </c>
      <c r="AP198" s="273">
        <f t="shared" si="140"/>
        <v>0.1</v>
      </c>
      <c r="AQ198" s="271" t="str">
        <f>IFERROR(IF(AL197=1,AQ$100*EXP(-(LN(2)/$D$65+0.04)*AN197)*EXP(-(LN(2)/$D$65+0.1)*AO197),IF(AL197=2,AQ$100*EXP(-(LN(2)/$D$65+0.04)*(VLOOKUP(($F$16-$F$15)-1,AK$99:AO197,4,FALSE)))*EXP(-(LN(2)/$D$65+0.1)*(VLOOKUP(($F$16-$F$15)-1,AK$99:AO197,5,FALSE)))*EXP(-(LN(2)/$D$65+0.04)*AN197)*EXP(-(LN(2)/$D$65+0.1)*AO197),IF(AL197=3,AQ$100*EXP(-(LN(2)/$D$65+0.04)*(VLOOKUP(($F$16-$F$15)-1,AK$99:AO197,4,FALSE)))*EXP(-(LN(2)/$D$65+0.1)*(VLOOKUP(($F$16-$F$15)-1,AK$99:AO197,5,FALSE)))*EXP(-(LN(2)/$D$65+0.04)*(VLOOKUP(($F$16-$F$15)*2-1,AK$99:AO197,4,FALSE)))*EXP(-(LN(2)/$D$65+0.1)*(VLOOKUP(($F$16-$F$15)*2-1,AK$99:AO197,5,FALSE)))*EXP(-(LN(2)/$D$65+0.04)*AN197)*EXP(-(LN(2)/$D$65+0.1)*AO197),"-"))),"-")</f>
        <v>-</v>
      </c>
      <c r="AR198" s="271" t="str">
        <f>IFERROR(IF(AL198=1,AR$100*EXP(-(LN(2)/$D$65+0.04)*AN198)*EXP(-(LN(2)/$D$65+0.1)*AO198),IF(AL198=2,AR$100*EXP(-(LN(2)/$D$65+0.04)*(VLOOKUP(($F$16-$F$15)-1,AK$100:AO198,4,FALSE)))*EXP(-(LN(2)/$D$65+0.1)*(VLOOKUP(($F$16-$F$15)-1,AK$100:AO198,5,FALSE)))*EXP(-(LN(2)/$D$65+0.04)*AN198)*EXP(-(LN(2)/$D$65+0.1)*AO198),IF(AL198=3,AR$100*EXP(-(LN(2)/$D$65+0.04)*(VLOOKUP(($F$16-$F$15)-1,AK$100:AO198,4,FALSE)))*EXP(-(LN(2)/$D$65+0.1)*(VLOOKUP(($F$16-$F$15)-1,AK$100:AO198,5,FALSE)))*EXP(-(LN(2)/$D$65+0.04)*(VLOOKUP(($F$16-$F$15)*2-1,AK$100:AO198,4,FALSE)))*EXP(-(LN(2)/$D$65+0.1)*(VLOOKUP(($F$16-$F$15)*2-1,AK$100:AO198,5,FALSE)))*EXP(-(LN(2)/$D$65+0.04)*AN198)*EXP(-(LN(2)/$D$65+0.1)*AO198),"-"))),"-")</f>
        <v>-</v>
      </c>
      <c r="AS198" s="274">
        <f t="shared" si="113"/>
        <v>0</v>
      </c>
      <c r="AT198" s="274">
        <f t="shared" si="114"/>
        <v>0</v>
      </c>
      <c r="AU198" s="274">
        <f t="shared" si="115"/>
        <v>0</v>
      </c>
      <c r="AV198" s="190">
        <f>IF($B198&lt;$F$22,SUM($T$100:$T198),"")</f>
        <v>0</v>
      </c>
      <c r="AW198" s="190" t="str">
        <f t="shared" si="161"/>
        <v>-</v>
      </c>
      <c r="AX198" s="190" t="str">
        <f t="shared" si="141"/>
        <v/>
      </c>
      <c r="AY198"/>
      <c r="AZ198" s="190" t="str">
        <f ca="1">IF(ISNUMBER(OFFSET(AV198,-$F$21,0)),SUM(OFFSET($T$100,$F$21,0):$T198),"")</f>
        <v/>
      </c>
      <c r="BA198" s="190" t="str">
        <f t="shared" ca="1" si="162"/>
        <v/>
      </c>
      <c r="BB198" s="190" t="str">
        <f t="shared" ca="1" si="148"/>
        <v/>
      </c>
      <c r="BC198" s="190"/>
      <c r="BD198" s="190" t="str">
        <f ca="1">IFERROR(IF(AND($B198&gt;=($F$16-$F$15),$B198&lt;$F$22+($F$16-$F$15)),SUM(OFFSET($T$100,($F$16-$F$15),0):$T198),""),"")</f>
        <v/>
      </c>
      <c r="BE198" s="190" t="str">
        <f t="shared" ca="1" si="142"/>
        <v/>
      </c>
      <c r="BF198" s="190" t="str">
        <f t="shared" ca="1" si="143"/>
        <v/>
      </c>
      <c r="BG198"/>
      <c r="BH198" s="190" t="str">
        <f ca="1">IF(ISNUMBER(OFFSET(BD198,-$F$21,0)),SUM(OFFSET($T$100,($F$16-$F$15+$F$21),0):$T198),"")</f>
        <v/>
      </c>
      <c r="BI198" s="190" t="str">
        <f t="shared" ca="1" si="163"/>
        <v/>
      </c>
      <c r="BJ198" s="190" t="str">
        <f t="shared" ca="1" si="144"/>
        <v/>
      </c>
      <c r="BK198" s="190"/>
      <c r="BL198" s="190" t="str">
        <f ca="1">IFERROR(IF(AND($B198&gt;=($F$17-$F$15),$B198&lt;$F$22+($F$17-$F$15)),SUM(OFFSET($T$100,($F$17-$F$15),0):$T198),""),"")</f>
        <v/>
      </c>
      <c r="BM198" s="190" t="str">
        <f t="shared" ca="1" si="164"/>
        <v/>
      </c>
      <c r="BN198" s="190" t="str">
        <f t="shared" ca="1" si="145"/>
        <v/>
      </c>
      <c r="BO198"/>
      <c r="BP198" s="190" t="str">
        <f ca="1">IF(ISNUMBER(OFFSET(BL198,-$F$21,0)),SUM(OFFSET($T$100,($F$17-$F$15+$F$21),0):$T198),"")</f>
        <v/>
      </c>
      <c r="BQ198" s="190" t="str">
        <f t="shared" ca="1" si="165"/>
        <v/>
      </c>
      <c r="BR198" s="190" t="str">
        <f t="shared" ca="1" si="146"/>
        <v/>
      </c>
      <c r="BS198" s="190"/>
      <c r="BT198"/>
      <c r="BU198"/>
      <c r="BV198"/>
      <c r="BY198" s="99"/>
      <c r="BZ198" s="99"/>
      <c r="CA198" s="280" t="str">
        <f t="shared" si="166"/>
        <v/>
      </c>
      <c r="CB198" s="71" t="str">
        <f t="shared" si="122"/>
        <v>-</v>
      </c>
      <c r="CC198" s="33"/>
      <c r="CD198" s="261" t="str">
        <f t="shared" si="123"/>
        <v/>
      </c>
      <c r="CE198" s="280" t="str">
        <f t="shared" si="167"/>
        <v>-</v>
      </c>
      <c r="CF198" s="71" t="str">
        <f t="shared" ca="1" si="168"/>
        <v>-</v>
      </c>
      <c r="CG198" s="33" t="str">
        <f t="shared" si="126"/>
        <v>98-99</v>
      </c>
      <c r="CH198" s="261" t="str">
        <f t="shared" ca="1" si="127"/>
        <v/>
      </c>
    </row>
    <row r="199" spans="2:86" ht="13.5" customHeight="1" x14ac:dyDescent="0.2">
      <c r="B199" s="262">
        <v>99</v>
      </c>
      <c r="C199" s="237" t="str">
        <f t="shared" si="91"/>
        <v/>
      </c>
      <c r="D199" s="237" t="str">
        <f t="shared" si="147"/>
        <v>-</v>
      </c>
      <c r="E199" s="263" t="str">
        <f t="shared" si="128"/>
        <v/>
      </c>
      <c r="F199" s="264" t="str">
        <f t="shared" si="129"/>
        <v/>
      </c>
      <c r="G199" s="264" t="str">
        <f t="shared" si="130"/>
        <v/>
      </c>
      <c r="H199" s="240" t="str">
        <f t="shared" si="149"/>
        <v/>
      </c>
      <c r="I199" s="265" t="str">
        <f t="shared" si="150"/>
        <v/>
      </c>
      <c r="J199" s="265" t="str">
        <f t="shared" si="151"/>
        <v/>
      </c>
      <c r="K199" s="240" t="str">
        <f t="shared" si="152"/>
        <v/>
      </c>
      <c r="L199" s="265" t="str">
        <f t="shared" si="153"/>
        <v/>
      </c>
      <c r="M199" s="265" t="str">
        <f t="shared" si="154"/>
        <v/>
      </c>
      <c r="N199" s="240" t="str">
        <f t="shared" si="155"/>
        <v>-</v>
      </c>
      <c r="O199" s="265" t="str">
        <f t="shared" si="156"/>
        <v>-</v>
      </c>
      <c r="P199" s="265" t="str">
        <f t="shared" si="157"/>
        <v>-</v>
      </c>
      <c r="Q199" s="266" t="str">
        <f t="shared" si="158"/>
        <v>-</v>
      </c>
      <c r="R199" s="267" t="str">
        <f t="shared" si="159"/>
        <v>-</v>
      </c>
      <c r="S199" s="268" t="str">
        <f t="shared" si="160"/>
        <v>-</v>
      </c>
      <c r="T199" s="269" t="str">
        <f t="shared" si="104"/>
        <v/>
      </c>
      <c r="U199" s="221">
        <f t="shared" si="105"/>
        <v>99</v>
      </c>
      <c r="V199" s="220" t="str">
        <f t="shared" si="131"/>
        <v>-</v>
      </c>
      <c r="W199" s="221" t="str">
        <f t="shared" si="132"/>
        <v>-</v>
      </c>
      <c r="X199" s="221" t="str">
        <f t="shared" si="106"/>
        <v>-</v>
      </c>
      <c r="Y199" s="221" t="str">
        <f t="shared" si="107"/>
        <v>-</v>
      </c>
      <c r="Z199" s="270">
        <f t="shared" si="133"/>
        <v>0.1</v>
      </c>
      <c r="AA199" s="271" t="str">
        <f>IFERROR(IF(V198=1,AA$100*EXP(-(LN(2)/$D$65+0.04)*X198)*EXP(-(LN(2)/$D$65+0.1)*Y198),IF(V198=2,AA$100*EXP(-(LN(2)/$D$65+0.04)*(VLOOKUP(($F$16-$F$15)-1,U$99:Y198,4,FALSE)))*EXP(-(LN(2)/$D$65+0.1)*(VLOOKUP(($F$16-$F$15)-1,U$99:Y198,5,FALSE)))*EXP(-(LN(2)/$D$65+0.04)*X198)*EXP(-(LN(2)/$D$65+0.1)*Y198),IF(V198=3,AA$100*EXP(-(LN(2)/$D$65+0.04)*(VLOOKUP(($F$16-$F$15)-1,U$99:Y198,4,FALSE)))*EXP(-(LN(2)/$D$65+0.1)*(VLOOKUP(($F$16-$F$15)-1,U$99:Y198,5,FALSE)))*EXP(-(LN(2)/$D$65+0.04)*(VLOOKUP(($F$16-$F$15)*2-1,U$99:Y198,4,FALSE)))*EXP(-(LN(2)/$D$65+0.1)*(VLOOKUP(($F$16-$F$15)*2-1,U$99:Y198,5,FALSE)))*EXP(-(LN(2)/$D$65+0.04)*X198)*EXP(-(LN(2)/$D$65+0.1)*Y198),"-"))),"-")</f>
        <v>-</v>
      </c>
      <c r="AB199" s="271" t="str">
        <f>IFERROR(IF(V199=1,AB$100*EXP(-(LN(2)/$D$65+0.04)*X199)*EXP(-(LN(2)/$D$65+0.1)*Y199),IF(V199=2,AB$100*EXP(-(LN(2)/$D$65+0.04)*(VLOOKUP(($F$16-$F$15)-1,U$100:Y199,4,FALSE)))*EXP(-(LN(2)/$D$65+0.1)*(VLOOKUP(($F$16-$F$15)-1,U$100:Y199,5,FALSE)))*EXP(-(LN(2)/$D$65+0.04)*X199)*EXP(-(LN(2)/$D$65+0.1)*Y199),IF(V199=3,AB$100*EXP(-(LN(2)/$D$65+0.04)*(VLOOKUP(($F$16-$F$15)-1,U$100:Y199,4,FALSE)))*EXP(-(LN(2)/$D$65+0.1)*(VLOOKUP(($F$16-$F$15)-1,U$100:Y199,5,FALSE)))*EXP(-(LN(2)/$D$65+0.04)*(VLOOKUP(($F$16-$F$15)*2-1,U$100:Y199,4,FALSE)))*EXP(-(LN(2)/$D$65+0.1)*(VLOOKUP(($F$16-$F$15)*2-1,U$100:Y199,5,FALSE)))*EXP(-(LN(2)/$D$65+0.04)*X199)*EXP(-(LN(2)/$D$65+0.1)*Y199),"-"))),"-")</f>
        <v>-</v>
      </c>
      <c r="AC199" s="224">
        <f t="shared" si="134"/>
        <v>99</v>
      </c>
      <c r="AD199" s="223" t="str">
        <f t="shared" si="108"/>
        <v>-</v>
      </c>
      <c r="AE199" s="224" t="str">
        <f t="shared" si="135"/>
        <v>-</v>
      </c>
      <c r="AF199" s="224" t="str">
        <f t="shared" si="109"/>
        <v>-</v>
      </c>
      <c r="AG199" s="224" t="str">
        <f t="shared" si="110"/>
        <v>-</v>
      </c>
      <c r="AH199" s="272">
        <f t="shared" si="136"/>
        <v>0.1</v>
      </c>
      <c r="AI199" s="271" t="str">
        <f>IFERROR(IF(AD198=1,AI$100*EXP(-(LN(2)/$D$65+0.04)*AF198)*EXP(-(LN(2)/$D$65+0.1)*AG198),IF(AD198=2,AI$100*EXP(-(LN(2)/$D$65+0.04)*(VLOOKUP(($F$16-$F$15)-1,AC$99:AG198,4,FALSE)))*EXP(-(LN(2)/$D$65+0.1)*(VLOOKUP(($F$16-$F$15)-1,AC$99:AG198,5,FALSE)))*EXP(-(LN(2)/$D$65+0.04)*AF198)*EXP(-(LN(2)/$D$65+0.1)*AG198),IF(AD198=3,AI$100*EXP(-(LN(2)/$D$65+0.04)*(VLOOKUP(($F$16-$F$15)-1,AC$99:AG198,4,FALSE)))*EXP(-(LN(2)/$D$65+0.1)*(VLOOKUP(($F$16-$F$15)-1,AC$99:AG198,5,FALSE)))*EXP(-(LN(2)/$D$65+0.04)*(VLOOKUP(($F$16-$F$15)*2-1,AC$99:AG198,4,FALSE)))*EXP(-(LN(2)/$D$65+0.1)*(VLOOKUP(($F$16-$F$15)*2-1,AC$99:AG198,5,FALSE)))*EXP(-(LN(2)/$D$65+0.04)*AF198)*EXP(-(LN(2)/$D$65+0.1)*AG198),"-"))),"-")</f>
        <v>-</v>
      </c>
      <c r="AJ199" s="271" t="str">
        <f>IFERROR(IF(AD199=1,AJ$100*EXP(-(LN(2)/$D$65+0.04)*AF199)*EXP(-(LN(2)/$D$65+0.1)*AG199),IF(AD199=2,AJ$100*EXP(-(LN(2)/$D$65+0.04)*(VLOOKUP(($F$16-$F$15)-1,AC$100:AG199,4,FALSE)))*EXP(-(LN(2)/$D$65+0.1)*(VLOOKUP(($F$16-$F$15)-1,AC$100:AG199,5,FALSE)))*EXP(-(LN(2)/$D$65+0.04)*AF199)*EXP(-(LN(2)/$D$65+0.1)*AG199),IF(AD199=3,AJ$100*EXP(-(LN(2)/$D$65+0.04)*(VLOOKUP(($F$16-$F$15)-1,AC$100:AG199,4,FALSE)))*EXP(-(LN(2)/$D$65+0.1)*(VLOOKUP(($F$16-$F$15)-1,AC$100:AG199,5,FALSE)))*EXP(-(LN(2)/$D$65+0.04)*(VLOOKUP(($F$16-$F$15)*2-1,AC$100:AG199,4,FALSE)))*EXP(-(LN(2)/$D$65+0.1)*(VLOOKUP(($F$16-$F$15)*2-1,AC$100:AG199,5,FALSE)))*EXP(-(LN(2)/$D$65+0.04)*AF199)*EXP(-(LN(2)/$D$65+0.1)*AG199),"-"))),"-")</f>
        <v>-</v>
      </c>
      <c r="AK199" s="227">
        <f t="shared" si="137"/>
        <v>99</v>
      </c>
      <c r="AL199" s="226" t="str">
        <f t="shared" si="111"/>
        <v>-</v>
      </c>
      <c r="AM199" s="227" t="str">
        <f t="shared" si="138"/>
        <v>-</v>
      </c>
      <c r="AN199" s="227" t="str">
        <f t="shared" si="139"/>
        <v>-</v>
      </c>
      <c r="AO199" s="227" t="str">
        <f t="shared" si="112"/>
        <v>-</v>
      </c>
      <c r="AP199" s="273">
        <f t="shared" si="140"/>
        <v>0.1</v>
      </c>
      <c r="AQ199" s="271" t="str">
        <f>IFERROR(IF(AL198=1,AQ$100*EXP(-(LN(2)/$D$65+0.04)*AN198)*EXP(-(LN(2)/$D$65+0.1)*AO198),IF(AL198=2,AQ$100*EXP(-(LN(2)/$D$65+0.04)*(VLOOKUP(($F$16-$F$15)-1,AK$99:AO198,4,FALSE)))*EXP(-(LN(2)/$D$65+0.1)*(VLOOKUP(($F$16-$F$15)-1,AK$99:AO198,5,FALSE)))*EXP(-(LN(2)/$D$65+0.04)*AN198)*EXP(-(LN(2)/$D$65+0.1)*AO198),IF(AL198=3,AQ$100*EXP(-(LN(2)/$D$65+0.04)*(VLOOKUP(($F$16-$F$15)-1,AK$99:AO198,4,FALSE)))*EXP(-(LN(2)/$D$65+0.1)*(VLOOKUP(($F$16-$F$15)-1,AK$99:AO198,5,FALSE)))*EXP(-(LN(2)/$D$65+0.04)*(VLOOKUP(($F$16-$F$15)*2-1,AK$99:AO198,4,FALSE)))*EXP(-(LN(2)/$D$65+0.1)*(VLOOKUP(($F$16-$F$15)*2-1,AK$99:AO198,5,FALSE)))*EXP(-(LN(2)/$D$65+0.04)*AN198)*EXP(-(LN(2)/$D$65+0.1)*AO198),"-"))),"-")</f>
        <v>-</v>
      </c>
      <c r="AR199" s="271" t="str">
        <f>IFERROR(IF(AL199=1,AR$100*EXP(-(LN(2)/$D$65+0.04)*AN199)*EXP(-(LN(2)/$D$65+0.1)*AO199),IF(AL199=2,AR$100*EXP(-(LN(2)/$D$65+0.04)*(VLOOKUP(($F$16-$F$15)-1,AK$100:AO199,4,FALSE)))*EXP(-(LN(2)/$D$65+0.1)*(VLOOKUP(($F$16-$F$15)-1,AK$100:AO199,5,FALSE)))*EXP(-(LN(2)/$D$65+0.04)*AN199)*EXP(-(LN(2)/$D$65+0.1)*AO199),IF(AL199=3,AR$100*EXP(-(LN(2)/$D$65+0.04)*(VLOOKUP(($F$16-$F$15)-1,AK$100:AO199,4,FALSE)))*EXP(-(LN(2)/$D$65+0.1)*(VLOOKUP(($F$16-$F$15)-1,AK$100:AO199,5,FALSE)))*EXP(-(LN(2)/$D$65+0.04)*(VLOOKUP(($F$16-$F$15)*2-1,AK$100:AO199,4,FALSE)))*EXP(-(LN(2)/$D$65+0.1)*(VLOOKUP(($F$16-$F$15)*2-1,AK$100:AO199,5,FALSE)))*EXP(-(LN(2)/$D$65+0.04)*AN199)*EXP(-(LN(2)/$D$65+0.1)*AO199),"-"))),"-")</f>
        <v>-</v>
      </c>
      <c r="AS199" s="274">
        <f t="shared" si="113"/>
        <v>0</v>
      </c>
      <c r="AT199" s="274">
        <f t="shared" si="114"/>
        <v>0</v>
      </c>
      <c r="AU199" s="274">
        <f t="shared" si="115"/>
        <v>0</v>
      </c>
      <c r="AV199" s="190">
        <f>IF($B199&lt;$F$22,SUM($T$100:$T199),"")</f>
        <v>0</v>
      </c>
      <c r="AW199" s="190" t="str">
        <f t="shared" si="161"/>
        <v>-</v>
      </c>
      <c r="AX199" s="190" t="str">
        <f t="shared" si="141"/>
        <v/>
      </c>
      <c r="AY199"/>
      <c r="AZ199" s="190" t="str">
        <f ca="1">IF(ISNUMBER(OFFSET(AV199,-$F$21,0)),SUM(OFFSET($T$100,$F$21,0):$T199),"")</f>
        <v/>
      </c>
      <c r="BA199" s="190" t="str">
        <f t="shared" ca="1" si="162"/>
        <v/>
      </c>
      <c r="BB199" s="190" t="str">
        <f t="shared" ca="1" si="148"/>
        <v/>
      </c>
      <c r="BC199" s="190"/>
      <c r="BD199" s="190" t="str">
        <f ca="1">IFERROR(IF(AND($B199&gt;=($F$16-$F$15),$B199&lt;$F$22+($F$16-$F$15)),SUM(OFFSET($T$100,($F$16-$F$15),0):$T199),""),"")</f>
        <v/>
      </c>
      <c r="BE199" s="190" t="str">
        <f t="shared" ca="1" si="142"/>
        <v/>
      </c>
      <c r="BF199" s="190" t="str">
        <f t="shared" ca="1" si="143"/>
        <v/>
      </c>
      <c r="BG199"/>
      <c r="BH199" s="190" t="str">
        <f ca="1">IF(ISNUMBER(OFFSET(BD199,-$F$21,0)),SUM(OFFSET($T$100,($F$16-$F$15+$F$21),0):$T199),"")</f>
        <v/>
      </c>
      <c r="BI199" s="190" t="str">
        <f t="shared" ca="1" si="163"/>
        <v/>
      </c>
      <c r="BJ199" s="190" t="str">
        <f t="shared" ca="1" si="144"/>
        <v/>
      </c>
      <c r="BK199" s="190"/>
      <c r="BL199" s="190" t="str">
        <f ca="1">IFERROR(IF(AND($B199&gt;=($F$17-$F$15),$B199&lt;$F$22+($F$17-$F$15)),SUM(OFFSET($T$100,($F$17-$F$15),0):$T199),""),"")</f>
        <v/>
      </c>
      <c r="BM199" s="190" t="str">
        <f t="shared" ca="1" si="164"/>
        <v/>
      </c>
      <c r="BN199" s="190" t="str">
        <f t="shared" ca="1" si="145"/>
        <v/>
      </c>
      <c r="BO199"/>
      <c r="BP199" s="190" t="str">
        <f ca="1">IF(ISNUMBER(OFFSET(BL199,-$F$21,0)),SUM(OFFSET($T$100,($F$17-$F$15+$F$21),0):$T199),"")</f>
        <v/>
      </c>
      <c r="BQ199" s="190" t="str">
        <f t="shared" ca="1" si="165"/>
        <v/>
      </c>
      <c r="BR199" s="190" t="str">
        <f t="shared" ca="1" si="146"/>
        <v/>
      </c>
      <c r="BS199" s="190"/>
      <c r="BT199"/>
      <c r="BU199"/>
      <c r="BV199"/>
      <c r="BY199" s="99"/>
      <c r="BZ199" s="99"/>
      <c r="CA199" s="280" t="str">
        <f t="shared" si="166"/>
        <v/>
      </c>
      <c r="CB199" s="71" t="str">
        <f t="shared" si="122"/>
        <v>-</v>
      </c>
      <c r="CC199" s="33"/>
      <c r="CD199" s="261" t="str">
        <f t="shared" si="123"/>
        <v/>
      </c>
      <c r="CE199" s="280" t="str">
        <f t="shared" si="167"/>
        <v>-</v>
      </c>
      <c r="CF199" s="71" t="str">
        <f t="shared" ca="1" si="168"/>
        <v>-</v>
      </c>
      <c r="CG199" s="33" t="str">
        <f t="shared" si="126"/>
        <v>99-100</v>
      </c>
      <c r="CH199" s="261" t="str">
        <f t="shared" ca="1" si="127"/>
        <v/>
      </c>
    </row>
    <row r="200" spans="2:86" ht="13.5" customHeight="1" x14ac:dyDescent="0.2">
      <c r="B200" s="262">
        <v>100</v>
      </c>
      <c r="C200" s="237" t="str">
        <f t="shared" si="91"/>
        <v/>
      </c>
      <c r="D200" s="237" t="str">
        <f t="shared" si="147"/>
        <v>-</v>
      </c>
      <c r="E200" s="263" t="str">
        <f t="shared" si="128"/>
        <v/>
      </c>
      <c r="F200" s="264" t="str">
        <f t="shared" si="129"/>
        <v/>
      </c>
      <c r="G200" s="264" t="str">
        <f t="shared" si="130"/>
        <v/>
      </c>
      <c r="H200" s="240" t="str">
        <f t="shared" si="149"/>
        <v/>
      </c>
      <c r="I200" s="265" t="str">
        <f t="shared" si="150"/>
        <v/>
      </c>
      <c r="J200" s="265" t="str">
        <f t="shared" si="151"/>
        <v/>
      </c>
      <c r="K200" s="240" t="str">
        <f t="shared" si="152"/>
        <v/>
      </c>
      <c r="L200" s="265" t="str">
        <f t="shared" si="153"/>
        <v/>
      </c>
      <c r="M200" s="265" t="str">
        <f t="shared" si="154"/>
        <v/>
      </c>
      <c r="N200" s="240" t="str">
        <f t="shared" si="155"/>
        <v>-</v>
      </c>
      <c r="O200" s="265" t="str">
        <f t="shared" si="156"/>
        <v>-</v>
      </c>
      <c r="P200" s="265" t="str">
        <f t="shared" si="157"/>
        <v>-</v>
      </c>
      <c r="Q200" s="266" t="str">
        <f t="shared" si="158"/>
        <v>-</v>
      </c>
      <c r="R200" s="267" t="str">
        <f t="shared" si="159"/>
        <v>-</v>
      </c>
      <c r="S200" s="268" t="str">
        <f t="shared" si="160"/>
        <v>-</v>
      </c>
      <c r="T200" s="269" t="str">
        <f t="shared" si="104"/>
        <v/>
      </c>
      <c r="U200" s="221">
        <f t="shared" si="105"/>
        <v>100</v>
      </c>
      <c r="V200" s="220" t="str">
        <f t="shared" si="131"/>
        <v>-</v>
      </c>
      <c r="W200" s="221" t="str">
        <f t="shared" si="132"/>
        <v>-</v>
      </c>
      <c r="X200" s="221" t="str">
        <f t="shared" si="106"/>
        <v>-</v>
      </c>
      <c r="Y200" s="221" t="str">
        <f t="shared" si="107"/>
        <v>-</v>
      </c>
      <c r="Z200" s="270">
        <f t="shared" si="133"/>
        <v>0.1</v>
      </c>
      <c r="AA200" s="271" t="str">
        <f>IFERROR(IF(V199=1,AA$100*EXP(-(LN(2)/$D$65+0.04)*X199)*EXP(-(LN(2)/$D$65+0.1)*Y199),IF(V199=2,AA$100*EXP(-(LN(2)/$D$65+0.04)*(VLOOKUP(($F$16-$F$15)-1,U$99:Y199,4,FALSE)))*EXP(-(LN(2)/$D$65+0.1)*(VLOOKUP(($F$16-$F$15)-1,U$99:Y199,5,FALSE)))*EXP(-(LN(2)/$D$65+0.04)*X199)*EXP(-(LN(2)/$D$65+0.1)*Y199),IF(V199=3,AA$100*EXP(-(LN(2)/$D$65+0.04)*(VLOOKUP(($F$16-$F$15)-1,U$99:Y199,4,FALSE)))*EXP(-(LN(2)/$D$65+0.1)*(VLOOKUP(($F$16-$F$15)-1,U$99:Y199,5,FALSE)))*EXP(-(LN(2)/$D$65+0.04)*(VLOOKUP(($F$16-$F$15)*2-1,U$99:Y199,4,FALSE)))*EXP(-(LN(2)/$D$65+0.1)*(VLOOKUP(($F$16-$F$15)*2-1,U$99:Y199,5,FALSE)))*EXP(-(LN(2)/$D$65+0.04)*X199)*EXP(-(LN(2)/$D$65+0.1)*Y199),"-"))),"-")</f>
        <v>-</v>
      </c>
      <c r="AB200" s="271" t="str">
        <f>IFERROR(IF(V200=1,AB$100*EXP(-(LN(2)/$D$65+0.04)*X200)*EXP(-(LN(2)/$D$65+0.1)*Y200),IF(V200=2,AB$100*EXP(-(LN(2)/$D$65+0.04)*(VLOOKUP(($F$16-$F$15)-1,U$100:Y200,4,FALSE)))*EXP(-(LN(2)/$D$65+0.1)*(VLOOKUP(($F$16-$F$15)-1,U$100:Y200,5,FALSE)))*EXP(-(LN(2)/$D$65+0.04)*X200)*EXP(-(LN(2)/$D$65+0.1)*Y200),IF(V200=3,AB$100*EXP(-(LN(2)/$D$65+0.04)*(VLOOKUP(($F$16-$F$15)-1,U$100:Y200,4,FALSE)))*EXP(-(LN(2)/$D$65+0.1)*(VLOOKUP(($F$16-$F$15)-1,U$100:Y200,5,FALSE)))*EXP(-(LN(2)/$D$65+0.04)*(VLOOKUP(($F$16-$F$15)*2-1,U$100:Y200,4,FALSE)))*EXP(-(LN(2)/$D$65+0.1)*(VLOOKUP(($F$16-$F$15)*2-1,U$100:Y200,5,FALSE)))*EXP(-(LN(2)/$D$65+0.04)*X200)*EXP(-(LN(2)/$D$65+0.1)*Y200),"-"))),"-")</f>
        <v>-</v>
      </c>
      <c r="AC200" s="224">
        <f t="shared" si="134"/>
        <v>100</v>
      </c>
      <c r="AD200" s="223" t="str">
        <f t="shared" si="108"/>
        <v>-</v>
      </c>
      <c r="AE200" s="224" t="str">
        <f t="shared" si="135"/>
        <v>-</v>
      </c>
      <c r="AF200" s="224" t="str">
        <f t="shared" si="109"/>
        <v>-</v>
      </c>
      <c r="AG200" s="224" t="str">
        <f t="shared" si="110"/>
        <v>-</v>
      </c>
      <c r="AH200" s="272">
        <f t="shared" si="136"/>
        <v>0.1</v>
      </c>
      <c r="AI200" s="271" t="str">
        <f>IFERROR(IF(AD199=1,AI$100*EXP(-(LN(2)/$D$65+0.04)*AF199)*EXP(-(LN(2)/$D$65+0.1)*AG199),IF(AD199=2,AI$100*EXP(-(LN(2)/$D$65+0.04)*(VLOOKUP(($F$16-$F$15)-1,AC$99:AG199,4,FALSE)))*EXP(-(LN(2)/$D$65+0.1)*(VLOOKUP(($F$16-$F$15)-1,AC$99:AG199,5,FALSE)))*EXP(-(LN(2)/$D$65+0.04)*AF199)*EXP(-(LN(2)/$D$65+0.1)*AG199),IF(AD199=3,AI$100*EXP(-(LN(2)/$D$65+0.04)*(VLOOKUP(($F$16-$F$15)-1,AC$99:AG199,4,FALSE)))*EXP(-(LN(2)/$D$65+0.1)*(VLOOKUP(($F$16-$F$15)-1,AC$99:AG199,5,FALSE)))*EXP(-(LN(2)/$D$65+0.04)*(VLOOKUP(($F$16-$F$15)*2-1,AC$99:AG199,4,FALSE)))*EXP(-(LN(2)/$D$65+0.1)*(VLOOKUP(($F$16-$F$15)*2-1,AC$99:AG199,5,FALSE)))*EXP(-(LN(2)/$D$65+0.04)*AF199)*EXP(-(LN(2)/$D$65+0.1)*AG199),"-"))),"-")</f>
        <v>-</v>
      </c>
      <c r="AJ200" s="271" t="str">
        <f>IFERROR(IF(AD200=1,AJ$100*EXP(-(LN(2)/$D$65+0.04)*AF200)*EXP(-(LN(2)/$D$65+0.1)*AG200),IF(AD200=2,AJ$100*EXP(-(LN(2)/$D$65+0.04)*(VLOOKUP(($F$16-$F$15)-1,AC$100:AG200,4,FALSE)))*EXP(-(LN(2)/$D$65+0.1)*(VLOOKUP(($F$16-$F$15)-1,AC$100:AG200,5,FALSE)))*EXP(-(LN(2)/$D$65+0.04)*AF200)*EXP(-(LN(2)/$D$65+0.1)*AG200),IF(AD200=3,AJ$100*EXP(-(LN(2)/$D$65+0.04)*(VLOOKUP(($F$16-$F$15)-1,AC$100:AG200,4,FALSE)))*EXP(-(LN(2)/$D$65+0.1)*(VLOOKUP(($F$16-$F$15)-1,AC$100:AG200,5,FALSE)))*EXP(-(LN(2)/$D$65+0.04)*(VLOOKUP(($F$16-$F$15)*2-1,AC$100:AG200,4,FALSE)))*EXP(-(LN(2)/$D$65+0.1)*(VLOOKUP(($F$16-$F$15)*2-1,AC$100:AG200,5,FALSE)))*EXP(-(LN(2)/$D$65+0.04)*AF200)*EXP(-(LN(2)/$D$65+0.1)*AG200),"-"))),"-")</f>
        <v>-</v>
      </c>
      <c r="AK200" s="227">
        <f t="shared" si="137"/>
        <v>100</v>
      </c>
      <c r="AL200" s="226" t="str">
        <f t="shared" si="111"/>
        <v>-</v>
      </c>
      <c r="AM200" s="227" t="str">
        <f t="shared" si="138"/>
        <v>-</v>
      </c>
      <c r="AN200" s="227" t="str">
        <f t="shared" si="139"/>
        <v>-</v>
      </c>
      <c r="AO200" s="227" t="str">
        <f t="shared" si="112"/>
        <v>-</v>
      </c>
      <c r="AP200" s="273">
        <f t="shared" si="140"/>
        <v>0.1</v>
      </c>
      <c r="AQ200" s="271" t="str">
        <f>IFERROR(IF(AL199=1,AQ$100*EXP(-(LN(2)/$D$65+0.04)*AN199)*EXP(-(LN(2)/$D$65+0.1)*AO199),IF(AL199=2,AQ$100*EXP(-(LN(2)/$D$65+0.04)*(VLOOKUP(($F$16-$F$15)-1,AK$99:AO199,4,FALSE)))*EXP(-(LN(2)/$D$65+0.1)*(VLOOKUP(($F$16-$F$15)-1,AK$99:AO199,5,FALSE)))*EXP(-(LN(2)/$D$65+0.04)*AN199)*EXP(-(LN(2)/$D$65+0.1)*AO199),IF(AL199=3,AQ$100*EXP(-(LN(2)/$D$65+0.04)*(VLOOKUP(($F$16-$F$15)-1,AK$99:AO199,4,FALSE)))*EXP(-(LN(2)/$D$65+0.1)*(VLOOKUP(($F$16-$F$15)-1,AK$99:AO199,5,FALSE)))*EXP(-(LN(2)/$D$65+0.04)*(VLOOKUP(($F$16-$F$15)*2-1,AK$99:AO199,4,FALSE)))*EXP(-(LN(2)/$D$65+0.1)*(VLOOKUP(($F$16-$F$15)*2-1,AK$99:AO199,5,FALSE)))*EXP(-(LN(2)/$D$65+0.04)*AN199)*EXP(-(LN(2)/$D$65+0.1)*AO199),"-"))),"-")</f>
        <v>-</v>
      </c>
      <c r="AR200" s="271" t="str">
        <f>IFERROR(IF(AL200=1,AR$100*EXP(-(LN(2)/$D$65+0.04)*AN200)*EXP(-(LN(2)/$D$65+0.1)*AO200),IF(AL200=2,AR$100*EXP(-(LN(2)/$D$65+0.04)*(VLOOKUP(($F$16-$F$15)-1,AK$100:AO200,4,FALSE)))*EXP(-(LN(2)/$D$65+0.1)*(VLOOKUP(($F$16-$F$15)-1,AK$100:AO200,5,FALSE)))*EXP(-(LN(2)/$D$65+0.04)*AN200)*EXP(-(LN(2)/$D$65+0.1)*AO200),IF(AL200=3,AR$100*EXP(-(LN(2)/$D$65+0.04)*(VLOOKUP(($F$16-$F$15)-1,AK$100:AO200,4,FALSE)))*EXP(-(LN(2)/$D$65+0.1)*(VLOOKUP(($F$16-$F$15)-1,AK$100:AO200,5,FALSE)))*EXP(-(LN(2)/$D$65+0.04)*(VLOOKUP(($F$16-$F$15)*2-1,AK$100:AO200,4,FALSE)))*EXP(-(LN(2)/$D$65+0.1)*(VLOOKUP(($F$16-$F$15)*2-1,AK$100:AO200,5,FALSE)))*EXP(-(LN(2)/$D$65+0.04)*AN200)*EXP(-(LN(2)/$D$65+0.1)*AO200),"-"))),"-")</f>
        <v>-</v>
      </c>
      <c r="AS200" s="274">
        <f t="shared" si="113"/>
        <v>0</v>
      </c>
      <c r="AT200" s="274">
        <f t="shared" si="114"/>
        <v>0</v>
      </c>
      <c r="AU200" s="274">
        <f t="shared" si="115"/>
        <v>0</v>
      </c>
      <c r="AV200" s="190">
        <f>IF($B200&lt;$F$22,SUM($T$100:$T200),"")</f>
        <v>0</v>
      </c>
      <c r="AW200" s="190" t="str">
        <f t="shared" si="161"/>
        <v>-</v>
      </c>
      <c r="AX200" s="190" t="str">
        <f t="shared" si="141"/>
        <v/>
      </c>
      <c r="AY200"/>
      <c r="AZ200" s="190" t="str">
        <f ca="1">IF(ISNUMBER(OFFSET(AV200,-$F$21,0)),SUM(OFFSET($T$100,$F$21,0):$T200),"")</f>
        <v/>
      </c>
      <c r="BA200" s="190" t="str">
        <f t="shared" ca="1" si="162"/>
        <v/>
      </c>
      <c r="BB200" s="190" t="str">
        <f t="shared" ca="1" si="148"/>
        <v/>
      </c>
      <c r="BC200" s="190"/>
      <c r="BD200" s="190" t="str">
        <f ca="1">IFERROR(IF(AND($B200&gt;=($F$16-$F$15),$B200&lt;$F$22+($F$16-$F$15)),SUM(OFFSET($T$100,($F$16-$F$15),0):$T200),""),"")</f>
        <v/>
      </c>
      <c r="BE200" s="190" t="str">
        <f t="shared" ca="1" si="142"/>
        <v/>
      </c>
      <c r="BF200" s="190" t="str">
        <f t="shared" ca="1" si="143"/>
        <v/>
      </c>
      <c r="BG200"/>
      <c r="BH200" s="190" t="str">
        <f ca="1">IF(ISNUMBER(OFFSET(BD200,-$F$21,0)),SUM(OFFSET($T$100,($F$16-$F$15+$F$21),0):$T200),"")</f>
        <v/>
      </c>
      <c r="BI200" s="190" t="str">
        <f t="shared" ca="1" si="163"/>
        <v/>
      </c>
      <c r="BJ200" s="190" t="str">
        <f t="shared" ca="1" si="144"/>
        <v/>
      </c>
      <c r="BK200" s="190"/>
      <c r="BL200" s="190" t="str">
        <f ca="1">IFERROR(IF(AND($B200&gt;=($F$17-$F$15),$B200&lt;$F$22+($F$17-$F$15)),SUM(OFFSET($T$100,($F$17-$F$15),0):$T200),""),"")</f>
        <v/>
      </c>
      <c r="BM200" s="190" t="str">
        <f t="shared" ca="1" si="164"/>
        <v/>
      </c>
      <c r="BN200" s="190" t="str">
        <f t="shared" ca="1" si="145"/>
        <v/>
      </c>
      <c r="BO200"/>
      <c r="BP200" s="190" t="str">
        <f ca="1">IF(ISNUMBER(OFFSET(BL200,-$F$21,0)),SUM(OFFSET($T$100,($F$17-$F$15+$F$21),0):$T200),"")</f>
        <v/>
      </c>
      <c r="BQ200" s="190" t="str">
        <f t="shared" ca="1" si="165"/>
        <v/>
      </c>
      <c r="BR200" s="190" t="str">
        <f t="shared" ca="1" si="146"/>
        <v/>
      </c>
      <c r="BS200" s="190"/>
      <c r="BT200"/>
      <c r="BU200"/>
      <c r="BV200"/>
      <c r="BY200" s="99"/>
      <c r="BZ200" s="99"/>
      <c r="CA200" s="280" t="str">
        <f t="shared" si="166"/>
        <v/>
      </c>
      <c r="CB200" s="71" t="str">
        <f t="shared" si="122"/>
        <v>-</v>
      </c>
      <c r="CC200" s="33"/>
      <c r="CD200" s="261" t="str">
        <f t="shared" si="123"/>
        <v/>
      </c>
      <c r="CE200" s="280" t="str">
        <f t="shared" si="167"/>
        <v>-</v>
      </c>
      <c r="CF200" s="71" t="str">
        <f t="shared" ca="1" si="168"/>
        <v>-</v>
      </c>
      <c r="CG200" s="33" t="str">
        <f t="shared" si="126"/>
        <v>100-101</v>
      </c>
      <c r="CH200" s="261" t="str">
        <f t="shared" ca="1" si="127"/>
        <v/>
      </c>
    </row>
    <row r="201" spans="2:86" ht="13.5" customHeight="1" x14ac:dyDescent="0.2">
      <c r="B201" s="262">
        <v>101</v>
      </c>
      <c r="C201" s="237" t="str">
        <f t="shared" si="91"/>
        <v/>
      </c>
      <c r="D201" s="237" t="str">
        <f t="shared" si="147"/>
        <v>-</v>
      </c>
      <c r="E201" s="263" t="str">
        <f t="shared" si="128"/>
        <v/>
      </c>
      <c r="F201" s="264" t="str">
        <f t="shared" si="129"/>
        <v/>
      </c>
      <c r="G201" s="264" t="str">
        <f t="shared" si="130"/>
        <v/>
      </c>
      <c r="H201" s="240" t="str">
        <f t="shared" si="149"/>
        <v/>
      </c>
      <c r="I201" s="265" t="str">
        <f t="shared" si="150"/>
        <v/>
      </c>
      <c r="J201" s="265" t="str">
        <f t="shared" si="151"/>
        <v/>
      </c>
      <c r="K201" s="240" t="str">
        <f t="shared" si="152"/>
        <v/>
      </c>
      <c r="L201" s="265" t="str">
        <f t="shared" si="153"/>
        <v/>
      </c>
      <c r="M201" s="265" t="str">
        <f t="shared" si="154"/>
        <v/>
      </c>
      <c r="N201" s="240" t="str">
        <f t="shared" si="155"/>
        <v>-</v>
      </c>
      <c r="O201" s="265" t="str">
        <f t="shared" si="156"/>
        <v>-</v>
      </c>
      <c r="P201" s="265" t="str">
        <f t="shared" si="157"/>
        <v>-</v>
      </c>
      <c r="Q201" s="266" t="str">
        <f t="shared" si="158"/>
        <v>-</v>
      </c>
      <c r="R201" s="267" t="str">
        <f t="shared" si="159"/>
        <v>-</v>
      </c>
      <c r="S201" s="268" t="str">
        <f t="shared" si="160"/>
        <v>-</v>
      </c>
      <c r="T201" s="269" t="str">
        <f t="shared" si="104"/>
        <v/>
      </c>
      <c r="U201" s="221">
        <f t="shared" si="105"/>
        <v>101</v>
      </c>
      <c r="V201" s="220" t="str">
        <f t="shared" si="131"/>
        <v>-</v>
      </c>
      <c r="W201" s="221" t="str">
        <f t="shared" si="132"/>
        <v>-</v>
      </c>
      <c r="X201" s="221" t="str">
        <f t="shared" si="106"/>
        <v>-</v>
      </c>
      <c r="Y201" s="221" t="str">
        <f t="shared" si="107"/>
        <v>-</v>
      </c>
      <c r="Z201" s="270">
        <f t="shared" si="133"/>
        <v>0.1</v>
      </c>
      <c r="AA201" s="271" t="str">
        <f>IFERROR(IF(V200=1,AA$100*EXP(-(LN(2)/$D$65+0.04)*X200)*EXP(-(LN(2)/$D$65+0.1)*Y200),IF(V200=2,AA$100*EXP(-(LN(2)/$D$65+0.04)*(VLOOKUP(($F$16-$F$15)-1,U$99:Y200,4,FALSE)))*EXP(-(LN(2)/$D$65+0.1)*(VLOOKUP(($F$16-$F$15)-1,U$99:Y200,5,FALSE)))*EXP(-(LN(2)/$D$65+0.04)*X200)*EXP(-(LN(2)/$D$65+0.1)*Y200),IF(V200=3,AA$100*EXP(-(LN(2)/$D$65+0.04)*(VLOOKUP(($F$16-$F$15)-1,U$99:Y200,4,FALSE)))*EXP(-(LN(2)/$D$65+0.1)*(VLOOKUP(($F$16-$F$15)-1,U$99:Y200,5,FALSE)))*EXP(-(LN(2)/$D$65+0.04)*(VLOOKUP(($F$16-$F$15)*2-1,U$99:Y200,4,FALSE)))*EXP(-(LN(2)/$D$65+0.1)*(VLOOKUP(($F$16-$F$15)*2-1,U$99:Y200,5,FALSE)))*EXP(-(LN(2)/$D$65+0.04)*X200)*EXP(-(LN(2)/$D$65+0.1)*Y200),"-"))),"-")</f>
        <v>-</v>
      </c>
      <c r="AB201" s="271" t="str">
        <f>IFERROR(IF(V201=1,AB$100*EXP(-(LN(2)/$D$65+0.04)*X201)*EXP(-(LN(2)/$D$65+0.1)*Y201),IF(V201=2,AB$100*EXP(-(LN(2)/$D$65+0.04)*(VLOOKUP(($F$16-$F$15)-1,U$100:Y201,4,FALSE)))*EXP(-(LN(2)/$D$65+0.1)*(VLOOKUP(($F$16-$F$15)-1,U$100:Y201,5,FALSE)))*EXP(-(LN(2)/$D$65+0.04)*X201)*EXP(-(LN(2)/$D$65+0.1)*Y201),IF(V201=3,AB$100*EXP(-(LN(2)/$D$65+0.04)*(VLOOKUP(($F$16-$F$15)-1,U$100:Y201,4,FALSE)))*EXP(-(LN(2)/$D$65+0.1)*(VLOOKUP(($F$16-$F$15)-1,U$100:Y201,5,FALSE)))*EXP(-(LN(2)/$D$65+0.04)*(VLOOKUP(($F$16-$F$15)*2-1,U$100:Y201,4,FALSE)))*EXP(-(LN(2)/$D$65+0.1)*(VLOOKUP(($F$16-$F$15)*2-1,U$100:Y201,5,FALSE)))*EXP(-(LN(2)/$D$65+0.04)*X201)*EXP(-(LN(2)/$D$65+0.1)*Y201),"-"))),"-")</f>
        <v>-</v>
      </c>
      <c r="AC201" s="224">
        <f t="shared" si="134"/>
        <v>101</v>
      </c>
      <c r="AD201" s="223" t="str">
        <f t="shared" si="108"/>
        <v>-</v>
      </c>
      <c r="AE201" s="224" t="str">
        <f t="shared" si="135"/>
        <v>-</v>
      </c>
      <c r="AF201" s="224" t="str">
        <f t="shared" si="109"/>
        <v>-</v>
      </c>
      <c r="AG201" s="224" t="str">
        <f t="shared" si="110"/>
        <v>-</v>
      </c>
      <c r="AH201" s="272">
        <f t="shared" si="136"/>
        <v>0.1</v>
      </c>
      <c r="AI201" s="271" t="str">
        <f>IFERROR(IF(AD200=1,AI$100*EXP(-(LN(2)/$D$65+0.04)*AF200)*EXP(-(LN(2)/$D$65+0.1)*AG200),IF(AD200=2,AI$100*EXP(-(LN(2)/$D$65+0.04)*(VLOOKUP(($F$16-$F$15)-1,AC$99:AG200,4,FALSE)))*EXP(-(LN(2)/$D$65+0.1)*(VLOOKUP(($F$16-$F$15)-1,AC$99:AG200,5,FALSE)))*EXP(-(LN(2)/$D$65+0.04)*AF200)*EXP(-(LN(2)/$D$65+0.1)*AG200),IF(AD200=3,AI$100*EXP(-(LN(2)/$D$65+0.04)*(VLOOKUP(($F$16-$F$15)-1,AC$99:AG200,4,FALSE)))*EXP(-(LN(2)/$D$65+0.1)*(VLOOKUP(($F$16-$F$15)-1,AC$99:AG200,5,FALSE)))*EXP(-(LN(2)/$D$65+0.04)*(VLOOKUP(($F$16-$F$15)*2-1,AC$99:AG200,4,FALSE)))*EXP(-(LN(2)/$D$65+0.1)*(VLOOKUP(($F$16-$F$15)*2-1,AC$99:AG200,5,FALSE)))*EXP(-(LN(2)/$D$65+0.04)*AF200)*EXP(-(LN(2)/$D$65+0.1)*AG200),"-"))),"-")</f>
        <v>-</v>
      </c>
      <c r="AJ201" s="271" t="str">
        <f>IFERROR(IF(AD201=1,AJ$100*EXP(-(LN(2)/$D$65+0.04)*AF201)*EXP(-(LN(2)/$D$65+0.1)*AG201),IF(AD201=2,AJ$100*EXP(-(LN(2)/$D$65+0.04)*(VLOOKUP(($F$16-$F$15)-1,AC$100:AG201,4,FALSE)))*EXP(-(LN(2)/$D$65+0.1)*(VLOOKUP(($F$16-$F$15)-1,AC$100:AG201,5,FALSE)))*EXP(-(LN(2)/$D$65+0.04)*AF201)*EXP(-(LN(2)/$D$65+0.1)*AG201),IF(AD201=3,AJ$100*EXP(-(LN(2)/$D$65+0.04)*(VLOOKUP(($F$16-$F$15)-1,AC$100:AG201,4,FALSE)))*EXP(-(LN(2)/$D$65+0.1)*(VLOOKUP(($F$16-$F$15)-1,AC$100:AG201,5,FALSE)))*EXP(-(LN(2)/$D$65+0.04)*(VLOOKUP(($F$16-$F$15)*2-1,AC$100:AG201,4,FALSE)))*EXP(-(LN(2)/$D$65+0.1)*(VLOOKUP(($F$16-$F$15)*2-1,AC$100:AG201,5,FALSE)))*EXP(-(LN(2)/$D$65+0.04)*AF201)*EXP(-(LN(2)/$D$65+0.1)*AG201),"-"))),"-")</f>
        <v>-</v>
      </c>
      <c r="AK201" s="227">
        <f t="shared" si="137"/>
        <v>101</v>
      </c>
      <c r="AL201" s="226" t="str">
        <f t="shared" si="111"/>
        <v>-</v>
      </c>
      <c r="AM201" s="227" t="str">
        <f t="shared" si="138"/>
        <v>-</v>
      </c>
      <c r="AN201" s="227" t="str">
        <f t="shared" si="139"/>
        <v>-</v>
      </c>
      <c r="AO201" s="227" t="str">
        <f t="shared" si="112"/>
        <v>-</v>
      </c>
      <c r="AP201" s="273">
        <f t="shared" si="140"/>
        <v>0.1</v>
      </c>
      <c r="AQ201" s="271" t="str">
        <f>IFERROR(IF(AL200=1,AQ$100*EXP(-(LN(2)/$D$65+0.04)*AN200)*EXP(-(LN(2)/$D$65+0.1)*AO200),IF(AL200=2,AQ$100*EXP(-(LN(2)/$D$65+0.04)*(VLOOKUP(($F$16-$F$15)-1,AK$99:AO200,4,FALSE)))*EXP(-(LN(2)/$D$65+0.1)*(VLOOKUP(($F$16-$F$15)-1,AK$99:AO200,5,FALSE)))*EXP(-(LN(2)/$D$65+0.04)*AN200)*EXP(-(LN(2)/$D$65+0.1)*AO200),IF(AL200=3,AQ$100*EXP(-(LN(2)/$D$65+0.04)*(VLOOKUP(($F$16-$F$15)-1,AK$99:AO200,4,FALSE)))*EXP(-(LN(2)/$D$65+0.1)*(VLOOKUP(($F$16-$F$15)-1,AK$99:AO200,5,FALSE)))*EXP(-(LN(2)/$D$65+0.04)*(VLOOKUP(($F$16-$F$15)*2-1,AK$99:AO200,4,FALSE)))*EXP(-(LN(2)/$D$65+0.1)*(VLOOKUP(($F$16-$F$15)*2-1,AK$99:AO200,5,FALSE)))*EXP(-(LN(2)/$D$65+0.04)*AN200)*EXP(-(LN(2)/$D$65+0.1)*AO200),"-"))),"-")</f>
        <v>-</v>
      </c>
      <c r="AR201" s="271" t="str">
        <f>IFERROR(IF(AL201=1,AR$100*EXP(-(LN(2)/$D$65+0.04)*AN201)*EXP(-(LN(2)/$D$65+0.1)*AO201),IF(AL201=2,AR$100*EXP(-(LN(2)/$D$65+0.04)*(VLOOKUP(($F$16-$F$15)-1,AK$100:AO201,4,FALSE)))*EXP(-(LN(2)/$D$65+0.1)*(VLOOKUP(($F$16-$F$15)-1,AK$100:AO201,5,FALSE)))*EXP(-(LN(2)/$D$65+0.04)*AN201)*EXP(-(LN(2)/$D$65+0.1)*AO201),IF(AL201=3,AR$100*EXP(-(LN(2)/$D$65+0.04)*(VLOOKUP(($F$16-$F$15)-1,AK$100:AO201,4,FALSE)))*EXP(-(LN(2)/$D$65+0.1)*(VLOOKUP(($F$16-$F$15)-1,AK$100:AO201,5,FALSE)))*EXP(-(LN(2)/$D$65+0.04)*(VLOOKUP(($F$16-$F$15)*2-1,AK$100:AO201,4,FALSE)))*EXP(-(LN(2)/$D$65+0.1)*(VLOOKUP(($F$16-$F$15)*2-1,AK$100:AO201,5,FALSE)))*EXP(-(LN(2)/$D$65+0.04)*AN201)*EXP(-(LN(2)/$D$65+0.1)*AO201),"-"))),"-")</f>
        <v>-</v>
      </c>
      <c r="AS201" s="274">
        <f t="shared" si="113"/>
        <v>0</v>
      </c>
      <c r="AT201" s="274">
        <f t="shared" si="114"/>
        <v>0</v>
      </c>
      <c r="AU201" s="274">
        <f t="shared" si="115"/>
        <v>0</v>
      </c>
      <c r="AV201" s="190">
        <f>IF($B201&lt;$F$22,SUM($T$100:$T201),"")</f>
        <v>0</v>
      </c>
      <c r="AW201" s="190" t="str">
        <f t="shared" si="161"/>
        <v>-</v>
      </c>
      <c r="AX201" s="190" t="str">
        <f t="shared" si="141"/>
        <v/>
      </c>
      <c r="AY201"/>
      <c r="AZ201" s="190" t="str">
        <f ca="1">IF(ISNUMBER(OFFSET(AV201,-$F$21,0)),SUM(OFFSET($T$100,$F$21,0):$T201),"")</f>
        <v/>
      </c>
      <c r="BA201" s="190" t="str">
        <f t="shared" ca="1" si="162"/>
        <v/>
      </c>
      <c r="BB201" s="190" t="str">
        <f t="shared" ca="1" si="148"/>
        <v/>
      </c>
      <c r="BC201" s="190"/>
      <c r="BD201" s="190" t="str">
        <f ca="1">IFERROR(IF(AND($B201&gt;=($F$16-$F$15),$B201&lt;$F$22+($F$16-$F$15)),SUM(OFFSET($T$100,($F$16-$F$15),0):$T201),""),"")</f>
        <v/>
      </c>
      <c r="BE201" s="190" t="str">
        <f t="shared" ca="1" si="142"/>
        <v/>
      </c>
      <c r="BF201" s="190" t="str">
        <f t="shared" ca="1" si="143"/>
        <v/>
      </c>
      <c r="BG201"/>
      <c r="BH201" s="190" t="str">
        <f ca="1">IF(ISNUMBER(OFFSET(BD201,-$F$21,0)),SUM(OFFSET($T$100,($F$16-$F$15+$F$21),0):$T201),"")</f>
        <v/>
      </c>
      <c r="BI201" s="190" t="str">
        <f t="shared" ca="1" si="163"/>
        <v/>
      </c>
      <c r="BJ201" s="190" t="str">
        <f t="shared" ca="1" si="144"/>
        <v/>
      </c>
      <c r="BK201" s="190"/>
      <c r="BL201" s="190" t="str">
        <f ca="1">IFERROR(IF(AND($B201&gt;=($F$17-$F$15),$B201&lt;$F$22+($F$17-$F$15)),SUM(OFFSET($T$100,($F$17-$F$15),0):$T201),""),"")</f>
        <v/>
      </c>
      <c r="BM201" s="190" t="str">
        <f t="shared" ca="1" si="164"/>
        <v/>
      </c>
      <c r="BN201" s="190" t="str">
        <f t="shared" ca="1" si="145"/>
        <v/>
      </c>
      <c r="BO201"/>
      <c r="BP201" s="190" t="str">
        <f ca="1">IF(ISNUMBER(OFFSET(BL201,-$F$21,0)),SUM(OFFSET($T$100,($F$17-$F$15+$F$21),0):$T201),"")</f>
        <v/>
      </c>
      <c r="BQ201" s="190" t="str">
        <f t="shared" ca="1" si="165"/>
        <v/>
      </c>
      <c r="BR201" s="190" t="str">
        <f t="shared" ca="1" si="146"/>
        <v/>
      </c>
      <c r="BS201" s="190"/>
      <c r="BT201"/>
      <c r="BU201"/>
      <c r="BV201"/>
      <c r="BY201" s="99"/>
      <c r="BZ201" s="99"/>
      <c r="CA201" s="280" t="str">
        <f t="shared" si="166"/>
        <v/>
      </c>
      <c r="CB201" s="71" t="str">
        <f t="shared" si="122"/>
        <v>-</v>
      </c>
      <c r="CC201" s="33"/>
      <c r="CD201" s="261" t="str">
        <f t="shared" si="123"/>
        <v/>
      </c>
      <c r="CE201" s="280" t="str">
        <f t="shared" si="167"/>
        <v>-</v>
      </c>
      <c r="CF201" s="71" t="str">
        <f t="shared" ca="1" si="168"/>
        <v>-</v>
      </c>
      <c r="CG201" s="33" t="str">
        <f t="shared" si="126"/>
        <v>101-102</v>
      </c>
      <c r="CH201" s="261" t="str">
        <f t="shared" ca="1" si="127"/>
        <v/>
      </c>
    </row>
    <row r="202" spans="2:86" ht="13.5" customHeight="1" x14ac:dyDescent="0.2">
      <c r="B202" s="262">
        <v>102</v>
      </c>
      <c r="C202" s="237" t="str">
        <f t="shared" si="91"/>
        <v/>
      </c>
      <c r="D202" s="237" t="str">
        <f t="shared" si="147"/>
        <v>-</v>
      </c>
      <c r="E202" s="263" t="str">
        <f t="shared" si="128"/>
        <v/>
      </c>
      <c r="F202" s="264" t="str">
        <f t="shared" si="129"/>
        <v/>
      </c>
      <c r="G202" s="264" t="str">
        <f t="shared" si="130"/>
        <v/>
      </c>
      <c r="H202" s="240" t="str">
        <f t="shared" si="149"/>
        <v/>
      </c>
      <c r="I202" s="265" t="str">
        <f t="shared" si="150"/>
        <v/>
      </c>
      <c r="J202" s="265" t="str">
        <f t="shared" si="151"/>
        <v/>
      </c>
      <c r="K202" s="240" t="str">
        <f t="shared" si="152"/>
        <v/>
      </c>
      <c r="L202" s="265" t="str">
        <f t="shared" si="153"/>
        <v/>
      </c>
      <c r="M202" s="265" t="str">
        <f t="shared" si="154"/>
        <v/>
      </c>
      <c r="N202" s="240" t="str">
        <f t="shared" si="155"/>
        <v>-</v>
      </c>
      <c r="O202" s="265" t="str">
        <f t="shared" si="156"/>
        <v>-</v>
      </c>
      <c r="P202" s="265" t="str">
        <f t="shared" si="157"/>
        <v>-</v>
      </c>
      <c r="Q202" s="266" t="str">
        <f t="shared" si="158"/>
        <v>-</v>
      </c>
      <c r="R202" s="267" t="str">
        <f t="shared" si="159"/>
        <v>-</v>
      </c>
      <c r="S202" s="268" t="str">
        <f t="shared" si="160"/>
        <v>-</v>
      </c>
      <c r="T202" s="269" t="str">
        <f t="shared" si="104"/>
        <v/>
      </c>
      <c r="U202" s="221">
        <f t="shared" si="105"/>
        <v>102</v>
      </c>
      <c r="V202" s="220" t="str">
        <f t="shared" si="131"/>
        <v>-</v>
      </c>
      <c r="W202" s="221" t="str">
        <f t="shared" si="132"/>
        <v>-</v>
      </c>
      <c r="X202" s="221" t="str">
        <f t="shared" si="106"/>
        <v>-</v>
      </c>
      <c r="Y202" s="221" t="str">
        <f t="shared" si="107"/>
        <v>-</v>
      </c>
      <c r="Z202" s="270">
        <f t="shared" si="133"/>
        <v>0.1</v>
      </c>
      <c r="AA202" s="271" t="str">
        <f>IFERROR(IF(V201=1,AA$100*EXP(-(LN(2)/$D$65+0.04)*X201)*EXP(-(LN(2)/$D$65+0.1)*Y201),IF(V201=2,AA$100*EXP(-(LN(2)/$D$65+0.04)*(VLOOKUP(($F$16-$F$15)-1,U$99:Y201,4,FALSE)))*EXP(-(LN(2)/$D$65+0.1)*(VLOOKUP(($F$16-$F$15)-1,U$99:Y201,5,FALSE)))*EXP(-(LN(2)/$D$65+0.04)*X201)*EXP(-(LN(2)/$D$65+0.1)*Y201),IF(V201=3,AA$100*EXP(-(LN(2)/$D$65+0.04)*(VLOOKUP(($F$16-$F$15)-1,U$99:Y201,4,FALSE)))*EXP(-(LN(2)/$D$65+0.1)*(VLOOKUP(($F$16-$F$15)-1,U$99:Y201,5,FALSE)))*EXP(-(LN(2)/$D$65+0.04)*(VLOOKUP(($F$16-$F$15)*2-1,U$99:Y201,4,FALSE)))*EXP(-(LN(2)/$D$65+0.1)*(VLOOKUP(($F$16-$F$15)*2-1,U$99:Y201,5,FALSE)))*EXP(-(LN(2)/$D$65+0.04)*X201)*EXP(-(LN(2)/$D$65+0.1)*Y201),"-"))),"-")</f>
        <v>-</v>
      </c>
      <c r="AB202" s="271" t="str">
        <f>IFERROR(IF(V202=1,AB$100*EXP(-(LN(2)/$D$65+0.04)*X202)*EXP(-(LN(2)/$D$65+0.1)*Y202),IF(V202=2,AB$100*EXP(-(LN(2)/$D$65+0.04)*(VLOOKUP(($F$16-$F$15)-1,U$100:Y202,4,FALSE)))*EXP(-(LN(2)/$D$65+0.1)*(VLOOKUP(($F$16-$F$15)-1,U$100:Y202,5,FALSE)))*EXP(-(LN(2)/$D$65+0.04)*X202)*EXP(-(LN(2)/$D$65+0.1)*Y202),IF(V202=3,AB$100*EXP(-(LN(2)/$D$65+0.04)*(VLOOKUP(($F$16-$F$15)-1,U$100:Y202,4,FALSE)))*EXP(-(LN(2)/$D$65+0.1)*(VLOOKUP(($F$16-$F$15)-1,U$100:Y202,5,FALSE)))*EXP(-(LN(2)/$D$65+0.04)*(VLOOKUP(($F$16-$F$15)*2-1,U$100:Y202,4,FALSE)))*EXP(-(LN(2)/$D$65+0.1)*(VLOOKUP(($F$16-$F$15)*2-1,U$100:Y202,5,FALSE)))*EXP(-(LN(2)/$D$65+0.04)*X202)*EXP(-(LN(2)/$D$65+0.1)*Y202),"-"))),"-")</f>
        <v>-</v>
      </c>
      <c r="AC202" s="224">
        <f t="shared" si="134"/>
        <v>102</v>
      </c>
      <c r="AD202" s="223" t="str">
        <f t="shared" si="108"/>
        <v>-</v>
      </c>
      <c r="AE202" s="224" t="str">
        <f t="shared" si="135"/>
        <v>-</v>
      </c>
      <c r="AF202" s="224" t="str">
        <f t="shared" si="109"/>
        <v>-</v>
      </c>
      <c r="AG202" s="224" t="str">
        <f t="shared" si="110"/>
        <v>-</v>
      </c>
      <c r="AH202" s="272">
        <f t="shared" si="136"/>
        <v>0.1</v>
      </c>
      <c r="AI202" s="271" t="str">
        <f>IFERROR(IF(AD201=1,AI$100*EXP(-(LN(2)/$D$65+0.04)*AF201)*EXP(-(LN(2)/$D$65+0.1)*AG201),IF(AD201=2,AI$100*EXP(-(LN(2)/$D$65+0.04)*(VLOOKUP(($F$16-$F$15)-1,AC$99:AG201,4,FALSE)))*EXP(-(LN(2)/$D$65+0.1)*(VLOOKUP(($F$16-$F$15)-1,AC$99:AG201,5,FALSE)))*EXP(-(LN(2)/$D$65+0.04)*AF201)*EXP(-(LN(2)/$D$65+0.1)*AG201),IF(AD201=3,AI$100*EXP(-(LN(2)/$D$65+0.04)*(VLOOKUP(($F$16-$F$15)-1,AC$99:AG201,4,FALSE)))*EXP(-(LN(2)/$D$65+0.1)*(VLOOKUP(($F$16-$F$15)-1,AC$99:AG201,5,FALSE)))*EXP(-(LN(2)/$D$65+0.04)*(VLOOKUP(($F$16-$F$15)*2-1,AC$99:AG201,4,FALSE)))*EXP(-(LN(2)/$D$65+0.1)*(VLOOKUP(($F$16-$F$15)*2-1,AC$99:AG201,5,FALSE)))*EXP(-(LN(2)/$D$65+0.04)*AF201)*EXP(-(LN(2)/$D$65+0.1)*AG201),"-"))),"-")</f>
        <v>-</v>
      </c>
      <c r="AJ202" s="271" t="str">
        <f>IFERROR(IF(AD202=1,AJ$100*EXP(-(LN(2)/$D$65+0.04)*AF202)*EXP(-(LN(2)/$D$65+0.1)*AG202),IF(AD202=2,AJ$100*EXP(-(LN(2)/$D$65+0.04)*(VLOOKUP(($F$16-$F$15)-1,AC$100:AG202,4,FALSE)))*EXP(-(LN(2)/$D$65+0.1)*(VLOOKUP(($F$16-$F$15)-1,AC$100:AG202,5,FALSE)))*EXP(-(LN(2)/$D$65+0.04)*AF202)*EXP(-(LN(2)/$D$65+0.1)*AG202),IF(AD202=3,AJ$100*EXP(-(LN(2)/$D$65+0.04)*(VLOOKUP(($F$16-$F$15)-1,AC$100:AG202,4,FALSE)))*EXP(-(LN(2)/$D$65+0.1)*(VLOOKUP(($F$16-$F$15)-1,AC$100:AG202,5,FALSE)))*EXP(-(LN(2)/$D$65+0.04)*(VLOOKUP(($F$16-$F$15)*2-1,AC$100:AG202,4,FALSE)))*EXP(-(LN(2)/$D$65+0.1)*(VLOOKUP(($F$16-$F$15)*2-1,AC$100:AG202,5,FALSE)))*EXP(-(LN(2)/$D$65+0.04)*AF202)*EXP(-(LN(2)/$D$65+0.1)*AG202),"-"))),"-")</f>
        <v>-</v>
      </c>
      <c r="AK202" s="227">
        <f t="shared" si="137"/>
        <v>102</v>
      </c>
      <c r="AL202" s="226" t="str">
        <f t="shared" si="111"/>
        <v>-</v>
      </c>
      <c r="AM202" s="227" t="str">
        <f t="shared" si="138"/>
        <v>-</v>
      </c>
      <c r="AN202" s="227" t="str">
        <f t="shared" si="139"/>
        <v>-</v>
      </c>
      <c r="AO202" s="227" t="str">
        <f t="shared" si="112"/>
        <v>-</v>
      </c>
      <c r="AP202" s="273">
        <f t="shared" si="140"/>
        <v>0.1</v>
      </c>
      <c r="AQ202" s="271" t="str">
        <f>IFERROR(IF(AL201=1,AQ$100*EXP(-(LN(2)/$D$65+0.04)*AN201)*EXP(-(LN(2)/$D$65+0.1)*AO201),IF(AL201=2,AQ$100*EXP(-(LN(2)/$D$65+0.04)*(VLOOKUP(($F$16-$F$15)-1,AK$99:AO201,4,FALSE)))*EXP(-(LN(2)/$D$65+0.1)*(VLOOKUP(($F$16-$F$15)-1,AK$99:AO201,5,FALSE)))*EXP(-(LN(2)/$D$65+0.04)*AN201)*EXP(-(LN(2)/$D$65+0.1)*AO201),IF(AL201=3,AQ$100*EXP(-(LN(2)/$D$65+0.04)*(VLOOKUP(($F$16-$F$15)-1,AK$99:AO201,4,FALSE)))*EXP(-(LN(2)/$D$65+0.1)*(VLOOKUP(($F$16-$F$15)-1,AK$99:AO201,5,FALSE)))*EXP(-(LN(2)/$D$65+0.04)*(VLOOKUP(($F$16-$F$15)*2-1,AK$99:AO201,4,FALSE)))*EXP(-(LN(2)/$D$65+0.1)*(VLOOKUP(($F$16-$F$15)*2-1,AK$99:AO201,5,FALSE)))*EXP(-(LN(2)/$D$65+0.04)*AN201)*EXP(-(LN(2)/$D$65+0.1)*AO201),"-"))),"-")</f>
        <v>-</v>
      </c>
      <c r="AR202" s="271" t="str">
        <f>IFERROR(IF(AL202=1,AR$100*EXP(-(LN(2)/$D$65+0.04)*AN202)*EXP(-(LN(2)/$D$65+0.1)*AO202),IF(AL202=2,AR$100*EXP(-(LN(2)/$D$65+0.04)*(VLOOKUP(($F$16-$F$15)-1,AK$100:AO202,4,FALSE)))*EXP(-(LN(2)/$D$65+0.1)*(VLOOKUP(($F$16-$F$15)-1,AK$100:AO202,5,FALSE)))*EXP(-(LN(2)/$D$65+0.04)*AN202)*EXP(-(LN(2)/$D$65+0.1)*AO202),IF(AL202=3,AR$100*EXP(-(LN(2)/$D$65+0.04)*(VLOOKUP(($F$16-$F$15)-1,AK$100:AO202,4,FALSE)))*EXP(-(LN(2)/$D$65+0.1)*(VLOOKUP(($F$16-$F$15)-1,AK$100:AO202,5,FALSE)))*EXP(-(LN(2)/$D$65+0.04)*(VLOOKUP(($F$16-$F$15)*2-1,AK$100:AO202,4,FALSE)))*EXP(-(LN(2)/$D$65+0.1)*(VLOOKUP(($F$16-$F$15)*2-1,AK$100:AO202,5,FALSE)))*EXP(-(LN(2)/$D$65+0.04)*AN202)*EXP(-(LN(2)/$D$65+0.1)*AO202),"-"))),"-")</f>
        <v>-</v>
      </c>
      <c r="AS202" s="274">
        <f t="shared" si="113"/>
        <v>0</v>
      </c>
      <c r="AT202" s="274">
        <f t="shared" si="114"/>
        <v>0</v>
      </c>
      <c r="AU202" s="274">
        <f t="shared" si="115"/>
        <v>0</v>
      </c>
      <c r="AV202" s="190">
        <f>IF($B202&lt;$F$22,SUM($T$100:$T202),"")</f>
        <v>0</v>
      </c>
      <c r="AW202" s="190" t="str">
        <f t="shared" si="161"/>
        <v>-</v>
      </c>
      <c r="AX202" s="190" t="str">
        <f t="shared" si="141"/>
        <v/>
      </c>
      <c r="AY202"/>
      <c r="AZ202" s="190" t="str">
        <f ca="1">IF(ISNUMBER(OFFSET(AV202,-$F$21,0)),SUM(OFFSET($T$100,$F$21,0):$T202),"")</f>
        <v/>
      </c>
      <c r="BA202" s="190" t="str">
        <f t="shared" ca="1" si="162"/>
        <v/>
      </c>
      <c r="BB202" s="190" t="str">
        <f t="shared" ca="1" si="148"/>
        <v/>
      </c>
      <c r="BC202" s="190"/>
      <c r="BD202" s="190" t="str">
        <f ca="1">IFERROR(IF(AND($B202&gt;=($F$16-$F$15),$B202&lt;$F$22+($F$16-$F$15)),SUM(OFFSET($T$100,($F$16-$F$15),0):$T202),""),"")</f>
        <v/>
      </c>
      <c r="BE202" s="190" t="str">
        <f t="shared" ca="1" si="142"/>
        <v/>
      </c>
      <c r="BF202" s="190" t="str">
        <f t="shared" ca="1" si="143"/>
        <v/>
      </c>
      <c r="BG202"/>
      <c r="BH202" s="190" t="str">
        <f ca="1">IF(ISNUMBER(OFFSET(BD202,-$F$21,0)),SUM(OFFSET($T$100,($F$16-$F$15+$F$21),0):$T202),"")</f>
        <v/>
      </c>
      <c r="BI202" s="190" t="str">
        <f t="shared" ca="1" si="163"/>
        <v/>
      </c>
      <c r="BJ202" s="190" t="str">
        <f t="shared" ca="1" si="144"/>
        <v/>
      </c>
      <c r="BK202" s="190"/>
      <c r="BL202" s="190" t="str">
        <f ca="1">IFERROR(IF(AND($B202&gt;=($F$17-$F$15),$B202&lt;$F$22+($F$17-$F$15)),SUM(OFFSET($T$100,($F$17-$F$15),0):$T202),""),"")</f>
        <v/>
      </c>
      <c r="BM202" s="190" t="str">
        <f t="shared" ca="1" si="164"/>
        <v/>
      </c>
      <c r="BN202" s="190" t="str">
        <f t="shared" ca="1" si="145"/>
        <v/>
      </c>
      <c r="BO202"/>
      <c r="BP202" s="190" t="str">
        <f ca="1">IF(ISNUMBER(OFFSET(BL202,-$F$21,0)),SUM(OFFSET($T$100,($F$17-$F$15+$F$21),0):$T202),"")</f>
        <v/>
      </c>
      <c r="BQ202" s="190" t="str">
        <f t="shared" ca="1" si="165"/>
        <v/>
      </c>
      <c r="BR202" s="190" t="str">
        <f t="shared" ca="1" si="146"/>
        <v/>
      </c>
      <c r="BS202" s="190"/>
      <c r="BT202"/>
      <c r="BU202"/>
      <c r="BV202"/>
      <c r="BY202" s="99"/>
      <c r="BZ202" s="99"/>
      <c r="CA202" s="280" t="str">
        <f t="shared" si="166"/>
        <v/>
      </c>
      <c r="CB202" s="71" t="str">
        <f t="shared" si="122"/>
        <v>-</v>
      </c>
      <c r="CC202" s="33"/>
      <c r="CD202" s="261" t="str">
        <f t="shared" si="123"/>
        <v/>
      </c>
      <c r="CE202" s="280" t="str">
        <f t="shared" si="167"/>
        <v>-</v>
      </c>
      <c r="CF202" s="71" t="str">
        <f t="shared" ca="1" si="168"/>
        <v>-</v>
      </c>
      <c r="CG202" s="33" t="str">
        <f t="shared" si="126"/>
        <v>102-103</v>
      </c>
      <c r="CH202" s="261" t="str">
        <f t="shared" ca="1" si="127"/>
        <v/>
      </c>
    </row>
    <row r="203" spans="2:86" ht="13.5" customHeight="1" x14ac:dyDescent="0.2">
      <c r="B203" s="262">
        <v>103</v>
      </c>
      <c r="C203" s="237" t="str">
        <f t="shared" si="91"/>
        <v/>
      </c>
      <c r="D203" s="237" t="str">
        <f t="shared" si="147"/>
        <v>-</v>
      </c>
      <c r="E203" s="263" t="str">
        <f t="shared" si="128"/>
        <v/>
      </c>
      <c r="F203" s="264" t="str">
        <f t="shared" si="129"/>
        <v/>
      </c>
      <c r="G203" s="264" t="str">
        <f t="shared" si="130"/>
        <v/>
      </c>
      <c r="H203" s="240" t="str">
        <f t="shared" si="149"/>
        <v/>
      </c>
      <c r="I203" s="265" t="str">
        <f t="shared" si="150"/>
        <v/>
      </c>
      <c r="J203" s="265" t="str">
        <f t="shared" si="151"/>
        <v/>
      </c>
      <c r="K203" s="240" t="str">
        <f t="shared" si="152"/>
        <v/>
      </c>
      <c r="L203" s="265" t="str">
        <f t="shared" si="153"/>
        <v/>
      </c>
      <c r="M203" s="265" t="str">
        <f t="shared" si="154"/>
        <v/>
      </c>
      <c r="N203" s="240" t="str">
        <f t="shared" si="155"/>
        <v>-</v>
      </c>
      <c r="O203" s="265" t="str">
        <f t="shared" si="156"/>
        <v>-</v>
      </c>
      <c r="P203" s="265" t="str">
        <f t="shared" si="157"/>
        <v>-</v>
      </c>
      <c r="Q203" s="266" t="str">
        <f t="shared" si="158"/>
        <v>-</v>
      </c>
      <c r="R203" s="267" t="str">
        <f t="shared" si="159"/>
        <v>-</v>
      </c>
      <c r="S203" s="268" t="str">
        <f t="shared" si="160"/>
        <v>-</v>
      </c>
      <c r="T203" s="269" t="str">
        <f t="shared" si="104"/>
        <v/>
      </c>
      <c r="U203" s="221">
        <f t="shared" si="105"/>
        <v>103</v>
      </c>
      <c r="V203" s="220" t="str">
        <f t="shared" si="131"/>
        <v>-</v>
      </c>
      <c r="W203" s="221" t="str">
        <f t="shared" si="132"/>
        <v>-</v>
      </c>
      <c r="X203" s="221" t="str">
        <f t="shared" si="106"/>
        <v>-</v>
      </c>
      <c r="Y203" s="221" t="str">
        <f t="shared" si="107"/>
        <v>-</v>
      </c>
      <c r="Z203" s="270">
        <f t="shared" si="133"/>
        <v>0.1</v>
      </c>
      <c r="AA203" s="271" t="str">
        <f>IFERROR(IF(V202=1,AA$100*EXP(-(LN(2)/$D$65+0.04)*X202)*EXP(-(LN(2)/$D$65+0.1)*Y202),IF(V202=2,AA$100*EXP(-(LN(2)/$D$65+0.04)*(VLOOKUP(($F$16-$F$15)-1,U$99:Y202,4,FALSE)))*EXP(-(LN(2)/$D$65+0.1)*(VLOOKUP(($F$16-$F$15)-1,U$99:Y202,5,FALSE)))*EXP(-(LN(2)/$D$65+0.04)*X202)*EXP(-(LN(2)/$D$65+0.1)*Y202),IF(V202=3,AA$100*EXP(-(LN(2)/$D$65+0.04)*(VLOOKUP(($F$16-$F$15)-1,U$99:Y202,4,FALSE)))*EXP(-(LN(2)/$D$65+0.1)*(VLOOKUP(($F$16-$F$15)-1,U$99:Y202,5,FALSE)))*EXP(-(LN(2)/$D$65+0.04)*(VLOOKUP(($F$16-$F$15)*2-1,U$99:Y202,4,FALSE)))*EXP(-(LN(2)/$D$65+0.1)*(VLOOKUP(($F$16-$F$15)*2-1,U$99:Y202,5,FALSE)))*EXP(-(LN(2)/$D$65+0.04)*X202)*EXP(-(LN(2)/$D$65+0.1)*Y202),"-"))),"-")</f>
        <v>-</v>
      </c>
      <c r="AB203" s="271" t="str">
        <f>IFERROR(IF(V203=1,AB$100*EXP(-(LN(2)/$D$65+0.04)*X203)*EXP(-(LN(2)/$D$65+0.1)*Y203),IF(V203=2,AB$100*EXP(-(LN(2)/$D$65+0.04)*(VLOOKUP(($F$16-$F$15)-1,U$100:Y203,4,FALSE)))*EXP(-(LN(2)/$D$65+0.1)*(VLOOKUP(($F$16-$F$15)-1,U$100:Y203,5,FALSE)))*EXP(-(LN(2)/$D$65+0.04)*X203)*EXP(-(LN(2)/$D$65+0.1)*Y203),IF(V203=3,AB$100*EXP(-(LN(2)/$D$65+0.04)*(VLOOKUP(($F$16-$F$15)-1,U$100:Y203,4,FALSE)))*EXP(-(LN(2)/$D$65+0.1)*(VLOOKUP(($F$16-$F$15)-1,U$100:Y203,5,FALSE)))*EXP(-(LN(2)/$D$65+0.04)*(VLOOKUP(($F$16-$F$15)*2-1,U$100:Y203,4,FALSE)))*EXP(-(LN(2)/$D$65+0.1)*(VLOOKUP(($F$16-$F$15)*2-1,U$100:Y203,5,FALSE)))*EXP(-(LN(2)/$D$65+0.04)*X203)*EXP(-(LN(2)/$D$65+0.1)*Y203),"-"))),"-")</f>
        <v>-</v>
      </c>
      <c r="AC203" s="224">
        <f t="shared" si="134"/>
        <v>103</v>
      </c>
      <c r="AD203" s="223" t="str">
        <f t="shared" si="108"/>
        <v>-</v>
      </c>
      <c r="AE203" s="224" t="str">
        <f t="shared" si="135"/>
        <v>-</v>
      </c>
      <c r="AF203" s="224" t="str">
        <f t="shared" si="109"/>
        <v>-</v>
      </c>
      <c r="AG203" s="224" t="str">
        <f t="shared" si="110"/>
        <v>-</v>
      </c>
      <c r="AH203" s="272">
        <f t="shared" si="136"/>
        <v>0.1</v>
      </c>
      <c r="AI203" s="271" t="str">
        <f>IFERROR(IF(AD202=1,AI$100*EXP(-(LN(2)/$D$65+0.04)*AF202)*EXP(-(LN(2)/$D$65+0.1)*AG202),IF(AD202=2,AI$100*EXP(-(LN(2)/$D$65+0.04)*(VLOOKUP(($F$16-$F$15)-1,AC$99:AG202,4,FALSE)))*EXP(-(LN(2)/$D$65+0.1)*(VLOOKUP(($F$16-$F$15)-1,AC$99:AG202,5,FALSE)))*EXP(-(LN(2)/$D$65+0.04)*AF202)*EXP(-(LN(2)/$D$65+0.1)*AG202),IF(AD202=3,AI$100*EXP(-(LN(2)/$D$65+0.04)*(VLOOKUP(($F$16-$F$15)-1,AC$99:AG202,4,FALSE)))*EXP(-(LN(2)/$D$65+0.1)*(VLOOKUP(($F$16-$F$15)-1,AC$99:AG202,5,FALSE)))*EXP(-(LN(2)/$D$65+0.04)*(VLOOKUP(($F$16-$F$15)*2-1,AC$99:AG202,4,FALSE)))*EXP(-(LN(2)/$D$65+0.1)*(VLOOKUP(($F$16-$F$15)*2-1,AC$99:AG202,5,FALSE)))*EXP(-(LN(2)/$D$65+0.04)*AF202)*EXP(-(LN(2)/$D$65+0.1)*AG202),"-"))),"-")</f>
        <v>-</v>
      </c>
      <c r="AJ203" s="271" t="str">
        <f>IFERROR(IF(AD203=1,AJ$100*EXP(-(LN(2)/$D$65+0.04)*AF203)*EXP(-(LN(2)/$D$65+0.1)*AG203),IF(AD203=2,AJ$100*EXP(-(LN(2)/$D$65+0.04)*(VLOOKUP(($F$16-$F$15)-1,AC$100:AG203,4,FALSE)))*EXP(-(LN(2)/$D$65+0.1)*(VLOOKUP(($F$16-$F$15)-1,AC$100:AG203,5,FALSE)))*EXP(-(LN(2)/$D$65+0.04)*AF203)*EXP(-(LN(2)/$D$65+0.1)*AG203),IF(AD203=3,AJ$100*EXP(-(LN(2)/$D$65+0.04)*(VLOOKUP(($F$16-$F$15)-1,AC$100:AG203,4,FALSE)))*EXP(-(LN(2)/$D$65+0.1)*(VLOOKUP(($F$16-$F$15)-1,AC$100:AG203,5,FALSE)))*EXP(-(LN(2)/$D$65+0.04)*(VLOOKUP(($F$16-$F$15)*2-1,AC$100:AG203,4,FALSE)))*EXP(-(LN(2)/$D$65+0.1)*(VLOOKUP(($F$16-$F$15)*2-1,AC$100:AG203,5,FALSE)))*EXP(-(LN(2)/$D$65+0.04)*AF203)*EXP(-(LN(2)/$D$65+0.1)*AG203),"-"))),"-")</f>
        <v>-</v>
      </c>
      <c r="AK203" s="227">
        <f t="shared" si="137"/>
        <v>103</v>
      </c>
      <c r="AL203" s="226" t="str">
        <f t="shared" si="111"/>
        <v>-</v>
      </c>
      <c r="AM203" s="227" t="str">
        <f t="shared" si="138"/>
        <v>-</v>
      </c>
      <c r="AN203" s="227" t="str">
        <f t="shared" si="139"/>
        <v>-</v>
      </c>
      <c r="AO203" s="227" t="str">
        <f t="shared" si="112"/>
        <v>-</v>
      </c>
      <c r="AP203" s="273">
        <f t="shared" si="140"/>
        <v>0.1</v>
      </c>
      <c r="AQ203" s="271" t="str">
        <f>IFERROR(IF(AL202=1,AQ$100*EXP(-(LN(2)/$D$65+0.04)*AN202)*EXP(-(LN(2)/$D$65+0.1)*AO202),IF(AL202=2,AQ$100*EXP(-(LN(2)/$D$65+0.04)*(VLOOKUP(($F$16-$F$15)-1,AK$99:AO202,4,FALSE)))*EXP(-(LN(2)/$D$65+0.1)*(VLOOKUP(($F$16-$F$15)-1,AK$99:AO202,5,FALSE)))*EXP(-(LN(2)/$D$65+0.04)*AN202)*EXP(-(LN(2)/$D$65+0.1)*AO202),IF(AL202=3,AQ$100*EXP(-(LN(2)/$D$65+0.04)*(VLOOKUP(($F$16-$F$15)-1,AK$99:AO202,4,FALSE)))*EXP(-(LN(2)/$D$65+0.1)*(VLOOKUP(($F$16-$F$15)-1,AK$99:AO202,5,FALSE)))*EXP(-(LN(2)/$D$65+0.04)*(VLOOKUP(($F$16-$F$15)*2-1,AK$99:AO202,4,FALSE)))*EXP(-(LN(2)/$D$65+0.1)*(VLOOKUP(($F$16-$F$15)*2-1,AK$99:AO202,5,FALSE)))*EXP(-(LN(2)/$D$65+0.04)*AN202)*EXP(-(LN(2)/$D$65+0.1)*AO202),"-"))),"-")</f>
        <v>-</v>
      </c>
      <c r="AR203" s="271" t="str">
        <f>IFERROR(IF(AL203=1,AR$100*EXP(-(LN(2)/$D$65+0.04)*AN203)*EXP(-(LN(2)/$D$65+0.1)*AO203),IF(AL203=2,AR$100*EXP(-(LN(2)/$D$65+0.04)*(VLOOKUP(($F$16-$F$15)-1,AK$100:AO203,4,FALSE)))*EXP(-(LN(2)/$D$65+0.1)*(VLOOKUP(($F$16-$F$15)-1,AK$100:AO203,5,FALSE)))*EXP(-(LN(2)/$D$65+0.04)*AN203)*EXP(-(LN(2)/$D$65+0.1)*AO203),IF(AL203=3,AR$100*EXP(-(LN(2)/$D$65+0.04)*(VLOOKUP(($F$16-$F$15)-1,AK$100:AO203,4,FALSE)))*EXP(-(LN(2)/$D$65+0.1)*(VLOOKUP(($F$16-$F$15)-1,AK$100:AO203,5,FALSE)))*EXP(-(LN(2)/$D$65+0.04)*(VLOOKUP(($F$16-$F$15)*2-1,AK$100:AO203,4,FALSE)))*EXP(-(LN(2)/$D$65+0.1)*(VLOOKUP(($F$16-$F$15)*2-1,AK$100:AO203,5,FALSE)))*EXP(-(LN(2)/$D$65+0.04)*AN203)*EXP(-(LN(2)/$D$65+0.1)*AO203),"-"))),"-")</f>
        <v>-</v>
      </c>
      <c r="AS203" s="274">
        <f t="shared" si="113"/>
        <v>0</v>
      </c>
      <c r="AT203" s="274">
        <f t="shared" si="114"/>
        <v>0</v>
      </c>
      <c r="AU203" s="274">
        <f t="shared" si="115"/>
        <v>0</v>
      </c>
      <c r="AV203" s="190">
        <f>IF($B203&lt;$F$22,SUM($T$100:$T203),"")</f>
        <v>0</v>
      </c>
      <c r="AW203" s="190" t="str">
        <f t="shared" si="161"/>
        <v>-</v>
      </c>
      <c r="AX203" s="190" t="str">
        <f t="shared" si="141"/>
        <v/>
      </c>
      <c r="AY203"/>
      <c r="AZ203" s="190" t="str">
        <f ca="1">IF(ISNUMBER(OFFSET(AV203,-$F$21,0)),SUM(OFFSET($T$100,$F$21,0):$T203),"")</f>
        <v/>
      </c>
      <c r="BA203" s="190" t="str">
        <f t="shared" ca="1" si="162"/>
        <v/>
      </c>
      <c r="BB203" s="190" t="str">
        <f t="shared" ca="1" si="148"/>
        <v/>
      </c>
      <c r="BC203" s="190"/>
      <c r="BD203" s="190" t="str">
        <f ca="1">IFERROR(IF(AND($B203&gt;=($F$16-$F$15),$B203&lt;$F$22+($F$16-$F$15)),SUM(OFFSET($T$100,($F$16-$F$15),0):$T203),""),"")</f>
        <v/>
      </c>
      <c r="BE203" s="190" t="str">
        <f t="shared" ca="1" si="142"/>
        <v/>
      </c>
      <c r="BF203" s="190" t="str">
        <f t="shared" ca="1" si="143"/>
        <v/>
      </c>
      <c r="BG203"/>
      <c r="BH203" s="190" t="str">
        <f ca="1">IF(ISNUMBER(OFFSET(BD203,-$F$21,0)),SUM(OFFSET($T$100,($F$16-$F$15+$F$21),0):$T203),"")</f>
        <v/>
      </c>
      <c r="BI203" s="190" t="str">
        <f t="shared" ca="1" si="163"/>
        <v/>
      </c>
      <c r="BJ203" s="190" t="str">
        <f t="shared" ca="1" si="144"/>
        <v/>
      </c>
      <c r="BK203" s="190"/>
      <c r="BL203" s="190" t="str">
        <f ca="1">IFERROR(IF(AND($B203&gt;=($F$17-$F$15),$B203&lt;$F$22+($F$17-$F$15)),SUM(OFFSET($T$100,($F$17-$F$15),0):$T203),""),"")</f>
        <v/>
      </c>
      <c r="BM203" s="190" t="str">
        <f t="shared" ca="1" si="164"/>
        <v/>
      </c>
      <c r="BN203" s="190" t="str">
        <f t="shared" ca="1" si="145"/>
        <v/>
      </c>
      <c r="BO203"/>
      <c r="BP203" s="190" t="str">
        <f ca="1">IF(ISNUMBER(OFFSET(BL203,-$F$21,0)),SUM(OFFSET($T$100,($F$17-$F$15+$F$21),0):$T203),"")</f>
        <v/>
      </c>
      <c r="BQ203" s="190" t="str">
        <f t="shared" ca="1" si="165"/>
        <v/>
      </c>
      <c r="BR203" s="190" t="str">
        <f t="shared" ca="1" si="146"/>
        <v/>
      </c>
      <c r="BS203" s="190"/>
      <c r="BT203"/>
      <c r="BU203"/>
      <c r="BV203"/>
      <c r="BY203" s="99"/>
      <c r="BZ203" s="99"/>
      <c r="CA203" s="280" t="str">
        <f t="shared" si="166"/>
        <v/>
      </c>
      <c r="CB203" s="71" t="str">
        <f t="shared" si="122"/>
        <v>-</v>
      </c>
      <c r="CC203" s="33"/>
      <c r="CD203" s="261" t="str">
        <f t="shared" si="123"/>
        <v/>
      </c>
      <c r="CE203" s="280" t="str">
        <f t="shared" si="167"/>
        <v>-</v>
      </c>
      <c r="CF203" s="71" t="str">
        <f t="shared" ca="1" si="168"/>
        <v>-</v>
      </c>
      <c r="CG203" s="33" t="str">
        <f t="shared" si="126"/>
        <v>103-104</v>
      </c>
      <c r="CH203" s="261" t="str">
        <f t="shared" ca="1" si="127"/>
        <v/>
      </c>
    </row>
    <row r="204" spans="2:86" ht="13.5" customHeight="1" x14ac:dyDescent="0.2">
      <c r="B204" s="262">
        <v>104</v>
      </c>
      <c r="C204" s="237" t="str">
        <f t="shared" si="91"/>
        <v/>
      </c>
      <c r="D204" s="237" t="str">
        <f t="shared" si="147"/>
        <v>-</v>
      </c>
      <c r="E204" s="263" t="str">
        <f t="shared" si="128"/>
        <v/>
      </c>
      <c r="F204" s="264" t="str">
        <f t="shared" si="129"/>
        <v/>
      </c>
      <c r="G204" s="264" t="str">
        <f t="shared" si="130"/>
        <v/>
      </c>
      <c r="H204" s="240" t="str">
        <f t="shared" si="149"/>
        <v/>
      </c>
      <c r="I204" s="265" t="str">
        <f t="shared" si="150"/>
        <v/>
      </c>
      <c r="J204" s="265" t="str">
        <f t="shared" si="151"/>
        <v/>
      </c>
      <c r="K204" s="240" t="str">
        <f t="shared" si="152"/>
        <v/>
      </c>
      <c r="L204" s="265" t="str">
        <f t="shared" si="153"/>
        <v/>
      </c>
      <c r="M204" s="265" t="str">
        <f t="shared" si="154"/>
        <v/>
      </c>
      <c r="N204" s="240" t="str">
        <f t="shared" si="155"/>
        <v>-</v>
      </c>
      <c r="O204" s="265" t="str">
        <f t="shared" si="156"/>
        <v>-</v>
      </c>
      <c r="P204" s="265" t="str">
        <f t="shared" si="157"/>
        <v>-</v>
      </c>
      <c r="Q204" s="266" t="str">
        <f t="shared" si="158"/>
        <v>-</v>
      </c>
      <c r="R204" s="267" t="str">
        <f t="shared" si="159"/>
        <v>-</v>
      </c>
      <c r="S204" s="268" t="str">
        <f t="shared" si="160"/>
        <v>-</v>
      </c>
      <c r="T204" s="269" t="str">
        <f t="shared" si="104"/>
        <v/>
      </c>
      <c r="U204" s="221">
        <f t="shared" si="105"/>
        <v>104</v>
      </c>
      <c r="V204" s="220" t="str">
        <f t="shared" si="131"/>
        <v>-</v>
      </c>
      <c r="W204" s="221" t="str">
        <f t="shared" si="132"/>
        <v>-</v>
      </c>
      <c r="X204" s="221" t="str">
        <f t="shared" si="106"/>
        <v>-</v>
      </c>
      <c r="Y204" s="221" t="str">
        <f t="shared" si="107"/>
        <v>-</v>
      </c>
      <c r="Z204" s="270">
        <f t="shared" si="133"/>
        <v>0.1</v>
      </c>
      <c r="AA204" s="271" t="str">
        <f>IFERROR(IF(V203=1,AA$100*EXP(-(LN(2)/$D$65+0.04)*X203)*EXP(-(LN(2)/$D$65+0.1)*Y203),IF(V203=2,AA$100*EXP(-(LN(2)/$D$65+0.04)*(VLOOKUP(($F$16-$F$15)-1,U$99:Y203,4,FALSE)))*EXP(-(LN(2)/$D$65+0.1)*(VLOOKUP(($F$16-$F$15)-1,U$99:Y203,5,FALSE)))*EXP(-(LN(2)/$D$65+0.04)*X203)*EXP(-(LN(2)/$D$65+0.1)*Y203),IF(V203=3,AA$100*EXP(-(LN(2)/$D$65+0.04)*(VLOOKUP(($F$16-$F$15)-1,U$99:Y203,4,FALSE)))*EXP(-(LN(2)/$D$65+0.1)*(VLOOKUP(($F$16-$F$15)-1,U$99:Y203,5,FALSE)))*EXP(-(LN(2)/$D$65+0.04)*(VLOOKUP(($F$16-$F$15)*2-1,U$99:Y203,4,FALSE)))*EXP(-(LN(2)/$D$65+0.1)*(VLOOKUP(($F$16-$F$15)*2-1,U$99:Y203,5,FALSE)))*EXP(-(LN(2)/$D$65+0.04)*X203)*EXP(-(LN(2)/$D$65+0.1)*Y203),"-"))),"-")</f>
        <v>-</v>
      </c>
      <c r="AB204" s="271" t="str">
        <f>IFERROR(IF(V204=1,AB$100*EXP(-(LN(2)/$D$65+0.04)*X204)*EXP(-(LN(2)/$D$65+0.1)*Y204),IF(V204=2,AB$100*EXP(-(LN(2)/$D$65+0.04)*(VLOOKUP(($F$16-$F$15)-1,U$100:Y204,4,FALSE)))*EXP(-(LN(2)/$D$65+0.1)*(VLOOKUP(($F$16-$F$15)-1,U$100:Y204,5,FALSE)))*EXP(-(LN(2)/$D$65+0.04)*X204)*EXP(-(LN(2)/$D$65+0.1)*Y204),IF(V204=3,AB$100*EXP(-(LN(2)/$D$65+0.04)*(VLOOKUP(($F$16-$F$15)-1,U$100:Y204,4,FALSE)))*EXP(-(LN(2)/$D$65+0.1)*(VLOOKUP(($F$16-$F$15)-1,U$100:Y204,5,FALSE)))*EXP(-(LN(2)/$D$65+0.04)*(VLOOKUP(($F$16-$F$15)*2-1,U$100:Y204,4,FALSE)))*EXP(-(LN(2)/$D$65+0.1)*(VLOOKUP(($F$16-$F$15)*2-1,U$100:Y204,5,FALSE)))*EXP(-(LN(2)/$D$65+0.04)*X204)*EXP(-(LN(2)/$D$65+0.1)*Y204),"-"))),"-")</f>
        <v>-</v>
      </c>
      <c r="AC204" s="224">
        <f t="shared" si="134"/>
        <v>104</v>
      </c>
      <c r="AD204" s="223" t="str">
        <f t="shared" si="108"/>
        <v>-</v>
      </c>
      <c r="AE204" s="224" t="str">
        <f t="shared" si="135"/>
        <v>-</v>
      </c>
      <c r="AF204" s="224" t="str">
        <f t="shared" si="109"/>
        <v>-</v>
      </c>
      <c r="AG204" s="224" t="str">
        <f t="shared" si="110"/>
        <v>-</v>
      </c>
      <c r="AH204" s="272">
        <f t="shared" si="136"/>
        <v>0.1</v>
      </c>
      <c r="AI204" s="271" t="str">
        <f>IFERROR(IF(AD203=1,AI$100*EXP(-(LN(2)/$D$65+0.04)*AF203)*EXP(-(LN(2)/$D$65+0.1)*AG203),IF(AD203=2,AI$100*EXP(-(LN(2)/$D$65+0.04)*(VLOOKUP(($F$16-$F$15)-1,AC$99:AG203,4,FALSE)))*EXP(-(LN(2)/$D$65+0.1)*(VLOOKUP(($F$16-$F$15)-1,AC$99:AG203,5,FALSE)))*EXP(-(LN(2)/$D$65+0.04)*AF203)*EXP(-(LN(2)/$D$65+0.1)*AG203),IF(AD203=3,AI$100*EXP(-(LN(2)/$D$65+0.04)*(VLOOKUP(($F$16-$F$15)-1,AC$99:AG203,4,FALSE)))*EXP(-(LN(2)/$D$65+0.1)*(VLOOKUP(($F$16-$F$15)-1,AC$99:AG203,5,FALSE)))*EXP(-(LN(2)/$D$65+0.04)*(VLOOKUP(($F$16-$F$15)*2-1,AC$99:AG203,4,FALSE)))*EXP(-(LN(2)/$D$65+0.1)*(VLOOKUP(($F$16-$F$15)*2-1,AC$99:AG203,5,FALSE)))*EXP(-(LN(2)/$D$65+0.04)*AF203)*EXP(-(LN(2)/$D$65+0.1)*AG203),"-"))),"-")</f>
        <v>-</v>
      </c>
      <c r="AJ204" s="271" t="str">
        <f>IFERROR(IF(AD204=1,AJ$100*EXP(-(LN(2)/$D$65+0.04)*AF204)*EXP(-(LN(2)/$D$65+0.1)*AG204),IF(AD204=2,AJ$100*EXP(-(LN(2)/$D$65+0.04)*(VLOOKUP(($F$16-$F$15)-1,AC$100:AG204,4,FALSE)))*EXP(-(LN(2)/$D$65+0.1)*(VLOOKUP(($F$16-$F$15)-1,AC$100:AG204,5,FALSE)))*EXP(-(LN(2)/$D$65+0.04)*AF204)*EXP(-(LN(2)/$D$65+0.1)*AG204),IF(AD204=3,AJ$100*EXP(-(LN(2)/$D$65+0.04)*(VLOOKUP(($F$16-$F$15)-1,AC$100:AG204,4,FALSE)))*EXP(-(LN(2)/$D$65+0.1)*(VLOOKUP(($F$16-$F$15)-1,AC$100:AG204,5,FALSE)))*EXP(-(LN(2)/$D$65+0.04)*(VLOOKUP(($F$16-$F$15)*2-1,AC$100:AG204,4,FALSE)))*EXP(-(LN(2)/$D$65+0.1)*(VLOOKUP(($F$16-$F$15)*2-1,AC$100:AG204,5,FALSE)))*EXP(-(LN(2)/$D$65+0.04)*AF204)*EXP(-(LN(2)/$D$65+0.1)*AG204),"-"))),"-")</f>
        <v>-</v>
      </c>
      <c r="AK204" s="227">
        <f t="shared" si="137"/>
        <v>104</v>
      </c>
      <c r="AL204" s="226" t="str">
        <f t="shared" si="111"/>
        <v>-</v>
      </c>
      <c r="AM204" s="227" t="str">
        <f t="shared" si="138"/>
        <v>-</v>
      </c>
      <c r="AN204" s="227" t="str">
        <f t="shared" si="139"/>
        <v>-</v>
      </c>
      <c r="AO204" s="227" t="str">
        <f t="shared" si="112"/>
        <v>-</v>
      </c>
      <c r="AP204" s="273">
        <f t="shared" si="140"/>
        <v>0.1</v>
      </c>
      <c r="AQ204" s="271" t="str">
        <f>IFERROR(IF(AL203=1,AQ$100*EXP(-(LN(2)/$D$65+0.04)*AN203)*EXP(-(LN(2)/$D$65+0.1)*AO203),IF(AL203=2,AQ$100*EXP(-(LN(2)/$D$65+0.04)*(VLOOKUP(($F$16-$F$15)-1,AK$99:AO203,4,FALSE)))*EXP(-(LN(2)/$D$65+0.1)*(VLOOKUP(($F$16-$F$15)-1,AK$99:AO203,5,FALSE)))*EXP(-(LN(2)/$D$65+0.04)*AN203)*EXP(-(LN(2)/$D$65+0.1)*AO203),IF(AL203=3,AQ$100*EXP(-(LN(2)/$D$65+0.04)*(VLOOKUP(($F$16-$F$15)-1,AK$99:AO203,4,FALSE)))*EXP(-(LN(2)/$D$65+0.1)*(VLOOKUP(($F$16-$F$15)-1,AK$99:AO203,5,FALSE)))*EXP(-(LN(2)/$D$65+0.04)*(VLOOKUP(($F$16-$F$15)*2-1,AK$99:AO203,4,FALSE)))*EXP(-(LN(2)/$D$65+0.1)*(VLOOKUP(($F$16-$F$15)*2-1,AK$99:AO203,5,FALSE)))*EXP(-(LN(2)/$D$65+0.04)*AN203)*EXP(-(LN(2)/$D$65+0.1)*AO203),"-"))),"-")</f>
        <v>-</v>
      </c>
      <c r="AR204" s="271" t="str">
        <f>IFERROR(IF(AL204=1,AR$100*EXP(-(LN(2)/$D$65+0.04)*AN204)*EXP(-(LN(2)/$D$65+0.1)*AO204),IF(AL204=2,AR$100*EXP(-(LN(2)/$D$65+0.04)*(VLOOKUP(($F$16-$F$15)-1,AK$100:AO204,4,FALSE)))*EXP(-(LN(2)/$D$65+0.1)*(VLOOKUP(($F$16-$F$15)-1,AK$100:AO204,5,FALSE)))*EXP(-(LN(2)/$D$65+0.04)*AN204)*EXP(-(LN(2)/$D$65+0.1)*AO204),IF(AL204=3,AR$100*EXP(-(LN(2)/$D$65+0.04)*(VLOOKUP(($F$16-$F$15)-1,AK$100:AO204,4,FALSE)))*EXP(-(LN(2)/$D$65+0.1)*(VLOOKUP(($F$16-$F$15)-1,AK$100:AO204,5,FALSE)))*EXP(-(LN(2)/$D$65+0.04)*(VLOOKUP(($F$16-$F$15)*2-1,AK$100:AO204,4,FALSE)))*EXP(-(LN(2)/$D$65+0.1)*(VLOOKUP(($F$16-$F$15)*2-1,AK$100:AO204,5,FALSE)))*EXP(-(LN(2)/$D$65+0.04)*AN204)*EXP(-(LN(2)/$D$65+0.1)*AO204),"-"))),"-")</f>
        <v>-</v>
      </c>
      <c r="AS204" s="274">
        <f t="shared" si="113"/>
        <v>0</v>
      </c>
      <c r="AT204" s="274">
        <f t="shared" si="114"/>
        <v>0</v>
      </c>
      <c r="AU204" s="274">
        <f t="shared" si="115"/>
        <v>0</v>
      </c>
      <c r="AV204" s="190">
        <f>IF($B204&lt;$F$22,SUM($T$100:$T204),"")</f>
        <v>0</v>
      </c>
      <c r="AW204" s="190" t="str">
        <f t="shared" si="161"/>
        <v>-</v>
      </c>
      <c r="AX204" s="190" t="str">
        <f t="shared" si="141"/>
        <v/>
      </c>
      <c r="AY204"/>
      <c r="AZ204" s="190" t="str">
        <f ca="1">IF(ISNUMBER(OFFSET(AV204,-$F$21,0)),SUM(OFFSET($T$100,$F$21,0):$T204),"")</f>
        <v/>
      </c>
      <c r="BA204" s="190" t="str">
        <f t="shared" ca="1" si="162"/>
        <v/>
      </c>
      <c r="BB204" s="190" t="str">
        <f t="shared" ca="1" si="148"/>
        <v/>
      </c>
      <c r="BC204" s="190"/>
      <c r="BD204" s="190" t="str">
        <f ca="1">IFERROR(IF(AND($B204&gt;=($F$16-$F$15),$B204&lt;$F$22+($F$16-$F$15)),SUM(OFFSET($T$100,($F$16-$F$15),0):$T204),""),"")</f>
        <v/>
      </c>
      <c r="BE204" s="190" t="str">
        <f t="shared" ca="1" si="142"/>
        <v/>
      </c>
      <c r="BF204" s="190" t="str">
        <f t="shared" ca="1" si="143"/>
        <v/>
      </c>
      <c r="BG204"/>
      <c r="BH204" s="190" t="str">
        <f ca="1">IF(ISNUMBER(OFFSET(BD204,-$F$21,0)),SUM(OFFSET($T$100,($F$16-$F$15+$F$21),0):$T204),"")</f>
        <v/>
      </c>
      <c r="BI204" s="190" t="str">
        <f t="shared" ca="1" si="163"/>
        <v/>
      </c>
      <c r="BJ204" s="190" t="str">
        <f t="shared" ca="1" si="144"/>
        <v/>
      </c>
      <c r="BK204" s="190"/>
      <c r="BL204" s="190" t="str">
        <f ca="1">IFERROR(IF(AND($B204&gt;=($F$17-$F$15),$B204&lt;$F$22+($F$17-$F$15)),SUM(OFFSET($T$100,($F$17-$F$15),0):$T204),""),"")</f>
        <v/>
      </c>
      <c r="BM204" s="190" t="str">
        <f t="shared" ca="1" si="164"/>
        <v/>
      </c>
      <c r="BN204" s="190" t="str">
        <f t="shared" ca="1" si="145"/>
        <v/>
      </c>
      <c r="BO204"/>
      <c r="BP204" s="190" t="str">
        <f ca="1">IF(ISNUMBER(OFFSET(BL204,-$F$21,0)),SUM(OFFSET($T$100,($F$17-$F$15+$F$21),0):$T204),"")</f>
        <v/>
      </c>
      <c r="BQ204" s="190" t="str">
        <f t="shared" ca="1" si="165"/>
        <v/>
      </c>
      <c r="BR204" s="190" t="str">
        <f t="shared" ca="1" si="146"/>
        <v/>
      </c>
      <c r="BS204" s="190"/>
      <c r="BT204"/>
      <c r="BU204"/>
      <c r="BV204"/>
      <c r="BY204" s="99"/>
      <c r="BZ204" s="99"/>
      <c r="CA204" s="280" t="str">
        <f t="shared" si="166"/>
        <v/>
      </c>
      <c r="CB204" s="71" t="str">
        <f t="shared" si="122"/>
        <v>-</v>
      </c>
      <c r="CC204" s="33"/>
      <c r="CD204" s="261" t="str">
        <f t="shared" si="123"/>
        <v/>
      </c>
      <c r="CE204" s="280" t="str">
        <f t="shared" si="167"/>
        <v>-</v>
      </c>
      <c r="CF204" s="71" t="str">
        <f t="shared" ca="1" si="168"/>
        <v>-</v>
      </c>
      <c r="CG204" s="33" t="str">
        <f t="shared" si="126"/>
        <v>104-105</v>
      </c>
      <c r="CH204" s="261" t="str">
        <f t="shared" ca="1" si="127"/>
        <v/>
      </c>
    </row>
    <row r="205" spans="2:86" ht="13.5" customHeight="1" x14ac:dyDescent="0.2">
      <c r="B205" s="262">
        <v>105</v>
      </c>
      <c r="C205" s="237" t="str">
        <f t="shared" si="91"/>
        <v/>
      </c>
      <c r="D205" s="237" t="str">
        <f t="shared" si="147"/>
        <v>-</v>
      </c>
      <c r="E205" s="263" t="str">
        <f t="shared" si="128"/>
        <v/>
      </c>
      <c r="F205" s="264" t="str">
        <f t="shared" si="129"/>
        <v/>
      </c>
      <c r="G205" s="264" t="str">
        <f t="shared" si="130"/>
        <v/>
      </c>
      <c r="H205" s="240" t="str">
        <f t="shared" si="149"/>
        <v/>
      </c>
      <c r="I205" s="265" t="str">
        <f t="shared" si="150"/>
        <v/>
      </c>
      <c r="J205" s="265" t="str">
        <f t="shared" si="151"/>
        <v/>
      </c>
      <c r="K205" s="240" t="str">
        <f t="shared" si="152"/>
        <v/>
      </c>
      <c r="L205" s="265" t="str">
        <f t="shared" si="153"/>
        <v/>
      </c>
      <c r="M205" s="265" t="str">
        <f t="shared" si="154"/>
        <v/>
      </c>
      <c r="N205" s="240" t="str">
        <f t="shared" si="155"/>
        <v>-</v>
      </c>
      <c r="O205" s="265" t="str">
        <f t="shared" si="156"/>
        <v>-</v>
      </c>
      <c r="P205" s="265" t="str">
        <f t="shared" si="157"/>
        <v>-</v>
      </c>
      <c r="Q205" s="266" t="str">
        <f t="shared" si="158"/>
        <v>-</v>
      </c>
      <c r="R205" s="267" t="str">
        <f t="shared" si="159"/>
        <v>-</v>
      </c>
      <c r="S205" s="268" t="str">
        <f t="shared" si="160"/>
        <v>-</v>
      </c>
      <c r="T205" s="269" t="str">
        <f t="shared" si="104"/>
        <v/>
      </c>
      <c r="U205" s="221">
        <f t="shared" si="105"/>
        <v>105</v>
      </c>
      <c r="V205" s="220" t="str">
        <f t="shared" si="131"/>
        <v>-</v>
      </c>
      <c r="W205" s="221" t="str">
        <f t="shared" si="132"/>
        <v>-</v>
      </c>
      <c r="X205" s="221" t="str">
        <f t="shared" si="106"/>
        <v>-</v>
      </c>
      <c r="Y205" s="221" t="str">
        <f t="shared" si="107"/>
        <v>-</v>
      </c>
      <c r="Z205" s="270">
        <f t="shared" si="133"/>
        <v>0.1</v>
      </c>
      <c r="AA205" s="271" t="str">
        <f>IFERROR(IF(V204=1,AA$100*EXP(-(LN(2)/$D$65+0.04)*X204)*EXP(-(LN(2)/$D$65+0.1)*Y204),IF(V204=2,AA$100*EXP(-(LN(2)/$D$65+0.04)*(VLOOKUP(($F$16-$F$15)-1,U$99:Y204,4,FALSE)))*EXP(-(LN(2)/$D$65+0.1)*(VLOOKUP(($F$16-$F$15)-1,U$99:Y204,5,FALSE)))*EXP(-(LN(2)/$D$65+0.04)*X204)*EXP(-(LN(2)/$D$65+0.1)*Y204),IF(V204=3,AA$100*EXP(-(LN(2)/$D$65+0.04)*(VLOOKUP(($F$16-$F$15)-1,U$99:Y204,4,FALSE)))*EXP(-(LN(2)/$D$65+0.1)*(VLOOKUP(($F$16-$F$15)-1,U$99:Y204,5,FALSE)))*EXP(-(LN(2)/$D$65+0.04)*(VLOOKUP(($F$16-$F$15)*2-1,U$99:Y204,4,FALSE)))*EXP(-(LN(2)/$D$65+0.1)*(VLOOKUP(($F$16-$F$15)*2-1,U$99:Y204,5,FALSE)))*EXP(-(LN(2)/$D$65+0.04)*X204)*EXP(-(LN(2)/$D$65+0.1)*Y204),"-"))),"-")</f>
        <v>-</v>
      </c>
      <c r="AB205" s="271" t="str">
        <f>IFERROR(IF(V205=1,AB$100*EXP(-(LN(2)/$D$65+0.04)*X205)*EXP(-(LN(2)/$D$65+0.1)*Y205),IF(V205=2,AB$100*EXP(-(LN(2)/$D$65+0.04)*(VLOOKUP(($F$16-$F$15)-1,U$100:Y205,4,FALSE)))*EXP(-(LN(2)/$D$65+0.1)*(VLOOKUP(($F$16-$F$15)-1,U$100:Y205,5,FALSE)))*EXP(-(LN(2)/$D$65+0.04)*X205)*EXP(-(LN(2)/$D$65+0.1)*Y205),IF(V205=3,AB$100*EXP(-(LN(2)/$D$65+0.04)*(VLOOKUP(($F$16-$F$15)-1,U$100:Y205,4,FALSE)))*EXP(-(LN(2)/$D$65+0.1)*(VLOOKUP(($F$16-$F$15)-1,U$100:Y205,5,FALSE)))*EXP(-(LN(2)/$D$65+0.04)*(VLOOKUP(($F$16-$F$15)*2-1,U$100:Y205,4,FALSE)))*EXP(-(LN(2)/$D$65+0.1)*(VLOOKUP(($F$16-$F$15)*2-1,U$100:Y205,5,FALSE)))*EXP(-(LN(2)/$D$65+0.04)*X205)*EXP(-(LN(2)/$D$65+0.1)*Y205),"-"))),"-")</f>
        <v>-</v>
      </c>
      <c r="AC205" s="224">
        <f t="shared" si="134"/>
        <v>105</v>
      </c>
      <c r="AD205" s="223" t="str">
        <f t="shared" si="108"/>
        <v>-</v>
      </c>
      <c r="AE205" s="224" t="str">
        <f t="shared" si="135"/>
        <v>-</v>
      </c>
      <c r="AF205" s="224" t="str">
        <f t="shared" si="109"/>
        <v>-</v>
      </c>
      <c r="AG205" s="224" t="str">
        <f t="shared" si="110"/>
        <v>-</v>
      </c>
      <c r="AH205" s="272">
        <f t="shared" si="136"/>
        <v>0.1</v>
      </c>
      <c r="AI205" s="271" t="str">
        <f>IFERROR(IF(AD204=1,AI$100*EXP(-(LN(2)/$D$65+0.04)*AF204)*EXP(-(LN(2)/$D$65+0.1)*AG204),IF(AD204=2,AI$100*EXP(-(LN(2)/$D$65+0.04)*(VLOOKUP(($F$16-$F$15)-1,AC$99:AG204,4,FALSE)))*EXP(-(LN(2)/$D$65+0.1)*(VLOOKUP(($F$16-$F$15)-1,AC$99:AG204,5,FALSE)))*EXP(-(LN(2)/$D$65+0.04)*AF204)*EXP(-(LN(2)/$D$65+0.1)*AG204),IF(AD204=3,AI$100*EXP(-(LN(2)/$D$65+0.04)*(VLOOKUP(($F$16-$F$15)-1,AC$99:AG204,4,FALSE)))*EXP(-(LN(2)/$D$65+0.1)*(VLOOKUP(($F$16-$F$15)-1,AC$99:AG204,5,FALSE)))*EXP(-(LN(2)/$D$65+0.04)*(VLOOKUP(($F$16-$F$15)*2-1,AC$99:AG204,4,FALSE)))*EXP(-(LN(2)/$D$65+0.1)*(VLOOKUP(($F$16-$F$15)*2-1,AC$99:AG204,5,FALSE)))*EXP(-(LN(2)/$D$65+0.04)*AF204)*EXP(-(LN(2)/$D$65+0.1)*AG204),"-"))),"-")</f>
        <v>-</v>
      </c>
      <c r="AJ205" s="271" t="str">
        <f>IFERROR(IF(AD205=1,AJ$100*EXP(-(LN(2)/$D$65+0.04)*AF205)*EXP(-(LN(2)/$D$65+0.1)*AG205),IF(AD205=2,AJ$100*EXP(-(LN(2)/$D$65+0.04)*(VLOOKUP(($F$16-$F$15)-1,AC$100:AG205,4,FALSE)))*EXP(-(LN(2)/$D$65+0.1)*(VLOOKUP(($F$16-$F$15)-1,AC$100:AG205,5,FALSE)))*EXP(-(LN(2)/$D$65+0.04)*AF205)*EXP(-(LN(2)/$D$65+0.1)*AG205),IF(AD205=3,AJ$100*EXP(-(LN(2)/$D$65+0.04)*(VLOOKUP(($F$16-$F$15)-1,AC$100:AG205,4,FALSE)))*EXP(-(LN(2)/$D$65+0.1)*(VLOOKUP(($F$16-$F$15)-1,AC$100:AG205,5,FALSE)))*EXP(-(LN(2)/$D$65+0.04)*(VLOOKUP(($F$16-$F$15)*2-1,AC$100:AG205,4,FALSE)))*EXP(-(LN(2)/$D$65+0.1)*(VLOOKUP(($F$16-$F$15)*2-1,AC$100:AG205,5,FALSE)))*EXP(-(LN(2)/$D$65+0.04)*AF205)*EXP(-(LN(2)/$D$65+0.1)*AG205),"-"))),"-")</f>
        <v>-</v>
      </c>
      <c r="AK205" s="227">
        <f t="shared" si="137"/>
        <v>105</v>
      </c>
      <c r="AL205" s="226" t="str">
        <f t="shared" si="111"/>
        <v>-</v>
      </c>
      <c r="AM205" s="227" t="str">
        <f t="shared" si="138"/>
        <v>-</v>
      </c>
      <c r="AN205" s="227" t="str">
        <f t="shared" si="139"/>
        <v>-</v>
      </c>
      <c r="AO205" s="227" t="str">
        <f t="shared" si="112"/>
        <v>-</v>
      </c>
      <c r="AP205" s="273">
        <f t="shared" si="140"/>
        <v>0.1</v>
      </c>
      <c r="AQ205" s="271" t="str">
        <f>IFERROR(IF(AL204=1,AQ$100*EXP(-(LN(2)/$D$65+0.04)*AN204)*EXP(-(LN(2)/$D$65+0.1)*AO204),IF(AL204=2,AQ$100*EXP(-(LN(2)/$D$65+0.04)*(VLOOKUP(($F$16-$F$15)-1,AK$99:AO204,4,FALSE)))*EXP(-(LN(2)/$D$65+0.1)*(VLOOKUP(($F$16-$F$15)-1,AK$99:AO204,5,FALSE)))*EXP(-(LN(2)/$D$65+0.04)*AN204)*EXP(-(LN(2)/$D$65+0.1)*AO204),IF(AL204=3,AQ$100*EXP(-(LN(2)/$D$65+0.04)*(VLOOKUP(($F$16-$F$15)-1,AK$99:AO204,4,FALSE)))*EXP(-(LN(2)/$D$65+0.1)*(VLOOKUP(($F$16-$F$15)-1,AK$99:AO204,5,FALSE)))*EXP(-(LN(2)/$D$65+0.04)*(VLOOKUP(($F$16-$F$15)*2-1,AK$99:AO204,4,FALSE)))*EXP(-(LN(2)/$D$65+0.1)*(VLOOKUP(($F$16-$F$15)*2-1,AK$99:AO204,5,FALSE)))*EXP(-(LN(2)/$D$65+0.04)*AN204)*EXP(-(LN(2)/$D$65+0.1)*AO204),"-"))),"-")</f>
        <v>-</v>
      </c>
      <c r="AR205" s="271" t="str">
        <f>IFERROR(IF(AL205=1,AR$100*EXP(-(LN(2)/$D$65+0.04)*AN205)*EXP(-(LN(2)/$D$65+0.1)*AO205),IF(AL205=2,AR$100*EXP(-(LN(2)/$D$65+0.04)*(VLOOKUP(($F$16-$F$15)-1,AK$100:AO205,4,FALSE)))*EXP(-(LN(2)/$D$65+0.1)*(VLOOKUP(($F$16-$F$15)-1,AK$100:AO205,5,FALSE)))*EXP(-(LN(2)/$D$65+0.04)*AN205)*EXP(-(LN(2)/$D$65+0.1)*AO205),IF(AL205=3,AR$100*EXP(-(LN(2)/$D$65+0.04)*(VLOOKUP(($F$16-$F$15)-1,AK$100:AO205,4,FALSE)))*EXP(-(LN(2)/$D$65+0.1)*(VLOOKUP(($F$16-$F$15)-1,AK$100:AO205,5,FALSE)))*EXP(-(LN(2)/$D$65+0.04)*(VLOOKUP(($F$16-$F$15)*2-1,AK$100:AO205,4,FALSE)))*EXP(-(LN(2)/$D$65+0.1)*(VLOOKUP(($F$16-$F$15)*2-1,AK$100:AO205,5,FALSE)))*EXP(-(LN(2)/$D$65+0.04)*AN205)*EXP(-(LN(2)/$D$65+0.1)*AO205),"-"))),"-")</f>
        <v>-</v>
      </c>
      <c r="AS205" s="274">
        <f t="shared" si="113"/>
        <v>0</v>
      </c>
      <c r="AT205" s="274">
        <f t="shared" si="114"/>
        <v>0</v>
      </c>
      <c r="AU205" s="274">
        <f t="shared" si="115"/>
        <v>0</v>
      </c>
      <c r="AV205" s="190">
        <f>IF($B205&lt;$F$22,SUM($T$100:$T205),"")</f>
        <v>0</v>
      </c>
      <c r="AW205" s="190" t="str">
        <f t="shared" si="161"/>
        <v>-</v>
      </c>
      <c r="AX205" s="190" t="str">
        <f t="shared" si="141"/>
        <v/>
      </c>
      <c r="AY205"/>
      <c r="AZ205" s="190" t="str">
        <f ca="1">IF(ISNUMBER(OFFSET(AV205,-$F$21,0)),SUM(OFFSET($T$100,$F$21,0):$T205),"")</f>
        <v/>
      </c>
      <c r="BA205" s="190" t="str">
        <f t="shared" ca="1" si="162"/>
        <v/>
      </c>
      <c r="BB205" s="190" t="str">
        <f t="shared" ca="1" si="148"/>
        <v/>
      </c>
      <c r="BC205" s="190"/>
      <c r="BD205" s="190" t="str">
        <f ca="1">IFERROR(IF(AND($B205&gt;=($F$16-$F$15),$B205&lt;$F$22+($F$16-$F$15)),SUM(OFFSET($T$100,($F$16-$F$15),0):$T205),""),"")</f>
        <v/>
      </c>
      <c r="BE205" s="190" t="str">
        <f t="shared" ca="1" si="142"/>
        <v/>
      </c>
      <c r="BF205" s="190" t="str">
        <f t="shared" ca="1" si="143"/>
        <v/>
      </c>
      <c r="BG205"/>
      <c r="BH205" s="190" t="str">
        <f ca="1">IF(ISNUMBER(OFFSET(BD205,-$F$21,0)),SUM(OFFSET($T$100,($F$16-$F$15+$F$21),0):$T205),"")</f>
        <v/>
      </c>
      <c r="BI205" s="190" t="str">
        <f t="shared" ca="1" si="163"/>
        <v/>
      </c>
      <c r="BJ205" s="190" t="str">
        <f t="shared" ca="1" si="144"/>
        <v/>
      </c>
      <c r="BK205" s="190"/>
      <c r="BL205" s="190" t="str">
        <f ca="1">IFERROR(IF(AND($B205&gt;=($F$17-$F$15),$B205&lt;$F$22+($F$17-$F$15)),SUM(OFFSET($T$100,($F$17-$F$15),0):$T205),""),"")</f>
        <v/>
      </c>
      <c r="BM205" s="190" t="str">
        <f t="shared" ca="1" si="164"/>
        <v/>
      </c>
      <c r="BN205" s="190" t="str">
        <f t="shared" ca="1" si="145"/>
        <v/>
      </c>
      <c r="BO205"/>
      <c r="BP205" s="190" t="str">
        <f ca="1">IF(ISNUMBER(OFFSET(BL205,-$F$21,0)),SUM(OFFSET($T$100,($F$17-$F$15+$F$21),0):$T205),"")</f>
        <v/>
      </c>
      <c r="BQ205" s="190" t="str">
        <f t="shared" ca="1" si="165"/>
        <v/>
      </c>
      <c r="BR205" s="190" t="str">
        <f t="shared" ca="1" si="146"/>
        <v/>
      </c>
      <c r="BS205" s="190"/>
      <c r="BT205"/>
      <c r="BU205"/>
      <c r="BV205"/>
      <c r="BY205" s="99"/>
      <c r="BZ205" s="99"/>
      <c r="CA205" s="280" t="str">
        <f t="shared" si="166"/>
        <v/>
      </c>
      <c r="CB205" s="71" t="str">
        <f t="shared" si="122"/>
        <v>-</v>
      </c>
      <c r="CC205" s="33"/>
      <c r="CD205" s="261" t="str">
        <f t="shared" si="123"/>
        <v/>
      </c>
      <c r="CE205" s="280" t="str">
        <f t="shared" si="167"/>
        <v>-</v>
      </c>
      <c r="CF205" s="71" t="str">
        <f t="shared" ca="1" si="168"/>
        <v>-</v>
      </c>
      <c r="CG205" s="33" t="str">
        <f t="shared" si="126"/>
        <v>105-106</v>
      </c>
      <c r="CH205" s="261" t="str">
        <f t="shared" ca="1" si="127"/>
        <v/>
      </c>
    </row>
    <row r="206" spans="2:86" ht="13.5" customHeight="1" x14ac:dyDescent="0.2">
      <c r="B206" s="262">
        <v>106</v>
      </c>
      <c r="C206" s="237" t="str">
        <f t="shared" si="91"/>
        <v/>
      </c>
      <c r="D206" s="237" t="str">
        <f t="shared" si="147"/>
        <v>-</v>
      </c>
      <c r="E206" s="263" t="str">
        <f t="shared" si="128"/>
        <v/>
      </c>
      <c r="F206" s="264" t="str">
        <f t="shared" si="129"/>
        <v/>
      </c>
      <c r="G206" s="264" t="str">
        <f t="shared" si="130"/>
        <v/>
      </c>
      <c r="H206" s="240" t="str">
        <f t="shared" si="149"/>
        <v/>
      </c>
      <c r="I206" s="265" t="str">
        <f t="shared" si="150"/>
        <v/>
      </c>
      <c r="J206" s="265" t="str">
        <f t="shared" si="151"/>
        <v/>
      </c>
      <c r="K206" s="240" t="str">
        <f t="shared" si="152"/>
        <v/>
      </c>
      <c r="L206" s="265" t="str">
        <f t="shared" si="153"/>
        <v/>
      </c>
      <c r="M206" s="265" t="str">
        <f t="shared" si="154"/>
        <v/>
      </c>
      <c r="N206" s="240" t="str">
        <f t="shared" si="155"/>
        <v>-</v>
      </c>
      <c r="O206" s="265" t="str">
        <f t="shared" si="156"/>
        <v>-</v>
      </c>
      <c r="P206" s="265" t="str">
        <f t="shared" si="157"/>
        <v>-</v>
      </c>
      <c r="Q206" s="266" t="str">
        <f t="shared" si="158"/>
        <v>-</v>
      </c>
      <c r="R206" s="267" t="str">
        <f t="shared" si="159"/>
        <v>-</v>
      </c>
      <c r="S206" s="268" t="str">
        <f t="shared" si="160"/>
        <v>-</v>
      </c>
      <c r="T206" s="269" t="str">
        <f t="shared" si="104"/>
        <v/>
      </c>
      <c r="U206" s="221">
        <f t="shared" si="105"/>
        <v>106</v>
      </c>
      <c r="V206" s="220" t="str">
        <f t="shared" si="131"/>
        <v>-</v>
      </c>
      <c r="W206" s="221" t="str">
        <f t="shared" si="132"/>
        <v>-</v>
      </c>
      <c r="X206" s="221" t="str">
        <f t="shared" si="106"/>
        <v>-</v>
      </c>
      <c r="Y206" s="221" t="str">
        <f t="shared" si="107"/>
        <v>-</v>
      </c>
      <c r="Z206" s="270">
        <f t="shared" si="133"/>
        <v>0.1</v>
      </c>
      <c r="AA206" s="271" t="str">
        <f>IFERROR(IF(V205=1,AA$100*EXP(-(LN(2)/$D$65+0.04)*X205)*EXP(-(LN(2)/$D$65+0.1)*Y205),IF(V205=2,AA$100*EXP(-(LN(2)/$D$65+0.04)*(VLOOKUP(($F$16-$F$15)-1,U$99:Y205,4,FALSE)))*EXP(-(LN(2)/$D$65+0.1)*(VLOOKUP(($F$16-$F$15)-1,U$99:Y205,5,FALSE)))*EXP(-(LN(2)/$D$65+0.04)*X205)*EXP(-(LN(2)/$D$65+0.1)*Y205),IF(V205=3,AA$100*EXP(-(LN(2)/$D$65+0.04)*(VLOOKUP(($F$16-$F$15)-1,U$99:Y205,4,FALSE)))*EXP(-(LN(2)/$D$65+0.1)*(VLOOKUP(($F$16-$F$15)-1,U$99:Y205,5,FALSE)))*EXP(-(LN(2)/$D$65+0.04)*(VLOOKUP(($F$16-$F$15)*2-1,U$99:Y205,4,FALSE)))*EXP(-(LN(2)/$D$65+0.1)*(VLOOKUP(($F$16-$F$15)*2-1,U$99:Y205,5,FALSE)))*EXP(-(LN(2)/$D$65+0.04)*X205)*EXP(-(LN(2)/$D$65+0.1)*Y205),"-"))),"-")</f>
        <v>-</v>
      </c>
      <c r="AB206" s="271" t="str">
        <f>IFERROR(IF(V206=1,AB$100*EXP(-(LN(2)/$D$65+0.04)*X206)*EXP(-(LN(2)/$D$65+0.1)*Y206),IF(V206=2,AB$100*EXP(-(LN(2)/$D$65+0.04)*(VLOOKUP(($F$16-$F$15)-1,U$100:Y206,4,FALSE)))*EXP(-(LN(2)/$D$65+0.1)*(VLOOKUP(($F$16-$F$15)-1,U$100:Y206,5,FALSE)))*EXP(-(LN(2)/$D$65+0.04)*X206)*EXP(-(LN(2)/$D$65+0.1)*Y206),IF(V206=3,AB$100*EXP(-(LN(2)/$D$65+0.04)*(VLOOKUP(($F$16-$F$15)-1,U$100:Y206,4,FALSE)))*EXP(-(LN(2)/$D$65+0.1)*(VLOOKUP(($F$16-$F$15)-1,U$100:Y206,5,FALSE)))*EXP(-(LN(2)/$D$65+0.04)*(VLOOKUP(($F$16-$F$15)*2-1,U$100:Y206,4,FALSE)))*EXP(-(LN(2)/$D$65+0.1)*(VLOOKUP(($F$16-$F$15)*2-1,U$100:Y206,5,FALSE)))*EXP(-(LN(2)/$D$65+0.04)*X206)*EXP(-(LN(2)/$D$65+0.1)*Y206),"-"))),"-")</f>
        <v>-</v>
      </c>
      <c r="AC206" s="224">
        <f t="shared" si="134"/>
        <v>106</v>
      </c>
      <c r="AD206" s="223" t="str">
        <f t="shared" si="108"/>
        <v>-</v>
      </c>
      <c r="AE206" s="224" t="str">
        <f t="shared" si="135"/>
        <v>-</v>
      </c>
      <c r="AF206" s="224" t="str">
        <f t="shared" si="109"/>
        <v>-</v>
      </c>
      <c r="AG206" s="224" t="str">
        <f t="shared" si="110"/>
        <v>-</v>
      </c>
      <c r="AH206" s="272">
        <f t="shared" si="136"/>
        <v>0.1</v>
      </c>
      <c r="AI206" s="271" t="str">
        <f>IFERROR(IF(AD205=1,AI$100*EXP(-(LN(2)/$D$65+0.04)*AF205)*EXP(-(LN(2)/$D$65+0.1)*AG205),IF(AD205=2,AI$100*EXP(-(LN(2)/$D$65+0.04)*(VLOOKUP(($F$16-$F$15)-1,AC$99:AG205,4,FALSE)))*EXP(-(LN(2)/$D$65+0.1)*(VLOOKUP(($F$16-$F$15)-1,AC$99:AG205,5,FALSE)))*EXP(-(LN(2)/$D$65+0.04)*AF205)*EXP(-(LN(2)/$D$65+0.1)*AG205),IF(AD205=3,AI$100*EXP(-(LN(2)/$D$65+0.04)*(VLOOKUP(($F$16-$F$15)-1,AC$99:AG205,4,FALSE)))*EXP(-(LN(2)/$D$65+0.1)*(VLOOKUP(($F$16-$F$15)-1,AC$99:AG205,5,FALSE)))*EXP(-(LN(2)/$D$65+0.04)*(VLOOKUP(($F$16-$F$15)*2-1,AC$99:AG205,4,FALSE)))*EXP(-(LN(2)/$D$65+0.1)*(VLOOKUP(($F$16-$F$15)*2-1,AC$99:AG205,5,FALSE)))*EXP(-(LN(2)/$D$65+0.04)*AF205)*EXP(-(LN(2)/$D$65+0.1)*AG205),"-"))),"-")</f>
        <v>-</v>
      </c>
      <c r="AJ206" s="271" t="str">
        <f>IFERROR(IF(AD206=1,AJ$100*EXP(-(LN(2)/$D$65+0.04)*AF206)*EXP(-(LN(2)/$D$65+0.1)*AG206),IF(AD206=2,AJ$100*EXP(-(LN(2)/$D$65+0.04)*(VLOOKUP(($F$16-$F$15)-1,AC$100:AG206,4,FALSE)))*EXP(-(LN(2)/$D$65+0.1)*(VLOOKUP(($F$16-$F$15)-1,AC$100:AG206,5,FALSE)))*EXP(-(LN(2)/$D$65+0.04)*AF206)*EXP(-(LN(2)/$D$65+0.1)*AG206),IF(AD206=3,AJ$100*EXP(-(LN(2)/$D$65+0.04)*(VLOOKUP(($F$16-$F$15)-1,AC$100:AG206,4,FALSE)))*EXP(-(LN(2)/$D$65+0.1)*(VLOOKUP(($F$16-$F$15)-1,AC$100:AG206,5,FALSE)))*EXP(-(LN(2)/$D$65+0.04)*(VLOOKUP(($F$16-$F$15)*2-1,AC$100:AG206,4,FALSE)))*EXP(-(LN(2)/$D$65+0.1)*(VLOOKUP(($F$16-$F$15)*2-1,AC$100:AG206,5,FALSE)))*EXP(-(LN(2)/$D$65+0.04)*AF206)*EXP(-(LN(2)/$D$65+0.1)*AG206),"-"))),"-")</f>
        <v>-</v>
      </c>
      <c r="AK206" s="227">
        <f t="shared" si="137"/>
        <v>106</v>
      </c>
      <c r="AL206" s="226" t="str">
        <f t="shared" si="111"/>
        <v>-</v>
      </c>
      <c r="AM206" s="227" t="str">
        <f t="shared" si="138"/>
        <v>-</v>
      </c>
      <c r="AN206" s="227" t="str">
        <f t="shared" si="139"/>
        <v>-</v>
      </c>
      <c r="AO206" s="227" t="str">
        <f t="shared" si="112"/>
        <v>-</v>
      </c>
      <c r="AP206" s="273">
        <f t="shared" si="140"/>
        <v>0.1</v>
      </c>
      <c r="AQ206" s="271" t="str">
        <f>IFERROR(IF(AL205=1,AQ$100*EXP(-(LN(2)/$D$65+0.04)*AN205)*EXP(-(LN(2)/$D$65+0.1)*AO205),IF(AL205=2,AQ$100*EXP(-(LN(2)/$D$65+0.04)*(VLOOKUP(($F$16-$F$15)-1,AK$99:AO205,4,FALSE)))*EXP(-(LN(2)/$D$65+0.1)*(VLOOKUP(($F$16-$F$15)-1,AK$99:AO205,5,FALSE)))*EXP(-(LN(2)/$D$65+0.04)*AN205)*EXP(-(LN(2)/$D$65+0.1)*AO205),IF(AL205=3,AQ$100*EXP(-(LN(2)/$D$65+0.04)*(VLOOKUP(($F$16-$F$15)-1,AK$99:AO205,4,FALSE)))*EXP(-(LN(2)/$D$65+0.1)*(VLOOKUP(($F$16-$F$15)-1,AK$99:AO205,5,FALSE)))*EXP(-(LN(2)/$D$65+0.04)*(VLOOKUP(($F$16-$F$15)*2-1,AK$99:AO205,4,FALSE)))*EXP(-(LN(2)/$D$65+0.1)*(VLOOKUP(($F$16-$F$15)*2-1,AK$99:AO205,5,FALSE)))*EXP(-(LN(2)/$D$65+0.04)*AN205)*EXP(-(LN(2)/$D$65+0.1)*AO205),"-"))),"-")</f>
        <v>-</v>
      </c>
      <c r="AR206" s="271" t="str">
        <f>IFERROR(IF(AL206=1,AR$100*EXP(-(LN(2)/$D$65+0.04)*AN206)*EXP(-(LN(2)/$D$65+0.1)*AO206),IF(AL206=2,AR$100*EXP(-(LN(2)/$D$65+0.04)*(VLOOKUP(($F$16-$F$15)-1,AK$100:AO206,4,FALSE)))*EXP(-(LN(2)/$D$65+0.1)*(VLOOKUP(($F$16-$F$15)-1,AK$100:AO206,5,FALSE)))*EXP(-(LN(2)/$D$65+0.04)*AN206)*EXP(-(LN(2)/$D$65+0.1)*AO206),IF(AL206=3,AR$100*EXP(-(LN(2)/$D$65+0.04)*(VLOOKUP(($F$16-$F$15)-1,AK$100:AO206,4,FALSE)))*EXP(-(LN(2)/$D$65+0.1)*(VLOOKUP(($F$16-$F$15)-1,AK$100:AO206,5,FALSE)))*EXP(-(LN(2)/$D$65+0.04)*(VLOOKUP(($F$16-$F$15)*2-1,AK$100:AO206,4,FALSE)))*EXP(-(LN(2)/$D$65+0.1)*(VLOOKUP(($F$16-$F$15)*2-1,AK$100:AO206,5,FALSE)))*EXP(-(LN(2)/$D$65+0.04)*AN206)*EXP(-(LN(2)/$D$65+0.1)*AO206),"-"))),"-")</f>
        <v>-</v>
      </c>
      <c r="AS206" s="274">
        <f t="shared" si="113"/>
        <v>0</v>
      </c>
      <c r="AT206" s="274">
        <f t="shared" si="114"/>
        <v>0</v>
      </c>
      <c r="AU206" s="274">
        <f t="shared" si="115"/>
        <v>0</v>
      </c>
      <c r="AV206" s="190">
        <f>IF($B206&lt;$F$22,SUM($T$100:$T206),"")</f>
        <v>0</v>
      </c>
      <c r="AW206" s="190" t="str">
        <f t="shared" si="161"/>
        <v>-</v>
      </c>
      <c r="AX206" s="190" t="str">
        <f t="shared" si="141"/>
        <v/>
      </c>
      <c r="AY206"/>
      <c r="AZ206" s="190" t="str">
        <f ca="1">IF(ISNUMBER(OFFSET(AV206,-$F$21,0)),SUM(OFFSET($T$100,$F$21,0):$T206),"")</f>
        <v/>
      </c>
      <c r="BA206" s="190" t="str">
        <f t="shared" ca="1" si="162"/>
        <v/>
      </c>
      <c r="BB206" s="190" t="str">
        <f t="shared" ca="1" si="148"/>
        <v/>
      </c>
      <c r="BC206" s="190"/>
      <c r="BD206" s="190" t="str">
        <f ca="1">IFERROR(IF(AND($B206&gt;=($F$16-$F$15),$B206&lt;$F$22+($F$16-$F$15)),SUM(OFFSET($T$100,($F$16-$F$15),0):$T206),""),"")</f>
        <v/>
      </c>
      <c r="BE206" s="190" t="str">
        <f t="shared" ca="1" si="142"/>
        <v/>
      </c>
      <c r="BF206" s="190" t="str">
        <f t="shared" ca="1" si="143"/>
        <v/>
      </c>
      <c r="BG206"/>
      <c r="BH206" s="190" t="str">
        <f ca="1">IF(ISNUMBER(OFFSET(BD206,-$F$21,0)),SUM(OFFSET($T$100,($F$16-$F$15+$F$21),0):$T206),"")</f>
        <v/>
      </c>
      <c r="BI206" s="190" t="str">
        <f t="shared" ca="1" si="163"/>
        <v/>
      </c>
      <c r="BJ206" s="190" t="str">
        <f t="shared" ca="1" si="144"/>
        <v/>
      </c>
      <c r="BK206" s="190"/>
      <c r="BL206" s="190" t="str">
        <f ca="1">IFERROR(IF(AND($B206&gt;=($F$17-$F$15),$B206&lt;$F$22+($F$17-$F$15)),SUM(OFFSET($T$100,($F$17-$F$15),0):$T206),""),"")</f>
        <v/>
      </c>
      <c r="BM206" s="190" t="str">
        <f t="shared" ca="1" si="164"/>
        <v/>
      </c>
      <c r="BN206" s="190" t="str">
        <f t="shared" ca="1" si="145"/>
        <v/>
      </c>
      <c r="BO206"/>
      <c r="BP206" s="190" t="str">
        <f ca="1">IF(ISNUMBER(OFFSET(BL206,-$F$21,0)),SUM(OFFSET($T$100,($F$17-$F$15+$F$21),0):$T206),"")</f>
        <v/>
      </c>
      <c r="BQ206" s="190" t="str">
        <f t="shared" ca="1" si="165"/>
        <v/>
      </c>
      <c r="BR206" s="190" t="str">
        <f t="shared" ca="1" si="146"/>
        <v/>
      </c>
      <c r="BS206" s="190"/>
      <c r="BT206"/>
      <c r="BU206"/>
      <c r="BV206"/>
      <c r="BY206" s="99"/>
      <c r="BZ206" s="99"/>
      <c r="CA206" s="280" t="str">
        <f t="shared" si="166"/>
        <v/>
      </c>
      <c r="CB206" s="71" t="str">
        <f t="shared" si="122"/>
        <v>-</v>
      </c>
      <c r="CC206" s="33"/>
      <c r="CD206" s="261" t="str">
        <f t="shared" si="123"/>
        <v/>
      </c>
      <c r="CE206" s="280" t="str">
        <f t="shared" si="167"/>
        <v>-</v>
      </c>
      <c r="CF206" s="71" t="str">
        <f t="shared" ca="1" si="168"/>
        <v>-</v>
      </c>
      <c r="CG206" s="33" t="str">
        <f t="shared" si="126"/>
        <v>106-107</v>
      </c>
      <c r="CH206" s="261" t="str">
        <f t="shared" ca="1" si="127"/>
        <v/>
      </c>
    </row>
    <row r="207" spans="2:86" ht="13.5" customHeight="1" x14ac:dyDescent="0.2">
      <c r="B207" s="262">
        <v>107</v>
      </c>
      <c r="C207" s="237" t="str">
        <f t="shared" si="91"/>
        <v/>
      </c>
      <c r="D207" s="237" t="str">
        <f t="shared" si="147"/>
        <v>-</v>
      </c>
      <c r="E207" s="263" t="str">
        <f t="shared" si="128"/>
        <v/>
      </c>
      <c r="F207" s="264" t="str">
        <f t="shared" si="129"/>
        <v/>
      </c>
      <c r="G207" s="264" t="str">
        <f t="shared" si="130"/>
        <v/>
      </c>
      <c r="H207" s="240" t="str">
        <f t="shared" si="149"/>
        <v/>
      </c>
      <c r="I207" s="265" t="str">
        <f t="shared" si="150"/>
        <v/>
      </c>
      <c r="J207" s="265" t="str">
        <f t="shared" si="151"/>
        <v/>
      </c>
      <c r="K207" s="240" t="str">
        <f t="shared" si="152"/>
        <v/>
      </c>
      <c r="L207" s="265" t="str">
        <f t="shared" si="153"/>
        <v/>
      </c>
      <c r="M207" s="265" t="str">
        <f t="shared" si="154"/>
        <v/>
      </c>
      <c r="N207" s="240" t="str">
        <f t="shared" si="155"/>
        <v>-</v>
      </c>
      <c r="O207" s="265" t="str">
        <f t="shared" si="156"/>
        <v>-</v>
      </c>
      <c r="P207" s="265" t="str">
        <f t="shared" si="157"/>
        <v>-</v>
      </c>
      <c r="Q207" s="266" t="str">
        <f t="shared" si="158"/>
        <v>-</v>
      </c>
      <c r="R207" s="267" t="str">
        <f t="shared" si="159"/>
        <v>-</v>
      </c>
      <c r="S207" s="268" t="str">
        <f t="shared" si="160"/>
        <v>-</v>
      </c>
      <c r="T207" s="269" t="str">
        <f t="shared" si="104"/>
        <v/>
      </c>
      <c r="U207" s="221">
        <f t="shared" si="105"/>
        <v>107</v>
      </c>
      <c r="V207" s="220" t="str">
        <f t="shared" si="131"/>
        <v>-</v>
      </c>
      <c r="W207" s="221" t="str">
        <f t="shared" si="132"/>
        <v>-</v>
      </c>
      <c r="X207" s="221" t="str">
        <f t="shared" si="106"/>
        <v>-</v>
      </c>
      <c r="Y207" s="221" t="str">
        <f t="shared" si="107"/>
        <v>-</v>
      </c>
      <c r="Z207" s="270">
        <f t="shared" si="133"/>
        <v>0.1</v>
      </c>
      <c r="AA207" s="271" t="str">
        <f>IFERROR(IF(V206=1,AA$100*EXP(-(LN(2)/$D$65+0.04)*X206)*EXP(-(LN(2)/$D$65+0.1)*Y206),IF(V206=2,AA$100*EXP(-(LN(2)/$D$65+0.04)*(VLOOKUP(($F$16-$F$15)-1,U$99:Y206,4,FALSE)))*EXP(-(LN(2)/$D$65+0.1)*(VLOOKUP(($F$16-$F$15)-1,U$99:Y206,5,FALSE)))*EXP(-(LN(2)/$D$65+0.04)*X206)*EXP(-(LN(2)/$D$65+0.1)*Y206),IF(V206=3,AA$100*EXP(-(LN(2)/$D$65+0.04)*(VLOOKUP(($F$16-$F$15)-1,U$99:Y206,4,FALSE)))*EXP(-(LN(2)/$D$65+0.1)*(VLOOKUP(($F$16-$F$15)-1,U$99:Y206,5,FALSE)))*EXP(-(LN(2)/$D$65+0.04)*(VLOOKUP(($F$16-$F$15)*2-1,U$99:Y206,4,FALSE)))*EXP(-(LN(2)/$D$65+0.1)*(VLOOKUP(($F$16-$F$15)*2-1,U$99:Y206,5,FALSE)))*EXP(-(LN(2)/$D$65+0.04)*X206)*EXP(-(LN(2)/$D$65+0.1)*Y206),"-"))),"-")</f>
        <v>-</v>
      </c>
      <c r="AB207" s="271" t="str">
        <f>IFERROR(IF(V207=1,AB$100*EXP(-(LN(2)/$D$65+0.04)*X207)*EXP(-(LN(2)/$D$65+0.1)*Y207),IF(V207=2,AB$100*EXP(-(LN(2)/$D$65+0.04)*(VLOOKUP(($F$16-$F$15)-1,U$100:Y207,4,FALSE)))*EXP(-(LN(2)/$D$65+0.1)*(VLOOKUP(($F$16-$F$15)-1,U$100:Y207,5,FALSE)))*EXP(-(LN(2)/$D$65+0.04)*X207)*EXP(-(LN(2)/$D$65+0.1)*Y207),IF(V207=3,AB$100*EXP(-(LN(2)/$D$65+0.04)*(VLOOKUP(($F$16-$F$15)-1,U$100:Y207,4,FALSE)))*EXP(-(LN(2)/$D$65+0.1)*(VLOOKUP(($F$16-$F$15)-1,U$100:Y207,5,FALSE)))*EXP(-(LN(2)/$D$65+0.04)*(VLOOKUP(($F$16-$F$15)*2-1,U$100:Y207,4,FALSE)))*EXP(-(LN(2)/$D$65+0.1)*(VLOOKUP(($F$16-$F$15)*2-1,U$100:Y207,5,FALSE)))*EXP(-(LN(2)/$D$65+0.04)*X207)*EXP(-(LN(2)/$D$65+0.1)*Y207),"-"))),"-")</f>
        <v>-</v>
      </c>
      <c r="AC207" s="224">
        <f t="shared" si="134"/>
        <v>107</v>
      </c>
      <c r="AD207" s="223" t="str">
        <f t="shared" si="108"/>
        <v>-</v>
      </c>
      <c r="AE207" s="224" t="str">
        <f t="shared" si="135"/>
        <v>-</v>
      </c>
      <c r="AF207" s="224" t="str">
        <f t="shared" si="109"/>
        <v>-</v>
      </c>
      <c r="AG207" s="224" t="str">
        <f t="shared" si="110"/>
        <v>-</v>
      </c>
      <c r="AH207" s="272">
        <f t="shared" si="136"/>
        <v>0.1</v>
      </c>
      <c r="AI207" s="271" t="str">
        <f>IFERROR(IF(AD206=1,AI$100*EXP(-(LN(2)/$D$65+0.04)*AF206)*EXP(-(LN(2)/$D$65+0.1)*AG206),IF(AD206=2,AI$100*EXP(-(LN(2)/$D$65+0.04)*(VLOOKUP(($F$16-$F$15)-1,AC$99:AG206,4,FALSE)))*EXP(-(LN(2)/$D$65+0.1)*(VLOOKUP(($F$16-$F$15)-1,AC$99:AG206,5,FALSE)))*EXP(-(LN(2)/$D$65+0.04)*AF206)*EXP(-(LN(2)/$D$65+0.1)*AG206),IF(AD206=3,AI$100*EXP(-(LN(2)/$D$65+0.04)*(VLOOKUP(($F$16-$F$15)-1,AC$99:AG206,4,FALSE)))*EXP(-(LN(2)/$D$65+0.1)*(VLOOKUP(($F$16-$F$15)-1,AC$99:AG206,5,FALSE)))*EXP(-(LN(2)/$D$65+0.04)*(VLOOKUP(($F$16-$F$15)*2-1,AC$99:AG206,4,FALSE)))*EXP(-(LN(2)/$D$65+0.1)*(VLOOKUP(($F$16-$F$15)*2-1,AC$99:AG206,5,FALSE)))*EXP(-(LN(2)/$D$65+0.04)*AF206)*EXP(-(LN(2)/$D$65+0.1)*AG206),"-"))),"-")</f>
        <v>-</v>
      </c>
      <c r="AJ207" s="271" t="str">
        <f>IFERROR(IF(AD207=1,AJ$100*EXP(-(LN(2)/$D$65+0.04)*AF207)*EXP(-(LN(2)/$D$65+0.1)*AG207),IF(AD207=2,AJ$100*EXP(-(LN(2)/$D$65+0.04)*(VLOOKUP(($F$16-$F$15)-1,AC$100:AG207,4,FALSE)))*EXP(-(LN(2)/$D$65+0.1)*(VLOOKUP(($F$16-$F$15)-1,AC$100:AG207,5,FALSE)))*EXP(-(LN(2)/$D$65+0.04)*AF207)*EXP(-(LN(2)/$D$65+0.1)*AG207),IF(AD207=3,AJ$100*EXP(-(LN(2)/$D$65+0.04)*(VLOOKUP(($F$16-$F$15)-1,AC$100:AG207,4,FALSE)))*EXP(-(LN(2)/$D$65+0.1)*(VLOOKUP(($F$16-$F$15)-1,AC$100:AG207,5,FALSE)))*EXP(-(LN(2)/$D$65+0.04)*(VLOOKUP(($F$16-$F$15)*2-1,AC$100:AG207,4,FALSE)))*EXP(-(LN(2)/$D$65+0.1)*(VLOOKUP(($F$16-$F$15)*2-1,AC$100:AG207,5,FALSE)))*EXP(-(LN(2)/$D$65+0.04)*AF207)*EXP(-(LN(2)/$D$65+0.1)*AG207),"-"))),"-")</f>
        <v>-</v>
      </c>
      <c r="AK207" s="227">
        <f t="shared" si="137"/>
        <v>107</v>
      </c>
      <c r="AL207" s="226" t="str">
        <f t="shared" si="111"/>
        <v>-</v>
      </c>
      <c r="AM207" s="227" t="str">
        <f t="shared" si="138"/>
        <v>-</v>
      </c>
      <c r="AN207" s="227" t="str">
        <f t="shared" si="139"/>
        <v>-</v>
      </c>
      <c r="AO207" s="227" t="str">
        <f t="shared" si="112"/>
        <v>-</v>
      </c>
      <c r="AP207" s="273">
        <f t="shared" si="140"/>
        <v>0.1</v>
      </c>
      <c r="AQ207" s="271" t="str">
        <f>IFERROR(IF(AL206=1,AQ$100*EXP(-(LN(2)/$D$65+0.04)*AN206)*EXP(-(LN(2)/$D$65+0.1)*AO206),IF(AL206=2,AQ$100*EXP(-(LN(2)/$D$65+0.04)*(VLOOKUP(($F$16-$F$15)-1,AK$99:AO206,4,FALSE)))*EXP(-(LN(2)/$D$65+0.1)*(VLOOKUP(($F$16-$F$15)-1,AK$99:AO206,5,FALSE)))*EXP(-(LN(2)/$D$65+0.04)*AN206)*EXP(-(LN(2)/$D$65+0.1)*AO206),IF(AL206=3,AQ$100*EXP(-(LN(2)/$D$65+0.04)*(VLOOKUP(($F$16-$F$15)-1,AK$99:AO206,4,FALSE)))*EXP(-(LN(2)/$D$65+0.1)*(VLOOKUP(($F$16-$F$15)-1,AK$99:AO206,5,FALSE)))*EXP(-(LN(2)/$D$65+0.04)*(VLOOKUP(($F$16-$F$15)*2-1,AK$99:AO206,4,FALSE)))*EXP(-(LN(2)/$D$65+0.1)*(VLOOKUP(($F$16-$F$15)*2-1,AK$99:AO206,5,FALSE)))*EXP(-(LN(2)/$D$65+0.04)*AN206)*EXP(-(LN(2)/$D$65+0.1)*AO206),"-"))),"-")</f>
        <v>-</v>
      </c>
      <c r="AR207" s="271" t="str">
        <f>IFERROR(IF(AL207=1,AR$100*EXP(-(LN(2)/$D$65+0.04)*AN207)*EXP(-(LN(2)/$D$65+0.1)*AO207),IF(AL207=2,AR$100*EXP(-(LN(2)/$D$65+0.04)*(VLOOKUP(($F$16-$F$15)-1,AK$100:AO207,4,FALSE)))*EXP(-(LN(2)/$D$65+0.1)*(VLOOKUP(($F$16-$F$15)-1,AK$100:AO207,5,FALSE)))*EXP(-(LN(2)/$D$65+0.04)*AN207)*EXP(-(LN(2)/$D$65+0.1)*AO207),IF(AL207=3,AR$100*EXP(-(LN(2)/$D$65+0.04)*(VLOOKUP(($F$16-$F$15)-1,AK$100:AO207,4,FALSE)))*EXP(-(LN(2)/$D$65+0.1)*(VLOOKUP(($F$16-$F$15)-1,AK$100:AO207,5,FALSE)))*EXP(-(LN(2)/$D$65+0.04)*(VLOOKUP(($F$16-$F$15)*2-1,AK$100:AO207,4,FALSE)))*EXP(-(LN(2)/$D$65+0.1)*(VLOOKUP(($F$16-$F$15)*2-1,AK$100:AO207,5,FALSE)))*EXP(-(LN(2)/$D$65+0.04)*AN207)*EXP(-(LN(2)/$D$65+0.1)*AO207),"-"))),"-")</f>
        <v>-</v>
      </c>
      <c r="AS207" s="274">
        <f t="shared" si="113"/>
        <v>0</v>
      </c>
      <c r="AT207" s="274">
        <f t="shared" si="114"/>
        <v>0</v>
      </c>
      <c r="AU207" s="274">
        <f t="shared" si="115"/>
        <v>0</v>
      </c>
      <c r="AV207" s="190">
        <f>IF($B207&lt;$F$22,SUM($T$100:$T207),"")</f>
        <v>0</v>
      </c>
      <c r="AW207" s="190" t="str">
        <f t="shared" si="161"/>
        <v>-</v>
      </c>
      <c r="AX207" s="190" t="str">
        <f t="shared" si="141"/>
        <v/>
      </c>
      <c r="AY207"/>
      <c r="AZ207" s="190" t="str">
        <f ca="1">IF(ISNUMBER(OFFSET(AV207,-$F$21,0)),SUM(OFFSET($T$100,$F$21,0):$T207),"")</f>
        <v/>
      </c>
      <c r="BA207" s="190" t="str">
        <f t="shared" ca="1" si="162"/>
        <v/>
      </c>
      <c r="BB207" s="190" t="str">
        <f t="shared" ca="1" si="148"/>
        <v/>
      </c>
      <c r="BC207" s="190"/>
      <c r="BD207" s="190" t="str">
        <f ca="1">IFERROR(IF(AND($B207&gt;=($F$16-$F$15),$B207&lt;$F$22+($F$16-$F$15)),SUM(OFFSET($T$100,($F$16-$F$15),0):$T207),""),"")</f>
        <v/>
      </c>
      <c r="BE207" s="190" t="str">
        <f t="shared" ca="1" si="142"/>
        <v/>
      </c>
      <c r="BF207" s="190" t="str">
        <f t="shared" ca="1" si="143"/>
        <v/>
      </c>
      <c r="BG207"/>
      <c r="BH207" s="190" t="str">
        <f ca="1">IF(ISNUMBER(OFFSET(BD207,-$F$21,0)),SUM(OFFSET($T$100,($F$16-$F$15+$F$21),0):$T207),"")</f>
        <v/>
      </c>
      <c r="BI207" s="190" t="str">
        <f t="shared" ca="1" si="163"/>
        <v/>
      </c>
      <c r="BJ207" s="190" t="str">
        <f t="shared" ca="1" si="144"/>
        <v/>
      </c>
      <c r="BK207" s="190"/>
      <c r="BL207" s="190" t="str">
        <f ca="1">IFERROR(IF(AND($B207&gt;=($F$17-$F$15),$B207&lt;$F$22+($F$17-$F$15)),SUM(OFFSET($T$100,($F$17-$F$15),0):$T207),""),"")</f>
        <v/>
      </c>
      <c r="BM207" s="190" t="str">
        <f t="shared" ca="1" si="164"/>
        <v/>
      </c>
      <c r="BN207" s="190" t="str">
        <f t="shared" ca="1" si="145"/>
        <v/>
      </c>
      <c r="BO207"/>
      <c r="BP207" s="190" t="str">
        <f ca="1">IF(ISNUMBER(OFFSET(BL207,-$F$21,0)),SUM(OFFSET($T$100,($F$17-$F$15+$F$21),0):$T207),"")</f>
        <v/>
      </c>
      <c r="BQ207" s="190" t="str">
        <f t="shared" ca="1" si="165"/>
        <v/>
      </c>
      <c r="BR207" s="190" t="str">
        <f t="shared" ca="1" si="146"/>
        <v/>
      </c>
      <c r="BS207" s="190"/>
      <c r="BT207"/>
      <c r="BU207"/>
      <c r="BV207"/>
      <c r="BY207" s="99"/>
      <c r="BZ207" s="99"/>
      <c r="CA207" s="280" t="str">
        <f t="shared" si="166"/>
        <v/>
      </c>
      <c r="CB207" s="71" t="str">
        <f t="shared" si="122"/>
        <v>-</v>
      </c>
      <c r="CC207" s="33"/>
      <c r="CD207" s="261" t="str">
        <f t="shared" si="123"/>
        <v/>
      </c>
      <c r="CE207" s="280" t="str">
        <f t="shared" si="167"/>
        <v>-</v>
      </c>
      <c r="CF207" s="71" t="str">
        <f t="shared" ca="1" si="168"/>
        <v>-</v>
      </c>
      <c r="CG207" s="33" t="str">
        <f t="shared" si="126"/>
        <v>107-108</v>
      </c>
      <c r="CH207" s="261" t="str">
        <f t="shared" ca="1" si="127"/>
        <v/>
      </c>
    </row>
    <row r="208" spans="2:86" ht="13.5" customHeight="1" x14ac:dyDescent="0.2">
      <c r="B208" s="262">
        <v>108</v>
      </c>
      <c r="C208" s="237" t="str">
        <f t="shared" si="91"/>
        <v/>
      </c>
      <c r="D208" s="237" t="str">
        <f t="shared" si="147"/>
        <v>-</v>
      </c>
      <c r="E208" s="263" t="str">
        <f t="shared" si="128"/>
        <v/>
      </c>
      <c r="F208" s="264" t="str">
        <f t="shared" si="129"/>
        <v/>
      </c>
      <c r="G208" s="264" t="str">
        <f t="shared" si="130"/>
        <v/>
      </c>
      <c r="H208" s="240" t="str">
        <f t="shared" si="149"/>
        <v/>
      </c>
      <c r="I208" s="265" t="str">
        <f t="shared" si="150"/>
        <v/>
      </c>
      <c r="J208" s="265" t="str">
        <f t="shared" si="151"/>
        <v/>
      </c>
      <c r="K208" s="240" t="str">
        <f t="shared" si="152"/>
        <v/>
      </c>
      <c r="L208" s="265" t="str">
        <f t="shared" si="153"/>
        <v/>
      </c>
      <c r="M208" s="265" t="str">
        <f t="shared" si="154"/>
        <v/>
      </c>
      <c r="N208" s="240" t="str">
        <f t="shared" si="155"/>
        <v>-</v>
      </c>
      <c r="O208" s="265" t="str">
        <f t="shared" si="156"/>
        <v>-</v>
      </c>
      <c r="P208" s="265" t="str">
        <f t="shared" si="157"/>
        <v>-</v>
      </c>
      <c r="Q208" s="266" t="str">
        <f t="shared" si="158"/>
        <v>-</v>
      </c>
      <c r="R208" s="267" t="str">
        <f t="shared" si="159"/>
        <v>-</v>
      </c>
      <c r="S208" s="268" t="str">
        <f t="shared" si="160"/>
        <v>-</v>
      </c>
      <c r="T208" s="269" t="str">
        <f t="shared" si="104"/>
        <v/>
      </c>
      <c r="U208" s="221">
        <f t="shared" si="105"/>
        <v>108</v>
      </c>
      <c r="V208" s="220" t="str">
        <f t="shared" si="131"/>
        <v>-</v>
      </c>
      <c r="W208" s="221" t="str">
        <f t="shared" si="132"/>
        <v>-</v>
      </c>
      <c r="X208" s="221" t="str">
        <f t="shared" si="106"/>
        <v>-</v>
      </c>
      <c r="Y208" s="221" t="str">
        <f t="shared" si="107"/>
        <v>-</v>
      </c>
      <c r="Z208" s="270">
        <f t="shared" si="133"/>
        <v>0.1</v>
      </c>
      <c r="AA208" s="271" t="str">
        <f>IFERROR(IF(V207=1,AA$100*EXP(-(LN(2)/$D$65+0.04)*X207)*EXP(-(LN(2)/$D$65+0.1)*Y207),IF(V207=2,AA$100*EXP(-(LN(2)/$D$65+0.04)*(VLOOKUP(($F$16-$F$15)-1,U$99:Y207,4,FALSE)))*EXP(-(LN(2)/$D$65+0.1)*(VLOOKUP(($F$16-$F$15)-1,U$99:Y207,5,FALSE)))*EXP(-(LN(2)/$D$65+0.04)*X207)*EXP(-(LN(2)/$D$65+0.1)*Y207),IF(V207=3,AA$100*EXP(-(LN(2)/$D$65+0.04)*(VLOOKUP(($F$16-$F$15)-1,U$99:Y207,4,FALSE)))*EXP(-(LN(2)/$D$65+0.1)*(VLOOKUP(($F$16-$F$15)-1,U$99:Y207,5,FALSE)))*EXP(-(LN(2)/$D$65+0.04)*(VLOOKUP(($F$16-$F$15)*2-1,U$99:Y207,4,FALSE)))*EXP(-(LN(2)/$D$65+0.1)*(VLOOKUP(($F$16-$F$15)*2-1,U$99:Y207,5,FALSE)))*EXP(-(LN(2)/$D$65+0.04)*X207)*EXP(-(LN(2)/$D$65+0.1)*Y207),"-"))),"-")</f>
        <v>-</v>
      </c>
      <c r="AB208" s="271" t="str">
        <f>IFERROR(IF(V208=1,AB$100*EXP(-(LN(2)/$D$65+0.04)*X208)*EXP(-(LN(2)/$D$65+0.1)*Y208),IF(V208=2,AB$100*EXP(-(LN(2)/$D$65+0.04)*(VLOOKUP(($F$16-$F$15)-1,U$100:Y208,4,FALSE)))*EXP(-(LN(2)/$D$65+0.1)*(VLOOKUP(($F$16-$F$15)-1,U$100:Y208,5,FALSE)))*EXP(-(LN(2)/$D$65+0.04)*X208)*EXP(-(LN(2)/$D$65+0.1)*Y208),IF(V208=3,AB$100*EXP(-(LN(2)/$D$65+0.04)*(VLOOKUP(($F$16-$F$15)-1,U$100:Y208,4,FALSE)))*EXP(-(LN(2)/$D$65+0.1)*(VLOOKUP(($F$16-$F$15)-1,U$100:Y208,5,FALSE)))*EXP(-(LN(2)/$D$65+0.04)*(VLOOKUP(($F$16-$F$15)*2-1,U$100:Y208,4,FALSE)))*EXP(-(LN(2)/$D$65+0.1)*(VLOOKUP(($F$16-$F$15)*2-1,U$100:Y208,5,FALSE)))*EXP(-(LN(2)/$D$65+0.04)*X208)*EXP(-(LN(2)/$D$65+0.1)*Y208),"-"))),"-")</f>
        <v>-</v>
      </c>
      <c r="AC208" s="224">
        <f t="shared" si="134"/>
        <v>108</v>
      </c>
      <c r="AD208" s="223" t="str">
        <f t="shared" si="108"/>
        <v>-</v>
      </c>
      <c r="AE208" s="224" t="str">
        <f t="shared" si="135"/>
        <v>-</v>
      </c>
      <c r="AF208" s="224" t="str">
        <f t="shared" si="109"/>
        <v>-</v>
      </c>
      <c r="AG208" s="224" t="str">
        <f t="shared" si="110"/>
        <v>-</v>
      </c>
      <c r="AH208" s="272">
        <f t="shared" si="136"/>
        <v>0.1</v>
      </c>
      <c r="AI208" s="271" t="str">
        <f>IFERROR(IF(AD207=1,AI$100*EXP(-(LN(2)/$D$65+0.04)*AF207)*EXP(-(LN(2)/$D$65+0.1)*AG207),IF(AD207=2,AI$100*EXP(-(LN(2)/$D$65+0.04)*(VLOOKUP(($F$16-$F$15)-1,AC$99:AG207,4,FALSE)))*EXP(-(LN(2)/$D$65+0.1)*(VLOOKUP(($F$16-$F$15)-1,AC$99:AG207,5,FALSE)))*EXP(-(LN(2)/$D$65+0.04)*AF207)*EXP(-(LN(2)/$D$65+0.1)*AG207),IF(AD207=3,AI$100*EXP(-(LN(2)/$D$65+0.04)*(VLOOKUP(($F$16-$F$15)-1,AC$99:AG207,4,FALSE)))*EXP(-(LN(2)/$D$65+0.1)*(VLOOKUP(($F$16-$F$15)-1,AC$99:AG207,5,FALSE)))*EXP(-(LN(2)/$D$65+0.04)*(VLOOKUP(($F$16-$F$15)*2-1,AC$99:AG207,4,FALSE)))*EXP(-(LN(2)/$D$65+0.1)*(VLOOKUP(($F$16-$F$15)*2-1,AC$99:AG207,5,FALSE)))*EXP(-(LN(2)/$D$65+0.04)*AF207)*EXP(-(LN(2)/$D$65+0.1)*AG207),"-"))),"-")</f>
        <v>-</v>
      </c>
      <c r="AJ208" s="271" t="str">
        <f>IFERROR(IF(AD208=1,AJ$100*EXP(-(LN(2)/$D$65+0.04)*AF208)*EXP(-(LN(2)/$D$65+0.1)*AG208),IF(AD208=2,AJ$100*EXP(-(LN(2)/$D$65+0.04)*(VLOOKUP(($F$16-$F$15)-1,AC$100:AG208,4,FALSE)))*EXP(-(LN(2)/$D$65+0.1)*(VLOOKUP(($F$16-$F$15)-1,AC$100:AG208,5,FALSE)))*EXP(-(LN(2)/$D$65+0.04)*AF208)*EXP(-(LN(2)/$D$65+0.1)*AG208),IF(AD208=3,AJ$100*EXP(-(LN(2)/$D$65+0.04)*(VLOOKUP(($F$16-$F$15)-1,AC$100:AG208,4,FALSE)))*EXP(-(LN(2)/$D$65+0.1)*(VLOOKUP(($F$16-$F$15)-1,AC$100:AG208,5,FALSE)))*EXP(-(LN(2)/$D$65+0.04)*(VLOOKUP(($F$16-$F$15)*2-1,AC$100:AG208,4,FALSE)))*EXP(-(LN(2)/$D$65+0.1)*(VLOOKUP(($F$16-$F$15)*2-1,AC$100:AG208,5,FALSE)))*EXP(-(LN(2)/$D$65+0.04)*AF208)*EXP(-(LN(2)/$D$65+0.1)*AG208),"-"))),"-")</f>
        <v>-</v>
      </c>
      <c r="AK208" s="227">
        <f t="shared" si="137"/>
        <v>108</v>
      </c>
      <c r="AL208" s="226" t="str">
        <f t="shared" si="111"/>
        <v>-</v>
      </c>
      <c r="AM208" s="227" t="str">
        <f t="shared" si="138"/>
        <v>-</v>
      </c>
      <c r="AN208" s="227" t="str">
        <f t="shared" si="139"/>
        <v>-</v>
      </c>
      <c r="AO208" s="227" t="str">
        <f t="shared" si="112"/>
        <v>-</v>
      </c>
      <c r="AP208" s="273">
        <f t="shared" si="140"/>
        <v>0.1</v>
      </c>
      <c r="AQ208" s="271" t="str">
        <f>IFERROR(IF(AL207=1,AQ$100*EXP(-(LN(2)/$D$65+0.04)*AN207)*EXP(-(LN(2)/$D$65+0.1)*AO207),IF(AL207=2,AQ$100*EXP(-(LN(2)/$D$65+0.04)*(VLOOKUP(($F$16-$F$15)-1,AK$99:AO207,4,FALSE)))*EXP(-(LN(2)/$D$65+0.1)*(VLOOKUP(($F$16-$F$15)-1,AK$99:AO207,5,FALSE)))*EXP(-(LN(2)/$D$65+0.04)*AN207)*EXP(-(LN(2)/$D$65+0.1)*AO207),IF(AL207=3,AQ$100*EXP(-(LN(2)/$D$65+0.04)*(VLOOKUP(($F$16-$F$15)-1,AK$99:AO207,4,FALSE)))*EXP(-(LN(2)/$D$65+0.1)*(VLOOKUP(($F$16-$F$15)-1,AK$99:AO207,5,FALSE)))*EXP(-(LN(2)/$D$65+0.04)*(VLOOKUP(($F$16-$F$15)*2-1,AK$99:AO207,4,FALSE)))*EXP(-(LN(2)/$D$65+0.1)*(VLOOKUP(($F$16-$F$15)*2-1,AK$99:AO207,5,FALSE)))*EXP(-(LN(2)/$D$65+0.04)*AN207)*EXP(-(LN(2)/$D$65+0.1)*AO207),"-"))),"-")</f>
        <v>-</v>
      </c>
      <c r="AR208" s="271" t="str">
        <f>IFERROR(IF(AL208=1,AR$100*EXP(-(LN(2)/$D$65+0.04)*AN208)*EXP(-(LN(2)/$D$65+0.1)*AO208),IF(AL208=2,AR$100*EXP(-(LN(2)/$D$65+0.04)*(VLOOKUP(($F$16-$F$15)-1,AK$100:AO208,4,FALSE)))*EXP(-(LN(2)/$D$65+0.1)*(VLOOKUP(($F$16-$F$15)-1,AK$100:AO208,5,FALSE)))*EXP(-(LN(2)/$D$65+0.04)*AN208)*EXP(-(LN(2)/$D$65+0.1)*AO208),IF(AL208=3,AR$100*EXP(-(LN(2)/$D$65+0.04)*(VLOOKUP(($F$16-$F$15)-1,AK$100:AO208,4,FALSE)))*EXP(-(LN(2)/$D$65+0.1)*(VLOOKUP(($F$16-$F$15)-1,AK$100:AO208,5,FALSE)))*EXP(-(LN(2)/$D$65+0.04)*(VLOOKUP(($F$16-$F$15)*2-1,AK$100:AO208,4,FALSE)))*EXP(-(LN(2)/$D$65+0.1)*(VLOOKUP(($F$16-$F$15)*2-1,AK$100:AO208,5,FALSE)))*EXP(-(LN(2)/$D$65+0.04)*AN208)*EXP(-(LN(2)/$D$65+0.1)*AO208),"-"))),"-")</f>
        <v>-</v>
      </c>
      <c r="AS208" s="274">
        <f t="shared" si="113"/>
        <v>0</v>
      </c>
      <c r="AT208" s="274">
        <f t="shared" si="114"/>
        <v>0</v>
      </c>
      <c r="AU208" s="274">
        <f t="shared" si="115"/>
        <v>0</v>
      </c>
      <c r="AV208" s="190">
        <f>IF($B208&lt;$F$22,SUM($T$100:$T208),"")</f>
        <v>0</v>
      </c>
      <c r="AW208" s="190" t="str">
        <f t="shared" si="161"/>
        <v>-</v>
      </c>
      <c r="AX208" s="190" t="str">
        <f t="shared" si="141"/>
        <v/>
      </c>
      <c r="AY208"/>
      <c r="AZ208" s="190" t="str">
        <f ca="1">IF(ISNUMBER(OFFSET(AV208,-$F$21,0)),SUM(OFFSET($T$100,$F$21,0):$T208),"")</f>
        <v/>
      </c>
      <c r="BA208" s="190" t="str">
        <f t="shared" ca="1" si="162"/>
        <v/>
      </c>
      <c r="BB208" s="190" t="str">
        <f t="shared" ca="1" si="148"/>
        <v/>
      </c>
      <c r="BC208" s="190"/>
      <c r="BD208" s="190" t="str">
        <f ca="1">IFERROR(IF(AND($B208&gt;=($F$16-$F$15),$B208&lt;$F$22+($F$16-$F$15)),SUM(OFFSET($T$100,($F$16-$F$15),0):$T208),""),"")</f>
        <v/>
      </c>
      <c r="BE208" s="190" t="str">
        <f t="shared" ca="1" si="142"/>
        <v/>
      </c>
      <c r="BF208" s="190" t="str">
        <f t="shared" ca="1" si="143"/>
        <v/>
      </c>
      <c r="BG208"/>
      <c r="BH208" s="190" t="str">
        <f ca="1">IF(ISNUMBER(OFFSET(BD208,-$F$21,0)),SUM(OFFSET($T$100,($F$16-$F$15+$F$21),0):$T208),"")</f>
        <v/>
      </c>
      <c r="BI208" s="190" t="str">
        <f t="shared" ca="1" si="163"/>
        <v/>
      </c>
      <c r="BJ208" s="190" t="str">
        <f t="shared" ca="1" si="144"/>
        <v/>
      </c>
      <c r="BK208" s="190"/>
      <c r="BL208" s="190" t="str">
        <f ca="1">IFERROR(IF(AND($B208&gt;=($F$17-$F$15),$B208&lt;$F$22+($F$17-$F$15)),SUM(OFFSET($T$100,($F$17-$F$15),0):$T208),""),"")</f>
        <v/>
      </c>
      <c r="BM208" s="190" t="str">
        <f t="shared" ca="1" si="164"/>
        <v/>
      </c>
      <c r="BN208" s="190" t="str">
        <f t="shared" ca="1" si="145"/>
        <v/>
      </c>
      <c r="BO208"/>
      <c r="BP208" s="190" t="str">
        <f ca="1">IF(ISNUMBER(OFFSET(BL208,-$F$21,0)),SUM(OFFSET($T$100,($F$17-$F$15+$F$21),0):$T208),"")</f>
        <v/>
      </c>
      <c r="BQ208" s="190" t="str">
        <f t="shared" ca="1" si="165"/>
        <v/>
      </c>
      <c r="BR208" s="190" t="str">
        <f t="shared" ca="1" si="146"/>
        <v/>
      </c>
      <c r="BS208" s="190"/>
      <c r="BT208"/>
      <c r="BU208"/>
      <c r="BV208"/>
      <c r="BY208" s="99"/>
      <c r="BZ208" s="99"/>
      <c r="CA208" s="280" t="str">
        <f t="shared" si="166"/>
        <v/>
      </c>
      <c r="CB208" s="71" t="str">
        <f t="shared" si="122"/>
        <v>-</v>
      </c>
      <c r="CC208" s="33"/>
      <c r="CD208" s="261" t="str">
        <f t="shared" si="123"/>
        <v/>
      </c>
      <c r="CE208" s="280" t="str">
        <f t="shared" si="167"/>
        <v>-</v>
      </c>
      <c r="CF208" s="71" t="str">
        <f t="shared" ca="1" si="168"/>
        <v>-</v>
      </c>
      <c r="CG208" s="33" t="str">
        <f t="shared" si="126"/>
        <v>108-109</v>
      </c>
      <c r="CH208" s="261" t="str">
        <f t="shared" ca="1" si="127"/>
        <v/>
      </c>
    </row>
    <row r="209" spans="2:86" ht="13.5" customHeight="1" x14ac:dyDescent="0.2">
      <c r="B209" s="262">
        <v>109</v>
      </c>
      <c r="C209" s="237" t="str">
        <f t="shared" si="91"/>
        <v/>
      </c>
      <c r="D209" s="237" t="str">
        <f t="shared" si="147"/>
        <v>-</v>
      </c>
      <c r="E209" s="263" t="str">
        <f t="shared" si="128"/>
        <v/>
      </c>
      <c r="F209" s="264" t="str">
        <f t="shared" si="129"/>
        <v/>
      </c>
      <c r="G209" s="264" t="str">
        <f t="shared" si="130"/>
        <v/>
      </c>
      <c r="H209" s="240" t="str">
        <f t="shared" si="149"/>
        <v/>
      </c>
      <c r="I209" s="265" t="str">
        <f t="shared" si="150"/>
        <v/>
      </c>
      <c r="J209" s="265" t="str">
        <f t="shared" si="151"/>
        <v/>
      </c>
      <c r="K209" s="240" t="str">
        <f t="shared" si="152"/>
        <v/>
      </c>
      <c r="L209" s="265" t="str">
        <f t="shared" si="153"/>
        <v/>
      </c>
      <c r="M209" s="265" t="str">
        <f t="shared" si="154"/>
        <v/>
      </c>
      <c r="N209" s="240" t="str">
        <f t="shared" si="155"/>
        <v>-</v>
      </c>
      <c r="O209" s="265" t="str">
        <f t="shared" si="156"/>
        <v>-</v>
      </c>
      <c r="P209" s="265" t="str">
        <f t="shared" si="157"/>
        <v>-</v>
      </c>
      <c r="Q209" s="266" t="str">
        <f t="shared" si="158"/>
        <v>-</v>
      </c>
      <c r="R209" s="267" t="str">
        <f t="shared" si="159"/>
        <v>-</v>
      </c>
      <c r="S209" s="268" t="str">
        <f t="shared" si="160"/>
        <v>-</v>
      </c>
      <c r="T209" s="269" t="str">
        <f t="shared" si="104"/>
        <v/>
      </c>
      <c r="U209" s="221">
        <f t="shared" si="105"/>
        <v>109</v>
      </c>
      <c r="V209" s="220" t="str">
        <f t="shared" si="131"/>
        <v>-</v>
      </c>
      <c r="W209" s="221" t="str">
        <f t="shared" si="132"/>
        <v>-</v>
      </c>
      <c r="X209" s="221" t="str">
        <f t="shared" si="106"/>
        <v>-</v>
      </c>
      <c r="Y209" s="221" t="str">
        <f t="shared" si="107"/>
        <v>-</v>
      </c>
      <c r="Z209" s="270">
        <f t="shared" si="133"/>
        <v>0.1</v>
      </c>
      <c r="AA209" s="271" t="str">
        <f>IFERROR(IF(V208=1,AA$100*EXP(-(LN(2)/$D$65+0.04)*X208)*EXP(-(LN(2)/$D$65+0.1)*Y208),IF(V208=2,AA$100*EXP(-(LN(2)/$D$65+0.04)*(VLOOKUP(($F$16-$F$15)-1,U$99:Y208,4,FALSE)))*EXP(-(LN(2)/$D$65+0.1)*(VLOOKUP(($F$16-$F$15)-1,U$99:Y208,5,FALSE)))*EXP(-(LN(2)/$D$65+0.04)*X208)*EXP(-(LN(2)/$D$65+0.1)*Y208),IF(V208=3,AA$100*EXP(-(LN(2)/$D$65+0.04)*(VLOOKUP(($F$16-$F$15)-1,U$99:Y208,4,FALSE)))*EXP(-(LN(2)/$D$65+0.1)*(VLOOKUP(($F$16-$F$15)-1,U$99:Y208,5,FALSE)))*EXP(-(LN(2)/$D$65+0.04)*(VLOOKUP(($F$16-$F$15)*2-1,U$99:Y208,4,FALSE)))*EXP(-(LN(2)/$D$65+0.1)*(VLOOKUP(($F$16-$F$15)*2-1,U$99:Y208,5,FALSE)))*EXP(-(LN(2)/$D$65+0.04)*X208)*EXP(-(LN(2)/$D$65+0.1)*Y208),"-"))),"-")</f>
        <v>-</v>
      </c>
      <c r="AB209" s="271" t="str">
        <f>IFERROR(IF(V209=1,AB$100*EXP(-(LN(2)/$D$65+0.04)*X209)*EXP(-(LN(2)/$D$65+0.1)*Y209),IF(V209=2,AB$100*EXP(-(LN(2)/$D$65+0.04)*(VLOOKUP(($F$16-$F$15)-1,U$100:Y209,4,FALSE)))*EXP(-(LN(2)/$D$65+0.1)*(VLOOKUP(($F$16-$F$15)-1,U$100:Y209,5,FALSE)))*EXP(-(LN(2)/$D$65+0.04)*X209)*EXP(-(LN(2)/$D$65+0.1)*Y209),IF(V209=3,AB$100*EXP(-(LN(2)/$D$65+0.04)*(VLOOKUP(($F$16-$F$15)-1,U$100:Y209,4,FALSE)))*EXP(-(LN(2)/$D$65+0.1)*(VLOOKUP(($F$16-$F$15)-1,U$100:Y209,5,FALSE)))*EXP(-(LN(2)/$D$65+0.04)*(VLOOKUP(($F$16-$F$15)*2-1,U$100:Y209,4,FALSE)))*EXP(-(LN(2)/$D$65+0.1)*(VLOOKUP(($F$16-$F$15)*2-1,U$100:Y209,5,FALSE)))*EXP(-(LN(2)/$D$65+0.04)*X209)*EXP(-(LN(2)/$D$65+0.1)*Y209),"-"))),"-")</f>
        <v>-</v>
      </c>
      <c r="AC209" s="224">
        <f t="shared" si="134"/>
        <v>109</v>
      </c>
      <c r="AD209" s="223" t="str">
        <f t="shared" si="108"/>
        <v>-</v>
      </c>
      <c r="AE209" s="224" t="str">
        <f t="shared" si="135"/>
        <v>-</v>
      </c>
      <c r="AF209" s="224" t="str">
        <f t="shared" si="109"/>
        <v>-</v>
      </c>
      <c r="AG209" s="224" t="str">
        <f t="shared" si="110"/>
        <v>-</v>
      </c>
      <c r="AH209" s="272">
        <f t="shared" si="136"/>
        <v>0.1</v>
      </c>
      <c r="AI209" s="271" t="str">
        <f>IFERROR(IF(AD208=1,AI$100*EXP(-(LN(2)/$D$65+0.04)*AF208)*EXP(-(LN(2)/$D$65+0.1)*AG208),IF(AD208=2,AI$100*EXP(-(LN(2)/$D$65+0.04)*(VLOOKUP(($F$16-$F$15)-1,AC$99:AG208,4,FALSE)))*EXP(-(LN(2)/$D$65+0.1)*(VLOOKUP(($F$16-$F$15)-1,AC$99:AG208,5,FALSE)))*EXP(-(LN(2)/$D$65+0.04)*AF208)*EXP(-(LN(2)/$D$65+0.1)*AG208),IF(AD208=3,AI$100*EXP(-(LN(2)/$D$65+0.04)*(VLOOKUP(($F$16-$F$15)-1,AC$99:AG208,4,FALSE)))*EXP(-(LN(2)/$D$65+0.1)*(VLOOKUP(($F$16-$F$15)-1,AC$99:AG208,5,FALSE)))*EXP(-(LN(2)/$D$65+0.04)*(VLOOKUP(($F$16-$F$15)*2-1,AC$99:AG208,4,FALSE)))*EXP(-(LN(2)/$D$65+0.1)*(VLOOKUP(($F$16-$F$15)*2-1,AC$99:AG208,5,FALSE)))*EXP(-(LN(2)/$D$65+0.04)*AF208)*EXP(-(LN(2)/$D$65+0.1)*AG208),"-"))),"-")</f>
        <v>-</v>
      </c>
      <c r="AJ209" s="271" t="str">
        <f>IFERROR(IF(AD209=1,AJ$100*EXP(-(LN(2)/$D$65+0.04)*AF209)*EXP(-(LN(2)/$D$65+0.1)*AG209),IF(AD209=2,AJ$100*EXP(-(LN(2)/$D$65+0.04)*(VLOOKUP(($F$16-$F$15)-1,AC$100:AG209,4,FALSE)))*EXP(-(LN(2)/$D$65+0.1)*(VLOOKUP(($F$16-$F$15)-1,AC$100:AG209,5,FALSE)))*EXP(-(LN(2)/$D$65+0.04)*AF209)*EXP(-(LN(2)/$D$65+0.1)*AG209),IF(AD209=3,AJ$100*EXP(-(LN(2)/$D$65+0.04)*(VLOOKUP(($F$16-$F$15)-1,AC$100:AG209,4,FALSE)))*EXP(-(LN(2)/$D$65+0.1)*(VLOOKUP(($F$16-$F$15)-1,AC$100:AG209,5,FALSE)))*EXP(-(LN(2)/$D$65+0.04)*(VLOOKUP(($F$16-$F$15)*2-1,AC$100:AG209,4,FALSE)))*EXP(-(LN(2)/$D$65+0.1)*(VLOOKUP(($F$16-$F$15)*2-1,AC$100:AG209,5,FALSE)))*EXP(-(LN(2)/$D$65+0.04)*AF209)*EXP(-(LN(2)/$D$65+0.1)*AG209),"-"))),"-")</f>
        <v>-</v>
      </c>
      <c r="AK209" s="227">
        <f t="shared" si="137"/>
        <v>109</v>
      </c>
      <c r="AL209" s="226" t="str">
        <f t="shared" si="111"/>
        <v>-</v>
      </c>
      <c r="AM209" s="227" t="str">
        <f t="shared" si="138"/>
        <v>-</v>
      </c>
      <c r="AN209" s="227" t="str">
        <f t="shared" si="139"/>
        <v>-</v>
      </c>
      <c r="AO209" s="227" t="str">
        <f t="shared" si="112"/>
        <v>-</v>
      </c>
      <c r="AP209" s="273">
        <f t="shared" si="140"/>
        <v>0.1</v>
      </c>
      <c r="AQ209" s="271" t="str">
        <f>IFERROR(IF(AL208=1,AQ$100*EXP(-(LN(2)/$D$65+0.04)*AN208)*EXP(-(LN(2)/$D$65+0.1)*AO208),IF(AL208=2,AQ$100*EXP(-(LN(2)/$D$65+0.04)*(VLOOKUP(($F$16-$F$15)-1,AK$99:AO208,4,FALSE)))*EXP(-(LN(2)/$D$65+0.1)*(VLOOKUP(($F$16-$F$15)-1,AK$99:AO208,5,FALSE)))*EXP(-(LN(2)/$D$65+0.04)*AN208)*EXP(-(LN(2)/$D$65+0.1)*AO208),IF(AL208=3,AQ$100*EXP(-(LN(2)/$D$65+0.04)*(VLOOKUP(($F$16-$F$15)-1,AK$99:AO208,4,FALSE)))*EXP(-(LN(2)/$D$65+0.1)*(VLOOKUP(($F$16-$F$15)-1,AK$99:AO208,5,FALSE)))*EXP(-(LN(2)/$D$65+0.04)*(VLOOKUP(($F$16-$F$15)*2-1,AK$99:AO208,4,FALSE)))*EXP(-(LN(2)/$D$65+0.1)*(VLOOKUP(($F$16-$F$15)*2-1,AK$99:AO208,5,FALSE)))*EXP(-(LN(2)/$D$65+0.04)*AN208)*EXP(-(LN(2)/$D$65+0.1)*AO208),"-"))),"-")</f>
        <v>-</v>
      </c>
      <c r="AR209" s="271" t="str">
        <f>IFERROR(IF(AL209=1,AR$100*EXP(-(LN(2)/$D$65+0.04)*AN209)*EXP(-(LN(2)/$D$65+0.1)*AO209),IF(AL209=2,AR$100*EXP(-(LN(2)/$D$65+0.04)*(VLOOKUP(($F$16-$F$15)-1,AK$100:AO209,4,FALSE)))*EXP(-(LN(2)/$D$65+0.1)*(VLOOKUP(($F$16-$F$15)-1,AK$100:AO209,5,FALSE)))*EXP(-(LN(2)/$D$65+0.04)*AN209)*EXP(-(LN(2)/$D$65+0.1)*AO209),IF(AL209=3,AR$100*EXP(-(LN(2)/$D$65+0.04)*(VLOOKUP(($F$16-$F$15)-1,AK$100:AO209,4,FALSE)))*EXP(-(LN(2)/$D$65+0.1)*(VLOOKUP(($F$16-$F$15)-1,AK$100:AO209,5,FALSE)))*EXP(-(LN(2)/$D$65+0.04)*(VLOOKUP(($F$16-$F$15)*2-1,AK$100:AO209,4,FALSE)))*EXP(-(LN(2)/$D$65+0.1)*(VLOOKUP(($F$16-$F$15)*2-1,AK$100:AO209,5,FALSE)))*EXP(-(LN(2)/$D$65+0.04)*AN209)*EXP(-(LN(2)/$D$65+0.1)*AO209),"-"))),"-")</f>
        <v>-</v>
      </c>
      <c r="AS209" s="274">
        <f t="shared" si="113"/>
        <v>0</v>
      </c>
      <c r="AT209" s="274">
        <f t="shared" si="114"/>
        <v>0</v>
      </c>
      <c r="AU209" s="274">
        <f t="shared" si="115"/>
        <v>0</v>
      </c>
      <c r="AV209" s="190">
        <f>IF($B209&lt;$F$22,SUM($T$100:$T209),"")</f>
        <v>0</v>
      </c>
      <c r="AW209" s="190" t="str">
        <f t="shared" si="161"/>
        <v>-</v>
      </c>
      <c r="AX209" s="190" t="str">
        <f t="shared" si="141"/>
        <v/>
      </c>
      <c r="AY209"/>
      <c r="AZ209" s="190" t="str">
        <f ca="1">IF(ISNUMBER(OFFSET(AV209,-$F$21,0)),SUM(OFFSET($T$100,$F$21,0):$T209),"")</f>
        <v/>
      </c>
      <c r="BA209" s="190" t="str">
        <f t="shared" ca="1" si="162"/>
        <v/>
      </c>
      <c r="BB209" s="190" t="str">
        <f t="shared" ca="1" si="148"/>
        <v/>
      </c>
      <c r="BC209" s="190"/>
      <c r="BD209" s="190" t="str">
        <f ca="1">IFERROR(IF(AND($B209&gt;=($F$16-$F$15),$B209&lt;$F$22+($F$16-$F$15)),SUM(OFFSET($T$100,($F$16-$F$15),0):$T209),""),"")</f>
        <v/>
      </c>
      <c r="BE209" s="190" t="str">
        <f t="shared" ca="1" si="142"/>
        <v/>
      </c>
      <c r="BF209" s="190" t="str">
        <f t="shared" ca="1" si="143"/>
        <v/>
      </c>
      <c r="BG209"/>
      <c r="BH209" s="190" t="str">
        <f ca="1">IF(ISNUMBER(OFFSET(BD209,-$F$21,0)),SUM(OFFSET($T$100,($F$16-$F$15+$F$21),0):$T209),"")</f>
        <v/>
      </c>
      <c r="BI209" s="190" t="str">
        <f t="shared" ca="1" si="163"/>
        <v/>
      </c>
      <c r="BJ209" s="190" t="str">
        <f t="shared" ca="1" si="144"/>
        <v/>
      </c>
      <c r="BK209" s="190"/>
      <c r="BL209" s="190" t="str">
        <f ca="1">IFERROR(IF(AND($B209&gt;=($F$17-$F$15),$B209&lt;$F$22+($F$17-$F$15)),SUM(OFFSET($T$100,($F$17-$F$15),0):$T209),""),"")</f>
        <v/>
      </c>
      <c r="BM209" s="190" t="str">
        <f t="shared" ca="1" si="164"/>
        <v/>
      </c>
      <c r="BN209" s="190" t="str">
        <f t="shared" ca="1" si="145"/>
        <v/>
      </c>
      <c r="BO209"/>
      <c r="BP209" s="190" t="str">
        <f ca="1">IF(ISNUMBER(OFFSET(BL209,-$F$21,0)),SUM(OFFSET($T$100,($F$17-$F$15+$F$21),0):$T209),"")</f>
        <v/>
      </c>
      <c r="BQ209" s="190" t="str">
        <f t="shared" ca="1" si="165"/>
        <v/>
      </c>
      <c r="BR209" s="190" t="str">
        <f t="shared" ca="1" si="146"/>
        <v/>
      </c>
      <c r="BS209" s="190"/>
      <c r="BT209"/>
      <c r="BU209"/>
      <c r="BV209"/>
      <c r="BY209" s="99"/>
      <c r="BZ209" s="99"/>
      <c r="CA209" s="280" t="str">
        <f t="shared" si="166"/>
        <v/>
      </c>
      <c r="CB209" s="71" t="str">
        <f t="shared" si="122"/>
        <v>-</v>
      </c>
      <c r="CC209" s="33"/>
      <c r="CD209" s="261" t="str">
        <f t="shared" si="123"/>
        <v/>
      </c>
      <c r="CE209" s="280" t="str">
        <f t="shared" si="167"/>
        <v>-</v>
      </c>
      <c r="CF209" s="71" t="str">
        <f t="shared" ca="1" si="168"/>
        <v>-</v>
      </c>
      <c r="CG209" s="33" t="str">
        <f t="shared" si="126"/>
        <v>109-110</v>
      </c>
      <c r="CH209" s="261" t="str">
        <f t="shared" ca="1" si="127"/>
        <v/>
      </c>
    </row>
    <row r="210" spans="2:86" ht="13.5" customHeight="1" x14ac:dyDescent="0.2">
      <c r="B210" s="262">
        <v>110</v>
      </c>
      <c r="C210" s="237" t="str">
        <f t="shared" si="91"/>
        <v/>
      </c>
      <c r="D210" s="237" t="str">
        <f t="shared" si="147"/>
        <v>-</v>
      </c>
      <c r="E210" s="263" t="str">
        <f t="shared" si="128"/>
        <v/>
      </c>
      <c r="F210" s="264" t="str">
        <f t="shared" si="129"/>
        <v/>
      </c>
      <c r="G210" s="264" t="str">
        <f t="shared" si="130"/>
        <v/>
      </c>
      <c r="H210" s="240" t="str">
        <f t="shared" si="149"/>
        <v/>
      </c>
      <c r="I210" s="265" t="str">
        <f t="shared" si="150"/>
        <v/>
      </c>
      <c r="J210" s="265" t="str">
        <f t="shared" si="151"/>
        <v/>
      </c>
      <c r="K210" s="240" t="str">
        <f t="shared" si="152"/>
        <v/>
      </c>
      <c r="L210" s="265" t="str">
        <f t="shared" si="153"/>
        <v/>
      </c>
      <c r="M210" s="265" t="str">
        <f t="shared" si="154"/>
        <v/>
      </c>
      <c r="N210" s="240" t="str">
        <f t="shared" si="155"/>
        <v>-</v>
      </c>
      <c r="O210" s="265" t="str">
        <f t="shared" si="156"/>
        <v>-</v>
      </c>
      <c r="P210" s="265" t="str">
        <f t="shared" si="157"/>
        <v>-</v>
      </c>
      <c r="Q210" s="266" t="str">
        <f t="shared" si="158"/>
        <v>-</v>
      </c>
      <c r="R210" s="267" t="str">
        <f t="shared" si="159"/>
        <v>-</v>
      </c>
      <c r="S210" s="268" t="str">
        <f t="shared" si="160"/>
        <v>-</v>
      </c>
      <c r="T210" s="269" t="str">
        <f t="shared" si="104"/>
        <v/>
      </c>
      <c r="U210" s="221">
        <f t="shared" si="105"/>
        <v>110</v>
      </c>
      <c r="V210" s="220" t="str">
        <f t="shared" si="131"/>
        <v>-</v>
      </c>
      <c r="W210" s="221" t="str">
        <f t="shared" si="132"/>
        <v>-</v>
      </c>
      <c r="X210" s="221" t="str">
        <f t="shared" si="106"/>
        <v>-</v>
      </c>
      <c r="Y210" s="221" t="str">
        <f t="shared" si="107"/>
        <v>-</v>
      </c>
      <c r="Z210" s="270">
        <f t="shared" si="133"/>
        <v>0.1</v>
      </c>
      <c r="AA210" s="271" t="str">
        <f>IFERROR(IF(V209=1,AA$100*EXP(-(LN(2)/$D$65+0.04)*X209)*EXP(-(LN(2)/$D$65+0.1)*Y209),IF(V209=2,AA$100*EXP(-(LN(2)/$D$65+0.04)*(VLOOKUP(($F$16-$F$15)-1,U$99:Y209,4,FALSE)))*EXP(-(LN(2)/$D$65+0.1)*(VLOOKUP(($F$16-$F$15)-1,U$99:Y209,5,FALSE)))*EXP(-(LN(2)/$D$65+0.04)*X209)*EXP(-(LN(2)/$D$65+0.1)*Y209),IF(V209=3,AA$100*EXP(-(LN(2)/$D$65+0.04)*(VLOOKUP(($F$16-$F$15)-1,U$99:Y209,4,FALSE)))*EXP(-(LN(2)/$D$65+0.1)*(VLOOKUP(($F$16-$F$15)-1,U$99:Y209,5,FALSE)))*EXP(-(LN(2)/$D$65+0.04)*(VLOOKUP(($F$16-$F$15)*2-1,U$99:Y209,4,FALSE)))*EXP(-(LN(2)/$D$65+0.1)*(VLOOKUP(($F$16-$F$15)*2-1,U$99:Y209,5,FALSE)))*EXP(-(LN(2)/$D$65+0.04)*X209)*EXP(-(LN(2)/$D$65+0.1)*Y209),"-"))),"-")</f>
        <v>-</v>
      </c>
      <c r="AB210" s="271" t="str">
        <f>IFERROR(IF(V210=1,AB$100*EXP(-(LN(2)/$D$65+0.04)*X210)*EXP(-(LN(2)/$D$65+0.1)*Y210),IF(V210=2,AB$100*EXP(-(LN(2)/$D$65+0.04)*(VLOOKUP(($F$16-$F$15)-1,U$100:Y210,4,FALSE)))*EXP(-(LN(2)/$D$65+0.1)*(VLOOKUP(($F$16-$F$15)-1,U$100:Y210,5,FALSE)))*EXP(-(LN(2)/$D$65+0.04)*X210)*EXP(-(LN(2)/$D$65+0.1)*Y210),IF(V210=3,AB$100*EXP(-(LN(2)/$D$65+0.04)*(VLOOKUP(($F$16-$F$15)-1,U$100:Y210,4,FALSE)))*EXP(-(LN(2)/$D$65+0.1)*(VLOOKUP(($F$16-$F$15)-1,U$100:Y210,5,FALSE)))*EXP(-(LN(2)/$D$65+0.04)*(VLOOKUP(($F$16-$F$15)*2-1,U$100:Y210,4,FALSE)))*EXP(-(LN(2)/$D$65+0.1)*(VLOOKUP(($F$16-$F$15)*2-1,U$100:Y210,5,FALSE)))*EXP(-(LN(2)/$D$65+0.04)*X210)*EXP(-(LN(2)/$D$65+0.1)*Y210),"-"))),"-")</f>
        <v>-</v>
      </c>
      <c r="AC210" s="224">
        <f t="shared" si="134"/>
        <v>110</v>
      </c>
      <c r="AD210" s="223" t="str">
        <f t="shared" si="108"/>
        <v>-</v>
      </c>
      <c r="AE210" s="224" t="str">
        <f t="shared" si="135"/>
        <v>-</v>
      </c>
      <c r="AF210" s="224" t="str">
        <f t="shared" si="109"/>
        <v>-</v>
      </c>
      <c r="AG210" s="224" t="str">
        <f t="shared" si="110"/>
        <v>-</v>
      </c>
      <c r="AH210" s="272">
        <f t="shared" si="136"/>
        <v>0.1</v>
      </c>
      <c r="AI210" s="271" t="str">
        <f>IFERROR(IF(AD209=1,AI$100*EXP(-(LN(2)/$D$65+0.04)*AF209)*EXP(-(LN(2)/$D$65+0.1)*AG209),IF(AD209=2,AI$100*EXP(-(LN(2)/$D$65+0.04)*(VLOOKUP(($F$16-$F$15)-1,AC$99:AG209,4,FALSE)))*EXP(-(LN(2)/$D$65+0.1)*(VLOOKUP(($F$16-$F$15)-1,AC$99:AG209,5,FALSE)))*EXP(-(LN(2)/$D$65+0.04)*AF209)*EXP(-(LN(2)/$D$65+0.1)*AG209),IF(AD209=3,AI$100*EXP(-(LN(2)/$D$65+0.04)*(VLOOKUP(($F$16-$F$15)-1,AC$99:AG209,4,FALSE)))*EXP(-(LN(2)/$D$65+0.1)*(VLOOKUP(($F$16-$F$15)-1,AC$99:AG209,5,FALSE)))*EXP(-(LN(2)/$D$65+0.04)*(VLOOKUP(($F$16-$F$15)*2-1,AC$99:AG209,4,FALSE)))*EXP(-(LN(2)/$D$65+0.1)*(VLOOKUP(($F$16-$F$15)*2-1,AC$99:AG209,5,FALSE)))*EXP(-(LN(2)/$D$65+0.04)*AF209)*EXP(-(LN(2)/$D$65+0.1)*AG209),"-"))),"-")</f>
        <v>-</v>
      </c>
      <c r="AJ210" s="271" t="str">
        <f>IFERROR(IF(AD210=1,AJ$100*EXP(-(LN(2)/$D$65+0.04)*AF210)*EXP(-(LN(2)/$D$65+0.1)*AG210),IF(AD210=2,AJ$100*EXP(-(LN(2)/$D$65+0.04)*(VLOOKUP(($F$16-$F$15)-1,AC$100:AG210,4,FALSE)))*EXP(-(LN(2)/$D$65+0.1)*(VLOOKUP(($F$16-$F$15)-1,AC$100:AG210,5,FALSE)))*EXP(-(LN(2)/$D$65+0.04)*AF210)*EXP(-(LN(2)/$D$65+0.1)*AG210),IF(AD210=3,AJ$100*EXP(-(LN(2)/$D$65+0.04)*(VLOOKUP(($F$16-$F$15)-1,AC$100:AG210,4,FALSE)))*EXP(-(LN(2)/$D$65+0.1)*(VLOOKUP(($F$16-$F$15)-1,AC$100:AG210,5,FALSE)))*EXP(-(LN(2)/$D$65+0.04)*(VLOOKUP(($F$16-$F$15)*2-1,AC$100:AG210,4,FALSE)))*EXP(-(LN(2)/$D$65+0.1)*(VLOOKUP(($F$16-$F$15)*2-1,AC$100:AG210,5,FALSE)))*EXP(-(LN(2)/$D$65+0.04)*AF210)*EXP(-(LN(2)/$D$65+0.1)*AG210),"-"))),"-")</f>
        <v>-</v>
      </c>
      <c r="AK210" s="227">
        <f t="shared" si="137"/>
        <v>110</v>
      </c>
      <c r="AL210" s="226" t="str">
        <f t="shared" si="111"/>
        <v>-</v>
      </c>
      <c r="AM210" s="227" t="str">
        <f t="shared" si="138"/>
        <v>-</v>
      </c>
      <c r="AN210" s="227" t="str">
        <f t="shared" si="139"/>
        <v>-</v>
      </c>
      <c r="AO210" s="227" t="str">
        <f t="shared" si="112"/>
        <v>-</v>
      </c>
      <c r="AP210" s="273">
        <f t="shared" si="140"/>
        <v>0.1</v>
      </c>
      <c r="AQ210" s="271" t="str">
        <f>IFERROR(IF(AL209=1,AQ$100*EXP(-(LN(2)/$D$65+0.04)*AN209)*EXP(-(LN(2)/$D$65+0.1)*AO209),IF(AL209=2,AQ$100*EXP(-(LN(2)/$D$65+0.04)*(VLOOKUP(($F$16-$F$15)-1,AK$99:AO209,4,FALSE)))*EXP(-(LN(2)/$D$65+0.1)*(VLOOKUP(($F$16-$F$15)-1,AK$99:AO209,5,FALSE)))*EXP(-(LN(2)/$D$65+0.04)*AN209)*EXP(-(LN(2)/$D$65+0.1)*AO209),IF(AL209=3,AQ$100*EXP(-(LN(2)/$D$65+0.04)*(VLOOKUP(($F$16-$F$15)-1,AK$99:AO209,4,FALSE)))*EXP(-(LN(2)/$D$65+0.1)*(VLOOKUP(($F$16-$F$15)-1,AK$99:AO209,5,FALSE)))*EXP(-(LN(2)/$D$65+0.04)*(VLOOKUP(($F$16-$F$15)*2-1,AK$99:AO209,4,FALSE)))*EXP(-(LN(2)/$D$65+0.1)*(VLOOKUP(($F$16-$F$15)*2-1,AK$99:AO209,5,FALSE)))*EXP(-(LN(2)/$D$65+0.04)*AN209)*EXP(-(LN(2)/$D$65+0.1)*AO209),"-"))),"-")</f>
        <v>-</v>
      </c>
      <c r="AR210" s="271" t="str">
        <f>IFERROR(IF(AL210=1,AR$100*EXP(-(LN(2)/$D$65+0.04)*AN210)*EXP(-(LN(2)/$D$65+0.1)*AO210),IF(AL210=2,AR$100*EXP(-(LN(2)/$D$65+0.04)*(VLOOKUP(($F$16-$F$15)-1,AK$100:AO210,4,FALSE)))*EXP(-(LN(2)/$D$65+0.1)*(VLOOKUP(($F$16-$F$15)-1,AK$100:AO210,5,FALSE)))*EXP(-(LN(2)/$D$65+0.04)*AN210)*EXP(-(LN(2)/$D$65+0.1)*AO210),IF(AL210=3,AR$100*EXP(-(LN(2)/$D$65+0.04)*(VLOOKUP(($F$16-$F$15)-1,AK$100:AO210,4,FALSE)))*EXP(-(LN(2)/$D$65+0.1)*(VLOOKUP(($F$16-$F$15)-1,AK$100:AO210,5,FALSE)))*EXP(-(LN(2)/$D$65+0.04)*(VLOOKUP(($F$16-$F$15)*2-1,AK$100:AO210,4,FALSE)))*EXP(-(LN(2)/$D$65+0.1)*(VLOOKUP(($F$16-$F$15)*2-1,AK$100:AO210,5,FALSE)))*EXP(-(LN(2)/$D$65+0.04)*AN210)*EXP(-(LN(2)/$D$65+0.1)*AO210),"-"))),"-")</f>
        <v>-</v>
      </c>
      <c r="AS210" s="274">
        <f t="shared" si="113"/>
        <v>0</v>
      </c>
      <c r="AT210" s="274">
        <f t="shared" si="114"/>
        <v>0</v>
      </c>
      <c r="AU210" s="274">
        <f t="shared" si="115"/>
        <v>0</v>
      </c>
      <c r="AV210" s="190">
        <f>IF($B210&lt;$F$22,SUM($T$100:$T210),"")</f>
        <v>0</v>
      </c>
      <c r="AW210" s="190" t="str">
        <f t="shared" si="161"/>
        <v>-</v>
      </c>
      <c r="AX210" s="190" t="str">
        <f t="shared" si="141"/>
        <v/>
      </c>
      <c r="AY210"/>
      <c r="AZ210" s="190" t="str">
        <f ca="1">IF(ISNUMBER(OFFSET(AV210,-$F$21,0)),SUM(OFFSET($T$100,$F$21,0):$T210),"")</f>
        <v/>
      </c>
      <c r="BA210" s="190" t="str">
        <f t="shared" ca="1" si="162"/>
        <v/>
      </c>
      <c r="BB210" s="190" t="str">
        <f t="shared" ca="1" si="148"/>
        <v/>
      </c>
      <c r="BC210" s="190"/>
      <c r="BD210" s="190" t="str">
        <f ca="1">IFERROR(IF(AND($B210&gt;=($F$16-$F$15),$B210&lt;$F$22+($F$16-$F$15)),SUM(OFFSET($T$100,($F$16-$F$15),0):$T210),""),"")</f>
        <v/>
      </c>
      <c r="BE210" s="190" t="str">
        <f t="shared" ca="1" si="142"/>
        <v/>
      </c>
      <c r="BF210" s="190" t="str">
        <f t="shared" ca="1" si="143"/>
        <v/>
      </c>
      <c r="BG210"/>
      <c r="BH210" s="190" t="str">
        <f ca="1">IF(ISNUMBER(OFFSET(BD210,-$F$21,0)),SUM(OFFSET($T$100,($F$16-$F$15+$F$21),0):$T210),"")</f>
        <v/>
      </c>
      <c r="BI210" s="190" t="str">
        <f t="shared" ca="1" si="163"/>
        <v/>
      </c>
      <c r="BJ210" s="190" t="str">
        <f t="shared" ca="1" si="144"/>
        <v/>
      </c>
      <c r="BK210" s="190"/>
      <c r="BL210" s="190" t="str">
        <f ca="1">IFERROR(IF(AND($B210&gt;=($F$17-$F$15),$B210&lt;$F$22+($F$17-$F$15)),SUM(OFFSET($T$100,($F$17-$F$15),0):$T210),""),"")</f>
        <v/>
      </c>
      <c r="BM210" s="190" t="str">
        <f t="shared" ca="1" si="164"/>
        <v/>
      </c>
      <c r="BN210" s="190" t="str">
        <f t="shared" ca="1" si="145"/>
        <v/>
      </c>
      <c r="BO210"/>
      <c r="BP210" s="190" t="str">
        <f ca="1">IF(ISNUMBER(OFFSET(BL210,-$F$21,0)),SUM(OFFSET($T$100,($F$17-$F$15+$F$21),0):$T210),"")</f>
        <v/>
      </c>
      <c r="BQ210" s="190" t="str">
        <f t="shared" ca="1" si="165"/>
        <v/>
      </c>
      <c r="BR210" s="190" t="str">
        <f t="shared" ca="1" si="146"/>
        <v/>
      </c>
      <c r="BS210" s="190"/>
      <c r="BT210"/>
      <c r="BU210"/>
      <c r="BV210"/>
      <c r="BY210" s="99"/>
      <c r="BZ210" s="99"/>
      <c r="CA210" s="280" t="str">
        <f t="shared" si="166"/>
        <v/>
      </c>
      <c r="CB210" s="71" t="str">
        <f t="shared" si="122"/>
        <v>-</v>
      </c>
      <c r="CC210" s="33"/>
      <c r="CD210" s="261" t="str">
        <f t="shared" si="123"/>
        <v/>
      </c>
      <c r="CE210" s="280" t="str">
        <f t="shared" si="167"/>
        <v>-</v>
      </c>
      <c r="CF210" s="71" t="str">
        <f t="shared" ca="1" si="168"/>
        <v>-</v>
      </c>
      <c r="CG210" s="33" t="str">
        <f t="shared" si="126"/>
        <v>110-111</v>
      </c>
      <c r="CH210" s="261" t="str">
        <f t="shared" ca="1" si="127"/>
        <v/>
      </c>
    </row>
    <row r="211" spans="2:86" ht="13.5" customHeight="1" x14ac:dyDescent="0.2">
      <c r="B211" s="262">
        <v>111</v>
      </c>
      <c r="C211" s="237" t="str">
        <f t="shared" si="91"/>
        <v/>
      </c>
      <c r="D211" s="237" t="str">
        <f t="shared" si="147"/>
        <v>-</v>
      </c>
      <c r="E211" s="263" t="str">
        <f t="shared" si="128"/>
        <v/>
      </c>
      <c r="F211" s="264" t="str">
        <f t="shared" si="129"/>
        <v/>
      </c>
      <c r="G211" s="264" t="str">
        <f t="shared" si="130"/>
        <v/>
      </c>
      <c r="H211" s="240" t="str">
        <f t="shared" si="149"/>
        <v/>
      </c>
      <c r="I211" s="265" t="str">
        <f t="shared" si="150"/>
        <v/>
      </c>
      <c r="J211" s="265" t="str">
        <f t="shared" si="151"/>
        <v/>
      </c>
      <c r="K211" s="240" t="str">
        <f t="shared" si="152"/>
        <v/>
      </c>
      <c r="L211" s="265" t="str">
        <f t="shared" si="153"/>
        <v/>
      </c>
      <c r="M211" s="265" t="str">
        <f t="shared" si="154"/>
        <v/>
      </c>
      <c r="N211" s="240" t="str">
        <f t="shared" si="155"/>
        <v>-</v>
      </c>
      <c r="O211" s="265" t="str">
        <f t="shared" si="156"/>
        <v>-</v>
      </c>
      <c r="P211" s="265" t="str">
        <f t="shared" si="157"/>
        <v>-</v>
      </c>
      <c r="Q211" s="266" t="str">
        <f t="shared" si="158"/>
        <v>-</v>
      </c>
      <c r="R211" s="267" t="str">
        <f t="shared" si="159"/>
        <v>-</v>
      </c>
      <c r="S211" s="268" t="str">
        <f t="shared" si="160"/>
        <v>-</v>
      </c>
      <c r="T211" s="269" t="str">
        <f t="shared" si="104"/>
        <v/>
      </c>
      <c r="U211" s="221">
        <f t="shared" si="105"/>
        <v>111</v>
      </c>
      <c r="V211" s="220" t="str">
        <f t="shared" si="131"/>
        <v>-</v>
      </c>
      <c r="W211" s="221" t="str">
        <f t="shared" si="132"/>
        <v>-</v>
      </c>
      <c r="X211" s="221" t="str">
        <f t="shared" si="106"/>
        <v>-</v>
      </c>
      <c r="Y211" s="221" t="str">
        <f t="shared" si="107"/>
        <v>-</v>
      </c>
      <c r="Z211" s="270">
        <f t="shared" si="133"/>
        <v>0.1</v>
      </c>
      <c r="AA211" s="271" t="str">
        <f>IFERROR(IF(V210=1,AA$100*EXP(-(LN(2)/$D$65+0.04)*X210)*EXP(-(LN(2)/$D$65+0.1)*Y210),IF(V210=2,AA$100*EXP(-(LN(2)/$D$65+0.04)*(VLOOKUP(($F$16-$F$15)-1,U$99:Y210,4,FALSE)))*EXP(-(LN(2)/$D$65+0.1)*(VLOOKUP(($F$16-$F$15)-1,U$99:Y210,5,FALSE)))*EXP(-(LN(2)/$D$65+0.04)*X210)*EXP(-(LN(2)/$D$65+0.1)*Y210),IF(V210=3,AA$100*EXP(-(LN(2)/$D$65+0.04)*(VLOOKUP(($F$16-$F$15)-1,U$99:Y210,4,FALSE)))*EXP(-(LN(2)/$D$65+0.1)*(VLOOKUP(($F$16-$F$15)-1,U$99:Y210,5,FALSE)))*EXP(-(LN(2)/$D$65+0.04)*(VLOOKUP(($F$16-$F$15)*2-1,U$99:Y210,4,FALSE)))*EXP(-(LN(2)/$D$65+0.1)*(VLOOKUP(($F$16-$F$15)*2-1,U$99:Y210,5,FALSE)))*EXP(-(LN(2)/$D$65+0.04)*X210)*EXP(-(LN(2)/$D$65+0.1)*Y210),"-"))),"-")</f>
        <v>-</v>
      </c>
      <c r="AB211" s="271" t="str">
        <f>IFERROR(IF(V211=1,AB$100*EXP(-(LN(2)/$D$65+0.04)*X211)*EXP(-(LN(2)/$D$65+0.1)*Y211),IF(V211=2,AB$100*EXP(-(LN(2)/$D$65+0.04)*(VLOOKUP(($F$16-$F$15)-1,U$100:Y211,4,FALSE)))*EXP(-(LN(2)/$D$65+0.1)*(VLOOKUP(($F$16-$F$15)-1,U$100:Y211,5,FALSE)))*EXP(-(LN(2)/$D$65+0.04)*X211)*EXP(-(LN(2)/$D$65+0.1)*Y211),IF(V211=3,AB$100*EXP(-(LN(2)/$D$65+0.04)*(VLOOKUP(($F$16-$F$15)-1,U$100:Y211,4,FALSE)))*EXP(-(LN(2)/$D$65+0.1)*(VLOOKUP(($F$16-$F$15)-1,U$100:Y211,5,FALSE)))*EXP(-(LN(2)/$D$65+0.04)*(VLOOKUP(($F$16-$F$15)*2-1,U$100:Y211,4,FALSE)))*EXP(-(LN(2)/$D$65+0.1)*(VLOOKUP(($F$16-$F$15)*2-1,U$100:Y211,5,FALSE)))*EXP(-(LN(2)/$D$65+0.04)*X211)*EXP(-(LN(2)/$D$65+0.1)*Y211),"-"))),"-")</f>
        <v>-</v>
      </c>
      <c r="AC211" s="224">
        <f t="shared" si="134"/>
        <v>111</v>
      </c>
      <c r="AD211" s="223" t="str">
        <f t="shared" si="108"/>
        <v>-</v>
      </c>
      <c r="AE211" s="224" t="str">
        <f t="shared" si="135"/>
        <v>-</v>
      </c>
      <c r="AF211" s="224" t="str">
        <f t="shared" si="109"/>
        <v>-</v>
      </c>
      <c r="AG211" s="224" t="str">
        <f t="shared" si="110"/>
        <v>-</v>
      </c>
      <c r="AH211" s="272">
        <f t="shared" si="136"/>
        <v>0.1</v>
      </c>
      <c r="AI211" s="271" t="str">
        <f>IFERROR(IF(AD210=1,AI$100*EXP(-(LN(2)/$D$65+0.04)*AF210)*EXP(-(LN(2)/$D$65+0.1)*AG210),IF(AD210=2,AI$100*EXP(-(LN(2)/$D$65+0.04)*(VLOOKUP(($F$16-$F$15)-1,AC$99:AG210,4,FALSE)))*EXP(-(LN(2)/$D$65+0.1)*(VLOOKUP(($F$16-$F$15)-1,AC$99:AG210,5,FALSE)))*EXP(-(LN(2)/$D$65+0.04)*AF210)*EXP(-(LN(2)/$D$65+0.1)*AG210),IF(AD210=3,AI$100*EXP(-(LN(2)/$D$65+0.04)*(VLOOKUP(($F$16-$F$15)-1,AC$99:AG210,4,FALSE)))*EXP(-(LN(2)/$D$65+0.1)*(VLOOKUP(($F$16-$F$15)-1,AC$99:AG210,5,FALSE)))*EXP(-(LN(2)/$D$65+0.04)*(VLOOKUP(($F$16-$F$15)*2-1,AC$99:AG210,4,FALSE)))*EXP(-(LN(2)/$D$65+0.1)*(VLOOKUP(($F$16-$F$15)*2-1,AC$99:AG210,5,FALSE)))*EXP(-(LN(2)/$D$65+0.04)*AF210)*EXP(-(LN(2)/$D$65+0.1)*AG210),"-"))),"-")</f>
        <v>-</v>
      </c>
      <c r="AJ211" s="271" t="str">
        <f>IFERROR(IF(AD211=1,AJ$100*EXP(-(LN(2)/$D$65+0.04)*AF211)*EXP(-(LN(2)/$D$65+0.1)*AG211),IF(AD211=2,AJ$100*EXP(-(LN(2)/$D$65+0.04)*(VLOOKUP(($F$16-$F$15)-1,AC$100:AG211,4,FALSE)))*EXP(-(LN(2)/$D$65+0.1)*(VLOOKUP(($F$16-$F$15)-1,AC$100:AG211,5,FALSE)))*EXP(-(LN(2)/$D$65+0.04)*AF211)*EXP(-(LN(2)/$D$65+0.1)*AG211),IF(AD211=3,AJ$100*EXP(-(LN(2)/$D$65+0.04)*(VLOOKUP(($F$16-$F$15)-1,AC$100:AG211,4,FALSE)))*EXP(-(LN(2)/$D$65+0.1)*(VLOOKUP(($F$16-$F$15)-1,AC$100:AG211,5,FALSE)))*EXP(-(LN(2)/$D$65+0.04)*(VLOOKUP(($F$16-$F$15)*2-1,AC$100:AG211,4,FALSE)))*EXP(-(LN(2)/$D$65+0.1)*(VLOOKUP(($F$16-$F$15)*2-1,AC$100:AG211,5,FALSE)))*EXP(-(LN(2)/$D$65+0.04)*AF211)*EXP(-(LN(2)/$D$65+0.1)*AG211),"-"))),"-")</f>
        <v>-</v>
      </c>
      <c r="AK211" s="227">
        <f t="shared" si="137"/>
        <v>111</v>
      </c>
      <c r="AL211" s="226" t="str">
        <f t="shared" si="111"/>
        <v>-</v>
      </c>
      <c r="AM211" s="227" t="str">
        <f t="shared" si="138"/>
        <v>-</v>
      </c>
      <c r="AN211" s="227" t="str">
        <f t="shared" si="139"/>
        <v>-</v>
      </c>
      <c r="AO211" s="227" t="str">
        <f t="shared" si="112"/>
        <v>-</v>
      </c>
      <c r="AP211" s="273">
        <f t="shared" si="140"/>
        <v>0.1</v>
      </c>
      <c r="AQ211" s="271" t="str">
        <f>IFERROR(IF(AL210=1,AQ$100*EXP(-(LN(2)/$D$65+0.04)*AN210)*EXP(-(LN(2)/$D$65+0.1)*AO210),IF(AL210=2,AQ$100*EXP(-(LN(2)/$D$65+0.04)*(VLOOKUP(($F$16-$F$15)-1,AK$99:AO210,4,FALSE)))*EXP(-(LN(2)/$D$65+0.1)*(VLOOKUP(($F$16-$F$15)-1,AK$99:AO210,5,FALSE)))*EXP(-(LN(2)/$D$65+0.04)*AN210)*EXP(-(LN(2)/$D$65+0.1)*AO210),IF(AL210=3,AQ$100*EXP(-(LN(2)/$D$65+0.04)*(VLOOKUP(($F$16-$F$15)-1,AK$99:AO210,4,FALSE)))*EXP(-(LN(2)/$D$65+0.1)*(VLOOKUP(($F$16-$F$15)-1,AK$99:AO210,5,FALSE)))*EXP(-(LN(2)/$D$65+0.04)*(VLOOKUP(($F$16-$F$15)*2-1,AK$99:AO210,4,FALSE)))*EXP(-(LN(2)/$D$65+0.1)*(VLOOKUP(($F$16-$F$15)*2-1,AK$99:AO210,5,FALSE)))*EXP(-(LN(2)/$D$65+0.04)*AN210)*EXP(-(LN(2)/$D$65+0.1)*AO210),"-"))),"-")</f>
        <v>-</v>
      </c>
      <c r="AR211" s="271" t="str">
        <f>IFERROR(IF(AL211=1,AR$100*EXP(-(LN(2)/$D$65+0.04)*AN211)*EXP(-(LN(2)/$D$65+0.1)*AO211),IF(AL211=2,AR$100*EXP(-(LN(2)/$D$65+0.04)*(VLOOKUP(($F$16-$F$15)-1,AK$100:AO211,4,FALSE)))*EXP(-(LN(2)/$D$65+0.1)*(VLOOKUP(($F$16-$F$15)-1,AK$100:AO211,5,FALSE)))*EXP(-(LN(2)/$D$65+0.04)*AN211)*EXP(-(LN(2)/$D$65+0.1)*AO211),IF(AL211=3,AR$100*EXP(-(LN(2)/$D$65+0.04)*(VLOOKUP(($F$16-$F$15)-1,AK$100:AO211,4,FALSE)))*EXP(-(LN(2)/$D$65+0.1)*(VLOOKUP(($F$16-$F$15)-1,AK$100:AO211,5,FALSE)))*EXP(-(LN(2)/$D$65+0.04)*(VLOOKUP(($F$16-$F$15)*2-1,AK$100:AO211,4,FALSE)))*EXP(-(LN(2)/$D$65+0.1)*(VLOOKUP(($F$16-$F$15)*2-1,AK$100:AO211,5,FALSE)))*EXP(-(LN(2)/$D$65+0.04)*AN211)*EXP(-(LN(2)/$D$65+0.1)*AO211),"-"))),"-")</f>
        <v>-</v>
      </c>
      <c r="AS211" s="274">
        <f t="shared" si="113"/>
        <v>0</v>
      </c>
      <c r="AT211" s="274">
        <f t="shared" si="114"/>
        <v>0</v>
      </c>
      <c r="AU211" s="274">
        <f t="shared" si="115"/>
        <v>0</v>
      </c>
      <c r="AV211" s="190">
        <f>IF($B211&lt;$F$22,SUM($T$100:$T211),"")</f>
        <v>0</v>
      </c>
      <c r="AW211" s="190" t="str">
        <f t="shared" si="161"/>
        <v>-</v>
      </c>
      <c r="AX211" s="190" t="str">
        <f t="shared" si="141"/>
        <v/>
      </c>
      <c r="AY211"/>
      <c r="AZ211" s="190" t="str">
        <f ca="1">IF(ISNUMBER(OFFSET(AV211,-$F$21,0)),SUM(OFFSET($T$100,$F$21,0):$T211),"")</f>
        <v/>
      </c>
      <c r="BA211" s="190" t="str">
        <f t="shared" ca="1" si="162"/>
        <v/>
      </c>
      <c r="BB211" s="190" t="str">
        <f t="shared" ca="1" si="148"/>
        <v/>
      </c>
      <c r="BC211" s="190"/>
      <c r="BD211" s="190" t="str">
        <f ca="1">IFERROR(IF(AND($B211&gt;=($F$16-$F$15),$B211&lt;$F$22+($F$16-$F$15)),SUM(OFFSET($T$100,($F$16-$F$15),0):$T211),""),"")</f>
        <v/>
      </c>
      <c r="BE211" s="190" t="str">
        <f t="shared" ca="1" si="142"/>
        <v/>
      </c>
      <c r="BF211" s="190" t="str">
        <f t="shared" ca="1" si="143"/>
        <v/>
      </c>
      <c r="BG211"/>
      <c r="BH211" s="190" t="str">
        <f ca="1">IF(ISNUMBER(OFFSET(BD211,-$F$21,0)),SUM(OFFSET($T$100,($F$16-$F$15+$F$21),0):$T211),"")</f>
        <v/>
      </c>
      <c r="BI211" s="190" t="str">
        <f t="shared" ca="1" si="163"/>
        <v/>
      </c>
      <c r="BJ211" s="190" t="str">
        <f t="shared" ca="1" si="144"/>
        <v/>
      </c>
      <c r="BK211" s="190"/>
      <c r="BL211" s="190" t="str">
        <f ca="1">IFERROR(IF(AND($B211&gt;=($F$17-$F$15),$B211&lt;$F$22+($F$17-$F$15)),SUM(OFFSET($T$100,($F$17-$F$15),0):$T211),""),"")</f>
        <v/>
      </c>
      <c r="BM211" s="190" t="str">
        <f t="shared" ca="1" si="164"/>
        <v/>
      </c>
      <c r="BN211" s="190" t="str">
        <f t="shared" ca="1" si="145"/>
        <v/>
      </c>
      <c r="BO211"/>
      <c r="BP211" s="190" t="str">
        <f ca="1">IF(ISNUMBER(OFFSET(BL211,-$F$21,0)),SUM(OFFSET($T$100,($F$17-$F$15+$F$21),0):$T211),"")</f>
        <v/>
      </c>
      <c r="BQ211" s="190" t="str">
        <f t="shared" ca="1" si="165"/>
        <v/>
      </c>
      <c r="BR211" s="190" t="str">
        <f t="shared" ca="1" si="146"/>
        <v/>
      </c>
      <c r="BS211" s="190"/>
      <c r="BT211"/>
      <c r="BU211"/>
      <c r="BV211"/>
      <c r="BY211" s="99"/>
      <c r="BZ211" s="99"/>
      <c r="CA211" s="280" t="str">
        <f t="shared" si="166"/>
        <v/>
      </c>
      <c r="CB211" s="71" t="str">
        <f t="shared" si="122"/>
        <v>-</v>
      </c>
      <c r="CC211" s="33"/>
      <c r="CD211" s="261" t="str">
        <f t="shared" si="123"/>
        <v/>
      </c>
      <c r="CE211" s="280" t="str">
        <f t="shared" si="167"/>
        <v>-</v>
      </c>
      <c r="CF211" s="71" t="str">
        <f t="shared" ca="1" si="168"/>
        <v>-</v>
      </c>
      <c r="CG211" s="33" t="str">
        <f t="shared" si="126"/>
        <v>111-112</v>
      </c>
      <c r="CH211" s="261" t="str">
        <f t="shared" ca="1" si="127"/>
        <v/>
      </c>
    </row>
    <row r="212" spans="2:86" ht="13.5" customHeight="1" x14ac:dyDescent="0.2">
      <c r="B212" s="262">
        <v>112</v>
      </c>
      <c r="C212" s="237" t="str">
        <f t="shared" si="91"/>
        <v/>
      </c>
      <c r="D212" s="237" t="str">
        <f t="shared" si="147"/>
        <v>-</v>
      </c>
      <c r="E212" s="263" t="str">
        <f t="shared" si="128"/>
        <v/>
      </c>
      <c r="F212" s="264" t="str">
        <f t="shared" si="129"/>
        <v/>
      </c>
      <c r="G212" s="264" t="str">
        <f t="shared" si="130"/>
        <v/>
      </c>
      <c r="H212" s="240" t="str">
        <f t="shared" si="149"/>
        <v/>
      </c>
      <c r="I212" s="265" t="str">
        <f t="shared" si="150"/>
        <v/>
      </c>
      <c r="J212" s="265" t="str">
        <f t="shared" si="151"/>
        <v/>
      </c>
      <c r="K212" s="240" t="str">
        <f t="shared" si="152"/>
        <v/>
      </c>
      <c r="L212" s="265" t="str">
        <f t="shared" si="153"/>
        <v/>
      </c>
      <c r="M212" s="265" t="str">
        <f t="shared" si="154"/>
        <v/>
      </c>
      <c r="N212" s="240" t="str">
        <f t="shared" si="155"/>
        <v>-</v>
      </c>
      <c r="O212" s="265" t="str">
        <f t="shared" si="156"/>
        <v>-</v>
      </c>
      <c r="P212" s="265" t="str">
        <f t="shared" si="157"/>
        <v>-</v>
      </c>
      <c r="Q212" s="266" t="str">
        <f t="shared" si="158"/>
        <v>-</v>
      </c>
      <c r="R212" s="267" t="str">
        <f t="shared" si="159"/>
        <v>-</v>
      </c>
      <c r="S212" s="268" t="str">
        <f t="shared" si="160"/>
        <v>-</v>
      </c>
      <c r="T212" s="269" t="str">
        <f t="shared" si="104"/>
        <v/>
      </c>
      <c r="U212" s="221">
        <f t="shared" si="105"/>
        <v>112</v>
      </c>
      <c r="V212" s="220" t="str">
        <f t="shared" si="131"/>
        <v>-</v>
      </c>
      <c r="W212" s="221" t="str">
        <f t="shared" si="132"/>
        <v>-</v>
      </c>
      <c r="X212" s="221" t="str">
        <f t="shared" si="106"/>
        <v>-</v>
      </c>
      <c r="Y212" s="221" t="str">
        <f t="shared" si="107"/>
        <v>-</v>
      </c>
      <c r="Z212" s="270">
        <f t="shared" si="133"/>
        <v>0.1</v>
      </c>
      <c r="AA212" s="271" t="str">
        <f>IFERROR(IF(V211=1,AA$100*EXP(-(LN(2)/$D$65+0.04)*X211)*EXP(-(LN(2)/$D$65+0.1)*Y211),IF(V211=2,AA$100*EXP(-(LN(2)/$D$65+0.04)*(VLOOKUP(($F$16-$F$15)-1,U$99:Y211,4,FALSE)))*EXP(-(LN(2)/$D$65+0.1)*(VLOOKUP(($F$16-$F$15)-1,U$99:Y211,5,FALSE)))*EXP(-(LN(2)/$D$65+0.04)*X211)*EXP(-(LN(2)/$D$65+0.1)*Y211),IF(V211=3,AA$100*EXP(-(LN(2)/$D$65+0.04)*(VLOOKUP(($F$16-$F$15)-1,U$99:Y211,4,FALSE)))*EXP(-(LN(2)/$D$65+0.1)*(VLOOKUP(($F$16-$F$15)-1,U$99:Y211,5,FALSE)))*EXP(-(LN(2)/$D$65+0.04)*(VLOOKUP(($F$16-$F$15)*2-1,U$99:Y211,4,FALSE)))*EXP(-(LN(2)/$D$65+0.1)*(VLOOKUP(($F$16-$F$15)*2-1,U$99:Y211,5,FALSE)))*EXP(-(LN(2)/$D$65+0.04)*X211)*EXP(-(LN(2)/$D$65+0.1)*Y211),"-"))),"-")</f>
        <v>-</v>
      </c>
      <c r="AB212" s="271" t="str">
        <f>IFERROR(IF(V212=1,AB$100*EXP(-(LN(2)/$D$65+0.04)*X212)*EXP(-(LN(2)/$D$65+0.1)*Y212),IF(V212=2,AB$100*EXP(-(LN(2)/$D$65+0.04)*(VLOOKUP(($F$16-$F$15)-1,U$100:Y212,4,FALSE)))*EXP(-(LN(2)/$D$65+0.1)*(VLOOKUP(($F$16-$F$15)-1,U$100:Y212,5,FALSE)))*EXP(-(LN(2)/$D$65+0.04)*X212)*EXP(-(LN(2)/$D$65+0.1)*Y212),IF(V212=3,AB$100*EXP(-(LN(2)/$D$65+0.04)*(VLOOKUP(($F$16-$F$15)-1,U$100:Y212,4,FALSE)))*EXP(-(LN(2)/$D$65+0.1)*(VLOOKUP(($F$16-$F$15)-1,U$100:Y212,5,FALSE)))*EXP(-(LN(2)/$D$65+0.04)*(VLOOKUP(($F$16-$F$15)*2-1,U$100:Y212,4,FALSE)))*EXP(-(LN(2)/$D$65+0.1)*(VLOOKUP(($F$16-$F$15)*2-1,U$100:Y212,5,FALSE)))*EXP(-(LN(2)/$D$65+0.04)*X212)*EXP(-(LN(2)/$D$65+0.1)*Y212),"-"))),"-")</f>
        <v>-</v>
      </c>
      <c r="AC212" s="224">
        <f t="shared" si="134"/>
        <v>112</v>
      </c>
      <c r="AD212" s="223" t="str">
        <f t="shared" si="108"/>
        <v>-</v>
      </c>
      <c r="AE212" s="224" t="str">
        <f t="shared" si="135"/>
        <v>-</v>
      </c>
      <c r="AF212" s="224" t="str">
        <f t="shared" si="109"/>
        <v>-</v>
      </c>
      <c r="AG212" s="224" t="str">
        <f t="shared" si="110"/>
        <v>-</v>
      </c>
      <c r="AH212" s="272">
        <f t="shared" si="136"/>
        <v>0.1</v>
      </c>
      <c r="AI212" s="271" t="str">
        <f>IFERROR(IF(AD211=1,AI$100*EXP(-(LN(2)/$D$65+0.04)*AF211)*EXP(-(LN(2)/$D$65+0.1)*AG211),IF(AD211=2,AI$100*EXP(-(LN(2)/$D$65+0.04)*(VLOOKUP(($F$16-$F$15)-1,AC$99:AG211,4,FALSE)))*EXP(-(LN(2)/$D$65+0.1)*(VLOOKUP(($F$16-$F$15)-1,AC$99:AG211,5,FALSE)))*EXP(-(LN(2)/$D$65+0.04)*AF211)*EXP(-(LN(2)/$D$65+0.1)*AG211),IF(AD211=3,AI$100*EXP(-(LN(2)/$D$65+0.04)*(VLOOKUP(($F$16-$F$15)-1,AC$99:AG211,4,FALSE)))*EXP(-(LN(2)/$D$65+0.1)*(VLOOKUP(($F$16-$F$15)-1,AC$99:AG211,5,FALSE)))*EXP(-(LN(2)/$D$65+0.04)*(VLOOKUP(($F$16-$F$15)*2-1,AC$99:AG211,4,FALSE)))*EXP(-(LN(2)/$D$65+0.1)*(VLOOKUP(($F$16-$F$15)*2-1,AC$99:AG211,5,FALSE)))*EXP(-(LN(2)/$D$65+0.04)*AF211)*EXP(-(LN(2)/$D$65+0.1)*AG211),"-"))),"-")</f>
        <v>-</v>
      </c>
      <c r="AJ212" s="271" t="str">
        <f>IFERROR(IF(AD212=1,AJ$100*EXP(-(LN(2)/$D$65+0.04)*AF212)*EXP(-(LN(2)/$D$65+0.1)*AG212),IF(AD212=2,AJ$100*EXP(-(LN(2)/$D$65+0.04)*(VLOOKUP(($F$16-$F$15)-1,AC$100:AG212,4,FALSE)))*EXP(-(LN(2)/$D$65+0.1)*(VLOOKUP(($F$16-$F$15)-1,AC$100:AG212,5,FALSE)))*EXP(-(LN(2)/$D$65+0.04)*AF212)*EXP(-(LN(2)/$D$65+0.1)*AG212),IF(AD212=3,AJ$100*EXP(-(LN(2)/$D$65+0.04)*(VLOOKUP(($F$16-$F$15)-1,AC$100:AG212,4,FALSE)))*EXP(-(LN(2)/$D$65+0.1)*(VLOOKUP(($F$16-$F$15)-1,AC$100:AG212,5,FALSE)))*EXP(-(LN(2)/$D$65+0.04)*(VLOOKUP(($F$16-$F$15)*2-1,AC$100:AG212,4,FALSE)))*EXP(-(LN(2)/$D$65+0.1)*(VLOOKUP(($F$16-$F$15)*2-1,AC$100:AG212,5,FALSE)))*EXP(-(LN(2)/$D$65+0.04)*AF212)*EXP(-(LN(2)/$D$65+0.1)*AG212),"-"))),"-")</f>
        <v>-</v>
      </c>
      <c r="AK212" s="227">
        <f t="shared" si="137"/>
        <v>112</v>
      </c>
      <c r="AL212" s="226" t="str">
        <f t="shared" si="111"/>
        <v>-</v>
      </c>
      <c r="AM212" s="227" t="str">
        <f t="shared" si="138"/>
        <v>-</v>
      </c>
      <c r="AN212" s="227" t="str">
        <f t="shared" si="139"/>
        <v>-</v>
      </c>
      <c r="AO212" s="227" t="str">
        <f t="shared" si="112"/>
        <v>-</v>
      </c>
      <c r="AP212" s="273">
        <f t="shared" si="140"/>
        <v>0.1</v>
      </c>
      <c r="AQ212" s="271" t="str">
        <f>IFERROR(IF(AL211=1,AQ$100*EXP(-(LN(2)/$D$65+0.04)*AN211)*EXP(-(LN(2)/$D$65+0.1)*AO211),IF(AL211=2,AQ$100*EXP(-(LN(2)/$D$65+0.04)*(VLOOKUP(($F$16-$F$15)-1,AK$99:AO211,4,FALSE)))*EXP(-(LN(2)/$D$65+0.1)*(VLOOKUP(($F$16-$F$15)-1,AK$99:AO211,5,FALSE)))*EXP(-(LN(2)/$D$65+0.04)*AN211)*EXP(-(LN(2)/$D$65+0.1)*AO211),IF(AL211=3,AQ$100*EXP(-(LN(2)/$D$65+0.04)*(VLOOKUP(($F$16-$F$15)-1,AK$99:AO211,4,FALSE)))*EXP(-(LN(2)/$D$65+0.1)*(VLOOKUP(($F$16-$F$15)-1,AK$99:AO211,5,FALSE)))*EXP(-(LN(2)/$D$65+0.04)*(VLOOKUP(($F$16-$F$15)*2-1,AK$99:AO211,4,FALSE)))*EXP(-(LN(2)/$D$65+0.1)*(VLOOKUP(($F$16-$F$15)*2-1,AK$99:AO211,5,FALSE)))*EXP(-(LN(2)/$D$65+0.04)*AN211)*EXP(-(LN(2)/$D$65+0.1)*AO211),"-"))),"-")</f>
        <v>-</v>
      </c>
      <c r="AR212" s="271" t="str">
        <f>IFERROR(IF(AL212=1,AR$100*EXP(-(LN(2)/$D$65+0.04)*AN212)*EXP(-(LN(2)/$D$65+0.1)*AO212),IF(AL212=2,AR$100*EXP(-(LN(2)/$D$65+0.04)*(VLOOKUP(($F$16-$F$15)-1,AK$100:AO212,4,FALSE)))*EXP(-(LN(2)/$D$65+0.1)*(VLOOKUP(($F$16-$F$15)-1,AK$100:AO212,5,FALSE)))*EXP(-(LN(2)/$D$65+0.04)*AN212)*EXP(-(LN(2)/$D$65+0.1)*AO212),IF(AL212=3,AR$100*EXP(-(LN(2)/$D$65+0.04)*(VLOOKUP(($F$16-$F$15)-1,AK$100:AO212,4,FALSE)))*EXP(-(LN(2)/$D$65+0.1)*(VLOOKUP(($F$16-$F$15)-1,AK$100:AO212,5,FALSE)))*EXP(-(LN(2)/$D$65+0.04)*(VLOOKUP(($F$16-$F$15)*2-1,AK$100:AO212,4,FALSE)))*EXP(-(LN(2)/$D$65+0.1)*(VLOOKUP(($F$16-$F$15)*2-1,AK$100:AO212,5,FALSE)))*EXP(-(LN(2)/$D$65+0.04)*AN212)*EXP(-(LN(2)/$D$65+0.1)*AO212),"-"))),"-")</f>
        <v>-</v>
      </c>
      <c r="AS212" s="274">
        <f t="shared" si="113"/>
        <v>0</v>
      </c>
      <c r="AT212" s="274">
        <f t="shared" si="114"/>
        <v>0</v>
      </c>
      <c r="AU212" s="274">
        <f t="shared" si="115"/>
        <v>0</v>
      </c>
      <c r="AV212" s="190">
        <f>IF($B212&lt;$F$22,SUM($T$100:$T212),"")</f>
        <v>0</v>
      </c>
      <c r="AW212" s="190" t="str">
        <f t="shared" si="161"/>
        <v>-</v>
      </c>
      <c r="AX212" s="190" t="str">
        <f t="shared" si="141"/>
        <v/>
      </c>
      <c r="AY212"/>
      <c r="AZ212" s="190" t="str">
        <f ca="1">IF(ISNUMBER(OFFSET(AV212,-$F$21,0)),SUM(OFFSET($T$100,$F$21,0):$T212),"")</f>
        <v/>
      </c>
      <c r="BA212" s="190" t="str">
        <f t="shared" ca="1" si="162"/>
        <v/>
      </c>
      <c r="BB212" s="190" t="str">
        <f t="shared" ca="1" si="148"/>
        <v/>
      </c>
      <c r="BC212" s="190"/>
      <c r="BD212" s="190" t="str">
        <f ca="1">IFERROR(IF(AND($B212&gt;=($F$16-$F$15),$B212&lt;$F$22+($F$16-$F$15)),SUM(OFFSET($T$100,($F$16-$F$15),0):$T212),""),"")</f>
        <v/>
      </c>
      <c r="BE212" s="190" t="str">
        <f t="shared" ca="1" si="142"/>
        <v/>
      </c>
      <c r="BF212" s="190" t="str">
        <f t="shared" ca="1" si="143"/>
        <v/>
      </c>
      <c r="BG212"/>
      <c r="BH212" s="190" t="str">
        <f ca="1">IF(ISNUMBER(OFFSET(BD212,-$F$21,0)),SUM(OFFSET($T$100,($F$16-$F$15+$F$21),0):$T212),"")</f>
        <v/>
      </c>
      <c r="BI212" s="190" t="str">
        <f t="shared" ca="1" si="163"/>
        <v/>
      </c>
      <c r="BJ212" s="190" t="str">
        <f t="shared" ca="1" si="144"/>
        <v/>
      </c>
      <c r="BK212" s="190"/>
      <c r="BL212" s="190" t="str">
        <f ca="1">IFERROR(IF(AND($B212&gt;=($F$17-$F$15),$B212&lt;$F$22+($F$17-$F$15)),SUM(OFFSET($T$100,($F$17-$F$15),0):$T212),""),"")</f>
        <v/>
      </c>
      <c r="BM212" s="190" t="str">
        <f t="shared" ca="1" si="164"/>
        <v/>
      </c>
      <c r="BN212" s="190" t="str">
        <f t="shared" ca="1" si="145"/>
        <v/>
      </c>
      <c r="BO212"/>
      <c r="BP212" s="190" t="str">
        <f ca="1">IF(ISNUMBER(OFFSET(BL212,-$F$21,0)),SUM(OFFSET($T$100,($F$17-$F$15+$F$21),0):$T212),"")</f>
        <v/>
      </c>
      <c r="BQ212" s="190" t="str">
        <f t="shared" ca="1" si="165"/>
        <v/>
      </c>
      <c r="BR212" s="190" t="str">
        <f t="shared" ca="1" si="146"/>
        <v/>
      </c>
      <c r="BS212" s="190"/>
      <c r="BT212"/>
      <c r="BU212"/>
      <c r="BV212"/>
      <c r="BY212" s="99"/>
      <c r="BZ212" s="99"/>
      <c r="CA212" s="280" t="str">
        <f t="shared" si="166"/>
        <v/>
      </c>
      <c r="CB212" s="71" t="str">
        <f t="shared" si="122"/>
        <v>-</v>
      </c>
      <c r="CC212" s="33"/>
      <c r="CD212" s="261" t="str">
        <f t="shared" si="123"/>
        <v/>
      </c>
      <c r="CE212" s="280" t="str">
        <f t="shared" si="167"/>
        <v>-</v>
      </c>
      <c r="CF212" s="71" t="str">
        <f t="shared" ca="1" si="168"/>
        <v>-</v>
      </c>
      <c r="CG212" s="33" t="str">
        <f t="shared" si="126"/>
        <v>112-113</v>
      </c>
      <c r="CH212" s="261" t="str">
        <f t="shared" ca="1" si="127"/>
        <v/>
      </c>
    </row>
    <row r="213" spans="2:86" ht="13.5" customHeight="1" x14ac:dyDescent="0.2">
      <c r="B213" s="262">
        <v>113</v>
      </c>
      <c r="C213" s="237" t="str">
        <f t="shared" si="91"/>
        <v/>
      </c>
      <c r="D213" s="237" t="str">
        <f t="shared" si="147"/>
        <v>-</v>
      </c>
      <c r="E213" s="263" t="str">
        <f t="shared" si="128"/>
        <v/>
      </c>
      <c r="F213" s="264" t="str">
        <f t="shared" si="129"/>
        <v/>
      </c>
      <c r="G213" s="264" t="str">
        <f t="shared" si="130"/>
        <v/>
      </c>
      <c r="H213" s="240" t="str">
        <f t="shared" si="149"/>
        <v/>
      </c>
      <c r="I213" s="265" t="str">
        <f t="shared" si="150"/>
        <v/>
      </c>
      <c r="J213" s="265" t="str">
        <f t="shared" si="151"/>
        <v/>
      </c>
      <c r="K213" s="240" t="str">
        <f t="shared" si="152"/>
        <v/>
      </c>
      <c r="L213" s="265" t="str">
        <f t="shared" si="153"/>
        <v/>
      </c>
      <c r="M213" s="265" t="str">
        <f t="shared" si="154"/>
        <v/>
      </c>
      <c r="N213" s="240" t="str">
        <f t="shared" si="155"/>
        <v>-</v>
      </c>
      <c r="O213" s="265" t="str">
        <f t="shared" si="156"/>
        <v>-</v>
      </c>
      <c r="P213" s="265" t="str">
        <f t="shared" si="157"/>
        <v>-</v>
      </c>
      <c r="Q213" s="266" t="str">
        <f t="shared" si="158"/>
        <v>-</v>
      </c>
      <c r="R213" s="267" t="str">
        <f t="shared" si="159"/>
        <v>-</v>
      </c>
      <c r="S213" s="268" t="str">
        <f t="shared" si="160"/>
        <v>-</v>
      </c>
      <c r="T213" s="269" t="str">
        <f t="shared" si="104"/>
        <v/>
      </c>
      <c r="U213" s="221">
        <f t="shared" si="105"/>
        <v>113</v>
      </c>
      <c r="V213" s="220" t="str">
        <f t="shared" si="131"/>
        <v>-</v>
      </c>
      <c r="W213" s="221" t="str">
        <f t="shared" si="132"/>
        <v>-</v>
      </c>
      <c r="X213" s="221" t="str">
        <f t="shared" si="106"/>
        <v>-</v>
      </c>
      <c r="Y213" s="221" t="str">
        <f t="shared" si="107"/>
        <v>-</v>
      </c>
      <c r="Z213" s="270">
        <f t="shared" si="133"/>
        <v>0.1</v>
      </c>
      <c r="AA213" s="271" t="str">
        <f>IFERROR(IF(V212=1,AA$100*EXP(-(LN(2)/$D$65+0.04)*X212)*EXP(-(LN(2)/$D$65+0.1)*Y212),IF(V212=2,AA$100*EXP(-(LN(2)/$D$65+0.04)*(VLOOKUP(($F$16-$F$15)-1,U$99:Y212,4,FALSE)))*EXP(-(LN(2)/$D$65+0.1)*(VLOOKUP(($F$16-$F$15)-1,U$99:Y212,5,FALSE)))*EXP(-(LN(2)/$D$65+0.04)*X212)*EXP(-(LN(2)/$D$65+0.1)*Y212),IF(V212=3,AA$100*EXP(-(LN(2)/$D$65+0.04)*(VLOOKUP(($F$16-$F$15)-1,U$99:Y212,4,FALSE)))*EXP(-(LN(2)/$D$65+0.1)*(VLOOKUP(($F$16-$F$15)-1,U$99:Y212,5,FALSE)))*EXP(-(LN(2)/$D$65+0.04)*(VLOOKUP(($F$16-$F$15)*2-1,U$99:Y212,4,FALSE)))*EXP(-(LN(2)/$D$65+0.1)*(VLOOKUP(($F$16-$F$15)*2-1,U$99:Y212,5,FALSE)))*EXP(-(LN(2)/$D$65+0.04)*X212)*EXP(-(LN(2)/$D$65+0.1)*Y212),"-"))),"-")</f>
        <v>-</v>
      </c>
      <c r="AB213" s="271" t="str">
        <f>IFERROR(IF(V213=1,AB$100*EXP(-(LN(2)/$D$65+0.04)*X213)*EXP(-(LN(2)/$D$65+0.1)*Y213),IF(V213=2,AB$100*EXP(-(LN(2)/$D$65+0.04)*(VLOOKUP(($F$16-$F$15)-1,U$100:Y213,4,FALSE)))*EXP(-(LN(2)/$D$65+0.1)*(VLOOKUP(($F$16-$F$15)-1,U$100:Y213,5,FALSE)))*EXP(-(LN(2)/$D$65+0.04)*X213)*EXP(-(LN(2)/$D$65+0.1)*Y213),IF(V213=3,AB$100*EXP(-(LN(2)/$D$65+0.04)*(VLOOKUP(($F$16-$F$15)-1,U$100:Y213,4,FALSE)))*EXP(-(LN(2)/$D$65+0.1)*(VLOOKUP(($F$16-$F$15)-1,U$100:Y213,5,FALSE)))*EXP(-(LN(2)/$D$65+0.04)*(VLOOKUP(($F$16-$F$15)*2-1,U$100:Y213,4,FALSE)))*EXP(-(LN(2)/$D$65+0.1)*(VLOOKUP(($F$16-$F$15)*2-1,U$100:Y213,5,FALSE)))*EXP(-(LN(2)/$D$65+0.04)*X213)*EXP(-(LN(2)/$D$65+0.1)*Y213),"-"))),"-")</f>
        <v>-</v>
      </c>
      <c r="AC213" s="224">
        <f t="shared" si="134"/>
        <v>113</v>
      </c>
      <c r="AD213" s="223" t="str">
        <f t="shared" si="108"/>
        <v>-</v>
      </c>
      <c r="AE213" s="224" t="str">
        <f t="shared" si="135"/>
        <v>-</v>
      </c>
      <c r="AF213" s="224" t="str">
        <f t="shared" si="109"/>
        <v>-</v>
      </c>
      <c r="AG213" s="224" t="str">
        <f t="shared" si="110"/>
        <v>-</v>
      </c>
      <c r="AH213" s="272">
        <f t="shared" si="136"/>
        <v>0.1</v>
      </c>
      <c r="AI213" s="271" t="str">
        <f>IFERROR(IF(AD212=1,AI$100*EXP(-(LN(2)/$D$65+0.04)*AF212)*EXP(-(LN(2)/$D$65+0.1)*AG212),IF(AD212=2,AI$100*EXP(-(LN(2)/$D$65+0.04)*(VLOOKUP(($F$16-$F$15)-1,AC$99:AG212,4,FALSE)))*EXP(-(LN(2)/$D$65+0.1)*(VLOOKUP(($F$16-$F$15)-1,AC$99:AG212,5,FALSE)))*EXP(-(LN(2)/$D$65+0.04)*AF212)*EXP(-(LN(2)/$D$65+0.1)*AG212),IF(AD212=3,AI$100*EXP(-(LN(2)/$D$65+0.04)*(VLOOKUP(($F$16-$F$15)-1,AC$99:AG212,4,FALSE)))*EXP(-(LN(2)/$D$65+0.1)*(VLOOKUP(($F$16-$F$15)-1,AC$99:AG212,5,FALSE)))*EXP(-(LN(2)/$D$65+0.04)*(VLOOKUP(($F$16-$F$15)*2-1,AC$99:AG212,4,FALSE)))*EXP(-(LN(2)/$D$65+0.1)*(VLOOKUP(($F$16-$F$15)*2-1,AC$99:AG212,5,FALSE)))*EXP(-(LN(2)/$D$65+0.04)*AF212)*EXP(-(LN(2)/$D$65+0.1)*AG212),"-"))),"-")</f>
        <v>-</v>
      </c>
      <c r="AJ213" s="271" t="str">
        <f>IFERROR(IF(AD213=1,AJ$100*EXP(-(LN(2)/$D$65+0.04)*AF213)*EXP(-(LN(2)/$D$65+0.1)*AG213),IF(AD213=2,AJ$100*EXP(-(LN(2)/$D$65+0.04)*(VLOOKUP(($F$16-$F$15)-1,AC$100:AG213,4,FALSE)))*EXP(-(LN(2)/$D$65+0.1)*(VLOOKUP(($F$16-$F$15)-1,AC$100:AG213,5,FALSE)))*EXP(-(LN(2)/$D$65+0.04)*AF213)*EXP(-(LN(2)/$D$65+0.1)*AG213),IF(AD213=3,AJ$100*EXP(-(LN(2)/$D$65+0.04)*(VLOOKUP(($F$16-$F$15)-1,AC$100:AG213,4,FALSE)))*EXP(-(LN(2)/$D$65+0.1)*(VLOOKUP(($F$16-$F$15)-1,AC$100:AG213,5,FALSE)))*EXP(-(LN(2)/$D$65+0.04)*(VLOOKUP(($F$16-$F$15)*2-1,AC$100:AG213,4,FALSE)))*EXP(-(LN(2)/$D$65+0.1)*(VLOOKUP(($F$16-$F$15)*2-1,AC$100:AG213,5,FALSE)))*EXP(-(LN(2)/$D$65+0.04)*AF213)*EXP(-(LN(2)/$D$65+0.1)*AG213),"-"))),"-")</f>
        <v>-</v>
      </c>
      <c r="AK213" s="227">
        <f t="shared" si="137"/>
        <v>113</v>
      </c>
      <c r="AL213" s="226" t="str">
        <f t="shared" si="111"/>
        <v>-</v>
      </c>
      <c r="AM213" s="227" t="str">
        <f t="shared" si="138"/>
        <v>-</v>
      </c>
      <c r="AN213" s="227" t="str">
        <f t="shared" si="139"/>
        <v>-</v>
      </c>
      <c r="AO213" s="227" t="str">
        <f t="shared" si="112"/>
        <v>-</v>
      </c>
      <c r="AP213" s="273">
        <f t="shared" si="140"/>
        <v>0.1</v>
      </c>
      <c r="AQ213" s="271" t="str">
        <f>IFERROR(IF(AL212=1,AQ$100*EXP(-(LN(2)/$D$65+0.04)*AN212)*EXP(-(LN(2)/$D$65+0.1)*AO212),IF(AL212=2,AQ$100*EXP(-(LN(2)/$D$65+0.04)*(VLOOKUP(($F$16-$F$15)-1,AK$99:AO212,4,FALSE)))*EXP(-(LN(2)/$D$65+0.1)*(VLOOKUP(($F$16-$F$15)-1,AK$99:AO212,5,FALSE)))*EXP(-(LN(2)/$D$65+0.04)*AN212)*EXP(-(LN(2)/$D$65+0.1)*AO212),IF(AL212=3,AQ$100*EXP(-(LN(2)/$D$65+0.04)*(VLOOKUP(($F$16-$F$15)-1,AK$99:AO212,4,FALSE)))*EXP(-(LN(2)/$D$65+0.1)*(VLOOKUP(($F$16-$F$15)-1,AK$99:AO212,5,FALSE)))*EXP(-(LN(2)/$D$65+0.04)*(VLOOKUP(($F$16-$F$15)*2-1,AK$99:AO212,4,FALSE)))*EXP(-(LN(2)/$D$65+0.1)*(VLOOKUP(($F$16-$F$15)*2-1,AK$99:AO212,5,FALSE)))*EXP(-(LN(2)/$D$65+0.04)*AN212)*EXP(-(LN(2)/$D$65+0.1)*AO212),"-"))),"-")</f>
        <v>-</v>
      </c>
      <c r="AR213" s="271" t="str">
        <f>IFERROR(IF(AL213=1,AR$100*EXP(-(LN(2)/$D$65+0.04)*AN213)*EXP(-(LN(2)/$D$65+0.1)*AO213),IF(AL213=2,AR$100*EXP(-(LN(2)/$D$65+0.04)*(VLOOKUP(($F$16-$F$15)-1,AK$100:AO213,4,FALSE)))*EXP(-(LN(2)/$D$65+0.1)*(VLOOKUP(($F$16-$F$15)-1,AK$100:AO213,5,FALSE)))*EXP(-(LN(2)/$D$65+0.04)*AN213)*EXP(-(LN(2)/$D$65+0.1)*AO213),IF(AL213=3,AR$100*EXP(-(LN(2)/$D$65+0.04)*(VLOOKUP(($F$16-$F$15)-1,AK$100:AO213,4,FALSE)))*EXP(-(LN(2)/$D$65+0.1)*(VLOOKUP(($F$16-$F$15)-1,AK$100:AO213,5,FALSE)))*EXP(-(LN(2)/$D$65+0.04)*(VLOOKUP(($F$16-$F$15)*2-1,AK$100:AO213,4,FALSE)))*EXP(-(LN(2)/$D$65+0.1)*(VLOOKUP(($F$16-$F$15)*2-1,AK$100:AO213,5,FALSE)))*EXP(-(LN(2)/$D$65+0.04)*AN213)*EXP(-(LN(2)/$D$65+0.1)*AO213),"-"))),"-")</f>
        <v>-</v>
      </c>
      <c r="AS213" s="274">
        <f t="shared" si="113"/>
        <v>0</v>
      </c>
      <c r="AT213" s="274">
        <f t="shared" si="114"/>
        <v>0</v>
      </c>
      <c r="AU213" s="274">
        <f t="shared" si="115"/>
        <v>0</v>
      </c>
      <c r="AV213" s="190">
        <f>IF($B213&lt;$F$22,SUM($T$100:$T213),"")</f>
        <v>0</v>
      </c>
      <c r="AW213" s="190" t="str">
        <f t="shared" si="161"/>
        <v>-</v>
      </c>
      <c r="AX213" s="190" t="str">
        <f t="shared" si="141"/>
        <v/>
      </c>
      <c r="AY213"/>
      <c r="AZ213" s="190" t="str">
        <f ca="1">IF(ISNUMBER(OFFSET(AV213,-$F$21,0)),SUM(OFFSET($T$100,$F$21,0):$T213),"")</f>
        <v/>
      </c>
      <c r="BA213" s="190" t="str">
        <f t="shared" ca="1" si="162"/>
        <v/>
      </c>
      <c r="BB213" s="190" t="str">
        <f t="shared" ca="1" si="148"/>
        <v/>
      </c>
      <c r="BC213" s="190"/>
      <c r="BD213" s="190" t="str">
        <f ca="1">IFERROR(IF(AND($B213&gt;=($F$16-$F$15),$B213&lt;$F$22+($F$16-$F$15)),SUM(OFFSET($T$100,($F$16-$F$15),0):$T213),""),"")</f>
        <v/>
      </c>
      <c r="BE213" s="190" t="str">
        <f t="shared" ca="1" si="142"/>
        <v/>
      </c>
      <c r="BF213" s="190" t="str">
        <f t="shared" ca="1" si="143"/>
        <v/>
      </c>
      <c r="BG213"/>
      <c r="BH213" s="190" t="str">
        <f ca="1">IF(ISNUMBER(OFFSET(BD213,-$F$21,0)),SUM(OFFSET($T$100,($F$16-$F$15+$F$21),0):$T213),"")</f>
        <v/>
      </c>
      <c r="BI213" s="190" t="str">
        <f t="shared" ca="1" si="163"/>
        <v/>
      </c>
      <c r="BJ213" s="190" t="str">
        <f t="shared" ca="1" si="144"/>
        <v/>
      </c>
      <c r="BK213" s="190"/>
      <c r="BL213" s="190" t="str">
        <f ca="1">IFERROR(IF(AND($B213&gt;=($F$17-$F$15),$B213&lt;$F$22+($F$17-$F$15)),SUM(OFFSET($T$100,($F$17-$F$15),0):$T213),""),"")</f>
        <v/>
      </c>
      <c r="BM213" s="190" t="str">
        <f t="shared" ca="1" si="164"/>
        <v/>
      </c>
      <c r="BN213" s="190" t="str">
        <f t="shared" ca="1" si="145"/>
        <v/>
      </c>
      <c r="BO213"/>
      <c r="BP213" s="190" t="str">
        <f ca="1">IF(ISNUMBER(OFFSET(BL213,-$F$21,0)),SUM(OFFSET($T$100,($F$17-$F$15+$F$21),0):$T213),"")</f>
        <v/>
      </c>
      <c r="BQ213" s="190" t="str">
        <f t="shared" ca="1" si="165"/>
        <v/>
      </c>
      <c r="BR213" s="190" t="str">
        <f t="shared" ca="1" si="146"/>
        <v/>
      </c>
      <c r="BS213" s="190"/>
      <c r="BT213"/>
      <c r="BU213"/>
      <c r="BV213"/>
      <c r="BY213" s="99"/>
      <c r="BZ213" s="99"/>
      <c r="CA213" s="280" t="str">
        <f t="shared" si="166"/>
        <v/>
      </c>
      <c r="CB213" s="71" t="str">
        <f t="shared" si="122"/>
        <v>-</v>
      </c>
      <c r="CC213" s="33"/>
      <c r="CD213" s="261" t="str">
        <f t="shared" si="123"/>
        <v/>
      </c>
      <c r="CE213" s="280" t="str">
        <f t="shared" si="167"/>
        <v>-</v>
      </c>
      <c r="CF213" s="71" t="str">
        <f t="shared" ca="1" si="168"/>
        <v>-</v>
      </c>
      <c r="CG213" s="33" t="str">
        <f t="shared" si="126"/>
        <v>113-114</v>
      </c>
      <c r="CH213" s="261" t="str">
        <f t="shared" ca="1" si="127"/>
        <v/>
      </c>
    </row>
    <row r="214" spans="2:86" ht="13.5" customHeight="1" x14ac:dyDescent="0.2">
      <c r="B214" s="262">
        <v>114</v>
      </c>
      <c r="C214" s="237" t="str">
        <f t="shared" si="91"/>
        <v/>
      </c>
      <c r="D214" s="237" t="str">
        <f t="shared" si="147"/>
        <v>-</v>
      </c>
      <c r="E214" s="263" t="str">
        <f t="shared" si="128"/>
        <v/>
      </c>
      <c r="F214" s="264" t="str">
        <f t="shared" si="129"/>
        <v/>
      </c>
      <c r="G214" s="264" t="str">
        <f t="shared" si="130"/>
        <v/>
      </c>
      <c r="H214" s="240" t="str">
        <f t="shared" si="149"/>
        <v/>
      </c>
      <c r="I214" s="265" t="str">
        <f t="shared" si="150"/>
        <v/>
      </c>
      <c r="J214" s="265" t="str">
        <f t="shared" si="151"/>
        <v/>
      </c>
      <c r="K214" s="240" t="str">
        <f t="shared" si="152"/>
        <v/>
      </c>
      <c r="L214" s="265" t="str">
        <f t="shared" si="153"/>
        <v/>
      </c>
      <c r="M214" s="265" t="str">
        <f t="shared" si="154"/>
        <v/>
      </c>
      <c r="N214" s="240" t="str">
        <f t="shared" si="155"/>
        <v>-</v>
      </c>
      <c r="O214" s="265" t="str">
        <f t="shared" si="156"/>
        <v>-</v>
      </c>
      <c r="P214" s="265" t="str">
        <f t="shared" si="157"/>
        <v>-</v>
      </c>
      <c r="Q214" s="266" t="str">
        <f t="shared" si="158"/>
        <v>-</v>
      </c>
      <c r="R214" s="267" t="str">
        <f t="shared" si="159"/>
        <v>-</v>
      </c>
      <c r="S214" s="268" t="str">
        <f t="shared" si="160"/>
        <v>-</v>
      </c>
      <c r="T214" s="269" t="str">
        <f t="shared" si="104"/>
        <v/>
      </c>
      <c r="U214" s="221">
        <f t="shared" si="105"/>
        <v>114</v>
      </c>
      <c r="V214" s="220" t="str">
        <f t="shared" si="131"/>
        <v>-</v>
      </c>
      <c r="W214" s="221" t="str">
        <f t="shared" si="132"/>
        <v>-</v>
      </c>
      <c r="X214" s="221" t="str">
        <f t="shared" si="106"/>
        <v>-</v>
      </c>
      <c r="Y214" s="221" t="str">
        <f t="shared" si="107"/>
        <v>-</v>
      </c>
      <c r="Z214" s="270">
        <f t="shared" si="133"/>
        <v>0.1</v>
      </c>
      <c r="AA214" s="271" t="str">
        <f>IFERROR(IF(V213=1,AA$100*EXP(-(LN(2)/$D$65+0.04)*X213)*EXP(-(LN(2)/$D$65+0.1)*Y213),IF(V213=2,AA$100*EXP(-(LN(2)/$D$65+0.04)*(VLOOKUP(($F$16-$F$15)-1,U$99:Y213,4,FALSE)))*EXP(-(LN(2)/$D$65+0.1)*(VLOOKUP(($F$16-$F$15)-1,U$99:Y213,5,FALSE)))*EXP(-(LN(2)/$D$65+0.04)*X213)*EXP(-(LN(2)/$D$65+0.1)*Y213),IF(V213=3,AA$100*EXP(-(LN(2)/$D$65+0.04)*(VLOOKUP(($F$16-$F$15)-1,U$99:Y213,4,FALSE)))*EXP(-(LN(2)/$D$65+0.1)*(VLOOKUP(($F$16-$F$15)-1,U$99:Y213,5,FALSE)))*EXP(-(LN(2)/$D$65+0.04)*(VLOOKUP(($F$16-$F$15)*2-1,U$99:Y213,4,FALSE)))*EXP(-(LN(2)/$D$65+0.1)*(VLOOKUP(($F$16-$F$15)*2-1,U$99:Y213,5,FALSE)))*EXP(-(LN(2)/$D$65+0.04)*X213)*EXP(-(LN(2)/$D$65+0.1)*Y213),"-"))),"-")</f>
        <v>-</v>
      </c>
      <c r="AB214" s="271" t="str">
        <f>IFERROR(IF(V214=1,AB$100*EXP(-(LN(2)/$D$65+0.04)*X214)*EXP(-(LN(2)/$D$65+0.1)*Y214),IF(V214=2,AB$100*EXP(-(LN(2)/$D$65+0.04)*(VLOOKUP(($F$16-$F$15)-1,U$100:Y214,4,FALSE)))*EXP(-(LN(2)/$D$65+0.1)*(VLOOKUP(($F$16-$F$15)-1,U$100:Y214,5,FALSE)))*EXP(-(LN(2)/$D$65+0.04)*X214)*EXP(-(LN(2)/$D$65+0.1)*Y214),IF(V214=3,AB$100*EXP(-(LN(2)/$D$65+0.04)*(VLOOKUP(($F$16-$F$15)-1,U$100:Y214,4,FALSE)))*EXP(-(LN(2)/$D$65+0.1)*(VLOOKUP(($F$16-$F$15)-1,U$100:Y214,5,FALSE)))*EXP(-(LN(2)/$D$65+0.04)*(VLOOKUP(($F$16-$F$15)*2-1,U$100:Y214,4,FALSE)))*EXP(-(LN(2)/$D$65+0.1)*(VLOOKUP(($F$16-$F$15)*2-1,U$100:Y214,5,FALSE)))*EXP(-(LN(2)/$D$65+0.04)*X214)*EXP(-(LN(2)/$D$65+0.1)*Y214),"-"))),"-")</f>
        <v>-</v>
      </c>
      <c r="AC214" s="224">
        <f t="shared" si="134"/>
        <v>114</v>
      </c>
      <c r="AD214" s="223" t="str">
        <f t="shared" si="108"/>
        <v>-</v>
      </c>
      <c r="AE214" s="224" t="str">
        <f t="shared" si="135"/>
        <v>-</v>
      </c>
      <c r="AF214" s="224" t="str">
        <f t="shared" si="109"/>
        <v>-</v>
      </c>
      <c r="AG214" s="224" t="str">
        <f t="shared" si="110"/>
        <v>-</v>
      </c>
      <c r="AH214" s="272">
        <f t="shared" si="136"/>
        <v>0.1</v>
      </c>
      <c r="AI214" s="271" t="str">
        <f>IFERROR(IF(AD213=1,AI$100*EXP(-(LN(2)/$D$65+0.04)*AF213)*EXP(-(LN(2)/$D$65+0.1)*AG213),IF(AD213=2,AI$100*EXP(-(LN(2)/$D$65+0.04)*(VLOOKUP(($F$16-$F$15)-1,AC$99:AG213,4,FALSE)))*EXP(-(LN(2)/$D$65+0.1)*(VLOOKUP(($F$16-$F$15)-1,AC$99:AG213,5,FALSE)))*EXP(-(LN(2)/$D$65+0.04)*AF213)*EXP(-(LN(2)/$D$65+0.1)*AG213),IF(AD213=3,AI$100*EXP(-(LN(2)/$D$65+0.04)*(VLOOKUP(($F$16-$F$15)-1,AC$99:AG213,4,FALSE)))*EXP(-(LN(2)/$D$65+0.1)*(VLOOKUP(($F$16-$F$15)-1,AC$99:AG213,5,FALSE)))*EXP(-(LN(2)/$D$65+0.04)*(VLOOKUP(($F$16-$F$15)*2-1,AC$99:AG213,4,FALSE)))*EXP(-(LN(2)/$D$65+0.1)*(VLOOKUP(($F$16-$F$15)*2-1,AC$99:AG213,5,FALSE)))*EXP(-(LN(2)/$D$65+0.04)*AF213)*EXP(-(LN(2)/$D$65+0.1)*AG213),"-"))),"-")</f>
        <v>-</v>
      </c>
      <c r="AJ214" s="271" t="str">
        <f>IFERROR(IF(AD214=1,AJ$100*EXP(-(LN(2)/$D$65+0.04)*AF214)*EXP(-(LN(2)/$D$65+0.1)*AG214),IF(AD214=2,AJ$100*EXP(-(LN(2)/$D$65+0.04)*(VLOOKUP(($F$16-$F$15)-1,AC$100:AG214,4,FALSE)))*EXP(-(LN(2)/$D$65+0.1)*(VLOOKUP(($F$16-$F$15)-1,AC$100:AG214,5,FALSE)))*EXP(-(LN(2)/$D$65+0.04)*AF214)*EXP(-(LN(2)/$D$65+0.1)*AG214),IF(AD214=3,AJ$100*EXP(-(LN(2)/$D$65+0.04)*(VLOOKUP(($F$16-$F$15)-1,AC$100:AG214,4,FALSE)))*EXP(-(LN(2)/$D$65+0.1)*(VLOOKUP(($F$16-$F$15)-1,AC$100:AG214,5,FALSE)))*EXP(-(LN(2)/$D$65+0.04)*(VLOOKUP(($F$16-$F$15)*2-1,AC$100:AG214,4,FALSE)))*EXP(-(LN(2)/$D$65+0.1)*(VLOOKUP(($F$16-$F$15)*2-1,AC$100:AG214,5,FALSE)))*EXP(-(LN(2)/$D$65+0.04)*AF214)*EXP(-(LN(2)/$D$65+0.1)*AG214),"-"))),"-")</f>
        <v>-</v>
      </c>
      <c r="AK214" s="227">
        <f t="shared" si="137"/>
        <v>114</v>
      </c>
      <c r="AL214" s="226" t="str">
        <f t="shared" si="111"/>
        <v>-</v>
      </c>
      <c r="AM214" s="227" t="str">
        <f t="shared" si="138"/>
        <v>-</v>
      </c>
      <c r="AN214" s="227" t="str">
        <f t="shared" si="139"/>
        <v>-</v>
      </c>
      <c r="AO214" s="227" t="str">
        <f t="shared" si="112"/>
        <v>-</v>
      </c>
      <c r="AP214" s="273">
        <f t="shared" si="140"/>
        <v>0.1</v>
      </c>
      <c r="AQ214" s="271" t="str">
        <f>IFERROR(IF(AL213=1,AQ$100*EXP(-(LN(2)/$D$65+0.04)*AN213)*EXP(-(LN(2)/$D$65+0.1)*AO213),IF(AL213=2,AQ$100*EXP(-(LN(2)/$D$65+0.04)*(VLOOKUP(($F$16-$F$15)-1,AK$99:AO213,4,FALSE)))*EXP(-(LN(2)/$D$65+0.1)*(VLOOKUP(($F$16-$F$15)-1,AK$99:AO213,5,FALSE)))*EXP(-(LN(2)/$D$65+0.04)*AN213)*EXP(-(LN(2)/$D$65+0.1)*AO213),IF(AL213=3,AQ$100*EXP(-(LN(2)/$D$65+0.04)*(VLOOKUP(($F$16-$F$15)-1,AK$99:AO213,4,FALSE)))*EXP(-(LN(2)/$D$65+0.1)*(VLOOKUP(($F$16-$F$15)-1,AK$99:AO213,5,FALSE)))*EXP(-(LN(2)/$D$65+0.04)*(VLOOKUP(($F$16-$F$15)*2-1,AK$99:AO213,4,FALSE)))*EXP(-(LN(2)/$D$65+0.1)*(VLOOKUP(($F$16-$F$15)*2-1,AK$99:AO213,5,FALSE)))*EXP(-(LN(2)/$D$65+0.04)*AN213)*EXP(-(LN(2)/$D$65+0.1)*AO213),"-"))),"-")</f>
        <v>-</v>
      </c>
      <c r="AR214" s="271" t="str">
        <f>IFERROR(IF(AL214=1,AR$100*EXP(-(LN(2)/$D$65+0.04)*AN214)*EXP(-(LN(2)/$D$65+0.1)*AO214),IF(AL214=2,AR$100*EXP(-(LN(2)/$D$65+0.04)*(VLOOKUP(($F$16-$F$15)-1,AK$100:AO214,4,FALSE)))*EXP(-(LN(2)/$D$65+0.1)*(VLOOKUP(($F$16-$F$15)-1,AK$100:AO214,5,FALSE)))*EXP(-(LN(2)/$D$65+0.04)*AN214)*EXP(-(LN(2)/$D$65+0.1)*AO214),IF(AL214=3,AR$100*EXP(-(LN(2)/$D$65+0.04)*(VLOOKUP(($F$16-$F$15)-1,AK$100:AO214,4,FALSE)))*EXP(-(LN(2)/$D$65+0.1)*(VLOOKUP(($F$16-$F$15)-1,AK$100:AO214,5,FALSE)))*EXP(-(LN(2)/$D$65+0.04)*(VLOOKUP(($F$16-$F$15)*2-1,AK$100:AO214,4,FALSE)))*EXP(-(LN(2)/$D$65+0.1)*(VLOOKUP(($F$16-$F$15)*2-1,AK$100:AO214,5,FALSE)))*EXP(-(LN(2)/$D$65+0.04)*AN214)*EXP(-(LN(2)/$D$65+0.1)*AO214),"-"))),"-")</f>
        <v>-</v>
      </c>
      <c r="AS214" s="274">
        <f t="shared" si="113"/>
        <v>0</v>
      </c>
      <c r="AT214" s="274">
        <f t="shared" si="114"/>
        <v>0</v>
      </c>
      <c r="AU214" s="274">
        <f t="shared" si="115"/>
        <v>0</v>
      </c>
      <c r="AV214" s="190">
        <f>IF($B214&lt;$F$22,SUM($T$100:$T214),"")</f>
        <v>0</v>
      </c>
      <c r="AW214" s="190" t="str">
        <f t="shared" si="161"/>
        <v>-</v>
      </c>
      <c r="AX214" s="190" t="str">
        <f t="shared" si="141"/>
        <v/>
      </c>
      <c r="AY214"/>
      <c r="AZ214" s="190" t="str">
        <f ca="1">IF(ISNUMBER(OFFSET(AV214,-$F$21,0)),SUM(OFFSET($T$100,$F$21,0):$T214),"")</f>
        <v/>
      </c>
      <c r="BA214" s="190" t="str">
        <f t="shared" ca="1" si="162"/>
        <v/>
      </c>
      <c r="BB214" s="190" t="str">
        <f t="shared" ca="1" si="148"/>
        <v/>
      </c>
      <c r="BC214" s="190"/>
      <c r="BD214" s="190" t="str">
        <f ca="1">IFERROR(IF(AND($B214&gt;=($F$16-$F$15),$B214&lt;$F$22+($F$16-$F$15)),SUM(OFFSET($T$100,($F$16-$F$15),0):$T214),""),"")</f>
        <v/>
      </c>
      <c r="BE214" s="190" t="str">
        <f t="shared" ca="1" si="142"/>
        <v/>
      </c>
      <c r="BF214" s="190" t="str">
        <f t="shared" ca="1" si="143"/>
        <v/>
      </c>
      <c r="BG214"/>
      <c r="BH214" s="190" t="str">
        <f ca="1">IF(ISNUMBER(OFFSET(BD214,-$F$21,0)),SUM(OFFSET($T$100,($F$16-$F$15+$F$21),0):$T214),"")</f>
        <v/>
      </c>
      <c r="BI214" s="190" t="str">
        <f t="shared" ca="1" si="163"/>
        <v/>
      </c>
      <c r="BJ214" s="190" t="str">
        <f t="shared" ca="1" si="144"/>
        <v/>
      </c>
      <c r="BK214" s="190"/>
      <c r="BL214" s="190" t="str">
        <f ca="1">IFERROR(IF(AND($B214&gt;=($F$17-$F$15),$B214&lt;$F$22+($F$17-$F$15)),SUM(OFFSET($T$100,($F$17-$F$15),0):$T214),""),"")</f>
        <v/>
      </c>
      <c r="BM214" s="190" t="str">
        <f t="shared" ca="1" si="164"/>
        <v/>
      </c>
      <c r="BN214" s="190" t="str">
        <f t="shared" ca="1" si="145"/>
        <v/>
      </c>
      <c r="BO214"/>
      <c r="BP214" s="190" t="str">
        <f ca="1">IF(ISNUMBER(OFFSET(BL214,-$F$21,0)),SUM(OFFSET($T$100,($F$17-$F$15+$F$21),0):$T214),"")</f>
        <v/>
      </c>
      <c r="BQ214" s="190" t="str">
        <f t="shared" ca="1" si="165"/>
        <v/>
      </c>
      <c r="BR214" s="190" t="str">
        <f t="shared" ca="1" si="146"/>
        <v/>
      </c>
      <c r="BS214" s="190"/>
      <c r="BT214"/>
      <c r="BU214"/>
      <c r="BV214"/>
      <c r="BY214" s="99"/>
      <c r="BZ214" s="99"/>
      <c r="CA214" s="280" t="str">
        <f t="shared" si="166"/>
        <v/>
      </c>
      <c r="CB214" s="71" t="str">
        <f t="shared" si="122"/>
        <v>-</v>
      </c>
      <c r="CC214" s="33"/>
      <c r="CD214" s="261" t="str">
        <f t="shared" si="123"/>
        <v/>
      </c>
      <c r="CE214" s="280" t="str">
        <f t="shared" si="167"/>
        <v>-</v>
      </c>
      <c r="CF214" s="71" t="str">
        <f t="shared" ca="1" si="168"/>
        <v>-</v>
      </c>
      <c r="CG214" s="33" t="str">
        <f t="shared" si="126"/>
        <v>114-115</v>
      </c>
      <c r="CH214" s="261" t="str">
        <f t="shared" ca="1" si="127"/>
        <v/>
      </c>
    </row>
    <row r="215" spans="2:86" ht="13.5" customHeight="1" x14ac:dyDescent="0.2">
      <c r="B215" s="262">
        <v>115</v>
      </c>
      <c r="C215" s="237" t="str">
        <f t="shared" si="91"/>
        <v/>
      </c>
      <c r="D215" s="237" t="str">
        <f t="shared" si="147"/>
        <v>-</v>
      </c>
      <c r="E215" s="263" t="str">
        <f t="shared" si="128"/>
        <v/>
      </c>
      <c r="F215" s="264" t="str">
        <f t="shared" si="129"/>
        <v/>
      </c>
      <c r="G215" s="264" t="str">
        <f t="shared" si="130"/>
        <v/>
      </c>
      <c r="H215" s="240" t="str">
        <f t="shared" si="149"/>
        <v/>
      </c>
      <c r="I215" s="265" t="str">
        <f t="shared" si="150"/>
        <v/>
      </c>
      <c r="J215" s="265" t="str">
        <f t="shared" si="151"/>
        <v/>
      </c>
      <c r="K215" s="240" t="str">
        <f t="shared" si="152"/>
        <v/>
      </c>
      <c r="L215" s="265" t="str">
        <f t="shared" si="153"/>
        <v/>
      </c>
      <c r="M215" s="265" t="str">
        <f t="shared" si="154"/>
        <v/>
      </c>
      <c r="N215" s="240" t="str">
        <f t="shared" si="155"/>
        <v>-</v>
      </c>
      <c r="O215" s="265" t="str">
        <f t="shared" si="156"/>
        <v>-</v>
      </c>
      <c r="P215" s="265" t="str">
        <f t="shared" si="157"/>
        <v>-</v>
      </c>
      <c r="Q215" s="266" t="str">
        <f t="shared" si="158"/>
        <v>-</v>
      </c>
      <c r="R215" s="267" t="str">
        <f t="shared" si="159"/>
        <v>-</v>
      </c>
      <c r="S215" s="268" t="str">
        <f t="shared" si="160"/>
        <v>-</v>
      </c>
      <c r="T215" s="269" t="str">
        <f t="shared" si="104"/>
        <v/>
      </c>
      <c r="U215" s="221">
        <f t="shared" si="105"/>
        <v>115</v>
      </c>
      <c r="V215" s="220" t="str">
        <f t="shared" si="131"/>
        <v>-</v>
      </c>
      <c r="W215" s="221" t="str">
        <f t="shared" si="132"/>
        <v>-</v>
      </c>
      <c r="X215" s="221" t="str">
        <f t="shared" si="106"/>
        <v>-</v>
      </c>
      <c r="Y215" s="221" t="str">
        <f t="shared" si="107"/>
        <v>-</v>
      </c>
      <c r="Z215" s="270">
        <f t="shared" si="133"/>
        <v>0.1</v>
      </c>
      <c r="AA215" s="271" t="str">
        <f>IFERROR(IF(V214=1,AA$100*EXP(-(LN(2)/$D$65+0.04)*X214)*EXP(-(LN(2)/$D$65+0.1)*Y214),IF(V214=2,AA$100*EXP(-(LN(2)/$D$65+0.04)*(VLOOKUP(($F$16-$F$15)-1,U$99:Y214,4,FALSE)))*EXP(-(LN(2)/$D$65+0.1)*(VLOOKUP(($F$16-$F$15)-1,U$99:Y214,5,FALSE)))*EXP(-(LN(2)/$D$65+0.04)*X214)*EXP(-(LN(2)/$D$65+0.1)*Y214),IF(V214=3,AA$100*EXP(-(LN(2)/$D$65+0.04)*(VLOOKUP(($F$16-$F$15)-1,U$99:Y214,4,FALSE)))*EXP(-(LN(2)/$D$65+0.1)*(VLOOKUP(($F$16-$F$15)-1,U$99:Y214,5,FALSE)))*EXP(-(LN(2)/$D$65+0.04)*(VLOOKUP(($F$16-$F$15)*2-1,U$99:Y214,4,FALSE)))*EXP(-(LN(2)/$D$65+0.1)*(VLOOKUP(($F$16-$F$15)*2-1,U$99:Y214,5,FALSE)))*EXP(-(LN(2)/$D$65+0.04)*X214)*EXP(-(LN(2)/$D$65+0.1)*Y214),"-"))),"-")</f>
        <v>-</v>
      </c>
      <c r="AB215" s="271" t="str">
        <f>IFERROR(IF(V215=1,AB$100*EXP(-(LN(2)/$D$65+0.04)*X215)*EXP(-(LN(2)/$D$65+0.1)*Y215),IF(V215=2,AB$100*EXP(-(LN(2)/$D$65+0.04)*(VLOOKUP(($F$16-$F$15)-1,U$100:Y215,4,FALSE)))*EXP(-(LN(2)/$D$65+0.1)*(VLOOKUP(($F$16-$F$15)-1,U$100:Y215,5,FALSE)))*EXP(-(LN(2)/$D$65+0.04)*X215)*EXP(-(LN(2)/$D$65+0.1)*Y215),IF(V215=3,AB$100*EXP(-(LN(2)/$D$65+0.04)*(VLOOKUP(($F$16-$F$15)-1,U$100:Y215,4,FALSE)))*EXP(-(LN(2)/$D$65+0.1)*(VLOOKUP(($F$16-$F$15)-1,U$100:Y215,5,FALSE)))*EXP(-(LN(2)/$D$65+0.04)*(VLOOKUP(($F$16-$F$15)*2-1,U$100:Y215,4,FALSE)))*EXP(-(LN(2)/$D$65+0.1)*(VLOOKUP(($F$16-$F$15)*2-1,U$100:Y215,5,FALSE)))*EXP(-(LN(2)/$D$65+0.04)*X215)*EXP(-(LN(2)/$D$65+0.1)*Y215),"-"))),"-")</f>
        <v>-</v>
      </c>
      <c r="AC215" s="224">
        <f t="shared" si="134"/>
        <v>115</v>
      </c>
      <c r="AD215" s="223" t="str">
        <f t="shared" si="108"/>
        <v>-</v>
      </c>
      <c r="AE215" s="224" t="str">
        <f t="shared" si="135"/>
        <v>-</v>
      </c>
      <c r="AF215" s="224" t="str">
        <f t="shared" si="109"/>
        <v>-</v>
      </c>
      <c r="AG215" s="224" t="str">
        <f t="shared" si="110"/>
        <v>-</v>
      </c>
      <c r="AH215" s="272">
        <f t="shared" si="136"/>
        <v>0.1</v>
      </c>
      <c r="AI215" s="271" t="str">
        <f>IFERROR(IF(AD214=1,AI$100*EXP(-(LN(2)/$D$65+0.04)*AF214)*EXP(-(LN(2)/$D$65+0.1)*AG214),IF(AD214=2,AI$100*EXP(-(LN(2)/$D$65+0.04)*(VLOOKUP(($F$16-$F$15)-1,AC$99:AG214,4,FALSE)))*EXP(-(LN(2)/$D$65+0.1)*(VLOOKUP(($F$16-$F$15)-1,AC$99:AG214,5,FALSE)))*EXP(-(LN(2)/$D$65+0.04)*AF214)*EXP(-(LN(2)/$D$65+0.1)*AG214),IF(AD214=3,AI$100*EXP(-(LN(2)/$D$65+0.04)*(VLOOKUP(($F$16-$F$15)-1,AC$99:AG214,4,FALSE)))*EXP(-(LN(2)/$D$65+0.1)*(VLOOKUP(($F$16-$F$15)-1,AC$99:AG214,5,FALSE)))*EXP(-(LN(2)/$D$65+0.04)*(VLOOKUP(($F$16-$F$15)*2-1,AC$99:AG214,4,FALSE)))*EXP(-(LN(2)/$D$65+0.1)*(VLOOKUP(($F$16-$F$15)*2-1,AC$99:AG214,5,FALSE)))*EXP(-(LN(2)/$D$65+0.04)*AF214)*EXP(-(LN(2)/$D$65+0.1)*AG214),"-"))),"-")</f>
        <v>-</v>
      </c>
      <c r="AJ215" s="271" t="str">
        <f>IFERROR(IF(AD215=1,AJ$100*EXP(-(LN(2)/$D$65+0.04)*AF215)*EXP(-(LN(2)/$D$65+0.1)*AG215),IF(AD215=2,AJ$100*EXP(-(LN(2)/$D$65+0.04)*(VLOOKUP(($F$16-$F$15)-1,AC$100:AG215,4,FALSE)))*EXP(-(LN(2)/$D$65+0.1)*(VLOOKUP(($F$16-$F$15)-1,AC$100:AG215,5,FALSE)))*EXP(-(LN(2)/$D$65+0.04)*AF215)*EXP(-(LN(2)/$D$65+0.1)*AG215),IF(AD215=3,AJ$100*EXP(-(LN(2)/$D$65+0.04)*(VLOOKUP(($F$16-$F$15)-1,AC$100:AG215,4,FALSE)))*EXP(-(LN(2)/$D$65+0.1)*(VLOOKUP(($F$16-$F$15)-1,AC$100:AG215,5,FALSE)))*EXP(-(LN(2)/$D$65+0.04)*(VLOOKUP(($F$16-$F$15)*2-1,AC$100:AG215,4,FALSE)))*EXP(-(LN(2)/$D$65+0.1)*(VLOOKUP(($F$16-$F$15)*2-1,AC$100:AG215,5,FALSE)))*EXP(-(LN(2)/$D$65+0.04)*AF215)*EXP(-(LN(2)/$D$65+0.1)*AG215),"-"))),"-")</f>
        <v>-</v>
      </c>
      <c r="AK215" s="227">
        <f t="shared" si="137"/>
        <v>115</v>
      </c>
      <c r="AL215" s="226" t="str">
        <f t="shared" si="111"/>
        <v>-</v>
      </c>
      <c r="AM215" s="227" t="str">
        <f t="shared" si="138"/>
        <v>-</v>
      </c>
      <c r="AN215" s="227" t="str">
        <f t="shared" si="139"/>
        <v>-</v>
      </c>
      <c r="AO215" s="227" t="str">
        <f t="shared" si="112"/>
        <v>-</v>
      </c>
      <c r="AP215" s="273">
        <f t="shared" si="140"/>
        <v>0.1</v>
      </c>
      <c r="AQ215" s="271" t="str">
        <f>IFERROR(IF(AL214=1,AQ$100*EXP(-(LN(2)/$D$65+0.04)*AN214)*EXP(-(LN(2)/$D$65+0.1)*AO214),IF(AL214=2,AQ$100*EXP(-(LN(2)/$D$65+0.04)*(VLOOKUP(($F$16-$F$15)-1,AK$99:AO214,4,FALSE)))*EXP(-(LN(2)/$D$65+0.1)*(VLOOKUP(($F$16-$F$15)-1,AK$99:AO214,5,FALSE)))*EXP(-(LN(2)/$D$65+0.04)*AN214)*EXP(-(LN(2)/$D$65+0.1)*AO214),IF(AL214=3,AQ$100*EXP(-(LN(2)/$D$65+0.04)*(VLOOKUP(($F$16-$F$15)-1,AK$99:AO214,4,FALSE)))*EXP(-(LN(2)/$D$65+0.1)*(VLOOKUP(($F$16-$F$15)-1,AK$99:AO214,5,FALSE)))*EXP(-(LN(2)/$D$65+0.04)*(VLOOKUP(($F$16-$F$15)*2-1,AK$99:AO214,4,FALSE)))*EXP(-(LN(2)/$D$65+0.1)*(VLOOKUP(($F$16-$F$15)*2-1,AK$99:AO214,5,FALSE)))*EXP(-(LN(2)/$D$65+0.04)*AN214)*EXP(-(LN(2)/$D$65+0.1)*AO214),"-"))),"-")</f>
        <v>-</v>
      </c>
      <c r="AR215" s="271" t="str">
        <f>IFERROR(IF(AL215=1,AR$100*EXP(-(LN(2)/$D$65+0.04)*AN215)*EXP(-(LN(2)/$D$65+0.1)*AO215),IF(AL215=2,AR$100*EXP(-(LN(2)/$D$65+0.04)*(VLOOKUP(($F$16-$F$15)-1,AK$100:AO215,4,FALSE)))*EXP(-(LN(2)/$D$65+0.1)*(VLOOKUP(($F$16-$F$15)-1,AK$100:AO215,5,FALSE)))*EXP(-(LN(2)/$D$65+0.04)*AN215)*EXP(-(LN(2)/$D$65+0.1)*AO215),IF(AL215=3,AR$100*EXP(-(LN(2)/$D$65+0.04)*(VLOOKUP(($F$16-$F$15)-1,AK$100:AO215,4,FALSE)))*EXP(-(LN(2)/$D$65+0.1)*(VLOOKUP(($F$16-$F$15)-1,AK$100:AO215,5,FALSE)))*EXP(-(LN(2)/$D$65+0.04)*(VLOOKUP(($F$16-$F$15)*2-1,AK$100:AO215,4,FALSE)))*EXP(-(LN(2)/$D$65+0.1)*(VLOOKUP(($F$16-$F$15)*2-1,AK$100:AO215,5,FALSE)))*EXP(-(LN(2)/$D$65+0.04)*AN215)*EXP(-(LN(2)/$D$65+0.1)*AO215),"-"))),"-")</f>
        <v>-</v>
      </c>
      <c r="AS215" s="274">
        <f t="shared" si="113"/>
        <v>0</v>
      </c>
      <c r="AT215" s="274">
        <f t="shared" si="114"/>
        <v>0</v>
      </c>
      <c r="AU215" s="274">
        <f t="shared" si="115"/>
        <v>0</v>
      </c>
      <c r="AV215" s="190">
        <f>IF($B215&lt;$F$22,SUM($T$100:$T215),"")</f>
        <v>0</v>
      </c>
      <c r="AW215" s="190" t="str">
        <f t="shared" si="161"/>
        <v>-</v>
      </c>
      <c r="AX215" s="190" t="str">
        <f t="shared" si="141"/>
        <v/>
      </c>
      <c r="AY215"/>
      <c r="AZ215" s="190" t="str">
        <f ca="1">IF(ISNUMBER(OFFSET(AV215,-$F$21,0)),SUM(OFFSET($T$100,$F$21,0):$T215),"")</f>
        <v/>
      </c>
      <c r="BA215" s="190" t="str">
        <f t="shared" ca="1" si="162"/>
        <v/>
      </c>
      <c r="BB215" s="190" t="str">
        <f t="shared" ca="1" si="148"/>
        <v/>
      </c>
      <c r="BC215" s="190"/>
      <c r="BD215" s="190" t="str">
        <f ca="1">IFERROR(IF(AND($B215&gt;=($F$16-$F$15),$B215&lt;$F$22+($F$16-$F$15)),SUM(OFFSET($T$100,($F$16-$F$15),0):$T215),""),"")</f>
        <v/>
      </c>
      <c r="BE215" s="190" t="str">
        <f t="shared" ca="1" si="142"/>
        <v/>
      </c>
      <c r="BF215" s="190" t="str">
        <f t="shared" ca="1" si="143"/>
        <v/>
      </c>
      <c r="BG215"/>
      <c r="BH215" s="190" t="str">
        <f ca="1">IF(ISNUMBER(OFFSET(BD215,-$F$21,0)),SUM(OFFSET($T$100,($F$16-$F$15+$F$21),0):$T215),"")</f>
        <v/>
      </c>
      <c r="BI215" s="190" t="str">
        <f t="shared" ca="1" si="163"/>
        <v/>
      </c>
      <c r="BJ215" s="190" t="str">
        <f t="shared" ca="1" si="144"/>
        <v/>
      </c>
      <c r="BK215" s="190"/>
      <c r="BL215" s="190" t="str">
        <f ca="1">IFERROR(IF(AND($B215&gt;=($F$17-$F$15),$B215&lt;$F$22+($F$17-$F$15)),SUM(OFFSET($T$100,($F$17-$F$15),0):$T215),""),"")</f>
        <v/>
      </c>
      <c r="BM215" s="190" t="str">
        <f t="shared" ca="1" si="164"/>
        <v/>
      </c>
      <c r="BN215" s="190" t="str">
        <f t="shared" ca="1" si="145"/>
        <v/>
      </c>
      <c r="BO215"/>
      <c r="BP215" s="190" t="str">
        <f ca="1">IF(ISNUMBER(OFFSET(BL215,-$F$21,0)),SUM(OFFSET($T$100,($F$17-$F$15+$F$21),0):$T215),"")</f>
        <v/>
      </c>
      <c r="BQ215" s="190" t="str">
        <f t="shared" ca="1" si="165"/>
        <v/>
      </c>
      <c r="BR215" s="190" t="str">
        <f t="shared" ca="1" si="146"/>
        <v/>
      </c>
      <c r="BS215" s="190"/>
      <c r="BT215"/>
      <c r="BU215"/>
      <c r="BV215"/>
      <c r="BY215" s="99"/>
      <c r="BZ215" s="99"/>
      <c r="CA215" s="280" t="str">
        <f t="shared" si="166"/>
        <v/>
      </c>
      <c r="CB215" s="71" t="str">
        <f t="shared" si="122"/>
        <v>-</v>
      </c>
      <c r="CC215" s="33"/>
      <c r="CD215" s="261" t="str">
        <f t="shared" si="123"/>
        <v/>
      </c>
      <c r="CE215" s="280" t="str">
        <f t="shared" si="167"/>
        <v>-</v>
      </c>
      <c r="CF215" s="71" t="str">
        <f t="shared" ca="1" si="168"/>
        <v>-</v>
      </c>
      <c r="CG215" s="33" t="str">
        <f t="shared" si="126"/>
        <v>115-116</v>
      </c>
      <c r="CH215" s="261" t="str">
        <f t="shared" ca="1" si="127"/>
        <v/>
      </c>
    </row>
    <row r="216" spans="2:86" ht="13.5" customHeight="1" x14ac:dyDescent="0.2">
      <c r="B216" s="262">
        <v>116</v>
      </c>
      <c r="C216" s="237" t="str">
        <f t="shared" si="91"/>
        <v/>
      </c>
      <c r="D216" s="237" t="str">
        <f t="shared" si="147"/>
        <v>-</v>
      </c>
      <c r="E216" s="263" t="str">
        <f t="shared" si="128"/>
        <v/>
      </c>
      <c r="F216" s="264" t="str">
        <f t="shared" si="129"/>
        <v/>
      </c>
      <c r="G216" s="264" t="str">
        <f t="shared" si="130"/>
        <v/>
      </c>
      <c r="H216" s="240" t="str">
        <f t="shared" si="149"/>
        <v/>
      </c>
      <c r="I216" s="265" t="str">
        <f t="shared" si="150"/>
        <v/>
      </c>
      <c r="J216" s="265" t="str">
        <f t="shared" si="151"/>
        <v/>
      </c>
      <c r="K216" s="240" t="str">
        <f t="shared" si="152"/>
        <v/>
      </c>
      <c r="L216" s="265" t="str">
        <f t="shared" si="153"/>
        <v/>
      </c>
      <c r="M216" s="265" t="str">
        <f t="shared" si="154"/>
        <v/>
      </c>
      <c r="N216" s="240" t="str">
        <f t="shared" si="155"/>
        <v>-</v>
      </c>
      <c r="O216" s="265" t="str">
        <f t="shared" si="156"/>
        <v>-</v>
      </c>
      <c r="P216" s="265" t="str">
        <f t="shared" si="157"/>
        <v>-</v>
      </c>
      <c r="Q216" s="266" t="str">
        <f t="shared" si="158"/>
        <v>-</v>
      </c>
      <c r="R216" s="267" t="str">
        <f t="shared" si="159"/>
        <v>-</v>
      </c>
      <c r="S216" s="268" t="str">
        <f t="shared" si="160"/>
        <v>-</v>
      </c>
      <c r="T216" s="269" t="str">
        <f t="shared" si="104"/>
        <v/>
      </c>
      <c r="U216" s="221">
        <f t="shared" si="105"/>
        <v>116</v>
      </c>
      <c r="V216" s="220" t="str">
        <f t="shared" si="131"/>
        <v>-</v>
      </c>
      <c r="W216" s="221" t="str">
        <f t="shared" si="132"/>
        <v>-</v>
      </c>
      <c r="X216" s="221" t="str">
        <f t="shared" si="106"/>
        <v>-</v>
      </c>
      <c r="Y216" s="221" t="str">
        <f t="shared" si="107"/>
        <v>-</v>
      </c>
      <c r="Z216" s="270">
        <f t="shared" si="133"/>
        <v>0.1</v>
      </c>
      <c r="AA216" s="271" t="str">
        <f>IFERROR(IF(V215=1,AA$100*EXP(-(LN(2)/$D$65+0.04)*X215)*EXP(-(LN(2)/$D$65+0.1)*Y215),IF(V215=2,AA$100*EXP(-(LN(2)/$D$65+0.04)*(VLOOKUP(($F$16-$F$15)-1,U$99:Y215,4,FALSE)))*EXP(-(LN(2)/$D$65+0.1)*(VLOOKUP(($F$16-$F$15)-1,U$99:Y215,5,FALSE)))*EXP(-(LN(2)/$D$65+0.04)*X215)*EXP(-(LN(2)/$D$65+0.1)*Y215),IF(V215=3,AA$100*EXP(-(LN(2)/$D$65+0.04)*(VLOOKUP(($F$16-$F$15)-1,U$99:Y215,4,FALSE)))*EXP(-(LN(2)/$D$65+0.1)*(VLOOKUP(($F$16-$F$15)-1,U$99:Y215,5,FALSE)))*EXP(-(LN(2)/$D$65+0.04)*(VLOOKUP(($F$16-$F$15)*2-1,U$99:Y215,4,FALSE)))*EXP(-(LN(2)/$D$65+0.1)*(VLOOKUP(($F$16-$F$15)*2-1,U$99:Y215,5,FALSE)))*EXP(-(LN(2)/$D$65+0.04)*X215)*EXP(-(LN(2)/$D$65+0.1)*Y215),"-"))),"-")</f>
        <v>-</v>
      </c>
      <c r="AB216" s="271" t="str">
        <f>IFERROR(IF(V216=1,AB$100*EXP(-(LN(2)/$D$65+0.04)*X216)*EXP(-(LN(2)/$D$65+0.1)*Y216),IF(V216=2,AB$100*EXP(-(LN(2)/$D$65+0.04)*(VLOOKUP(($F$16-$F$15)-1,U$100:Y216,4,FALSE)))*EXP(-(LN(2)/$D$65+0.1)*(VLOOKUP(($F$16-$F$15)-1,U$100:Y216,5,FALSE)))*EXP(-(LN(2)/$D$65+0.04)*X216)*EXP(-(LN(2)/$D$65+0.1)*Y216),IF(V216=3,AB$100*EXP(-(LN(2)/$D$65+0.04)*(VLOOKUP(($F$16-$F$15)-1,U$100:Y216,4,FALSE)))*EXP(-(LN(2)/$D$65+0.1)*(VLOOKUP(($F$16-$F$15)-1,U$100:Y216,5,FALSE)))*EXP(-(LN(2)/$D$65+0.04)*(VLOOKUP(($F$16-$F$15)*2-1,U$100:Y216,4,FALSE)))*EXP(-(LN(2)/$D$65+0.1)*(VLOOKUP(($F$16-$F$15)*2-1,U$100:Y216,5,FALSE)))*EXP(-(LN(2)/$D$65+0.04)*X216)*EXP(-(LN(2)/$D$65+0.1)*Y216),"-"))),"-")</f>
        <v>-</v>
      </c>
      <c r="AC216" s="224">
        <f t="shared" si="134"/>
        <v>116</v>
      </c>
      <c r="AD216" s="223" t="str">
        <f t="shared" si="108"/>
        <v>-</v>
      </c>
      <c r="AE216" s="224" t="str">
        <f t="shared" si="135"/>
        <v>-</v>
      </c>
      <c r="AF216" s="224" t="str">
        <f t="shared" si="109"/>
        <v>-</v>
      </c>
      <c r="AG216" s="224" t="str">
        <f t="shared" si="110"/>
        <v>-</v>
      </c>
      <c r="AH216" s="272">
        <f t="shared" si="136"/>
        <v>0.1</v>
      </c>
      <c r="AI216" s="271" t="str">
        <f>IFERROR(IF(AD215=1,AI$100*EXP(-(LN(2)/$D$65+0.04)*AF215)*EXP(-(LN(2)/$D$65+0.1)*AG215),IF(AD215=2,AI$100*EXP(-(LN(2)/$D$65+0.04)*(VLOOKUP(($F$16-$F$15)-1,AC$99:AG215,4,FALSE)))*EXP(-(LN(2)/$D$65+0.1)*(VLOOKUP(($F$16-$F$15)-1,AC$99:AG215,5,FALSE)))*EXP(-(LN(2)/$D$65+0.04)*AF215)*EXP(-(LN(2)/$D$65+0.1)*AG215),IF(AD215=3,AI$100*EXP(-(LN(2)/$D$65+0.04)*(VLOOKUP(($F$16-$F$15)-1,AC$99:AG215,4,FALSE)))*EXP(-(LN(2)/$D$65+0.1)*(VLOOKUP(($F$16-$F$15)-1,AC$99:AG215,5,FALSE)))*EXP(-(LN(2)/$D$65+0.04)*(VLOOKUP(($F$16-$F$15)*2-1,AC$99:AG215,4,FALSE)))*EXP(-(LN(2)/$D$65+0.1)*(VLOOKUP(($F$16-$F$15)*2-1,AC$99:AG215,5,FALSE)))*EXP(-(LN(2)/$D$65+0.04)*AF215)*EXP(-(LN(2)/$D$65+0.1)*AG215),"-"))),"-")</f>
        <v>-</v>
      </c>
      <c r="AJ216" s="271" t="str">
        <f>IFERROR(IF(AD216=1,AJ$100*EXP(-(LN(2)/$D$65+0.04)*AF216)*EXP(-(LN(2)/$D$65+0.1)*AG216),IF(AD216=2,AJ$100*EXP(-(LN(2)/$D$65+0.04)*(VLOOKUP(($F$16-$F$15)-1,AC$100:AG216,4,FALSE)))*EXP(-(LN(2)/$D$65+0.1)*(VLOOKUP(($F$16-$F$15)-1,AC$100:AG216,5,FALSE)))*EXP(-(LN(2)/$D$65+0.04)*AF216)*EXP(-(LN(2)/$D$65+0.1)*AG216),IF(AD216=3,AJ$100*EXP(-(LN(2)/$D$65+0.04)*(VLOOKUP(($F$16-$F$15)-1,AC$100:AG216,4,FALSE)))*EXP(-(LN(2)/$D$65+0.1)*(VLOOKUP(($F$16-$F$15)-1,AC$100:AG216,5,FALSE)))*EXP(-(LN(2)/$D$65+0.04)*(VLOOKUP(($F$16-$F$15)*2-1,AC$100:AG216,4,FALSE)))*EXP(-(LN(2)/$D$65+0.1)*(VLOOKUP(($F$16-$F$15)*2-1,AC$100:AG216,5,FALSE)))*EXP(-(LN(2)/$D$65+0.04)*AF216)*EXP(-(LN(2)/$D$65+0.1)*AG216),"-"))),"-")</f>
        <v>-</v>
      </c>
      <c r="AK216" s="227">
        <f t="shared" si="137"/>
        <v>116</v>
      </c>
      <c r="AL216" s="226" t="str">
        <f t="shared" si="111"/>
        <v>-</v>
      </c>
      <c r="AM216" s="227" t="str">
        <f t="shared" si="138"/>
        <v>-</v>
      </c>
      <c r="AN216" s="227" t="str">
        <f t="shared" si="139"/>
        <v>-</v>
      </c>
      <c r="AO216" s="227" t="str">
        <f t="shared" si="112"/>
        <v>-</v>
      </c>
      <c r="AP216" s="273">
        <f t="shared" si="140"/>
        <v>0.1</v>
      </c>
      <c r="AQ216" s="271" t="str">
        <f>IFERROR(IF(AL215=1,AQ$100*EXP(-(LN(2)/$D$65+0.04)*AN215)*EXP(-(LN(2)/$D$65+0.1)*AO215),IF(AL215=2,AQ$100*EXP(-(LN(2)/$D$65+0.04)*(VLOOKUP(($F$16-$F$15)-1,AK$99:AO215,4,FALSE)))*EXP(-(LN(2)/$D$65+0.1)*(VLOOKUP(($F$16-$F$15)-1,AK$99:AO215,5,FALSE)))*EXP(-(LN(2)/$D$65+0.04)*AN215)*EXP(-(LN(2)/$D$65+0.1)*AO215),IF(AL215=3,AQ$100*EXP(-(LN(2)/$D$65+0.04)*(VLOOKUP(($F$16-$F$15)-1,AK$99:AO215,4,FALSE)))*EXP(-(LN(2)/$D$65+0.1)*(VLOOKUP(($F$16-$F$15)-1,AK$99:AO215,5,FALSE)))*EXP(-(LN(2)/$D$65+0.04)*(VLOOKUP(($F$16-$F$15)*2-1,AK$99:AO215,4,FALSE)))*EXP(-(LN(2)/$D$65+0.1)*(VLOOKUP(($F$16-$F$15)*2-1,AK$99:AO215,5,FALSE)))*EXP(-(LN(2)/$D$65+0.04)*AN215)*EXP(-(LN(2)/$D$65+0.1)*AO215),"-"))),"-")</f>
        <v>-</v>
      </c>
      <c r="AR216" s="271" t="str">
        <f>IFERROR(IF(AL216=1,AR$100*EXP(-(LN(2)/$D$65+0.04)*AN216)*EXP(-(LN(2)/$D$65+0.1)*AO216),IF(AL216=2,AR$100*EXP(-(LN(2)/$D$65+0.04)*(VLOOKUP(($F$16-$F$15)-1,AK$100:AO216,4,FALSE)))*EXP(-(LN(2)/$D$65+0.1)*(VLOOKUP(($F$16-$F$15)-1,AK$100:AO216,5,FALSE)))*EXP(-(LN(2)/$D$65+0.04)*AN216)*EXP(-(LN(2)/$D$65+0.1)*AO216),IF(AL216=3,AR$100*EXP(-(LN(2)/$D$65+0.04)*(VLOOKUP(($F$16-$F$15)-1,AK$100:AO216,4,FALSE)))*EXP(-(LN(2)/$D$65+0.1)*(VLOOKUP(($F$16-$F$15)-1,AK$100:AO216,5,FALSE)))*EXP(-(LN(2)/$D$65+0.04)*(VLOOKUP(($F$16-$F$15)*2-1,AK$100:AO216,4,FALSE)))*EXP(-(LN(2)/$D$65+0.1)*(VLOOKUP(($F$16-$F$15)*2-1,AK$100:AO216,5,FALSE)))*EXP(-(LN(2)/$D$65+0.04)*AN216)*EXP(-(LN(2)/$D$65+0.1)*AO216),"-"))),"-")</f>
        <v>-</v>
      </c>
      <c r="AS216" s="274">
        <f t="shared" si="113"/>
        <v>0</v>
      </c>
      <c r="AT216" s="274">
        <f t="shared" si="114"/>
        <v>0</v>
      </c>
      <c r="AU216" s="274">
        <f t="shared" si="115"/>
        <v>0</v>
      </c>
      <c r="AV216" s="190">
        <f>IF($B216&lt;$F$22,SUM($T$100:$T216),"")</f>
        <v>0</v>
      </c>
      <c r="AW216" s="190" t="str">
        <f t="shared" si="161"/>
        <v>-</v>
      </c>
      <c r="AX216" s="190" t="str">
        <f t="shared" si="141"/>
        <v/>
      </c>
      <c r="AY216"/>
      <c r="AZ216" s="190" t="str">
        <f ca="1">IF(ISNUMBER(OFFSET(AV216,-$F$21,0)),SUM(OFFSET($T$100,$F$21,0):$T216),"")</f>
        <v/>
      </c>
      <c r="BA216" s="190" t="str">
        <f t="shared" ca="1" si="162"/>
        <v/>
      </c>
      <c r="BB216" s="190" t="str">
        <f t="shared" ca="1" si="148"/>
        <v/>
      </c>
      <c r="BC216" s="190"/>
      <c r="BD216" s="190" t="str">
        <f ca="1">IFERROR(IF(AND($B216&gt;=($F$16-$F$15),$B216&lt;$F$22+($F$16-$F$15)),SUM(OFFSET($T$100,($F$16-$F$15),0):$T216),""),"")</f>
        <v/>
      </c>
      <c r="BE216" s="190" t="str">
        <f t="shared" ca="1" si="142"/>
        <v/>
      </c>
      <c r="BF216" s="190" t="str">
        <f t="shared" ca="1" si="143"/>
        <v/>
      </c>
      <c r="BG216"/>
      <c r="BH216" s="190" t="str">
        <f ca="1">IF(ISNUMBER(OFFSET(BD216,-$F$21,0)),SUM(OFFSET($T$100,($F$16-$F$15+$F$21),0):$T216),"")</f>
        <v/>
      </c>
      <c r="BI216" s="190" t="str">
        <f t="shared" ca="1" si="163"/>
        <v/>
      </c>
      <c r="BJ216" s="190" t="str">
        <f t="shared" ca="1" si="144"/>
        <v/>
      </c>
      <c r="BK216" s="190"/>
      <c r="BL216" s="190" t="str">
        <f ca="1">IFERROR(IF(AND($B216&gt;=($F$17-$F$15),$B216&lt;$F$22+($F$17-$F$15)),SUM(OFFSET($T$100,($F$17-$F$15),0):$T216),""),"")</f>
        <v/>
      </c>
      <c r="BM216" s="190" t="str">
        <f t="shared" ca="1" si="164"/>
        <v/>
      </c>
      <c r="BN216" s="190" t="str">
        <f t="shared" ca="1" si="145"/>
        <v/>
      </c>
      <c r="BO216"/>
      <c r="BP216" s="190" t="str">
        <f ca="1">IF(ISNUMBER(OFFSET(BL216,-$F$21,0)),SUM(OFFSET($T$100,($F$17-$F$15+$F$21),0):$T216),"")</f>
        <v/>
      </c>
      <c r="BQ216" s="190" t="str">
        <f t="shared" ca="1" si="165"/>
        <v/>
      </c>
      <c r="BR216" s="190" t="str">
        <f t="shared" ca="1" si="146"/>
        <v/>
      </c>
      <c r="BS216" s="190"/>
      <c r="BT216"/>
      <c r="BU216"/>
      <c r="BV216"/>
      <c r="BY216" s="99"/>
      <c r="BZ216" s="99"/>
      <c r="CA216" s="280" t="str">
        <f t="shared" si="166"/>
        <v/>
      </c>
      <c r="CB216" s="71" t="str">
        <f t="shared" si="122"/>
        <v>-</v>
      </c>
      <c r="CC216" s="33"/>
      <c r="CD216" s="261" t="str">
        <f t="shared" si="123"/>
        <v/>
      </c>
      <c r="CE216" s="280" t="str">
        <f t="shared" si="167"/>
        <v>-</v>
      </c>
      <c r="CF216" s="71" t="str">
        <f t="shared" ca="1" si="168"/>
        <v>-</v>
      </c>
      <c r="CG216" s="33" t="str">
        <f t="shared" si="126"/>
        <v>116-117</v>
      </c>
      <c r="CH216" s="261" t="str">
        <f t="shared" ca="1" si="127"/>
        <v/>
      </c>
    </row>
    <row r="217" spans="2:86" ht="13.5" customHeight="1" x14ac:dyDescent="0.2">
      <c r="B217" s="262">
        <v>117</v>
      </c>
      <c r="C217" s="237" t="str">
        <f t="shared" si="91"/>
        <v/>
      </c>
      <c r="D217" s="237" t="str">
        <f t="shared" si="147"/>
        <v>-</v>
      </c>
      <c r="E217" s="263" t="str">
        <f t="shared" si="128"/>
        <v/>
      </c>
      <c r="F217" s="264" t="str">
        <f t="shared" si="129"/>
        <v/>
      </c>
      <c r="G217" s="264" t="str">
        <f t="shared" si="130"/>
        <v/>
      </c>
      <c r="H217" s="240" t="str">
        <f t="shared" si="149"/>
        <v/>
      </c>
      <c r="I217" s="265" t="str">
        <f t="shared" si="150"/>
        <v/>
      </c>
      <c r="J217" s="265" t="str">
        <f t="shared" si="151"/>
        <v/>
      </c>
      <c r="K217" s="240" t="str">
        <f t="shared" si="152"/>
        <v/>
      </c>
      <c r="L217" s="265" t="str">
        <f t="shared" si="153"/>
        <v/>
      </c>
      <c r="M217" s="265" t="str">
        <f t="shared" si="154"/>
        <v/>
      </c>
      <c r="N217" s="240" t="str">
        <f t="shared" si="155"/>
        <v>-</v>
      </c>
      <c r="O217" s="265" t="str">
        <f t="shared" si="156"/>
        <v>-</v>
      </c>
      <c r="P217" s="265" t="str">
        <f t="shared" si="157"/>
        <v>-</v>
      </c>
      <c r="Q217" s="266" t="str">
        <f t="shared" si="158"/>
        <v>-</v>
      </c>
      <c r="R217" s="267" t="str">
        <f t="shared" si="159"/>
        <v>-</v>
      </c>
      <c r="S217" s="268" t="str">
        <f t="shared" si="160"/>
        <v>-</v>
      </c>
      <c r="T217" s="269" t="str">
        <f t="shared" si="104"/>
        <v/>
      </c>
      <c r="U217" s="221">
        <f t="shared" si="105"/>
        <v>117</v>
      </c>
      <c r="V217" s="220" t="str">
        <f t="shared" si="131"/>
        <v>-</v>
      </c>
      <c r="W217" s="221" t="str">
        <f t="shared" si="132"/>
        <v>-</v>
      </c>
      <c r="X217" s="221" t="str">
        <f t="shared" si="106"/>
        <v>-</v>
      </c>
      <c r="Y217" s="221" t="str">
        <f t="shared" si="107"/>
        <v>-</v>
      </c>
      <c r="Z217" s="270">
        <f t="shared" si="133"/>
        <v>0.1</v>
      </c>
      <c r="AA217" s="271" t="str">
        <f>IFERROR(IF(V216=1,AA$100*EXP(-(LN(2)/$D$65+0.04)*X216)*EXP(-(LN(2)/$D$65+0.1)*Y216),IF(V216=2,AA$100*EXP(-(LN(2)/$D$65+0.04)*(VLOOKUP(($F$16-$F$15)-1,U$99:Y216,4,FALSE)))*EXP(-(LN(2)/$D$65+0.1)*(VLOOKUP(($F$16-$F$15)-1,U$99:Y216,5,FALSE)))*EXP(-(LN(2)/$D$65+0.04)*X216)*EXP(-(LN(2)/$D$65+0.1)*Y216),IF(V216=3,AA$100*EXP(-(LN(2)/$D$65+0.04)*(VLOOKUP(($F$16-$F$15)-1,U$99:Y216,4,FALSE)))*EXP(-(LN(2)/$D$65+0.1)*(VLOOKUP(($F$16-$F$15)-1,U$99:Y216,5,FALSE)))*EXP(-(LN(2)/$D$65+0.04)*(VLOOKUP(($F$16-$F$15)*2-1,U$99:Y216,4,FALSE)))*EXP(-(LN(2)/$D$65+0.1)*(VLOOKUP(($F$16-$F$15)*2-1,U$99:Y216,5,FALSE)))*EXP(-(LN(2)/$D$65+0.04)*X216)*EXP(-(LN(2)/$D$65+0.1)*Y216),"-"))),"-")</f>
        <v>-</v>
      </c>
      <c r="AB217" s="271" t="str">
        <f>IFERROR(IF(V217=1,AB$100*EXP(-(LN(2)/$D$65+0.04)*X217)*EXP(-(LN(2)/$D$65+0.1)*Y217),IF(V217=2,AB$100*EXP(-(LN(2)/$D$65+0.04)*(VLOOKUP(($F$16-$F$15)-1,U$100:Y217,4,FALSE)))*EXP(-(LN(2)/$D$65+0.1)*(VLOOKUP(($F$16-$F$15)-1,U$100:Y217,5,FALSE)))*EXP(-(LN(2)/$D$65+0.04)*X217)*EXP(-(LN(2)/$D$65+0.1)*Y217),IF(V217=3,AB$100*EXP(-(LN(2)/$D$65+0.04)*(VLOOKUP(($F$16-$F$15)-1,U$100:Y217,4,FALSE)))*EXP(-(LN(2)/$D$65+0.1)*(VLOOKUP(($F$16-$F$15)-1,U$100:Y217,5,FALSE)))*EXP(-(LN(2)/$D$65+0.04)*(VLOOKUP(($F$16-$F$15)*2-1,U$100:Y217,4,FALSE)))*EXP(-(LN(2)/$D$65+0.1)*(VLOOKUP(($F$16-$F$15)*2-1,U$100:Y217,5,FALSE)))*EXP(-(LN(2)/$D$65+0.04)*X217)*EXP(-(LN(2)/$D$65+0.1)*Y217),"-"))),"-")</f>
        <v>-</v>
      </c>
      <c r="AC217" s="224">
        <f t="shared" si="134"/>
        <v>117</v>
      </c>
      <c r="AD217" s="223" t="str">
        <f t="shared" si="108"/>
        <v>-</v>
      </c>
      <c r="AE217" s="224" t="str">
        <f t="shared" si="135"/>
        <v>-</v>
      </c>
      <c r="AF217" s="224" t="str">
        <f t="shared" si="109"/>
        <v>-</v>
      </c>
      <c r="AG217" s="224" t="str">
        <f t="shared" si="110"/>
        <v>-</v>
      </c>
      <c r="AH217" s="272">
        <f t="shared" si="136"/>
        <v>0.1</v>
      </c>
      <c r="AI217" s="271" t="str">
        <f>IFERROR(IF(AD216=1,AI$100*EXP(-(LN(2)/$D$65+0.04)*AF216)*EXP(-(LN(2)/$D$65+0.1)*AG216),IF(AD216=2,AI$100*EXP(-(LN(2)/$D$65+0.04)*(VLOOKUP(($F$16-$F$15)-1,AC$99:AG216,4,FALSE)))*EXP(-(LN(2)/$D$65+0.1)*(VLOOKUP(($F$16-$F$15)-1,AC$99:AG216,5,FALSE)))*EXP(-(LN(2)/$D$65+0.04)*AF216)*EXP(-(LN(2)/$D$65+0.1)*AG216),IF(AD216=3,AI$100*EXP(-(LN(2)/$D$65+0.04)*(VLOOKUP(($F$16-$F$15)-1,AC$99:AG216,4,FALSE)))*EXP(-(LN(2)/$D$65+0.1)*(VLOOKUP(($F$16-$F$15)-1,AC$99:AG216,5,FALSE)))*EXP(-(LN(2)/$D$65+0.04)*(VLOOKUP(($F$16-$F$15)*2-1,AC$99:AG216,4,FALSE)))*EXP(-(LN(2)/$D$65+0.1)*(VLOOKUP(($F$16-$F$15)*2-1,AC$99:AG216,5,FALSE)))*EXP(-(LN(2)/$D$65+0.04)*AF216)*EXP(-(LN(2)/$D$65+0.1)*AG216),"-"))),"-")</f>
        <v>-</v>
      </c>
      <c r="AJ217" s="271" t="str">
        <f>IFERROR(IF(AD217=1,AJ$100*EXP(-(LN(2)/$D$65+0.04)*AF217)*EXP(-(LN(2)/$D$65+0.1)*AG217),IF(AD217=2,AJ$100*EXP(-(LN(2)/$D$65+0.04)*(VLOOKUP(($F$16-$F$15)-1,AC$100:AG217,4,FALSE)))*EXP(-(LN(2)/$D$65+0.1)*(VLOOKUP(($F$16-$F$15)-1,AC$100:AG217,5,FALSE)))*EXP(-(LN(2)/$D$65+0.04)*AF217)*EXP(-(LN(2)/$D$65+0.1)*AG217),IF(AD217=3,AJ$100*EXP(-(LN(2)/$D$65+0.04)*(VLOOKUP(($F$16-$F$15)-1,AC$100:AG217,4,FALSE)))*EXP(-(LN(2)/$D$65+0.1)*(VLOOKUP(($F$16-$F$15)-1,AC$100:AG217,5,FALSE)))*EXP(-(LN(2)/$D$65+0.04)*(VLOOKUP(($F$16-$F$15)*2-1,AC$100:AG217,4,FALSE)))*EXP(-(LN(2)/$D$65+0.1)*(VLOOKUP(($F$16-$F$15)*2-1,AC$100:AG217,5,FALSE)))*EXP(-(LN(2)/$D$65+0.04)*AF217)*EXP(-(LN(2)/$D$65+0.1)*AG217),"-"))),"-")</f>
        <v>-</v>
      </c>
      <c r="AK217" s="227">
        <f t="shared" si="137"/>
        <v>117</v>
      </c>
      <c r="AL217" s="226" t="str">
        <f t="shared" si="111"/>
        <v>-</v>
      </c>
      <c r="AM217" s="227" t="str">
        <f t="shared" si="138"/>
        <v>-</v>
      </c>
      <c r="AN217" s="227" t="str">
        <f t="shared" si="139"/>
        <v>-</v>
      </c>
      <c r="AO217" s="227" t="str">
        <f t="shared" si="112"/>
        <v>-</v>
      </c>
      <c r="AP217" s="273">
        <f t="shared" si="140"/>
        <v>0.1</v>
      </c>
      <c r="AQ217" s="271" t="str">
        <f>IFERROR(IF(AL216=1,AQ$100*EXP(-(LN(2)/$D$65+0.04)*AN216)*EXP(-(LN(2)/$D$65+0.1)*AO216),IF(AL216=2,AQ$100*EXP(-(LN(2)/$D$65+0.04)*(VLOOKUP(($F$16-$F$15)-1,AK$99:AO216,4,FALSE)))*EXP(-(LN(2)/$D$65+0.1)*(VLOOKUP(($F$16-$F$15)-1,AK$99:AO216,5,FALSE)))*EXP(-(LN(2)/$D$65+0.04)*AN216)*EXP(-(LN(2)/$D$65+0.1)*AO216),IF(AL216=3,AQ$100*EXP(-(LN(2)/$D$65+0.04)*(VLOOKUP(($F$16-$F$15)-1,AK$99:AO216,4,FALSE)))*EXP(-(LN(2)/$D$65+0.1)*(VLOOKUP(($F$16-$F$15)-1,AK$99:AO216,5,FALSE)))*EXP(-(LN(2)/$D$65+0.04)*(VLOOKUP(($F$16-$F$15)*2-1,AK$99:AO216,4,FALSE)))*EXP(-(LN(2)/$D$65+0.1)*(VLOOKUP(($F$16-$F$15)*2-1,AK$99:AO216,5,FALSE)))*EXP(-(LN(2)/$D$65+0.04)*AN216)*EXP(-(LN(2)/$D$65+0.1)*AO216),"-"))),"-")</f>
        <v>-</v>
      </c>
      <c r="AR217" s="271" t="str">
        <f>IFERROR(IF(AL217=1,AR$100*EXP(-(LN(2)/$D$65+0.04)*AN217)*EXP(-(LN(2)/$D$65+0.1)*AO217),IF(AL217=2,AR$100*EXP(-(LN(2)/$D$65+0.04)*(VLOOKUP(($F$16-$F$15)-1,AK$100:AO217,4,FALSE)))*EXP(-(LN(2)/$D$65+0.1)*(VLOOKUP(($F$16-$F$15)-1,AK$100:AO217,5,FALSE)))*EXP(-(LN(2)/$D$65+0.04)*AN217)*EXP(-(LN(2)/$D$65+0.1)*AO217),IF(AL217=3,AR$100*EXP(-(LN(2)/$D$65+0.04)*(VLOOKUP(($F$16-$F$15)-1,AK$100:AO217,4,FALSE)))*EXP(-(LN(2)/$D$65+0.1)*(VLOOKUP(($F$16-$F$15)-1,AK$100:AO217,5,FALSE)))*EXP(-(LN(2)/$D$65+0.04)*(VLOOKUP(($F$16-$F$15)*2-1,AK$100:AO217,4,FALSE)))*EXP(-(LN(2)/$D$65+0.1)*(VLOOKUP(($F$16-$F$15)*2-1,AK$100:AO217,5,FALSE)))*EXP(-(LN(2)/$D$65+0.04)*AN217)*EXP(-(LN(2)/$D$65+0.1)*AO217),"-"))),"-")</f>
        <v>-</v>
      </c>
      <c r="AS217" s="274">
        <f t="shared" si="113"/>
        <v>0</v>
      </c>
      <c r="AT217" s="274">
        <f t="shared" si="114"/>
        <v>0</v>
      </c>
      <c r="AU217" s="274">
        <f t="shared" si="115"/>
        <v>0</v>
      </c>
      <c r="AV217" s="190">
        <f>IF($B217&lt;$F$22,SUM($T$100:$T217),"")</f>
        <v>0</v>
      </c>
      <c r="AW217" s="190" t="str">
        <f t="shared" si="161"/>
        <v>-</v>
      </c>
      <c r="AX217" s="190" t="str">
        <f t="shared" si="141"/>
        <v/>
      </c>
      <c r="AY217"/>
      <c r="AZ217" s="190" t="str">
        <f ca="1">IF(ISNUMBER(OFFSET(AV217,-$F$21,0)),SUM(OFFSET($T$100,$F$21,0):$T217),"")</f>
        <v/>
      </c>
      <c r="BA217" s="190" t="str">
        <f t="shared" ca="1" si="162"/>
        <v/>
      </c>
      <c r="BB217" s="190" t="str">
        <f t="shared" ca="1" si="148"/>
        <v/>
      </c>
      <c r="BC217" s="190"/>
      <c r="BD217" s="190" t="str">
        <f ca="1">IFERROR(IF(AND($B217&gt;=($F$16-$F$15),$B217&lt;$F$22+($F$16-$F$15)),SUM(OFFSET($T$100,($F$16-$F$15),0):$T217),""),"")</f>
        <v/>
      </c>
      <c r="BE217" s="190" t="str">
        <f t="shared" ca="1" si="142"/>
        <v/>
      </c>
      <c r="BF217" s="190" t="str">
        <f t="shared" ca="1" si="143"/>
        <v/>
      </c>
      <c r="BG217"/>
      <c r="BH217" s="190" t="str">
        <f ca="1">IF(ISNUMBER(OFFSET(BD217,-$F$21,0)),SUM(OFFSET($T$100,($F$16-$F$15+$F$21),0):$T217),"")</f>
        <v/>
      </c>
      <c r="BI217" s="190" t="str">
        <f t="shared" ca="1" si="163"/>
        <v/>
      </c>
      <c r="BJ217" s="190" t="str">
        <f t="shared" ca="1" si="144"/>
        <v/>
      </c>
      <c r="BK217" s="190"/>
      <c r="BL217" s="190" t="str">
        <f ca="1">IFERROR(IF(AND($B217&gt;=($F$17-$F$15),$B217&lt;$F$22+($F$17-$F$15)),SUM(OFFSET($T$100,($F$17-$F$15),0):$T217),""),"")</f>
        <v/>
      </c>
      <c r="BM217" s="190" t="str">
        <f t="shared" ca="1" si="164"/>
        <v/>
      </c>
      <c r="BN217" s="190" t="str">
        <f t="shared" ca="1" si="145"/>
        <v/>
      </c>
      <c r="BO217"/>
      <c r="BP217" s="190" t="str">
        <f ca="1">IF(ISNUMBER(OFFSET(BL217,-$F$21,0)),SUM(OFFSET($T$100,($F$17-$F$15+$F$21),0):$T217),"")</f>
        <v/>
      </c>
      <c r="BQ217" s="190" t="str">
        <f t="shared" ca="1" si="165"/>
        <v/>
      </c>
      <c r="BR217" s="190" t="str">
        <f t="shared" ca="1" si="146"/>
        <v/>
      </c>
      <c r="BS217" s="190"/>
      <c r="BT217"/>
      <c r="BU217"/>
      <c r="BV217"/>
      <c r="BY217" s="99"/>
      <c r="BZ217" s="99"/>
      <c r="CA217" s="280" t="str">
        <f t="shared" si="166"/>
        <v/>
      </c>
      <c r="CB217" s="71" t="str">
        <f t="shared" si="122"/>
        <v>-</v>
      </c>
      <c r="CC217" s="33"/>
      <c r="CD217" s="261" t="str">
        <f t="shared" si="123"/>
        <v/>
      </c>
      <c r="CE217" s="280" t="str">
        <f t="shared" si="167"/>
        <v>-</v>
      </c>
      <c r="CF217" s="71" t="str">
        <f t="shared" ca="1" si="168"/>
        <v>-</v>
      </c>
      <c r="CG217" s="33" t="str">
        <f t="shared" si="126"/>
        <v>117-118</v>
      </c>
      <c r="CH217" s="261" t="str">
        <f t="shared" ca="1" si="127"/>
        <v/>
      </c>
    </row>
    <row r="218" spans="2:86" ht="13.5" customHeight="1" x14ac:dyDescent="0.2">
      <c r="B218" s="262">
        <v>118</v>
      </c>
      <c r="C218" s="237" t="str">
        <f t="shared" si="91"/>
        <v/>
      </c>
      <c r="D218" s="237" t="str">
        <f t="shared" si="147"/>
        <v>-</v>
      </c>
      <c r="E218" s="263" t="str">
        <f t="shared" si="128"/>
        <v/>
      </c>
      <c r="F218" s="264" t="str">
        <f t="shared" si="129"/>
        <v/>
      </c>
      <c r="G218" s="264" t="str">
        <f t="shared" si="130"/>
        <v/>
      </c>
      <c r="H218" s="240" t="str">
        <f t="shared" si="149"/>
        <v/>
      </c>
      <c r="I218" s="265" t="str">
        <f t="shared" si="150"/>
        <v/>
      </c>
      <c r="J218" s="265" t="str">
        <f t="shared" si="151"/>
        <v/>
      </c>
      <c r="K218" s="240" t="str">
        <f t="shared" si="152"/>
        <v/>
      </c>
      <c r="L218" s="265" t="str">
        <f t="shared" si="153"/>
        <v/>
      </c>
      <c r="M218" s="265" t="str">
        <f t="shared" si="154"/>
        <v/>
      </c>
      <c r="N218" s="240" t="str">
        <f t="shared" si="155"/>
        <v>-</v>
      </c>
      <c r="O218" s="265" t="str">
        <f t="shared" si="156"/>
        <v>-</v>
      </c>
      <c r="P218" s="265" t="str">
        <f t="shared" si="157"/>
        <v>-</v>
      </c>
      <c r="Q218" s="266" t="str">
        <f t="shared" si="158"/>
        <v>-</v>
      </c>
      <c r="R218" s="267" t="str">
        <f t="shared" si="159"/>
        <v>-</v>
      </c>
      <c r="S218" s="268" t="str">
        <f t="shared" si="160"/>
        <v>-</v>
      </c>
      <c r="T218" s="269" t="str">
        <f t="shared" si="104"/>
        <v/>
      </c>
      <c r="U218" s="221">
        <f t="shared" si="105"/>
        <v>118</v>
      </c>
      <c r="V218" s="220" t="str">
        <f t="shared" si="131"/>
        <v>-</v>
      </c>
      <c r="W218" s="221" t="str">
        <f t="shared" si="132"/>
        <v>-</v>
      </c>
      <c r="X218" s="221" t="str">
        <f t="shared" si="106"/>
        <v>-</v>
      </c>
      <c r="Y218" s="221" t="str">
        <f t="shared" si="107"/>
        <v>-</v>
      </c>
      <c r="Z218" s="270">
        <f t="shared" si="133"/>
        <v>0.1</v>
      </c>
      <c r="AA218" s="271" t="str">
        <f>IFERROR(IF(V217=1,AA$100*EXP(-(LN(2)/$D$65+0.04)*X217)*EXP(-(LN(2)/$D$65+0.1)*Y217),IF(V217=2,AA$100*EXP(-(LN(2)/$D$65+0.04)*(VLOOKUP(($F$16-$F$15)-1,U$99:Y217,4,FALSE)))*EXP(-(LN(2)/$D$65+0.1)*(VLOOKUP(($F$16-$F$15)-1,U$99:Y217,5,FALSE)))*EXP(-(LN(2)/$D$65+0.04)*X217)*EXP(-(LN(2)/$D$65+0.1)*Y217),IF(V217=3,AA$100*EXP(-(LN(2)/$D$65+0.04)*(VLOOKUP(($F$16-$F$15)-1,U$99:Y217,4,FALSE)))*EXP(-(LN(2)/$D$65+0.1)*(VLOOKUP(($F$16-$F$15)-1,U$99:Y217,5,FALSE)))*EXP(-(LN(2)/$D$65+0.04)*(VLOOKUP(($F$16-$F$15)*2-1,U$99:Y217,4,FALSE)))*EXP(-(LN(2)/$D$65+0.1)*(VLOOKUP(($F$16-$F$15)*2-1,U$99:Y217,5,FALSE)))*EXP(-(LN(2)/$D$65+0.04)*X217)*EXP(-(LN(2)/$D$65+0.1)*Y217),"-"))),"-")</f>
        <v>-</v>
      </c>
      <c r="AB218" s="271" t="str">
        <f>IFERROR(IF(V218=1,AB$100*EXP(-(LN(2)/$D$65+0.04)*X218)*EXP(-(LN(2)/$D$65+0.1)*Y218),IF(V218=2,AB$100*EXP(-(LN(2)/$D$65+0.04)*(VLOOKUP(($F$16-$F$15)-1,U$100:Y218,4,FALSE)))*EXP(-(LN(2)/$D$65+0.1)*(VLOOKUP(($F$16-$F$15)-1,U$100:Y218,5,FALSE)))*EXP(-(LN(2)/$D$65+0.04)*X218)*EXP(-(LN(2)/$D$65+0.1)*Y218),IF(V218=3,AB$100*EXP(-(LN(2)/$D$65+0.04)*(VLOOKUP(($F$16-$F$15)-1,U$100:Y218,4,FALSE)))*EXP(-(LN(2)/$D$65+0.1)*(VLOOKUP(($F$16-$F$15)-1,U$100:Y218,5,FALSE)))*EXP(-(LN(2)/$D$65+0.04)*(VLOOKUP(($F$16-$F$15)*2-1,U$100:Y218,4,FALSE)))*EXP(-(LN(2)/$D$65+0.1)*(VLOOKUP(($F$16-$F$15)*2-1,U$100:Y218,5,FALSE)))*EXP(-(LN(2)/$D$65+0.04)*X218)*EXP(-(LN(2)/$D$65+0.1)*Y218),"-"))),"-")</f>
        <v>-</v>
      </c>
      <c r="AC218" s="224">
        <f t="shared" si="134"/>
        <v>118</v>
      </c>
      <c r="AD218" s="223" t="str">
        <f t="shared" si="108"/>
        <v>-</v>
      </c>
      <c r="AE218" s="224" t="str">
        <f t="shared" si="135"/>
        <v>-</v>
      </c>
      <c r="AF218" s="224" t="str">
        <f t="shared" si="109"/>
        <v>-</v>
      </c>
      <c r="AG218" s="224" t="str">
        <f t="shared" si="110"/>
        <v>-</v>
      </c>
      <c r="AH218" s="272">
        <f t="shared" si="136"/>
        <v>0.1</v>
      </c>
      <c r="AI218" s="271" t="str">
        <f>IFERROR(IF(AD217=1,AI$100*EXP(-(LN(2)/$D$65+0.04)*AF217)*EXP(-(LN(2)/$D$65+0.1)*AG217),IF(AD217=2,AI$100*EXP(-(LN(2)/$D$65+0.04)*(VLOOKUP(($F$16-$F$15)-1,AC$99:AG217,4,FALSE)))*EXP(-(LN(2)/$D$65+0.1)*(VLOOKUP(($F$16-$F$15)-1,AC$99:AG217,5,FALSE)))*EXP(-(LN(2)/$D$65+0.04)*AF217)*EXP(-(LN(2)/$D$65+0.1)*AG217),IF(AD217=3,AI$100*EXP(-(LN(2)/$D$65+0.04)*(VLOOKUP(($F$16-$F$15)-1,AC$99:AG217,4,FALSE)))*EXP(-(LN(2)/$D$65+0.1)*(VLOOKUP(($F$16-$F$15)-1,AC$99:AG217,5,FALSE)))*EXP(-(LN(2)/$D$65+0.04)*(VLOOKUP(($F$16-$F$15)*2-1,AC$99:AG217,4,FALSE)))*EXP(-(LN(2)/$D$65+0.1)*(VLOOKUP(($F$16-$F$15)*2-1,AC$99:AG217,5,FALSE)))*EXP(-(LN(2)/$D$65+0.04)*AF217)*EXP(-(LN(2)/$D$65+0.1)*AG217),"-"))),"-")</f>
        <v>-</v>
      </c>
      <c r="AJ218" s="271" t="str">
        <f>IFERROR(IF(AD218=1,AJ$100*EXP(-(LN(2)/$D$65+0.04)*AF218)*EXP(-(LN(2)/$D$65+0.1)*AG218),IF(AD218=2,AJ$100*EXP(-(LN(2)/$D$65+0.04)*(VLOOKUP(($F$16-$F$15)-1,AC$100:AG218,4,FALSE)))*EXP(-(LN(2)/$D$65+0.1)*(VLOOKUP(($F$16-$F$15)-1,AC$100:AG218,5,FALSE)))*EXP(-(LN(2)/$D$65+0.04)*AF218)*EXP(-(LN(2)/$D$65+0.1)*AG218),IF(AD218=3,AJ$100*EXP(-(LN(2)/$D$65+0.04)*(VLOOKUP(($F$16-$F$15)-1,AC$100:AG218,4,FALSE)))*EXP(-(LN(2)/$D$65+0.1)*(VLOOKUP(($F$16-$F$15)-1,AC$100:AG218,5,FALSE)))*EXP(-(LN(2)/$D$65+0.04)*(VLOOKUP(($F$16-$F$15)*2-1,AC$100:AG218,4,FALSE)))*EXP(-(LN(2)/$D$65+0.1)*(VLOOKUP(($F$16-$F$15)*2-1,AC$100:AG218,5,FALSE)))*EXP(-(LN(2)/$D$65+0.04)*AF218)*EXP(-(LN(2)/$D$65+0.1)*AG218),"-"))),"-")</f>
        <v>-</v>
      </c>
      <c r="AK218" s="227">
        <f t="shared" si="137"/>
        <v>118</v>
      </c>
      <c r="AL218" s="226" t="str">
        <f t="shared" si="111"/>
        <v>-</v>
      </c>
      <c r="AM218" s="227" t="str">
        <f t="shared" si="138"/>
        <v>-</v>
      </c>
      <c r="AN218" s="227" t="str">
        <f t="shared" si="139"/>
        <v>-</v>
      </c>
      <c r="AO218" s="227" t="str">
        <f t="shared" si="112"/>
        <v>-</v>
      </c>
      <c r="AP218" s="273">
        <f t="shared" si="140"/>
        <v>0.1</v>
      </c>
      <c r="AQ218" s="271" t="str">
        <f>IFERROR(IF(AL217=1,AQ$100*EXP(-(LN(2)/$D$65+0.04)*AN217)*EXP(-(LN(2)/$D$65+0.1)*AO217),IF(AL217=2,AQ$100*EXP(-(LN(2)/$D$65+0.04)*(VLOOKUP(($F$16-$F$15)-1,AK$99:AO217,4,FALSE)))*EXP(-(LN(2)/$D$65+0.1)*(VLOOKUP(($F$16-$F$15)-1,AK$99:AO217,5,FALSE)))*EXP(-(LN(2)/$D$65+0.04)*AN217)*EXP(-(LN(2)/$D$65+0.1)*AO217),IF(AL217=3,AQ$100*EXP(-(LN(2)/$D$65+0.04)*(VLOOKUP(($F$16-$F$15)-1,AK$99:AO217,4,FALSE)))*EXP(-(LN(2)/$D$65+0.1)*(VLOOKUP(($F$16-$F$15)-1,AK$99:AO217,5,FALSE)))*EXP(-(LN(2)/$D$65+0.04)*(VLOOKUP(($F$16-$F$15)*2-1,AK$99:AO217,4,FALSE)))*EXP(-(LN(2)/$D$65+0.1)*(VLOOKUP(($F$16-$F$15)*2-1,AK$99:AO217,5,FALSE)))*EXP(-(LN(2)/$D$65+0.04)*AN217)*EXP(-(LN(2)/$D$65+0.1)*AO217),"-"))),"-")</f>
        <v>-</v>
      </c>
      <c r="AR218" s="271" t="str">
        <f>IFERROR(IF(AL218=1,AR$100*EXP(-(LN(2)/$D$65+0.04)*AN218)*EXP(-(LN(2)/$D$65+0.1)*AO218),IF(AL218=2,AR$100*EXP(-(LN(2)/$D$65+0.04)*(VLOOKUP(($F$16-$F$15)-1,AK$100:AO218,4,FALSE)))*EXP(-(LN(2)/$D$65+0.1)*(VLOOKUP(($F$16-$F$15)-1,AK$100:AO218,5,FALSE)))*EXP(-(LN(2)/$D$65+0.04)*AN218)*EXP(-(LN(2)/$D$65+0.1)*AO218),IF(AL218=3,AR$100*EXP(-(LN(2)/$D$65+0.04)*(VLOOKUP(($F$16-$F$15)-1,AK$100:AO218,4,FALSE)))*EXP(-(LN(2)/$D$65+0.1)*(VLOOKUP(($F$16-$F$15)-1,AK$100:AO218,5,FALSE)))*EXP(-(LN(2)/$D$65+0.04)*(VLOOKUP(($F$16-$F$15)*2-1,AK$100:AO218,4,FALSE)))*EXP(-(LN(2)/$D$65+0.1)*(VLOOKUP(($F$16-$F$15)*2-1,AK$100:AO218,5,FALSE)))*EXP(-(LN(2)/$D$65+0.04)*AN218)*EXP(-(LN(2)/$D$65+0.1)*AO218),"-"))),"-")</f>
        <v>-</v>
      </c>
      <c r="AS218" s="274">
        <f t="shared" si="113"/>
        <v>0</v>
      </c>
      <c r="AT218" s="274">
        <f t="shared" si="114"/>
        <v>0</v>
      </c>
      <c r="AU218" s="274">
        <f t="shared" si="115"/>
        <v>0</v>
      </c>
      <c r="AV218" s="190">
        <f>IF($B218&lt;$F$22,SUM($T$100:$T218),"")</f>
        <v>0</v>
      </c>
      <c r="AW218" s="190" t="str">
        <f t="shared" si="161"/>
        <v>-</v>
      </c>
      <c r="AX218" s="190" t="str">
        <f t="shared" si="141"/>
        <v/>
      </c>
      <c r="AY218"/>
      <c r="AZ218" s="190" t="str">
        <f ca="1">IF(ISNUMBER(OFFSET(AV218,-$F$21,0)),SUM(OFFSET($T$100,$F$21,0):$T218),"")</f>
        <v/>
      </c>
      <c r="BA218" s="190" t="str">
        <f t="shared" ca="1" si="162"/>
        <v/>
      </c>
      <c r="BB218" s="190" t="str">
        <f t="shared" ca="1" si="148"/>
        <v/>
      </c>
      <c r="BC218" s="190"/>
      <c r="BD218" s="190" t="str">
        <f ca="1">IFERROR(IF(AND($B218&gt;=($F$16-$F$15),$B218&lt;$F$22+($F$16-$F$15)),SUM(OFFSET($T$100,($F$16-$F$15),0):$T218),""),"")</f>
        <v/>
      </c>
      <c r="BE218" s="190" t="str">
        <f t="shared" ca="1" si="142"/>
        <v/>
      </c>
      <c r="BF218" s="190" t="str">
        <f t="shared" ca="1" si="143"/>
        <v/>
      </c>
      <c r="BG218"/>
      <c r="BH218" s="190" t="str">
        <f ca="1">IF(ISNUMBER(OFFSET(BD218,-$F$21,0)),SUM(OFFSET($T$100,($F$16-$F$15+$F$21),0):$T218),"")</f>
        <v/>
      </c>
      <c r="BI218" s="190" t="str">
        <f t="shared" ca="1" si="163"/>
        <v/>
      </c>
      <c r="BJ218" s="190" t="str">
        <f t="shared" ca="1" si="144"/>
        <v/>
      </c>
      <c r="BK218" s="190"/>
      <c r="BL218" s="190" t="str">
        <f ca="1">IFERROR(IF(AND($B218&gt;=($F$17-$F$15),$B218&lt;$F$22+($F$17-$F$15)),SUM(OFFSET($T$100,($F$17-$F$15),0):$T218),""),"")</f>
        <v/>
      </c>
      <c r="BM218" s="190" t="str">
        <f t="shared" ca="1" si="164"/>
        <v/>
      </c>
      <c r="BN218" s="190" t="str">
        <f t="shared" ca="1" si="145"/>
        <v/>
      </c>
      <c r="BO218"/>
      <c r="BP218" s="190" t="str">
        <f ca="1">IF(ISNUMBER(OFFSET(BL218,-$F$21,0)),SUM(OFFSET($T$100,($F$17-$F$15+$F$21),0):$T218),"")</f>
        <v/>
      </c>
      <c r="BQ218" s="190" t="str">
        <f t="shared" ca="1" si="165"/>
        <v/>
      </c>
      <c r="BR218" s="190" t="str">
        <f t="shared" ca="1" si="146"/>
        <v/>
      </c>
      <c r="BS218" s="190"/>
      <c r="BT218"/>
      <c r="BU218"/>
      <c r="BV218"/>
      <c r="BY218" s="99"/>
      <c r="BZ218" s="99"/>
      <c r="CA218" s="280" t="str">
        <f t="shared" si="166"/>
        <v/>
      </c>
      <c r="CB218" s="71" t="str">
        <f t="shared" si="122"/>
        <v>-</v>
      </c>
      <c r="CC218" s="33"/>
      <c r="CD218" s="261" t="str">
        <f t="shared" si="123"/>
        <v/>
      </c>
      <c r="CE218" s="280" t="str">
        <f t="shared" si="167"/>
        <v>-</v>
      </c>
      <c r="CF218" s="71" t="str">
        <f t="shared" ca="1" si="168"/>
        <v>-</v>
      </c>
      <c r="CG218" s="33" t="str">
        <f t="shared" si="126"/>
        <v>118-119</v>
      </c>
      <c r="CH218" s="261" t="str">
        <f t="shared" ca="1" si="127"/>
        <v/>
      </c>
    </row>
    <row r="219" spans="2:86" ht="13.5" customHeight="1" x14ac:dyDescent="0.2">
      <c r="B219" s="262">
        <v>119</v>
      </c>
      <c r="C219" s="237" t="str">
        <f t="shared" si="91"/>
        <v/>
      </c>
      <c r="D219" s="237" t="str">
        <f t="shared" si="147"/>
        <v>-</v>
      </c>
      <c r="E219" s="263" t="str">
        <f t="shared" si="128"/>
        <v/>
      </c>
      <c r="F219" s="264" t="str">
        <f t="shared" si="129"/>
        <v/>
      </c>
      <c r="G219" s="264" t="str">
        <f t="shared" si="130"/>
        <v/>
      </c>
      <c r="H219" s="240" t="str">
        <f t="shared" si="149"/>
        <v/>
      </c>
      <c r="I219" s="265" t="str">
        <f t="shared" si="150"/>
        <v/>
      </c>
      <c r="J219" s="265" t="str">
        <f t="shared" si="151"/>
        <v/>
      </c>
      <c r="K219" s="240" t="str">
        <f t="shared" si="152"/>
        <v/>
      </c>
      <c r="L219" s="265" t="str">
        <f t="shared" si="153"/>
        <v/>
      </c>
      <c r="M219" s="265" t="str">
        <f t="shared" si="154"/>
        <v/>
      </c>
      <c r="N219" s="240" t="str">
        <f t="shared" si="155"/>
        <v>-</v>
      </c>
      <c r="O219" s="265" t="str">
        <f t="shared" si="156"/>
        <v>-</v>
      </c>
      <c r="P219" s="265" t="str">
        <f t="shared" si="157"/>
        <v>-</v>
      </c>
      <c r="Q219" s="266" t="str">
        <f t="shared" si="158"/>
        <v>-</v>
      </c>
      <c r="R219" s="267" t="str">
        <f t="shared" si="159"/>
        <v>-</v>
      </c>
      <c r="S219" s="268" t="str">
        <f t="shared" si="160"/>
        <v>-</v>
      </c>
      <c r="T219" s="269" t="str">
        <f t="shared" si="104"/>
        <v/>
      </c>
      <c r="U219" s="221">
        <f t="shared" si="105"/>
        <v>119</v>
      </c>
      <c r="V219" s="220" t="str">
        <f t="shared" si="131"/>
        <v>-</v>
      </c>
      <c r="W219" s="221" t="str">
        <f t="shared" si="132"/>
        <v>-</v>
      </c>
      <c r="X219" s="221" t="str">
        <f t="shared" si="106"/>
        <v>-</v>
      </c>
      <c r="Y219" s="221" t="str">
        <f t="shared" si="107"/>
        <v>-</v>
      </c>
      <c r="Z219" s="270">
        <f t="shared" si="133"/>
        <v>0.1</v>
      </c>
      <c r="AA219" s="271" t="str">
        <f>IFERROR(IF(V218=1,AA$100*EXP(-(LN(2)/$D$65+0.04)*X218)*EXP(-(LN(2)/$D$65+0.1)*Y218),IF(V218=2,AA$100*EXP(-(LN(2)/$D$65+0.04)*(VLOOKUP(($F$16-$F$15)-1,U$99:Y218,4,FALSE)))*EXP(-(LN(2)/$D$65+0.1)*(VLOOKUP(($F$16-$F$15)-1,U$99:Y218,5,FALSE)))*EXP(-(LN(2)/$D$65+0.04)*X218)*EXP(-(LN(2)/$D$65+0.1)*Y218),IF(V218=3,AA$100*EXP(-(LN(2)/$D$65+0.04)*(VLOOKUP(($F$16-$F$15)-1,U$99:Y218,4,FALSE)))*EXP(-(LN(2)/$D$65+0.1)*(VLOOKUP(($F$16-$F$15)-1,U$99:Y218,5,FALSE)))*EXP(-(LN(2)/$D$65+0.04)*(VLOOKUP(($F$16-$F$15)*2-1,U$99:Y218,4,FALSE)))*EXP(-(LN(2)/$D$65+0.1)*(VLOOKUP(($F$16-$F$15)*2-1,U$99:Y218,5,FALSE)))*EXP(-(LN(2)/$D$65+0.04)*X218)*EXP(-(LN(2)/$D$65+0.1)*Y218),"-"))),"-")</f>
        <v>-</v>
      </c>
      <c r="AB219" s="271" t="str">
        <f>IFERROR(IF(V219=1,AB$100*EXP(-(LN(2)/$D$65+0.04)*X219)*EXP(-(LN(2)/$D$65+0.1)*Y219),IF(V219=2,AB$100*EXP(-(LN(2)/$D$65+0.04)*(VLOOKUP(($F$16-$F$15)-1,U$100:Y219,4,FALSE)))*EXP(-(LN(2)/$D$65+0.1)*(VLOOKUP(($F$16-$F$15)-1,U$100:Y219,5,FALSE)))*EXP(-(LN(2)/$D$65+0.04)*X219)*EXP(-(LN(2)/$D$65+0.1)*Y219),IF(V219=3,AB$100*EXP(-(LN(2)/$D$65+0.04)*(VLOOKUP(($F$16-$F$15)-1,U$100:Y219,4,FALSE)))*EXP(-(LN(2)/$D$65+0.1)*(VLOOKUP(($F$16-$F$15)-1,U$100:Y219,5,FALSE)))*EXP(-(LN(2)/$D$65+0.04)*(VLOOKUP(($F$16-$F$15)*2-1,U$100:Y219,4,FALSE)))*EXP(-(LN(2)/$D$65+0.1)*(VLOOKUP(($F$16-$F$15)*2-1,U$100:Y219,5,FALSE)))*EXP(-(LN(2)/$D$65+0.04)*X219)*EXP(-(LN(2)/$D$65+0.1)*Y219),"-"))),"-")</f>
        <v>-</v>
      </c>
      <c r="AC219" s="224">
        <f t="shared" si="134"/>
        <v>119</v>
      </c>
      <c r="AD219" s="223" t="str">
        <f t="shared" si="108"/>
        <v>-</v>
      </c>
      <c r="AE219" s="224" t="str">
        <f t="shared" si="135"/>
        <v>-</v>
      </c>
      <c r="AF219" s="224" t="str">
        <f t="shared" si="109"/>
        <v>-</v>
      </c>
      <c r="AG219" s="224" t="str">
        <f t="shared" si="110"/>
        <v>-</v>
      </c>
      <c r="AH219" s="272">
        <f t="shared" si="136"/>
        <v>0.1</v>
      </c>
      <c r="AI219" s="271" t="str">
        <f>IFERROR(IF(AD218=1,AI$100*EXP(-(LN(2)/$D$65+0.04)*AF218)*EXP(-(LN(2)/$D$65+0.1)*AG218),IF(AD218=2,AI$100*EXP(-(LN(2)/$D$65+0.04)*(VLOOKUP(($F$16-$F$15)-1,AC$99:AG218,4,FALSE)))*EXP(-(LN(2)/$D$65+0.1)*(VLOOKUP(($F$16-$F$15)-1,AC$99:AG218,5,FALSE)))*EXP(-(LN(2)/$D$65+0.04)*AF218)*EXP(-(LN(2)/$D$65+0.1)*AG218),IF(AD218=3,AI$100*EXP(-(LN(2)/$D$65+0.04)*(VLOOKUP(($F$16-$F$15)-1,AC$99:AG218,4,FALSE)))*EXP(-(LN(2)/$D$65+0.1)*(VLOOKUP(($F$16-$F$15)-1,AC$99:AG218,5,FALSE)))*EXP(-(LN(2)/$D$65+0.04)*(VLOOKUP(($F$16-$F$15)*2-1,AC$99:AG218,4,FALSE)))*EXP(-(LN(2)/$D$65+0.1)*(VLOOKUP(($F$16-$F$15)*2-1,AC$99:AG218,5,FALSE)))*EXP(-(LN(2)/$D$65+0.04)*AF218)*EXP(-(LN(2)/$D$65+0.1)*AG218),"-"))),"-")</f>
        <v>-</v>
      </c>
      <c r="AJ219" s="271" t="str">
        <f>IFERROR(IF(AD219=1,AJ$100*EXP(-(LN(2)/$D$65+0.04)*AF219)*EXP(-(LN(2)/$D$65+0.1)*AG219),IF(AD219=2,AJ$100*EXP(-(LN(2)/$D$65+0.04)*(VLOOKUP(($F$16-$F$15)-1,AC$100:AG219,4,FALSE)))*EXP(-(LN(2)/$D$65+0.1)*(VLOOKUP(($F$16-$F$15)-1,AC$100:AG219,5,FALSE)))*EXP(-(LN(2)/$D$65+0.04)*AF219)*EXP(-(LN(2)/$D$65+0.1)*AG219),IF(AD219=3,AJ$100*EXP(-(LN(2)/$D$65+0.04)*(VLOOKUP(($F$16-$F$15)-1,AC$100:AG219,4,FALSE)))*EXP(-(LN(2)/$D$65+0.1)*(VLOOKUP(($F$16-$F$15)-1,AC$100:AG219,5,FALSE)))*EXP(-(LN(2)/$D$65+0.04)*(VLOOKUP(($F$16-$F$15)*2-1,AC$100:AG219,4,FALSE)))*EXP(-(LN(2)/$D$65+0.1)*(VLOOKUP(($F$16-$F$15)*2-1,AC$100:AG219,5,FALSE)))*EXP(-(LN(2)/$D$65+0.04)*AF219)*EXP(-(LN(2)/$D$65+0.1)*AG219),"-"))),"-")</f>
        <v>-</v>
      </c>
      <c r="AK219" s="227">
        <f t="shared" si="137"/>
        <v>119</v>
      </c>
      <c r="AL219" s="226" t="str">
        <f t="shared" si="111"/>
        <v>-</v>
      </c>
      <c r="AM219" s="227" t="str">
        <f t="shared" si="138"/>
        <v>-</v>
      </c>
      <c r="AN219" s="227" t="str">
        <f t="shared" si="139"/>
        <v>-</v>
      </c>
      <c r="AO219" s="227" t="str">
        <f t="shared" si="112"/>
        <v>-</v>
      </c>
      <c r="AP219" s="273">
        <f t="shared" si="140"/>
        <v>0.1</v>
      </c>
      <c r="AQ219" s="271" t="str">
        <f>IFERROR(IF(AL218=1,AQ$100*EXP(-(LN(2)/$D$65+0.04)*AN218)*EXP(-(LN(2)/$D$65+0.1)*AO218),IF(AL218=2,AQ$100*EXP(-(LN(2)/$D$65+0.04)*(VLOOKUP(($F$16-$F$15)-1,AK$99:AO218,4,FALSE)))*EXP(-(LN(2)/$D$65+0.1)*(VLOOKUP(($F$16-$F$15)-1,AK$99:AO218,5,FALSE)))*EXP(-(LN(2)/$D$65+0.04)*AN218)*EXP(-(LN(2)/$D$65+0.1)*AO218),IF(AL218=3,AQ$100*EXP(-(LN(2)/$D$65+0.04)*(VLOOKUP(($F$16-$F$15)-1,AK$99:AO218,4,FALSE)))*EXP(-(LN(2)/$D$65+0.1)*(VLOOKUP(($F$16-$F$15)-1,AK$99:AO218,5,FALSE)))*EXP(-(LN(2)/$D$65+0.04)*(VLOOKUP(($F$16-$F$15)*2-1,AK$99:AO218,4,FALSE)))*EXP(-(LN(2)/$D$65+0.1)*(VLOOKUP(($F$16-$F$15)*2-1,AK$99:AO218,5,FALSE)))*EXP(-(LN(2)/$D$65+0.04)*AN218)*EXP(-(LN(2)/$D$65+0.1)*AO218),"-"))),"-")</f>
        <v>-</v>
      </c>
      <c r="AR219" s="271" t="str">
        <f>IFERROR(IF(AL219=1,AR$100*EXP(-(LN(2)/$D$65+0.04)*AN219)*EXP(-(LN(2)/$D$65+0.1)*AO219),IF(AL219=2,AR$100*EXP(-(LN(2)/$D$65+0.04)*(VLOOKUP(($F$16-$F$15)-1,AK$100:AO219,4,FALSE)))*EXP(-(LN(2)/$D$65+0.1)*(VLOOKUP(($F$16-$F$15)-1,AK$100:AO219,5,FALSE)))*EXP(-(LN(2)/$D$65+0.04)*AN219)*EXP(-(LN(2)/$D$65+0.1)*AO219),IF(AL219=3,AR$100*EXP(-(LN(2)/$D$65+0.04)*(VLOOKUP(($F$16-$F$15)-1,AK$100:AO219,4,FALSE)))*EXP(-(LN(2)/$D$65+0.1)*(VLOOKUP(($F$16-$F$15)-1,AK$100:AO219,5,FALSE)))*EXP(-(LN(2)/$D$65+0.04)*(VLOOKUP(($F$16-$F$15)*2-1,AK$100:AO219,4,FALSE)))*EXP(-(LN(2)/$D$65+0.1)*(VLOOKUP(($F$16-$F$15)*2-1,AK$100:AO219,5,FALSE)))*EXP(-(LN(2)/$D$65+0.04)*AN219)*EXP(-(LN(2)/$D$65+0.1)*AO219),"-"))),"-")</f>
        <v>-</v>
      </c>
      <c r="AS219" s="274">
        <f t="shared" si="113"/>
        <v>0</v>
      </c>
      <c r="AT219" s="274">
        <f t="shared" si="114"/>
        <v>0</v>
      </c>
      <c r="AU219" s="274">
        <f t="shared" si="115"/>
        <v>0</v>
      </c>
      <c r="AV219" s="190">
        <f>IF($B219&lt;$F$22,SUM($T$100:$T219),"")</f>
        <v>0</v>
      </c>
      <c r="AW219" s="190" t="str">
        <f t="shared" si="161"/>
        <v>-</v>
      </c>
      <c r="AX219" s="190" t="str">
        <f t="shared" si="141"/>
        <v/>
      </c>
      <c r="AY219"/>
      <c r="AZ219" s="190" t="str">
        <f ca="1">IF(ISNUMBER(OFFSET(AV219,-$F$21,0)),SUM(OFFSET($T$100,$F$21,0):$T219),"")</f>
        <v/>
      </c>
      <c r="BA219" s="190" t="str">
        <f t="shared" ca="1" si="162"/>
        <v/>
      </c>
      <c r="BB219" s="190" t="str">
        <f t="shared" ca="1" si="148"/>
        <v/>
      </c>
      <c r="BC219" s="190"/>
      <c r="BD219" s="190" t="str">
        <f ca="1">IFERROR(IF(AND($B219&gt;=($F$16-$F$15),$B219&lt;$F$22+($F$16-$F$15)),SUM(OFFSET($T$100,($F$16-$F$15),0):$T219),""),"")</f>
        <v/>
      </c>
      <c r="BE219" s="190" t="str">
        <f t="shared" ca="1" si="142"/>
        <v/>
      </c>
      <c r="BF219" s="190" t="str">
        <f t="shared" ca="1" si="143"/>
        <v/>
      </c>
      <c r="BG219"/>
      <c r="BH219" s="190" t="str">
        <f ca="1">IF(ISNUMBER(OFFSET(BD219,-$F$21,0)),SUM(OFFSET($T$100,($F$16-$F$15+$F$21),0):$T219),"")</f>
        <v/>
      </c>
      <c r="BI219" s="190" t="str">
        <f t="shared" ca="1" si="163"/>
        <v/>
      </c>
      <c r="BJ219" s="190" t="str">
        <f t="shared" ca="1" si="144"/>
        <v/>
      </c>
      <c r="BK219" s="190"/>
      <c r="BL219" s="190" t="str">
        <f ca="1">IFERROR(IF(AND($B219&gt;=($F$17-$F$15),$B219&lt;$F$22+($F$17-$F$15)),SUM(OFFSET($T$100,($F$17-$F$15),0):$T219),""),"")</f>
        <v/>
      </c>
      <c r="BM219" s="190" t="str">
        <f t="shared" ca="1" si="164"/>
        <v/>
      </c>
      <c r="BN219" s="190" t="str">
        <f t="shared" ca="1" si="145"/>
        <v/>
      </c>
      <c r="BO219"/>
      <c r="BP219" s="190" t="str">
        <f ca="1">IF(ISNUMBER(OFFSET(BL219,-$F$21,0)),SUM(OFFSET($T$100,($F$17-$F$15+$F$21),0):$T219),"")</f>
        <v/>
      </c>
      <c r="BQ219" s="190" t="str">
        <f t="shared" ca="1" si="165"/>
        <v/>
      </c>
      <c r="BR219" s="190" t="str">
        <f t="shared" ca="1" si="146"/>
        <v/>
      </c>
      <c r="BS219" s="190"/>
      <c r="BT219"/>
      <c r="BU219"/>
      <c r="BV219"/>
      <c r="BY219" s="99"/>
      <c r="BZ219" s="99"/>
      <c r="CA219" s="280" t="str">
        <f t="shared" si="166"/>
        <v/>
      </c>
      <c r="CB219" s="71" t="str">
        <f t="shared" si="122"/>
        <v>-</v>
      </c>
      <c r="CC219" s="33"/>
      <c r="CD219" s="261" t="str">
        <f t="shared" si="123"/>
        <v/>
      </c>
      <c r="CE219" s="280" t="str">
        <f t="shared" si="167"/>
        <v>-</v>
      </c>
      <c r="CF219" s="71" t="str">
        <f t="shared" ca="1" si="168"/>
        <v>-</v>
      </c>
      <c r="CG219" s="33" t="str">
        <f t="shared" si="126"/>
        <v>119-120</v>
      </c>
      <c r="CH219" s="261" t="str">
        <f t="shared" ca="1" si="127"/>
        <v/>
      </c>
    </row>
    <row r="220" spans="2:86" ht="13.5" customHeight="1" x14ac:dyDescent="0.2">
      <c r="B220" s="262">
        <v>120</v>
      </c>
      <c r="C220" s="237" t="str">
        <f t="shared" si="91"/>
        <v/>
      </c>
      <c r="D220" s="237" t="str">
        <f t="shared" si="147"/>
        <v>-</v>
      </c>
      <c r="E220" s="263" t="str">
        <f t="shared" si="128"/>
        <v/>
      </c>
      <c r="F220" s="264" t="str">
        <f t="shared" si="129"/>
        <v/>
      </c>
      <c r="G220" s="264" t="str">
        <f t="shared" si="130"/>
        <v/>
      </c>
      <c r="H220" s="240" t="str">
        <f t="shared" si="149"/>
        <v/>
      </c>
      <c r="I220" s="265" t="str">
        <f t="shared" si="150"/>
        <v/>
      </c>
      <c r="J220" s="265" t="str">
        <f t="shared" si="151"/>
        <v/>
      </c>
      <c r="K220" s="240" t="str">
        <f t="shared" si="152"/>
        <v/>
      </c>
      <c r="L220" s="265" t="str">
        <f t="shared" si="153"/>
        <v/>
      </c>
      <c r="M220" s="265" t="str">
        <f t="shared" si="154"/>
        <v/>
      </c>
      <c r="N220" s="240" t="str">
        <f t="shared" si="155"/>
        <v>-</v>
      </c>
      <c r="O220" s="265" t="str">
        <f t="shared" si="156"/>
        <v>-</v>
      </c>
      <c r="P220" s="265" t="str">
        <f t="shared" si="157"/>
        <v>-</v>
      </c>
      <c r="Q220" s="266" t="str">
        <f t="shared" si="158"/>
        <v>-</v>
      </c>
      <c r="R220" s="267" t="str">
        <f t="shared" si="159"/>
        <v>-</v>
      </c>
      <c r="S220" s="268" t="str">
        <f t="shared" si="160"/>
        <v>-</v>
      </c>
      <c r="T220" s="269" t="str">
        <f t="shared" si="104"/>
        <v/>
      </c>
      <c r="U220" s="221">
        <f t="shared" si="105"/>
        <v>120</v>
      </c>
      <c r="V220" s="220" t="str">
        <f t="shared" si="131"/>
        <v>-</v>
      </c>
      <c r="W220" s="221" t="str">
        <f t="shared" si="132"/>
        <v>-</v>
      </c>
      <c r="X220" s="221" t="str">
        <f t="shared" si="106"/>
        <v>-</v>
      </c>
      <c r="Y220" s="221" t="str">
        <f t="shared" si="107"/>
        <v>-</v>
      </c>
      <c r="Z220" s="270">
        <f t="shared" si="133"/>
        <v>0.1</v>
      </c>
      <c r="AA220" s="271" t="str">
        <f>IFERROR(IF(V219=1,AA$100*EXP(-(LN(2)/$D$65+0.04)*X219)*EXP(-(LN(2)/$D$65+0.1)*Y219),IF(V219=2,AA$100*EXP(-(LN(2)/$D$65+0.04)*(VLOOKUP(($F$16-$F$15)-1,U$99:Y219,4,FALSE)))*EXP(-(LN(2)/$D$65+0.1)*(VLOOKUP(($F$16-$F$15)-1,U$99:Y219,5,FALSE)))*EXP(-(LN(2)/$D$65+0.04)*X219)*EXP(-(LN(2)/$D$65+0.1)*Y219),IF(V219=3,AA$100*EXP(-(LN(2)/$D$65+0.04)*(VLOOKUP(($F$16-$F$15)-1,U$99:Y219,4,FALSE)))*EXP(-(LN(2)/$D$65+0.1)*(VLOOKUP(($F$16-$F$15)-1,U$99:Y219,5,FALSE)))*EXP(-(LN(2)/$D$65+0.04)*(VLOOKUP(($F$16-$F$15)*2-1,U$99:Y219,4,FALSE)))*EXP(-(LN(2)/$D$65+0.1)*(VLOOKUP(($F$16-$F$15)*2-1,U$99:Y219,5,FALSE)))*EXP(-(LN(2)/$D$65+0.04)*X219)*EXP(-(LN(2)/$D$65+0.1)*Y219),"-"))),"-")</f>
        <v>-</v>
      </c>
      <c r="AB220" s="271" t="str">
        <f>IFERROR(IF(V220=1,AB$100*EXP(-(LN(2)/$D$65+0.04)*X220)*EXP(-(LN(2)/$D$65+0.1)*Y220),IF(V220=2,AB$100*EXP(-(LN(2)/$D$65+0.04)*(VLOOKUP(($F$16-$F$15)-1,U$100:Y220,4,FALSE)))*EXP(-(LN(2)/$D$65+0.1)*(VLOOKUP(($F$16-$F$15)-1,U$100:Y220,5,FALSE)))*EXP(-(LN(2)/$D$65+0.04)*X220)*EXP(-(LN(2)/$D$65+0.1)*Y220),IF(V220=3,AB$100*EXP(-(LN(2)/$D$65+0.04)*(VLOOKUP(($F$16-$F$15)-1,U$100:Y220,4,FALSE)))*EXP(-(LN(2)/$D$65+0.1)*(VLOOKUP(($F$16-$F$15)-1,U$100:Y220,5,FALSE)))*EXP(-(LN(2)/$D$65+0.04)*(VLOOKUP(($F$16-$F$15)*2-1,U$100:Y220,4,FALSE)))*EXP(-(LN(2)/$D$65+0.1)*(VLOOKUP(($F$16-$F$15)*2-1,U$100:Y220,5,FALSE)))*EXP(-(LN(2)/$D$65+0.04)*X220)*EXP(-(LN(2)/$D$65+0.1)*Y220),"-"))),"-")</f>
        <v>-</v>
      </c>
      <c r="AC220" s="224">
        <f t="shared" si="134"/>
        <v>120</v>
      </c>
      <c r="AD220" s="223" t="str">
        <f t="shared" si="108"/>
        <v>-</v>
      </c>
      <c r="AE220" s="224" t="str">
        <f t="shared" si="135"/>
        <v>-</v>
      </c>
      <c r="AF220" s="224" t="str">
        <f t="shared" si="109"/>
        <v>-</v>
      </c>
      <c r="AG220" s="224" t="str">
        <f t="shared" si="110"/>
        <v>-</v>
      </c>
      <c r="AH220" s="272">
        <f t="shared" si="136"/>
        <v>0.1</v>
      </c>
      <c r="AI220" s="271" t="str">
        <f>IFERROR(IF(AD219=1,AI$100*EXP(-(LN(2)/$D$65+0.04)*AF219)*EXP(-(LN(2)/$D$65+0.1)*AG219),IF(AD219=2,AI$100*EXP(-(LN(2)/$D$65+0.04)*(VLOOKUP(($F$16-$F$15)-1,AC$99:AG219,4,FALSE)))*EXP(-(LN(2)/$D$65+0.1)*(VLOOKUP(($F$16-$F$15)-1,AC$99:AG219,5,FALSE)))*EXP(-(LN(2)/$D$65+0.04)*AF219)*EXP(-(LN(2)/$D$65+0.1)*AG219),IF(AD219=3,AI$100*EXP(-(LN(2)/$D$65+0.04)*(VLOOKUP(($F$16-$F$15)-1,AC$99:AG219,4,FALSE)))*EXP(-(LN(2)/$D$65+0.1)*(VLOOKUP(($F$16-$F$15)-1,AC$99:AG219,5,FALSE)))*EXP(-(LN(2)/$D$65+0.04)*(VLOOKUP(($F$16-$F$15)*2-1,AC$99:AG219,4,FALSE)))*EXP(-(LN(2)/$D$65+0.1)*(VLOOKUP(($F$16-$F$15)*2-1,AC$99:AG219,5,FALSE)))*EXP(-(LN(2)/$D$65+0.04)*AF219)*EXP(-(LN(2)/$D$65+0.1)*AG219),"-"))),"-")</f>
        <v>-</v>
      </c>
      <c r="AJ220" s="271" t="str">
        <f>IFERROR(IF(AD220=1,AJ$100*EXP(-(LN(2)/$D$65+0.04)*AF220)*EXP(-(LN(2)/$D$65+0.1)*AG220),IF(AD220=2,AJ$100*EXP(-(LN(2)/$D$65+0.04)*(VLOOKUP(($F$16-$F$15)-1,AC$100:AG220,4,FALSE)))*EXP(-(LN(2)/$D$65+0.1)*(VLOOKUP(($F$16-$F$15)-1,AC$100:AG220,5,FALSE)))*EXP(-(LN(2)/$D$65+0.04)*AF220)*EXP(-(LN(2)/$D$65+0.1)*AG220),IF(AD220=3,AJ$100*EXP(-(LN(2)/$D$65+0.04)*(VLOOKUP(($F$16-$F$15)-1,AC$100:AG220,4,FALSE)))*EXP(-(LN(2)/$D$65+0.1)*(VLOOKUP(($F$16-$F$15)-1,AC$100:AG220,5,FALSE)))*EXP(-(LN(2)/$D$65+0.04)*(VLOOKUP(($F$16-$F$15)*2-1,AC$100:AG220,4,FALSE)))*EXP(-(LN(2)/$D$65+0.1)*(VLOOKUP(($F$16-$F$15)*2-1,AC$100:AG220,5,FALSE)))*EXP(-(LN(2)/$D$65+0.04)*AF220)*EXP(-(LN(2)/$D$65+0.1)*AG220),"-"))),"-")</f>
        <v>-</v>
      </c>
      <c r="AK220" s="227">
        <f t="shared" si="137"/>
        <v>120</v>
      </c>
      <c r="AL220" s="226" t="str">
        <f t="shared" si="111"/>
        <v>-</v>
      </c>
      <c r="AM220" s="227" t="str">
        <f t="shared" si="138"/>
        <v>-</v>
      </c>
      <c r="AN220" s="227" t="str">
        <f t="shared" si="139"/>
        <v>-</v>
      </c>
      <c r="AO220" s="227" t="str">
        <f t="shared" si="112"/>
        <v>-</v>
      </c>
      <c r="AP220" s="273">
        <f t="shared" si="140"/>
        <v>0.1</v>
      </c>
      <c r="AQ220" s="271" t="str">
        <f>IFERROR(IF(AL219=1,AQ$100*EXP(-(LN(2)/$D$65+0.04)*AN219)*EXP(-(LN(2)/$D$65+0.1)*AO219),IF(AL219=2,AQ$100*EXP(-(LN(2)/$D$65+0.04)*(VLOOKUP(($F$16-$F$15)-1,AK$99:AO219,4,FALSE)))*EXP(-(LN(2)/$D$65+0.1)*(VLOOKUP(($F$16-$F$15)-1,AK$99:AO219,5,FALSE)))*EXP(-(LN(2)/$D$65+0.04)*AN219)*EXP(-(LN(2)/$D$65+0.1)*AO219),IF(AL219=3,AQ$100*EXP(-(LN(2)/$D$65+0.04)*(VLOOKUP(($F$16-$F$15)-1,AK$99:AO219,4,FALSE)))*EXP(-(LN(2)/$D$65+0.1)*(VLOOKUP(($F$16-$F$15)-1,AK$99:AO219,5,FALSE)))*EXP(-(LN(2)/$D$65+0.04)*(VLOOKUP(($F$16-$F$15)*2-1,AK$99:AO219,4,FALSE)))*EXP(-(LN(2)/$D$65+0.1)*(VLOOKUP(($F$16-$F$15)*2-1,AK$99:AO219,5,FALSE)))*EXP(-(LN(2)/$D$65+0.04)*AN219)*EXP(-(LN(2)/$D$65+0.1)*AO219),"-"))),"-")</f>
        <v>-</v>
      </c>
      <c r="AR220" s="271" t="str">
        <f>IFERROR(IF(AL220=1,AR$100*EXP(-(LN(2)/$D$65+0.04)*AN220)*EXP(-(LN(2)/$D$65+0.1)*AO220),IF(AL220=2,AR$100*EXP(-(LN(2)/$D$65+0.04)*(VLOOKUP(($F$16-$F$15)-1,AK$100:AO220,4,FALSE)))*EXP(-(LN(2)/$D$65+0.1)*(VLOOKUP(($F$16-$F$15)-1,AK$100:AO220,5,FALSE)))*EXP(-(LN(2)/$D$65+0.04)*AN220)*EXP(-(LN(2)/$D$65+0.1)*AO220),IF(AL220=3,AR$100*EXP(-(LN(2)/$D$65+0.04)*(VLOOKUP(($F$16-$F$15)-1,AK$100:AO220,4,FALSE)))*EXP(-(LN(2)/$D$65+0.1)*(VLOOKUP(($F$16-$F$15)-1,AK$100:AO220,5,FALSE)))*EXP(-(LN(2)/$D$65+0.04)*(VLOOKUP(($F$16-$F$15)*2-1,AK$100:AO220,4,FALSE)))*EXP(-(LN(2)/$D$65+0.1)*(VLOOKUP(($F$16-$F$15)*2-1,AK$100:AO220,5,FALSE)))*EXP(-(LN(2)/$D$65+0.04)*AN220)*EXP(-(LN(2)/$D$65+0.1)*AO220),"-"))),"-")</f>
        <v>-</v>
      </c>
      <c r="AS220" s="274">
        <f t="shared" si="113"/>
        <v>0</v>
      </c>
      <c r="AT220" s="274">
        <f t="shared" si="114"/>
        <v>0</v>
      </c>
      <c r="AU220" s="274">
        <f t="shared" si="115"/>
        <v>0</v>
      </c>
      <c r="AV220" s="190">
        <f>IF($B220&lt;$F$22,SUM($T$100:$T220),"")</f>
        <v>0</v>
      </c>
      <c r="AW220" s="190" t="str">
        <f t="shared" si="161"/>
        <v>-</v>
      </c>
      <c r="AX220" s="190" t="str">
        <f t="shared" si="141"/>
        <v/>
      </c>
      <c r="AY220"/>
      <c r="AZ220" s="190" t="str">
        <f ca="1">IF(ISNUMBER(OFFSET(AV220,-$F$21,0)),SUM(OFFSET($T$100,$F$21,0):$T220),"")</f>
        <v/>
      </c>
      <c r="BA220" s="190" t="str">
        <f t="shared" ca="1" si="162"/>
        <v/>
      </c>
      <c r="BB220" s="190" t="str">
        <f t="shared" ca="1" si="148"/>
        <v/>
      </c>
      <c r="BC220" s="190"/>
      <c r="BD220" s="190" t="str">
        <f ca="1">IFERROR(IF(AND($B220&gt;=($F$16-$F$15),$B220&lt;$F$22+($F$16-$F$15)),SUM(OFFSET($T$100,($F$16-$F$15),0):$T220),""),"")</f>
        <v/>
      </c>
      <c r="BE220" s="190" t="str">
        <f t="shared" ca="1" si="142"/>
        <v/>
      </c>
      <c r="BF220" s="190" t="str">
        <f t="shared" ca="1" si="143"/>
        <v/>
      </c>
      <c r="BG220"/>
      <c r="BH220" s="190" t="str">
        <f ca="1">IF(ISNUMBER(OFFSET(BD220,-$F$21,0)),SUM(OFFSET($T$100,($F$16-$F$15+$F$21),0):$T220),"")</f>
        <v/>
      </c>
      <c r="BI220" s="190" t="str">
        <f t="shared" ca="1" si="163"/>
        <v/>
      </c>
      <c r="BJ220" s="190" t="str">
        <f t="shared" ca="1" si="144"/>
        <v/>
      </c>
      <c r="BK220" s="190"/>
      <c r="BL220" s="190" t="str">
        <f ca="1">IFERROR(IF(AND($B220&gt;=($F$17-$F$15),$B220&lt;$F$22+($F$17-$F$15)),SUM(OFFSET($T$100,($F$17-$F$15),0):$T220),""),"")</f>
        <v/>
      </c>
      <c r="BM220" s="190" t="str">
        <f t="shared" ca="1" si="164"/>
        <v/>
      </c>
      <c r="BN220" s="190" t="str">
        <f t="shared" ca="1" si="145"/>
        <v/>
      </c>
      <c r="BO220"/>
      <c r="BP220" s="190" t="str">
        <f ca="1">IF(ISNUMBER(OFFSET(BL220,-$F$21,0)),SUM(OFFSET($T$100,($F$17-$F$15+$F$21),0):$T220),"")</f>
        <v/>
      </c>
      <c r="BQ220" s="190" t="str">
        <f t="shared" ca="1" si="165"/>
        <v/>
      </c>
      <c r="BR220" s="190" t="str">
        <f t="shared" ca="1" si="146"/>
        <v/>
      </c>
      <c r="BS220" s="190"/>
      <c r="BT220"/>
      <c r="BU220"/>
      <c r="BV220"/>
      <c r="BY220" s="99"/>
      <c r="BZ220" s="99"/>
      <c r="CA220" s="280" t="str">
        <f t="shared" si="166"/>
        <v/>
      </c>
      <c r="CB220" s="71" t="str">
        <f t="shared" si="122"/>
        <v>-</v>
      </c>
      <c r="CC220" s="33"/>
      <c r="CD220" s="261" t="str">
        <f t="shared" si="123"/>
        <v/>
      </c>
      <c r="CE220" s="280" t="str">
        <f t="shared" si="167"/>
        <v>-</v>
      </c>
      <c r="CF220" s="71" t="str">
        <f t="shared" ca="1" si="168"/>
        <v>-</v>
      </c>
      <c r="CG220" s="33" t="str">
        <f t="shared" si="126"/>
        <v>120-121</v>
      </c>
      <c r="CH220" s="261" t="str">
        <f t="shared" ca="1" si="127"/>
        <v/>
      </c>
    </row>
    <row r="221" spans="2:86" ht="13.5" customHeight="1" x14ac:dyDescent="0.2">
      <c r="B221" s="262">
        <v>121</v>
      </c>
      <c r="C221" s="237" t="str">
        <f t="shared" si="91"/>
        <v/>
      </c>
      <c r="D221" s="237" t="str">
        <f t="shared" si="147"/>
        <v>-</v>
      </c>
      <c r="E221" s="263" t="str">
        <f t="shared" si="128"/>
        <v/>
      </c>
      <c r="F221" s="264" t="str">
        <f t="shared" si="129"/>
        <v/>
      </c>
      <c r="G221" s="264" t="str">
        <f t="shared" si="130"/>
        <v/>
      </c>
      <c r="H221" s="240" t="str">
        <f t="shared" si="149"/>
        <v/>
      </c>
      <c r="I221" s="265" t="str">
        <f t="shared" si="150"/>
        <v/>
      </c>
      <c r="J221" s="265" t="str">
        <f t="shared" si="151"/>
        <v/>
      </c>
      <c r="K221" s="240" t="str">
        <f t="shared" si="152"/>
        <v/>
      </c>
      <c r="L221" s="265" t="str">
        <f t="shared" si="153"/>
        <v/>
      </c>
      <c r="M221" s="265" t="str">
        <f t="shared" si="154"/>
        <v/>
      </c>
      <c r="N221" s="240" t="str">
        <f t="shared" si="155"/>
        <v>-</v>
      </c>
      <c r="O221" s="265" t="str">
        <f t="shared" si="156"/>
        <v>-</v>
      </c>
      <c r="P221" s="265" t="str">
        <f t="shared" si="157"/>
        <v>-</v>
      </c>
      <c r="Q221" s="266" t="str">
        <f t="shared" si="158"/>
        <v>-</v>
      </c>
      <c r="R221" s="267" t="str">
        <f t="shared" si="159"/>
        <v>-</v>
      </c>
      <c r="S221" s="268" t="str">
        <f t="shared" si="160"/>
        <v>-</v>
      </c>
      <c r="T221" s="269" t="str">
        <f t="shared" si="104"/>
        <v/>
      </c>
      <c r="U221" s="221">
        <f t="shared" si="105"/>
        <v>121</v>
      </c>
      <c r="V221" s="220" t="str">
        <f t="shared" si="131"/>
        <v>-</v>
      </c>
      <c r="W221" s="221" t="str">
        <f t="shared" si="132"/>
        <v>-</v>
      </c>
      <c r="X221" s="221" t="str">
        <f t="shared" si="106"/>
        <v>-</v>
      </c>
      <c r="Y221" s="221" t="str">
        <f t="shared" si="107"/>
        <v>-</v>
      </c>
      <c r="Z221" s="270">
        <f t="shared" si="133"/>
        <v>0.1</v>
      </c>
      <c r="AA221" s="271" t="str">
        <f>IFERROR(IF(V220=1,AA$100*EXP(-(LN(2)/$D$65+0.04)*X220)*EXP(-(LN(2)/$D$65+0.1)*Y220),IF(V220=2,AA$100*EXP(-(LN(2)/$D$65+0.04)*(VLOOKUP(($F$16-$F$15)-1,U$99:Y220,4,FALSE)))*EXP(-(LN(2)/$D$65+0.1)*(VLOOKUP(($F$16-$F$15)-1,U$99:Y220,5,FALSE)))*EXP(-(LN(2)/$D$65+0.04)*X220)*EXP(-(LN(2)/$D$65+0.1)*Y220),IF(V220=3,AA$100*EXP(-(LN(2)/$D$65+0.04)*(VLOOKUP(($F$16-$F$15)-1,U$99:Y220,4,FALSE)))*EXP(-(LN(2)/$D$65+0.1)*(VLOOKUP(($F$16-$F$15)-1,U$99:Y220,5,FALSE)))*EXP(-(LN(2)/$D$65+0.04)*(VLOOKUP(($F$16-$F$15)*2-1,U$99:Y220,4,FALSE)))*EXP(-(LN(2)/$D$65+0.1)*(VLOOKUP(($F$16-$F$15)*2-1,U$99:Y220,5,FALSE)))*EXP(-(LN(2)/$D$65+0.04)*X220)*EXP(-(LN(2)/$D$65+0.1)*Y220),"-"))),"-")</f>
        <v>-</v>
      </c>
      <c r="AB221" s="271" t="str">
        <f>IFERROR(IF(V221=1,AB$100*EXP(-(LN(2)/$D$65+0.04)*X221)*EXP(-(LN(2)/$D$65+0.1)*Y221),IF(V221=2,AB$100*EXP(-(LN(2)/$D$65+0.04)*(VLOOKUP(($F$16-$F$15)-1,U$100:Y221,4,FALSE)))*EXP(-(LN(2)/$D$65+0.1)*(VLOOKUP(($F$16-$F$15)-1,U$100:Y221,5,FALSE)))*EXP(-(LN(2)/$D$65+0.04)*X221)*EXP(-(LN(2)/$D$65+0.1)*Y221),IF(V221=3,AB$100*EXP(-(LN(2)/$D$65+0.04)*(VLOOKUP(($F$16-$F$15)-1,U$100:Y221,4,FALSE)))*EXP(-(LN(2)/$D$65+0.1)*(VLOOKUP(($F$16-$F$15)-1,U$100:Y221,5,FALSE)))*EXP(-(LN(2)/$D$65+0.04)*(VLOOKUP(($F$16-$F$15)*2-1,U$100:Y221,4,FALSE)))*EXP(-(LN(2)/$D$65+0.1)*(VLOOKUP(($F$16-$F$15)*2-1,U$100:Y221,5,FALSE)))*EXP(-(LN(2)/$D$65+0.04)*X221)*EXP(-(LN(2)/$D$65+0.1)*Y221),"-"))),"-")</f>
        <v>-</v>
      </c>
      <c r="AC221" s="224">
        <f t="shared" si="134"/>
        <v>121</v>
      </c>
      <c r="AD221" s="223" t="str">
        <f t="shared" si="108"/>
        <v>-</v>
      </c>
      <c r="AE221" s="224" t="str">
        <f t="shared" si="135"/>
        <v>-</v>
      </c>
      <c r="AF221" s="224" t="str">
        <f t="shared" si="109"/>
        <v>-</v>
      </c>
      <c r="AG221" s="224" t="str">
        <f t="shared" si="110"/>
        <v>-</v>
      </c>
      <c r="AH221" s="272">
        <f t="shared" si="136"/>
        <v>0.1</v>
      </c>
      <c r="AI221" s="271" t="str">
        <f>IFERROR(IF(AD220=1,AI$100*EXP(-(LN(2)/$D$65+0.04)*AF220)*EXP(-(LN(2)/$D$65+0.1)*AG220),IF(AD220=2,AI$100*EXP(-(LN(2)/$D$65+0.04)*(VLOOKUP(($F$16-$F$15)-1,AC$99:AG220,4,FALSE)))*EXP(-(LN(2)/$D$65+0.1)*(VLOOKUP(($F$16-$F$15)-1,AC$99:AG220,5,FALSE)))*EXP(-(LN(2)/$D$65+0.04)*AF220)*EXP(-(LN(2)/$D$65+0.1)*AG220),IF(AD220=3,AI$100*EXP(-(LN(2)/$D$65+0.04)*(VLOOKUP(($F$16-$F$15)-1,AC$99:AG220,4,FALSE)))*EXP(-(LN(2)/$D$65+0.1)*(VLOOKUP(($F$16-$F$15)-1,AC$99:AG220,5,FALSE)))*EXP(-(LN(2)/$D$65+0.04)*(VLOOKUP(($F$16-$F$15)*2-1,AC$99:AG220,4,FALSE)))*EXP(-(LN(2)/$D$65+0.1)*(VLOOKUP(($F$16-$F$15)*2-1,AC$99:AG220,5,FALSE)))*EXP(-(LN(2)/$D$65+0.04)*AF220)*EXP(-(LN(2)/$D$65+0.1)*AG220),"-"))),"-")</f>
        <v>-</v>
      </c>
      <c r="AJ221" s="271" t="str">
        <f>IFERROR(IF(AD221=1,AJ$100*EXP(-(LN(2)/$D$65+0.04)*AF221)*EXP(-(LN(2)/$D$65+0.1)*AG221),IF(AD221=2,AJ$100*EXP(-(LN(2)/$D$65+0.04)*(VLOOKUP(($F$16-$F$15)-1,AC$100:AG221,4,FALSE)))*EXP(-(LN(2)/$D$65+0.1)*(VLOOKUP(($F$16-$F$15)-1,AC$100:AG221,5,FALSE)))*EXP(-(LN(2)/$D$65+0.04)*AF221)*EXP(-(LN(2)/$D$65+0.1)*AG221),IF(AD221=3,AJ$100*EXP(-(LN(2)/$D$65+0.04)*(VLOOKUP(($F$16-$F$15)-1,AC$100:AG221,4,FALSE)))*EXP(-(LN(2)/$D$65+0.1)*(VLOOKUP(($F$16-$F$15)-1,AC$100:AG221,5,FALSE)))*EXP(-(LN(2)/$D$65+0.04)*(VLOOKUP(($F$16-$F$15)*2-1,AC$100:AG221,4,FALSE)))*EXP(-(LN(2)/$D$65+0.1)*(VLOOKUP(($F$16-$F$15)*2-1,AC$100:AG221,5,FALSE)))*EXP(-(LN(2)/$D$65+0.04)*AF221)*EXP(-(LN(2)/$D$65+0.1)*AG221),"-"))),"-")</f>
        <v>-</v>
      </c>
      <c r="AK221" s="227">
        <f t="shared" si="137"/>
        <v>121</v>
      </c>
      <c r="AL221" s="226" t="str">
        <f t="shared" si="111"/>
        <v>-</v>
      </c>
      <c r="AM221" s="227" t="str">
        <f t="shared" si="138"/>
        <v>-</v>
      </c>
      <c r="AN221" s="227" t="str">
        <f t="shared" si="139"/>
        <v>-</v>
      </c>
      <c r="AO221" s="227" t="str">
        <f t="shared" si="112"/>
        <v>-</v>
      </c>
      <c r="AP221" s="273">
        <f t="shared" si="140"/>
        <v>0.1</v>
      </c>
      <c r="AQ221" s="271" t="str">
        <f>IFERROR(IF(AL220=1,AQ$100*EXP(-(LN(2)/$D$65+0.04)*AN220)*EXP(-(LN(2)/$D$65+0.1)*AO220),IF(AL220=2,AQ$100*EXP(-(LN(2)/$D$65+0.04)*(VLOOKUP(($F$16-$F$15)-1,AK$99:AO220,4,FALSE)))*EXP(-(LN(2)/$D$65+0.1)*(VLOOKUP(($F$16-$F$15)-1,AK$99:AO220,5,FALSE)))*EXP(-(LN(2)/$D$65+0.04)*AN220)*EXP(-(LN(2)/$D$65+0.1)*AO220),IF(AL220=3,AQ$100*EXP(-(LN(2)/$D$65+0.04)*(VLOOKUP(($F$16-$F$15)-1,AK$99:AO220,4,FALSE)))*EXP(-(LN(2)/$D$65+0.1)*(VLOOKUP(($F$16-$F$15)-1,AK$99:AO220,5,FALSE)))*EXP(-(LN(2)/$D$65+0.04)*(VLOOKUP(($F$16-$F$15)*2-1,AK$99:AO220,4,FALSE)))*EXP(-(LN(2)/$D$65+0.1)*(VLOOKUP(($F$16-$F$15)*2-1,AK$99:AO220,5,FALSE)))*EXP(-(LN(2)/$D$65+0.04)*AN220)*EXP(-(LN(2)/$D$65+0.1)*AO220),"-"))),"-")</f>
        <v>-</v>
      </c>
      <c r="AR221" s="271" t="str">
        <f>IFERROR(IF(AL221=1,AR$100*EXP(-(LN(2)/$D$65+0.04)*AN221)*EXP(-(LN(2)/$D$65+0.1)*AO221),IF(AL221=2,AR$100*EXP(-(LN(2)/$D$65+0.04)*(VLOOKUP(($F$16-$F$15)-1,AK$100:AO221,4,FALSE)))*EXP(-(LN(2)/$D$65+0.1)*(VLOOKUP(($F$16-$F$15)-1,AK$100:AO221,5,FALSE)))*EXP(-(LN(2)/$D$65+0.04)*AN221)*EXP(-(LN(2)/$D$65+0.1)*AO221),IF(AL221=3,AR$100*EXP(-(LN(2)/$D$65+0.04)*(VLOOKUP(($F$16-$F$15)-1,AK$100:AO221,4,FALSE)))*EXP(-(LN(2)/$D$65+0.1)*(VLOOKUP(($F$16-$F$15)-1,AK$100:AO221,5,FALSE)))*EXP(-(LN(2)/$D$65+0.04)*(VLOOKUP(($F$16-$F$15)*2-1,AK$100:AO221,4,FALSE)))*EXP(-(LN(2)/$D$65+0.1)*(VLOOKUP(($F$16-$F$15)*2-1,AK$100:AO221,5,FALSE)))*EXP(-(LN(2)/$D$65+0.04)*AN221)*EXP(-(LN(2)/$D$65+0.1)*AO221),"-"))),"-")</f>
        <v>-</v>
      </c>
      <c r="AS221" s="274">
        <f t="shared" si="113"/>
        <v>0</v>
      </c>
      <c r="AT221" s="274">
        <f t="shared" si="114"/>
        <v>0</v>
      </c>
      <c r="AU221" s="274">
        <f t="shared" si="115"/>
        <v>0</v>
      </c>
      <c r="AV221" s="190">
        <f>IF($B221&lt;$F$22,SUM($T$100:$T221),"")</f>
        <v>0</v>
      </c>
      <c r="AW221" s="190" t="str">
        <f t="shared" si="161"/>
        <v>-</v>
      </c>
      <c r="AX221" s="190" t="str">
        <f t="shared" si="141"/>
        <v/>
      </c>
      <c r="AY221"/>
      <c r="AZ221" s="190" t="str">
        <f ca="1">IF(ISNUMBER(OFFSET(AV221,-$F$21,0)),SUM(OFFSET($T$100,$F$21,0):$T221),"")</f>
        <v/>
      </c>
      <c r="BA221" s="190" t="str">
        <f t="shared" ca="1" si="162"/>
        <v/>
      </c>
      <c r="BB221" s="190" t="str">
        <f t="shared" ca="1" si="148"/>
        <v/>
      </c>
      <c r="BC221" s="190"/>
      <c r="BD221" s="190" t="str">
        <f ca="1">IFERROR(IF(AND($B221&gt;=($F$16-$F$15),$B221&lt;$F$22+($F$16-$F$15)),SUM(OFFSET($T$100,($F$16-$F$15),0):$T221),""),"")</f>
        <v/>
      </c>
      <c r="BE221" s="190" t="str">
        <f t="shared" ca="1" si="142"/>
        <v/>
      </c>
      <c r="BF221" s="190" t="str">
        <f t="shared" ca="1" si="143"/>
        <v/>
      </c>
      <c r="BG221"/>
      <c r="BH221" s="190" t="str">
        <f ca="1">IF(ISNUMBER(OFFSET(BD221,-$F$21,0)),SUM(OFFSET($T$100,($F$16-$F$15+$F$21),0):$T221),"")</f>
        <v/>
      </c>
      <c r="BI221" s="190" t="str">
        <f t="shared" ca="1" si="163"/>
        <v/>
      </c>
      <c r="BJ221" s="190" t="str">
        <f t="shared" ca="1" si="144"/>
        <v/>
      </c>
      <c r="BK221" s="190"/>
      <c r="BL221" s="190" t="str">
        <f ca="1">IFERROR(IF(AND($B221&gt;=($F$17-$F$15),$B221&lt;$F$22+($F$17-$F$15)),SUM(OFFSET($T$100,($F$17-$F$15),0):$T221),""),"")</f>
        <v/>
      </c>
      <c r="BM221" s="190" t="str">
        <f t="shared" ca="1" si="164"/>
        <v/>
      </c>
      <c r="BN221" s="190" t="str">
        <f t="shared" ca="1" si="145"/>
        <v/>
      </c>
      <c r="BO221"/>
      <c r="BP221" s="190" t="str">
        <f ca="1">IF(ISNUMBER(OFFSET(BL221,-$F$21,0)),SUM(OFFSET($T$100,($F$17-$F$15+$F$21),0):$T221),"")</f>
        <v/>
      </c>
      <c r="BQ221" s="190" t="str">
        <f t="shared" ca="1" si="165"/>
        <v/>
      </c>
      <c r="BR221" s="190" t="str">
        <f t="shared" ca="1" si="146"/>
        <v/>
      </c>
      <c r="BS221" s="190"/>
      <c r="BT221"/>
      <c r="BU221"/>
      <c r="BV221"/>
      <c r="BY221" s="99"/>
      <c r="BZ221" s="99"/>
      <c r="CA221" s="280" t="str">
        <f t="shared" si="166"/>
        <v/>
      </c>
      <c r="CB221" s="71" t="str">
        <f t="shared" si="122"/>
        <v>-</v>
      </c>
      <c r="CC221" s="33"/>
      <c r="CD221" s="261" t="str">
        <f t="shared" si="123"/>
        <v/>
      </c>
      <c r="CE221" s="280" t="str">
        <f t="shared" si="167"/>
        <v>-</v>
      </c>
      <c r="CF221" s="71" t="str">
        <f t="shared" ca="1" si="168"/>
        <v>-</v>
      </c>
      <c r="CG221" s="33" t="str">
        <f t="shared" si="126"/>
        <v>121-122</v>
      </c>
      <c r="CH221" s="261" t="str">
        <f t="shared" ca="1" si="127"/>
        <v/>
      </c>
    </row>
    <row r="222" spans="2:86" ht="13.5" customHeight="1" x14ac:dyDescent="0.2">
      <c r="B222" s="262">
        <v>122</v>
      </c>
      <c r="C222" s="237" t="str">
        <f t="shared" si="91"/>
        <v/>
      </c>
      <c r="D222" s="237" t="str">
        <f t="shared" si="147"/>
        <v>-</v>
      </c>
      <c r="E222" s="263" t="str">
        <f t="shared" si="128"/>
        <v/>
      </c>
      <c r="F222" s="264" t="str">
        <f t="shared" si="129"/>
        <v/>
      </c>
      <c r="G222" s="264" t="str">
        <f t="shared" si="130"/>
        <v/>
      </c>
      <c r="H222" s="240" t="str">
        <f t="shared" si="149"/>
        <v/>
      </c>
      <c r="I222" s="265" t="str">
        <f t="shared" si="150"/>
        <v/>
      </c>
      <c r="J222" s="265" t="str">
        <f t="shared" si="151"/>
        <v/>
      </c>
      <c r="K222" s="240" t="str">
        <f t="shared" si="152"/>
        <v/>
      </c>
      <c r="L222" s="265" t="str">
        <f t="shared" si="153"/>
        <v/>
      </c>
      <c r="M222" s="265" t="str">
        <f t="shared" si="154"/>
        <v/>
      </c>
      <c r="N222" s="240" t="str">
        <f t="shared" si="155"/>
        <v>-</v>
      </c>
      <c r="O222" s="265" t="str">
        <f t="shared" si="156"/>
        <v>-</v>
      </c>
      <c r="P222" s="265" t="str">
        <f t="shared" si="157"/>
        <v>-</v>
      </c>
      <c r="Q222" s="266" t="str">
        <f t="shared" si="158"/>
        <v>-</v>
      </c>
      <c r="R222" s="267" t="str">
        <f t="shared" si="159"/>
        <v>-</v>
      </c>
      <c r="S222" s="268" t="str">
        <f t="shared" si="160"/>
        <v>-</v>
      </c>
      <c r="T222" s="269" t="str">
        <f t="shared" si="104"/>
        <v/>
      </c>
      <c r="U222" s="221">
        <f t="shared" si="105"/>
        <v>122</v>
      </c>
      <c r="V222" s="220" t="str">
        <f t="shared" si="131"/>
        <v>-</v>
      </c>
      <c r="W222" s="221" t="str">
        <f t="shared" si="132"/>
        <v>-</v>
      </c>
      <c r="X222" s="221" t="str">
        <f t="shared" si="106"/>
        <v>-</v>
      </c>
      <c r="Y222" s="221" t="str">
        <f t="shared" si="107"/>
        <v>-</v>
      </c>
      <c r="Z222" s="270">
        <f t="shared" si="133"/>
        <v>0.1</v>
      </c>
      <c r="AA222" s="271" t="str">
        <f>IFERROR(IF(V221=1,AA$100*EXP(-(LN(2)/$D$65+0.04)*X221)*EXP(-(LN(2)/$D$65+0.1)*Y221),IF(V221=2,AA$100*EXP(-(LN(2)/$D$65+0.04)*(VLOOKUP(($F$16-$F$15)-1,U$99:Y221,4,FALSE)))*EXP(-(LN(2)/$D$65+0.1)*(VLOOKUP(($F$16-$F$15)-1,U$99:Y221,5,FALSE)))*EXP(-(LN(2)/$D$65+0.04)*X221)*EXP(-(LN(2)/$D$65+0.1)*Y221),IF(V221=3,AA$100*EXP(-(LN(2)/$D$65+0.04)*(VLOOKUP(($F$16-$F$15)-1,U$99:Y221,4,FALSE)))*EXP(-(LN(2)/$D$65+0.1)*(VLOOKUP(($F$16-$F$15)-1,U$99:Y221,5,FALSE)))*EXP(-(LN(2)/$D$65+0.04)*(VLOOKUP(($F$16-$F$15)*2-1,U$99:Y221,4,FALSE)))*EXP(-(LN(2)/$D$65+0.1)*(VLOOKUP(($F$16-$F$15)*2-1,U$99:Y221,5,FALSE)))*EXP(-(LN(2)/$D$65+0.04)*X221)*EXP(-(LN(2)/$D$65+0.1)*Y221),"-"))),"-")</f>
        <v>-</v>
      </c>
      <c r="AB222" s="271" t="str">
        <f>IFERROR(IF(V222=1,AB$100*EXP(-(LN(2)/$D$65+0.04)*X222)*EXP(-(LN(2)/$D$65+0.1)*Y222),IF(V222=2,AB$100*EXP(-(LN(2)/$D$65+0.04)*(VLOOKUP(($F$16-$F$15)-1,U$100:Y222,4,FALSE)))*EXP(-(LN(2)/$D$65+0.1)*(VLOOKUP(($F$16-$F$15)-1,U$100:Y222,5,FALSE)))*EXP(-(LN(2)/$D$65+0.04)*X222)*EXP(-(LN(2)/$D$65+0.1)*Y222),IF(V222=3,AB$100*EXP(-(LN(2)/$D$65+0.04)*(VLOOKUP(($F$16-$F$15)-1,U$100:Y222,4,FALSE)))*EXP(-(LN(2)/$D$65+0.1)*(VLOOKUP(($F$16-$F$15)-1,U$100:Y222,5,FALSE)))*EXP(-(LN(2)/$D$65+0.04)*(VLOOKUP(($F$16-$F$15)*2-1,U$100:Y222,4,FALSE)))*EXP(-(LN(2)/$D$65+0.1)*(VLOOKUP(($F$16-$F$15)*2-1,U$100:Y222,5,FALSE)))*EXP(-(LN(2)/$D$65+0.04)*X222)*EXP(-(LN(2)/$D$65+0.1)*Y222),"-"))),"-")</f>
        <v>-</v>
      </c>
      <c r="AC222" s="224">
        <f t="shared" si="134"/>
        <v>122</v>
      </c>
      <c r="AD222" s="223" t="str">
        <f t="shared" si="108"/>
        <v>-</v>
      </c>
      <c r="AE222" s="224" t="str">
        <f t="shared" si="135"/>
        <v>-</v>
      </c>
      <c r="AF222" s="224" t="str">
        <f t="shared" si="109"/>
        <v>-</v>
      </c>
      <c r="AG222" s="224" t="str">
        <f t="shared" si="110"/>
        <v>-</v>
      </c>
      <c r="AH222" s="272">
        <f t="shared" si="136"/>
        <v>0.1</v>
      </c>
      <c r="AI222" s="271" t="str">
        <f>IFERROR(IF(AD221=1,AI$100*EXP(-(LN(2)/$D$65+0.04)*AF221)*EXP(-(LN(2)/$D$65+0.1)*AG221),IF(AD221=2,AI$100*EXP(-(LN(2)/$D$65+0.04)*(VLOOKUP(($F$16-$F$15)-1,AC$99:AG221,4,FALSE)))*EXP(-(LN(2)/$D$65+0.1)*(VLOOKUP(($F$16-$F$15)-1,AC$99:AG221,5,FALSE)))*EXP(-(LN(2)/$D$65+0.04)*AF221)*EXP(-(LN(2)/$D$65+0.1)*AG221),IF(AD221=3,AI$100*EXP(-(LN(2)/$D$65+0.04)*(VLOOKUP(($F$16-$F$15)-1,AC$99:AG221,4,FALSE)))*EXP(-(LN(2)/$D$65+0.1)*(VLOOKUP(($F$16-$F$15)-1,AC$99:AG221,5,FALSE)))*EXP(-(LN(2)/$D$65+0.04)*(VLOOKUP(($F$16-$F$15)*2-1,AC$99:AG221,4,FALSE)))*EXP(-(LN(2)/$D$65+0.1)*(VLOOKUP(($F$16-$F$15)*2-1,AC$99:AG221,5,FALSE)))*EXP(-(LN(2)/$D$65+0.04)*AF221)*EXP(-(LN(2)/$D$65+0.1)*AG221),"-"))),"-")</f>
        <v>-</v>
      </c>
      <c r="AJ222" s="271" t="str">
        <f>IFERROR(IF(AD222=1,AJ$100*EXP(-(LN(2)/$D$65+0.04)*AF222)*EXP(-(LN(2)/$D$65+0.1)*AG222),IF(AD222=2,AJ$100*EXP(-(LN(2)/$D$65+0.04)*(VLOOKUP(($F$16-$F$15)-1,AC$100:AG222,4,FALSE)))*EXP(-(LN(2)/$D$65+0.1)*(VLOOKUP(($F$16-$F$15)-1,AC$100:AG222,5,FALSE)))*EXP(-(LN(2)/$D$65+0.04)*AF222)*EXP(-(LN(2)/$D$65+0.1)*AG222),IF(AD222=3,AJ$100*EXP(-(LN(2)/$D$65+0.04)*(VLOOKUP(($F$16-$F$15)-1,AC$100:AG222,4,FALSE)))*EXP(-(LN(2)/$D$65+0.1)*(VLOOKUP(($F$16-$F$15)-1,AC$100:AG222,5,FALSE)))*EXP(-(LN(2)/$D$65+0.04)*(VLOOKUP(($F$16-$F$15)*2-1,AC$100:AG222,4,FALSE)))*EXP(-(LN(2)/$D$65+0.1)*(VLOOKUP(($F$16-$F$15)*2-1,AC$100:AG222,5,FALSE)))*EXP(-(LN(2)/$D$65+0.04)*AF222)*EXP(-(LN(2)/$D$65+0.1)*AG222),"-"))),"-")</f>
        <v>-</v>
      </c>
      <c r="AK222" s="227">
        <f t="shared" si="137"/>
        <v>122</v>
      </c>
      <c r="AL222" s="226" t="str">
        <f t="shared" si="111"/>
        <v>-</v>
      </c>
      <c r="AM222" s="227" t="str">
        <f t="shared" si="138"/>
        <v>-</v>
      </c>
      <c r="AN222" s="227" t="str">
        <f t="shared" si="139"/>
        <v>-</v>
      </c>
      <c r="AO222" s="227" t="str">
        <f t="shared" si="112"/>
        <v>-</v>
      </c>
      <c r="AP222" s="273">
        <f t="shared" si="140"/>
        <v>0.1</v>
      </c>
      <c r="AQ222" s="271" t="str">
        <f>IFERROR(IF(AL221=1,AQ$100*EXP(-(LN(2)/$D$65+0.04)*AN221)*EXP(-(LN(2)/$D$65+0.1)*AO221),IF(AL221=2,AQ$100*EXP(-(LN(2)/$D$65+0.04)*(VLOOKUP(($F$16-$F$15)-1,AK$99:AO221,4,FALSE)))*EXP(-(LN(2)/$D$65+0.1)*(VLOOKUP(($F$16-$F$15)-1,AK$99:AO221,5,FALSE)))*EXP(-(LN(2)/$D$65+0.04)*AN221)*EXP(-(LN(2)/$D$65+0.1)*AO221),IF(AL221=3,AQ$100*EXP(-(LN(2)/$D$65+0.04)*(VLOOKUP(($F$16-$F$15)-1,AK$99:AO221,4,FALSE)))*EXP(-(LN(2)/$D$65+0.1)*(VLOOKUP(($F$16-$F$15)-1,AK$99:AO221,5,FALSE)))*EXP(-(LN(2)/$D$65+0.04)*(VLOOKUP(($F$16-$F$15)*2-1,AK$99:AO221,4,FALSE)))*EXP(-(LN(2)/$D$65+0.1)*(VLOOKUP(($F$16-$F$15)*2-1,AK$99:AO221,5,FALSE)))*EXP(-(LN(2)/$D$65+0.04)*AN221)*EXP(-(LN(2)/$D$65+0.1)*AO221),"-"))),"-")</f>
        <v>-</v>
      </c>
      <c r="AR222" s="271" t="str">
        <f>IFERROR(IF(AL222=1,AR$100*EXP(-(LN(2)/$D$65+0.04)*AN222)*EXP(-(LN(2)/$D$65+0.1)*AO222),IF(AL222=2,AR$100*EXP(-(LN(2)/$D$65+0.04)*(VLOOKUP(($F$16-$F$15)-1,AK$100:AO222,4,FALSE)))*EXP(-(LN(2)/$D$65+0.1)*(VLOOKUP(($F$16-$F$15)-1,AK$100:AO222,5,FALSE)))*EXP(-(LN(2)/$D$65+0.04)*AN222)*EXP(-(LN(2)/$D$65+0.1)*AO222),IF(AL222=3,AR$100*EXP(-(LN(2)/$D$65+0.04)*(VLOOKUP(($F$16-$F$15)-1,AK$100:AO222,4,FALSE)))*EXP(-(LN(2)/$D$65+0.1)*(VLOOKUP(($F$16-$F$15)-1,AK$100:AO222,5,FALSE)))*EXP(-(LN(2)/$D$65+0.04)*(VLOOKUP(($F$16-$F$15)*2-1,AK$100:AO222,4,FALSE)))*EXP(-(LN(2)/$D$65+0.1)*(VLOOKUP(($F$16-$F$15)*2-1,AK$100:AO222,5,FALSE)))*EXP(-(LN(2)/$D$65+0.04)*AN222)*EXP(-(LN(2)/$D$65+0.1)*AO222),"-"))),"-")</f>
        <v>-</v>
      </c>
      <c r="AS222" s="274">
        <f t="shared" si="113"/>
        <v>0</v>
      </c>
      <c r="AT222" s="274">
        <f t="shared" si="114"/>
        <v>0</v>
      </c>
      <c r="AU222" s="274">
        <f t="shared" si="115"/>
        <v>0</v>
      </c>
      <c r="AV222" s="190">
        <f>IF($B222&lt;$F$22,SUM($T$100:$T222),"")</f>
        <v>0</v>
      </c>
      <c r="AW222" s="190" t="str">
        <f t="shared" si="161"/>
        <v>-</v>
      </c>
      <c r="AX222" s="190" t="str">
        <f t="shared" si="141"/>
        <v/>
      </c>
      <c r="AY222"/>
      <c r="AZ222" s="190" t="str">
        <f ca="1">IF(ISNUMBER(OFFSET(AV222,-$F$21,0)),SUM(OFFSET($T$100,$F$21,0):$T222),"")</f>
        <v/>
      </c>
      <c r="BA222" s="190" t="str">
        <f t="shared" ca="1" si="162"/>
        <v/>
      </c>
      <c r="BB222" s="190" t="str">
        <f t="shared" ca="1" si="148"/>
        <v/>
      </c>
      <c r="BC222" s="190"/>
      <c r="BD222" s="190" t="str">
        <f ca="1">IFERROR(IF(AND($B222&gt;=($F$16-$F$15),$B222&lt;$F$22+($F$16-$F$15)),SUM(OFFSET($T$100,($F$16-$F$15),0):$T222),""),"")</f>
        <v/>
      </c>
      <c r="BE222" s="190" t="str">
        <f t="shared" ca="1" si="142"/>
        <v/>
      </c>
      <c r="BF222" s="190" t="str">
        <f t="shared" ca="1" si="143"/>
        <v/>
      </c>
      <c r="BG222"/>
      <c r="BH222" s="190" t="str">
        <f ca="1">IF(ISNUMBER(OFFSET(BD222,-$F$21,0)),SUM(OFFSET($T$100,($F$16-$F$15+$F$21),0):$T222),"")</f>
        <v/>
      </c>
      <c r="BI222" s="190" t="str">
        <f t="shared" ca="1" si="163"/>
        <v/>
      </c>
      <c r="BJ222" s="190" t="str">
        <f t="shared" ca="1" si="144"/>
        <v/>
      </c>
      <c r="BK222" s="190"/>
      <c r="BL222" s="190" t="str">
        <f ca="1">IFERROR(IF(AND($B222&gt;=($F$17-$F$15),$B222&lt;$F$22+($F$17-$F$15)),SUM(OFFSET($T$100,($F$17-$F$15),0):$T222),""),"")</f>
        <v/>
      </c>
      <c r="BM222" s="190" t="str">
        <f t="shared" ca="1" si="164"/>
        <v/>
      </c>
      <c r="BN222" s="190" t="str">
        <f t="shared" ca="1" si="145"/>
        <v/>
      </c>
      <c r="BO222"/>
      <c r="BP222" s="190" t="str">
        <f ca="1">IF(ISNUMBER(OFFSET(BL222,-$F$21,0)),SUM(OFFSET($T$100,($F$17-$F$15+$F$21),0):$T222),"")</f>
        <v/>
      </c>
      <c r="BQ222" s="190" t="str">
        <f t="shared" ca="1" si="165"/>
        <v/>
      </c>
      <c r="BR222" s="190" t="str">
        <f t="shared" ca="1" si="146"/>
        <v/>
      </c>
      <c r="BS222" s="190"/>
      <c r="BT222"/>
      <c r="BU222"/>
      <c r="BV222"/>
      <c r="BY222" s="99"/>
      <c r="BZ222" s="99"/>
      <c r="CA222" s="280" t="str">
        <f t="shared" si="166"/>
        <v/>
      </c>
      <c r="CB222" s="71" t="str">
        <f t="shared" si="122"/>
        <v>-</v>
      </c>
      <c r="CC222" s="33"/>
      <c r="CD222" s="261" t="str">
        <f t="shared" si="123"/>
        <v/>
      </c>
      <c r="CE222" s="280" t="str">
        <f t="shared" si="167"/>
        <v>-</v>
      </c>
      <c r="CF222" s="71" t="str">
        <f t="shared" ca="1" si="168"/>
        <v>-</v>
      </c>
      <c r="CG222" s="33" t="str">
        <f t="shared" si="126"/>
        <v>122-123</v>
      </c>
      <c r="CH222" s="261" t="str">
        <f t="shared" ca="1" si="127"/>
        <v/>
      </c>
    </row>
    <row r="223" spans="2:86" ht="13.5" customHeight="1" x14ac:dyDescent="0.2">
      <c r="B223" s="262">
        <v>123</v>
      </c>
      <c r="C223" s="237" t="str">
        <f t="shared" si="91"/>
        <v/>
      </c>
      <c r="D223" s="237" t="str">
        <f t="shared" si="147"/>
        <v>-</v>
      </c>
      <c r="E223" s="263" t="str">
        <f t="shared" si="128"/>
        <v/>
      </c>
      <c r="F223" s="264" t="str">
        <f t="shared" si="129"/>
        <v/>
      </c>
      <c r="G223" s="264" t="str">
        <f t="shared" si="130"/>
        <v/>
      </c>
      <c r="H223" s="240" t="str">
        <f t="shared" si="149"/>
        <v/>
      </c>
      <c r="I223" s="265" t="str">
        <f t="shared" si="150"/>
        <v/>
      </c>
      <c r="J223" s="265" t="str">
        <f t="shared" si="151"/>
        <v/>
      </c>
      <c r="K223" s="240" t="str">
        <f t="shared" si="152"/>
        <v/>
      </c>
      <c r="L223" s="265" t="str">
        <f t="shared" si="153"/>
        <v/>
      </c>
      <c r="M223" s="265" t="str">
        <f t="shared" si="154"/>
        <v/>
      </c>
      <c r="N223" s="240" t="str">
        <f t="shared" si="155"/>
        <v>-</v>
      </c>
      <c r="O223" s="265" t="str">
        <f t="shared" si="156"/>
        <v>-</v>
      </c>
      <c r="P223" s="265" t="str">
        <f t="shared" si="157"/>
        <v>-</v>
      </c>
      <c r="Q223" s="266" t="str">
        <f t="shared" si="158"/>
        <v>-</v>
      </c>
      <c r="R223" s="267" t="str">
        <f t="shared" si="159"/>
        <v>-</v>
      </c>
      <c r="S223" s="268" t="str">
        <f t="shared" si="160"/>
        <v>-</v>
      </c>
      <c r="T223" s="269" t="str">
        <f t="shared" si="104"/>
        <v/>
      </c>
      <c r="U223" s="221">
        <f t="shared" si="105"/>
        <v>123</v>
      </c>
      <c r="V223" s="220" t="str">
        <f t="shared" si="131"/>
        <v>-</v>
      </c>
      <c r="W223" s="221" t="str">
        <f t="shared" si="132"/>
        <v>-</v>
      </c>
      <c r="X223" s="221" t="str">
        <f t="shared" si="106"/>
        <v>-</v>
      </c>
      <c r="Y223" s="221" t="str">
        <f t="shared" si="107"/>
        <v>-</v>
      </c>
      <c r="Z223" s="270">
        <f t="shared" si="133"/>
        <v>0.1</v>
      </c>
      <c r="AA223" s="271" t="str">
        <f>IFERROR(IF(V222=1,AA$100*EXP(-(LN(2)/$D$65+0.04)*X222)*EXP(-(LN(2)/$D$65+0.1)*Y222),IF(V222=2,AA$100*EXP(-(LN(2)/$D$65+0.04)*(VLOOKUP(($F$16-$F$15)-1,U$99:Y222,4,FALSE)))*EXP(-(LN(2)/$D$65+0.1)*(VLOOKUP(($F$16-$F$15)-1,U$99:Y222,5,FALSE)))*EXP(-(LN(2)/$D$65+0.04)*X222)*EXP(-(LN(2)/$D$65+0.1)*Y222),IF(V222=3,AA$100*EXP(-(LN(2)/$D$65+0.04)*(VLOOKUP(($F$16-$F$15)-1,U$99:Y222,4,FALSE)))*EXP(-(LN(2)/$D$65+0.1)*(VLOOKUP(($F$16-$F$15)-1,U$99:Y222,5,FALSE)))*EXP(-(LN(2)/$D$65+0.04)*(VLOOKUP(($F$16-$F$15)*2-1,U$99:Y222,4,FALSE)))*EXP(-(LN(2)/$D$65+0.1)*(VLOOKUP(($F$16-$F$15)*2-1,U$99:Y222,5,FALSE)))*EXP(-(LN(2)/$D$65+0.04)*X222)*EXP(-(LN(2)/$D$65+0.1)*Y222),"-"))),"-")</f>
        <v>-</v>
      </c>
      <c r="AB223" s="271" t="str">
        <f>IFERROR(IF(V223=1,AB$100*EXP(-(LN(2)/$D$65+0.04)*X223)*EXP(-(LN(2)/$D$65+0.1)*Y223),IF(V223=2,AB$100*EXP(-(LN(2)/$D$65+0.04)*(VLOOKUP(($F$16-$F$15)-1,U$100:Y223,4,FALSE)))*EXP(-(LN(2)/$D$65+0.1)*(VLOOKUP(($F$16-$F$15)-1,U$100:Y223,5,FALSE)))*EXP(-(LN(2)/$D$65+0.04)*X223)*EXP(-(LN(2)/$D$65+0.1)*Y223),IF(V223=3,AB$100*EXP(-(LN(2)/$D$65+0.04)*(VLOOKUP(($F$16-$F$15)-1,U$100:Y223,4,FALSE)))*EXP(-(LN(2)/$D$65+0.1)*(VLOOKUP(($F$16-$F$15)-1,U$100:Y223,5,FALSE)))*EXP(-(LN(2)/$D$65+0.04)*(VLOOKUP(($F$16-$F$15)*2-1,U$100:Y223,4,FALSE)))*EXP(-(LN(2)/$D$65+0.1)*(VLOOKUP(($F$16-$F$15)*2-1,U$100:Y223,5,FALSE)))*EXP(-(LN(2)/$D$65+0.04)*X223)*EXP(-(LN(2)/$D$65+0.1)*Y223),"-"))),"-")</f>
        <v>-</v>
      </c>
      <c r="AC223" s="224">
        <f t="shared" si="134"/>
        <v>123</v>
      </c>
      <c r="AD223" s="223" t="str">
        <f t="shared" si="108"/>
        <v>-</v>
      </c>
      <c r="AE223" s="224" t="str">
        <f t="shared" si="135"/>
        <v>-</v>
      </c>
      <c r="AF223" s="224" t="str">
        <f t="shared" si="109"/>
        <v>-</v>
      </c>
      <c r="AG223" s="224" t="str">
        <f t="shared" si="110"/>
        <v>-</v>
      </c>
      <c r="AH223" s="272">
        <f t="shared" si="136"/>
        <v>0.1</v>
      </c>
      <c r="AI223" s="271" t="str">
        <f>IFERROR(IF(AD222=1,AI$100*EXP(-(LN(2)/$D$65+0.04)*AF222)*EXP(-(LN(2)/$D$65+0.1)*AG222),IF(AD222=2,AI$100*EXP(-(LN(2)/$D$65+0.04)*(VLOOKUP(($F$16-$F$15)-1,AC$99:AG222,4,FALSE)))*EXP(-(LN(2)/$D$65+0.1)*(VLOOKUP(($F$16-$F$15)-1,AC$99:AG222,5,FALSE)))*EXP(-(LN(2)/$D$65+0.04)*AF222)*EXP(-(LN(2)/$D$65+0.1)*AG222),IF(AD222=3,AI$100*EXP(-(LN(2)/$D$65+0.04)*(VLOOKUP(($F$16-$F$15)-1,AC$99:AG222,4,FALSE)))*EXP(-(LN(2)/$D$65+0.1)*(VLOOKUP(($F$16-$F$15)-1,AC$99:AG222,5,FALSE)))*EXP(-(LN(2)/$D$65+0.04)*(VLOOKUP(($F$16-$F$15)*2-1,AC$99:AG222,4,FALSE)))*EXP(-(LN(2)/$D$65+0.1)*(VLOOKUP(($F$16-$F$15)*2-1,AC$99:AG222,5,FALSE)))*EXP(-(LN(2)/$D$65+0.04)*AF222)*EXP(-(LN(2)/$D$65+0.1)*AG222),"-"))),"-")</f>
        <v>-</v>
      </c>
      <c r="AJ223" s="271" t="str">
        <f>IFERROR(IF(AD223=1,AJ$100*EXP(-(LN(2)/$D$65+0.04)*AF223)*EXP(-(LN(2)/$D$65+0.1)*AG223),IF(AD223=2,AJ$100*EXP(-(LN(2)/$D$65+0.04)*(VLOOKUP(($F$16-$F$15)-1,AC$100:AG223,4,FALSE)))*EXP(-(LN(2)/$D$65+0.1)*(VLOOKUP(($F$16-$F$15)-1,AC$100:AG223,5,FALSE)))*EXP(-(LN(2)/$D$65+0.04)*AF223)*EXP(-(LN(2)/$D$65+0.1)*AG223),IF(AD223=3,AJ$100*EXP(-(LN(2)/$D$65+0.04)*(VLOOKUP(($F$16-$F$15)-1,AC$100:AG223,4,FALSE)))*EXP(-(LN(2)/$D$65+0.1)*(VLOOKUP(($F$16-$F$15)-1,AC$100:AG223,5,FALSE)))*EXP(-(LN(2)/$D$65+0.04)*(VLOOKUP(($F$16-$F$15)*2-1,AC$100:AG223,4,FALSE)))*EXP(-(LN(2)/$D$65+0.1)*(VLOOKUP(($F$16-$F$15)*2-1,AC$100:AG223,5,FALSE)))*EXP(-(LN(2)/$D$65+0.04)*AF223)*EXP(-(LN(2)/$D$65+0.1)*AG223),"-"))),"-")</f>
        <v>-</v>
      </c>
      <c r="AK223" s="227">
        <f t="shared" si="137"/>
        <v>123</v>
      </c>
      <c r="AL223" s="226" t="str">
        <f t="shared" si="111"/>
        <v>-</v>
      </c>
      <c r="AM223" s="227" t="str">
        <f t="shared" si="138"/>
        <v>-</v>
      </c>
      <c r="AN223" s="227" t="str">
        <f t="shared" si="139"/>
        <v>-</v>
      </c>
      <c r="AO223" s="227" t="str">
        <f t="shared" si="112"/>
        <v>-</v>
      </c>
      <c r="AP223" s="273">
        <f t="shared" si="140"/>
        <v>0.1</v>
      </c>
      <c r="AQ223" s="271" t="str">
        <f>IFERROR(IF(AL222=1,AQ$100*EXP(-(LN(2)/$D$65+0.04)*AN222)*EXP(-(LN(2)/$D$65+0.1)*AO222),IF(AL222=2,AQ$100*EXP(-(LN(2)/$D$65+0.04)*(VLOOKUP(($F$16-$F$15)-1,AK$99:AO222,4,FALSE)))*EXP(-(LN(2)/$D$65+0.1)*(VLOOKUP(($F$16-$F$15)-1,AK$99:AO222,5,FALSE)))*EXP(-(LN(2)/$D$65+0.04)*AN222)*EXP(-(LN(2)/$D$65+0.1)*AO222),IF(AL222=3,AQ$100*EXP(-(LN(2)/$D$65+0.04)*(VLOOKUP(($F$16-$F$15)-1,AK$99:AO222,4,FALSE)))*EXP(-(LN(2)/$D$65+0.1)*(VLOOKUP(($F$16-$F$15)-1,AK$99:AO222,5,FALSE)))*EXP(-(LN(2)/$D$65+0.04)*(VLOOKUP(($F$16-$F$15)*2-1,AK$99:AO222,4,FALSE)))*EXP(-(LN(2)/$D$65+0.1)*(VLOOKUP(($F$16-$F$15)*2-1,AK$99:AO222,5,FALSE)))*EXP(-(LN(2)/$D$65+0.04)*AN222)*EXP(-(LN(2)/$D$65+0.1)*AO222),"-"))),"-")</f>
        <v>-</v>
      </c>
      <c r="AR223" s="271" t="str">
        <f>IFERROR(IF(AL223=1,AR$100*EXP(-(LN(2)/$D$65+0.04)*AN223)*EXP(-(LN(2)/$D$65+0.1)*AO223),IF(AL223=2,AR$100*EXP(-(LN(2)/$D$65+0.04)*(VLOOKUP(($F$16-$F$15)-1,AK$100:AO223,4,FALSE)))*EXP(-(LN(2)/$D$65+0.1)*(VLOOKUP(($F$16-$F$15)-1,AK$100:AO223,5,FALSE)))*EXP(-(LN(2)/$D$65+0.04)*AN223)*EXP(-(LN(2)/$D$65+0.1)*AO223),IF(AL223=3,AR$100*EXP(-(LN(2)/$D$65+0.04)*(VLOOKUP(($F$16-$F$15)-1,AK$100:AO223,4,FALSE)))*EXP(-(LN(2)/$D$65+0.1)*(VLOOKUP(($F$16-$F$15)-1,AK$100:AO223,5,FALSE)))*EXP(-(LN(2)/$D$65+0.04)*(VLOOKUP(($F$16-$F$15)*2-1,AK$100:AO223,4,FALSE)))*EXP(-(LN(2)/$D$65+0.1)*(VLOOKUP(($F$16-$F$15)*2-1,AK$100:AO223,5,FALSE)))*EXP(-(LN(2)/$D$65+0.04)*AN223)*EXP(-(LN(2)/$D$65+0.1)*AO223),"-"))),"-")</f>
        <v>-</v>
      </c>
      <c r="AS223" s="274">
        <f t="shared" si="113"/>
        <v>0</v>
      </c>
      <c r="AT223" s="274">
        <f t="shared" si="114"/>
        <v>0</v>
      </c>
      <c r="AU223" s="274">
        <f t="shared" si="115"/>
        <v>0</v>
      </c>
      <c r="AV223" s="190">
        <f>IF($B223&lt;$F$22,SUM($T$100:$T223),"")</f>
        <v>0</v>
      </c>
      <c r="AW223" s="190" t="str">
        <f t="shared" si="161"/>
        <v>-</v>
      </c>
      <c r="AX223" s="190" t="str">
        <f t="shared" si="141"/>
        <v/>
      </c>
      <c r="AY223"/>
      <c r="AZ223" s="190" t="str">
        <f ca="1">IF(ISNUMBER(OFFSET(AV223,-$F$21,0)),SUM(OFFSET($T$100,$F$21,0):$T223),"")</f>
        <v/>
      </c>
      <c r="BA223" s="190" t="str">
        <f t="shared" ca="1" si="162"/>
        <v/>
      </c>
      <c r="BB223" s="190" t="str">
        <f t="shared" ca="1" si="148"/>
        <v/>
      </c>
      <c r="BC223" s="190"/>
      <c r="BD223" s="190" t="str">
        <f ca="1">IFERROR(IF(AND($B223&gt;=($F$16-$F$15),$B223&lt;$F$22+($F$16-$F$15)),SUM(OFFSET($T$100,($F$16-$F$15),0):$T223),""),"")</f>
        <v/>
      </c>
      <c r="BE223" s="190" t="str">
        <f t="shared" ca="1" si="142"/>
        <v/>
      </c>
      <c r="BF223" s="190" t="str">
        <f t="shared" ca="1" si="143"/>
        <v/>
      </c>
      <c r="BG223"/>
      <c r="BH223" s="190" t="str">
        <f ca="1">IF(ISNUMBER(OFFSET(BD223,-$F$21,0)),SUM(OFFSET($T$100,($F$16-$F$15+$F$21),0):$T223),"")</f>
        <v/>
      </c>
      <c r="BI223" s="190" t="str">
        <f t="shared" ca="1" si="163"/>
        <v/>
      </c>
      <c r="BJ223" s="190" t="str">
        <f t="shared" ca="1" si="144"/>
        <v/>
      </c>
      <c r="BK223" s="190"/>
      <c r="BL223" s="190" t="str">
        <f ca="1">IFERROR(IF(AND($B223&gt;=($F$17-$F$15),$B223&lt;$F$22+($F$17-$F$15)),SUM(OFFSET($T$100,($F$17-$F$15),0):$T223),""),"")</f>
        <v/>
      </c>
      <c r="BM223" s="190" t="str">
        <f t="shared" ca="1" si="164"/>
        <v/>
      </c>
      <c r="BN223" s="190" t="str">
        <f t="shared" ca="1" si="145"/>
        <v/>
      </c>
      <c r="BO223"/>
      <c r="BP223" s="190" t="str">
        <f ca="1">IF(ISNUMBER(OFFSET(BL223,-$F$21,0)),SUM(OFFSET($T$100,($F$17-$F$15+$F$21),0):$T223),"")</f>
        <v/>
      </c>
      <c r="BQ223" s="190" t="str">
        <f t="shared" ca="1" si="165"/>
        <v/>
      </c>
      <c r="BR223" s="190" t="str">
        <f t="shared" ca="1" si="146"/>
        <v/>
      </c>
      <c r="BS223" s="190"/>
      <c r="BT223"/>
      <c r="BU223"/>
      <c r="BV223"/>
      <c r="BY223" s="99"/>
      <c r="BZ223" s="99"/>
      <c r="CA223" s="280" t="str">
        <f t="shared" si="166"/>
        <v/>
      </c>
      <c r="CB223" s="71" t="str">
        <f t="shared" si="122"/>
        <v>-</v>
      </c>
      <c r="CC223" s="33"/>
      <c r="CD223" s="261" t="str">
        <f t="shared" si="123"/>
        <v/>
      </c>
      <c r="CE223" s="280" t="str">
        <f t="shared" si="167"/>
        <v>-</v>
      </c>
      <c r="CF223" s="71" t="str">
        <f t="shared" ca="1" si="168"/>
        <v>-</v>
      </c>
      <c r="CG223" s="33" t="str">
        <f t="shared" si="126"/>
        <v>123-124</v>
      </c>
      <c r="CH223" s="261" t="str">
        <f t="shared" ca="1" si="127"/>
        <v/>
      </c>
    </row>
    <row r="224" spans="2:86" ht="13.5" customHeight="1" x14ac:dyDescent="0.2">
      <c r="B224" s="262">
        <v>124</v>
      </c>
      <c r="C224" s="237" t="str">
        <f t="shared" si="91"/>
        <v/>
      </c>
      <c r="D224" s="237" t="str">
        <f t="shared" si="147"/>
        <v>-</v>
      </c>
      <c r="E224" s="263" t="str">
        <f t="shared" si="128"/>
        <v/>
      </c>
      <c r="F224" s="264" t="str">
        <f t="shared" si="129"/>
        <v/>
      </c>
      <c r="G224" s="264" t="str">
        <f t="shared" si="130"/>
        <v/>
      </c>
      <c r="H224" s="240" t="str">
        <f t="shared" si="149"/>
        <v/>
      </c>
      <c r="I224" s="265" t="str">
        <f t="shared" si="150"/>
        <v/>
      </c>
      <c r="J224" s="265" t="str">
        <f t="shared" si="151"/>
        <v/>
      </c>
      <c r="K224" s="240" t="str">
        <f t="shared" si="152"/>
        <v/>
      </c>
      <c r="L224" s="265" t="str">
        <f t="shared" si="153"/>
        <v/>
      </c>
      <c r="M224" s="265" t="str">
        <f t="shared" si="154"/>
        <v/>
      </c>
      <c r="N224" s="240" t="str">
        <f t="shared" si="155"/>
        <v>-</v>
      </c>
      <c r="O224" s="265" t="str">
        <f t="shared" si="156"/>
        <v>-</v>
      </c>
      <c r="P224" s="265" t="str">
        <f t="shared" si="157"/>
        <v>-</v>
      </c>
      <c r="Q224" s="266" t="str">
        <f t="shared" si="158"/>
        <v>-</v>
      </c>
      <c r="R224" s="267" t="str">
        <f t="shared" si="159"/>
        <v>-</v>
      </c>
      <c r="S224" s="268" t="str">
        <f t="shared" si="160"/>
        <v>-</v>
      </c>
      <c r="T224" s="269" t="str">
        <f t="shared" si="104"/>
        <v/>
      </c>
      <c r="U224" s="221">
        <f t="shared" si="105"/>
        <v>124</v>
      </c>
      <c r="V224" s="220" t="str">
        <f t="shared" si="131"/>
        <v>-</v>
      </c>
      <c r="W224" s="221" t="str">
        <f t="shared" si="132"/>
        <v>-</v>
      </c>
      <c r="X224" s="221" t="str">
        <f t="shared" si="106"/>
        <v>-</v>
      </c>
      <c r="Y224" s="221" t="str">
        <f t="shared" si="107"/>
        <v>-</v>
      </c>
      <c r="Z224" s="270">
        <f t="shared" si="133"/>
        <v>0.1</v>
      </c>
      <c r="AA224" s="271" t="str">
        <f>IFERROR(IF(V223=1,AA$100*EXP(-(LN(2)/$D$65+0.04)*X223)*EXP(-(LN(2)/$D$65+0.1)*Y223),IF(V223=2,AA$100*EXP(-(LN(2)/$D$65+0.04)*(VLOOKUP(($F$16-$F$15)-1,U$99:Y223,4,FALSE)))*EXP(-(LN(2)/$D$65+0.1)*(VLOOKUP(($F$16-$F$15)-1,U$99:Y223,5,FALSE)))*EXP(-(LN(2)/$D$65+0.04)*X223)*EXP(-(LN(2)/$D$65+0.1)*Y223),IF(V223=3,AA$100*EXP(-(LN(2)/$D$65+0.04)*(VLOOKUP(($F$16-$F$15)-1,U$99:Y223,4,FALSE)))*EXP(-(LN(2)/$D$65+0.1)*(VLOOKUP(($F$16-$F$15)-1,U$99:Y223,5,FALSE)))*EXP(-(LN(2)/$D$65+0.04)*(VLOOKUP(($F$16-$F$15)*2-1,U$99:Y223,4,FALSE)))*EXP(-(LN(2)/$D$65+0.1)*(VLOOKUP(($F$16-$F$15)*2-1,U$99:Y223,5,FALSE)))*EXP(-(LN(2)/$D$65+0.04)*X223)*EXP(-(LN(2)/$D$65+0.1)*Y223),"-"))),"-")</f>
        <v>-</v>
      </c>
      <c r="AB224" s="271" t="str">
        <f>IFERROR(IF(V224=1,AB$100*EXP(-(LN(2)/$D$65+0.04)*X224)*EXP(-(LN(2)/$D$65+0.1)*Y224),IF(V224=2,AB$100*EXP(-(LN(2)/$D$65+0.04)*(VLOOKUP(($F$16-$F$15)-1,U$100:Y224,4,FALSE)))*EXP(-(LN(2)/$D$65+0.1)*(VLOOKUP(($F$16-$F$15)-1,U$100:Y224,5,FALSE)))*EXP(-(LN(2)/$D$65+0.04)*X224)*EXP(-(LN(2)/$D$65+0.1)*Y224),IF(V224=3,AB$100*EXP(-(LN(2)/$D$65+0.04)*(VLOOKUP(($F$16-$F$15)-1,U$100:Y224,4,FALSE)))*EXP(-(LN(2)/$D$65+0.1)*(VLOOKUP(($F$16-$F$15)-1,U$100:Y224,5,FALSE)))*EXP(-(LN(2)/$D$65+0.04)*(VLOOKUP(($F$16-$F$15)*2-1,U$100:Y224,4,FALSE)))*EXP(-(LN(2)/$D$65+0.1)*(VLOOKUP(($F$16-$F$15)*2-1,U$100:Y224,5,FALSE)))*EXP(-(LN(2)/$D$65+0.04)*X224)*EXP(-(LN(2)/$D$65+0.1)*Y224),"-"))),"-")</f>
        <v>-</v>
      </c>
      <c r="AC224" s="224">
        <f t="shared" si="134"/>
        <v>124</v>
      </c>
      <c r="AD224" s="223" t="str">
        <f t="shared" si="108"/>
        <v>-</v>
      </c>
      <c r="AE224" s="224" t="str">
        <f t="shared" si="135"/>
        <v>-</v>
      </c>
      <c r="AF224" s="224" t="str">
        <f t="shared" si="109"/>
        <v>-</v>
      </c>
      <c r="AG224" s="224" t="str">
        <f t="shared" si="110"/>
        <v>-</v>
      </c>
      <c r="AH224" s="272">
        <f t="shared" si="136"/>
        <v>0.1</v>
      </c>
      <c r="AI224" s="271" t="str">
        <f>IFERROR(IF(AD223=1,AI$100*EXP(-(LN(2)/$D$65+0.04)*AF223)*EXP(-(LN(2)/$D$65+0.1)*AG223),IF(AD223=2,AI$100*EXP(-(LN(2)/$D$65+0.04)*(VLOOKUP(($F$16-$F$15)-1,AC$99:AG223,4,FALSE)))*EXP(-(LN(2)/$D$65+0.1)*(VLOOKUP(($F$16-$F$15)-1,AC$99:AG223,5,FALSE)))*EXP(-(LN(2)/$D$65+0.04)*AF223)*EXP(-(LN(2)/$D$65+0.1)*AG223),IF(AD223=3,AI$100*EXP(-(LN(2)/$D$65+0.04)*(VLOOKUP(($F$16-$F$15)-1,AC$99:AG223,4,FALSE)))*EXP(-(LN(2)/$D$65+0.1)*(VLOOKUP(($F$16-$F$15)-1,AC$99:AG223,5,FALSE)))*EXP(-(LN(2)/$D$65+0.04)*(VLOOKUP(($F$16-$F$15)*2-1,AC$99:AG223,4,FALSE)))*EXP(-(LN(2)/$D$65+0.1)*(VLOOKUP(($F$16-$F$15)*2-1,AC$99:AG223,5,FALSE)))*EXP(-(LN(2)/$D$65+0.04)*AF223)*EXP(-(LN(2)/$D$65+0.1)*AG223),"-"))),"-")</f>
        <v>-</v>
      </c>
      <c r="AJ224" s="271" t="str">
        <f>IFERROR(IF(AD224=1,AJ$100*EXP(-(LN(2)/$D$65+0.04)*AF224)*EXP(-(LN(2)/$D$65+0.1)*AG224),IF(AD224=2,AJ$100*EXP(-(LN(2)/$D$65+0.04)*(VLOOKUP(($F$16-$F$15)-1,AC$100:AG224,4,FALSE)))*EXP(-(LN(2)/$D$65+0.1)*(VLOOKUP(($F$16-$F$15)-1,AC$100:AG224,5,FALSE)))*EXP(-(LN(2)/$D$65+0.04)*AF224)*EXP(-(LN(2)/$D$65+0.1)*AG224),IF(AD224=3,AJ$100*EXP(-(LN(2)/$D$65+0.04)*(VLOOKUP(($F$16-$F$15)-1,AC$100:AG224,4,FALSE)))*EXP(-(LN(2)/$D$65+0.1)*(VLOOKUP(($F$16-$F$15)-1,AC$100:AG224,5,FALSE)))*EXP(-(LN(2)/$D$65+0.04)*(VLOOKUP(($F$16-$F$15)*2-1,AC$100:AG224,4,FALSE)))*EXP(-(LN(2)/$D$65+0.1)*(VLOOKUP(($F$16-$F$15)*2-1,AC$100:AG224,5,FALSE)))*EXP(-(LN(2)/$D$65+0.04)*AF224)*EXP(-(LN(2)/$D$65+0.1)*AG224),"-"))),"-")</f>
        <v>-</v>
      </c>
      <c r="AK224" s="227">
        <f t="shared" si="137"/>
        <v>124</v>
      </c>
      <c r="AL224" s="226" t="str">
        <f t="shared" si="111"/>
        <v>-</v>
      </c>
      <c r="AM224" s="227" t="str">
        <f t="shared" si="138"/>
        <v>-</v>
      </c>
      <c r="AN224" s="227" t="str">
        <f t="shared" si="139"/>
        <v>-</v>
      </c>
      <c r="AO224" s="227" t="str">
        <f t="shared" si="112"/>
        <v>-</v>
      </c>
      <c r="AP224" s="273">
        <f t="shared" si="140"/>
        <v>0.1</v>
      </c>
      <c r="AQ224" s="271" t="str">
        <f>IFERROR(IF(AL223=1,AQ$100*EXP(-(LN(2)/$D$65+0.04)*AN223)*EXP(-(LN(2)/$D$65+0.1)*AO223),IF(AL223=2,AQ$100*EXP(-(LN(2)/$D$65+0.04)*(VLOOKUP(($F$16-$F$15)-1,AK$99:AO223,4,FALSE)))*EXP(-(LN(2)/$D$65+0.1)*(VLOOKUP(($F$16-$F$15)-1,AK$99:AO223,5,FALSE)))*EXP(-(LN(2)/$D$65+0.04)*AN223)*EXP(-(LN(2)/$D$65+0.1)*AO223),IF(AL223=3,AQ$100*EXP(-(LN(2)/$D$65+0.04)*(VLOOKUP(($F$16-$F$15)-1,AK$99:AO223,4,FALSE)))*EXP(-(LN(2)/$D$65+0.1)*(VLOOKUP(($F$16-$F$15)-1,AK$99:AO223,5,FALSE)))*EXP(-(LN(2)/$D$65+0.04)*(VLOOKUP(($F$16-$F$15)*2-1,AK$99:AO223,4,FALSE)))*EXP(-(LN(2)/$D$65+0.1)*(VLOOKUP(($F$16-$F$15)*2-1,AK$99:AO223,5,FALSE)))*EXP(-(LN(2)/$D$65+0.04)*AN223)*EXP(-(LN(2)/$D$65+0.1)*AO223),"-"))),"-")</f>
        <v>-</v>
      </c>
      <c r="AR224" s="271" t="str">
        <f>IFERROR(IF(AL224=1,AR$100*EXP(-(LN(2)/$D$65+0.04)*AN224)*EXP(-(LN(2)/$D$65+0.1)*AO224),IF(AL224=2,AR$100*EXP(-(LN(2)/$D$65+0.04)*(VLOOKUP(($F$16-$F$15)-1,AK$100:AO224,4,FALSE)))*EXP(-(LN(2)/$D$65+0.1)*(VLOOKUP(($F$16-$F$15)-1,AK$100:AO224,5,FALSE)))*EXP(-(LN(2)/$D$65+0.04)*AN224)*EXP(-(LN(2)/$D$65+0.1)*AO224),IF(AL224=3,AR$100*EXP(-(LN(2)/$D$65+0.04)*(VLOOKUP(($F$16-$F$15)-1,AK$100:AO224,4,FALSE)))*EXP(-(LN(2)/$D$65+0.1)*(VLOOKUP(($F$16-$F$15)-1,AK$100:AO224,5,FALSE)))*EXP(-(LN(2)/$D$65+0.04)*(VLOOKUP(($F$16-$F$15)*2-1,AK$100:AO224,4,FALSE)))*EXP(-(LN(2)/$D$65+0.1)*(VLOOKUP(($F$16-$F$15)*2-1,AK$100:AO224,5,FALSE)))*EXP(-(LN(2)/$D$65+0.04)*AN224)*EXP(-(LN(2)/$D$65+0.1)*AO224),"-"))),"-")</f>
        <v>-</v>
      </c>
      <c r="AS224" s="274">
        <f t="shared" si="113"/>
        <v>0</v>
      </c>
      <c r="AT224" s="274">
        <f t="shared" si="114"/>
        <v>0</v>
      </c>
      <c r="AU224" s="274">
        <f t="shared" si="115"/>
        <v>0</v>
      </c>
      <c r="AV224" s="190">
        <f>IF($B224&lt;$F$22,SUM($T$100:$T224),"")</f>
        <v>0</v>
      </c>
      <c r="AW224" s="190" t="str">
        <f t="shared" si="161"/>
        <v>-</v>
      </c>
      <c r="AX224" s="190" t="str">
        <f t="shared" si="141"/>
        <v/>
      </c>
      <c r="AY224"/>
      <c r="AZ224" s="190" t="str">
        <f ca="1">IF(ISNUMBER(OFFSET(AV224,-$F$21,0)),SUM(OFFSET($T$100,$F$21,0):$T224),"")</f>
        <v/>
      </c>
      <c r="BA224" s="190" t="str">
        <f t="shared" ca="1" si="162"/>
        <v/>
      </c>
      <c r="BB224" s="190" t="str">
        <f t="shared" ca="1" si="148"/>
        <v/>
      </c>
      <c r="BC224" s="190"/>
      <c r="BD224" s="190" t="str">
        <f ca="1">IFERROR(IF(AND($B224&gt;=($F$16-$F$15),$B224&lt;$F$22+($F$16-$F$15)),SUM(OFFSET($T$100,($F$16-$F$15),0):$T224),""),"")</f>
        <v/>
      </c>
      <c r="BE224" s="190" t="str">
        <f t="shared" ca="1" si="142"/>
        <v/>
      </c>
      <c r="BF224" s="190" t="str">
        <f t="shared" ca="1" si="143"/>
        <v/>
      </c>
      <c r="BG224"/>
      <c r="BH224" s="190" t="str">
        <f ca="1">IF(ISNUMBER(OFFSET(BD224,-$F$21,0)),SUM(OFFSET($T$100,($F$16-$F$15+$F$21),0):$T224),"")</f>
        <v/>
      </c>
      <c r="BI224" s="190" t="str">
        <f t="shared" ca="1" si="163"/>
        <v/>
      </c>
      <c r="BJ224" s="190" t="str">
        <f t="shared" ca="1" si="144"/>
        <v/>
      </c>
      <c r="BK224" s="190"/>
      <c r="BL224" s="190" t="str">
        <f ca="1">IFERROR(IF(AND($B224&gt;=($F$17-$F$15),$B224&lt;$F$22+($F$17-$F$15)),SUM(OFFSET($T$100,($F$17-$F$15),0):$T224),""),"")</f>
        <v/>
      </c>
      <c r="BM224" s="190" t="str">
        <f t="shared" ca="1" si="164"/>
        <v/>
      </c>
      <c r="BN224" s="190" t="str">
        <f t="shared" ca="1" si="145"/>
        <v/>
      </c>
      <c r="BO224"/>
      <c r="BP224" s="190" t="str">
        <f ca="1">IF(ISNUMBER(OFFSET(BL224,-$F$21,0)),SUM(OFFSET($T$100,($F$17-$F$15+$F$21),0):$T224),"")</f>
        <v/>
      </c>
      <c r="BQ224" s="190" t="str">
        <f t="shared" ca="1" si="165"/>
        <v/>
      </c>
      <c r="BR224" s="190" t="str">
        <f t="shared" ca="1" si="146"/>
        <v/>
      </c>
      <c r="BS224" s="190"/>
      <c r="BT224"/>
      <c r="BU224"/>
      <c r="BV224"/>
      <c r="BY224" s="99"/>
      <c r="BZ224" s="99"/>
      <c r="CA224" s="280" t="str">
        <f t="shared" si="166"/>
        <v/>
      </c>
      <c r="CB224" s="71" t="str">
        <f t="shared" si="122"/>
        <v>-</v>
      </c>
      <c r="CC224" s="33"/>
      <c r="CD224" s="261" t="str">
        <f t="shared" si="123"/>
        <v/>
      </c>
      <c r="CE224" s="280" t="str">
        <f t="shared" si="167"/>
        <v>-</v>
      </c>
      <c r="CF224" s="71" t="str">
        <f t="shared" ca="1" si="168"/>
        <v>-</v>
      </c>
      <c r="CG224" s="33" t="str">
        <f t="shared" si="126"/>
        <v>124-125</v>
      </c>
      <c r="CH224" s="261" t="str">
        <f t="shared" ca="1" si="127"/>
        <v/>
      </c>
    </row>
    <row r="225" spans="2:86" ht="13.5" customHeight="1" x14ac:dyDescent="0.2">
      <c r="B225" s="262">
        <v>125</v>
      </c>
      <c r="C225" s="237" t="str">
        <f t="shared" si="91"/>
        <v/>
      </c>
      <c r="D225" s="237" t="str">
        <f t="shared" si="147"/>
        <v>-</v>
      </c>
      <c r="E225" s="263" t="str">
        <f t="shared" si="128"/>
        <v/>
      </c>
      <c r="F225" s="264" t="str">
        <f t="shared" si="129"/>
        <v/>
      </c>
      <c r="G225" s="264" t="str">
        <f t="shared" si="130"/>
        <v/>
      </c>
      <c r="H225" s="240" t="str">
        <f t="shared" si="149"/>
        <v/>
      </c>
      <c r="I225" s="265" t="str">
        <f t="shared" si="150"/>
        <v/>
      </c>
      <c r="J225" s="265" t="str">
        <f t="shared" si="151"/>
        <v/>
      </c>
      <c r="K225" s="240" t="str">
        <f t="shared" si="152"/>
        <v/>
      </c>
      <c r="L225" s="265" t="str">
        <f t="shared" si="153"/>
        <v/>
      </c>
      <c r="M225" s="265" t="str">
        <f t="shared" si="154"/>
        <v/>
      </c>
      <c r="N225" s="240" t="str">
        <f t="shared" si="155"/>
        <v>-</v>
      </c>
      <c r="O225" s="265" t="str">
        <f t="shared" si="156"/>
        <v>-</v>
      </c>
      <c r="P225" s="265" t="str">
        <f t="shared" si="157"/>
        <v>-</v>
      </c>
      <c r="Q225" s="266" t="str">
        <f t="shared" si="158"/>
        <v>-</v>
      </c>
      <c r="R225" s="267" t="str">
        <f t="shared" si="159"/>
        <v>-</v>
      </c>
      <c r="S225" s="268" t="str">
        <f t="shared" si="160"/>
        <v>-</v>
      </c>
      <c r="T225" s="269" t="str">
        <f t="shared" si="104"/>
        <v/>
      </c>
      <c r="U225" s="221">
        <f t="shared" si="105"/>
        <v>125</v>
      </c>
      <c r="V225" s="220" t="str">
        <f t="shared" si="131"/>
        <v>-</v>
      </c>
      <c r="W225" s="221" t="str">
        <f t="shared" si="132"/>
        <v>-</v>
      </c>
      <c r="X225" s="221" t="str">
        <f t="shared" si="106"/>
        <v>-</v>
      </c>
      <c r="Y225" s="221" t="str">
        <f t="shared" si="107"/>
        <v>-</v>
      </c>
      <c r="Z225" s="270">
        <f t="shared" si="133"/>
        <v>0.1</v>
      </c>
      <c r="AA225" s="271" t="str">
        <f>IFERROR(IF(V224=1,AA$100*EXP(-(LN(2)/$D$65+0.04)*X224)*EXP(-(LN(2)/$D$65+0.1)*Y224),IF(V224=2,AA$100*EXP(-(LN(2)/$D$65+0.04)*(VLOOKUP(($F$16-$F$15)-1,U$99:Y224,4,FALSE)))*EXP(-(LN(2)/$D$65+0.1)*(VLOOKUP(($F$16-$F$15)-1,U$99:Y224,5,FALSE)))*EXP(-(LN(2)/$D$65+0.04)*X224)*EXP(-(LN(2)/$D$65+0.1)*Y224),IF(V224=3,AA$100*EXP(-(LN(2)/$D$65+0.04)*(VLOOKUP(($F$16-$F$15)-1,U$99:Y224,4,FALSE)))*EXP(-(LN(2)/$D$65+0.1)*(VLOOKUP(($F$16-$F$15)-1,U$99:Y224,5,FALSE)))*EXP(-(LN(2)/$D$65+0.04)*(VLOOKUP(($F$16-$F$15)*2-1,U$99:Y224,4,FALSE)))*EXP(-(LN(2)/$D$65+0.1)*(VLOOKUP(($F$16-$F$15)*2-1,U$99:Y224,5,FALSE)))*EXP(-(LN(2)/$D$65+0.04)*X224)*EXP(-(LN(2)/$D$65+0.1)*Y224),"-"))),"-")</f>
        <v>-</v>
      </c>
      <c r="AB225" s="271" t="str">
        <f>IFERROR(IF(V225=1,AB$100*EXP(-(LN(2)/$D$65+0.04)*X225)*EXP(-(LN(2)/$D$65+0.1)*Y225),IF(V225=2,AB$100*EXP(-(LN(2)/$D$65+0.04)*(VLOOKUP(($F$16-$F$15)-1,U$100:Y225,4,FALSE)))*EXP(-(LN(2)/$D$65+0.1)*(VLOOKUP(($F$16-$F$15)-1,U$100:Y225,5,FALSE)))*EXP(-(LN(2)/$D$65+0.04)*X225)*EXP(-(LN(2)/$D$65+0.1)*Y225),IF(V225=3,AB$100*EXP(-(LN(2)/$D$65+0.04)*(VLOOKUP(($F$16-$F$15)-1,U$100:Y225,4,FALSE)))*EXP(-(LN(2)/$D$65+0.1)*(VLOOKUP(($F$16-$F$15)-1,U$100:Y225,5,FALSE)))*EXP(-(LN(2)/$D$65+0.04)*(VLOOKUP(($F$16-$F$15)*2-1,U$100:Y225,4,FALSE)))*EXP(-(LN(2)/$D$65+0.1)*(VLOOKUP(($F$16-$F$15)*2-1,U$100:Y225,5,FALSE)))*EXP(-(LN(2)/$D$65+0.04)*X225)*EXP(-(LN(2)/$D$65+0.1)*Y225),"-"))),"-")</f>
        <v>-</v>
      </c>
      <c r="AC225" s="224">
        <f t="shared" si="134"/>
        <v>125</v>
      </c>
      <c r="AD225" s="223" t="str">
        <f t="shared" si="108"/>
        <v>-</v>
      </c>
      <c r="AE225" s="224" t="str">
        <f t="shared" si="135"/>
        <v>-</v>
      </c>
      <c r="AF225" s="224" t="str">
        <f t="shared" si="109"/>
        <v>-</v>
      </c>
      <c r="AG225" s="224" t="str">
        <f t="shared" si="110"/>
        <v>-</v>
      </c>
      <c r="AH225" s="272">
        <f t="shared" si="136"/>
        <v>0.1</v>
      </c>
      <c r="AI225" s="271" t="str">
        <f>IFERROR(IF(AD224=1,AI$100*EXP(-(LN(2)/$D$65+0.04)*AF224)*EXP(-(LN(2)/$D$65+0.1)*AG224),IF(AD224=2,AI$100*EXP(-(LN(2)/$D$65+0.04)*(VLOOKUP(($F$16-$F$15)-1,AC$99:AG224,4,FALSE)))*EXP(-(LN(2)/$D$65+0.1)*(VLOOKUP(($F$16-$F$15)-1,AC$99:AG224,5,FALSE)))*EXP(-(LN(2)/$D$65+0.04)*AF224)*EXP(-(LN(2)/$D$65+0.1)*AG224),IF(AD224=3,AI$100*EXP(-(LN(2)/$D$65+0.04)*(VLOOKUP(($F$16-$F$15)-1,AC$99:AG224,4,FALSE)))*EXP(-(LN(2)/$D$65+0.1)*(VLOOKUP(($F$16-$F$15)-1,AC$99:AG224,5,FALSE)))*EXP(-(LN(2)/$D$65+0.04)*(VLOOKUP(($F$16-$F$15)*2-1,AC$99:AG224,4,FALSE)))*EXP(-(LN(2)/$D$65+0.1)*(VLOOKUP(($F$16-$F$15)*2-1,AC$99:AG224,5,FALSE)))*EXP(-(LN(2)/$D$65+0.04)*AF224)*EXP(-(LN(2)/$D$65+0.1)*AG224),"-"))),"-")</f>
        <v>-</v>
      </c>
      <c r="AJ225" s="271" t="str">
        <f>IFERROR(IF(AD225=1,AJ$100*EXP(-(LN(2)/$D$65+0.04)*AF225)*EXP(-(LN(2)/$D$65+0.1)*AG225),IF(AD225=2,AJ$100*EXP(-(LN(2)/$D$65+0.04)*(VLOOKUP(($F$16-$F$15)-1,AC$100:AG225,4,FALSE)))*EXP(-(LN(2)/$D$65+0.1)*(VLOOKUP(($F$16-$F$15)-1,AC$100:AG225,5,FALSE)))*EXP(-(LN(2)/$D$65+0.04)*AF225)*EXP(-(LN(2)/$D$65+0.1)*AG225),IF(AD225=3,AJ$100*EXP(-(LN(2)/$D$65+0.04)*(VLOOKUP(($F$16-$F$15)-1,AC$100:AG225,4,FALSE)))*EXP(-(LN(2)/$D$65+0.1)*(VLOOKUP(($F$16-$F$15)-1,AC$100:AG225,5,FALSE)))*EXP(-(LN(2)/$D$65+0.04)*(VLOOKUP(($F$16-$F$15)*2-1,AC$100:AG225,4,FALSE)))*EXP(-(LN(2)/$D$65+0.1)*(VLOOKUP(($F$16-$F$15)*2-1,AC$100:AG225,5,FALSE)))*EXP(-(LN(2)/$D$65+0.04)*AF225)*EXP(-(LN(2)/$D$65+0.1)*AG225),"-"))),"-")</f>
        <v>-</v>
      </c>
      <c r="AK225" s="227">
        <f t="shared" si="137"/>
        <v>125</v>
      </c>
      <c r="AL225" s="226" t="str">
        <f t="shared" si="111"/>
        <v>-</v>
      </c>
      <c r="AM225" s="227" t="str">
        <f t="shared" si="138"/>
        <v>-</v>
      </c>
      <c r="AN225" s="227" t="str">
        <f t="shared" si="139"/>
        <v>-</v>
      </c>
      <c r="AO225" s="227" t="str">
        <f t="shared" si="112"/>
        <v>-</v>
      </c>
      <c r="AP225" s="273">
        <f t="shared" si="140"/>
        <v>0.1</v>
      </c>
      <c r="AQ225" s="271" t="str">
        <f>IFERROR(IF(AL224=1,AQ$100*EXP(-(LN(2)/$D$65+0.04)*AN224)*EXP(-(LN(2)/$D$65+0.1)*AO224),IF(AL224=2,AQ$100*EXP(-(LN(2)/$D$65+0.04)*(VLOOKUP(($F$16-$F$15)-1,AK$99:AO224,4,FALSE)))*EXP(-(LN(2)/$D$65+0.1)*(VLOOKUP(($F$16-$F$15)-1,AK$99:AO224,5,FALSE)))*EXP(-(LN(2)/$D$65+0.04)*AN224)*EXP(-(LN(2)/$D$65+0.1)*AO224),IF(AL224=3,AQ$100*EXP(-(LN(2)/$D$65+0.04)*(VLOOKUP(($F$16-$F$15)-1,AK$99:AO224,4,FALSE)))*EXP(-(LN(2)/$D$65+0.1)*(VLOOKUP(($F$16-$F$15)-1,AK$99:AO224,5,FALSE)))*EXP(-(LN(2)/$D$65+0.04)*(VLOOKUP(($F$16-$F$15)*2-1,AK$99:AO224,4,FALSE)))*EXP(-(LN(2)/$D$65+0.1)*(VLOOKUP(($F$16-$F$15)*2-1,AK$99:AO224,5,FALSE)))*EXP(-(LN(2)/$D$65+0.04)*AN224)*EXP(-(LN(2)/$D$65+0.1)*AO224),"-"))),"-")</f>
        <v>-</v>
      </c>
      <c r="AR225" s="271" t="str">
        <f>IFERROR(IF(AL225=1,AR$100*EXP(-(LN(2)/$D$65+0.04)*AN225)*EXP(-(LN(2)/$D$65+0.1)*AO225),IF(AL225=2,AR$100*EXP(-(LN(2)/$D$65+0.04)*(VLOOKUP(($F$16-$F$15)-1,AK$100:AO225,4,FALSE)))*EXP(-(LN(2)/$D$65+0.1)*(VLOOKUP(($F$16-$F$15)-1,AK$100:AO225,5,FALSE)))*EXP(-(LN(2)/$D$65+0.04)*AN225)*EXP(-(LN(2)/$D$65+0.1)*AO225),IF(AL225=3,AR$100*EXP(-(LN(2)/$D$65+0.04)*(VLOOKUP(($F$16-$F$15)-1,AK$100:AO225,4,FALSE)))*EXP(-(LN(2)/$D$65+0.1)*(VLOOKUP(($F$16-$F$15)-1,AK$100:AO225,5,FALSE)))*EXP(-(LN(2)/$D$65+0.04)*(VLOOKUP(($F$16-$F$15)*2-1,AK$100:AO225,4,FALSE)))*EXP(-(LN(2)/$D$65+0.1)*(VLOOKUP(($F$16-$F$15)*2-1,AK$100:AO225,5,FALSE)))*EXP(-(LN(2)/$D$65+0.04)*AN225)*EXP(-(LN(2)/$D$65+0.1)*AO225),"-"))),"-")</f>
        <v>-</v>
      </c>
      <c r="AS225" s="274">
        <f t="shared" si="113"/>
        <v>0</v>
      </c>
      <c r="AT225" s="274">
        <f t="shared" si="114"/>
        <v>0</v>
      </c>
      <c r="AU225" s="274">
        <f t="shared" si="115"/>
        <v>0</v>
      </c>
      <c r="AV225" s="190">
        <f>IF($B225&lt;$F$22,SUM($T$100:$T225),"")</f>
        <v>0</v>
      </c>
      <c r="AW225" s="190" t="str">
        <f t="shared" si="161"/>
        <v>-</v>
      </c>
      <c r="AX225" s="190" t="str">
        <f t="shared" si="141"/>
        <v/>
      </c>
      <c r="AY225"/>
      <c r="AZ225" s="190" t="str">
        <f ca="1">IF(ISNUMBER(OFFSET(AV225,-$F$21,0)),SUM(OFFSET($T$100,$F$21,0):$T225),"")</f>
        <v/>
      </c>
      <c r="BA225" s="190" t="str">
        <f t="shared" ca="1" si="162"/>
        <v/>
      </c>
      <c r="BB225" s="190" t="str">
        <f t="shared" ca="1" si="148"/>
        <v/>
      </c>
      <c r="BC225" s="190"/>
      <c r="BD225" s="190" t="str">
        <f ca="1">IFERROR(IF(AND($B225&gt;=($F$16-$F$15),$B225&lt;$F$22+($F$16-$F$15)),SUM(OFFSET($T$100,($F$16-$F$15),0):$T225),""),"")</f>
        <v/>
      </c>
      <c r="BE225" s="190" t="str">
        <f t="shared" ca="1" si="142"/>
        <v/>
      </c>
      <c r="BF225" s="190" t="str">
        <f t="shared" ca="1" si="143"/>
        <v/>
      </c>
      <c r="BG225"/>
      <c r="BH225" s="190" t="str">
        <f ca="1">IF(ISNUMBER(OFFSET(BD225,-$F$21,0)),SUM(OFFSET($T$100,($F$16-$F$15+$F$21),0):$T225),"")</f>
        <v/>
      </c>
      <c r="BI225" s="190" t="str">
        <f t="shared" ca="1" si="163"/>
        <v/>
      </c>
      <c r="BJ225" s="190" t="str">
        <f t="shared" ca="1" si="144"/>
        <v/>
      </c>
      <c r="BK225" s="190"/>
      <c r="BL225" s="190" t="str">
        <f ca="1">IFERROR(IF(AND($B225&gt;=($F$17-$F$15),$B225&lt;$F$22+($F$17-$F$15)),SUM(OFFSET($T$100,($F$17-$F$15),0):$T225),""),"")</f>
        <v/>
      </c>
      <c r="BM225" s="190" t="str">
        <f t="shared" ca="1" si="164"/>
        <v/>
      </c>
      <c r="BN225" s="190" t="str">
        <f t="shared" ca="1" si="145"/>
        <v/>
      </c>
      <c r="BO225"/>
      <c r="BP225" s="190" t="str">
        <f ca="1">IF(ISNUMBER(OFFSET(BL225,-$F$21,0)),SUM(OFFSET($T$100,($F$17-$F$15+$F$21),0):$T225),"")</f>
        <v/>
      </c>
      <c r="BQ225" s="190" t="str">
        <f t="shared" ca="1" si="165"/>
        <v/>
      </c>
      <c r="BR225" s="190" t="str">
        <f t="shared" ca="1" si="146"/>
        <v/>
      </c>
      <c r="BS225" s="190"/>
      <c r="BT225"/>
      <c r="BU225"/>
      <c r="BV225"/>
      <c r="BY225" s="99"/>
      <c r="BZ225" s="99"/>
      <c r="CA225" s="280" t="str">
        <f t="shared" si="166"/>
        <v/>
      </c>
      <c r="CB225" s="71" t="str">
        <f t="shared" si="122"/>
        <v>-</v>
      </c>
      <c r="CC225" s="33"/>
      <c r="CD225" s="261" t="str">
        <f t="shared" si="123"/>
        <v/>
      </c>
      <c r="CE225" s="280" t="str">
        <f t="shared" si="167"/>
        <v>-</v>
      </c>
      <c r="CF225" s="71" t="str">
        <f t="shared" ca="1" si="168"/>
        <v>-</v>
      </c>
      <c r="CG225" s="33" t="str">
        <f t="shared" si="126"/>
        <v>125-126</v>
      </c>
      <c r="CH225" s="261" t="str">
        <f t="shared" ca="1" si="127"/>
        <v/>
      </c>
    </row>
    <row r="226" spans="2:86" ht="13.5" customHeight="1" x14ac:dyDescent="0.2">
      <c r="B226" s="262">
        <v>126</v>
      </c>
      <c r="C226" s="237" t="str">
        <f t="shared" si="91"/>
        <v/>
      </c>
      <c r="D226" s="237" t="str">
        <f t="shared" si="147"/>
        <v>-</v>
      </c>
      <c r="E226" s="263" t="str">
        <f t="shared" si="128"/>
        <v/>
      </c>
      <c r="F226" s="264" t="str">
        <f t="shared" si="129"/>
        <v/>
      </c>
      <c r="G226" s="264" t="str">
        <f t="shared" si="130"/>
        <v/>
      </c>
      <c r="H226" s="240" t="str">
        <f t="shared" si="149"/>
        <v/>
      </c>
      <c r="I226" s="265" t="str">
        <f t="shared" si="150"/>
        <v/>
      </c>
      <c r="J226" s="265" t="str">
        <f t="shared" si="151"/>
        <v/>
      </c>
      <c r="K226" s="240" t="str">
        <f t="shared" si="152"/>
        <v/>
      </c>
      <c r="L226" s="265" t="str">
        <f t="shared" si="153"/>
        <v/>
      </c>
      <c r="M226" s="265" t="str">
        <f t="shared" si="154"/>
        <v/>
      </c>
      <c r="N226" s="240" t="str">
        <f t="shared" si="155"/>
        <v>-</v>
      </c>
      <c r="O226" s="265" t="str">
        <f t="shared" si="156"/>
        <v>-</v>
      </c>
      <c r="P226" s="265" t="str">
        <f t="shared" si="157"/>
        <v>-</v>
      </c>
      <c r="Q226" s="266" t="str">
        <f t="shared" si="158"/>
        <v>-</v>
      </c>
      <c r="R226" s="267" t="str">
        <f t="shared" si="159"/>
        <v>-</v>
      </c>
      <c r="S226" s="268" t="str">
        <f t="shared" si="160"/>
        <v>-</v>
      </c>
      <c r="T226" s="269" t="str">
        <f t="shared" si="104"/>
        <v/>
      </c>
      <c r="U226" s="221">
        <f t="shared" si="105"/>
        <v>126</v>
      </c>
      <c r="V226" s="220" t="str">
        <f t="shared" si="131"/>
        <v>-</v>
      </c>
      <c r="W226" s="221" t="str">
        <f t="shared" si="132"/>
        <v>-</v>
      </c>
      <c r="X226" s="221" t="str">
        <f t="shared" si="106"/>
        <v>-</v>
      </c>
      <c r="Y226" s="221" t="str">
        <f t="shared" si="107"/>
        <v>-</v>
      </c>
      <c r="Z226" s="270">
        <f t="shared" si="133"/>
        <v>0.1</v>
      </c>
      <c r="AA226" s="271" t="str">
        <f>IFERROR(IF(V225=1,AA$100*EXP(-(LN(2)/$D$65+0.04)*X225)*EXP(-(LN(2)/$D$65+0.1)*Y225),IF(V225=2,AA$100*EXP(-(LN(2)/$D$65+0.04)*(VLOOKUP(($F$16-$F$15)-1,U$99:Y225,4,FALSE)))*EXP(-(LN(2)/$D$65+0.1)*(VLOOKUP(($F$16-$F$15)-1,U$99:Y225,5,FALSE)))*EXP(-(LN(2)/$D$65+0.04)*X225)*EXP(-(LN(2)/$D$65+0.1)*Y225),IF(V225=3,AA$100*EXP(-(LN(2)/$D$65+0.04)*(VLOOKUP(($F$16-$F$15)-1,U$99:Y225,4,FALSE)))*EXP(-(LN(2)/$D$65+0.1)*(VLOOKUP(($F$16-$F$15)-1,U$99:Y225,5,FALSE)))*EXP(-(LN(2)/$D$65+0.04)*(VLOOKUP(($F$16-$F$15)*2-1,U$99:Y225,4,FALSE)))*EXP(-(LN(2)/$D$65+0.1)*(VLOOKUP(($F$16-$F$15)*2-1,U$99:Y225,5,FALSE)))*EXP(-(LN(2)/$D$65+0.04)*X225)*EXP(-(LN(2)/$D$65+0.1)*Y225),"-"))),"-")</f>
        <v>-</v>
      </c>
      <c r="AB226" s="271" t="str">
        <f>IFERROR(IF(V226=1,AB$100*EXP(-(LN(2)/$D$65+0.04)*X226)*EXP(-(LN(2)/$D$65+0.1)*Y226),IF(V226=2,AB$100*EXP(-(LN(2)/$D$65+0.04)*(VLOOKUP(($F$16-$F$15)-1,U$100:Y226,4,FALSE)))*EXP(-(LN(2)/$D$65+0.1)*(VLOOKUP(($F$16-$F$15)-1,U$100:Y226,5,FALSE)))*EXP(-(LN(2)/$D$65+0.04)*X226)*EXP(-(LN(2)/$D$65+0.1)*Y226),IF(V226=3,AB$100*EXP(-(LN(2)/$D$65+0.04)*(VLOOKUP(($F$16-$F$15)-1,U$100:Y226,4,FALSE)))*EXP(-(LN(2)/$D$65+0.1)*(VLOOKUP(($F$16-$F$15)-1,U$100:Y226,5,FALSE)))*EXP(-(LN(2)/$D$65+0.04)*(VLOOKUP(($F$16-$F$15)*2-1,U$100:Y226,4,FALSE)))*EXP(-(LN(2)/$D$65+0.1)*(VLOOKUP(($F$16-$F$15)*2-1,U$100:Y226,5,FALSE)))*EXP(-(LN(2)/$D$65+0.04)*X226)*EXP(-(LN(2)/$D$65+0.1)*Y226),"-"))),"-")</f>
        <v>-</v>
      </c>
      <c r="AC226" s="224">
        <f t="shared" si="134"/>
        <v>126</v>
      </c>
      <c r="AD226" s="223" t="str">
        <f t="shared" si="108"/>
        <v>-</v>
      </c>
      <c r="AE226" s="224" t="str">
        <f t="shared" si="135"/>
        <v>-</v>
      </c>
      <c r="AF226" s="224" t="str">
        <f t="shared" si="109"/>
        <v>-</v>
      </c>
      <c r="AG226" s="224" t="str">
        <f t="shared" si="110"/>
        <v>-</v>
      </c>
      <c r="AH226" s="272">
        <f t="shared" si="136"/>
        <v>0.1</v>
      </c>
      <c r="AI226" s="271" t="str">
        <f>IFERROR(IF(AD225=1,AI$100*EXP(-(LN(2)/$D$65+0.04)*AF225)*EXP(-(LN(2)/$D$65+0.1)*AG225),IF(AD225=2,AI$100*EXP(-(LN(2)/$D$65+0.04)*(VLOOKUP(($F$16-$F$15)-1,AC$99:AG225,4,FALSE)))*EXP(-(LN(2)/$D$65+0.1)*(VLOOKUP(($F$16-$F$15)-1,AC$99:AG225,5,FALSE)))*EXP(-(LN(2)/$D$65+0.04)*AF225)*EXP(-(LN(2)/$D$65+0.1)*AG225),IF(AD225=3,AI$100*EXP(-(LN(2)/$D$65+0.04)*(VLOOKUP(($F$16-$F$15)-1,AC$99:AG225,4,FALSE)))*EXP(-(LN(2)/$D$65+0.1)*(VLOOKUP(($F$16-$F$15)-1,AC$99:AG225,5,FALSE)))*EXP(-(LN(2)/$D$65+0.04)*(VLOOKUP(($F$16-$F$15)*2-1,AC$99:AG225,4,FALSE)))*EXP(-(LN(2)/$D$65+0.1)*(VLOOKUP(($F$16-$F$15)*2-1,AC$99:AG225,5,FALSE)))*EXP(-(LN(2)/$D$65+0.04)*AF225)*EXP(-(LN(2)/$D$65+0.1)*AG225),"-"))),"-")</f>
        <v>-</v>
      </c>
      <c r="AJ226" s="271" t="str">
        <f>IFERROR(IF(AD226=1,AJ$100*EXP(-(LN(2)/$D$65+0.04)*AF226)*EXP(-(LN(2)/$D$65+0.1)*AG226),IF(AD226=2,AJ$100*EXP(-(LN(2)/$D$65+0.04)*(VLOOKUP(($F$16-$F$15)-1,AC$100:AG226,4,FALSE)))*EXP(-(LN(2)/$D$65+0.1)*(VLOOKUP(($F$16-$F$15)-1,AC$100:AG226,5,FALSE)))*EXP(-(LN(2)/$D$65+0.04)*AF226)*EXP(-(LN(2)/$D$65+0.1)*AG226),IF(AD226=3,AJ$100*EXP(-(LN(2)/$D$65+0.04)*(VLOOKUP(($F$16-$F$15)-1,AC$100:AG226,4,FALSE)))*EXP(-(LN(2)/$D$65+0.1)*(VLOOKUP(($F$16-$F$15)-1,AC$100:AG226,5,FALSE)))*EXP(-(LN(2)/$D$65+0.04)*(VLOOKUP(($F$16-$F$15)*2-1,AC$100:AG226,4,FALSE)))*EXP(-(LN(2)/$D$65+0.1)*(VLOOKUP(($F$16-$F$15)*2-1,AC$100:AG226,5,FALSE)))*EXP(-(LN(2)/$D$65+0.04)*AF226)*EXP(-(LN(2)/$D$65+0.1)*AG226),"-"))),"-")</f>
        <v>-</v>
      </c>
      <c r="AK226" s="227">
        <f t="shared" si="137"/>
        <v>126</v>
      </c>
      <c r="AL226" s="226" t="str">
        <f t="shared" si="111"/>
        <v>-</v>
      </c>
      <c r="AM226" s="227" t="str">
        <f t="shared" si="138"/>
        <v>-</v>
      </c>
      <c r="AN226" s="227" t="str">
        <f t="shared" si="139"/>
        <v>-</v>
      </c>
      <c r="AO226" s="227" t="str">
        <f t="shared" si="112"/>
        <v>-</v>
      </c>
      <c r="AP226" s="273">
        <f t="shared" si="140"/>
        <v>0.1</v>
      </c>
      <c r="AQ226" s="271" t="str">
        <f>IFERROR(IF(AL225=1,AQ$100*EXP(-(LN(2)/$D$65+0.04)*AN225)*EXP(-(LN(2)/$D$65+0.1)*AO225),IF(AL225=2,AQ$100*EXP(-(LN(2)/$D$65+0.04)*(VLOOKUP(($F$16-$F$15)-1,AK$99:AO225,4,FALSE)))*EXP(-(LN(2)/$D$65+0.1)*(VLOOKUP(($F$16-$F$15)-1,AK$99:AO225,5,FALSE)))*EXP(-(LN(2)/$D$65+0.04)*AN225)*EXP(-(LN(2)/$D$65+0.1)*AO225),IF(AL225=3,AQ$100*EXP(-(LN(2)/$D$65+0.04)*(VLOOKUP(($F$16-$F$15)-1,AK$99:AO225,4,FALSE)))*EXP(-(LN(2)/$D$65+0.1)*(VLOOKUP(($F$16-$F$15)-1,AK$99:AO225,5,FALSE)))*EXP(-(LN(2)/$D$65+0.04)*(VLOOKUP(($F$16-$F$15)*2-1,AK$99:AO225,4,FALSE)))*EXP(-(LN(2)/$D$65+0.1)*(VLOOKUP(($F$16-$F$15)*2-1,AK$99:AO225,5,FALSE)))*EXP(-(LN(2)/$D$65+0.04)*AN225)*EXP(-(LN(2)/$D$65+0.1)*AO225),"-"))),"-")</f>
        <v>-</v>
      </c>
      <c r="AR226" s="271" t="str">
        <f>IFERROR(IF(AL226=1,AR$100*EXP(-(LN(2)/$D$65+0.04)*AN226)*EXP(-(LN(2)/$D$65+0.1)*AO226),IF(AL226=2,AR$100*EXP(-(LN(2)/$D$65+0.04)*(VLOOKUP(($F$16-$F$15)-1,AK$100:AO226,4,FALSE)))*EXP(-(LN(2)/$D$65+0.1)*(VLOOKUP(($F$16-$F$15)-1,AK$100:AO226,5,FALSE)))*EXP(-(LN(2)/$D$65+0.04)*AN226)*EXP(-(LN(2)/$D$65+0.1)*AO226),IF(AL226=3,AR$100*EXP(-(LN(2)/$D$65+0.04)*(VLOOKUP(($F$16-$F$15)-1,AK$100:AO226,4,FALSE)))*EXP(-(LN(2)/$D$65+0.1)*(VLOOKUP(($F$16-$F$15)-1,AK$100:AO226,5,FALSE)))*EXP(-(LN(2)/$D$65+0.04)*(VLOOKUP(($F$16-$F$15)*2-1,AK$100:AO226,4,FALSE)))*EXP(-(LN(2)/$D$65+0.1)*(VLOOKUP(($F$16-$F$15)*2-1,AK$100:AO226,5,FALSE)))*EXP(-(LN(2)/$D$65+0.04)*AN226)*EXP(-(LN(2)/$D$65+0.1)*AO226),"-"))),"-")</f>
        <v>-</v>
      </c>
      <c r="AS226" s="274">
        <f t="shared" si="113"/>
        <v>0</v>
      </c>
      <c r="AT226" s="274">
        <f t="shared" si="114"/>
        <v>0</v>
      </c>
      <c r="AU226" s="274">
        <f t="shared" si="115"/>
        <v>0</v>
      </c>
      <c r="AV226" s="190">
        <f>IF($B226&lt;$F$22,SUM($T$100:$T226),"")</f>
        <v>0</v>
      </c>
      <c r="AW226" s="190" t="str">
        <f t="shared" si="161"/>
        <v>-</v>
      </c>
      <c r="AX226" s="190" t="str">
        <f t="shared" si="141"/>
        <v/>
      </c>
      <c r="AY226"/>
      <c r="AZ226" s="190" t="str">
        <f ca="1">IF(ISNUMBER(OFFSET(AV226,-$F$21,0)),SUM(OFFSET($T$100,$F$21,0):$T226),"")</f>
        <v/>
      </c>
      <c r="BA226" s="190" t="str">
        <f t="shared" ca="1" si="162"/>
        <v/>
      </c>
      <c r="BB226" s="190" t="str">
        <f t="shared" ca="1" si="148"/>
        <v/>
      </c>
      <c r="BC226" s="190"/>
      <c r="BD226" s="190" t="str">
        <f ca="1">IFERROR(IF(AND($B226&gt;=($F$16-$F$15),$B226&lt;$F$22+($F$16-$F$15)),SUM(OFFSET($T$100,($F$16-$F$15),0):$T226),""),"")</f>
        <v/>
      </c>
      <c r="BE226" s="190" t="str">
        <f t="shared" ca="1" si="142"/>
        <v/>
      </c>
      <c r="BF226" s="190" t="str">
        <f t="shared" ca="1" si="143"/>
        <v/>
      </c>
      <c r="BG226"/>
      <c r="BH226" s="190" t="str">
        <f ca="1">IF(ISNUMBER(OFFSET(BD226,-$F$21,0)),SUM(OFFSET($T$100,($F$16-$F$15+$F$21),0):$T226),"")</f>
        <v/>
      </c>
      <c r="BI226" s="190" t="str">
        <f t="shared" ca="1" si="163"/>
        <v/>
      </c>
      <c r="BJ226" s="190" t="str">
        <f t="shared" ca="1" si="144"/>
        <v/>
      </c>
      <c r="BK226" s="190"/>
      <c r="BL226" s="190" t="str">
        <f ca="1">IFERROR(IF(AND($B226&gt;=($F$17-$F$15),$B226&lt;$F$22+($F$17-$F$15)),SUM(OFFSET($T$100,($F$17-$F$15),0):$T226),""),"")</f>
        <v/>
      </c>
      <c r="BM226" s="190" t="str">
        <f t="shared" ca="1" si="164"/>
        <v/>
      </c>
      <c r="BN226" s="190" t="str">
        <f t="shared" ca="1" si="145"/>
        <v/>
      </c>
      <c r="BO226"/>
      <c r="BP226" s="190" t="str">
        <f ca="1">IF(ISNUMBER(OFFSET(BL226,-$F$21,0)),SUM(OFFSET($T$100,($F$17-$F$15+$F$21),0):$T226),"")</f>
        <v/>
      </c>
      <c r="BQ226" s="190" t="str">
        <f t="shared" ca="1" si="165"/>
        <v/>
      </c>
      <c r="BR226" s="190" t="str">
        <f t="shared" ca="1" si="146"/>
        <v/>
      </c>
      <c r="BS226" s="190"/>
      <c r="BT226"/>
      <c r="BU226"/>
      <c r="BV226"/>
      <c r="BY226" s="99"/>
      <c r="BZ226" s="99"/>
      <c r="CA226" s="280" t="str">
        <f t="shared" si="166"/>
        <v/>
      </c>
      <c r="CB226" s="71" t="str">
        <f t="shared" si="122"/>
        <v>-</v>
      </c>
      <c r="CC226" s="33"/>
      <c r="CD226" s="261" t="str">
        <f t="shared" si="123"/>
        <v/>
      </c>
      <c r="CE226" s="280" t="str">
        <f t="shared" si="167"/>
        <v>-</v>
      </c>
      <c r="CF226" s="71" t="str">
        <f t="shared" ca="1" si="168"/>
        <v>-</v>
      </c>
      <c r="CG226" s="33" t="str">
        <f t="shared" si="126"/>
        <v>126-127</v>
      </c>
      <c r="CH226" s="261" t="str">
        <f t="shared" ca="1" si="127"/>
        <v/>
      </c>
    </row>
    <row r="227" spans="2:86" ht="13.5" customHeight="1" x14ac:dyDescent="0.2">
      <c r="B227" s="262">
        <v>127</v>
      </c>
      <c r="C227" s="237" t="str">
        <f t="shared" si="91"/>
        <v/>
      </c>
      <c r="D227" s="237" t="str">
        <f t="shared" si="147"/>
        <v>-</v>
      </c>
      <c r="E227" s="263" t="str">
        <f t="shared" si="128"/>
        <v/>
      </c>
      <c r="F227" s="264" t="str">
        <f t="shared" si="129"/>
        <v/>
      </c>
      <c r="G227" s="264" t="str">
        <f t="shared" si="130"/>
        <v/>
      </c>
      <c r="H227" s="240" t="str">
        <f t="shared" si="149"/>
        <v/>
      </c>
      <c r="I227" s="265" t="str">
        <f t="shared" si="150"/>
        <v/>
      </c>
      <c r="J227" s="265" t="str">
        <f t="shared" si="151"/>
        <v/>
      </c>
      <c r="K227" s="240" t="str">
        <f t="shared" si="152"/>
        <v/>
      </c>
      <c r="L227" s="265" t="str">
        <f t="shared" si="153"/>
        <v/>
      </c>
      <c r="M227" s="265" t="str">
        <f t="shared" si="154"/>
        <v/>
      </c>
      <c r="N227" s="240" t="str">
        <f t="shared" si="155"/>
        <v>-</v>
      </c>
      <c r="O227" s="265" t="str">
        <f t="shared" si="156"/>
        <v>-</v>
      </c>
      <c r="P227" s="265" t="str">
        <f t="shared" si="157"/>
        <v>-</v>
      </c>
      <c r="Q227" s="266" t="str">
        <f t="shared" si="158"/>
        <v>-</v>
      </c>
      <c r="R227" s="267" t="str">
        <f t="shared" si="159"/>
        <v>-</v>
      </c>
      <c r="S227" s="268" t="str">
        <f t="shared" si="160"/>
        <v>-</v>
      </c>
      <c r="T227" s="269" t="str">
        <f t="shared" si="104"/>
        <v/>
      </c>
      <c r="U227" s="221">
        <f t="shared" si="105"/>
        <v>127</v>
      </c>
      <c r="V227" s="220" t="str">
        <f t="shared" si="131"/>
        <v>-</v>
      </c>
      <c r="W227" s="221" t="str">
        <f t="shared" si="132"/>
        <v>-</v>
      </c>
      <c r="X227" s="221" t="str">
        <f t="shared" si="106"/>
        <v>-</v>
      </c>
      <c r="Y227" s="221" t="str">
        <f t="shared" si="107"/>
        <v>-</v>
      </c>
      <c r="Z227" s="270">
        <f t="shared" si="133"/>
        <v>0.1</v>
      </c>
      <c r="AA227" s="271" t="str">
        <f>IFERROR(IF(V226=1,AA$100*EXP(-(LN(2)/$D$65+0.04)*X226)*EXP(-(LN(2)/$D$65+0.1)*Y226),IF(V226=2,AA$100*EXP(-(LN(2)/$D$65+0.04)*(VLOOKUP(($F$16-$F$15)-1,U$99:Y226,4,FALSE)))*EXP(-(LN(2)/$D$65+0.1)*(VLOOKUP(($F$16-$F$15)-1,U$99:Y226,5,FALSE)))*EXP(-(LN(2)/$D$65+0.04)*X226)*EXP(-(LN(2)/$D$65+0.1)*Y226),IF(V226=3,AA$100*EXP(-(LN(2)/$D$65+0.04)*(VLOOKUP(($F$16-$F$15)-1,U$99:Y226,4,FALSE)))*EXP(-(LN(2)/$D$65+0.1)*(VLOOKUP(($F$16-$F$15)-1,U$99:Y226,5,FALSE)))*EXP(-(LN(2)/$D$65+0.04)*(VLOOKUP(($F$16-$F$15)*2-1,U$99:Y226,4,FALSE)))*EXP(-(LN(2)/$D$65+0.1)*(VLOOKUP(($F$16-$F$15)*2-1,U$99:Y226,5,FALSE)))*EXP(-(LN(2)/$D$65+0.04)*X226)*EXP(-(LN(2)/$D$65+0.1)*Y226),"-"))),"-")</f>
        <v>-</v>
      </c>
      <c r="AB227" s="271" t="str">
        <f>IFERROR(IF(V227=1,AB$100*EXP(-(LN(2)/$D$65+0.04)*X227)*EXP(-(LN(2)/$D$65+0.1)*Y227),IF(V227=2,AB$100*EXP(-(LN(2)/$D$65+0.04)*(VLOOKUP(($F$16-$F$15)-1,U$100:Y227,4,FALSE)))*EXP(-(LN(2)/$D$65+0.1)*(VLOOKUP(($F$16-$F$15)-1,U$100:Y227,5,FALSE)))*EXP(-(LN(2)/$D$65+0.04)*X227)*EXP(-(LN(2)/$D$65+0.1)*Y227),IF(V227=3,AB$100*EXP(-(LN(2)/$D$65+0.04)*(VLOOKUP(($F$16-$F$15)-1,U$100:Y227,4,FALSE)))*EXP(-(LN(2)/$D$65+0.1)*(VLOOKUP(($F$16-$F$15)-1,U$100:Y227,5,FALSE)))*EXP(-(LN(2)/$D$65+0.04)*(VLOOKUP(($F$16-$F$15)*2-1,U$100:Y227,4,FALSE)))*EXP(-(LN(2)/$D$65+0.1)*(VLOOKUP(($F$16-$F$15)*2-1,U$100:Y227,5,FALSE)))*EXP(-(LN(2)/$D$65+0.04)*X227)*EXP(-(LN(2)/$D$65+0.1)*Y227),"-"))),"-")</f>
        <v>-</v>
      </c>
      <c r="AC227" s="224">
        <f t="shared" si="134"/>
        <v>127</v>
      </c>
      <c r="AD227" s="223" t="str">
        <f t="shared" si="108"/>
        <v>-</v>
      </c>
      <c r="AE227" s="224" t="str">
        <f t="shared" si="135"/>
        <v>-</v>
      </c>
      <c r="AF227" s="224" t="str">
        <f t="shared" si="109"/>
        <v>-</v>
      </c>
      <c r="AG227" s="224" t="str">
        <f t="shared" si="110"/>
        <v>-</v>
      </c>
      <c r="AH227" s="272">
        <f t="shared" si="136"/>
        <v>0.1</v>
      </c>
      <c r="AI227" s="271" t="str">
        <f>IFERROR(IF(AD226=1,AI$100*EXP(-(LN(2)/$D$65+0.04)*AF226)*EXP(-(LN(2)/$D$65+0.1)*AG226),IF(AD226=2,AI$100*EXP(-(LN(2)/$D$65+0.04)*(VLOOKUP(($F$16-$F$15)-1,AC$99:AG226,4,FALSE)))*EXP(-(LN(2)/$D$65+0.1)*(VLOOKUP(($F$16-$F$15)-1,AC$99:AG226,5,FALSE)))*EXP(-(LN(2)/$D$65+0.04)*AF226)*EXP(-(LN(2)/$D$65+0.1)*AG226),IF(AD226=3,AI$100*EXP(-(LN(2)/$D$65+0.04)*(VLOOKUP(($F$16-$F$15)-1,AC$99:AG226,4,FALSE)))*EXP(-(LN(2)/$D$65+0.1)*(VLOOKUP(($F$16-$F$15)-1,AC$99:AG226,5,FALSE)))*EXP(-(LN(2)/$D$65+0.04)*(VLOOKUP(($F$16-$F$15)*2-1,AC$99:AG226,4,FALSE)))*EXP(-(LN(2)/$D$65+0.1)*(VLOOKUP(($F$16-$F$15)*2-1,AC$99:AG226,5,FALSE)))*EXP(-(LN(2)/$D$65+0.04)*AF226)*EXP(-(LN(2)/$D$65+0.1)*AG226),"-"))),"-")</f>
        <v>-</v>
      </c>
      <c r="AJ227" s="271" t="str">
        <f>IFERROR(IF(AD227=1,AJ$100*EXP(-(LN(2)/$D$65+0.04)*AF227)*EXP(-(LN(2)/$D$65+0.1)*AG227),IF(AD227=2,AJ$100*EXP(-(LN(2)/$D$65+0.04)*(VLOOKUP(($F$16-$F$15)-1,AC$100:AG227,4,FALSE)))*EXP(-(LN(2)/$D$65+0.1)*(VLOOKUP(($F$16-$F$15)-1,AC$100:AG227,5,FALSE)))*EXP(-(LN(2)/$D$65+0.04)*AF227)*EXP(-(LN(2)/$D$65+0.1)*AG227),IF(AD227=3,AJ$100*EXP(-(LN(2)/$D$65+0.04)*(VLOOKUP(($F$16-$F$15)-1,AC$100:AG227,4,FALSE)))*EXP(-(LN(2)/$D$65+0.1)*(VLOOKUP(($F$16-$F$15)-1,AC$100:AG227,5,FALSE)))*EXP(-(LN(2)/$D$65+0.04)*(VLOOKUP(($F$16-$F$15)*2-1,AC$100:AG227,4,FALSE)))*EXP(-(LN(2)/$D$65+0.1)*(VLOOKUP(($F$16-$F$15)*2-1,AC$100:AG227,5,FALSE)))*EXP(-(LN(2)/$D$65+0.04)*AF227)*EXP(-(LN(2)/$D$65+0.1)*AG227),"-"))),"-")</f>
        <v>-</v>
      </c>
      <c r="AK227" s="227">
        <f t="shared" si="137"/>
        <v>127</v>
      </c>
      <c r="AL227" s="226" t="str">
        <f t="shared" si="111"/>
        <v>-</v>
      </c>
      <c r="AM227" s="227" t="str">
        <f t="shared" si="138"/>
        <v>-</v>
      </c>
      <c r="AN227" s="227" t="str">
        <f t="shared" si="139"/>
        <v>-</v>
      </c>
      <c r="AO227" s="227" t="str">
        <f t="shared" si="112"/>
        <v>-</v>
      </c>
      <c r="AP227" s="273">
        <f t="shared" si="140"/>
        <v>0.1</v>
      </c>
      <c r="AQ227" s="271" t="str">
        <f>IFERROR(IF(AL226=1,AQ$100*EXP(-(LN(2)/$D$65+0.04)*AN226)*EXP(-(LN(2)/$D$65+0.1)*AO226),IF(AL226=2,AQ$100*EXP(-(LN(2)/$D$65+0.04)*(VLOOKUP(($F$16-$F$15)-1,AK$99:AO226,4,FALSE)))*EXP(-(LN(2)/$D$65+0.1)*(VLOOKUP(($F$16-$F$15)-1,AK$99:AO226,5,FALSE)))*EXP(-(LN(2)/$D$65+0.04)*AN226)*EXP(-(LN(2)/$D$65+0.1)*AO226),IF(AL226=3,AQ$100*EXP(-(LN(2)/$D$65+0.04)*(VLOOKUP(($F$16-$F$15)-1,AK$99:AO226,4,FALSE)))*EXP(-(LN(2)/$D$65+0.1)*(VLOOKUP(($F$16-$F$15)-1,AK$99:AO226,5,FALSE)))*EXP(-(LN(2)/$D$65+0.04)*(VLOOKUP(($F$16-$F$15)*2-1,AK$99:AO226,4,FALSE)))*EXP(-(LN(2)/$D$65+0.1)*(VLOOKUP(($F$16-$F$15)*2-1,AK$99:AO226,5,FALSE)))*EXP(-(LN(2)/$D$65+0.04)*AN226)*EXP(-(LN(2)/$D$65+0.1)*AO226),"-"))),"-")</f>
        <v>-</v>
      </c>
      <c r="AR227" s="271" t="str">
        <f>IFERROR(IF(AL227=1,AR$100*EXP(-(LN(2)/$D$65+0.04)*AN227)*EXP(-(LN(2)/$D$65+0.1)*AO227),IF(AL227=2,AR$100*EXP(-(LN(2)/$D$65+0.04)*(VLOOKUP(($F$16-$F$15)-1,AK$100:AO227,4,FALSE)))*EXP(-(LN(2)/$D$65+0.1)*(VLOOKUP(($F$16-$F$15)-1,AK$100:AO227,5,FALSE)))*EXP(-(LN(2)/$D$65+0.04)*AN227)*EXP(-(LN(2)/$D$65+0.1)*AO227),IF(AL227=3,AR$100*EXP(-(LN(2)/$D$65+0.04)*(VLOOKUP(($F$16-$F$15)-1,AK$100:AO227,4,FALSE)))*EXP(-(LN(2)/$D$65+0.1)*(VLOOKUP(($F$16-$F$15)-1,AK$100:AO227,5,FALSE)))*EXP(-(LN(2)/$D$65+0.04)*(VLOOKUP(($F$16-$F$15)*2-1,AK$100:AO227,4,FALSE)))*EXP(-(LN(2)/$D$65+0.1)*(VLOOKUP(($F$16-$F$15)*2-1,AK$100:AO227,5,FALSE)))*EXP(-(LN(2)/$D$65+0.04)*AN227)*EXP(-(LN(2)/$D$65+0.1)*AO227),"-"))),"-")</f>
        <v>-</v>
      </c>
      <c r="AS227" s="274">
        <f t="shared" si="113"/>
        <v>0</v>
      </c>
      <c r="AT227" s="274">
        <f t="shared" si="114"/>
        <v>0</v>
      </c>
      <c r="AU227" s="274">
        <f t="shared" si="115"/>
        <v>0</v>
      </c>
      <c r="AV227" s="190">
        <f>IF($B227&lt;$F$22,SUM($T$100:$T227),"")</f>
        <v>0</v>
      </c>
      <c r="AW227" s="190" t="str">
        <f t="shared" si="161"/>
        <v>-</v>
      </c>
      <c r="AX227" s="190" t="str">
        <f t="shared" si="141"/>
        <v/>
      </c>
      <c r="AY227"/>
      <c r="AZ227" s="190" t="str">
        <f ca="1">IF(ISNUMBER(OFFSET(AV227,-$F$21,0)),SUM(OFFSET($T$100,$F$21,0):$T227),"")</f>
        <v/>
      </c>
      <c r="BA227" s="190" t="str">
        <f t="shared" ca="1" si="162"/>
        <v/>
      </c>
      <c r="BB227" s="190" t="str">
        <f t="shared" ca="1" si="148"/>
        <v/>
      </c>
      <c r="BC227" s="190"/>
      <c r="BD227" s="190" t="str">
        <f ca="1">IFERROR(IF(AND($B227&gt;=($F$16-$F$15),$B227&lt;$F$22+($F$16-$F$15)),SUM(OFFSET($T$100,($F$16-$F$15),0):$T227),""),"")</f>
        <v/>
      </c>
      <c r="BE227" s="190" t="str">
        <f t="shared" ca="1" si="142"/>
        <v/>
      </c>
      <c r="BF227" s="190" t="str">
        <f t="shared" ca="1" si="143"/>
        <v/>
      </c>
      <c r="BG227"/>
      <c r="BH227" s="190" t="str">
        <f ca="1">IF(ISNUMBER(OFFSET(BD227,-$F$21,0)),SUM(OFFSET($T$100,($F$16-$F$15+$F$21),0):$T227),"")</f>
        <v/>
      </c>
      <c r="BI227" s="190" t="str">
        <f t="shared" ca="1" si="163"/>
        <v/>
      </c>
      <c r="BJ227" s="190" t="str">
        <f t="shared" ca="1" si="144"/>
        <v/>
      </c>
      <c r="BK227" s="190"/>
      <c r="BL227" s="190" t="str">
        <f ca="1">IFERROR(IF(AND($B227&gt;=($F$17-$F$15),$B227&lt;$F$22+($F$17-$F$15)),SUM(OFFSET($T$100,($F$17-$F$15),0):$T227),""),"")</f>
        <v/>
      </c>
      <c r="BM227" s="190" t="str">
        <f t="shared" ca="1" si="164"/>
        <v/>
      </c>
      <c r="BN227" s="190" t="str">
        <f t="shared" ca="1" si="145"/>
        <v/>
      </c>
      <c r="BO227"/>
      <c r="BP227" s="190" t="str">
        <f ca="1">IF(ISNUMBER(OFFSET(BL227,-$F$21,0)),SUM(OFFSET($T$100,($F$17-$F$15+$F$21),0):$T227),"")</f>
        <v/>
      </c>
      <c r="BQ227" s="190" t="str">
        <f t="shared" ca="1" si="165"/>
        <v/>
      </c>
      <c r="BR227" s="190" t="str">
        <f t="shared" ca="1" si="146"/>
        <v/>
      </c>
      <c r="BS227" s="190"/>
      <c r="BT227"/>
      <c r="BU227"/>
      <c r="BV227"/>
      <c r="BY227" s="99"/>
      <c r="BZ227" s="99"/>
      <c r="CA227" s="280" t="str">
        <f t="shared" si="166"/>
        <v/>
      </c>
      <c r="CB227" s="71" t="str">
        <f t="shared" si="122"/>
        <v>-</v>
      </c>
      <c r="CC227" s="33"/>
      <c r="CD227" s="261" t="str">
        <f t="shared" si="123"/>
        <v/>
      </c>
      <c r="CE227" s="280" t="str">
        <f t="shared" si="167"/>
        <v>-</v>
      </c>
      <c r="CF227" s="71" t="str">
        <f t="shared" ca="1" si="168"/>
        <v>-</v>
      </c>
      <c r="CG227" s="33" t="str">
        <f t="shared" si="126"/>
        <v>127-128</v>
      </c>
      <c r="CH227" s="261" t="str">
        <f t="shared" ca="1" si="127"/>
        <v/>
      </c>
    </row>
    <row r="228" spans="2:86" ht="13.5" customHeight="1" x14ac:dyDescent="0.2">
      <c r="B228" s="262">
        <v>128</v>
      </c>
      <c r="C228" s="237" t="str">
        <f t="shared" ref="C228:C250" si="169">IF(ISERROR(VLOOKUP(B228,$B$39:$C$73,2,0)),"",VLOOKUP(B228,$B$39:$C$73,2,0))</f>
        <v/>
      </c>
      <c r="D228" s="237" t="str">
        <f t="shared" si="147"/>
        <v>-</v>
      </c>
      <c r="E228" s="263" t="str">
        <f t="shared" si="128"/>
        <v/>
      </c>
      <c r="F228" s="264" t="str">
        <f t="shared" si="129"/>
        <v/>
      </c>
      <c r="G228" s="264" t="str">
        <f t="shared" si="130"/>
        <v/>
      </c>
      <c r="H228" s="240" t="str">
        <f t="shared" ref="H228:H250" si="170">IF(E228&lt;&gt;"",IF($B228&lt;$F$21,"",IF(ISNUMBER(F228),IF(ISNUMBER(I228),(E228*30*50*ffp),""),(E228*30*50*ffp))),"")</f>
        <v/>
      </c>
      <c r="I228" s="265" t="str">
        <f t="shared" ref="I228:I250" si="171">IFERROR(IF(F228&lt;&gt;"",IF($B228&lt;$F$21+$F$16,"",IF(ISNUMBER(G228),IF(ISNUMBER(J228),(F228*30*50*ffp),""),(F228*30*50*ffp))),""),"")</f>
        <v/>
      </c>
      <c r="J228" s="265" t="str">
        <f t="shared" ref="J228:J250" si="172">IFERROR(IF(G228&lt;&gt;"",IF($B228&lt;$F$21+$F$17,"",(G228*30*50*ffp)),""),"")</f>
        <v/>
      </c>
      <c r="K228" s="240" t="str">
        <f t="shared" ref="K228:K250" si="173">IF(E228&lt;&gt;"",((E228*20*50*ffp)/Klevee),"")</f>
        <v/>
      </c>
      <c r="L228" s="265" t="str">
        <f t="shared" ref="L228:L250" si="174">IF(ISNUMBER(F228),((F228*20*50*ffp)/Klevee),"")</f>
        <v/>
      </c>
      <c r="M228" s="265" t="str">
        <f t="shared" ref="M228:M250" si="175">IF(ISNUMBER(G228),((G228*20*50*ffp)/Klevee),"")</f>
        <v/>
      </c>
      <c r="N228" s="240" t="str">
        <f t="shared" ref="N228:N250" si="176">IF(AND(ISNUMBER(I),ISNUMBER($F$14),ISNUMBER($F$20)),IF($B228=0,I*($J$40/100)*$J$42*1,""),"-")</f>
        <v>-</v>
      </c>
      <c r="O228" s="265" t="str">
        <f t="shared" ref="O228:O250" si="177">IF(ISNUMBER($F$14),IF($F$14&gt;1,IF($B228=0+$F$16,I*($J$40/100)*$J$42*1,""),""),"-")</f>
        <v>-</v>
      </c>
      <c r="P228" s="265" t="str">
        <f t="shared" ref="P228:P250" si="178">IF(ISNUMBER($F$14),IF($F$14&gt;2,IF($B228=0+$F$17,I*($J$40/100)*$J$42*1,""),""),"-")</f>
        <v>-</v>
      </c>
      <c r="Q228" s="266" t="str">
        <f t="shared" ref="Q228:Q250" si="179">IF(AND(ISNUMBER(I),ISNUMBER($F$14),ISNUMBER($F$20)),IF($B228=0,I*(dt/100)*$J$45*1,""),"-")</f>
        <v>-</v>
      </c>
      <c r="R228" s="267" t="str">
        <f t="shared" ref="R228:R250" si="180">IF(ISNUMBER($F$14),IF($F$14&gt;1,IF($B228=0+$F$16,I*(dt/100)*$J$45*1,""),""),"-")</f>
        <v>-</v>
      </c>
      <c r="S228" s="268" t="str">
        <f t="shared" ref="S228:S250" si="181">IF(ISNUMBER($F$14),IF($F$14&gt;2,IF($B228=0+$F$17,I*(dt/100)*$J$45*1,""),""),"-")</f>
        <v>-</v>
      </c>
      <c r="T228" s="269" t="str">
        <f t="shared" ref="T228:T250" si="182">IF(SUM(H228:S228)=0,"",SUM(H228:S228))</f>
        <v/>
      </c>
      <c r="U228" s="221">
        <f t="shared" ref="U228:U250" si="183">B228</f>
        <v>128</v>
      </c>
      <c r="V228" s="220" t="str">
        <f t="shared" si="131"/>
        <v>-</v>
      </c>
      <c r="W228" s="221" t="str">
        <f t="shared" si="132"/>
        <v>-</v>
      </c>
      <c r="X228" s="221" t="str">
        <f t="shared" ref="X228:X250" si="184">IFERROR(IF($F$21=0,0,IF(V228=V227,IF(B228-(V228-1)*($F$16-$F$15)&lt;$F$21,X227+1,X227),1)),"-")</f>
        <v>-</v>
      </c>
      <c r="Y228" s="221" t="str">
        <f t="shared" ref="Y228:Y250" si="185">IFERROR(W228-X228,"-")</f>
        <v>-</v>
      </c>
      <c r="Z228" s="270">
        <f t="shared" si="133"/>
        <v>0.1</v>
      </c>
      <c r="AA228" s="271" t="str">
        <f>IFERROR(IF(V227=1,AA$100*EXP(-(LN(2)/$D$65+0.04)*X227)*EXP(-(LN(2)/$D$65+0.1)*Y227),IF(V227=2,AA$100*EXP(-(LN(2)/$D$65+0.04)*(VLOOKUP(($F$16-$F$15)-1,U$99:Y227,4,FALSE)))*EXP(-(LN(2)/$D$65+0.1)*(VLOOKUP(($F$16-$F$15)-1,U$99:Y227,5,FALSE)))*EXP(-(LN(2)/$D$65+0.04)*X227)*EXP(-(LN(2)/$D$65+0.1)*Y227),IF(V227=3,AA$100*EXP(-(LN(2)/$D$65+0.04)*(VLOOKUP(($F$16-$F$15)-1,U$99:Y227,4,FALSE)))*EXP(-(LN(2)/$D$65+0.1)*(VLOOKUP(($F$16-$F$15)-1,U$99:Y227,5,FALSE)))*EXP(-(LN(2)/$D$65+0.04)*(VLOOKUP(($F$16-$F$15)*2-1,U$99:Y227,4,FALSE)))*EXP(-(LN(2)/$D$65+0.1)*(VLOOKUP(($F$16-$F$15)*2-1,U$99:Y227,5,FALSE)))*EXP(-(LN(2)/$D$65+0.04)*X227)*EXP(-(LN(2)/$D$65+0.1)*Y227),"-"))),"-")</f>
        <v>-</v>
      </c>
      <c r="AB228" s="271" t="str">
        <f>IFERROR(IF(V228=1,AB$100*EXP(-(LN(2)/$D$65+0.04)*X228)*EXP(-(LN(2)/$D$65+0.1)*Y228),IF(V228=2,AB$100*EXP(-(LN(2)/$D$65+0.04)*(VLOOKUP(($F$16-$F$15)-1,U$100:Y228,4,FALSE)))*EXP(-(LN(2)/$D$65+0.1)*(VLOOKUP(($F$16-$F$15)-1,U$100:Y228,5,FALSE)))*EXP(-(LN(2)/$D$65+0.04)*X228)*EXP(-(LN(2)/$D$65+0.1)*Y228),IF(V228=3,AB$100*EXP(-(LN(2)/$D$65+0.04)*(VLOOKUP(($F$16-$F$15)-1,U$100:Y228,4,FALSE)))*EXP(-(LN(2)/$D$65+0.1)*(VLOOKUP(($F$16-$F$15)-1,U$100:Y228,5,FALSE)))*EXP(-(LN(2)/$D$65+0.04)*(VLOOKUP(($F$16-$F$15)*2-1,U$100:Y228,4,FALSE)))*EXP(-(LN(2)/$D$65+0.1)*(VLOOKUP(($F$16-$F$15)*2-1,U$100:Y228,5,FALSE)))*EXP(-(LN(2)/$D$65+0.04)*X228)*EXP(-(LN(2)/$D$65+0.1)*Y228),"-"))),"-")</f>
        <v>-</v>
      </c>
      <c r="AC228" s="224">
        <f t="shared" si="134"/>
        <v>128</v>
      </c>
      <c r="AD228" s="223" t="str">
        <f t="shared" ref="AD228:AD250" si="186">IFERROR(IF($F$14-1&gt;0,IF(B228&lt;($F$16-$F$15)*($F$14-1),INT(B228/($F$16-$F$15))+1,AD226),"-"),"-")</f>
        <v>-</v>
      </c>
      <c r="AE228" s="224" t="str">
        <f t="shared" si="135"/>
        <v>-</v>
      </c>
      <c r="AF228" s="224" t="str">
        <f t="shared" ref="AF228:AF250" si="187">IFERROR(IF($F$21=0,0,IF(AD228=AD227,IF(B228-(AD228-1)*($F$16-$F$15)&lt;$F$21,AF227+1,AF227),1)),"-")</f>
        <v>-</v>
      </c>
      <c r="AG228" s="224" t="str">
        <f t="shared" ref="AG228:AG250" si="188">IFERROR(AE228-AF228,"-")</f>
        <v>-</v>
      </c>
      <c r="AH228" s="272">
        <f t="shared" si="136"/>
        <v>0.1</v>
      </c>
      <c r="AI228" s="271" t="str">
        <f>IFERROR(IF(AD227=1,AI$100*EXP(-(LN(2)/$D$65+0.04)*AF227)*EXP(-(LN(2)/$D$65+0.1)*AG227),IF(AD227=2,AI$100*EXP(-(LN(2)/$D$65+0.04)*(VLOOKUP(($F$16-$F$15)-1,AC$99:AG227,4,FALSE)))*EXP(-(LN(2)/$D$65+0.1)*(VLOOKUP(($F$16-$F$15)-1,AC$99:AG227,5,FALSE)))*EXP(-(LN(2)/$D$65+0.04)*AF227)*EXP(-(LN(2)/$D$65+0.1)*AG227),IF(AD227=3,AI$100*EXP(-(LN(2)/$D$65+0.04)*(VLOOKUP(($F$16-$F$15)-1,AC$99:AG227,4,FALSE)))*EXP(-(LN(2)/$D$65+0.1)*(VLOOKUP(($F$16-$F$15)-1,AC$99:AG227,5,FALSE)))*EXP(-(LN(2)/$D$65+0.04)*(VLOOKUP(($F$16-$F$15)*2-1,AC$99:AG227,4,FALSE)))*EXP(-(LN(2)/$D$65+0.1)*(VLOOKUP(($F$16-$F$15)*2-1,AC$99:AG227,5,FALSE)))*EXP(-(LN(2)/$D$65+0.04)*AF227)*EXP(-(LN(2)/$D$65+0.1)*AG227),"-"))),"-")</f>
        <v>-</v>
      </c>
      <c r="AJ228" s="271" t="str">
        <f>IFERROR(IF(AD228=1,AJ$100*EXP(-(LN(2)/$D$65+0.04)*AF228)*EXP(-(LN(2)/$D$65+0.1)*AG228),IF(AD228=2,AJ$100*EXP(-(LN(2)/$D$65+0.04)*(VLOOKUP(($F$16-$F$15)-1,AC$100:AG228,4,FALSE)))*EXP(-(LN(2)/$D$65+0.1)*(VLOOKUP(($F$16-$F$15)-1,AC$100:AG228,5,FALSE)))*EXP(-(LN(2)/$D$65+0.04)*AF228)*EXP(-(LN(2)/$D$65+0.1)*AG228),IF(AD228=3,AJ$100*EXP(-(LN(2)/$D$65+0.04)*(VLOOKUP(($F$16-$F$15)-1,AC$100:AG228,4,FALSE)))*EXP(-(LN(2)/$D$65+0.1)*(VLOOKUP(($F$16-$F$15)-1,AC$100:AG228,5,FALSE)))*EXP(-(LN(2)/$D$65+0.04)*(VLOOKUP(($F$16-$F$15)*2-1,AC$100:AG228,4,FALSE)))*EXP(-(LN(2)/$D$65+0.1)*(VLOOKUP(($F$16-$F$15)*2-1,AC$100:AG228,5,FALSE)))*EXP(-(LN(2)/$D$65+0.04)*AF228)*EXP(-(LN(2)/$D$65+0.1)*AG228),"-"))),"-")</f>
        <v>-</v>
      </c>
      <c r="AK228" s="227">
        <f t="shared" si="137"/>
        <v>128</v>
      </c>
      <c r="AL228" s="226" t="str">
        <f t="shared" ref="AL228:AL250" si="189">IFERROR(IF($F$14-2&gt;0,IF(B228&lt;($F$16-$F$15)*($F$14-2),INT(B228/($F$16-$F$15))+1,AL226),"-"),"-")</f>
        <v>-</v>
      </c>
      <c r="AM228" s="227" t="str">
        <f t="shared" si="138"/>
        <v>-</v>
      </c>
      <c r="AN228" s="227" t="str">
        <f t="shared" si="139"/>
        <v>-</v>
      </c>
      <c r="AO228" s="227" t="str">
        <f t="shared" ref="AO228:AO250" si="190">IFERROR(AM228-AN228,"-")</f>
        <v>-</v>
      </c>
      <c r="AP228" s="273">
        <f t="shared" si="140"/>
        <v>0.1</v>
      </c>
      <c r="AQ228" s="271" t="str">
        <f>IFERROR(IF(AL227=1,AQ$100*EXP(-(LN(2)/$D$65+0.04)*AN227)*EXP(-(LN(2)/$D$65+0.1)*AO227),IF(AL227=2,AQ$100*EXP(-(LN(2)/$D$65+0.04)*(VLOOKUP(($F$16-$F$15)-1,AK$99:AO227,4,FALSE)))*EXP(-(LN(2)/$D$65+0.1)*(VLOOKUP(($F$16-$F$15)-1,AK$99:AO227,5,FALSE)))*EXP(-(LN(2)/$D$65+0.04)*AN227)*EXP(-(LN(2)/$D$65+0.1)*AO227),IF(AL227=3,AQ$100*EXP(-(LN(2)/$D$65+0.04)*(VLOOKUP(($F$16-$F$15)-1,AK$99:AO227,4,FALSE)))*EXP(-(LN(2)/$D$65+0.1)*(VLOOKUP(($F$16-$F$15)-1,AK$99:AO227,5,FALSE)))*EXP(-(LN(2)/$D$65+0.04)*(VLOOKUP(($F$16-$F$15)*2-1,AK$99:AO227,4,FALSE)))*EXP(-(LN(2)/$D$65+0.1)*(VLOOKUP(($F$16-$F$15)*2-1,AK$99:AO227,5,FALSE)))*EXP(-(LN(2)/$D$65+0.04)*AN227)*EXP(-(LN(2)/$D$65+0.1)*AO227),"-"))),"-")</f>
        <v>-</v>
      </c>
      <c r="AR228" s="271" t="str">
        <f>IFERROR(IF(AL228=1,AR$100*EXP(-(LN(2)/$D$65+0.04)*AN228)*EXP(-(LN(2)/$D$65+0.1)*AO228),IF(AL228=2,AR$100*EXP(-(LN(2)/$D$65+0.04)*(VLOOKUP(($F$16-$F$15)-1,AK$100:AO228,4,FALSE)))*EXP(-(LN(2)/$D$65+0.1)*(VLOOKUP(($F$16-$F$15)-1,AK$100:AO228,5,FALSE)))*EXP(-(LN(2)/$D$65+0.04)*AN228)*EXP(-(LN(2)/$D$65+0.1)*AO228),IF(AL228=3,AR$100*EXP(-(LN(2)/$D$65+0.04)*(VLOOKUP(($F$16-$F$15)-1,AK$100:AO228,4,FALSE)))*EXP(-(LN(2)/$D$65+0.1)*(VLOOKUP(($F$16-$F$15)-1,AK$100:AO228,5,FALSE)))*EXP(-(LN(2)/$D$65+0.04)*(VLOOKUP(($F$16-$F$15)*2-1,AK$100:AO228,4,FALSE)))*EXP(-(LN(2)/$D$65+0.1)*(VLOOKUP(($F$16-$F$15)*2-1,AK$100:AO228,5,FALSE)))*EXP(-(LN(2)/$D$65+0.04)*AN228)*EXP(-(LN(2)/$D$65+0.1)*AO228),"-"))),"-")</f>
        <v>-</v>
      </c>
      <c r="AS228" s="274">
        <f t="shared" ref="AS228:AS250" si="191">SUM(H228:J228)</f>
        <v>0</v>
      </c>
      <c r="AT228" s="274">
        <f t="shared" ref="AT228:AT250" si="192">SUM(K228:M228)</f>
        <v>0</v>
      </c>
      <c r="AU228" s="274">
        <f t="shared" ref="AU228:AU250" si="193">SUM(N228:S228)</f>
        <v>0</v>
      </c>
      <c r="AV228" s="190">
        <f>IF($B228&lt;$F$22,SUM($T$100:$T228),"")</f>
        <v>0</v>
      </c>
      <c r="AW228" s="190" t="str">
        <f t="shared" ref="AW228:AW250" si="194">IF(ISNUMBER(Koc),IF(ISNUMBER(AV228),AV228*(Koc*(Ocse/100)*Pse*Vse)/(Koc*(Ocse/100)*Pse*Vse+1*86400*($B228+1)),""),"-")</f>
        <v>-</v>
      </c>
      <c r="AX228" s="190" t="str">
        <f t="shared" si="141"/>
        <v/>
      </c>
      <c r="AY228"/>
      <c r="AZ228" s="190" t="str">
        <f ca="1">IF(ISNUMBER(OFFSET(AV228,-$F$21,0)),SUM(OFFSET($T$100,$F$21,0):$T228),"")</f>
        <v/>
      </c>
      <c r="BA228" s="190" t="str">
        <f t="shared" ref="BA228:BA250" ca="1" si="195">IF(ISNUMBER(OFFSET(AV228,-$F$21,0)),AZ228*(Koc*(Ocse/100)*Pse*Vse)/(Koc*(Ocse/100)*Pse*Vse+1*86400*($B228+1)),"")</f>
        <v/>
      </c>
      <c r="BB228" s="190" t="str">
        <f t="shared" ca="1" si="148"/>
        <v/>
      </c>
      <c r="BC228" s="190"/>
      <c r="BD228" s="190" t="str">
        <f ca="1">IFERROR(IF(AND($B228&gt;=($F$16-$F$15),$B228&lt;$F$22+($F$16-$F$15)),SUM(OFFSET($T$100,($F$16-$F$15),0):$T228),""),"")</f>
        <v/>
      </c>
      <c r="BE228" s="190" t="str">
        <f t="shared" ca="1" si="142"/>
        <v/>
      </c>
      <c r="BF228" s="190" t="str">
        <f t="shared" ca="1" si="143"/>
        <v/>
      </c>
      <c r="BG228"/>
      <c r="BH228" s="190" t="str">
        <f ca="1">IF(ISNUMBER(OFFSET(BD228,-$F$21,0)),SUM(OFFSET($T$100,($F$16-$F$15+$F$21),0):$T228),"")</f>
        <v/>
      </c>
      <c r="BI228" s="190" t="str">
        <f t="shared" ref="BI228:BI250" ca="1" si="196">IF(ISNUMBER(OFFSET(BD228,-$F$21,0)),BH228*(Koc*(Ocse/100)*Pse*Vse)/(Koc*(Ocse/100)*Pse*Vse+1*86400*($B228+1)),"")</f>
        <v/>
      </c>
      <c r="BJ228" s="190" t="str">
        <f t="shared" ca="1" si="144"/>
        <v/>
      </c>
      <c r="BK228" s="190"/>
      <c r="BL228" s="190" t="str">
        <f ca="1">IFERROR(IF(AND($B228&gt;=($F$17-$F$15),$B228&lt;$F$22+($F$17-$F$15)),SUM(OFFSET($T$100,($F$17-$F$15),0):$T228),""),"")</f>
        <v/>
      </c>
      <c r="BM228" s="190" t="str">
        <f t="shared" ref="BM228:BM250" ca="1" si="197">IF(ISNUMBER(BL228),BL228*(Koc*(Ocse/100)*Pse*Vse)/(Koc*(Ocse/100)*Pse*Vse+1*86400*($B228+1)),"")</f>
        <v/>
      </c>
      <c r="BN228" s="190" t="str">
        <f t="shared" ca="1" si="145"/>
        <v/>
      </c>
      <c r="BO228"/>
      <c r="BP228" s="190" t="str">
        <f ca="1">IF(ISNUMBER(OFFSET(BL228,-$F$21,0)),SUM(OFFSET($T$100,($F$17-$F$15+$F$21),0):$T228),"")</f>
        <v/>
      </c>
      <c r="BQ228" s="190" t="str">
        <f t="shared" ref="BQ228:BQ250" ca="1" si="198">IF(ISNUMBER(OFFSET(BL228,-$F$21,0)),BP228*(Koc*(Ocse/100)*Pse*Vse)/(Koc*(Ocse/100)*Pse*Vse+1*86400*($B228+1)),"")</f>
        <v/>
      </c>
      <c r="BR228" s="190" t="str">
        <f t="shared" ca="1" si="146"/>
        <v/>
      </c>
      <c r="BS228" s="190"/>
      <c r="BT228"/>
      <c r="BU228"/>
      <c r="BV228"/>
      <c r="BY228" s="99"/>
      <c r="BZ228" s="99"/>
      <c r="CA228" s="280" t="str">
        <f t="shared" ref="CA228:CA250" si="199">IFERROR(IF($B228&lt;$CA$94,T228*(Koc*(Ocse/100)*Pse*Vse)/(Koc*(Ocse/100)*Pse*Vse+1*86400*$CA$94),""),"-")</f>
        <v/>
      </c>
      <c r="CB228" s="71" t="str">
        <f t="shared" ref="CB228:CB250" si="200">IF(ISNUMBER(T228),IF($B228&lt;$CA$94,(T228-CA228)/(3*86400)*1000,""),"-")</f>
        <v>-</v>
      </c>
      <c r="CC228" s="33"/>
      <c r="CD228" s="261" t="str">
        <f t="shared" ref="CD228:CD250" si="201">IF(CC228=CA$96,CB$96,"")</f>
        <v/>
      </c>
      <c r="CE228" s="280" t="str">
        <f t="shared" ref="CE228:CE250" si="202">IFERROR(IF($B228&lt;$CE$94,T228*(Koc*(Ocse/100)*Pse*Vse)/(Koc*(Ocse/100)*Pse*Vse+1*86400*$CE$94),""),"-")</f>
        <v>-</v>
      </c>
      <c r="CF228" s="71" t="str">
        <f t="shared" ref="CF228:CF250" ca="1" si="203">IFERROR(IF($B228&lt;$CE$94,IF(NOT(ISNUMBER(ffp)),"-",IF($F$70=$AX$87,AX228,IF($F$70=$BB$87,OFFSET(BB228,$F$21,0),IF($F$70=$BF$87,OFFSET(BF228,$F$16,0),IF($F$70=$BJ$87,OFFSET(BJ228,$F$16+$F$21,0),IF($F$70=$BN$87,OFFSET(BN228,$F$17,0),OFFSET(BR228,$F$17+$F$21,0))))))),""),"-")</f>
        <v>-</v>
      </c>
      <c r="CG228" s="33" t="str">
        <f t="shared" ref="CG228:CG250" si="204">IF($B228&lt;$CE$94,$B228&amp;"-"&amp;$B228+1,"")</f>
        <v>128-129</v>
      </c>
      <c r="CH228" s="261" t="str">
        <f t="shared" ref="CH228:CH250" ca="1" si="205">IF(CG228=CE$96,CF$96,"")</f>
        <v/>
      </c>
    </row>
    <row r="229" spans="2:86" ht="13.5" customHeight="1" x14ac:dyDescent="0.2">
      <c r="B229" s="262">
        <v>129</v>
      </c>
      <c r="C229" s="237" t="str">
        <f t="shared" si="169"/>
        <v/>
      </c>
      <c r="D229" s="237" t="str">
        <f t="shared" si="147"/>
        <v>-</v>
      </c>
      <c r="E229" s="263" t="str">
        <f t="shared" ref="E229:E250" si="206">IF(ISNUMBER($F$14),IF(ISNUMBER(AA229),AA229,""),"")</f>
        <v/>
      </c>
      <c r="F229" s="264" t="str">
        <f t="shared" ref="F229:F250" si="207">IF(OR($F$14=2,$F$14=3),IF(($F$16-$F$15)&gt;B229," ",VLOOKUP((B229-($F$16-$F$15)),$AC$100:$AI$250,7,FALSE)),"")</f>
        <v/>
      </c>
      <c r="G229" s="264" t="str">
        <f t="shared" ref="G229:G250" si="208">IF($F$14=3,IF(($F$16-$F$15)*2&gt;B229," ",VLOOKUP((B229-($F$16-$F$15)*2),$AK$100:$AQ$250,7,FALSE)),"")</f>
        <v/>
      </c>
      <c r="H229" s="240" t="str">
        <f t="shared" si="170"/>
        <v/>
      </c>
      <c r="I229" s="265" t="str">
        <f t="shared" si="171"/>
        <v/>
      </c>
      <c r="J229" s="265" t="str">
        <f t="shared" si="172"/>
        <v/>
      </c>
      <c r="K229" s="240" t="str">
        <f t="shared" si="173"/>
        <v/>
      </c>
      <c r="L229" s="265" t="str">
        <f t="shared" si="174"/>
        <v/>
      </c>
      <c r="M229" s="265" t="str">
        <f t="shared" si="175"/>
        <v/>
      </c>
      <c r="N229" s="240" t="str">
        <f t="shared" si="176"/>
        <v>-</v>
      </c>
      <c r="O229" s="265" t="str">
        <f t="shared" si="177"/>
        <v>-</v>
      </c>
      <c r="P229" s="265" t="str">
        <f t="shared" si="178"/>
        <v>-</v>
      </c>
      <c r="Q229" s="266" t="str">
        <f t="shared" si="179"/>
        <v>-</v>
      </c>
      <c r="R229" s="267" t="str">
        <f t="shared" si="180"/>
        <v>-</v>
      </c>
      <c r="S229" s="268" t="str">
        <f t="shared" si="181"/>
        <v>-</v>
      </c>
      <c r="T229" s="269" t="str">
        <f t="shared" si="182"/>
        <v/>
      </c>
      <c r="U229" s="221">
        <f t="shared" si="183"/>
        <v>129</v>
      </c>
      <c r="V229" s="220" t="str">
        <f t="shared" ref="V229:V250" si="209">IF(ISNUMBER($F$14),IF(B229&lt;($F$16-$F$15)*$F$14,INT(B229/($F$16-$F$15))+1,V227),"-")</f>
        <v>-</v>
      </c>
      <c r="W229" s="221" t="str">
        <f t="shared" ref="W229:W250" si="210">IF(ISNUMBER($F$14),IF(B229&lt;$F$14*($F$16-$F$15),B229-INT(B229/($F$16-$F$15))*($F$16-$F$15)+1,W228+1),"-")</f>
        <v>-</v>
      </c>
      <c r="X229" s="221" t="str">
        <f t="shared" si="184"/>
        <v>-</v>
      </c>
      <c r="Y229" s="221" t="str">
        <f t="shared" si="185"/>
        <v>-</v>
      </c>
      <c r="Z229" s="270">
        <f t="shared" ref="Z229:Z250" si="211">IF(Y229&gt;0,0.1,0.04)</f>
        <v>0.1</v>
      </c>
      <c r="AA229" s="271" t="str">
        <f>IFERROR(IF(V228=1,AA$100*EXP(-(LN(2)/$D$65+0.04)*X228)*EXP(-(LN(2)/$D$65+0.1)*Y228),IF(V228=2,AA$100*EXP(-(LN(2)/$D$65+0.04)*(VLOOKUP(($F$16-$F$15)-1,U$99:Y228,4,FALSE)))*EXP(-(LN(2)/$D$65+0.1)*(VLOOKUP(($F$16-$F$15)-1,U$99:Y228,5,FALSE)))*EXP(-(LN(2)/$D$65+0.04)*X228)*EXP(-(LN(2)/$D$65+0.1)*Y228),IF(V228=3,AA$100*EXP(-(LN(2)/$D$65+0.04)*(VLOOKUP(($F$16-$F$15)-1,U$99:Y228,4,FALSE)))*EXP(-(LN(2)/$D$65+0.1)*(VLOOKUP(($F$16-$F$15)-1,U$99:Y228,5,FALSE)))*EXP(-(LN(2)/$D$65+0.04)*(VLOOKUP(($F$16-$F$15)*2-1,U$99:Y228,4,FALSE)))*EXP(-(LN(2)/$D$65+0.1)*(VLOOKUP(($F$16-$F$15)*2-1,U$99:Y228,5,FALSE)))*EXP(-(LN(2)/$D$65+0.04)*X228)*EXP(-(LN(2)/$D$65+0.1)*Y228),"-"))),"-")</f>
        <v>-</v>
      </c>
      <c r="AB229" s="271" t="str">
        <f>IFERROR(IF(V229=1,AB$100*EXP(-(LN(2)/$D$65+0.04)*X229)*EXP(-(LN(2)/$D$65+0.1)*Y229),IF(V229=2,AB$100*EXP(-(LN(2)/$D$65+0.04)*(VLOOKUP(($F$16-$F$15)-1,U$100:Y229,4,FALSE)))*EXP(-(LN(2)/$D$65+0.1)*(VLOOKUP(($F$16-$F$15)-1,U$100:Y229,5,FALSE)))*EXP(-(LN(2)/$D$65+0.04)*X229)*EXP(-(LN(2)/$D$65+0.1)*Y229),IF(V229=3,AB$100*EXP(-(LN(2)/$D$65+0.04)*(VLOOKUP(($F$16-$F$15)-1,U$100:Y229,4,FALSE)))*EXP(-(LN(2)/$D$65+0.1)*(VLOOKUP(($F$16-$F$15)-1,U$100:Y229,5,FALSE)))*EXP(-(LN(2)/$D$65+0.04)*(VLOOKUP(($F$16-$F$15)*2-1,U$100:Y229,4,FALSE)))*EXP(-(LN(2)/$D$65+0.1)*(VLOOKUP(($F$16-$F$15)*2-1,U$100:Y229,5,FALSE)))*EXP(-(LN(2)/$D$65+0.04)*X229)*EXP(-(LN(2)/$D$65+0.1)*Y229),"-"))),"-")</f>
        <v>-</v>
      </c>
      <c r="AC229" s="224">
        <f t="shared" ref="AC229:AC240" si="212">B229</f>
        <v>129</v>
      </c>
      <c r="AD229" s="223" t="str">
        <f t="shared" si="186"/>
        <v>-</v>
      </c>
      <c r="AE229" s="224" t="str">
        <f t="shared" ref="AE229:AE250" si="213">IFERROR(IF($F$14-1&gt;0,IF(B229&lt;($F$14-1)*($F$16-$F$15),B229-INT(B229/($F$16-$F$15))*($F$16-$F$15)+1,AE228+1),"-"),"-")</f>
        <v>-</v>
      </c>
      <c r="AF229" s="224" t="str">
        <f t="shared" si="187"/>
        <v>-</v>
      </c>
      <c r="AG229" s="224" t="str">
        <f t="shared" si="188"/>
        <v>-</v>
      </c>
      <c r="AH229" s="272">
        <f t="shared" ref="AH229:AH250" si="214">IF(AG229&gt;0,0.1,0.04)</f>
        <v>0.1</v>
      </c>
      <c r="AI229" s="271" t="str">
        <f>IFERROR(IF(AD228=1,AI$100*EXP(-(LN(2)/$D$65+0.04)*AF228)*EXP(-(LN(2)/$D$65+0.1)*AG228),IF(AD228=2,AI$100*EXP(-(LN(2)/$D$65+0.04)*(VLOOKUP(($F$16-$F$15)-1,AC$99:AG228,4,FALSE)))*EXP(-(LN(2)/$D$65+0.1)*(VLOOKUP(($F$16-$F$15)-1,AC$99:AG228,5,FALSE)))*EXP(-(LN(2)/$D$65+0.04)*AF228)*EXP(-(LN(2)/$D$65+0.1)*AG228),IF(AD228=3,AI$100*EXP(-(LN(2)/$D$65+0.04)*(VLOOKUP(($F$16-$F$15)-1,AC$99:AG228,4,FALSE)))*EXP(-(LN(2)/$D$65+0.1)*(VLOOKUP(($F$16-$F$15)-1,AC$99:AG228,5,FALSE)))*EXP(-(LN(2)/$D$65+0.04)*(VLOOKUP(($F$16-$F$15)*2-1,AC$99:AG228,4,FALSE)))*EXP(-(LN(2)/$D$65+0.1)*(VLOOKUP(($F$16-$F$15)*2-1,AC$99:AG228,5,FALSE)))*EXP(-(LN(2)/$D$65+0.04)*AF228)*EXP(-(LN(2)/$D$65+0.1)*AG228),"-"))),"-")</f>
        <v>-</v>
      </c>
      <c r="AJ229" s="271" t="str">
        <f>IFERROR(IF(AD229=1,AJ$100*EXP(-(LN(2)/$D$65+0.04)*AF229)*EXP(-(LN(2)/$D$65+0.1)*AG229),IF(AD229=2,AJ$100*EXP(-(LN(2)/$D$65+0.04)*(VLOOKUP(($F$16-$F$15)-1,AC$100:AG229,4,FALSE)))*EXP(-(LN(2)/$D$65+0.1)*(VLOOKUP(($F$16-$F$15)-1,AC$100:AG229,5,FALSE)))*EXP(-(LN(2)/$D$65+0.04)*AF229)*EXP(-(LN(2)/$D$65+0.1)*AG229),IF(AD229=3,AJ$100*EXP(-(LN(2)/$D$65+0.04)*(VLOOKUP(($F$16-$F$15)-1,AC$100:AG229,4,FALSE)))*EXP(-(LN(2)/$D$65+0.1)*(VLOOKUP(($F$16-$F$15)-1,AC$100:AG229,5,FALSE)))*EXP(-(LN(2)/$D$65+0.04)*(VLOOKUP(($F$16-$F$15)*2-1,AC$100:AG229,4,FALSE)))*EXP(-(LN(2)/$D$65+0.1)*(VLOOKUP(($F$16-$F$15)*2-1,AC$100:AG229,5,FALSE)))*EXP(-(LN(2)/$D$65+0.04)*AF229)*EXP(-(LN(2)/$D$65+0.1)*AG229),"-"))),"-")</f>
        <v>-</v>
      </c>
      <c r="AK229" s="227">
        <f t="shared" ref="AK229:AK250" si="215">B229</f>
        <v>129</v>
      </c>
      <c r="AL229" s="226" t="str">
        <f t="shared" si="189"/>
        <v>-</v>
      </c>
      <c r="AM229" s="227" t="str">
        <f t="shared" ref="AM229:AM250" si="216">IFERROR(IF($F$14-2&gt;0,IF(B229&lt;($F$14-2)*($F$16-$F$15),B229-INT(B229/($F$16-$F$15))*($F$16-$F$15)+1,AM228+1),"-"),"-")</f>
        <v>-</v>
      </c>
      <c r="AN229" s="227" t="str">
        <f t="shared" ref="AN229:AN250" si="217">IFERROR(IF($F$21=0,0,IF(AL229=AL228,IF(B229-(AL229-1)*($F$16-$F$15)&lt;$F$21,AN228+1,AN228),1)),"-")</f>
        <v>-</v>
      </c>
      <c r="AO229" s="227" t="str">
        <f t="shared" si="190"/>
        <v>-</v>
      </c>
      <c r="AP229" s="273">
        <f t="shared" ref="AP229:AP250" si="218">IF(AO229&gt;0,0.1,0.04)</f>
        <v>0.1</v>
      </c>
      <c r="AQ229" s="271" t="str">
        <f>IFERROR(IF(AL228=1,AQ$100*EXP(-(LN(2)/$D$65+0.04)*AN228)*EXP(-(LN(2)/$D$65+0.1)*AO228),IF(AL228=2,AQ$100*EXP(-(LN(2)/$D$65+0.04)*(VLOOKUP(($F$16-$F$15)-1,AK$99:AO228,4,FALSE)))*EXP(-(LN(2)/$D$65+0.1)*(VLOOKUP(($F$16-$F$15)-1,AK$99:AO228,5,FALSE)))*EXP(-(LN(2)/$D$65+0.04)*AN228)*EXP(-(LN(2)/$D$65+0.1)*AO228),IF(AL228=3,AQ$100*EXP(-(LN(2)/$D$65+0.04)*(VLOOKUP(($F$16-$F$15)-1,AK$99:AO228,4,FALSE)))*EXP(-(LN(2)/$D$65+0.1)*(VLOOKUP(($F$16-$F$15)-1,AK$99:AO228,5,FALSE)))*EXP(-(LN(2)/$D$65+0.04)*(VLOOKUP(($F$16-$F$15)*2-1,AK$99:AO228,4,FALSE)))*EXP(-(LN(2)/$D$65+0.1)*(VLOOKUP(($F$16-$F$15)*2-1,AK$99:AO228,5,FALSE)))*EXP(-(LN(2)/$D$65+0.04)*AN228)*EXP(-(LN(2)/$D$65+0.1)*AO228),"-"))),"-")</f>
        <v>-</v>
      </c>
      <c r="AR229" s="271" t="str">
        <f>IFERROR(IF(AL229=1,AR$100*EXP(-(LN(2)/$D$65+0.04)*AN229)*EXP(-(LN(2)/$D$65+0.1)*AO229),IF(AL229=2,AR$100*EXP(-(LN(2)/$D$65+0.04)*(VLOOKUP(($F$16-$F$15)-1,AK$100:AO229,4,FALSE)))*EXP(-(LN(2)/$D$65+0.1)*(VLOOKUP(($F$16-$F$15)-1,AK$100:AO229,5,FALSE)))*EXP(-(LN(2)/$D$65+0.04)*AN229)*EXP(-(LN(2)/$D$65+0.1)*AO229),IF(AL229=3,AR$100*EXP(-(LN(2)/$D$65+0.04)*(VLOOKUP(($F$16-$F$15)-1,AK$100:AO229,4,FALSE)))*EXP(-(LN(2)/$D$65+0.1)*(VLOOKUP(($F$16-$F$15)-1,AK$100:AO229,5,FALSE)))*EXP(-(LN(2)/$D$65+0.04)*(VLOOKUP(($F$16-$F$15)*2-1,AK$100:AO229,4,FALSE)))*EXP(-(LN(2)/$D$65+0.1)*(VLOOKUP(($F$16-$F$15)*2-1,AK$100:AO229,5,FALSE)))*EXP(-(LN(2)/$D$65+0.04)*AN229)*EXP(-(LN(2)/$D$65+0.1)*AO229),"-"))),"-")</f>
        <v>-</v>
      </c>
      <c r="AS229" s="274">
        <f t="shared" si="191"/>
        <v>0</v>
      </c>
      <c r="AT229" s="274">
        <f t="shared" si="192"/>
        <v>0</v>
      </c>
      <c r="AU229" s="274">
        <f t="shared" si="193"/>
        <v>0</v>
      </c>
      <c r="AV229" s="190">
        <f>IF($B229&lt;$F$22,SUM($T$100:$T229),"")</f>
        <v>0</v>
      </c>
      <c r="AW229" s="190" t="str">
        <f t="shared" si="194"/>
        <v>-</v>
      </c>
      <c r="AX229" s="190" t="str">
        <f t="shared" ref="AX229:AX250" si="219">IF(ISNUMBER(AW229),IF(ISNUMBER(AV229),(AV229-AW229)/(3*86400*($B229+1))*1000,""),"")</f>
        <v/>
      </c>
      <c r="AY229"/>
      <c r="AZ229" s="190" t="str">
        <f ca="1">IF(ISNUMBER(OFFSET(AV229,-$F$21,0)),SUM(OFFSET($T$100,$F$21,0):$T229),"")</f>
        <v/>
      </c>
      <c r="BA229" s="190" t="str">
        <f t="shared" ca="1" si="195"/>
        <v/>
      </c>
      <c r="BB229" s="190" t="str">
        <f t="shared" ca="1" si="148"/>
        <v/>
      </c>
      <c r="BC229" s="190"/>
      <c r="BD229" s="190" t="str">
        <f ca="1">IFERROR(IF(AND($B229&gt;=($F$16-$F$15),$B229&lt;$F$22+($F$16-$F$15)),SUM(OFFSET($T$100,($F$16-$F$15),0):$T229),""),"")</f>
        <v/>
      </c>
      <c r="BE229" s="190" t="str">
        <f t="shared" ref="BE229:BE250" ca="1" si="220">IF(ISNUMBER(BD229),BD229*(Koc*(Ocse/100)*Pse*Vse)/(Koc*(Ocse/100)*Pse*Vse+1*86400*($B229+1)),"")</f>
        <v/>
      </c>
      <c r="BF229" s="190" t="str">
        <f t="shared" ref="BF229:BF250" ca="1" si="221">IF(ISNUMBER(BD229),(BD229-BE229)/(3*86400*($B229-($F$16-$F$15)+1))*1000,"")</f>
        <v/>
      </c>
      <c r="BG229"/>
      <c r="BH229" s="190" t="str">
        <f ca="1">IF(ISNUMBER(OFFSET(BD229,-$F$21,0)),SUM(OFFSET($T$100,($F$16-$F$15+$F$21),0):$T229),"")</f>
        <v/>
      </c>
      <c r="BI229" s="190" t="str">
        <f t="shared" ca="1" si="196"/>
        <v/>
      </c>
      <c r="BJ229" s="190" t="str">
        <f t="shared" ref="BJ229:BJ250" ca="1" si="222">IF(ISNUMBER(BH229),(BH229-BI229)/(3*86400*((OFFSET($B229,-$F$21,0)-($F$16-$F$15)+1)))*1000,"")</f>
        <v/>
      </c>
      <c r="BK229" s="190"/>
      <c r="BL229" s="190" t="str">
        <f ca="1">IFERROR(IF(AND($B229&gt;=($F$17-$F$15),$B229&lt;$F$22+($F$17-$F$15)),SUM(OFFSET($T$100,($F$17-$F$15),0):$T229),""),"")</f>
        <v/>
      </c>
      <c r="BM229" s="190" t="str">
        <f t="shared" ca="1" si="197"/>
        <v/>
      </c>
      <c r="BN229" s="190" t="str">
        <f t="shared" ref="BN229:BN250" ca="1" si="223">IF(ISNUMBER(BL229),(BL229-BM229)/(3*86400*($B229-($F$17-$F$15)+1))*1000,"")</f>
        <v/>
      </c>
      <c r="BO229"/>
      <c r="BP229" s="190" t="str">
        <f ca="1">IF(ISNUMBER(OFFSET(BL229,-$F$21,0)),SUM(OFFSET($T$100,($F$17-$F$15+$F$21),0):$T229),"")</f>
        <v/>
      </c>
      <c r="BQ229" s="190" t="str">
        <f t="shared" ca="1" si="198"/>
        <v/>
      </c>
      <c r="BR229" s="190" t="str">
        <f t="shared" ref="BR229:BR250" ca="1" si="224">IF(ISNUMBER(BP229),(BP229-BQ229)/(3*86400*(OFFSET($B229,-$F$21,0)-($F$17-$F$15)+1))*1000,"")</f>
        <v/>
      </c>
      <c r="BS229" s="190"/>
      <c r="BT229"/>
      <c r="BU229"/>
      <c r="BV229"/>
      <c r="BY229" s="99"/>
      <c r="BZ229" s="99"/>
      <c r="CA229" s="280" t="str">
        <f t="shared" si="199"/>
        <v/>
      </c>
      <c r="CB229" s="71" t="str">
        <f t="shared" si="200"/>
        <v>-</v>
      </c>
      <c r="CC229" s="33"/>
      <c r="CD229" s="261" t="str">
        <f t="shared" si="201"/>
        <v/>
      </c>
      <c r="CE229" s="280" t="str">
        <f t="shared" si="202"/>
        <v>-</v>
      </c>
      <c r="CF229" s="71" t="str">
        <f t="shared" ca="1" si="203"/>
        <v>-</v>
      </c>
      <c r="CG229" s="33" t="str">
        <f t="shared" si="204"/>
        <v>129-130</v>
      </c>
      <c r="CH229" s="261" t="str">
        <f t="shared" ca="1" si="205"/>
        <v/>
      </c>
    </row>
    <row r="230" spans="2:86" ht="13.5" customHeight="1" x14ac:dyDescent="0.2">
      <c r="B230" s="262">
        <v>130</v>
      </c>
      <c r="C230" s="237" t="str">
        <f t="shared" si="169"/>
        <v/>
      </c>
      <c r="D230" s="237" t="str">
        <f t="shared" ref="D230:D250" si="225">IFERROR(IF(B230&lt;$F$22,IF(ISNUMBER($D$65),IF(MAX($BU$101:$BU$120)&lt;B230, "", IF(B230=VLOOKUP(B230, $BU$101:$BU$120,1,1), C230,D229-INDEX($BY$101:$BY$120, MATCH(VLOOKUP(B230, $BU$101:$BU$120,1,1), $BU$101:$BU$120)+1, 1))),D229-VLOOKUP(MAX($BU$101:$BU$120),$BU$101:$BY$120,5)),""),"-")</f>
        <v>-</v>
      </c>
      <c r="E230" s="263" t="str">
        <f t="shared" si="206"/>
        <v/>
      </c>
      <c r="F230" s="264" t="str">
        <f t="shared" si="207"/>
        <v/>
      </c>
      <c r="G230" s="264" t="str">
        <f t="shared" si="208"/>
        <v/>
      </c>
      <c r="H230" s="240" t="str">
        <f t="shared" si="170"/>
        <v/>
      </c>
      <c r="I230" s="265" t="str">
        <f t="shared" si="171"/>
        <v/>
      </c>
      <c r="J230" s="265" t="str">
        <f t="shared" si="172"/>
        <v/>
      </c>
      <c r="K230" s="240" t="str">
        <f t="shared" si="173"/>
        <v/>
      </c>
      <c r="L230" s="265" t="str">
        <f t="shared" si="174"/>
        <v/>
      </c>
      <c r="M230" s="265" t="str">
        <f t="shared" si="175"/>
        <v/>
      </c>
      <c r="N230" s="240" t="str">
        <f t="shared" si="176"/>
        <v>-</v>
      </c>
      <c r="O230" s="265" t="str">
        <f t="shared" si="177"/>
        <v>-</v>
      </c>
      <c r="P230" s="265" t="str">
        <f t="shared" si="178"/>
        <v>-</v>
      </c>
      <c r="Q230" s="266" t="str">
        <f t="shared" si="179"/>
        <v>-</v>
      </c>
      <c r="R230" s="267" t="str">
        <f t="shared" si="180"/>
        <v>-</v>
      </c>
      <c r="S230" s="268" t="str">
        <f t="shared" si="181"/>
        <v>-</v>
      </c>
      <c r="T230" s="269" t="str">
        <f t="shared" si="182"/>
        <v/>
      </c>
      <c r="U230" s="221">
        <f t="shared" si="183"/>
        <v>130</v>
      </c>
      <c r="V230" s="220" t="str">
        <f t="shared" si="209"/>
        <v>-</v>
      </c>
      <c r="W230" s="221" t="str">
        <f t="shared" si="210"/>
        <v>-</v>
      </c>
      <c r="X230" s="221" t="str">
        <f t="shared" si="184"/>
        <v>-</v>
      </c>
      <c r="Y230" s="221" t="str">
        <f t="shared" si="185"/>
        <v>-</v>
      </c>
      <c r="Z230" s="270">
        <f t="shared" si="211"/>
        <v>0.1</v>
      </c>
      <c r="AA230" s="271" t="str">
        <f>IFERROR(IF(V229=1,AA$100*EXP(-(LN(2)/$D$65+0.04)*X229)*EXP(-(LN(2)/$D$65+0.1)*Y229),IF(V229=2,AA$100*EXP(-(LN(2)/$D$65+0.04)*(VLOOKUP(($F$16-$F$15)-1,U$99:Y229,4,FALSE)))*EXP(-(LN(2)/$D$65+0.1)*(VLOOKUP(($F$16-$F$15)-1,U$99:Y229,5,FALSE)))*EXP(-(LN(2)/$D$65+0.04)*X229)*EXP(-(LN(2)/$D$65+0.1)*Y229),IF(V229=3,AA$100*EXP(-(LN(2)/$D$65+0.04)*(VLOOKUP(($F$16-$F$15)-1,U$99:Y229,4,FALSE)))*EXP(-(LN(2)/$D$65+0.1)*(VLOOKUP(($F$16-$F$15)-1,U$99:Y229,5,FALSE)))*EXP(-(LN(2)/$D$65+0.04)*(VLOOKUP(($F$16-$F$15)*2-1,U$99:Y229,4,FALSE)))*EXP(-(LN(2)/$D$65+0.1)*(VLOOKUP(($F$16-$F$15)*2-1,U$99:Y229,5,FALSE)))*EXP(-(LN(2)/$D$65+0.04)*X229)*EXP(-(LN(2)/$D$65+0.1)*Y229),"-"))),"-")</f>
        <v>-</v>
      </c>
      <c r="AB230" s="271" t="str">
        <f>IFERROR(IF(V230=1,AB$100*EXP(-(LN(2)/$D$65+0.04)*X230)*EXP(-(LN(2)/$D$65+0.1)*Y230),IF(V230=2,AB$100*EXP(-(LN(2)/$D$65+0.04)*(VLOOKUP(($F$16-$F$15)-1,U$100:Y230,4,FALSE)))*EXP(-(LN(2)/$D$65+0.1)*(VLOOKUP(($F$16-$F$15)-1,U$100:Y230,5,FALSE)))*EXP(-(LN(2)/$D$65+0.04)*X230)*EXP(-(LN(2)/$D$65+0.1)*Y230),IF(V230=3,AB$100*EXP(-(LN(2)/$D$65+0.04)*(VLOOKUP(($F$16-$F$15)-1,U$100:Y230,4,FALSE)))*EXP(-(LN(2)/$D$65+0.1)*(VLOOKUP(($F$16-$F$15)-1,U$100:Y230,5,FALSE)))*EXP(-(LN(2)/$D$65+0.04)*(VLOOKUP(($F$16-$F$15)*2-1,U$100:Y230,4,FALSE)))*EXP(-(LN(2)/$D$65+0.1)*(VLOOKUP(($F$16-$F$15)*2-1,U$100:Y230,5,FALSE)))*EXP(-(LN(2)/$D$65+0.04)*X230)*EXP(-(LN(2)/$D$65+0.1)*Y230),"-"))),"-")</f>
        <v>-</v>
      </c>
      <c r="AC230" s="224">
        <f t="shared" si="212"/>
        <v>130</v>
      </c>
      <c r="AD230" s="223" t="str">
        <f t="shared" si="186"/>
        <v>-</v>
      </c>
      <c r="AE230" s="224" t="str">
        <f t="shared" si="213"/>
        <v>-</v>
      </c>
      <c r="AF230" s="224" t="str">
        <f t="shared" si="187"/>
        <v>-</v>
      </c>
      <c r="AG230" s="224" t="str">
        <f t="shared" si="188"/>
        <v>-</v>
      </c>
      <c r="AH230" s="272">
        <f t="shared" si="214"/>
        <v>0.1</v>
      </c>
      <c r="AI230" s="271" t="str">
        <f>IFERROR(IF(AD229=1,AI$100*EXP(-(LN(2)/$D$65+0.04)*AF229)*EXP(-(LN(2)/$D$65+0.1)*AG229),IF(AD229=2,AI$100*EXP(-(LN(2)/$D$65+0.04)*(VLOOKUP(($F$16-$F$15)-1,AC$99:AG229,4,FALSE)))*EXP(-(LN(2)/$D$65+0.1)*(VLOOKUP(($F$16-$F$15)-1,AC$99:AG229,5,FALSE)))*EXP(-(LN(2)/$D$65+0.04)*AF229)*EXP(-(LN(2)/$D$65+0.1)*AG229),IF(AD229=3,AI$100*EXP(-(LN(2)/$D$65+0.04)*(VLOOKUP(($F$16-$F$15)-1,AC$99:AG229,4,FALSE)))*EXP(-(LN(2)/$D$65+0.1)*(VLOOKUP(($F$16-$F$15)-1,AC$99:AG229,5,FALSE)))*EXP(-(LN(2)/$D$65+0.04)*(VLOOKUP(($F$16-$F$15)*2-1,AC$99:AG229,4,FALSE)))*EXP(-(LN(2)/$D$65+0.1)*(VLOOKUP(($F$16-$F$15)*2-1,AC$99:AG229,5,FALSE)))*EXP(-(LN(2)/$D$65+0.04)*AF229)*EXP(-(LN(2)/$D$65+0.1)*AG229),"-"))),"-")</f>
        <v>-</v>
      </c>
      <c r="AJ230" s="271" t="str">
        <f>IFERROR(IF(AD230=1,AJ$100*EXP(-(LN(2)/$D$65+0.04)*AF230)*EXP(-(LN(2)/$D$65+0.1)*AG230),IF(AD230=2,AJ$100*EXP(-(LN(2)/$D$65+0.04)*(VLOOKUP(($F$16-$F$15)-1,AC$100:AG230,4,FALSE)))*EXP(-(LN(2)/$D$65+0.1)*(VLOOKUP(($F$16-$F$15)-1,AC$100:AG230,5,FALSE)))*EXP(-(LN(2)/$D$65+0.04)*AF230)*EXP(-(LN(2)/$D$65+0.1)*AG230),IF(AD230=3,AJ$100*EXP(-(LN(2)/$D$65+0.04)*(VLOOKUP(($F$16-$F$15)-1,AC$100:AG230,4,FALSE)))*EXP(-(LN(2)/$D$65+0.1)*(VLOOKUP(($F$16-$F$15)-1,AC$100:AG230,5,FALSE)))*EXP(-(LN(2)/$D$65+0.04)*(VLOOKUP(($F$16-$F$15)*2-1,AC$100:AG230,4,FALSE)))*EXP(-(LN(2)/$D$65+0.1)*(VLOOKUP(($F$16-$F$15)*2-1,AC$100:AG230,5,FALSE)))*EXP(-(LN(2)/$D$65+0.04)*AF230)*EXP(-(LN(2)/$D$65+0.1)*AG230),"-"))),"-")</f>
        <v>-</v>
      </c>
      <c r="AK230" s="227">
        <f t="shared" si="215"/>
        <v>130</v>
      </c>
      <c r="AL230" s="226" t="str">
        <f t="shared" si="189"/>
        <v>-</v>
      </c>
      <c r="AM230" s="227" t="str">
        <f t="shared" si="216"/>
        <v>-</v>
      </c>
      <c r="AN230" s="227" t="str">
        <f t="shared" si="217"/>
        <v>-</v>
      </c>
      <c r="AO230" s="227" t="str">
        <f t="shared" si="190"/>
        <v>-</v>
      </c>
      <c r="AP230" s="273">
        <f t="shared" si="218"/>
        <v>0.1</v>
      </c>
      <c r="AQ230" s="271" t="str">
        <f>IFERROR(IF(AL229=1,AQ$100*EXP(-(LN(2)/$D$65+0.04)*AN229)*EXP(-(LN(2)/$D$65+0.1)*AO229),IF(AL229=2,AQ$100*EXP(-(LN(2)/$D$65+0.04)*(VLOOKUP(($F$16-$F$15)-1,AK$99:AO229,4,FALSE)))*EXP(-(LN(2)/$D$65+0.1)*(VLOOKUP(($F$16-$F$15)-1,AK$99:AO229,5,FALSE)))*EXP(-(LN(2)/$D$65+0.04)*AN229)*EXP(-(LN(2)/$D$65+0.1)*AO229),IF(AL229=3,AQ$100*EXP(-(LN(2)/$D$65+0.04)*(VLOOKUP(($F$16-$F$15)-1,AK$99:AO229,4,FALSE)))*EXP(-(LN(2)/$D$65+0.1)*(VLOOKUP(($F$16-$F$15)-1,AK$99:AO229,5,FALSE)))*EXP(-(LN(2)/$D$65+0.04)*(VLOOKUP(($F$16-$F$15)*2-1,AK$99:AO229,4,FALSE)))*EXP(-(LN(2)/$D$65+0.1)*(VLOOKUP(($F$16-$F$15)*2-1,AK$99:AO229,5,FALSE)))*EXP(-(LN(2)/$D$65+0.04)*AN229)*EXP(-(LN(2)/$D$65+0.1)*AO229),"-"))),"-")</f>
        <v>-</v>
      </c>
      <c r="AR230" s="271" t="str">
        <f>IFERROR(IF(AL230=1,AR$100*EXP(-(LN(2)/$D$65+0.04)*AN230)*EXP(-(LN(2)/$D$65+0.1)*AO230),IF(AL230=2,AR$100*EXP(-(LN(2)/$D$65+0.04)*(VLOOKUP(($F$16-$F$15)-1,AK$100:AO230,4,FALSE)))*EXP(-(LN(2)/$D$65+0.1)*(VLOOKUP(($F$16-$F$15)-1,AK$100:AO230,5,FALSE)))*EXP(-(LN(2)/$D$65+0.04)*AN230)*EXP(-(LN(2)/$D$65+0.1)*AO230),IF(AL230=3,AR$100*EXP(-(LN(2)/$D$65+0.04)*(VLOOKUP(($F$16-$F$15)-1,AK$100:AO230,4,FALSE)))*EXP(-(LN(2)/$D$65+0.1)*(VLOOKUP(($F$16-$F$15)-1,AK$100:AO230,5,FALSE)))*EXP(-(LN(2)/$D$65+0.04)*(VLOOKUP(($F$16-$F$15)*2-1,AK$100:AO230,4,FALSE)))*EXP(-(LN(2)/$D$65+0.1)*(VLOOKUP(($F$16-$F$15)*2-1,AK$100:AO230,5,FALSE)))*EXP(-(LN(2)/$D$65+0.04)*AN230)*EXP(-(LN(2)/$D$65+0.1)*AO230),"-"))),"-")</f>
        <v>-</v>
      </c>
      <c r="AS230" s="274">
        <f t="shared" si="191"/>
        <v>0</v>
      </c>
      <c r="AT230" s="274">
        <f t="shared" si="192"/>
        <v>0</v>
      </c>
      <c r="AU230" s="274">
        <f t="shared" si="193"/>
        <v>0</v>
      </c>
      <c r="AV230" s="190">
        <f>IF($B230&lt;$F$22,SUM($T$100:$T230),"")</f>
        <v>0</v>
      </c>
      <c r="AW230" s="190" t="str">
        <f t="shared" si="194"/>
        <v>-</v>
      </c>
      <c r="AX230" s="190" t="str">
        <f t="shared" si="219"/>
        <v/>
      </c>
      <c r="AY230"/>
      <c r="AZ230" s="190" t="str">
        <f ca="1">IF(ISNUMBER(OFFSET(AV230,-$F$21,0)),SUM(OFFSET($T$100,$F$21,0):$T230),"")</f>
        <v/>
      </c>
      <c r="BA230" s="190" t="str">
        <f t="shared" ca="1" si="195"/>
        <v/>
      </c>
      <c r="BB230" s="190" t="str">
        <f t="shared" ca="1" si="148"/>
        <v/>
      </c>
      <c r="BC230" s="190"/>
      <c r="BD230" s="190" t="str">
        <f ca="1">IFERROR(IF(AND($B230&gt;=($F$16-$F$15),$B230&lt;$F$22+($F$16-$F$15)),SUM(OFFSET($T$100,($F$16-$F$15),0):$T230),""),"")</f>
        <v/>
      </c>
      <c r="BE230" s="190" t="str">
        <f t="shared" ca="1" si="220"/>
        <v/>
      </c>
      <c r="BF230" s="190" t="str">
        <f t="shared" ca="1" si="221"/>
        <v/>
      </c>
      <c r="BG230"/>
      <c r="BH230" s="190" t="str">
        <f ca="1">IF(ISNUMBER(OFFSET(BD230,-$F$21,0)),SUM(OFFSET($T$100,($F$16-$F$15+$F$21),0):$T230),"")</f>
        <v/>
      </c>
      <c r="BI230" s="190" t="str">
        <f t="shared" ca="1" si="196"/>
        <v/>
      </c>
      <c r="BJ230" s="190" t="str">
        <f t="shared" ca="1" si="222"/>
        <v/>
      </c>
      <c r="BK230" s="190"/>
      <c r="BL230" s="190" t="str">
        <f ca="1">IFERROR(IF(AND($B230&gt;=($F$17-$F$15),$B230&lt;$F$22+($F$17-$F$15)),SUM(OFFSET($T$100,($F$17-$F$15),0):$T230),""),"")</f>
        <v/>
      </c>
      <c r="BM230" s="190" t="str">
        <f t="shared" ca="1" si="197"/>
        <v/>
      </c>
      <c r="BN230" s="190" t="str">
        <f t="shared" ca="1" si="223"/>
        <v/>
      </c>
      <c r="BO230"/>
      <c r="BP230" s="190" t="str">
        <f ca="1">IF(ISNUMBER(OFFSET(BL230,-$F$21,0)),SUM(OFFSET($T$100,($F$17-$F$15+$F$21),0):$T230),"")</f>
        <v/>
      </c>
      <c r="BQ230" s="190" t="str">
        <f t="shared" ca="1" si="198"/>
        <v/>
      </c>
      <c r="BR230" s="190" t="str">
        <f t="shared" ca="1" si="224"/>
        <v/>
      </c>
      <c r="BS230" s="190"/>
      <c r="BT230"/>
      <c r="BU230"/>
      <c r="BV230"/>
      <c r="BY230" s="99"/>
      <c r="BZ230" s="99"/>
      <c r="CA230" s="280" t="str">
        <f t="shared" si="199"/>
        <v/>
      </c>
      <c r="CB230" s="71" t="str">
        <f t="shared" si="200"/>
        <v>-</v>
      </c>
      <c r="CC230" s="33"/>
      <c r="CD230" s="261" t="str">
        <f t="shared" si="201"/>
        <v/>
      </c>
      <c r="CE230" s="280" t="str">
        <f t="shared" si="202"/>
        <v>-</v>
      </c>
      <c r="CF230" s="71" t="str">
        <f t="shared" ca="1" si="203"/>
        <v>-</v>
      </c>
      <c r="CG230" s="33" t="str">
        <f t="shared" si="204"/>
        <v>130-131</v>
      </c>
      <c r="CH230" s="261" t="str">
        <f t="shared" ca="1" si="205"/>
        <v/>
      </c>
    </row>
    <row r="231" spans="2:86" ht="13.5" customHeight="1" x14ac:dyDescent="0.2">
      <c r="B231" s="262">
        <v>131</v>
      </c>
      <c r="C231" s="237" t="str">
        <f t="shared" si="169"/>
        <v/>
      </c>
      <c r="D231" s="237" t="str">
        <f t="shared" si="225"/>
        <v>-</v>
      </c>
      <c r="E231" s="263" t="str">
        <f t="shared" si="206"/>
        <v/>
      </c>
      <c r="F231" s="264" t="str">
        <f t="shared" si="207"/>
        <v/>
      </c>
      <c r="G231" s="264" t="str">
        <f t="shared" si="208"/>
        <v/>
      </c>
      <c r="H231" s="240" t="str">
        <f t="shared" si="170"/>
        <v/>
      </c>
      <c r="I231" s="265" t="str">
        <f t="shared" si="171"/>
        <v/>
      </c>
      <c r="J231" s="265" t="str">
        <f t="shared" si="172"/>
        <v/>
      </c>
      <c r="K231" s="240" t="str">
        <f t="shared" si="173"/>
        <v/>
      </c>
      <c r="L231" s="265" t="str">
        <f t="shared" si="174"/>
        <v/>
      </c>
      <c r="M231" s="265" t="str">
        <f t="shared" si="175"/>
        <v/>
      </c>
      <c r="N231" s="240" t="str">
        <f t="shared" si="176"/>
        <v>-</v>
      </c>
      <c r="O231" s="265" t="str">
        <f t="shared" si="177"/>
        <v>-</v>
      </c>
      <c r="P231" s="265" t="str">
        <f t="shared" si="178"/>
        <v>-</v>
      </c>
      <c r="Q231" s="266" t="str">
        <f t="shared" si="179"/>
        <v>-</v>
      </c>
      <c r="R231" s="267" t="str">
        <f t="shared" si="180"/>
        <v>-</v>
      </c>
      <c r="S231" s="268" t="str">
        <f t="shared" si="181"/>
        <v>-</v>
      </c>
      <c r="T231" s="269" t="str">
        <f t="shared" si="182"/>
        <v/>
      </c>
      <c r="U231" s="221">
        <f t="shared" si="183"/>
        <v>131</v>
      </c>
      <c r="V231" s="220" t="str">
        <f t="shared" si="209"/>
        <v>-</v>
      </c>
      <c r="W231" s="221" t="str">
        <f t="shared" si="210"/>
        <v>-</v>
      </c>
      <c r="X231" s="221" t="str">
        <f t="shared" si="184"/>
        <v>-</v>
      </c>
      <c r="Y231" s="221" t="str">
        <f t="shared" si="185"/>
        <v>-</v>
      </c>
      <c r="Z231" s="270">
        <f t="shared" si="211"/>
        <v>0.1</v>
      </c>
      <c r="AA231" s="271" t="str">
        <f>IFERROR(IF(V230=1,AA$100*EXP(-(LN(2)/$D$65+0.04)*X230)*EXP(-(LN(2)/$D$65+0.1)*Y230),IF(V230=2,AA$100*EXP(-(LN(2)/$D$65+0.04)*(VLOOKUP(($F$16-$F$15)-1,U$99:Y230,4,FALSE)))*EXP(-(LN(2)/$D$65+0.1)*(VLOOKUP(($F$16-$F$15)-1,U$99:Y230,5,FALSE)))*EXP(-(LN(2)/$D$65+0.04)*X230)*EXP(-(LN(2)/$D$65+0.1)*Y230),IF(V230=3,AA$100*EXP(-(LN(2)/$D$65+0.04)*(VLOOKUP(($F$16-$F$15)-1,U$99:Y230,4,FALSE)))*EXP(-(LN(2)/$D$65+0.1)*(VLOOKUP(($F$16-$F$15)-1,U$99:Y230,5,FALSE)))*EXP(-(LN(2)/$D$65+0.04)*(VLOOKUP(($F$16-$F$15)*2-1,U$99:Y230,4,FALSE)))*EXP(-(LN(2)/$D$65+0.1)*(VLOOKUP(($F$16-$F$15)*2-1,U$99:Y230,5,FALSE)))*EXP(-(LN(2)/$D$65+0.04)*X230)*EXP(-(LN(2)/$D$65+0.1)*Y230),"-"))),"-")</f>
        <v>-</v>
      </c>
      <c r="AB231" s="271" t="str">
        <f>IFERROR(IF(V231=1,AB$100*EXP(-(LN(2)/$D$65+0.04)*X231)*EXP(-(LN(2)/$D$65+0.1)*Y231),IF(V231=2,AB$100*EXP(-(LN(2)/$D$65+0.04)*(VLOOKUP(($F$16-$F$15)-1,U$100:Y231,4,FALSE)))*EXP(-(LN(2)/$D$65+0.1)*(VLOOKUP(($F$16-$F$15)-1,U$100:Y231,5,FALSE)))*EXP(-(LN(2)/$D$65+0.04)*X231)*EXP(-(LN(2)/$D$65+0.1)*Y231),IF(V231=3,AB$100*EXP(-(LN(2)/$D$65+0.04)*(VLOOKUP(($F$16-$F$15)-1,U$100:Y231,4,FALSE)))*EXP(-(LN(2)/$D$65+0.1)*(VLOOKUP(($F$16-$F$15)-1,U$100:Y231,5,FALSE)))*EXP(-(LN(2)/$D$65+0.04)*(VLOOKUP(($F$16-$F$15)*2-1,U$100:Y231,4,FALSE)))*EXP(-(LN(2)/$D$65+0.1)*(VLOOKUP(($F$16-$F$15)*2-1,U$100:Y231,5,FALSE)))*EXP(-(LN(2)/$D$65+0.04)*X231)*EXP(-(LN(2)/$D$65+0.1)*Y231),"-"))),"-")</f>
        <v>-</v>
      </c>
      <c r="AC231" s="224">
        <f t="shared" si="212"/>
        <v>131</v>
      </c>
      <c r="AD231" s="223" t="str">
        <f t="shared" si="186"/>
        <v>-</v>
      </c>
      <c r="AE231" s="224" t="str">
        <f t="shared" si="213"/>
        <v>-</v>
      </c>
      <c r="AF231" s="224" t="str">
        <f t="shared" si="187"/>
        <v>-</v>
      </c>
      <c r="AG231" s="224" t="str">
        <f t="shared" si="188"/>
        <v>-</v>
      </c>
      <c r="AH231" s="272">
        <f t="shared" si="214"/>
        <v>0.1</v>
      </c>
      <c r="AI231" s="271" t="str">
        <f>IFERROR(IF(AD230=1,AI$100*EXP(-(LN(2)/$D$65+0.04)*AF230)*EXP(-(LN(2)/$D$65+0.1)*AG230),IF(AD230=2,AI$100*EXP(-(LN(2)/$D$65+0.04)*(VLOOKUP(($F$16-$F$15)-1,AC$99:AG230,4,FALSE)))*EXP(-(LN(2)/$D$65+0.1)*(VLOOKUP(($F$16-$F$15)-1,AC$99:AG230,5,FALSE)))*EXP(-(LN(2)/$D$65+0.04)*AF230)*EXP(-(LN(2)/$D$65+0.1)*AG230),IF(AD230=3,AI$100*EXP(-(LN(2)/$D$65+0.04)*(VLOOKUP(($F$16-$F$15)-1,AC$99:AG230,4,FALSE)))*EXP(-(LN(2)/$D$65+0.1)*(VLOOKUP(($F$16-$F$15)-1,AC$99:AG230,5,FALSE)))*EXP(-(LN(2)/$D$65+0.04)*(VLOOKUP(($F$16-$F$15)*2-1,AC$99:AG230,4,FALSE)))*EXP(-(LN(2)/$D$65+0.1)*(VLOOKUP(($F$16-$F$15)*2-1,AC$99:AG230,5,FALSE)))*EXP(-(LN(2)/$D$65+0.04)*AF230)*EXP(-(LN(2)/$D$65+0.1)*AG230),"-"))),"-")</f>
        <v>-</v>
      </c>
      <c r="AJ231" s="271" t="str">
        <f>IFERROR(IF(AD231=1,AJ$100*EXP(-(LN(2)/$D$65+0.04)*AF231)*EXP(-(LN(2)/$D$65+0.1)*AG231),IF(AD231=2,AJ$100*EXP(-(LN(2)/$D$65+0.04)*(VLOOKUP(($F$16-$F$15)-1,AC$100:AG231,4,FALSE)))*EXP(-(LN(2)/$D$65+0.1)*(VLOOKUP(($F$16-$F$15)-1,AC$100:AG231,5,FALSE)))*EXP(-(LN(2)/$D$65+0.04)*AF231)*EXP(-(LN(2)/$D$65+0.1)*AG231),IF(AD231=3,AJ$100*EXP(-(LN(2)/$D$65+0.04)*(VLOOKUP(($F$16-$F$15)-1,AC$100:AG231,4,FALSE)))*EXP(-(LN(2)/$D$65+0.1)*(VLOOKUP(($F$16-$F$15)-1,AC$100:AG231,5,FALSE)))*EXP(-(LN(2)/$D$65+0.04)*(VLOOKUP(($F$16-$F$15)*2-1,AC$100:AG231,4,FALSE)))*EXP(-(LN(2)/$D$65+0.1)*(VLOOKUP(($F$16-$F$15)*2-1,AC$100:AG231,5,FALSE)))*EXP(-(LN(2)/$D$65+0.04)*AF231)*EXP(-(LN(2)/$D$65+0.1)*AG231),"-"))),"-")</f>
        <v>-</v>
      </c>
      <c r="AK231" s="227">
        <f t="shared" si="215"/>
        <v>131</v>
      </c>
      <c r="AL231" s="226" t="str">
        <f t="shared" si="189"/>
        <v>-</v>
      </c>
      <c r="AM231" s="227" t="str">
        <f t="shared" si="216"/>
        <v>-</v>
      </c>
      <c r="AN231" s="227" t="str">
        <f t="shared" si="217"/>
        <v>-</v>
      </c>
      <c r="AO231" s="227" t="str">
        <f t="shared" si="190"/>
        <v>-</v>
      </c>
      <c r="AP231" s="273">
        <f t="shared" si="218"/>
        <v>0.1</v>
      </c>
      <c r="AQ231" s="271" t="str">
        <f>IFERROR(IF(AL230=1,AQ$100*EXP(-(LN(2)/$D$65+0.04)*AN230)*EXP(-(LN(2)/$D$65+0.1)*AO230),IF(AL230=2,AQ$100*EXP(-(LN(2)/$D$65+0.04)*(VLOOKUP(($F$16-$F$15)-1,AK$99:AO230,4,FALSE)))*EXP(-(LN(2)/$D$65+0.1)*(VLOOKUP(($F$16-$F$15)-1,AK$99:AO230,5,FALSE)))*EXP(-(LN(2)/$D$65+0.04)*AN230)*EXP(-(LN(2)/$D$65+0.1)*AO230),IF(AL230=3,AQ$100*EXP(-(LN(2)/$D$65+0.04)*(VLOOKUP(($F$16-$F$15)-1,AK$99:AO230,4,FALSE)))*EXP(-(LN(2)/$D$65+0.1)*(VLOOKUP(($F$16-$F$15)-1,AK$99:AO230,5,FALSE)))*EXP(-(LN(2)/$D$65+0.04)*(VLOOKUP(($F$16-$F$15)*2-1,AK$99:AO230,4,FALSE)))*EXP(-(LN(2)/$D$65+0.1)*(VLOOKUP(($F$16-$F$15)*2-1,AK$99:AO230,5,FALSE)))*EXP(-(LN(2)/$D$65+0.04)*AN230)*EXP(-(LN(2)/$D$65+0.1)*AO230),"-"))),"-")</f>
        <v>-</v>
      </c>
      <c r="AR231" s="271" t="str">
        <f>IFERROR(IF(AL231=1,AR$100*EXP(-(LN(2)/$D$65+0.04)*AN231)*EXP(-(LN(2)/$D$65+0.1)*AO231),IF(AL231=2,AR$100*EXP(-(LN(2)/$D$65+0.04)*(VLOOKUP(($F$16-$F$15)-1,AK$100:AO231,4,FALSE)))*EXP(-(LN(2)/$D$65+0.1)*(VLOOKUP(($F$16-$F$15)-1,AK$100:AO231,5,FALSE)))*EXP(-(LN(2)/$D$65+0.04)*AN231)*EXP(-(LN(2)/$D$65+0.1)*AO231),IF(AL231=3,AR$100*EXP(-(LN(2)/$D$65+0.04)*(VLOOKUP(($F$16-$F$15)-1,AK$100:AO231,4,FALSE)))*EXP(-(LN(2)/$D$65+0.1)*(VLOOKUP(($F$16-$F$15)-1,AK$100:AO231,5,FALSE)))*EXP(-(LN(2)/$D$65+0.04)*(VLOOKUP(($F$16-$F$15)*2-1,AK$100:AO231,4,FALSE)))*EXP(-(LN(2)/$D$65+0.1)*(VLOOKUP(($F$16-$F$15)*2-1,AK$100:AO231,5,FALSE)))*EXP(-(LN(2)/$D$65+0.04)*AN231)*EXP(-(LN(2)/$D$65+0.1)*AO231),"-"))),"-")</f>
        <v>-</v>
      </c>
      <c r="AS231" s="274">
        <f t="shared" si="191"/>
        <v>0</v>
      </c>
      <c r="AT231" s="274">
        <f t="shared" si="192"/>
        <v>0</v>
      </c>
      <c r="AU231" s="274">
        <f t="shared" si="193"/>
        <v>0</v>
      </c>
      <c r="AV231" s="190">
        <f>IF($B231&lt;$F$22,SUM($T$100:$T231),"")</f>
        <v>0</v>
      </c>
      <c r="AW231" s="190" t="str">
        <f t="shared" si="194"/>
        <v>-</v>
      </c>
      <c r="AX231" s="190" t="str">
        <f t="shared" si="219"/>
        <v/>
      </c>
      <c r="AY231"/>
      <c r="AZ231" s="190" t="str">
        <f ca="1">IF(ISNUMBER(OFFSET(AV231,-$F$21,0)),SUM(OFFSET($T$100,$F$21,0):$T231),"")</f>
        <v/>
      </c>
      <c r="BA231" s="190" t="str">
        <f t="shared" ca="1" si="195"/>
        <v/>
      </c>
      <c r="BB231" s="190" t="str">
        <f t="shared" ca="1" si="148"/>
        <v/>
      </c>
      <c r="BC231" s="190"/>
      <c r="BD231" s="190" t="str">
        <f ca="1">IFERROR(IF(AND($B231&gt;=($F$16-$F$15),$B231&lt;$F$22+($F$16-$F$15)),SUM(OFFSET($T$100,($F$16-$F$15),0):$T231),""),"")</f>
        <v/>
      </c>
      <c r="BE231" s="190" t="str">
        <f t="shared" ca="1" si="220"/>
        <v/>
      </c>
      <c r="BF231" s="190" t="str">
        <f t="shared" ca="1" si="221"/>
        <v/>
      </c>
      <c r="BG231"/>
      <c r="BH231" s="190" t="str">
        <f ca="1">IF(ISNUMBER(OFFSET(BD231,-$F$21,0)),SUM(OFFSET($T$100,($F$16-$F$15+$F$21),0):$T231),"")</f>
        <v/>
      </c>
      <c r="BI231" s="190" t="str">
        <f t="shared" ca="1" si="196"/>
        <v/>
      </c>
      <c r="BJ231" s="190" t="str">
        <f t="shared" ca="1" si="222"/>
        <v/>
      </c>
      <c r="BK231" s="190"/>
      <c r="BL231" s="190" t="str">
        <f ca="1">IFERROR(IF(AND($B231&gt;=($F$17-$F$15),$B231&lt;$F$22+($F$17-$F$15)),SUM(OFFSET($T$100,($F$17-$F$15),0):$T231),""),"")</f>
        <v/>
      </c>
      <c r="BM231" s="190" t="str">
        <f t="shared" ca="1" si="197"/>
        <v/>
      </c>
      <c r="BN231" s="190" t="str">
        <f t="shared" ca="1" si="223"/>
        <v/>
      </c>
      <c r="BO231"/>
      <c r="BP231" s="190" t="str">
        <f ca="1">IF(ISNUMBER(OFFSET(BL231,-$F$21,0)),SUM(OFFSET($T$100,($F$17-$F$15+$F$21),0):$T231),"")</f>
        <v/>
      </c>
      <c r="BQ231" s="190" t="str">
        <f t="shared" ca="1" si="198"/>
        <v/>
      </c>
      <c r="BR231" s="190" t="str">
        <f t="shared" ca="1" si="224"/>
        <v/>
      </c>
      <c r="BS231" s="190"/>
      <c r="BT231"/>
      <c r="BU231"/>
      <c r="BV231"/>
      <c r="BY231" s="99"/>
      <c r="BZ231" s="99"/>
      <c r="CA231" s="280" t="str">
        <f t="shared" si="199"/>
        <v/>
      </c>
      <c r="CB231" s="71" t="str">
        <f t="shared" si="200"/>
        <v>-</v>
      </c>
      <c r="CC231" s="33"/>
      <c r="CD231" s="261" t="str">
        <f t="shared" si="201"/>
        <v/>
      </c>
      <c r="CE231" s="280" t="str">
        <f t="shared" si="202"/>
        <v>-</v>
      </c>
      <c r="CF231" s="71" t="str">
        <f t="shared" ca="1" si="203"/>
        <v>-</v>
      </c>
      <c r="CG231" s="33" t="str">
        <f t="shared" si="204"/>
        <v>131-132</v>
      </c>
      <c r="CH231" s="261" t="str">
        <f t="shared" ca="1" si="205"/>
        <v/>
      </c>
    </row>
    <row r="232" spans="2:86" ht="13.5" customHeight="1" x14ac:dyDescent="0.2">
      <c r="B232" s="262">
        <v>132</v>
      </c>
      <c r="C232" s="237" t="str">
        <f t="shared" si="169"/>
        <v/>
      </c>
      <c r="D232" s="237" t="str">
        <f t="shared" si="225"/>
        <v>-</v>
      </c>
      <c r="E232" s="263" t="str">
        <f t="shared" si="206"/>
        <v/>
      </c>
      <c r="F232" s="264" t="str">
        <f t="shared" si="207"/>
        <v/>
      </c>
      <c r="G232" s="264" t="str">
        <f t="shared" si="208"/>
        <v/>
      </c>
      <c r="H232" s="240" t="str">
        <f t="shared" si="170"/>
        <v/>
      </c>
      <c r="I232" s="265" t="str">
        <f t="shared" si="171"/>
        <v/>
      </c>
      <c r="J232" s="265" t="str">
        <f t="shared" si="172"/>
        <v/>
      </c>
      <c r="K232" s="240" t="str">
        <f t="shared" si="173"/>
        <v/>
      </c>
      <c r="L232" s="265" t="str">
        <f t="shared" si="174"/>
        <v/>
      </c>
      <c r="M232" s="265" t="str">
        <f t="shared" si="175"/>
        <v/>
      </c>
      <c r="N232" s="240" t="str">
        <f t="shared" si="176"/>
        <v>-</v>
      </c>
      <c r="O232" s="265" t="str">
        <f t="shared" si="177"/>
        <v>-</v>
      </c>
      <c r="P232" s="265" t="str">
        <f t="shared" si="178"/>
        <v>-</v>
      </c>
      <c r="Q232" s="266" t="str">
        <f t="shared" si="179"/>
        <v>-</v>
      </c>
      <c r="R232" s="267" t="str">
        <f t="shared" si="180"/>
        <v>-</v>
      </c>
      <c r="S232" s="268" t="str">
        <f t="shared" si="181"/>
        <v>-</v>
      </c>
      <c r="T232" s="269" t="str">
        <f t="shared" si="182"/>
        <v/>
      </c>
      <c r="U232" s="221">
        <f t="shared" si="183"/>
        <v>132</v>
      </c>
      <c r="V232" s="220" t="str">
        <f t="shared" si="209"/>
        <v>-</v>
      </c>
      <c r="W232" s="221" t="str">
        <f t="shared" si="210"/>
        <v>-</v>
      </c>
      <c r="X232" s="221" t="str">
        <f t="shared" si="184"/>
        <v>-</v>
      </c>
      <c r="Y232" s="221" t="str">
        <f t="shared" si="185"/>
        <v>-</v>
      </c>
      <c r="Z232" s="270">
        <f t="shared" si="211"/>
        <v>0.1</v>
      </c>
      <c r="AA232" s="271" t="str">
        <f>IFERROR(IF(V231=1,AA$100*EXP(-(LN(2)/$D$65+0.04)*X231)*EXP(-(LN(2)/$D$65+0.1)*Y231),IF(V231=2,AA$100*EXP(-(LN(2)/$D$65+0.04)*(VLOOKUP(($F$16-$F$15)-1,U$99:Y231,4,FALSE)))*EXP(-(LN(2)/$D$65+0.1)*(VLOOKUP(($F$16-$F$15)-1,U$99:Y231,5,FALSE)))*EXP(-(LN(2)/$D$65+0.04)*X231)*EXP(-(LN(2)/$D$65+0.1)*Y231),IF(V231=3,AA$100*EXP(-(LN(2)/$D$65+0.04)*(VLOOKUP(($F$16-$F$15)-1,U$99:Y231,4,FALSE)))*EXP(-(LN(2)/$D$65+0.1)*(VLOOKUP(($F$16-$F$15)-1,U$99:Y231,5,FALSE)))*EXP(-(LN(2)/$D$65+0.04)*(VLOOKUP(($F$16-$F$15)*2-1,U$99:Y231,4,FALSE)))*EXP(-(LN(2)/$D$65+0.1)*(VLOOKUP(($F$16-$F$15)*2-1,U$99:Y231,5,FALSE)))*EXP(-(LN(2)/$D$65+0.04)*X231)*EXP(-(LN(2)/$D$65+0.1)*Y231),"-"))),"-")</f>
        <v>-</v>
      </c>
      <c r="AB232" s="271" t="str">
        <f>IFERROR(IF(V232=1,AB$100*EXP(-(LN(2)/$D$65+0.04)*X232)*EXP(-(LN(2)/$D$65+0.1)*Y232),IF(V232=2,AB$100*EXP(-(LN(2)/$D$65+0.04)*(VLOOKUP(($F$16-$F$15)-1,U$100:Y232,4,FALSE)))*EXP(-(LN(2)/$D$65+0.1)*(VLOOKUP(($F$16-$F$15)-1,U$100:Y232,5,FALSE)))*EXP(-(LN(2)/$D$65+0.04)*X232)*EXP(-(LN(2)/$D$65+0.1)*Y232),IF(V232=3,AB$100*EXP(-(LN(2)/$D$65+0.04)*(VLOOKUP(($F$16-$F$15)-1,U$100:Y232,4,FALSE)))*EXP(-(LN(2)/$D$65+0.1)*(VLOOKUP(($F$16-$F$15)-1,U$100:Y232,5,FALSE)))*EXP(-(LN(2)/$D$65+0.04)*(VLOOKUP(($F$16-$F$15)*2-1,U$100:Y232,4,FALSE)))*EXP(-(LN(2)/$D$65+0.1)*(VLOOKUP(($F$16-$F$15)*2-1,U$100:Y232,5,FALSE)))*EXP(-(LN(2)/$D$65+0.04)*X232)*EXP(-(LN(2)/$D$65+0.1)*Y232),"-"))),"-")</f>
        <v>-</v>
      </c>
      <c r="AC232" s="224">
        <f t="shared" si="212"/>
        <v>132</v>
      </c>
      <c r="AD232" s="223" t="str">
        <f t="shared" si="186"/>
        <v>-</v>
      </c>
      <c r="AE232" s="224" t="str">
        <f t="shared" si="213"/>
        <v>-</v>
      </c>
      <c r="AF232" s="224" t="str">
        <f t="shared" si="187"/>
        <v>-</v>
      </c>
      <c r="AG232" s="224" t="str">
        <f t="shared" si="188"/>
        <v>-</v>
      </c>
      <c r="AH232" s="272">
        <f t="shared" si="214"/>
        <v>0.1</v>
      </c>
      <c r="AI232" s="271" t="str">
        <f>IFERROR(IF(AD231=1,AI$100*EXP(-(LN(2)/$D$65+0.04)*AF231)*EXP(-(LN(2)/$D$65+0.1)*AG231),IF(AD231=2,AI$100*EXP(-(LN(2)/$D$65+0.04)*(VLOOKUP(($F$16-$F$15)-1,AC$99:AG231,4,FALSE)))*EXP(-(LN(2)/$D$65+0.1)*(VLOOKUP(($F$16-$F$15)-1,AC$99:AG231,5,FALSE)))*EXP(-(LN(2)/$D$65+0.04)*AF231)*EXP(-(LN(2)/$D$65+0.1)*AG231),IF(AD231=3,AI$100*EXP(-(LN(2)/$D$65+0.04)*(VLOOKUP(($F$16-$F$15)-1,AC$99:AG231,4,FALSE)))*EXP(-(LN(2)/$D$65+0.1)*(VLOOKUP(($F$16-$F$15)-1,AC$99:AG231,5,FALSE)))*EXP(-(LN(2)/$D$65+0.04)*(VLOOKUP(($F$16-$F$15)*2-1,AC$99:AG231,4,FALSE)))*EXP(-(LN(2)/$D$65+0.1)*(VLOOKUP(($F$16-$F$15)*2-1,AC$99:AG231,5,FALSE)))*EXP(-(LN(2)/$D$65+0.04)*AF231)*EXP(-(LN(2)/$D$65+0.1)*AG231),"-"))),"-")</f>
        <v>-</v>
      </c>
      <c r="AJ232" s="271" t="str">
        <f>IFERROR(IF(AD232=1,AJ$100*EXP(-(LN(2)/$D$65+0.04)*AF232)*EXP(-(LN(2)/$D$65+0.1)*AG232),IF(AD232=2,AJ$100*EXP(-(LN(2)/$D$65+0.04)*(VLOOKUP(($F$16-$F$15)-1,AC$100:AG232,4,FALSE)))*EXP(-(LN(2)/$D$65+0.1)*(VLOOKUP(($F$16-$F$15)-1,AC$100:AG232,5,FALSE)))*EXP(-(LN(2)/$D$65+0.04)*AF232)*EXP(-(LN(2)/$D$65+0.1)*AG232),IF(AD232=3,AJ$100*EXP(-(LN(2)/$D$65+0.04)*(VLOOKUP(($F$16-$F$15)-1,AC$100:AG232,4,FALSE)))*EXP(-(LN(2)/$D$65+0.1)*(VLOOKUP(($F$16-$F$15)-1,AC$100:AG232,5,FALSE)))*EXP(-(LN(2)/$D$65+0.04)*(VLOOKUP(($F$16-$F$15)*2-1,AC$100:AG232,4,FALSE)))*EXP(-(LN(2)/$D$65+0.1)*(VLOOKUP(($F$16-$F$15)*2-1,AC$100:AG232,5,FALSE)))*EXP(-(LN(2)/$D$65+0.04)*AF232)*EXP(-(LN(2)/$D$65+0.1)*AG232),"-"))),"-")</f>
        <v>-</v>
      </c>
      <c r="AK232" s="227">
        <f t="shared" si="215"/>
        <v>132</v>
      </c>
      <c r="AL232" s="226" t="str">
        <f t="shared" si="189"/>
        <v>-</v>
      </c>
      <c r="AM232" s="227" t="str">
        <f t="shared" si="216"/>
        <v>-</v>
      </c>
      <c r="AN232" s="227" t="str">
        <f t="shared" si="217"/>
        <v>-</v>
      </c>
      <c r="AO232" s="227" t="str">
        <f t="shared" si="190"/>
        <v>-</v>
      </c>
      <c r="AP232" s="273">
        <f t="shared" si="218"/>
        <v>0.1</v>
      </c>
      <c r="AQ232" s="271" t="str">
        <f>IFERROR(IF(AL231=1,AQ$100*EXP(-(LN(2)/$D$65+0.04)*AN231)*EXP(-(LN(2)/$D$65+0.1)*AO231),IF(AL231=2,AQ$100*EXP(-(LN(2)/$D$65+0.04)*(VLOOKUP(($F$16-$F$15)-1,AK$99:AO231,4,FALSE)))*EXP(-(LN(2)/$D$65+0.1)*(VLOOKUP(($F$16-$F$15)-1,AK$99:AO231,5,FALSE)))*EXP(-(LN(2)/$D$65+0.04)*AN231)*EXP(-(LN(2)/$D$65+0.1)*AO231),IF(AL231=3,AQ$100*EXP(-(LN(2)/$D$65+0.04)*(VLOOKUP(($F$16-$F$15)-1,AK$99:AO231,4,FALSE)))*EXP(-(LN(2)/$D$65+0.1)*(VLOOKUP(($F$16-$F$15)-1,AK$99:AO231,5,FALSE)))*EXP(-(LN(2)/$D$65+0.04)*(VLOOKUP(($F$16-$F$15)*2-1,AK$99:AO231,4,FALSE)))*EXP(-(LN(2)/$D$65+0.1)*(VLOOKUP(($F$16-$F$15)*2-1,AK$99:AO231,5,FALSE)))*EXP(-(LN(2)/$D$65+0.04)*AN231)*EXP(-(LN(2)/$D$65+0.1)*AO231),"-"))),"-")</f>
        <v>-</v>
      </c>
      <c r="AR232" s="271" t="str">
        <f>IFERROR(IF(AL232=1,AR$100*EXP(-(LN(2)/$D$65+0.04)*AN232)*EXP(-(LN(2)/$D$65+0.1)*AO232),IF(AL232=2,AR$100*EXP(-(LN(2)/$D$65+0.04)*(VLOOKUP(($F$16-$F$15)-1,AK$100:AO232,4,FALSE)))*EXP(-(LN(2)/$D$65+0.1)*(VLOOKUP(($F$16-$F$15)-1,AK$100:AO232,5,FALSE)))*EXP(-(LN(2)/$D$65+0.04)*AN232)*EXP(-(LN(2)/$D$65+0.1)*AO232),IF(AL232=3,AR$100*EXP(-(LN(2)/$D$65+0.04)*(VLOOKUP(($F$16-$F$15)-1,AK$100:AO232,4,FALSE)))*EXP(-(LN(2)/$D$65+0.1)*(VLOOKUP(($F$16-$F$15)-1,AK$100:AO232,5,FALSE)))*EXP(-(LN(2)/$D$65+0.04)*(VLOOKUP(($F$16-$F$15)*2-1,AK$100:AO232,4,FALSE)))*EXP(-(LN(2)/$D$65+0.1)*(VLOOKUP(($F$16-$F$15)*2-1,AK$100:AO232,5,FALSE)))*EXP(-(LN(2)/$D$65+0.04)*AN232)*EXP(-(LN(2)/$D$65+0.1)*AO232),"-"))),"-")</f>
        <v>-</v>
      </c>
      <c r="AS232" s="274">
        <f t="shared" si="191"/>
        <v>0</v>
      </c>
      <c r="AT232" s="274">
        <f t="shared" si="192"/>
        <v>0</v>
      </c>
      <c r="AU232" s="274">
        <f t="shared" si="193"/>
        <v>0</v>
      </c>
      <c r="AV232" s="190">
        <f>IF($B232&lt;$F$22,SUM($T$100:$T232),"")</f>
        <v>0</v>
      </c>
      <c r="AW232" s="190" t="str">
        <f t="shared" si="194"/>
        <v>-</v>
      </c>
      <c r="AX232" s="190" t="str">
        <f t="shared" si="219"/>
        <v/>
      </c>
      <c r="AY232"/>
      <c r="AZ232" s="190" t="str">
        <f ca="1">IF(ISNUMBER(OFFSET(AV232,-$F$21,0)),SUM(OFFSET($T$100,$F$21,0):$T232),"")</f>
        <v/>
      </c>
      <c r="BA232" s="190" t="str">
        <f t="shared" ca="1" si="195"/>
        <v/>
      </c>
      <c r="BB232" s="190" t="str">
        <f t="shared" ca="1" si="148"/>
        <v/>
      </c>
      <c r="BC232" s="190"/>
      <c r="BD232" s="190" t="str">
        <f ca="1">IFERROR(IF(AND($B232&gt;=($F$16-$F$15),$B232&lt;$F$22+($F$16-$F$15)),SUM(OFFSET($T$100,($F$16-$F$15),0):$T232),""),"")</f>
        <v/>
      </c>
      <c r="BE232" s="190" t="str">
        <f t="shared" ca="1" si="220"/>
        <v/>
      </c>
      <c r="BF232" s="190" t="str">
        <f t="shared" ca="1" si="221"/>
        <v/>
      </c>
      <c r="BG232"/>
      <c r="BH232" s="190" t="str">
        <f ca="1">IF(ISNUMBER(OFFSET(BD232,-$F$21,0)),SUM(OFFSET($T$100,($F$16-$F$15+$F$21),0):$T232),"")</f>
        <v/>
      </c>
      <c r="BI232" s="190" t="str">
        <f t="shared" ca="1" si="196"/>
        <v/>
      </c>
      <c r="BJ232" s="190" t="str">
        <f t="shared" ca="1" si="222"/>
        <v/>
      </c>
      <c r="BK232" s="190"/>
      <c r="BL232" s="190" t="str">
        <f ca="1">IFERROR(IF(AND($B232&gt;=($F$17-$F$15),$B232&lt;$F$22+($F$17-$F$15)),SUM(OFFSET($T$100,($F$17-$F$15),0):$T232),""),"")</f>
        <v/>
      </c>
      <c r="BM232" s="190" t="str">
        <f t="shared" ca="1" si="197"/>
        <v/>
      </c>
      <c r="BN232" s="190" t="str">
        <f t="shared" ca="1" si="223"/>
        <v/>
      </c>
      <c r="BO232"/>
      <c r="BP232" s="190" t="str">
        <f ca="1">IF(ISNUMBER(OFFSET(BL232,-$F$21,0)),SUM(OFFSET($T$100,($F$17-$F$15+$F$21),0):$T232),"")</f>
        <v/>
      </c>
      <c r="BQ232" s="190" t="str">
        <f t="shared" ca="1" si="198"/>
        <v/>
      </c>
      <c r="BR232" s="190" t="str">
        <f t="shared" ca="1" si="224"/>
        <v/>
      </c>
      <c r="BS232" s="190"/>
      <c r="BT232"/>
      <c r="BU232"/>
      <c r="BV232"/>
      <c r="BY232" s="99"/>
      <c r="BZ232" s="99"/>
      <c r="CA232" s="280" t="str">
        <f t="shared" si="199"/>
        <v/>
      </c>
      <c r="CB232" s="71" t="str">
        <f t="shared" si="200"/>
        <v>-</v>
      </c>
      <c r="CC232" s="33"/>
      <c r="CD232" s="261" t="str">
        <f t="shared" si="201"/>
        <v/>
      </c>
      <c r="CE232" s="280" t="str">
        <f t="shared" si="202"/>
        <v>-</v>
      </c>
      <c r="CF232" s="71" t="str">
        <f t="shared" ca="1" si="203"/>
        <v>-</v>
      </c>
      <c r="CG232" s="33" t="str">
        <f t="shared" si="204"/>
        <v>132-133</v>
      </c>
      <c r="CH232" s="261" t="str">
        <f t="shared" ca="1" si="205"/>
        <v/>
      </c>
    </row>
    <row r="233" spans="2:86" ht="13.5" customHeight="1" x14ac:dyDescent="0.2">
      <c r="B233" s="262">
        <v>133</v>
      </c>
      <c r="C233" s="237" t="str">
        <f t="shared" si="169"/>
        <v/>
      </c>
      <c r="D233" s="237" t="str">
        <f t="shared" si="225"/>
        <v>-</v>
      </c>
      <c r="E233" s="263" t="str">
        <f t="shared" si="206"/>
        <v/>
      </c>
      <c r="F233" s="264" t="str">
        <f t="shared" si="207"/>
        <v/>
      </c>
      <c r="G233" s="264" t="str">
        <f t="shared" si="208"/>
        <v/>
      </c>
      <c r="H233" s="240" t="str">
        <f t="shared" si="170"/>
        <v/>
      </c>
      <c r="I233" s="265" t="str">
        <f t="shared" si="171"/>
        <v/>
      </c>
      <c r="J233" s="265" t="str">
        <f t="shared" si="172"/>
        <v/>
      </c>
      <c r="K233" s="240" t="str">
        <f t="shared" si="173"/>
        <v/>
      </c>
      <c r="L233" s="265" t="str">
        <f t="shared" si="174"/>
        <v/>
      </c>
      <c r="M233" s="265" t="str">
        <f t="shared" si="175"/>
        <v/>
      </c>
      <c r="N233" s="240" t="str">
        <f t="shared" si="176"/>
        <v>-</v>
      </c>
      <c r="O233" s="265" t="str">
        <f t="shared" si="177"/>
        <v>-</v>
      </c>
      <c r="P233" s="265" t="str">
        <f t="shared" si="178"/>
        <v>-</v>
      </c>
      <c r="Q233" s="266" t="str">
        <f t="shared" si="179"/>
        <v>-</v>
      </c>
      <c r="R233" s="267" t="str">
        <f t="shared" si="180"/>
        <v>-</v>
      </c>
      <c r="S233" s="268" t="str">
        <f t="shared" si="181"/>
        <v>-</v>
      </c>
      <c r="T233" s="269" t="str">
        <f t="shared" si="182"/>
        <v/>
      </c>
      <c r="U233" s="221">
        <f t="shared" si="183"/>
        <v>133</v>
      </c>
      <c r="V233" s="220" t="str">
        <f t="shared" si="209"/>
        <v>-</v>
      </c>
      <c r="W233" s="221" t="str">
        <f t="shared" si="210"/>
        <v>-</v>
      </c>
      <c r="X233" s="221" t="str">
        <f t="shared" si="184"/>
        <v>-</v>
      </c>
      <c r="Y233" s="221" t="str">
        <f t="shared" si="185"/>
        <v>-</v>
      </c>
      <c r="Z233" s="270">
        <f t="shared" si="211"/>
        <v>0.1</v>
      </c>
      <c r="AA233" s="271" t="str">
        <f>IFERROR(IF(V232=1,AA$100*EXP(-(LN(2)/$D$65+0.04)*X232)*EXP(-(LN(2)/$D$65+0.1)*Y232),IF(V232=2,AA$100*EXP(-(LN(2)/$D$65+0.04)*(VLOOKUP(($F$16-$F$15)-1,U$99:Y232,4,FALSE)))*EXP(-(LN(2)/$D$65+0.1)*(VLOOKUP(($F$16-$F$15)-1,U$99:Y232,5,FALSE)))*EXP(-(LN(2)/$D$65+0.04)*X232)*EXP(-(LN(2)/$D$65+0.1)*Y232),IF(V232=3,AA$100*EXP(-(LN(2)/$D$65+0.04)*(VLOOKUP(($F$16-$F$15)-1,U$99:Y232,4,FALSE)))*EXP(-(LN(2)/$D$65+0.1)*(VLOOKUP(($F$16-$F$15)-1,U$99:Y232,5,FALSE)))*EXP(-(LN(2)/$D$65+0.04)*(VLOOKUP(($F$16-$F$15)*2-1,U$99:Y232,4,FALSE)))*EXP(-(LN(2)/$D$65+0.1)*(VLOOKUP(($F$16-$F$15)*2-1,U$99:Y232,5,FALSE)))*EXP(-(LN(2)/$D$65+0.04)*X232)*EXP(-(LN(2)/$D$65+0.1)*Y232),"-"))),"-")</f>
        <v>-</v>
      </c>
      <c r="AB233" s="271" t="str">
        <f>IFERROR(IF(V233=1,AB$100*EXP(-(LN(2)/$D$65+0.04)*X233)*EXP(-(LN(2)/$D$65+0.1)*Y233),IF(V233=2,AB$100*EXP(-(LN(2)/$D$65+0.04)*(VLOOKUP(($F$16-$F$15)-1,U$100:Y233,4,FALSE)))*EXP(-(LN(2)/$D$65+0.1)*(VLOOKUP(($F$16-$F$15)-1,U$100:Y233,5,FALSE)))*EXP(-(LN(2)/$D$65+0.04)*X233)*EXP(-(LN(2)/$D$65+0.1)*Y233),IF(V233=3,AB$100*EXP(-(LN(2)/$D$65+0.04)*(VLOOKUP(($F$16-$F$15)-1,U$100:Y233,4,FALSE)))*EXP(-(LN(2)/$D$65+0.1)*(VLOOKUP(($F$16-$F$15)-1,U$100:Y233,5,FALSE)))*EXP(-(LN(2)/$D$65+0.04)*(VLOOKUP(($F$16-$F$15)*2-1,U$100:Y233,4,FALSE)))*EXP(-(LN(2)/$D$65+0.1)*(VLOOKUP(($F$16-$F$15)*2-1,U$100:Y233,5,FALSE)))*EXP(-(LN(2)/$D$65+0.04)*X233)*EXP(-(LN(2)/$D$65+0.1)*Y233),"-"))),"-")</f>
        <v>-</v>
      </c>
      <c r="AC233" s="224">
        <f t="shared" si="212"/>
        <v>133</v>
      </c>
      <c r="AD233" s="223" t="str">
        <f t="shared" si="186"/>
        <v>-</v>
      </c>
      <c r="AE233" s="224" t="str">
        <f t="shared" si="213"/>
        <v>-</v>
      </c>
      <c r="AF233" s="224" t="str">
        <f t="shared" si="187"/>
        <v>-</v>
      </c>
      <c r="AG233" s="224" t="str">
        <f t="shared" si="188"/>
        <v>-</v>
      </c>
      <c r="AH233" s="272">
        <f t="shared" si="214"/>
        <v>0.1</v>
      </c>
      <c r="AI233" s="271" t="str">
        <f>IFERROR(IF(AD232=1,AI$100*EXP(-(LN(2)/$D$65+0.04)*AF232)*EXP(-(LN(2)/$D$65+0.1)*AG232),IF(AD232=2,AI$100*EXP(-(LN(2)/$D$65+0.04)*(VLOOKUP(($F$16-$F$15)-1,AC$99:AG232,4,FALSE)))*EXP(-(LN(2)/$D$65+0.1)*(VLOOKUP(($F$16-$F$15)-1,AC$99:AG232,5,FALSE)))*EXP(-(LN(2)/$D$65+0.04)*AF232)*EXP(-(LN(2)/$D$65+0.1)*AG232),IF(AD232=3,AI$100*EXP(-(LN(2)/$D$65+0.04)*(VLOOKUP(($F$16-$F$15)-1,AC$99:AG232,4,FALSE)))*EXP(-(LN(2)/$D$65+0.1)*(VLOOKUP(($F$16-$F$15)-1,AC$99:AG232,5,FALSE)))*EXP(-(LN(2)/$D$65+0.04)*(VLOOKUP(($F$16-$F$15)*2-1,AC$99:AG232,4,FALSE)))*EXP(-(LN(2)/$D$65+0.1)*(VLOOKUP(($F$16-$F$15)*2-1,AC$99:AG232,5,FALSE)))*EXP(-(LN(2)/$D$65+0.04)*AF232)*EXP(-(LN(2)/$D$65+0.1)*AG232),"-"))),"-")</f>
        <v>-</v>
      </c>
      <c r="AJ233" s="271" t="str">
        <f>IFERROR(IF(AD233=1,AJ$100*EXP(-(LN(2)/$D$65+0.04)*AF233)*EXP(-(LN(2)/$D$65+0.1)*AG233),IF(AD233=2,AJ$100*EXP(-(LN(2)/$D$65+0.04)*(VLOOKUP(($F$16-$F$15)-1,AC$100:AG233,4,FALSE)))*EXP(-(LN(2)/$D$65+0.1)*(VLOOKUP(($F$16-$F$15)-1,AC$100:AG233,5,FALSE)))*EXP(-(LN(2)/$D$65+0.04)*AF233)*EXP(-(LN(2)/$D$65+0.1)*AG233),IF(AD233=3,AJ$100*EXP(-(LN(2)/$D$65+0.04)*(VLOOKUP(($F$16-$F$15)-1,AC$100:AG233,4,FALSE)))*EXP(-(LN(2)/$D$65+0.1)*(VLOOKUP(($F$16-$F$15)-1,AC$100:AG233,5,FALSE)))*EXP(-(LN(2)/$D$65+0.04)*(VLOOKUP(($F$16-$F$15)*2-1,AC$100:AG233,4,FALSE)))*EXP(-(LN(2)/$D$65+0.1)*(VLOOKUP(($F$16-$F$15)*2-1,AC$100:AG233,5,FALSE)))*EXP(-(LN(2)/$D$65+0.04)*AF233)*EXP(-(LN(2)/$D$65+0.1)*AG233),"-"))),"-")</f>
        <v>-</v>
      </c>
      <c r="AK233" s="227">
        <f t="shared" si="215"/>
        <v>133</v>
      </c>
      <c r="AL233" s="226" t="str">
        <f t="shared" si="189"/>
        <v>-</v>
      </c>
      <c r="AM233" s="227" t="str">
        <f t="shared" si="216"/>
        <v>-</v>
      </c>
      <c r="AN233" s="227" t="str">
        <f t="shared" si="217"/>
        <v>-</v>
      </c>
      <c r="AO233" s="227" t="str">
        <f t="shared" si="190"/>
        <v>-</v>
      </c>
      <c r="AP233" s="273">
        <f t="shared" si="218"/>
        <v>0.1</v>
      </c>
      <c r="AQ233" s="271" t="str">
        <f>IFERROR(IF(AL232=1,AQ$100*EXP(-(LN(2)/$D$65+0.04)*AN232)*EXP(-(LN(2)/$D$65+0.1)*AO232),IF(AL232=2,AQ$100*EXP(-(LN(2)/$D$65+0.04)*(VLOOKUP(($F$16-$F$15)-1,AK$99:AO232,4,FALSE)))*EXP(-(LN(2)/$D$65+0.1)*(VLOOKUP(($F$16-$F$15)-1,AK$99:AO232,5,FALSE)))*EXP(-(LN(2)/$D$65+0.04)*AN232)*EXP(-(LN(2)/$D$65+0.1)*AO232),IF(AL232=3,AQ$100*EXP(-(LN(2)/$D$65+0.04)*(VLOOKUP(($F$16-$F$15)-1,AK$99:AO232,4,FALSE)))*EXP(-(LN(2)/$D$65+0.1)*(VLOOKUP(($F$16-$F$15)-1,AK$99:AO232,5,FALSE)))*EXP(-(LN(2)/$D$65+0.04)*(VLOOKUP(($F$16-$F$15)*2-1,AK$99:AO232,4,FALSE)))*EXP(-(LN(2)/$D$65+0.1)*(VLOOKUP(($F$16-$F$15)*2-1,AK$99:AO232,5,FALSE)))*EXP(-(LN(2)/$D$65+0.04)*AN232)*EXP(-(LN(2)/$D$65+0.1)*AO232),"-"))),"-")</f>
        <v>-</v>
      </c>
      <c r="AR233" s="271" t="str">
        <f>IFERROR(IF(AL233=1,AR$100*EXP(-(LN(2)/$D$65+0.04)*AN233)*EXP(-(LN(2)/$D$65+0.1)*AO233),IF(AL233=2,AR$100*EXP(-(LN(2)/$D$65+0.04)*(VLOOKUP(($F$16-$F$15)-1,AK$100:AO233,4,FALSE)))*EXP(-(LN(2)/$D$65+0.1)*(VLOOKUP(($F$16-$F$15)-1,AK$100:AO233,5,FALSE)))*EXP(-(LN(2)/$D$65+0.04)*AN233)*EXP(-(LN(2)/$D$65+0.1)*AO233),IF(AL233=3,AR$100*EXP(-(LN(2)/$D$65+0.04)*(VLOOKUP(($F$16-$F$15)-1,AK$100:AO233,4,FALSE)))*EXP(-(LN(2)/$D$65+0.1)*(VLOOKUP(($F$16-$F$15)-1,AK$100:AO233,5,FALSE)))*EXP(-(LN(2)/$D$65+0.04)*(VLOOKUP(($F$16-$F$15)*2-1,AK$100:AO233,4,FALSE)))*EXP(-(LN(2)/$D$65+0.1)*(VLOOKUP(($F$16-$F$15)*2-1,AK$100:AO233,5,FALSE)))*EXP(-(LN(2)/$D$65+0.04)*AN233)*EXP(-(LN(2)/$D$65+0.1)*AO233),"-"))),"-")</f>
        <v>-</v>
      </c>
      <c r="AS233" s="274">
        <f t="shared" si="191"/>
        <v>0</v>
      </c>
      <c r="AT233" s="274">
        <f t="shared" si="192"/>
        <v>0</v>
      </c>
      <c r="AU233" s="274">
        <f t="shared" si="193"/>
        <v>0</v>
      </c>
      <c r="AV233" s="190">
        <f>IF($B233&lt;$F$22,SUM($T$100:$T233),"")</f>
        <v>0</v>
      </c>
      <c r="AW233" s="190" t="str">
        <f t="shared" si="194"/>
        <v>-</v>
      </c>
      <c r="AX233" s="190" t="str">
        <f t="shared" si="219"/>
        <v/>
      </c>
      <c r="AY233"/>
      <c r="AZ233" s="190" t="str">
        <f ca="1">IF(ISNUMBER(OFFSET(AV233,-$F$21,0)),SUM(OFFSET($T$100,$F$21,0):$T233),"")</f>
        <v/>
      </c>
      <c r="BA233" s="190" t="str">
        <f t="shared" ca="1" si="195"/>
        <v/>
      </c>
      <c r="BB233" s="190" t="str">
        <f t="shared" ca="1" si="148"/>
        <v/>
      </c>
      <c r="BC233" s="190"/>
      <c r="BD233" s="190" t="str">
        <f ca="1">IFERROR(IF(AND($B233&gt;=($F$16-$F$15),$B233&lt;$F$22+($F$16-$F$15)),SUM(OFFSET($T$100,($F$16-$F$15),0):$T233),""),"")</f>
        <v/>
      </c>
      <c r="BE233" s="190" t="str">
        <f t="shared" ca="1" si="220"/>
        <v/>
      </c>
      <c r="BF233" s="190" t="str">
        <f t="shared" ca="1" si="221"/>
        <v/>
      </c>
      <c r="BG233"/>
      <c r="BH233" s="190" t="str">
        <f ca="1">IF(ISNUMBER(OFFSET(BD233,-$F$21,0)),SUM(OFFSET($T$100,($F$16-$F$15+$F$21),0):$T233),"")</f>
        <v/>
      </c>
      <c r="BI233" s="190" t="str">
        <f t="shared" ca="1" si="196"/>
        <v/>
      </c>
      <c r="BJ233" s="190" t="str">
        <f t="shared" ca="1" si="222"/>
        <v/>
      </c>
      <c r="BK233" s="190"/>
      <c r="BL233" s="190" t="str">
        <f ca="1">IFERROR(IF(AND($B233&gt;=($F$17-$F$15),$B233&lt;$F$22+($F$17-$F$15)),SUM(OFFSET($T$100,($F$17-$F$15),0):$T233),""),"")</f>
        <v/>
      </c>
      <c r="BM233" s="190" t="str">
        <f t="shared" ca="1" si="197"/>
        <v/>
      </c>
      <c r="BN233" s="190" t="str">
        <f t="shared" ca="1" si="223"/>
        <v/>
      </c>
      <c r="BO233"/>
      <c r="BP233" s="190" t="str">
        <f ca="1">IF(ISNUMBER(OFFSET(BL233,-$F$21,0)),SUM(OFFSET($T$100,($F$17-$F$15+$F$21),0):$T233),"")</f>
        <v/>
      </c>
      <c r="BQ233" s="190" t="str">
        <f t="shared" ca="1" si="198"/>
        <v/>
      </c>
      <c r="BR233" s="190" t="str">
        <f t="shared" ca="1" si="224"/>
        <v/>
      </c>
      <c r="BS233" s="190"/>
      <c r="BT233"/>
      <c r="BU233"/>
      <c r="BV233"/>
      <c r="BY233" s="99"/>
      <c r="BZ233" s="99"/>
      <c r="CA233" s="280" t="str">
        <f t="shared" si="199"/>
        <v/>
      </c>
      <c r="CB233" s="71" t="str">
        <f t="shared" si="200"/>
        <v>-</v>
      </c>
      <c r="CC233" s="33"/>
      <c r="CD233" s="261" t="str">
        <f t="shared" si="201"/>
        <v/>
      </c>
      <c r="CE233" s="280" t="str">
        <f t="shared" si="202"/>
        <v>-</v>
      </c>
      <c r="CF233" s="71" t="str">
        <f t="shared" ca="1" si="203"/>
        <v>-</v>
      </c>
      <c r="CG233" s="33" t="str">
        <f t="shared" si="204"/>
        <v>133-134</v>
      </c>
      <c r="CH233" s="261" t="str">
        <f t="shared" ca="1" si="205"/>
        <v/>
      </c>
    </row>
    <row r="234" spans="2:86" ht="13.5" customHeight="1" x14ac:dyDescent="0.2">
      <c r="B234" s="262">
        <v>134</v>
      </c>
      <c r="C234" s="237" t="str">
        <f t="shared" si="169"/>
        <v/>
      </c>
      <c r="D234" s="237" t="str">
        <f t="shared" si="225"/>
        <v>-</v>
      </c>
      <c r="E234" s="263" t="str">
        <f t="shared" si="206"/>
        <v/>
      </c>
      <c r="F234" s="264" t="str">
        <f t="shared" si="207"/>
        <v/>
      </c>
      <c r="G234" s="264" t="str">
        <f t="shared" si="208"/>
        <v/>
      </c>
      <c r="H234" s="240" t="str">
        <f t="shared" si="170"/>
        <v/>
      </c>
      <c r="I234" s="265" t="str">
        <f t="shared" si="171"/>
        <v/>
      </c>
      <c r="J234" s="265" t="str">
        <f t="shared" si="172"/>
        <v/>
      </c>
      <c r="K234" s="240" t="str">
        <f t="shared" si="173"/>
        <v/>
      </c>
      <c r="L234" s="265" t="str">
        <f t="shared" si="174"/>
        <v/>
      </c>
      <c r="M234" s="265" t="str">
        <f t="shared" si="175"/>
        <v/>
      </c>
      <c r="N234" s="240" t="str">
        <f t="shared" si="176"/>
        <v>-</v>
      </c>
      <c r="O234" s="265" t="str">
        <f t="shared" si="177"/>
        <v>-</v>
      </c>
      <c r="P234" s="265" t="str">
        <f t="shared" si="178"/>
        <v>-</v>
      </c>
      <c r="Q234" s="266" t="str">
        <f t="shared" si="179"/>
        <v>-</v>
      </c>
      <c r="R234" s="267" t="str">
        <f t="shared" si="180"/>
        <v>-</v>
      </c>
      <c r="S234" s="268" t="str">
        <f t="shared" si="181"/>
        <v>-</v>
      </c>
      <c r="T234" s="269" t="str">
        <f t="shared" si="182"/>
        <v/>
      </c>
      <c r="U234" s="221">
        <f t="shared" si="183"/>
        <v>134</v>
      </c>
      <c r="V234" s="220" t="str">
        <f t="shared" si="209"/>
        <v>-</v>
      </c>
      <c r="W234" s="221" t="str">
        <f t="shared" si="210"/>
        <v>-</v>
      </c>
      <c r="X234" s="221" t="str">
        <f t="shared" si="184"/>
        <v>-</v>
      </c>
      <c r="Y234" s="221" t="str">
        <f t="shared" si="185"/>
        <v>-</v>
      </c>
      <c r="Z234" s="270">
        <f t="shared" si="211"/>
        <v>0.1</v>
      </c>
      <c r="AA234" s="271" t="str">
        <f>IFERROR(IF(V233=1,AA$100*EXP(-(LN(2)/$D$65+0.04)*X233)*EXP(-(LN(2)/$D$65+0.1)*Y233),IF(V233=2,AA$100*EXP(-(LN(2)/$D$65+0.04)*(VLOOKUP(($F$16-$F$15)-1,U$99:Y233,4,FALSE)))*EXP(-(LN(2)/$D$65+0.1)*(VLOOKUP(($F$16-$F$15)-1,U$99:Y233,5,FALSE)))*EXP(-(LN(2)/$D$65+0.04)*X233)*EXP(-(LN(2)/$D$65+0.1)*Y233),IF(V233=3,AA$100*EXP(-(LN(2)/$D$65+0.04)*(VLOOKUP(($F$16-$F$15)-1,U$99:Y233,4,FALSE)))*EXP(-(LN(2)/$D$65+0.1)*(VLOOKUP(($F$16-$F$15)-1,U$99:Y233,5,FALSE)))*EXP(-(LN(2)/$D$65+0.04)*(VLOOKUP(($F$16-$F$15)*2-1,U$99:Y233,4,FALSE)))*EXP(-(LN(2)/$D$65+0.1)*(VLOOKUP(($F$16-$F$15)*2-1,U$99:Y233,5,FALSE)))*EXP(-(LN(2)/$D$65+0.04)*X233)*EXP(-(LN(2)/$D$65+0.1)*Y233),"-"))),"-")</f>
        <v>-</v>
      </c>
      <c r="AB234" s="271" t="str">
        <f>IFERROR(IF(V234=1,AB$100*EXP(-(LN(2)/$D$65+0.04)*X234)*EXP(-(LN(2)/$D$65+0.1)*Y234),IF(V234=2,AB$100*EXP(-(LN(2)/$D$65+0.04)*(VLOOKUP(($F$16-$F$15)-1,U$100:Y234,4,FALSE)))*EXP(-(LN(2)/$D$65+0.1)*(VLOOKUP(($F$16-$F$15)-1,U$100:Y234,5,FALSE)))*EXP(-(LN(2)/$D$65+0.04)*X234)*EXP(-(LN(2)/$D$65+0.1)*Y234),IF(V234=3,AB$100*EXP(-(LN(2)/$D$65+0.04)*(VLOOKUP(($F$16-$F$15)-1,U$100:Y234,4,FALSE)))*EXP(-(LN(2)/$D$65+0.1)*(VLOOKUP(($F$16-$F$15)-1,U$100:Y234,5,FALSE)))*EXP(-(LN(2)/$D$65+0.04)*(VLOOKUP(($F$16-$F$15)*2-1,U$100:Y234,4,FALSE)))*EXP(-(LN(2)/$D$65+0.1)*(VLOOKUP(($F$16-$F$15)*2-1,U$100:Y234,5,FALSE)))*EXP(-(LN(2)/$D$65+0.04)*X234)*EXP(-(LN(2)/$D$65+0.1)*Y234),"-"))),"-")</f>
        <v>-</v>
      </c>
      <c r="AC234" s="224">
        <f t="shared" si="212"/>
        <v>134</v>
      </c>
      <c r="AD234" s="223" t="str">
        <f t="shared" si="186"/>
        <v>-</v>
      </c>
      <c r="AE234" s="224" t="str">
        <f t="shared" si="213"/>
        <v>-</v>
      </c>
      <c r="AF234" s="224" t="str">
        <f t="shared" si="187"/>
        <v>-</v>
      </c>
      <c r="AG234" s="224" t="str">
        <f t="shared" si="188"/>
        <v>-</v>
      </c>
      <c r="AH234" s="272">
        <f t="shared" si="214"/>
        <v>0.1</v>
      </c>
      <c r="AI234" s="271" t="str">
        <f>IFERROR(IF(AD233=1,AI$100*EXP(-(LN(2)/$D$65+0.04)*AF233)*EXP(-(LN(2)/$D$65+0.1)*AG233),IF(AD233=2,AI$100*EXP(-(LN(2)/$D$65+0.04)*(VLOOKUP(($F$16-$F$15)-1,AC$99:AG233,4,FALSE)))*EXP(-(LN(2)/$D$65+0.1)*(VLOOKUP(($F$16-$F$15)-1,AC$99:AG233,5,FALSE)))*EXP(-(LN(2)/$D$65+0.04)*AF233)*EXP(-(LN(2)/$D$65+0.1)*AG233),IF(AD233=3,AI$100*EXP(-(LN(2)/$D$65+0.04)*(VLOOKUP(($F$16-$F$15)-1,AC$99:AG233,4,FALSE)))*EXP(-(LN(2)/$D$65+0.1)*(VLOOKUP(($F$16-$F$15)-1,AC$99:AG233,5,FALSE)))*EXP(-(LN(2)/$D$65+0.04)*(VLOOKUP(($F$16-$F$15)*2-1,AC$99:AG233,4,FALSE)))*EXP(-(LN(2)/$D$65+0.1)*(VLOOKUP(($F$16-$F$15)*2-1,AC$99:AG233,5,FALSE)))*EXP(-(LN(2)/$D$65+0.04)*AF233)*EXP(-(LN(2)/$D$65+0.1)*AG233),"-"))),"-")</f>
        <v>-</v>
      </c>
      <c r="AJ234" s="271" t="str">
        <f>IFERROR(IF(AD234=1,AJ$100*EXP(-(LN(2)/$D$65+0.04)*AF234)*EXP(-(LN(2)/$D$65+0.1)*AG234),IF(AD234=2,AJ$100*EXP(-(LN(2)/$D$65+0.04)*(VLOOKUP(($F$16-$F$15)-1,AC$100:AG234,4,FALSE)))*EXP(-(LN(2)/$D$65+0.1)*(VLOOKUP(($F$16-$F$15)-1,AC$100:AG234,5,FALSE)))*EXP(-(LN(2)/$D$65+0.04)*AF234)*EXP(-(LN(2)/$D$65+0.1)*AG234),IF(AD234=3,AJ$100*EXP(-(LN(2)/$D$65+0.04)*(VLOOKUP(($F$16-$F$15)-1,AC$100:AG234,4,FALSE)))*EXP(-(LN(2)/$D$65+0.1)*(VLOOKUP(($F$16-$F$15)-1,AC$100:AG234,5,FALSE)))*EXP(-(LN(2)/$D$65+0.04)*(VLOOKUP(($F$16-$F$15)*2-1,AC$100:AG234,4,FALSE)))*EXP(-(LN(2)/$D$65+0.1)*(VLOOKUP(($F$16-$F$15)*2-1,AC$100:AG234,5,FALSE)))*EXP(-(LN(2)/$D$65+0.04)*AF234)*EXP(-(LN(2)/$D$65+0.1)*AG234),"-"))),"-")</f>
        <v>-</v>
      </c>
      <c r="AK234" s="227">
        <f t="shared" si="215"/>
        <v>134</v>
      </c>
      <c r="AL234" s="226" t="str">
        <f t="shared" si="189"/>
        <v>-</v>
      </c>
      <c r="AM234" s="227" t="str">
        <f t="shared" si="216"/>
        <v>-</v>
      </c>
      <c r="AN234" s="227" t="str">
        <f t="shared" si="217"/>
        <v>-</v>
      </c>
      <c r="AO234" s="227" t="str">
        <f t="shared" si="190"/>
        <v>-</v>
      </c>
      <c r="AP234" s="273">
        <f t="shared" si="218"/>
        <v>0.1</v>
      </c>
      <c r="AQ234" s="271" t="str">
        <f>IFERROR(IF(AL233=1,AQ$100*EXP(-(LN(2)/$D$65+0.04)*AN233)*EXP(-(LN(2)/$D$65+0.1)*AO233),IF(AL233=2,AQ$100*EXP(-(LN(2)/$D$65+0.04)*(VLOOKUP(($F$16-$F$15)-1,AK$99:AO233,4,FALSE)))*EXP(-(LN(2)/$D$65+0.1)*(VLOOKUP(($F$16-$F$15)-1,AK$99:AO233,5,FALSE)))*EXP(-(LN(2)/$D$65+0.04)*AN233)*EXP(-(LN(2)/$D$65+0.1)*AO233),IF(AL233=3,AQ$100*EXP(-(LN(2)/$D$65+0.04)*(VLOOKUP(($F$16-$F$15)-1,AK$99:AO233,4,FALSE)))*EXP(-(LN(2)/$D$65+0.1)*(VLOOKUP(($F$16-$F$15)-1,AK$99:AO233,5,FALSE)))*EXP(-(LN(2)/$D$65+0.04)*(VLOOKUP(($F$16-$F$15)*2-1,AK$99:AO233,4,FALSE)))*EXP(-(LN(2)/$D$65+0.1)*(VLOOKUP(($F$16-$F$15)*2-1,AK$99:AO233,5,FALSE)))*EXP(-(LN(2)/$D$65+0.04)*AN233)*EXP(-(LN(2)/$D$65+0.1)*AO233),"-"))),"-")</f>
        <v>-</v>
      </c>
      <c r="AR234" s="271" t="str">
        <f>IFERROR(IF(AL234=1,AR$100*EXP(-(LN(2)/$D$65+0.04)*AN234)*EXP(-(LN(2)/$D$65+0.1)*AO234),IF(AL234=2,AR$100*EXP(-(LN(2)/$D$65+0.04)*(VLOOKUP(($F$16-$F$15)-1,AK$100:AO234,4,FALSE)))*EXP(-(LN(2)/$D$65+0.1)*(VLOOKUP(($F$16-$F$15)-1,AK$100:AO234,5,FALSE)))*EXP(-(LN(2)/$D$65+0.04)*AN234)*EXP(-(LN(2)/$D$65+0.1)*AO234),IF(AL234=3,AR$100*EXP(-(LN(2)/$D$65+0.04)*(VLOOKUP(($F$16-$F$15)-1,AK$100:AO234,4,FALSE)))*EXP(-(LN(2)/$D$65+0.1)*(VLOOKUP(($F$16-$F$15)-1,AK$100:AO234,5,FALSE)))*EXP(-(LN(2)/$D$65+0.04)*(VLOOKUP(($F$16-$F$15)*2-1,AK$100:AO234,4,FALSE)))*EXP(-(LN(2)/$D$65+0.1)*(VLOOKUP(($F$16-$F$15)*2-1,AK$100:AO234,5,FALSE)))*EXP(-(LN(2)/$D$65+0.04)*AN234)*EXP(-(LN(2)/$D$65+0.1)*AO234),"-"))),"-")</f>
        <v>-</v>
      </c>
      <c r="AS234" s="274">
        <f t="shared" si="191"/>
        <v>0</v>
      </c>
      <c r="AT234" s="274">
        <f t="shared" si="192"/>
        <v>0</v>
      </c>
      <c r="AU234" s="274">
        <f t="shared" si="193"/>
        <v>0</v>
      </c>
      <c r="AV234" s="190">
        <f>IF($B234&lt;$F$22,SUM($T$100:$T234),"")</f>
        <v>0</v>
      </c>
      <c r="AW234" s="190" t="str">
        <f t="shared" si="194"/>
        <v>-</v>
      </c>
      <c r="AX234" s="190" t="str">
        <f t="shared" si="219"/>
        <v/>
      </c>
      <c r="AY234"/>
      <c r="AZ234" s="190" t="str">
        <f ca="1">IF(ISNUMBER(OFFSET(AV234,-$F$21,0)),SUM(OFFSET($T$100,$F$21,0):$T234),"")</f>
        <v/>
      </c>
      <c r="BA234" s="190" t="str">
        <f t="shared" ca="1" si="195"/>
        <v/>
      </c>
      <c r="BB234" s="190" t="str">
        <f t="shared" ca="1" si="148"/>
        <v/>
      </c>
      <c r="BC234" s="190"/>
      <c r="BD234" s="190" t="str">
        <f ca="1">IFERROR(IF(AND($B234&gt;=($F$16-$F$15),$B234&lt;$F$22+($F$16-$F$15)),SUM(OFFSET($T$100,($F$16-$F$15),0):$T234),""),"")</f>
        <v/>
      </c>
      <c r="BE234" s="190" t="str">
        <f t="shared" ca="1" si="220"/>
        <v/>
      </c>
      <c r="BF234" s="190" t="str">
        <f t="shared" ca="1" si="221"/>
        <v/>
      </c>
      <c r="BG234"/>
      <c r="BH234" s="190" t="str">
        <f ca="1">IF(ISNUMBER(OFFSET(BD234,-$F$21,0)),SUM(OFFSET($T$100,($F$16-$F$15+$F$21),0):$T234),"")</f>
        <v/>
      </c>
      <c r="BI234" s="190" t="str">
        <f t="shared" ca="1" si="196"/>
        <v/>
      </c>
      <c r="BJ234" s="190" t="str">
        <f t="shared" ca="1" si="222"/>
        <v/>
      </c>
      <c r="BK234" s="190"/>
      <c r="BL234" s="190" t="str">
        <f ca="1">IFERROR(IF(AND($B234&gt;=($F$17-$F$15),$B234&lt;$F$22+($F$17-$F$15)),SUM(OFFSET($T$100,($F$17-$F$15),0):$T234),""),"")</f>
        <v/>
      </c>
      <c r="BM234" s="190" t="str">
        <f t="shared" ca="1" si="197"/>
        <v/>
      </c>
      <c r="BN234" s="190" t="str">
        <f t="shared" ca="1" si="223"/>
        <v/>
      </c>
      <c r="BO234"/>
      <c r="BP234" s="190" t="str">
        <f ca="1">IF(ISNUMBER(OFFSET(BL234,-$F$21,0)),SUM(OFFSET($T$100,($F$17-$F$15+$F$21),0):$T234),"")</f>
        <v/>
      </c>
      <c r="BQ234" s="190" t="str">
        <f t="shared" ca="1" si="198"/>
        <v/>
      </c>
      <c r="BR234" s="190" t="str">
        <f t="shared" ca="1" si="224"/>
        <v/>
      </c>
      <c r="BS234" s="190"/>
      <c r="BT234"/>
      <c r="BU234"/>
      <c r="BV234"/>
      <c r="BY234" s="99"/>
      <c r="BZ234" s="99"/>
      <c r="CA234" s="280" t="str">
        <f t="shared" si="199"/>
        <v/>
      </c>
      <c r="CB234" s="71" t="str">
        <f t="shared" si="200"/>
        <v>-</v>
      </c>
      <c r="CC234" s="33"/>
      <c r="CD234" s="261" t="str">
        <f t="shared" si="201"/>
        <v/>
      </c>
      <c r="CE234" s="280" t="str">
        <f t="shared" si="202"/>
        <v>-</v>
      </c>
      <c r="CF234" s="71" t="str">
        <f t="shared" ca="1" si="203"/>
        <v>-</v>
      </c>
      <c r="CG234" s="33" t="str">
        <f t="shared" si="204"/>
        <v>134-135</v>
      </c>
      <c r="CH234" s="261" t="str">
        <f t="shared" ca="1" si="205"/>
        <v/>
      </c>
    </row>
    <row r="235" spans="2:86" ht="13.5" customHeight="1" x14ac:dyDescent="0.2">
      <c r="B235" s="262">
        <v>135</v>
      </c>
      <c r="C235" s="237" t="str">
        <f t="shared" si="169"/>
        <v/>
      </c>
      <c r="D235" s="237" t="str">
        <f t="shared" si="225"/>
        <v>-</v>
      </c>
      <c r="E235" s="263" t="str">
        <f t="shared" si="206"/>
        <v/>
      </c>
      <c r="F235" s="264" t="str">
        <f t="shared" si="207"/>
        <v/>
      </c>
      <c r="G235" s="264" t="str">
        <f t="shared" si="208"/>
        <v/>
      </c>
      <c r="H235" s="240" t="str">
        <f t="shared" si="170"/>
        <v/>
      </c>
      <c r="I235" s="265" t="str">
        <f t="shared" si="171"/>
        <v/>
      </c>
      <c r="J235" s="265" t="str">
        <f t="shared" si="172"/>
        <v/>
      </c>
      <c r="K235" s="240" t="str">
        <f t="shared" si="173"/>
        <v/>
      </c>
      <c r="L235" s="265" t="str">
        <f t="shared" si="174"/>
        <v/>
      </c>
      <c r="M235" s="265" t="str">
        <f t="shared" si="175"/>
        <v/>
      </c>
      <c r="N235" s="240" t="str">
        <f t="shared" si="176"/>
        <v>-</v>
      </c>
      <c r="O235" s="265" t="str">
        <f t="shared" si="177"/>
        <v>-</v>
      </c>
      <c r="P235" s="265" t="str">
        <f t="shared" si="178"/>
        <v>-</v>
      </c>
      <c r="Q235" s="266" t="str">
        <f t="shared" si="179"/>
        <v>-</v>
      </c>
      <c r="R235" s="267" t="str">
        <f t="shared" si="180"/>
        <v>-</v>
      </c>
      <c r="S235" s="268" t="str">
        <f t="shared" si="181"/>
        <v>-</v>
      </c>
      <c r="T235" s="269" t="str">
        <f t="shared" si="182"/>
        <v/>
      </c>
      <c r="U235" s="221">
        <f t="shared" si="183"/>
        <v>135</v>
      </c>
      <c r="V235" s="220" t="str">
        <f t="shared" si="209"/>
        <v>-</v>
      </c>
      <c r="W235" s="221" t="str">
        <f t="shared" si="210"/>
        <v>-</v>
      </c>
      <c r="X235" s="221" t="str">
        <f t="shared" si="184"/>
        <v>-</v>
      </c>
      <c r="Y235" s="221" t="str">
        <f t="shared" si="185"/>
        <v>-</v>
      </c>
      <c r="Z235" s="270">
        <f t="shared" si="211"/>
        <v>0.1</v>
      </c>
      <c r="AA235" s="271" t="str">
        <f>IFERROR(IF(V234=1,AA$100*EXP(-(LN(2)/$D$65+0.04)*X234)*EXP(-(LN(2)/$D$65+0.1)*Y234),IF(V234=2,AA$100*EXP(-(LN(2)/$D$65+0.04)*(VLOOKUP(($F$16-$F$15)-1,U$99:Y234,4,FALSE)))*EXP(-(LN(2)/$D$65+0.1)*(VLOOKUP(($F$16-$F$15)-1,U$99:Y234,5,FALSE)))*EXP(-(LN(2)/$D$65+0.04)*X234)*EXP(-(LN(2)/$D$65+0.1)*Y234),IF(V234=3,AA$100*EXP(-(LN(2)/$D$65+0.04)*(VLOOKUP(($F$16-$F$15)-1,U$99:Y234,4,FALSE)))*EXP(-(LN(2)/$D$65+0.1)*(VLOOKUP(($F$16-$F$15)-1,U$99:Y234,5,FALSE)))*EXP(-(LN(2)/$D$65+0.04)*(VLOOKUP(($F$16-$F$15)*2-1,U$99:Y234,4,FALSE)))*EXP(-(LN(2)/$D$65+0.1)*(VLOOKUP(($F$16-$F$15)*2-1,U$99:Y234,5,FALSE)))*EXP(-(LN(2)/$D$65+0.04)*X234)*EXP(-(LN(2)/$D$65+0.1)*Y234),"-"))),"-")</f>
        <v>-</v>
      </c>
      <c r="AB235" s="271" t="str">
        <f>IFERROR(IF(V235=1,AB$100*EXP(-(LN(2)/$D$65+0.04)*X235)*EXP(-(LN(2)/$D$65+0.1)*Y235),IF(V235=2,AB$100*EXP(-(LN(2)/$D$65+0.04)*(VLOOKUP(($F$16-$F$15)-1,U$100:Y235,4,FALSE)))*EXP(-(LN(2)/$D$65+0.1)*(VLOOKUP(($F$16-$F$15)-1,U$100:Y235,5,FALSE)))*EXP(-(LN(2)/$D$65+0.04)*X235)*EXP(-(LN(2)/$D$65+0.1)*Y235),IF(V235=3,AB$100*EXP(-(LN(2)/$D$65+0.04)*(VLOOKUP(($F$16-$F$15)-1,U$100:Y235,4,FALSE)))*EXP(-(LN(2)/$D$65+0.1)*(VLOOKUP(($F$16-$F$15)-1,U$100:Y235,5,FALSE)))*EXP(-(LN(2)/$D$65+0.04)*(VLOOKUP(($F$16-$F$15)*2-1,U$100:Y235,4,FALSE)))*EXP(-(LN(2)/$D$65+0.1)*(VLOOKUP(($F$16-$F$15)*2-1,U$100:Y235,5,FALSE)))*EXP(-(LN(2)/$D$65+0.04)*X235)*EXP(-(LN(2)/$D$65+0.1)*Y235),"-"))),"-")</f>
        <v>-</v>
      </c>
      <c r="AC235" s="224">
        <f t="shared" si="212"/>
        <v>135</v>
      </c>
      <c r="AD235" s="223" t="str">
        <f t="shared" si="186"/>
        <v>-</v>
      </c>
      <c r="AE235" s="224" t="str">
        <f t="shared" si="213"/>
        <v>-</v>
      </c>
      <c r="AF235" s="224" t="str">
        <f t="shared" si="187"/>
        <v>-</v>
      </c>
      <c r="AG235" s="224" t="str">
        <f t="shared" si="188"/>
        <v>-</v>
      </c>
      <c r="AH235" s="272">
        <f t="shared" si="214"/>
        <v>0.1</v>
      </c>
      <c r="AI235" s="271" t="str">
        <f>IFERROR(IF(AD234=1,AI$100*EXP(-(LN(2)/$D$65+0.04)*AF234)*EXP(-(LN(2)/$D$65+0.1)*AG234),IF(AD234=2,AI$100*EXP(-(LN(2)/$D$65+0.04)*(VLOOKUP(($F$16-$F$15)-1,AC$99:AG234,4,FALSE)))*EXP(-(LN(2)/$D$65+0.1)*(VLOOKUP(($F$16-$F$15)-1,AC$99:AG234,5,FALSE)))*EXP(-(LN(2)/$D$65+0.04)*AF234)*EXP(-(LN(2)/$D$65+0.1)*AG234),IF(AD234=3,AI$100*EXP(-(LN(2)/$D$65+0.04)*(VLOOKUP(($F$16-$F$15)-1,AC$99:AG234,4,FALSE)))*EXP(-(LN(2)/$D$65+0.1)*(VLOOKUP(($F$16-$F$15)-1,AC$99:AG234,5,FALSE)))*EXP(-(LN(2)/$D$65+0.04)*(VLOOKUP(($F$16-$F$15)*2-1,AC$99:AG234,4,FALSE)))*EXP(-(LN(2)/$D$65+0.1)*(VLOOKUP(($F$16-$F$15)*2-1,AC$99:AG234,5,FALSE)))*EXP(-(LN(2)/$D$65+0.04)*AF234)*EXP(-(LN(2)/$D$65+0.1)*AG234),"-"))),"-")</f>
        <v>-</v>
      </c>
      <c r="AJ235" s="271" t="str">
        <f>IFERROR(IF(AD235=1,AJ$100*EXP(-(LN(2)/$D$65+0.04)*AF235)*EXP(-(LN(2)/$D$65+0.1)*AG235),IF(AD235=2,AJ$100*EXP(-(LN(2)/$D$65+0.04)*(VLOOKUP(($F$16-$F$15)-1,AC$100:AG235,4,FALSE)))*EXP(-(LN(2)/$D$65+0.1)*(VLOOKUP(($F$16-$F$15)-1,AC$100:AG235,5,FALSE)))*EXP(-(LN(2)/$D$65+0.04)*AF235)*EXP(-(LN(2)/$D$65+0.1)*AG235),IF(AD235=3,AJ$100*EXP(-(LN(2)/$D$65+0.04)*(VLOOKUP(($F$16-$F$15)-1,AC$100:AG235,4,FALSE)))*EXP(-(LN(2)/$D$65+0.1)*(VLOOKUP(($F$16-$F$15)-1,AC$100:AG235,5,FALSE)))*EXP(-(LN(2)/$D$65+0.04)*(VLOOKUP(($F$16-$F$15)*2-1,AC$100:AG235,4,FALSE)))*EXP(-(LN(2)/$D$65+0.1)*(VLOOKUP(($F$16-$F$15)*2-1,AC$100:AG235,5,FALSE)))*EXP(-(LN(2)/$D$65+0.04)*AF235)*EXP(-(LN(2)/$D$65+0.1)*AG235),"-"))),"-")</f>
        <v>-</v>
      </c>
      <c r="AK235" s="227">
        <f t="shared" si="215"/>
        <v>135</v>
      </c>
      <c r="AL235" s="226" t="str">
        <f t="shared" si="189"/>
        <v>-</v>
      </c>
      <c r="AM235" s="227" t="str">
        <f t="shared" si="216"/>
        <v>-</v>
      </c>
      <c r="AN235" s="227" t="str">
        <f t="shared" si="217"/>
        <v>-</v>
      </c>
      <c r="AO235" s="227" t="str">
        <f t="shared" si="190"/>
        <v>-</v>
      </c>
      <c r="AP235" s="273">
        <f t="shared" si="218"/>
        <v>0.1</v>
      </c>
      <c r="AQ235" s="271" t="str">
        <f>IFERROR(IF(AL234=1,AQ$100*EXP(-(LN(2)/$D$65+0.04)*AN234)*EXP(-(LN(2)/$D$65+0.1)*AO234),IF(AL234=2,AQ$100*EXP(-(LN(2)/$D$65+0.04)*(VLOOKUP(($F$16-$F$15)-1,AK$99:AO234,4,FALSE)))*EXP(-(LN(2)/$D$65+0.1)*(VLOOKUP(($F$16-$F$15)-1,AK$99:AO234,5,FALSE)))*EXP(-(LN(2)/$D$65+0.04)*AN234)*EXP(-(LN(2)/$D$65+0.1)*AO234),IF(AL234=3,AQ$100*EXP(-(LN(2)/$D$65+0.04)*(VLOOKUP(($F$16-$F$15)-1,AK$99:AO234,4,FALSE)))*EXP(-(LN(2)/$D$65+0.1)*(VLOOKUP(($F$16-$F$15)-1,AK$99:AO234,5,FALSE)))*EXP(-(LN(2)/$D$65+0.04)*(VLOOKUP(($F$16-$F$15)*2-1,AK$99:AO234,4,FALSE)))*EXP(-(LN(2)/$D$65+0.1)*(VLOOKUP(($F$16-$F$15)*2-1,AK$99:AO234,5,FALSE)))*EXP(-(LN(2)/$D$65+0.04)*AN234)*EXP(-(LN(2)/$D$65+0.1)*AO234),"-"))),"-")</f>
        <v>-</v>
      </c>
      <c r="AR235" s="271" t="str">
        <f>IFERROR(IF(AL235=1,AR$100*EXP(-(LN(2)/$D$65+0.04)*AN235)*EXP(-(LN(2)/$D$65+0.1)*AO235),IF(AL235=2,AR$100*EXP(-(LN(2)/$D$65+0.04)*(VLOOKUP(($F$16-$F$15)-1,AK$100:AO235,4,FALSE)))*EXP(-(LN(2)/$D$65+0.1)*(VLOOKUP(($F$16-$F$15)-1,AK$100:AO235,5,FALSE)))*EXP(-(LN(2)/$D$65+0.04)*AN235)*EXP(-(LN(2)/$D$65+0.1)*AO235),IF(AL235=3,AR$100*EXP(-(LN(2)/$D$65+0.04)*(VLOOKUP(($F$16-$F$15)-1,AK$100:AO235,4,FALSE)))*EXP(-(LN(2)/$D$65+0.1)*(VLOOKUP(($F$16-$F$15)-1,AK$100:AO235,5,FALSE)))*EXP(-(LN(2)/$D$65+0.04)*(VLOOKUP(($F$16-$F$15)*2-1,AK$100:AO235,4,FALSE)))*EXP(-(LN(2)/$D$65+0.1)*(VLOOKUP(($F$16-$F$15)*2-1,AK$100:AO235,5,FALSE)))*EXP(-(LN(2)/$D$65+0.04)*AN235)*EXP(-(LN(2)/$D$65+0.1)*AO235),"-"))),"-")</f>
        <v>-</v>
      </c>
      <c r="AS235" s="274">
        <f t="shared" si="191"/>
        <v>0</v>
      </c>
      <c r="AT235" s="274">
        <f t="shared" si="192"/>
        <v>0</v>
      </c>
      <c r="AU235" s="274">
        <f t="shared" si="193"/>
        <v>0</v>
      </c>
      <c r="AV235" s="190">
        <f>IF($B235&lt;$F$22,SUM($T$100:$T235),"")</f>
        <v>0</v>
      </c>
      <c r="AW235" s="190" t="str">
        <f t="shared" si="194"/>
        <v>-</v>
      </c>
      <c r="AX235" s="190" t="str">
        <f t="shared" si="219"/>
        <v/>
      </c>
      <c r="AY235"/>
      <c r="AZ235" s="190" t="str">
        <f ca="1">IF(ISNUMBER(OFFSET(AV235,-$F$21,0)),SUM(OFFSET($T$100,$F$21,0):$T235),"")</f>
        <v/>
      </c>
      <c r="BA235" s="190" t="str">
        <f t="shared" ca="1" si="195"/>
        <v/>
      </c>
      <c r="BB235" s="190" t="str">
        <f t="shared" ca="1" si="148"/>
        <v/>
      </c>
      <c r="BC235" s="190"/>
      <c r="BD235" s="190" t="str">
        <f ca="1">IFERROR(IF(AND($B235&gt;=($F$16-$F$15),$B235&lt;$F$22+($F$16-$F$15)),SUM(OFFSET($T$100,($F$16-$F$15),0):$T235),""),"")</f>
        <v/>
      </c>
      <c r="BE235" s="190" t="str">
        <f t="shared" ca="1" si="220"/>
        <v/>
      </c>
      <c r="BF235" s="190" t="str">
        <f t="shared" ca="1" si="221"/>
        <v/>
      </c>
      <c r="BG235"/>
      <c r="BH235" s="190" t="str">
        <f ca="1">IF(ISNUMBER(OFFSET(BD235,-$F$21,0)),SUM(OFFSET($T$100,($F$16-$F$15+$F$21),0):$T235),"")</f>
        <v/>
      </c>
      <c r="BI235" s="190" t="str">
        <f t="shared" ca="1" si="196"/>
        <v/>
      </c>
      <c r="BJ235" s="190" t="str">
        <f t="shared" ca="1" si="222"/>
        <v/>
      </c>
      <c r="BK235" s="190"/>
      <c r="BL235" s="190" t="str">
        <f ca="1">IFERROR(IF(AND($B235&gt;=($F$17-$F$15),$B235&lt;$F$22+($F$17-$F$15)),SUM(OFFSET($T$100,($F$17-$F$15),0):$T235),""),"")</f>
        <v/>
      </c>
      <c r="BM235" s="190" t="str">
        <f t="shared" ca="1" si="197"/>
        <v/>
      </c>
      <c r="BN235" s="190" t="str">
        <f t="shared" ca="1" si="223"/>
        <v/>
      </c>
      <c r="BO235"/>
      <c r="BP235" s="190" t="str">
        <f ca="1">IF(ISNUMBER(OFFSET(BL235,-$F$21,0)),SUM(OFFSET($T$100,($F$17-$F$15+$F$21),0):$T235),"")</f>
        <v/>
      </c>
      <c r="BQ235" s="190" t="str">
        <f t="shared" ca="1" si="198"/>
        <v/>
      </c>
      <c r="BR235" s="190" t="str">
        <f t="shared" ca="1" si="224"/>
        <v/>
      </c>
      <c r="BS235" s="190"/>
      <c r="BT235"/>
      <c r="BU235"/>
      <c r="BV235"/>
      <c r="BY235" s="99"/>
      <c r="BZ235" s="99"/>
      <c r="CA235" s="280" t="str">
        <f t="shared" si="199"/>
        <v/>
      </c>
      <c r="CB235" s="71" t="str">
        <f t="shared" si="200"/>
        <v>-</v>
      </c>
      <c r="CC235" s="33"/>
      <c r="CD235" s="261" t="str">
        <f t="shared" si="201"/>
        <v/>
      </c>
      <c r="CE235" s="280" t="str">
        <f t="shared" si="202"/>
        <v>-</v>
      </c>
      <c r="CF235" s="71" t="str">
        <f t="shared" ca="1" si="203"/>
        <v>-</v>
      </c>
      <c r="CG235" s="33" t="str">
        <f t="shared" si="204"/>
        <v>135-136</v>
      </c>
      <c r="CH235" s="261" t="str">
        <f t="shared" ca="1" si="205"/>
        <v/>
      </c>
    </row>
    <row r="236" spans="2:86" ht="13.5" customHeight="1" x14ac:dyDescent="0.2">
      <c r="B236" s="262">
        <v>136</v>
      </c>
      <c r="C236" s="237" t="str">
        <f t="shared" si="169"/>
        <v/>
      </c>
      <c r="D236" s="237" t="str">
        <f t="shared" si="225"/>
        <v>-</v>
      </c>
      <c r="E236" s="263" t="str">
        <f t="shared" si="206"/>
        <v/>
      </c>
      <c r="F236" s="264" t="str">
        <f t="shared" si="207"/>
        <v/>
      </c>
      <c r="G236" s="264" t="str">
        <f t="shared" si="208"/>
        <v/>
      </c>
      <c r="H236" s="240" t="str">
        <f t="shared" si="170"/>
        <v/>
      </c>
      <c r="I236" s="265" t="str">
        <f t="shared" si="171"/>
        <v/>
      </c>
      <c r="J236" s="265" t="str">
        <f t="shared" si="172"/>
        <v/>
      </c>
      <c r="K236" s="240" t="str">
        <f t="shared" si="173"/>
        <v/>
      </c>
      <c r="L236" s="265" t="str">
        <f t="shared" si="174"/>
        <v/>
      </c>
      <c r="M236" s="265" t="str">
        <f t="shared" si="175"/>
        <v/>
      </c>
      <c r="N236" s="240" t="str">
        <f t="shared" si="176"/>
        <v>-</v>
      </c>
      <c r="O236" s="265" t="str">
        <f t="shared" si="177"/>
        <v>-</v>
      </c>
      <c r="P236" s="265" t="str">
        <f t="shared" si="178"/>
        <v>-</v>
      </c>
      <c r="Q236" s="266" t="str">
        <f t="shared" si="179"/>
        <v>-</v>
      </c>
      <c r="R236" s="267" t="str">
        <f t="shared" si="180"/>
        <v>-</v>
      </c>
      <c r="S236" s="268" t="str">
        <f t="shared" si="181"/>
        <v>-</v>
      </c>
      <c r="T236" s="269" t="str">
        <f t="shared" si="182"/>
        <v/>
      </c>
      <c r="U236" s="221">
        <f t="shared" si="183"/>
        <v>136</v>
      </c>
      <c r="V236" s="220" t="str">
        <f t="shared" si="209"/>
        <v>-</v>
      </c>
      <c r="W236" s="221" t="str">
        <f t="shared" si="210"/>
        <v>-</v>
      </c>
      <c r="X236" s="221" t="str">
        <f t="shared" si="184"/>
        <v>-</v>
      </c>
      <c r="Y236" s="221" t="str">
        <f t="shared" si="185"/>
        <v>-</v>
      </c>
      <c r="Z236" s="270">
        <f t="shared" si="211"/>
        <v>0.1</v>
      </c>
      <c r="AA236" s="271" t="str">
        <f>IFERROR(IF(V235=1,AA$100*EXP(-(LN(2)/$D$65+0.04)*X235)*EXP(-(LN(2)/$D$65+0.1)*Y235),IF(V235=2,AA$100*EXP(-(LN(2)/$D$65+0.04)*(VLOOKUP(($F$16-$F$15)-1,U$99:Y235,4,FALSE)))*EXP(-(LN(2)/$D$65+0.1)*(VLOOKUP(($F$16-$F$15)-1,U$99:Y235,5,FALSE)))*EXP(-(LN(2)/$D$65+0.04)*X235)*EXP(-(LN(2)/$D$65+0.1)*Y235),IF(V235=3,AA$100*EXP(-(LN(2)/$D$65+0.04)*(VLOOKUP(($F$16-$F$15)-1,U$99:Y235,4,FALSE)))*EXP(-(LN(2)/$D$65+0.1)*(VLOOKUP(($F$16-$F$15)-1,U$99:Y235,5,FALSE)))*EXP(-(LN(2)/$D$65+0.04)*(VLOOKUP(($F$16-$F$15)*2-1,U$99:Y235,4,FALSE)))*EXP(-(LN(2)/$D$65+0.1)*(VLOOKUP(($F$16-$F$15)*2-1,U$99:Y235,5,FALSE)))*EXP(-(LN(2)/$D$65+0.04)*X235)*EXP(-(LN(2)/$D$65+0.1)*Y235),"-"))),"-")</f>
        <v>-</v>
      </c>
      <c r="AB236" s="271" t="str">
        <f>IFERROR(IF(V236=1,AB$100*EXP(-(LN(2)/$D$65+0.04)*X236)*EXP(-(LN(2)/$D$65+0.1)*Y236),IF(V236=2,AB$100*EXP(-(LN(2)/$D$65+0.04)*(VLOOKUP(($F$16-$F$15)-1,U$100:Y236,4,FALSE)))*EXP(-(LN(2)/$D$65+0.1)*(VLOOKUP(($F$16-$F$15)-1,U$100:Y236,5,FALSE)))*EXP(-(LN(2)/$D$65+0.04)*X236)*EXP(-(LN(2)/$D$65+0.1)*Y236),IF(V236=3,AB$100*EXP(-(LN(2)/$D$65+0.04)*(VLOOKUP(($F$16-$F$15)-1,U$100:Y236,4,FALSE)))*EXP(-(LN(2)/$D$65+0.1)*(VLOOKUP(($F$16-$F$15)-1,U$100:Y236,5,FALSE)))*EXP(-(LN(2)/$D$65+0.04)*(VLOOKUP(($F$16-$F$15)*2-1,U$100:Y236,4,FALSE)))*EXP(-(LN(2)/$D$65+0.1)*(VLOOKUP(($F$16-$F$15)*2-1,U$100:Y236,5,FALSE)))*EXP(-(LN(2)/$D$65+0.04)*X236)*EXP(-(LN(2)/$D$65+0.1)*Y236),"-"))),"-")</f>
        <v>-</v>
      </c>
      <c r="AC236" s="224">
        <f t="shared" si="212"/>
        <v>136</v>
      </c>
      <c r="AD236" s="223" t="str">
        <f t="shared" si="186"/>
        <v>-</v>
      </c>
      <c r="AE236" s="224" t="str">
        <f t="shared" si="213"/>
        <v>-</v>
      </c>
      <c r="AF236" s="224" t="str">
        <f t="shared" si="187"/>
        <v>-</v>
      </c>
      <c r="AG236" s="224" t="str">
        <f t="shared" si="188"/>
        <v>-</v>
      </c>
      <c r="AH236" s="272">
        <f t="shared" si="214"/>
        <v>0.1</v>
      </c>
      <c r="AI236" s="271" t="str">
        <f>IFERROR(IF(AD235=1,AI$100*EXP(-(LN(2)/$D$65+0.04)*AF235)*EXP(-(LN(2)/$D$65+0.1)*AG235),IF(AD235=2,AI$100*EXP(-(LN(2)/$D$65+0.04)*(VLOOKUP(($F$16-$F$15)-1,AC$99:AG235,4,FALSE)))*EXP(-(LN(2)/$D$65+0.1)*(VLOOKUP(($F$16-$F$15)-1,AC$99:AG235,5,FALSE)))*EXP(-(LN(2)/$D$65+0.04)*AF235)*EXP(-(LN(2)/$D$65+0.1)*AG235),IF(AD235=3,AI$100*EXP(-(LN(2)/$D$65+0.04)*(VLOOKUP(($F$16-$F$15)-1,AC$99:AG235,4,FALSE)))*EXP(-(LN(2)/$D$65+0.1)*(VLOOKUP(($F$16-$F$15)-1,AC$99:AG235,5,FALSE)))*EXP(-(LN(2)/$D$65+0.04)*(VLOOKUP(($F$16-$F$15)*2-1,AC$99:AG235,4,FALSE)))*EXP(-(LN(2)/$D$65+0.1)*(VLOOKUP(($F$16-$F$15)*2-1,AC$99:AG235,5,FALSE)))*EXP(-(LN(2)/$D$65+0.04)*AF235)*EXP(-(LN(2)/$D$65+0.1)*AG235),"-"))),"-")</f>
        <v>-</v>
      </c>
      <c r="AJ236" s="271" t="str">
        <f>IFERROR(IF(AD236=1,AJ$100*EXP(-(LN(2)/$D$65+0.04)*AF236)*EXP(-(LN(2)/$D$65+0.1)*AG236),IF(AD236=2,AJ$100*EXP(-(LN(2)/$D$65+0.04)*(VLOOKUP(($F$16-$F$15)-1,AC$100:AG236,4,FALSE)))*EXP(-(LN(2)/$D$65+0.1)*(VLOOKUP(($F$16-$F$15)-1,AC$100:AG236,5,FALSE)))*EXP(-(LN(2)/$D$65+0.04)*AF236)*EXP(-(LN(2)/$D$65+0.1)*AG236),IF(AD236=3,AJ$100*EXP(-(LN(2)/$D$65+0.04)*(VLOOKUP(($F$16-$F$15)-1,AC$100:AG236,4,FALSE)))*EXP(-(LN(2)/$D$65+0.1)*(VLOOKUP(($F$16-$F$15)-1,AC$100:AG236,5,FALSE)))*EXP(-(LN(2)/$D$65+0.04)*(VLOOKUP(($F$16-$F$15)*2-1,AC$100:AG236,4,FALSE)))*EXP(-(LN(2)/$D$65+0.1)*(VLOOKUP(($F$16-$F$15)*2-1,AC$100:AG236,5,FALSE)))*EXP(-(LN(2)/$D$65+0.04)*AF236)*EXP(-(LN(2)/$D$65+0.1)*AG236),"-"))),"-")</f>
        <v>-</v>
      </c>
      <c r="AK236" s="227">
        <f t="shared" si="215"/>
        <v>136</v>
      </c>
      <c r="AL236" s="226" t="str">
        <f t="shared" si="189"/>
        <v>-</v>
      </c>
      <c r="AM236" s="227" t="str">
        <f t="shared" si="216"/>
        <v>-</v>
      </c>
      <c r="AN236" s="227" t="str">
        <f t="shared" si="217"/>
        <v>-</v>
      </c>
      <c r="AO236" s="227" t="str">
        <f t="shared" si="190"/>
        <v>-</v>
      </c>
      <c r="AP236" s="273">
        <f t="shared" si="218"/>
        <v>0.1</v>
      </c>
      <c r="AQ236" s="271" t="str">
        <f>IFERROR(IF(AL235=1,AQ$100*EXP(-(LN(2)/$D$65+0.04)*AN235)*EXP(-(LN(2)/$D$65+0.1)*AO235),IF(AL235=2,AQ$100*EXP(-(LN(2)/$D$65+0.04)*(VLOOKUP(($F$16-$F$15)-1,AK$99:AO235,4,FALSE)))*EXP(-(LN(2)/$D$65+0.1)*(VLOOKUP(($F$16-$F$15)-1,AK$99:AO235,5,FALSE)))*EXP(-(LN(2)/$D$65+0.04)*AN235)*EXP(-(LN(2)/$D$65+0.1)*AO235),IF(AL235=3,AQ$100*EXP(-(LN(2)/$D$65+0.04)*(VLOOKUP(($F$16-$F$15)-1,AK$99:AO235,4,FALSE)))*EXP(-(LN(2)/$D$65+0.1)*(VLOOKUP(($F$16-$F$15)-1,AK$99:AO235,5,FALSE)))*EXP(-(LN(2)/$D$65+0.04)*(VLOOKUP(($F$16-$F$15)*2-1,AK$99:AO235,4,FALSE)))*EXP(-(LN(2)/$D$65+0.1)*(VLOOKUP(($F$16-$F$15)*2-1,AK$99:AO235,5,FALSE)))*EXP(-(LN(2)/$D$65+0.04)*AN235)*EXP(-(LN(2)/$D$65+0.1)*AO235),"-"))),"-")</f>
        <v>-</v>
      </c>
      <c r="AR236" s="271" t="str">
        <f>IFERROR(IF(AL236=1,AR$100*EXP(-(LN(2)/$D$65+0.04)*AN236)*EXP(-(LN(2)/$D$65+0.1)*AO236),IF(AL236=2,AR$100*EXP(-(LN(2)/$D$65+0.04)*(VLOOKUP(($F$16-$F$15)-1,AK$100:AO236,4,FALSE)))*EXP(-(LN(2)/$D$65+0.1)*(VLOOKUP(($F$16-$F$15)-1,AK$100:AO236,5,FALSE)))*EXP(-(LN(2)/$D$65+0.04)*AN236)*EXP(-(LN(2)/$D$65+0.1)*AO236),IF(AL236=3,AR$100*EXP(-(LN(2)/$D$65+0.04)*(VLOOKUP(($F$16-$F$15)-1,AK$100:AO236,4,FALSE)))*EXP(-(LN(2)/$D$65+0.1)*(VLOOKUP(($F$16-$F$15)-1,AK$100:AO236,5,FALSE)))*EXP(-(LN(2)/$D$65+0.04)*(VLOOKUP(($F$16-$F$15)*2-1,AK$100:AO236,4,FALSE)))*EXP(-(LN(2)/$D$65+0.1)*(VLOOKUP(($F$16-$F$15)*2-1,AK$100:AO236,5,FALSE)))*EXP(-(LN(2)/$D$65+0.04)*AN236)*EXP(-(LN(2)/$D$65+0.1)*AO236),"-"))),"-")</f>
        <v>-</v>
      </c>
      <c r="AS236" s="274">
        <f t="shared" si="191"/>
        <v>0</v>
      </c>
      <c r="AT236" s="274">
        <f t="shared" si="192"/>
        <v>0</v>
      </c>
      <c r="AU236" s="274">
        <f t="shared" si="193"/>
        <v>0</v>
      </c>
      <c r="AV236" s="190">
        <f>IF($B236&lt;$F$22,SUM($T$100:$T236),"")</f>
        <v>0</v>
      </c>
      <c r="AW236" s="190" t="str">
        <f t="shared" si="194"/>
        <v>-</v>
      </c>
      <c r="AX236" s="190" t="str">
        <f t="shared" si="219"/>
        <v/>
      </c>
      <c r="AY236"/>
      <c r="AZ236" s="190" t="str">
        <f ca="1">IF(ISNUMBER(OFFSET(AV236,-$F$21,0)),SUM(OFFSET($T$100,$F$21,0):$T236),"")</f>
        <v/>
      </c>
      <c r="BA236" s="190" t="str">
        <f t="shared" ca="1" si="195"/>
        <v/>
      </c>
      <c r="BB236" s="190" t="str">
        <f t="shared" ca="1" si="148"/>
        <v/>
      </c>
      <c r="BC236" s="190"/>
      <c r="BD236" s="190" t="str">
        <f ca="1">IFERROR(IF(AND($B236&gt;=($F$16-$F$15),$B236&lt;$F$22+($F$16-$F$15)),SUM(OFFSET($T$100,($F$16-$F$15),0):$T236),""),"")</f>
        <v/>
      </c>
      <c r="BE236" s="190" t="str">
        <f t="shared" ca="1" si="220"/>
        <v/>
      </c>
      <c r="BF236" s="190" t="str">
        <f t="shared" ca="1" si="221"/>
        <v/>
      </c>
      <c r="BG236"/>
      <c r="BH236" s="190" t="str">
        <f ca="1">IF(ISNUMBER(OFFSET(BD236,-$F$21,0)),SUM(OFFSET($T$100,($F$16-$F$15+$F$21),0):$T236),"")</f>
        <v/>
      </c>
      <c r="BI236" s="190" t="str">
        <f t="shared" ca="1" si="196"/>
        <v/>
      </c>
      <c r="BJ236" s="190" t="str">
        <f t="shared" ca="1" si="222"/>
        <v/>
      </c>
      <c r="BK236" s="190"/>
      <c r="BL236" s="190" t="str">
        <f ca="1">IFERROR(IF(AND($B236&gt;=($F$17-$F$15),$B236&lt;$F$22+($F$17-$F$15)),SUM(OFFSET($T$100,($F$17-$F$15),0):$T236),""),"")</f>
        <v/>
      </c>
      <c r="BM236" s="190" t="str">
        <f t="shared" ca="1" si="197"/>
        <v/>
      </c>
      <c r="BN236" s="190" t="str">
        <f t="shared" ca="1" si="223"/>
        <v/>
      </c>
      <c r="BO236"/>
      <c r="BP236" s="190" t="str">
        <f ca="1">IF(ISNUMBER(OFFSET(BL236,-$F$21,0)),SUM(OFFSET($T$100,($F$17-$F$15+$F$21),0):$T236),"")</f>
        <v/>
      </c>
      <c r="BQ236" s="190" t="str">
        <f t="shared" ca="1" si="198"/>
        <v/>
      </c>
      <c r="BR236" s="190" t="str">
        <f t="shared" ca="1" si="224"/>
        <v/>
      </c>
      <c r="BS236" s="190"/>
      <c r="BT236"/>
      <c r="BU236"/>
      <c r="BV236"/>
      <c r="BY236" s="99"/>
      <c r="BZ236" s="99"/>
      <c r="CA236" s="280" t="str">
        <f t="shared" si="199"/>
        <v/>
      </c>
      <c r="CB236" s="71" t="str">
        <f t="shared" si="200"/>
        <v>-</v>
      </c>
      <c r="CC236" s="33"/>
      <c r="CD236" s="261" t="str">
        <f t="shared" si="201"/>
        <v/>
      </c>
      <c r="CE236" s="280" t="str">
        <f t="shared" si="202"/>
        <v>-</v>
      </c>
      <c r="CF236" s="71" t="str">
        <f t="shared" ca="1" si="203"/>
        <v>-</v>
      </c>
      <c r="CG236" s="33" t="str">
        <f t="shared" si="204"/>
        <v>136-137</v>
      </c>
      <c r="CH236" s="261" t="str">
        <f t="shared" ca="1" si="205"/>
        <v/>
      </c>
    </row>
    <row r="237" spans="2:86" ht="13.5" customHeight="1" x14ac:dyDescent="0.2">
      <c r="B237" s="262">
        <v>137</v>
      </c>
      <c r="C237" s="237" t="str">
        <f t="shared" si="169"/>
        <v/>
      </c>
      <c r="D237" s="237" t="str">
        <f t="shared" si="225"/>
        <v>-</v>
      </c>
      <c r="E237" s="263" t="str">
        <f t="shared" si="206"/>
        <v/>
      </c>
      <c r="F237" s="264" t="str">
        <f t="shared" si="207"/>
        <v/>
      </c>
      <c r="G237" s="264" t="str">
        <f t="shared" si="208"/>
        <v/>
      </c>
      <c r="H237" s="240" t="str">
        <f t="shared" si="170"/>
        <v/>
      </c>
      <c r="I237" s="265" t="str">
        <f t="shared" si="171"/>
        <v/>
      </c>
      <c r="J237" s="265" t="str">
        <f t="shared" si="172"/>
        <v/>
      </c>
      <c r="K237" s="240" t="str">
        <f t="shared" si="173"/>
        <v/>
      </c>
      <c r="L237" s="265" t="str">
        <f t="shared" si="174"/>
        <v/>
      </c>
      <c r="M237" s="265" t="str">
        <f t="shared" si="175"/>
        <v/>
      </c>
      <c r="N237" s="240" t="str">
        <f t="shared" si="176"/>
        <v>-</v>
      </c>
      <c r="O237" s="265" t="str">
        <f t="shared" si="177"/>
        <v>-</v>
      </c>
      <c r="P237" s="265" t="str">
        <f t="shared" si="178"/>
        <v>-</v>
      </c>
      <c r="Q237" s="266" t="str">
        <f t="shared" si="179"/>
        <v>-</v>
      </c>
      <c r="R237" s="267" t="str">
        <f t="shared" si="180"/>
        <v>-</v>
      </c>
      <c r="S237" s="268" t="str">
        <f t="shared" si="181"/>
        <v>-</v>
      </c>
      <c r="T237" s="269" t="str">
        <f t="shared" si="182"/>
        <v/>
      </c>
      <c r="U237" s="221">
        <f t="shared" si="183"/>
        <v>137</v>
      </c>
      <c r="V237" s="220" t="str">
        <f t="shared" si="209"/>
        <v>-</v>
      </c>
      <c r="W237" s="221" t="str">
        <f t="shared" si="210"/>
        <v>-</v>
      </c>
      <c r="X237" s="221" t="str">
        <f t="shared" si="184"/>
        <v>-</v>
      </c>
      <c r="Y237" s="221" t="str">
        <f t="shared" si="185"/>
        <v>-</v>
      </c>
      <c r="Z237" s="270">
        <f t="shared" si="211"/>
        <v>0.1</v>
      </c>
      <c r="AA237" s="271" t="str">
        <f>IFERROR(IF(V236=1,AA$100*EXP(-(LN(2)/$D$65+0.04)*X236)*EXP(-(LN(2)/$D$65+0.1)*Y236),IF(V236=2,AA$100*EXP(-(LN(2)/$D$65+0.04)*(VLOOKUP(($F$16-$F$15)-1,U$99:Y236,4,FALSE)))*EXP(-(LN(2)/$D$65+0.1)*(VLOOKUP(($F$16-$F$15)-1,U$99:Y236,5,FALSE)))*EXP(-(LN(2)/$D$65+0.04)*X236)*EXP(-(LN(2)/$D$65+0.1)*Y236),IF(V236=3,AA$100*EXP(-(LN(2)/$D$65+0.04)*(VLOOKUP(($F$16-$F$15)-1,U$99:Y236,4,FALSE)))*EXP(-(LN(2)/$D$65+0.1)*(VLOOKUP(($F$16-$F$15)-1,U$99:Y236,5,FALSE)))*EXP(-(LN(2)/$D$65+0.04)*(VLOOKUP(($F$16-$F$15)*2-1,U$99:Y236,4,FALSE)))*EXP(-(LN(2)/$D$65+0.1)*(VLOOKUP(($F$16-$F$15)*2-1,U$99:Y236,5,FALSE)))*EXP(-(LN(2)/$D$65+0.04)*X236)*EXP(-(LN(2)/$D$65+0.1)*Y236),"-"))),"-")</f>
        <v>-</v>
      </c>
      <c r="AB237" s="271" t="str">
        <f>IFERROR(IF(V237=1,AB$100*EXP(-(LN(2)/$D$65+0.04)*X237)*EXP(-(LN(2)/$D$65+0.1)*Y237),IF(V237=2,AB$100*EXP(-(LN(2)/$D$65+0.04)*(VLOOKUP(($F$16-$F$15)-1,U$100:Y237,4,FALSE)))*EXP(-(LN(2)/$D$65+0.1)*(VLOOKUP(($F$16-$F$15)-1,U$100:Y237,5,FALSE)))*EXP(-(LN(2)/$D$65+0.04)*X237)*EXP(-(LN(2)/$D$65+0.1)*Y237),IF(V237=3,AB$100*EXP(-(LN(2)/$D$65+0.04)*(VLOOKUP(($F$16-$F$15)-1,U$100:Y237,4,FALSE)))*EXP(-(LN(2)/$D$65+0.1)*(VLOOKUP(($F$16-$F$15)-1,U$100:Y237,5,FALSE)))*EXP(-(LN(2)/$D$65+0.04)*(VLOOKUP(($F$16-$F$15)*2-1,U$100:Y237,4,FALSE)))*EXP(-(LN(2)/$D$65+0.1)*(VLOOKUP(($F$16-$F$15)*2-1,U$100:Y237,5,FALSE)))*EXP(-(LN(2)/$D$65+0.04)*X237)*EXP(-(LN(2)/$D$65+0.1)*Y237),"-"))),"-")</f>
        <v>-</v>
      </c>
      <c r="AC237" s="224">
        <f t="shared" si="212"/>
        <v>137</v>
      </c>
      <c r="AD237" s="223" t="str">
        <f t="shared" si="186"/>
        <v>-</v>
      </c>
      <c r="AE237" s="224" t="str">
        <f t="shared" si="213"/>
        <v>-</v>
      </c>
      <c r="AF237" s="224" t="str">
        <f t="shared" si="187"/>
        <v>-</v>
      </c>
      <c r="AG237" s="224" t="str">
        <f t="shared" si="188"/>
        <v>-</v>
      </c>
      <c r="AH237" s="272">
        <f t="shared" si="214"/>
        <v>0.1</v>
      </c>
      <c r="AI237" s="271" t="str">
        <f>IFERROR(IF(AD236=1,AI$100*EXP(-(LN(2)/$D$65+0.04)*AF236)*EXP(-(LN(2)/$D$65+0.1)*AG236),IF(AD236=2,AI$100*EXP(-(LN(2)/$D$65+0.04)*(VLOOKUP(($F$16-$F$15)-1,AC$99:AG236,4,FALSE)))*EXP(-(LN(2)/$D$65+0.1)*(VLOOKUP(($F$16-$F$15)-1,AC$99:AG236,5,FALSE)))*EXP(-(LN(2)/$D$65+0.04)*AF236)*EXP(-(LN(2)/$D$65+0.1)*AG236),IF(AD236=3,AI$100*EXP(-(LN(2)/$D$65+0.04)*(VLOOKUP(($F$16-$F$15)-1,AC$99:AG236,4,FALSE)))*EXP(-(LN(2)/$D$65+0.1)*(VLOOKUP(($F$16-$F$15)-1,AC$99:AG236,5,FALSE)))*EXP(-(LN(2)/$D$65+0.04)*(VLOOKUP(($F$16-$F$15)*2-1,AC$99:AG236,4,FALSE)))*EXP(-(LN(2)/$D$65+0.1)*(VLOOKUP(($F$16-$F$15)*2-1,AC$99:AG236,5,FALSE)))*EXP(-(LN(2)/$D$65+0.04)*AF236)*EXP(-(LN(2)/$D$65+0.1)*AG236),"-"))),"-")</f>
        <v>-</v>
      </c>
      <c r="AJ237" s="271" t="str">
        <f>IFERROR(IF(AD237=1,AJ$100*EXP(-(LN(2)/$D$65+0.04)*AF237)*EXP(-(LN(2)/$D$65+0.1)*AG237),IF(AD237=2,AJ$100*EXP(-(LN(2)/$D$65+0.04)*(VLOOKUP(($F$16-$F$15)-1,AC$100:AG237,4,FALSE)))*EXP(-(LN(2)/$D$65+0.1)*(VLOOKUP(($F$16-$F$15)-1,AC$100:AG237,5,FALSE)))*EXP(-(LN(2)/$D$65+0.04)*AF237)*EXP(-(LN(2)/$D$65+0.1)*AG237),IF(AD237=3,AJ$100*EXP(-(LN(2)/$D$65+0.04)*(VLOOKUP(($F$16-$F$15)-1,AC$100:AG237,4,FALSE)))*EXP(-(LN(2)/$D$65+0.1)*(VLOOKUP(($F$16-$F$15)-1,AC$100:AG237,5,FALSE)))*EXP(-(LN(2)/$D$65+0.04)*(VLOOKUP(($F$16-$F$15)*2-1,AC$100:AG237,4,FALSE)))*EXP(-(LN(2)/$D$65+0.1)*(VLOOKUP(($F$16-$F$15)*2-1,AC$100:AG237,5,FALSE)))*EXP(-(LN(2)/$D$65+0.04)*AF237)*EXP(-(LN(2)/$D$65+0.1)*AG237),"-"))),"-")</f>
        <v>-</v>
      </c>
      <c r="AK237" s="227">
        <f t="shared" si="215"/>
        <v>137</v>
      </c>
      <c r="AL237" s="226" t="str">
        <f t="shared" si="189"/>
        <v>-</v>
      </c>
      <c r="AM237" s="227" t="str">
        <f t="shared" si="216"/>
        <v>-</v>
      </c>
      <c r="AN237" s="227" t="str">
        <f t="shared" si="217"/>
        <v>-</v>
      </c>
      <c r="AO237" s="227" t="str">
        <f t="shared" si="190"/>
        <v>-</v>
      </c>
      <c r="AP237" s="273">
        <f t="shared" si="218"/>
        <v>0.1</v>
      </c>
      <c r="AQ237" s="271" t="str">
        <f>IFERROR(IF(AL236=1,AQ$100*EXP(-(LN(2)/$D$65+0.04)*AN236)*EXP(-(LN(2)/$D$65+0.1)*AO236),IF(AL236=2,AQ$100*EXP(-(LN(2)/$D$65+0.04)*(VLOOKUP(($F$16-$F$15)-1,AK$99:AO236,4,FALSE)))*EXP(-(LN(2)/$D$65+0.1)*(VLOOKUP(($F$16-$F$15)-1,AK$99:AO236,5,FALSE)))*EXP(-(LN(2)/$D$65+0.04)*AN236)*EXP(-(LN(2)/$D$65+0.1)*AO236),IF(AL236=3,AQ$100*EXP(-(LN(2)/$D$65+0.04)*(VLOOKUP(($F$16-$F$15)-1,AK$99:AO236,4,FALSE)))*EXP(-(LN(2)/$D$65+0.1)*(VLOOKUP(($F$16-$F$15)-1,AK$99:AO236,5,FALSE)))*EXP(-(LN(2)/$D$65+0.04)*(VLOOKUP(($F$16-$F$15)*2-1,AK$99:AO236,4,FALSE)))*EXP(-(LN(2)/$D$65+0.1)*(VLOOKUP(($F$16-$F$15)*2-1,AK$99:AO236,5,FALSE)))*EXP(-(LN(2)/$D$65+0.04)*AN236)*EXP(-(LN(2)/$D$65+0.1)*AO236),"-"))),"-")</f>
        <v>-</v>
      </c>
      <c r="AR237" s="271" t="str">
        <f>IFERROR(IF(AL237=1,AR$100*EXP(-(LN(2)/$D$65+0.04)*AN237)*EXP(-(LN(2)/$D$65+0.1)*AO237),IF(AL237=2,AR$100*EXP(-(LN(2)/$D$65+0.04)*(VLOOKUP(($F$16-$F$15)-1,AK$100:AO237,4,FALSE)))*EXP(-(LN(2)/$D$65+0.1)*(VLOOKUP(($F$16-$F$15)-1,AK$100:AO237,5,FALSE)))*EXP(-(LN(2)/$D$65+0.04)*AN237)*EXP(-(LN(2)/$D$65+0.1)*AO237),IF(AL237=3,AR$100*EXP(-(LN(2)/$D$65+0.04)*(VLOOKUP(($F$16-$F$15)-1,AK$100:AO237,4,FALSE)))*EXP(-(LN(2)/$D$65+0.1)*(VLOOKUP(($F$16-$F$15)-1,AK$100:AO237,5,FALSE)))*EXP(-(LN(2)/$D$65+0.04)*(VLOOKUP(($F$16-$F$15)*2-1,AK$100:AO237,4,FALSE)))*EXP(-(LN(2)/$D$65+0.1)*(VLOOKUP(($F$16-$F$15)*2-1,AK$100:AO237,5,FALSE)))*EXP(-(LN(2)/$D$65+0.04)*AN237)*EXP(-(LN(2)/$D$65+0.1)*AO237),"-"))),"-")</f>
        <v>-</v>
      </c>
      <c r="AS237" s="274">
        <f t="shared" si="191"/>
        <v>0</v>
      </c>
      <c r="AT237" s="274">
        <f t="shared" si="192"/>
        <v>0</v>
      </c>
      <c r="AU237" s="274">
        <f t="shared" si="193"/>
        <v>0</v>
      </c>
      <c r="AV237" s="190">
        <f>IF($B237&lt;$F$22,SUM($T$100:$T237),"")</f>
        <v>0</v>
      </c>
      <c r="AW237" s="190" t="str">
        <f t="shared" si="194"/>
        <v>-</v>
      </c>
      <c r="AX237" s="190" t="str">
        <f t="shared" si="219"/>
        <v/>
      </c>
      <c r="AY237"/>
      <c r="AZ237" s="190" t="str">
        <f ca="1">IF(ISNUMBER(OFFSET(AV237,-$F$21,0)),SUM(OFFSET($T$100,$F$21,0):$T237),"")</f>
        <v/>
      </c>
      <c r="BA237" s="190" t="str">
        <f t="shared" ca="1" si="195"/>
        <v/>
      </c>
      <c r="BB237" s="190" t="str">
        <f t="shared" ca="1" si="148"/>
        <v/>
      </c>
      <c r="BC237" s="190"/>
      <c r="BD237" s="190" t="str">
        <f ca="1">IFERROR(IF(AND($B237&gt;=($F$16-$F$15),$B237&lt;$F$22+($F$16-$F$15)),SUM(OFFSET($T$100,($F$16-$F$15),0):$T237),""),"")</f>
        <v/>
      </c>
      <c r="BE237" s="190" t="str">
        <f t="shared" ca="1" si="220"/>
        <v/>
      </c>
      <c r="BF237" s="190" t="str">
        <f t="shared" ca="1" si="221"/>
        <v/>
      </c>
      <c r="BG237"/>
      <c r="BH237" s="190" t="str">
        <f ca="1">IF(ISNUMBER(OFFSET(BD237,-$F$21,0)),SUM(OFFSET($T$100,($F$16-$F$15+$F$21),0):$T237),"")</f>
        <v/>
      </c>
      <c r="BI237" s="190" t="str">
        <f t="shared" ca="1" si="196"/>
        <v/>
      </c>
      <c r="BJ237" s="190" t="str">
        <f t="shared" ca="1" si="222"/>
        <v/>
      </c>
      <c r="BK237" s="190"/>
      <c r="BL237" s="190" t="str">
        <f ca="1">IFERROR(IF(AND($B237&gt;=($F$17-$F$15),$B237&lt;$F$22+($F$17-$F$15)),SUM(OFFSET($T$100,($F$17-$F$15),0):$T237),""),"")</f>
        <v/>
      </c>
      <c r="BM237" s="190" t="str">
        <f t="shared" ca="1" si="197"/>
        <v/>
      </c>
      <c r="BN237" s="190" t="str">
        <f t="shared" ca="1" si="223"/>
        <v/>
      </c>
      <c r="BO237"/>
      <c r="BP237" s="190" t="str">
        <f ca="1">IF(ISNUMBER(OFFSET(BL237,-$F$21,0)),SUM(OFFSET($T$100,($F$17-$F$15+$F$21),0):$T237),"")</f>
        <v/>
      </c>
      <c r="BQ237" s="190" t="str">
        <f t="shared" ca="1" si="198"/>
        <v/>
      </c>
      <c r="BR237" s="190" t="str">
        <f t="shared" ca="1" si="224"/>
        <v/>
      </c>
      <c r="BS237" s="190"/>
      <c r="BT237"/>
      <c r="BU237"/>
      <c r="BV237"/>
      <c r="BY237" s="99"/>
      <c r="BZ237" s="99"/>
      <c r="CA237" s="280" t="str">
        <f t="shared" si="199"/>
        <v/>
      </c>
      <c r="CB237" s="71" t="str">
        <f t="shared" si="200"/>
        <v>-</v>
      </c>
      <c r="CC237" s="33"/>
      <c r="CD237" s="261" t="str">
        <f t="shared" si="201"/>
        <v/>
      </c>
      <c r="CE237" s="280" t="str">
        <f t="shared" si="202"/>
        <v>-</v>
      </c>
      <c r="CF237" s="71" t="str">
        <f t="shared" ca="1" si="203"/>
        <v>-</v>
      </c>
      <c r="CG237" s="33" t="str">
        <f t="shared" si="204"/>
        <v>137-138</v>
      </c>
      <c r="CH237" s="261" t="str">
        <f t="shared" ca="1" si="205"/>
        <v/>
      </c>
    </row>
    <row r="238" spans="2:86" ht="13.5" customHeight="1" x14ac:dyDescent="0.2">
      <c r="B238" s="262">
        <v>138</v>
      </c>
      <c r="C238" s="237" t="str">
        <f t="shared" si="169"/>
        <v/>
      </c>
      <c r="D238" s="237" t="str">
        <f t="shared" si="225"/>
        <v>-</v>
      </c>
      <c r="E238" s="263" t="str">
        <f t="shared" si="206"/>
        <v/>
      </c>
      <c r="F238" s="264" t="str">
        <f t="shared" si="207"/>
        <v/>
      </c>
      <c r="G238" s="264" t="str">
        <f t="shared" si="208"/>
        <v/>
      </c>
      <c r="H238" s="240" t="str">
        <f t="shared" si="170"/>
        <v/>
      </c>
      <c r="I238" s="265" t="str">
        <f t="shared" si="171"/>
        <v/>
      </c>
      <c r="J238" s="265" t="str">
        <f t="shared" si="172"/>
        <v/>
      </c>
      <c r="K238" s="240" t="str">
        <f t="shared" si="173"/>
        <v/>
      </c>
      <c r="L238" s="265" t="str">
        <f t="shared" si="174"/>
        <v/>
      </c>
      <c r="M238" s="265" t="str">
        <f t="shared" si="175"/>
        <v/>
      </c>
      <c r="N238" s="240" t="str">
        <f t="shared" si="176"/>
        <v>-</v>
      </c>
      <c r="O238" s="265" t="str">
        <f t="shared" si="177"/>
        <v>-</v>
      </c>
      <c r="P238" s="265" t="str">
        <f t="shared" si="178"/>
        <v>-</v>
      </c>
      <c r="Q238" s="266" t="str">
        <f t="shared" si="179"/>
        <v>-</v>
      </c>
      <c r="R238" s="267" t="str">
        <f t="shared" si="180"/>
        <v>-</v>
      </c>
      <c r="S238" s="268" t="str">
        <f t="shared" si="181"/>
        <v>-</v>
      </c>
      <c r="T238" s="269" t="str">
        <f t="shared" si="182"/>
        <v/>
      </c>
      <c r="U238" s="221">
        <f t="shared" si="183"/>
        <v>138</v>
      </c>
      <c r="V238" s="220" t="str">
        <f t="shared" si="209"/>
        <v>-</v>
      </c>
      <c r="W238" s="221" t="str">
        <f t="shared" si="210"/>
        <v>-</v>
      </c>
      <c r="X238" s="221" t="str">
        <f t="shared" si="184"/>
        <v>-</v>
      </c>
      <c r="Y238" s="221" t="str">
        <f t="shared" si="185"/>
        <v>-</v>
      </c>
      <c r="Z238" s="270">
        <f t="shared" si="211"/>
        <v>0.1</v>
      </c>
      <c r="AA238" s="271" t="str">
        <f>IFERROR(IF(V237=1,AA$100*EXP(-(LN(2)/$D$65+0.04)*X237)*EXP(-(LN(2)/$D$65+0.1)*Y237),IF(V237=2,AA$100*EXP(-(LN(2)/$D$65+0.04)*(VLOOKUP(($F$16-$F$15)-1,U$99:Y237,4,FALSE)))*EXP(-(LN(2)/$D$65+0.1)*(VLOOKUP(($F$16-$F$15)-1,U$99:Y237,5,FALSE)))*EXP(-(LN(2)/$D$65+0.04)*X237)*EXP(-(LN(2)/$D$65+0.1)*Y237),IF(V237=3,AA$100*EXP(-(LN(2)/$D$65+0.04)*(VLOOKUP(($F$16-$F$15)-1,U$99:Y237,4,FALSE)))*EXP(-(LN(2)/$D$65+0.1)*(VLOOKUP(($F$16-$F$15)-1,U$99:Y237,5,FALSE)))*EXP(-(LN(2)/$D$65+0.04)*(VLOOKUP(($F$16-$F$15)*2-1,U$99:Y237,4,FALSE)))*EXP(-(LN(2)/$D$65+0.1)*(VLOOKUP(($F$16-$F$15)*2-1,U$99:Y237,5,FALSE)))*EXP(-(LN(2)/$D$65+0.04)*X237)*EXP(-(LN(2)/$D$65+0.1)*Y237),"-"))),"-")</f>
        <v>-</v>
      </c>
      <c r="AB238" s="271" t="str">
        <f>IFERROR(IF(V238=1,AB$100*EXP(-(LN(2)/$D$65+0.04)*X238)*EXP(-(LN(2)/$D$65+0.1)*Y238),IF(V238=2,AB$100*EXP(-(LN(2)/$D$65+0.04)*(VLOOKUP(($F$16-$F$15)-1,U$100:Y238,4,FALSE)))*EXP(-(LN(2)/$D$65+0.1)*(VLOOKUP(($F$16-$F$15)-1,U$100:Y238,5,FALSE)))*EXP(-(LN(2)/$D$65+0.04)*X238)*EXP(-(LN(2)/$D$65+0.1)*Y238),IF(V238=3,AB$100*EXP(-(LN(2)/$D$65+0.04)*(VLOOKUP(($F$16-$F$15)-1,U$100:Y238,4,FALSE)))*EXP(-(LN(2)/$D$65+0.1)*(VLOOKUP(($F$16-$F$15)-1,U$100:Y238,5,FALSE)))*EXP(-(LN(2)/$D$65+0.04)*(VLOOKUP(($F$16-$F$15)*2-1,U$100:Y238,4,FALSE)))*EXP(-(LN(2)/$D$65+0.1)*(VLOOKUP(($F$16-$F$15)*2-1,U$100:Y238,5,FALSE)))*EXP(-(LN(2)/$D$65+0.04)*X238)*EXP(-(LN(2)/$D$65+0.1)*Y238),"-"))),"-")</f>
        <v>-</v>
      </c>
      <c r="AC238" s="224">
        <f t="shared" si="212"/>
        <v>138</v>
      </c>
      <c r="AD238" s="223" t="str">
        <f t="shared" si="186"/>
        <v>-</v>
      </c>
      <c r="AE238" s="224" t="str">
        <f t="shared" si="213"/>
        <v>-</v>
      </c>
      <c r="AF238" s="224" t="str">
        <f t="shared" si="187"/>
        <v>-</v>
      </c>
      <c r="AG238" s="224" t="str">
        <f t="shared" si="188"/>
        <v>-</v>
      </c>
      <c r="AH238" s="272">
        <f t="shared" si="214"/>
        <v>0.1</v>
      </c>
      <c r="AI238" s="271" t="str">
        <f>IFERROR(IF(AD237=1,AI$100*EXP(-(LN(2)/$D$65+0.04)*AF237)*EXP(-(LN(2)/$D$65+0.1)*AG237),IF(AD237=2,AI$100*EXP(-(LN(2)/$D$65+0.04)*(VLOOKUP(($F$16-$F$15)-1,AC$99:AG237,4,FALSE)))*EXP(-(LN(2)/$D$65+0.1)*(VLOOKUP(($F$16-$F$15)-1,AC$99:AG237,5,FALSE)))*EXP(-(LN(2)/$D$65+0.04)*AF237)*EXP(-(LN(2)/$D$65+0.1)*AG237),IF(AD237=3,AI$100*EXP(-(LN(2)/$D$65+0.04)*(VLOOKUP(($F$16-$F$15)-1,AC$99:AG237,4,FALSE)))*EXP(-(LN(2)/$D$65+0.1)*(VLOOKUP(($F$16-$F$15)-1,AC$99:AG237,5,FALSE)))*EXP(-(LN(2)/$D$65+0.04)*(VLOOKUP(($F$16-$F$15)*2-1,AC$99:AG237,4,FALSE)))*EXP(-(LN(2)/$D$65+0.1)*(VLOOKUP(($F$16-$F$15)*2-1,AC$99:AG237,5,FALSE)))*EXP(-(LN(2)/$D$65+0.04)*AF237)*EXP(-(LN(2)/$D$65+0.1)*AG237),"-"))),"-")</f>
        <v>-</v>
      </c>
      <c r="AJ238" s="271" t="str">
        <f>IFERROR(IF(AD238=1,AJ$100*EXP(-(LN(2)/$D$65+0.04)*AF238)*EXP(-(LN(2)/$D$65+0.1)*AG238),IF(AD238=2,AJ$100*EXP(-(LN(2)/$D$65+0.04)*(VLOOKUP(($F$16-$F$15)-1,AC$100:AG238,4,FALSE)))*EXP(-(LN(2)/$D$65+0.1)*(VLOOKUP(($F$16-$F$15)-1,AC$100:AG238,5,FALSE)))*EXP(-(LN(2)/$D$65+0.04)*AF238)*EXP(-(LN(2)/$D$65+0.1)*AG238),IF(AD238=3,AJ$100*EXP(-(LN(2)/$D$65+0.04)*(VLOOKUP(($F$16-$F$15)-1,AC$100:AG238,4,FALSE)))*EXP(-(LN(2)/$D$65+0.1)*(VLOOKUP(($F$16-$F$15)-1,AC$100:AG238,5,FALSE)))*EXP(-(LN(2)/$D$65+0.04)*(VLOOKUP(($F$16-$F$15)*2-1,AC$100:AG238,4,FALSE)))*EXP(-(LN(2)/$D$65+0.1)*(VLOOKUP(($F$16-$F$15)*2-1,AC$100:AG238,5,FALSE)))*EXP(-(LN(2)/$D$65+0.04)*AF238)*EXP(-(LN(2)/$D$65+0.1)*AG238),"-"))),"-")</f>
        <v>-</v>
      </c>
      <c r="AK238" s="227">
        <f t="shared" si="215"/>
        <v>138</v>
      </c>
      <c r="AL238" s="226" t="str">
        <f t="shared" si="189"/>
        <v>-</v>
      </c>
      <c r="AM238" s="227" t="str">
        <f t="shared" si="216"/>
        <v>-</v>
      </c>
      <c r="AN238" s="227" t="str">
        <f t="shared" si="217"/>
        <v>-</v>
      </c>
      <c r="AO238" s="227" t="str">
        <f t="shared" si="190"/>
        <v>-</v>
      </c>
      <c r="AP238" s="273">
        <f t="shared" si="218"/>
        <v>0.1</v>
      </c>
      <c r="AQ238" s="271" t="str">
        <f>IFERROR(IF(AL237=1,AQ$100*EXP(-(LN(2)/$D$65+0.04)*AN237)*EXP(-(LN(2)/$D$65+0.1)*AO237),IF(AL237=2,AQ$100*EXP(-(LN(2)/$D$65+0.04)*(VLOOKUP(($F$16-$F$15)-1,AK$99:AO237,4,FALSE)))*EXP(-(LN(2)/$D$65+0.1)*(VLOOKUP(($F$16-$F$15)-1,AK$99:AO237,5,FALSE)))*EXP(-(LN(2)/$D$65+0.04)*AN237)*EXP(-(LN(2)/$D$65+0.1)*AO237),IF(AL237=3,AQ$100*EXP(-(LN(2)/$D$65+0.04)*(VLOOKUP(($F$16-$F$15)-1,AK$99:AO237,4,FALSE)))*EXP(-(LN(2)/$D$65+0.1)*(VLOOKUP(($F$16-$F$15)-1,AK$99:AO237,5,FALSE)))*EXP(-(LN(2)/$D$65+0.04)*(VLOOKUP(($F$16-$F$15)*2-1,AK$99:AO237,4,FALSE)))*EXP(-(LN(2)/$D$65+0.1)*(VLOOKUP(($F$16-$F$15)*2-1,AK$99:AO237,5,FALSE)))*EXP(-(LN(2)/$D$65+0.04)*AN237)*EXP(-(LN(2)/$D$65+0.1)*AO237),"-"))),"-")</f>
        <v>-</v>
      </c>
      <c r="AR238" s="271" t="str">
        <f>IFERROR(IF(AL238=1,AR$100*EXP(-(LN(2)/$D$65+0.04)*AN238)*EXP(-(LN(2)/$D$65+0.1)*AO238),IF(AL238=2,AR$100*EXP(-(LN(2)/$D$65+0.04)*(VLOOKUP(($F$16-$F$15)-1,AK$100:AO238,4,FALSE)))*EXP(-(LN(2)/$D$65+0.1)*(VLOOKUP(($F$16-$F$15)-1,AK$100:AO238,5,FALSE)))*EXP(-(LN(2)/$D$65+0.04)*AN238)*EXP(-(LN(2)/$D$65+0.1)*AO238),IF(AL238=3,AR$100*EXP(-(LN(2)/$D$65+0.04)*(VLOOKUP(($F$16-$F$15)-1,AK$100:AO238,4,FALSE)))*EXP(-(LN(2)/$D$65+0.1)*(VLOOKUP(($F$16-$F$15)-1,AK$100:AO238,5,FALSE)))*EXP(-(LN(2)/$D$65+0.04)*(VLOOKUP(($F$16-$F$15)*2-1,AK$100:AO238,4,FALSE)))*EXP(-(LN(2)/$D$65+0.1)*(VLOOKUP(($F$16-$F$15)*2-1,AK$100:AO238,5,FALSE)))*EXP(-(LN(2)/$D$65+0.04)*AN238)*EXP(-(LN(2)/$D$65+0.1)*AO238),"-"))),"-")</f>
        <v>-</v>
      </c>
      <c r="AS238" s="274">
        <f t="shared" si="191"/>
        <v>0</v>
      </c>
      <c r="AT238" s="274">
        <f t="shared" si="192"/>
        <v>0</v>
      </c>
      <c r="AU238" s="274">
        <f t="shared" si="193"/>
        <v>0</v>
      </c>
      <c r="AV238" s="190">
        <f>IF($B238&lt;$F$22,SUM($T$100:$T238),"")</f>
        <v>0</v>
      </c>
      <c r="AW238" s="190" t="str">
        <f t="shared" si="194"/>
        <v>-</v>
      </c>
      <c r="AX238" s="190" t="str">
        <f t="shared" si="219"/>
        <v/>
      </c>
      <c r="AY238"/>
      <c r="AZ238" s="190" t="str">
        <f ca="1">IF(ISNUMBER(OFFSET(AV238,-$F$21,0)),SUM(OFFSET($T$100,$F$21,0):$T238),"")</f>
        <v/>
      </c>
      <c r="BA238" s="190" t="str">
        <f t="shared" ca="1" si="195"/>
        <v/>
      </c>
      <c r="BB238" s="190" t="str">
        <f t="shared" ca="1" si="148"/>
        <v/>
      </c>
      <c r="BC238" s="190"/>
      <c r="BD238" s="190" t="str">
        <f ca="1">IFERROR(IF(AND($B238&gt;=($F$16-$F$15),$B238&lt;$F$22+($F$16-$F$15)),SUM(OFFSET($T$100,($F$16-$F$15),0):$T238),""),"")</f>
        <v/>
      </c>
      <c r="BE238" s="190" t="str">
        <f t="shared" ca="1" si="220"/>
        <v/>
      </c>
      <c r="BF238" s="190" t="str">
        <f t="shared" ca="1" si="221"/>
        <v/>
      </c>
      <c r="BG238"/>
      <c r="BH238" s="190" t="str">
        <f ca="1">IF(ISNUMBER(OFFSET(BD238,-$F$21,0)),SUM(OFFSET($T$100,($F$16-$F$15+$F$21),0):$T238),"")</f>
        <v/>
      </c>
      <c r="BI238" s="190" t="str">
        <f t="shared" ca="1" si="196"/>
        <v/>
      </c>
      <c r="BJ238" s="190" t="str">
        <f t="shared" ca="1" si="222"/>
        <v/>
      </c>
      <c r="BK238" s="190"/>
      <c r="BL238" s="190" t="str">
        <f ca="1">IFERROR(IF(AND($B238&gt;=($F$17-$F$15),$B238&lt;$F$22+($F$17-$F$15)),SUM(OFFSET($T$100,($F$17-$F$15),0):$T238),""),"")</f>
        <v/>
      </c>
      <c r="BM238" s="190" t="str">
        <f t="shared" ca="1" si="197"/>
        <v/>
      </c>
      <c r="BN238" s="190" t="str">
        <f t="shared" ca="1" si="223"/>
        <v/>
      </c>
      <c r="BO238"/>
      <c r="BP238" s="190" t="str">
        <f ca="1">IF(ISNUMBER(OFFSET(BL238,-$F$21,0)),SUM(OFFSET($T$100,($F$17-$F$15+$F$21),0):$T238),"")</f>
        <v/>
      </c>
      <c r="BQ238" s="190" t="str">
        <f t="shared" ca="1" si="198"/>
        <v/>
      </c>
      <c r="BR238" s="190" t="str">
        <f t="shared" ca="1" si="224"/>
        <v/>
      </c>
      <c r="BS238" s="190"/>
      <c r="BT238"/>
      <c r="BU238"/>
      <c r="BV238"/>
      <c r="BY238" s="99"/>
      <c r="BZ238" s="99"/>
      <c r="CA238" s="280" t="str">
        <f t="shared" si="199"/>
        <v/>
      </c>
      <c r="CB238" s="71" t="str">
        <f t="shared" si="200"/>
        <v>-</v>
      </c>
      <c r="CC238" s="33"/>
      <c r="CD238" s="261" t="str">
        <f t="shared" si="201"/>
        <v/>
      </c>
      <c r="CE238" s="280" t="str">
        <f t="shared" si="202"/>
        <v>-</v>
      </c>
      <c r="CF238" s="71" t="str">
        <f t="shared" ca="1" si="203"/>
        <v>-</v>
      </c>
      <c r="CG238" s="33" t="str">
        <f t="shared" si="204"/>
        <v>138-139</v>
      </c>
      <c r="CH238" s="261" t="str">
        <f t="shared" ca="1" si="205"/>
        <v/>
      </c>
    </row>
    <row r="239" spans="2:86" ht="13.5" customHeight="1" x14ac:dyDescent="0.2">
      <c r="B239" s="262">
        <v>139</v>
      </c>
      <c r="C239" s="237" t="str">
        <f t="shared" si="169"/>
        <v/>
      </c>
      <c r="D239" s="237" t="str">
        <f t="shared" si="225"/>
        <v>-</v>
      </c>
      <c r="E239" s="263" t="str">
        <f t="shared" si="206"/>
        <v/>
      </c>
      <c r="F239" s="264" t="str">
        <f t="shared" si="207"/>
        <v/>
      </c>
      <c r="G239" s="264" t="str">
        <f t="shared" si="208"/>
        <v/>
      </c>
      <c r="H239" s="240" t="str">
        <f t="shared" si="170"/>
        <v/>
      </c>
      <c r="I239" s="265" t="str">
        <f t="shared" si="171"/>
        <v/>
      </c>
      <c r="J239" s="265" t="str">
        <f t="shared" si="172"/>
        <v/>
      </c>
      <c r="K239" s="240" t="str">
        <f t="shared" si="173"/>
        <v/>
      </c>
      <c r="L239" s="265" t="str">
        <f t="shared" si="174"/>
        <v/>
      </c>
      <c r="M239" s="265" t="str">
        <f t="shared" si="175"/>
        <v/>
      </c>
      <c r="N239" s="240" t="str">
        <f t="shared" si="176"/>
        <v>-</v>
      </c>
      <c r="O239" s="265" t="str">
        <f t="shared" si="177"/>
        <v>-</v>
      </c>
      <c r="P239" s="265" t="str">
        <f t="shared" si="178"/>
        <v>-</v>
      </c>
      <c r="Q239" s="266" t="str">
        <f t="shared" si="179"/>
        <v>-</v>
      </c>
      <c r="R239" s="267" t="str">
        <f t="shared" si="180"/>
        <v>-</v>
      </c>
      <c r="S239" s="268" t="str">
        <f t="shared" si="181"/>
        <v>-</v>
      </c>
      <c r="T239" s="269" t="str">
        <f t="shared" si="182"/>
        <v/>
      </c>
      <c r="U239" s="221">
        <f t="shared" si="183"/>
        <v>139</v>
      </c>
      <c r="V239" s="220" t="str">
        <f t="shared" si="209"/>
        <v>-</v>
      </c>
      <c r="W239" s="221" t="str">
        <f t="shared" si="210"/>
        <v>-</v>
      </c>
      <c r="X239" s="221" t="str">
        <f t="shared" si="184"/>
        <v>-</v>
      </c>
      <c r="Y239" s="221" t="str">
        <f t="shared" si="185"/>
        <v>-</v>
      </c>
      <c r="Z239" s="270">
        <f t="shared" si="211"/>
        <v>0.1</v>
      </c>
      <c r="AA239" s="271" t="str">
        <f>IFERROR(IF(V238=1,AA$100*EXP(-(LN(2)/$D$65+0.04)*X238)*EXP(-(LN(2)/$D$65+0.1)*Y238),IF(V238=2,AA$100*EXP(-(LN(2)/$D$65+0.04)*(VLOOKUP(($F$16-$F$15)-1,U$99:Y238,4,FALSE)))*EXP(-(LN(2)/$D$65+0.1)*(VLOOKUP(($F$16-$F$15)-1,U$99:Y238,5,FALSE)))*EXP(-(LN(2)/$D$65+0.04)*X238)*EXP(-(LN(2)/$D$65+0.1)*Y238),IF(V238=3,AA$100*EXP(-(LN(2)/$D$65+0.04)*(VLOOKUP(($F$16-$F$15)-1,U$99:Y238,4,FALSE)))*EXP(-(LN(2)/$D$65+0.1)*(VLOOKUP(($F$16-$F$15)-1,U$99:Y238,5,FALSE)))*EXP(-(LN(2)/$D$65+0.04)*(VLOOKUP(($F$16-$F$15)*2-1,U$99:Y238,4,FALSE)))*EXP(-(LN(2)/$D$65+0.1)*(VLOOKUP(($F$16-$F$15)*2-1,U$99:Y238,5,FALSE)))*EXP(-(LN(2)/$D$65+0.04)*X238)*EXP(-(LN(2)/$D$65+0.1)*Y238),"-"))),"-")</f>
        <v>-</v>
      </c>
      <c r="AB239" s="271" t="str">
        <f>IFERROR(IF(V239=1,AB$100*EXP(-(LN(2)/$D$65+0.04)*X239)*EXP(-(LN(2)/$D$65+0.1)*Y239),IF(V239=2,AB$100*EXP(-(LN(2)/$D$65+0.04)*(VLOOKUP(($F$16-$F$15)-1,U$100:Y239,4,FALSE)))*EXP(-(LN(2)/$D$65+0.1)*(VLOOKUP(($F$16-$F$15)-1,U$100:Y239,5,FALSE)))*EXP(-(LN(2)/$D$65+0.04)*X239)*EXP(-(LN(2)/$D$65+0.1)*Y239),IF(V239=3,AB$100*EXP(-(LN(2)/$D$65+0.04)*(VLOOKUP(($F$16-$F$15)-1,U$100:Y239,4,FALSE)))*EXP(-(LN(2)/$D$65+0.1)*(VLOOKUP(($F$16-$F$15)-1,U$100:Y239,5,FALSE)))*EXP(-(LN(2)/$D$65+0.04)*(VLOOKUP(($F$16-$F$15)*2-1,U$100:Y239,4,FALSE)))*EXP(-(LN(2)/$D$65+0.1)*(VLOOKUP(($F$16-$F$15)*2-1,U$100:Y239,5,FALSE)))*EXP(-(LN(2)/$D$65+0.04)*X239)*EXP(-(LN(2)/$D$65+0.1)*Y239),"-"))),"-")</f>
        <v>-</v>
      </c>
      <c r="AC239" s="224">
        <f t="shared" si="212"/>
        <v>139</v>
      </c>
      <c r="AD239" s="223" t="str">
        <f t="shared" si="186"/>
        <v>-</v>
      </c>
      <c r="AE239" s="224" t="str">
        <f t="shared" si="213"/>
        <v>-</v>
      </c>
      <c r="AF239" s="224" t="str">
        <f t="shared" si="187"/>
        <v>-</v>
      </c>
      <c r="AG239" s="224" t="str">
        <f t="shared" si="188"/>
        <v>-</v>
      </c>
      <c r="AH239" s="272">
        <f t="shared" si="214"/>
        <v>0.1</v>
      </c>
      <c r="AI239" s="271" t="str">
        <f>IFERROR(IF(AD238=1,AI$100*EXP(-(LN(2)/$D$65+0.04)*AF238)*EXP(-(LN(2)/$D$65+0.1)*AG238),IF(AD238=2,AI$100*EXP(-(LN(2)/$D$65+0.04)*(VLOOKUP(($F$16-$F$15)-1,AC$99:AG238,4,FALSE)))*EXP(-(LN(2)/$D$65+0.1)*(VLOOKUP(($F$16-$F$15)-1,AC$99:AG238,5,FALSE)))*EXP(-(LN(2)/$D$65+0.04)*AF238)*EXP(-(LN(2)/$D$65+0.1)*AG238),IF(AD238=3,AI$100*EXP(-(LN(2)/$D$65+0.04)*(VLOOKUP(($F$16-$F$15)-1,AC$99:AG238,4,FALSE)))*EXP(-(LN(2)/$D$65+0.1)*(VLOOKUP(($F$16-$F$15)-1,AC$99:AG238,5,FALSE)))*EXP(-(LN(2)/$D$65+0.04)*(VLOOKUP(($F$16-$F$15)*2-1,AC$99:AG238,4,FALSE)))*EXP(-(LN(2)/$D$65+0.1)*(VLOOKUP(($F$16-$F$15)*2-1,AC$99:AG238,5,FALSE)))*EXP(-(LN(2)/$D$65+0.04)*AF238)*EXP(-(LN(2)/$D$65+0.1)*AG238),"-"))),"-")</f>
        <v>-</v>
      </c>
      <c r="AJ239" s="271" t="str">
        <f>IFERROR(IF(AD239=1,AJ$100*EXP(-(LN(2)/$D$65+0.04)*AF239)*EXP(-(LN(2)/$D$65+0.1)*AG239),IF(AD239=2,AJ$100*EXP(-(LN(2)/$D$65+0.04)*(VLOOKUP(($F$16-$F$15)-1,AC$100:AG239,4,FALSE)))*EXP(-(LN(2)/$D$65+0.1)*(VLOOKUP(($F$16-$F$15)-1,AC$100:AG239,5,FALSE)))*EXP(-(LN(2)/$D$65+0.04)*AF239)*EXP(-(LN(2)/$D$65+0.1)*AG239),IF(AD239=3,AJ$100*EXP(-(LN(2)/$D$65+0.04)*(VLOOKUP(($F$16-$F$15)-1,AC$100:AG239,4,FALSE)))*EXP(-(LN(2)/$D$65+0.1)*(VLOOKUP(($F$16-$F$15)-1,AC$100:AG239,5,FALSE)))*EXP(-(LN(2)/$D$65+0.04)*(VLOOKUP(($F$16-$F$15)*2-1,AC$100:AG239,4,FALSE)))*EXP(-(LN(2)/$D$65+0.1)*(VLOOKUP(($F$16-$F$15)*2-1,AC$100:AG239,5,FALSE)))*EXP(-(LN(2)/$D$65+0.04)*AF239)*EXP(-(LN(2)/$D$65+0.1)*AG239),"-"))),"-")</f>
        <v>-</v>
      </c>
      <c r="AK239" s="227">
        <f t="shared" si="215"/>
        <v>139</v>
      </c>
      <c r="AL239" s="226" t="str">
        <f t="shared" si="189"/>
        <v>-</v>
      </c>
      <c r="AM239" s="227" t="str">
        <f t="shared" si="216"/>
        <v>-</v>
      </c>
      <c r="AN239" s="227" t="str">
        <f t="shared" si="217"/>
        <v>-</v>
      </c>
      <c r="AO239" s="227" t="str">
        <f t="shared" si="190"/>
        <v>-</v>
      </c>
      <c r="AP239" s="273">
        <f t="shared" si="218"/>
        <v>0.1</v>
      </c>
      <c r="AQ239" s="271" t="str">
        <f>IFERROR(IF(AL238=1,AQ$100*EXP(-(LN(2)/$D$65+0.04)*AN238)*EXP(-(LN(2)/$D$65+0.1)*AO238),IF(AL238=2,AQ$100*EXP(-(LN(2)/$D$65+0.04)*(VLOOKUP(($F$16-$F$15)-1,AK$99:AO238,4,FALSE)))*EXP(-(LN(2)/$D$65+0.1)*(VLOOKUP(($F$16-$F$15)-1,AK$99:AO238,5,FALSE)))*EXP(-(LN(2)/$D$65+0.04)*AN238)*EXP(-(LN(2)/$D$65+0.1)*AO238),IF(AL238=3,AQ$100*EXP(-(LN(2)/$D$65+0.04)*(VLOOKUP(($F$16-$F$15)-1,AK$99:AO238,4,FALSE)))*EXP(-(LN(2)/$D$65+0.1)*(VLOOKUP(($F$16-$F$15)-1,AK$99:AO238,5,FALSE)))*EXP(-(LN(2)/$D$65+0.04)*(VLOOKUP(($F$16-$F$15)*2-1,AK$99:AO238,4,FALSE)))*EXP(-(LN(2)/$D$65+0.1)*(VLOOKUP(($F$16-$F$15)*2-1,AK$99:AO238,5,FALSE)))*EXP(-(LN(2)/$D$65+0.04)*AN238)*EXP(-(LN(2)/$D$65+0.1)*AO238),"-"))),"-")</f>
        <v>-</v>
      </c>
      <c r="AR239" s="271" t="str">
        <f>IFERROR(IF(AL239=1,AR$100*EXP(-(LN(2)/$D$65+0.04)*AN239)*EXP(-(LN(2)/$D$65+0.1)*AO239),IF(AL239=2,AR$100*EXP(-(LN(2)/$D$65+0.04)*(VLOOKUP(($F$16-$F$15)-1,AK$100:AO239,4,FALSE)))*EXP(-(LN(2)/$D$65+0.1)*(VLOOKUP(($F$16-$F$15)-1,AK$100:AO239,5,FALSE)))*EXP(-(LN(2)/$D$65+0.04)*AN239)*EXP(-(LN(2)/$D$65+0.1)*AO239),IF(AL239=3,AR$100*EXP(-(LN(2)/$D$65+0.04)*(VLOOKUP(($F$16-$F$15)-1,AK$100:AO239,4,FALSE)))*EXP(-(LN(2)/$D$65+0.1)*(VLOOKUP(($F$16-$F$15)-1,AK$100:AO239,5,FALSE)))*EXP(-(LN(2)/$D$65+0.04)*(VLOOKUP(($F$16-$F$15)*2-1,AK$100:AO239,4,FALSE)))*EXP(-(LN(2)/$D$65+0.1)*(VLOOKUP(($F$16-$F$15)*2-1,AK$100:AO239,5,FALSE)))*EXP(-(LN(2)/$D$65+0.04)*AN239)*EXP(-(LN(2)/$D$65+0.1)*AO239),"-"))),"-")</f>
        <v>-</v>
      </c>
      <c r="AS239" s="274">
        <f t="shared" si="191"/>
        <v>0</v>
      </c>
      <c r="AT239" s="274">
        <f t="shared" si="192"/>
        <v>0</v>
      </c>
      <c r="AU239" s="274">
        <f t="shared" si="193"/>
        <v>0</v>
      </c>
      <c r="AV239" s="190">
        <f>IF($B239&lt;$F$22,SUM($T$100:$T239),"")</f>
        <v>0</v>
      </c>
      <c r="AW239" s="190" t="str">
        <f t="shared" si="194"/>
        <v>-</v>
      </c>
      <c r="AX239" s="190" t="str">
        <f t="shared" si="219"/>
        <v/>
      </c>
      <c r="AY239"/>
      <c r="AZ239" s="190" t="str">
        <f ca="1">IF(ISNUMBER(OFFSET(AV239,-$F$21,0)),SUM(OFFSET($T$100,$F$21,0):$T239),"")</f>
        <v/>
      </c>
      <c r="BA239" s="190" t="str">
        <f t="shared" ca="1" si="195"/>
        <v/>
      </c>
      <c r="BB239" s="190" t="str">
        <f t="shared" ca="1" si="148"/>
        <v/>
      </c>
      <c r="BC239" s="190"/>
      <c r="BD239" s="190" t="str">
        <f ca="1">IFERROR(IF(AND($B239&gt;=($F$16-$F$15),$B239&lt;$F$22+($F$16-$F$15)),SUM(OFFSET($T$100,($F$16-$F$15),0):$T239),""),"")</f>
        <v/>
      </c>
      <c r="BE239" s="190" t="str">
        <f t="shared" ca="1" si="220"/>
        <v/>
      </c>
      <c r="BF239" s="190" t="str">
        <f t="shared" ca="1" si="221"/>
        <v/>
      </c>
      <c r="BG239"/>
      <c r="BH239" s="190" t="str">
        <f ca="1">IF(ISNUMBER(OFFSET(BD239,-$F$21,0)),SUM(OFFSET($T$100,($F$16-$F$15+$F$21),0):$T239),"")</f>
        <v/>
      </c>
      <c r="BI239" s="190" t="str">
        <f t="shared" ca="1" si="196"/>
        <v/>
      </c>
      <c r="BJ239" s="190" t="str">
        <f t="shared" ca="1" si="222"/>
        <v/>
      </c>
      <c r="BK239" s="190"/>
      <c r="BL239" s="190" t="str">
        <f ca="1">IFERROR(IF(AND($B239&gt;=($F$17-$F$15),$B239&lt;$F$22+($F$17-$F$15)),SUM(OFFSET($T$100,($F$17-$F$15),0):$T239),""),"")</f>
        <v/>
      </c>
      <c r="BM239" s="190" t="str">
        <f t="shared" ca="1" si="197"/>
        <v/>
      </c>
      <c r="BN239" s="190" t="str">
        <f t="shared" ca="1" si="223"/>
        <v/>
      </c>
      <c r="BO239"/>
      <c r="BP239" s="190" t="str">
        <f ca="1">IF(ISNUMBER(OFFSET(BL239,-$F$21,0)),SUM(OFFSET($T$100,($F$17-$F$15+$F$21),0):$T239),"")</f>
        <v/>
      </c>
      <c r="BQ239" s="190" t="str">
        <f t="shared" ca="1" si="198"/>
        <v/>
      </c>
      <c r="BR239" s="190" t="str">
        <f t="shared" ca="1" si="224"/>
        <v/>
      </c>
      <c r="BS239" s="190"/>
      <c r="BT239"/>
      <c r="BU239"/>
      <c r="BV239"/>
      <c r="BY239" s="99"/>
      <c r="BZ239" s="99"/>
      <c r="CA239" s="280" t="str">
        <f t="shared" si="199"/>
        <v/>
      </c>
      <c r="CB239" s="71" t="str">
        <f t="shared" si="200"/>
        <v>-</v>
      </c>
      <c r="CC239" s="33"/>
      <c r="CD239" s="261" t="str">
        <f t="shared" si="201"/>
        <v/>
      </c>
      <c r="CE239" s="280" t="str">
        <f t="shared" si="202"/>
        <v>-</v>
      </c>
      <c r="CF239" s="71" t="str">
        <f t="shared" ca="1" si="203"/>
        <v>-</v>
      </c>
      <c r="CG239" s="33" t="str">
        <f t="shared" si="204"/>
        <v>139-140</v>
      </c>
      <c r="CH239" s="261" t="str">
        <f t="shared" ca="1" si="205"/>
        <v/>
      </c>
    </row>
    <row r="240" spans="2:86" ht="13.5" customHeight="1" x14ac:dyDescent="0.2">
      <c r="B240" s="262">
        <v>140</v>
      </c>
      <c r="C240" s="237" t="str">
        <f t="shared" si="169"/>
        <v/>
      </c>
      <c r="D240" s="237" t="str">
        <f t="shared" si="225"/>
        <v>-</v>
      </c>
      <c r="E240" s="263" t="str">
        <f t="shared" si="206"/>
        <v/>
      </c>
      <c r="F240" s="264" t="str">
        <f t="shared" si="207"/>
        <v/>
      </c>
      <c r="G240" s="264" t="str">
        <f t="shared" si="208"/>
        <v/>
      </c>
      <c r="H240" s="240" t="str">
        <f t="shared" si="170"/>
        <v/>
      </c>
      <c r="I240" s="265" t="str">
        <f t="shared" si="171"/>
        <v/>
      </c>
      <c r="J240" s="265" t="str">
        <f t="shared" si="172"/>
        <v/>
      </c>
      <c r="K240" s="240" t="str">
        <f t="shared" si="173"/>
        <v/>
      </c>
      <c r="L240" s="265" t="str">
        <f t="shared" si="174"/>
        <v/>
      </c>
      <c r="M240" s="265" t="str">
        <f t="shared" si="175"/>
        <v/>
      </c>
      <c r="N240" s="240" t="str">
        <f t="shared" si="176"/>
        <v>-</v>
      </c>
      <c r="O240" s="265" t="str">
        <f t="shared" si="177"/>
        <v>-</v>
      </c>
      <c r="P240" s="265" t="str">
        <f t="shared" si="178"/>
        <v>-</v>
      </c>
      <c r="Q240" s="266" t="str">
        <f t="shared" si="179"/>
        <v>-</v>
      </c>
      <c r="R240" s="267" t="str">
        <f t="shared" si="180"/>
        <v>-</v>
      </c>
      <c r="S240" s="268" t="str">
        <f t="shared" si="181"/>
        <v>-</v>
      </c>
      <c r="T240" s="269" t="str">
        <f t="shared" si="182"/>
        <v/>
      </c>
      <c r="U240" s="221">
        <f t="shared" si="183"/>
        <v>140</v>
      </c>
      <c r="V240" s="220" t="str">
        <f t="shared" si="209"/>
        <v>-</v>
      </c>
      <c r="W240" s="221" t="str">
        <f t="shared" si="210"/>
        <v>-</v>
      </c>
      <c r="X240" s="221" t="str">
        <f t="shared" si="184"/>
        <v>-</v>
      </c>
      <c r="Y240" s="221" t="str">
        <f t="shared" si="185"/>
        <v>-</v>
      </c>
      <c r="Z240" s="270">
        <f t="shared" si="211"/>
        <v>0.1</v>
      </c>
      <c r="AA240" s="271" t="str">
        <f>IFERROR(IF(V239=1,AA$100*EXP(-(LN(2)/$D$65+0.04)*X239)*EXP(-(LN(2)/$D$65+0.1)*Y239),IF(V239=2,AA$100*EXP(-(LN(2)/$D$65+0.04)*(VLOOKUP(($F$16-$F$15)-1,U$99:Y239,4,FALSE)))*EXP(-(LN(2)/$D$65+0.1)*(VLOOKUP(($F$16-$F$15)-1,U$99:Y239,5,FALSE)))*EXP(-(LN(2)/$D$65+0.04)*X239)*EXP(-(LN(2)/$D$65+0.1)*Y239),IF(V239=3,AA$100*EXP(-(LN(2)/$D$65+0.04)*(VLOOKUP(($F$16-$F$15)-1,U$99:Y239,4,FALSE)))*EXP(-(LN(2)/$D$65+0.1)*(VLOOKUP(($F$16-$F$15)-1,U$99:Y239,5,FALSE)))*EXP(-(LN(2)/$D$65+0.04)*(VLOOKUP(($F$16-$F$15)*2-1,U$99:Y239,4,FALSE)))*EXP(-(LN(2)/$D$65+0.1)*(VLOOKUP(($F$16-$F$15)*2-1,U$99:Y239,5,FALSE)))*EXP(-(LN(2)/$D$65+0.04)*X239)*EXP(-(LN(2)/$D$65+0.1)*Y239),"-"))),"-")</f>
        <v>-</v>
      </c>
      <c r="AB240" s="271" t="str">
        <f>IFERROR(IF(V240=1,AB$100*EXP(-(LN(2)/$D$65+0.04)*X240)*EXP(-(LN(2)/$D$65+0.1)*Y240),IF(V240=2,AB$100*EXP(-(LN(2)/$D$65+0.04)*(VLOOKUP(($F$16-$F$15)-1,U$100:Y240,4,FALSE)))*EXP(-(LN(2)/$D$65+0.1)*(VLOOKUP(($F$16-$F$15)-1,U$100:Y240,5,FALSE)))*EXP(-(LN(2)/$D$65+0.04)*X240)*EXP(-(LN(2)/$D$65+0.1)*Y240),IF(V240=3,AB$100*EXP(-(LN(2)/$D$65+0.04)*(VLOOKUP(($F$16-$F$15)-1,U$100:Y240,4,FALSE)))*EXP(-(LN(2)/$D$65+0.1)*(VLOOKUP(($F$16-$F$15)-1,U$100:Y240,5,FALSE)))*EXP(-(LN(2)/$D$65+0.04)*(VLOOKUP(($F$16-$F$15)*2-1,U$100:Y240,4,FALSE)))*EXP(-(LN(2)/$D$65+0.1)*(VLOOKUP(($F$16-$F$15)*2-1,U$100:Y240,5,FALSE)))*EXP(-(LN(2)/$D$65+0.04)*X240)*EXP(-(LN(2)/$D$65+0.1)*Y240),"-"))),"-")</f>
        <v>-</v>
      </c>
      <c r="AC240" s="224">
        <f t="shared" si="212"/>
        <v>140</v>
      </c>
      <c r="AD240" s="223" t="str">
        <f t="shared" si="186"/>
        <v>-</v>
      </c>
      <c r="AE240" s="224" t="str">
        <f t="shared" si="213"/>
        <v>-</v>
      </c>
      <c r="AF240" s="224" t="str">
        <f t="shared" si="187"/>
        <v>-</v>
      </c>
      <c r="AG240" s="224" t="str">
        <f t="shared" si="188"/>
        <v>-</v>
      </c>
      <c r="AH240" s="272">
        <f t="shared" si="214"/>
        <v>0.1</v>
      </c>
      <c r="AI240" s="271" t="str">
        <f>IFERROR(IF(AD239=1,AI$100*EXP(-(LN(2)/$D$65+0.04)*AF239)*EXP(-(LN(2)/$D$65+0.1)*AG239),IF(AD239=2,AI$100*EXP(-(LN(2)/$D$65+0.04)*(VLOOKUP(($F$16-$F$15)-1,AC$99:AG239,4,FALSE)))*EXP(-(LN(2)/$D$65+0.1)*(VLOOKUP(($F$16-$F$15)-1,AC$99:AG239,5,FALSE)))*EXP(-(LN(2)/$D$65+0.04)*AF239)*EXP(-(LN(2)/$D$65+0.1)*AG239),IF(AD239=3,AI$100*EXP(-(LN(2)/$D$65+0.04)*(VLOOKUP(($F$16-$F$15)-1,AC$99:AG239,4,FALSE)))*EXP(-(LN(2)/$D$65+0.1)*(VLOOKUP(($F$16-$F$15)-1,AC$99:AG239,5,FALSE)))*EXP(-(LN(2)/$D$65+0.04)*(VLOOKUP(($F$16-$F$15)*2-1,AC$99:AG239,4,FALSE)))*EXP(-(LN(2)/$D$65+0.1)*(VLOOKUP(($F$16-$F$15)*2-1,AC$99:AG239,5,FALSE)))*EXP(-(LN(2)/$D$65+0.04)*AF239)*EXP(-(LN(2)/$D$65+0.1)*AG239),"-"))),"-")</f>
        <v>-</v>
      </c>
      <c r="AJ240" s="271" t="str">
        <f>IFERROR(IF(AD240=1,AJ$100*EXP(-(LN(2)/$D$65+0.04)*AF240)*EXP(-(LN(2)/$D$65+0.1)*AG240),IF(AD240=2,AJ$100*EXP(-(LN(2)/$D$65+0.04)*(VLOOKUP(($F$16-$F$15)-1,AC$100:AG240,4,FALSE)))*EXP(-(LN(2)/$D$65+0.1)*(VLOOKUP(($F$16-$F$15)-1,AC$100:AG240,5,FALSE)))*EXP(-(LN(2)/$D$65+0.04)*AF240)*EXP(-(LN(2)/$D$65+0.1)*AG240),IF(AD240=3,AJ$100*EXP(-(LN(2)/$D$65+0.04)*(VLOOKUP(($F$16-$F$15)-1,AC$100:AG240,4,FALSE)))*EXP(-(LN(2)/$D$65+0.1)*(VLOOKUP(($F$16-$F$15)-1,AC$100:AG240,5,FALSE)))*EXP(-(LN(2)/$D$65+0.04)*(VLOOKUP(($F$16-$F$15)*2-1,AC$100:AG240,4,FALSE)))*EXP(-(LN(2)/$D$65+0.1)*(VLOOKUP(($F$16-$F$15)*2-1,AC$100:AG240,5,FALSE)))*EXP(-(LN(2)/$D$65+0.04)*AF240)*EXP(-(LN(2)/$D$65+0.1)*AG240),"-"))),"-")</f>
        <v>-</v>
      </c>
      <c r="AK240" s="227">
        <f t="shared" si="215"/>
        <v>140</v>
      </c>
      <c r="AL240" s="226" t="str">
        <f t="shared" si="189"/>
        <v>-</v>
      </c>
      <c r="AM240" s="227" t="str">
        <f t="shared" si="216"/>
        <v>-</v>
      </c>
      <c r="AN240" s="227" t="str">
        <f t="shared" si="217"/>
        <v>-</v>
      </c>
      <c r="AO240" s="227" t="str">
        <f t="shared" si="190"/>
        <v>-</v>
      </c>
      <c r="AP240" s="273">
        <f t="shared" si="218"/>
        <v>0.1</v>
      </c>
      <c r="AQ240" s="271" t="str">
        <f>IFERROR(IF(AL239=1,AQ$100*EXP(-(LN(2)/$D$65+0.04)*AN239)*EXP(-(LN(2)/$D$65+0.1)*AO239),IF(AL239=2,AQ$100*EXP(-(LN(2)/$D$65+0.04)*(VLOOKUP(($F$16-$F$15)-1,AK$99:AO239,4,FALSE)))*EXP(-(LN(2)/$D$65+0.1)*(VLOOKUP(($F$16-$F$15)-1,AK$99:AO239,5,FALSE)))*EXP(-(LN(2)/$D$65+0.04)*AN239)*EXP(-(LN(2)/$D$65+0.1)*AO239),IF(AL239=3,AQ$100*EXP(-(LN(2)/$D$65+0.04)*(VLOOKUP(($F$16-$F$15)-1,AK$99:AO239,4,FALSE)))*EXP(-(LN(2)/$D$65+0.1)*(VLOOKUP(($F$16-$F$15)-1,AK$99:AO239,5,FALSE)))*EXP(-(LN(2)/$D$65+0.04)*(VLOOKUP(($F$16-$F$15)*2-1,AK$99:AO239,4,FALSE)))*EXP(-(LN(2)/$D$65+0.1)*(VLOOKUP(($F$16-$F$15)*2-1,AK$99:AO239,5,FALSE)))*EXP(-(LN(2)/$D$65+0.04)*AN239)*EXP(-(LN(2)/$D$65+0.1)*AO239),"-"))),"-")</f>
        <v>-</v>
      </c>
      <c r="AR240" s="271" t="str">
        <f>IFERROR(IF(AL240=1,AR$100*EXP(-(LN(2)/$D$65+0.04)*AN240)*EXP(-(LN(2)/$D$65+0.1)*AO240),IF(AL240=2,AR$100*EXP(-(LN(2)/$D$65+0.04)*(VLOOKUP(($F$16-$F$15)-1,AK$100:AO240,4,FALSE)))*EXP(-(LN(2)/$D$65+0.1)*(VLOOKUP(($F$16-$F$15)-1,AK$100:AO240,5,FALSE)))*EXP(-(LN(2)/$D$65+0.04)*AN240)*EXP(-(LN(2)/$D$65+0.1)*AO240),IF(AL240=3,AR$100*EXP(-(LN(2)/$D$65+0.04)*(VLOOKUP(($F$16-$F$15)-1,AK$100:AO240,4,FALSE)))*EXP(-(LN(2)/$D$65+0.1)*(VLOOKUP(($F$16-$F$15)-1,AK$100:AO240,5,FALSE)))*EXP(-(LN(2)/$D$65+0.04)*(VLOOKUP(($F$16-$F$15)*2-1,AK$100:AO240,4,FALSE)))*EXP(-(LN(2)/$D$65+0.1)*(VLOOKUP(($F$16-$F$15)*2-1,AK$100:AO240,5,FALSE)))*EXP(-(LN(2)/$D$65+0.04)*AN240)*EXP(-(LN(2)/$D$65+0.1)*AO240),"-"))),"-")</f>
        <v>-</v>
      </c>
      <c r="AS240" s="274">
        <f t="shared" si="191"/>
        <v>0</v>
      </c>
      <c r="AT240" s="274">
        <f t="shared" si="192"/>
        <v>0</v>
      </c>
      <c r="AU240" s="274">
        <f t="shared" si="193"/>
        <v>0</v>
      </c>
      <c r="AV240" s="190">
        <f>IF($B240&lt;$F$22,SUM($T$100:$T240),"")</f>
        <v>0</v>
      </c>
      <c r="AW240" s="190" t="str">
        <f t="shared" si="194"/>
        <v>-</v>
      </c>
      <c r="AX240" s="190" t="str">
        <f t="shared" si="219"/>
        <v/>
      </c>
      <c r="AY240"/>
      <c r="AZ240" s="190" t="str">
        <f ca="1">IF(ISNUMBER(OFFSET(AV240,-$F$21,0)),SUM(OFFSET($T$100,$F$21,0):$T240),"")</f>
        <v/>
      </c>
      <c r="BA240" s="190" t="str">
        <f t="shared" ca="1" si="195"/>
        <v/>
      </c>
      <c r="BB240" s="190" t="str">
        <f t="shared" ca="1" si="148"/>
        <v/>
      </c>
      <c r="BC240" s="190"/>
      <c r="BD240" s="190" t="str">
        <f ca="1">IFERROR(IF(AND($B240&gt;=($F$16-$F$15),$B240&lt;$F$22+($F$16-$F$15)),SUM(OFFSET($T$100,($F$16-$F$15),0):$T240),""),"")</f>
        <v/>
      </c>
      <c r="BE240" s="190" t="str">
        <f t="shared" ca="1" si="220"/>
        <v/>
      </c>
      <c r="BF240" s="190" t="str">
        <f t="shared" ca="1" si="221"/>
        <v/>
      </c>
      <c r="BG240"/>
      <c r="BH240" s="190" t="str">
        <f ca="1">IF(ISNUMBER(OFFSET(BD240,-$F$21,0)),SUM(OFFSET($T$100,($F$16-$F$15+$F$21),0):$T240),"")</f>
        <v/>
      </c>
      <c r="BI240" s="190" t="str">
        <f t="shared" ca="1" si="196"/>
        <v/>
      </c>
      <c r="BJ240" s="190" t="str">
        <f t="shared" ca="1" si="222"/>
        <v/>
      </c>
      <c r="BK240" s="190"/>
      <c r="BL240" s="190" t="str">
        <f ca="1">IFERROR(IF(AND($B240&gt;=($F$17-$F$15),$B240&lt;$F$22+($F$17-$F$15)),SUM(OFFSET($T$100,($F$17-$F$15),0):$T240),""),"")</f>
        <v/>
      </c>
      <c r="BM240" s="190" t="str">
        <f t="shared" ca="1" si="197"/>
        <v/>
      </c>
      <c r="BN240" s="190" t="str">
        <f t="shared" ca="1" si="223"/>
        <v/>
      </c>
      <c r="BO240"/>
      <c r="BP240" s="190" t="str">
        <f ca="1">IF(ISNUMBER(OFFSET(BL240,-$F$21,0)),SUM(OFFSET($T$100,($F$17-$F$15+$F$21),0):$T240),"")</f>
        <v/>
      </c>
      <c r="BQ240" s="190" t="str">
        <f t="shared" ca="1" si="198"/>
        <v/>
      </c>
      <c r="BR240" s="190" t="str">
        <f t="shared" ca="1" si="224"/>
        <v/>
      </c>
      <c r="BS240" s="190"/>
      <c r="BT240"/>
      <c r="BU240"/>
      <c r="BV240"/>
      <c r="BY240" s="99"/>
      <c r="BZ240" s="99"/>
      <c r="CA240" s="280" t="str">
        <f t="shared" si="199"/>
        <v/>
      </c>
      <c r="CB240" s="71" t="str">
        <f t="shared" si="200"/>
        <v>-</v>
      </c>
      <c r="CC240" s="33"/>
      <c r="CD240" s="261" t="str">
        <f t="shared" si="201"/>
        <v/>
      </c>
      <c r="CE240" s="280" t="str">
        <f t="shared" si="202"/>
        <v>-</v>
      </c>
      <c r="CF240" s="71" t="str">
        <f t="shared" ca="1" si="203"/>
        <v>-</v>
      </c>
      <c r="CG240" s="33" t="str">
        <f t="shared" si="204"/>
        <v>140-141</v>
      </c>
      <c r="CH240" s="261" t="str">
        <f t="shared" ca="1" si="205"/>
        <v/>
      </c>
    </row>
    <row r="241" spans="2:86" ht="13.5" customHeight="1" x14ac:dyDescent="0.2">
      <c r="B241" s="262">
        <v>141</v>
      </c>
      <c r="C241" s="237" t="str">
        <f t="shared" si="169"/>
        <v/>
      </c>
      <c r="D241" s="237" t="str">
        <f t="shared" si="225"/>
        <v>-</v>
      </c>
      <c r="E241" s="263" t="str">
        <f t="shared" si="206"/>
        <v/>
      </c>
      <c r="F241" s="264" t="str">
        <f t="shared" si="207"/>
        <v/>
      </c>
      <c r="G241" s="264" t="str">
        <f t="shared" si="208"/>
        <v/>
      </c>
      <c r="H241" s="240" t="str">
        <f t="shared" si="170"/>
        <v/>
      </c>
      <c r="I241" s="265" t="str">
        <f t="shared" si="171"/>
        <v/>
      </c>
      <c r="J241" s="265" t="str">
        <f t="shared" si="172"/>
        <v/>
      </c>
      <c r="K241" s="240" t="str">
        <f t="shared" si="173"/>
        <v/>
      </c>
      <c r="L241" s="265" t="str">
        <f t="shared" si="174"/>
        <v/>
      </c>
      <c r="M241" s="265" t="str">
        <f t="shared" si="175"/>
        <v/>
      </c>
      <c r="N241" s="240" t="str">
        <f t="shared" si="176"/>
        <v>-</v>
      </c>
      <c r="O241" s="265" t="str">
        <f t="shared" si="177"/>
        <v>-</v>
      </c>
      <c r="P241" s="265" t="str">
        <f t="shared" si="178"/>
        <v>-</v>
      </c>
      <c r="Q241" s="266" t="str">
        <f t="shared" si="179"/>
        <v>-</v>
      </c>
      <c r="R241" s="267" t="str">
        <f t="shared" si="180"/>
        <v>-</v>
      </c>
      <c r="S241" s="268" t="str">
        <f t="shared" si="181"/>
        <v>-</v>
      </c>
      <c r="T241" s="269" t="str">
        <f t="shared" si="182"/>
        <v/>
      </c>
      <c r="U241" s="221">
        <f t="shared" si="183"/>
        <v>141</v>
      </c>
      <c r="V241" s="220" t="str">
        <f t="shared" si="209"/>
        <v>-</v>
      </c>
      <c r="W241" s="221" t="str">
        <f t="shared" si="210"/>
        <v>-</v>
      </c>
      <c r="X241" s="221" t="str">
        <f t="shared" si="184"/>
        <v>-</v>
      </c>
      <c r="Y241" s="221" t="str">
        <f t="shared" si="185"/>
        <v>-</v>
      </c>
      <c r="Z241" s="270">
        <f t="shared" si="211"/>
        <v>0.1</v>
      </c>
      <c r="AA241" s="271" t="str">
        <f>IFERROR(IF(V240=1,AA$100*EXP(-(LN(2)/$D$65+0.04)*X240)*EXP(-(LN(2)/$D$65+0.1)*Y240),IF(V240=2,AA$100*EXP(-(LN(2)/$D$65+0.04)*(VLOOKUP(($F$16-$F$15)-1,U$99:Y240,4,FALSE)))*EXP(-(LN(2)/$D$65+0.1)*(VLOOKUP(($F$16-$F$15)-1,U$99:Y240,5,FALSE)))*EXP(-(LN(2)/$D$65+0.04)*X240)*EXP(-(LN(2)/$D$65+0.1)*Y240),IF(V240=3,AA$100*EXP(-(LN(2)/$D$65+0.04)*(VLOOKUP(($F$16-$F$15)-1,U$99:Y240,4,FALSE)))*EXP(-(LN(2)/$D$65+0.1)*(VLOOKUP(($F$16-$F$15)-1,U$99:Y240,5,FALSE)))*EXP(-(LN(2)/$D$65+0.04)*(VLOOKUP(($F$16-$F$15)*2-1,U$99:Y240,4,FALSE)))*EXP(-(LN(2)/$D$65+0.1)*(VLOOKUP(($F$16-$F$15)*2-1,U$99:Y240,5,FALSE)))*EXP(-(LN(2)/$D$65+0.04)*X240)*EXP(-(LN(2)/$D$65+0.1)*Y240),"-"))),"-")</f>
        <v>-</v>
      </c>
      <c r="AB241" s="271" t="str">
        <f>IFERROR(IF(V241=1,AB$100*EXP(-(LN(2)/$D$65+0.04)*X241)*EXP(-(LN(2)/$D$65+0.1)*Y241),IF(V241=2,AB$100*EXP(-(LN(2)/$D$65+0.04)*(VLOOKUP(($F$16-$F$15)-1,U$100:Y241,4,FALSE)))*EXP(-(LN(2)/$D$65+0.1)*(VLOOKUP(($F$16-$F$15)-1,U$100:Y241,5,FALSE)))*EXP(-(LN(2)/$D$65+0.04)*X241)*EXP(-(LN(2)/$D$65+0.1)*Y241),IF(V241=3,AB$100*EXP(-(LN(2)/$D$65+0.04)*(VLOOKUP(($F$16-$F$15)-1,U$100:Y241,4,FALSE)))*EXP(-(LN(2)/$D$65+0.1)*(VLOOKUP(($F$16-$F$15)-1,U$100:Y241,5,FALSE)))*EXP(-(LN(2)/$D$65+0.04)*(VLOOKUP(($F$16-$F$15)*2-1,U$100:Y241,4,FALSE)))*EXP(-(LN(2)/$D$65+0.1)*(VLOOKUP(($F$16-$F$15)*2-1,U$100:Y241,5,FALSE)))*EXP(-(LN(2)/$D$65+0.04)*X241)*EXP(-(LN(2)/$D$65+0.1)*Y241),"-"))),"-")</f>
        <v>-</v>
      </c>
      <c r="AC241" s="224">
        <f>B241</f>
        <v>141</v>
      </c>
      <c r="AD241" s="223" t="str">
        <f t="shared" si="186"/>
        <v>-</v>
      </c>
      <c r="AE241" s="224" t="str">
        <f t="shared" si="213"/>
        <v>-</v>
      </c>
      <c r="AF241" s="224" t="str">
        <f t="shared" si="187"/>
        <v>-</v>
      </c>
      <c r="AG241" s="224" t="str">
        <f t="shared" si="188"/>
        <v>-</v>
      </c>
      <c r="AH241" s="272">
        <f t="shared" si="214"/>
        <v>0.1</v>
      </c>
      <c r="AI241" s="271" t="str">
        <f>IFERROR(IF(AD240=1,AI$100*EXP(-(LN(2)/$D$65+0.04)*AF240)*EXP(-(LN(2)/$D$65+0.1)*AG240),IF(AD240=2,AI$100*EXP(-(LN(2)/$D$65+0.04)*(VLOOKUP(($F$16-$F$15)-1,AC$99:AG240,4,FALSE)))*EXP(-(LN(2)/$D$65+0.1)*(VLOOKUP(($F$16-$F$15)-1,AC$99:AG240,5,FALSE)))*EXP(-(LN(2)/$D$65+0.04)*AF240)*EXP(-(LN(2)/$D$65+0.1)*AG240),IF(AD240=3,AI$100*EXP(-(LN(2)/$D$65+0.04)*(VLOOKUP(($F$16-$F$15)-1,AC$99:AG240,4,FALSE)))*EXP(-(LN(2)/$D$65+0.1)*(VLOOKUP(($F$16-$F$15)-1,AC$99:AG240,5,FALSE)))*EXP(-(LN(2)/$D$65+0.04)*(VLOOKUP(($F$16-$F$15)*2-1,AC$99:AG240,4,FALSE)))*EXP(-(LN(2)/$D$65+0.1)*(VLOOKUP(($F$16-$F$15)*2-1,AC$99:AG240,5,FALSE)))*EXP(-(LN(2)/$D$65+0.04)*AF240)*EXP(-(LN(2)/$D$65+0.1)*AG240),"-"))),"-")</f>
        <v>-</v>
      </c>
      <c r="AJ241" s="271" t="str">
        <f>IFERROR(IF(AD241=1,AJ$100*EXP(-(LN(2)/$D$65+0.04)*AF241)*EXP(-(LN(2)/$D$65+0.1)*AG241),IF(AD241=2,AJ$100*EXP(-(LN(2)/$D$65+0.04)*(VLOOKUP(($F$16-$F$15)-1,AC$100:AG241,4,FALSE)))*EXP(-(LN(2)/$D$65+0.1)*(VLOOKUP(($F$16-$F$15)-1,AC$100:AG241,5,FALSE)))*EXP(-(LN(2)/$D$65+0.04)*AF241)*EXP(-(LN(2)/$D$65+0.1)*AG241),IF(AD241=3,AJ$100*EXP(-(LN(2)/$D$65+0.04)*(VLOOKUP(($F$16-$F$15)-1,AC$100:AG241,4,FALSE)))*EXP(-(LN(2)/$D$65+0.1)*(VLOOKUP(($F$16-$F$15)-1,AC$100:AG241,5,FALSE)))*EXP(-(LN(2)/$D$65+0.04)*(VLOOKUP(($F$16-$F$15)*2-1,AC$100:AG241,4,FALSE)))*EXP(-(LN(2)/$D$65+0.1)*(VLOOKUP(($F$16-$F$15)*2-1,AC$100:AG241,5,FALSE)))*EXP(-(LN(2)/$D$65+0.04)*AF241)*EXP(-(LN(2)/$D$65+0.1)*AG241),"-"))),"-")</f>
        <v>-</v>
      </c>
      <c r="AK241" s="227">
        <f t="shared" si="215"/>
        <v>141</v>
      </c>
      <c r="AL241" s="226" t="str">
        <f t="shared" si="189"/>
        <v>-</v>
      </c>
      <c r="AM241" s="227" t="str">
        <f t="shared" si="216"/>
        <v>-</v>
      </c>
      <c r="AN241" s="227" t="str">
        <f t="shared" si="217"/>
        <v>-</v>
      </c>
      <c r="AO241" s="227" t="str">
        <f t="shared" si="190"/>
        <v>-</v>
      </c>
      <c r="AP241" s="273">
        <f t="shared" si="218"/>
        <v>0.1</v>
      </c>
      <c r="AQ241" s="271" t="str">
        <f>IFERROR(IF(AL240=1,AQ$100*EXP(-(LN(2)/$D$65+0.04)*AN240)*EXP(-(LN(2)/$D$65+0.1)*AO240),IF(AL240=2,AQ$100*EXP(-(LN(2)/$D$65+0.04)*(VLOOKUP(($F$16-$F$15)-1,AK$99:AO240,4,FALSE)))*EXP(-(LN(2)/$D$65+0.1)*(VLOOKUP(($F$16-$F$15)-1,AK$99:AO240,5,FALSE)))*EXP(-(LN(2)/$D$65+0.04)*AN240)*EXP(-(LN(2)/$D$65+0.1)*AO240),IF(AL240=3,AQ$100*EXP(-(LN(2)/$D$65+0.04)*(VLOOKUP(($F$16-$F$15)-1,AK$99:AO240,4,FALSE)))*EXP(-(LN(2)/$D$65+0.1)*(VLOOKUP(($F$16-$F$15)-1,AK$99:AO240,5,FALSE)))*EXP(-(LN(2)/$D$65+0.04)*(VLOOKUP(($F$16-$F$15)*2-1,AK$99:AO240,4,FALSE)))*EXP(-(LN(2)/$D$65+0.1)*(VLOOKUP(($F$16-$F$15)*2-1,AK$99:AO240,5,FALSE)))*EXP(-(LN(2)/$D$65+0.04)*AN240)*EXP(-(LN(2)/$D$65+0.1)*AO240),"-"))),"-")</f>
        <v>-</v>
      </c>
      <c r="AR241" s="271" t="str">
        <f>IFERROR(IF(AL241=1,AR$100*EXP(-(LN(2)/$D$65+0.04)*AN241)*EXP(-(LN(2)/$D$65+0.1)*AO241),IF(AL241=2,AR$100*EXP(-(LN(2)/$D$65+0.04)*(VLOOKUP(($F$16-$F$15)-1,AK$100:AO241,4,FALSE)))*EXP(-(LN(2)/$D$65+0.1)*(VLOOKUP(($F$16-$F$15)-1,AK$100:AO241,5,FALSE)))*EXP(-(LN(2)/$D$65+0.04)*AN241)*EXP(-(LN(2)/$D$65+0.1)*AO241),IF(AL241=3,AR$100*EXP(-(LN(2)/$D$65+0.04)*(VLOOKUP(($F$16-$F$15)-1,AK$100:AO241,4,FALSE)))*EXP(-(LN(2)/$D$65+0.1)*(VLOOKUP(($F$16-$F$15)-1,AK$100:AO241,5,FALSE)))*EXP(-(LN(2)/$D$65+0.04)*(VLOOKUP(($F$16-$F$15)*2-1,AK$100:AO241,4,FALSE)))*EXP(-(LN(2)/$D$65+0.1)*(VLOOKUP(($F$16-$F$15)*2-1,AK$100:AO241,5,FALSE)))*EXP(-(LN(2)/$D$65+0.04)*AN241)*EXP(-(LN(2)/$D$65+0.1)*AO241),"-"))),"-")</f>
        <v>-</v>
      </c>
      <c r="AS241" s="274">
        <f t="shared" si="191"/>
        <v>0</v>
      </c>
      <c r="AT241" s="274">
        <f t="shared" si="192"/>
        <v>0</v>
      </c>
      <c r="AU241" s="274">
        <f t="shared" si="193"/>
        <v>0</v>
      </c>
      <c r="AV241" s="190">
        <f>IF($B241&lt;$F$22,SUM($T$100:$T241),"")</f>
        <v>0</v>
      </c>
      <c r="AW241" s="190" t="str">
        <f t="shared" si="194"/>
        <v>-</v>
      </c>
      <c r="AX241" s="190" t="str">
        <f t="shared" si="219"/>
        <v/>
      </c>
      <c r="AY241"/>
      <c r="AZ241" s="190" t="str">
        <f ca="1">IF(ISNUMBER(OFFSET(AV241,-$F$21,0)),SUM(OFFSET($T$100,$F$21,0):$T241),"")</f>
        <v/>
      </c>
      <c r="BA241" s="190" t="str">
        <f t="shared" ca="1" si="195"/>
        <v/>
      </c>
      <c r="BB241" s="190" t="str">
        <f t="shared" ca="1" si="148"/>
        <v/>
      </c>
      <c r="BC241" s="190"/>
      <c r="BD241" s="190" t="str">
        <f ca="1">IFERROR(IF(AND($B241&gt;=($F$16-$F$15),$B241&lt;$F$22+($F$16-$F$15)),SUM(OFFSET($T$100,($F$16-$F$15),0):$T241),""),"")</f>
        <v/>
      </c>
      <c r="BE241" s="190" t="str">
        <f t="shared" ca="1" si="220"/>
        <v/>
      </c>
      <c r="BF241" s="190" t="str">
        <f t="shared" ca="1" si="221"/>
        <v/>
      </c>
      <c r="BG241"/>
      <c r="BH241" s="190" t="str">
        <f ca="1">IF(ISNUMBER(OFFSET(BD241,-$F$21,0)),SUM(OFFSET($T$100,($F$16-$F$15+$F$21),0):$T241),"")</f>
        <v/>
      </c>
      <c r="BI241" s="190" t="str">
        <f t="shared" ca="1" si="196"/>
        <v/>
      </c>
      <c r="BJ241" s="190" t="str">
        <f t="shared" ca="1" si="222"/>
        <v/>
      </c>
      <c r="BK241" s="190"/>
      <c r="BL241" s="190" t="str">
        <f ca="1">IFERROR(IF(AND($B241&gt;=($F$17-$F$15),$B241&lt;$F$22+($F$17-$F$15)),SUM(OFFSET($T$100,($F$17-$F$15),0):$T241),""),"")</f>
        <v/>
      </c>
      <c r="BM241" s="190" t="str">
        <f t="shared" ca="1" si="197"/>
        <v/>
      </c>
      <c r="BN241" s="190" t="str">
        <f t="shared" ca="1" si="223"/>
        <v/>
      </c>
      <c r="BO241"/>
      <c r="BP241" s="190" t="str">
        <f ca="1">IF(ISNUMBER(OFFSET(BL241,-$F$21,0)),SUM(OFFSET($T$100,($F$17-$F$15+$F$21),0):$T241),"")</f>
        <v/>
      </c>
      <c r="BQ241" s="190" t="str">
        <f t="shared" ca="1" si="198"/>
        <v/>
      </c>
      <c r="BR241" s="190" t="str">
        <f t="shared" ca="1" si="224"/>
        <v/>
      </c>
      <c r="BS241" s="190"/>
      <c r="BT241"/>
      <c r="BU241"/>
      <c r="BV241"/>
      <c r="BY241" s="99"/>
      <c r="BZ241" s="99"/>
      <c r="CA241" s="280" t="str">
        <f t="shared" si="199"/>
        <v/>
      </c>
      <c r="CB241" s="71" t="str">
        <f t="shared" si="200"/>
        <v>-</v>
      </c>
      <c r="CC241" s="33"/>
      <c r="CD241" s="261" t="str">
        <f t="shared" si="201"/>
        <v/>
      </c>
      <c r="CE241" s="280" t="str">
        <f t="shared" si="202"/>
        <v>-</v>
      </c>
      <c r="CF241" s="71" t="str">
        <f t="shared" ca="1" si="203"/>
        <v>-</v>
      </c>
      <c r="CG241" s="33" t="str">
        <f t="shared" si="204"/>
        <v>141-142</v>
      </c>
      <c r="CH241" s="261" t="str">
        <f t="shared" ca="1" si="205"/>
        <v/>
      </c>
    </row>
    <row r="242" spans="2:86" ht="13.5" customHeight="1" x14ac:dyDescent="0.2">
      <c r="B242" s="262">
        <v>142</v>
      </c>
      <c r="C242" s="237" t="str">
        <f t="shared" si="169"/>
        <v/>
      </c>
      <c r="D242" s="237" t="str">
        <f t="shared" si="225"/>
        <v>-</v>
      </c>
      <c r="E242" s="263" t="str">
        <f t="shared" si="206"/>
        <v/>
      </c>
      <c r="F242" s="264" t="str">
        <f t="shared" si="207"/>
        <v/>
      </c>
      <c r="G242" s="264" t="str">
        <f t="shared" si="208"/>
        <v/>
      </c>
      <c r="H242" s="240" t="str">
        <f t="shared" si="170"/>
        <v/>
      </c>
      <c r="I242" s="265" t="str">
        <f t="shared" si="171"/>
        <v/>
      </c>
      <c r="J242" s="265" t="str">
        <f t="shared" si="172"/>
        <v/>
      </c>
      <c r="K242" s="240" t="str">
        <f t="shared" si="173"/>
        <v/>
      </c>
      <c r="L242" s="265" t="str">
        <f t="shared" si="174"/>
        <v/>
      </c>
      <c r="M242" s="265" t="str">
        <f t="shared" si="175"/>
        <v/>
      </c>
      <c r="N242" s="240" t="str">
        <f t="shared" si="176"/>
        <v>-</v>
      </c>
      <c r="O242" s="265" t="str">
        <f t="shared" si="177"/>
        <v>-</v>
      </c>
      <c r="P242" s="265" t="str">
        <f t="shared" si="178"/>
        <v>-</v>
      </c>
      <c r="Q242" s="266" t="str">
        <f t="shared" si="179"/>
        <v>-</v>
      </c>
      <c r="R242" s="267" t="str">
        <f t="shared" si="180"/>
        <v>-</v>
      </c>
      <c r="S242" s="268" t="str">
        <f t="shared" si="181"/>
        <v>-</v>
      </c>
      <c r="T242" s="269" t="str">
        <f t="shared" si="182"/>
        <v/>
      </c>
      <c r="U242" s="221">
        <f t="shared" si="183"/>
        <v>142</v>
      </c>
      <c r="V242" s="220" t="str">
        <f t="shared" si="209"/>
        <v>-</v>
      </c>
      <c r="W242" s="221" t="str">
        <f t="shared" si="210"/>
        <v>-</v>
      </c>
      <c r="X242" s="221" t="str">
        <f t="shared" si="184"/>
        <v>-</v>
      </c>
      <c r="Y242" s="221" t="str">
        <f t="shared" si="185"/>
        <v>-</v>
      </c>
      <c r="Z242" s="270">
        <f t="shared" si="211"/>
        <v>0.1</v>
      </c>
      <c r="AA242" s="271" t="str">
        <f>IFERROR(IF(V241=1,AA$100*EXP(-(LN(2)/$D$65+0.04)*X241)*EXP(-(LN(2)/$D$65+0.1)*Y241),IF(V241=2,AA$100*EXP(-(LN(2)/$D$65+0.04)*(VLOOKUP(($F$16-$F$15)-1,U$99:Y241,4,FALSE)))*EXP(-(LN(2)/$D$65+0.1)*(VLOOKUP(($F$16-$F$15)-1,U$99:Y241,5,FALSE)))*EXP(-(LN(2)/$D$65+0.04)*X241)*EXP(-(LN(2)/$D$65+0.1)*Y241),IF(V241=3,AA$100*EXP(-(LN(2)/$D$65+0.04)*(VLOOKUP(($F$16-$F$15)-1,U$99:Y241,4,FALSE)))*EXP(-(LN(2)/$D$65+0.1)*(VLOOKUP(($F$16-$F$15)-1,U$99:Y241,5,FALSE)))*EXP(-(LN(2)/$D$65+0.04)*(VLOOKUP(($F$16-$F$15)*2-1,U$99:Y241,4,FALSE)))*EXP(-(LN(2)/$D$65+0.1)*(VLOOKUP(($F$16-$F$15)*2-1,U$99:Y241,5,FALSE)))*EXP(-(LN(2)/$D$65+0.04)*X241)*EXP(-(LN(2)/$D$65+0.1)*Y241),"-"))),"-")</f>
        <v>-</v>
      </c>
      <c r="AB242" s="271" t="str">
        <f>IFERROR(IF(V242=1,AB$100*EXP(-(LN(2)/$D$65+0.04)*X242)*EXP(-(LN(2)/$D$65+0.1)*Y242),IF(V242=2,AB$100*EXP(-(LN(2)/$D$65+0.04)*(VLOOKUP(($F$16-$F$15)-1,U$100:Y242,4,FALSE)))*EXP(-(LN(2)/$D$65+0.1)*(VLOOKUP(($F$16-$F$15)-1,U$100:Y242,5,FALSE)))*EXP(-(LN(2)/$D$65+0.04)*X242)*EXP(-(LN(2)/$D$65+0.1)*Y242),IF(V242=3,AB$100*EXP(-(LN(2)/$D$65+0.04)*(VLOOKUP(($F$16-$F$15)-1,U$100:Y242,4,FALSE)))*EXP(-(LN(2)/$D$65+0.1)*(VLOOKUP(($F$16-$F$15)-1,U$100:Y242,5,FALSE)))*EXP(-(LN(2)/$D$65+0.04)*(VLOOKUP(($F$16-$F$15)*2-1,U$100:Y242,4,FALSE)))*EXP(-(LN(2)/$D$65+0.1)*(VLOOKUP(($F$16-$F$15)*2-1,U$100:Y242,5,FALSE)))*EXP(-(LN(2)/$D$65+0.04)*X242)*EXP(-(LN(2)/$D$65+0.1)*Y242),"-"))),"-")</f>
        <v>-</v>
      </c>
      <c r="AC242" s="224">
        <f t="shared" ref="AC242:AC250" si="226">B242</f>
        <v>142</v>
      </c>
      <c r="AD242" s="223" t="str">
        <f t="shared" si="186"/>
        <v>-</v>
      </c>
      <c r="AE242" s="224" t="str">
        <f t="shared" si="213"/>
        <v>-</v>
      </c>
      <c r="AF242" s="224" t="str">
        <f t="shared" si="187"/>
        <v>-</v>
      </c>
      <c r="AG242" s="224" t="str">
        <f t="shared" si="188"/>
        <v>-</v>
      </c>
      <c r="AH242" s="272">
        <f t="shared" si="214"/>
        <v>0.1</v>
      </c>
      <c r="AI242" s="271" t="str">
        <f>IFERROR(IF(AD241=1,AI$100*EXP(-(LN(2)/$D$65+0.04)*AF241)*EXP(-(LN(2)/$D$65+0.1)*AG241),IF(AD241=2,AI$100*EXP(-(LN(2)/$D$65+0.04)*(VLOOKUP(($F$16-$F$15)-1,AC$99:AG241,4,FALSE)))*EXP(-(LN(2)/$D$65+0.1)*(VLOOKUP(($F$16-$F$15)-1,AC$99:AG241,5,FALSE)))*EXP(-(LN(2)/$D$65+0.04)*AF241)*EXP(-(LN(2)/$D$65+0.1)*AG241),IF(AD241=3,AI$100*EXP(-(LN(2)/$D$65+0.04)*(VLOOKUP(($F$16-$F$15)-1,AC$99:AG241,4,FALSE)))*EXP(-(LN(2)/$D$65+0.1)*(VLOOKUP(($F$16-$F$15)-1,AC$99:AG241,5,FALSE)))*EXP(-(LN(2)/$D$65+0.04)*(VLOOKUP(($F$16-$F$15)*2-1,AC$99:AG241,4,FALSE)))*EXP(-(LN(2)/$D$65+0.1)*(VLOOKUP(($F$16-$F$15)*2-1,AC$99:AG241,5,FALSE)))*EXP(-(LN(2)/$D$65+0.04)*AF241)*EXP(-(LN(2)/$D$65+0.1)*AG241),"-"))),"-")</f>
        <v>-</v>
      </c>
      <c r="AJ242" s="271" t="str">
        <f>IFERROR(IF(AD242=1,AJ$100*EXP(-(LN(2)/$D$65+0.04)*AF242)*EXP(-(LN(2)/$D$65+0.1)*AG242),IF(AD242=2,AJ$100*EXP(-(LN(2)/$D$65+0.04)*(VLOOKUP(($F$16-$F$15)-1,AC$100:AG242,4,FALSE)))*EXP(-(LN(2)/$D$65+0.1)*(VLOOKUP(($F$16-$F$15)-1,AC$100:AG242,5,FALSE)))*EXP(-(LN(2)/$D$65+0.04)*AF242)*EXP(-(LN(2)/$D$65+0.1)*AG242),IF(AD242=3,AJ$100*EXP(-(LN(2)/$D$65+0.04)*(VLOOKUP(($F$16-$F$15)-1,AC$100:AG242,4,FALSE)))*EXP(-(LN(2)/$D$65+0.1)*(VLOOKUP(($F$16-$F$15)-1,AC$100:AG242,5,FALSE)))*EXP(-(LN(2)/$D$65+0.04)*(VLOOKUP(($F$16-$F$15)*2-1,AC$100:AG242,4,FALSE)))*EXP(-(LN(2)/$D$65+0.1)*(VLOOKUP(($F$16-$F$15)*2-1,AC$100:AG242,5,FALSE)))*EXP(-(LN(2)/$D$65+0.04)*AF242)*EXP(-(LN(2)/$D$65+0.1)*AG242),"-"))),"-")</f>
        <v>-</v>
      </c>
      <c r="AK242" s="227">
        <f t="shared" si="215"/>
        <v>142</v>
      </c>
      <c r="AL242" s="226" t="str">
        <f t="shared" si="189"/>
        <v>-</v>
      </c>
      <c r="AM242" s="227" t="str">
        <f t="shared" si="216"/>
        <v>-</v>
      </c>
      <c r="AN242" s="227" t="str">
        <f t="shared" si="217"/>
        <v>-</v>
      </c>
      <c r="AO242" s="227" t="str">
        <f t="shared" si="190"/>
        <v>-</v>
      </c>
      <c r="AP242" s="273">
        <f t="shared" si="218"/>
        <v>0.1</v>
      </c>
      <c r="AQ242" s="271" t="str">
        <f>IFERROR(IF(AL241=1,AQ$100*EXP(-(LN(2)/$D$65+0.04)*AN241)*EXP(-(LN(2)/$D$65+0.1)*AO241),IF(AL241=2,AQ$100*EXP(-(LN(2)/$D$65+0.04)*(VLOOKUP(($F$16-$F$15)-1,AK$99:AO241,4,FALSE)))*EXP(-(LN(2)/$D$65+0.1)*(VLOOKUP(($F$16-$F$15)-1,AK$99:AO241,5,FALSE)))*EXP(-(LN(2)/$D$65+0.04)*AN241)*EXP(-(LN(2)/$D$65+0.1)*AO241),IF(AL241=3,AQ$100*EXP(-(LN(2)/$D$65+0.04)*(VLOOKUP(($F$16-$F$15)-1,AK$99:AO241,4,FALSE)))*EXP(-(LN(2)/$D$65+0.1)*(VLOOKUP(($F$16-$F$15)-1,AK$99:AO241,5,FALSE)))*EXP(-(LN(2)/$D$65+0.04)*(VLOOKUP(($F$16-$F$15)*2-1,AK$99:AO241,4,FALSE)))*EXP(-(LN(2)/$D$65+0.1)*(VLOOKUP(($F$16-$F$15)*2-1,AK$99:AO241,5,FALSE)))*EXP(-(LN(2)/$D$65+0.04)*AN241)*EXP(-(LN(2)/$D$65+0.1)*AO241),"-"))),"-")</f>
        <v>-</v>
      </c>
      <c r="AR242" s="271" t="str">
        <f>IFERROR(IF(AL242=1,AR$100*EXP(-(LN(2)/$D$65+0.04)*AN242)*EXP(-(LN(2)/$D$65+0.1)*AO242),IF(AL242=2,AR$100*EXP(-(LN(2)/$D$65+0.04)*(VLOOKUP(($F$16-$F$15)-1,AK$100:AO242,4,FALSE)))*EXP(-(LN(2)/$D$65+0.1)*(VLOOKUP(($F$16-$F$15)-1,AK$100:AO242,5,FALSE)))*EXP(-(LN(2)/$D$65+0.04)*AN242)*EXP(-(LN(2)/$D$65+0.1)*AO242),IF(AL242=3,AR$100*EXP(-(LN(2)/$D$65+0.04)*(VLOOKUP(($F$16-$F$15)-1,AK$100:AO242,4,FALSE)))*EXP(-(LN(2)/$D$65+0.1)*(VLOOKUP(($F$16-$F$15)-1,AK$100:AO242,5,FALSE)))*EXP(-(LN(2)/$D$65+0.04)*(VLOOKUP(($F$16-$F$15)*2-1,AK$100:AO242,4,FALSE)))*EXP(-(LN(2)/$D$65+0.1)*(VLOOKUP(($F$16-$F$15)*2-1,AK$100:AO242,5,FALSE)))*EXP(-(LN(2)/$D$65+0.04)*AN242)*EXP(-(LN(2)/$D$65+0.1)*AO242),"-"))),"-")</f>
        <v>-</v>
      </c>
      <c r="AS242" s="274">
        <f t="shared" si="191"/>
        <v>0</v>
      </c>
      <c r="AT242" s="274">
        <f t="shared" si="192"/>
        <v>0</v>
      </c>
      <c r="AU242" s="274">
        <f t="shared" si="193"/>
        <v>0</v>
      </c>
      <c r="AV242" s="190">
        <f>IF($B242&lt;$F$22,SUM($T$100:$T242),"")</f>
        <v>0</v>
      </c>
      <c r="AW242" s="190" t="str">
        <f t="shared" si="194"/>
        <v>-</v>
      </c>
      <c r="AX242" s="190" t="str">
        <f t="shared" si="219"/>
        <v/>
      </c>
      <c r="AY242"/>
      <c r="AZ242" s="190" t="str">
        <f ca="1">IF(ISNUMBER(OFFSET(AV242,-$F$21,0)),SUM(OFFSET($T$100,$F$21,0):$T242),"")</f>
        <v/>
      </c>
      <c r="BA242" s="190" t="str">
        <f t="shared" ca="1" si="195"/>
        <v/>
      </c>
      <c r="BB242" s="190" t="str">
        <f t="shared" ca="1" si="148"/>
        <v/>
      </c>
      <c r="BC242" s="190"/>
      <c r="BD242" s="190" t="str">
        <f ca="1">IFERROR(IF(AND($B242&gt;=($F$16-$F$15),$B242&lt;$F$22+($F$16-$F$15)),SUM(OFFSET($T$100,($F$16-$F$15),0):$T242),""),"")</f>
        <v/>
      </c>
      <c r="BE242" s="190" t="str">
        <f t="shared" ca="1" si="220"/>
        <v/>
      </c>
      <c r="BF242" s="190" t="str">
        <f t="shared" ca="1" si="221"/>
        <v/>
      </c>
      <c r="BG242"/>
      <c r="BH242" s="190" t="str">
        <f ca="1">IF(ISNUMBER(OFFSET(BD242,-$F$21,0)),SUM(OFFSET($T$100,($F$16-$F$15+$F$21),0):$T242),"")</f>
        <v/>
      </c>
      <c r="BI242" s="190" t="str">
        <f t="shared" ca="1" si="196"/>
        <v/>
      </c>
      <c r="BJ242" s="190" t="str">
        <f t="shared" ca="1" si="222"/>
        <v/>
      </c>
      <c r="BK242" s="190"/>
      <c r="BL242" s="190" t="str">
        <f ca="1">IFERROR(IF(AND($B242&gt;=($F$17-$F$15),$B242&lt;$F$22+($F$17-$F$15)),SUM(OFFSET($T$100,($F$17-$F$15),0):$T242),""),"")</f>
        <v/>
      </c>
      <c r="BM242" s="190" t="str">
        <f t="shared" ca="1" si="197"/>
        <v/>
      </c>
      <c r="BN242" s="190" t="str">
        <f t="shared" ca="1" si="223"/>
        <v/>
      </c>
      <c r="BO242"/>
      <c r="BP242" s="190" t="str">
        <f ca="1">IF(ISNUMBER(OFFSET(BL242,-$F$21,0)),SUM(OFFSET($T$100,($F$17-$F$15+$F$21),0):$T242),"")</f>
        <v/>
      </c>
      <c r="BQ242" s="190" t="str">
        <f t="shared" ca="1" si="198"/>
        <v/>
      </c>
      <c r="BR242" s="190" t="str">
        <f t="shared" ca="1" si="224"/>
        <v/>
      </c>
      <c r="BS242" s="190"/>
      <c r="BT242"/>
      <c r="BU242"/>
      <c r="BV242"/>
      <c r="BY242" s="99"/>
      <c r="BZ242" s="99"/>
      <c r="CA242" s="280" t="str">
        <f t="shared" si="199"/>
        <v/>
      </c>
      <c r="CB242" s="71" t="str">
        <f t="shared" si="200"/>
        <v>-</v>
      </c>
      <c r="CC242" s="33"/>
      <c r="CD242" s="261" t="str">
        <f t="shared" si="201"/>
        <v/>
      </c>
      <c r="CE242" s="280" t="str">
        <f t="shared" si="202"/>
        <v>-</v>
      </c>
      <c r="CF242" s="71" t="str">
        <f t="shared" ca="1" si="203"/>
        <v>-</v>
      </c>
      <c r="CG242" s="33" t="str">
        <f t="shared" si="204"/>
        <v>142-143</v>
      </c>
      <c r="CH242" s="261" t="str">
        <f t="shared" ca="1" si="205"/>
        <v/>
      </c>
    </row>
    <row r="243" spans="2:86" ht="13.5" customHeight="1" x14ac:dyDescent="0.2">
      <c r="B243" s="262">
        <v>143</v>
      </c>
      <c r="C243" s="237" t="str">
        <f t="shared" si="169"/>
        <v/>
      </c>
      <c r="D243" s="237" t="str">
        <f t="shared" si="225"/>
        <v>-</v>
      </c>
      <c r="E243" s="263" t="str">
        <f t="shared" si="206"/>
        <v/>
      </c>
      <c r="F243" s="264" t="str">
        <f t="shared" si="207"/>
        <v/>
      </c>
      <c r="G243" s="264" t="str">
        <f t="shared" si="208"/>
        <v/>
      </c>
      <c r="H243" s="240" t="str">
        <f t="shared" si="170"/>
        <v/>
      </c>
      <c r="I243" s="265" t="str">
        <f t="shared" si="171"/>
        <v/>
      </c>
      <c r="J243" s="265" t="str">
        <f t="shared" si="172"/>
        <v/>
      </c>
      <c r="K243" s="240" t="str">
        <f t="shared" si="173"/>
        <v/>
      </c>
      <c r="L243" s="265" t="str">
        <f t="shared" si="174"/>
        <v/>
      </c>
      <c r="M243" s="265" t="str">
        <f t="shared" si="175"/>
        <v/>
      </c>
      <c r="N243" s="240" t="str">
        <f t="shared" si="176"/>
        <v>-</v>
      </c>
      <c r="O243" s="265" t="str">
        <f t="shared" si="177"/>
        <v>-</v>
      </c>
      <c r="P243" s="265" t="str">
        <f t="shared" si="178"/>
        <v>-</v>
      </c>
      <c r="Q243" s="266" t="str">
        <f t="shared" si="179"/>
        <v>-</v>
      </c>
      <c r="R243" s="267" t="str">
        <f t="shared" si="180"/>
        <v>-</v>
      </c>
      <c r="S243" s="268" t="str">
        <f t="shared" si="181"/>
        <v>-</v>
      </c>
      <c r="T243" s="269" t="str">
        <f t="shared" si="182"/>
        <v/>
      </c>
      <c r="U243" s="221">
        <f t="shared" si="183"/>
        <v>143</v>
      </c>
      <c r="V243" s="220" t="str">
        <f t="shared" si="209"/>
        <v>-</v>
      </c>
      <c r="W243" s="221" t="str">
        <f t="shared" si="210"/>
        <v>-</v>
      </c>
      <c r="X243" s="221" t="str">
        <f t="shared" si="184"/>
        <v>-</v>
      </c>
      <c r="Y243" s="221" t="str">
        <f t="shared" si="185"/>
        <v>-</v>
      </c>
      <c r="Z243" s="270">
        <f t="shared" si="211"/>
        <v>0.1</v>
      </c>
      <c r="AA243" s="271" t="str">
        <f>IFERROR(IF(V242=1,AA$100*EXP(-(LN(2)/$D$65+0.04)*X242)*EXP(-(LN(2)/$D$65+0.1)*Y242),IF(V242=2,AA$100*EXP(-(LN(2)/$D$65+0.04)*(VLOOKUP(($F$16-$F$15)-1,U$99:Y242,4,FALSE)))*EXP(-(LN(2)/$D$65+0.1)*(VLOOKUP(($F$16-$F$15)-1,U$99:Y242,5,FALSE)))*EXP(-(LN(2)/$D$65+0.04)*X242)*EXP(-(LN(2)/$D$65+0.1)*Y242),IF(V242=3,AA$100*EXP(-(LN(2)/$D$65+0.04)*(VLOOKUP(($F$16-$F$15)-1,U$99:Y242,4,FALSE)))*EXP(-(LN(2)/$D$65+0.1)*(VLOOKUP(($F$16-$F$15)-1,U$99:Y242,5,FALSE)))*EXP(-(LN(2)/$D$65+0.04)*(VLOOKUP(($F$16-$F$15)*2-1,U$99:Y242,4,FALSE)))*EXP(-(LN(2)/$D$65+0.1)*(VLOOKUP(($F$16-$F$15)*2-1,U$99:Y242,5,FALSE)))*EXP(-(LN(2)/$D$65+0.04)*X242)*EXP(-(LN(2)/$D$65+0.1)*Y242),"-"))),"-")</f>
        <v>-</v>
      </c>
      <c r="AB243" s="271" t="str">
        <f>IFERROR(IF(V243=1,AB$100*EXP(-(LN(2)/$D$65+0.04)*X243)*EXP(-(LN(2)/$D$65+0.1)*Y243),IF(V243=2,AB$100*EXP(-(LN(2)/$D$65+0.04)*(VLOOKUP(($F$16-$F$15)-1,U$100:Y243,4,FALSE)))*EXP(-(LN(2)/$D$65+0.1)*(VLOOKUP(($F$16-$F$15)-1,U$100:Y243,5,FALSE)))*EXP(-(LN(2)/$D$65+0.04)*X243)*EXP(-(LN(2)/$D$65+0.1)*Y243),IF(V243=3,AB$100*EXP(-(LN(2)/$D$65+0.04)*(VLOOKUP(($F$16-$F$15)-1,U$100:Y243,4,FALSE)))*EXP(-(LN(2)/$D$65+0.1)*(VLOOKUP(($F$16-$F$15)-1,U$100:Y243,5,FALSE)))*EXP(-(LN(2)/$D$65+0.04)*(VLOOKUP(($F$16-$F$15)*2-1,U$100:Y243,4,FALSE)))*EXP(-(LN(2)/$D$65+0.1)*(VLOOKUP(($F$16-$F$15)*2-1,U$100:Y243,5,FALSE)))*EXP(-(LN(2)/$D$65+0.04)*X243)*EXP(-(LN(2)/$D$65+0.1)*Y243),"-"))),"-")</f>
        <v>-</v>
      </c>
      <c r="AC243" s="224">
        <f t="shared" si="226"/>
        <v>143</v>
      </c>
      <c r="AD243" s="223" t="str">
        <f t="shared" si="186"/>
        <v>-</v>
      </c>
      <c r="AE243" s="224" t="str">
        <f t="shared" si="213"/>
        <v>-</v>
      </c>
      <c r="AF243" s="224" t="str">
        <f t="shared" si="187"/>
        <v>-</v>
      </c>
      <c r="AG243" s="224" t="str">
        <f t="shared" si="188"/>
        <v>-</v>
      </c>
      <c r="AH243" s="272">
        <f t="shared" si="214"/>
        <v>0.1</v>
      </c>
      <c r="AI243" s="271" t="str">
        <f>IFERROR(IF(AD242=1,AI$100*EXP(-(LN(2)/$D$65+0.04)*AF242)*EXP(-(LN(2)/$D$65+0.1)*AG242),IF(AD242=2,AI$100*EXP(-(LN(2)/$D$65+0.04)*(VLOOKUP(($F$16-$F$15)-1,AC$99:AG242,4,FALSE)))*EXP(-(LN(2)/$D$65+0.1)*(VLOOKUP(($F$16-$F$15)-1,AC$99:AG242,5,FALSE)))*EXP(-(LN(2)/$D$65+0.04)*AF242)*EXP(-(LN(2)/$D$65+0.1)*AG242),IF(AD242=3,AI$100*EXP(-(LN(2)/$D$65+0.04)*(VLOOKUP(($F$16-$F$15)-1,AC$99:AG242,4,FALSE)))*EXP(-(LN(2)/$D$65+0.1)*(VLOOKUP(($F$16-$F$15)-1,AC$99:AG242,5,FALSE)))*EXP(-(LN(2)/$D$65+0.04)*(VLOOKUP(($F$16-$F$15)*2-1,AC$99:AG242,4,FALSE)))*EXP(-(LN(2)/$D$65+0.1)*(VLOOKUP(($F$16-$F$15)*2-1,AC$99:AG242,5,FALSE)))*EXP(-(LN(2)/$D$65+0.04)*AF242)*EXP(-(LN(2)/$D$65+0.1)*AG242),"-"))),"-")</f>
        <v>-</v>
      </c>
      <c r="AJ243" s="271" t="str">
        <f>IFERROR(IF(AD243=1,AJ$100*EXP(-(LN(2)/$D$65+0.04)*AF243)*EXP(-(LN(2)/$D$65+0.1)*AG243),IF(AD243=2,AJ$100*EXP(-(LN(2)/$D$65+0.04)*(VLOOKUP(($F$16-$F$15)-1,AC$100:AG243,4,FALSE)))*EXP(-(LN(2)/$D$65+0.1)*(VLOOKUP(($F$16-$F$15)-1,AC$100:AG243,5,FALSE)))*EXP(-(LN(2)/$D$65+0.04)*AF243)*EXP(-(LN(2)/$D$65+0.1)*AG243),IF(AD243=3,AJ$100*EXP(-(LN(2)/$D$65+0.04)*(VLOOKUP(($F$16-$F$15)-1,AC$100:AG243,4,FALSE)))*EXP(-(LN(2)/$D$65+0.1)*(VLOOKUP(($F$16-$F$15)-1,AC$100:AG243,5,FALSE)))*EXP(-(LN(2)/$D$65+0.04)*(VLOOKUP(($F$16-$F$15)*2-1,AC$100:AG243,4,FALSE)))*EXP(-(LN(2)/$D$65+0.1)*(VLOOKUP(($F$16-$F$15)*2-1,AC$100:AG243,5,FALSE)))*EXP(-(LN(2)/$D$65+0.04)*AF243)*EXP(-(LN(2)/$D$65+0.1)*AG243),"-"))),"-")</f>
        <v>-</v>
      </c>
      <c r="AK243" s="227">
        <f t="shared" si="215"/>
        <v>143</v>
      </c>
      <c r="AL243" s="226" t="str">
        <f t="shared" si="189"/>
        <v>-</v>
      </c>
      <c r="AM243" s="227" t="str">
        <f t="shared" si="216"/>
        <v>-</v>
      </c>
      <c r="AN243" s="227" t="str">
        <f t="shared" si="217"/>
        <v>-</v>
      </c>
      <c r="AO243" s="227" t="str">
        <f t="shared" si="190"/>
        <v>-</v>
      </c>
      <c r="AP243" s="273">
        <f t="shared" si="218"/>
        <v>0.1</v>
      </c>
      <c r="AQ243" s="271" t="str">
        <f>IFERROR(IF(AL242=1,AQ$100*EXP(-(LN(2)/$D$65+0.04)*AN242)*EXP(-(LN(2)/$D$65+0.1)*AO242),IF(AL242=2,AQ$100*EXP(-(LN(2)/$D$65+0.04)*(VLOOKUP(($F$16-$F$15)-1,AK$99:AO242,4,FALSE)))*EXP(-(LN(2)/$D$65+0.1)*(VLOOKUP(($F$16-$F$15)-1,AK$99:AO242,5,FALSE)))*EXP(-(LN(2)/$D$65+0.04)*AN242)*EXP(-(LN(2)/$D$65+0.1)*AO242),IF(AL242=3,AQ$100*EXP(-(LN(2)/$D$65+0.04)*(VLOOKUP(($F$16-$F$15)-1,AK$99:AO242,4,FALSE)))*EXP(-(LN(2)/$D$65+0.1)*(VLOOKUP(($F$16-$F$15)-1,AK$99:AO242,5,FALSE)))*EXP(-(LN(2)/$D$65+0.04)*(VLOOKUP(($F$16-$F$15)*2-1,AK$99:AO242,4,FALSE)))*EXP(-(LN(2)/$D$65+0.1)*(VLOOKUP(($F$16-$F$15)*2-1,AK$99:AO242,5,FALSE)))*EXP(-(LN(2)/$D$65+0.04)*AN242)*EXP(-(LN(2)/$D$65+0.1)*AO242),"-"))),"-")</f>
        <v>-</v>
      </c>
      <c r="AR243" s="271" t="str">
        <f>IFERROR(IF(AL243=1,AR$100*EXP(-(LN(2)/$D$65+0.04)*AN243)*EXP(-(LN(2)/$D$65+0.1)*AO243),IF(AL243=2,AR$100*EXP(-(LN(2)/$D$65+0.04)*(VLOOKUP(($F$16-$F$15)-1,AK$100:AO243,4,FALSE)))*EXP(-(LN(2)/$D$65+0.1)*(VLOOKUP(($F$16-$F$15)-1,AK$100:AO243,5,FALSE)))*EXP(-(LN(2)/$D$65+0.04)*AN243)*EXP(-(LN(2)/$D$65+0.1)*AO243),IF(AL243=3,AR$100*EXP(-(LN(2)/$D$65+0.04)*(VLOOKUP(($F$16-$F$15)-1,AK$100:AO243,4,FALSE)))*EXP(-(LN(2)/$D$65+0.1)*(VLOOKUP(($F$16-$F$15)-1,AK$100:AO243,5,FALSE)))*EXP(-(LN(2)/$D$65+0.04)*(VLOOKUP(($F$16-$F$15)*2-1,AK$100:AO243,4,FALSE)))*EXP(-(LN(2)/$D$65+0.1)*(VLOOKUP(($F$16-$F$15)*2-1,AK$100:AO243,5,FALSE)))*EXP(-(LN(2)/$D$65+0.04)*AN243)*EXP(-(LN(2)/$D$65+0.1)*AO243),"-"))),"-")</f>
        <v>-</v>
      </c>
      <c r="AS243" s="274">
        <f t="shared" si="191"/>
        <v>0</v>
      </c>
      <c r="AT243" s="274">
        <f t="shared" si="192"/>
        <v>0</v>
      </c>
      <c r="AU243" s="274">
        <f t="shared" si="193"/>
        <v>0</v>
      </c>
      <c r="AV243" s="190">
        <f>IF($B243&lt;$F$22,SUM($T$100:$T243),"")</f>
        <v>0</v>
      </c>
      <c r="AW243" s="190" t="str">
        <f t="shared" si="194"/>
        <v>-</v>
      </c>
      <c r="AX243" s="190" t="str">
        <f t="shared" si="219"/>
        <v/>
      </c>
      <c r="AY243"/>
      <c r="AZ243" s="190" t="str">
        <f ca="1">IF(ISNUMBER(OFFSET(AV243,-$F$21,0)),SUM(OFFSET($T$100,$F$21,0):$T243),"")</f>
        <v/>
      </c>
      <c r="BA243" s="190" t="str">
        <f t="shared" ca="1" si="195"/>
        <v/>
      </c>
      <c r="BB243" s="190" t="str">
        <f t="shared" ca="1" si="148"/>
        <v/>
      </c>
      <c r="BC243" s="190"/>
      <c r="BD243" s="190" t="str">
        <f ca="1">IFERROR(IF(AND($B243&gt;=($F$16-$F$15),$B243&lt;$F$22+($F$16-$F$15)),SUM(OFFSET($T$100,($F$16-$F$15),0):$T243),""),"")</f>
        <v/>
      </c>
      <c r="BE243" s="190" t="str">
        <f t="shared" ca="1" si="220"/>
        <v/>
      </c>
      <c r="BF243" s="190" t="str">
        <f t="shared" ca="1" si="221"/>
        <v/>
      </c>
      <c r="BG243"/>
      <c r="BH243" s="190" t="str">
        <f ca="1">IF(ISNUMBER(OFFSET(BD243,-$F$21,0)),SUM(OFFSET($T$100,($F$16-$F$15+$F$21),0):$T243),"")</f>
        <v/>
      </c>
      <c r="BI243" s="190" t="str">
        <f t="shared" ca="1" si="196"/>
        <v/>
      </c>
      <c r="BJ243" s="190" t="str">
        <f t="shared" ca="1" si="222"/>
        <v/>
      </c>
      <c r="BK243" s="190"/>
      <c r="BL243" s="190" t="str">
        <f ca="1">IFERROR(IF(AND($B243&gt;=($F$17-$F$15),$B243&lt;$F$22+($F$17-$F$15)),SUM(OFFSET($T$100,($F$17-$F$15),0):$T243),""),"")</f>
        <v/>
      </c>
      <c r="BM243" s="190" t="str">
        <f t="shared" ca="1" si="197"/>
        <v/>
      </c>
      <c r="BN243" s="190" t="str">
        <f t="shared" ca="1" si="223"/>
        <v/>
      </c>
      <c r="BO243"/>
      <c r="BP243" s="190" t="str">
        <f ca="1">IF(ISNUMBER(OFFSET(BL243,-$F$21,0)),SUM(OFFSET($T$100,($F$17-$F$15+$F$21),0):$T243),"")</f>
        <v/>
      </c>
      <c r="BQ243" s="190" t="str">
        <f t="shared" ca="1" si="198"/>
        <v/>
      </c>
      <c r="BR243" s="190" t="str">
        <f t="shared" ca="1" si="224"/>
        <v/>
      </c>
      <c r="BS243" s="190"/>
      <c r="BT243"/>
      <c r="BU243"/>
      <c r="BV243"/>
      <c r="BY243" s="99"/>
      <c r="BZ243" s="99"/>
      <c r="CA243" s="280" t="str">
        <f t="shared" si="199"/>
        <v/>
      </c>
      <c r="CB243" s="71" t="str">
        <f t="shared" si="200"/>
        <v>-</v>
      </c>
      <c r="CC243" s="33"/>
      <c r="CD243" s="261" t="str">
        <f t="shared" si="201"/>
        <v/>
      </c>
      <c r="CE243" s="280" t="str">
        <f t="shared" si="202"/>
        <v>-</v>
      </c>
      <c r="CF243" s="71" t="str">
        <f t="shared" ca="1" si="203"/>
        <v>-</v>
      </c>
      <c r="CG243" s="33" t="str">
        <f t="shared" si="204"/>
        <v>143-144</v>
      </c>
      <c r="CH243" s="261" t="str">
        <f t="shared" ca="1" si="205"/>
        <v/>
      </c>
    </row>
    <row r="244" spans="2:86" ht="13.5" customHeight="1" x14ac:dyDescent="0.2">
      <c r="B244" s="262">
        <v>144</v>
      </c>
      <c r="C244" s="237" t="str">
        <f t="shared" si="169"/>
        <v/>
      </c>
      <c r="D244" s="237" t="str">
        <f t="shared" si="225"/>
        <v>-</v>
      </c>
      <c r="E244" s="263" t="str">
        <f t="shared" si="206"/>
        <v/>
      </c>
      <c r="F244" s="264" t="str">
        <f t="shared" si="207"/>
        <v/>
      </c>
      <c r="G244" s="264" t="str">
        <f t="shared" si="208"/>
        <v/>
      </c>
      <c r="H244" s="240" t="str">
        <f t="shared" si="170"/>
        <v/>
      </c>
      <c r="I244" s="265" t="str">
        <f t="shared" si="171"/>
        <v/>
      </c>
      <c r="J244" s="265" t="str">
        <f t="shared" si="172"/>
        <v/>
      </c>
      <c r="K244" s="240" t="str">
        <f t="shared" si="173"/>
        <v/>
      </c>
      <c r="L244" s="265" t="str">
        <f t="shared" si="174"/>
        <v/>
      </c>
      <c r="M244" s="265" t="str">
        <f t="shared" si="175"/>
        <v/>
      </c>
      <c r="N244" s="240" t="str">
        <f t="shared" si="176"/>
        <v>-</v>
      </c>
      <c r="O244" s="265" t="str">
        <f t="shared" si="177"/>
        <v>-</v>
      </c>
      <c r="P244" s="265" t="str">
        <f t="shared" si="178"/>
        <v>-</v>
      </c>
      <c r="Q244" s="266" t="str">
        <f t="shared" si="179"/>
        <v>-</v>
      </c>
      <c r="R244" s="267" t="str">
        <f t="shared" si="180"/>
        <v>-</v>
      </c>
      <c r="S244" s="268" t="str">
        <f t="shared" si="181"/>
        <v>-</v>
      </c>
      <c r="T244" s="269" t="str">
        <f t="shared" si="182"/>
        <v/>
      </c>
      <c r="U244" s="221">
        <f t="shared" si="183"/>
        <v>144</v>
      </c>
      <c r="V244" s="220" t="str">
        <f t="shared" si="209"/>
        <v>-</v>
      </c>
      <c r="W244" s="221" t="str">
        <f t="shared" si="210"/>
        <v>-</v>
      </c>
      <c r="X244" s="221" t="str">
        <f t="shared" si="184"/>
        <v>-</v>
      </c>
      <c r="Y244" s="221" t="str">
        <f t="shared" si="185"/>
        <v>-</v>
      </c>
      <c r="Z244" s="270">
        <f t="shared" si="211"/>
        <v>0.1</v>
      </c>
      <c r="AA244" s="271" t="str">
        <f>IFERROR(IF(V243=1,AA$100*EXP(-(LN(2)/$D$65+0.04)*X243)*EXP(-(LN(2)/$D$65+0.1)*Y243),IF(V243=2,AA$100*EXP(-(LN(2)/$D$65+0.04)*(VLOOKUP(($F$16-$F$15)-1,U$99:Y243,4,FALSE)))*EXP(-(LN(2)/$D$65+0.1)*(VLOOKUP(($F$16-$F$15)-1,U$99:Y243,5,FALSE)))*EXP(-(LN(2)/$D$65+0.04)*X243)*EXP(-(LN(2)/$D$65+0.1)*Y243),IF(V243=3,AA$100*EXP(-(LN(2)/$D$65+0.04)*(VLOOKUP(($F$16-$F$15)-1,U$99:Y243,4,FALSE)))*EXP(-(LN(2)/$D$65+0.1)*(VLOOKUP(($F$16-$F$15)-1,U$99:Y243,5,FALSE)))*EXP(-(LN(2)/$D$65+0.04)*(VLOOKUP(($F$16-$F$15)*2-1,U$99:Y243,4,FALSE)))*EXP(-(LN(2)/$D$65+0.1)*(VLOOKUP(($F$16-$F$15)*2-1,U$99:Y243,5,FALSE)))*EXP(-(LN(2)/$D$65+0.04)*X243)*EXP(-(LN(2)/$D$65+0.1)*Y243),"-"))),"-")</f>
        <v>-</v>
      </c>
      <c r="AB244" s="271" t="str">
        <f>IFERROR(IF(V244=1,AB$100*EXP(-(LN(2)/$D$65+0.04)*X244)*EXP(-(LN(2)/$D$65+0.1)*Y244),IF(V244=2,AB$100*EXP(-(LN(2)/$D$65+0.04)*(VLOOKUP(($F$16-$F$15)-1,U$100:Y244,4,FALSE)))*EXP(-(LN(2)/$D$65+0.1)*(VLOOKUP(($F$16-$F$15)-1,U$100:Y244,5,FALSE)))*EXP(-(LN(2)/$D$65+0.04)*X244)*EXP(-(LN(2)/$D$65+0.1)*Y244),IF(V244=3,AB$100*EXP(-(LN(2)/$D$65+0.04)*(VLOOKUP(($F$16-$F$15)-1,U$100:Y244,4,FALSE)))*EXP(-(LN(2)/$D$65+0.1)*(VLOOKUP(($F$16-$F$15)-1,U$100:Y244,5,FALSE)))*EXP(-(LN(2)/$D$65+0.04)*(VLOOKUP(($F$16-$F$15)*2-1,U$100:Y244,4,FALSE)))*EXP(-(LN(2)/$D$65+0.1)*(VLOOKUP(($F$16-$F$15)*2-1,U$100:Y244,5,FALSE)))*EXP(-(LN(2)/$D$65+0.04)*X244)*EXP(-(LN(2)/$D$65+0.1)*Y244),"-"))),"-")</f>
        <v>-</v>
      </c>
      <c r="AC244" s="224">
        <f t="shared" si="226"/>
        <v>144</v>
      </c>
      <c r="AD244" s="223" t="str">
        <f t="shared" si="186"/>
        <v>-</v>
      </c>
      <c r="AE244" s="224" t="str">
        <f t="shared" si="213"/>
        <v>-</v>
      </c>
      <c r="AF244" s="224" t="str">
        <f t="shared" si="187"/>
        <v>-</v>
      </c>
      <c r="AG244" s="224" t="str">
        <f t="shared" si="188"/>
        <v>-</v>
      </c>
      <c r="AH244" s="272">
        <f t="shared" si="214"/>
        <v>0.1</v>
      </c>
      <c r="AI244" s="271" t="str">
        <f>IFERROR(IF(AD243=1,AI$100*EXP(-(LN(2)/$D$65+0.04)*AF243)*EXP(-(LN(2)/$D$65+0.1)*AG243),IF(AD243=2,AI$100*EXP(-(LN(2)/$D$65+0.04)*(VLOOKUP(($F$16-$F$15)-1,AC$99:AG243,4,FALSE)))*EXP(-(LN(2)/$D$65+0.1)*(VLOOKUP(($F$16-$F$15)-1,AC$99:AG243,5,FALSE)))*EXP(-(LN(2)/$D$65+0.04)*AF243)*EXP(-(LN(2)/$D$65+0.1)*AG243),IF(AD243=3,AI$100*EXP(-(LN(2)/$D$65+0.04)*(VLOOKUP(($F$16-$F$15)-1,AC$99:AG243,4,FALSE)))*EXP(-(LN(2)/$D$65+0.1)*(VLOOKUP(($F$16-$F$15)-1,AC$99:AG243,5,FALSE)))*EXP(-(LN(2)/$D$65+0.04)*(VLOOKUP(($F$16-$F$15)*2-1,AC$99:AG243,4,FALSE)))*EXP(-(LN(2)/$D$65+0.1)*(VLOOKUP(($F$16-$F$15)*2-1,AC$99:AG243,5,FALSE)))*EXP(-(LN(2)/$D$65+0.04)*AF243)*EXP(-(LN(2)/$D$65+0.1)*AG243),"-"))),"-")</f>
        <v>-</v>
      </c>
      <c r="AJ244" s="271" t="str">
        <f>IFERROR(IF(AD244=1,AJ$100*EXP(-(LN(2)/$D$65+0.04)*AF244)*EXP(-(LN(2)/$D$65+0.1)*AG244),IF(AD244=2,AJ$100*EXP(-(LN(2)/$D$65+0.04)*(VLOOKUP(($F$16-$F$15)-1,AC$100:AG244,4,FALSE)))*EXP(-(LN(2)/$D$65+0.1)*(VLOOKUP(($F$16-$F$15)-1,AC$100:AG244,5,FALSE)))*EXP(-(LN(2)/$D$65+0.04)*AF244)*EXP(-(LN(2)/$D$65+0.1)*AG244),IF(AD244=3,AJ$100*EXP(-(LN(2)/$D$65+0.04)*(VLOOKUP(($F$16-$F$15)-1,AC$100:AG244,4,FALSE)))*EXP(-(LN(2)/$D$65+0.1)*(VLOOKUP(($F$16-$F$15)-1,AC$100:AG244,5,FALSE)))*EXP(-(LN(2)/$D$65+0.04)*(VLOOKUP(($F$16-$F$15)*2-1,AC$100:AG244,4,FALSE)))*EXP(-(LN(2)/$D$65+0.1)*(VLOOKUP(($F$16-$F$15)*2-1,AC$100:AG244,5,FALSE)))*EXP(-(LN(2)/$D$65+0.04)*AF244)*EXP(-(LN(2)/$D$65+0.1)*AG244),"-"))),"-")</f>
        <v>-</v>
      </c>
      <c r="AK244" s="227">
        <f t="shared" si="215"/>
        <v>144</v>
      </c>
      <c r="AL244" s="226" t="str">
        <f t="shared" si="189"/>
        <v>-</v>
      </c>
      <c r="AM244" s="227" t="str">
        <f t="shared" si="216"/>
        <v>-</v>
      </c>
      <c r="AN244" s="227" t="str">
        <f t="shared" si="217"/>
        <v>-</v>
      </c>
      <c r="AO244" s="227" t="str">
        <f t="shared" si="190"/>
        <v>-</v>
      </c>
      <c r="AP244" s="273">
        <f t="shared" si="218"/>
        <v>0.1</v>
      </c>
      <c r="AQ244" s="271" t="str">
        <f>IFERROR(IF(AL243=1,AQ$100*EXP(-(LN(2)/$D$65+0.04)*AN243)*EXP(-(LN(2)/$D$65+0.1)*AO243),IF(AL243=2,AQ$100*EXP(-(LN(2)/$D$65+0.04)*(VLOOKUP(($F$16-$F$15)-1,AK$99:AO243,4,FALSE)))*EXP(-(LN(2)/$D$65+0.1)*(VLOOKUP(($F$16-$F$15)-1,AK$99:AO243,5,FALSE)))*EXP(-(LN(2)/$D$65+0.04)*AN243)*EXP(-(LN(2)/$D$65+0.1)*AO243),IF(AL243=3,AQ$100*EXP(-(LN(2)/$D$65+0.04)*(VLOOKUP(($F$16-$F$15)-1,AK$99:AO243,4,FALSE)))*EXP(-(LN(2)/$D$65+0.1)*(VLOOKUP(($F$16-$F$15)-1,AK$99:AO243,5,FALSE)))*EXP(-(LN(2)/$D$65+0.04)*(VLOOKUP(($F$16-$F$15)*2-1,AK$99:AO243,4,FALSE)))*EXP(-(LN(2)/$D$65+0.1)*(VLOOKUP(($F$16-$F$15)*2-1,AK$99:AO243,5,FALSE)))*EXP(-(LN(2)/$D$65+0.04)*AN243)*EXP(-(LN(2)/$D$65+0.1)*AO243),"-"))),"-")</f>
        <v>-</v>
      </c>
      <c r="AR244" s="271" t="str">
        <f>IFERROR(IF(AL244=1,AR$100*EXP(-(LN(2)/$D$65+0.04)*AN244)*EXP(-(LN(2)/$D$65+0.1)*AO244),IF(AL244=2,AR$100*EXP(-(LN(2)/$D$65+0.04)*(VLOOKUP(($F$16-$F$15)-1,AK$100:AO244,4,FALSE)))*EXP(-(LN(2)/$D$65+0.1)*(VLOOKUP(($F$16-$F$15)-1,AK$100:AO244,5,FALSE)))*EXP(-(LN(2)/$D$65+0.04)*AN244)*EXP(-(LN(2)/$D$65+0.1)*AO244),IF(AL244=3,AR$100*EXP(-(LN(2)/$D$65+0.04)*(VLOOKUP(($F$16-$F$15)-1,AK$100:AO244,4,FALSE)))*EXP(-(LN(2)/$D$65+0.1)*(VLOOKUP(($F$16-$F$15)-1,AK$100:AO244,5,FALSE)))*EXP(-(LN(2)/$D$65+0.04)*(VLOOKUP(($F$16-$F$15)*2-1,AK$100:AO244,4,FALSE)))*EXP(-(LN(2)/$D$65+0.1)*(VLOOKUP(($F$16-$F$15)*2-1,AK$100:AO244,5,FALSE)))*EXP(-(LN(2)/$D$65+0.04)*AN244)*EXP(-(LN(2)/$D$65+0.1)*AO244),"-"))),"-")</f>
        <v>-</v>
      </c>
      <c r="AS244" s="274">
        <f t="shared" si="191"/>
        <v>0</v>
      </c>
      <c r="AT244" s="274">
        <f t="shared" si="192"/>
        <v>0</v>
      </c>
      <c r="AU244" s="274">
        <f t="shared" si="193"/>
        <v>0</v>
      </c>
      <c r="AV244" s="190">
        <f>IF($B244&lt;$F$22,SUM($T$100:$T244),"")</f>
        <v>0</v>
      </c>
      <c r="AW244" s="190" t="str">
        <f t="shared" si="194"/>
        <v>-</v>
      </c>
      <c r="AX244" s="190" t="str">
        <f t="shared" si="219"/>
        <v/>
      </c>
      <c r="AY244"/>
      <c r="AZ244" s="190" t="str">
        <f ca="1">IF(ISNUMBER(OFFSET(AV244,-$F$21,0)),SUM(OFFSET($T$100,$F$21,0):$T244),"")</f>
        <v/>
      </c>
      <c r="BA244" s="190" t="str">
        <f t="shared" ca="1" si="195"/>
        <v/>
      </c>
      <c r="BB244" s="190" t="str">
        <f t="shared" ca="1" si="148"/>
        <v/>
      </c>
      <c r="BC244" s="190"/>
      <c r="BD244" s="190" t="str">
        <f ca="1">IFERROR(IF(AND($B244&gt;=($F$16-$F$15),$B244&lt;$F$22+($F$16-$F$15)),SUM(OFFSET($T$100,($F$16-$F$15),0):$T244),""),"")</f>
        <v/>
      </c>
      <c r="BE244" s="190" t="str">
        <f t="shared" ca="1" si="220"/>
        <v/>
      </c>
      <c r="BF244" s="190" t="str">
        <f t="shared" ca="1" si="221"/>
        <v/>
      </c>
      <c r="BG244"/>
      <c r="BH244" s="190" t="str">
        <f ca="1">IF(ISNUMBER(OFFSET(BD244,-$F$21,0)),SUM(OFFSET($T$100,($F$16-$F$15+$F$21),0):$T244),"")</f>
        <v/>
      </c>
      <c r="BI244" s="190" t="str">
        <f t="shared" ca="1" si="196"/>
        <v/>
      </c>
      <c r="BJ244" s="190" t="str">
        <f t="shared" ca="1" si="222"/>
        <v/>
      </c>
      <c r="BK244" s="190"/>
      <c r="BL244" s="190" t="str">
        <f ca="1">IFERROR(IF(AND($B244&gt;=($F$17-$F$15),$B244&lt;$F$22+($F$17-$F$15)),SUM(OFFSET($T$100,($F$17-$F$15),0):$T244),""),"")</f>
        <v/>
      </c>
      <c r="BM244" s="190" t="str">
        <f t="shared" ca="1" si="197"/>
        <v/>
      </c>
      <c r="BN244" s="190" t="str">
        <f t="shared" ca="1" si="223"/>
        <v/>
      </c>
      <c r="BO244"/>
      <c r="BP244" s="190" t="str">
        <f ca="1">IF(ISNUMBER(OFFSET(BL244,-$F$21,0)),SUM(OFFSET($T$100,($F$17-$F$15+$F$21),0):$T244),"")</f>
        <v/>
      </c>
      <c r="BQ244" s="190" t="str">
        <f t="shared" ca="1" si="198"/>
        <v/>
      </c>
      <c r="BR244" s="190" t="str">
        <f t="shared" ca="1" si="224"/>
        <v/>
      </c>
      <c r="BS244" s="190"/>
      <c r="BT244"/>
      <c r="BU244"/>
      <c r="BV244"/>
      <c r="BY244" s="99"/>
      <c r="BZ244" s="99"/>
      <c r="CA244" s="280" t="str">
        <f t="shared" si="199"/>
        <v/>
      </c>
      <c r="CB244" s="71" t="str">
        <f t="shared" si="200"/>
        <v>-</v>
      </c>
      <c r="CC244" s="33"/>
      <c r="CD244" s="261" t="str">
        <f t="shared" si="201"/>
        <v/>
      </c>
      <c r="CE244" s="280" t="str">
        <f t="shared" si="202"/>
        <v>-</v>
      </c>
      <c r="CF244" s="71" t="str">
        <f t="shared" ca="1" si="203"/>
        <v>-</v>
      </c>
      <c r="CG244" s="33" t="str">
        <f t="shared" si="204"/>
        <v>144-145</v>
      </c>
      <c r="CH244" s="261" t="str">
        <f t="shared" ca="1" si="205"/>
        <v/>
      </c>
    </row>
    <row r="245" spans="2:86" ht="13.5" customHeight="1" x14ac:dyDescent="0.2">
      <c r="B245" s="262">
        <v>145</v>
      </c>
      <c r="C245" s="237" t="str">
        <f t="shared" si="169"/>
        <v/>
      </c>
      <c r="D245" s="237" t="str">
        <f t="shared" si="225"/>
        <v>-</v>
      </c>
      <c r="E245" s="263" t="str">
        <f t="shared" si="206"/>
        <v/>
      </c>
      <c r="F245" s="264" t="str">
        <f t="shared" si="207"/>
        <v/>
      </c>
      <c r="G245" s="264" t="str">
        <f t="shared" si="208"/>
        <v/>
      </c>
      <c r="H245" s="240" t="str">
        <f t="shared" si="170"/>
        <v/>
      </c>
      <c r="I245" s="265" t="str">
        <f t="shared" si="171"/>
        <v/>
      </c>
      <c r="J245" s="265" t="str">
        <f t="shared" si="172"/>
        <v/>
      </c>
      <c r="K245" s="240" t="str">
        <f t="shared" si="173"/>
        <v/>
      </c>
      <c r="L245" s="265" t="str">
        <f t="shared" si="174"/>
        <v/>
      </c>
      <c r="M245" s="265" t="str">
        <f t="shared" si="175"/>
        <v/>
      </c>
      <c r="N245" s="240" t="str">
        <f t="shared" si="176"/>
        <v>-</v>
      </c>
      <c r="O245" s="265" t="str">
        <f t="shared" si="177"/>
        <v>-</v>
      </c>
      <c r="P245" s="265" t="str">
        <f t="shared" si="178"/>
        <v>-</v>
      </c>
      <c r="Q245" s="266" t="str">
        <f t="shared" si="179"/>
        <v>-</v>
      </c>
      <c r="R245" s="267" t="str">
        <f t="shared" si="180"/>
        <v>-</v>
      </c>
      <c r="S245" s="268" t="str">
        <f t="shared" si="181"/>
        <v>-</v>
      </c>
      <c r="T245" s="269" t="str">
        <f t="shared" si="182"/>
        <v/>
      </c>
      <c r="U245" s="221">
        <f t="shared" si="183"/>
        <v>145</v>
      </c>
      <c r="V245" s="220" t="str">
        <f t="shared" si="209"/>
        <v>-</v>
      </c>
      <c r="W245" s="221" t="str">
        <f t="shared" si="210"/>
        <v>-</v>
      </c>
      <c r="X245" s="221" t="str">
        <f t="shared" si="184"/>
        <v>-</v>
      </c>
      <c r="Y245" s="221" t="str">
        <f t="shared" si="185"/>
        <v>-</v>
      </c>
      <c r="Z245" s="270">
        <f t="shared" si="211"/>
        <v>0.1</v>
      </c>
      <c r="AA245" s="271" t="str">
        <f>IFERROR(IF(V244=1,AA$100*EXP(-(LN(2)/$D$65+0.04)*X244)*EXP(-(LN(2)/$D$65+0.1)*Y244),IF(V244=2,AA$100*EXP(-(LN(2)/$D$65+0.04)*(VLOOKUP(($F$16-$F$15)-1,U$99:Y244,4,FALSE)))*EXP(-(LN(2)/$D$65+0.1)*(VLOOKUP(($F$16-$F$15)-1,U$99:Y244,5,FALSE)))*EXP(-(LN(2)/$D$65+0.04)*X244)*EXP(-(LN(2)/$D$65+0.1)*Y244),IF(V244=3,AA$100*EXP(-(LN(2)/$D$65+0.04)*(VLOOKUP(($F$16-$F$15)-1,U$99:Y244,4,FALSE)))*EXP(-(LN(2)/$D$65+0.1)*(VLOOKUP(($F$16-$F$15)-1,U$99:Y244,5,FALSE)))*EXP(-(LN(2)/$D$65+0.04)*(VLOOKUP(($F$16-$F$15)*2-1,U$99:Y244,4,FALSE)))*EXP(-(LN(2)/$D$65+0.1)*(VLOOKUP(($F$16-$F$15)*2-1,U$99:Y244,5,FALSE)))*EXP(-(LN(2)/$D$65+0.04)*X244)*EXP(-(LN(2)/$D$65+0.1)*Y244),"-"))),"-")</f>
        <v>-</v>
      </c>
      <c r="AB245" s="271" t="str">
        <f>IFERROR(IF(V245=1,AB$100*EXP(-(LN(2)/$D$65+0.04)*X245)*EXP(-(LN(2)/$D$65+0.1)*Y245),IF(V245=2,AB$100*EXP(-(LN(2)/$D$65+0.04)*(VLOOKUP(($F$16-$F$15)-1,U$100:Y245,4,FALSE)))*EXP(-(LN(2)/$D$65+0.1)*(VLOOKUP(($F$16-$F$15)-1,U$100:Y245,5,FALSE)))*EXP(-(LN(2)/$D$65+0.04)*X245)*EXP(-(LN(2)/$D$65+0.1)*Y245),IF(V245=3,AB$100*EXP(-(LN(2)/$D$65+0.04)*(VLOOKUP(($F$16-$F$15)-1,U$100:Y245,4,FALSE)))*EXP(-(LN(2)/$D$65+0.1)*(VLOOKUP(($F$16-$F$15)-1,U$100:Y245,5,FALSE)))*EXP(-(LN(2)/$D$65+0.04)*(VLOOKUP(($F$16-$F$15)*2-1,U$100:Y245,4,FALSE)))*EXP(-(LN(2)/$D$65+0.1)*(VLOOKUP(($F$16-$F$15)*2-1,U$100:Y245,5,FALSE)))*EXP(-(LN(2)/$D$65+0.04)*X245)*EXP(-(LN(2)/$D$65+0.1)*Y245),"-"))),"-")</f>
        <v>-</v>
      </c>
      <c r="AC245" s="224">
        <f t="shared" si="226"/>
        <v>145</v>
      </c>
      <c r="AD245" s="223" t="str">
        <f t="shared" si="186"/>
        <v>-</v>
      </c>
      <c r="AE245" s="224" t="str">
        <f t="shared" si="213"/>
        <v>-</v>
      </c>
      <c r="AF245" s="224" t="str">
        <f t="shared" si="187"/>
        <v>-</v>
      </c>
      <c r="AG245" s="224" t="str">
        <f t="shared" si="188"/>
        <v>-</v>
      </c>
      <c r="AH245" s="272">
        <f t="shared" si="214"/>
        <v>0.1</v>
      </c>
      <c r="AI245" s="271" t="str">
        <f>IFERROR(IF(AD244=1,AI$100*EXP(-(LN(2)/$D$65+0.04)*AF244)*EXP(-(LN(2)/$D$65+0.1)*AG244),IF(AD244=2,AI$100*EXP(-(LN(2)/$D$65+0.04)*(VLOOKUP(($F$16-$F$15)-1,AC$99:AG244,4,FALSE)))*EXP(-(LN(2)/$D$65+0.1)*(VLOOKUP(($F$16-$F$15)-1,AC$99:AG244,5,FALSE)))*EXP(-(LN(2)/$D$65+0.04)*AF244)*EXP(-(LN(2)/$D$65+0.1)*AG244),IF(AD244=3,AI$100*EXP(-(LN(2)/$D$65+0.04)*(VLOOKUP(($F$16-$F$15)-1,AC$99:AG244,4,FALSE)))*EXP(-(LN(2)/$D$65+0.1)*(VLOOKUP(($F$16-$F$15)-1,AC$99:AG244,5,FALSE)))*EXP(-(LN(2)/$D$65+0.04)*(VLOOKUP(($F$16-$F$15)*2-1,AC$99:AG244,4,FALSE)))*EXP(-(LN(2)/$D$65+0.1)*(VLOOKUP(($F$16-$F$15)*2-1,AC$99:AG244,5,FALSE)))*EXP(-(LN(2)/$D$65+0.04)*AF244)*EXP(-(LN(2)/$D$65+0.1)*AG244),"-"))),"-")</f>
        <v>-</v>
      </c>
      <c r="AJ245" s="271" t="str">
        <f>IFERROR(IF(AD245=1,AJ$100*EXP(-(LN(2)/$D$65+0.04)*AF245)*EXP(-(LN(2)/$D$65+0.1)*AG245),IF(AD245=2,AJ$100*EXP(-(LN(2)/$D$65+0.04)*(VLOOKUP(($F$16-$F$15)-1,AC$100:AG245,4,FALSE)))*EXP(-(LN(2)/$D$65+0.1)*(VLOOKUP(($F$16-$F$15)-1,AC$100:AG245,5,FALSE)))*EXP(-(LN(2)/$D$65+0.04)*AF245)*EXP(-(LN(2)/$D$65+0.1)*AG245),IF(AD245=3,AJ$100*EXP(-(LN(2)/$D$65+0.04)*(VLOOKUP(($F$16-$F$15)-1,AC$100:AG245,4,FALSE)))*EXP(-(LN(2)/$D$65+0.1)*(VLOOKUP(($F$16-$F$15)-1,AC$100:AG245,5,FALSE)))*EXP(-(LN(2)/$D$65+0.04)*(VLOOKUP(($F$16-$F$15)*2-1,AC$100:AG245,4,FALSE)))*EXP(-(LN(2)/$D$65+0.1)*(VLOOKUP(($F$16-$F$15)*2-1,AC$100:AG245,5,FALSE)))*EXP(-(LN(2)/$D$65+0.04)*AF245)*EXP(-(LN(2)/$D$65+0.1)*AG245),"-"))),"-")</f>
        <v>-</v>
      </c>
      <c r="AK245" s="227">
        <f t="shared" si="215"/>
        <v>145</v>
      </c>
      <c r="AL245" s="226" t="str">
        <f t="shared" si="189"/>
        <v>-</v>
      </c>
      <c r="AM245" s="227" t="str">
        <f t="shared" si="216"/>
        <v>-</v>
      </c>
      <c r="AN245" s="227" t="str">
        <f t="shared" si="217"/>
        <v>-</v>
      </c>
      <c r="AO245" s="227" t="str">
        <f t="shared" si="190"/>
        <v>-</v>
      </c>
      <c r="AP245" s="273">
        <f t="shared" si="218"/>
        <v>0.1</v>
      </c>
      <c r="AQ245" s="271" t="str">
        <f>IFERROR(IF(AL244=1,AQ$100*EXP(-(LN(2)/$D$65+0.04)*AN244)*EXP(-(LN(2)/$D$65+0.1)*AO244),IF(AL244=2,AQ$100*EXP(-(LN(2)/$D$65+0.04)*(VLOOKUP(($F$16-$F$15)-1,AK$99:AO244,4,FALSE)))*EXP(-(LN(2)/$D$65+0.1)*(VLOOKUP(($F$16-$F$15)-1,AK$99:AO244,5,FALSE)))*EXP(-(LN(2)/$D$65+0.04)*AN244)*EXP(-(LN(2)/$D$65+0.1)*AO244),IF(AL244=3,AQ$100*EXP(-(LN(2)/$D$65+0.04)*(VLOOKUP(($F$16-$F$15)-1,AK$99:AO244,4,FALSE)))*EXP(-(LN(2)/$D$65+0.1)*(VLOOKUP(($F$16-$F$15)-1,AK$99:AO244,5,FALSE)))*EXP(-(LN(2)/$D$65+0.04)*(VLOOKUP(($F$16-$F$15)*2-1,AK$99:AO244,4,FALSE)))*EXP(-(LN(2)/$D$65+0.1)*(VLOOKUP(($F$16-$F$15)*2-1,AK$99:AO244,5,FALSE)))*EXP(-(LN(2)/$D$65+0.04)*AN244)*EXP(-(LN(2)/$D$65+0.1)*AO244),"-"))),"-")</f>
        <v>-</v>
      </c>
      <c r="AR245" s="271" t="str">
        <f>IFERROR(IF(AL245=1,AR$100*EXP(-(LN(2)/$D$65+0.04)*AN245)*EXP(-(LN(2)/$D$65+0.1)*AO245),IF(AL245=2,AR$100*EXP(-(LN(2)/$D$65+0.04)*(VLOOKUP(($F$16-$F$15)-1,AK$100:AO245,4,FALSE)))*EXP(-(LN(2)/$D$65+0.1)*(VLOOKUP(($F$16-$F$15)-1,AK$100:AO245,5,FALSE)))*EXP(-(LN(2)/$D$65+0.04)*AN245)*EXP(-(LN(2)/$D$65+0.1)*AO245),IF(AL245=3,AR$100*EXP(-(LN(2)/$D$65+0.04)*(VLOOKUP(($F$16-$F$15)-1,AK$100:AO245,4,FALSE)))*EXP(-(LN(2)/$D$65+0.1)*(VLOOKUP(($F$16-$F$15)-1,AK$100:AO245,5,FALSE)))*EXP(-(LN(2)/$D$65+0.04)*(VLOOKUP(($F$16-$F$15)*2-1,AK$100:AO245,4,FALSE)))*EXP(-(LN(2)/$D$65+0.1)*(VLOOKUP(($F$16-$F$15)*2-1,AK$100:AO245,5,FALSE)))*EXP(-(LN(2)/$D$65+0.04)*AN245)*EXP(-(LN(2)/$D$65+0.1)*AO245),"-"))),"-")</f>
        <v>-</v>
      </c>
      <c r="AS245" s="274">
        <f t="shared" si="191"/>
        <v>0</v>
      </c>
      <c r="AT245" s="274">
        <f t="shared" si="192"/>
        <v>0</v>
      </c>
      <c r="AU245" s="274">
        <f t="shared" si="193"/>
        <v>0</v>
      </c>
      <c r="AV245" s="190">
        <f>IF($B245&lt;$F$22,SUM($T$100:$T245),"")</f>
        <v>0</v>
      </c>
      <c r="AW245" s="190" t="str">
        <f t="shared" si="194"/>
        <v>-</v>
      </c>
      <c r="AX245" s="190" t="str">
        <f t="shared" si="219"/>
        <v/>
      </c>
      <c r="AY245"/>
      <c r="AZ245" s="190" t="str">
        <f ca="1">IF(ISNUMBER(OFFSET(AV245,-$F$21,0)),SUM(OFFSET($T$100,$F$21,0):$T245),"")</f>
        <v/>
      </c>
      <c r="BA245" s="190" t="str">
        <f t="shared" ca="1" si="195"/>
        <v/>
      </c>
      <c r="BB245" s="190" t="str">
        <f t="shared" ca="1" si="148"/>
        <v/>
      </c>
      <c r="BC245" s="190"/>
      <c r="BD245" s="190" t="str">
        <f ca="1">IFERROR(IF(AND($B245&gt;=($F$16-$F$15),$B245&lt;$F$22+($F$16-$F$15)),SUM(OFFSET($T$100,($F$16-$F$15),0):$T245),""),"")</f>
        <v/>
      </c>
      <c r="BE245" s="190" t="str">
        <f t="shared" ca="1" si="220"/>
        <v/>
      </c>
      <c r="BF245" s="190" t="str">
        <f t="shared" ca="1" si="221"/>
        <v/>
      </c>
      <c r="BG245"/>
      <c r="BH245" s="190" t="str">
        <f ca="1">IF(ISNUMBER(OFFSET(BD245,-$F$21,0)),SUM(OFFSET($T$100,($F$16-$F$15+$F$21),0):$T245),"")</f>
        <v/>
      </c>
      <c r="BI245" s="190" t="str">
        <f t="shared" ca="1" si="196"/>
        <v/>
      </c>
      <c r="BJ245" s="190" t="str">
        <f t="shared" ca="1" si="222"/>
        <v/>
      </c>
      <c r="BK245" s="190"/>
      <c r="BL245" s="190" t="str">
        <f ca="1">IFERROR(IF(AND($B245&gt;=($F$17-$F$15),$B245&lt;$F$22+($F$17-$F$15)),SUM(OFFSET($T$100,($F$17-$F$15),0):$T245),""),"")</f>
        <v/>
      </c>
      <c r="BM245" s="190" t="str">
        <f t="shared" ca="1" si="197"/>
        <v/>
      </c>
      <c r="BN245" s="190" t="str">
        <f t="shared" ca="1" si="223"/>
        <v/>
      </c>
      <c r="BO245"/>
      <c r="BP245" s="190" t="str">
        <f ca="1">IF(ISNUMBER(OFFSET(BL245,-$F$21,0)),SUM(OFFSET($T$100,($F$17-$F$15+$F$21),0):$T245),"")</f>
        <v/>
      </c>
      <c r="BQ245" s="190" t="str">
        <f t="shared" ca="1" si="198"/>
        <v/>
      </c>
      <c r="BR245" s="190" t="str">
        <f t="shared" ca="1" si="224"/>
        <v/>
      </c>
      <c r="BS245" s="190"/>
      <c r="BT245"/>
      <c r="BU245"/>
      <c r="BV245"/>
      <c r="BY245" s="99"/>
      <c r="BZ245" s="99"/>
      <c r="CA245" s="280" t="str">
        <f t="shared" si="199"/>
        <v/>
      </c>
      <c r="CB245" s="71" t="str">
        <f t="shared" si="200"/>
        <v>-</v>
      </c>
      <c r="CC245" s="33"/>
      <c r="CD245" s="261" t="str">
        <f t="shared" si="201"/>
        <v/>
      </c>
      <c r="CE245" s="280" t="str">
        <f t="shared" si="202"/>
        <v>-</v>
      </c>
      <c r="CF245" s="71" t="str">
        <f t="shared" ca="1" si="203"/>
        <v>-</v>
      </c>
      <c r="CG245" s="33" t="str">
        <f t="shared" si="204"/>
        <v>145-146</v>
      </c>
      <c r="CH245" s="261" t="str">
        <f t="shared" ca="1" si="205"/>
        <v/>
      </c>
    </row>
    <row r="246" spans="2:86" ht="13.5" customHeight="1" x14ac:dyDescent="0.2">
      <c r="B246" s="262">
        <v>146</v>
      </c>
      <c r="C246" s="237" t="str">
        <f t="shared" si="169"/>
        <v/>
      </c>
      <c r="D246" s="237" t="str">
        <f t="shared" si="225"/>
        <v>-</v>
      </c>
      <c r="E246" s="263" t="str">
        <f t="shared" si="206"/>
        <v/>
      </c>
      <c r="F246" s="264" t="str">
        <f t="shared" si="207"/>
        <v/>
      </c>
      <c r="G246" s="264" t="str">
        <f t="shared" si="208"/>
        <v/>
      </c>
      <c r="H246" s="240" t="str">
        <f t="shared" si="170"/>
        <v/>
      </c>
      <c r="I246" s="265" t="str">
        <f t="shared" si="171"/>
        <v/>
      </c>
      <c r="J246" s="265" t="str">
        <f t="shared" si="172"/>
        <v/>
      </c>
      <c r="K246" s="240" t="str">
        <f t="shared" si="173"/>
        <v/>
      </c>
      <c r="L246" s="265" t="str">
        <f t="shared" si="174"/>
        <v/>
      </c>
      <c r="M246" s="265" t="str">
        <f t="shared" si="175"/>
        <v/>
      </c>
      <c r="N246" s="240" t="str">
        <f t="shared" si="176"/>
        <v>-</v>
      </c>
      <c r="O246" s="265" t="str">
        <f t="shared" si="177"/>
        <v>-</v>
      </c>
      <c r="P246" s="265" t="str">
        <f t="shared" si="178"/>
        <v>-</v>
      </c>
      <c r="Q246" s="266" t="str">
        <f t="shared" si="179"/>
        <v>-</v>
      </c>
      <c r="R246" s="267" t="str">
        <f t="shared" si="180"/>
        <v>-</v>
      </c>
      <c r="S246" s="268" t="str">
        <f t="shared" si="181"/>
        <v>-</v>
      </c>
      <c r="T246" s="269" t="str">
        <f t="shared" si="182"/>
        <v/>
      </c>
      <c r="U246" s="221">
        <f t="shared" si="183"/>
        <v>146</v>
      </c>
      <c r="V246" s="220" t="str">
        <f t="shared" si="209"/>
        <v>-</v>
      </c>
      <c r="W246" s="221" t="str">
        <f t="shared" si="210"/>
        <v>-</v>
      </c>
      <c r="X246" s="221" t="str">
        <f t="shared" si="184"/>
        <v>-</v>
      </c>
      <c r="Y246" s="221" t="str">
        <f t="shared" si="185"/>
        <v>-</v>
      </c>
      <c r="Z246" s="270">
        <f t="shared" si="211"/>
        <v>0.1</v>
      </c>
      <c r="AA246" s="271" t="str">
        <f>IFERROR(IF(V245=1,AA$100*EXP(-(LN(2)/$D$65+0.04)*X245)*EXP(-(LN(2)/$D$65+0.1)*Y245),IF(V245=2,AA$100*EXP(-(LN(2)/$D$65+0.04)*(VLOOKUP(($F$16-$F$15)-1,U$99:Y245,4,FALSE)))*EXP(-(LN(2)/$D$65+0.1)*(VLOOKUP(($F$16-$F$15)-1,U$99:Y245,5,FALSE)))*EXP(-(LN(2)/$D$65+0.04)*X245)*EXP(-(LN(2)/$D$65+0.1)*Y245),IF(V245=3,AA$100*EXP(-(LN(2)/$D$65+0.04)*(VLOOKUP(($F$16-$F$15)-1,U$99:Y245,4,FALSE)))*EXP(-(LN(2)/$D$65+0.1)*(VLOOKUP(($F$16-$F$15)-1,U$99:Y245,5,FALSE)))*EXP(-(LN(2)/$D$65+0.04)*(VLOOKUP(($F$16-$F$15)*2-1,U$99:Y245,4,FALSE)))*EXP(-(LN(2)/$D$65+0.1)*(VLOOKUP(($F$16-$F$15)*2-1,U$99:Y245,5,FALSE)))*EXP(-(LN(2)/$D$65+0.04)*X245)*EXP(-(LN(2)/$D$65+0.1)*Y245),"-"))),"-")</f>
        <v>-</v>
      </c>
      <c r="AB246" s="271" t="str">
        <f>IFERROR(IF(V246=1,AB$100*EXP(-(LN(2)/$D$65+0.04)*X246)*EXP(-(LN(2)/$D$65+0.1)*Y246),IF(V246=2,AB$100*EXP(-(LN(2)/$D$65+0.04)*(VLOOKUP(($F$16-$F$15)-1,U$100:Y246,4,FALSE)))*EXP(-(LN(2)/$D$65+0.1)*(VLOOKUP(($F$16-$F$15)-1,U$100:Y246,5,FALSE)))*EXP(-(LN(2)/$D$65+0.04)*X246)*EXP(-(LN(2)/$D$65+0.1)*Y246),IF(V246=3,AB$100*EXP(-(LN(2)/$D$65+0.04)*(VLOOKUP(($F$16-$F$15)-1,U$100:Y246,4,FALSE)))*EXP(-(LN(2)/$D$65+0.1)*(VLOOKUP(($F$16-$F$15)-1,U$100:Y246,5,FALSE)))*EXP(-(LN(2)/$D$65+0.04)*(VLOOKUP(($F$16-$F$15)*2-1,U$100:Y246,4,FALSE)))*EXP(-(LN(2)/$D$65+0.1)*(VLOOKUP(($F$16-$F$15)*2-1,U$100:Y246,5,FALSE)))*EXP(-(LN(2)/$D$65+0.04)*X246)*EXP(-(LN(2)/$D$65+0.1)*Y246),"-"))),"-")</f>
        <v>-</v>
      </c>
      <c r="AC246" s="224">
        <f t="shared" si="226"/>
        <v>146</v>
      </c>
      <c r="AD246" s="223" t="str">
        <f t="shared" si="186"/>
        <v>-</v>
      </c>
      <c r="AE246" s="224" t="str">
        <f t="shared" si="213"/>
        <v>-</v>
      </c>
      <c r="AF246" s="224" t="str">
        <f t="shared" si="187"/>
        <v>-</v>
      </c>
      <c r="AG246" s="224" t="str">
        <f t="shared" si="188"/>
        <v>-</v>
      </c>
      <c r="AH246" s="272">
        <f t="shared" si="214"/>
        <v>0.1</v>
      </c>
      <c r="AI246" s="271" t="str">
        <f>IFERROR(IF(AD245=1,AI$100*EXP(-(LN(2)/$D$65+0.04)*AF245)*EXP(-(LN(2)/$D$65+0.1)*AG245),IF(AD245=2,AI$100*EXP(-(LN(2)/$D$65+0.04)*(VLOOKUP(($F$16-$F$15)-1,AC$99:AG245,4,FALSE)))*EXP(-(LN(2)/$D$65+0.1)*(VLOOKUP(($F$16-$F$15)-1,AC$99:AG245,5,FALSE)))*EXP(-(LN(2)/$D$65+0.04)*AF245)*EXP(-(LN(2)/$D$65+0.1)*AG245),IF(AD245=3,AI$100*EXP(-(LN(2)/$D$65+0.04)*(VLOOKUP(($F$16-$F$15)-1,AC$99:AG245,4,FALSE)))*EXP(-(LN(2)/$D$65+0.1)*(VLOOKUP(($F$16-$F$15)-1,AC$99:AG245,5,FALSE)))*EXP(-(LN(2)/$D$65+0.04)*(VLOOKUP(($F$16-$F$15)*2-1,AC$99:AG245,4,FALSE)))*EXP(-(LN(2)/$D$65+0.1)*(VLOOKUP(($F$16-$F$15)*2-1,AC$99:AG245,5,FALSE)))*EXP(-(LN(2)/$D$65+0.04)*AF245)*EXP(-(LN(2)/$D$65+0.1)*AG245),"-"))),"-")</f>
        <v>-</v>
      </c>
      <c r="AJ246" s="271" t="str">
        <f>IFERROR(IF(AD246=1,AJ$100*EXP(-(LN(2)/$D$65+0.04)*AF246)*EXP(-(LN(2)/$D$65+0.1)*AG246),IF(AD246=2,AJ$100*EXP(-(LN(2)/$D$65+0.04)*(VLOOKUP(($F$16-$F$15)-1,AC$100:AG246,4,FALSE)))*EXP(-(LN(2)/$D$65+0.1)*(VLOOKUP(($F$16-$F$15)-1,AC$100:AG246,5,FALSE)))*EXP(-(LN(2)/$D$65+0.04)*AF246)*EXP(-(LN(2)/$D$65+0.1)*AG246),IF(AD246=3,AJ$100*EXP(-(LN(2)/$D$65+0.04)*(VLOOKUP(($F$16-$F$15)-1,AC$100:AG246,4,FALSE)))*EXP(-(LN(2)/$D$65+0.1)*(VLOOKUP(($F$16-$F$15)-1,AC$100:AG246,5,FALSE)))*EXP(-(LN(2)/$D$65+0.04)*(VLOOKUP(($F$16-$F$15)*2-1,AC$100:AG246,4,FALSE)))*EXP(-(LN(2)/$D$65+0.1)*(VLOOKUP(($F$16-$F$15)*2-1,AC$100:AG246,5,FALSE)))*EXP(-(LN(2)/$D$65+0.04)*AF246)*EXP(-(LN(2)/$D$65+0.1)*AG246),"-"))),"-")</f>
        <v>-</v>
      </c>
      <c r="AK246" s="227">
        <f t="shared" si="215"/>
        <v>146</v>
      </c>
      <c r="AL246" s="226" t="str">
        <f t="shared" si="189"/>
        <v>-</v>
      </c>
      <c r="AM246" s="227" t="str">
        <f t="shared" si="216"/>
        <v>-</v>
      </c>
      <c r="AN246" s="227" t="str">
        <f t="shared" si="217"/>
        <v>-</v>
      </c>
      <c r="AO246" s="227" t="str">
        <f t="shared" si="190"/>
        <v>-</v>
      </c>
      <c r="AP246" s="273">
        <f t="shared" si="218"/>
        <v>0.1</v>
      </c>
      <c r="AQ246" s="271" t="str">
        <f>IFERROR(IF(AL245=1,AQ$100*EXP(-(LN(2)/$D$65+0.04)*AN245)*EXP(-(LN(2)/$D$65+0.1)*AO245),IF(AL245=2,AQ$100*EXP(-(LN(2)/$D$65+0.04)*(VLOOKUP(($F$16-$F$15)-1,AK$99:AO245,4,FALSE)))*EXP(-(LN(2)/$D$65+0.1)*(VLOOKUP(($F$16-$F$15)-1,AK$99:AO245,5,FALSE)))*EXP(-(LN(2)/$D$65+0.04)*AN245)*EXP(-(LN(2)/$D$65+0.1)*AO245),IF(AL245=3,AQ$100*EXP(-(LN(2)/$D$65+0.04)*(VLOOKUP(($F$16-$F$15)-1,AK$99:AO245,4,FALSE)))*EXP(-(LN(2)/$D$65+0.1)*(VLOOKUP(($F$16-$F$15)-1,AK$99:AO245,5,FALSE)))*EXP(-(LN(2)/$D$65+0.04)*(VLOOKUP(($F$16-$F$15)*2-1,AK$99:AO245,4,FALSE)))*EXP(-(LN(2)/$D$65+0.1)*(VLOOKUP(($F$16-$F$15)*2-1,AK$99:AO245,5,FALSE)))*EXP(-(LN(2)/$D$65+0.04)*AN245)*EXP(-(LN(2)/$D$65+0.1)*AO245),"-"))),"-")</f>
        <v>-</v>
      </c>
      <c r="AR246" s="271" t="str">
        <f>IFERROR(IF(AL246=1,AR$100*EXP(-(LN(2)/$D$65+0.04)*AN246)*EXP(-(LN(2)/$D$65+0.1)*AO246),IF(AL246=2,AR$100*EXP(-(LN(2)/$D$65+0.04)*(VLOOKUP(($F$16-$F$15)-1,AK$100:AO246,4,FALSE)))*EXP(-(LN(2)/$D$65+0.1)*(VLOOKUP(($F$16-$F$15)-1,AK$100:AO246,5,FALSE)))*EXP(-(LN(2)/$D$65+0.04)*AN246)*EXP(-(LN(2)/$D$65+0.1)*AO246),IF(AL246=3,AR$100*EXP(-(LN(2)/$D$65+0.04)*(VLOOKUP(($F$16-$F$15)-1,AK$100:AO246,4,FALSE)))*EXP(-(LN(2)/$D$65+0.1)*(VLOOKUP(($F$16-$F$15)-1,AK$100:AO246,5,FALSE)))*EXP(-(LN(2)/$D$65+0.04)*(VLOOKUP(($F$16-$F$15)*2-1,AK$100:AO246,4,FALSE)))*EXP(-(LN(2)/$D$65+0.1)*(VLOOKUP(($F$16-$F$15)*2-1,AK$100:AO246,5,FALSE)))*EXP(-(LN(2)/$D$65+0.04)*AN246)*EXP(-(LN(2)/$D$65+0.1)*AO246),"-"))),"-")</f>
        <v>-</v>
      </c>
      <c r="AS246" s="274">
        <f t="shared" si="191"/>
        <v>0</v>
      </c>
      <c r="AT246" s="274">
        <f t="shared" si="192"/>
        <v>0</v>
      </c>
      <c r="AU246" s="274">
        <f t="shared" si="193"/>
        <v>0</v>
      </c>
      <c r="AV246" s="190">
        <f>IF($B246&lt;$F$22,SUM($T$100:$T246),"")</f>
        <v>0</v>
      </c>
      <c r="AW246" s="190" t="str">
        <f t="shared" si="194"/>
        <v>-</v>
      </c>
      <c r="AX246" s="190" t="str">
        <f t="shared" si="219"/>
        <v/>
      </c>
      <c r="AY246"/>
      <c r="AZ246" s="190" t="str">
        <f ca="1">IF(ISNUMBER(OFFSET(AV246,-$F$21,0)),SUM(OFFSET($T$100,$F$21,0):$T246),"")</f>
        <v/>
      </c>
      <c r="BA246" s="190" t="str">
        <f t="shared" ca="1" si="195"/>
        <v/>
      </c>
      <c r="BB246" s="190" t="str">
        <f t="shared" ca="1" si="148"/>
        <v/>
      </c>
      <c r="BC246" s="190"/>
      <c r="BD246" s="190" t="str">
        <f ca="1">IFERROR(IF(AND($B246&gt;=($F$16-$F$15),$B246&lt;$F$22+($F$16-$F$15)),SUM(OFFSET($T$100,($F$16-$F$15),0):$T246),""),"")</f>
        <v/>
      </c>
      <c r="BE246" s="190" t="str">
        <f t="shared" ca="1" si="220"/>
        <v/>
      </c>
      <c r="BF246" s="190" t="str">
        <f t="shared" ca="1" si="221"/>
        <v/>
      </c>
      <c r="BG246"/>
      <c r="BH246" s="190" t="str">
        <f ca="1">IF(ISNUMBER(OFFSET(BD246,-$F$21,0)),SUM(OFFSET($T$100,($F$16-$F$15+$F$21),0):$T246),"")</f>
        <v/>
      </c>
      <c r="BI246" s="190" t="str">
        <f t="shared" ca="1" si="196"/>
        <v/>
      </c>
      <c r="BJ246" s="190" t="str">
        <f t="shared" ca="1" si="222"/>
        <v/>
      </c>
      <c r="BK246" s="190"/>
      <c r="BL246" s="190" t="str">
        <f ca="1">IFERROR(IF(AND($B246&gt;=($F$17-$F$15),$B246&lt;$F$22+($F$17-$F$15)),SUM(OFFSET($T$100,($F$17-$F$15),0):$T246),""),"")</f>
        <v/>
      </c>
      <c r="BM246" s="190" t="str">
        <f t="shared" ca="1" si="197"/>
        <v/>
      </c>
      <c r="BN246" s="190" t="str">
        <f t="shared" ca="1" si="223"/>
        <v/>
      </c>
      <c r="BO246"/>
      <c r="BP246" s="190" t="str">
        <f ca="1">IF(ISNUMBER(OFFSET(BL246,-$F$21,0)),SUM(OFFSET($T$100,($F$17-$F$15+$F$21),0):$T246),"")</f>
        <v/>
      </c>
      <c r="BQ246" s="190" t="str">
        <f t="shared" ca="1" si="198"/>
        <v/>
      </c>
      <c r="BR246" s="190" t="str">
        <f t="shared" ca="1" si="224"/>
        <v/>
      </c>
      <c r="BS246" s="190"/>
      <c r="BT246"/>
      <c r="BU246"/>
      <c r="BV246"/>
      <c r="BY246" s="99"/>
      <c r="BZ246" s="99"/>
      <c r="CA246" s="280" t="str">
        <f t="shared" si="199"/>
        <v/>
      </c>
      <c r="CB246" s="71" t="str">
        <f t="shared" si="200"/>
        <v>-</v>
      </c>
      <c r="CC246" s="33"/>
      <c r="CD246" s="261" t="str">
        <f t="shared" si="201"/>
        <v/>
      </c>
      <c r="CE246" s="280" t="str">
        <f t="shared" si="202"/>
        <v>-</v>
      </c>
      <c r="CF246" s="71" t="str">
        <f t="shared" ca="1" si="203"/>
        <v>-</v>
      </c>
      <c r="CG246" s="33" t="str">
        <f t="shared" si="204"/>
        <v>146-147</v>
      </c>
      <c r="CH246" s="261" t="str">
        <f t="shared" ca="1" si="205"/>
        <v/>
      </c>
    </row>
    <row r="247" spans="2:86" ht="13.5" customHeight="1" x14ac:dyDescent="0.2">
      <c r="B247" s="262">
        <v>147</v>
      </c>
      <c r="C247" s="237" t="str">
        <f t="shared" si="169"/>
        <v/>
      </c>
      <c r="D247" s="237" t="str">
        <f t="shared" si="225"/>
        <v>-</v>
      </c>
      <c r="E247" s="263" t="str">
        <f t="shared" si="206"/>
        <v/>
      </c>
      <c r="F247" s="264" t="str">
        <f t="shared" si="207"/>
        <v/>
      </c>
      <c r="G247" s="264" t="str">
        <f t="shared" si="208"/>
        <v/>
      </c>
      <c r="H247" s="240" t="str">
        <f t="shared" si="170"/>
        <v/>
      </c>
      <c r="I247" s="265" t="str">
        <f t="shared" si="171"/>
        <v/>
      </c>
      <c r="J247" s="265" t="str">
        <f t="shared" si="172"/>
        <v/>
      </c>
      <c r="K247" s="240" t="str">
        <f t="shared" si="173"/>
        <v/>
      </c>
      <c r="L247" s="265" t="str">
        <f t="shared" si="174"/>
        <v/>
      </c>
      <c r="M247" s="265" t="str">
        <f t="shared" si="175"/>
        <v/>
      </c>
      <c r="N247" s="240" t="str">
        <f t="shared" si="176"/>
        <v>-</v>
      </c>
      <c r="O247" s="265" t="str">
        <f t="shared" si="177"/>
        <v>-</v>
      </c>
      <c r="P247" s="265" t="str">
        <f t="shared" si="178"/>
        <v>-</v>
      </c>
      <c r="Q247" s="266" t="str">
        <f t="shared" si="179"/>
        <v>-</v>
      </c>
      <c r="R247" s="267" t="str">
        <f t="shared" si="180"/>
        <v>-</v>
      </c>
      <c r="S247" s="268" t="str">
        <f t="shared" si="181"/>
        <v>-</v>
      </c>
      <c r="T247" s="269" t="str">
        <f t="shared" si="182"/>
        <v/>
      </c>
      <c r="U247" s="221">
        <f t="shared" si="183"/>
        <v>147</v>
      </c>
      <c r="V247" s="220" t="str">
        <f t="shared" si="209"/>
        <v>-</v>
      </c>
      <c r="W247" s="221" t="str">
        <f t="shared" si="210"/>
        <v>-</v>
      </c>
      <c r="X247" s="221" t="str">
        <f t="shared" si="184"/>
        <v>-</v>
      </c>
      <c r="Y247" s="221" t="str">
        <f t="shared" si="185"/>
        <v>-</v>
      </c>
      <c r="Z247" s="270">
        <f t="shared" si="211"/>
        <v>0.1</v>
      </c>
      <c r="AA247" s="271" t="str">
        <f>IFERROR(IF(V246=1,AA$100*EXP(-(LN(2)/$D$65+0.04)*X246)*EXP(-(LN(2)/$D$65+0.1)*Y246),IF(V246=2,AA$100*EXP(-(LN(2)/$D$65+0.04)*(VLOOKUP(($F$16-$F$15)-1,U$99:Y246,4,FALSE)))*EXP(-(LN(2)/$D$65+0.1)*(VLOOKUP(($F$16-$F$15)-1,U$99:Y246,5,FALSE)))*EXP(-(LN(2)/$D$65+0.04)*X246)*EXP(-(LN(2)/$D$65+0.1)*Y246),IF(V246=3,AA$100*EXP(-(LN(2)/$D$65+0.04)*(VLOOKUP(($F$16-$F$15)-1,U$99:Y246,4,FALSE)))*EXP(-(LN(2)/$D$65+0.1)*(VLOOKUP(($F$16-$F$15)-1,U$99:Y246,5,FALSE)))*EXP(-(LN(2)/$D$65+0.04)*(VLOOKUP(($F$16-$F$15)*2-1,U$99:Y246,4,FALSE)))*EXP(-(LN(2)/$D$65+0.1)*(VLOOKUP(($F$16-$F$15)*2-1,U$99:Y246,5,FALSE)))*EXP(-(LN(2)/$D$65+0.04)*X246)*EXP(-(LN(2)/$D$65+0.1)*Y246),"-"))),"-")</f>
        <v>-</v>
      </c>
      <c r="AB247" s="271" t="str">
        <f>IFERROR(IF(V247=1,AB$100*EXP(-(LN(2)/$D$65+0.04)*X247)*EXP(-(LN(2)/$D$65+0.1)*Y247),IF(V247=2,AB$100*EXP(-(LN(2)/$D$65+0.04)*(VLOOKUP(($F$16-$F$15)-1,U$100:Y247,4,FALSE)))*EXP(-(LN(2)/$D$65+0.1)*(VLOOKUP(($F$16-$F$15)-1,U$100:Y247,5,FALSE)))*EXP(-(LN(2)/$D$65+0.04)*X247)*EXP(-(LN(2)/$D$65+0.1)*Y247),IF(V247=3,AB$100*EXP(-(LN(2)/$D$65+0.04)*(VLOOKUP(($F$16-$F$15)-1,U$100:Y247,4,FALSE)))*EXP(-(LN(2)/$D$65+0.1)*(VLOOKUP(($F$16-$F$15)-1,U$100:Y247,5,FALSE)))*EXP(-(LN(2)/$D$65+0.04)*(VLOOKUP(($F$16-$F$15)*2-1,U$100:Y247,4,FALSE)))*EXP(-(LN(2)/$D$65+0.1)*(VLOOKUP(($F$16-$F$15)*2-1,U$100:Y247,5,FALSE)))*EXP(-(LN(2)/$D$65+0.04)*X247)*EXP(-(LN(2)/$D$65+0.1)*Y247),"-"))),"-")</f>
        <v>-</v>
      </c>
      <c r="AC247" s="224">
        <f t="shared" si="226"/>
        <v>147</v>
      </c>
      <c r="AD247" s="223" t="str">
        <f t="shared" si="186"/>
        <v>-</v>
      </c>
      <c r="AE247" s="224" t="str">
        <f t="shared" si="213"/>
        <v>-</v>
      </c>
      <c r="AF247" s="224" t="str">
        <f t="shared" si="187"/>
        <v>-</v>
      </c>
      <c r="AG247" s="224" t="str">
        <f t="shared" si="188"/>
        <v>-</v>
      </c>
      <c r="AH247" s="272">
        <f t="shared" si="214"/>
        <v>0.1</v>
      </c>
      <c r="AI247" s="271" t="str">
        <f>IFERROR(IF(AD246=1,AI$100*EXP(-(LN(2)/$D$65+0.04)*AF246)*EXP(-(LN(2)/$D$65+0.1)*AG246),IF(AD246=2,AI$100*EXP(-(LN(2)/$D$65+0.04)*(VLOOKUP(($F$16-$F$15)-1,AC$99:AG246,4,FALSE)))*EXP(-(LN(2)/$D$65+0.1)*(VLOOKUP(($F$16-$F$15)-1,AC$99:AG246,5,FALSE)))*EXP(-(LN(2)/$D$65+0.04)*AF246)*EXP(-(LN(2)/$D$65+0.1)*AG246),IF(AD246=3,AI$100*EXP(-(LN(2)/$D$65+0.04)*(VLOOKUP(($F$16-$F$15)-1,AC$99:AG246,4,FALSE)))*EXP(-(LN(2)/$D$65+0.1)*(VLOOKUP(($F$16-$F$15)-1,AC$99:AG246,5,FALSE)))*EXP(-(LN(2)/$D$65+0.04)*(VLOOKUP(($F$16-$F$15)*2-1,AC$99:AG246,4,FALSE)))*EXP(-(LN(2)/$D$65+0.1)*(VLOOKUP(($F$16-$F$15)*2-1,AC$99:AG246,5,FALSE)))*EXP(-(LN(2)/$D$65+0.04)*AF246)*EXP(-(LN(2)/$D$65+0.1)*AG246),"-"))),"-")</f>
        <v>-</v>
      </c>
      <c r="AJ247" s="271" t="str">
        <f>IFERROR(IF(AD247=1,AJ$100*EXP(-(LN(2)/$D$65+0.04)*AF247)*EXP(-(LN(2)/$D$65+0.1)*AG247),IF(AD247=2,AJ$100*EXP(-(LN(2)/$D$65+0.04)*(VLOOKUP(($F$16-$F$15)-1,AC$100:AG247,4,FALSE)))*EXP(-(LN(2)/$D$65+0.1)*(VLOOKUP(($F$16-$F$15)-1,AC$100:AG247,5,FALSE)))*EXP(-(LN(2)/$D$65+0.04)*AF247)*EXP(-(LN(2)/$D$65+0.1)*AG247),IF(AD247=3,AJ$100*EXP(-(LN(2)/$D$65+0.04)*(VLOOKUP(($F$16-$F$15)-1,AC$100:AG247,4,FALSE)))*EXP(-(LN(2)/$D$65+0.1)*(VLOOKUP(($F$16-$F$15)-1,AC$100:AG247,5,FALSE)))*EXP(-(LN(2)/$D$65+0.04)*(VLOOKUP(($F$16-$F$15)*2-1,AC$100:AG247,4,FALSE)))*EXP(-(LN(2)/$D$65+0.1)*(VLOOKUP(($F$16-$F$15)*2-1,AC$100:AG247,5,FALSE)))*EXP(-(LN(2)/$D$65+0.04)*AF247)*EXP(-(LN(2)/$D$65+0.1)*AG247),"-"))),"-")</f>
        <v>-</v>
      </c>
      <c r="AK247" s="227">
        <f t="shared" si="215"/>
        <v>147</v>
      </c>
      <c r="AL247" s="226" t="str">
        <f t="shared" si="189"/>
        <v>-</v>
      </c>
      <c r="AM247" s="227" t="str">
        <f t="shared" si="216"/>
        <v>-</v>
      </c>
      <c r="AN247" s="227" t="str">
        <f t="shared" si="217"/>
        <v>-</v>
      </c>
      <c r="AO247" s="227" t="str">
        <f t="shared" si="190"/>
        <v>-</v>
      </c>
      <c r="AP247" s="273">
        <f t="shared" si="218"/>
        <v>0.1</v>
      </c>
      <c r="AQ247" s="271" t="str">
        <f>IFERROR(IF(AL246=1,AQ$100*EXP(-(LN(2)/$D$65+0.04)*AN246)*EXP(-(LN(2)/$D$65+0.1)*AO246),IF(AL246=2,AQ$100*EXP(-(LN(2)/$D$65+0.04)*(VLOOKUP(($F$16-$F$15)-1,AK$99:AO246,4,FALSE)))*EXP(-(LN(2)/$D$65+0.1)*(VLOOKUP(($F$16-$F$15)-1,AK$99:AO246,5,FALSE)))*EXP(-(LN(2)/$D$65+0.04)*AN246)*EXP(-(LN(2)/$D$65+0.1)*AO246),IF(AL246=3,AQ$100*EXP(-(LN(2)/$D$65+0.04)*(VLOOKUP(($F$16-$F$15)-1,AK$99:AO246,4,FALSE)))*EXP(-(LN(2)/$D$65+0.1)*(VLOOKUP(($F$16-$F$15)-1,AK$99:AO246,5,FALSE)))*EXP(-(LN(2)/$D$65+0.04)*(VLOOKUP(($F$16-$F$15)*2-1,AK$99:AO246,4,FALSE)))*EXP(-(LN(2)/$D$65+0.1)*(VLOOKUP(($F$16-$F$15)*2-1,AK$99:AO246,5,FALSE)))*EXP(-(LN(2)/$D$65+0.04)*AN246)*EXP(-(LN(2)/$D$65+0.1)*AO246),"-"))),"-")</f>
        <v>-</v>
      </c>
      <c r="AR247" s="271" t="str">
        <f>IFERROR(IF(AL247=1,AR$100*EXP(-(LN(2)/$D$65+0.04)*AN247)*EXP(-(LN(2)/$D$65+0.1)*AO247),IF(AL247=2,AR$100*EXP(-(LN(2)/$D$65+0.04)*(VLOOKUP(($F$16-$F$15)-1,AK$100:AO247,4,FALSE)))*EXP(-(LN(2)/$D$65+0.1)*(VLOOKUP(($F$16-$F$15)-1,AK$100:AO247,5,FALSE)))*EXP(-(LN(2)/$D$65+0.04)*AN247)*EXP(-(LN(2)/$D$65+0.1)*AO247),IF(AL247=3,AR$100*EXP(-(LN(2)/$D$65+0.04)*(VLOOKUP(($F$16-$F$15)-1,AK$100:AO247,4,FALSE)))*EXP(-(LN(2)/$D$65+0.1)*(VLOOKUP(($F$16-$F$15)-1,AK$100:AO247,5,FALSE)))*EXP(-(LN(2)/$D$65+0.04)*(VLOOKUP(($F$16-$F$15)*2-1,AK$100:AO247,4,FALSE)))*EXP(-(LN(2)/$D$65+0.1)*(VLOOKUP(($F$16-$F$15)*2-1,AK$100:AO247,5,FALSE)))*EXP(-(LN(2)/$D$65+0.04)*AN247)*EXP(-(LN(2)/$D$65+0.1)*AO247),"-"))),"-")</f>
        <v>-</v>
      </c>
      <c r="AS247" s="274">
        <f t="shared" si="191"/>
        <v>0</v>
      </c>
      <c r="AT247" s="274">
        <f t="shared" si="192"/>
        <v>0</v>
      </c>
      <c r="AU247" s="274">
        <f t="shared" si="193"/>
        <v>0</v>
      </c>
      <c r="AV247" s="190">
        <f>IF($B247&lt;$F$22,SUM($T$100:$T247),"")</f>
        <v>0</v>
      </c>
      <c r="AW247" s="190" t="str">
        <f t="shared" si="194"/>
        <v>-</v>
      </c>
      <c r="AX247" s="190" t="str">
        <f t="shared" si="219"/>
        <v/>
      </c>
      <c r="AY247"/>
      <c r="AZ247" s="190" t="str">
        <f ca="1">IF(ISNUMBER(OFFSET(AV247,-$F$21,0)),SUM(OFFSET($T$100,$F$21,0):$T247),"")</f>
        <v/>
      </c>
      <c r="BA247" s="190" t="str">
        <f t="shared" ca="1" si="195"/>
        <v/>
      </c>
      <c r="BB247" s="190" t="str">
        <f t="shared" ca="1" si="148"/>
        <v/>
      </c>
      <c r="BC247" s="190"/>
      <c r="BD247" s="190" t="str">
        <f ca="1">IFERROR(IF(AND($B247&gt;=($F$16-$F$15),$B247&lt;$F$22+($F$16-$F$15)),SUM(OFFSET($T$100,($F$16-$F$15),0):$T247),""),"")</f>
        <v/>
      </c>
      <c r="BE247" s="190" t="str">
        <f t="shared" ca="1" si="220"/>
        <v/>
      </c>
      <c r="BF247" s="190" t="str">
        <f t="shared" ca="1" si="221"/>
        <v/>
      </c>
      <c r="BG247"/>
      <c r="BH247" s="190" t="str">
        <f ca="1">IF(ISNUMBER(OFFSET(BD247,-$F$21,0)),SUM(OFFSET($T$100,($F$16-$F$15+$F$21),0):$T247),"")</f>
        <v/>
      </c>
      <c r="BI247" s="190" t="str">
        <f t="shared" ca="1" si="196"/>
        <v/>
      </c>
      <c r="BJ247" s="190" t="str">
        <f t="shared" ca="1" si="222"/>
        <v/>
      </c>
      <c r="BK247" s="190"/>
      <c r="BL247" s="190" t="str">
        <f ca="1">IFERROR(IF(AND($B247&gt;=($F$17-$F$15),$B247&lt;$F$22+($F$17-$F$15)),SUM(OFFSET($T$100,($F$17-$F$15),0):$T247),""),"")</f>
        <v/>
      </c>
      <c r="BM247" s="190" t="str">
        <f t="shared" ca="1" si="197"/>
        <v/>
      </c>
      <c r="BN247" s="190" t="str">
        <f t="shared" ca="1" si="223"/>
        <v/>
      </c>
      <c r="BO247"/>
      <c r="BP247" s="190" t="str">
        <f ca="1">IF(ISNUMBER(OFFSET(BL247,-$F$21,0)),SUM(OFFSET($T$100,($F$17-$F$15+$F$21),0):$T247),"")</f>
        <v/>
      </c>
      <c r="BQ247" s="190" t="str">
        <f t="shared" ca="1" si="198"/>
        <v/>
      </c>
      <c r="BR247" s="190" t="str">
        <f t="shared" ca="1" si="224"/>
        <v/>
      </c>
      <c r="BS247" s="190"/>
      <c r="BT247"/>
      <c r="BU247"/>
      <c r="BV247"/>
      <c r="BY247" s="99"/>
      <c r="BZ247" s="99"/>
      <c r="CA247" s="280" t="str">
        <f t="shared" si="199"/>
        <v/>
      </c>
      <c r="CB247" s="71" t="str">
        <f t="shared" si="200"/>
        <v>-</v>
      </c>
      <c r="CC247" s="33"/>
      <c r="CD247" s="261" t="str">
        <f t="shared" si="201"/>
        <v/>
      </c>
      <c r="CE247" s="280" t="str">
        <f t="shared" si="202"/>
        <v>-</v>
      </c>
      <c r="CF247" s="71" t="str">
        <f t="shared" ca="1" si="203"/>
        <v>-</v>
      </c>
      <c r="CG247" s="33" t="str">
        <f t="shared" si="204"/>
        <v>147-148</v>
      </c>
      <c r="CH247" s="261" t="str">
        <f t="shared" ca="1" si="205"/>
        <v/>
      </c>
    </row>
    <row r="248" spans="2:86" ht="13.5" customHeight="1" x14ac:dyDescent="0.2">
      <c r="B248" s="262">
        <v>148</v>
      </c>
      <c r="C248" s="237" t="str">
        <f t="shared" si="169"/>
        <v/>
      </c>
      <c r="D248" s="237" t="str">
        <f t="shared" si="225"/>
        <v>-</v>
      </c>
      <c r="E248" s="263" t="str">
        <f t="shared" si="206"/>
        <v/>
      </c>
      <c r="F248" s="264" t="str">
        <f t="shared" si="207"/>
        <v/>
      </c>
      <c r="G248" s="264" t="str">
        <f t="shared" si="208"/>
        <v/>
      </c>
      <c r="H248" s="240" t="str">
        <f t="shared" si="170"/>
        <v/>
      </c>
      <c r="I248" s="265" t="str">
        <f t="shared" si="171"/>
        <v/>
      </c>
      <c r="J248" s="265" t="str">
        <f t="shared" si="172"/>
        <v/>
      </c>
      <c r="K248" s="240" t="str">
        <f t="shared" si="173"/>
        <v/>
      </c>
      <c r="L248" s="265" t="str">
        <f t="shared" si="174"/>
        <v/>
      </c>
      <c r="M248" s="265" t="str">
        <f t="shared" si="175"/>
        <v/>
      </c>
      <c r="N248" s="240" t="str">
        <f t="shared" si="176"/>
        <v>-</v>
      </c>
      <c r="O248" s="265" t="str">
        <f t="shared" si="177"/>
        <v>-</v>
      </c>
      <c r="P248" s="265" t="str">
        <f t="shared" si="178"/>
        <v>-</v>
      </c>
      <c r="Q248" s="266" t="str">
        <f t="shared" si="179"/>
        <v>-</v>
      </c>
      <c r="R248" s="267" t="str">
        <f t="shared" si="180"/>
        <v>-</v>
      </c>
      <c r="S248" s="268" t="str">
        <f t="shared" si="181"/>
        <v>-</v>
      </c>
      <c r="T248" s="269" t="str">
        <f t="shared" si="182"/>
        <v/>
      </c>
      <c r="U248" s="221">
        <f t="shared" si="183"/>
        <v>148</v>
      </c>
      <c r="V248" s="220" t="str">
        <f t="shared" si="209"/>
        <v>-</v>
      </c>
      <c r="W248" s="221" t="str">
        <f t="shared" si="210"/>
        <v>-</v>
      </c>
      <c r="X248" s="221" t="str">
        <f t="shared" si="184"/>
        <v>-</v>
      </c>
      <c r="Y248" s="221" t="str">
        <f t="shared" si="185"/>
        <v>-</v>
      </c>
      <c r="Z248" s="270">
        <f t="shared" si="211"/>
        <v>0.1</v>
      </c>
      <c r="AA248" s="271" t="str">
        <f>IFERROR(IF(V247=1,AA$100*EXP(-(LN(2)/$D$65+0.04)*X247)*EXP(-(LN(2)/$D$65+0.1)*Y247),IF(V247=2,AA$100*EXP(-(LN(2)/$D$65+0.04)*(VLOOKUP(($F$16-$F$15)-1,U$99:Y247,4,FALSE)))*EXP(-(LN(2)/$D$65+0.1)*(VLOOKUP(($F$16-$F$15)-1,U$99:Y247,5,FALSE)))*EXP(-(LN(2)/$D$65+0.04)*X247)*EXP(-(LN(2)/$D$65+0.1)*Y247),IF(V247=3,AA$100*EXP(-(LN(2)/$D$65+0.04)*(VLOOKUP(($F$16-$F$15)-1,U$99:Y247,4,FALSE)))*EXP(-(LN(2)/$D$65+0.1)*(VLOOKUP(($F$16-$F$15)-1,U$99:Y247,5,FALSE)))*EXP(-(LN(2)/$D$65+0.04)*(VLOOKUP(($F$16-$F$15)*2-1,U$99:Y247,4,FALSE)))*EXP(-(LN(2)/$D$65+0.1)*(VLOOKUP(($F$16-$F$15)*2-1,U$99:Y247,5,FALSE)))*EXP(-(LN(2)/$D$65+0.04)*X247)*EXP(-(LN(2)/$D$65+0.1)*Y247),"-"))),"-")</f>
        <v>-</v>
      </c>
      <c r="AB248" s="271" t="str">
        <f>IFERROR(IF(V248=1,AB$100*EXP(-(LN(2)/$D$65+0.04)*X248)*EXP(-(LN(2)/$D$65+0.1)*Y248),IF(V248=2,AB$100*EXP(-(LN(2)/$D$65+0.04)*(VLOOKUP(($F$16-$F$15)-1,U$100:Y248,4,FALSE)))*EXP(-(LN(2)/$D$65+0.1)*(VLOOKUP(($F$16-$F$15)-1,U$100:Y248,5,FALSE)))*EXP(-(LN(2)/$D$65+0.04)*X248)*EXP(-(LN(2)/$D$65+0.1)*Y248),IF(V248=3,AB$100*EXP(-(LN(2)/$D$65+0.04)*(VLOOKUP(($F$16-$F$15)-1,U$100:Y248,4,FALSE)))*EXP(-(LN(2)/$D$65+0.1)*(VLOOKUP(($F$16-$F$15)-1,U$100:Y248,5,FALSE)))*EXP(-(LN(2)/$D$65+0.04)*(VLOOKUP(($F$16-$F$15)*2-1,U$100:Y248,4,FALSE)))*EXP(-(LN(2)/$D$65+0.1)*(VLOOKUP(($F$16-$F$15)*2-1,U$100:Y248,5,FALSE)))*EXP(-(LN(2)/$D$65+0.04)*X248)*EXP(-(LN(2)/$D$65+0.1)*Y248),"-"))),"-")</f>
        <v>-</v>
      </c>
      <c r="AC248" s="224">
        <f t="shared" si="226"/>
        <v>148</v>
      </c>
      <c r="AD248" s="223" t="str">
        <f t="shared" si="186"/>
        <v>-</v>
      </c>
      <c r="AE248" s="224" t="str">
        <f t="shared" si="213"/>
        <v>-</v>
      </c>
      <c r="AF248" s="224" t="str">
        <f t="shared" si="187"/>
        <v>-</v>
      </c>
      <c r="AG248" s="224" t="str">
        <f t="shared" si="188"/>
        <v>-</v>
      </c>
      <c r="AH248" s="272">
        <f t="shared" si="214"/>
        <v>0.1</v>
      </c>
      <c r="AI248" s="271" t="str">
        <f>IFERROR(IF(AD247=1,AI$100*EXP(-(LN(2)/$D$65+0.04)*AF247)*EXP(-(LN(2)/$D$65+0.1)*AG247),IF(AD247=2,AI$100*EXP(-(LN(2)/$D$65+0.04)*(VLOOKUP(($F$16-$F$15)-1,AC$99:AG247,4,FALSE)))*EXP(-(LN(2)/$D$65+0.1)*(VLOOKUP(($F$16-$F$15)-1,AC$99:AG247,5,FALSE)))*EXP(-(LN(2)/$D$65+0.04)*AF247)*EXP(-(LN(2)/$D$65+0.1)*AG247),IF(AD247=3,AI$100*EXP(-(LN(2)/$D$65+0.04)*(VLOOKUP(($F$16-$F$15)-1,AC$99:AG247,4,FALSE)))*EXP(-(LN(2)/$D$65+0.1)*(VLOOKUP(($F$16-$F$15)-1,AC$99:AG247,5,FALSE)))*EXP(-(LN(2)/$D$65+0.04)*(VLOOKUP(($F$16-$F$15)*2-1,AC$99:AG247,4,FALSE)))*EXP(-(LN(2)/$D$65+0.1)*(VLOOKUP(($F$16-$F$15)*2-1,AC$99:AG247,5,FALSE)))*EXP(-(LN(2)/$D$65+0.04)*AF247)*EXP(-(LN(2)/$D$65+0.1)*AG247),"-"))),"-")</f>
        <v>-</v>
      </c>
      <c r="AJ248" s="271" t="str">
        <f>IFERROR(IF(AD248=1,AJ$100*EXP(-(LN(2)/$D$65+0.04)*AF248)*EXP(-(LN(2)/$D$65+0.1)*AG248),IF(AD248=2,AJ$100*EXP(-(LN(2)/$D$65+0.04)*(VLOOKUP(($F$16-$F$15)-1,AC$100:AG248,4,FALSE)))*EXP(-(LN(2)/$D$65+0.1)*(VLOOKUP(($F$16-$F$15)-1,AC$100:AG248,5,FALSE)))*EXP(-(LN(2)/$D$65+0.04)*AF248)*EXP(-(LN(2)/$D$65+0.1)*AG248),IF(AD248=3,AJ$100*EXP(-(LN(2)/$D$65+0.04)*(VLOOKUP(($F$16-$F$15)-1,AC$100:AG248,4,FALSE)))*EXP(-(LN(2)/$D$65+0.1)*(VLOOKUP(($F$16-$F$15)-1,AC$100:AG248,5,FALSE)))*EXP(-(LN(2)/$D$65+0.04)*(VLOOKUP(($F$16-$F$15)*2-1,AC$100:AG248,4,FALSE)))*EXP(-(LN(2)/$D$65+0.1)*(VLOOKUP(($F$16-$F$15)*2-1,AC$100:AG248,5,FALSE)))*EXP(-(LN(2)/$D$65+0.04)*AF248)*EXP(-(LN(2)/$D$65+0.1)*AG248),"-"))),"-")</f>
        <v>-</v>
      </c>
      <c r="AK248" s="227">
        <f t="shared" si="215"/>
        <v>148</v>
      </c>
      <c r="AL248" s="226" t="str">
        <f t="shared" si="189"/>
        <v>-</v>
      </c>
      <c r="AM248" s="227" t="str">
        <f t="shared" si="216"/>
        <v>-</v>
      </c>
      <c r="AN248" s="227" t="str">
        <f t="shared" si="217"/>
        <v>-</v>
      </c>
      <c r="AO248" s="227" t="str">
        <f t="shared" si="190"/>
        <v>-</v>
      </c>
      <c r="AP248" s="273">
        <f t="shared" si="218"/>
        <v>0.1</v>
      </c>
      <c r="AQ248" s="271" t="str">
        <f>IFERROR(IF(AL247=1,AQ$100*EXP(-(LN(2)/$D$65+0.04)*AN247)*EXP(-(LN(2)/$D$65+0.1)*AO247),IF(AL247=2,AQ$100*EXP(-(LN(2)/$D$65+0.04)*(VLOOKUP(($F$16-$F$15)-1,AK$99:AO247,4,FALSE)))*EXP(-(LN(2)/$D$65+0.1)*(VLOOKUP(($F$16-$F$15)-1,AK$99:AO247,5,FALSE)))*EXP(-(LN(2)/$D$65+0.04)*AN247)*EXP(-(LN(2)/$D$65+0.1)*AO247),IF(AL247=3,AQ$100*EXP(-(LN(2)/$D$65+0.04)*(VLOOKUP(($F$16-$F$15)-1,AK$99:AO247,4,FALSE)))*EXP(-(LN(2)/$D$65+0.1)*(VLOOKUP(($F$16-$F$15)-1,AK$99:AO247,5,FALSE)))*EXP(-(LN(2)/$D$65+0.04)*(VLOOKUP(($F$16-$F$15)*2-1,AK$99:AO247,4,FALSE)))*EXP(-(LN(2)/$D$65+0.1)*(VLOOKUP(($F$16-$F$15)*2-1,AK$99:AO247,5,FALSE)))*EXP(-(LN(2)/$D$65+0.04)*AN247)*EXP(-(LN(2)/$D$65+0.1)*AO247),"-"))),"-")</f>
        <v>-</v>
      </c>
      <c r="AR248" s="271" t="str">
        <f>IFERROR(IF(AL248=1,AR$100*EXP(-(LN(2)/$D$65+0.04)*AN248)*EXP(-(LN(2)/$D$65+0.1)*AO248),IF(AL248=2,AR$100*EXP(-(LN(2)/$D$65+0.04)*(VLOOKUP(($F$16-$F$15)-1,AK$100:AO248,4,FALSE)))*EXP(-(LN(2)/$D$65+0.1)*(VLOOKUP(($F$16-$F$15)-1,AK$100:AO248,5,FALSE)))*EXP(-(LN(2)/$D$65+0.04)*AN248)*EXP(-(LN(2)/$D$65+0.1)*AO248),IF(AL248=3,AR$100*EXP(-(LN(2)/$D$65+0.04)*(VLOOKUP(($F$16-$F$15)-1,AK$100:AO248,4,FALSE)))*EXP(-(LN(2)/$D$65+0.1)*(VLOOKUP(($F$16-$F$15)-1,AK$100:AO248,5,FALSE)))*EXP(-(LN(2)/$D$65+0.04)*(VLOOKUP(($F$16-$F$15)*2-1,AK$100:AO248,4,FALSE)))*EXP(-(LN(2)/$D$65+0.1)*(VLOOKUP(($F$16-$F$15)*2-1,AK$100:AO248,5,FALSE)))*EXP(-(LN(2)/$D$65+0.04)*AN248)*EXP(-(LN(2)/$D$65+0.1)*AO248),"-"))),"-")</f>
        <v>-</v>
      </c>
      <c r="AS248" s="274">
        <f t="shared" si="191"/>
        <v>0</v>
      </c>
      <c r="AT248" s="274">
        <f t="shared" si="192"/>
        <v>0</v>
      </c>
      <c r="AU248" s="274">
        <f t="shared" si="193"/>
        <v>0</v>
      </c>
      <c r="AV248" s="190">
        <f>IF($B248&lt;$F$22,SUM($T$100:$T248),"")</f>
        <v>0</v>
      </c>
      <c r="AW248" s="190" t="str">
        <f t="shared" si="194"/>
        <v>-</v>
      </c>
      <c r="AX248" s="190" t="str">
        <f t="shared" si="219"/>
        <v/>
      </c>
      <c r="AY248"/>
      <c r="AZ248" s="190" t="str">
        <f ca="1">IF(ISNUMBER(OFFSET(AV248,-$F$21,0)),SUM(OFFSET($T$100,$F$21,0):$T248),"")</f>
        <v/>
      </c>
      <c r="BA248" s="190" t="str">
        <f t="shared" ca="1" si="195"/>
        <v/>
      </c>
      <c r="BB248" s="190" t="str">
        <f t="shared" ca="1" si="148"/>
        <v/>
      </c>
      <c r="BC248" s="190"/>
      <c r="BD248" s="190" t="str">
        <f ca="1">IFERROR(IF(AND($B248&gt;=($F$16-$F$15),$B248&lt;$F$22+($F$16-$F$15)),SUM(OFFSET($T$100,($F$16-$F$15),0):$T248),""),"")</f>
        <v/>
      </c>
      <c r="BE248" s="190" t="str">
        <f t="shared" ca="1" si="220"/>
        <v/>
      </c>
      <c r="BF248" s="190" t="str">
        <f t="shared" ca="1" si="221"/>
        <v/>
      </c>
      <c r="BG248"/>
      <c r="BH248" s="190" t="str">
        <f ca="1">IF(ISNUMBER(OFFSET(BD248,-$F$21,0)),SUM(OFFSET($T$100,($F$16-$F$15+$F$21),0):$T248),"")</f>
        <v/>
      </c>
      <c r="BI248" s="190" t="str">
        <f t="shared" ca="1" si="196"/>
        <v/>
      </c>
      <c r="BJ248" s="190" t="str">
        <f t="shared" ca="1" si="222"/>
        <v/>
      </c>
      <c r="BK248" s="190"/>
      <c r="BL248" s="190" t="str">
        <f ca="1">IFERROR(IF(AND($B248&gt;=($F$17-$F$15),$B248&lt;$F$22+($F$17-$F$15)),SUM(OFFSET($T$100,($F$17-$F$15),0):$T248),""),"")</f>
        <v/>
      </c>
      <c r="BM248" s="190" t="str">
        <f t="shared" ca="1" si="197"/>
        <v/>
      </c>
      <c r="BN248" s="190" t="str">
        <f t="shared" ca="1" si="223"/>
        <v/>
      </c>
      <c r="BO248"/>
      <c r="BP248" s="190" t="str">
        <f ca="1">IF(ISNUMBER(OFFSET(BL248,-$F$21,0)),SUM(OFFSET($T$100,($F$17-$F$15+$F$21),0):$T248),"")</f>
        <v/>
      </c>
      <c r="BQ248" s="190" t="str">
        <f t="shared" ca="1" si="198"/>
        <v/>
      </c>
      <c r="BR248" s="190" t="str">
        <f t="shared" ca="1" si="224"/>
        <v/>
      </c>
      <c r="BS248" s="190"/>
      <c r="BT248"/>
      <c r="BU248"/>
      <c r="BV248"/>
      <c r="BY248" s="99"/>
      <c r="BZ248" s="99"/>
      <c r="CA248" s="280" t="str">
        <f t="shared" si="199"/>
        <v/>
      </c>
      <c r="CB248" s="71" t="str">
        <f t="shared" si="200"/>
        <v>-</v>
      </c>
      <c r="CC248" s="33"/>
      <c r="CD248" s="261" t="str">
        <f t="shared" si="201"/>
        <v/>
      </c>
      <c r="CE248" s="280" t="str">
        <f t="shared" si="202"/>
        <v>-</v>
      </c>
      <c r="CF248" s="71" t="str">
        <f t="shared" ca="1" si="203"/>
        <v>-</v>
      </c>
      <c r="CG248" s="33" t="str">
        <f t="shared" si="204"/>
        <v>148-149</v>
      </c>
      <c r="CH248" s="261" t="str">
        <f t="shared" ca="1" si="205"/>
        <v/>
      </c>
    </row>
    <row r="249" spans="2:86" ht="13.5" customHeight="1" x14ac:dyDescent="0.2">
      <c r="B249" s="262">
        <v>149</v>
      </c>
      <c r="C249" s="237" t="str">
        <f t="shared" si="169"/>
        <v/>
      </c>
      <c r="D249" s="237" t="str">
        <f t="shared" si="225"/>
        <v>-</v>
      </c>
      <c r="E249" s="263" t="str">
        <f t="shared" si="206"/>
        <v/>
      </c>
      <c r="F249" s="264" t="str">
        <f t="shared" si="207"/>
        <v/>
      </c>
      <c r="G249" s="264" t="str">
        <f t="shared" si="208"/>
        <v/>
      </c>
      <c r="H249" s="240" t="str">
        <f t="shared" si="170"/>
        <v/>
      </c>
      <c r="I249" s="265" t="str">
        <f t="shared" si="171"/>
        <v/>
      </c>
      <c r="J249" s="265" t="str">
        <f t="shared" si="172"/>
        <v/>
      </c>
      <c r="K249" s="240" t="str">
        <f t="shared" si="173"/>
        <v/>
      </c>
      <c r="L249" s="265" t="str">
        <f t="shared" si="174"/>
        <v/>
      </c>
      <c r="M249" s="265" t="str">
        <f t="shared" si="175"/>
        <v/>
      </c>
      <c r="N249" s="240" t="str">
        <f t="shared" si="176"/>
        <v>-</v>
      </c>
      <c r="O249" s="265" t="str">
        <f t="shared" si="177"/>
        <v>-</v>
      </c>
      <c r="P249" s="265" t="str">
        <f t="shared" si="178"/>
        <v>-</v>
      </c>
      <c r="Q249" s="266" t="str">
        <f t="shared" si="179"/>
        <v>-</v>
      </c>
      <c r="R249" s="267" t="str">
        <f t="shared" si="180"/>
        <v>-</v>
      </c>
      <c r="S249" s="268" t="str">
        <f t="shared" si="181"/>
        <v>-</v>
      </c>
      <c r="T249" s="269" t="str">
        <f t="shared" si="182"/>
        <v/>
      </c>
      <c r="U249" s="221">
        <f t="shared" si="183"/>
        <v>149</v>
      </c>
      <c r="V249" s="220" t="str">
        <f t="shared" si="209"/>
        <v>-</v>
      </c>
      <c r="W249" s="221" t="str">
        <f t="shared" si="210"/>
        <v>-</v>
      </c>
      <c r="X249" s="221" t="str">
        <f t="shared" si="184"/>
        <v>-</v>
      </c>
      <c r="Y249" s="221" t="str">
        <f t="shared" si="185"/>
        <v>-</v>
      </c>
      <c r="Z249" s="270">
        <f t="shared" si="211"/>
        <v>0.1</v>
      </c>
      <c r="AA249" s="271" t="str">
        <f>IFERROR(IF(V248=1,AA$100*EXP(-(LN(2)/$D$65+0.04)*X248)*EXP(-(LN(2)/$D$65+0.1)*Y248),IF(V248=2,AA$100*EXP(-(LN(2)/$D$65+0.04)*(VLOOKUP(($F$16-$F$15)-1,U$99:Y248,4,FALSE)))*EXP(-(LN(2)/$D$65+0.1)*(VLOOKUP(($F$16-$F$15)-1,U$99:Y248,5,FALSE)))*EXP(-(LN(2)/$D$65+0.04)*X248)*EXP(-(LN(2)/$D$65+0.1)*Y248),IF(V248=3,AA$100*EXP(-(LN(2)/$D$65+0.04)*(VLOOKUP(($F$16-$F$15)-1,U$99:Y248,4,FALSE)))*EXP(-(LN(2)/$D$65+0.1)*(VLOOKUP(($F$16-$F$15)-1,U$99:Y248,5,FALSE)))*EXP(-(LN(2)/$D$65+0.04)*(VLOOKUP(($F$16-$F$15)*2-1,U$99:Y248,4,FALSE)))*EXP(-(LN(2)/$D$65+0.1)*(VLOOKUP(($F$16-$F$15)*2-1,U$99:Y248,5,FALSE)))*EXP(-(LN(2)/$D$65+0.04)*X248)*EXP(-(LN(2)/$D$65+0.1)*Y248),"-"))),"-")</f>
        <v>-</v>
      </c>
      <c r="AB249" s="271" t="str">
        <f>IFERROR(IF(V249=1,AB$100*EXP(-(LN(2)/$D$65+0.04)*X249)*EXP(-(LN(2)/$D$65+0.1)*Y249),IF(V249=2,AB$100*EXP(-(LN(2)/$D$65+0.04)*(VLOOKUP(($F$16-$F$15)-1,U$100:Y249,4,FALSE)))*EXP(-(LN(2)/$D$65+0.1)*(VLOOKUP(($F$16-$F$15)-1,U$100:Y249,5,FALSE)))*EXP(-(LN(2)/$D$65+0.04)*X249)*EXP(-(LN(2)/$D$65+0.1)*Y249),IF(V249=3,AB$100*EXP(-(LN(2)/$D$65+0.04)*(VLOOKUP(($F$16-$F$15)-1,U$100:Y249,4,FALSE)))*EXP(-(LN(2)/$D$65+0.1)*(VLOOKUP(($F$16-$F$15)-1,U$100:Y249,5,FALSE)))*EXP(-(LN(2)/$D$65+0.04)*(VLOOKUP(($F$16-$F$15)*2-1,U$100:Y249,4,FALSE)))*EXP(-(LN(2)/$D$65+0.1)*(VLOOKUP(($F$16-$F$15)*2-1,U$100:Y249,5,FALSE)))*EXP(-(LN(2)/$D$65+0.04)*X249)*EXP(-(LN(2)/$D$65+0.1)*Y249),"-"))),"-")</f>
        <v>-</v>
      </c>
      <c r="AC249" s="224">
        <f t="shared" si="226"/>
        <v>149</v>
      </c>
      <c r="AD249" s="223" t="str">
        <f t="shared" si="186"/>
        <v>-</v>
      </c>
      <c r="AE249" s="224" t="str">
        <f t="shared" si="213"/>
        <v>-</v>
      </c>
      <c r="AF249" s="224" t="str">
        <f t="shared" si="187"/>
        <v>-</v>
      </c>
      <c r="AG249" s="224" t="str">
        <f t="shared" si="188"/>
        <v>-</v>
      </c>
      <c r="AH249" s="272">
        <f t="shared" si="214"/>
        <v>0.1</v>
      </c>
      <c r="AI249" s="271" t="str">
        <f>IFERROR(IF(AD248=1,AI$100*EXP(-(LN(2)/$D$65+0.04)*AF248)*EXP(-(LN(2)/$D$65+0.1)*AG248),IF(AD248=2,AI$100*EXP(-(LN(2)/$D$65+0.04)*(VLOOKUP(($F$16-$F$15)-1,AC$99:AG248,4,FALSE)))*EXP(-(LN(2)/$D$65+0.1)*(VLOOKUP(($F$16-$F$15)-1,AC$99:AG248,5,FALSE)))*EXP(-(LN(2)/$D$65+0.04)*AF248)*EXP(-(LN(2)/$D$65+0.1)*AG248),IF(AD248=3,AI$100*EXP(-(LN(2)/$D$65+0.04)*(VLOOKUP(($F$16-$F$15)-1,AC$99:AG248,4,FALSE)))*EXP(-(LN(2)/$D$65+0.1)*(VLOOKUP(($F$16-$F$15)-1,AC$99:AG248,5,FALSE)))*EXP(-(LN(2)/$D$65+0.04)*(VLOOKUP(($F$16-$F$15)*2-1,AC$99:AG248,4,FALSE)))*EXP(-(LN(2)/$D$65+0.1)*(VLOOKUP(($F$16-$F$15)*2-1,AC$99:AG248,5,FALSE)))*EXP(-(LN(2)/$D$65+0.04)*AF248)*EXP(-(LN(2)/$D$65+0.1)*AG248),"-"))),"-")</f>
        <v>-</v>
      </c>
      <c r="AJ249" s="271" t="str">
        <f>IFERROR(IF(AD249=1,AJ$100*EXP(-(LN(2)/$D$65+0.04)*AF249)*EXP(-(LN(2)/$D$65+0.1)*AG249),IF(AD249=2,AJ$100*EXP(-(LN(2)/$D$65+0.04)*(VLOOKUP(($F$16-$F$15)-1,AC$100:AG249,4,FALSE)))*EXP(-(LN(2)/$D$65+0.1)*(VLOOKUP(($F$16-$F$15)-1,AC$100:AG249,5,FALSE)))*EXP(-(LN(2)/$D$65+0.04)*AF249)*EXP(-(LN(2)/$D$65+0.1)*AG249),IF(AD249=3,AJ$100*EXP(-(LN(2)/$D$65+0.04)*(VLOOKUP(($F$16-$F$15)-1,AC$100:AG249,4,FALSE)))*EXP(-(LN(2)/$D$65+0.1)*(VLOOKUP(($F$16-$F$15)-1,AC$100:AG249,5,FALSE)))*EXP(-(LN(2)/$D$65+0.04)*(VLOOKUP(($F$16-$F$15)*2-1,AC$100:AG249,4,FALSE)))*EXP(-(LN(2)/$D$65+0.1)*(VLOOKUP(($F$16-$F$15)*2-1,AC$100:AG249,5,FALSE)))*EXP(-(LN(2)/$D$65+0.04)*AF249)*EXP(-(LN(2)/$D$65+0.1)*AG249),"-"))),"-")</f>
        <v>-</v>
      </c>
      <c r="AK249" s="227">
        <f t="shared" si="215"/>
        <v>149</v>
      </c>
      <c r="AL249" s="226" t="str">
        <f t="shared" si="189"/>
        <v>-</v>
      </c>
      <c r="AM249" s="227" t="str">
        <f t="shared" si="216"/>
        <v>-</v>
      </c>
      <c r="AN249" s="227" t="str">
        <f t="shared" si="217"/>
        <v>-</v>
      </c>
      <c r="AO249" s="227" t="str">
        <f t="shared" si="190"/>
        <v>-</v>
      </c>
      <c r="AP249" s="273">
        <f t="shared" si="218"/>
        <v>0.1</v>
      </c>
      <c r="AQ249" s="271" t="str">
        <f>IFERROR(IF(AL248=1,AQ$100*EXP(-(LN(2)/$D$65+0.04)*AN248)*EXP(-(LN(2)/$D$65+0.1)*AO248),IF(AL248=2,AQ$100*EXP(-(LN(2)/$D$65+0.04)*(VLOOKUP(($F$16-$F$15)-1,AK$99:AO248,4,FALSE)))*EXP(-(LN(2)/$D$65+0.1)*(VLOOKUP(($F$16-$F$15)-1,AK$99:AO248,5,FALSE)))*EXP(-(LN(2)/$D$65+0.04)*AN248)*EXP(-(LN(2)/$D$65+0.1)*AO248),IF(AL248=3,AQ$100*EXP(-(LN(2)/$D$65+0.04)*(VLOOKUP(($F$16-$F$15)-1,AK$99:AO248,4,FALSE)))*EXP(-(LN(2)/$D$65+0.1)*(VLOOKUP(($F$16-$F$15)-1,AK$99:AO248,5,FALSE)))*EXP(-(LN(2)/$D$65+0.04)*(VLOOKUP(($F$16-$F$15)*2-1,AK$99:AO248,4,FALSE)))*EXP(-(LN(2)/$D$65+0.1)*(VLOOKUP(($F$16-$F$15)*2-1,AK$99:AO248,5,FALSE)))*EXP(-(LN(2)/$D$65+0.04)*AN248)*EXP(-(LN(2)/$D$65+0.1)*AO248),"-"))),"-")</f>
        <v>-</v>
      </c>
      <c r="AR249" s="271" t="str">
        <f>IFERROR(IF(AL249=1,AR$100*EXP(-(LN(2)/$D$65+0.04)*AN249)*EXP(-(LN(2)/$D$65+0.1)*AO249),IF(AL249=2,AR$100*EXP(-(LN(2)/$D$65+0.04)*(VLOOKUP(($F$16-$F$15)-1,AK$100:AO249,4,FALSE)))*EXP(-(LN(2)/$D$65+0.1)*(VLOOKUP(($F$16-$F$15)-1,AK$100:AO249,5,FALSE)))*EXP(-(LN(2)/$D$65+0.04)*AN249)*EXP(-(LN(2)/$D$65+0.1)*AO249),IF(AL249=3,AR$100*EXP(-(LN(2)/$D$65+0.04)*(VLOOKUP(($F$16-$F$15)-1,AK$100:AO249,4,FALSE)))*EXP(-(LN(2)/$D$65+0.1)*(VLOOKUP(($F$16-$F$15)-1,AK$100:AO249,5,FALSE)))*EXP(-(LN(2)/$D$65+0.04)*(VLOOKUP(($F$16-$F$15)*2-1,AK$100:AO249,4,FALSE)))*EXP(-(LN(2)/$D$65+0.1)*(VLOOKUP(($F$16-$F$15)*2-1,AK$100:AO249,5,FALSE)))*EXP(-(LN(2)/$D$65+0.04)*AN249)*EXP(-(LN(2)/$D$65+0.1)*AO249),"-"))),"-")</f>
        <v>-</v>
      </c>
      <c r="AS249" s="274">
        <f t="shared" si="191"/>
        <v>0</v>
      </c>
      <c r="AT249" s="274">
        <f t="shared" si="192"/>
        <v>0</v>
      </c>
      <c r="AU249" s="274">
        <f t="shared" si="193"/>
        <v>0</v>
      </c>
      <c r="AV249" s="190">
        <f>IF($B249&lt;$F$22,SUM($T$100:$T249),"")</f>
        <v>0</v>
      </c>
      <c r="AW249" s="190" t="str">
        <f t="shared" si="194"/>
        <v>-</v>
      </c>
      <c r="AX249" s="190" t="str">
        <f t="shared" si="219"/>
        <v/>
      </c>
      <c r="AY249"/>
      <c r="AZ249" s="190" t="str">
        <f ca="1">IF(ISNUMBER(OFFSET(AV249,-$F$21,0)),SUM(OFFSET($T$100,$F$21,0):$T249),"")</f>
        <v/>
      </c>
      <c r="BA249" s="190" t="str">
        <f t="shared" ca="1" si="195"/>
        <v/>
      </c>
      <c r="BB249" s="190" t="str">
        <f ca="1">IF(ISNUMBER(AZ249),(AZ249-BA249)/(3*86400*(OFFSET($B249,-$F$21,0)+1))*1000,"")</f>
        <v/>
      </c>
      <c r="BC249" s="190"/>
      <c r="BD249" s="190" t="str">
        <f ca="1">IFERROR(IF(AND($B249&gt;=($F$16-$F$15),$B249&lt;$F$22+($F$16-$F$15)),SUM(OFFSET($T$100,($F$16-$F$15),0):$T249),""),"")</f>
        <v/>
      </c>
      <c r="BE249" s="190" t="str">
        <f t="shared" ca="1" si="220"/>
        <v/>
      </c>
      <c r="BF249" s="190" t="str">
        <f t="shared" ca="1" si="221"/>
        <v/>
      </c>
      <c r="BG249"/>
      <c r="BH249" s="190" t="str">
        <f ca="1">IF(ISNUMBER(OFFSET(BD249,-$F$21,0)),SUM(OFFSET($T$100,($F$16-$F$15+$F$21),0):$T249),"")</f>
        <v/>
      </c>
      <c r="BI249" s="190" t="str">
        <f t="shared" ca="1" si="196"/>
        <v/>
      </c>
      <c r="BJ249" s="190" t="str">
        <f t="shared" ca="1" si="222"/>
        <v/>
      </c>
      <c r="BK249" s="190"/>
      <c r="BL249" s="190" t="str">
        <f ca="1">IFERROR(IF(AND($B249&gt;=($F$17-$F$15),$B249&lt;$F$22+($F$17-$F$15)),SUM(OFFSET($T$100,($F$17-$F$15),0):$T249),""),"")</f>
        <v/>
      </c>
      <c r="BM249" s="190" t="str">
        <f t="shared" ca="1" si="197"/>
        <v/>
      </c>
      <c r="BN249" s="190" t="str">
        <f t="shared" ca="1" si="223"/>
        <v/>
      </c>
      <c r="BO249"/>
      <c r="BP249" s="190" t="str">
        <f ca="1">IF(ISNUMBER(OFFSET(BL249,-$F$21,0)),SUM(OFFSET($T$100,($F$17-$F$15+$F$21),0):$T249),"")</f>
        <v/>
      </c>
      <c r="BQ249" s="190" t="str">
        <f t="shared" ca="1" si="198"/>
        <v/>
      </c>
      <c r="BR249" s="190" t="str">
        <f t="shared" ca="1" si="224"/>
        <v/>
      </c>
      <c r="BS249" s="190"/>
      <c r="BT249"/>
      <c r="BU249"/>
      <c r="BV249"/>
      <c r="BY249" s="99"/>
      <c r="BZ249" s="99"/>
      <c r="CA249" s="280" t="str">
        <f t="shared" si="199"/>
        <v/>
      </c>
      <c r="CB249" s="71" t="str">
        <f t="shared" si="200"/>
        <v>-</v>
      </c>
      <c r="CC249" s="33"/>
      <c r="CD249" s="261" t="str">
        <f t="shared" si="201"/>
        <v/>
      </c>
      <c r="CE249" s="280" t="str">
        <f t="shared" si="202"/>
        <v>-</v>
      </c>
      <c r="CF249" s="71" t="str">
        <f t="shared" ca="1" si="203"/>
        <v>-</v>
      </c>
      <c r="CG249" s="33" t="str">
        <f t="shared" si="204"/>
        <v>149-150</v>
      </c>
      <c r="CH249" s="261" t="str">
        <f t="shared" ca="1" si="205"/>
        <v/>
      </c>
    </row>
    <row r="250" spans="2:86" ht="13.5" customHeight="1" x14ac:dyDescent="0.2">
      <c r="B250" s="262">
        <v>150</v>
      </c>
      <c r="C250" s="237" t="str">
        <f t="shared" si="169"/>
        <v/>
      </c>
      <c r="D250" s="237" t="str">
        <f t="shared" si="225"/>
        <v>-</v>
      </c>
      <c r="E250" s="263" t="str">
        <f t="shared" si="206"/>
        <v/>
      </c>
      <c r="F250" s="264" t="str">
        <f t="shared" si="207"/>
        <v/>
      </c>
      <c r="G250" s="264" t="str">
        <f t="shared" si="208"/>
        <v/>
      </c>
      <c r="H250" s="240" t="str">
        <f t="shared" si="170"/>
        <v/>
      </c>
      <c r="I250" s="265" t="str">
        <f t="shared" si="171"/>
        <v/>
      </c>
      <c r="J250" s="265" t="str">
        <f t="shared" si="172"/>
        <v/>
      </c>
      <c r="K250" s="240" t="str">
        <f t="shared" si="173"/>
        <v/>
      </c>
      <c r="L250" s="265" t="str">
        <f t="shared" si="174"/>
        <v/>
      </c>
      <c r="M250" s="265" t="str">
        <f t="shared" si="175"/>
        <v/>
      </c>
      <c r="N250" s="240" t="str">
        <f t="shared" si="176"/>
        <v>-</v>
      </c>
      <c r="O250" s="265" t="str">
        <f t="shared" si="177"/>
        <v>-</v>
      </c>
      <c r="P250" s="265" t="str">
        <f t="shared" si="178"/>
        <v>-</v>
      </c>
      <c r="Q250" s="266" t="str">
        <f t="shared" si="179"/>
        <v>-</v>
      </c>
      <c r="R250" s="267" t="str">
        <f t="shared" si="180"/>
        <v>-</v>
      </c>
      <c r="S250" s="268" t="str">
        <f t="shared" si="181"/>
        <v>-</v>
      </c>
      <c r="T250" s="269" t="str">
        <f t="shared" si="182"/>
        <v/>
      </c>
      <c r="U250" s="221">
        <f t="shared" si="183"/>
        <v>150</v>
      </c>
      <c r="V250" s="220" t="str">
        <f t="shared" si="209"/>
        <v>-</v>
      </c>
      <c r="W250" s="221" t="str">
        <f t="shared" si="210"/>
        <v>-</v>
      </c>
      <c r="X250" s="221" t="str">
        <f t="shared" si="184"/>
        <v>-</v>
      </c>
      <c r="Y250" s="221" t="str">
        <f t="shared" si="185"/>
        <v>-</v>
      </c>
      <c r="Z250" s="270">
        <f t="shared" si="211"/>
        <v>0.1</v>
      </c>
      <c r="AA250" s="271" t="str">
        <f>IFERROR(IF(V249=1,AA$100*EXP(-(LN(2)/$D$65+0.04)*X249)*EXP(-(LN(2)/$D$65+0.1)*Y249),IF(V249=2,AA$100*EXP(-(LN(2)/$D$65+0.04)*(VLOOKUP(($F$16-$F$15)-1,U$99:Y249,4,FALSE)))*EXP(-(LN(2)/$D$65+0.1)*(VLOOKUP(($F$16-$F$15)-1,U$99:Y249,5,FALSE)))*EXP(-(LN(2)/$D$65+0.04)*X249)*EXP(-(LN(2)/$D$65+0.1)*Y249),IF(V249=3,AA$100*EXP(-(LN(2)/$D$65+0.04)*(VLOOKUP(($F$16-$F$15)-1,U$99:Y249,4,FALSE)))*EXP(-(LN(2)/$D$65+0.1)*(VLOOKUP(($F$16-$F$15)-1,U$99:Y249,5,FALSE)))*EXP(-(LN(2)/$D$65+0.04)*(VLOOKUP(($F$16-$F$15)*2-1,U$99:Y249,4,FALSE)))*EXP(-(LN(2)/$D$65+0.1)*(VLOOKUP(($F$16-$F$15)*2-1,U$99:Y249,5,FALSE)))*EXP(-(LN(2)/$D$65+0.04)*X249)*EXP(-(LN(2)/$D$65+0.1)*Y249),"-"))),"-")</f>
        <v>-</v>
      </c>
      <c r="AB250" s="271" t="str">
        <f>IFERROR(IF(V250=1,AB$100*EXP(-(LN(2)/$D$65+0.04)*X250)*EXP(-(LN(2)/$D$65+0.1)*Y250),IF(V250=2,AB$100*EXP(-(LN(2)/$D$65+0.04)*(VLOOKUP(($F$16-$F$15)-1,U$100:Y250,4,FALSE)))*EXP(-(LN(2)/$D$65+0.1)*(VLOOKUP(($F$16-$F$15)-1,U$100:Y250,5,FALSE)))*EXP(-(LN(2)/$D$65+0.04)*X250)*EXP(-(LN(2)/$D$65+0.1)*Y250),IF(V250=3,AB$100*EXP(-(LN(2)/$D$65+0.04)*(VLOOKUP(($F$16-$F$15)-1,U$100:Y250,4,FALSE)))*EXP(-(LN(2)/$D$65+0.1)*(VLOOKUP(($F$16-$F$15)-1,U$100:Y250,5,FALSE)))*EXP(-(LN(2)/$D$65+0.04)*(VLOOKUP(($F$16-$F$15)*2-1,U$100:Y250,4,FALSE)))*EXP(-(LN(2)/$D$65+0.1)*(VLOOKUP(($F$16-$F$15)*2-1,U$100:Y250,5,FALSE)))*EXP(-(LN(2)/$D$65+0.04)*X250)*EXP(-(LN(2)/$D$65+0.1)*Y250),"-"))),"-")</f>
        <v>-</v>
      </c>
      <c r="AC250" s="224">
        <f t="shared" si="226"/>
        <v>150</v>
      </c>
      <c r="AD250" s="223" t="str">
        <f t="shared" si="186"/>
        <v>-</v>
      </c>
      <c r="AE250" s="224" t="str">
        <f t="shared" si="213"/>
        <v>-</v>
      </c>
      <c r="AF250" s="224" t="str">
        <f t="shared" si="187"/>
        <v>-</v>
      </c>
      <c r="AG250" s="224" t="str">
        <f t="shared" si="188"/>
        <v>-</v>
      </c>
      <c r="AH250" s="272">
        <f t="shared" si="214"/>
        <v>0.1</v>
      </c>
      <c r="AI250" s="271" t="str">
        <f>IFERROR(IF(AD249=1,AI$100*EXP(-(LN(2)/$D$65+0.04)*AF249)*EXP(-(LN(2)/$D$65+0.1)*AG249),IF(AD249=2,AI$100*EXP(-(LN(2)/$D$65+0.04)*(VLOOKUP(($F$16-$F$15)-1,AC$99:AG249,4,FALSE)))*EXP(-(LN(2)/$D$65+0.1)*(VLOOKUP(($F$16-$F$15)-1,AC$99:AG249,5,FALSE)))*EXP(-(LN(2)/$D$65+0.04)*AF249)*EXP(-(LN(2)/$D$65+0.1)*AG249),IF(AD249=3,AI$100*EXP(-(LN(2)/$D$65+0.04)*(VLOOKUP(($F$16-$F$15)-1,AC$99:AG249,4,FALSE)))*EXP(-(LN(2)/$D$65+0.1)*(VLOOKUP(($F$16-$F$15)-1,AC$99:AG249,5,FALSE)))*EXP(-(LN(2)/$D$65+0.04)*(VLOOKUP(($F$16-$F$15)*2-1,AC$99:AG249,4,FALSE)))*EXP(-(LN(2)/$D$65+0.1)*(VLOOKUP(($F$16-$F$15)*2-1,AC$99:AG249,5,FALSE)))*EXP(-(LN(2)/$D$65+0.04)*AF249)*EXP(-(LN(2)/$D$65+0.1)*AG249),"-"))),"-")</f>
        <v>-</v>
      </c>
      <c r="AJ250" s="271" t="str">
        <f>IFERROR(IF(AD250=1,AJ$100*EXP(-(LN(2)/$D$65+0.04)*AF250)*EXP(-(LN(2)/$D$65+0.1)*AG250),IF(AD250=2,AJ$100*EXP(-(LN(2)/$D$65+0.04)*(VLOOKUP(($F$16-$F$15)-1,AC$100:AG250,4,FALSE)))*EXP(-(LN(2)/$D$65+0.1)*(VLOOKUP(($F$16-$F$15)-1,AC$100:AG250,5,FALSE)))*EXP(-(LN(2)/$D$65+0.04)*AF250)*EXP(-(LN(2)/$D$65+0.1)*AG250),IF(AD250=3,AJ$100*EXP(-(LN(2)/$D$65+0.04)*(VLOOKUP(($F$16-$F$15)-1,AC$100:AG250,4,FALSE)))*EXP(-(LN(2)/$D$65+0.1)*(VLOOKUP(($F$16-$F$15)-1,AC$100:AG250,5,FALSE)))*EXP(-(LN(2)/$D$65+0.04)*(VLOOKUP(($F$16-$F$15)*2-1,AC$100:AG250,4,FALSE)))*EXP(-(LN(2)/$D$65+0.1)*(VLOOKUP(($F$16-$F$15)*2-1,AC$100:AG250,5,FALSE)))*EXP(-(LN(2)/$D$65+0.04)*AF250)*EXP(-(LN(2)/$D$65+0.1)*AG250),"-"))),"-")</f>
        <v>-</v>
      </c>
      <c r="AK250" s="227">
        <f t="shared" si="215"/>
        <v>150</v>
      </c>
      <c r="AL250" s="226" t="str">
        <f t="shared" si="189"/>
        <v>-</v>
      </c>
      <c r="AM250" s="227" t="str">
        <f t="shared" si="216"/>
        <v>-</v>
      </c>
      <c r="AN250" s="227" t="str">
        <f t="shared" si="217"/>
        <v>-</v>
      </c>
      <c r="AO250" s="227" t="str">
        <f t="shared" si="190"/>
        <v>-</v>
      </c>
      <c r="AP250" s="273">
        <f t="shared" si="218"/>
        <v>0.1</v>
      </c>
      <c r="AQ250" s="271" t="str">
        <f>IFERROR(IF(AL249=1,AQ$100*EXP(-(LN(2)/$D$65+0.04)*AN249)*EXP(-(LN(2)/$D$65+0.1)*AO249),IF(AL249=2,AQ$100*EXP(-(LN(2)/$D$65+0.04)*(VLOOKUP(($F$16-$F$15)-1,AK$99:AO249,4,FALSE)))*EXP(-(LN(2)/$D$65+0.1)*(VLOOKUP(($F$16-$F$15)-1,AK$99:AO249,5,FALSE)))*EXP(-(LN(2)/$D$65+0.04)*AN249)*EXP(-(LN(2)/$D$65+0.1)*AO249),IF(AL249=3,AQ$100*EXP(-(LN(2)/$D$65+0.04)*(VLOOKUP(($F$16-$F$15)-1,AK$99:AO249,4,FALSE)))*EXP(-(LN(2)/$D$65+0.1)*(VLOOKUP(($F$16-$F$15)-1,AK$99:AO249,5,FALSE)))*EXP(-(LN(2)/$D$65+0.04)*(VLOOKUP(($F$16-$F$15)*2-1,AK$99:AO249,4,FALSE)))*EXP(-(LN(2)/$D$65+0.1)*(VLOOKUP(($F$16-$F$15)*2-1,AK$99:AO249,5,FALSE)))*EXP(-(LN(2)/$D$65+0.04)*AN249)*EXP(-(LN(2)/$D$65+0.1)*AO249),"-"))),"-")</f>
        <v>-</v>
      </c>
      <c r="AR250" s="271" t="str">
        <f>IFERROR(IF(AL250=1,AR$100*EXP(-(LN(2)/$D$65+0.04)*AN250)*EXP(-(LN(2)/$D$65+0.1)*AO250),IF(AL250=2,AR$100*EXP(-(LN(2)/$D$65+0.04)*(VLOOKUP(($F$16-$F$15)-1,AK$100:AO250,4,FALSE)))*EXP(-(LN(2)/$D$65+0.1)*(VLOOKUP(($F$16-$F$15)-1,AK$100:AO250,5,FALSE)))*EXP(-(LN(2)/$D$65+0.04)*AN250)*EXP(-(LN(2)/$D$65+0.1)*AO250),IF(AL250=3,AR$100*EXP(-(LN(2)/$D$65+0.04)*(VLOOKUP(($F$16-$F$15)-1,AK$100:AO250,4,FALSE)))*EXP(-(LN(2)/$D$65+0.1)*(VLOOKUP(($F$16-$F$15)-1,AK$100:AO250,5,FALSE)))*EXP(-(LN(2)/$D$65+0.04)*(VLOOKUP(($F$16-$F$15)*2-1,AK$100:AO250,4,FALSE)))*EXP(-(LN(2)/$D$65+0.1)*(VLOOKUP(($F$16-$F$15)*2-1,AK$100:AO250,5,FALSE)))*EXP(-(LN(2)/$D$65+0.04)*AN250)*EXP(-(LN(2)/$D$65+0.1)*AO250),"-"))),"-")</f>
        <v>-</v>
      </c>
      <c r="AS250" s="274">
        <f t="shared" si="191"/>
        <v>0</v>
      </c>
      <c r="AT250" s="274">
        <f t="shared" si="192"/>
        <v>0</v>
      </c>
      <c r="AU250" s="274">
        <f t="shared" si="193"/>
        <v>0</v>
      </c>
      <c r="AV250" s="253">
        <f>IF($B250&lt;$F$22,SUM($T$100:$T250),"")</f>
        <v>0</v>
      </c>
      <c r="AW250" s="253" t="str">
        <f t="shared" si="194"/>
        <v>-</v>
      </c>
      <c r="AX250" s="253" t="str">
        <f t="shared" si="219"/>
        <v/>
      </c>
      <c r="AY250" s="252"/>
      <c r="AZ250" s="253" t="str">
        <f ca="1">IF(ISNUMBER(OFFSET(AV250,-$F$21,0)),SUM(OFFSET($T$100,$F$21,0):$T250),"")</f>
        <v/>
      </c>
      <c r="BA250" s="253" t="str">
        <f t="shared" ca="1" si="195"/>
        <v/>
      </c>
      <c r="BB250" s="253" t="str">
        <f ca="1">IF(ISNUMBER(AZ250),(AZ250-BA250)/(3*86400*(OFFSET($B250,-$F$21,0)+1))*1000,"")</f>
        <v/>
      </c>
      <c r="BC250" s="253"/>
      <c r="BD250" s="253" t="str">
        <f ca="1">IFERROR(IF(AND($B250&gt;=($F$16-$F$15),$B250&lt;$F$22+($F$16-$F$15)),SUM(OFFSET($T$100,($F$16-$F$15),0):$T250),""),"")</f>
        <v/>
      </c>
      <c r="BE250" s="253" t="str">
        <f t="shared" ca="1" si="220"/>
        <v/>
      </c>
      <c r="BF250" s="253" t="str">
        <f t="shared" ca="1" si="221"/>
        <v/>
      </c>
      <c r="BG250" s="252"/>
      <c r="BH250" s="253" t="str">
        <f ca="1">IF(ISNUMBER(OFFSET(BD250,-$F$21,0)),SUM(OFFSET($T$100,($F$16-$F$15+$F$21),0):$T250),"")</f>
        <v/>
      </c>
      <c r="BI250" s="253" t="str">
        <f t="shared" ca="1" si="196"/>
        <v/>
      </c>
      <c r="BJ250" s="253" t="str">
        <f t="shared" ca="1" si="222"/>
        <v/>
      </c>
      <c r="BK250" s="253"/>
      <c r="BL250" s="253" t="str">
        <f ca="1">IFERROR(IF(AND($B250&gt;=($F$17-$F$15),$B250&lt;$F$22+($F$17-$F$15)),SUM(OFFSET($T$100,($F$17-$F$15),0):$T250),""),"")</f>
        <v/>
      </c>
      <c r="BM250" s="253" t="str">
        <f t="shared" ca="1" si="197"/>
        <v/>
      </c>
      <c r="BN250" s="253" t="str">
        <f t="shared" ca="1" si="223"/>
        <v/>
      </c>
      <c r="BO250" s="252"/>
      <c r="BP250" s="253" t="str">
        <f ca="1">IF(ISNUMBER(OFFSET(BL250,-$F$21,0)),SUM(OFFSET($T$100,($F$17-$F$15+$F$21),0):$T250),"")</f>
        <v/>
      </c>
      <c r="BQ250" s="253" t="str">
        <f t="shared" ca="1" si="198"/>
        <v/>
      </c>
      <c r="BR250" s="253" t="str">
        <f t="shared" ca="1" si="224"/>
        <v/>
      </c>
      <c r="BS250" s="253"/>
      <c r="BT250"/>
      <c r="BU250"/>
      <c r="BV250"/>
      <c r="BY250" s="99"/>
      <c r="BZ250" s="99"/>
      <c r="CA250" s="280" t="str">
        <f t="shared" si="199"/>
        <v/>
      </c>
      <c r="CB250" s="71" t="str">
        <f t="shared" si="200"/>
        <v>-</v>
      </c>
      <c r="CC250" s="33"/>
      <c r="CD250" s="261" t="str">
        <f t="shared" si="201"/>
        <v/>
      </c>
      <c r="CE250" s="280" t="str">
        <f t="shared" si="202"/>
        <v>-</v>
      </c>
      <c r="CF250" s="71" t="str">
        <f t="shared" ca="1" si="203"/>
        <v>-</v>
      </c>
      <c r="CG250" s="33" t="str">
        <f t="shared" si="204"/>
        <v>150-151</v>
      </c>
      <c r="CH250" s="261" t="str">
        <f t="shared" ca="1" si="205"/>
        <v/>
      </c>
    </row>
  </sheetData>
  <sheetProtection algorithmName="SHA-512" hashValue="2zvD2DZx7h3r2C0k2a0VtLevzVttbC+bQm/KbdcXm1UlehebEsRRlS7VvGDXhoF0jhr3/9T6vFWGs0QYFhA+tg==" saltValue="adHnAQnqM2CKIpAhlU5JVw==" spinCount="100000" sheet="1" objects="1" scenarios="1" selectLockedCells="1"/>
  <mergeCells count="108">
    <mergeCell ref="B2:D3"/>
    <mergeCell ref="BU94:BY94"/>
    <mergeCell ref="AW97:AW98"/>
    <mergeCell ref="BA97:BA98"/>
    <mergeCell ref="BE97:BE98"/>
    <mergeCell ref="BF97:BF98"/>
    <mergeCell ref="BH97:BH98"/>
    <mergeCell ref="BI97:BI98"/>
    <mergeCell ref="BJ97:BJ98"/>
    <mergeCell ref="BL97:BL98"/>
    <mergeCell ref="BM97:BM98"/>
    <mergeCell ref="BN97:BN98"/>
    <mergeCell ref="BP97:BP98"/>
    <mergeCell ref="BQ97:BQ98"/>
    <mergeCell ref="BR97:BR98"/>
    <mergeCell ref="C12:E12"/>
    <mergeCell ref="H12:J12"/>
    <mergeCell ref="C13:E13"/>
    <mergeCell ref="H13:J13"/>
    <mergeCell ref="C14:E14"/>
    <mergeCell ref="H14:J14"/>
    <mergeCell ref="B5:C5"/>
    <mergeCell ref="D5:J5"/>
    <mergeCell ref="B6:C6"/>
    <mergeCell ref="D6:J6"/>
    <mergeCell ref="C11:E11"/>
    <mergeCell ref="H11:J11"/>
    <mergeCell ref="C20:E20"/>
    <mergeCell ref="H20:J20"/>
    <mergeCell ref="C21:E21"/>
    <mergeCell ref="H21:J21"/>
    <mergeCell ref="C22:E22"/>
    <mergeCell ref="H22:J22"/>
    <mergeCell ref="B15:B17"/>
    <mergeCell ref="C15:E17"/>
    <mergeCell ref="G15:G17"/>
    <mergeCell ref="H15:J17"/>
    <mergeCell ref="B18:B19"/>
    <mergeCell ref="C18:E19"/>
    <mergeCell ref="F18:F19"/>
    <mergeCell ref="G18:G19"/>
    <mergeCell ref="H18:J19"/>
    <mergeCell ref="B36:D36"/>
    <mergeCell ref="B37:B38"/>
    <mergeCell ref="C37:C38"/>
    <mergeCell ref="D37:D38"/>
    <mergeCell ref="G38:I38"/>
    <mergeCell ref="G39:I39"/>
    <mergeCell ref="C23:E23"/>
    <mergeCell ref="H23:J23"/>
    <mergeCell ref="H25:K34"/>
    <mergeCell ref="B26:C26"/>
    <mergeCell ref="B27:C27"/>
    <mergeCell ref="B31:C31"/>
    <mergeCell ref="F46:F47"/>
    <mergeCell ref="G46:I47"/>
    <mergeCell ref="F48:F49"/>
    <mergeCell ref="G48:J49"/>
    <mergeCell ref="G50:I50"/>
    <mergeCell ref="G51:I51"/>
    <mergeCell ref="F40:F41"/>
    <mergeCell ref="G40:I41"/>
    <mergeCell ref="G42:I42"/>
    <mergeCell ref="F43:F44"/>
    <mergeCell ref="G43:I44"/>
    <mergeCell ref="G45:I45"/>
    <mergeCell ref="B65:C65"/>
    <mergeCell ref="G66:H66"/>
    <mergeCell ref="C69:E69"/>
    <mergeCell ref="C70:E70"/>
    <mergeCell ref="C71:E71"/>
    <mergeCell ref="B93:C93"/>
    <mergeCell ref="G52:I52"/>
    <mergeCell ref="G53:I53"/>
    <mergeCell ref="G54:I54"/>
    <mergeCell ref="G55:I55"/>
    <mergeCell ref="G56:I56"/>
    <mergeCell ref="B61:E64"/>
    <mergeCell ref="B95:B99"/>
    <mergeCell ref="C95:C99"/>
    <mergeCell ref="D95:D99"/>
    <mergeCell ref="E95:E99"/>
    <mergeCell ref="F95:F99"/>
    <mergeCell ref="G95:G99"/>
    <mergeCell ref="H95:H99"/>
    <mergeCell ref="I95:I99"/>
    <mergeCell ref="B94:D94"/>
    <mergeCell ref="E94:G94"/>
    <mergeCell ref="H94:J94"/>
    <mergeCell ref="S95:S99"/>
    <mergeCell ref="AZ97:AZ98"/>
    <mergeCell ref="BB97:BB98"/>
    <mergeCell ref="BD97:BD98"/>
    <mergeCell ref="AV97:AV98"/>
    <mergeCell ref="AX97:AX98"/>
    <mergeCell ref="J95:J99"/>
    <mergeCell ref="K95:K99"/>
    <mergeCell ref="L95:L99"/>
    <mergeCell ref="M95:M99"/>
    <mergeCell ref="N95:N99"/>
    <mergeCell ref="O95:O99"/>
    <mergeCell ref="T94:T99"/>
    <mergeCell ref="K94:M94"/>
    <mergeCell ref="N94:P94"/>
    <mergeCell ref="Q94:S94"/>
    <mergeCell ref="P95:P99"/>
    <mergeCell ref="Q95:Q99"/>
    <mergeCell ref="R95:R99"/>
  </mergeCells>
  <phoneticPr fontId="3"/>
  <conditionalFormatting sqref="B100:B114">
    <cfRule type="expression" dxfId="992" priority="342" stopIfTrue="1">
      <formula>MAX($BG$99:$BG$120)+14&lt;$B100</formula>
    </cfRule>
  </conditionalFormatting>
  <conditionalFormatting sqref="D65">
    <cfRule type="expression" dxfId="991" priority="295" stopIfTrue="1">
      <formula>$G$13=7</formula>
    </cfRule>
    <cfRule type="expression" dxfId="990" priority="294" stopIfTrue="1">
      <formula>$G$13=8</formula>
    </cfRule>
    <cfRule type="expression" dxfId="989" priority="293" stopIfTrue="1">
      <formula>$G$13=""</formula>
    </cfRule>
    <cfRule type="expression" dxfId="988" priority="312" stopIfTrue="1">
      <formula>AND(ISNUMBER(D65),MAX($C65:$C65)=D65,$G$13=8)</formula>
    </cfRule>
    <cfRule type="expression" dxfId="987" priority="311" stopIfTrue="1">
      <formula>AND(ISNUMBER(D65),MAX($C65:$C65)=D65,$G$13=7)</formula>
    </cfRule>
    <cfRule type="expression" dxfId="986" priority="310" stopIfTrue="1">
      <formula>AND(ISNUMBER(D65),MAX($C65:$C65)=D65,$G$13=6)</formula>
    </cfRule>
    <cfRule type="expression" dxfId="985" priority="309" stopIfTrue="1">
      <formula>AND(ISNUMBER(D65),MAX($C65:$C65)=D65,$G$13=5)</formula>
    </cfRule>
    <cfRule type="expression" dxfId="984" priority="308" stopIfTrue="1">
      <formula>AND(ISNUMBER(D65),MAX($C65:$C65)=D65,$G$13=4)</formula>
    </cfRule>
    <cfRule type="expression" dxfId="983" priority="307" stopIfTrue="1">
      <formula>AND(ISNUMBER(D65),MAX($C65:$C65)=D65,$G$13=3)</formula>
    </cfRule>
    <cfRule type="expression" dxfId="982" priority="306" stopIfTrue="1">
      <formula>AND(ISNUMBER(D65),MAX($C65:$C65)=D65,$G$13=2)</formula>
    </cfRule>
    <cfRule type="expression" dxfId="981" priority="305" stopIfTrue="1">
      <formula>AND(ISNUMBER(D65),MAX($C65:$C65)=D65,$G$13=1)</formula>
    </cfRule>
    <cfRule type="expression" dxfId="980" priority="304" stopIfTrue="1">
      <formula>AND(ISNUMBER(D65),MAX($C65:$C65)=D65,$G$13=0)</formula>
    </cfRule>
    <cfRule type="expression" dxfId="979" priority="303" stopIfTrue="1">
      <formula>AND(ISNUMBER(D65),MAX($C65:$C65)=D65,$G$13="")</formula>
    </cfRule>
    <cfRule type="expression" dxfId="978" priority="302" stopIfTrue="1">
      <formula>$G$13=0</formula>
    </cfRule>
    <cfRule type="expression" dxfId="977" priority="300" stopIfTrue="1">
      <formula>$G$13=2</formula>
    </cfRule>
    <cfRule type="expression" dxfId="976" priority="301" stopIfTrue="1">
      <formula>$G$13=1</formula>
    </cfRule>
    <cfRule type="expression" dxfId="975" priority="299" stopIfTrue="1">
      <formula>$G$13=3</formula>
    </cfRule>
    <cfRule type="expression" dxfId="974" priority="298" stopIfTrue="1">
      <formula>$G$13=4</formula>
    </cfRule>
    <cfRule type="expression" dxfId="973" priority="297" stopIfTrue="1">
      <formula>$G$13=5</formula>
    </cfRule>
    <cfRule type="expression" dxfId="972" priority="296" stopIfTrue="1">
      <formula>$G$13=6</formula>
    </cfRule>
  </conditionalFormatting>
  <conditionalFormatting sqref="F70">
    <cfRule type="expression" dxfId="971" priority="1" stopIfTrue="1">
      <formula>$G$13=""</formula>
    </cfRule>
    <cfRule type="expression" dxfId="970" priority="2" stopIfTrue="1">
      <formula>$G$13=8</formula>
    </cfRule>
    <cfRule type="expression" dxfId="969" priority="3" stopIfTrue="1">
      <formula>$G$13=7</formula>
    </cfRule>
    <cfRule type="expression" dxfId="968" priority="4" stopIfTrue="1">
      <formula>$G$13=6</formula>
    </cfRule>
    <cfRule type="expression" dxfId="967" priority="5" stopIfTrue="1">
      <formula>$G$13=5</formula>
    </cfRule>
    <cfRule type="expression" dxfId="966" priority="6" stopIfTrue="1">
      <formula>$G$13=4</formula>
    </cfRule>
    <cfRule type="expression" dxfId="965" priority="7" stopIfTrue="1">
      <formula>$G$13=3</formula>
    </cfRule>
    <cfRule type="expression" dxfId="964" priority="8" stopIfTrue="1">
      <formula>$G$13=2</formula>
    </cfRule>
    <cfRule type="expression" dxfId="963" priority="9" stopIfTrue="1">
      <formula>$G$13=1</formula>
    </cfRule>
    <cfRule type="expression" dxfId="962" priority="10" stopIfTrue="1">
      <formula>$G$13=0</formula>
    </cfRule>
    <cfRule type="expression" dxfId="961" priority="11" stopIfTrue="1">
      <formula>AND(ISNUMBER(F70),MAX($C70:$C70)=F70,$G$13="")</formula>
    </cfRule>
    <cfRule type="expression" dxfId="960" priority="12" stopIfTrue="1">
      <formula>AND(ISNUMBER(F70),MAX($C70:$C70)=F70,$G$13=0)</formula>
    </cfRule>
    <cfRule type="expression" dxfId="959" priority="13" stopIfTrue="1">
      <formula>AND(ISNUMBER(F70),MAX($C70:$C70)=F70,$G$13=1)</formula>
    </cfRule>
    <cfRule type="expression" dxfId="958" priority="14" stopIfTrue="1">
      <formula>AND(ISNUMBER(F70),MAX($C70:$C70)=F70,$G$13=2)</formula>
    </cfRule>
    <cfRule type="expression" dxfId="957" priority="15" stopIfTrue="1">
      <formula>AND(ISNUMBER(F70),MAX($C70:$C70)=F70,$G$13=3)</formula>
    </cfRule>
    <cfRule type="expression" dxfId="956" priority="16" stopIfTrue="1">
      <formula>AND(ISNUMBER(F70),MAX($C70:$C70)=F70,$G$13=4)</formula>
    </cfRule>
    <cfRule type="expression" dxfId="955" priority="18" stopIfTrue="1">
      <formula>AND(ISNUMBER(F70),MAX($C70:$C70)=F70,$G$13=6)</formula>
    </cfRule>
    <cfRule type="expression" dxfId="954" priority="19" stopIfTrue="1">
      <formula>AND(ISNUMBER(F70),MAX($C70:$C70)=F70,$G$13=7)</formula>
    </cfRule>
    <cfRule type="expression" dxfId="953" priority="20" stopIfTrue="1">
      <formula>AND(ISNUMBER(F70),MAX($C70:$C70)=F70,$G$13=8)</formula>
    </cfRule>
    <cfRule type="expression" dxfId="952" priority="17" stopIfTrue="1">
      <formula>AND(ISNUMBER(F70),MAX($C70:$C70)=F70,$G$13=5)</formula>
    </cfRule>
  </conditionalFormatting>
  <conditionalFormatting sqref="F71">
    <cfRule type="expression" dxfId="951" priority="21" stopIfTrue="1">
      <formula>$I$66=""</formula>
    </cfRule>
    <cfRule type="expression" dxfId="950" priority="22" stopIfTrue="1">
      <formula>$I$66=0</formula>
    </cfRule>
    <cfRule type="expression" dxfId="949" priority="23" stopIfTrue="1">
      <formula>$I$66=1</formula>
    </cfRule>
    <cfRule type="expression" dxfId="948" priority="24" stopIfTrue="1">
      <formula>$I$66=2</formula>
    </cfRule>
    <cfRule type="expression" dxfId="947" priority="25" stopIfTrue="1">
      <formula>$I$66=3</formula>
    </cfRule>
    <cfRule type="expression" dxfId="946" priority="26" stopIfTrue="1">
      <formula>$I$66=4</formula>
    </cfRule>
    <cfRule type="expression" dxfId="945" priority="27" stopIfTrue="1">
      <formula>$I$66=5</formula>
    </cfRule>
    <cfRule type="expression" dxfId="944" priority="28" stopIfTrue="1">
      <formula>$I$66=7</formula>
    </cfRule>
    <cfRule type="expression" dxfId="943" priority="29" stopIfTrue="1">
      <formula>$I$66=8</formula>
    </cfRule>
  </conditionalFormatting>
  <conditionalFormatting sqref="I3">
    <cfRule type="expression" dxfId="942" priority="320" stopIfTrue="1">
      <formula>$G$13=2</formula>
    </cfRule>
    <cfRule type="expression" dxfId="941" priority="319" stopIfTrue="1">
      <formula>$G$13=3</formula>
    </cfRule>
    <cfRule type="expression" dxfId="940" priority="317" stopIfTrue="1">
      <formula>$G$13=5</formula>
    </cfRule>
    <cfRule type="expression" dxfId="939" priority="318" stopIfTrue="1">
      <formula>$G$13=4</formula>
    </cfRule>
    <cfRule type="expression" dxfId="938" priority="316" stopIfTrue="1">
      <formula>$G$13=6</formula>
    </cfRule>
    <cfRule type="expression" dxfId="937" priority="315" stopIfTrue="1">
      <formula>$G$13=7</formula>
    </cfRule>
    <cfRule type="expression" dxfId="936" priority="314" stopIfTrue="1">
      <formula>$G$13=8</formula>
    </cfRule>
    <cfRule type="expression" dxfId="935" priority="313" stopIfTrue="1">
      <formula>$G$13=""</formula>
    </cfRule>
    <cfRule type="expression" dxfId="934" priority="322" stopIfTrue="1">
      <formula>$G$13=0</formula>
    </cfRule>
    <cfRule type="expression" dxfId="933" priority="332" stopIfTrue="1">
      <formula>AND(ISNUMBER(I3),MAX($C71:$C71)=I3,$G$13=8)</formula>
    </cfRule>
    <cfRule type="expression" dxfId="932" priority="331" stopIfTrue="1">
      <formula>AND(ISNUMBER(I3),MAX($C71:$C71)=I3,$G$13=7)</formula>
    </cfRule>
    <cfRule type="expression" dxfId="931" priority="330" stopIfTrue="1">
      <formula>AND(ISNUMBER(I3),MAX($C71:$C71)=I3,$G$13=6)</formula>
    </cfRule>
    <cfRule type="expression" dxfId="930" priority="329" stopIfTrue="1">
      <formula>AND(ISNUMBER(I3),MAX($C71:$C71)=I3,$G$13=5)</formula>
    </cfRule>
    <cfRule type="expression" dxfId="929" priority="328" stopIfTrue="1">
      <formula>AND(ISNUMBER(I3),MAX($C71:$C71)=I3,$G$13=4)</formula>
    </cfRule>
    <cfRule type="expression" dxfId="928" priority="327" stopIfTrue="1">
      <formula>AND(ISNUMBER(I3),MAX($C71:$C71)=I3,$G$13=3)</formula>
    </cfRule>
    <cfRule type="expression" dxfId="927" priority="326" stopIfTrue="1">
      <formula>AND(ISNUMBER(I3),MAX($C71:$C71)=I3,$G$13=2)</formula>
    </cfRule>
    <cfRule type="expression" dxfId="926" priority="325" stopIfTrue="1">
      <formula>AND(ISNUMBER(I3),MAX($C71:$C71)=I3,$G$13=1)</formula>
    </cfRule>
    <cfRule type="expression" dxfId="925" priority="324" stopIfTrue="1">
      <formula>AND(ISNUMBER(I3),MAX($C71:$C71)=I3,$G$13=0)</formula>
    </cfRule>
    <cfRule type="expression" dxfId="924" priority="323" stopIfTrue="1">
      <formula>AND(ISNUMBER(I3),MAX($C71:$C71)=I3,$G$13="")</formula>
    </cfRule>
    <cfRule type="expression" dxfId="923" priority="321" stopIfTrue="1">
      <formula>$G$13=1</formula>
    </cfRule>
  </conditionalFormatting>
  <conditionalFormatting sqref="Q100:S114">
    <cfRule type="expression" dxfId="922" priority="48" stopIfTrue="1">
      <formula>MAX($BU$99:$BU$120)+14&lt;$B100</formula>
    </cfRule>
  </conditionalFormatting>
  <conditionalFormatting sqref="T100:T114">
    <cfRule type="expression" dxfId="921" priority="238">
      <formula>MAX($BG$101:$BG$120)+4&lt;$B100</formula>
    </cfRule>
    <cfRule type="expression" dxfId="920" priority="237" stopIfTrue="1">
      <formula>MAX($BG$99:$BG$120)+14&lt;$B100</formula>
    </cfRule>
  </conditionalFormatting>
  <conditionalFormatting sqref="V99:V104">
    <cfRule type="expression" dxfId="919" priority="112" stopIfTrue="1">
      <formula>MAX($BU$99:$BU$120)+14&lt;$B99</formula>
    </cfRule>
    <cfRule type="expression" dxfId="918" priority="113">
      <formula>MAX($BU$101:$BU$120)+4&lt;$B99</formula>
    </cfRule>
  </conditionalFormatting>
  <conditionalFormatting sqref="AX88">
    <cfRule type="expression" dxfId="917" priority="58" stopIfTrue="1">
      <formula>$I$66=""</formula>
    </cfRule>
    <cfRule type="expression" dxfId="916" priority="60" stopIfTrue="1">
      <formula>$I$66=1</formula>
    </cfRule>
    <cfRule type="expression" dxfId="915" priority="61" stopIfTrue="1">
      <formula>$I$66=2</formula>
    </cfRule>
    <cfRule type="expression" dxfId="914" priority="62" stopIfTrue="1">
      <formula>$I$66=3</formula>
    </cfRule>
    <cfRule type="expression" dxfId="913" priority="63" stopIfTrue="1">
      <formula>$I$66=4</formula>
    </cfRule>
    <cfRule type="expression" dxfId="912" priority="64" stopIfTrue="1">
      <formula>$I$66=5</formula>
    </cfRule>
    <cfRule type="expression" dxfId="911" priority="65" stopIfTrue="1">
      <formula>$I$66=7</formula>
    </cfRule>
    <cfRule type="expression" dxfId="910" priority="66" stopIfTrue="1">
      <formula>$I$66=8</formula>
    </cfRule>
    <cfRule type="expression" dxfId="909" priority="59" stopIfTrue="1">
      <formula>$I$66=0</formula>
    </cfRule>
  </conditionalFormatting>
  <conditionalFormatting sqref="BB88">
    <cfRule type="expression" dxfId="908" priority="67" stopIfTrue="1">
      <formula>$I$66=""</formula>
    </cfRule>
    <cfRule type="expression" dxfId="907" priority="68" stopIfTrue="1">
      <formula>$I$66=0</formula>
    </cfRule>
    <cfRule type="expression" dxfId="906" priority="72" stopIfTrue="1">
      <formula>$I$66=4</formula>
    </cfRule>
    <cfRule type="expression" dxfId="905" priority="74" stopIfTrue="1">
      <formula>$I$66=7</formula>
    </cfRule>
    <cfRule type="expression" dxfId="904" priority="75" stopIfTrue="1">
      <formula>$I$66=8</formula>
    </cfRule>
    <cfRule type="expression" dxfId="903" priority="73" stopIfTrue="1">
      <formula>$I$66=5</formula>
    </cfRule>
    <cfRule type="expression" dxfId="902" priority="71" stopIfTrue="1">
      <formula>$I$66=3</formula>
    </cfRule>
    <cfRule type="expression" dxfId="901" priority="70" stopIfTrue="1">
      <formula>$I$66=2</formula>
    </cfRule>
    <cfRule type="expression" dxfId="900" priority="69" stopIfTrue="1">
      <formula>$I$66=1</formula>
    </cfRule>
  </conditionalFormatting>
  <conditionalFormatting sqref="BF88">
    <cfRule type="expression" dxfId="899" priority="84" stopIfTrue="1">
      <formula>$I$66=8</formula>
    </cfRule>
    <cfRule type="expression" dxfId="898" priority="82" stopIfTrue="1">
      <formula>$I$66=5</formula>
    </cfRule>
    <cfRule type="expression" dxfId="897" priority="81" stopIfTrue="1">
      <formula>$I$66=4</formula>
    </cfRule>
    <cfRule type="expression" dxfId="896" priority="80" stopIfTrue="1">
      <formula>$I$66=3</formula>
    </cfRule>
    <cfRule type="expression" dxfId="895" priority="79" stopIfTrue="1">
      <formula>$I$66=2</formula>
    </cfRule>
    <cfRule type="expression" dxfId="894" priority="78" stopIfTrue="1">
      <formula>$I$66=1</formula>
    </cfRule>
    <cfRule type="expression" dxfId="893" priority="77" stopIfTrue="1">
      <formula>$I$66=0</formula>
    </cfRule>
    <cfRule type="expression" dxfId="892" priority="76" stopIfTrue="1">
      <formula>$I$66=""</formula>
    </cfRule>
    <cfRule type="expression" dxfId="891" priority="83" stopIfTrue="1">
      <formula>$I$66=7</formula>
    </cfRule>
  </conditionalFormatting>
  <conditionalFormatting sqref="BJ88">
    <cfRule type="expression" dxfId="890" priority="92" stopIfTrue="1">
      <formula>$I$66=7</formula>
    </cfRule>
    <cfRule type="expression" dxfId="889" priority="91" stopIfTrue="1">
      <formula>$I$66=5</formula>
    </cfRule>
    <cfRule type="expression" dxfId="888" priority="90" stopIfTrue="1">
      <formula>$I$66=4</formula>
    </cfRule>
    <cfRule type="expression" dxfId="887" priority="89" stopIfTrue="1">
      <formula>$I$66=3</formula>
    </cfRule>
    <cfRule type="expression" dxfId="886" priority="88" stopIfTrue="1">
      <formula>$I$66=2</formula>
    </cfRule>
    <cfRule type="expression" dxfId="885" priority="87" stopIfTrue="1">
      <formula>$I$66=1</formula>
    </cfRule>
    <cfRule type="expression" dxfId="884" priority="86" stopIfTrue="1">
      <formula>$I$66=0</formula>
    </cfRule>
    <cfRule type="expression" dxfId="883" priority="85" stopIfTrue="1">
      <formula>$I$66=""</formula>
    </cfRule>
    <cfRule type="expression" dxfId="882" priority="93" stopIfTrue="1">
      <formula>$I$66=8</formula>
    </cfRule>
  </conditionalFormatting>
  <conditionalFormatting sqref="BN88">
    <cfRule type="expression" dxfId="881" priority="98" stopIfTrue="1">
      <formula>$I$66=3</formula>
    </cfRule>
    <cfRule type="expression" dxfId="880" priority="97" stopIfTrue="1">
      <formula>$I$66=2</formula>
    </cfRule>
    <cfRule type="expression" dxfId="879" priority="96" stopIfTrue="1">
      <formula>$I$66=1</formula>
    </cfRule>
    <cfRule type="expression" dxfId="878" priority="95" stopIfTrue="1">
      <formula>$I$66=0</formula>
    </cfRule>
    <cfRule type="expression" dxfId="877" priority="101" stopIfTrue="1">
      <formula>$I$66=7</formula>
    </cfRule>
    <cfRule type="expression" dxfId="876" priority="100" stopIfTrue="1">
      <formula>$I$66=5</formula>
    </cfRule>
    <cfRule type="expression" dxfId="875" priority="102" stopIfTrue="1">
      <formula>$I$66=8</formula>
    </cfRule>
    <cfRule type="expression" dxfId="874" priority="99" stopIfTrue="1">
      <formula>$I$66=4</formula>
    </cfRule>
    <cfRule type="expression" dxfId="873" priority="94" stopIfTrue="1">
      <formula>$I$66=""</formula>
    </cfRule>
  </conditionalFormatting>
  <conditionalFormatting sqref="BR88">
    <cfRule type="expression" dxfId="872" priority="111" stopIfTrue="1">
      <formula>$I$66=8</formula>
    </cfRule>
    <cfRule type="expression" dxfId="871" priority="104" stopIfTrue="1">
      <formula>$I$66=0</formula>
    </cfRule>
    <cfRule type="expression" dxfId="870" priority="103" stopIfTrue="1">
      <formula>$I$66=""</formula>
    </cfRule>
    <cfRule type="expression" dxfId="869" priority="109" stopIfTrue="1">
      <formula>$I$66=5</formula>
    </cfRule>
    <cfRule type="expression" dxfId="868" priority="110" stopIfTrue="1">
      <formula>$I$66=7</formula>
    </cfRule>
    <cfRule type="expression" dxfId="867" priority="108" stopIfTrue="1">
      <formula>$I$66=4</formula>
    </cfRule>
    <cfRule type="expression" dxfId="866" priority="107" stopIfTrue="1">
      <formula>$I$66=3</formula>
    </cfRule>
    <cfRule type="expression" dxfId="865" priority="106" stopIfTrue="1">
      <formula>$I$66=2</formula>
    </cfRule>
    <cfRule type="expression" dxfId="864" priority="105" stopIfTrue="1">
      <formula>$I$66=1</formula>
    </cfRule>
  </conditionalFormatting>
  <hyperlinks>
    <hyperlink ref="C72" location="入力及び計算結果!A1" display="「入力及び計算結果」に戻る" xr:uid="{00000000-0004-0000-0400-000000000000}"/>
  </hyperlinks>
  <pageMargins left="0.7" right="0.7" top="0.75" bottom="0.75"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CO250"/>
  <sheetViews>
    <sheetView topLeftCell="A16" zoomScale="90" zoomScaleNormal="90" workbookViewId="0">
      <selection activeCell="D31" sqref="D31"/>
    </sheetView>
  </sheetViews>
  <sheetFormatPr defaultRowHeight="13" x14ac:dyDescent="0.2"/>
  <cols>
    <col min="1" max="1" width="2.453125" style="91" customWidth="1"/>
    <col min="2" max="2" width="12.08984375" customWidth="1"/>
    <col min="3" max="3" width="24.08984375" customWidth="1"/>
    <col min="4" max="9" width="12.453125" customWidth="1"/>
    <col min="10" max="10" width="15.453125" customWidth="1"/>
    <col min="11" max="21" width="12.453125" customWidth="1"/>
    <col min="22" max="22" width="12.08984375" customWidth="1"/>
    <col min="23" max="23" width="11.90625" bestFit="1" customWidth="1"/>
    <col min="24" max="24" width="9.26953125" customWidth="1"/>
    <col min="25" max="25" width="19.7265625" customWidth="1"/>
    <col min="26" max="26" width="5.7265625" customWidth="1"/>
    <col min="27" max="28" width="13.90625" customWidth="1"/>
    <col min="29" max="29" width="12.453125" customWidth="1"/>
    <col min="30" max="30" width="12.08984375" customWidth="1"/>
    <col min="31" max="31" width="11.90625" bestFit="1" customWidth="1"/>
    <col min="32" max="32" width="9.26953125" customWidth="1"/>
    <col min="33" max="33" width="19.7265625" customWidth="1"/>
    <col min="34" max="34" width="5.7265625" customWidth="1"/>
    <col min="35" max="36" width="13.90625" customWidth="1"/>
    <col min="37" max="37" width="12.453125" customWidth="1"/>
    <col min="38" max="38" width="12.08984375" customWidth="1"/>
    <col min="39" max="39" width="11.90625" bestFit="1" customWidth="1"/>
    <col min="40" max="40" width="9.26953125" customWidth="1"/>
    <col min="41" max="41" width="19.7265625" customWidth="1"/>
    <col min="42" max="42" width="5.7265625" customWidth="1"/>
    <col min="43" max="47" width="13.90625" customWidth="1"/>
    <col min="48" max="48" width="11.453125" customWidth="1"/>
    <col min="49" max="50" width="13.453125" customWidth="1"/>
    <col min="51" max="51" width="11.90625" style="99" customWidth="1"/>
    <col min="52" max="52" width="12.453125" style="99" customWidth="1"/>
    <col min="53" max="53" width="13.7265625" style="143" customWidth="1"/>
    <col min="54" max="54" width="14.453125" style="99" customWidth="1"/>
    <col min="55" max="55" width="12.453125" style="143" customWidth="1"/>
    <col min="56" max="56" width="16.08984375" style="143" customWidth="1"/>
    <col min="57" max="57" width="13.26953125" style="143" customWidth="1"/>
    <col min="58" max="58" width="14.453125" style="143" customWidth="1"/>
    <col min="59" max="59" width="11.90625" style="99" customWidth="1"/>
    <col min="60" max="60" width="12.453125" style="99" customWidth="1"/>
    <col min="61" max="61" width="13.453125" style="143" customWidth="1"/>
    <col min="62" max="62" width="14.453125" style="99" customWidth="1"/>
    <col min="63" max="63" width="12.7265625" style="143" customWidth="1"/>
    <col min="64" max="64" width="16.08984375" style="143" customWidth="1"/>
    <col min="65" max="65" width="13.26953125" style="143" customWidth="1"/>
    <col min="66" max="66" width="14.453125" style="143" customWidth="1"/>
    <col min="67" max="67" width="11.90625" style="99" customWidth="1"/>
    <col min="68" max="68" width="12.453125" style="99" customWidth="1"/>
    <col min="69" max="69" width="14.08984375" style="143" customWidth="1"/>
    <col min="70" max="70" width="14.90625" style="99" customWidth="1"/>
    <col min="71" max="71" width="16.08984375" style="143" customWidth="1"/>
    <col min="72" max="72" width="8.7265625" style="143" customWidth="1"/>
    <col min="73" max="73" width="10.7265625" style="80" customWidth="1"/>
    <col min="74" max="74" width="14.08984375" style="143" customWidth="1"/>
    <col min="75" max="75" width="14.08984375" style="99" customWidth="1"/>
    <col min="76" max="76" width="9.08984375" style="99" customWidth="1"/>
    <col min="77" max="77" width="9.08984375" style="80" customWidth="1"/>
    <col min="78" max="78" width="13.08984375" style="80" customWidth="1"/>
    <col min="79" max="81" width="9.08984375" style="80" customWidth="1"/>
    <col min="82" max="82" width="13.08984375" style="80" customWidth="1"/>
    <col min="83" max="84" width="9.08984375" style="80" customWidth="1"/>
    <col min="85" max="86" width="9.08984375" style="99" customWidth="1"/>
    <col min="87" max="87" width="5.08984375" customWidth="1"/>
    <col min="89" max="89" width="11.453125" bestFit="1" customWidth="1"/>
    <col min="90" max="90" width="5.08984375" customWidth="1"/>
    <col min="92" max="92" width="11.453125" bestFit="1" customWidth="1"/>
    <col min="93" max="93" width="5.08984375" customWidth="1"/>
    <col min="95" max="95" width="11.453125" bestFit="1" customWidth="1"/>
    <col min="96" max="96" width="5.08984375" customWidth="1"/>
  </cols>
  <sheetData>
    <row r="1" spans="2:84" ht="15" customHeight="1" x14ac:dyDescent="0.2">
      <c r="B1" s="17" t="str">
        <f>入力及び計算結果!B1</f>
        <v>ver.1.0（2026/07/01）</v>
      </c>
      <c r="C1" s="39"/>
      <c r="D1" s="39"/>
    </row>
    <row r="2" spans="2:84" ht="15" customHeight="1" x14ac:dyDescent="0.2">
      <c r="B2" s="606" t="s">
        <v>291</v>
      </c>
      <c r="C2" s="606"/>
      <c r="D2" s="606"/>
      <c r="F2" s="89"/>
      <c r="G2" s="21" t="s">
        <v>96</v>
      </c>
      <c r="AW2" s="99"/>
      <c r="AX2" s="99"/>
      <c r="AY2" s="143"/>
      <c r="BB2" s="143"/>
      <c r="BE2" s="99"/>
      <c r="BF2" s="99"/>
      <c r="BG2" s="143"/>
      <c r="BJ2" s="143"/>
      <c r="BM2" s="99"/>
      <c r="BN2" s="99"/>
      <c r="BO2" s="143"/>
      <c r="BR2" s="143"/>
      <c r="BS2" s="80"/>
      <c r="BU2" s="99"/>
      <c r="BV2" s="99"/>
      <c r="BW2" s="80"/>
      <c r="BX2" s="80"/>
      <c r="CE2" s="99"/>
      <c r="CF2" s="99"/>
    </row>
    <row r="3" spans="2:84" ht="15" customHeight="1" x14ac:dyDescent="0.2">
      <c r="B3" s="606"/>
      <c r="C3" s="606"/>
      <c r="D3" s="606"/>
      <c r="F3" s="22"/>
      <c r="G3" t="s">
        <v>97</v>
      </c>
      <c r="I3" s="23"/>
      <c r="J3" s="21" t="s">
        <v>98</v>
      </c>
      <c r="W3" s="99"/>
      <c r="X3" s="99"/>
      <c r="Y3" s="99"/>
      <c r="Z3" s="99"/>
      <c r="AA3" s="99"/>
      <c r="AB3" s="99"/>
      <c r="AE3" s="99"/>
      <c r="AF3" s="99"/>
      <c r="AG3" s="99"/>
      <c r="AH3" s="99"/>
      <c r="AI3" s="99"/>
      <c r="AJ3" s="99"/>
      <c r="AM3" s="99"/>
      <c r="AN3" s="99"/>
      <c r="AO3" s="99"/>
      <c r="AP3" s="99"/>
      <c r="AQ3" s="99"/>
      <c r="AR3" s="99"/>
      <c r="AS3" s="99"/>
      <c r="AT3" s="99"/>
      <c r="AU3" s="99"/>
      <c r="AV3" s="99"/>
      <c r="AW3" s="99"/>
      <c r="AX3" s="99"/>
      <c r="BA3" s="144"/>
      <c r="BB3" s="80"/>
      <c r="BC3" s="144"/>
      <c r="BD3" s="144"/>
      <c r="BE3" s="144"/>
      <c r="BF3" s="144"/>
      <c r="BI3" s="144"/>
      <c r="BJ3" s="80"/>
      <c r="BK3" s="144"/>
      <c r="BL3" s="144"/>
      <c r="BM3" s="144"/>
      <c r="BN3" s="144"/>
      <c r="BQ3" s="144"/>
      <c r="BR3" s="80"/>
      <c r="BS3" s="144"/>
      <c r="BT3" s="144"/>
      <c r="BV3" s="144"/>
      <c r="BW3" s="80"/>
      <c r="BX3" s="80"/>
    </row>
    <row r="4" spans="2:84" ht="13.5" customHeight="1" thickBot="1" x14ac:dyDescent="0.25">
      <c r="F4" s="90"/>
      <c r="W4" s="99"/>
      <c r="X4" s="99"/>
      <c r="Y4" s="99"/>
      <c r="Z4" s="99"/>
      <c r="AA4" s="99"/>
      <c r="AB4" s="99"/>
      <c r="AE4" s="99"/>
      <c r="AF4" s="99"/>
      <c r="AG4" s="99"/>
      <c r="AH4" s="99"/>
      <c r="AI4" s="99"/>
      <c r="AJ4" s="99"/>
      <c r="AM4" s="99"/>
      <c r="AN4" s="99"/>
      <c r="AO4" s="99"/>
      <c r="AP4" s="99"/>
      <c r="AQ4" s="99"/>
      <c r="AR4" s="99"/>
      <c r="AS4" s="99"/>
      <c r="AT4" s="99"/>
      <c r="AU4" s="99"/>
      <c r="AV4" s="99"/>
      <c r="AW4" s="99"/>
      <c r="AX4" s="99"/>
      <c r="BA4" s="144"/>
      <c r="BB4" s="80"/>
      <c r="BC4" s="144"/>
      <c r="BD4" s="144"/>
      <c r="BE4" s="144"/>
      <c r="BF4" s="144"/>
      <c r="BI4" s="144"/>
      <c r="BJ4" s="80"/>
      <c r="BK4" s="144"/>
      <c r="BL4" s="144"/>
      <c r="BM4" s="144"/>
      <c r="BN4" s="144"/>
      <c r="BQ4" s="144"/>
      <c r="BR4" s="80"/>
      <c r="BS4" s="144"/>
      <c r="BT4" s="144"/>
      <c r="BV4" s="144"/>
      <c r="BW4" s="80"/>
      <c r="BX4" s="80"/>
    </row>
    <row r="5" spans="2:84" ht="13.5" customHeight="1" thickTop="1" thickBot="1" x14ac:dyDescent="0.25">
      <c r="B5" s="531" t="s">
        <v>155</v>
      </c>
      <c r="C5" s="532"/>
      <c r="D5" s="533" t="str">
        <f>IF(ISBLANK(入力及び計算結果!C6),"",IF(ISBLANK(入力及び計算結果!F7),"",IF(AND(OR(入力及び計算結果!F7=0,入力及び計算結果!F7=2),入力及び計算結果!F9=1),入力及び計算結果!C6,"")))</f>
        <v/>
      </c>
      <c r="E5" s="534"/>
      <c r="F5" s="534"/>
      <c r="G5" s="534"/>
      <c r="H5" s="534"/>
      <c r="I5" s="534"/>
      <c r="J5" s="535"/>
    </row>
    <row r="6" spans="2:84" ht="27" customHeight="1" thickTop="1" thickBot="1" x14ac:dyDescent="0.25">
      <c r="B6" s="536" t="s">
        <v>156</v>
      </c>
      <c r="C6" s="532"/>
      <c r="D6" s="533" t="str">
        <f>IF(ISBLANK(入力及び計算結果!E57),"",入力及び計算結果!E57)</f>
        <v/>
      </c>
      <c r="E6" s="534"/>
      <c r="F6" s="534"/>
      <c r="G6" s="534"/>
      <c r="H6" s="534"/>
      <c r="I6" s="534"/>
      <c r="J6" s="535"/>
    </row>
    <row r="7" spans="2:84" ht="13.5" customHeight="1" thickTop="1" x14ac:dyDescent="0.2">
      <c r="B7" s="145" t="s">
        <v>157</v>
      </c>
      <c r="C7" s="145"/>
      <c r="D7" s="145"/>
      <c r="E7" s="145"/>
      <c r="F7" s="145"/>
      <c r="G7" s="145"/>
      <c r="H7" s="145"/>
      <c r="I7" s="145"/>
    </row>
    <row r="8" spans="2:84" ht="13.5" customHeight="1" x14ac:dyDescent="0.2">
      <c r="B8" s="145"/>
      <c r="C8" s="145"/>
      <c r="D8" s="145"/>
      <c r="E8" s="145"/>
      <c r="F8" s="145"/>
      <c r="G8" s="145"/>
      <c r="H8" s="145"/>
      <c r="I8" s="145"/>
    </row>
    <row r="9" spans="2:84" ht="13.5" customHeight="1" x14ac:dyDescent="0.2">
      <c r="B9" s="91"/>
    </row>
    <row r="10" spans="2:84" ht="13.5" customHeight="1" x14ac:dyDescent="0.2">
      <c r="B10" s="40" t="s">
        <v>158</v>
      </c>
    </row>
    <row r="11" spans="2:84" ht="13.5" customHeight="1" x14ac:dyDescent="0.2">
      <c r="B11" s="95" t="s">
        <v>159</v>
      </c>
      <c r="C11" s="537" t="s">
        <v>160</v>
      </c>
      <c r="D11" s="537"/>
      <c r="E11" s="537"/>
      <c r="F11" s="95" t="s">
        <v>161</v>
      </c>
      <c r="G11" s="95" t="s">
        <v>162</v>
      </c>
      <c r="H11" s="537" t="s">
        <v>163</v>
      </c>
      <c r="I11" s="537"/>
      <c r="J11" s="537"/>
    </row>
    <row r="12" spans="2:84" ht="13.5" customHeight="1" thickBot="1" x14ac:dyDescent="0.25">
      <c r="B12" s="43" t="s">
        <v>164</v>
      </c>
      <c r="C12" s="380" t="s">
        <v>103</v>
      </c>
      <c r="D12" s="452"/>
      <c r="E12" s="453"/>
      <c r="F12" s="146">
        <v>50</v>
      </c>
      <c r="G12" s="43" t="s">
        <v>165</v>
      </c>
      <c r="H12" s="438"/>
      <c r="I12" s="439"/>
      <c r="J12" s="440"/>
    </row>
    <row r="13" spans="2:84" ht="13.5" customHeight="1" thickTop="1" thickBot="1" x14ac:dyDescent="0.25">
      <c r="B13" s="87" t="s">
        <v>166</v>
      </c>
      <c r="C13" s="375" t="s">
        <v>167</v>
      </c>
      <c r="D13" s="375"/>
      <c r="E13" s="401"/>
      <c r="F13" s="147" t="str">
        <f>IF(ISBLANK(入力及び計算結果!E49),"",入力及び計算結果!E49)</f>
        <v/>
      </c>
      <c r="G13" s="69" t="s">
        <v>168</v>
      </c>
      <c r="H13" s="545" t="s">
        <v>169</v>
      </c>
      <c r="I13" s="545"/>
      <c r="J13" s="545"/>
    </row>
    <row r="14" spans="2:84" ht="13.5" customHeight="1" thickTop="1" thickBot="1" x14ac:dyDescent="0.25">
      <c r="B14" s="149" t="s">
        <v>170</v>
      </c>
      <c r="C14" s="401" t="s">
        <v>171</v>
      </c>
      <c r="D14" s="402"/>
      <c r="E14" s="403"/>
      <c r="F14" s="147" t="str">
        <f>IF(ISBLANK(入力及び計算結果!E50),"",入力及び計算結果!E50)</f>
        <v/>
      </c>
      <c r="G14" s="75"/>
      <c r="H14" s="528" t="s">
        <v>172</v>
      </c>
      <c r="I14" s="529"/>
      <c r="J14" s="530"/>
    </row>
    <row r="15" spans="2:84" ht="13.5" customHeight="1" thickTop="1" x14ac:dyDescent="0.2">
      <c r="B15" s="526" t="s">
        <v>173</v>
      </c>
      <c r="C15" s="547" t="s">
        <v>174</v>
      </c>
      <c r="D15" s="539"/>
      <c r="E15" s="539"/>
      <c r="F15" s="151">
        <v>0</v>
      </c>
      <c r="G15" s="526" t="s">
        <v>146</v>
      </c>
      <c r="H15" s="550"/>
      <c r="I15" s="551"/>
      <c r="J15" s="552"/>
    </row>
    <row r="16" spans="2:84" ht="13.5" customHeight="1" x14ac:dyDescent="0.2">
      <c r="B16" s="546"/>
      <c r="C16" s="548"/>
      <c r="D16" s="549"/>
      <c r="E16" s="549"/>
      <c r="F16" s="152">
        <v>14</v>
      </c>
      <c r="G16" s="546"/>
      <c r="H16" s="553"/>
      <c r="I16" s="554"/>
      <c r="J16" s="555"/>
    </row>
    <row r="17" spans="2:76" ht="13.5" customHeight="1" thickBot="1" x14ac:dyDescent="0.25">
      <c r="B17" s="546"/>
      <c r="C17" s="548"/>
      <c r="D17" s="549"/>
      <c r="E17" s="549"/>
      <c r="F17" s="153">
        <v>28</v>
      </c>
      <c r="G17" s="546"/>
      <c r="H17" s="553"/>
      <c r="I17" s="554"/>
      <c r="J17" s="555"/>
    </row>
    <row r="18" spans="2:76" ht="27" customHeight="1" thickTop="1" thickBot="1" x14ac:dyDescent="0.25">
      <c r="B18" s="526" t="s">
        <v>124</v>
      </c>
      <c r="C18" s="538" t="s">
        <v>292</v>
      </c>
      <c r="D18" s="539"/>
      <c r="E18" s="539"/>
      <c r="F18" s="542" t="str">
        <f>IF(ISBLANK(入力及び計算結果!E52),"",入力及び計算結果!E52)</f>
        <v/>
      </c>
      <c r="G18" s="543"/>
      <c r="H18" s="476" t="s">
        <v>54</v>
      </c>
      <c r="I18" s="476"/>
      <c r="J18" s="476"/>
    </row>
    <row r="19" spans="2:76" ht="27" customHeight="1" thickTop="1" thickBot="1" x14ac:dyDescent="0.25">
      <c r="B19" s="527"/>
      <c r="C19" s="540"/>
      <c r="D19" s="541"/>
      <c r="E19" s="541"/>
      <c r="F19" s="542"/>
      <c r="G19" s="544"/>
      <c r="H19" s="476"/>
      <c r="I19" s="476"/>
      <c r="J19" s="476"/>
    </row>
    <row r="20" spans="2:76" ht="27" customHeight="1" thickTop="1" thickBot="1" x14ac:dyDescent="0.25">
      <c r="B20" s="148" t="s">
        <v>176</v>
      </c>
      <c r="C20" s="401" t="s">
        <v>177</v>
      </c>
      <c r="D20" s="402"/>
      <c r="E20" s="402"/>
      <c r="F20" s="156">
        <v>1</v>
      </c>
      <c r="G20" s="69"/>
      <c r="H20" s="373" t="s">
        <v>293</v>
      </c>
      <c r="I20" s="436"/>
      <c r="J20" s="437"/>
    </row>
    <row r="21" spans="2:76" ht="13.5" customHeight="1" thickTop="1" thickBot="1" x14ac:dyDescent="0.25">
      <c r="B21" s="87" t="s">
        <v>178</v>
      </c>
      <c r="C21" s="375" t="s">
        <v>179</v>
      </c>
      <c r="D21" s="375"/>
      <c r="E21" s="401"/>
      <c r="F21" s="147" t="str">
        <f>IF(ISBLANK(入力及び計算結果!E54),"",入力及び計算結果!E54)</f>
        <v/>
      </c>
      <c r="G21" s="69" t="s">
        <v>146</v>
      </c>
      <c r="H21" s="398" t="s">
        <v>180</v>
      </c>
      <c r="I21" s="399"/>
      <c r="J21" s="400"/>
    </row>
    <row r="22" spans="2:76" ht="13.5" customHeight="1" thickTop="1" thickBot="1" x14ac:dyDescent="0.25">
      <c r="B22" s="87" t="s">
        <v>181</v>
      </c>
      <c r="C22" s="401" t="s">
        <v>105</v>
      </c>
      <c r="D22" s="402"/>
      <c r="E22" s="410"/>
      <c r="F22" s="147" t="str">
        <f>IF(ISBLANK(入力及び計算結果!E55),"",入力及び計算結果!E55)</f>
        <v/>
      </c>
      <c r="G22" s="69" t="s">
        <v>146</v>
      </c>
      <c r="H22" s="401" t="s">
        <v>59</v>
      </c>
      <c r="I22" s="402"/>
      <c r="J22" s="410"/>
    </row>
    <row r="23" spans="2:76" ht="13.5" customHeight="1" thickTop="1" thickBot="1" x14ac:dyDescent="0.25">
      <c r="B23" s="87" t="s">
        <v>182</v>
      </c>
      <c r="C23" s="375" t="s">
        <v>183</v>
      </c>
      <c r="D23" s="375"/>
      <c r="E23" s="401"/>
      <c r="F23" s="147" t="str">
        <f>IF(ISBLANK(入力及び計算結果!E56),"",入力及び計算結果!E56)</f>
        <v/>
      </c>
      <c r="G23" s="69" t="s">
        <v>184</v>
      </c>
      <c r="H23" s="398"/>
      <c r="I23" s="399"/>
      <c r="J23" s="400"/>
    </row>
    <row r="24" spans="2:76" ht="13.5" customHeight="1" thickTop="1" x14ac:dyDescent="0.2">
      <c r="B24" s="91"/>
      <c r="H24" s="67"/>
      <c r="I24" s="67"/>
      <c r="W24" s="99"/>
      <c r="X24" s="99"/>
      <c r="Y24" s="99"/>
      <c r="Z24" s="99"/>
      <c r="AA24" s="99"/>
      <c r="AB24" s="99"/>
      <c r="AE24" s="99"/>
      <c r="AF24" s="99"/>
      <c r="AG24" s="99"/>
      <c r="AH24" s="99"/>
      <c r="AI24" s="99"/>
      <c r="AJ24" s="99"/>
      <c r="AM24" s="99"/>
      <c r="AN24" s="99"/>
      <c r="AO24" s="99"/>
      <c r="AP24" s="99"/>
      <c r="AQ24" s="99"/>
      <c r="AR24" s="99"/>
      <c r="AS24" s="99"/>
      <c r="AT24" s="99"/>
      <c r="AU24" s="99"/>
      <c r="AV24" s="99"/>
      <c r="AW24" s="99"/>
      <c r="AX24" s="99"/>
      <c r="BX24" s="80"/>
    </row>
    <row r="25" spans="2:76" ht="13.5" customHeight="1" thickBot="1" x14ac:dyDescent="0.25">
      <c r="B25" s="40" t="s">
        <v>185</v>
      </c>
      <c r="H25" s="570" t="s">
        <v>186</v>
      </c>
      <c r="I25" s="570"/>
      <c r="J25" s="570"/>
      <c r="K25" s="570"/>
      <c r="W25" s="99"/>
      <c r="X25" s="99"/>
      <c r="Y25" s="99"/>
      <c r="Z25" s="99"/>
      <c r="AA25" s="99"/>
      <c r="AB25" s="99"/>
      <c r="AE25" s="99"/>
      <c r="AF25" s="99"/>
      <c r="AG25" s="99"/>
      <c r="AH25" s="99"/>
      <c r="AI25" s="99"/>
      <c r="AJ25" s="99"/>
      <c r="AM25" s="99"/>
      <c r="AN25" s="99"/>
      <c r="AO25" s="99"/>
      <c r="AP25" s="99"/>
      <c r="AQ25" s="99"/>
      <c r="AR25" s="99"/>
      <c r="AS25" s="99"/>
      <c r="AT25" s="99"/>
      <c r="AU25" s="99"/>
      <c r="AV25" s="99"/>
      <c r="AW25" s="99"/>
      <c r="AX25" s="99"/>
      <c r="BX25" s="80"/>
    </row>
    <row r="26" spans="2:76" ht="13.5" customHeight="1" thickTop="1" thickBot="1" x14ac:dyDescent="0.25">
      <c r="B26" s="556" t="s">
        <v>187</v>
      </c>
      <c r="C26" s="557"/>
      <c r="D26" s="1"/>
      <c r="E26" s="104" t="s">
        <v>146</v>
      </c>
      <c r="G26" s="100"/>
      <c r="H26" s="570"/>
      <c r="I26" s="570"/>
      <c r="J26" s="570"/>
      <c r="K26" s="570"/>
      <c r="W26" s="99"/>
      <c r="X26" s="99"/>
      <c r="Y26" s="99"/>
      <c r="Z26" s="99"/>
      <c r="AA26" s="99"/>
      <c r="AB26" s="99"/>
      <c r="AE26" s="99"/>
      <c r="AF26" s="99"/>
      <c r="AG26" s="99"/>
      <c r="AH26" s="99"/>
      <c r="AI26" s="99"/>
      <c r="AJ26" s="99"/>
      <c r="AM26" s="99"/>
      <c r="AN26" s="99"/>
      <c r="AO26" s="99"/>
      <c r="AP26" s="99"/>
      <c r="AQ26" s="99"/>
      <c r="AR26" s="99"/>
      <c r="AS26" s="99"/>
      <c r="AT26" s="99"/>
      <c r="AU26" s="99"/>
      <c r="AV26" s="99"/>
      <c r="AW26" s="99"/>
      <c r="AX26" s="99"/>
      <c r="BX26" s="80"/>
    </row>
    <row r="27" spans="2:76" ht="13.5" customHeight="1" thickTop="1" thickBot="1" x14ac:dyDescent="0.25">
      <c r="B27" s="380" t="s">
        <v>188</v>
      </c>
      <c r="C27" s="506"/>
      <c r="D27" s="1"/>
      <c r="E27" s="104" t="s">
        <v>146</v>
      </c>
      <c r="G27" s="100"/>
      <c r="H27" s="570"/>
      <c r="I27" s="570"/>
      <c r="J27" s="570"/>
      <c r="K27" s="570"/>
      <c r="W27" s="99"/>
      <c r="X27" s="99"/>
      <c r="Y27" s="99"/>
      <c r="Z27" s="99"/>
      <c r="AA27" s="99"/>
      <c r="AB27" s="99"/>
      <c r="AE27" s="99"/>
      <c r="AF27" s="99"/>
      <c r="AG27" s="99"/>
      <c r="AH27" s="99"/>
      <c r="AI27" s="99"/>
      <c r="AJ27" s="99"/>
      <c r="AM27" s="99"/>
      <c r="AN27" s="99"/>
      <c r="AO27" s="99"/>
      <c r="AP27" s="99"/>
      <c r="AQ27" s="99"/>
      <c r="AR27" s="99"/>
      <c r="AS27" s="99"/>
      <c r="AT27" s="99"/>
      <c r="AU27" s="99"/>
      <c r="AV27" s="99"/>
      <c r="AW27" s="99"/>
      <c r="AX27" s="99"/>
      <c r="BX27" s="80"/>
    </row>
    <row r="28" spans="2:76" ht="13.5" customHeight="1" thickTop="1" x14ac:dyDescent="0.2">
      <c r="B28" s="91"/>
      <c r="C28" s="116" t="s">
        <v>189</v>
      </c>
      <c r="D28">
        <f>IF(D31&lt;&gt;0,"使用しない",IF(D26="",0,LN(2)/D26))</f>
        <v>0</v>
      </c>
      <c r="G28" s="100"/>
      <c r="H28" s="570"/>
      <c r="I28" s="570"/>
      <c r="J28" s="570"/>
      <c r="K28" s="570"/>
      <c r="W28" s="99"/>
      <c r="X28" s="99"/>
      <c r="Y28" s="99"/>
      <c r="Z28" s="99"/>
      <c r="AA28" s="99"/>
      <c r="AB28" s="99"/>
      <c r="AE28" s="99"/>
      <c r="AF28" s="99"/>
      <c r="AG28" s="99"/>
      <c r="AH28" s="99"/>
      <c r="AI28" s="99"/>
      <c r="AJ28" s="99"/>
      <c r="AM28" s="99"/>
      <c r="AN28" s="99"/>
      <c r="AO28" s="99"/>
      <c r="AP28" s="99"/>
      <c r="AQ28" s="99"/>
      <c r="AR28" s="99"/>
      <c r="AS28" s="99"/>
      <c r="AT28" s="99"/>
      <c r="AU28" s="99"/>
      <c r="AV28" s="99"/>
      <c r="AW28" s="99"/>
      <c r="AX28" s="99"/>
      <c r="BX28" s="80"/>
    </row>
    <row r="29" spans="2:76" ht="13.5" customHeight="1" x14ac:dyDescent="0.2">
      <c r="B29" s="91"/>
      <c r="C29" s="116" t="s">
        <v>190</v>
      </c>
      <c r="D29">
        <f>IF(D31&lt;&gt;0,"使用しない",IF(D28&lt;&gt;0,IF(D27="","加水分解半減期を入力してください",LN(2)/D27),IF(D27="",0,LN(2)/D27)))</f>
        <v>0</v>
      </c>
      <c r="G29" s="100"/>
      <c r="H29" s="570"/>
      <c r="I29" s="570"/>
      <c r="J29" s="570"/>
      <c r="K29" s="570"/>
      <c r="W29" s="99"/>
      <c r="X29" s="99"/>
      <c r="Y29" s="99"/>
      <c r="Z29" s="99"/>
      <c r="AA29" s="99"/>
      <c r="AB29" s="99"/>
      <c r="AE29" s="99"/>
      <c r="AF29" s="99"/>
      <c r="AG29" s="99"/>
      <c r="AH29" s="99"/>
      <c r="AI29" s="99"/>
      <c r="AJ29" s="99"/>
      <c r="AM29" s="99"/>
      <c r="AN29" s="99"/>
      <c r="AO29" s="99"/>
      <c r="AP29" s="99"/>
      <c r="AQ29" s="99"/>
      <c r="AR29" s="99"/>
      <c r="AS29" s="99"/>
      <c r="AT29" s="99"/>
      <c r="AU29" s="99"/>
      <c r="AV29" s="99"/>
      <c r="AW29" s="99"/>
      <c r="AX29" s="99"/>
      <c r="BX29" s="80"/>
    </row>
    <row r="30" spans="2:76" ht="13.5" customHeight="1" thickBot="1" x14ac:dyDescent="0.25">
      <c r="B30" t="s">
        <v>191</v>
      </c>
      <c r="G30" s="100"/>
      <c r="H30" s="570"/>
      <c r="I30" s="570"/>
      <c r="J30" s="570"/>
      <c r="K30" s="570"/>
      <c r="W30" s="99"/>
      <c r="X30" s="99"/>
      <c r="Y30" s="99"/>
      <c r="Z30" s="99"/>
      <c r="AA30" s="99"/>
      <c r="AB30" s="99"/>
      <c r="AE30" s="99"/>
      <c r="AF30" s="99"/>
      <c r="AG30" s="99"/>
      <c r="AH30" s="99"/>
      <c r="AI30" s="99"/>
      <c r="AJ30" s="99"/>
      <c r="AM30" s="99"/>
      <c r="AN30" s="99"/>
      <c r="AO30" s="99"/>
      <c r="AP30" s="99"/>
      <c r="AQ30" s="99"/>
      <c r="AR30" s="99"/>
      <c r="AS30" s="99"/>
      <c r="AT30" s="99"/>
      <c r="AU30" s="99"/>
      <c r="AV30" s="99"/>
      <c r="AW30" s="99"/>
      <c r="AX30" s="99"/>
      <c r="BX30" s="80"/>
    </row>
    <row r="31" spans="2:76" ht="13.5" customHeight="1" thickTop="1" thickBot="1" x14ac:dyDescent="0.25">
      <c r="B31" s="380" t="s">
        <v>192</v>
      </c>
      <c r="C31" s="506"/>
      <c r="D31" s="1"/>
      <c r="E31" s="104" t="s">
        <v>146</v>
      </c>
      <c r="G31" s="100"/>
      <c r="H31" s="570"/>
      <c r="I31" s="570"/>
      <c r="J31" s="570"/>
      <c r="K31" s="570"/>
      <c r="W31" s="99"/>
      <c r="X31" s="99"/>
      <c r="Y31" s="99"/>
      <c r="Z31" s="99"/>
      <c r="AA31" s="99"/>
      <c r="AB31" s="99"/>
      <c r="AE31" s="99"/>
      <c r="AF31" s="99"/>
      <c r="AG31" s="99"/>
      <c r="AH31" s="99"/>
      <c r="AI31" s="99"/>
      <c r="AJ31" s="99"/>
      <c r="AM31" s="99"/>
      <c r="AN31" s="99"/>
      <c r="AO31" s="99"/>
      <c r="AP31" s="99"/>
      <c r="AQ31" s="99"/>
      <c r="AR31" s="99"/>
      <c r="AS31" s="99"/>
      <c r="AT31" s="99"/>
      <c r="AU31" s="99"/>
      <c r="AV31" s="99"/>
      <c r="AW31" s="99"/>
      <c r="AX31" s="99"/>
      <c r="BX31" s="80"/>
    </row>
    <row r="32" spans="2:76" ht="13.5" customHeight="1" thickTop="1" x14ac:dyDescent="0.2">
      <c r="B32" s="91"/>
      <c r="C32" s="117" t="s">
        <v>193</v>
      </c>
      <c r="D32">
        <f>IF(AND(D28&lt;&gt;0,NOT(D28="使用しない")),"使用しない",IF(AND(D29&lt;&gt;0,NOT(D29="使用しない")),0,IF(D31="",0,LN(2)/D31)))</f>
        <v>0</v>
      </c>
      <c r="G32" s="100"/>
      <c r="H32" s="570"/>
      <c r="I32" s="570"/>
      <c r="J32" s="570"/>
      <c r="K32" s="570"/>
      <c r="W32" s="99"/>
      <c r="X32" s="99"/>
      <c r="Y32" s="99"/>
      <c r="Z32" s="99"/>
      <c r="AA32" s="99"/>
      <c r="AB32" s="99"/>
      <c r="AE32" s="99"/>
      <c r="AF32" s="99"/>
      <c r="AG32" s="99"/>
      <c r="AH32" s="99"/>
      <c r="AI32" s="99"/>
      <c r="AJ32" s="99"/>
      <c r="AM32" s="99"/>
      <c r="AN32" s="99"/>
      <c r="AO32" s="99"/>
      <c r="AP32" s="99"/>
      <c r="AQ32" s="99"/>
      <c r="AR32" s="99"/>
      <c r="AS32" s="99"/>
      <c r="AT32" s="99"/>
      <c r="AU32" s="99"/>
      <c r="AV32" s="99"/>
      <c r="AW32" s="99"/>
      <c r="AX32" s="99"/>
      <c r="BX32" s="80"/>
    </row>
    <row r="33" spans="2:76" ht="13.5" customHeight="1" x14ac:dyDescent="0.2">
      <c r="B33" s="91"/>
      <c r="C33" s="117"/>
      <c r="G33" s="100"/>
      <c r="H33" s="570"/>
      <c r="I33" s="570"/>
      <c r="J33" s="570"/>
      <c r="K33" s="570"/>
      <c r="W33" s="99"/>
      <c r="X33" s="99"/>
      <c r="Y33" s="99"/>
      <c r="Z33" s="99"/>
      <c r="AA33" s="99"/>
      <c r="AB33" s="99"/>
      <c r="AE33" s="99"/>
      <c r="AF33" s="99"/>
      <c r="AG33" s="99"/>
      <c r="AH33" s="99"/>
      <c r="AI33" s="99"/>
      <c r="AJ33" s="99"/>
      <c r="AM33" s="99"/>
      <c r="AN33" s="99"/>
      <c r="AO33" s="99"/>
      <c r="AP33" s="99"/>
      <c r="AQ33" s="99"/>
      <c r="AR33" s="99"/>
      <c r="AS33" s="99"/>
      <c r="AT33" s="99"/>
      <c r="AU33" s="99"/>
      <c r="AV33" s="99"/>
      <c r="AW33" s="99"/>
      <c r="AX33" s="99"/>
      <c r="BX33" s="80"/>
    </row>
    <row r="34" spans="2:76" ht="13.5" customHeight="1" x14ac:dyDescent="0.2">
      <c r="B34" s="91"/>
      <c r="C34" s="116" t="s">
        <v>194</v>
      </c>
      <c r="D34">
        <f>IF(OR(D32="使用しない",D32=0),D28+D29,D32)</f>
        <v>0</v>
      </c>
      <c r="G34" s="100"/>
      <c r="H34" s="570"/>
      <c r="I34" s="570"/>
      <c r="J34" s="570"/>
      <c r="K34" s="570"/>
      <c r="W34" s="99"/>
      <c r="X34" s="99"/>
      <c r="Y34" s="99"/>
      <c r="Z34" s="99"/>
      <c r="AA34" s="99"/>
      <c r="AB34" s="99"/>
      <c r="AE34" s="99"/>
      <c r="AF34" s="99"/>
      <c r="AG34" s="99"/>
      <c r="AH34" s="99"/>
      <c r="AI34" s="99"/>
      <c r="AJ34" s="99"/>
      <c r="AM34" s="99"/>
      <c r="AN34" s="99"/>
      <c r="AO34" s="99"/>
      <c r="AP34" s="99"/>
      <c r="AQ34" s="99"/>
      <c r="AR34" s="99"/>
      <c r="AS34" s="99"/>
      <c r="AT34" s="99"/>
      <c r="AU34" s="99"/>
      <c r="AV34" s="99"/>
      <c r="AW34" s="99"/>
      <c r="AX34" s="99"/>
      <c r="BX34" s="80"/>
    </row>
    <row r="35" spans="2:76" ht="13.5" customHeight="1" x14ac:dyDescent="0.2">
      <c r="B35" s="91"/>
      <c r="G35" s="100"/>
      <c r="H35" s="100"/>
      <c r="I35" s="100"/>
      <c r="J35" s="100"/>
      <c r="W35" s="99"/>
      <c r="X35" s="99"/>
      <c r="Y35" s="99"/>
      <c r="Z35" s="99"/>
      <c r="AA35" s="99"/>
      <c r="AB35" s="99"/>
      <c r="AE35" s="99"/>
      <c r="AF35" s="99"/>
      <c r="AG35" s="99"/>
      <c r="AH35" s="99"/>
      <c r="AI35" s="99"/>
      <c r="AJ35" s="99"/>
      <c r="AM35" s="99"/>
      <c r="AN35" s="99"/>
      <c r="AO35" s="99"/>
      <c r="AP35" s="99"/>
      <c r="AQ35" s="99"/>
      <c r="AR35" s="99"/>
      <c r="AS35" s="99"/>
      <c r="AT35" s="99"/>
      <c r="AU35" s="99"/>
      <c r="AV35" s="99"/>
      <c r="AW35" s="99"/>
      <c r="AX35" s="99"/>
      <c r="BX35" s="80"/>
    </row>
    <row r="36" spans="2:76" ht="13.5" customHeight="1" thickBot="1" x14ac:dyDescent="0.25">
      <c r="B36" s="569" t="s">
        <v>195</v>
      </c>
      <c r="C36" s="569"/>
      <c r="D36" s="569"/>
      <c r="F36" s="160" t="s">
        <v>196</v>
      </c>
      <c r="W36" s="99"/>
      <c r="X36" s="99"/>
      <c r="Y36" s="99"/>
      <c r="Z36" s="99"/>
      <c r="AA36" s="99"/>
      <c r="AB36" s="99"/>
      <c r="AE36" s="99"/>
      <c r="AF36" s="99"/>
      <c r="AG36" s="99"/>
      <c r="AH36" s="99"/>
      <c r="AI36" s="99"/>
      <c r="AJ36" s="99"/>
      <c r="AM36" s="99"/>
      <c r="AN36" s="99"/>
      <c r="AO36" s="99"/>
      <c r="AP36" s="99"/>
      <c r="AQ36" s="99"/>
      <c r="AR36" s="99"/>
      <c r="AS36" s="99"/>
      <c r="AT36" s="99"/>
      <c r="AU36" s="99"/>
      <c r="AV36" s="99"/>
      <c r="AW36" s="99"/>
      <c r="AX36" s="99"/>
      <c r="BX36" s="80"/>
    </row>
    <row r="37" spans="2:76" ht="13.5" customHeight="1" thickTop="1" x14ac:dyDescent="0.2">
      <c r="B37" s="567" t="s">
        <v>197</v>
      </c>
      <c r="C37" s="567" t="s">
        <v>198</v>
      </c>
      <c r="D37" s="505" t="s">
        <v>199</v>
      </c>
      <c r="F37" s="71" t="s">
        <v>159</v>
      </c>
      <c r="G37" s="45" t="s">
        <v>160</v>
      </c>
      <c r="H37" s="161"/>
      <c r="I37" s="162"/>
      <c r="J37" s="71" t="s">
        <v>161</v>
      </c>
      <c r="K37" s="71" t="s">
        <v>162</v>
      </c>
      <c r="W37" s="99"/>
      <c r="X37" s="99"/>
      <c r="Y37" s="99"/>
      <c r="Z37" s="99"/>
      <c r="AA37" s="99"/>
      <c r="AB37" s="99"/>
      <c r="AE37" s="99"/>
      <c r="AF37" s="99"/>
      <c r="AG37" s="99"/>
      <c r="AH37" s="99"/>
      <c r="AI37" s="99"/>
      <c r="AJ37" s="99"/>
      <c r="AM37" s="99"/>
      <c r="AN37" s="99"/>
      <c r="AO37" s="99"/>
      <c r="AP37" s="99"/>
      <c r="AQ37" s="99"/>
      <c r="AR37" s="99"/>
      <c r="AS37" s="99"/>
      <c r="AT37" s="99"/>
      <c r="AU37" s="99"/>
      <c r="AV37" s="99"/>
      <c r="AW37" s="99"/>
      <c r="AX37" s="99"/>
      <c r="BX37" s="80"/>
    </row>
    <row r="38" spans="2:76" ht="13.5" customHeight="1" x14ac:dyDescent="0.2">
      <c r="B38" s="568"/>
      <c r="C38" s="568"/>
      <c r="D38" s="505"/>
      <c r="F38" s="46" t="s">
        <v>200</v>
      </c>
      <c r="G38" s="401" t="s">
        <v>201</v>
      </c>
      <c r="H38" s="402"/>
      <c r="I38" s="410"/>
      <c r="J38" s="163">
        <v>30</v>
      </c>
      <c r="K38" s="87" t="s">
        <v>202</v>
      </c>
      <c r="W38" s="99"/>
      <c r="X38" s="99"/>
      <c r="Y38" s="99"/>
      <c r="Z38" s="99"/>
      <c r="AA38" s="99"/>
      <c r="AB38" s="99"/>
      <c r="AE38" s="99"/>
      <c r="AF38" s="99"/>
      <c r="AG38" s="99"/>
      <c r="AH38" s="99"/>
      <c r="AI38" s="99"/>
      <c r="AJ38" s="99"/>
      <c r="AM38" s="99"/>
      <c r="AN38" s="99"/>
      <c r="AO38" s="99"/>
      <c r="AP38" s="99"/>
      <c r="AQ38" s="99"/>
      <c r="AR38" s="99"/>
      <c r="AS38" s="99"/>
      <c r="AT38" s="99"/>
      <c r="AU38" s="99"/>
      <c r="AV38" s="99"/>
      <c r="AW38" s="99"/>
      <c r="AX38" s="99"/>
      <c r="BX38" s="80"/>
    </row>
    <row r="39" spans="2:76" ht="13.5" customHeight="1" x14ac:dyDescent="0.2">
      <c r="B39" s="164" t="str">
        <f>IF(ISBLANK(入力及び計算結果!E58),"",入力及び計算結果!E58)</f>
        <v/>
      </c>
      <c r="C39" s="164" t="str">
        <f>IF(ISBLANK(入力及び計算結果!E59),"",入力及び計算結果!E59)</f>
        <v/>
      </c>
      <c r="D39" s="165" t="str">
        <f>IF(ISNUMBER(C39),LN(C39/C$39),"")</f>
        <v/>
      </c>
      <c r="F39" s="46" t="s">
        <v>203</v>
      </c>
      <c r="G39" s="401" t="s">
        <v>204</v>
      </c>
      <c r="H39" s="402"/>
      <c r="I39" s="410"/>
      <c r="J39" s="163">
        <v>20</v>
      </c>
      <c r="K39" s="46" t="s">
        <v>202</v>
      </c>
      <c r="W39" s="99"/>
      <c r="X39" s="99"/>
      <c r="Y39" s="99"/>
      <c r="Z39" s="99"/>
      <c r="AA39" s="99"/>
      <c r="AB39" s="99"/>
      <c r="AE39" s="99"/>
      <c r="AF39" s="99"/>
      <c r="AG39" s="99"/>
      <c r="AH39" s="99"/>
      <c r="AI39" s="99"/>
      <c r="AJ39" s="99"/>
      <c r="AM39" s="99"/>
      <c r="AN39" s="99"/>
      <c r="AO39" s="99"/>
      <c r="AP39" s="99"/>
      <c r="AQ39" s="99"/>
      <c r="AR39" s="99"/>
      <c r="AS39" s="99"/>
      <c r="AT39" s="99"/>
      <c r="AU39" s="99"/>
      <c r="AV39" s="99"/>
      <c r="AW39" s="99"/>
      <c r="AX39" s="99"/>
      <c r="BX39" s="80"/>
    </row>
    <row r="40" spans="2:76" ht="13.5" customHeight="1" x14ac:dyDescent="0.2">
      <c r="B40" s="164" t="str">
        <f>IF(ISBLANK(入力及び計算結果!F58),"",入力及び計算結果!F58)</f>
        <v/>
      </c>
      <c r="C40" s="164" t="str">
        <f>IF(ISBLANK(入力及び計算結果!F59),"",入力及び計算結果!F59)</f>
        <v/>
      </c>
      <c r="D40" s="165" t="str">
        <f>IF(ISNUMBER(C40),LN(C40/C$39),"")</f>
        <v/>
      </c>
      <c r="F40" s="526" t="s">
        <v>77</v>
      </c>
      <c r="G40" s="538" t="s">
        <v>294</v>
      </c>
      <c r="H40" s="482"/>
      <c r="I40" s="564"/>
      <c r="J40" s="166">
        <v>1.9</v>
      </c>
      <c r="K40" s="150" t="s">
        <v>206</v>
      </c>
      <c r="W40" s="99"/>
      <c r="X40" s="99"/>
      <c r="Y40" s="99"/>
      <c r="Z40" s="99"/>
      <c r="AA40" s="99"/>
      <c r="AB40" s="99"/>
      <c r="AE40" s="99"/>
      <c r="AF40" s="99"/>
      <c r="AG40" s="99"/>
      <c r="AH40" s="99"/>
      <c r="AI40" s="99"/>
      <c r="AJ40" s="99"/>
      <c r="AM40" s="99"/>
      <c r="AN40" s="99"/>
      <c r="AO40" s="99"/>
      <c r="AP40" s="99"/>
      <c r="AQ40" s="99"/>
      <c r="AR40" s="99"/>
      <c r="AS40" s="99"/>
      <c r="AT40" s="99"/>
      <c r="AU40" s="99"/>
      <c r="AV40" s="99"/>
      <c r="AW40" s="99"/>
      <c r="AX40" s="99"/>
      <c r="BX40" s="80"/>
    </row>
    <row r="41" spans="2:76" ht="13.5" customHeight="1" x14ac:dyDescent="0.2">
      <c r="B41" s="164" t="str">
        <f>IF(ISBLANK(入力及び計算結果!G58),"",入力及び計算結果!G58)</f>
        <v/>
      </c>
      <c r="C41" s="164" t="str">
        <f>IF(ISBLANK(入力及び計算結果!G59),"",入力及び計算結果!G59)</f>
        <v/>
      </c>
      <c r="D41" s="165" t="str">
        <f>IF(ISNUMBER(C41),LN(C41/C$39),"")</f>
        <v/>
      </c>
      <c r="F41" s="527"/>
      <c r="G41" s="565"/>
      <c r="H41" s="489"/>
      <c r="I41" s="566"/>
      <c r="J41" s="167"/>
      <c r="K41" s="155"/>
      <c r="W41" s="99"/>
      <c r="X41" s="99"/>
      <c r="Y41" s="99"/>
      <c r="Z41" s="99"/>
      <c r="AA41" s="99"/>
      <c r="AB41" s="99"/>
      <c r="AE41" s="99"/>
      <c r="AF41" s="99"/>
      <c r="AG41" s="99"/>
      <c r="AH41" s="99"/>
      <c r="AI41" s="99"/>
      <c r="AJ41" s="99"/>
      <c r="AM41" s="99"/>
      <c r="AN41" s="99"/>
      <c r="AO41" s="99"/>
      <c r="AP41" s="99"/>
      <c r="AQ41" s="99"/>
      <c r="AR41" s="99"/>
      <c r="AS41" s="99"/>
      <c r="AT41" s="99"/>
      <c r="AU41" s="99"/>
      <c r="AV41" s="99"/>
      <c r="AW41" s="99"/>
      <c r="AX41" s="99"/>
      <c r="BX41" s="80"/>
    </row>
    <row r="42" spans="2:76" ht="13.5" customHeight="1" x14ac:dyDescent="0.2">
      <c r="B42" s="164" t="str">
        <f>IF(ISBLANK(入力及び計算結果!H58),"",入力及び計算結果!H58)</f>
        <v/>
      </c>
      <c r="C42" s="164" t="str">
        <f>IF(ISBLANK(入力及び計算結果!H59),"",入力及び計算結果!H59)</f>
        <v/>
      </c>
      <c r="D42" s="165" t="str">
        <f>IF(ISNUMBER(C42),LN(C42/C$39),"")</f>
        <v/>
      </c>
      <c r="F42" s="46" t="s">
        <v>207</v>
      </c>
      <c r="G42" s="401" t="s">
        <v>208</v>
      </c>
      <c r="H42" s="402"/>
      <c r="I42" s="410"/>
      <c r="J42" s="163">
        <v>0.8</v>
      </c>
      <c r="K42" s="46" t="s">
        <v>209</v>
      </c>
      <c r="W42" s="99"/>
      <c r="X42" s="99"/>
      <c r="Y42" s="99"/>
      <c r="Z42" s="99"/>
      <c r="AA42" s="99"/>
      <c r="AB42" s="99"/>
      <c r="AE42" s="99"/>
      <c r="AF42" s="99"/>
      <c r="AG42" s="99"/>
      <c r="AH42" s="99"/>
      <c r="AI42" s="99"/>
      <c r="AJ42" s="99"/>
      <c r="AM42" s="99"/>
      <c r="AN42" s="99"/>
      <c r="AO42" s="99"/>
      <c r="AP42" s="99"/>
      <c r="AQ42" s="99"/>
      <c r="AR42" s="99"/>
      <c r="AS42" s="99"/>
      <c r="AT42" s="99"/>
      <c r="AU42" s="99"/>
      <c r="AV42" s="99"/>
      <c r="AW42" s="99"/>
      <c r="AX42" s="99"/>
      <c r="BX42" s="80"/>
    </row>
    <row r="43" spans="2:76" ht="13.5" customHeight="1" x14ac:dyDescent="0.2">
      <c r="B43" s="164" t="str">
        <f>IF(ISBLANK(入力及び計算結果!I58),"",入力及び計算結果!I58)</f>
        <v/>
      </c>
      <c r="C43" s="164" t="str">
        <f>IF(ISBLANK(入力及び計算結果!I59),"",入力及び計算結果!I59)</f>
        <v/>
      </c>
      <c r="D43" s="165" t="str">
        <f>IF(ISNUMBER(C43),LN(C43/C$39),"")</f>
        <v/>
      </c>
      <c r="F43" s="526" t="s">
        <v>210</v>
      </c>
      <c r="G43" s="547" t="s">
        <v>295</v>
      </c>
      <c r="H43" s="539"/>
      <c r="I43" s="571"/>
      <c r="J43" s="166">
        <v>100</v>
      </c>
      <c r="K43" s="150" t="s">
        <v>206</v>
      </c>
      <c r="W43" s="99"/>
      <c r="X43" s="99"/>
      <c r="Y43" s="99"/>
      <c r="Z43" s="99"/>
      <c r="AA43" s="99"/>
      <c r="AB43" s="99"/>
      <c r="AE43" s="99"/>
      <c r="AF43" s="99"/>
      <c r="AG43" s="99"/>
      <c r="AH43" s="99"/>
      <c r="AI43" s="99"/>
      <c r="AJ43" s="99"/>
      <c r="AM43" s="99"/>
      <c r="AN43" s="99"/>
      <c r="AO43" s="99"/>
      <c r="AP43" s="99"/>
      <c r="AQ43" s="99"/>
      <c r="AR43" s="99"/>
      <c r="AS43" s="99"/>
      <c r="AT43" s="99"/>
      <c r="AU43" s="99"/>
      <c r="AV43" s="99"/>
      <c r="AW43" s="99"/>
      <c r="AX43" s="99"/>
      <c r="BX43" s="80"/>
    </row>
    <row r="44" spans="2:76" ht="13.5" customHeight="1" x14ac:dyDescent="0.2">
      <c r="B44" s="164" t="str">
        <f>IF(ISBLANK(入力及び計算結果!J58),"",入力及び計算結果!J58)</f>
        <v/>
      </c>
      <c r="C44" s="164" t="str">
        <f>IF(ISBLANK(入力及び計算結果!J59),"",入力及び計算結果!J59)</f>
        <v/>
      </c>
      <c r="D44" s="165" t="str">
        <f t="shared" ref="D44:D59" si="0">IF(ISNUMBER(C44),LN(C44/C$39),"")</f>
        <v/>
      </c>
      <c r="F44" s="527"/>
      <c r="G44" s="540"/>
      <c r="H44" s="541"/>
      <c r="I44" s="572"/>
      <c r="J44" s="167"/>
      <c r="K44" s="155"/>
      <c r="W44" s="99"/>
      <c r="X44" s="99"/>
      <c r="Y44" s="99"/>
      <c r="Z44" s="99"/>
      <c r="AA44" s="99"/>
      <c r="AB44" s="99"/>
      <c r="AE44" s="99"/>
      <c r="AF44" s="99"/>
      <c r="AG44" s="99"/>
      <c r="AH44" s="99"/>
      <c r="AI44" s="99"/>
      <c r="AJ44" s="99"/>
      <c r="AM44" s="99"/>
      <c r="AN44" s="99"/>
      <c r="AO44" s="99"/>
      <c r="AP44" s="99"/>
      <c r="AQ44" s="99"/>
      <c r="AR44" s="99"/>
      <c r="AS44" s="99"/>
      <c r="AT44" s="99"/>
      <c r="AU44" s="99"/>
      <c r="AV44" s="99"/>
      <c r="AW44" s="99"/>
      <c r="AX44" s="99"/>
      <c r="BX44" s="80"/>
    </row>
    <row r="45" spans="2:76" ht="13.5" customHeight="1" x14ac:dyDescent="0.2">
      <c r="B45" s="164" t="str">
        <f>IF(ISBLANK(入力及び計算結果!K58),"",入力及び計算結果!K58)</f>
        <v/>
      </c>
      <c r="C45" s="164" t="str">
        <f>IF(ISBLANK(入力及び計算結果!K59),"",入力及び計算結果!K59)</f>
        <v/>
      </c>
      <c r="D45" s="165" t="str">
        <f t="shared" si="0"/>
        <v/>
      </c>
      <c r="F45" s="46" t="s">
        <v>212</v>
      </c>
      <c r="G45" s="401" t="s">
        <v>213</v>
      </c>
      <c r="H45" s="402"/>
      <c r="I45" s="410"/>
      <c r="J45" s="163">
        <v>0.33</v>
      </c>
      <c r="K45" s="46" t="s">
        <v>209</v>
      </c>
      <c r="W45" s="99"/>
      <c r="X45" s="99"/>
      <c r="Y45" s="99"/>
      <c r="Z45" s="99"/>
      <c r="AA45" s="99"/>
      <c r="AB45" s="99"/>
      <c r="AE45" s="99"/>
      <c r="AF45" s="99"/>
      <c r="AG45" s="99"/>
      <c r="AH45" s="99"/>
      <c r="AI45" s="99"/>
      <c r="AJ45" s="99"/>
      <c r="AM45" s="99"/>
      <c r="AN45" s="99"/>
      <c r="AO45" s="99"/>
      <c r="AP45" s="99"/>
      <c r="AQ45" s="99"/>
      <c r="AR45" s="99"/>
      <c r="AS45" s="99"/>
      <c r="AT45" s="99"/>
      <c r="AU45" s="99"/>
      <c r="AV45" s="99"/>
      <c r="AW45" s="99"/>
      <c r="AX45" s="99"/>
      <c r="BX45" s="80"/>
    </row>
    <row r="46" spans="2:76" ht="13.5" customHeight="1" x14ac:dyDescent="0.2">
      <c r="B46" s="164" t="str">
        <f>IF(ISBLANK(入力及び計算結果!L58),"",入力及び計算結果!L58)</f>
        <v/>
      </c>
      <c r="C46" s="164" t="str">
        <f>IF(ISBLANK(入力及び計算結果!L59),"",入力及び計算結果!L59)</f>
        <v/>
      </c>
      <c r="D46" s="165" t="str">
        <f t="shared" si="0"/>
        <v/>
      </c>
      <c r="F46" s="526" t="s">
        <v>214</v>
      </c>
      <c r="G46" s="547" t="s">
        <v>215</v>
      </c>
      <c r="H46" s="539"/>
      <c r="I46" s="571"/>
      <c r="J46" s="166">
        <v>1</v>
      </c>
      <c r="K46" s="150" t="s">
        <v>146</v>
      </c>
      <c r="W46" s="99"/>
      <c r="X46" s="99"/>
      <c r="Y46" s="99"/>
      <c r="Z46" s="99"/>
      <c r="AA46" s="99"/>
      <c r="AB46" s="99"/>
      <c r="AE46" s="99"/>
      <c r="AF46" s="99"/>
      <c r="AG46" s="99"/>
      <c r="AH46" s="99"/>
      <c r="AI46" s="99"/>
      <c r="AJ46" s="99"/>
      <c r="AM46" s="99"/>
      <c r="AN46" s="99"/>
      <c r="AO46" s="99"/>
      <c r="AP46" s="99"/>
      <c r="AQ46" s="99"/>
      <c r="AR46" s="99"/>
      <c r="AS46" s="99"/>
      <c r="AT46" s="99"/>
      <c r="AU46" s="99"/>
      <c r="AV46" s="99"/>
      <c r="AW46" s="99"/>
      <c r="AX46" s="99"/>
      <c r="BX46" s="80"/>
    </row>
    <row r="47" spans="2:76" ht="13.5" customHeight="1" x14ac:dyDescent="0.2">
      <c r="B47" s="164" t="str">
        <f>IF(ISBLANK(入力及び計算結果!M58),"",入力及び計算結果!M58)</f>
        <v/>
      </c>
      <c r="C47" s="164" t="str">
        <f>IF(ISBLANK(入力及び計算結果!M59),"",入力及び計算結果!M59)</f>
        <v/>
      </c>
      <c r="D47" s="165" t="str">
        <f t="shared" si="0"/>
        <v/>
      </c>
      <c r="F47" s="527"/>
      <c r="G47" s="540"/>
      <c r="H47" s="541"/>
      <c r="I47" s="572"/>
      <c r="J47" s="167"/>
      <c r="K47" s="155"/>
      <c r="W47" s="99"/>
      <c r="X47" s="99"/>
      <c r="Y47" s="99"/>
      <c r="Z47" s="99"/>
      <c r="AA47" s="99"/>
      <c r="AB47" s="99"/>
      <c r="AE47" s="99"/>
      <c r="AF47" s="99"/>
      <c r="AG47" s="99"/>
      <c r="AH47" s="99"/>
      <c r="AI47" s="99"/>
      <c r="AJ47" s="99"/>
      <c r="AM47" s="99"/>
      <c r="AN47" s="99"/>
      <c r="AO47" s="99"/>
      <c r="AP47" s="99"/>
      <c r="AQ47" s="99"/>
      <c r="AR47" s="99"/>
      <c r="AS47" s="99"/>
      <c r="AT47" s="99"/>
      <c r="AU47" s="99"/>
      <c r="AV47" s="99"/>
      <c r="AW47" s="99"/>
      <c r="AX47" s="99"/>
      <c r="BX47" s="80"/>
    </row>
    <row r="48" spans="2:76" ht="13.5" customHeight="1" x14ac:dyDescent="0.2">
      <c r="B48" s="164" t="str">
        <f>IF(ISBLANK(入力及び計算結果!N58),"",入力及び計算結果!N58)</f>
        <v/>
      </c>
      <c r="C48" s="164" t="str">
        <f>IF(ISBLANK(入力及び計算結果!N59),"",入力及び計算結果!N59)</f>
        <v/>
      </c>
      <c r="D48" s="165" t="str">
        <f t="shared" si="0"/>
        <v/>
      </c>
      <c r="F48" s="526" t="s">
        <v>216</v>
      </c>
      <c r="G48" s="538" t="s">
        <v>217</v>
      </c>
      <c r="H48" s="539"/>
      <c r="I48" s="539"/>
      <c r="J48" s="571"/>
      <c r="K48" s="150" t="s">
        <v>218</v>
      </c>
      <c r="W48" s="99"/>
      <c r="X48" s="99"/>
      <c r="Y48" s="99"/>
      <c r="Z48" s="99"/>
      <c r="AA48" s="99"/>
      <c r="AB48" s="99"/>
      <c r="AE48" s="99"/>
      <c r="AF48" s="99"/>
      <c r="AG48" s="99"/>
      <c r="AH48" s="99"/>
      <c r="AI48" s="99"/>
      <c r="AJ48" s="99"/>
      <c r="AM48" s="99"/>
      <c r="AN48" s="99"/>
      <c r="AO48" s="99"/>
      <c r="AP48" s="99"/>
      <c r="AQ48" s="99"/>
      <c r="AR48" s="99"/>
      <c r="AS48" s="99"/>
      <c r="AT48" s="99"/>
      <c r="AU48" s="99"/>
      <c r="AV48" s="99"/>
      <c r="AW48" s="99"/>
      <c r="AX48" s="99"/>
      <c r="BX48" s="80"/>
    </row>
    <row r="49" spans="1:86" ht="13.5" customHeight="1" x14ac:dyDescent="0.2">
      <c r="B49" s="4"/>
      <c r="C49" s="4"/>
      <c r="D49" s="165" t="str">
        <f t="shared" si="0"/>
        <v/>
      </c>
      <c r="F49" s="527"/>
      <c r="G49" s="540"/>
      <c r="H49" s="541"/>
      <c r="I49" s="541"/>
      <c r="J49" s="572"/>
      <c r="K49" s="155"/>
      <c r="W49" s="99"/>
      <c r="X49" s="99"/>
      <c r="Y49" s="99"/>
      <c r="Z49" s="99"/>
      <c r="AA49" s="99"/>
      <c r="AB49" s="99"/>
      <c r="AE49" s="99"/>
      <c r="AF49" s="99"/>
      <c r="AG49" s="99"/>
      <c r="AH49" s="99"/>
      <c r="AI49" s="99"/>
      <c r="AJ49" s="99"/>
      <c r="AM49" s="99"/>
      <c r="AN49" s="99"/>
      <c r="AO49" s="99"/>
      <c r="AP49" s="99"/>
      <c r="AQ49" s="99"/>
      <c r="AR49" s="99"/>
      <c r="AS49" s="99"/>
      <c r="AT49" s="99"/>
      <c r="AU49" s="99"/>
      <c r="AV49" s="99"/>
      <c r="AW49" s="99"/>
      <c r="AX49" s="99"/>
      <c r="BX49" s="80"/>
    </row>
    <row r="50" spans="1:86" ht="13.5" customHeight="1" x14ac:dyDescent="0.2">
      <c r="B50" s="4"/>
      <c r="C50" s="4"/>
      <c r="D50" s="165" t="str">
        <f t="shared" si="0"/>
        <v/>
      </c>
      <c r="F50" s="43" t="s">
        <v>219</v>
      </c>
      <c r="G50" s="380" t="s">
        <v>220</v>
      </c>
      <c r="H50" s="452"/>
      <c r="I50" s="453"/>
      <c r="J50" s="168">
        <v>2000</v>
      </c>
      <c r="K50" s="87" t="s">
        <v>218</v>
      </c>
      <c r="W50" s="99"/>
      <c r="X50" s="99"/>
      <c r="Y50" s="99"/>
      <c r="Z50" s="99"/>
      <c r="AA50" s="99"/>
      <c r="AB50" s="99"/>
      <c r="AE50" s="99"/>
      <c r="AF50" s="99"/>
      <c r="AG50" s="99"/>
      <c r="AH50" s="99"/>
      <c r="AI50" s="99"/>
      <c r="AJ50" s="99"/>
      <c r="AM50" s="99"/>
      <c r="AN50" s="99"/>
      <c r="AO50" s="99"/>
      <c r="AP50" s="99"/>
      <c r="AQ50" s="99"/>
      <c r="AR50" s="99"/>
      <c r="AS50" s="99"/>
      <c r="AT50" s="99"/>
      <c r="AU50" s="99"/>
      <c r="AV50" s="99"/>
      <c r="AW50" s="99"/>
      <c r="AX50" s="99"/>
      <c r="BX50" s="80"/>
    </row>
    <row r="51" spans="1:86" ht="13.5" customHeight="1" x14ac:dyDescent="0.2">
      <c r="B51" s="4"/>
      <c r="C51" s="4"/>
      <c r="D51" s="165" t="str">
        <f t="shared" si="0"/>
        <v/>
      </c>
      <c r="F51" s="27" t="s">
        <v>221</v>
      </c>
      <c r="G51" s="380" t="s">
        <v>222</v>
      </c>
      <c r="H51" s="452"/>
      <c r="I51" s="453"/>
      <c r="J51" s="168">
        <v>1</v>
      </c>
      <c r="K51" s="87" t="s">
        <v>223</v>
      </c>
      <c r="W51" s="99"/>
      <c r="X51" s="99"/>
      <c r="Y51" s="99"/>
      <c r="Z51" s="99"/>
      <c r="AA51" s="99"/>
      <c r="AB51" s="99"/>
      <c r="AE51" s="99"/>
      <c r="AF51" s="99"/>
      <c r="AG51" s="99"/>
      <c r="AH51" s="99"/>
      <c r="AI51" s="99"/>
      <c r="AJ51" s="99"/>
      <c r="AM51" s="99"/>
      <c r="AN51" s="99"/>
      <c r="AO51" s="99"/>
      <c r="AP51" s="99"/>
      <c r="AQ51" s="99"/>
      <c r="AR51" s="99"/>
      <c r="AS51" s="99"/>
      <c r="AT51" s="99"/>
      <c r="AU51" s="99"/>
      <c r="AV51" s="99"/>
      <c r="AW51" s="99"/>
      <c r="AX51" s="99"/>
      <c r="BX51" s="80"/>
    </row>
    <row r="52" spans="1:86" ht="13.5" customHeight="1" x14ac:dyDescent="0.2">
      <c r="B52" s="4"/>
      <c r="C52" s="4"/>
      <c r="D52" s="165" t="str">
        <f t="shared" si="0"/>
        <v/>
      </c>
      <c r="F52" s="27" t="s">
        <v>224</v>
      </c>
      <c r="G52" s="380" t="s">
        <v>296</v>
      </c>
      <c r="H52" s="452"/>
      <c r="I52" s="453"/>
      <c r="J52" s="168">
        <v>1.2</v>
      </c>
      <c r="K52" s="87" t="s">
        <v>206</v>
      </c>
      <c r="W52" s="99"/>
      <c r="X52" s="99"/>
      <c r="Y52" s="99"/>
      <c r="Z52" s="99"/>
      <c r="AA52" s="99"/>
      <c r="AB52" s="99"/>
      <c r="AE52" s="99"/>
      <c r="AF52" s="99"/>
      <c r="AG52" s="99"/>
      <c r="AH52" s="99"/>
      <c r="AI52" s="99"/>
      <c r="AJ52" s="99"/>
      <c r="AM52" s="99"/>
      <c r="AN52" s="99"/>
      <c r="AO52" s="99"/>
      <c r="AP52" s="99"/>
      <c r="AQ52" s="99"/>
      <c r="AR52" s="99"/>
      <c r="AS52" s="99"/>
      <c r="AT52" s="99"/>
      <c r="AU52" s="99"/>
      <c r="AV52" s="99"/>
      <c r="AW52" s="99"/>
      <c r="AX52" s="99"/>
      <c r="BX52" s="80"/>
    </row>
    <row r="53" spans="1:86" ht="13.5" customHeight="1" x14ac:dyDescent="0.2">
      <c r="B53" s="4"/>
      <c r="C53" s="4"/>
      <c r="D53" s="165" t="str">
        <f t="shared" si="0"/>
        <v/>
      </c>
      <c r="F53" s="27" t="s">
        <v>226</v>
      </c>
      <c r="G53" s="380" t="s">
        <v>227</v>
      </c>
      <c r="H53" s="452"/>
      <c r="I53" s="453"/>
      <c r="J53" s="168">
        <v>1</v>
      </c>
      <c r="K53" s="87" t="s">
        <v>223</v>
      </c>
      <c r="W53" s="99"/>
      <c r="X53" s="99"/>
      <c r="Y53" s="99"/>
      <c r="Z53" s="99"/>
      <c r="AA53" s="99"/>
      <c r="AB53" s="99"/>
      <c r="AE53" s="99"/>
      <c r="AF53" s="99"/>
      <c r="AG53" s="99"/>
      <c r="AH53" s="99"/>
      <c r="AI53" s="99"/>
      <c r="AJ53" s="99"/>
      <c r="AM53" s="99"/>
      <c r="AN53" s="99"/>
      <c r="AO53" s="99"/>
      <c r="AP53" s="99"/>
      <c r="AQ53" s="99"/>
      <c r="AR53" s="99"/>
      <c r="AS53" s="99"/>
      <c r="AT53" s="99"/>
      <c r="AU53" s="99"/>
      <c r="AV53" s="99"/>
      <c r="AW53" s="99"/>
      <c r="AX53" s="99"/>
      <c r="BX53" s="80"/>
    </row>
    <row r="54" spans="1:86" ht="13.5" customHeight="1" x14ac:dyDescent="0.2">
      <c r="B54" s="4"/>
      <c r="C54" s="5"/>
      <c r="D54" s="165" t="str">
        <f t="shared" si="0"/>
        <v/>
      </c>
      <c r="F54" s="27" t="s">
        <v>228</v>
      </c>
      <c r="G54" s="576" t="s">
        <v>229</v>
      </c>
      <c r="H54" s="577"/>
      <c r="I54" s="578"/>
      <c r="J54" s="168">
        <v>2.4</v>
      </c>
      <c r="K54" s="87" t="s">
        <v>230</v>
      </c>
      <c r="W54" s="99"/>
      <c r="X54" s="99"/>
      <c r="Y54" s="99"/>
      <c r="Z54" s="99"/>
      <c r="AA54" s="99"/>
      <c r="AB54" s="99"/>
      <c r="AE54" s="99"/>
      <c r="AF54" s="99"/>
      <c r="AG54" s="99"/>
      <c r="AH54" s="99"/>
      <c r="AI54" s="99"/>
      <c r="AJ54" s="99"/>
      <c r="AM54" s="99"/>
      <c r="AN54" s="99"/>
      <c r="AO54" s="99"/>
      <c r="AP54" s="99"/>
      <c r="AQ54" s="99"/>
      <c r="AR54" s="99"/>
      <c r="AS54" s="99"/>
      <c r="AT54" s="99"/>
      <c r="AU54" s="99"/>
      <c r="AV54" s="99"/>
      <c r="AW54" s="99"/>
      <c r="AX54" s="99"/>
      <c r="BX54" s="80"/>
    </row>
    <row r="55" spans="1:86" ht="13.5" customHeight="1" x14ac:dyDescent="0.2">
      <c r="B55" s="4"/>
      <c r="C55" s="4"/>
      <c r="D55" s="165" t="str">
        <f t="shared" si="0"/>
        <v/>
      </c>
      <c r="F55" s="27" t="s">
        <v>231</v>
      </c>
      <c r="G55" s="380" t="s">
        <v>232</v>
      </c>
      <c r="H55" s="452"/>
      <c r="I55" s="453"/>
      <c r="J55" s="168">
        <v>2.9</v>
      </c>
      <c r="K55" s="87" t="s">
        <v>206</v>
      </c>
      <c r="W55" s="99"/>
      <c r="X55" s="99"/>
      <c r="Y55" s="99"/>
      <c r="Z55" s="99"/>
      <c r="AA55" s="99"/>
      <c r="AB55" s="99"/>
      <c r="AE55" s="99"/>
      <c r="AF55" s="99"/>
      <c r="AG55" s="99"/>
      <c r="AH55" s="99"/>
      <c r="AI55" s="99"/>
      <c r="AJ55" s="99"/>
      <c r="AM55" s="99"/>
      <c r="AN55" s="99"/>
      <c r="AO55" s="99"/>
      <c r="AP55" s="99"/>
      <c r="AQ55" s="99"/>
      <c r="AR55" s="99"/>
      <c r="AS55" s="99"/>
      <c r="AT55" s="99"/>
      <c r="AU55" s="99"/>
      <c r="AV55" s="99"/>
      <c r="AW55" s="99"/>
      <c r="AX55" s="99"/>
      <c r="BX55" s="80"/>
    </row>
    <row r="56" spans="1:86" ht="13.5" customHeight="1" x14ac:dyDescent="0.2">
      <c r="B56" s="4"/>
      <c r="C56" s="4"/>
      <c r="D56" s="165" t="str">
        <f t="shared" si="0"/>
        <v/>
      </c>
      <c r="F56" s="27" t="s">
        <v>233</v>
      </c>
      <c r="G56" s="380" t="s">
        <v>234</v>
      </c>
      <c r="H56" s="452"/>
      <c r="I56" s="453"/>
      <c r="J56" s="169" t="str">
        <f>IF(ISNUMBER(Koc),(Plevee/rws)*Koc*(Oclevee/100)+1,"-")</f>
        <v>-</v>
      </c>
      <c r="K56" s="170" t="s">
        <v>230</v>
      </c>
      <c r="W56" s="99"/>
      <c r="X56" s="99"/>
      <c r="Y56" s="99"/>
      <c r="Z56" s="99"/>
      <c r="AA56" s="99"/>
      <c r="AB56" s="99"/>
      <c r="AE56" s="99"/>
      <c r="AF56" s="99"/>
      <c r="AG56" s="99"/>
      <c r="AH56" s="99"/>
      <c r="AI56" s="99"/>
      <c r="AJ56" s="99"/>
      <c r="AM56" s="99"/>
      <c r="AN56" s="99"/>
      <c r="AO56" s="99"/>
      <c r="AP56" s="99"/>
      <c r="AQ56" s="99"/>
      <c r="AR56" s="99"/>
      <c r="AS56" s="99"/>
      <c r="AT56" s="99"/>
      <c r="AU56" s="99"/>
      <c r="AV56" s="99"/>
      <c r="AW56" s="99"/>
      <c r="AX56" s="99"/>
      <c r="BX56" s="80"/>
    </row>
    <row r="57" spans="1:86" ht="13.5" customHeight="1" x14ac:dyDescent="0.2">
      <c r="B57" s="4"/>
      <c r="C57" s="4"/>
      <c r="D57" s="165" t="str">
        <f t="shared" si="0"/>
        <v/>
      </c>
      <c r="F57" s="171"/>
      <c r="H57" s="67"/>
      <c r="I57" s="67"/>
      <c r="J57" s="172"/>
      <c r="W57" s="99"/>
      <c r="X57" s="99"/>
      <c r="Y57" s="99"/>
      <c r="Z57" s="99"/>
      <c r="AA57" s="99"/>
      <c r="AB57" s="99"/>
      <c r="AE57" s="99"/>
      <c r="AF57" s="99"/>
      <c r="AG57" s="99"/>
      <c r="AH57" s="99"/>
      <c r="AI57" s="99"/>
      <c r="AJ57" s="99"/>
      <c r="AM57" s="99"/>
      <c r="AN57" s="99"/>
      <c r="AO57" s="99"/>
      <c r="AP57" s="99"/>
      <c r="AQ57" s="99"/>
      <c r="AR57" s="99"/>
      <c r="AS57" s="99"/>
      <c r="AT57" s="99"/>
      <c r="AU57" s="99"/>
      <c r="AV57" s="99"/>
      <c r="AW57" s="99"/>
      <c r="AX57" s="99"/>
      <c r="BX57" s="80"/>
    </row>
    <row r="58" spans="1:86" ht="13.5" customHeight="1" x14ac:dyDescent="0.2">
      <c r="B58" s="4"/>
      <c r="C58" s="4"/>
      <c r="D58" s="165" t="str">
        <f t="shared" si="0"/>
        <v/>
      </c>
      <c r="F58" s="123"/>
      <c r="H58" s="67"/>
      <c r="I58" s="67"/>
      <c r="W58" s="99"/>
      <c r="X58" s="99"/>
      <c r="Y58" s="99"/>
      <c r="Z58" s="99"/>
      <c r="AA58" s="99"/>
      <c r="AB58" s="99"/>
      <c r="AE58" s="99"/>
      <c r="AF58" s="99"/>
      <c r="AG58" s="99"/>
      <c r="AH58" s="99"/>
      <c r="AI58" s="99"/>
      <c r="AJ58" s="99"/>
      <c r="AM58" s="99"/>
      <c r="AN58" s="99"/>
      <c r="AO58" s="99"/>
      <c r="AP58" s="99"/>
      <c r="AQ58" s="99"/>
      <c r="AR58" s="99"/>
      <c r="AS58" s="99"/>
      <c r="AT58" s="99"/>
      <c r="AU58" s="99"/>
      <c r="AV58" s="99"/>
      <c r="AW58" s="99"/>
      <c r="AX58" s="99"/>
      <c r="BX58" s="80"/>
    </row>
    <row r="59" spans="1:86" ht="13.5" customHeight="1" thickBot="1" x14ac:dyDescent="0.25">
      <c r="B59" s="6"/>
      <c r="C59" s="6"/>
      <c r="D59" s="165" t="str">
        <f t="shared" si="0"/>
        <v/>
      </c>
      <c r="H59" s="67"/>
      <c r="I59" s="67"/>
      <c r="W59" s="99"/>
      <c r="X59" s="99"/>
      <c r="Y59" s="99"/>
      <c r="Z59" s="99"/>
      <c r="AA59" s="99"/>
      <c r="AB59" s="99"/>
      <c r="AE59" s="99"/>
      <c r="AF59" s="99"/>
      <c r="AG59" s="99"/>
      <c r="AH59" s="99"/>
      <c r="AI59" s="99"/>
      <c r="AJ59" s="99"/>
      <c r="AM59" s="99"/>
      <c r="AN59" s="99"/>
      <c r="AO59" s="99"/>
      <c r="AP59" s="99"/>
      <c r="AQ59" s="99"/>
      <c r="AR59" s="99"/>
      <c r="AS59" s="99"/>
      <c r="AT59" s="99"/>
      <c r="AU59" s="99"/>
      <c r="AV59" s="99"/>
      <c r="AW59" s="99"/>
      <c r="AX59" s="99"/>
      <c r="BX59" s="80"/>
    </row>
    <row r="60" spans="1:86" ht="13.5" customHeight="1" thickTop="1" x14ac:dyDescent="0.2">
      <c r="B60" s="91"/>
      <c r="H60" s="67"/>
      <c r="I60" s="67"/>
      <c r="W60" s="99"/>
      <c r="X60" s="99"/>
      <c r="Y60" s="99"/>
      <c r="Z60" s="99"/>
      <c r="AA60" s="99"/>
      <c r="AB60" s="99"/>
      <c r="AE60" s="99"/>
      <c r="AF60" s="99"/>
      <c r="AG60" s="99"/>
      <c r="AH60" s="99"/>
      <c r="AI60" s="99"/>
      <c r="AJ60" s="99"/>
      <c r="AM60" s="99"/>
      <c r="AN60" s="99"/>
      <c r="AO60" s="99"/>
      <c r="AP60" s="99"/>
      <c r="AQ60" s="99"/>
      <c r="AR60" s="99"/>
      <c r="AS60" s="99"/>
      <c r="AT60" s="99"/>
      <c r="AU60" s="99"/>
      <c r="AV60" s="99"/>
      <c r="AW60" s="99"/>
      <c r="AX60" s="99"/>
      <c r="BX60" s="80"/>
    </row>
    <row r="61" spans="1:86" ht="13.5" customHeight="1" x14ac:dyDescent="0.2">
      <c r="A61"/>
      <c r="B61" s="579" t="s">
        <v>235</v>
      </c>
      <c r="C61" s="522"/>
      <c r="D61" s="522"/>
      <c r="E61" s="522"/>
      <c r="V61" s="67"/>
      <c r="W61" s="67"/>
      <c r="X61" s="67"/>
      <c r="Y61" s="67"/>
      <c r="Z61" s="67"/>
      <c r="AA61" s="67"/>
      <c r="AB61" s="67"/>
      <c r="AD61" s="67"/>
      <c r="AE61" s="67"/>
      <c r="AF61" s="67"/>
      <c r="AG61" s="67"/>
      <c r="AH61" s="67"/>
      <c r="AI61" s="67"/>
      <c r="AJ61" s="67"/>
      <c r="AL61" s="67"/>
      <c r="AM61" s="67"/>
      <c r="AN61" s="67"/>
      <c r="AO61" s="67"/>
      <c r="AP61" s="67"/>
      <c r="AQ61" s="67"/>
      <c r="AR61" s="67"/>
      <c r="AS61" s="67"/>
      <c r="AT61" s="67"/>
      <c r="AU61" s="67"/>
      <c r="AV61" s="67"/>
      <c r="AW61" s="67"/>
      <c r="AX61" s="67"/>
      <c r="AY61" s="67"/>
      <c r="AZ61" s="80"/>
      <c r="BA61" s="144"/>
      <c r="BB61" s="80"/>
      <c r="BC61" s="144"/>
      <c r="BD61" s="144"/>
      <c r="BE61" s="144"/>
      <c r="BF61" s="144"/>
      <c r="BG61" s="67"/>
      <c r="BH61" s="80"/>
      <c r="BI61" s="144"/>
      <c r="BJ61" s="80"/>
      <c r="BK61" s="144"/>
      <c r="BL61" s="144"/>
      <c r="BM61" s="144"/>
      <c r="BN61" s="144"/>
      <c r="BO61" s="67"/>
      <c r="BP61" s="80"/>
      <c r="BQ61" s="144"/>
      <c r="BR61" s="80"/>
      <c r="BS61" s="144"/>
      <c r="BT61" s="144"/>
      <c r="BV61" s="144"/>
      <c r="BW61" s="80"/>
      <c r="BX61" s="67"/>
      <c r="BY61" s="67"/>
      <c r="CB61"/>
      <c r="CC61"/>
      <c r="CD61"/>
      <c r="CE61"/>
      <c r="CF61"/>
      <c r="CG61"/>
      <c r="CH61"/>
    </row>
    <row r="62" spans="1:86" ht="13.5" customHeight="1" x14ac:dyDescent="0.2">
      <c r="A62"/>
      <c r="B62" s="522"/>
      <c r="C62" s="522"/>
      <c r="D62" s="522"/>
      <c r="E62" s="522"/>
      <c r="V62" s="67"/>
      <c r="W62" s="67"/>
      <c r="X62" s="67"/>
      <c r="Y62" s="67"/>
      <c r="Z62" s="67"/>
      <c r="AA62" s="67"/>
      <c r="AB62" s="67"/>
      <c r="AD62" s="67"/>
      <c r="AE62" s="67"/>
      <c r="AF62" s="67"/>
      <c r="AG62" s="67"/>
      <c r="AH62" s="67"/>
      <c r="AI62" s="67"/>
      <c r="AJ62" s="67"/>
      <c r="AL62" s="67"/>
      <c r="AM62" s="67"/>
      <c r="AN62" s="67"/>
      <c r="AO62" s="67"/>
      <c r="AP62" s="67"/>
      <c r="AQ62" s="67"/>
      <c r="AR62" s="67"/>
      <c r="AS62" s="67"/>
      <c r="AT62" s="67"/>
      <c r="AU62" s="67"/>
      <c r="AV62" s="67"/>
      <c r="AW62" s="67"/>
      <c r="AX62" s="67"/>
      <c r="AY62" s="67"/>
      <c r="AZ62" s="80"/>
      <c r="BA62" s="144"/>
      <c r="BB62" s="80"/>
      <c r="BC62" s="144"/>
      <c r="BD62" s="144"/>
      <c r="BE62" s="144"/>
      <c r="BF62" s="144"/>
      <c r="BG62" s="67"/>
      <c r="BH62" s="80"/>
      <c r="BI62" s="144"/>
      <c r="BJ62" s="80"/>
      <c r="BK62" s="144"/>
      <c r="BL62" s="144"/>
      <c r="BM62" s="144"/>
      <c r="BN62" s="144"/>
      <c r="BO62" s="67"/>
      <c r="BP62" s="80"/>
      <c r="BQ62" s="144"/>
      <c r="BR62" s="80"/>
      <c r="BS62" s="144"/>
      <c r="BT62" s="144"/>
      <c r="BV62" s="144"/>
      <c r="BW62" s="80"/>
      <c r="BX62" s="67"/>
      <c r="BY62" s="67"/>
      <c r="CB62"/>
      <c r="CC62"/>
      <c r="CD62"/>
      <c r="CE62"/>
      <c r="CF62"/>
      <c r="CG62"/>
      <c r="CH62"/>
    </row>
    <row r="63" spans="1:86" ht="13.5" customHeight="1" x14ac:dyDescent="0.2">
      <c r="A63"/>
      <c r="B63" s="522"/>
      <c r="C63" s="522"/>
      <c r="D63" s="522"/>
      <c r="E63" s="522"/>
      <c r="V63" s="67"/>
      <c r="W63" s="67"/>
      <c r="X63" s="67"/>
      <c r="Y63" s="67"/>
      <c r="Z63" s="67"/>
      <c r="AA63" s="67"/>
      <c r="AB63" s="67"/>
      <c r="AD63" s="67"/>
      <c r="AE63" s="67"/>
      <c r="AF63" s="67"/>
      <c r="AG63" s="67"/>
      <c r="AH63" s="67"/>
      <c r="AI63" s="67"/>
      <c r="AJ63" s="67"/>
      <c r="AL63" s="67"/>
      <c r="AM63" s="67"/>
      <c r="AN63" s="67"/>
      <c r="AO63" s="67"/>
      <c r="AP63" s="67"/>
      <c r="AQ63" s="67"/>
      <c r="AR63" s="67"/>
      <c r="AS63" s="67"/>
      <c r="AT63" s="67"/>
      <c r="AU63" s="67"/>
      <c r="AV63" s="67"/>
      <c r="AW63" s="67"/>
      <c r="AX63" s="67"/>
      <c r="AY63" s="67"/>
      <c r="AZ63" s="80"/>
      <c r="BA63" s="144"/>
      <c r="BB63" s="80"/>
      <c r="BC63" s="144"/>
      <c r="BD63" s="144"/>
      <c r="BE63" s="144"/>
      <c r="BF63" s="144"/>
      <c r="BG63" s="67"/>
      <c r="BH63" s="80"/>
      <c r="BI63" s="144"/>
      <c r="BJ63" s="80"/>
      <c r="BK63" s="144"/>
      <c r="BL63" s="144"/>
      <c r="BM63" s="144"/>
      <c r="BN63" s="144"/>
      <c r="BO63" s="67"/>
      <c r="BP63" s="80"/>
      <c r="BQ63" s="144"/>
      <c r="BR63" s="80"/>
      <c r="BS63" s="144"/>
      <c r="BT63" s="144"/>
      <c r="BV63" s="144"/>
      <c r="BW63" s="80"/>
      <c r="BX63" s="67"/>
      <c r="BY63" s="67"/>
      <c r="CB63"/>
      <c r="CC63"/>
      <c r="CD63"/>
      <c r="CE63"/>
      <c r="CF63"/>
      <c r="CG63"/>
      <c r="CH63"/>
    </row>
    <row r="64" spans="1:86" ht="13.5" customHeight="1" x14ac:dyDescent="0.2">
      <c r="A64"/>
      <c r="B64" s="522"/>
      <c r="C64" s="522"/>
      <c r="D64" s="522"/>
      <c r="E64" s="522"/>
      <c r="V64" s="67"/>
      <c r="W64" s="67"/>
      <c r="X64" s="67"/>
      <c r="Y64" s="67"/>
      <c r="Z64" s="67"/>
      <c r="AA64" s="67"/>
      <c r="AB64" s="67"/>
      <c r="AD64" s="67"/>
      <c r="AE64" s="67"/>
      <c r="AF64" s="67"/>
      <c r="AG64" s="67"/>
      <c r="AH64" s="67"/>
      <c r="AI64" s="67"/>
      <c r="AJ64" s="67"/>
      <c r="AL64" s="67"/>
      <c r="AM64" s="67"/>
      <c r="AN64" s="67"/>
      <c r="AO64" s="67"/>
      <c r="AP64" s="67"/>
      <c r="AQ64" s="67"/>
      <c r="AR64" s="67"/>
      <c r="AS64" s="67"/>
      <c r="AT64" s="67"/>
      <c r="AU64" s="67"/>
      <c r="AV64" s="67"/>
      <c r="AW64" s="67"/>
      <c r="AX64" s="67"/>
      <c r="AY64" s="67"/>
      <c r="AZ64" s="80"/>
      <c r="BA64" s="144"/>
      <c r="BB64" s="80"/>
      <c r="BC64" s="144"/>
      <c r="BD64" s="144"/>
      <c r="BE64" s="144"/>
      <c r="BF64" s="144"/>
      <c r="BG64" s="67"/>
      <c r="BH64" s="80"/>
      <c r="BI64" s="144"/>
      <c r="BJ64" s="80"/>
      <c r="BK64" s="144"/>
      <c r="BL64" s="144"/>
      <c r="BM64" s="144"/>
      <c r="BN64" s="144"/>
      <c r="BO64" s="67"/>
      <c r="BP64" s="80"/>
      <c r="BQ64" s="144"/>
      <c r="BR64" s="80"/>
      <c r="BS64" s="144"/>
      <c r="BT64" s="144"/>
      <c r="BV64" s="144"/>
      <c r="BW64" s="80"/>
      <c r="BX64" s="67"/>
      <c r="BY64" s="67"/>
      <c r="CB64"/>
      <c r="CC64"/>
      <c r="CD64"/>
      <c r="CE64"/>
      <c r="CF64"/>
      <c r="CG64"/>
      <c r="CH64"/>
    </row>
    <row r="65" spans="1:91" ht="13.5" customHeight="1" thickBot="1" x14ac:dyDescent="0.25">
      <c r="B65" s="380" t="s">
        <v>236</v>
      </c>
      <c r="C65" s="452"/>
      <c r="D65" s="23" t="str">
        <f>IF(ISERR(LN(2)/(-SLOPE(D39:D59,B39:B59))),"",(LN(2)/(-SLOPE(D39:D59,B39:B59))))</f>
        <v/>
      </c>
      <c r="E65" s="104" t="s">
        <v>146</v>
      </c>
      <c r="H65" s="67"/>
      <c r="I65" s="67"/>
      <c r="W65" s="99"/>
      <c r="X65" s="99"/>
      <c r="Y65" s="99"/>
      <c r="Z65" s="67"/>
      <c r="AA65" s="99"/>
      <c r="AB65" s="99"/>
      <c r="AE65" s="99"/>
      <c r="AF65" s="99"/>
      <c r="AG65" s="99"/>
      <c r="AH65" s="67"/>
      <c r="AI65" s="99"/>
      <c r="AJ65" s="99"/>
      <c r="AM65" s="99"/>
      <c r="AN65" s="99"/>
      <c r="AO65" s="99"/>
      <c r="AP65" s="67"/>
      <c r="AQ65" s="99"/>
      <c r="AR65" s="99"/>
      <c r="AS65" s="99"/>
      <c r="AT65" s="99"/>
      <c r="AU65" s="99"/>
      <c r="AV65" s="99"/>
      <c r="AW65" s="99"/>
      <c r="AX65" s="99"/>
      <c r="BX65" s="80"/>
    </row>
    <row r="66" spans="1:91" ht="13.5" customHeight="1" thickTop="1" thickBot="1" x14ac:dyDescent="0.25">
      <c r="B66" s="91"/>
      <c r="C66" s="173"/>
      <c r="G66" s="507" t="s">
        <v>117</v>
      </c>
      <c r="H66" s="580"/>
      <c r="I66" s="2"/>
      <c r="W66" s="99"/>
      <c r="X66" s="99"/>
      <c r="Y66" s="99"/>
      <c r="Z66" s="67"/>
      <c r="AA66" s="99"/>
      <c r="AB66" s="99"/>
      <c r="AE66" s="99"/>
      <c r="AF66" s="99"/>
      <c r="AG66" s="99"/>
      <c r="AH66" s="67"/>
      <c r="AI66" s="99"/>
      <c r="AJ66" s="99"/>
      <c r="AM66" s="99"/>
      <c r="AN66" s="99"/>
      <c r="AO66" s="99"/>
      <c r="AP66" s="67"/>
      <c r="AQ66" s="99"/>
      <c r="AR66" s="99"/>
      <c r="AS66" s="99"/>
      <c r="AT66" s="99"/>
      <c r="AU66" s="99"/>
      <c r="AV66" s="99"/>
      <c r="AW66" s="99"/>
      <c r="AX66" s="99"/>
      <c r="BX66" s="80"/>
    </row>
    <row r="67" spans="1:91" ht="13.5" customHeight="1" thickTop="1" x14ac:dyDescent="0.2">
      <c r="B67" s="91"/>
      <c r="C67" s="123"/>
      <c r="G67" s="79" t="s">
        <v>120</v>
      </c>
      <c r="H67" s="115"/>
      <c r="I67" s="115"/>
      <c r="Q67" s="99"/>
      <c r="R67" s="99"/>
      <c r="S67" s="99"/>
      <c r="T67" s="99"/>
      <c r="U67" s="67"/>
      <c r="V67" s="67"/>
      <c r="W67" s="99"/>
      <c r="X67" s="99"/>
      <c r="Y67" s="99"/>
      <c r="Z67" s="99"/>
      <c r="AA67" s="99"/>
      <c r="AB67" s="99"/>
      <c r="AC67" s="67"/>
      <c r="AD67" s="67"/>
      <c r="AE67" s="99"/>
      <c r="AF67" s="99"/>
      <c r="AG67" s="99"/>
      <c r="AH67" s="99"/>
      <c r="AI67" s="99"/>
      <c r="AJ67" s="99"/>
      <c r="AK67" s="67"/>
      <c r="AL67" s="67"/>
      <c r="AM67" s="99"/>
      <c r="AN67" s="99"/>
      <c r="AO67" s="99"/>
      <c r="AP67" s="99"/>
      <c r="AQ67" s="99"/>
      <c r="AR67" s="99"/>
      <c r="AS67" s="99"/>
      <c r="AT67" s="99"/>
      <c r="AU67" s="143"/>
      <c r="AV67" s="99"/>
      <c r="AW67" s="143"/>
      <c r="AX67" s="143"/>
      <c r="AY67" s="143"/>
      <c r="AZ67" s="143"/>
      <c r="BA67" s="99"/>
      <c r="BD67" s="99"/>
      <c r="BG67" s="143"/>
      <c r="BH67" s="143"/>
      <c r="BI67" s="99"/>
      <c r="BL67" s="99"/>
      <c r="BO67" s="143"/>
      <c r="BP67" s="143"/>
      <c r="BR67" s="143"/>
      <c r="BT67" s="80"/>
      <c r="BV67" s="80"/>
      <c r="BW67" s="80"/>
      <c r="BX67" s="80"/>
      <c r="CA67" s="99"/>
      <c r="CB67" s="99"/>
      <c r="CC67" s="99"/>
      <c r="CD67" s="99"/>
      <c r="CE67" s="99"/>
      <c r="CF67" s="99"/>
    </row>
    <row r="68" spans="1:91" ht="13.5" customHeight="1" thickBot="1" x14ac:dyDescent="0.25">
      <c r="B68" s="91"/>
      <c r="C68" s="40" t="s">
        <v>237</v>
      </c>
      <c r="Q68" s="99"/>
      <c r="R68" s="99"/>
      <c r="S68" s="99"/>
      <c r="T68" s="99"/>
      <c r="U68" s="67"/>
      <c r="V68" s="67"/>
      <c r="W68" s="99"/>
      <c r="X68" s="99"/>
      <c r="Y68" s="99"/>
      <c r="Z68" s="99"/>
      <c r="AA68" s="99"/>
      <c r="AB68" s="99"/>
      <c r="AC68" s="67"/>
      <c r="AD68" s="67"/>
      <c r="AE68" s="99"/>
      <c r="AF68" s="99"/>
      <c r="AG68" s="99"/>
      <c r="AH68" s="99"/>
      <c r="AI68" s="99"/>
      <c r="AJ68" s="99"/>
      <c r="AK68" s="67"/>
      <c r="AL68" s="67"/>
      <c r="AM68" s="99"/>
      <c r="AN68" s="99"/>
      <c r="AO68" s="99"/>
      <c r="AP68" s="99"/>
      <c r="AQ68" s="99"/>
      <c r="AR68" s="99"/>
      <c r="AS68" s="99"/>
      <c r="AT68" s="99"/>
      <c r="AU68" s="143"/>
      <c r="AV68" s="99"/>
      <c r="AW68" s="143"/>
      <c r="AX68" s="143"/>
      <c r="AY68" s="143"/>
      <c r="AZ68" s="143"/>
      <c r="BA68" s="99"/>
      <c r="BD68" s="99"/>
      <c r="BG68" s="143"/>
      <c r="BH68" s="143"/>
      <c r="BI68" s="99"/>
      <c r="BL68" s="99"/>
      <c r="BO68" s="143"/>
      <c r="BP68" s="143"/>
      <c r="BR68" s="143"/>
      <c r="BT68" s="80"/>
      <c r="BV68" s="80"/>
      <c r="BW68" s="80"/>
      <c r="BX68" s="80"/>
      <c r="CA68" s="99"/>
      <c r="CB68" s="99"/>
      <c r="CC68" s="99"/>
      <c r="CD68" s="99"/>
      <c r="CE68" s="99"/>
      <c r="CF68" s="99"/>
    </row>
    <row r="69" spans="1:91" ht="103.5" customHeight="1" thickTop="1" thickBot="1" x14ac:dyDescent="0.25">
      <c r="B69" s="91"/>
      <c r="C69" s="607" t="s">
        <v>238</v>
      </c>
      <c r="D69" s="608"/>
      <c r="E69" s="609"/>
      <c r="F69" s="174" t="str">
        <f>IF(NOT(ISNUMBER(ffp)),"-",IF(F70=AJ87,AH84,IF(F70=AN87,AL84,IF(F70=AR87,AP84,IF(F70=AV87,AT84,IF(F70=AZ87,AX84,"-"))))))</f>
        <v>-</v>
      </c>
      <c r="Q69" s="99"/>
      <c r="R69" s="99"/>
      <c r="S69" s="99"/>
      <c r="T69" s="99"/>
      <c r="U69" s="67"/>
      <c r="V69" s="67"/>
      <c r="W69" s="99"/>
      <c r="X69" s="99"/>
      <c r="Y69" s="99"/>
      <c r="Z69" s="99"/>
      <c r="AA69" s="99"/>
      <c r="AB69" s="99"/>
      <c r="AC69" s="67"/>
      <c r="AD69" s="67"/>
      <c r="AE69" s="99"/>
      <c r="AF69" s="99"/>
      <c r="AG69" s="99"/>
      <c r="AH69" s="99"/>
      <c r="AI69" s="99"/>
      <c r="AJ69" s="99"/>
      <c r="AK69" s="67"/>
      <c r="AL69" s="67"/>
      <c r="AM69" s="99"/>
      <c r="AN69" s="99"/>
      <c r="AO69" s="99"/>
      <c r="AP69" s="99"/>
      <c r="AQ69" s="99"/>
      <c r="AR69" s="99"/>
      <c r="AS69" s="80"/>
      <c r="AT69" s="80"/>
      <c r="AU69" s="144"/>
      <c r="AV69" s="80"/>
      <c r="AW69" s="144"/>
      <c r="AX69" s="144"/>
      <c r="AY69" s="144"/>
      <c r="AZ69" s="144"/>
      <c r="BA69" s="80"/>
      <c r="BB69" s="80"/>
      <c r="BC69" s="144"/>
      <c r="BD69" s="80"/>
      <c r="BE69" s="144"/>
      <c r="BF69" s="144"/>
      <c r="BG69" s="144"/>
      <c r="BH69" s="144"/>
      <c r="BI69" s="80"/>
      <c r="BJ69" s="80"/>
      <c r="BK69" s="144"/>
      <c r="BL69" s="80"/>
      <c r="BM69" s="144"/>
      <c r="BN69" s="144"/>
      <c r="BO69" s="144"/>
      <c r="BP69" s="144"/>
      <c r="BQ69" s="144"/>
      <c r="BR69" s="144"/>
      <c r="BS69" s="144"/>
      <c r="BT69" s="80"/>
      <c r="BV69" s="80"/>
      <c r="BW69" s="80"/>
      <c r="BX69" s="80"/>
      <c r="CA69" s="99"/>
      <c r="CB69" s="99"/>
      <c r="CC69" s="99"/>
      <c r="CD69" s="99"/>
      <c r="CE69" s="99"/>
      <c r="CF69"/>
      <c r="CG69"/>
      <c r="CH69"/>
    </row>
    <row r="70" spans="1:91" ht="13.5" customHeight="1" thickTop="1" x14ac:dyDescent="0.2">
      <c r="C70" s="610" t="s">
        <v>152</v>
      </c>
      <c r="D70" s="611"/>
      <c r="E70" s="612"/>
      <c r="F70" s="175" t="str">
        <f>IF(NOT(AND(ISNUMBER(ffp),ISNUMBER(F14),ISNUMBER(F13))),"-",IF(MAX(AX87,BB87,BF87,BJ87,BN87,BR87)&gt;0,MAX(AX87,BB87,BF87,BJ87,BN87,BR87),"-"))</f>
        <v>-</v>
      </c>
      <c r="Q70" s="99"/>
      <c r="R70" s="99"/>
      <c r="S70" s="99"/>
      <c r="T70" s="99"/>
      <c r="U70" s="67"/>
      <c r="V70" s="67"/>
      <c r="W70" s="99"/>
      <c r="X70" s="99"/>
      <c r="Y70" s="99"/>
      <c r="Z70" s="99"/>
      <c r="AA70" s="99"/>
      <c r="AB70" s="99"/>
      <c r="AC70" s="67"/>
      <c r="AD70" s="67"/>
      <c r="AE70" s="99"/>
      <c r="AF70" s="99"/>
      <c r="AG70" s="99"/>
      <c r="AH70" s="99"/>
      <c r="AI70" s="99"/>
      <c r="AJ70" s="99"/>
      <c r="AK70" s="67"/>
      <c r="AL70" s="67"/>
      <c r="AM70" s="99"/>
      <c r="AN70" s="99"/>
      <c r="AO70" s="99"/>
      <c r="AP70" s="99"/>
      <c r="AQ70" s="99"/>
      <c r="AR70" s="99"/>
      <c r="AS70" s="80"/>
      <c r="AT70" s="80"/>
      <c r="AU70" s="144"/>
      <c r="AV70" s="80"/>
      <c r="AW70" s="144"/>
      <c r="AX70" s="144"/>
      <c r="AY70" s="144"/>
      <c r="AZ70" s="144"/>
      <c r="BA70" s="80"/>
      <c r="BB70" s="80"/>
      <c r="BC70" s="144"/>
      <c r="BD70" s="80"/>
      <c r="BE70" s="144"/>
      <c r="BF70" s="144"/>
      <c r="BG70" s="144"/>
      <c r="BH70" s="144"/>
      <c r="BI70" s="80"/>
      <c r="BJ70" s="80"/>
      <c r="BK70" s="144"/>
      <c r="BL70" s="80"/>
      <c r="BM70" s="144"/>
      <c r="BN70" s="144"/>
      <c r="BO70" s="144"/>
      <c r="BP70" s="144"/>
      <c r="BQ70" s="144"/>
      <c r="BR70" s="144"/>
      <c r="BS70" s="144"/>
      <c r="BT70" s="80"/>
      <c r="BV70" s="80"/>
      <c r="BW70" s="80"/>
      <c r="BX70" s="80"/>
      <c r="CA70" s="99"/>
      <c r="CB70" s="99"/>
      <c r="CC70" s="99"/>
      <c r="CD70" s="99"/>
      <c r="CE70" s="99"/>
      <c r="CF70"/>
      <c r="CG70"/>
      <c r="CH70"/>
    </row>
    <row r="71" spans="1:91" ht="13.5" customHeight="1" thickBot="1" x14ac:dyDescent="0.25">
      <c r="C71" s="573" t="s">
        <v>239</v>
      </c>
      <c r="D71" s="574"/>
      <c r="E71" s="575"/>
      <c r="F71" s="176" t="str">
        <f>IF(NOT(ISNUMBER(ffp)),"-",IF(F70=AX87,AX88,IF(F70=BB87,BB88,IF(F70=BF87,BF88,IF(F70=BJ87,BJ88,IF(F70=BN87,BN88,BR88))))))</f>
        <v>-</v>
      </c>
      <c r="O71" s="99"/>
      <c r="P71" s="99"/>
      <c r="Q71" s="99"/>
      <c r="R71" s="99"/>
      <c r="S71" s="67"/>
      <c r="T71" s="67"/>
      <c r="U71" s="67"/>
      <c r="V71" s="67"/>
      <c r="W71" s="99"/>
      <c r="X71" s="99"/>
      <c r="Y71" s="99"/>
      <c r="Z71" s="99"/>
      <c r="AA71" s="99"/>
      <c r="AB71" s="99"/>
      <c r="AC71" s="67"/>
      <c r="AD71" s="67"/>
      <c r="AE71" s="99"/>
      <c r="AF71" s="99"/>
      <c r="AG71" s="99"/>
      <c r="AH71" s="99"/>
      <c r="AI71" s="99"/>
      <c r="AJ71" s="99"/>
      <c r="AK71" s="67"/>
      <c r="AL71" s="67"/>
      <c r="AM71" s="99"/>
      <c r="AN71" s="99"/>
      <c r="AO71" s="99"/>
      <c r="AP71" s="99"/>
      <c r="AQ71" s="99"/>
      <c r="AR71" s="99"/>
      <c r="AS71" s="80"/>
      <c r="AT71" s="80"/>
      <c r="AU71" s="144"/>
      <c r="AV71" s="80"/>
      <c r="AW71" s="144"/>
      <c r="AX71" s="144"/>
      <c r="AY71" s="144"/>
      <c r="AZ71" s="144"/>
      <c r="BA71" s="80"/>
      <c r="BB71" s="80"/>
      <c r="BC71" s="144"/>
      <c r="BD71" s="80"/>
      <c r="BE71" s="144"/>
      <c r="BF71" s="144"/>
      <c r="BG71" s="144"/>
      <c r="BH71" s="144"/>
      <c r="BI71" s="80"/>
      <c r="BJ71" s="80"/>
      <c r="BK71" s="144"/>
      <c r="BL71" s="80"/>
      <c r="BM71" s="144"/>
      <c r="BN71" s="144"/>
      <c r="BO71" s="144"/>
      <c r="BP71" s="144"/>
      <c r="BQ71" s="144"/>
      <c r="BR71" s="144"/>
      <c r="BS71" s="144"/>
      <c r="BT71" s="80"/>
      <c r="BV71" s="80"/>
      <c r="BW71" s="80"/>
      <c r="BX71" s="80"/>
      <c r="CA71" s="99"/>
      <c r="CB71" s="99"/>
      <c r="CC71" s="99"/>
      <c r="CD71" s="99"/>
      <c r="CE71" s="99"/>
      <c r="CF71"/>
      <c r="CG71"/>
      <c r="CH71"/>
    </row>
    <row r="72" spans="1:91" ht="13.5" customHeight="1" thickTop="1" x14ac:dyDescent="0.2">
      <c r="C72" s="10" t="s">
        <v>129</v>
      </c>
      <c r="D72" s="177"/>
      <c r="E72" s="177"/>
      <c r="F72" s="177"/>
      <c r="G72" s="177"/>
      <c r="H72" s="178"/>
      <c r="I72" s="179"/>
      <c r="Q72" s="99"/>
      <c r="R72" s="99"/>
      <c r="S72" s="99"/>
      <c r="T72" s="99"/>
      <c r="U72" s="67"/>
      <c r="V72" s="67"/>
      <c r="W72" s="99"/>
      <c r="X72" s="99"/>
      <c r="Y72" s="99"/>
      <c r="Z72" s="99"/>
      <c r="AA72" s="99"/>
      <c r="AB72" s="99"/>
      <c r="AC72" s="67"/>
      <c r="AD72" s="67"/>
      <c r="AE72" s="99"/>
      <c r="AF72" s="99"/>
      <c r="AG72" s="99"/>
      <c r="AH72" s="99"/>
      <c r="AI72" s="99"/>
      <c r="AJ72" s="99"/>
      <c r="AK72" s="67"/>
      <c r="AL72" s="67"/>
      <c r="AM72" s="99"/>
      <c r="AN72" s="99"/>
      <c r="AO72" s="99"/>
      <c r="AP72" s="99"/>
      <c r="AQ72" s="99"/>
      <c r="AR72" s="99"/>
      <c r="AS72" s="99"/>
      <c r="AT72" s="99"/>
      <c r="AU72" s="143"/>
      <c r="AV72" s="99"/>
      <c r="AW72" s="143"/>
      <c r="AX72" s="143"/>
      <c r="AY72" s="143"/>
      <c r="AZ72" s="143"/>
      <c r="BA72" s="99"/>
      <c r="BD72" s="99"/>
      <c r="BG72" s="143"/>
      <c r="BH72" s="143"/>
      <c r="BI72" s="99"/>
      <c r="BL72" s="99"/>
      <c r="BO72" s="143"/>
      <c r="BP72" s="143"/>
      <c r="BR72" s="143"/>
      <c r="BT72" s="80"/>
      <c r="BV72" s="80"/>
      <c r="BW72" s="80"/>
      <c r="BX72" s="80"/>
      <c r="CA72" s="99"/>
      <c r="CB72" s="99"/>
      <c r="CC72" s="99"/>
      <c r="CD72" s="99"/>
      <c r="CE72" s="99"/>
      <c r="CF72" s="99"/>
    </row>
    <row r="73" spans="1:91" ht="13.5" customHeight="1" x14ac:dyDescent="0.2">
      <c r="H73" s="67"/>
      <c r="I73" s="67"/>
      <c r="W73" s="99"/>
      <c r="X73" s="99"/>
      <c r="Y73" s="99"/>
      <c r="Z73" s="67"/>
      <c r="AA73" s="99"/>
      <c r="AB73" s="99"/>
      <c r="AE73" s="99"/>
      <c r="AF73" s="99"/>
      <c r="AG73" s="99"/>
      <c r="AH73" s="67"/>
      <c r="AI73" s="99"/>
      <c r="AJ73" s="99"/>
      <c r="AM73" s="99"/>
      <c r="AN73" s="99"/>
      <c r="AO73" s="99"/>
      <c r="AP73" s="67"/>
      <c r="AQ73" s="99"/>
      <c r="AR73" s="99"/>
      <c r="AS73" s="99"/>
      <c r="AT73" s="99"/>
      <c r="AU73" s="99"/>
      <c r="AV73" s="99"/>
      <c r="AW73" s="99"/>
      <c r="AX73" s="99"/>
      <c r="BX73" s="80"/>
    </row>
    <row r="74" spans="1:91" s="67" customFormat="1" ht="27" customHeight="1" x14ac:dyDescent="0.2">
      <c r="A74" s="180"/>
      <c r="B74" s="181" t="s">
        <v>240</v>
      </c>
      <c r="C74" s="182"/>
      <c r="D74" s="182"/>
      <c r="E74" s="182"/>
      <c r="F74" s="182"/>
      <c r="G74" s="182"/>
      <c r="H74" s="182"/>
      <c r="I74" s="182"/>
      <c r="J74" s="182"/>
      <c r="K74" s="182"/>
      <c r="T74" s="183"/>
      <c r="U74" s="183"/>
      <c r="V74" s="99"/>
      <c r="W74"/>
      <c r="X74"/>
      <c r="Y74"/>
      <c r="AA74"/>
      <c r="AB74"/>
      <c r="AC74" s="183"/>
      <c r="AD74" s="99"/>
      <c r="AE74"/>
      <c r="AF74"/>
      <c r="AG74"/>
      <c r="AI74"/>
      <c r="AJ74"/>
      <c r="AK74" s="183"/>
      <c r="AL74" s="99"/>
      <c r="AM74"/>
      <c r="AN74"/>
      <c r="AO74"/>
      <c r="AQ74"/>
      <c r="AR74"/>
      <c r="AS74"/>
      <c r="AT74"/>
      <c r="AU74"/>
      <c r="AV74"/>
      <c r="AW74"/>
      <c r="AX74"/>
      <c r="AY74" s="99"/>
      <c r="AZ74" s="99"/>
      <c r="BA74" s="143"/>
      <c r="BB74" s="99"/>
      <c r="BC74" s="143"/>
      <c r="BD74" s="143"/>
      <c r="BE74" s="143"/>
      <c r="BF74" s="143"/>
      <c r="BG74" s="99"/>
      <c r="BH74" s="99"/>
      <c r="BI74" s="143"/>
      <c r="BJ74" s="99"/>
      <c r="BK74" s="143"/>
      <c r="BL74" s="143"/>
      <c r="BM74" s="143"/>
      <c r="BN74" s="143"/>
      <c r="BO74" s="99"/>
      <c r="BP74" s="99"/>
      <c r="BQ74" s="143"/>
      <c r="BR74" s="99"/>
      <c r="BS74" s="143"/>
      <c r="BT74" s="143"/>
      <c r="BU74" s="80"/>
      <c r="BV74" s="143"/>
      <c r="BW74" s="99"/>
      <c r="BX74" s="99"/>
      <c r="BY74" s="80"/>
      <c r="BZ74" s="80"/>
      <c r="CA74" s="80"/>
      <c r="CB74" s="80"/>
      <c r="CC74" s="80"/>
      <c r="CD74" s="80"/>
      <c r="CE74" s="80"/>
      <c r="CF74" s="80"/>
      <c r="CI74" s="99"/>
      <c r="CJ74" s="99"/>
      <c r="CK74" s="99"/>
      <c r="CL74" s="99"/>
      <c r="CM74" s="99"/>
    </row>
    <row r="75" spans="1:91" x14ac:dyDescent="0.2">
      <c r="B75" s="100"/>
      <c r="C75" s="100"/>
      <c r="T75" s="184"/>
      <c r="U75" s="184"/>
      <c r="V75" s="99"/>
      <c r="Z75" s="67"/>
      <c r="AC75" s="184"/>
      <c r="AD75" s="99"/>
      <c r="AH75" s="67"/>
      <c r="AK75" s="184"/>
      <c r="AL75" s="99"/>
      <c r="AP75" s="67"/>
      <c r="CG75"/>
      <c r="CH75"/>
      <c r="CI75" s="99"/>
      <c r="CJ75" s="99"/>
      <c r="CK75" s="99"/>
      <c r="CL75" s="99"/>
      <c r="CM75" s="99"/>
    </row>
    <row r="76" spans="1:91" x14ac:dyDescent="0.2">
      <c r="B76" s="92"/>
      <c r="C76" s="92"/>
      <c r="T76" s="177"/>
      <c r="U76" s="177"/>
      <c r="V76" s="99"/>
      <c r="Z76" s="67"/>
      <c r="AC76" s="177"/>
      <c r="AD76" s="99"/>
      <c r="AH76" s="67"/>
      <c r="AK76" s="177"/>
      <c r="AL76" s="99"/>
      <c r="AP76" s="67"/>
      <c r="CG76"/>
      <c r="CH76"/>
      <c r="CI76" s="99"/>
      <c r="CJ76" s="99"/>
      <c r="CK76" s="99"/>
      <c r="CL76" s="99"/>
      <c r="CM76" s="99"/>
    </row>
    <row r="77" spans="1:91" x14ac:dyDescent="0.2">
      <c r="B77" s="92"/>
      <c r="C77" s="92"/>
      <c r="D77" s="92"/>
      <c r="E77" s="92"/>
      <c r="F77" s="92"/>
      <c r="V77" s="99"/>
      <c r="Z77" s="67"/>
      <c r="AD77" s="99"/>
      <c r="AH77" s="67"/>
      <c r="AL77" s="99"/>
      <c r="AP77" s="67"/>
      <c r="CG77"/>
      <c r="CH77"/>
      <c r="CI77" s="99"/>
      <c r="CJ77" s="99"/>
      <c r="CK77" s="99"/>
      <c r="CL77" s="99"/>
      <c r="CM77" s="99"/>
    </row>
    <row r="78" spans="1:91" x14ac:dyDescent="0.2">
      <c r="D78" s="92"/>
      <c r="E78" s="92"/>
      <c r="F78" s="92"/>
      <c r="V78" s="99"/>
      <c r="AD78" s="99"/>
      <c r="AL78" s="99"/>
      <c r="CG78"/>
      <c r="CH78"/>
      <c r="CI78" s="99"/>
      <c r="CJ78" s="99"/>
      <c r="CK78" s="99"/>
      <c r="CL78" s="99"/>
      <c r="CM78" s="99"/>
    </row>
    <row r="79" spans="1:91" x14ac:dyDescent="0.2">
      <c r="V79" s="99"/>
      <c r="AD79" s="99"/>
      <c r="AL79" s="99"/>
      <c r="CG79"/>
      <c r="CH79"/>
      <c r="CI79" s="99"/>
      <c r="CJ79" s="99"/>
      <c r="CK79" s="99"/>
      <c r="CL79" s="99"/>
      <c r="CM79" s="99"/>
    </row>
    <row r="80" spans="1:91" x14ac:dyDescent="0.2">
      <c r="V80" s="99"/>
      <c r="AD80" s="99"/>
      <c r="AL80" s="99"/>
      <c r="CG80"/>
      <c r="CH80"/>
      <c r="CI80" s="99"/>
      <c r="CJ80" s="99"/>
      <c r="CK80" s="99"/>
      <c r="CL80" s="99"/>
      <c r="CM80" s="99"/>
    </row>
    <row r="81" spans="2:93" x14ac:dyDescent="0.2">
      <c r="V81" s="99"/>
      <c r="AD81" s="99"/>
      <c r="AL81" s="99"/>
      <c r="CH81"/>
      <c r="CI81" s="99"/>
      <c r="CJ81" s="99"/>
      <c r="CK81" s="99"/>
      <c r="CL81" s="99"/>
      <c r="CM81" s="99"/>
    </row>
    <row r="82" spans="2:93" x14ac:dyDescent="0.2">
      <c r="V82" s="185"/>
      <c r="AD82" s="185"/>
      <c r="AL82" s="185"/>
      <c r="CI82" s="99"/>
      <c r="CJ82" s="99"/>
      <c r="CK82" s="99"/>
      <c r="CL82" s="99"/>
      <c r="CM82" s="99"/>
    </row>
    <row r="83" spans="2:93" x14ac:dyDescent="0.2">
      <c r="CI83" s="99"/>
      <c r="CJ83" s="99"/>
      <c r="CK83" s="99"/>
      <c r="CL83" s="99"/>
      <c r="CM83" s="99"/>
    </row>
    <row r="84" spans="2:93" x14ac:dyDescent="0.2">
      <c r="AV84" s="79" t="str">
        <f>_xlfn.CONCAT("1回目散布から",F22,"日")</f>
        <v>1回目散布から日</v>
      </c>
      <c r="AZ84" s="79" t="str">
        <f>_xlfn.CONCAT("1回目散布の止水期間終了から",F22,"日")</f>
        <v>1回目散布の止水期間終了から日</v>
      </c>
      <c r="BD84" s="79" t="str">
        <f>_xlfn.CONCAT("2回目散布から",F22,"日")</f>
        <v>2回目散布から日</v>
      </c>
      <c r="BH84" s="79" t="str">
        <f>_xlfn.CONCAT("2回目散布の止水期間終了から",F22,"日")</f>
        <v>2回目散布の止水期間終了から日</v>
      </c>
      <c r="BL84" s="79" t="str">
        <f>_xlfn.CONCAT("3回目散布から",F22,"日")</f>
        <v>3回目散布から日</v>
      </c>
      <c r="BP84" s="79" t="str">
        <f>_xlfn.CONCAT("3回目散布の止水期間終了から",F22,"日")</f>
        <v>3回目散布の止水期間終了から日</v>
      </c>
      <c r="CI84" s="99"/>
      <c r="CJ84" s="99"/>
      <c r="CK84" s="99"/>
      <c r="CL84" s="99"/>
      <c r="CM84" s="99"/>
    </row>
    <row r="85" spans="2:93" x14ac:dyDescent="0.2">
      <c r="AT85" s="186"/>
      <c r="AV85" s="44" t="s">
        <v>241</v>
      </c>
      <c r="AW85" s="87" t="s">
        <v>242</v>
      </c>
      <c r="AX85" s="187" t="str">
        <f>IF(ISNUMBER($F$22),VLOOKUP($F$22-1,$U$100:$AX$250,28),"-")</f>
        <v>-</v>
      </c>
      <c r="AZ85" s="44" t="s">
        <v>241</v>
      </c>
      <c r="BA85" s="87" t="s">
        <v>242</v>
      </c>
      <c r="BB85" s="187" t="str">
        <f>IFERROR(VLOOKUP($F$22+$F$21-1,$U$100:$BB$250,32),"-")</f>
        <v>-</v>
      </c>
      <c r="BD85" s="44" t="s">
        <v>241</v>
      </c>
      <c r="BE85" s="87" t="s">
        <v>242</v>
      </c>
      <c r="BF85" s="187" t="str">
        <f>IF(ISNUMBER($F$22),VLOOKUP($F$22-1+$F$16,$U$100:$BF$250,36),"-")</f>
        <v>-</v>
      </c>
      <c r="BH85" s="44" t="s">
        <v>241</v>
      </c>
      <c r="BI85" s="87" t="s">
        <v>242</v>
      </c>
      <c r="BJ85" s="187" t="str">
        <f>IFERROR(VLOOKUP($F$22+$F$21-1+$F$16,$U$100:$BJ$250,40),"-")</f>
        <v>-</v>
      </c>
      <c r="BL85" s="44" t="s">
        <v>241</v>
      </c>
      <c r="BM85" s="87" t="s">
        <v>242</v>
      </c>
      <c r="BN85" s="187" t="str">
        <f>IF(ISNUMBER($F$22),VLOOKUP($F$22-1+$F$17,$U$100:$BN$250,44),"-")</f>
        <v>-</v>
      </c>
      <c r="BP85" s="44" t="s">
        <v>241</v>
      </c>
      <c r="BQ85" s="87" t="s">
        <v>242</v>
      </c>
      <c r="BR85" s="187" t="str">
        <f>IFERROR(VLOOKUP($F$22+$F$21-1+$F$17,$U$100:$BR$250,48),"-")</f>
        <v>-</v>
      </c>
      <c r="CI85" s="99"/>
      <c r="CJ85" s="99"/>
      <c r="CK85" s="99"/>
      <c r="CL85" s="99"/>
      <c r="CM85" s="99"/>
    </row>
    <row r="86" spans="2:93" x14ac:dyDescent="0.2">
      <c r="AV86" s="44" t="s">
        <v>243</v>
      </c>
      <c r="AW86" s="188" t="s">
        <v>244</v>
      </c>
      <c r="AX86" s="187" t="str">
        <f xml:space="preserve"> IF(ISNUMBER($F$22),VLOOKUP($F$22-1,$U$100:$AX$250,29),"-")</f>
        <v>-</v>
      </c>
      <c r="AZ86" s="44" t="s">
        <v>243</v>
      </c>
      <c r="BA86" s="188" t="s">
        <v>244</v>
      </c>
      <c r="BB86" s="187" t="str">
        <f>IFERROR(VLOOKUP($F$22+$F$21-1,$U$100:$BB$250,33),"-")</f>
        <v>-</v>
      </c>
      <c r="BD86" s="44" t="s">
        <v>243</v>
      </c>
      <c r="BE86" s="188" t="s">
        <v>244</v>
      </c>
      <c r="BF86" s="187" t="str">
        <f>IF(ISNUMBER($F$22),VLOOKUP($F$22-1+$F$16,$U$100:$BF$250,37),"-")</f>
        <v>-</v>
      </c>
      <c r="BH86" s="44" t="s">
        <v>243</v>
      </c>
      <c r="BI86" s="188" t="s">
        <v>244</v>
      </c>
      <c r="BJ86" s="187" t="str">
        <f>IFERROR(VLOOKUP($F$22+$F$21-1+$F$16,$U$100:$BJ$250,41),"-")</f>
        <v>-</v>
      </c>
      <c r="BL86" s="44" t="s">
        <v>243</v>
      </c>
      <c r="BM86" s="188" t="s">
        <v>244</v>
      </c>
      <c r="BN86" s="187" t="str">
        <f>IF(ISNUMBER($F$22),VLOOKUP($F$22-1+$F$17,$U$100:$BN$250,45),"-")</f>
        <v>-</v>
      </c>
      <c r="BP86" s="44" t="s">
        <v>243</v>
      </c>
      <c r="BQ86" s="188" t="s">
        <v>244</v>
      </c>
      <c r="BR86" s="187" t="str">
        <f>IFERROR(VLOOKUP($F$22+$F$21-1+$F$17,$U$100:$BR$250,49),"-")</f>
        <v>-</v>
      </c>
      <c r="CI86" s="99"/>
      <c r="CJ86" s="99"/>
      <c r="CK86" s="99"/>
      <c r="CL86" s="99"/>
      <c r="CM86" s="99"/>
    </row>
    <row r="87" spans="2:93" x14ac:dyDescent="0.2">
      <c r="AV87" s="27" t="s">
        <v>152</v>
      </c>
      <c r="AW87" s="27"/>
      <c r="AX87" s="189" t="str">
        <f>IF(ISNUMBER($F$22),VLOOKUP($F$22-1,$U$100:$AX$250,30),"-")</f>
        <v>-</v>
      </c>
      <c r="AZ87" s="27" t="s">
        <v>152</v>
      </c>
      <c r="BA87" s="27"/>
      <c r="BB87" s="189" t="str">
        <f>IFERROR(VLOOKUP($F$22+$F$21-1,$U$100:$BB$250,34),"-")</f>
        <v>-</v>
      </c>
      <c r="BD87" s="27" t="s">
        <v>152</v>
      </c>
      <c r="BE87" s="27"/>
      <c r="BF87" s="189" t="str">
        <f>IF(ISNUMBER($F$22),VLOOKUP($F$22-1+$F$16,$U$100:$BF$250,38),"-")</f>
        <v>-</v>
      </c>
      <c r="BH87" s="27" t="s">
        <v>152</v>
      </c>
      <c r="BI87" s="27"/>
      <c r="BJ87" s="189" t="str">
        <f>IFERROR(VLOOKUP($F$22+$F$21-1+$F$16,$U$100:$BJ$250,42),"-")</f>
        <v>-</v>
      </c>
      <c r="BL87" s="27" t="s">
        <v>152</v>
      </c>
      <c r="BM87" s="27"/>
      <c r="BN87" s="189" t="str">
        <f>IF(ISNUMBER($F$22),VLOOKUP($F$22-1+$F$17,$U$100:$BN$250,46),"-")</f>
        <v>-</v>
      </c>
      <c r="BP87" s="27" t="s">
        <v>152</v>
      </c>
      <c r="BQ87" s="27"/>
      <c r="BR87" s="189" t="str">
        <f>IFERROR(VLOOKUP($F$22+$F$21-1+$F$17,$U$100:$BR$250,50),"-")</f>
        <v>-</v>
      </c>
      <c r="CI87" s="99"/>
      <c r="CJ87" s="99"/>
      <c r="CK87" s="99"/>
      <c r="CL87" s="99"/>
      <c r="CM87" s="99"/>
    </row>
    <row r="88" spans="2:93" x14ac:dyDescent="0.2">
      <c r="AV88" s="27" t="s">
        <v>245</v>
      </c>
      <c r="AW88" s="27"/>
      <c r="AX88" s="23" t="str">
        <f>IF(ISNUMBER(AX87),IF(ISBLANK(ffp),"-",IF(k=0,"分解を考慮せず",AX87*EXP(-0.17*k))),"-")</f>
        <v>-</v>
      </c>
      <c r="AZ88" s="27" t="s">
        <v>245</v>
      </c>
      <c r="BA88" s="27"/>
      <c r="BB88" s="23" t="str">
        <f>IFERROR(IF(ISBLANK(ffp),"-",IF(k=0,"分解を考慮せず",BB87*EXP(-0.17*k))),"-")</f>
        <v>分解を考慮せず</v>
      </c>
      <c r="BD88" s="27" t="s">
        <v>245</v>
      </c>
      <c r="BE88" s="27"/>
      <c r="BF88" s="23" t="str">
        <f>IF(ISNUMBER(BF87),IF(ISBLANK(ffp),"-",IF(k=0,"分解を考慮せず",BF87*EXP(-0.17*k))),"-")</f>
        <v>-</v>
      </c>
      <c r="BH88" s="27" t="s">
        <v>245</v>
      </c>
      <c r="BI88" s="27"/>
      <c r="BJ88" s="23" t="str">
        <f>IF(ISNUMBER(BJ87),IF(ISBLANK(ffp),"-",IF(k=0,"分解を考慮せず",BJ87*EXP(-0.17*k))),"-")</f>
        <v>-</v>
      </c>
      <c r="BL88" s="27" t="s">
        <v>245</v>
      </c>
      <c r="BM88" s="27"/>
      <c r="BN88" s="23" t="str">
        <f>IF(ISNUMBER(BN87),IF(ISBLANK(ffp),"-",IF(k=0,"分解を考慮せず",BN87*EXP(-0.17*k))),"-")</f>
        <v>-</v>
      </c>
      <c r="BP88" s="27" t="s">
        <v>245</v>
      </c>
      <c r="BQ88" s="27"/>
      <c r="BR88" s="23" t="str">
        <f>IF(ISNUMBER(BR87),IF(ISBLANK(ffp),"-",IF(k=0,"分解を考慮せず",BR87*EXP(-0.17*k))),"-")</f>
        <v>-</v>
      </c>
      <c r="CI88" s="99"/>
      <c r="CJ88" s="99"/>
      <c r="CK88" s="99"/>
      <c r="CL88" s="99"/>
      <c r="CM88" s="99"/>
    </row>
    <row r="89" spans="2:93" x14ac:dyDescent="0.2">
      <c r="AV89" s="79"/>
      <c r="AW89" s="99"/>
      <c r="AX89" s="143"/>
      <c r="AZ89" s="79"/>
      <c r="BB89" s="143"/>
      <c r="BD89" s="79"/>
      <c r="BE89" s="99"/>
      <c r="BH89" s="79"/>
      <c r="BJ89" s="143"/>
      <c r="BL89" s="79"/>
      <c r="BM89" s="99"/>
      <c r="BP89" s="79"/>
      <c r="BR89" s="143"/>
      <c r="BT89" s="99"/>
      <c r="BU89" s="99"/>
      <c r="BV89" s="80"/>
      <c r="BW89" s="80"/>
      <c r="BX89" s="80"/>
      <c r="CD89" s="99"/>
      <c r="CE89" s="99"/>
      <c r="CF89" s="99"/>
      <c r="CI89" s="99"/>
      <c r="CJ89" s="99"/>
    </row>
    <row r="90" spans="2:93" x14ac:dyDescent="0.2">
      <c r="AV90" s="99"/>
      <c r="AW90" s="99"/>
      <c r="AX90" s="143"/>
      <c r="BB90" s="143"/>
      <c r="BD90" s="99"/>
      <c r="BE90" s="99"/>
      <c r="BJ90" s="143"/>
      <c r="BL90" s="99"/>
      <c r="BM90" s="99"/>
      <c r="BR90" s="143"/>
      <c r="BT90" s="99"/>
      <c r="BU90" s="99"/>
      <c r="BV90" s="80"/>
      <c r="BW90" s="80"/>
      <c r="BX90" s="80"/>
      <c r="CD90" s="99"/>
      <c r="CE90" s="99"/>
      <c r="CF90" s="99"/>
      <c r="CI90" s="99"/>
      <c r="CJ90" s="99"/>
    </row>
    <row r="91" spans="2:93" x14ac:dyDescent="0.2">
      <c r="AV91" s="21"/>
      <c r="AX91" s="190"/>
      <c r="AY91"/>
      <c r="AZ91" s="21"/>
      <c r="BB91" s="190"/>
      <c r="BD91" s="21"/>
      <c r="BF91" s="190"/>
      <c r="BG91"/>
      <c r="BH91" s="21"/>
      <c r="BJ91" s="190"/>
      <c r="BL91" s="21"/>
      <c r="BN91" s="190"/>
      <c r="BO91"/>
      <c r="BP91" s="21"/>
      <c r="BR91" s="190"/>
      <c r="BT91" s="99"/>
      <c r="BU91" s="99"/>
      <c r="BV91" s="80"/>
      <c r="BW91" s="80"/>
      <c r="BX91" s="80"/>
      <c r="CD91" s="99"/>
      <c r="CE91" s="99"/>
      <c r="CF91" s="99"/>
      <c r="CI91" s="99"/>
      <c r="CJ91" s="99"/>
    </row>
    <row r="92" spans="2:93" x14ac:dyDescent="0.2">
      <c r="AV92" s="21"/>
      <c r="AX92" s="191"/>
      <c r="AY92"/>
      <c r="AZ92" s="21"/>
      <c r="BB92" s="191"/>
      <c r="BD92" s="21"/>
      <c r="BF92" s="191"/>
      <c r="BG92"/>
      <c r="BH92" s="21"/>
      <c r="BJ92" s="191"/>
      <c r="BL92" s="21"/>
      <c r="BN92" s="191"/>
      <c r="BO92"/>
      <c r="BP92" s="21"/>
      <c r="BR92" s="191"/>
      <c r="BT92" s="99"/>
      <c r="BU92" s="99"/>
      <c r="BV92" s="80"/>
      <c r="BW92" s="80"/>
      <c r="BX92" s="80"/>
      <c r="CD92" s="99"/>
      <c r="CE92" s="99"/>
      <c r="CF92" s="99"/>
      <c r="CI92" s="99"/>
      <c r="CJ92" s="99"/>
    </row>
    <row r="93" spans="2:93" ht="13.5" thickBot="1" x14ac:dyDescent="0.25">
      <c r="B93" s="605"/>
      <c r="C93" s="605"/>
      <c r="D93" s="192"/>
      <c r="E93" s="99"/>
      <c r="F93" s="99"/>
      <c r="G93" s="99"/>
      <c r="H93" s="99"/>
      <c r="I93" s="99"/>
      <c r="J93" s="99"/>
      <c r="K93" s="99"/>
      <c r="L93" s="99"/>
      <c r="M93" s="99"/>
      <c r="N93" s="99"/>
      <c r="O93" s="99"/>
      <c r="P93" s="99"/>
      <c r="Q93" s="99"/>
      <c r="R93" s="99"/>
      <c r="S93" s="99"/>
      <c r="T93" s="99"/>
      <c r="AV93" s="21"/>
      <c r="AX93" s="190"/>
      <c r="AY93"/>
      <c r="AZ93" s="193"/>
      <c r="BB93" s="190"/>
      <c r="BC93" s="190"/>
      <c r="BD93" s="21"/>
      <c r="BF93" s="190"/>
      <c r="BG93"/>
      <c r="BH93" s="193"/>
      <c r="BJ93" s="190"/>
      <c r="BK93" s="190"/>
      <c r="BL93" s="21"/>
      <c r="BN93" s="190"/>
      <c r="BO93"/>
      <c r="BP93" s="193"/>
      <c r="BR93" s="190"/>
      <c r="BS93" s="190"/>
      <c r="BT93"/>
      <c r="BU93"/>
      <c r="BV93" s="80"/>
      <c r="BW93" s="80" t="s">
        <v>246</v>
      </c>
      <c r="BX93" s="80"/>
      <c r="CD93" s="99"/>
      <c r="CE93" s="99"/>
      <c r="CF93" s="99"/>
      <c r="CI93" s="99"/>
      <c r="CJ93" s="99"/>
    </row>
    <row r="94" spans="2:93" ht="27" customHeight="1" thickTop="1" x14ac:dyDescent="0.2">
      <c r="B94" s="599"/>
      <c r="C94" s="600"/>
      <c r="D94" s="601"/>
      <c r="E94" s="599" t="s">
        <v>247</v>
      </c>
      <c r="F94" s="600"/>
      <c r="G94" s="600"/>
      <c r="H94" s="599" t="s">
        <v>248</v>
      </c>
      <c r="I94" s="600"/>
      <c r="J94" s="600"/>
      <c r="K94" s="599" t="s">
        <v>249</v>
      </c>
      <c r="L94" s="600"/>
      <c r="M94" s="600"/>
      <c r="N94" s="599" t="s">
        <v>250</v>
      </c>
      <c r="O94" s="600"/>
      <c r="P94" s="600"/>
      <c r="Q94" s="599" t="s">
        <v>251</v>
      </c>
      <c r="R94" s="600"/>
      <c r="S94" s="600"/>
      <c r="T94" s="602" t="s">
        <v>252</v>
      </c>
      <c r="U94" s="194"/>
      <c r="V94" s="194"/>
      <c r="W94" s="194"/>
      <c r="X94" s="194"/>
      <c r="Y94" s="194"/>
      <c r="Z94" s="194"/>
      <c r="AA94" s="194"/>
      <c r="AB94" s="194"/>
      <c r="AC94" s="194"/>
      <c r="AD94" s="194"/>
      <c r="AE94" s="194"/>
      <c r="AF94" s="194"/>
      <c r="AG94" s="194"/>
      <c r="AH94" s="194"/>
      <c r="AI94" s="194"/>
      <c r="AJ94" s="194"/>
      <c r="AK94" s="194"/>
      <c r="AL94" s="194"/>
      <c r="AM94" s="194"/>
      <c r="AN94" s="194"/>
      <c r="AO94" s="194"/>
      <c r="AP94" s="194"/>
      <c r="AQ94" s="194"/>
      <c r="AR94" s="194"/>
      <c r="AS94" s="194"/>
      <c r="AT94" s="194"/>
      <c r="AU94" s="194"/>
      <c r="AV94" s="145"/>
      <c r="AX94" s="195"/>
      <c r="AY94"/>
      <c r="AZ94" s="196"/>
      <c r="BB94" s="195"/>
      <c r="BC94" s="190"/>
      <c r="BD94" s="145"/>
      <c r="BF94" s="195"/>
      <c r="BG94"/>
      <c r="BH94" s="196"/>
      <c r="BJ94" s="195"/>
      <c r="BK94" s="190"/>
      <c r="BL94" s="145"/>
      <c r="BN94" s="195"/>
      <c r="BO94"/>
      <c r="BP94" s="196"/>
      <c r="BR94" s="195"/>
      <c r="BS94" s="190"/>
      <c r="BT94"/>
      <c r="BU94" s="581" t="s">
        <v>253</v>
      </c>
      <c r="BV94" s="582"/>
      <c r="BW94" s="582"/>
      <c r="BX94" s="582"/>
      <c r="BY94" s="583"/>
      <c r="BZ94"/>
      <c r="CA94" s="199">
        <v>21</v>
      </c>
      <c r="CB94" s="200"/>
      <c r="CC94" s="201"/>
      <c r="CD94" s="197"/>
      <c r="CE94" s="199" t="str">
        <f>F22</f>
        <v/>
      </c>
      <c r="CF94" s="200"/>
      <c r="CG94" s="201"/>
      <c r="CH94" s="198"/>
      <c r="CI94" s="99"/>
      <c r="CJ94" s="99"/>
      <c r="CK94" s="99"/>
      <c r="CL94" s="99"/>
      <c r="CM94" s="99"/>
      <c r="CN94" s="99"/>
      <c r="CO94" s="99"/>
    </row>
    <row r="95" spans="2:93" ht="13.5" customHeight="1" x14ac:dyDescent="0.2">
      <c r="B95" s="584" t="s">
        <v>254</v>
      </c>
      <c r="C95" s="587" t="s">
        <v>255</v>
      </c>
      <c r="D95" s="590" t="s">
        <v>256</v>
      </c>
      <c r="E95" s="593" t="s">
        <v>257</v>
      </c>
      <c r="F95" s="596" t="s">
        <v>258</v>
      </c>
      <c r="G95" s="596" t="s">
        <v>259</v>
      </c>
      <c r="H95" s="593" t="s">
        <v>257</v>
      </c>
      <c r="I95" s="596" t="s">
        <v>258</v>
      </c>
      <c r="J95" s="596" t="s">
        <v>259</v>
      </c>
      <c r="K95" s="593" t="s">
        <v>257</v>
      </c>
      <c r="L95" s="596" t="s">
        <v>258</v>
      </c>
      <c r="M95" s="596" t="s">
        <v>259</v>
      </c>
      <c r="N95" s="593" t="s">
        <v>257</v>
      </c>
      <c r="O95" s="596" t="s">
        <v>258</v>
      </c>
      <c r="P95" s="596" t="s">
        <v>259</v>
      </c>
      <c r="Q95" s="593" t="s">
        <v>257</v>
      </c>
      <c r="R95" s="596" t="s">
        <v>258</v>
      </c>
      <c r="S95" s="613" t="s">
        <v>259</v>
      </c>
      <c r="T95" s="603"/>
      <c r="U95" s="194"/>
      <c r="V95" s="194"/>
      <c r="W95" s="194"/>
      <c r="X95" s="194"/>
      <c r="Y95" s="194"/>
      <c r="Z95" s="194"/>
      <c r="AA95" s="194"/>
      <c r="AB95" s="194"/>
      <c r="AC95" s="194"/>
      <c r="AD95" s="194"/>
      <c r="AE95" s="194"/>
      <c r="AF95" s="194"/>
      <c r="AG95" s="194"/>
      <c r="AH95" s="194"/>
      <c r="AI95" s="194"/>
      <c r="AJ95" s="194"/>
      <c r="AK95" s="194"/>
      <c r="AL95" s="194"/>
      <c r="AM95" s="194"/>
      <c r="AN95" s="194"/>
      <c r="AO95" s="194"/>
      <c r="AP95" s="194"/>
      <c r="AQ95" s="194"/>
      <c r="AR95" s="194"/>
      <c r="AS95" s="194"/>
      <c r="AT95" s="194"/>
      <c r="AU95" s="194"/>
      <c r="AV95" s="99"/>
      <c r="AW95" s="99"/>
      <c r="AX95" s="143"/>
      <c r="AZ95" s="143"/>
      <c r="BB95" s="143"/>
      <c r="BC95" s="190"/>
      <c r="BD95" s="99"/>
      <c r="BE95" s="99"/>
      <c r="BH95" s="143"/>
      <c r="BJ95" s="143"/>
      <c r="BK95" s="190"/>
      <c r="BL95" s="99"/>
      <c r="BM95" s="99"/>
      <c r="BP95" s="143"/>
      <c r="BR95" s="143"/>
      <c r="BS95" s="190"/>
      <c r="BT95"/>
      <c r="BU95" s="204" t="s">
        <v>260</v>
      </c>
      <c r="BV95" s="203" t="s">
        <v>261</v>
      </c>
      <c r="BW95" s="31" t="s">
        <v>262</v>
      </c>
      <c r="BX95" s="31" t="s">
        <v>263</v>
      </c>
      <c r="BY95" s="205" t="s">
        <v>264</v>
      </c>
      <c r="BZ95"/>
      <c r="CA95" s="206" t="s">
        <v>265</v>
      </c>
      <c r="CB95" s="71" t="s">
        <v>266</v>
      </c>
      <c r="CC95" s="71"/>
      <c r="CD95" s="207"/>
      <c r="CE95" s="206" t="s">
        <v>265</v>
      </c>
      <c r="CF95" s="71" t="s">
        <v>266</v>
      </c>
      <c r="CG95" s="71"/>
      <c r="CH95" s="207"/>
      <c r="CI95" s="99"/>
      <c r="CJ95" s="99"/>
      <c r="CK95" s="99"/>
      <c r="CL95" s="99"/>
      <c r="CM95" s="99"/>
      <c r="CN95" s="99"/>
      <c r="CO95" s="99"/>
    </row>
    <row r="96" spans="2:93" ht="13.5" customHeight="1" x14ac:dyDescent="0.2">
      <c r="B96" s="585"/>
      <c r="C96" s="588"/>
      <c r="D96" s="591"/>
      <c r="E96" s="594"/>
      <c r="F96" s="597"/>
      <c r="G96" s="597"/>
      <c r="H96" s="594"/>
      <c r="I96" s="597"/>
      <c r="J96" s="597"/>
      <c r="K96" s="594"/>
      <c r="L96" s="597"/>
      <c r="M96" s="597"/>
      <c r="N96" s="594"/>
      <c r="O96" s="597"/>
      <c r="P96" s="597"/>
      <c r="Q96" s="594"/>
      <c r="R96" s="597"/>
      <c r="S96" s="614"/>
      <c r="T96" s="603"/>
      <c r="U96" s="194"/>
      <c r="V96" s="194"/>
      <c r="W96" s="194"/>
      <c r="X96" s="194"/>
      <c r="Y96" s="194"/>
      <c r="Z96" s="194"/>
      <c r="AA96" s="194"/>
      <c r="AB96" s="194"/>
      <c r="AC96" s="194"/>
      <c r="AD96" s="194"/>
      <c r="AE96" s="194"/>
      <c r="AF96" s="194"/>
      <c r="AG96" s="194"/>
      <c r="AH96" s="194"/>
      <c r="AI96" s="194"/>
      <c r="AJ96" s="194"/>
      <c r="AK96" s="194"/>
      <c r="AL96" s="194"/>
      <c r="AM96" s="194"/>
      <c r="AN96" s="194"/>
      <c r="AO96" s="194"/>
      <c r="AP96" s="194"/>
      <c r="AQ96" s="194"/>
      <c r="AR96" s="194"/>
      <c r="AS96" s="194"/>
      <c r="AT96" s="194"/>
      <c r="AU96" s="194"/>
      <c r="AV96" s="99"/>
      <c r="AW96" s="99"/>
      <c r="AX96" s="143"/>
      <c r="AZ96" s="143"/>
      <c r="BB96" s="143"/>
      <c r="BC96" s="191"/>
      <c r="BD96" s="99"/>
      <c r="BE96" s="99"/>
      <c r="BH96" s="143"/>
      <c r="BJ96" s="143"/>
      <c r="BK96" s="191"/>
      <c r="BL96" s="99"/>
      <c r="BM96" s="99"/>
      <c r="BP96" s="143"/>
      <c r="BR96" s="143"/>
      <c r="BS96" s="191"/>
      <c r="BT96"/>
      <c r="BU96" s="210"/>
      <c r="BV96" s="208"/>
      <c r="BW96" s="24"/>
      <c r="BX96" s="24"/>
      <c r="BY96" s="209"/>
      <c r="BZ96"/>
      <c r="CA96" s="206" t="str">
        <f>IF(CB96&gt;0,VLOOKUP(CB96,CB100:CC250,2,FALSE),"-")</f>
        <v>-</v>
      </c>
      <c r="CB96" s="71">
        <f>MAX(CB100:CB250)</f>
        <v>0</v>
      </c>
      <c r="CC96" s="71"/>
      <c r="CD96" s="207"/>
      <c r="CE96" s="206" t="str">
        <f ca="1">IF(CF96&gt;0,VLOOKUP(CF96,CF100:CG250,2,FALSE),"-")</f>
        <v>-</v>
      </c>
      <c r="CF96" s="71">
        <f ca="1">MAX(CF100:CF250)</f>
        <v>0</v>
      </c>
      <c r="CG96" s="71"/>
      <c r="CH96" s="207"/>
      <c r="CI96" s="99"/>
      <c r="CJ96" s="99"/>
      <c r="CK96" s="99"/>
      <c r="CL96" s="99"/>
      <c r="CM96" s="99"/>
      <c r="CN96" s="99"/>
      <c r="CO96" s="99"/>
    </row>
    <row r="97" spans="2:93" ht="13.5" customHeight="1" x14ac:dyDescent="0.2">
      <c r="B97" s="585"/>
      <c r="C97" s="588"/>
      <c r="D97" s="591"/>
      <c r="E97" s="594"/>
      <c r="F97" s="597"/>
      <c r="G97" s="597"/>
      <c r="H97" s="594"/>
      <c r="I97" s="597"/>
      <c r="J97" s="597"/>
      <c r="K97" s="594"/>
      <c r="L97" s="597"/>
      <c r="M97" s="597"/>
      <c r="N97" s="594"/>
      <c r="O97" s="597"/>
      <c r="P97" s="597"/>
      <c r="Q97" s="594"/>
      <c r="R97" s="597"/>
      <c r="S97" s="614"/>
      <c r="T97" s="603"/>
      <c r="U97" s="194"/>
      <c r="V97" s="194"/>
      <c r="W97" s="194"/>
      <c r="X97" s="194"/>
      <c r="Y97" s="194"/>
      <c r="Z97" s="194"/>
      <c r="AA97" s="194" t="s">
        <v>267</v>
      </c>
      <c r="AB97" s="194" t="s">
        <v>268</v>
      </c>
      <c r="AC97" s="194"/>
      <c r="AD97" s="194"/>
      <c r="AE97" s="194"/>
      <c r="AF97" s="194"/>
      <c r="AG97" s="194"/>
      <c r="AH97" s="194"/>
      <c r="AI97" s="194" t="s">
        <v>267</v>
      </c>
      <c r="AJ97" s="194" t="s">
        <v>268</v>
      </c>
      <c r="AK97" s="194"/>
      <c r="AL97" s="194"/>
      <c r="AM97" s="194"/>
      <c r="AN97" s="194"/>
      <c r="AO97" s="194"/>
      <c r="AP97" s="194"/>
      <c r="AQ97" s="194" t="s">
        <v>267</v>
      </c>
      <c r="AR97" s="194" t="s">
        <v>268</v>
      </c>
      <c r="AS97" s="194"/>
      <c r="AT97" s="194"/>
      <c r="AU97" s="194"/>
      <c r="AV97" s="605" t="s">
        <v>269</v>
      </c>
      <c r="AW97" s="605" t="s">
        <v>270</v>
      </c>
      <c r="AX97" s="605" t="s">
        <v>271</v>
      </c>
      <c r="AY97"/>
      <c r="AZ97" s="605" t="s">
        <v>272</v>
      </c>
      <c r="BA97" s="605" t="s">
        <v>273</v>
      </c>
      <c r="BB97" s="605" t="s">
        <v>274</v>
      </c>
      <c r="BC97" s="190"/>
      <c r="BD97" s="605" t="s">
        <v>269</v>
      </c>
      <c r="BE97" s="605" t="s">
        <v>270</v>
      </c>
      <c r="BF97" s="605" t="s">
        <v>271</v>
      </c>
      <c r="BG97"/>
      <c r="BH97" s="605" t="s">
        <v>272</v>
      </c>
      <c r="BI97" s="605" t="s">
        <v>273</v>
      </c>
      <c r="BJ97" s="605" t="s">
        <v>274</v>
      </c>
      <c r="BK97" s="190"/>
      <c r="BL97" s="605" t="s">
        <v>269</v>
      </c>
      <c r="BM97" s="605" t="s">
        <v>270</v>
      </c>
      <c r="BN97" s="605" t="s">
        <v>271</v>
      </c>
      <c r="BO97"/>
      <c r="BP97" s="605" t="s">
        <v>272</v>
      </c>
      <c r="BQ97" s="605" t="s">
        <v>273</v>
      </c>
      <c r="BR97" s="605" t="s">
        <v>274</v>
      </c>
      <c r="BS97" s="190"/>
      <c r="BT97"/>
      <c r="BU97" s="210"/>
      <c r="BV97" s="208"/>
      <c r="BW97" s="24"/>
      <c r="BX97" s="24"/>
      <c r="BY97" s="209"/>
      <c r="BZ97"/>
      <c r="CA97" s="211" t="str">
        <f>CA96</f>
        <v>-</v>
      </c>
      <c r="CB97" s="212">
        <f>IF(ISNUMBER(CB96),ROUND(CB96,IF($I$66="",4,$I$66)),"-")</f>
        <v>0</v>
      </c>
      <c r="CC97" s="212"/>
      <c r="CD97" s="213"/>
      <c r="CE97" s="211" t="str">
        <f ca="1">CE96</f>
        <v>-</v>
      </c>
      <c r="CF97" s="212">
        <f ca="1">IF(ISNUMBER(CF96),ROUND(CF96,IF($I$66="",4,$I$66)),"-")</f>
        <v>0</v>
      </c>
      <c r="CG97" s="212"/>
      <c r="CH97" s="213"/>
      <c r="CI97" s="99"/>
      <c r="CJ97" s="99"/>
      <c r="CK97" s="99"/>
      <c r="CL97" s="99"/>
      <c r="CM97" s="99"/>
      <c r="CN97" s="99"/>
      <c r="CO97" s="99"/>
    </row>
    <row r="98" spans="2:93" ht="13.5" customHeight="1" x14ac:dyDescent="0.2">
      <c r="B98" s="585"/>
      <c r="C98" s="588"/>
      <c r="D98" s="591"/>
      <c r="E98" s="594"/>
      <c r="F98" s="597"/>
      <c r="G98" s="597"/>
      <c r="H98" s="594"/>
      <c r="I98" s="597"/>
      <c r="J98" s="597"/>
      <c r="K98" s="594"/>
      <c r="L98" s="597"/>
      <c r="M98" s="597"/>
      <c r="N98" s="594"/>
      <c r="O98" s="597"/>
      <c r="P98" s="597"/>
      <c r="Q98" s="594"/>
      <c r="R98" s="597"/>
      <c r="S98" s="614"/>
      <c r="T98" s="603"/>
      <c r="U98" s="214" t="s">
        <v>275</v>
      </c>
      <c r="V98" s="214" t="s">
        <v>276</v>
      </c>
      <c r="W98" s="214" t="s">
        <v>277</v>
      </c>
      <c r="X98" s="214" t="s">
        <v>278</v>
      </c>
      <c r="Y98" s="214" t="s">
        <v>279</v>
      </c>
      <c r="Z98" s="214" t="s">
        <v>280</v>
      </c>
      <c r="AA98" s="214" t="s">
        <v>281</v>
      </c>
      <c r="AB98" s="214" t="s">
        <v>281</v>
      </c>
      <c r="AC98" s="215" t="s">
        <v>275</v>
      </c>
      <c r="AD98" s="215" t="s">
        <v>276</v>
      </c>
      <c r="AE98" s="215" t="s">
        <v>277</v>
      </c>
      <c r="AF98" s="215" t="s">
        <v>278</v>
      </c>
      <c r="AG98" s="215" t="s">
        <v>279</v>
      </c>
      <c r="AH98" s="215" t="s">
        <v>280</v>
      </c>
      <c r="AI98" s="215" t="s">
        <v>281</v>
      </c>
      <c r="AJ98" s="215" t="s">
        <v>281</v>
      </c>
      <c r="AK98" s="216" t="s">
        <v>275</v>
      </c>
      <c r="AL98" s="216" t="s">
        <v>276</v>
      </c>
      <c r="AM98" s="216" t="s">
        <v>277</v>
      </c>
      <c r="AN98" s="216" t="s">
        <v>278</v>
      </c>
      <c r="AO98" s="216" t="s">
        <v>279</v>
      </c>
      <c r="AP98" s="216" t="s">
        <v>280</v>
      </c>
      <c r="AQ98" s="216" t="s">
        <v>281</v>
      </c>
      <c r="AR98" s="216" t="s">
        <v>281</v>
      </c>
      <c r="AS98" s="194" t="s">
        <v>282</v>
      </c>
      <c r="AT98" s="194" t="s">
        <v>283</v>
      </c>
      <c r="AU98" s="194" t="s">
        <v>284</v>
      </c>
      <c r="AV98" s="605"/>
      <c r="AW98" s="605"/>
      <c r="AX98" s="605"/>
      <c r="AY98"/>
      <c r="AZ98" s="605"/>
      <c r="BA98" s="605"/>
      <c r="BB98" s="605"/>
      <c r="BC98" s="190"/>
      <c r="BD98" s="605"/>
      <c r="BE98" s="605"/>
      <c r="BF98" s="605"/>
      <c r="BG98"/>
      <c r="BH98" s="605"/>
      <c r="BI98" s="605"/>
      <c r="BJ98" s="605"/>
      <c r="BK98" s="190"/>
      <c r="BL98" s="605"/>
      <c r="BM98" s="605"/>
      <c r="BN98" s="605"/>
      <c r="BO98"/>
      <c r="BP98" s="605"/>
      <c r="BQ98" s="605"/>
      <c r="BR98" s="605"/>
      <c r="BS98" s="190"/>
      <c r="BT98"/>
      <c r="BU98" s="210"/>
      <c r="BV98" s="208"/>
      <c r="BW98" s="24"/>
      <c r="BX98" s="24"/>
      <c r="BY98" s="209"/>
      <c r="BZ98"/>
      <c r="CA98" s="206"/>
      <c r="CB98" s="71"/>
      <c r="CC98" s="71"/>
      <c r="CD98" s="207"/>
      <c r="CE98" s="206"/>
      <c r="CF98" s="71"/>
      <c r="CG98" s="71"/>
      <c r="CH98" s="207"/>
      <c r="CI98" s="99"/>
      <c r="CJ98" s="99"/>
      <c r="CK98" s="99"/>
      <c r="CL98" s="99"/>
      <c r="CM98" s="99"/>
      <c r="CN98" s="99"/>
      <c r="CO98" s="99"/>
    </row>
    <row r="99" spans="2:93" ht="13.5" customHeight="1" thickBot="1" x14ac:dyDescent="0.25">
      <c r="B99" s="586"/>
      <c r="C99" s="589"/>
      <c r="D99" s="592"/>
      <c r="E99" s="595"/>
      <c r="F99" s="598"/>
      <c r="G99" s="598"/>
      <c r="H99" s="595"/>
      <c r="I99" s="598"/>
      <c r="J99" s="598"/>
      <c r="K99" s="595"/>
      <c r="L99" s="598"/>
      <c r="M99" s="598"/>
      <c r="N99" s="595"/>
      <c r="O99" s="598"/>
      <c r="P99" s="598"/>
      <c r="Q99" s="595"/>
      <c r="R99" s="598"/>
      <c r="S99" s="615"/>
      <c r="T99" s="604"/>
      <c r="U99" s="219"/>
      <c r="V99" s="220" t="str">
        <f>IF(ISNUMBER($F$14),IF(B99&lt;($F$16-$F$15)*$F$14,INT(B99/($F$16-$F$15))+1,V97),"-")</f>
        <v>-</v>
      </c>
      <c r="W99" s="221">
        <v>0</v>
      </c>
      <c r="X99" s="221">
        <v>0</v>
      </c>
      <c r="Y99" s="221">
        <f>W99-X99</f>
        <v>0</v>
      </c>
      <c r="Z99" s="219"/>
      <c r="AA99" s="219"/>
      <c r="AB99" s="219"/>
      <c r="AC99" s="222"/>
      <c r="AD99" s="223" t="str">
        <f>IFERROR(IF($F$14-1&gt;0,IF(B99&lt;($F$16-$F$15)*($F$14-1),INT(B99/($F$16-$F$15))+1,AD97),"-"),"-")</f>
        <v>-</v>
      </c>
      <c r="AE99" s="224">
        <v>0</v>
      </c>
      <c r="AF99" s="224">
        <v>0</v>
      </c>
      <c r="AG99" s="224">
        <f>AE99-AF99</f>
        <v>0</v>
      </c>
      <c r="AH99" s="222"/>
      <c r="AI99" s="222"/>
      <c r="AJ99" s="222"/>
      <c r="AK99" s="225"/>
      <c r="AL99" s="226" t="str">
        <f>IFERROR(IF($F$14-2&gt;0,IF(B99&lt;($F$16-$F$15)*($F$14-2),INT(B99/($F$16-$F$15))+1,AL97),"-"),"-")</f>
        <v>-</v>
      </c>
      <c r="AM99" s="227">
        <v>0</v>
      </c>
      <c r="AN99" s="227">
        <v>0</v>
      </c>
      <c r="AO99" s="227">
        <f>AM99-AN99</f>
        <v>0</v>
      </c>
      <c r="AP99" s="225"/>
      <c r="AQ99" s="225"/>
      <c r="AR99" s="225"/>
      <c r="AV99" s="228"/>
      <c r="AX99" s="190"/>
      <c r="AY99"/>
      <c r="AZ99" s="190"/>
      <c r="BA99" s="190"/>
      <c r="BB99" s="190"/>
      <c r="BC99" s="190"/>
      <c r="BD99" s="228"/>
      <c r="BE99"/>
      <c r="BF99" s="190"/>
      <c r="BG99"/>
      <c r="BH99" s="190"/>
      <c r="BI99" s="190"/>
      <c r="BJ99" s="190"/>
      <c r="BK99" s="190"/>
      <c r="BL99" s="228"/>
      <c r="BM99"/>
      <c r="BN99" s="190"/>
      <c r="BO99"/>
      <c r="BP99" s="190"/>
      <c r="BQ99" s="190"/>
      <c r="BR99" s="190"/>
      <c r="BS99" s="190"/>
      <c r="BT99"/>
      <c r="BU99" s="229"/>
      <c r="BV99" s="217"/>
      <c r="BW99" s="230"/>
      <c r="BX99" s="230"/>
      <c r="BY99" s="218"/>
      <c r="BZ99"/>
      <c r="CA99" s="231" t="s">
        <v>285</v>
      </c>
      <c r="CB99" s="232" t="s">
        <v>286</v>
      </c>
      <c r="CC99" s="233" t="s">
        <v>287</v>
      </c>
      <c r="CD99" s="234" t="s">
        <v>288</v>
      </c>
      <c r="CE99" s="231" t="s">
        <v>285</v>
      </c>
      <c r="CF99" s="232" t="s">
        <v>286</v>
      </c>
      <c r="CG99" s="233" t="s">
        <v>287</v>
      </c>
      <c r="CH99" s="234" t="s">
        <v>288</v>
      </c>
      <c r="CI99" s="99"/>
      <c r="CJ99" s="99"/>
      <c r="CK99" s="99"/>
      <c r="CL99" s="99"/>
      <c r="CM99" s="99"/>
      <c r="CN99" s="99"/>
      <c r="CO99" s="99"/>
    </row>
    <row r="100" spans="2:93" ht="13.5" customHeight="1" thickTop="1" x14ac:dyDescent="0.2">
      <c r="B100" s="235">
        <v>0</v>
      </c>
      <c r="C100" s="236" t="str">
        <f t="shared" ref="C100:C131" si="1">IF(ISERROR(VLOOKUP(B100,$B$39:$C$73,2,0)),"",VLOOKUP(B100,$B$39:$C$73,2,0))</f>
        <v/>
      </c>
      <c r="D100" s="237" t="str">
        <f>IF(ISNUMBER(C100),C100,"-")</f>
        <v>-</v>
      </c>
      <c r="E100" s="238" t="str">
        <f>IF(ISNUMBER($F$14),IF(ISNUMBER(AA100),AA100,""),"")</f>
        <v/>
      </c>
      <c r="F100" s="239" t="str">
        <f>IF(OR($F$14=2,$F$14=3),IF(($F$16-$F$15)&gt;B100," ",VLOOKUP((B100-($F$16-$F$15)),$AC$100:$AI$250,7,FALSE)),"")</f>
        <v/>
      </c>
      <c r="G100" s="239" t="str">
        <f>IF($F$14=3,IF(($F$16-$F$15)*2&gt;B100," ",VLOOKUP((B100-($F$16-$F$15)*2),$AK$100:$AQ$250,7,FALSE)),"")</f>
        <v/>
      </c>
      <c r="H100" s="240" t="str">
        <f>IF(E100&lt;&gt;"",IF($B100&lt;$F$21,"",IF(ISNUMBER(F100),IF(ISNUMBER(I100),(E100*30*50*ffp),""),(E100*30*50*ffp))),"")</f>
        <v/>
      </c>
      <c r="I100" s="241" t="str">
        <f t="shared" ref="I100:I131" si="2">IFERROR(IF(F100&lt;&gt;"",IF($B100&lt;$F$21+$F$16,"",IF(ISNUMBER(G100),IF(ISNUMBER(J100),(F100*30*50*ffp),""),(F100*30*50*ffp))),""),"")</f>
        <v/>
      </c>
      <c r="J100" s="241" t="str">
        <f t="shared" ref="J100:J131" si="3">IFERROR(IF(G100&lt;&gt;"",IF($B100&lt;$F$21+$F$17,"",(G100*30*50*ffp)),""),"")</f>
        <v/>
      </c>
      <c r="K100" s="242" t="str">
        <f>IF(E100&lt;&gt;"",((E100*20*50*ffp)/Klevee),"")</f>
        <v/>
      </c>
      <c r="L100" s="241" t="str">
        <f t="shared" ref="L100:L131" si="4">IF(ISNUMBER(F100),((F100*20*50*ffp)/Klevee),"")</f>
        <v/>
      </c>
      <c r="M100" s="241" t="str">
        <f t="shared" ref="M100:M131" si="5">IF(ISNUMBER(G100),((G100*20*50*ffp)/Klevee),"")</f>
        <v/>
      </c>
      <c r="N100" s="242" t="str">
        <f t="shared" ref="N100:N131" si="6">IF(AND(ISNUMBER(I),ISNUMBER($F$14),ISNUMBER($F$20)),IF($B100=0,I*($J$40/100)*$J$42*1,""),"-")</f>
        <v>-</v>
      </c>
      <c r="O100" s="241" t="str">
        <f t="shared" ref="O100:O131" si="7">IF(ISNUMBER($F$14),IF($F$14&gt;1,IF($B100=0+$F$16,I*($J$40/100)*$J$42*1,""),""),"-")</f>
        <v>-</v>
      </c>
      <c r="P100" s="241" t="str">
        <f t="shared" ref="P100:P131" si="8">IF(ISNUMBER($F$14),IF($F$14&gt;2,IF($B100=0+$F$17,I*($J$40/100)*$J$42*1,""),""),"-")</f>
        <v>-</v>
      </c>
      <c r="Q100" s="243" t="str">
        <f t="shared" ref="Q100:Q131" si="9">IF(AND(ISNUMBER(I),ISNUMBER($F$14),ISNUMBER($F$20)),IF($B100=0,I*(dt/100)*$J$45*1,""),"-")</f>
        <v>-</v>
      </c>
      <c r="R100" s="244" t="str">
        <f t="shared" ref="R100:R131" si="10">IF(ISNUMBER($F$14),IF($F$14&gt;1,IF($B100=0+$F$16,I*(dt/100)*$J$45*1,""),""),"-")</f>
        <v>-</v>
      </c>
      <c r="S100" s="245" t="str">
        <f t="shared" ref="S100:S131" si="11">IF(ISNUMBER($F$14),IF($F$14&gt;2,IF($B100=0+$F$17,I*(dt/100)*$J$45*1,""),""),"-")</f>
        <v>-</v>
      </c>
      <c r="T100" s="246" t="str">
        <f t="shared" ref="T100:T163" si="12">IF(SUM(H100:S100)=0,"",SUM(H100:S100))</f>
        <v/>
      </c>
      <c r="U100" s="247">
        <f t="shared" ref="U100:U163" si="13">B100</f>
        <v>0</v>
      </c>
      <c r="V100" s="248" t="str">
        <f>IF(ISNUMBER($F$14),IF(B100&lt;($F$16-$F$15)*$F$14,INT(B100/($F$16-$F$15))+1,V98),"-")</f>
        <v>-</v>
      </c>
      <c r="W100" s="247" t="str">
        <f>IF(ISNUMBER($F$14),IF(B100&lt;$F$14*($F$16-$F$15),B100-INT(B100/($F$16-$F$15))*($F$16-$F$15)+1,W99+1),"-")</f>
        <v>-</v>
      </c>
      <c r="X100" s="247" t="str">
        <f t="shared" ref="X100:X163" si="14">IFERROR(IF($F$21=0,0,IF(V100=V99,IF(B100-(V100-1)*($F$16-$F$15)&lt;$F$21,X99+1,X99),1)),"-")</f>
        <v>-</v>
      </c>
      <c r="Y100" s="247" t="str">
        <f t="shared" ref="Y100:Y163" si="15">IFERROR(W100-X100,"-")</f>
        <v>-</v>
      </c>
      <c r="Z100" s="249">
        <f>IF(Y100&gt;0,0.1,0.04)</f>
        <v>0.1</v>
      </c>
      <c r="AA100" s="250" t="str">
        <f>IFERROR(IF(V99=1,D100*EXP(-(0.04*X99+0.1*Y99)),IF(V99=2,D100*EXP(-(0.04*($F$21+X99)+0.1*(($F$16-$F$15)-$F$21+Y99))),D100*EXP(-(0.04*($F$21*2+X99)+0.1*((($F$16-$F$15)-$F$21)*2-Y99))))),"-")</f>
        <v>-</v>
      </c>
      <c r="AB100" s="250" t="str">
        <f t="shared" ref="AB100:AB114" si="16">IFERROR(IF(V100=1,D100*EXP(-(0.04*X100+0.1*Y100)),IF(V100=2,D100*EXP(-(0.04*($F$21+X100)+0.1*(($F$16-$F$15)-$F$21+Y100))),D100*EXP(-(0.04*($F$21*2+X100)+0.1*((($F$16-$F$15)-$F$21)*2-Y100))))),"-")</f>
        <v>-</v>
      </c>
      <c r="AC100" s="247">
        <f>B100</f>
        <v>0</v>
      </c>
      <c r="AD100" s="248" t="str">
        <f t="shared" ref="AD100:AD163" si="17">IFERROR(IF($F$14-1&gt;0,IF(B100&lt;($F$16-$F$15)*($F$14-1),INT(B100/($F$16-$F$15))+1,AD98),"-"),"-")</f>
        <v>-</v>
      </c>
      <c r="AE100" s="247" t="str">
        <f>IFERROR(IF($F$14-1&gt;0,IF(B100&lt;($F$14-1)*($F$16-$F$15),B100-INT(B100/($F$16-$F$15))*($F$16-$F$15)+1,AE99+1),"-"),"-")</f>
        <v>-</v>
      </c>
      <c r="AF100" s="247" t="str">
        <f t="shared" ref="AF100:AF163" si="18">IFERROR(IF($F$21=0,0,IF(AD100=AD99,IF(B100-(AD100-1)*($F$16-$F$15)&lt;$F$21,AF99+1,AF99),1)),"-")</f>
        <v>-</v>
      </c>
      <c r="AG100" s="247" t="str">
        <f t="shared" ref="AG100:AG163" si="19">IFERROR(AE100-AF100,"-")</f>
        <v>-</v>
      </c>
      <c r="AH100" s="249">
        <f>IF(AG100&gt;0,0.1,0.04)</f>
        <v>0.1</v>
      </c>
      <c r="AI100" s="250" t="str">
        <f t="shared" ref="AI100:AI114" si="20">IFERROR(IF(AD99=1,D100*EXP(-(0.04*AF99+0.1*AG99)),IF(AD99=2,D100*EXP(-(0.04*($F$21+AF99)+0.1*(($F$16-$F$15)-$F$21+AG99))),D100*EXP(-(0.04*($F$21*2+AF99)+0.1*((($F$16-$F$15)-$F$21)*2-AG99))))),"-")</f>
        <v>-</v>
      </c>
      <c r="AJ100" s="250" t="str">
        <f>IFERROR(IF(AD100=1,D100*EXP(-(0.04*AF100+0.1*AG100)),IF(AD100=2,D100*EXP(-(0.04*($F$21+AF100)+0.1*(($F$16-$F$15)-$F$21+AG100))),D100*EXP(-(0.04*($F$21*2+AF100)+0.1*((($F$16-$F$15)-$F$21)*2-AG100))))),"-")</f>
        <v>-</v>
      </c>
      <c r="AK100" s="247">
        <f>B100</f>
        <v>0</v>
      </c>
      <c r="AL100" s="248" t="str">
        <f t="shared" ref="AL100:AL163" si="21">IFERROR(IF($F$14-2&gt;0,IF(B100&lt;($F$16-$F$15)*($F$14-2),INT(B100/($F$16-$F$15))+1,AL98),"-"),"-")</f>
        <v>-</v>
      </c>
      <c r="AM100" s="247" t="str">
        <f>IFERROR(IF($F$14-2&gt;0,IF(B100&lt;($F$14-2)*($F$16-$F$15),B100-INT(B100/($F$16-$F$15))*($F$16-$F$15)+1,AM99+1),"-"),"-")</f>
        <v>-</v>
      </c>
      <c r="AN100" s="247" t="str">
        <f>IFERROR(IF($F$21=0,0,IF(AL100=AL99,IF(B100-(AL100-1)*($F$16-$F$15)&lt;$F$21,AN99+1,AN99),1)),"-")</f>
        <v>-</v>
      </c>
      <c r="AO100" s="247" t="str">
        <f t="shared" ref="AO100:AO163" si="22">IFERROR(AM100-AN100,"-")</f>
        <v>-</v>
      </c>
      <c r="AP100" s="249">
        <f>IF(AO100&gt;0,0.1,0.04)</f>
        <v>0.1</v>
      </c>
      <c r="AQ100" s="250" t="str">
        <f>IFERROR(IF(AL99=1,D100*EXP(-(0.04*AN99+0.1*AO99)),IF(AL99=2,D100*EXP(-(0.04*($F$21+AN99)+0.1*(($F$16-$F$15)-$F$21+AO99))),D100*EXP(-(0.04*($F$21*2+AN99)+0.1*((($F$16-$F$15)-$F$21)*2-AO99))))),"-")</f>
        <v>-</v>
      </c>
      <c r="AR100" s="250" t="str">
        <f>IFERROR(IF(AL100=1,D100*EXP(-(0.04*AN100+0.1*AO100)),IF(AL100=2,D100*EXP(-(0.04*($F$21+AN100)+0.1*(($F$16-$F$15)-$F$21+AO100))),D100*EXP(-(0.04*($F$21*2+AN100)+0.1*((($F$16-$F$15)-$F$21)*2-AO100))))),"-")</f>
        <v>-</v>
      </c>
      <c r="AS100" s="250">
        <f t="shared" ref="AS100:AS163" si="23">SUM(H100:J100)</f>
        <v>0</v>
      </c>
      <c r="AT100" s="250">
        <f t="shared" ref="AT100:AT163" si="24">SUM(K100:M100)</f>
        <v>0</v>
      </c>
      <c r="AU100" s="250">
        <f t="shared" ref="AU100:AU163" si="25">SUM(N100:S100)</f>
        <v>0</v>
      </c>
      <c r="AV100" s="251">
        <f>IF($B100&lt;$F$22,SUM($T$100:$T100),"")</f>
        <v>0</v>
      </c>
      <c r="AW100" s="251" t="str">
        <f>IF(ISNUMBER(Koc),IF(ISNUMBER(AV100),AV100*(Koc*(Ocse/100)*Pse*Vse)/(Koc*(Ocse/100)*Pse*Vse+1*86400*($B100+1)),""),"-")</f>
        <v>-</v>
      </c>
      <c r="AX100" s="251" t="str">
        <f>IF(ISNUMBER(AW100),IF(ISNUMBER(AV100),(AV100-AW100)/(3*86400*($B100+1))*1000,""),"")</f>
        <v/>
      </c>
      <c r="AY100" s="252"/>
      <c r="AZ100" s="251" t="str">
        <f ca="1">IF(ISNUMBER(OFFSET(AV100,-$F$21,0)),SUM(OFFSET($T$100,$F$21,0):$T100),"")</f>
        <v/>
      </c>
      <c r="BA100" s="251" t="str">
        <f t="shared" ref="BA100:BA131" ca="1" si="26">IF(ISNUMBER(OFFSET(AV100,-$F$21,0)),AZ100*(Koc*(Ocse/100)*Pse*Vse)/(Koc*(Ocse/100)*Pse*Vse+1*86400*($B100+1)),"")</f>
        <v/>
      </c>
      <c r="BB100" s="251" t="str">
        <f ca="1">IF(ISNUMBER(AZ100),(AZ100-BA100)/(3*86400*(OFFSET($B100,-$F$21,0)+1))*1000,"")</f>
        <v/>
      </c>
      <c r="BC100" s="253"/>
      <c r="BD100" s="251" t="str">
        <f ca="1">IFERROR(IF(AND($B100&gt;=($F$16-$F$15),$B100&lt;$F$22+($F$16-$F$15)),SUM(OFFSET($T$100,($F$16-$F$15),0):$T100),""),"")</f>
        <v/>
      </c>
      <c r="BE100" s="251" t="str">
        <f ca="1">IF(ISNUMBER(BD100),BD100*(Koc*(Ocse/100)*Pse*Vse)/(Koc*(Ocse/100)*Pse*Vse+1*86400*($B100+1)),"")</f>
        <v/>
      </c>
      <c r="BF100" s="251" t="str">
        <f ca="1">IF(ISNUMBER(BD100),(BD100-BE100)/(3*86400*($B100-($F$16-$F$15)+1))*1000,"")</f>
        <v/>
      </c>
      <c r="BG100" s="252"/>
      <c r="BH100" s="253" t="str">
        <f ca="1">IF(ISNUMBER(OFFSET(BD100,-$F$21,0)),SUM(OFFSET($T$100,($F$16-$F$15+$F$21),0):$T100),"")</f>
        <v/>
      </c>
      <c r="BI100" s="253" t="str">
        <f t="shared" ref="BI100:BI131" ca="1" si="27">IF(ISNUMBER(OFFSET(BD100,-$F$21,0)),BH100*(Koc*(Ocse/100)*Pse*Vse)/(Koc*(Ocse/100)*Pse*Vse+1*86400*($B100+1)),"")</f>
        <v/>
      </c>
      <c r="BJ100" s="253" t="str">
        <f ca="1">IF(ISNUMBER(BH100),(BH100-BI100)/(3*86400*((OFFSET($B100,-$F$21,0)-($F$16-$F$15)+1)))*1000,"")</f>
        <v/>
      </c>
      <c r="BK100" s="253"/>
      <c r="BL100" s="251" t="str">
        <f ca="1">IFERROR(IF(AND($B100&gt;=($F$17-$F$15),$B100&lt;$F$22+($F$17-$F$15)),SUM(OFFSET($T$100,($F$17-$F$15),0):$T100),""),"")</f>
        <v/>
      </c>
      <c r="BM100" s="251" t="str">
        <f t="shared" ref="BM100:BM131" ca="1" si="28">IF(ISNUMBER(BL100),BL100*(Koc*(Ocse/100)*Pse*Vse)/(Koc*(Ocse/100)*Pse*Vse+1*86400*($B100+1)),"")</f>
        <v/>
      </c>
      <c r="BN100" s="251" t="str">
        <f ca="1">IF(ISNUMBER(BL100),(BL100-BM100)/(3*86400*($B100-($F$17-$F$15)+1))*1000,"")</f>
        <v/>
      </c>
      <c r="BO100" s="252"/>
      <c r="BP100" s="251" t="str">
        <f ca="1">IF(ISNUMBER(OFFSET(BL100,-$F$21,0)),SUM(OFFSET($T$100,($F$17-$F$15+$F$21),0):$T100),"")</f>
        <v/>
      </c>
      <c r="BQ100" s="251" t="str">
        <f ca="1">IF(ISNUMBER(OFFSET(BL100,-$F$21,0)),BP100*(Koc*(Ocse/100)*Pse*Vse)/(Koc*(Ocse/100)*Pse*Vse+1*86400*($B100+1)),"")</f>
        <v/>
      </c>
      <c r="BR100" s="251" t="str">
        <f ca="1">IF(ISNUMBER(BP100),(BP100-BQ100)/(3*86400*(OFFSET($B100,-$F$21,0)-($F$17-$F$15)+1))*1000,"")</f>
        <v/>
      </c>
      <c r="BS100" s="253"/>
      <c r="BT100"/>
      <c r="BU100" s="254" t="str">
        <f>IF(B39&lt;&gt;"",B39,"")</f>
        <v/>
      </c>
      <c r="BV100" s="255">
        <v>0</v>
      </c>
      <c r="BW100" s="256"/>
      <c r="BX100" s="256"/>
      <c r="BY100" s="257"/>
      <c r="BZ100"/>
      <c r="CA100" s="258" t="str">
        <f t="shared" ref="CA100:CA131" si="29">IFERROR(IF($B100&lt;$CA$94,T100*(Koc*(Ocse/100)*Pse*Vse)/(Koc*(Ocse/100)*Pse*Vse+1*86400*$CA$94),""),"-")</f>
        <v>-</v>
      </c>
      <c r="CB100" s="33" t="str">
        <f t="shared" ref="CB100:CB163" si="30">IF(ISNUMBER(T100),IF($B100&lt;$CA$94,(T100-CA100)/(3*86400)*1000,""),"-")</f>
        <v>-</v>
      </c>
      <c r="CC100" s="33" t="str">
        <f t="shared" ref="CC100:CC120" si="31">$B100&amp;"-"&amp;$B100+1</f>
        <v>0-1</v>
      </c>
      <c r="CD100" s="259" t="str">
        <f t="shared" ref="CD100:CD163" si="32">IF(CC100=CA$96,CB$96,"")</f>
        <v/>
      </c>
      <c r="CE100" s="260" t="str">
        <f t="shared" ref="CE100:CE131" si="33">IFERROR(IF($B100&lt;$CE$94,T100*(Koc*(Ocse/100)*Pse*Vse)/(Koc*(Ocse/100)*Pse*Vse+1*86400*$CE$94),""),"-")</f>
        <v>-</v>
      </c>
      <c r="CF100" s="33" t="str">
        <f t="shared" ref="CF100:CF131" ca="1" si="34">IFERROR(IF($B100&lt;$CE$94,IF(NOT(ISNUMBER(ffp)),"-",IF($F$70=$AX$87,AX100,IF($F$70=$BB$87,OFFSET(BB100,$F$21,0),IF($F$70=$BF$87,OFFSET(BF100,$F$16,0),IF($F$70=$BJ$87,OFFSET(BJ100,$F$16+$F$21,0),IF($F$70=$BN$87,OFFSET(BN100,$F$17,0),OFFSET(BR100,$F$17+$F$21,0))))))),""),"-")</f>
        <v>-</v>
      </c>
      <c r="CG100" s="33" t="str">
        <f t="shared" ref="CG100:CG163" si="35">IF($B100&lt;$CE$94,$B100&amp;"-"&amp;$B100+1,"")</f>
        <v>0-1</v>
      </c>
      <c r="CH100" s="261" t="str">
        <f t="shared" ref="CH100:CH163" ca="1" si="36">IF(CG100=CE$96,CF$96,"")</f>
        <v/>
      </c>
      <c r="CI100" s="99"/>
      <c r="CJ100" s="99"/>
      <c r="CK100" s="99"/>
      <c r="CL100" s="99"/>
      <c r="CM100" s="99"/>
      <c r="CN100" s="99"/>
      <c r="CO100" s="99"/>
    </row>
    <row r="101" spans="2:93" ht="13.5" customHeight="1" x14ac:dyDescent="0.2">
      <c r="B101" s="262">
        <v>1</v>
      </c>
      <c r="C101" s="236" t="str">
        <f t="shared" si="1"/>
        <v/>
      </c>
      <c r="D101" s="237" t="str">
        <f>IFERROR(IF(B101&lt;$F$22,IF(ISNUMBER($D$65),IF(MAX($BU$101:$BU$120)&lt;B101, "", IF(B101=VLOOKUP(B101, $BU$101:$BU$120,1,1), C101,D100-INDEX($BY$101:$BY$120, MATCH(VLOOKUP(B101, $BU$101:$BU$120,1,1), $BU$101:$BU$120)+1, 1))),D100-VLOOKUP(MAX($BU$101:$BU$120),$BU$101:$BY$120,5)),""),"-")</f>
        <v>-</v>
      </c>
      <c r="E101" s="263" t="str">
        <f t="shared" ref="E101:E164" si="37">IF(ISNUMBER($F$14),IF(ISNUMBER(AA101),AA101,""),"")</f>
        <v/>
      </c>
      <c r="F101" s="264" t="str">
        <f t="shared" ref="F101:F164" si="38">IF(OR($F$14=2,$F$14=3),IF(($F$16-$F$15)&gt;B101," ",VLOOKUP((B101-($F$16-$F$15)),$AC$100:$AI$250,7,FALSE)),"")</f>
        <v/>
      </c>
      <c r="G101" s="264" t="str">
        <f t="shared" ref="G101:G164" si="39">IF($F$14=3,IF(($F$16-$F$15)*2&gt;B101," ",VLOOKUP((B101-($F$16-$F$15)*2),$AK$100:$AQ$250,7,FALSE)),"")</f>
        <v/>
      </c>
      <c r="H101" s="240" t="str">
        <f t="shared" ref="H101:H131" si="40">IF(E101&lt;&gt;"",IF($B101&lt;$F$21,"",IF(ISNUMBER(F101),IF(ISNUMBER(I101),(E101*30*50*ffp),""),(E101*30*50*ffp))),"")</f>
        <v/>
      </c>
      <c r="I101" s="265" t="str">
        <f t="shared" si="2"/>
        <v/>
      </c>
      <c r="J101" s="265" t="str">
        <f t="shared" si="3"/>
        <v/>
      </c>
      <c r="K101" s="240" t="str">
        <f t="shared" ref="K101:K131" si="41">IF(E101&lt;&gt;"",((E101*20*50*ffp)/Klevee),"")</f>
        <v/>
      </c>
      <c r="L101" s="265" t="str">
        <f t="shared" si="4"/>
        <v/>
      </c>
      <c r="M101" s="265" t="str">
        <f t="shared" si="5"/>
        <v/>
      </c>
      <c r="N101" s="240" t="str">
        <f t="shared" si="6"/>
        <v>-</v>
      </c>
      <c r="O101" s="265" t="str">
        <f t="shared" si="7"/>
        <v>-</v>
      </c>
      <c r="P101" s="265" t="str">
        <f t="shared" si="8"/>
        <v>-</v>
      </c>
      <c r="Q101" s="266" t="str">
        <f t="shared" si="9"/>
        <v>-</v>
      </c>
      <c r="R101" s="267" t="str">
        <f t="shared" si="10"/>
        <v>-</v>
      </c>
      <c r="S101" s="268" t="str">
        <f t="shared" si="11"/>
        <v>-</v>
      </c>
      <c r="T101" s="269" t="str">
        <f t="shared" si="12"/>
        <v/>
      </c>
      <c r="U101" s="221">
        <f t="shared" si="13"/>
        <v>1</v>
      </c>
      <c r="V101" s="220" t="str">
        <f t="shared" ref="V101:V164" si="42">IF(ISNUMBER($F$14),IF(B101&lt;($F$16-$F$15)*$F$14,INT(B101/($F$16-$F$15))+1,V99),"-")</f>
        <v>-</v>
      </c>
      <c r="W101" s="221" t="str">
        <f t="shared" ref="W101:W164" si="43">IF(ISNUMBER($F$14),IF(B101&lt;$F$14*($F$16-$F$15),B101-INT(B101/($F$16-$F$15))*($F$16-$F$15)+1,W100+1),"-")</f>
        <v>-</v>
      </c>
      <c r="X101" s="221" t="str">
        <f t="shared" si="14"/>
        <v>-</v>
      </c>
      <c r="Y101" s="221" t="str">
        <f t="shared" si="15"/>
        <v>-</v>
      </c>
      <c r="Z101" s="270">
        <f t="shared" ref="Z101:Z164" si="44">IF(Y101&gt;0,0.1,0.04)</f>
        <v>0.1</v>
      </c>
      <c r="AA101" s="271" t="str">
        <f>IFERROR(IF(V100=1,D101*EXP(-(0.04*X100+0.1*Y100)),IF(V100=2,D101*EXP(-(0.04*($F$21+X100)+0.1*(($F$16-$F$15)-$F$21+Y100))),D101*EXP(-(0.04*($F$21*2+X100)+0.1*((($F$16-$F$15)-$F$21)*2-Y100))))),"-")</f>
        <v>-</v>
      </c>
      <c r="AB101" s="271" t="str">
        <f t="shared" si="16"/>
        <v>-</v>
      </c>
      <c r="AC101" s="224">
        <f t="shared" ref="AC101:AC164" si="45">B101</f>
        <v>1</v>
      </c>
      <c r="AD101" s="223" t="str">
        <f t="shared" si="17"/>
        <v>-</v>
      </c>
      <c r="AE101" s="224" t="str">
        <f t="shared" ref="AE101:AE164" si="46">IFERROR(IF($F$14-1&gt;0,IF(B101&lt;($F$14-1)*($F$16-$F$15),B101-INT(B101/($F$16-$F$15))*($F$16-$F$15)+1,AE100+1),"-"),"-")</f>
        <v>-</v>
      </c>
      <c r="AF101" s="224" t="str">
        <f t="shared" si="18"/>
        <v>-</v>
      </c>
      <c r="AG101" s="224" t="str">
        <f t="shared" si="19"/>
        <v>-</v>
      </c>
      <c r="AH101" s="272">
        <f t="shared" ref="AH101:AH164" si="47">IF(AG101&gt;0,0.1,0.04)</f>
        <v>0.1</v>
      </c>
      <c r="AI101" s="271" t="str">
        <f t="shared" si="20"/>
        <v>-</v>
      </c>
      <c r="AJ101" s="271" t="str">
        <f t="shared" ref="AJ101:AJ112" si="48">IFERROR(IF(AD101=1,D101*EXP(-(0.04*AF101+0.1*AG101)),IF(AD101=2,D101*EXP(-(0.04*($F$21+AF101)+0.1*(($F$16-$F$15)-$F$21+AG101))),D101*EXP(-(0.04*($F$21*2+AF101)+0.1*((($F$16-$F$15)-$F$21)*2-AG101))))),"-")</f>
        <v>-</v>
      </c>
      <c r="AK101" s="227">
        <f t="shared" ref="AK101:AK164" si="49">B101</f>
        <v>1</v>
      </c>
      <c r="AL101" s="226" t="str">
        <f t="shared" si="21"/>
        <v>-</v>
      </c>
      <c r="AM101" s="227" t="str">
        <f t="shared" ref="AM101:AM164" si="50">IFERROR(IF($F$14-2&gt;0,IF(B101&lt;($F$14-2)*($F$16-$F$15),B101-INT(B101/($F$16-$F$15))*($F$16-$F$15)+1,AM100+1),"-"),"-")</f>
        <v>-</v>
      </c>
      <c r="AN101" s="227" t="str">
        <f t="shared" ref="AN101:AN164" si="51">IFERROR(IF($F$21=0,0,IF(AL101=AL100,IF(B101-(AL101-1)*($F$16-$F$15)&lt;$F$21,AN100+1,AN100),1)),"-")</f>
        <v>-</v>
      </c>
      <c r="AO101" s="227" t="str">
        <f t="shared" si="22"/>
        <v>-</v>
      </c>
      <c r="AP101" s="273">
        <f t="shared" ref="AP101:AP164" si="52">IF(AO101&gt;0,0.1,0.04)</f>
        <v>0.1</v>
      </c>
      <c r="AQ101" s="271" t="str">
        <f t="shared" ref="AQ101:AQ113" si="53">IFERROR(IF(AL100=1,D101*EXP(-(0.04*AN100+0.1*AO100)),IF(AL100=2,D101*EXP(-(0.04*($F$21+AN100)+0.1*(($F$16-$F$15)-$F$21+AO100))),D101*EXP(-(0.04*($F$21*2+AN100)+0.1*((($F$16-$F$15)-$F$21)*2-AO100))))),"-")</f>
        <v>-</v>
      </c>
      <c r="AR101" s="271" t="str">
        <f t="shared" ref="AR101:AR113" si="54">IFERROR(IF(AL101=1,D101*EXP(-(0.04*AN101+0.1*AO101)),IF(AL101=2,D101*EXP(-(0.04*($F$21+AN101)+0.1*(($F$16-$F$15)-$F$21+AO101))),D101*EXP(-(0.04*($F$21*2+AN101)+0.1*((($F$16-$F$15)-$F$21)*2-AO101))))),"-")</f>
        <v>-</v>
      </c>
      <c r="AS101" s="274">
        <f t="shared" si="23"/>
        <v>0</v>
      </c>
      <c r="AT101" s="274">
        <f t="shared" si="24"/>
        <v>0</v>
      </c>
      <c r="AU101" s="274">
        <f t="shared" si="25"/>
        <v>0</v>
      </c>
      <c r="AV101" s="275">
        <f>IF($B101&lt;$F$22,SUM($T$100:$T101),"")</f>
        <v>0</v>
      </c>
      <c r="AW101" s="275" t="str">
        <f t="shared" ref="AW101:AW131" si="55">IF(ISNUMBER(Koc),IF(ISNUMBER(AV101),AV101*(Koc*(Ocse/100)*Pse*Vse)/(Koc*(Ocse/100)*Pse*Vse+1*86400*($B101+1)),""),"-")</f>
        <v>-</v>
      </c>
      <c r="AX101" s="275" t="str">
        <f t="shared" ref="AX101:AX164" si="56">IF(ISNUMBER(AW101),IF(ISNUMBER(AV101),(AV101-AW101)/(3*86400*($B101+1))*1000,""),"")</f>
        <v/>
      </c>
      <c r="AY101"/>
      <c r="AZ101" s="275" t="str">
        <f ca="1">IF(ISNUMBER(OFFSET(AV101,-$F$21,0)),SUM(OFFSET($T$100,$F$21,0):$T101),"")</f>
        <v/>
      </c>
      <c r="BA101" s="275" t="str">
        <f t="shared" ca="1" si="26"/>
        <v/>
      </c>
      <c r="BB101" s="275" t="str">
        <f t="shared" ref="BB101:BB119" ca="1" si="57">IF(ISNUMBER(AZ101),(AZ101-BA101)/(3*86400*(OFFSET($B101,-$F$21,0)+1))*1000,"")</f>
        <v/>
      </c>
      <c r="BC101" s="190"/>
      <c r="BD101" s="275" t="str">
        <f ca="1">IFERROR(IF(AND($B101&gt;=($F$16-$F$15),$B101&lt;$F$22+($F$16-$F$15)),SUM(OFFSET($T$100,($F$16-$F$15),0):$T101),""),"")</f>
        <v/>
      </c>
      <c r="BE101" s="275" t="str">
        <f t="shared" ref="BE101:BE164" ca="1" si="58">IF(ISNUMBER(BD101),BD101*(Koc*(Ocse/100)*Pse*Vse)/(Koc*(Ocse/100)*Pse*Vse+1*86400*($B101+1)),"")</f>
        <v/>
      </c>
      <c r="BF101" s="275" t="str">
        <f t="shared" ref="BF101:BF164" ca="1" si="59">IF(ISNUMBER(BD101),(BD101-BE101)/(3*86400*($B101-($F$16-$F$15)+1))*1000,"")</f>
        <v/>
      </c>
      <c r="BG101"/>
      <c r="BH101" s="190" t="str">
        <f ca="1">IF(ISNUMBER(OFFSET(BD101,-$F$21,0)),SUM(OFFSET($T$100,($F$16-$F$15+$F$21),0):$T101),"")</f>
        <v/>
      </c>
      <c r="BI101" s="190" t="str">
        <f t="shared" ca="1" si="27"/>
        <v/>
      </c>
      <c r="BJ101" s="190" t="str">
        <f t="shared" ref="BJ101:BJ164" ca="1" si="60">IF(ISNUMBER(BH101),(BH101-BI101)/(3*86400*((OFFSET($B101,-$F$21,0)-($F$16-$F$15)+1)))*1000,"")</f>
        <v/>
      </c>
      <c r="BK101" s="190"/>
      <c r="BL101" s="275" t="str">
        <f ca="1">IFERROR(IF(AND($B101&gt;=($F$17-$F$15),$B101&lt;$F$22+($F$17-$F$15)),SUM(OFFSET($T$100,($F$17-$F$15),0):$T101),""),"")</f>
        <v/>
      </c>
      <c r="BM101" s="275" t="str">
        <f t="shared" ca="1" si="28"/>
        <v/>
      </c>
      <c r="BN101" s="275" t="str">
        <f t="shared" ref="BN101:BN164" ca="1" si="61">IF(ISNUMBER(BL101),(BL101-BM101)/(3*86400*($B101-($F$17-$F$15)+1))*1000,"")</f>
        <v/>
      </c>
      <c r="BO101"/>
      <c r="BP101" s="275" t="str">
        <f ca="1">IF(ISNUMBER(OFFSET(BL101,-$F$21,0)),SUM(OFFSET($T$100,($F$17-$F$15+$F$21),0):$T101),"")</f>
        <v/>
      </c>
      <c r="BQ101" s="275" t="str">
        <f t="shared" ref="BQ101:BQ131" ca="1" si="62">IF(ISNUMBER(OFFSET(BL101,-$F$21,0)),BP101*(Koc*(Ocse/100)*Pse*Vse)/(Koc*(Ocse/100)*Pse*Vse+1*86400*($B101+1)),"")</f>
        <v/>
      </c>
      <c r="BR101" s="275" t="str">
        <f t="shared" ref="BR101:BR164" ca="1" si="63">IF(ISNUMBER(BP101),(BP101-BQ101)/(3*86400*(OFFSET($B101,-$F$21,0)-($F$17-$F$15)+1))*1000,"")</f>
        <v/>
      </c>
      <c r="BS101" s="190"/>
      <c r="BT101"/>
      <c r="BU101" s="276" t="str">
        <f t="shared" ref="BU101:BU120" si="64">IF(B40&lt;&gt;"",B40,"end")</f>
        <v>end</v>
      </c>
      <c r="BV101" s="277">
        <v>1</v>
      </c>
      <c r="BW101" s="278">
        <f>IF(BU101&lt;&gt;"",MIN(BU100:BU101),"")</f>
        <v>0</v>
      </c>
      <c r="BX101" s="278">
        <f>IF(BU101&lt;&gt;"",MAX(BU100:BU101),"")</f>
        <v>0</v>
      </c>
      <c r="BY101" s="279" t="str">
        <f t="shared" ref="BY101:BY120" si="65">IF(B40&lt;&gt;"",(C39-C40)/(B40-B39),"")</f>
        <v/>
      </c>
      <c r="BZ101"/>
      <c r="CA101" s="280" t="str">
        <f t="shared" si="29"/>
        <v>-</v>
      </c>
      <c r="CB101" s="71" t="str">
        <f t="shared" si="30"/>
        <v>-</v>
      </c>
      <c r="CC101" s="33" t="str">
        <f t="shared" si="31"/>
        <v>1-2</v>
      </c>
      <c r="CD101" s="259" t="str">
        <f t="shared" si="32"/>
        <v/>
      </c>
      <c r="CE101" s="280" t="str">
        <f t="shared" si="33"/>
        <v>-</v>
      </c>
      <c r="CF101" s="71" t="str">
        <f t="shared" ca="1" si="34"/>
        <v>-</v>
      </c>
      <c r="CG101" s="33" t="str">
        <f t="shared" si="35"/>
        <v>1-2</v>
      </c>
      <c r="CH101" s="261" t="str">
        <f t="shared" ca="1" si="36"/>
        <v/>
      </c>
      <c r="CI101" s="99"/>
      <c r="CJ101" s="99"/>
      <c r="CK101" s="99"/>
      <c r="CL101" s="99"/>
      <c r="CM101" s="99"/>
      <c r="CN101" s="99"/>
      <c r="CO101" s="99"/>
    </row>
    <row r="102" spans="2:93" ht="13.5" customHeight="1" x14ac:dyDescent="0.2">
      <c r="B102" s="262">
        <v>2</v>
      </c>
      <c r="C102" s="237" t="str">
        <f t="shared" si="1"/>
        <v/>
      </c>
      <c r="D102" s="237" t="str">
        <f t="shared" ref="D102:D165" si="66">IFERROR(IF(B102&lt;$F$22,IF(ISNUMBER($D$65),IF(MAX($BU$101:$BU$120)&lt;B102, "", IF(B102=VLOOKUP(B102, $BU$101:$BU$120,1,1), C102,D101-INDEX($BY$101:$BY$120, MATCH(VLOOKUP(B102, $BU$101:$BU$120,1,1), $BU$101:$BU$120)+1, 1))),D101-VLOOKUP(MAX($BU$101:$BU$120),$BU$101:$BY$120,5)),""),"-")</f>
        <v>-</v>
      </c>
      <c r="E102" s="263" t="str">
        <f t="shared" si="37"/>
        <v/>
      </c>
      <c r="F102" s="264" t="str">
        <f t="shared" si="38"/>
        <v/>
      </c>
      <c r="G102" s="264" t="str">
        <f t="shared" si="39"/>
        <v/>
      </c>
      <c r="H102" s="240" t="str">
        <f t="shared" si="40"/>
        <v/>
      </c>
      <c r="I102" s="265" t="str">
        <f t="shared" si="2"/>
        <v/>
      </c>
      <c r="J102" s="265" t="str">
        <f t="shared" si="3"/>
        <v/>
      </c>
      <c r="K102" s="240" t="str">
        <f t="shared" si="41"/>
        <v/>
      </c>
      <c r="L102" s="265" t="str">
        <f t="shared" si="4"/>
        <v/>
      </c>
      <c r="M102" s="265" t="str">
        <f t="shared" si="5"/>
        <v/>
      </c>
      <c r="N102" s="240" t="str">
        <f t="shared" si="6"/>
        <v>-</v>
      </c>
      <c r="O102" s="265" t="str">
        <f t="shared" si="7"/>
        <v>-</v>
      </c>
      <c r="P102" s="265" t="str">
        <f t="shared" si="8"/>
        <v>-</v>
      </c>
      <c r="Q102" s="266" t="str">
        <f t="shared" si="9"/>
        <v>-</v>
      </c>
      <c r="R102" s="267" t="str">
        <f t="shared" si="10"/>
        <v>-</v>
      </c>
      <c r="S102" s="268" t="str">
        <f t="shared" si="11"/>
        <v>-</v>
      </c>
      <c r="T102" s="269" t="str">
        <f t="shared" si="12"/>
        <v/>
      </c>
      <c r="U102" s="221">
        <f t="shared" si="13"/>
        <v>2</v>
      </c>
      <c r="V102" s="220" t="str">
        <f t="shared" si="42"/>
        <v>-</v>
      </c>
      <c r="W102" s="221" t="str">
        <f t="shared" si="43"/>
        <v>-</v>
      </c>
      <c r="X102" s="221" t="str">
        <f t="shared" si="14"/>
        <v>-</v>
      </c>
      <c r="Y102" s="221" t="str">
        <f t="shared" si="15"/>
        <v>-</v>
      </c>
      <c r="Z102" s="270">
        <f t="shared" si="44"/>
        <v>0.1</v>
      </c>
      <c r="AA102" s="271" t="str">
        <f t="shared" ref="AA102:AA114" si="67">IFERROR(IF(V101=1,D102*EXP(-(0.04*X101+0.1*Y101)),IF(V101=2,D102*EXP(-(0.04*($F$21+X101)+0.1*(($F$16-$F$15)-$F$21+Y101))),D102*EXP(-(0.04*($F$21*2+X101)+0.1*((($F$16-$F$15)-$F$21)*2-Y101))))),"-")</f>
        <v>-</v>
      </c>
      <c r="AB102" s="271" t="str">
        <f t="shared" si="16"/>
        <v>-</v>
      </c>
      <c r="AC102" s="224">
        <f t="shared" si="45"/>
        <v>2</v>
      </c>
      <c r="AD102" s="223" t="str">
        <f t="shared" si="17"/>
        <v>-</v>
      </c>
      <c r="AE102" s="224" t="str">
        <f t="shared" si="46"/>
        <v>-</v>
      </c>
      <c r="AF102" s="224" t="str">
        <f t="shared" si="18"/>
        <v>-</v>
      </c>
      <c r="AG102" s="224" t="str">
        <f t="shared" si="19"/>
        <v>-</v>
      </c>
      <c r="AH102" s="272">
        <f t="shared" si="47"/>
        <v>0.1</v>
      </c>
      <c r="AI102" s="271" t="str">
        <f t="shared" si="20"/>
        <v>-</v>
      </c>
      <c r="AJ102" s="271" t="str">
        <f t="shared" si="48"/>
        <v>-</v>
      </c>
      <c r="AK102" s="227">
        <f t="shared" si="49"/>
        <v>2</v>
      </c>
      <c r="AL102" s="226" t="str">
        <f t="shared" si="21"/>
        <v>-</v>
      </c>
      <c r="AM102" s="227" t="str">
        <f t="shared" si="50"/>
        <v>-</v>
      </c>
      <c r="AN102" s="227" t="str">
        <f t="shared" si="51"/>
        <v>-</v>
      </c>
      <c r="AO102" s="227" t="str">
        <f t="shared" si="22"/>
        <v>-</v>
      </c>
      <c r="AP102" s="273">
        <f t="shared" si="52"/>
        <v>0.1</v>
      </c>
      <c r="AQ102" s="271" t="str">
        <f t="shared" si="53"/>
        <v>-</v>
      </c>
      <c r="AR102" s="271" t="str">
        <f t="shared" si="54"/>
        <v>-</v>
      </c>
      <c r="AS102" s="274">
        <f t="shared" si="23"/>
        <v>0</v>
      </c>
      <c r="AT102" s="274">
        <f t="shared" si="24"/>
        <v>0</v>
      </c>
      <c r="AU102" s="274">
        <f t="shared" si="25"/>
        <v>0</v>
      </c>
      <c r="AV102" s="275">
        <f>IF($B102&lt;$F$22,SUM($T$100:$T102),"")</f>
        <v>0</v>
      </c>
      <c r="AW102" s="275" t="str">
        <f t="shared" si="55"/>
        <v>-</v>
      </c>
      <c r="AX102" s="275" t="str">
        <f t="shared" si="56"/>
        <v/>
      </c>
      <c r="AY102"/>
      <c r="AZ102" s="275" t="str">
        <f ca="1">IF(ISNUMBER(OFFSET(AV102,-$F$21,0)),SUM(OFFSET($T$100,$F$21,0):$T102),"")</f>
        <v/>
      </c>
      <c r="BA102" s="275" t="str">
        <f t="shared" ca="1" si="26"/>
        <v/>
      </c>
      <c r="BB102" s="275" t="str">
        <f t="shared" ca="1" si="57"/>
        <v/>
      </c>
      <c r="BC102" s="190"/>
      <c r="BD102" s="275" t="str">
        <f ca="1">IFERROR(IF(AND($B102&gt;=($F$16-$F$15),$B102&lt;$F$22+($F$16-$F$15)),SUM(OFFSET($T$100,($F$16-$F$15),0):$T102),""),"")</f>
        <v/>
      </c>
      <c r="BE102" s="275" t="str">
        <f t="shared" ca="1" si="58"/>
        <v/>
      </c>
      <c r="BF102" s="275" t="str">
        <f t="shared" ca="1" si="59"/>
        <v/>
      </c>
      <c r="BG102"/>
      <c r="BH102" s="190" t="str">
        <f ca="1">IF(ISNUMBER(OFFSET(BD102,-$F$21,0)),SUM(OFFSET($T$100,($F$16-$F$15+$F$21),0):$T102),"")</f>
        <v/>
      </c>
      <c r="BI102" s="190" t="str">
        <f t="shared" ca="1" si="27"/>
        <v/>
      </c>
      <c r="BJ102" s="190" t="str">
        <f t="shared" ca="1" si="60"/>
        <v/>
      </c>
      <c r="BK102" s="190"/>
      <c r="BL102" s="275" t="str">
        <f ca="1">IFERROR(IF(AND($B102&gt;=($F$17-$F$15),$B102&lt;$F$22+($F$17-$F$15)),SUM(OFFSET($T$100,($F$17-$F$15),0):$T102),""),"")</f>
        <v/>
      </c>
      <c r="BM102" s="275" t="str">
        <f t="shared" ca="1" si="28"/>
        <v/>
      </c>
      <c r="BN102" s="275" t="str">
        <f t="shared" ca="1" si="61"/>
        <v/>
      </c>
      <c r="BO102"/>
      <c r="BP102" s="275" t="str">
        <f ca="1">IF(ISNUMBER(OFFSET(BL102,-$F$21,0)),SUM(OFFSET($T$100,($F$17-$F$15+$F$21),0):$T102),"")</f>
        <v/>
      </c>
      <c r="BQ102" s="275" t="str">
        <f t="shared" ca="1" si="62"/>
        <v/>
      </c>
      <c r="BR102" s="275" t="str">
        <f t="shared" ca="1" si="63"/>
        <v/>
      </c>
      <c r="BS102" s="190"/>
      <c r="BT102"/>
      <c r="BU102" s="276" t="str">
        <f t="shared" si="64"/>
        <v>end</v>
      </c>
      <c r="BV102" s="277">
        <v>2</v>
      </c>
      <c r="BW102" s="278">
        <f>IF(BU102&lt;&gt;"",MIN(BU101:BU102),"")</f>
        <v>0</v>
      </c>
      <c r="BX102" s="278">
        <f>IF(BU102&lt;&gt;"",MAX(BU101:BU102),"")</f>
        <v>0</v>
      </c>
      <c r="BY102" s="279" t="str">
        <f t="shared" si="65"/>
        <v/>
      </c>
      <c r="BZ102"/>
      <c r="CA102" s="280" t="str">
        <f t="shared" si="29"/>
        <v>-</v>
      </c>
      <c r="CB102" s="71" t="str">
        <f t="shared" si="30"/>
        <v>-</v>
      </c>
      <c r="CC102" s="33" t="str">
        <f t="shared" si="31"/>
        <v>2-3</v>
      </c>
      <c r="CD102" s="259" t="str">
        <f t="shared" si="32"/>
        <v/>
      </c>
      <c r="CE102" s="280" t="str">
        <f t="shared" si="33"/>
        <v>-</v>
      </c>
      <c r="CF102" s="71" t="str">
        <f t="shared" ca="1" si="34"/>
        <v>-</v>
      </c>
      <c r="CG102" s="33" t="str">
        <f t="shared" si="35"/>
        <v>2-3</v>
      </c>
      <c r="CH102" s="261" t="str">
        <f t="shared" ca="1" si="36"/>
        <v/>
      </c>
      <c r="CI102" s="99"/>
      <c r="CJ102" s="99"/>
      <c r="CK102" s="99"/>
      <c r="CL102" s="99"/>
      <c r="CM102" s="99"/>
      <c r="CN102" s="99"/>
      <c r="CO102" s="99"/>
    </row>
    <row r="103" spans="2:93" ht="13.5" customHeight="1" x14ac:dyDescent="0.2">
      <c r="B103" s="262">
        <v>3</v>
      </c>
      <c r="C103" s="236" t="str">
        <f t="shared" si="1"/>
        <v/>
      </c>
      <c r="D103" s="237" t="str">
        <f t="shared" si="66"/>
        <v>-</v>
      </c>
      <c r="E103" s="263" t="str">
        <f t="shared" si="37"/>
        <v/>
      </c>
      <c r="F103" s="264" t="str">
        <f t="shared" si="38"/>
        <v/>
      </c>
      <c r="G103" s="264" t="str">
        <f t="shared" si="39"/>
        <v/>
      </c>
      <c r="H103" s="240" t="str">
        <f t="shared" si="40"/>
        <v/>
      </c>
      <c r="I103" s="265" t="str">
        <f t="shared" si="2"/>
        <v/>
      </c>
      <c r="J103" s="265" t="str">
        <f t="shared" si="3"/>
        <v/>
      </c>
      <c r="K103" s="240" t="str">
        <f t="shared" si="41"/>
        <v/>
      </c>
      <c r="L103" s="265" t="str">
        <f t="shared" si="4"/>
        <v/>
      </c>
      <c r="M103" s="265" t="str">
        <f t="shared" si="5"/>
        <v/>
      </c>
      <c r="N103" s="240" t="str">
        <f t="shared" si="6"/>
        <v>-</v>
      </c>
      <c r="O103" s="265" t="str">
        <f t="shared" si="7"/>
        <v>-</v>
      </c>
      <c r="P103" s="265" t="str">
        <f t="shared" si="8"/>
        <v>-</v>
      </c>
      <c r="Q103" s="266" t="str">
        <f t="shared" si="9"/>
        <v>-</v>
      </c>
      <c r="R103" s="267" t="str">
        <f t="shared" si="10"/>
        <v>-</v>
      </c>
      <c r="S103" s="268" t="str">
        <f t="shared" si="11"/>
        <v>-</v>
      </c>
      <c r="T103" s="269" t="str">
        <f t="shared" si="12"/>
        <v/>
      </c>
      <c r="U103" s="221">
        <f t="shared" si="13"/>
        <v>3</v>
      </c>
      <c r="V103" s="220" t="str">
        <f t="shared" si="42"/>
        <v>-</v>
      </c>
      <c r="W103" s="221" t="str">
        <f t="shared" si="43"/>
        <v>-</v>
      </c>
      <c r="X103" s="221" t="str">
        <f t="shared" si="14"/>
        <v>-</v>
      </c>
      <c r="Y103" s="221" t="str">
        <f t="shared" si="15"/>
        <v>-</v>
      </c>
      <c r="Z103" s="270">
        <f t="shared" si="44"/>
        <v>0.1</v>
      </c>
      <c r="AA103" s="271" t="str">
        <f t="shared" si="67"/>
        <v>-</v>
      </c>
      <c r="AB103" s="271" t="str">
        <f t="shared" si="16"/>
        <v>-</v>
      </c>
      <c r="AC103" s="224">
        <f t="shared" si="45"/>
        <v>3</v>
      </c>
      <c r="AD103" s="223" t="str">
        <f t="shared" si="17"/>
        <v>-</v>
      </c>
      <c r="AE103" s="224" t="str">
        <f t="shared" si="46"/>
        <v>-</v>
      </c>
      <c r="AF103" s="224" t="str">
        <f t="shared" si="18"/>
        <v>-</v>
      </c>
      <c r="AG103" s="224" t="str">
        <f t="shared" si="19"/>
        <v>-</v>
      </c>
      <c r="AH103" s="272">
        <f t="shared" si="47"/>
        <v>0.1</v>
      </c>
      <c r="AI103" s="271" t="str">
        <f t="shared" si="20"/>
        <v>-</v>
      </c>
      <c r="AJ103" s="271" t="str">
        <f t="shared" si="48"/>
        <v>-</v>
      </c>
      <c r="AK103" s="227">
        <f t="shared" si="49"/>
        <v>3</v>
      </c>
      <c r="AL103" s="226" t="str">
        <f t="shared" si="21"/>
        <v>-</v>
      </c>
      <c r="AM103" s="227" t="str">
        <f t="shared" si="50"/>
        <v>-</v>
      </c>
      <c r="AN103" s="227" t="str">
        <f t="shared" si="51"/>
        <v>-</v>
      </c>
      <c r="AO103" s="227" t="str">
        <f t="shared" si="22"/>
        <v>-</v>
      </c>
      <c r="AP103" s="273">
        <f t="shared" si="52"/>
        <v>0.1</v>
      </c>
      <c r="AQ103" s="271" t="str">
        <f t="shared" si="53"/>
        <v>-</v>
      </c>
      <c r="AR103" s="271" t="str">
        <f t="shared" si="54"/>
        <v>-</v>
      </c>
      <c r="AS103" s="274">
        <f t="shared" si="23"/>
        <v>0</v>
      </c>
      <c r="AT103" s="274">
        <f t="shared" si="24"/>
        <v>0</v>
      </c>
      <c r="AU103" s="274">
        <f t="shared" si="25"/>
        <v>0</v>
      </c>
      <c r="AV103" s="275">
        <f>IF($B103&lt;$F$22,SUM($T$100:$T103),"")</f>
        <v>0</v>
      </c>
      <c r="AW103" s="275" t="str">
        <f t="shared" si="55"/>
        <v>-</v>
      </c>
      <c r="AX103" s="275" t="str">
        <f t="shared" si="56"/>
        <v/>
      </c>
      <c r="AY103"/>
      <c r="AZ103" s="275" t="str">
        <f ca="1">IF(ISNUMBER(OFFSET(AV103,-$F$21,0)),SUM(OFFSET($T$100,$F$21,0):$T103),"")</f>
        <v/>
      </c>
      <c r="BA103" s="275" t="str">
        <f t="shared" ca="1" si="26"/>
        <v/>
      </c>
      <c r="BB103" s="275" t="str">
        <f t="shared" ca="1" si="57"/>
        <v/>
      </c>
      <c r="BC103" s="190"/>
      <c r="BD103" s="275" t="str">
        <f ca="1">IFERROR(IF(AND($B103&gt;=($F$16-$F$15),$B103&lt;$F$22+($F$16-$F$15)),SUM(OFFSET($T$100,($F$16-$F$15),0):$T103),""),"")</f>
        <v/>
      </c>
      <c r="BE103" s="275" t="str">
        <f t="shared" ca="1" si="58"/>
        <v/>
      </c>
      <c r="BF103" s="275" t="str">
        <f t="shared" ca="1" si="59"/>
        <v/>
      </c>
      <c r="BG103"/>
      <c r="BH103" s="190" t="str">
        <f ca="1">IF(ISNUMBER(OFFSET(BD103,-$F$21,0)),SUM(OFFSET($T$100,($F$16-$F$15+$F$21),0):$T103),"")</f>
        <v/>
      </c>
      <c r="BI103" s="190" t="str">
        <f t="shared" ca="1" si="27"/>
        <v/>
      </c>
      <c r="BJ103" s="190" t="str">
        <f t="shared" ca="1" si="60"/>
        <v/>
      </c>
      <c r="BK103" s="190"/>
      <c r="BL103" s="275" t="str">
        <f ca="1">IFERROR(IF(AND($B103&gt;=($F$17-$F$15),$B103&lt;$F$22+($F$17-$F$15)),SUM(OFFSET($T$100,($F$17-$F$15),0):$T103),""),"")</f>
        <v/>
      </c>
      <c r="BM103" s="275" t="str">
        <f t="shared" ca="1" si="28"/>
        <v/>
      </c>
      <c r="BN103" s="275" t="str">
        <f t="shared" ca="1" si="61"/>
        <v/>
      </c>
      <c r="BO103"/>
      <c r="BP103" s="275" t="str">
        <f ca="1">IF(ISNUMBER(OFFSET(BL103,-$F$21,0)),SUM(OFFSET($T$100,($F$17-$F$15+$F$21),0):$T103),"")</f>
        <v/>
      </c>
      <c r="BQ103" s="275" t="str">
        <f t="shared" ca="1" si="62"/>
        <v/>
      </c>
      <c r="BR103" s="275" t="str">
        <f t="shared" ca="1" si="63"/>
        <v/>
      </c>
      <c r="BS103" s="190"/>
      <c r="BT103"/>
      <c r="BU103" s="276" t="str">
        <f t="shared" si="64"/>
        <v>end</v>
      </c>
      <c r="BV103" s="277">
        <v>3</v>
      </c>
      <c r="BW103" s="278">
        <f>IF(BU103&lt;&gt;"",MIN(BU102:BU103),"")</f>
        <v>0</v>
      </c>
      <c r="BX103" s="278">
        <f>IF(BU103&lt;&gt;"",MAX(BU102:BU103),"")</f>
        <v>0</v>
      </c>
      <c r="BY103" s="279" t="str">
        <f t="shared" si="65"/>
        <v/>
      </c>
      <c r="BZ103"/>
      <c r="CA103" s="280" t="str">
        <f t="shared" si="29"/>
        <v>-</v>
      </c>
      <c r="CB103" s="71" t="str">
        <f t="shared" si="30"/>
        <v>-</v>
      </c>
      <c r="CC103" s="33" t="str">
        <f t="shared" si="31"/>
        <v>3-4</v>
      </c>
      <c r="CD103" s="259" t="str">
        <f t="shared" si="32"/>
        <v/>
      </c>
      <c r="CE103" s="280" t="str">
        <f t="shared" si="33"/>
        <v>-</v>
      </c>
      <c r="CF103" s="71" t="str">
        <f t="shared" ca="1" si="34"/>
        <v>-</v>
      </c>
      <c r="CG103" s="33" t="str">
        <f t="shared" si="35"/>
        <v>3-4</v>
      </c>
      <c r="CH103" s="261" t="str">
        <f t="shared" ca="1" si="36"/>
        <v/>
      </c>
      <c r="CI103" s="99"/>
      <c r="CJ103" s="99"/>
      <c r="CK103" s="99"/>
      <c r="CL103" s="99"/>
      <c r="CM103" s="99"/>
      <c r="CN103" s="99"/>
      <c r="CO103" s="99"/>
    </row>
    <row r="104" spans="2:93" ht="13.5" customHeight="1" x14ac:dyDescent="0.2">
      <c r="B104" s="262">
        <v>4</v>
      </c>
      <c r="C104" s="237" t="str">
        <f t="shared" si="1"/>
        <v/>
      </c>
      <c r="D104" s="237" t="str">
        <f t="shared" si="66"/>
        <v>-</v>
      </c>
      <c r="E104" s="263" t="str">
        <f t="shared" si="37"/>
        <v/>
      </c>
      <c r="F104" s="264" t="str">
        <f t="shared" si="38"/>
        <v/>
      </c>
      <c r="G104" s="264" t="str">
        <f t="shared" si="39"/>
        <v/>
      </c>
      <c r="H104" s="240" t="str">
        <f t="shared" si="40"/>
        <v/>
      </c>
      <c r="I104" s="265" t="str">
        <f t="shared" si="2"/>
        <v/>
      </c>
      <c r="J104" s="265" t="str">
        <f t="shared" si="3"/>
        <v/>
      </c>
      <c r="K104" s="240" t="str">
        <f t="shared" si="41"/>
        <v/>
      </c>
      <c r="L104" s="265" t="str">
        <f t="shared" si="4"/>
        <v/>
      </c>
      <c r="M104" s="265" t="str">
        <f t="shared" si="5"/>
        <v/>
      </c>
      <c r="N104" s="240" t="str">
        <f t="shared" si="6"/>
        <v>-</v>
      </c>
      <c r="O104" s="265" t="str">
        <f t="shared" si="7"/>
        <v>-</v>
      </c>
      <c r="P104" s="265" t="str">
        <f t="shared" si="8"/>
        <v>-</v>
      </c>
      <c r="Q104" s="266" t="str">
        <f t="shared" si="9"/>
        <v>-</v>
      </c>
      <c r="R104" s="267" t="str">
        <f t="shared" si="10"/>
        <v>-</v>
      </c>
      <c r="S104" s="268" t="str">
        <f t="shared" si="11"/>
        <v>-</v>
      </c>
      <c r="T104" s="269" t="str">
        <f t="shared" si="12"/>
        <v/>
      </c>
      <c r="U104" s="221">
        <f t="shared" si="13"/>
        <v>4</v>
      </c>
      <c r="V104" s="220" t="str">
        <f t="shared" si="42"/>
        <v>-</v>
      </c>
      <c r="W104" s="221" t="str">
        <f t="shared" si="43"/>
        <v>-</v>
      </c>
      <c r="X104" s="221" t="str">
        <f t="shared" si="14"/>
        <v>-</v>
      </c>
      <c r="Y104" s="221" t="str">
        <f t="shared" si="15"/>
        <v>-</v>
      </c>
      <c r="Z104" s="270">
        <f t="shared" si="44"/>
        <v>0.1</v>
      </c>
      <c r="AA104" s="271" t="str">
        <f t="shared" si="67"/>
        <v>-</v>
      </c>
      <c r="AB104" s="271" t="str">
        <f t="shared" si="16"/>
        <v>-</v>
      </c>
      <c r="AC104" s="224">
        <f t="shared" si="45"/>
        <v>4</v>
      </c>
      <c r="AD104" s="223" t="str">
        <f t="shared" si="17"/>
        <v>-</v>
      </c>
      <c r="AE104" s="224" t="str">
        <f t="shared" si="46"/>
        <v>-</v>
      </c>
      <c r="AF104" s="224" t="str">
        <f t="shared" si="18"/>
        <v>-</v>
      </c>
      <c r="AG104" s="224" t="str">
        <f t="shared" si="19"/>
        <v>-</v>
      </c>
      <c r="AH104" s="272">
        <f t="shared" si="47"/>
        <v>0.1</v>
      </c>
      <c r="AI104" s="271" t="str">
        <f t="shared" si="20"/>
        <v>-</v>
      </c>
      <c r="AJ104" s="271" t="str">
        <f t="shared" si="48"/>
        <v>-</v>
      </c>
      <c r="AK104" s="227">
        <f t="shared" si="49"/>
        <v>4</v>
      </c>
      <c r="AL104" s="226" t="str">
        <f t="shared" si="21"/>
        <v>-</v>
      </c>
      <c r="AM104" s="227" t="str">
        <f t="shared" si="50"/>
        <v>-</v>
      </c>
      <c r="AN104" s="227" t="str">
        <f t="shared" si="51"/>
        <v>-</v>
      </c>
      <c r="AO104" s="227" t="str">
        <f t="shared" si="22"/>
        <v>-</v>
      </c>
      <c r="AP104" s="273">
        <f t="shared" si="52"/>
        <v>0.1</v>
      </c>
      <c r="AQ104" s="271" t="str">
        <f t="shared" si="53"/>
        <v>-</v>
      </c>
      <c r="AR104" s="271" t="str">
        <f t="shared" si="54"/>
        <v>-</v>
      </c>
      <c r="AS104" s="274">
        <f t="shared" si="23"/>
        <v>0</v>
      </c>
      <c r="AT104" s="274">
        <f t="shared" si="24"/>
        <v>0</v>
      </c>
      <c r="AU104" s="274">
        <f t="shared" si="25"/>
        <v>0</v>
      </c>
      <c r="AV104" s="275">
        <f>IF($B104&lt;$F$22,SUM($T$100:$T104),"")</f>
        <v>0</v>
      </c>
      <c r="AW104" s="275" t="str">
        <f t="shared" si="55"/>
        <v>-</v>
      </c>
      <c r="AX104" s="275" t="str">
        <f t="shared" si="56"/>
        <v/>
      </c>
      <c r="AY104"/>
      <c r="AZ104" s="275" t="str">
        <f ca="1">IF(ISNUMBER(OFFSET(AV104,-$F$21,0)),SUM(OFFSET($T$100,$F$21,0):$T104),"")</f>
        <v/>
      </c>
      <c r="BA104" s="275" t="str">
        <f t="shared" ca="1" si="26"/>
        <v/>
      </c>
      <c r="BB104" s="275" t="str">
        <f t="shared" ca="1" si="57"/>
        <v/>
      </c>
      <c r="BC104" s="190"/>
      <c r="BD104" s="275" t="str">
        <f ca="1">IFERROR(IF(AND($B104&gt;=($F$16-$F$15),$B104&lt;$F$22+($F$16-$F$15)),SUM(OFFSET($T$100,($F$16-$F$15),0):$T104),""),"")</f>
        <v/>
      </c>
      <c r="BE104" s="275" t="str">
        <f t="shared" ca="1" si="58"/>
        <v/>
      </c>
      <c r="BF104" s="275" t="str">
        <f t="shared" ca="1" si="59"/>
        <v/>
      </c>
      <c r="BG104"/>
      <c r="BH104" s="190" t="str">
        <f ca="1">IF(ISNUMBER(OFFSET(BD104,-$F$21,0)),SUM(OFFSET($T$100,($F$16-$F$15+$F$21),0):$T104),"")</f>
        <v/>
      </c>
      <c r="BI104" s="190" t="str">
        <f t="shared" ca="1" si="27"/>
        <v/>
      </c>
      <c r="BJ104" s="190" t="str">
        <f t="shared" ca="1" si="60"/>
        <v/>
      </c>
      <c r="BK104" s="190"/>
      <c r="BL104" s="275" t="str">
        <f ca="1">IFERROR(IF(AND($B104&gt;=($F$17-$F$15),$B104&lt;$F$22+($F$17-$F$15)),SUM(OFFSET($T$100,($F$17-$F$15),0):$T104),""),"")</f>
        <v/>
      </c>
      <c r="BM104" s="275" t="str">
        <f t="shared" ca="1" si="28"/>
        <v/>
      </c>
      <c r="BN104" s="275" t="str">
        <f t="shared" ca="1" si="61"/>
        <v/>
      </c>
      <c r="BO104"/>
      <c r="BP104" s="275" t="str">
        <f ca="1">IF(ISNUMBER(OFFSET(BL104,-$F$21,0)),SUM(OFFSET($T$100,($F$17-$F$15+$F$21),0):$T104),"")</f>
        <v/>
      </c>
      <c r="BQ104" s="275" t="str">
        <f t="shared" ca="1" si="62"/>
        <v/>
      </c>
      <c r="BR104" s="275" t="str">
        <f t="shared" ca="1" si="63"/>
        <v/>
      </c>
      <c r="BS104" s="190"/>
      <c r="BT104"/>
      <c r="BU104" s="276" t="str">
        <f t="shared" si="64"/>
        <v>end</v>
      </c>
      <c r="BV104" s="277">
        <v>4</v>
      </c>
      <c r="BW104" s="278">
        <f>IF(BU104&lt;&gt;"",MIN(BU103:BU104),"")</f>
        <v>0</v>
      </c>
      <c r="BX104" s="278">
        <f>IF(BU104&lt;&gt;"",MAX(BU103:BU104),"")</f>
        <v>0</v>
      </c>
      <c r="BY104" s="279" t="str">
        <f t="shared" si="65"/>
        <v/>
      </c>
      <c r="BZ104"/>
      <c r="CA104" s="281" t="str">
        <f t="shared" si="29"/>
        <v>-</v>
      </c>
      <c r="CB104" s="31" t="str">
        <f t="shared" si="30"/>
        <v>-</v>
      </c>
      <c r="CC104" s="24" t="str">
        <f t="shared" si="31"/>
        <v>4-5</v>
      </c>
      <c r="CD104" s="282" t="str">
        <f t="shared" si="32"/>
        <v/>
      </c>
      <c r="CE104" s="281" t="str">
        <f t="shared" si="33"/>
        <v>-</v>
      </c>
      <c r="CF104" s="31" t="str">
        <f t="shared" ca="1" si="34"/>
        <v>-</v>
      </c>
      <c r="CG104" s="24" t="str">
        <f t="shared" si="35"/>
        <v>4-5</v>
      </c>
      <c r="CH104" s="283" t="str">
        <f t="shared" ca="1" si="36"/>
        <v/>
      </c>
      <c r="CI104" s="99"/>
      <c r="CJ104" s="99"/>
      <c r="CK104" s="99"/>
      <c r="CL104" s="99"/>
      <c r="CM104" s="99"/>
      <c r="CN104" s="99"/>
      <c r="CO104" s="99"/>
    </row>
    <row r="105" spans="2:93" ht="13.5" customHeight="1" x14ac:dyDescent="0.2">
      <c r="B105" s="262">
        <v>5</v>
      </c>
      <c r="C105" s="237" t="str">
        <f t="shared" si="1"/>
        <v/>
      </c>
      <c r="D105" s="237" t="str">
        <f t="shared" si="66"/>
        <v>-</v>
      </c>
      <c r="E105" s="263" t="str">
        <f t="shared" si="37"/>
        <v/>
      </c>
      <c r="F105" s="264" t="str">
        <f t="shared" si="38"/>
        <v/>
      </c>
      <c r="G105" s="264" t="str">
        <f t="shared" si="39"/>
        <v/>
      </c>
      <c r="H105" s="240" t="str">
        <f t="shared" si="40"/>
        <v/>
      </c>
      <c r="I105" s="265" t="str">
        <f t="shared" si="2"/>
        <v/>
      </c>
      <c r="J105" s="265" t="str">
        <f t="shared" si="3"/>
        <v/>
      </c>
      <c r="K105" s="240" t="str">
        <f t="shared" si="41"/>
        <v/>
      </c>
      <c r="L105" s="265" t="str">
        <f t="shared" si="4"/>
        <v/>
      </c>
      <c r="M105" s="265" t="str">
        <f t="shared" si="5"/>
        <v/>
      </c>
      <c r="N105" s="240" t="str">
        <f t="shared" si="6"/>
        <v>-</v>
      </c>
      <c r="O105" s="265" t="str">
        <f t="shared" si="7"/>
        <v>-</v>
      </c>
      <c r="P105" s="265" t="str">
        <f t="shared" si="8"/>
        <v>-</v>
      </c>
      <c r="Q105" s="266" t="str">
        <f t="shared" si="9"/>
        <v>-</v>
      </c>
      <c r="R105" s="267" t="str">
        <f t="shared" si="10"/>
        <v>-</v>
      </c>
      <c r="S105" s="268" t="str">
        <f t="shared" si="11"/>
        <v>-</v>
      </c>
      <c r="T105" s="269" t="str">
        <f t="shared" si="12"/>
        <v/>
      </c>
      <c r="U105" s="221">
        <f t="shared" si="13"/>
        <v>5</v>
      </c>
      <c r="V105" s="220" t="str">
        <f t="shared" si="42"/>
        <v>-</v>
      </c>
      <c r="W105" s="221" t="str">
        <f t="shared" si="43"/>
        <v>-</v>
      </c>
      <c r="X105" s="221" t="str">
        <f t="shared" si="14"/>
        <v>-</v>
      </c>
      <c r="Y105" s="221" t="str">
        <f t="shared" si="15"/>
        <v>-</v>
      </c>
      <c r="Z105" s="270">
        <f t="shared" si="44"/>
        <v>0.1</v>
      </c>
      <c r="AA105" s="271" t="str">
        <f t="shared" si="67"/>
        <v>-</v>
      </c>
      <c r="AB105" s="271" t="str">
        <f t="shared" si="16"/>
        <v>-</v>
      </c>
      <c r="AC105" s="224">
        <f t="shared" si="45"/>
        <v>5</v>
      </c>
      <c r="AD105" s="223" t="str">
        <f t="shared" si="17"/>
        <v>-</v>
      </c>
      <c r="AE105" s="224" t="str">
        <f t="shared" si="46"/>
        <v>-</v>
      </c>
      <c r="AF105" s="224" t="str">
        <f t="shared" si="18"/>
        <v>-</v>
      </c>
      <c r="AG105" s="224" t="str">
        <f t="shared" si="19"/>
        <v>-</v>
      </c>
      <c r="AH105" s="272">
        <f t="shared" si="47"/>
        <v>0.1</v>
      </c>
      <c r="AI105" s="271" t="str">
        <f t="shared" si="20"/>
        <v>-</v>
      </c>
      <c r="AJ105" s="271" t="str">
        <f t="shared" si="48"/>
        <v>-</v>
      </c>
      <c r="AK105" s="227">
        <f t="shared" si="49"/>
        <v>5</v>
      </c>
      <c r="AL105" s="226" t="str">
        <f t="shared" si="21"/>
        <v>-</v>
      </c>
      <c r="AM105" s="227" t="str">
        <f t="shared" si="50"/>
        <v>-</v>
      </c>
      <c r="AN105" s="227" t="str">
        <f t="shared" si="51"/>
        <v>-</v>
      </c>
      <c r="AO105" s="227" t="str">
        <f t="shared" si="22"/>
        <v>-</v>
      </c>
      <c r="AP105" s="273">
        <f t="shared" si="52"/>
        <v>0.1</v>
      </c>
      <c r="AQ105" s="271" t="str">
        <f t="shared" si="53"/>
        <v>-</v>
      </c>
      <c r="AR105" s="271" t="str">
        <f t="shared" si="54"/>
        <v>-</v>
      </c>
      <c r="AS105" s="274">
        <f t="shared" si="23"/>
        <v>0</v>
      </c>
      <c r="AT105" s="274">
        <f t="shared" si="24"/>
        <v>0</v>
      </c>
      <c r="AU105" s="274">
        <f t="shared" si="25"/>
        <v>0</v>
      </c>
      <c r="AV105" s="275">
        <f>IF($B105&lt;$F$22,SUM($T$100:$T105),"")</f>
        <v>0</v>
      </c>
      <c r="AW105" s="275" t="str">
        <f t="shared" si="55"/>
        <v>-</v>
      </c>
      <c r="AX105" s="275" t="str">
        <f t="shared" si="56"/>
        <v/>
      </c>
      <c r="AY105"/>
      <c r="AZ105" s="275" t="str">
        <f ca="1">IF(ISNUMBER(OFFSET(AV105,-$F$21,0)),SUM(OFFSET($T$100,$F$21,0):$T105),"")</f>
        <v/>
      </c>
      <c r="BA105" s="275" t="str">
        <f t="shared" ca="1" si="26"/>
        <v/>
      </c>
      <c r="BB105" s="275" t="str">
        <f t="shared" ca="1" si="57"/>
        <v/>
      </c>
      <c r="BC105" s="190"/>
      <c r="BD105" s="275" t="str">
        <f ca="1">IFERROR(IF(AND($B105&gt;=($F$16-$F$15),$B105&lt;$F$22+($F$16-$F$15)),SUM(OFFSET($T$100,($F$16-$F$15),0):$T105),""),"")</f>
        <v/>
      </c>
      <c r="BE105" s="275" t="str">
        <f t="shared" ca="1" si="58"/>
        <v/>
      </c>
      <c r="BF105" s="275" t="str">
        <f t="shared" ca="1" si="59"/>
        <v/>
      </c>
      <c r="BG105"/>
      <c r="BH105" s="190" t="str">
        <f ca="1">IF(ISNUMBER(OFFSET(BD105,-$F$21,0)),SUM(OFFSET($T$100,($F$16-$F$15+$F$21),0):$T105),"")</f>
        <v/>
      </c>
      <c r="BI105" s="190" t="str">
        <f t="shared" ca="1" si="27"/>
        <v/>
      </c>
      <c r="BJ105" s="190" t="str">
        <f t="shared" ca="1" si="60"/>
        <v/>
      </c>
      <c r="BK105" s="190"/>
      <c r="BL105" s="275" t="str">
        <f ca="1">IFERROR(IF(AND($B105&gt;=($F$17-$F$15),$B105&lt;$F$22+($F$17-$F$15)),SUM(OFFSET($T$100,($F$17-$F$15),0):$T105),""),"")</f>
        <v/>
      </c>
      <c r="BM105" s="275" t="str">
        <f t="shared" ca="1" si="28"/>
        <v/>
      </c>
      <c r="BN105" s="275" t="str">
        <f t="shared" ca="1" si="61"/>
        <v/>
      </c>
      <c r="BO105"/>
      <c r="BP105" s="275" t="str">
        <f ca="1">IF(ISNUMBER(OFFSET(BL105,-$F$21,0)),SUM(OFFSET($T$100,($F$17-$F$15+$F$21),0):$T105),"")</f>
        <v/>
      </c>
      <c r="BQ105" s="275" t="str">
        <f t="shared" ca="1" si="62"/>
        <v/>
      </c>
      <c r="BR105" s="275" t="str">
        <f t="shared" ca="1" si="63"/>
        <v/>
      </c>
      <c r="BS105" s="190"/>
      <c r="BT105"/>
      <c r="BU105" s="276" t="str">
        <f t="shared" si="64"/>
        <v>end</v>
      </c>
      <c r="BV105" s="277">
        <v>5</v>
      </c>
      <c r="BW105" s="278">
        <f>IF(BU105&lt;&gt;"",MIN(BU104:BU105),"")</f>
        <v>0</v>
      </c>
      <c r="BX105" s="278">
        <f>IF(BU105&lt;&gt;"",MAX(BU104:BU105),"")</f>
        <v>0</v>
      </c>
      <c r="BY105" s="279" t="str">
        <f t="shared" si="65"/>
        <v/>
      </c>
      <c r="BZ105"/>
      <c r="CA105" s="284" t="str">
        <f t="shared" si="29"/>
        <v>-</v>
      </c>
      <c r="CB105" s="285" t="str">
        <f t="shared" si="30"/>
        <v>-</v>
      </c>
      <c r="CC105" s="285" t="str">
        <f t="shared" si="31"/>
        <v>5-6</v>
      </c>
      <c r="CD105" s="286" t="str">
        <f t="shared" si="32"/>
        <v/>
      </c>
      <c r="CE105" s="287" t="str">
        <f t="shared" si="33"/>
        <v>-</v>
      </c>
      <c r="CF105" s="285" t="str">
        <f t="shared" ca="1" si="34"/>
        <v>-</v>
      </c>
      <c r="CG105" s="285" t="str">
        <f t="shared" si="35"/>
        <v>5-6</v>
      </c>
      <c r="CH105" s="288" t="str">
        <f t="shared" ca="1" si="36"/>
        <v/>
      </c>
      <c r="CI105" s="99"/>
      <c r="CJ105" s="99"/>
      <c r="CK105" s="99"/>
      <c r="CL105" s="99"/>
      <c r="CM105" s="99"/>
      <c r="CN105" s="99"/>
      <c r="CO105" s="99"/>
    </row>
    <row r="106" spans="2:93" ht="13.5" customHeight="1" x14ac:dyDescent="0.2">
      <c r="B106" s="262">
        <v>6</v>
      </c>
      <c r="C106" s="237" t="str">
        <f t="shared" si="1"/>
        <v/>
      </c>
      <c r="D106" s="237" t="str">
        <f t="shared" si="66"/>
        <v>-</v>
      </c>
      <c r="E106" s="263" t="str">
        <f t="shared" si="37"/>
        <v/>
      </c>
      <c r="F106" s="264" t="str">
        <f t="shared" si="38"/>
        <v/>
      </c>
      <c r="G106" s="264" t="str">
        <f t="shared" si="39"/>
        <v/>
      </c>
      <c r="H106" s="240" t="str">
        <f t="shared" si="40"/>
        <v/>
      </c>
      <c r="I106" s="265" t="str">
        <f t="shared" si="2"/>
        <v/>
      </c>
      <c r="J106" s="265" t="str">
        <f t="shared" si="3"/>
        <v/>
      </c>
      <c r="K106" s="240" t="str">
        <f t="shared" si="41"/>
        <v/>
      </c>
      <c r="L106" s="265" t="str">
        <f t="shared" si="4"/>
        <v/>
      </c>
      <c r="M106" s="265" t="str">
        <f t="shared" si="5"/>
        <v/>
      </c>
      <c r="N106" s="240" t="str">
        <f t="shared" si="6"/>
        <v>-</v>
      </c>
      <c r="O106" s="265" t="str">
        <f t="shared" si="7"/>
        <v>-</v>
      </c>
      <c r="P106" s="265" t="str">
        <f t="shared" si="8"/>
        <v>-</v>
      </c>
      <c r="Q106" s="266" t="str">
        <f t="shared" si="9"/>
        <v>-</v>
      </c>
      <c r="R106" s="267" t="str">
        <f t="shared" si="10"/>
        <v>-</v>
      </c>
      <c r="S106" s="268" t="str">
        <f t="shared" si="11"/>
        <v>-</v>
      </c>
      <c r="T106" s="269" t="str">
        <f t="shared" si="12"/>
        <v/>
      </c>
      <c r="U106" s="221">
        <f t="shared" si="13"/>
        <v>6</v>
      </c>
      <c r="V106" s="220" t="str">
        <f t="shared" si="42"/>
        <v>-</v>
      </c>
      <c r="W106" s="221" t="str">
        <f t="shared" si="43"/>
        <v>-</v>
      </c>
      <c r="X106" s="221" t="str">
        <f t="shared" si="14"/>
        <v>-</v>
      </c>
      <c r="Y106" s="221" t="str">
        <f t="shared" si="15"/>
        <v>-</v>
      </c>
      <c r="Z106" s="270">
        <f t="shared" si="44"/>
        <v>0.1</v>
      </c>
      <c r="AA106" s="271" t="str">
        <f t="shared" si="67"/>
        <v>-</v>
      </c>
      <c r="AB106" s="271" t="str">
        <f t="shared" si="16"/>
        <v>-</v>
      </c>
      <c r="AC106" s="224">
        <f t="shared" si="45"/>
        <v>6</v>
      </c>
      <c r="AD106" s="223" t="str">
        <f t="shared" si="17"/>
        <v>-</v>
      </c>
      <c r="AE106" s="224" t="str">
        <f t="shared" si="46"/>
        <v>-</v>
      </c>
      <c r="AF106" s="224" t="str">
        <f t="shared" si="18"/>
        <v>-</v>
      </c>
      <c r="AG106" s="224" t="str">
        <f t="shared" si="19"/>
        <v>-</v>
      </c>
      <c r="AH106" s="272">
        <f t="shared" si="47"/>
        <v>0.1</v>
      </c>
      <c r="AI106" s="271" t="str">
        <f t="shared" si="20"/>
        <v>-</v>
      </c>
      <c r="AJ106" s="271" t="str">
        <f t="shared" si="48"/>
        <v>-</v>
      </c>
      <c r="AK106" s="227">
        <f t="shared" si="49"/>
        <v>6</v>
      </c>
      <c r="AL106" s="226" t="str">
        <f t="shared" si="21"/>
        <v>-</v>
      </c>
      <c r="AM106" s="227" t="str">
        <f t="shared" si="50"/>
        <v>-</v>
      </c>
      <c r="AN106" s="227" t="str">
        <f t="shared" si="51"/>
        <v>-</v>
      </c>
      <c r="AO106" s="227" t="str">
        <f t="shared" si="22"/>
        <v>-</v>
      </c>
      <c r="AP106" s="273">
        <f t="shared" si="52"/>
        <v>0.1</v>
      </c>
      <c r="AQ106" s="271" t="str">
        <f t="shared" si="53"/>
        <v>-</v>
      </c>
      <c r="AR106" s="271" t="str">
        <f t="shared" si="54"/>
        <v>-</v>
      </c>
      <c r="AS106" s="274">
        <f t="shared" si="23"/>
        <v>0</v>
      </c>
      <c r="AT106" s="274">
        <f t="shared" si="24"/>
        <v>0</v>
      </c>
      <c r="AU106" s="274">
        <f t="shared" si="25"/>
        <v>0</v>
      </c>
      <c r="AV106" s="275">
        <f>IF($B106&lt;$F$22,SUM($T$100:$T106),"")</f>
        <v>0</v>
      </c>
      <c r="AW106" s="275" t="str">
        <f t="shared" si="55"/>
        <v>-</v>
      </c>
      <c r="AX106" s="275" t="str">
        <f t="shared" si="56"/>
        <v/>
      </c>
      <c r="AY106"/>
      <c r="AZ106" s="275" t="str">
        <f ca="1">IF(ISNUMBER(OFFSET(AV106,-$F$21,0)),SUM(OFFSET($T$100,$F$21,0):$T106),"")</f>
        <v/>
      </c>
      <c r="BA106" s="275" t="str">
        <f t="shared" ca="1" si="26"/>
        <v/>
      </c>
      <c r="BB106" s="275" t="str">
        <f t="shared" ca="1" si="57"/>
        <v/>
      </c>
      <c r="BC106" s="190"/>
      <c r="BD106" s="275" t="str">
        <f ca="1">IFERROR(IF(AND($B106&gt;=($F$16-$F$15),$B106&lt;$F$22+($F$16-$F$15)),SUM(OFFSET($T$100,($F$16-$F$15),0):$T106),""),"")</f>
        <v/>
      </c>
      <c r="BE106" s="275" t="str">
        <f t="shared" ca="1" si="58"/>
        <v/>
      </c>
      <c r="BF106" s="275" t="str">
        <f t="shared" ca="1" si="59"/>
        <v/>
      </c>
      <c r="BG106"/>
      <c r="BH106" s="190" t="str">
        <f ca="1">IF(ISNUMBER(OFFSET(BD106,-$F$21,0)),SUM(OFFSET($T$100,($F$16-$F$15+$F$21),0):$T106),"")</f>
        <v/>
      </c>
      <c r="BI106" s="190" t="str">
        <f t="shared" ca="1" si="27"/>
        <v/>
      </c>
      <c r="BJ106" s="190" t="str">
        <f t="shared" ca="1" si="60"/>
        <v/>
      </c>
      <c r="BK106" s="190"/>
      <c r="BL106" s="275" t="str">
        <f ca="1">IFERROR(IF(AND($B106&gt;=($F$17-$F$15),$B106&lt;$F$22+($F$17-$F$15)),SUM(OFFSET($T$100,($F$17-$F$15),0):$T106),""),"")</f>
        <v/>
      </c>
      <c r="BM106" s="275" t="str">
        <f t="shared" ca="1" si="28"/>
        <v/>
      </c>
      <c r="BN106" s="275" t="str">
        <f t="shared" ca="1" si="61"/>
        <v/>
      </c>
      <c r="BO106"/>
      <c r="BP106" s="275" t="str">
        <f ca="1">IF(ISNUMBER(OFFSET(BL106,-$F$21,0)),SUM(OFFSET($T$100,($F$17-$F$15+$F$21),0):$T106),"")</f>
        <v/>
      </c>
      <c r="BQ106" s="275" t="str">
        <f t="shared" ca="1" si="62"/>
        <v/>
      </c>
      <c r="BR106" s="275" t="str">
        <f t="shared" ca="1" si="63"/>
        <v/>
      </c>
      <c r="BS106" s="190"/>
      <c r="BT106"/>
      <c r="BU106" s="276" t="str">
        <f t="shared" si="64"/>
        <v>end</v>
      </c>
      <c r="BV106" s="277">
        <v>6</v>
      </c>
      <c r="BW106" s="278" t="str">
        <f>IF(AND(BU106="end",BU105="end"), "", IF(BU106&lt;&gt;"",MIN(BU105:BU106),""))</f>
        <v/>
      </c>
      <c r="BX106" s="278" t="str">
        <f>IF(AND(BU106="end",BU105="end"), "", IF(BU106&lt;&gt;"",MAX(BU105:BU106),""))</f>
        <v/>
      </c>
      <c r="BY106" s="279" t="str">
        <f t="shared" si="65"/>
        <v/>
      </c>
      <c r="BZ106"/>
      <c r="CA106" s="284" t="str">
        <f t="shared" si="29"/>
        <v>-</v>
      </c>
      <c r="CB106" s="285" t="str">
        <f t="shared" si="30"/>
        <v>-</v>
      </c>
      <c r="CC106" s="285" t="str">
        <f t="shared" si="31"/>
        <v>6-7</v>
      </c>
      <c r="CD106" s="286" t="str">
        <f t="shared" si="32"/>
        <v/>
      </c>
      <c r="CE106" s="287" t="str">
        <f t="shared" si="33"/>
        <v>-</v>
      </c>
      <c r="CF106" s="285" t="str">
        <f t="shared" ca="1" si="34"/>
        <v>-</v>
      </c>
      <c r="CG106" s="285" t="str">
        <f t="shared" si="35"/>
        <v>6-7</v>
      </c>
      <c r="CH106" s="288" t="str">
        <f t="shared" ca="1" si="36"/>
        <v/>
      </c>
      <c r="CI106" s="99"/>
      <c r="CJ106" s="99"/>
      <c r="CK106" s="99"/>
      <c r="CL106" s="99"/>
      <c r="CM106" s="99"/>
      <c r="CN106" s="99"/>
      <c r="CO106" s="99"/>
    </row>
    <row r="107" spans="2:93" ht="13.5" customHeight="1" x14ac:dyDescent="0.2">
      <c r="B107" s="262">
        <v>7</v>
      </c>
      <c r="C107" s="236" t="str">
        <f t="shared" si="1"/>
        <v/>
      </c>
      <c r="D107" s="237" t="str">
        <f t="shared" si="66"/>
        <v>-</v>
      </c>
      <c r="E107" s="263" t="str">
        <f t="shared" si="37"/>
        <v/>
      </c>
      <c r="F107" s="264" t="str">
        <f t="shared" si="38"/>
        <v/>
      </c>
      <c r="G107" s="264" t="str">
        <f t="shared" si="39"/>
        <v/>
      </c>
      <c r="H107" s="240" t="str">
        <f t="shared" si="40"/>
        <v/>
      </c>
      <c r="I107" s="265" t="str">
        <f t="shared" si="2"/>
        <v/>
      </c>
      <c r="J107" s="265" t="str">
        <f t="shared" si="3"/>
        <v/>
      </c>
      <c r="K107" s="240" t="str">
        <f t="shared" si="41"/>
        <v/>
      </c>
      <c r="L107" s="265" t="str">
        <f t="shared" si="4"/>
        <v/>
      </c>
      <c r="M107" s="265" t="str">
        <f t="shared" si="5"/>
        <v/>
      </c>
      <c r="N107" s="240" t="str">
        <f t="shared" si="6"/>
        <v>-</v>
      </c>
      <c r="O107" s="265" t="str">
        <f t="shared" si="7"/>
        <v>-</v>
      </c>
      <c r="P107" s="265" t="str">
        <f t="shared" si="8"/>
        <v>-</v>
      </c>
      <c r="Q107" s="266" t="str">
        <f t="shared" si="9"/>
        <v>-</v>
      </c>
      <c r="R107" s="267" t="str">
        <f t="shared" si="10"/>
        <v>-</v>
      </c>
      <c r="S107" s="268" t="str">
        <f t="shared" si="11"/>
        <v>-</v>
      </c>
      <c r="T107" s="269" t="str">
        <f t="shared" si="12"/>
        <v/>
      </c>
      <c r="U107" s="221">
        <f t="shared" si="13"/>
        <v>7</v>
      </c>
      <c r="V107" s="220" t="str">
        <f t="shared" si="42"/>
        <v>-</v>
      </c>
      <c r="W107" s="221" t="str">
        <f t="shared" si="43"/>
        <v>-</v>
      </c>
      <c r="X107" s="221" t="str">
        <f t="shared" si="14"/>
        <v>-</v>
      </c>
      <c r="Y107" s="221" t="str">
        <f t="shared" si="15"/>
        <v>-</v>
      </c>
      <c r="Z107" s="270">
        <f t="shared" si="44"/>
        <v>0.1</v>
      </c>
      <c r="AA107" s="271" t="str">
        <f t="shared" si="67"/>
        <v>-</v>
      </c>
      <c r="AB107" s="271" t="str">
        <f t="shared" si="16"/>
        <v>-</v>
      </c>
      <c r="AC107" s="224">
        <f t="shared" si="45"/>
        <v>7</v>
      </c>
      <c r="AD107" s="223" t="str">
        <f t="shared" si="17"/>
        <v>-</v>
      </c>
      <c r="AE107" s="224" t="str">
        <f t="shared" si="46"/>
        <v>-</v>
      </c>
      <c r="AF107" s="224" t="str">
        <f t="shared" si="18"/>
        <v>-</v>
      </c>
      <c r="AG107" s="224" t="str">
        <f t="shared" si="19"/>
        <v>-</v>
      </c>
      <c r="AH107" s="272">
        <f t="shared" si="47"/>
        <v>0.1</v>
      </c>
      <c r="AI107" s="271" t="str">
        <f t="shared" si="20"/>
        <v>-</v>
      </c>
      <c r="AJ107" s="271" t="str">
        <f t="shared" si="48"/>
        <v>-</v>
      </c>
      <c r="AK107" s="227">
        <f t="shared" si="49"/>
        <v>7</v>
      </c>
      <c r="AL107" s="226" t="str">
        <f t="shared" si="21"/>
        <v>-</v>
      </c>
      <c r="AM107" s="227" t="str">
        <f t="shared" si="50"/>
        <v>-</v>
      </c>
      <c r="AN107" s="227" t="str">
        <f t="shared" si="51"/>
        <v>-</v>
      </c>
      <c r="AO107" s="227" t="str">
        <f t="shared" si="22"/>
        <v>-</v>
      </c>
      <c r="AP107" s="273">
        <f t="shared" si="52"/>
        <v>0.1</v>
      </c>
      <c r="AQ107" s="271" t="str">
        <f t="shared" si="53"/>
        <v>-</v>
      </c>
      <c r="AR107" s="271" t="str">
        <f t="shared" si="54"/>
        <v>-</v>
      </c>
      <c r="AS107" s="274">
        <f t="shared" si="23"/>
        <v>0</v>
      </c>
      <c r="AT107" s="274">
        <f t="shared" si="24"/>
        <v>0</v>
      </c>
      <c r="AU107" s="274">
        <f t="shared" si="25"/>
        <v>0</v>
      </c>
      <c r="AV107" s="275">
        <f>IF($B107&lt;$F$22,SUM($T$100:$T107),"")</f>
        <v>0</v>
      </c>
      <c r="AW107" s="275" t="str">
        <f t="shared" si="55"/>
        <v>-</v>
      </c>
      <c r="AX107" s="275" t="str">
        <f t="shared" si="56"/>
        <v/>
      </c>
      <c r="AY107"/>
      <c r="AZ107" s="275" t="str">
        <f ca="1">IF(ISNUMBER(OFFSET(AV107,-$F$21,0)),SUM(OFFSET($T$100,$F$21,0):$T107),"")</f>
        <v/>
      </c>
      <c r="BA107" s="275" t="str">
        <f t="shared" ca="1" si="26"/>
        <v/>
      </c>
      <c r="BB107" s="275" t="str">
        <f t="shared" ca="1" si="57"/>
        <v/>
      </c>
      <c r="BC107" s="190"/>
      <c r="BD107" s="275" t="str">
        <f ca="1">IFERROR(IF(AND($B107&gt;=($F$16-$F$15),$B107&lt;$F$22+($F$16-$F$15)),SUM(OFFSET($T$100,($F$16-$F$15),0):$T107),""),"")</f>
        <v/>
      </c>
      <c r="BE107" s="275" t="str">
        <f t="shared" ca="1" si="58"/>
        <v/>
      </c>
      <c r="BF107" s="275" t="str">
        <f t="shared" ca="1" si="59"/>
        <v/>
      </c>
      <c r="BG107"/>
      <c r="BH107" s="190" t="str">
        <f ca="1">IF(ISNUMBER(OFFSET(BD107,-$F$21,0)),SUM(OFFSET($T$100,($F$16-$F$15+$F$21),0):$T107),"")</f>
        <v/>
      </c>
      <c r="BI107" s="190" t="str">
        <f t="shared" ca="1" si="27"/>
        <v/>
      </c>
      <c r="BJ107" s="190" t="str">
        <f t="shared" ca="1" si="60"/>
        <v/>
      </c>
      <c r="BK107" s="190"/>
      <c r="BL107" s="275" t="str">
        <f ca="1">IFERROR(IF(AND($B107&gt;=($F$17-$F$15),$B107&lt;$F$22+($F$17-$F$15)),SUM(OFFSET($T$100,($F$17-$F$15),0):$T107),""),"")</f>
        <v/>
      </c>
      <c r="BM107" s="275" t="str">
        <f t="shared" ca="1" si="28"/>
        <v/>
      </c>
      <c r="BN107" s="275" t="str">
        <f t="shared" ca="1" si="61"/>
        <v/>
      </c>
      <c r="BO107"/>
      <c r="BP107" s="275" t="str">
        <f ca="1">IF(ISNUMBER(OFFSET(BL107,-$F$21,0)),SUM(OFFSET($T$100,($F$17-$F$15+$F$21),0):$T107),"")</f>
        <v/>
      </c>
      <c r="BQ107" s="275" t="str">
        <f t="shared" ca="1" si="62"/>
        <v/>
      </c>
      <c r="BR107" s="275" t="str">
        <f t="shared" ca="1" si="63"/>
        <v/>
      </c>
      <c r="BS107" s="190"/>
      <c r="BT107"/>
      <c r="BU107" s="276" t="str">
        <f t="shared" si="64"/>
        <v>end</v>
      </c>
      <c r="BV107" s="277">
        <v>7</v>
      </c>
      <c r="BW107" s="278" t="str">
        <f>IF(AND(BU107="end",BU106="end"), "", IF(BU107&lt;&gt;"",MIN(BU106:BU107),""))</f>
        <v/>
      </c>
      <c r="BX107" s="278" t="str">
        <f t="shared" ref="BX107:BX120" si="68">IF(AND(BU107="end",BU106="end"), "", IF(BU107&lt;&gt;"",MAX(BU106:BU107),""))</f>
        <v/>
      </c>
      <c r="BY107" s="279" t="str">
        <f t="shared" si="65"/>
        <v/>
      </c>
      <c r="BZ107"/>
      <c r="CA107" s="284" t="str">
        <f t="shared" si="29"/>
        <v>-</v>
      </c>
      <c r="CB107" s="285" t="str">
        <f t="shared" si="30"/>
        <v>-</v>
      </c>
      <c r="CC107" s="285" t="str">
        <f t="shared" si="31"/>
        <v>7-8</v>
      </c>
      <c r="CD107" s="286" t="str">
        <f t="shared" si="32"/>
        <v/>
      </c>
      <c r="CE107" s="287" t="str">
        <f t="shared" si="33"/>
        <v>-</v>
      </c>
      <c r="CF107" s="285" t="str">
        <f t="shared" ca="1" si="34"/>
        <v>-</v>
      </c>
      <c r="CG107" s="285" t="str">
        <f t="shared" si="35"/>
        <v>7-8</v>
      </c>
      <c r="CH107" s="288" t="str">
        <f t="shared" ca="1" si="36"/>
        <v/>
      </c>
      <c r="CI107" s="99"/>
      <c r="CJ107" s="99"/>
      <c r="CK107" s="99"/>
      <c r="CL107" s="99"/>
      <c r="CM107" s="99"/>
      <c r="CN107" s="99"/>
      <c r="CO107" s="99"/>
    </row>
    <row r="108" spans="2:93" ht="13.5" customHeight="1" x14ac:dyDescent="0.2">
      <c r="B108" s="262">
        <v>8</v>
      </c>
      <c r="C108" s="237" t="str">
        <f t="shared" si="1"/>
        <v/>
      </c>
      <c r="D108" s="237" t="str">
        <f t="shared" si="66"/>
        <v>-</v>
      </c>
      <c r="E108" s="263" t="str">
        <f t="shared" si="37"/>
        <v/>
      </c>
      <c r="F108" s="264" t="str">
        <f t="shared" si="38"/>
        <v/>
      </c>
      <c r="G108" s="264" t="str">
        <f t="shared" si="39"/>
        <v/>
      </c>
      <c r="H108" s="240" t="str">
        <f t="shared" si="40"/>
        <v/>
      </c>
      <c r="I108" s="265" t="str">
        <f t="shared" si="2"/>
        <v/>
      </c>
      <c r="J108" s="265" t="str">
        <f t="shared" si="3"/>
        <v/>
      </c>
      <c r="K108" s="240" t="str">
        <f t="shared" si="41"/>
        <v/>
      </c>
      <c r="L108" s="265" t="str">
        <f t="shared" si="4"/>
        <v/>
      </c>
      <c r="M108" s="265" t="str">
        <f t="shared" si="5"/>
        <v/>
      </c>
      <c r="N108" s="240" t="str">
        <f t="shared" si="6"/>
        <v>-</v>
      </c>
      <c r="O108" s="265" t="str">
        <f t="shared" si="7"/>
        <v>-</v>
      </c>
      <c r="P108" s="265" t="str">
        <f t="shared" si="8"/>
        <v>-</v>
      </c>
      <c r="Q108" s="266" t="str">
        <f t="shared" si="9"/>
        <v>-</v>
      </c>
      <c r="R108" s="267" t="str">
        <f t="shared" si="10"/>
        <v>-</v>
      </c>
      <c r="S108" s="268" t="str">
        <f t="shared" si="11"/>
        <v>-</v>
      </c>
      <c r="T108" s="269" t="str">
        <f t="shared" si="12"/>
        <v/>
      </c>
      <c r="U108" s="221">
        <f t="shared" si="13"/>
        <v>8</v>
      </c>
      <c r="V108" s="220" t="str">
        <f t="shared" si="42"/>
        <v>-</v>
      </c>
      <c r="W108" s="221" t="str">
        <f t="shared" si="43"/>
        <v>-</v>
      </c>
      <c r="X108" s="221" t="str">
        <f t="shared" si="14"/>
        <v>-</v>
      </c>
      <c r="Y108" s="221" t="str">
        <f t="shared" si="15"/>
        <v>-</v>
      </c>
      <c r="Z108" s="270">
        <f t="shared" si="44"/>
        <v>0.1</v>
      </c>
      <c r="AA108" s="271" t="str">
        <f t="shared" si="67"/>
        <v>-</v>
      </c>
      <c r="AB108" s="271" t="str">
        <f t="shared" si="16"/>
        <v>-</v>
      </c>
      <c r="AC108" s="224">
        <f t="shared" si="45"/>
        <v>8</v>
      </c>
      <c r="AD108" s="223" t="str">
        <f t="shared" si="17"/>
        <v>-</v>
      </c>
      <c r="AE108" s="224" t="str">
        <f t="shared" si="46"/>
        <v>-</v>
      </c>
      <c r="AF108" s="224" t="str">
        <f t="shared" si="18"/>
        <v>-</v>
      </c>
      <c r="AG108" s="224" t="str">
        <f t="shared" si="19"/>
        <v>-</v>
      </c>
      <c r="AH108" s="272">
        <f t="shared" si="47"/>
        <v>0.1</v>
      </c>
      <c r="AI108" s="271" t="str">
        <f t="shared" si="20"/>
        <v>-</v>
      </c>
      <c r="AJ108" s="271" t="str">
        <f t="shared" si="48"/>
        <v>-</v>
      </c>
      <c r="AK108" s="227">
        <f t="shared" si="49"/>
        <v>8</v>
      </c>
      <c r="AL108" s="226" t="str">
        <f t="shared" si="21"/>
        <v>-</v>
      </c>
      <c r="AM108" s="227" t="str">
        <f t="shared" si="50"/>
        <v>-</v>
      </c>
      <c r="AN108" s="227" t="str">
        <f t="shared" si="51"/>
        <v>-</v>
      </c>
      <c r="AO108" s="227" t="str">
        <f t="shared" si="22"/>
        <v>-</v>
      </c>
      <c r="AP108" s="273">
        <f t="shared" si="52"/>
        <v>0.1</v>
      </c>
      <c r="AQ108" s="271" t="str">
        <f t="shared" si="53"/>
        <v>-</v>
      </c>
      <c r="AR108" s="271" t="str">
        <f t="shared" si="54"/>
        <v>-</v>
      </c>
      <c r="AS108" s="274">
        <f t="shared" si="23"/>
        <v>0</v>
      </c>
      <c r="AT108" s="274">
        <f t="shared" si="24"/>
        <v>0</v>
      </c>
      <c r="AU108" s="274">
        <f t="shared" si="25"/>
        <v>0</v>
      </c>
      <c r="AV108" s="275">
        <f>IF($B108&lt;$F$22,SUM($T$100:$T108),"")</f>
        <v>0</v>
      </c>
      <c r="AW108" s="275" t="str">
        <f t="shared" si="55"/>
        <v>-</v>
      </c>
      <c r="AX108" s="275" t="str">
        <f t="shared" si="56"/>
        <v/>
      </c>
      <c r="AY108"/>
      <c r="AZ108" s="275" t="str">
        <f ca="1">IF(ISNUMBER(OFFSET(AV108,-$F$21,0)),SUM(OFFSET($T$100,$F$21,0):$T108),"")</f>
        <v/>
      </c>
      <c r="BA108" s="275" t="str">
        <f t="shared" ca="1" si="26"/>
        <v/>
      </c>
      <c r="BB108" s="275" t="str">
        <f t="shared" ca="1" si="57"/>
        <v/>
      </c>
      <c r="BC108" s="190"/>
      <c r="BD108" s="275" t="str">
        <f ca="1">IFERROR(IF(AND($B108&gt;=($F$16-$F$15),$B108&lt;$F$22+($F$16-$F$15)),SUM(OFFSET($T$100,($F$16-$F$15),0):$T108),""),"")</f>
        <v/>
      </c>
      <c r="BE108" s="275" t="str">
        <f t="shared" ca="1" si="58"/>
        <v/>
      </c>
      <c r="BF108" s="275" t="str">
        <f t="shared" ca="1" si="59"/>
        <v/>
      </c>
      <c r="BG108"/>
      <c r="BH108" s="190" t="str">
        <f ca="1">IF(ISNUMBER(OFFSET(BD108,-$F$21,0)),SUM(OFFSET($T$100,($F$16-$F$15+$F$21),0):$T108),"")</f>
        <v/>
      </c>
      <c r="BI108" s="190" t="str">
        <f t="shared" ca="1" si="27"/>
        <v/>
      </c>
      <c r="BJ108" s="190" t="str">
        <f t="shared" ca="1" si="60"/>
        <v/>
      </c>
      <c r="BK108" s="190"/>
      <c r="BL108" s="275" t="str">
        <f ca="1">IFERROR(IF(AND($B108&gt;=($F$17-$F$15),$B108&lt;$F$22+($F$17-$F$15)),SUM(OFFSET($T$100,($F$17-$F$15),0):$T108),""),"")</f>
        <v/>
      </c>
      <c r="BM108" s="275" t="str">
        <f t="shared" ca="1" si="28"/>
        <v/>
      </c>
      <c r="BN108" s="275" t="str">
        <f t="shared" ca="1" si="61"/>
        <v/>
      </c>
      <c r="BO108"/>
      <c r="BP108" s="275" t="str">
        <f ca="1">IF(ISNUMBER(OFFSET(BL108,-$F$21,0)),SUM(OFFSET($T$100,($F$17-$F$15+$F$21),0):$T108),"")</f>
        <v/>
      </c>
      <c r="BQ108" s="275" t="str">
        <f t="shared" ca="1" si="62"/>
        <v/>
      </c>
      <c r="BR108" s="275" t="str">
        <f t="shared" ca="1" si="63"/>
        <v/>
      </c>
      <c r="BS108" s="190"/>
      <c r="BT108"/>
      <c r="BU108" s="276" t="str">
        <f t="shared" si="64"/>
        <v>end</v>
      </c>
      <c r="BV108" s="277">
        <v>8</v>
      </c>
      <c r="BW108" s="278" t="str">
        <f t="shared" ref="BW108:BW120" si="69">IF(AND(BU108="end",BU107="end"), "", IF(BU108&lt;&gt;"",MIN(BU107:BU108),""))</f>
        <v/>
      </c>
      <c r="BX108" s="278" t="str">
        <f t="shared" si="68"/>
        <v/>
      </c>
      <c r="BY108" s="279" t="str">
        <f t="shared" si="65"/>
        <v/>
      </c>
      <c r="BZ108"/>
      <c r="CA108" s="284" t="str">
        <f t="shared" si="29"/>
        <v>-</v>
      </c>
      <c r="CB108" s="285" t="str">
        <f t="shared" si="30"/>
        <v>-</v>
      </c>
      <c r="CC108" s="285" t="str">
        <f t="shared" si="31"/>
        <v>8-9</v>
      </c>
      <c r="CD108" s="286" t="str">
        <f t="shared" si="32"/>
        <v/>
      </c>
      <c r="CE108" s="287" t="str">
        <f t="shared" si="33"/>
        <v>-</v>
      </c>
      <c r="CF108" s="285" t="str">
        <f t="shared" ca="1" si="34"/>
        <v>-</v>
      </c>
      <c r="CG108" s="285" t="str">
        <f t="shared" si="35"/>
        <v>8-9</v>
      </c>
      <c r="CH108" s="288" t="str">
        <f t="shared" ca="1" si="36"/>
        <v/>
      </c>
      <c r="CI108" s="99"/>
      <c r="CJ108" s="99"/>
      <c r="CK108" s="99"/>
      <c r="CL108" s="99"/>
      <c r="CM108" s="99"/>
      <c r="CN108" s="99"/>
      <c r="CO108" s="99"/>
    </row>
    <row r="109" spans="2:93" ht="13.5" customHeight="1" x14ac:dyDescent="0.2">
      <c r="B109" s="262">
        <v>9</v>
      </c>
      <c r="C109" s="237" t="str">
        <f t="shared" si="1"/>
        <v/>
      </c>
      <c r="D109" s="237" t="str">
        <f t="shared" si="66"/>
        <v>-</v>
      </c>
      <c r="E109" s="263" t="str">
        <f t="shared" si="37"/>
        <v/>
      </c>
      <c r="F109" s="264" t="str">
        <f t="shared" si="38"/>
        <v/>
      </c>
      <c r="G109" s="264" t="str">
        <f t="shared" si="39"/>
        <v/>
      </c>
      <c r="H109" s="240" t="str">
        <f t="shared" si="40"/>
        <v/>
      </c>
      <c r="I109" s="265" t="str">
        <f t="shared" si="2"/>
        <v/>
      </c>
      <c r="J109" s="265" t="str">
        <f t="shared" si="3"/>
        <v/>
      </c>
      <c r="K109" s="240" t="str">
        <f t="shared" si="41"/>
        <v/>
      </c>
      <c r="L109" s="265" t="str">
        <f t="shared" si="4"/>
        <v/>
      </c>
      <c r="M109" s="265" t="str">
        <f t="shared" si="5"/>
        <v/>
      </c>
      <c r="N109" s="240" t="str">
        <f t="shared" si="6"/>
        <v>-</v>
      </c>
      <c r="O109" s="265" t="str">
        <f t="shared" si="7"/>
        <v>-</v>
      </c>
      <c r="P109" s="265" t="str">
        <f t="shared" si="8"/>
        <v>-</v>
      </c>
      <c r="Q109" s="266" t="str">
        <f t="shared" si="9"/>
        <v>-</v>
      </c>
      <c r="R109" s="267" t="str">
        <f t="shared" si="10"/>
        <v>-</v>
      </c>
      <c r="S109" s="268" t="str">
        <f t="shared" si="11"/>
        <v>-</v>
      </c>
      <c r="T109" s="269" t="str">
        <f t="shared" si="12"/>
        <v/>
      </c>
      <c r="U109" s="221">
        <f t="shared" si="13"/>
        <v>9</v>
      </c>
      <c r="V109" s="220" t="str">
        <f t="shared" si="42"/>
        <v>-</v>
      </c>
      <c r="W109" s="221" t="str">
        <f t="shared" si="43"/>
        <v>-</v>
      </c>
      <c r="X109" s="221" t="str">
        <f t="shared" si="14"/>
        <v>-</v>
      </c>
      <c r="Y109" s="221" t="str">
        <f t="shared" si="15"/>
        <v>-</v>
      </c>
      <c r="Z109" s="270">
        <f t="shared" si="44"/>
        <v>0.1</v>
      </c>
      <c r="AA109" s="271" t="str">
        <f t="shared" si="67"/>
        <v>-</v>
      </c>
      <c r="AB109" s="271" t="str">
        <f t="shared" si="16"/>
        <v>-</v>
      </c>
      <c r="AC109" s="224">
        <f t="shared" si="45"/>
        <v>9</v>
      </c>
      <c r="AD109" s="223" t="str">
        <f t="shared" si="17"/>
        <v>-</v>
      </c>
      <c r="AE109" s="224" t="str">
        <f t="shared" si="46"/>
        <v>-</v>
      </c>
      <c r="AF109" s="224" t="str">
        <f t="shared" si="18"/>
        <v>-</v>
      </c>
      <c r="AG109" s="224" t="str">
        <f t="shared" si="19"/>
        <v>-</v>
      </c>
      <c r="AH109" s="272">
        <f t="shared" si="47"/>
        <v>0.1</v>
      </c>
      <c r="AI109" s="271" t="str">
        <f t="shared" si="20"/>
        <v>-</v>
      </c>
      <c r="AJ109" s="271" t="str">
        <f t="shared" si="48"/>
        <v>-</v>
      </c>
      <c r="AK109" s="227">
        <f t="shared" si="49"/>
        <v>9</v>
      </c>
      <c r="AL109" s="226" t="str">
        <f t="shared" si="21"/>
        <v>-</v>
      </c>
      <c r="AM109" s="227" t="str">
        <f t="shared" si="50"/>
        <v>-</v>
      </c>
      <c r="AN109" s="227" t="str">
        <f t="shared" si="51"/>
        <v>-</v>
      </c>
      <c r="AO109" s="227" t="str">
        <f t="shared" si="22"/>
        <v>-</v>
      </c>
      <c r="AP109" s="273">
        <f t="shared" si="52"/>
        <v>0.1</v>
      </c>
      <c r="AQ109" s="271" t="str">
        <f t="shared" si="53"/>
        <v>-</v>
      </c>
      <c r="AR109" s="271" t="str">
        <f t="shared" si="54"/>
        <v>-</v>
      </c>
      <c r="AS109" s="274">
        <f t="shared" si="23"/>
        <v>0</v>
      </c>
      <c r="AT109" s="274">
        <f t="shared" si="24"/>
        <v>0</v>
      </c>
      <c r="AU109" s="274">
        <f t="shared" si="25"/>
        <v>0</v>
      </c>
      <c r="AV109" s="275">
        <f>IF($B109&lt;$F$22,SUM($T$100:$T109),"")</f>
        <v>0</v>
      </c>
      <c r="AW109" s="275" t="str">
        <f t="shared" si="55"/>
        <v>-</v>
      </c>
      <c r="AX109" s="275" t="str">
        <f t="shared" si="56"/>
        <v/>
      </c>
      <c r="AY109"/>
      <c r="AZ109" s="275" t="str">
        <f ca="1">IF(ISNUMBER(OFFSET(AV109,-$F$21,0)),SUM(OFFSET($T$100,$F$21,0):$T109),"")</f>
        <v/>
      </c>
      <c r="BA109" s="275" t="str">
        <f t="shared" ca="1" si="26"/>
        <v/>
      </c>
      <c r="BB109" s="275" t="str">
        <f t="shared" ca="1" si="57"/>
        <v/>
      </c>
      <c r="BC109" s="190"/>
      <c r="BD109" s="275" t="str">
        <f ca="1">IFERROR(IF(AND($B109&gt;=($F$16-$F$15),$B109&lt;$F$22+($F$16-$F$15)),SUM(OFFSET($T$100,($F$16-$F$15),0):$T109),""),"")</f>
        <v/>
      </c>
      <c r="BE109" s="275" t="str">
        <f t="shared" ca="1" si="58"/>
        <v/>
      </c>
      <c r="BF109" s="275" t="str">
        <f t="shared" ca="1" si="59"/>
        <v/>
      </c>
      <c r="BG109"/>
      <c r="BH109" s="190" t="str">
        <f ca="1">IF(ISNUMBER(OFFSET(BD109,-$F$21,0)),SUM(OFFSET($T$100,($F$16-$F$15+$F$21),0):$T109),"")</f>
        <v/>
      </c>
      <c r="BI109" s="190" t="str">
        <f t="shared" ca="1" si="27"/>
        <v/>
      </c>
      <c r="BJ109" s="190" t="str">
        <f t="shared" ca="1" si="60"/>
        <v/>
      </c>
      <c r="BK109" s="190"/>
      <c r="BL109" s="275" t="str">
        <f ca="1">IFERROR(IF(AND($B109&gt;=($F$17-$F$15),$B109&lt;$F$22+($F$17-$F$15)),SUM(OFFSET($T$100,($F$17-$F$15),0):$T109),""),"")</f>
        <v/>
      </c>
      <c r="BM109" s="275" t="str">
        <f t="shared" ca="1" si="28"/>
        <v/>
      </c>
      <c r="BN109" s="275" t="str">
        <f t="shared" ca="1" si="61"/>
        <v/>
      </c>
      <c r="BO109"/>
      <c r="BP109" s="275" t="str">
        <f ca="1">IF(ISNUMBER(OFFSET(BL109,-$F$21,0)),SUM(OFFSET($T$100,($F$17-$F$15+$F$21),0):$T109),"")</f>
        <v/>
      </c>
      <c r="BQ109" s="275" t="str">
        <f t="shared" ca="1" si="62"/>
        <v/>
      </c>
      <c r="BR109" s="275" t="str">
        <f t="shared" ca="1" si="63"/>
        <v/>
      </c>
      <c r="BS109" s="190"/>
      <c r="BT109"/>
      <c r="BU109" s="276" t="str">
        <f t="shared" si="64"/>
        <v>end</v>
      </c>
      <c r="BV109" s="277">
        <v>9</v>
      </c>
      <c r="BW109" s="278" t="str">
        <f t="shared" si="69"/>
        <v/>
      </c>
      <c r="BX109" s="278" t="str">
        <f t="shared" si="68"/>
        <v/>
      </c>
      <c r="BY109" s="279" t="str">
        <f t="shared" si="65"/>
        <v/>
      </c>
      <c r="BZ109"/>
      <c r="CA109" s="284" t="str">
        <f t="shared" si="29"/>
        <v>-</v>
      </c>
      <c r="CB109" s="285" t="str">
        <f t="shared" si="30"/>
        <v>-</v>
      </c>
      <c r="CC109" s="285" t="str">
        <f t="shared" si="31"/>
        <v>9-10</v>
      </c>
      <c r="CD109" s="286" t="str">
        <f t="shared" si="32"/>
        <v/>
      </c>
      <c r="CE109" s="287" t="str">
        <f t="shared" si="33"/>
        <v>-</v>
      </c>
      <c r="CF109" s="285" t="str">
        <f t="shared" ca="1" si="34"/>
        <v>-</v>
      </c>
      <c r="CG109" s="285" t="str">
        <f t="shared" si="35"/>
        <v>9-10</v>
      </c>
      <c r="CH109" s="288" t="str">
        <f t="shared" ca="1" si="36"/>
        <v/>
      </c>
      <c r="CI109" s="99"/>
      <c r="CJ109" s="99"/>
      <c r="CK109" s="99"/>
      <c r="CL109" s="99"/>
      <c r="CM109" s="99"/>
      <c r="CN109" s="99"/>
      <c r="CO109" s="99"/>
    </row>
    <row r="110" spans="2:93" ht="13.5" customHeight="1" x14ac:dyDescent="0.2">
      <c r="B110" s="262">
        <v>10</v>
      </c>
      <c r="C110" s="237" t="str">
        <f t="shared" si="1"/>
        <v/>
      </c>
      <c r="D110" s="237" t="str">
        <f t="shared" si="66"/>
        <v>-</v>
      </c>
      <c r="E110" s="263" t="str">
        <f t="shared" si="37"/>
        <v/>
      </c>
      <c r="F110" s="264" t="str">
        <f t="shared" si="38"/>
        <v/>
      </c>
      <c r="G110" s="264" t="str">
        <f t="shared" si="39"/>
        <v/>
      </c>
      <c r="H110" s="240" t="str">
        <f t="shared" si="40"/>
        <v/>
      </c>
      <c r="I110" s="265" t="str">
        <f t="shared" si="2"/>
        <v/>
      </c>
      <c r="J110" s="265" t="str">
        <f t="shared" si="3"/>
        <v/>
      </c>
      <c r="K110" s="240" t="str">
        <f t="shared" si="41"/>
        <v/>
      </c>
      <c r="L110" s="265" t="str">
        <f t="shared" si="4"/>
        <v/>
      </c>
      <c r="M110" s="265" t="str">
        <f t="shared" si="5"/>
        <v/>
      </c>
      <c r="N110" s="240" t="str">
        <f t="shared" si="6"/>
        <v>-</v>
      </c>
      <c r="O110" s="265" t="str">
        <f t="shared" si="7"/>
        <v>-</v>
      </c>
      <c r="P110" s="265" t="str">
        <f t="shared" si="8"/>
        <v>-</v>
      </c>
      <c r="Q110" s="266" t="str">
        <f t="shared" si="9"/>
        <v>-</v>
      </c>
      <c r="R110" s="267" t="str">
        <f t="shared" si="10"/>
        <v>-</v>
      </c>
      <c r="S110" s="268" t="str">
        <f t="shared" si="11"/>
        <v>-</v>
      </c>
      <c r="T110" s="269" t="str">
        <f t="shared" si="12"/>
        <v/>
      </c>
      <c r="U110" s="221">
        <f t="shared" si="13"/>
        <v>10</v>
      </c>
      <c r="V110" s="220" t="str">
        <f t="shared" si="42"/>
        <v>-</v>
      </c>
      <c r="W110" s="221" t="str">
        <f t="shared" si="43"/>
        <v>-</v>
      </c>
      <c r="X110" s="221" t="str">
        <f t="shared" si="14"/>
        <v>-</v>
      </c>
      <c r="Y110" s="221" t="str">
        <f t="shared" si="15"/>
        <v>-</v>
      </c>
      <c r="Z110" s="270">
        <f t="shared" si="44"/>
        <v>0.1</v>
      </c>
      <c r="AA110" s="271" t="str">
        <f t="shared" si="67"/>
        <v>-</v>
      </c>
      <c r="AB110" s="271" t="str">
        <f t="shared" si="16"/>
        <v>-</v>
      </c>
      <c r="AC110" s="224">
        <f t="shared" si="45"/>
        <v>10</v>
      </c>
      <c r="AD110" s="223" t="str">
        <f t="shared" si="17"/>
        <v>-</v>
      </c>
      <c r="AE110" s="224" t="str">
        <f t="shared" si="46"/>
        <v>-</v>
      </c>
      <c r="AF110" s="224" t="str">
        <f t="shared" si="18"/>
        <v>-</v>
      </c>
      <c r="AG110" s="224" t="str">
        <f t="shared" si="19"/>
        <v>-</v>
      </c>
      <c r="AH110" s="272">
        <f t="shared" si="47"/>
        <v>0.1</v>
      </c>
      <c r="AI110" s="271" t="str">
        <f t="shared" si="20"/>
        <v>-</v>
      </c>
      <c r="AJ110" s="271" t="str">
        <f t="shared" si="48"/>
        <v>-</v>
      </c>
      <c r="AK110" s="227">
        <f t="shared" si="49"/>
        <v>10</v>
      </c>
      <c r="AL110" s="226" t="str">
        <f t="shared" si="21"/>
        <v>-</v>
      </c>
      <c r="AM110" s="227" t="str">
        <f t="shared" si="50"/>
        <v>-</v>
      </c>
      <c r="AN110" s="227" t="str">
        <f t="shared" si="51"/>
        <v>-</v>
      </c>
      <c r="AO110" s="227" t="str">
        <f t="shared" si="22"/>
        <v>-</v>
      </c>
      <c r="AP110" s="273">
        <f t="shared" si="52"/>
        <v>0.1</v>
      </c>
      <c r="AQ110" s="271" t="str">
        <f t="shared" si="53"/>
        <v>-</v>
      </c>
      <c r="AR110" s="271" t="str">
        <f t="shared" si="54"/>
        <v>-</v>
      </c>
      <c r="AS110" s="274">
        <f t="shared" si="23"/>
        <v>0</v>
      </c>
      <c r="AT110" s="274">
        <f t="shared" si="24"/>
        <v>0</v>
      </c>
      <c r="AU110" s="274">
        <f t="shared" si="25"/>
        <v>0</v>
      </c>
      <c r="AV110" s="275">
        <f>IF($B110&lt;$F$22,SUM($T$100:$T110),"")</f>
        <v>0</v>
      </c>
      <c r="AW110" s="275" t="str">
        <f t="shared" si="55"/>
        <v>-</v>
      </c>
      <c r="AX110" s="275" t="str">
        <f t="shared" si="56"/>
        <v/>
      </c>
      <c r="AY110"/>
      <c r="AZ110" s="275" t="str">
        <f ca="1">IF(ISNUMBER(OFFSET(AV110,-$F$21,0)),SUM(OFFSET($T$100,$F$21,0):$T110),"")</f>
        <v/>
      </c>
      <c r="BA110" s="275" t="str">
        <f t="shared" ca="1" si="26"/>
        <v/>
      </c>
      <c r="BB110" s="275" t="str">
        <f t="shared" ca="1" si="57"/>
        <v/>
      </c>
      <c r="BC110" s="190"/>
      <c r="BD110" s="275" t="str">
        <f ca="1">IFERROR(IF(AND($B110&gt;=($F$16-$F$15),$B110&lt;$F$22+($F$16-$F$15)),SUM(OFFSET($T$100,($F$16-$F$15),0):$T110),""),"")</f>
        <v/>
      </c>
      <c r="BE110" s="275" t="str">
        <f t="shared" ca="1" si="58"/>
        <v/>
      </c>
      <c r="BF110" s="275" t="str">
        <f t="shared" ca="1" si="59"/>
        <v/>
      </c>
      <c r="BG110"/>
      <c r="BH110" s="190" t="str">
        <f ca="1">IF(ISNUMBER(OFFSET(BD110,-$F$21,0)),SUM(OFFSET($T$100,($F$16-$F$15+$F$21),0):$T110),"")</f>
        <v/>
      </c>
      <c r="BI110" s="190" t="str">
        <f t="shared" ca="1" si="27"/>
        <v/>
      </c>
      <c r="BJ110" s="190" t="str">
        <f t="shared" ca="1" si="60"/>
        <v/>
      </c>
      <c r="BK110" s="190"/>
      <c r="BL110" s="275" t="str">
        <f ca="1">IFERROR(IF(AND($B110&gt;=($F$17-$F$15),$B110&lt;$F$22+($F$17-$F$15)),SUM(OFFSET($T$100,($F$17-$F$15),0):$T110),""),"")</f>
        <v/>
      </c>
      <c r="BM110" s="275" t="str">
        <f t="shared" ca="1" si="28"/>
        <v/>
      </c>
      <c r="BN110" s="275" t="str">
        <f t="shared" ca="1" si="61"/>
        <v/>
      </c>
      <c r="BO110"/>
      <c r="BP110" s="275" t="str">
        <f ca="1">IF(ISNUMBER(OFFSET(BL110,-$F$21,0)),SUM(OFFSET($T$100,($F$17-$F$15+$F$21),0):$T110),"")</f>
        <v/>
      </c>
      <c r="BQ110" s="275" t="str">
        <f t="shared" ca="1" si="62"/>
        <v/>
      </c>
      <c r="BR110" s="275" t="str">
        <f t="shared" ca="1" si="63"/>
        <v/>
      </c>
      <c r="BS110" s="190"/>
      <c r="BT110"/>
      <c r="BU110" s="276" t="str">
        <f t="shared" si="64"/>
        <v>end</v>
      </c>
      <c r="BV110" s="277">
        <v>10</v>
      </c>
      <c r="BW110" s="278" t="str">
        <f t="shared" si="69"/>
        <v/>
      </c>
      <c r="BX110" s="278" t="str">
        <f t="shared" si="68"/>
        <v/>
      </c>
      <c r="BY110" s="279" t="str">
        <f t="shared" si="65"/>
        <v/>
      </c>
      <c r="BZ110"/>
      <c r="CA110" s="284" t="str">
        <f t="shared" si="29"/>
        <v>-</v>
      </c>
      <c r="CB110" s="285" t="str">
        <f t="shared" si="30"/>
        <v>-</v>
      </c>
      <c r="CC110" s="285" t="str">
        <f t="shared" si="31"/>
        <v>10-11</v>
      </c>
      <c r="CD110" s="286" t="str">
        <f t="shared" si="32"/>
        <v/>
      </c>
      <c r="CE110" s="287" t="str">
        <f t="shared" si="33"/>
        <v>-</v>
      </c>
      <c r="CF110" s="285" t="str">
        <f t="shared" ca="1" si="34"/>
        <v>-</v>
      </c>
      <c r="CG110" s="285" t="str">
        <f t="shared" si="35"/>
        <v>10-11</v>
      </c>
      <c r="CH110" s="288" t="str">
        <f t="shared" ca="1" si="36"/>
        <v/>
      </c>
      <c r="CI110" s="99"/>
      <c r="CJ110" s="99"/>
      <c r="CK110" s="99"/>
      <c r="CL110" s="99"/>
      <c r="CM110" s="99"/>
      <c r="CN110" s="99"/>
      <c r="CO110" s="99"/>
    </row>
    <row r="111" spans="2:93" ht="13.5" customHeight="1" x14ac:dyDescent="0.2">
      <c r="B111" s="262">
        <v>11</v>
      </c>
      <c r="C111" s="237" t="str">
        <f t="shared" si="1"/>
        <v/>
      </c>
      <c r="D111" s="237" t="str">
        <f t="shared" si="66"/>
        <v>-</v>
      </c>
      <c r="E111" s="263" t="str">
        <f t="shared" si="37"/>
        <v/>
      </c>
      <c r="F111" s="264" t="str">
        <f t="shared" si="38"/>
        <v/>
      </c>
      <c r="G111" s="264" t="str">
        <f t="shared" si="39"/>
        <v/>
      </c>
      <c r="H111" s="240" t="str">
        <f t="shared" si="40"/>
        <v/>
      </c>
      <c r="I111" s="265" t="str">
        <f t="shared" si="2"/>
        <v/>
      </c>
      <c r="J111" s="265" t="str">
        <f t="shared" si="3"/>
        <v/>
      </c>
      <c r="K111" s="240" t="str">
        <f t="shared" si="41"/>
        <v/>
      </c>
      <c r="L111" s="265" t="str">
        <f t="shared" si="4"/>
        <v/>
      </c>
      <c r="M111" s="265" t="str">
        <f t="shared" si="5"/>
        <v/>
      </c>
      <c r="N111" s="240" t="str">
        <f t="shared" si="6"/>
        <v>-</v>
      </c>
      <c r="O111" s="265" t="str">
        <f t="shared" si="7"/>
        <v>-</v>
      </c>
      <c r="P111" s="265" t="str">
        <f t="shared" si="8"/>
        <v>-</v>
      </c>
      <c r="Q111" s="266" t="str">
        <f t="shared" si="9"/>
        <v>-</v>
      </c>
      <c r="R111" s="267" t="str">
        <f t="shared" si="10"/>
        <v>-</v>
      </c>
      <c r="S111" s="268" t="str">
        <f t="shared" si="11"/>
        <v>-</v>
      </c>
      <c r="T111" s="269" t="str">
        <f t="shared" si="12"/>
        <v/>
      </c>
      <c r="U111" s="221">
        <f t="shared" si="13"/>
        <v>11</v>
      </c>
      <c r="V111" s="220" t="str">
        <f t="shared" si="42"/>
        <v>-</v>
      </c>
      <c r="W111" s="221" t="str">
        <f t="shared" si="43"/>
        <v>-</v>
      </c>
      <c r="X111" s="221" t="str">
        <f t="shared" si="14"/>
        <v>-</v>
      </c>
      <c r="Y111" s="221" t="str">
        <f t="shared" si="15"/>
        <v>-</v>
      </c>
      <c r="Z111" s="270">
        <f t="shared" si="44"/>
        <v>0.1</v>
      </c>
      <c r="AA111" s="271" t="str">
        <f t="shared" si="67"/>
        <v>-</v>
      </c>
      <c r="AB111" s="271" t="str">
        <f t="shared" si="16"/>
        <v>-</v>
      </c>
      <c r="AC111" s="224">
        <f t="shared" si="45"/>
        <v>11</v>
      </c>
      <c r="AD111" s="223" t="str">
        <f t="shared" si="17"/>
        <v>-</v>
      </c>
      <c r="AE111" s="224" t="str">
        <f t="shared" si="46"/>
        <v>-</v>
      </c>
      <c r="AF111" s="224" t="str">
        <f t="shared" si="18"/>
        <v>-</v>
      </c>
      <c r="AG111" s="224" t="str">
        <f t="shared" si="19"/>
        <v>-</v>
      </c>
      <c r="AH111" s="272">
        <f t="shared" si="47"/>
        <v>0.1</v>
      </c>
      <c r="AI111" s="271" t="str">
        <f t="shared" si="20"/>
        <v>-</v>
      </c>
      <c r="AJ111" s="271" t="str">
        <f t="shared" si="48"/>
        <v>-</v>
      </c>
      <c r="AK111" s="227">
        <f t="shared" si="49"/>
        <v>11</v>
      </c>
      <c r="AL111" s="226" t="str">
        <f t="shared" si="21"/>
        <v>-</v>
      </c>
      <c r="AM111" s="227" t="str">
        <f t="shared" si="50"/>
        <v>-</v>
      </c>
      <c r="AN111" s="227" t="str">
        <f t="shared" si="51"/>
        <v>-</v>
      </c>
      <c r="AO111" s="227" t="str">
        <f t="shared" si="22"/>
        <v>-</v>
      </c>
      <c r="AP111" s="273">
        <f t="shared" si="52"/>
        <v>0.1</v>
      </c>
      <c r="AQ111" s="271" t="str">
        <f t="shared" si="53"/>
        <v>-</v>
      </c>
      <c r="AR111" s="271" t="str">
        <f t="shared" si="54"/>
        <v>-</v>
      </c>
      <c r="AS111" s="274">
        <f t="shared" si="23"/>
        <v>0</v>
      </c>
      <c r="AT111" s="274">
        <f t="shared" si="24"/>
        <v>0</v>
      </c>
      <c r="AU111" s="274">
        <f t="shared" si="25"/>
        <v>0</v>
      </c>
      <c r="AV111" s="275">
        <f>IF($B111&lt;$F$22,SUM($T$100:$T111),"")</f>
        <v>0</v>
      </c>
      <c r="AW111" s="275" t="str">
        <f t="shared" si="55"/>
        <v>-</v>
      </c>
      <c r="AX111" s="275" t="str">
        <f t="shared" si="56"/>
        <v/>
      </c>
      <c r="AY111"/>
      <c r="AZ111" s="275" t="str">
        <f ca="1">IF(ISNUMBER(OFFSET(AV111,-$F$21,0)),SUM(OFFSET($T$100,$F$21,0):$T111),"")</f>
        <v/>
      </c>
      <c r="BA111" s="275" t="str">
        <f t="shared" ca="1" si="26"/>
        <v/>
      </c>
      <c r="BB111" s="275" t="str">
        <f t="shared" ca="1" si="57"/>
        <v/>
      </c>
      <c r="BC111" s="190"/>
      <c r="BD111" s="275" t="str">
        <f ca="1">IFERROR(IF(AND($B111&gt;=($F$16-$F$15),$B111&lt;$F$22+($F$16-$F$15)),SUM(OFFSET($T$100,($F$16-$F$15),0):$T111),""),"")</f>
        <v/>
      </c>
      <c r="BE111" s="275" t="str">
        <f t="shared" ca="1" si="58"/>
        <v/>
      </c>
      <c r="BF111" s="275" t="str">
        <f t="shared" ca="1" si="59"/>
        <v/>
      </c>
      <c r="BG111"/>
      <c r="BH111" s="190" t="str">
        <f ca="1">IF(ISNUMBER(OFFSET(BD111,-$F$21,0)),SUM(OFFSET($T$100,($F$16-$F$15+$F$21),0):$T111),"")</f>
        <v/>
      </c>
      <c r="BI111" s="190" t="str">
        <f t="shared" ca="1" si="27"/>
        <v/>
      </c>
      <c r="BJ111" s="190" t="str">
        <f t="shared" ca="1" si="60"/>
        <v/>
      </c>
      <c r="BK111" s="190"/>
      <c r="BL111" s="275" t="str">
        <f ca="1">IFERROR(IF(AND($B111&gt;=($F$17-$F$15),$B111&lt;$F$22+($F$17-$F$15)),SUM(OFFSET($T$100,($F$17-$F$15),0):$T111),""),"")</f>
        <v/>
      </c>
      <c r="BM111" s="275" t="str">
        <f t="shared" ca="1" si="28"/>
        <v/>
      </c>
      <c r="BN111" s="275" t="str">
        <f t="shared" ca="1" si="61"/>
        <v/>
      </c>
      <c r="BO111"/>
      <c r="BP111" s="275" t="str">
        <f ca="1">IF(ISNUMBER(OFFSET(BL111,-$F$21,0)),SUM(OFFSET($T$100,($F$17-$F$15+$F$21),0):$T111),"")</f>
        <v/>
      </c>
      <c r="BQ111" s="275" t="str">
        <f t="shared" ca="1" si="62"/>
        <v/>
      </c>
      <c r="BR111" s="275" t="str">
        <f t="shared" ca="1" si="63"/>
        <v/>
      </c>
      <c r="BS111" s="190"/>
      <c r="BT111"/>
      <c r="BU111" s="276" t="str">
        <f t="shared" si="64"/>
        <v>end</v>
      </c>
      <c r="BV111" s="277">
        <v>11</v>
      </c>
      <c r="BW111" s="278" t="str">
        <f t="shared" si="69"/>
        <v/>
      </c>
      <c r="BX111" s="278" t="str">
        <f t="shared" si="68"/>
        <v/>
      </c>
      <c r="BY111" s="279" t="str">
        <f t="shared" si="65"/>
        <v/>
      </c>
      <c r="BZ111"/>
      <c r="CA111" s="284" t="str">
        <f t="shared" si="29"/>
        <v>-</v>
      </c>
      <c r="CB111" s="285" t="str">
        <f t="shared" si="30"/>
        <v>-</v>
      </c>
      <c r="CC111" s="285" t="str">
        <f t="shared" si="31"/>
        <v>11-12</v>
      </c>
      <c r="CD111" s="286" t="str">
        <f t="shared" si="32"/>
        <v/>
      </c>
      <c r="CE111" s="287" t="str">
        <f t="shared" si="33"/>
        <v>-</v>
      </c>
      <c r="CF111" s="285" t="str">
        <f t="shared" ca="1" si="34"/>
        <v>-</v>
      </c>
      <c r="CG111" s="285" t="str">
        <f t="shared" si="35"/>
        <v>11-12</v>
      </c>
      <c r="CH111" s="288" t="str">
        <f t="shared" ca="1" si="36"/>
        <v/>
      </c>
      <c r="CI111" s="99"/>
      <c r="CJ111" s="99"/>
      <c r="CK111" s="99"/>
      <c r="CL111" s="99"/>
      <c r="CM111" s="99"/>
      <c r="CN111" s="99"/>
      <c r="CO111" s="99"/>
    </row>
    <row r="112" spans="2:93" ht="13.5" customHeight="1" x14ac:dyDescent="0.2">
      <c r="B112" s="262">
        <v>12</v>
      </c>
      <c r="C112" s="237" t="str">
        <f t="shared" si="1"/>
        <v/>
      </c>
      <c r="D112" s="237" t="str">
        <f t="shared" si="66"/>
        <v>-</v>
      </c>
      <c r="E112" s="263" t="str">
        <f t="shared" si="37"/>
        <v/>
      </c>
      <c r="F112" s="264" t="str">
        <f t="shared" si="38"/>
        <v/>
      </c>
      <c r="G112" s="264" t="str">
        <f t="shared" si="39"/>
        <v/>
      </c>
      <c r="H112" s="240" t="str">
        <f t="shared" si="40"/>
        <v/>
      </c>
      <c r="I112" s="265" t="str">
        <f t="shared" si="2"/>
        <v/>
      </c>
      <c r="J112" s="265" t="str">
        <f t="shared" si="3"/>
        <v/>
      </c>
      <c r="K112" s="240" t="str">
        <f t="shared" si="41"/>
        <v/>
      </c>
      <c r="L112" s="265" t="str">
        <f t="shared" si="4"/>
        <v/>
      </c>
      <c r="M112" s="265" t="str">
        <f t="shared" si="5"/>
        <v/>
      </c>
      <c r="N112" s="240" t="str">
        <f t="shared" si="6"/>
        <v>-</v>
      </c>
      <c r="O112" s="265" t="str">
        <f t="shared" si="7"/>
        <v>-</v>
      </c>
      <c r="P112" s="265" t="str">
        <f t="shared" si="8"/>
        <v>-</v>
      </c>
      <c r="Q112" s="266" t="str">
        <f t="shared" si="9"/>
        <v>-</v>
      </c>
      <c r="R112" s="267" t="str">
        <f t="shared" si="10"/>
        <v>-</v>
      </c>
      <c r="S112" s="268" t="str">
        <f t="shared" si="11"/>
        <v>-</v>
      </c>
      <c r="T112" s="269" t="str">
        <f t="shared" si="12"/>
        <v/>
      </c>
      <c r="U112" s="221">
        <f t="shared" si="13"/>
        <v>12</v>
      </c>
      <c r="V112" s="220" t="str">
        <f t="shared" si="42"/>
        <v>-</v>
      </c>
      <c r="W112" s="221" t="str">
        <f t="shared" si="43"/>
        <v>-</v>
      </c>
      <c r="X112" s="221" t="str">
        <f t="shared" si="14"/>
        <v>-</v>
      </c>
      <c r="Y112" s="221" t="str">
        <f t="shared" si="15"/>
        <v>-</v>
      </c>
      <c r="Z112" s="270">
        <f t="shared" si="44"/>
        <v>0.1</v>
      </c>
      <c r="AA112" s="271" t="str">
        <f t="shared" si="67"/>
        <v>-</v>
      </c>
      <c r="AB112" s="271" t="str">
        <f t="shared" si="16"/>
        <v>-</v>
      </c>
      <c r="AC112" s="224">
        <f t="shared" si="45"/>
        <v>12</v>
      </c>
      <c r="AD112" s="223" t="str">
        <f t="shared" si="17"/>
        <v>-</v>
      </c>
      <c r="AE112" s="224" t="str">
        <f t="shared" si="46"/>
        <v>-</v>
      </c>
      <c r="AF112" s="224" t="str">
        <f t="shared" si="18"/>
        <v>-</v>
      </c>
      <c r="AG112" s="224" t="str">
        <f t="shared" si="19"/>
        <v>-</v>
      </c>
      <c r="AH112" s="272">
        <f t="shared" si="47"/>
        <v>0.1</v>
      </c>
      <c r="AI112" s="271" t="str">
        <f t="shared" si="20"/>
        <v>-</v>
      </c>
      <c r="AJ112" s="271" t="str">
        <f t="shared" si="48"/>
        <v>-</v>
      </c>
      <c r="AK112" s="227">
        <f t="shared" si="49"/>
        <v>12</v>
      </c>
      <c r="AL112" s="226" t="str">
        <f t="shared" si="21"/>
        <v>-</v>
      </c>
      <c r="AM112" s="227" t="str">
        <f t="shared" si="50"/>
        <v>-</v>
      </c>
      <c r="AN112" s="227" t="str">
        <f t="shared" si="51"/>
        <v>-</v>
      </c>
      <c r="AO112" s="227" t="str">
        <f t="shared" si="22"/>
        <v>-</v>
      </c>
      <c r="AP112" s="273">
        <f t="shared" si="52"/>
        <v>0.1</v>
      </c>
      <c r="AQ112" s="271" t="str">
        <f t="shared" si="53"/>
        <v>-</v>
      </c>
      <c r="AR112" s="271" t="str">
        <f t="shared" si="54"/>
        <v>-</v>
      </c>
      <c r="AS112" s="274">
        <f t="shared" si="23"/>
        <v>0</v>
      </c>
      <c r="AT112" s="274">
        <f t="shared" si="24"/>
        <v>0</v>
      </c>
      <c r="AU112" s="274">
        <f t="shared" si="25"/>
        <v>0</v>
      </c>
      <c r="AV112" s="275">
        <f>IF($B112&lt;$F$22,SUM($T$100:$T112),"")</f>
        <v>0</v>
      </c>
      <c r="AW112" s="275" t="str">
        <f t="shared" si="55"/>
        <v>-</v>
      </c>
      <c r="AX112" s="275" t="str">
        <f t="shared" si="56"/>
        <v/>
      </c>
      <c r="AY112"/>
      <c r="AZ112" s="275" t="str">
        <f ca="1">IF(ISNUMBER(OFFSET(AV112,-$F$21,0)),SUM(OFFSET($T$100,$F$21,0):$T112),"")</f>
        <v/>
      </c>
      <c r="BA112" s="275" t="str">
        <f t="shared" ca="1" si="26"/>
        <v/>
      </c>
      <c r="BB112" s="275" t="str">
        <f t="shared" ca="1" si="57"/>
        <v/>
      </c>
      <c r="BC112" s="190"/>
      <c r="BD112" s="275" t="str">
        <f ca="1">IFERROR(IF(AND($B112&gt;=($F$16-$F$15),$B112&lt;$F$22+($F$16-$F$15)),SUM(OFFSET($T$100,($F$16-$F$15),0):$T112),""),"")</f>
        <v/>
      </c>
      <c r="BE112" s="275" t="str">
        <f t="shared" ca="1" si="58"/>
        <v/>
      </c>
      <c r="BF112" s="275" t="str">
        <f t="shared" ca="1" si="59"/>
        <v/>
      </c>
      <c r="BG112"/>
      <c r="BH112" s="190" t="str">
        <f ca="1">IF(ISNUMBER(OFFSET(BD112,-$F$21,0)),SUM(OFFSET($T$100,($F$16-$F$15+$F$21),0):$T112),"")</f>
        <v/>
      </c>
      <c r="BI112" s="190" t="str">
        <f t="shared" ca="1" si="27"/>
        <v/>
      </c>
      <c r="BJ112" s="190" t="str">
        <f t="shared" ca="1" si="60"/>
        <v/>
      </c>
      <c r="BK112" s="190"/>
      <c r="BL112" s="275" t="str">
        <f ca="1">IFERROR(IF(AND($B112&gt;=($F$17-$F$15),$B112&lt;$F$22+($F$17-$F$15)),SUM(OFFSET($T$100,($F$17-$F$15),0):$T112),""),"")</f>
        <v/>
      </c>
      <c r="BM112" s="275" t="str">
        <f t="shared" ca="1" si="28"/>
        <v/>
      </c>
      <c r="BN112" s="275" t="str">
        <f t="shared" ca="1" si="61"/>
        <v/>
      </c>
      <c r="BO112"/>
      <c r="BP112" s="275" t="str">
        <f ca="1">IF(ISNUMBER(OFFSET(BL112,-$F$21,0)),SUM(OFFSET($T$100,($F$17-$F$15+$F$21),0):$T112),"")</f>
        <v/>
      </c>
      <c r="BQ112" s="275" t="str">
        <f t="shared" ca="1" si="62"/>
        <v/>
      </c>
      <c r="BR112" s="275" t="str">
        <f t="shared" ca="1" si="63"/>
        <v/>
      </c>
      <c r="BS112" s="190"/>
      <c r="BT112"/>
      <c r="BU112" s="276" t="str">
        <f t="shared" si="64"/>
        <v>end</v>
      </c>
      <c r="BV112" s="277">
        <v>12</v>
      </c>
      <c r="BW112" s="278" t="str">
        <f t="shared" si="69"/>
        <v/>
      </c>
      <c r="BX112" s="278" t="str">
        <f t="shared" si="68"/>
        <v/>
      </c>
      <c r="BY112" s="279" t="str">
        <f t="shared" si="65"/>
        <v/>
      </c>
      <c r="BZ112"/>
      <c r="CA112" s="284" t="str">
        <f t="shared" si="29"/>
        <v>-</v>
      </c>
      <c r="CB112" s="285" t="str">
        <f t="shared" si="30"/>
        <v>-</v>
      </c>
      <c r="CC112" s="285" t="str">
        <f t="shared" si="31"/>
        <v>12-13</v>
      </c>
      <c r="CD112" s="286" t="str">
        <f t="shared" si="32"/>
        <v/>
      </c>
      <c r="CE112" s="287" t="str">
        <f t="shared" si="33"/>
        <v>-</v>
      </c>
      <c r="CF112" s="285" t="str">
        <f t="shared" ca="1" si="34"/>
        <v>-</v>
      </c>
      <c r="CG112" s="285" t="str">
        <f t="shared" si="35"/>
        <v>12-13</v>
      </c>
      <c r="CH112" s="288" t="str">
        <f t="shared" ca="1" si="36"/>
        <v/>
      </c>
      <c r="CI112" s="99"/>
      <c r="CJ112" s="99"/>
      <c r="CK112" s="99"/>
      <c r="CL112" s="99"/>
      <c r="CM112" s="99"/>
      <c r="CN112" s="99"/>
      <c r="CO112" s="99"/>
    </row>
    <row r="113" spans="2:93" ht="13.5" customHeight="1" x14ac:dyDescent="0.2">
      <c r="B113" s="262">
        <v>13</v>
      </c>
      <c r="C113" s="237" t="str">
        <f t="shared" si="1"/>
        <v/>
      </c>
      <c r="D113" s="237" t="str">
        <f t="shared" si="66"/>
        <v>-</v>
      </c>
      <c r="E113" s="263" t="str">
        <f t="shared" si="37"/>
        <v/>
      </c>
      <c r="F113" s="289" t="str">
        <f t="shared" si="38"/>
        <v/>
      </c>
      <c r="G113" s="264" t="str">
        <f t="shared" si="39"/>
        <v/>
      </c>
      <c r="H113" s="240" t="str">
        <f>IF(E113&lt;&gt;"",IF($B113&lt;$F$21,"",IF(ISNUMBER(F113),IF(ISNUMBER(I113),(E113*30*50*ffp),""),(E113*30*50*ffp))),"")</f>
        <v/>
      </c>
      <c r="I113" s="265" t="str">
        <f t="shared" si="2"/>
        <v/>
      </c>
      <c r="J113" s="265" t="str">
        <f t="shared" si="3"/>
        <v/>
      </c>
      <c r="K113" s="240" t="str">
        <f t="shared" si="41"/>
        <v/>
      </c>
      <c r="L113" s="265" t="str">
        <f t="shared" si="4"/>
        <v/>
      </c>
      <c r="M113" s="265" t="str">
        <f t="shared" si="5"/>
        <v/>
      </c>
      <c r="N113" s="240" t="str">
        <f t="shared" si="6"/>
        <v>-</v>
      </c>
      <c r="O113" s="265" t="str">
        <f t="shared" si="7"/>
        <v>-</v>
      </c>
      <c r="P113" s="265" t="str">
        <f t="shared" si="8"/>
        <v>-</v>
      </c>
      <c r="Q113" s="266" t="str">
        <f t="shared" si="9"/>
        <v>-</v>
      </c>
      <c r="R113" s="267" t="str">
        <f t="shared" si="10"/>
        <v>-</v>
      </c>
      <c r="S113" s="268" t="str">
        <f t="shared" si="11"/>
        <v>-</v>
      </c>
      <c r="T113" s="269" t="str">
        <f t="shared" si="12"/>
        <v/>
      </c>
      <c r="U113" s="221">
        <f t="shared" si="13"/>
        <v>13</v>
      </c>
      <c r="V113" s="220" t="str">
        <f t="shared" si="42"/>
        <v>-</v>
      </c>
      <c r="W113" s="221" t="str">
        <f t="shared" si="43"/>
        <v>-</v>
      </c>
      <c r="X113" s="221" t="str">
        <f t="shared" si="14"/>
        <v>-</v>
      </c>
      <c r="Y113" s="221" t="str">
        <f t="shared" si="15"/>
        <v>-</v>
      </c>
      <c r="Z113" s="270">
        <f t="shared" si="44"/>
        <v>0.1</v>
      </c>
      <c r="AA113" s="271" t="str">
        <f t="shared" si="67"/>
        <v>-</v>
      </c>
      <c r="AB113" s="271" t="str">
        <f t="shared" si="16"/>
        <v>-</v>
      </c>
      <c r="AC113" s="224">
        <f t="shared" si="45"/>
        <v>13</v>
      </c>
      <c r="AD113" s="223" t="str">
        <f t="shared" si="17"/>
        <v>-</v>
      </c>
      <c r="AE113" s="224" t="str">
        <f t="shared" si="46"/>
        <v>-</v>
      </c>
      <c r="AF113" s="224" t="str">
        <f t="shared" si="18"/>
        <v>-</v>
      </c>
      <c r="AG113" s="224" t="str">
        <f t="shared" si="19"/>
        <v>-</v>
      </c>
      <c r="AH113" s="272">
        <f t="shared" si="47"/>
        <v>0.1</v>
      </c>
      <c r="AI113" s="271" t="str">
        <f t="shared" si="20"/>
        <v>-</v>
      </c>
      <c r="AJ113" s="271" t="str">
        <f>IFERROR(IF(AD113=1,D113*EXP(-(0.04*AF113+0.1*AG113)),IF(AD113=2,D113*EXP(-(0.04*($F$21+AF113)+0.1*(($F$16-$F$15)-$F$21+AG113))),D113*EXP(-(0.04*($F$21*2+AF113)+0.1*((($F$16-$F$15)-$F$21)*2-AG113))))),"-")</f>
        <v>-</v>
      </c>
      <c r="AK113" s="227">
        <f t="shared" si="49"/>
        <v>13</v>
      </c>
      <c r="AL113" s="226" t="str">
        <f t="shared" si="21"/>
        <v>-</v>
      </c>
      <c r="AM113" s="227" t="str">
        <f t="shared" si="50"/>
        <v>-</v>
      </c>
      <c r="AN113" s="227" t="str">
        <f t="shared" si="51"/>
        <v>-</v>
      </c>
      <c r="AO113" s="227" t="str">
        <f t="shared" si="22"/>
        <v>-</v>
      </c>
      <c r="AP113" s="273">
        <f t="shared" si="52"/>
        <v>0.1</v>
      </c>
      <c r="AQ113" s="271" t="str">
        <f t="shared" si="53"/>
        <v>-</v>
      </c>
      <c r="AR113" s="271" t="str">
        <f t="shared" si="54"/>
        <v>-</v>
      </c>
      <c r="AS113" s="274">
        <f t="shared" si="23"/>
        <v>0</v>
      </c>
      <c r="AT113" s="274">
        <f t="shared" si="24"/>
        <v>0</v>
      </c>
      <c r="AU113" s="274">
        <f t="shared" si="25"/>
        <v>0</v>
      </c>
      <c r="AV113" s="275">
        <f>IF($B113&lt;$F$22,SUM($T$100:$T113),"")</f>
        <v>0</v>
      </c>
      <c r="AW113" s="275" t="str">
        <f t="shared" si="55"/>
        <v>-</v>
      </c>
      <c r="AX113" s="275" t="str">
        <f t="shared" si="56"/>
        <v/>
      </c>
      <c r="AY113"/>
      <c r="AZ113" s="275" t="str">
        <f ca="1">IF(ISNUMBER(OFFSET(AV113,-$F$21,0)),SUM(OFFSET($T$100,$F$21,0):$T113),"")</f>
        <v/>
      </c>
      <c r="BA113" s="275" t="str">
        <f t="shared" ca="1" si="26"/>
        <v/>
      </c>
      <c r="BB113" s="275" t="str">
        <f t="shared" ca="1" si="57"/>
        <v/>
      </c>
      <c r="BC113" s="190"/>
      <c r="BD113" s="275" t="str">
        <f ca="1">IFERROR(IF(AND($B113&gt;=($F$16-$F$15),$B113&lt;$F$22+($F$16-$F$15)),SUM(OFFSET($T$100,($F$16-$F$15),0):$T113),""),"")</f>
        <v/>
      </c>
      <c r="BE113" s="275" t="str">
        <f t="shared" ca="1" si="58"/>
        <v/>
      </c>
      <c r="BF113" s="275" t="str">
        <f t="shared" ca="1" si="59"/>
        <v/>
      </c>
      <c r="BG113"/>
      <c r="BH113" s="190" t="str">
        <f ca="1">IF(ISNUMBER(OFFSET(BD113,-$F$21,0)),SUM(OFFSET($T$100,($F$16-$F$15+$F$21),0):$T113),"")</f>
        <v/>
      </c>
      <c r="BI113" s="190" t="str">
        <f t="shared" ca="1" si="27"/>
        <v/>
      </c>
      <c r="BJ113" s="190" t="str">
        <f t="shared" ca="1" si="60"/>
        <v/>
      </c>
      <c r="BK113" s="190"/>
      <c r="BL113" s="275" t="str">
        <f ca="1">IFERROR(IF(AND($B113&gt;=($F$17-$F$15),$B113&lt;$F$22+($F$17-$F$15)),SUM(OFFSET($T$100,($F$17-$F$15),0):$T113),""),"")</f>
        <v/>
      </c>
      <c r="BM113" s="275" t="str">
        <f t="shared" ca="1" si="28"/>
        <v/>
      </c>
      <c r="BN113" s="275" t="str">
        <f t="shared" ca="1" si="61"/>
        <v/>
      </c>
      <c r="BO113"/>
      <c r="BP113" s="275" t="str">
        <f ca="1">IF(ISNUMBER(OFFSET(BL113,-$F$21,0)),SUM(OFFSET($T$100,($F$17-$F$15+$F$21),0):$T113),"")</f>
        <v/>
      </c>
      <c r="BQ113" s="275" t="str">
        <f t="shared" ca="1" si="62"/>
        <v/>
      </c>
      <c r="BR113" s="275" t="str">
        <f t="shared" ca="1" si="63"/>
        <v/>
      </c>
      <c r="BS113" s="190"/>
      <c r="BT113"/>
      <c r="BU113" s="276" t="str">
        <f t="shared" si="64"/>
        <v>end</v>
      </c>
      <c r="BV113" s="277">
        <v>13</v>
      </c>
      <c r="BW113" s="278" t="str">
        <f t="shared" si="69"/>
        <v/>
      </c>
      <c r="BX113" s="278" t="str">
        <f t="shared" si="68"/>
        <v/>
      </c>
      <c r="BY113" s="279" t="str">
        <f t="shared" si="65"/>
        <v/>
      </c>
      <c r="BZ113"/>
      <c r="CA113" s="284" t="str">
        <f t="shared" si="29"/>
        <v>-</v>
      </c>
      <c r="CB113" s="285" t="str">
        <f t="shared" si="30"/>
        <v>-</v>
      </c>
      <c r="CC113" s="285" t="str">
        <f t="shared" si="31"/>
        <v>13-14</v>
      </c>
      <c r="CD113" s="286" t="str">
        <f t="shared" si="32"/>
        <v/>
      </c>
      <c r="CE113" s="287" t="str">
        <f t="shared" si="33"/>
        <v>-</v>
      </c>
      <c r="CF113" s="285" t="str">
        <f t="shared" ca="1" si="34"/>
        <v>-</v>
      </c>
      <c r="CG113" s="285" t="str">
        <f t="shared" si="35"/>
        <v>13-14</v>
      </c>
      <c r="CH113" s="288" t="str">
        <f t="shared" ca="1" si="36"/>
        <v/>
      </c>
      <c r="CI113" s="99"/>
      <c r="CJ113" s="99"/>
      <c r="CK113" s="99"/>
      <c r="CL113" s="99"/>
      <c r="CM113" s="99"/>
      <c r="CN113" s="99"/>
      <c r="CO113" s="99"/>
    </row>
    <row r="114" spans="2:93" ht="13.5" customHeight="1" x14ac:dyDescent="0.2">
      <c r="B114" s="262">
        <v>14</v>
      </c>
      <c r="C114" s="236" t="str">
        <f t="shared" si="1"/>
        <v/>
      </c>
      <c r="D114" s="237" t="str">
        <f t="shared" si="66"/>
        <v>-</v>
      </c>
      <c r="E114" s="290" t="str">
        <f t="shared" si="37"/>
        <v/>
      </c>
      <c r="F114" s="264" t="str">
        <f t="shared" si="38"/>
        <v/>
      </c>
      <c r="G114" s="291" t="str">
        <f t="shared" si="39"/>
        <v/>
      </c>
      <c r="H114" s="240" t="str">
        <f>IF(E114&lt;&gt;"",IF($B114&lt;$F$21,"",IF(ISNUMBER(F114),IF(ISNUMBER(I114),(E114*30*50*ffp),""),(E114*30*50*ffp))),"")</f>
        <v/>
      </c>
      <c r="I114" s="265" t="str">
        <f t="shared" si="2"/>
        <v/>
      </c>
      <c r="J114" s="265" t="str">
        <f t="shared" si="3"/>
        <v/>
      </c>
      <c r="K114" s="240" t="str">
        <f t="shared" si="41"/>
        <v/>
      </c>
      <c r="L114" s="265" t="str">
        <f t="shared" si="4"/>
        <v/>
      </c>
      <c r="M114" s="265" t="str">
        <f t="shared" si="5"/>
        <v/>
      </c>
      <c r="N114" s="240" t="str">
        <f t="shared" si="6"/>
        <v>-</v>
      </c>
      <c r="O114" s="265" t="str">
        <f t="shared" si="7"/>
        <v>-</v>
      </c>
      <c r="P114" s="265" t="str">
        <f t="shared" si="8"/>
        <v>-</v>
      </c>
      <c r="Q114" s="266" t="str">
        <f t="shared" si="9"/>
        <v>-</v>
      </c>
      <c r="R114" s="267" t="str">
        <f t="shared" si="10"/>
        <v>-</v>
      </c>
      <c r="S114" s="268" t="str">
        <f t="shared" si="11"/>
        <v>-</v>
      </c>
      <c r="T114" s="269" t="str">
        <f t="shared" si="12"/>
        <v/>
      </c>
      <c r="U114" s="221">
        <f t="shared" si="13"/>
        <v>14</v>
      </c>
      <c r="V114" s="220" t="str">
        <f t="shared" si="42"/>
        <v>-</v>
      </c>
      <c r="W114" s="221" t="str">
        <f t="shared" si="43"/>
        <v>-</v>
      </c>
      <c r="X114" s="221" t="str">
        <f t="shared" si="14"/>
        <v>-</v>
      </c>
      <c r="Y114" s="221" t="str">
        <f t="shared" si="15"/>
        <v>-</v>
      </c>
      <c r="Z114" s="270">
        <f t="shared" si="44"/>
        <v>0.1</v>
      </c>
      <c r="AA114" s="271" t="str">
        <f t="shared" si="67"/>
        <v>-</v>
      </c>
      <c r="AB114" s="292" t="str">
        <f t="shared" si="16"/>
        <v>-</v>
      </c>
      <c r="AC114" s="224">
        <f t="shared" si="45"/>
        <v>14</v>
      </c>
      <c r="AD114" s="223" t="str">
        <f t="shared" si="17"/>
        <v>-</v>
      </c>
      <c r="AE114" s="224" t="str">
        <f t="shared" si="46"/>
        <v>-</v>
      </c>
      <c r="AF114" s="224" t="str">
        <f t="shared" si="18"/>
        <v>-</v>
      </c>
      <c r="AG114" s="224" t="str">
        <f t="shared" si="19"/>
        <v>-</v>
      </c>
      <c r="AH114" s="272">
        <f t="shared" si="47"/>
        <v>0.1</v>
      </c>
      <c r="AI114" s="271" t="str">
        <f t="shared" si="20"/>
        <v>-</v>
      </c>
      <c r="AJ114" s="292" t="str">
        <f>IFERROR(IF(AD114=1,D114*EXP(-(0.04*AF114+0.1*AG114)),IF(AD114=2,D114*EXP(-(0.04*($F$21+AF114)+0.1*(($F$16-$F$15)-$F$21+AG114))),D114*EXP(-(0.04*($F$21*2+AF114)+0.1*((($F$16-$F$15)-$F$21)*2-AG114))))),"-")</f>
        <v>-</v>
      </c>
      <c r="AK114" s="227">
        <f t="shared" si="49"/>
        <v>14</v>
      </c>
      <c r="AL114" s="226" t="str">
        <f t="shared" si="21"/>
        <v>-</v>
      </c>
      <c r="AM114" s="227" t="str">
        <f t="shared" si="50"/>
        <v>-</v>
      </c>
      <c r="AN114" s="227" t="str">
        <f t="shared" si="51"/>
        <v>-</v>
      </c>
      <c r="AO114" s="227" t="str">
        <f t="shared" si="22"/>
        <v>-</v>
      </c>
      <c r="AP114" s="273">
        <f t="shared" si="52"/>
        <v>0.1</v>
      </c>
      <c r="AQ114" s="271" t="str">
        <f>IFERROR(IF(AL113=1,D114*EXP(-(0.04*AN113+0.1*AO113)),IF(AL113=2,D114*EXP(-(0.04*($F$21+AN113)+0.1*(($F$16-$F$15)-$F$21+AO113))),D114*EXP(-(0.04*($F$21*2+AN113)+0.1*((($F$16-$F$15)-$F$21)*2-AO113))))),"-")</f>
        <v>-</v>
      </c>
      <c r="AR114" s="292" t="str">
        <f>IFERROR(IF(AL114=1,D114*EXP(-(0.04*AN114+0.1*AO114)),IF(AL114=2,D114*EXP(-(0.04*($F$21+AN114)+0.1*(($F$16-$F$15)-$F$21+AO114))),D114*EXP(-(0.04*($F$21*2+AN114)+0.1*((($F$16-$F$15)-$F$21)*2-AO114))))),"-")</f>
        <v>-</v>
      </c>
      <c r="AS114" s="274">
        <f t="shared" si="23"/>
        <v>0</v>
      </c>
      <c r="AT114" s="274">
        <f t="shared" si="24"/>
        <v>0</v>
      </c>
      <c r="AU114" s="274">
        <f t="shared" si="25"/>
        <v>0</v>
      </c>
      <c r="AV114" s="275">
        <f>IF($B114&lt;$F$22,SUM($T$100:$T114),"")</f>
        <v>0</v>
      </c>
      <c r="AW114" s="275" t="str">
        <f t="shared" si="55"/>
        <v>-</v>
      </c>
      <c r="AX114" s="275" t="str">
        <f t="shared" si="56"/>
        <v/>
      </c>
      <c r="AY114"/>
      <c r="AZ114" s="275" t="str">
        <f ca="1">IF(ISNUMBER(OFFSET(AV114,-$F$21,0)),SUM(OFFSET($T$100,$F$21,0):$T114),"")</f>
        <v/>
      </c>
      <c r="BA114" s="275" t="str">
        <f t="shared" ca="1" si="26"/>
        <v/>
      </c>
      <c r="BB114" s="275" t="str">
        <f t="shared" ca="1" si="57"/>
        <v/>
      </c>
      <c r="BC114" s="190"/>
      <c r="BD114" s="275" t="str">
        <f ca="1">IFERROR(IF(AND($B114&gt;=($F$16-$F$15),$B114&lt;$F$22+($F$16-$F$15)),SUM(OFFSET($T$100,($F$16-$F$15),0):$T114),""),"")</f>
        <v/>
      </c>
      <c r="BE114" s="275" t="str">
        <f t="shared" ca="1" si="58"/>
        <v/>
      </c>
      <c r="BF114" s="275" t="str">
        <f ca="1">IF(ISNUMBER(BD114),(BD114-BE114)/(3*86400*($B114-($F$16-$F$15)+1))*1000,"")</f>
        <v/>
      </c>
      <c r="BG114"/>
      <c r="BH114" s="190" t="str">
        <f ca="1">IF(ISNUMBER(OFFSET(BD114,-$F$21,0)),SUM(OFFSET($T$100,($F$16-$F$15+$F$21),0):$T114),"")</f>
        <v/>
      </c>
      <c r="BI114" s="190" t="str">
        <f t="shared" ca="1" si="27"/>
        <v/>
      </c>
      <c r="BJ114" s="190" t="str">
        <f t="shared" ca="1" si="60"/>
        <v/>
      </c>
      <c r="BK114" s="190"/>
      <c r="BL114" s="275" t="str">
        <f ca="1">IFERROR(IF(AND($B114&gt;=($F$17-$F$15),$B114&lt;$F$22+($F$17-$F$15)),SUM(OFFSET($T$100,($F$17-$F$15),0):$T114),""),"")</f>
        <v/>
      </c>
      <c r="BM114" s="275" t="str">
        <f t="shared" ca="1" si="28"/>
        <v/>
      </c>
      <c r="BN114" s="275" t="str">
        <f t="shared" ca="1" si="61"/>
        <v/>
      </c>
      <c r="BO114"/>
      <c r="BP114" s="275" t="str">
        <f ca="1">IF(ISNUMBER(OFFSET(BL114,-$F$21,0)),SUM(OFFSET($T$100,($F$17-$F$15+$F$21),0):$T114),"")</f>
        <v/>
      </c>
      <c r="BQ114" s="275" t="str">
        <f t="shared" ca="1" si="62"/>
        <v/>
      </c>
      <c r="BR114" s="275" t="str">
        <f t="shared" ca="1" si="63"/>
        <v/>
      </c>
      <c r="BS114" s="190"/>
      <c r="BT114"/>
      <c r="BU114" s="276" t="str">
        <f t="shared" si="64"/>
        <v>end</v>
      </c>
      <c r="BV114" s="277">
        <v>14</v>
      </c>
      <c r="BW114" s="278" t="str">
        <f t="shared" si="69"/>
        <v/>
      </c>
      <c r="BX114" s="278" t="str">
        <f t="shared" si="68"/>
        <v/>
      </c>
      <c r="BY114" s="279" t="str">
        <f t="shared" si="65"/>
        <v/>
      </c>
      <c r="BZ114"/>
      <c r="CA114" s="284" t="str">
        <f t="shared" si="29"/>
        <v>-</v>
      </c>
      <c r="CB114" s="285" t="str">
        <f t="shared" si="30"/>
        <v>-</v>
      </c>
      <c r="CC114" s="285" t="str">
        <f t="shared" si="31"/>
        <v>14-15</v>
      </c>
      <c r="CD114" s="286" t="str">
        <f t="shared" si="32"/>
        <v/>
      </c>
      <c r="CE114" s="287" t="str">
        <f t="shared" si="33"/>
        <v>-</v>
      </c>
      <c r="CF114" s="285" t="str">
        <f t="shared" ca="1" si="34"/>
        <v>-</v>
      </c>
      <c r="CG114" s="285" t="str">
        <f t="shared" si="35"/>
        <v>14-15</v>
      </c>
      <c r="CH114" s="288" t="str">
        <f t="shared" ca="1" si="36"/>
        <v/>
      </c>
      <c r="CI114" s="99"/>
      <c r="CJ114" s="99"/>
      <c r="CK114" s="99"/>
      <c r="CL114" s="99"/>
      <c r="CM114" s="99"/>
      <c r="CN114" s="99"/>
      <c r="CO114" s="99"/>
    </row>
    <row r="115" spans="2:93" ht="13.5" customHeight="1" x14ac:dyDescent="0.2">
      <c r="B115" s="293">
        <v>15</v>
      </c>
      <c r="C115" s="237" t="str">
        <f t="shared" si="1"/>
        <v/>
      </c>
      <c r="D115" s="237" t="str">
        <f t="shared" si="66"/>
        <v>-</v>
      </c>
      <c r="E115" s="290" t="str">
        <f t="shared" si="37"/>
        <v/>
      </c>
      <c r="F115" s="264" t="str">
        <f t="shared" si="38"/>
        <v/>
      </c>
      <c r="G115" s="291" t="str">
        <f t="shared" si="39"/>
        <v/>
      </c>
      <c r="H115" s="240" t="str">
        <f t="shared" si="40"/>
        <v/>
      </c>
      <c r="I115" s="265" t="str">
        <f t="shared" si="2"/>
        <v/>
      </c>
      <c r="J115" s="265" t="str">
        <f t="shared" si="3"/>
        <v/>
      </c>
      <c r="K115" s="240" t="str">
        <f t="shared" si="41"/>
        <v/>
      </c>
      <c r="L115" s="265" t="str">
        <f t="shared" si="4"/>
        <v/>
      </c>
      <c r="M115" s="265" t="str">
        <f t="shared" si="5"/>
        <v/>
      </c>
      <c r="N115" s="240" t="str">
        <f t="shared" si="6"/>
        <v>-</v>
      </c>
      <c r="O115" s="265" t="str">
        <f t="shared" si="7"/>
        <v>-</v>
      </c>
      <c r="P115" s="265" t="str">
        <f t="shared" si="8"/>
        <v>-</v>
      </c>
      <c r="Q115" s="266" t="str">
        <f t="shared" si="9"/>
        <v>-</v>
      </c>
      <c r="R115" s="267" t="str">
        <f t="shared" si="10"/>
        <v>-</v>
      </c>
      <c r="S115" s="268" t="str">
        <f t="shared" si="11"/>
        <v>-</v>
      </c>
      <c r="T115" s="269" t="str">
        <f t="shared" si="12"/>
        <v/>
      </c>
      <c r="U115" s="221">
        <f t="shared" si="13"/>
        <v>15</v>
      </c>
      <c r="V115" s="220" t="str">
        <f t="shared" si="42"/>
        <v>-</v>
      </c>
      <c r="W115" s="221" t="str">
        <f t="shared" si="43"/>
        <v>-</v>
      </c>
      <c r="X115" s="221" t="str">
        <f t="shared" si="14"/>
        <v>-</v>
      </c>
      <c r="Y115" s="221" t="str">
        <f t="shared" si="15"/>
        <v>-</v>
      </c>
      <c r="Z115" s="270">
        <f t="shared" si="44"/>
        <v>0.1</v>
      </c>
      <c r="AA115" s="292" t="str">
        <f>IFERROR(IF(V114=1,AA100*EXP(-(LN(2)/$D$65+0.04)*X114)*EXP(-(LN(2)/$D$65+0.1)*Y114),IF(V114=2,AA100*EXP(-(LN(2)/$D$65+0.04)*(VLOOKUP(($F$16-$F$15)-1,U99:Y114,4,FALSE)))*EXP(-(LN(2)/$D$65+0.1)*(VLOOKUP(($F$16-$F$15)-1,U99:Y114,5,FALSE)))*EXP(-(LN(2)/$D$65+0.04)*X114)*EXP(-(LN(2)/$D$65+0.1)*Y114),AA100*EXP(-(LN(2)/$D$65+0.04)*(VLOOKUP(($F$16-$F$15)-1,U99:Y114,4,FALSE)))*EXP(-(LN(2)/$D$65+0.1)*(VLOOKUP(($F$16-$F$15)-1,U99:Y114,5,FALSE)))*EXP(-(LN(2)/$D$65+0.04)*(VLOOKUP(($F$16-$F$15)*2-1,U99:Y114,4,FALSE)))*EXP(-(LN(2)/$D$65+0.1)*(VLOOKUP(($F$16-$F$15)*2-1,U99:Y114,5,FALSE)))*EXP(-(LN(2)/$D$65+0.04)*X114)*EXP(-(LN(2)/$D$65+0.1)*Y114))),"-")</f>
        <v>-</v>
      </c>
      <c r="AB115" s="271" t="str">
        <f>IFERROR(IF(V115=1,AB$100*EXP(-(LN(2)/$D$65+0.04)*X115)*EXP(-(LN(2)/$D$65+0.1)*Y115),IF(V115=2,AB$100*EXP(-(LN(2)/$D$65+0.04)*(VLOOKUP(($F$16-$F$15)-1,U$100:Y115,4,FALSE)))*EXP(-(LN(2)/$D$65+0.1)*(VLOOKUP(($F$16-$F$15)-1,U$100:Y115,5,FALSE)))*EXP(-(LN(2)/$D$65+0.04)*X115)*EXP(-(LN(2)/$D$65+0.1)*Y115),IF(V115=3,AB$100*EXP(-(LN(2)/$D$65+0.04)*(VLOOKUP(($F$16-$F$15)-1,U$100:Y115,4,FALSE)))*EXP(-(LN(2)/$D$65+0.1)*(VLOOKUP(($F$16-$F$15)-1,U$100:Y115,5,FALSE)))*EXP(-(LN(2)/$D$65+0.04)*(VLOOKUP(($F$16-$F$15)*2-1,U$100:Y115,4,FALSE)))*EXP(-(LN(2)/$D$65+0.1)*(VLOOKUP(($F$16-$F$15)*2-1,U$100:Y115,5,FALSE)))*EXP(-(LN(2)/$D$65+0.04)*X115)*EXP(-(LN(2)/$D$65+0.1)*Y115),"-"))),"-")</f>
        <v>-</v>
      </c>
      <c r="AC115" s="224">
        <f t="shared" si="45"/>
        <v>15</v>
      </c>
      <c r="AD115" s="223" t="str">
        <f t="shared" si="17"/>
        <v>-</v>
      </c>
      <c r="AE115" s="224" t="str">
        <f t="shared" si="46"/>
        <v>-</v>
      </c>
      <c r="AF115" s="224" t="str">
        <f t="shared" si="18"/>
        <v>-</v>
      </c>
      <c r="AG115" s="224" t="str">
        <f t="shared" si="19"/>
        <v>-</v>
      </c>
      <c r="AH115" s="272">
        <f t="shared" si="47"/>
        <v>0.1</v>
      </c>
      <c r="AI115" s="292" t="str">
        <f>IFERROR(IF(AD114=1,AI100*EXP(-(LN(2)/$D$65+0.04)*AF114)*EXP(-(LN(2)/$D$65+0.1)*AG114),IF(AD114=2,AI100*EXP(-(LN(2)/$D$65+0.04)*(VLOOKUP(($F$16-$F$15)-1,AC99:AG114,4,FALSE)))*EXP(-(LN(2)/$D$65+0.1)*(VLOOKUP(($F$16-$F$15)-1,AC99:AG114,5,FALSE)))*EXP(-(LN(2)/$D$65+0.04)*AF114)*EXP(-(LN(2)/$D$65+0.1)*AG114),AI100*EXP(-(LN(2)/$D$65+0.04)*(VLOOKUP(($F$16-$F$15)-1,AC99:AG114,4,FALSE)))*EXP(-(LN(2)/$D$65+0.1)*(VLOOKUP(($F$16-$F$15)-1,AC99:AG114,5,FALSE)))*EXP(-(LN(2)/$D$65+0.04)*(VLOOKUP(($F$16-$F$15)*2-1,AC99:AG114,4,FALSE)))*EXP(-(LN(2)/$D$65+0.1)*(VLOOKUP(($F$16-$F$15)*2-1,AC99:AG114,5,FALSE)))*EXP(-(LN(2)/$D$65+0.04)*AF114)*EXP(-(LN(2)/$D$65+0.1)*AG114))),"-")</f>
        <v>-</v>
      </c>
      <c r="AJ115" s="271" t="str">
        <f>IFERROR(IF(AD115=1,AJ$100*EXP(-(LN(2)/$D$65+0.04)*AF115)*EXP(-(LN(2)/$D$65+0.1)*AG115),IF(AD115=2,AJ$100*EXP(-(LN(2)/$D$65+0.04)*(VLOOKUP(($F$16-$F$15)-1,AC$100:AG115,4,FALSE)))*EXP(-(LN(2)/$D$65+0.1)*(VLOOKUP(($F$16-$F$15)-1,AC$100:AG115,5,FALSE)))*EXP(-(LN(2)/$D$65+0.04)*AF115)*EXP(-(LN(2)/$D$65+0.1)*AG115),IF(AD115=3,AJ$100*EXP(-(LN(2)/$D$65+0.04)*(VLOOKUP(($F$16-$F$15)-1,AC$100:AG115,4,FALSE)))*EXP(-(LN(2)/$D$65+0.1)*(VLOOKUP(($F$16-$F$15)-1,AC$100:AG115,5,FALSE)))*EXP(-(LN(2)/$D$65+0.04)*(VLOOKUP(($F$16-$F$15)*2-1,AC$100:AG115,4,FALSE)))*EXP(-(LN(2)/$D$65+0.1)*(VLOOKUP(($F$16-$F$15)*2-1,AC$100:AG115,5,FALSE)))*EXP(-(LN(2)/$D$65+0.04)*AF115)*EXP(-(LN(2)/$D$65+0.1)*AG115),"-"))),"-")</f>
        <v>-</v>
      </c>
      <c r="AK115" s="227">
        <f t="shared" si="49"/>
        <v>15</v>
      </c>
      <c r="AL115" s="226" t="str">
        <f t="shared" si="21"/>
        <v>-</v>
      </c>
      <c r="AM115" s="227" t="str">
        <f t="shared" si="50"/>
        <v>-</v>
      </c>
      <c r="AN115" s="227" t="str">
        <f t="shared" si="51"/>
        <v>-</v>
      </c>
      <c r="AO115" s="227" t="str">
        <f t="shared" si="22"/>
        <v>-</v>
      </c>
      <c r="AP115" s="273">
        <f t="shared" si="52"/>
        <v>0.1</v>
      </c>
      <c r="AQ115" s="292" t="str">
        <f>IFERROR(IF(AL114=1,AQ100*EXP(-(LN(2)/$D$65+0.04)*AN114)*EXP(-(LN(2)/$D$65+0.1)*AO114),IF(AL114=2,AQ100*EXP(-(LN(2)/$D$65+0.04)*(VLOOKUP(($F$16-$F$15)-1,AK99:AO114,4,FALSE)))*EXP(-(LN(2)/$D$65+0.1)*(VLOOKUP(($F$16-$F$15)-1,AK99:AO114,5,FALSE)))*EXP(-(LN(2)/$D$65+0.04)*AN114)*EXP(-(LN(2)/$D$65+0.1)*AO114),AQ100*EXP(-(LN(2)/$D$65+0.04)*(VLOOKUP(($F$16-$F$15)-1,AK99:AO114,4,FALSE)))*EXP(-(LN(2)/$D$65+0.1)*(VLOOKUP(($F$16-$F$15)-1,AK99:AO114,5,FALSE)))*EXP(-(LN(2)/$D$65+0.04)*(VLOOKUP(($F$16-$F$15)*2-1,AK99:AO114,4,FALSE)))*EXP(-(LN(2)/$D$65+0.1)*(VLOOKUP(($F$16-$F$15)*2-1,AK99:AO114,5,FALSE)))*EXP(-(LN(2)/$D$65+0.04)*AN114)*EXP(-(LN(2)/$D$65+0.1)*AO114))),"-")</f>
        <v>-</v>
      </c>
      <c r="AR115" s="271" t="str">
        <f>IFERROR(IF(AL115=1,AR$100*EXP(-(LN(2)/$D$65+0.04)*AN115)*EXP(-(LN(2)/$D$65+0.1)*AO115),IF(AL115=2,AR$100*EXP(-(LN(2)/$D$65+0.04)*(VLOOKUP(($F$16-$F$15)-1,AK$100:AO115,4,FALSE)))*EXP(-(LN(2)/$D$65+0.1)*(VLOOKUP(($F$16-$F$15)-1,AK$100:AO115,5,FALSE)))*EXP(-(LN(2)/$D$65+0.04)*AN115)*EXP(-(LN(2)/$D$65+0.1)*AO115),IF(AL115=3,AR$100*EXP(-(LN(2)/$D$65+0.04)*(VLOOKUP(($F$16-$F$15)-1,AK$100:AO115,4,FALSE)))*EXP(-(LN(2)/$D$65+0.1)*(VLOOKUP(($F$16-$F$15)-1,AK$100:AO115,5,FALSE)))*EXP(-(LN(2)/$D$65+0.04)*(VLOOKUP(($F$16-$F$15)*2-1,AK$100:AO115,4,FALSE)))*EXP(-(LN(2)/$D$65+0.1)*(VLOOKUP(($F$16-$F$15)*2-1,AK$100:AO115,5,FALSE)))*EXP(-(LN(2)/$D$65+0.04)*AN115)*EXP(-(LN(2)/$D$65+0.1)*AO115),"-"))),"-")</f>
        <v>-</v>
      </c>
      <c r="AS115" s="294">
        <f t="shared" si="23"/>
        <v>0</v>
      </c>
      <c r="AT115" s="294">
        <f t="shared" si="24"/>
        <v>0</v>
      </c>
      <c r="AU115" s="294">
        <f t="shared" si="25"/>
        <v>0</v>
      </c>
      <c r="AV115" s="275">
        <f>IF($B115&lt;$F$22,SUM($T$100:$T115),"")</f>
        <v>0</v>
      </c>
      <c r="AW115" s="275" t="str">
        <f t="shared" si="55"/>
        <v>-</v>
      </c>
      <c r="AX115" s="275" t="str">
        <f t="shared" si="56"/>
        <v/>
      </c>
      <c r="AY115"/>
      <c r="AZ115" s="275" t="str">
        <f ca="1">IF(ISNUMBER(OFFSET(AV115,-$F$21,0)),SUM(OFFSET($T$100,$F$21,0):$T115),"")</f>
        <v/>
      </c>
      <c r="BA115" s="275" t="str">
        <f t="shared" ca="1" si="26"/>
        <v/>
      </c>
      <c r="BB115" s="275" t="str">
        <f t="shared" ca="1" si="57"/>
        <v/>
      </c>
      <c r="BC115" s="190"/>
      <c r="BD115" s="275" t="str">
        <f ca="1">IFERROR(IF(AND($B115&gt;=($F$16-$F$15),$B115&lt;$F$22+($F$16-$F$15)),SUM(OFFSET($T$100,($F$16-$F$15),0):$T115),""),"")</f>
        <v/>
      </c>
      <c r="BE115" s="275" t="str">
        <f t="shared" ca="1" si="58"/>
        <v/>
      </c>
      <c r="BF115" s="275" t="str">
        <f t="shared" ca="1" si="59"/>
        <v/>
      </c>
      <c r="BG115"/>
      <c r="BH115" s="190" t="str">
        <f ca="1">IF(ISNUMBER(OFFSET(BD115,-$F$21,0)),SUM(OFFSET($T$100,($F$16-$F$15+$F$21),0):$T115),"")</f>
        <v/>
      </c>
      <c r="BI115" s="190" t="str">
        <f t="shared" ca="1" si="27"/>
        <v/>
      </c>
      <c r="BJ115" s="190" t="str">
        <f t="shared" ca="1" si="60"/>
        <v/>
      </c>
      <c r="BK115" s="190"/>
      <c r="BL115" s="275" t="str">
        <f ca="1">IFERROR(IF(AND($B115&gt;=($F$17-$F$15),$B115&lt;$F$22+($F$17-$F$15)),SUM(OFFSET($T$100,($F$17-$F$15),0):$T115),""),"")</f>
        <v/>
      </c>
      <c r="BM115" s="275" t="str">
        <f t="shared" ca="1" si="28"/>
        <v/>
      </c>
      <c r="BN115" s="275" t="str">
        <f t="shared" ca="1" si="61"/>
        <v/>
      </c>
      <c r="BO115"/>
      <c r="BP115" s="275" t="str">
        <f ca="1">IF(ISNUMBER(OFFSET(BL115,-$F$21,0)),SUM(OFFSET($T$100,($F$17-$F$15+$F$21),0):$T115),"")</f>
        <v/>
      </c>
      <c r="BQ115" s="275" t="str">
        <f t="shared" ca="1" si="62"/>
        <v/>
      </c>
      <c r="BR115" s="275" t="str">
        <f t="shared" ca="1" si="63"/>
        <v/>
      </c>
      <c r="BS115" s="190"/>
      <c r="BT115"/>
      <c r="BU115" s="276" t="str">
        <f t="shared" si="64"/>
        <v>end</v>
      </c>
      <c r="BV115" s="277">
        <v>15</v>
      </c>
      <c r="BW115" s="278" t="str">
        <f>IF(AND(BU115="end",BU114="end"), "", IF(BU115&lt;&gt;"",MIN(BU114:BU115),""))</f>
        <v/>
      </c>
      <c r="BX115" s="278" t="str">
        <f>IF(AND(BU115="end",BU114="end"), "", IF(BU115&lt;&gt;"",MAX(BU114:BU115),""))</f>
        <v/>
      </c>
      <c r="BY115" s="279" t="str">
        <f t="shared" si="65"/>
        <v/>
      </c>
      <c r="BZ115"/>
      <c r="CA115" s="258" t="str">
        <f t="shared" si="29"/>
        <v>-</v>
      </c>
      <c r="CB115" s="33" t="str">
        <f t="shared" si="30"/>
        <v>-</v>
      </c>
      <c r="CC115" s="33" t="str">
        <f t="shared" si="31"/>
        <v>15-16</v>
      </c>
      <c r="CD115" s="261" t="str">
        <f t="shared" si="32"/>
        <v/>
      </c>
      <c r="CE115" s="258" t="str">
        <f t="shared" si="33"/>
        <v>-</v>
      </c>
      <c r="CF115" s="33" t="str">
        <f t="shared" ca="1" si="34"/>
        <v>-</v>
      </c>
      <c r="CG115" s="33" t="str">
        <f t="shared" si="35"/>
        <v>15-16</v>
      </c>
      <c r="CH115" s="261" t="str">
        <f t="shared" ca="1" si="36"/>
        <v/>
      </c>
      <c r="CI115" s="99"/>
      <c r="CJ115" s="99"/>
      <c r="CK115" s="99"/>
      <c r="CL115" s="99"/>
      <c r="CM115" s="99"/>
      <c r="CN115" s="99"/>
      <c r="CO115" s="99"/>
    </row>
    <row r="116" spans="2:93" ht="13.5" customHeight="1" x14ac:dyDescent="0.2">
      <c r="B116" s="262">
        <v>16</v>
      </c>
      <c r="C116" s="237" t="str">
        <f t="shared" si="1"/>
        <v/>
      </c>
      <c r="D116" s="237" t="str">
        <f t="shared" si="66"/>
        <v>-</v>
      </c>
      <c r="E116" s="290" t="str">
        <f t="shared" si="37"/>
        <v/>
      </c>
      <c r="F116" s="264" t="str">
        <f t="shared" si="38"/>
        <v/>
      </c>
      <c r="G116" s="291" t="str">
        <f t="shared" si="39"/>
        <v/>
      </c>
      <c r="H116" s="240" t="str">
        <f t="shared" si="40"/>
        <v/>
      </c>
      <c r="I116" s="265" t="str">
        <f t="shared" si="2"/>
        <v/>
      </c>
      <c r="J116" s="265" t="str">
        <f t="shared" si="3"/>
        <v/>
      </c>
      <c r="K116" s="240" t="str">
        <f t="shared" si="41"/>
        <v/>
      </c>
      <c r="L116" s="265" t="str">
        <f t="shared" si="4"/>
        <v/>
      </c>
      <c r="M116" s="265" t="str">
        <f t="shared" si="5"/>
        <v/>
      </c>
      <c r="N116" s="240" t="str">
        <f t="shared" si="6"/>
        <v>-</v>
      </c>
      <c r="O116" s="265" t="str">
        <f t="shared" si="7"/>
        <v>-</v>
      </c>
      <c r="P116" s="265" t="str">
        <f t="shared" si="8"/>
        <v>-</v>
      </c>
      <c r="Q116" s="266" t="str">
        <f t="shared" si="9"/>
        <v>-</v>
      </c>
      <c r="R116" s="267" t="str">
        <f t="shared" si="10"/>
        <v>-</v>
      </c>
      <c r="S116" s="268" t="str">
        <f t="shared" si="11"/>
        <v>-</v>
      </c>
      <c r="T116" s="269" t="str">
        <f t="shared" si="12"/>
        <v/>
      </c>
      <c r="U116" s="221">
        <f t="shared" si="13"/>
        <v>16</v>
      </c>
      <c r="V116" s="220" t="str">
        <f t="shared" si="42"/>
        <v>-</v>
      </c>
      <c r="W116" s="221" t="str">
        <f t="shared" si="43"/>
        <v>-</v>
      </c>
      <c r="X116" s="221" t="str">
        <f t="shared" si="14"/>
        <v>-</v>
      </c>
      <c r="Y116" s="221" t="str">
        <f t="shared" si="15"/>
        <v>-</v>
      </c>
      <c r="Z116" s="270">
        <f t="shared" si="44"/>
        <v>0.1</v>
      </c>
      <c r="AA116" s="271" t="str">
        <f>IFERROR(IF(V115=1,AA$100*EXP(-(LN(2)/$D$65+0.04)*X115)*EXP(-(LN(2)/$D$65+0.1)*Y115),IF(V115=2,AA$100*EXP(-(LN(2)/$D$65+0.04)*(VLOOKUP(($F$16-$F$15)-1,U$99:Y115,4,FALSE)))*EXP(-(LN(2)/$D$65+0.1)*(VLOOKUP(($F$16-$F$15)-1,U$99:Y115,5,FALSE)))*EXP(-(LN(2)/$D$65+0.04)*X115)*EXP(-(LN(2)/$D$65+0.1)*Y115),IF(V115=3,AA$100*EXP(-(LN(2)/$D$65+0.04)*(VLOOKUP(($F$16-$F$15)-1,U$99:Y115,4,FALSE)))*EXP(-(LN(2)/$D$65+0.1)*(VLOOKUP(($F$16-$F$15)-1,U$99:Y115,5,FALSE)))*EXP(-(LN(2)/$D$65+0.04)*(VLOOKUP(($F$16-$F$15)*2-1,U$99:Y115,4,FALSE)))*EXP(-(LN(2)/$D$65+0.1)*(VLOOKUP(($F$16-$F$15)*2-1,U$99:Y115,5,FALSE)))*EXP(-(LN(2)/$D$65+0.04)*X115)*EXP(-(LN(2)/$D$65+0.1)*Y115),"-"))),"-")</f>
        <v>-</v>
      </c>
      <c r="AB116" s="271" t="str">
        <f>IFERROR(IF(V116=1,AB$100*EXP(-(LN(2)/$D$65+0.04)*X116)*EXP(-(LN(2)/$D$65+0.1)*Y116),IF(V116=2,AB$100*EXP(-(LN(2)/$D$65+0.04)*(VLOOKUP(($F$16-$F$15)-1,U$100:Y116,4,FALSE)))*EXP(-(LN(2)/$D$65+0.1)*(VLOOKUP(($F$16-$F$15)-1,U$100:Y116,5,FALSE)))*EXP(-(LN(2)/$D$65+0.04)*X116)*EXP(-(LN(2)/$D$65+0.1)*Y116),IF(V116=3,AB$100*EXP(-(LN(2)/$D$65+0.04)*(VLOOKUP(($F$16-$F$15)-1,U$100:Y116,4,FALSE)))*EXP(-(LN(2)/$D$65+0.1)*(VLOOKUP(($F$16-$F$15)-1,U$100:Y116,5,FALSE)))*EXP(-(LN(2)/$D$65+0.04)*(VLOOKUP(($F$16-$F$15)*2-1,U$100:Y116,4,FALSE)))*EXP(-(LN(2)/$D$65+0.1)*(VLOOKUP(($F$16-$F$15)*2-1,U$100:Y116,5,FALSE)))*EXP(-(LN(2)/$D$65+0.04)*X116)*EXP(-(LN(2)/$D$65+0.1)*Y116),"-"))),"-")</f>
        <v>-</v>
      </c>
      <c r="AC116" s="224">
        <f t="shared" si="45"/>
        <v>16</v>
      </c>
      <c r="AD116" s="223" t="str">
        <f t="shared" si="17"/>
        <v>-</v>
      </c>
      <c r="AE116" s="224" t="str">
        <f t="shared" si="46"/>
        <v>-</v>
      </c>
      <c r="AF116" s="224" t="str">
        <f t="shared" si="18"/>
        <v>-</v>
      </c>
      <c r="AG116" s="224" t="str">
        <f t="shared" si="19"/>
        <v>-</v>
      </c>
      <c r="AH116" s="272">
        <f t="shared" si="47"/>
        <v>0.1</v>
      </c>
      <c r="AI116" s="271" t="str">
        <f>IFERROR(IF(AD115=1,AI$100*EXP(-(LN(2)/$D$65+0.04)*AF115)*EXP(-(LN(2)/$D$65+0.1)*AG115),IF(AD115=2,AI$100*EXP(-(LN(2)/$D$65+0.04)*(VLOOKUP(($F$16-$F$15)-1,AC$99:AG115,4,FALSE)))*EXP(-(LN(2)/$D$65+0.1)*(VLOOKUP(($F$16-$F$15)-1,AC$99:AG115,5,FALSE)))*EXP(-(LN(2)/$D$65+0.04)*AF115)*EXP(-(LN(2)/$D$65+0.1)*AG115),IF(AD115=3,AI$100*EXP(-(LN(2)/$D$65+0.04)*(VLOOKUP(($F$16-$F$15)-1,AC$99:AG115,4,FALSE)))*EXP(-(LN(2)/$D$65+0.1)*(VLOOKUP(($F$16-$F$15)-1,AC$99:AG115,5,FALSE)))*EXP(-(LN(2)/$D$65+0.04)*(VLOOKUP(($F$16-$F$15)*2-1,AC$99:AG115,4,FALSE)))*EXP(-(LN(2)/$D$65+0.1)*(VLOOKUP(($F$16-$F$15)*2-1,AC$99:AG115,5,FALSE)))*EXP(-(LN(2)/$D$65+0.04)*AF115)*EXP(-(LN(2)/$D$65+0.1)*AG115),"-"))),"-")</f>
        <v>-</v>
      </c>
      <c r="AJ116" s="271" t="str">
        <f>IFERROR(IF(AD116=1,AJ$100*EXP(-(LN(2)/$D$65+0.04)*AF116)*EXP(-(LN(2)/$D$65+0.1)*AG116),IF(AD116=2,AJ$100*EXP(-(LN(2)/$D$65+0.04)*(VLOOKUP(($F$16-$F$15)-1,AC$100:AG116,4,FALSE)))*EXP(-(LN(2)/$D$65+0.1)*(VLOOKUP(($F$16-$F$15)-1,AC$100:AG116,5,FALSE)))*EXP(-(LN(2)/$D$65+0.04)*AF116)*EXP(-(LN(2)/$D$65+0.1)*AG116),IF(AD116=3,AJ$100*EXP(-(LN(2)/$D$65+0.04)*(VLOOKUP(($F$16-$F$15)-1,AC$100:AG116,4,FALSE)))*EXP(-(LN(2)/$D$65+0.1)*(VLOOKUP(($F$16-$F$15)-1,AC$100:AG116,5,FALSE)))*EXP(-(LN(2)/$D$65+0.04)*(VLOOKUP(($F$16-$F$15)*2-1,AC$100:AG116,4,FALSE)))*EXP(-(LN(2)/$D$65+0.1)*(VLOOKUP(($F$16-$F$15)*2-1,AC$100:AG116,5,FALSE)))*EXP(-(LN(2)/$D$65+0.04)*AF116)*EXP(-(LN(2)/$D$65+0.1)*AG116),"-"))),"-")</f>
        <v>-</v>
      </c>
      <c r="AK116" s="227">
        <f t="shared" si="49"/>
        <v>16</v>
      </c>
      <c r="AL116" s="226" t="str">
        <f t="shared" si="21"/>
        <v>-</v>
      </c>
      <c r="AM116" s="227" t="str">
        <f t="shared" si="50"/>
        <v>-</v>
      </c>
      <c r="AN116" s="227" t="str">
        <f t="shared" si="51"/>
        <v>-</v>
      </c>
      <c r="AO116" s="227" t="str">
        <f t="shared" si="22"/>
        <v>-</v>
      </c>
      <c r="AP116" s="273">
        <f t="shared" si="52"/>
        <v>0.1</v>
      </c>
      <c r="AQ116" s="271" t="str">
        <f>IFERROR(IF(AL115=1,AQ$100*EXP(-(LN(2)/$D$65+0.04)*AN115)*EXP(-(LN(2)/$D$65+0.1)*AO115),IF(AL115=2,AQ$100*EXP(-(LN(2)/$D$65+0.04)*(VLOOKUP(($F$16-$F$15)-1,AK$99:AO115,4,FALSE)))*EXP(-(LN(2)/$D$65+0.1)*(VLOOKUP(($F$16-$F$15)-1,AK$99:AO115,5,FALSE)))*EXP(-(LN(2)/$D$65+0.04)*AN115)*EXP(-(LN(2)/$D$65+0.1)*AO115),IF(AL115=3,AQ$100*EXP(-(LN(2)/$D$65+0.04)*(VLOOKUP(($F$16-$F$15)-1,AK$99:AO115,4,FALSE)))*EXP(-(LN(2)/$D$65+0.1)*(VLOOKUP(($F$16-$F$15)-1,AK$99:AO115,5,FALSE)))*EXP(-(LN(2)/$D$65+0.04)*(VLOOKUP(($F$16-$F$15)*2-1,AK$99:AO115,4,FALSE)))*EXP(-(LN(2)/$D$65+0.1)*(VLOOKUP(($F$16-$F$15)*2-1,AK$99:AO115,5,FALSE)))*EXP(-(LN(2)/$D$65+0.04)*AN115)*EXP(-(LN(2)/$D$65+0.1)*AO115),"-"))),"-")</f>
        <v>-</v>
      </c>
      <c r="AR116" s="271" t="str">
        <f>IFERROR(IF(AL116=1,AR$100*EXP(-(LN(2)/$D$65+0.04)*AN116)*EXP(-(LN(2)/$D$65+0.1)*AO116),IF(AL116=2,AR$100*EXP(-(LN(2)/$D$65+0.04)*(VLOOKUP(($F$16-$F$15)-1,AK$100:AO116,4,FALSE)))*EXP(-(LN(2)/$D$65+0.1)*(VLOOKUP(($F$16-$F$15)-1,AK$100:AO116,5,FALSE)))*EXP(-(LN(2)/$D$65+0.04)*AN116)*EXP(-(LN(2)/$D$65+0.1)*AO116),IF(AL116=3,AR$100*EXP(-(LN(2)/$D$65+0.04)*(VLOOKUP(($F$16-$F$15)-1,AK$100:AO116,4,FALSE)))*EXP(-(LN(2)/$D$65+0.1)*(VLOOKUP(($F$16-$F$15)-1,AK$100:AO116,5,FALSE)))*EXP(-(LN(2)/$D$65+0.04)*(VLOOKUP(($F$16-$F$15)*2-1,AK$100:AO116,4,FALSE)))*EXP(-(LN(2)/$D$65+0.1)*(VLOOKUP(($F$16-$F$15)*2-1,AK$100:AO116,5,FALSE)))*EXP(-(LN(2)/$D$65+0.04)*AN116)*EXP(-(LN(2)/$D$65+0.1)*AO116),"-"))),"-")</f>
        <v>-</v>
      </c>
      <c r="AS116" s="274">
        <f t="shared" si="23"/>
        <v>0</v>
      </c>
      <c r="AT116" s="274">
        <f t="shared" si="24"/>
        <v>0</v>
      </c>
      <c r="AU116" s="274">
        <f t="shared" si="25"/>
        <v>0</v>
      </c>
      <c r="AV116" s="275">
        <f>IF($B116&lt;$F$22,SUM($T$100:$T116),"")</f>
        <v>0</v>
      </c>
      <c r="AW116" s="275" t="str">
        <f t="shared" si="55"/>
        <v>-</v>
      </c>
      <c r="AX116" s="275" t="str">
        <f t="shared" si="56"/>
        <v/>
      </c>
      <c r="AY116"/>
      <c r="AZ116" s="275" t="str">
        <f ca="1">IF(ISNUMBER(OFFSET(AV116,-$F$21,0)),SUM(OFFSET($T$100,$F$21,0):$T116),"")</f>
        <v/>
      </c>
      <c r="BA116" s="275" t="str">
        <f t="shared" ca="1" si="26"/>
        <v/>
      </c>
      <c r="BB116" s="275" t="str">
        <f t="shared" ca="1" si="57"/>
        <v/>
      </c>
      <c r="BC116" s="190"/>
      <c r="BD116" s="275" t="str">
        <f ca="1">IFERROR(IF(AND($B116&gt;=($F$16-$F$15),$B116&lt;$F$22+($F$16-$F$15)),SUM(OFFSET($T$100,($F$16-$F$15),0):$T116),""),"")</f>
        <v/>
      </c>
      <c r="BE116" s="275" t="str">
        <f t="shared" ca="1" si="58"/>
        <v/>
      </c>
      <c r="BF116" s="275" t="str">
        <f t="shared" ca="1" si="59"/>
        <v/>
      </c>
      <c r="BG116"/>
      <c r="BH116" s="190" t="str">
        <f ca="1">IF(ISNUMBER(OFFSET(BD116,-$F$21,0)),SUM(OFFSET($T$100,($F$16-$F$15+$F$21),0):$T116),"")</f>
        <v/>
      </c>
      <c r="BI116" s="190" t="str">
        <f t="shared" ca="1" si="27"/>
        <v/>
      </c>
      <c r="BJ116" s="190" t="str">
        <f t="shared" ca="1" si="60"/>
        <v/>
      </c>
      <c r="BK116" s="190"/>
      <c r="BL116" s="275" t="str">
        <f ca="1">IFERROR(IF(AND($B116&gt;=($F$17-$F$15),$B116&lt;$F$22+($F$17-$F$15)),SUM(OFFSET($T$100,($F$17-$F$15),0):$T116),""),"")</f>
        <v/>
      </c>
      <c r="BM116" s="275" t="str">
        <f t="shared" ca="1" si="28"/>
        <v/>
      </c>
      <c r="BN116" s="275" t="str">
        <f t="shared" ca="1" si="61"/>
        <v/>
      </c>
      <c r="BO116"/>
      <c r="BP116" s="275" t="str">
        <f ca="1">IF(ISNUMBER(OFFSET(BL116,-$F$21,0)),SUM(OFFSET($T$100,($F$17-$F$15+$F$21),0):$T116),"")</f>
        <v/>
      </c>
      <c r="BQ116" s="275" t="str">
        <f t="shared" ca="1" si="62"/>
        <v/>
      </c>
      <c r="BR116" s="275" t="str">
        <f t="shared" ca="1" si="63"/>
        <v/>
      </c>
      <c r="BS116" s="190"/>
      <c r="BT116"/>
      <c r="BU116" s="276" t="str">
        <f t="shared" si="64"/>
        <v>end</v>
      </c>
      <c r="BV116" s="277">
        <v>16</v>
      </c>
      <c r="BW116" s="278" t="str">
        <f t="shared" si="69"/>
        <v/>
      </c>
      <c r="BX116" s="278" t="str">
        <f t="shared" si="68"/>
        <v/>
      </c>
      <c r="BY116" s="279" t="str">
        <f t="shared" si="65"/>
        <v/>
      </c>
      <c r="BZ116"/>
      <c r="CA116" s="280" t="str">
        <f t="shared" si="29"/>
        <v>-</v>
      </c>
      <c r="CB116" s="71" t="str">
        <f t="shared" si="30"/>
        <v>-</v>
      </c>
      <c r="CC116" s="33" t="str">
        <f t="shared" si="31"/>
        <v>16-17</v>
      </c>
      <c r="CD116" s="261" t="str">
        <f t="shared" si="32"/>
        <v/>
      </c>
      <c r="CE116" s="280" t="str">
        <f t="shared" si="33"/>
        <v>-</v>
      </c>
      <c r="CF116" s="71" t="str">
        <f t="shared" ca="1" si="34"/>
        <v>-</v>
      </c>
      <c r="CG116" s="33" t="str">
        <f t="shared" si="35"/>
        <v>16-17</v>
      </c>
      <c r="CH116" s="261" t="str">
        <f t="shared" ca="1" si="36"/>
        <v/>
      </c>
      <c r="CI116" s="99"/>
      <c r="CJ116" s="99"/>
      <c r="CK116" s="99"/>
      <c r="CL116" s="99"/>
      <c r="CM116" s="99"/>
      <c r="CN116" s="99"/>
      <c r="CO116" s="99"/>
    </row>
    <row r="117" spans="2:93" ht="13.5" customHeight="1" x14ac:dyDescent="0.2">
      <c r="B117" s="262">
        <v>17</v>
      </c>
      <c r="C117" s="237" t="str">
        <f t="shared" si="1"/>
        <v/>
      </c>
      <c r="D117" s="237" t="str">
        <f t="shared" si="66"/>
        <v>-</v>
      </c>
      <c r="E117" s="290" t="str">
        <f t="shared" si="37"/>
        <v/>
      </c>
      <c r="F117" s="264" t="str">
        <f t="shared" si="38"/>
        <v/>
      </c>
      <c r="G117" s="291" t="str">
        <f t="shared" si="39"/>
        <v/>
      </c>
      <c r="H117" s="240" t="str">
        <f t="shared" si="40"/>
        <v/>
      </c>
      <c r="I117" s="265" t="str">
        <f t="shared" si="2"/>
        <v/>
      </c>
      <c r="J117" s="265" t="str">
        <f t="shared" si="3"/>
        <v/>
      </c>
      <c r="K117" s="240" t="str">
        <f t="shared" si="41"/>
        <v/>
      </c>
      <c r="L117" s="265" t="str">
        <f t="shared" si="4"/>
        <v/>
      </c>
      <c r="M117" s="265" t="str">
        <f t="shared" si="5"/>
        <v/>
      </c>
      <c r="N117" s="240" t="str">
        <f t="shared" si="6"/>
        <v>-</v>
      </c>
      <c r="O117" s="265" t="str">
        <f t="shared" si="7"/>
        <v>-</v>
      </c>
      <c r="P117" s="265" t="str">
        <f t="shared" si="8"/>
        <v>-</v>
      </c>
      <c r="Q117" s="266" t="str">
        <f t="shared" si="9"/>
        <v>-</v>
      </c>
      <c r="R117" s="267" t="str">
        <f t="shared" si="10"/>
        <v>-</v>
      </c>
      <c r="S117" s="268" t="str">
        <f t="shared" si="11"/>
        <v>-</v>
      </c>
      <c r="T117" s="269" t="str">
        <f t="shared" si="12"/>
        <v/>
      </c>
      <c r="U117" s="221">
        <f t="shared" si="13"/>
        <v>17</v>
      </c>
      <c r="V117" s="220" t="str">
        <f t="shared" si="42"/>
        <v>-</v>
      </c>
      <c r="W117" s="221" t="str">
        <f t="shared" si="43"/>
        <v>-</v>
      </c>
      <c r="X117" s="221" t="str">
        <f t="shared" si="14"/>
        <v>-</v>
      </c>
      <c r="Y117" s="221" t="str">
        <f t="shared" si="15"/>
        <v>-</v>
      </c>
      <c r="Z117" s="270">
        <f t="shared" si="44"/>
        <v>0.1</v>
      </c>
      <c r="AA117" s="271" t="str">
        <f>IFERROR(IF(V116=1,AA$100*EXP(-(LN(2)/$D$65+0.04)*X116)*EXP(-(LN(2)/$D$65+0.1)*Y116),IF(V116=2,AA$100*EXP(-(LN(2)/$D$65+0.04)*(VLOOKUP(($F$16-$F$15)-1,U$99:Y116,4,FALSE)))*EXP(-(LN(2)/$D$65+0.1)*(VLOOKUP(($F$16-$F$15)-1,U$99:Y116,5,FALSE)))*EXP(-(LN(2)/$D$65+0.04)*X116)*EXP(-(LN(2)/$D$65+0.1)*Y116),IF(V116=3,AA$100*EXP(-(LN(2)/$D$65+0.04)*(VLOOKUP(($F$16-$F$15)-1,U$99:Y116,4,FALSE)))*EXP(-(LN(2)/$D$65+0.1)*(VLOOKUP(($F$16-$F$15)-1,U$99:Y116,5,FALSE)))*EXP(-(LN(2)/$D$65+0.04)*(VLOOKUP(($F$16-$F$15)*2-1,U$99:Y116,4,FALSE)))*EXP(-(LN(2)/$D$65+0.1)*(VLOOKUP(($F$16-$F$15)*2-1,U$99:Y116,5,FALSE)))*EXP(-(LN(2)/$D$65+0.04)*X116)*EXP(-(LN(2)/$D$65+0.1)*Y116),"-"))),"-")</f>
        <v>-</v>
      </c>
      <c r="AB117" s="271" t="str">
        <f>IFERROR(IF(V117=1,AB$100*EXP(-(LN(2)/$D$65+0.04)*X117)*EXP(-(LN(2)/$D$65+0.1)*Y117),IF(V117=2,AB$100*EXP(-(LN(2)/$D$65+0.04)*(VLOOKUP(($F$16-$F$15)-1,U$100:Y117,4,FALSE)))*EXP(-(LN(2)/$D$65+0.1)*(VLOOKUP(($F$16-$F$15)-1,U$100:Y117,5,FALSE)))*EXP(-(LN(2)/$D$65+0.04)*X117)*EXP(-(LN(2)/$D$65+0.1)*Y117),IF(V117=3,AB$100*EXP(-(LN(2)/$D$65+0.04)*(VLOOKUP(($F$16-$F$15)-1,U$100:Y117,4,FALSE)))*EXP(-(LN(2)/$D$65+0.1)*(VLOOKUP(($F$16-$F$15)-1,U$100:Y117,5,FALSE)))*EXP(-(LN(2)/$D$65+0.04)*(VLOOKUP(($F$16-$F$15)*2-1,U$100:Y117,4,FALSE)))*EXP(-(LN(2)/$D$65+0.1)*(VLOOKUP(($F$16-$F$15)*2-1,U$100:Y117,5,FALSE)))*EXP(-(LN(2)/$D$65+0.04)*X117)*EXP(-(LN(2)/$D$65+0.1)*Y117),"-"))),"-")</f>
        <v>-</v>
      </c>
      <c r="AC117" s="224">
        <f t="shared" si="45"/>
        <v>17</v>
      </c>
      <c r="AD117" s="223" t="str">
        <f t="shared" si="17"/>
        <v>-</v>
      </c>
      <c r="AE117" s="224" t="str">
        <f t="shared" si="46"/>
        <v>-</v>
      </c>
      <c r="AF117" s="224" t="str">
        <f t="shared" si="18"/>
        <v>-</v>
      </c>
      <c r="AG117" s="224" t="str">
        <f t="shared" si="19"/>
        <v>-</v>
      </c>
      <c r="AH117" s="272">
        <f t="shared" si="47"/>
        <v>0.1</v>
      </c>
      <c r="AI117" s="271" t="str">
        <f>IFERROR(IF(AD116=1,AI$100*EXP(-(LN(2)/$D$65+0.04)*AF116)*EXP(-(LN(2)/$D$65+0.1)*AG116),IF(AD116=2,AI$100*EXP(-(LN(2)/$D$65+0.04)*(VLOOKUP(($F$16-$F$15)-1,AC$99:AG116,4,FALSE)))*EXP(-(LN(2)/$D$65+0.1)*(VLOOKUP(($F$16-$F$15)-1,AC$99:AG116,5,FALSE)))*EXP(-(LN(2)/$D$65+0.04)*AF116)*EXP(-(LN(2)/$D$65+0.1)*AG116),IF(AD116=3,AI$100*EXP(-(LN(2)/$D$65+0.04)*(VLOOKUP(($F$16-$F$15)-1,AC$99:AG116,4,FALSE)))*EXP(-(LN(2)/$D$65+0.1)*(VLOOKUP(($F$16-$F$15)-1,AC$99:AG116,5,FALSE)))*EXP(-(LN(2)/$D$65+0.04)*(VLOOKUP(($F$16-$F$15)*2-1,AC$99:AG116,4,FALSE)))*EXP(-(LN(2)/$D$65+0.1)*(VLOOKUP(($F$16-$F$15)*2-1,AC$99:AG116,5,FALSE)))*EXP(-(LN(2)/$D$65+0.04)*AF116)*EXP(-(LN(2)/$D$65+0.1)*AG116),"-"))),"-")</f>
        <v>-</v>
      </c>
      <c r="AJ117" s="271" t="str">
        <f>IFERROR(IF(AD117=1,AJ$100*EXP(-(LN(2)/$D$65+0.04)*AF117)*EXP(-(LN(2)/$D$65+0.1)*AG117),IF(AD117=2,AJ$100*EXP(-(LN(2)/$D$65+0.04)*(VLOOKUP(($F$16-$F$15)-1,AC$100:AG117,4,FALSE)))*EXP(-(LN(2)/$D$65+0.1)*(VLOOKUP(($F$16-$F$15)-1,AC$100:AG117,5,FALSE)))*EXP(-(LN(2)/$D$65+0.04)*AF117)*EXP(-(LN(2)/$D$65+0.1)*AG117),IF(AD117=3,AJ$100*EXP(-(LN(2)/$D$65+0.04)*(VLOOKUP(($F$16-$F$15)-1,AC$100:AG117,4,FALSE)))*EXP(-(LN(2)/$D$65+0.1)*(VLOOKUP(($F$16-$F$15)-1,AC$100:AG117,5,FALSE)))*EXP(-(LN(2)/$D$65+0.04)*(VLOOKUP(($F$16-$F$15)*2-1,AC$100:AG117,4,FALSE)))*EXP(-(LN(2)/$D$65+0.1)*(VLOOKUP(($F$16-$F$15)*2-1,AC$100:AG117,5,FALSE)))*EXP(-(LN(2)/$D$65+0.04)*AF117)*EXP(-(LN(2)/$D$65+0.1)*AG117),"-"))),"-")</f>
        <v>-</v>
      </c>
      <c r="AK117" s="227">
        <f t="shared" si="49"/>
        <v>17</v>
      </c>
      <c r="AL117" s="226" t="str">
        <f t="shared" si="21"/>
        <v>-</v>
      </c>
      <c r="AM117" s="227" t="str">
        <f t="shared" si="50"/>
        <v>-</v>
      </c>
      <c r="AN117" s="227" t="str">
        <f t="shared" si="51"/>
        <v>-</v>
      </c>
      <c r="AO117" s="227" t="str">
        <f t="shared" si="22"/>
        <v>-</v>
      </c>
      <c r="AP117" s="273">
        <f t="shared" si="52"/>
        <v>0.1</v>
      </c>
      <c r="AQ117" s="271" t="str">
        <f>IFERROR(IF(AL116=1,AQ$100*EXP(-(LN(2)/$D$65+0.04)*AN116)*EXP(-(LN(2)/$D$65+0.1)*AO116),IF(AL116=2,AQ$100*EXP(-(LN(2)/$D$65+0.04)*(VLOOKUP(($F$16-$F$15)-1,AK$99:AO116,4,FALSE)))*EXP(-(LN(2)/$D$65+0.1)*(VLOOKUP(($F$16-$F$15)-1,AK$99:AO116,5,FALSE)))*EXP(-(LN(2)/$D$65+0.04)*AN116)*EXP(-(LN(2)/$D$65+0.1)*AO116),IF(AL116=3,AQ$100*EXP(-(LN(2)/$D$65+0.04)*(VLOOKUP(($F$16-$F$15)-1,AK$99:AO116,4,FALSE)))*EXP(-(LN(2)/$D$65+0.1)*(VLOOKUP(($F$16-$F$15)-1,AK$99:AO116,5,FALSE)))*EXP(-(LN(2)/$D$65+0.04)*(VLOOKUP(($F$16-$F$15)*2-1,AK$99:AO116,4,FALSE)))*EXP(-(LN(2)/$D$65+0.1)*(VLOOKUP(($F$16-$F$15)*2-1,AK$99:AO116,5,FALSE)))*EXP(-(LN(2)/$D$65+0.04)*AN116)*EXP(-(LN(2)/$D$65+0.1)*AO116),"-"))),"-")</f>
        <v>-</v>
      </c>
      <c r="AR117" s="271" t="str">
        <f>IFERROR(IF(AL117=1,AR$100*EXP(-(LN(2)/$D$65+0.04)*AN117)*EXP(-(LN(2)/$D$65+0.1)*AO117),IF(AL117=2,AR$100*EXP(-(LN(2)/$D$65+0.04)*(VLOOKUP(($F$16-$F$15)-1,AK$100:AO117,4,FALSE)))*EXP(-(LN(2)/$D$65+0.1)*(VLOOKUP(($F$16-$F$15)-1,AK$100:AO117,5,FALSE)))*EXP(-(LN(2)/$D$65+0.04)*AN117)*EXP(-(LN(2)/$D$65+0.1)*AO117),IF(AL117=3,AR$100*EXP(-(LN(2)/$D$65+0.04)*(VLOOKUP(($F$16-$F$15)-1,AK$100:AO117,4,FALSE)))*EXP(-(LN(2)/$D$65+0.1)*(VLOOKUP(($F$16-$F$15)-1,AK$100:AO117,5,FALSE)))*EXP(-(LN(2)/$D$65+0.04)*(VLOOKUP(($F$16-$F$15)*2-1,AK$100:AO117,4,FALSE)))*EXP(-(LN(2)/$D$65+0.1)*(VLOOKUP(($F$16-$F$15)*2-1,AK$100:AO117,5,FALSE)))*EXP(-(LN(2)/$D$65+0.04)*AN117)*EXP(-(LN(2)/$D$65+0.1)*AO117),"-"))),"-")</f>
        <v>-</v>
      </c>
      <c r="AS117" s="274">
        <f t="shared" si="23"/>
        <v>0</v>
      </c>
      <c r="AT117" s="274">
        <f t="shared" si="24"/>
        <v>0</v>
      </c>
      <c r="AU117" s="274">
        <f t="shared" si="25"/>
        <v>0</v>
      </c>
      <c r="AV117" s="275">
        <f>IF($B117&lt;$F$22,SUM($T$100:$T117),"")</f>
        <v>0</v>
      </c>
      <c r="AW117" s="275" t="str">
        <f t="shared" si="55"/>
        <v>-</v>
      </c>
      <c r="AX117" s="275" t="str">
        <f t="shared" si="56"/>
        <v/>
      </c>
      <c r="AY117"/>
      <c r="AZ117" s="275" t="str">
        <f ca="1">IF(ISNUMBER(OFFSET(AV117,-$F$21,0)),SUM(OFFSET($T$100,$F$21,0):$T117),"")</f>
        <v/>
      </c>
      <c r="BA117" s="275" t="str">
        <f t="shared" ca="1" si="26"/>
        <v/>
      </c>
      <c r="BB117" s="275" t="str">
        <f t="shared" ca="1" si="57"/>
        <v/>
      </c>
      <c r="BC117" s="190"/>
      <c r="BD117" s="275" t="str">
        <f ca="1">IFERROR(IF(AND($B117&gt;=($F$16-$F$15),$B117&lt;$F$22+($F$16-$F$15)),SUM(OFFSET($T$100,($F$16-$F$15),0):$T117),""),"")</f>
        <v/>
      </c>
      <c r="BE117" s="275" t="str">
        <f t="shared" ca="1" si="58"/>
        <v/>
      </c>
      <c r="BF117" s="275" t="str">
        <f t="shared" ca="1" si="59"/>
        <v/>
      </c>
      <c r="BG117"/>
      <c r="BH117" s="190" t="str">
        <f ca="1">IF(ISNUMBER(OFFSET(BD117,-$F$21,0)),SUM(OFFSET($T$100,($F$16-$F$15+$F$21),0):$T117),"")</f>
        <v/>
      </c>
      <c r="BI117" s="190" t="str">
        <f t="shared" ca="1" si="27"/>
        <v/>
      </c>
      <c r="BJ117" s="190" t="str">
        <f t="shared" ca="1" si="60"/>
        <v/>
      </c>
      <c r="BK117" s="190"/>
      <c r="BL117" s="275" t="str">
        <f ca="1">IFERROR(IF(AND($B117&gt;=($F$17-$F$15),$B117&lt;$F$22+($F$17-$F$15)),SUM(OFFSET($T$100,($F$17-$F$15),0):$T117),""),"")</f>
        <v/>
      </c>
      <c r="BM117" s="275" t="str">
        <f t="shared" ca="1" si="28"/>
        <v/>
      </c>
      <c r="BN117" s="275" t="str">
        <f t="shared" ca="1" si="61"/>
        <v/>
      </c>
      <c r="BO117"/>
      <c r="BP117" s="275" t="str">
        <f ca="1">IF(ISNUMBER(OFFSET(BL117,-$F$21,0)),SUM(OFFSET($T$100,($F$17-$F$15+$F$21),0):$T117),"")</f>
        <v/>
      </c>
      <c r="BQ117" s="275" t="str">
        <f t="shared" ca="1" si="62"/>
        <v/>
      </c>
      <c r="BR117" s="275" t="str">
        <f t="shared" ca="1" si="63"/>
        <v/>
      </c>
      <c r="BS117" s="190"/>
      <c r="BT117"/>
      <c r="BU117" s="276" t="str">
        <f t="shared" si="64"/>
        <v>end</v>
      </c>
      <c r="BV117" s="277">
        <v>17</v>
      </c>
      <c r="BW117" s="278" t="str">
        <f t="shared" si="69"/>
        <v/>
      </c>
      <c r="BX117" s="278" t="str">
        <f t="shared" si="68"/>
        <v/>
      </c>
      <c r="BY117" s="279" t="str">
        <f t="shared" si="65"/>
        <v/>
      </c>
      <c r="BZ117"/>
      <c r="CA117" s="280" t="str">
        <f t="shared" si="29"/>
        <v>-</v>
      </c>
      <c r="CB117" s="71" t="str">
        <f t="shared" si="30"/>
        <v>-</v>
      </c>
      <c r="CC117" s="33" t="str">
        <f t="shared" si="31"/>
        <v>17-18</v>
      </c>
      <c r="CD117" s="261" t="str">
        <f t="shared" si="32"/>
        <v/>
      </c>
      <c r="CE117" s="280" t="str">
        <f t="shared" si="33"/>
        <v>-</v>
      </c>
      <c r="CF117" s="71" t="str">
        <f t="shared" ca="1" si="34"/>
        <v>-</v>
      </c>
      <c r="CG117" s="33" t="str">
        <f t="shared" si="35"/>
        <v>17-18</v>
      </c>
      <c r="CH117" s="261" t="str">
        <f t="shared" ca="1" si="36"/>
        <v/>
      </c>
      <c r="CI117" s="99"/>
      <c r="CJ117" s="99"/>
      <c r="CK117" s="99"/>
      <c r="CL117" s="99"/>
      <c r="CM117" s="99"/>
      <c r="CN117" s="99"/>
      <c r="CO117" s="99"/>
    </row>
    <row r="118" spans="2:93" ht="13.5" customHeight="1" x14ac:dyDescent="0.2">
      <c r="B118" s="262">
        <v>18</v>
      </c>
      <c r="C118" s="237" t="str">
        <f t="shared" si="1"/>
        <v/>
      </c>
      <c r="D118" s="237" t="str">
        <f t="shared" si="66"/>
        <v>-</v>
      </c>
      <c r="E118" s="290" t="str">
        <f t="shared" si="37"/>
        <v/>
      </c>
      <c r="F118" s="264" t="str">
        <f t="shared" si="38"/>
        <v/>
      </c>
      <c r="G118" s="291" t="str">
        <f t="shared" si="39"/>
        <v/>
      </c>
      <c r="H118" s="240" t="str">
        <f t="shared" si="40"/>
        <v/>
      </c>
      <c r="I118" s="265" t="str">
        <f t="shared" si="2"/>
        <v/>
      </c>
      <c r="J118" s="265" t="str">
        <f t="shared" si="3"/>
        <v/>
      </c>
      <c r="K118" s="240" t="str">
        <f t="shared" si="41"/>
        <v/>
      </c>
      <c r="L118" s="265" t="str">
        <f t="shared" si="4"/>
        <v/>
      </c>
      <c r="M118" s="265" t="str">
        <f t="shared" si="5"/>
        <v/>
      </c>
      <c r="N118" s="240" t="str">
        <f t="shared" si="6"/>
        <v>-</v>
      </c>
      <c r="O118" s="265" t="str">
        <f t="shared" si="7"/>
        <v>-</v>
      </c>
      <c r="P118" s="265" t="str">
        <f t="shared" si="8"/>
        <v>-</v>
      </c>
      <c r="Q118" s="266" t="str">
        <f t="shared" si="9"/>
        <v>-</v>
      </c>
      <c r="R118" s="267" t="str">
        <f t="shared" si="10"/>
        <v>-</v>
      </c>
      <c r="S118" s="268" t="str">
        <f t="shared" si="11"/>
        <v>-</v>
      </c>
      <c r="T118" s="269" t="str">
        <f t="shared" si="12"/>
        <v/>
      </c>
      <c r="U118" s="221">
        <f t="shared" si="13"/>
        <v>18</v>
      </c>
      <c r="V118" s="220" t="str">
        <f t="shared" si="42"/>
        <v>-</v>
      </c>
      <c r="W118" s="221" t="str">
        <f t="shared" si="43"/>
        <v>-</v>
      </c>
      <c r="X118" s="221" t="str">
        <f t="shared" si="14"/>
        <v>-</v>
      </c>
      <c r="Y118" s="221" t="str">
        <f t="shared" si="15"/>
        <v>-</v>
      </c>
      <c r="Z118" s="270">
        <f t="shared" si="44"/>
        <v>0.1</v>
      </c>
      <c r="AA118" s="271" t="str">
        <f>IFERROR(IF(V117=1,AA$100*EXP(-(LN(2)/$D$65+0.04)*X117)*EXP(-(LN(2)/$D$65+0.1)*Y117),IF(V117=2,AA$100*EXP(-(LN(2)/$D$65+0.04)*(VLOOKUP(($F$16-$F$15)-1,U$99:Y117,4,FALSE)))*EXP(-(LN(2)/$D$65+0.1)*(VLOOKUP(($F$16-$F$15)-1,U$99:Y117,5,FALSE)))*EXP(-(LN(2)/$D$65+0.04)*X117)*EXP(-(LN(2)/$D$65+0.1)*Y117),IF(V117=3,AA$100*EXP(-(LN(2)/$D$65+0.04)*(VLOOKUP(($F$16-$F$15)-1,U$99:Y117,4,FALSE)))*EXP(-(LN(2)/$D$65+0.1)*(VLOOKUP(($F$16-$F$15)-1,U$99:Y117,5,FALSE)))*EXP(-(LN(2)/$D$65+0.04)*(VLOOKUP(($F$16-$F$15)*2-1,U$99:Y117,4,FALSE)))*EXP(-(LN(2)/$D$65+0.1)*(VLOOKUP(($F$16-$F$15)*2-1,U$99:Y117,5,FALSE)))*EXP(-(LN(2)/$D$65+0.04)*X117)*EXP(-(LN(2)/$D$65+0.1)*Y117),"-"))),"-")</f>
        <v>-</v>
      </c>
      <c r="AB118" s="271" t="str">
        <f>IFERROR(IF(V118=1,AB$100*EXP(-(LN(2)/$D$65+0.04)*X118)*EXP(-(LN(2)/$D$65+0.1)*Y118),IF(V118=2,AB$100*EXP(-(LN(2)/$D$65+0.04)*(VLOOKUP(($F$16-$F$15)-1,U$100:Y118,4,FALSE)))*EXP(-(LN(2)/$D$65+0.1)*(VLOOKUP(($F$16-$F$15)-1,U$100:Y118,5,FALSE)))*EXP(-(LN(2)/$D$65+0.04)*X118)*EXP(-(LN(2)/$D$65+0.1)*Y118),IF(V118=3,AB$100*EXP(-(LN(2)/$D$65+0.04)*(VLOOKUP(($F$16-$F$15)-1,U$100:Y118,4,FALSE)))*EXP(-(LN(2)/$D$65+0.1)*(VLOOKUP(($F$16-$F$15)-1,U$100:Y118,5,FALSE)))*EXP(-(LN(2)/$D$65+0.04)*(VLOOKUP(($F$16-$F$15)*2-1,U$100:Y118,4,FALSE)))*EXP(-(LN(2)/$D$65+0.1)*(VLOOKUP(($F$16-$F$15)*2-1,U$100:Y118,5,FALSE)))*EXP(-(LN(2)/$D$65+0.04)*X118)*EXP(-(LN(2)/$D$65+0.1)*Y118),"-"))),"-")</f>
        <v>-</v>
      </c>
      <c r="AC118" s="224">
        <f t="shared" si="45"/>
        <v>18</v>
      </c>
      <c r="AD118" s="223" t="str">
        <f t="shared" si="17"/>
        <v>-</v>
      </c>
      <c r="AE118" s="224" t="str">
        <f t="shared" si="46"/>
        <v>-</v>
      </c>
      <c r="AF118" s="224" t="str">
        <f t="shared" si="18"/>
        <v>-</v>
      </c>
      <c r="AG118" s="224" t="str">
        <f t="shared" si="19"/>
        <v>-</v>
      </c>
      <c r="AH118" s="272">
        <f t="shared" si="47"/>
        <v>0.1</v>
      </c>
      <c r="AI118" s="271" t="str">
        <f>IFERROR(IF(AD117=1,AI$100*EXP(-(LN(2)/$D$65+0.04)*AF117)*EXP(-(LN(2)/$D$65+0.1)*AG117),IF(AD117=2,AI$100*EXP(-(LN(2)/$D$65+0.04)*(VLOOKUP(($F$16-$F$15)-1,AC$99:AG117,4,FALSE)))*EXP(-(LN(2)/$D$65+0.1)*(VLOOKUP(($F$16-$F$15)-1,AC$99:AG117,5,FALSE)))*EXP(-(LN(2)/$D$65+0.04)*AF117)*EXP(-(LN(2)/$D$65+0.1)*AG117),IF(AD117=3,AI$100*EXP(-(LN(2)/$D$65+0.04)*(VLOOKUP(($F$16-$F$15)-1,AC$99:AG117,4,FALSE)))*EXP(-(LN(2)/$D$65+0.1)*(VLOOKUP(($F$16-$F$15)-1,AC$99:AG117,5,FALSE)))*EXP(-(LN(2)/$D$65+0.04)*(VLOOKUP(($F$16-$F$15)*2-1,AC$99:AG117,4,FALSE)))*EXP(-(LN(2)/$D$65+0.1)*(VLOOKUP(($F$16-$F$15)*2-1,AC$99:AG117,5,FALSE)))*EXP(-(LN(2)/$D$65+0.04)*AF117)*EXP(-(LN(2)/$D$65+0.1)*AG117),"-"))),"-")</f>
        <v>-</v>
      </c>
      <c r="AJ118" s="271" t="str">
        <f>IFERROR(IF(AD118=1,AJ$100*EXP(-(LN(2)/$D$65+0.04)*AF118)*EXP(-(LN(2)/$D$65+0.1)*AG118),IF(AD118=2,AJ$100*EXP(-(LN(2)/$D$65+0.04)*(VLOOKUP(($F$16-$F$15)-1,AC$100:AG118,4,FALSE)))*EXP(-(LN(2)/$D$65+0.1)*(VLOOKUP(($F$16-$F$15)-1,AC$100:AG118,5,FALSE)))*EXP(-(LN(2)/$D$65+0.04)*AF118)*EXP(-(LN(2)/$D$65+0.1)*AG118),IF(AD118=3,AJ$100*EXP(-(LN(2)/$D$65+0.04)*(VLOOKUP(($F$16-$F$15)-1,AC$100:AG118,4,FALSE)))*EXP(-(LN(2)/$D$65+0.1)*(VLOOKUP(($F$16-$F$15)-1,AC$100:AG118,5,FALSE)))*EXP(-(LN(2)/$D$65+0.04)*(VLOOKUP(($F$16-$F$15)*2-1,AC$100:AG118,4,FALSE)))*EXP(-(LN(2)/$D$65+0.1)*(VLOOKUP(($F$16-$F$15)*2-1,AC$100:AG118,5,FALSE)))*EXP(-(LN(2)/$D$65+0.04)*AF118)*EXP(-(LN(2)/$D$65+0.1)*AG118),"-"))),"-")</f>
        <v>-</v>
      </c>
      <c r="AK118" s="227">
        <f t="shared" si="49"/>
        <v>18</v>
      </c>
      <c r="AL118" s="226" t="str">
        <f t="shared" si="21"/>
        <v>-</v>
      </c>
      <c r="AM118" s="227" t="str">
        <f t="shared" si="50"/>
        <v>-</v>
      </c>
      <c r="AN118" s="227" t="str">
        <f t="shared" si="51"/>
        <v>-</v>
      </c>
      <c r="AO118" s="227" t="str">
        <f t="shared" si="22"/>
        <v>-</v>
      </c>
      <c r="AP118" s="273">
        <f t="shared" si="52"/>
        <v>0.1</v>
      </c>
      <c r="AQ118" s="271" t="str">
        <f>IFERROR(IF(AL117=1,AQ$100*EXP(-(LN(2)/$D$65+0.04)*AN117)*EXP(-(LN(2)/$D$65+0.1)*AO117),IF(AL117=2,AQ$100*EXP(-(LN(2)/$D$65+0.04)*(VLOOKUP(($F$16-$F$15)-1,AK$99:AO117,4,FALSE)))*EXP(-(LN(2)/$D$65+0.1)*(VLOOKUP(($F$16-$F$15)-1,AK$99:AO117,5,FALSE)))*EXP(-(LN(2)/$D$65+0.04)*AN117)*EXP(-(LN(2)/$D$65+0.1)*AO117),IF(AL117=3,AQ$100*EXP(-(LN(2)/$D$65+0.04)*(VLOOKUP(($F$16-$F$15)-1,AK$99:AO117,4,FALSE)))*EXP(-(LN(2)/$D$65+0.1)*(VLOOKUP(($F$16-$F$15)-1,AK$99:AO117,5,FALSE)))*EXP(-(LN(2)/$D$65+0.04)*(VLOOKUP(($F$16-$F$15)*2-1,AK$99:AO117,4,FALSE)))*EXP(-(LN(2)/$D$65+0.1)*(VLOOKUP(($F$16-$F$15)*2-1,AK$99:AO117,5,FALSE)))*EXP(-(LN(2)/$D$65+0.04)*AN117)*EXP(-(LN(2)/$D$65+0.1)*AO117),"-"))),"-")</f>
        <v>-</v>
      </c>
      <c r="AR118" s="271" t="str">
        <f>IFERROR(IF(AL118=1,AR$100*EXP(-(LN(2)/$D$65+0.04)*AN118)*EXP(-(LN(2)/$D$65+0.1)*AO118),IF(AL118=2,AR$100*EXP(-(LN(2)/$D$65+0.04)*(VLOOKUP(($F$16-$F$15)-1,AK$100:AO118,4,FALSE)))*EXP(-(LN(2)/$D$65+0.1)*(VLOOKUP(($F$16-$F$15)-1,AK$100:AO118,5,FALSE)))*EXP(-(LN(2)/$D$65+0.04)*AN118)*EXP(-(LN(2)/$D$65+0.1)*AO118),IF(AL118=3,AR$100*EXP(-(LN(2)/$D$65+0.04)*(VLOOKUP(($F$16-$F$15)-1,AK$100:AO118,4,FALSE)))*EXP(-(LN(2)/$D$65+0.1)*(VLOOKUP(($F$16-$F$15)-1,AK$100:AO118,5,FALSE)))*EXP(-(LN(2)/$D$65+0.04)*(VLOOKUP(($F$16-$F$15)*2-1,AK$100:AO118,4,FALSE)))*EXP(-(LN(2)/$D$65+0.1)*(VLOOKUP(($F$16-$F$15)*2-1,AK$100:AO118,5,FALSE)))*EXP(-(LN(2)/$D$65+0.04)*AN118)*EXP(-(LN(2)/$D$65+0.1)*AO118),"-"))),"-")</f>
        <v>-</v>
      </c>
      <c r="AS118" s="274">
        <f t="shared" si="23"/>
        <v>0</v>
      </c>
      <c r="AT118" s="274">
        <f t="shared" si="24"/>
        <v>0</v>
      </c>
      <c r="AU118" s="274">
        <f t="shared" si="25"/>
        <v>0</v>
      </c>
      <c r="AV118" s="275">
        <f>IF($B118&lt;$F$22,SUM($T$100:$T118),"")</f>
        <v>0</v>
      </c>
      <c r="AW118" s="275" t="str">
        <f t="shared" si="55"/>
        <v>-</v>
      </c>
      <c r="AX118" s="275" t="str">
        <f t="shared" si="56"/>
        <v/>
      </c>
      <c r="AY118"/>
      <c r="AZ118" s="275" t="str">
        <f ca="1">IF(ISNUMBER(OFFSET(AV118,-$F$21,0)),SUM(OFFSET($T$100,$F$21,0):$T118),"")</f>
        <v/>
      </c>
      <c r="BA118" s="275" t="str">
        <f t="shared" ca="1" si="26"/>
        <v/>
      </c>
      <c r="BB118" s="275" t="str">
        <f t="shared" ca="1" si="57"/>
        <v/>
      </c>
      <c r="BC118" s="190"/>
      <c r="BD118" s="275" t="str">
        <f ca="1">IFERROR(IF(AND($B118&gt;=($F$16-$F$15),$B118&lt;$F$22+($F$16-$F$15)),SUM(OFFSET($T$100,($F$16-$F$15),0):$T118),""),"")</f>
        <v/>
      </c>
      <c r="BE118" s="275" t="str">
        <f t="shared" ca="1" si="58"/>
        <v/>
      </c>
      <c r="BF118" s="275" t="str">
        <f t="shared" ca="1" si="59"/>
        <v/>
      </c>
      <c r="BG118"/>
      <c r="BH118" s="190" t="str">
        <f ca="1">IF(ISNUMBER(OFFSET(BD118,-$F$21,0)),SUM(OFFSET($T$100,($F$16-$F$15+$F$21),0):$T118),"")</f>
        <v/>
      </c>
      <c r="BI118" s="190" t="str">
        <f t="shared" ca="1" si="27"/>
        <v/>
      </c>
      <c r="BJ118" s="190" t="str">
        <f t="shared" ca="1" si="60"/>
        <v/>
      </c>
      <c r="BK118" s="190"/>
      <c r="BL118" s="275" t="str">
        <f ca="1">IFERROR(IF(AND($B118&gt;=($F$17-$F$15),$B118&lt;$F$22+($F$17-$F$15)),SUM(OFFSET($T$100,($F$17-$F$15),0):$T118),""),"")</f>
        <v/>
      </c>
      <c r="BM118" s="275" t="str">
        <f t="shared" ca="1" si="28"/>
        <v/>
      </c>
      <c r="BN118" s="275" t="str">
        <f t="shared" ca="1" si="61"/>
        <v/>
      </c>
      <c r="BO118"/>
      <c r="BP118" s="275" t="str">
        <f ca="1">IF(ISNUMBER(OFFSET(BL118,-$F$21,0)),SUM(OFFSET($T$100,($F$17-$F$15+$F$21),0):$T118),"")</f>
        <v/>
      </c>
      <c r="BQ118" s="275" t="str">
        <f t="shared" ca="1" si="62"/>
        <v/>
      </c>
      <c r="BR118" s="275" t="str">
        <f t="shared" ca="1" si="63"/>
        <v/>
      </c>
      <c r="BS118" s="190"/>
      <c r="BT118"/>
      <c r="BU118" s="276" t="str">
        <f t="shared" si="64"/>
        <v>end</v>
      </c>
      <c r="BV118" s="277">
        <v>18</v>
      </c>
      <c r="BW118" s="278" t="str">
        <f t="shared" si="69"/>
        <v/>
      </c>
      <c r="BX118" s="278" t="str">
        <f t="shared" si="68"/>
        <v/>
      </c>
      <c r="BY118" s="279" t="str">
        <f t="shared" si="65"/>
        <v/>
      </c>
      <c r="BZ118"/>
      <c r="CA118" s="280" t="str">
        <f t="shared" si="29"/>
        <v>-</v>
      </c>
      <c r="CB118" s="71" t="str">
        <f t="shared" si="30"/>
        <v>-</v>
      </c>
      <c r="CC118" s="33" t="str">
        <f t="shared" si="31"/>
        <v>18-19</v>
      </c>
      <c r="CD118" s="261" t="str">
        <f t="shared" si="32"/>
        <v/>
      </c>
      <c r="CE118" s="280" t="str">
        <f t="shared" si="33"/>
        <v>-</v>
      </c>
      <c r="CF118" s="71" t="str">
        <f t="shared" ca="1" si="34"/>
        <v>-</v>
      </c>
      <c r="CG118" s="33" t="str">
        <f t="shared" si="35"/>
        <v>18-19</v>
      </c>
      <c r="CH118" s="261" t="str">
        <f t="shared" ca="1" si="36"/>
        <v/>
      </c>
      <c r="CI118" s="99"/>
      <c r="CJ118" s="99"/>
      <c r="CK118" s="99"/>
      <c r="CL118" s="99"/>
      <c r="CM118" s="99"/>
      <c r="CN118" s="99"/>
      <c r="CO118" s="99"/>
    </row>
    <row r="119" spans="2:93" ht="13.5" customHeight="1" x14ac:dyDescent="0.2">
      <c r="B119" s="262">
        <v>19</v>
      </c>
      <c r="C119" s="237" t="str">
        <f t="shared" si="1"/>
        <v/>
      </c>
      <c r="D119" s="237" t="str">
        <f t="shared" si="66"/>
        <v>-</v>
      </c>
      <c r="E119" s="290" t="str">
        <f t="shared" si="37"/>
        <v/>
      </c>
      <c r="F119" s="264" t="str">
        <f t="shared" si="38"/>
        <v/>
      </c>
      <c r="G119" s="291" t="str">
        <f t="shared" si="39"/>
        <v/>
      </c>
      <c r="H119" s="240" t="str">
        <f t="shared" si="40"/>
        <v/>
      </c>
      <c r="I119" s="265" t="str">
        <f t="shared" si="2"/>
        <v/>
      </c>
      <c r="J119" s="265" t="str">
        <f t="shared" si="3"/>
        <v/>
      </c>
      <c r="K119" s="240" t="str">
        <f t="shared" si="41"/>
        <v/>
      </c>
      <c r="L119" s="265" t="str">
        <f t="shared" si="4"/>
        <v/>
      </c>
      <c r="M119" s="265" t="str">
        <f t="shared" si="5"/>
        <v/>
      </c>
      <c r="N119" s="240" t="str">
        <f t="shared" si="6"/>
        <v>-</v>
      </c>
      <c r="O119" s="265" t="str">
        <f t="shared" si="7"/>
        <v>-</v>
      </c>
      <c r="P119" s="265" t="str">
        <f t="shared" si="8"/>
        <v>-</v>
      </c>
      <c r="Q119" s="266" t="str">
        <f t="shared" si="9"/>
        <v>-</v>
      </c>
      <c r="R119" s="267" t="str">
        <f t="shared" si="10"/>
        <v>-</v>
      </c>
      <c r="S119" s="268" t="str">
        <f t="shared" si="11"/>
        <v>-</v>
      </c>
      <c r="T119" s="269" t="str">
        <f t="shared" si="12"/>
        <v/>
      </c>
      <c r="U119" s="221">
        <f t="shared" si="13"/>
        <v>19</v>
      </c>
      <c r="V119" s="220" t="str">
        <f t="shared" si="42"/>
        <v>-</v>
      </c>
      <c r="W119" s="221" t="str">
        <f t="shared" si="43"/>
        <v>-</v>
      </c>
      <c r="X119" s="221" t="str">
        <f t="shared" si="14"/>
        <v>-</v>
      </c>
      <c r="Y119" s="221" t="str">
        <f t="shared" si="15"/>
        <v>-</v>
      </c>
      <c r="Z119" s="270">
        <f t="shared" si="44"/>
        <v>0.1</v>
      </c>
      <c r="AA119" s="271" t="str">
        <f>IFERROR(IF(V118=1,AA$100*EXP(-(LN(2)/$D$65+0.04)*X118)*EXP(-(LN(2)/$D$65+0.1)*Y118),IF(V118=2,AA$100*EXP(-(LN(2)/$D$65+0.04)*(VLOOKUP(($F$16-$F$15)-1,U$99:Y118,4,FALSE)))*EXP(-(LN(2)/$D$65+0.1)*(VLOOKUP(($F$16-$F$15)-1,U$99:Y118,5,FALSE)))*EXP(-(LN(2)/$D$65+0.04)*X118)*EXP(-(LN(2)/$D$65+0.1)*Y118),IF(V118=3,AA$100*EXP(-(LN(2)/$D$65+0.04)*(VLOOKUP(($F$16-$F$15)-1,U$99:Y118,4,FALSE)))*EXP(-(LN(2)/$D$65+0.1)*(VLOOKUP(($F$16-$F$15)-1,U$99:Y118,5,FALSE)))*EXP(-(LN(2)/$D$65+0.04)*(VLOOKUP(($F$16-$F$15)*2-1,U$99:Y118,4,FALSE)))*EXP(-(LN(2)/$D$65+0.1)*(VLOOKUP(($F$16-$F$15)*2-1,U$99:Y118,5,FALSE)))*EXP(-(LN(2)/$D$65+0.04)*X118)*EXP(-(LN(2)/$D$65+0.1)*Y118),"-"))),"-")</f>
        <v>-</v>
      </c>
      <c r="AB119" s="271" t="str">
        <f>IFERROR(IF(V119=1,AB$100*EXP(-(LN(2)/$D$65+0.04)*X119)*EXP(-(LN(2)/$D$65+0.1)*Y119),IF(V119=2,AB$100*EXP(-(LN(2)/$D$65+0.04)*(VLOOKUP(($F$16-$F$15)-1,U$100:Y119,4,FALSE)))*EXP(-(LN(2)/$D$65+0.1)*(VLOOKUP(($F$16-$F$15)-1,U$100:Y119,5,FALSE)))*EXP(-(LN(2)/$D$65+0.04)*X119)*EXP(-(LN(2)/$D$65+0.1)*Y119),IF(V119=3,AB$100*EXP(-(LN(2)/$D$65+0.04)*(VLOOKUP(($F$16-$F$15)-1,U$100:Y119,4,FALSE)))*EXP(-(LN(2)/$D$65+0.1)*(VLOOKUP(($F$16-$F$15)-1,U$100:Y119,5,FALSE)))*EXP(-(LN(2)/$D$65+0.04)*(VLOOKUP(($F$16-$F$15)*2-1,U$100:Y119,4,FALSE)))*EXP(-(LN(2)/$D$65+0.1)*(VLOOKUP(($F$16-$F$15)*2-1,U$100:Y119,5,FALSE)))*EXP(-(LN(2)/$D$65+0.04)*X119)*EXP(-(LN(2)/$D$65+0.1)*Y119),"-"))),"-")</f>
        <v>-</v>
      </c>
      <c r="AC119" s="224">
        <f t="shared" si="45"/>
        <v>19</v>
      </c>
      <c r="AD119" s="223" t="str">
        <f t="shared" si="17"/>
        <v>-</v>
      </c>
      <c r="AE119" s="224" t="str">
        <f t="shared" si="46"/>
        <v>-</v>
      </c>
      <c r="AF119" s="224" t="str">
        <f t="shared" si="18"/>
        <v>-</v>
      </c>
      <c r="AG119" s="224" t="str">
        <f t="shared" si="19"/>
        <v>-</v>
      </c>
      <c r="AH119" s="272">
        <f t="shared" si="47"/>
        <v>0.1</v>
      </c>
      <c r="AI119" s="271" t="str">
        <f>IFERROR(IF(AD118=1,AI$100*EXP(-(LN(2)/$D$65+0.04)*AF118)*EXP(-(LN(2)/$D$65+0.1)*AG118),IF(AD118=2,AI$100*EXP(-(LN(2)/$D$65+0.04)*(VLOOKUP(($F$16-$F$15)-1,AC$99:AG118,4,FALSE)))*EXP(-(LN(2)/$D$65+0.1)*(VLOOKUP(($F$16-$F$15)-1,AC$99:AG118,5,FALSE)))*EXP(-(LN(2)/$D$65+0.04)*AF118)*EXP(-(LN(2)/$D$65+0.1)*AG118),IF(AD118=3,AI$100*EXP(-(LN(2)/$D$65+0.04)*(VLOOKUP(($F$16-$F$15)-1,AC$99:AG118,4,FALSE)))*EXP(-(LN(2)/$D$65+0.1)*(VLOOKUP(($F$16-$F$15)-1,AC$99:AG118,5,FALSE)))*EXP(-(LN(2)/$D$65+0.04)*(VLOOKUP(($F$16-$F$15)*2-1,AC$99:AG118,4,FALSE)))*EXP(-(LN(2)/$D$65+0.1)*(VLOOKUP(($F$16-$F$15)*2-1,AC$99:AG118,5,FALSE)))*EXP(-(LN(2)/$D$65+0.04)*AF118)*EXP(-(LN(2)/$D$65+0.1)*AG118),"-"))),"-")</f>
        <v>-</v>
      </c>
      <c r="AJ119" s="271" t="str">
        <f>IFERROR(IF(AD119=1,AJ$100*EXP(-(LN(2)/$D$65+0.04)*AF119)*EXP(-(LN(2)/$D$65+0.1)*AG119),IF(AD119=2,AJ$100*EXP(-(LN(2)/$D$65+0.04)*(VLOOKUP(($F$16-$F$15)-1,AC$100:AG119,4,FALSE)))*EXP(-(LN(2)/$D$65+0.1)*(VLOOKUP(($F$16-$F$15)-1,AC$100:AG119,5,FALSE)))*EXP(-(LN(2)/$D$65+0.04)*AF119)*EXP(-(LN(2)/$D$65+0.1)*AG119),IF(AD119=3,AJ$100*EXP(-(LN(2)/$D$65+0.04)*(VLOOKUP(($F$16-$F$15)-1,AC$100:AG119,4,FALSE)))*EXP(-(LN(2)/$D$65+0.1)*(VLOOKUP(($F$16-$F$15)-1,AC$100:AG119,5,FALSE)))*EXP(-(LN(2)/$D$65+0.04)*(VLOOKUP(($F$16-$F$15)*2-1,AC$100:AG119,4,FALSE)))*EXP(-(LN(2)/$D$65+0.1)*(VLOOKUP(($F$16-$F$15)*2-1,AC$100:AG119,5,FALSE)))*EXP(-(LN(2)/$D$65+0.04)*AF119)*EXP(-(LN(2)/$D$65+0.1)*AG119),"-"))),"-")</f>
        <v>-</v>
      </c>
      <c r="AK119" s="227">
        <f t="shared" si="49"/>
        <v>19</v>
      </c>
      <c r="AL119" s="226" t="str">
        <f t="shared" si="21"/>
        <v>-</v>
      </c>
      <c r="AM119" s="227" t="str">
        <f t="shared" si="50"/>
        <v>-</v>
      </c>
      <c r="AN119" s="227" t="str">
        <f t="shared" si="51"/>
        <v>-</v>
      </c>
      <c r="AO119" s="227" t="str">
        <f t="shared" si="22"/>
        <v>-</v>
      </c>
      <c r="AP119" s="273">
        <f t="shared" si="52"/>
        <v>0.1</v>
      </c>
      <c r="AQ119" s="271" t="str">
        <f>IFERROR(IF(AL118=1,AQ$100*EXP(-(LN(2)/$D$65+0.04)*AN118)*EXP(-(LN(2)/$D$65+0.1)*AO118),IF(AL118=2,AQ$100*EXP(-(LN(2)/$D$65+0.04)*(VLOOKUP(($F$16-$F$15)-1,AK$99:AO118,4,FALSE)))*EXP(-(LN(2)/$D$65+0.1)*(VLOOKUP(($F$16-$F$15)-1,AK$99:AO118,5,FALSE)))*EXP(-(LN(2)/$D$65+0.04)*AN118)*EXP(-(LN(2)/$D$65+0.1)*AO118),IF(AL118=3,AQ$100*EXP(-(LN(2)/$D$65+0.04)*(VLOOKUP(($F$16-$F$15)-1,AK$99:AO118,4,FALSE)))*EXP(-(LN(2)/$D$65+0.1)*(VLOOKUP(($F$16-$F$15)-1,AK$99:AO118,5,FALSE)))*EXP(-(LN(2)/$D$65+0.04)*(VLOOKUP(($F$16-$F$15)*2-1,AK$99:AO118,4,FALSE)))*EXP(-(LN(2)/$D$65+0.1)*(VLOOKUP(($F$16-$F$15)*2-1,AK$99:AO118,5,FALSE)))*EXP(-(LN(2)/$D$65+0.04)*AN118)*EXP(-(LN(2)/$D$65+0.1)*AO118),"-"))),"-")</f>
        <v>-</v>
      </c>
      <c r="AR119" s="271" t="str">
        <f>IFERROR(IF(AL119=1,AR$100*EXP(-(LN(2)/$D$65+0.04)*AN119)*EXP(-(LN(2)/$D$65+0.1)*AO119),IF(AL119=2,AR$100*EXP(-(LN(2)/$D$65+0.04)*(VLOOKUP(($F$16-$F$15)-1,AK$100:AO119,4,FALSE)))*EXP(-(LN(2)/$D$65+0.1)*(VLOOKUP(($F$16-$F$15)-1,AK$100:AO119,5,FALSE)))*EXP(-(LN(2)/$D$65+0.04)*AN119)*EXP(-(LN(2)/$D$65+0.1)*AO119),IF(AL119=3,AR$100*EXP(-(LN(2)/$D$65+0.04)*(VLOOKUP(($F$16-$F$15)-1,AK$100:AO119,4,FALSE)))*EXP(-(LN(2)/$D$65+0.1)*(VLOOKUP(($F$16-$F$15)-1,AK$100:AO119,5,FALSE)))*EXP(-(LN(2)/$D$65+0.04)*(VLOOKUP(($F$16-$F$15)*2-1,AK$100:AO119,4,FALSE)))*EXP(-(LN(2)/$D$65+0.1)*(VLOOKUP(($F$16-$F$15)*2-1,AK$100:AO119,5,FALSE)))*EXP(-(LN(2)/$D$65+0.04)*AN119)*EXP(-(LN(2)/$D$65+0.1)*AO119),"-"))),"-")</f>
        <v>-</v>
      </c>
      <c r="AS119" s="274">
        <f t="shared" si="23"/>
        <v>0</v>
      </c>
      <c r="AT119" s="274">
        <f t="shared" si="24"/>
        <v>0</v>
      </c>
      <c r="AU119" s="274">
        <f t="shared" si="25"/>
        <v>0</v>
      </c>
      <c r="AV119" s="275">
        <f>IF($B119&lt;$F$22,SUM($T$100:$T119),"")</f>
        <v>0</v>
      </c>
      <c r="AW119" s="275" t="str">
        <f t="shared" si="55"/>
        <v>-</v>
      </c>
      <c r="AX119" s="275" t="str">
        <f t="shared" si="56"/>
        <v/>
      </c>
      <c r="AY119"/>
      <c r="AZ119" s="275" t="str">
        <f ca="1">IF(ISNUMBER(OFFSET(AV119,-$F$21,0)),SUM(OFFSET($T$100,$F$21,0):$T119),"")</f>
        <v/>
      </c>
      <c r="BA119" s="275" t="str">
        <f t="shared" ca="1" si="26"/>
        <v/>
      </c>
      <c r="BB119" s="275" t="str">
        <f t="shared" ca="1" si="57"/>
        <v/>
      </c>
      <c r="BC119" s="190"/>
      <c r="BD119" s="275" t="str">
        <f ca="1">IFERROR(IF(AND($B119&gt;=($F$16-$F$15),$B119&lt;$F$22+($F$16-$F$15)),SUM(OFFSET($T$100,($F$16-$F$15),0):$T119),""),"")</f>
        <v/>
      </c>
      <c r="BE119" s="275" t="str">
        <f t="shared" ca="1" si="58"/>
        <v/>
      </c>
      <c r="BF119" s="275" t="str">
        <f t="shared" ca="1" si="59"/>
        <v/>
      </c>
      <c r="BG119"/>
      <c r="BH119" s="190" t="str">
        <f ca="1">IF(ISNUMBER(OFFSET(BD119,-$F$21,0)),SUM(OFFSET($T$100,($F$16-$F$15+$F$21),0):$T119),"")</f>
        <v/>
      </c>
      <c r="BI119" s="190" t="str">
        <f t="shared" ca="1" si="27"/>
        <v/>
      </c>
      <c r="BJ119" s="190" t="str">
        <f t="shared" ca="1" si="60"/>
        <v/>
      </c>
      <c r="BK119" s="190"/>
      <c r="BL119" s="275" t="str">
        <f ca="1">IFERROR(IF(AND($B119&gt;=($F$17-$F$15),$B119&lt;$F$22+($F$17-$F$15)),SUM(OFFSET($T$100,($F$17-$F$15),0):$T119),""),"")</f>
        <v/>
      </c>
      <c r="BM119" s="275" t="str">
        <f t="shared" ca="1" si="28"/>
        <v/>
      </c>
      <c r="BN119" s="275" t="str">
        <f t="shared" ca="1" si="61"/>
        <v/>
      </c>
      <c r="BO119"/>
      <c r="BP119" s="275" t="str">
        <f ca="1">IF(ISNUMBER(OFFSET(BL119,-$F$21,0)),SUM(OFFSET($T$100,($F$17-$F$15+$F$21),0):$T119),"")</f>
        <v/>
      </c>
      <c r="BQ119" s="275" t="str">
        <f t="shared" ca="1" si="62"/>
        <v/>
      </c>
      <c r="BR119" s="275" t="str">
        <f t="shared" ca="1" si="63"/>
        <v/>
      </c>
      <c r="BS119" s="190"/>
      <c r="BT119"/>
      <c r="BU119" s="276" t="str">
        <f t="shared" si="64"/>
        <v>end</v>
      </c>
      <c r="BV119" s="277">
        <v>19</v>
      </c>
      <c r="BW119" s="278" t="str">
        <f t="shared" si="69"/>
        <v/>
      </c>
      <c r="BX119" s="278" t="str">
        <f t="shared" si="68"/>
        <v/>
      </c>
      <c r="BY119" s="279" t="str">
        <f t="shared" si="65"/>
        <v/>
      </c>
      <c r="BZ119"/>
      <c r="CA119" s="280" t="str">
        <f t="shared" si="29"/>
        <v>-</v>
      </c>
      <c r="CB119" s="71" t="str">
        <f t="shared" si="30"/>
        <v>-</v>
      </c>
      <c r="CC119" s="33" t="str">
        <f t="shared" si="31"/>
        <v>19-20</v>
      </c>
      <c r="CD119" s="261" t="str">
        <f t="shared" si="32"/>
        <v/>
      </c>
      <c r="CE119" s="280" t="str">
        <f t="shared" si="33"/>
        <v>-</v>
      </c>
      <c r="CF119" s="71" t="str">
        <f t="shared" ca="1" si="34"/>
        <v>-</v>
      </c>
      <c r="CG119" s="33" t="str">
        <f t="shared" si="35"/>
        <v>19-20</v>
      </c>
      <c r="CH119" s="261" t="str">
        <f t="shared" ca="1" si="36"/>
        <v/>
      </c>
      <c r="CI119" s="99"/>
      <c r="CJ119" s="99"/>
      <c r="CK119" s="99"/>
      <c r="CL119" s="99"/>
      <c r="CM119" s="99"/>
      <c r="CN119" s="99"/>
      <c r="CO119" s="99"/>
    </row>
    <row r="120" spans="2:93" ht="13.5" customHeight="1" x14ac:dyDescent="0.2">
      <c r="B120" s="262">
        <v>20</v>
      </c>
      <c r="C120" s="237" t="str">
        <f t="shared" si="1"/>
        <v/>
      </c>
      <c r="D120" s="237" t="str">
        <f t="shared" si="66"/>
        <v>-</v>
      </c>
      <c r="E120" s="290" t="str">
        <f t="shared" si="37"/>
        <v/>
      </c>
      <c r="F120" s="264" t="str">
        <f t="shared" si="38"/>
        <v/>
      </c>
      <c r="G120" s="291" t="str">
        <f t="shared" si="39"/>
        <v/>
      </c>
      <c r="H120" s="240" t="str">
        <f t="shared" si="40"/>
        <v/>
      </c>
      <c r="I120" s="265" t="str">
        <f t="shared" si="2"/>
        <v/>
      </c>
      <c r="J120" s="265" t="str">
        <f t="shared" si="3"/>
        <v/>
      </c>
      <c r="K120" s="240" t="str">
        <f t="shared" si="41"/>
        <v/>
      </c>
      <c r="L120" s="265" t="str">
        <f t="shared" si="4"/>
        <v/>
      </c>
      <c r="M120" s="265" t="str">
        <f t="shared" si="5"/>
        <v/>
      </c>
      <c r="N120" s="240" t="str">
        <f t="shared" si="6"/>
        <v>-</v>
      </c>
      <c r="O120" s="265" t="str">
        <f t="shared" si="7"/>
        <v>-</v>
      </c>
      <c r="P120" s="265" t="str">
        <f t="shared" si="8"/>
        <v>-</v>
      </c>
      <c r="Q120" s="266" t="str">
        <f t="shared" si="9"/>
        <v>-</v>
      </c>
      <c r="R120" s="267" t="str">
        <f t="shared" si="10"/>
        <v>-</v>
      </c>
      <c r="S120" s="268" t="str">
        <f t="shared" si="11"/>
        <v>-</v>
      </c>
      <c r="T120" s="269" t="str">
        <f t="shared" si="12"/>
        <v/>
      </c>
      <c r="U120" s="221">
        <f t="shared" si="13"/>
        <v>20</v>
      </c>
      <c r="V120" s="220" t="str">
        <f t="shared" si="42"/>
        <v>-</v>
      </c>
      <c r="W120" s="221" t="str">
        <f t="shared" si="43"/>
        <v>-</v>
      </c>
      <c r="X120" s="221" t="str">
        <f t="shared" si="14"/>
        <v>-</v>
      </c>
      <c r="Y120" s="221" t="str">
        <f t="shared" si="15"/>
        <v>-</v>
      </c>
      <c r="Z120" s="270">
        <f t="shared" si="44"/>
        <v>0.1</v>
      </c>
      <c r="AA120" s="271" t="str">
        <f>IFERROR(IF(V119=1,AA$100*EXP(-(LN(2)/$D$65+0.04)*X119)*EXP(-(LN(2)/$D$65+0.1)*Y119),IF(V119=2,AA$100*EXP(-(LN(2)/$D$65+0.04)*(VLOOKUP(($F$16-$F$15)-1,U$99:Y119,4,FALSE)))*EXP(-(LN(2)/$D$65+0.1)*(VLOOKUP(($F$16-$F$15)-1,U$99:Y119,5,FALSE)))*EXP(-(LN(2)/$D$65+0.04)*X119)*EXP(-(LN(2)/$D$65+0.1)*Y119),IF(V119=3,AA$100*EXP(-(LN(2)/$D$65+0.04)*(VLOOKUP(($F$16-$F$15)-1,U$99:Y119,4,FALSE)))*EXP(-(LN(2)/$D$65+0.1)*(VLOOKUP(($F$16-$F$15)-1,U$99:Y119,5,FALSE)))*EXP(-(LN(2)/$D$65+0.04)*(VLOOKUP(($F$16-$F$15)*2-1,U$99:Y119,4,FALSE)))*EXP(-(LN(2)/$D$65+0.1)*(VLOOKUP(($F$16-$F$15)*2-1,U$99:Y119,5,FALSE)))*EXP(-(LN(2)/$D$65+0.04)*X119)*EXP(-(LN(2)/$D$65+0.1)*Y119),"-"))),"-")</f>
        <v>-</v>
      </c>
      <c r="AB120" s="271" t="str">
        <f>IFERROR(IF(V120=1,AB$100*EXP(-(LN(2)/$D$65+0.04)*X120)*EXP(-(LN(2)/$D$65+0.1)*Y120),IF(V120=2,AB$100*EXP(-(LN(2)/$D$65+0.04)*(VLOOKUP(($F$16-$F$15)-1,U$100:Y120,4,FALSE)))*EXP(-(LN(2)/$D$65+0.1)*(VLOOKUP(($F$16-$F$15)-1,U$100:Y120,5,FALSE)))*EXP(-(LN(2)/$D$65+0.04)*X120)*EXP(-(LN(2)/$D$65+0.1)*Y120),IF(V120=3,AB$100*EXP(-(LN(2)/$D$65+0.04)*(VLOOKUP(($F$16-$F$15)-1,U$100:Y120,4,FALSE)))*EXP(-(LN(2)/$D$65+0.1)*(VLOOKUP(($F$16-$F$15)-1,U$100:Y120,5,FALSE)))*EXP(-(LN(2)/$D$65+0.04)*(VLOOKUP(($F$16-$F$15)*2-1,U$100:Y120,4,FALSE)))*EXP(-(LN(2)/$D$65+0.1)*(VLOOKUP(($F$16-$F$15)*2-1,U$100:Y120,5,FALSE)))*EXP(-(LN(2)/$D$65+0.04)*X120)*EXP(-(LN(2)/$D$65+0.1)*Y120),"-"))),"-")</f>
        <v>-</v>
      </c>
      <c r="AC120" s="224">
        <f t="shared" si="45"/>
        <v>20</v>
      </c>
      <c r="AD120" s="223" t="str">
        <f t="shared" si="17"/>
        <v>-</v>
      </c>
      <c r="AE120" s="224" t="str">
        <f t="shared" si="46"/>
        <v>-</v>
      </c>
      <c r="AF120" s="224" t="str">
        <f t="shared" si="18"/>
        <v>-</v>
      </c>
      <c r="AG120" s="224" t="str">
        <f t="shared" si="19"/>
        <v>-</v>
      </c>
      <c r="AH120" s="272">
        <f t="shared" si="47"/>
        <v>0.1</v>
      </c>
      <c r="AI120" s="271" t="str">
        <f>IFERROR(IF(AD119=1,AI$100*EXP(-(LN(2)/$D$65+0.04)*AF119)*EXP(-(LN(2)/$D$65+0.1)*AG119),IF(AD119=2,AI$100*EXP(-(LN(2)/$D$65+0.04)*(VLOOKUP(($F$16-$F$15)-1,AC$99:AG119,4,FALSE)))*EXP(-(LN(2)/$D$65+0.1)*(VLOOKUP(($F$16-$F$15)-1,AC$99:AG119,5,FALSE)))*EXP(-(LN(2)/$D$65+0.04)*AF119)*EXP(-(LN(2)/$D$65+0.1)*AG119),IF(AD119=3,AI$100*EXP(-(LN(2)/$D$65+0.04)*(VLOOKUP(($F$16-$F$15)-1,AC$99:AG119,4,FALSE)))*EXP(-(LN(2)/$D$65+0.1)*(VLOOKUP(($F$16-$F$15)-1,AC$99:AG119,5,FALSE)))*EXP(-(LN(2)/$D$65+0.04)*(VLOOKUP(($F$16-$F$15)*2-1,AC$99:AG119,4,FALSE)))*EXP(-(LN(2)/$D$65+0.1)*(VLOOKUP(($F$16-$F$15)*2-1,AC$99:AG119,5,FALSE)))*EXP(-(LN(2)/$D$65+0.04)*AF119)*EXP(-(LN(2)/$D$65+0.1)*AG119),"-"))),"-")</f>
        <v>-</v>
      </c>
      <c r="AJ120" s="271" t="str">
        <f>IFERROR(IF(AD120=1,AJ$100*EXP(-(LN(2)/$D$65+0.04)*AF120)*EXP(-(LN(2)/$D$65+0.1)*AG120),IF(AD120=2,AJ$100*EXP(-(LN(2)/$D$65+0.04)*(VLOOKUP(($F$16-$F$15)-1,AC$100:AG120,4,FALSE)))*EXP(-(LN(2)/$D$65+0.1)*(VLOOKUP(($F$16-$F$15)-1,AC$100:AG120,5,FALSE)))*EXP(-(LN(2)/$D$65+0.04)*AF120)*EXP(-(LN(2)/$D$65+0.1)*AG120),IF(AD120=3,AJ$100*EXP(-(LN(2)/$D$65+0.04)*(VLOOKUP(($F$16-$F$15)-1,AC$100:AG120,4,FALSE)))*EXP(-(LN(2)/$D$65+0.1)*(VLOOKUP(($F$16-$F$15)-1,AC$100:AG120,5,FALSE)))*EXP(-(LN(2)/$D$65+0.04)*(VLOOKUP(($F$16-$F$15)*2-1,AC$100:AG120,4,FALSE)))*EXP(-(LN(2)/$D$65+0.1)*(VLOOKUP(($F$16-$F$15)*2-1,AC$100:AG120,5,FALSE)))*EXP(-(LN(2)/$D$65+0.04)*AF120)*EXP(-(LN(2)/$D$65+0.1)*AG120),"-"))),"-")</f>
        <v>-</v>
      </c>
      <c r="AK120" s="227">
        <f t="shared" si="49"/>
        <v>20</v>
      </c>
      <c r="AL120" s="226" t="str">
        <f t="shared" si="21"/>
        <v>-</v>
      </c>
      <c r="AM120" s="227" t="str">
        <f t="shared" si="50"/>
        <v>-</v>
      </c>
      <c r="AN120" s="227" t="str">
        <f t="shared" si="51"/>
        <v>-</v>
      </c>
      <c r="AO120" s="227" t="str">
        <f t="shared" si="22"/>
        <v>-</v>
      </c>
      <c r="AP120" s="273">
        <f t="shared" si="52"/>
        <v>0.1</v>
      </c>
      <c r="AQ120" s="271" t="str">
        <f>IFERROR(IF(AL119=1,AQ$100*EXP(-(LN(2)/$D$65+0.04)*AN119)*EXP(-(LN(2)/$D$65+0.1)*AO119),IF(AL119=2,AQ$100*EXP(-(LN(2)/$D$65+0.04)*(VLOOKUP(($F$16-$F$15)-1,AK$99:AO119,4,FALSE)))*EXP(-(LN(2)/$D$65+0.1)*(VLOOKUP(($F$16-$F$15)-1,AK$99:AO119,5,FALSE)))*EXP(-(LN(2)/$D$65+0.04)*AN119)*EXP(-(LN(2)/$D$65+0.1)*AO119),IF(AL119=3,AQ$100*EXP(-(LN(2)/$D$65+0.04)*(VLOOKUP(($F$16-$F$15)-1,AK$99:AO119,4,FALSE)))*EXP(-(LN(2)/$D$65+0.1)*(VLOOKUP(($F$16-$F$15)-1,AK$99:AO119,5,FALSE)))*EXP(-(LN(2)/$D$65+0.04)*(VLOOKUP(($F$16-$F$15)*2-1,AK$99:AO119,4,FALSE)))*EXP(-(LN(2)/$D$65+0.1)*(VLOOKUP(($F$16-$F$15)*2-1,AK$99:AO119,5,FALSE)))*EXP(-(LN(2)/$D$65+0.04)*AN119)*EXP(-(LN(2)/$D$65+0.1)*AO119),"-"))),"-")</f>
        <v>-</v>
      </c>
      <c r="AR120" s="271" t="str">
        <f>IFERROR(IF(AL120=1,AR$100*EXP(-(LN(2)/$D$65+0.04)*AN120)*EXP(-(LN(2)/$D$65+0.1)*AO120),IF(AL120=2,AR$100*EXP(-(LN(2)/$D$65+0.04)*(VLOOKUP(($F$16-$F$15)-1,AK$100:AO120,4,FALSE)))*EXP(-(LN(2)/$D$65+0.1)*(VLOOKUP(($F$16-$F$15)-1,AK$100:AO120,5,FALSE)))*EXP(-(LN(2)/$D$65+0.04)*AN120)*EXP(-(LN(2)/$D$65+0.1)*AO120),IF(AL120=3,AR$100*EXP(-(LN(2)/$D$65+0.04)*(VLOOKUP(($F$16-$F$15)-1,AK$100:AO120,4,FALSE)))*EXP(-(LN(2)/$D$65+0.1)*(VLOOKUP(($F$16-$F$15)-1,AK$100:AO120,5,FALSE)))*EXP(-(LN(2)/$D$65+0.04)*(VLOOKUP(($F$16-$F$15)*2-1,AK$100:AO120,4,FALSE)))*EXP(-(LN(2)/$D$65+0.1)*(VLOOKUP(($F$16-$F$15)*2-1,AK$100:AO120,5,FALSE)))*EXP(-(LN(2)/$D$65+0.04)*AN120)*EXP(-(LN(2)/$D$65+0.1)*AO120),"-"))),"-")</f>
        <v>-</v>
      </c>
      <c r="AS120" s="274">
        <f t="shared" si="23"/>
        <v>0</v>
      </c>
      <c r="AT120" s="274">
        <f t="shared" si="24"/>
        <v>0</v>
      </c>
      <c r="AU120" s="274">
        <f t="shared" si="25"/>
        <v>0</v>
      </c>
      <c r="AV120" s="253">
        <f>IF($B120&lt;$F$22,SUM($T$100:$T120),"")</f>
        <v>0</v>
      </c>
      <c r="AW120" s="253" t="str">
        <f t="shared" si="55"/>
        <v>-</v>
      </c>
      <c r="AX120" s="253" t="str">
        <f t="shared" si="56"/>
        <v/>
      </c>
      <c r="AY120" s="295"/>
      <c r="AZ120" s="253" t="str">
        <f ca="1">IF(ISNUMBER(OFFSET(AV120,-$F$21,0)),SUM(OFFSET($T$100,$F$21,0):$T120),"")</f>
        <v/>
      </c>
      <c r="BA120" s="253" t="str">
        <f t="shared" ca="1" si="26"/>
        <v/>
      </c>
      <c r="BB120" s="253" t="str">
        <f ca="1">IF(ISNUMBER(AZ120),(AZ120-BA120)/(3*86400*(OFFSET($B120,-$F$21,0)+1))*1000,"")</f>
        <v/>
      </c>
      <c r="BC120" s="253"/>
      <c r="BD120" s="253" t="str">
        <f ca="1">IFERROR(IF(AND($B120&gt;=($F$16-$F$15),$B120&lt;$F$22+($F$16-$F$15)),SUM(OFFSET($T$100,($F$16-$F$15),0):$T120),""),"")</f>
        <v/>
      </c>
      <c r="BE120" s="253" t="str">
        <f t="shared" ca="1" si="58"/>
        <v/>
      </c>
      <c r="BF120" s="253" t="str">
        <f t="shared" ca="1" si="59"/>
        <v/>
      </c>
      <c r="BG120" s="295"/>
      <c r="BH120" s="253" t="str">
        <f ca="1">IF(ISNUMBER(OFFSET(BD120,-$F$21,0)),SUM(OFFSET($T$100,($F$16-$F$15+$F$21),0):$T120),"")</f>
        <v/>
      </c>
      <c r="BI120" s="253" t="str">
        <f t="shared" ca="1" si="27"/>
        <v/>
      </c>
      <c r="BJ120" s="253" t="str">
        <f t="shared" ca="1" si="60"/>
        <v/>
      </c>
      <c r="BK120" s="253"/>
      <c r="BL120" s="253" t="str">
        <f ca="1">IFERROR(IF(AND($B120&gt;=($F$17-$F$15),$B120&lt;$F$22+($F$17-$F$15)),SUM(OFFSET($T$100,($F$17-$F$15),0):$T120),""),"")</f>
        <v/>
      </c>
      <c r="BM120" s="253" t="str">
        <f t="shared" ca="1" si="28"/>
        <v/>
      </c>
      <c r="BN120" s="253" t="str">
        <f t="shared" ca="1" si="61"/>
        <v/>
      </c>
      <c r="BO120" s="295"/>
      <c r="BP120" s="253" t="str">
        <f ca="1">IF(ISNUMBER(OFFSET(BL120,-$F$21,0)),SUM(OFFSET($T$100,($F$17-$F$15+$F$21),0):$T120),"")</f>
        <v/>
      </c>
      <c r="BQ120" s="253" t="str">
        <f t="shared" ca="1" si="62"/>
        <v/>
      </c>
      <c r="BR120" s="253" t="str">
        <f t="shared" ca="1" si="63"/>
        <v/>
      </c>
      <c r="BS120" s="253"/>
      <c r="BT120" s="296"/>
      <c r="BU120" s="297" t="str">
        <f t="shared" si="64"/>
        <v>end</v>
      </c>
      <c r="BV120" s="277">
        <v>20</v>
      </c>
      <c r="BW120" s="298" t="str">
        <f t="shared" si="69"/>
        <v/>
      </c>
      <c r="BX120" s="298" t="str">
        <f t="shared" si="68"/>
        <v/>
      </c>
      <c r="BY120" s="299" t="str">
        <f t="shared" si="65"/>
        <v/>
      </c>
      <c r="BZ120" s="67"/>
      <c r="CA120" s="280" t="str">
        <f t="shared" si="29"/>
        <v>-</v>
      </c>
      <c r="CB120" s="71" t="str">
        <f t="shared" si="30"/>
        <v>-</v>
      </c>
      <c r="CC120" s="33" t="str">
        <f t="shared" si="31"/>
        <v>20-21</v>
      </c>
      <c r="CD120" s="261" t="str">
        <f t="shared" si="32"/>
        <v/>
      </c>
      <c r="CE120" s="280" t="str">
        <f t="shared" si="33"/>
        <v>-</v>
      </c>
      <c r="CF120" s="71" t="str">
        <f t="shared" ca="1" si="34"/>
        <v>-</v>
      </c>
      <c r="CG120" s="33" t="str">
        <f t="shared" si="35"/>
        <v>20-21</v>
      </c>
      <c r="CH120" s="261" t="str">
        <f t="shared" ca="1" si="36"/>
        <v/>
      </c>
      <c r="CI120" s="99"/>
      <c r="CJ120" s="99"/>
      <c r="CK120" s="99"/>
      <c r="CL120" s="99"/>
      <c r="CM120" s="99"/>
      <c r="CN120" s="99"/>
      <c r="CO120" s="99"/>
    </row>
    <row r="121" spans="2:93" ht="13.5" customHeight="1" x14ac:dyDescent="0.2">
      <c r="B121" s="262">
        <v>21</v>
      </c>
      <c r="C121" s="237" t="str">
        <f t="shared" si="1"/>
        <v/>
      </c>
      <c r="D121" s="237" t="str">
        <f t="shared" si="66"/>
        <v>-</v>
      </c>
      <c r="E121" s="290" t="str">
        <f t="shared" si="37"/>
        <v/>
      </c>
      <c r="F121" s="264" t="str">
        <f t="shared" si="38"/>
        <v/>
      </c>
      <c r="G121" s="291" t="str">
        <f t="shared" si="39"/>
        <v/>
      </c>
      <c r="H121" s="240" t="str">
        <f t="shared" si="40"/>
        <v/>
      </c>
      <c r="I121" s="265" t="str">
        <f t="shared" si="2"/>
        <v/>
      </c>
      <c r="J121" s="265" t="str">
        <f t="shared" si="3"/>
        <v/>
      </c>
      <c r="K121" s="240" t="str">
        <f t="shared" si="41"/>
        <v/>
      </c>
      <c r="L121" s="265" t="str">
        <f t="shared" si="4"/>
        <v/>
      </c>
      <c r="M121" s="265" t="str">
        <f t="shared" si="5"/>
        <v/>
      </c>
      <c r="N121" s="240" t="str">
        <f t="shared" si="6"/>
        <v>-</v>
      </c>
      <c r="O121" s="265" t="str">
        <f t="shared" si="7"/>
        <v>-</v>
      </c>
      <c r="P121" s="265" t="str">
        <f t="shared" si="8"/>
        <v>-</v>
      </c>
      <c r="Q121" s="266" t="str">
        <f t="shared" si="9"/>
        <v>-</v>
      </c>
      <c r="R121" s="267" t="str">
        <f t="shared" si="10"/>
        <v>-</v>
      </c>
      <c r="S121" s="268" t="str">
        <f t="shared" si="11"/>
        <v>-</v>
      </c>
      <c r="T121" s="269" t="str">
        <f t="shared" si="12"/>
        <v/>
      </c>
      <c r="U121" s="221">
        <f t="shared" si="13"/>
        <v>21</v>
      </c>
      <c r="V121" s="220" t="str">
        <f t="shared" si="42"/>
        <v>-</v>
      </c>
      <c r="W121" s="221" t="str">
        <f t="shared" si="43"/>
        <v>-</v>
      </c>
      <c r="X121" s="221" t="str">
        <f t="shared" si="14"/>
        <v>-</v>
      </c>
      <c r="Y121" s="221" t="str">
        <f t="shared" si="15"/>
        <v>-</v>
      </c>
      <c r="Z121" s="270">
        <f t="shared" si="44"/>
        <v>0.1</v>
      </c>
      <c r="AA121" s="271" t="str">
        <f>IFERROR(IF(V120=1,AA$100*EXP(-(LN(2)/$D$65+0.04)*X120)*EXP(-(LN(2)/$D$65+0.1)*Y120),IF(V120=2,AA$100*EXP(-(LN(2)/$D$65+0.04)*(VLOOKUP(($F$16-$F$15)-1,U$99:Y120,4,FALSE)))*EXP(-(LN(2)/$D$65+0.1)*(VLOOKUP(($F$16-$F$15)-1,U$99:Y120,5,FALSE)))*EXP(-(LN(2)/$D$65+0.04)*X120)*EXP(-(LN(2)/$D$65+0.1)*Y120),IF(V120=3,AA$100*EXP(-(LN(2)/$D$65+0.04)*(VLOOKUP(($F$16-$F$15)-1,U$99:Y120,4,FALSE)))*EXP(-(LN(2)/$D$65+0.1)*(VLOOKUP(($F$16-$F$15)-1,U$99:Y120,5,FALSE)))*EXP(-(LN(2)/$D$65+0.04)*(VLOOKUP(($F$16-$F$15)*2-1,U$99:Y120,4,FALSE)))*EXP(-(LN(2)/$D$65+0.1)*(VLOOKUP(($F$16-$F$15)*2-1,U$99:Y120,5,FALSE)))*EXP(-(LN(2)/$D$65+0.04)*X120)*EXP(-(LN(2)/$D$65+0.1)*Y120),"-"))),"-")</f>
        <v>-</v>
      </c>
      <c r="AB121" s="271" t="str">
        <f>IFERROR(IF(V121=1,AB$100*EXP(-(LN(2)/$D$65+0.04)*X121)*EXP(-(LN(2)/$D$65+0.1)*Y121),IF(V121=2,AB$100*EXP(-(LN(2)/$D$65+0.04)*(VLOOKUP(($F$16-$F$15)-1,U$100:Y121,4,FALSE)))*EXP(-(LN(2)/$D$65+0.1)*(VLOOKUP(($F$16-$F$15)-1,U$100:Y121,5,FALSE)))*EXP(-(LN(2)/$D$65+0.04)*X121)*EXP(-(LN(2)/$D$65+0.1)*Y121),IF(V121=3,AB$100*EXP(-(LN(2)/$D$65+0.04)*(VLOOKUP(($F$16-$F$15)-1,U$100:Y121,4,FALSE)))*EXP(-(LN(2)/$D$65+0.1)*(VLOOKUP(($F$16-$F$15)-1,U$100:Y121,5,FALSE)))*EXP(-(LN(2)/$D$65+0.04)*(VLOOKUP(($F$16-$F$15)*2-1,U$100:Y121,4,FALSE)))*EXP(-(LN(2)/$D$65+0.1)*(VLOOKUP(($F$16-$F$15)*2-1,U$100:Y121,5,FALSE)))*EXP(-(LN(2)/$D$65+0.04)*X121)*EXP(-(LN(2)/$D$65+0.1)*Y121),"-"))),"-")</f>
        <v>-</v>
      </c>
      <c r="AC121" s="224">
        <f t="shared" si="45"/>
        <v>21</v>
      </c>
      <c r="AD121" s="223" t="str">
        <f t="shared" si="17"/>
        <v>-</v>
      </c>
      <c r="AE121" s="224" t="str">
        <f t="shared" si="46"/>
        <v>-</v>
      </c>
      <c r="AF121" s="224" t="str">
        <f t="shared" si="18"/>
        <v>-</v>
      </c>
      <c r="AG121" s="224" t="str">
        <f t="shared" si="19"/>
        <v>-</v>
      </c>
      <c r="AH121" s="272">
        <f t="shared" si="47"/>
        <v>0.1</v>
      </c>
      <c r="AI121" s="271" t="str">
        <f>IFERROR(IF(AD120=1,AI$100*EXP(-(LN(2)/$D$65+0.04)*AF120)*EXP(-(LN(2)/$D$65+0.1)*AG120),IF(AD120=2,AI$100*EXP(-(LN(2)/$D$65+0.04)*(VLOOKUP(($F$16-$F$15)-1,AC$99:AG120,4,FALSE)))*EXP(-(LN(2)/$D$65+0.1)*(VLOOKUP(($F$16-$F$15)-1,AC$99:AG120,5,FALSE)))*EXP(-(LN(2)/$D$65+0.04)*AF120)*EXP(-(LN(2)/$D$65+0.1)*AG120),IF(AD120=3,AI$100*EXP(-(LN(2)/$D$65+0.04)*(VLOOKUP(($F$16-$F$15)-1,AC$99:AG120,4,FALSE)))*EXP(-(LN(2)/$D$65+0.1)*(VLOOKUP(($F$16-$F$15)-1,AC$99:AG120,5,FALSE)))*EXP(-(LN(2)/$D$65+0.04)*(VLOOKUP(($F$16-$F$15)*2-1,AC$99:AG120,4,FALSE)))*EXP(-(LN(2)/$D$65+0.1)*(VLOOKUP(($F$16-$F$15)*2-1,AC$99:AG120,5,FALSE)))*EXP(-(LN(2)/$D$65+0.04)*AF120)*EXP(-(LN(2)/$D$65+0.1)*AG120),"-"))),"-")</f>
        <v>-</v>
      </c>
      <c r="AJ121" s="271" t="str">
        <f>IFERROR(IF(AD121=1,AJ$100*EXP(-(LN(2)/$D$65+0.04)*AF121)*EXP(-(LN(2)/$D$65+0.1)*AG121),IF(AD121=2,AJ$100*EXP(-(LN(2)/$D$65+0.04)*(VLOOKUP(($F$16-$F$15)-1,AC$100:AG121,4,FALSE)))*EXP(-(LN(2)/$D$65+0.1)*(VLOOKUP(($F$16-$F$15)-1,AC$100:AG121,5,FALSE)))*EXP(-(LN(2)/$D$65+0.04)*AF121)*EXP(-(LN(2)/$D$65+0.1)*AG121),IF(AD121=3,AJ$100*EXP(-(LN(2)/$D$65+0.04)*(VLOOKUP(($F$16-$F$15)-1,AC$100:AG121,4,FALSE)))*EXP(-(LN(2)/$D$65+0.1)*(VLOOKUP(($F$16-$F$15)-1,AC$100:AG121,5,FALSE)))*EXP(-(LN(2)/$D$65+0.04)*(VLOOKUP(($F$16-$F$15)*2-1,AC$100:AG121,4,FALSE)))*EXP(-(LN(2)/$D$65+0.1)*(VLOOKUP(($F$16-$F$15)*2-1,AC$100:AG121,5,FALSE)))*EXP(-(LN(2)/$D$65+0.04)*AF121)*EXP(-(LN(2)/$D$65+0.1)*AG121),"-"))),"-")</f>
        <v>-</v>
      </c>
      <c r="AK121" s="227">
        <f t="shared" si="49"/>
        <v>21</v>
      </c>
      <c r="AL121" s="226" t="str">
        <f t="shared" si="21"/>
        <v>-</v>
      </c>
      <c r="AM121" s="227" t="str">
        <f t="shared" si="50"/>
        <v>-</v>
      </c>
      <c r="AN121" s="227" t="str">
        <f t="shared" si="51"/>
        <v>-</v>
      </c>
      <c r="AO121" s="227" t="str">
        <f t="shared" si="22"/>
        <v>-</v>
      </c>
      <c r="AP121" s="273">
        <f t="shared" si="52"/>
        <v>0.1</v>
      </c>
      <c r="AQ121" s="271" t="str">
        <f>IFERROR(IF(AL120=1,AQ$100*EXP(-(LN(2)/$D$65+0.04)*AN120)*EXP(-(LN(2)/$D$65+0.1)*AO120),IF(AL120=2,AQ$100*EXP(-(LN(2)/$D$65+0.04)*(VLOOKUP(($F$16-$F$15)-1,AK$99:AO120,4,FALSE)))*EXP(-(LN(2)/$D$65+0.1)*(VLOOKUP(($F$16-$F$15)-1,AK$99:AO120,5,FALSE)))*EXP(-(LN(2)/$D$65+0.04)*AN120)*EXP(-(LN(2)/$D$65+0.1)*AO120),IF(AL120=3,AQ$100*EXP(-(LN(2)/$D$65+0.04)*(VLOOKUP(($F$16-$F$15)-1,AK$99:AO120,4,FALSE)))*EXP(-(LN(2)/$D$65+0.1)*(VLOOKUP(($F$16-$F$15)-1,AK$99:AO120,5,FALSE)))*EXP(-(LN(2)/$D$65+0.04)*(VLOOKUP(($F$16-$F$15)*2-1,AK$99:AO120,4,FALSE)))*EXP(-(LN(2)/$D$65+0.1)*(VLOOKUP(($F$16-$F$15)*2-1,AK$99:AO120,5,FALSE)))*EXP(-(LN(2)/$D$65+0.04)*AN120)*EXP(-(LN(2)/$D$65+0.1)*AO120),"-"))),"-")</f>
        <v>-</v>
      </c>
      <c r="AR121" s="271" t="str">
        <f>IFERROR(IF(AL121=1,AR$100*EXP(-(LN(2)/$D$65+0.04)*AN121)*EXP(-(LN(2)/$D$65+0.1)*AO121),IF(AL121=2,AR$100*EXP(-(LN(2)/$D$65+0.04)*(VLOOKUP(($F$16-$F$15)-1,AK$100:AO121,4,FALSE)))*EXP(-(LN(2)/$D$65+0.1)*(VLOOKUP(($F$16-$F$15)-1,AK$100:AO121,5,FALSE)))*EXP(-(LN(2)/$D$65+0.04)*AN121)*EXP(-(LN(2)/$D$65+0.1)*AO121),IF(AL121=3,AR$100*EXP(-(LN(2)/$D$65+0.04)*(VLOOKUP(($F$16-$F$15)-1,AK$100:AO121,4,FALSE)))*EXP(-(LN(2)/$D$65+0.1)*(VLOOKUP(($F$16-$F$15)-1,AK$100:AO121,5,FALSE)))*EXP(-(LN(2)/$D$65+0.04)*(VLOOKUP(($F$16-$F$15)*2-1,AK$100:AO121,4,FALSE)))*EXP(-(LN(2)/$D$65+0.1)*(VLOOKUP(($F$16-$F$15)*2-1,AK$100:AO121,5,FALSE)))*EXP(-(LN(2)/$D$65+0.04)*AN121)*EXP(-(LN(2)/$D$65+0.1)*AO121),"-"))),"-")</f>
        <v>-</v>
      </c>
      <c r="AS121" s="274">
        <f t="shared" si="23"/>
        <v>0</v>
      </c>
      <c r="AT121" s="274">
        <f t="shared" si="24"/>
        <v>0</v>
      </c>
      <c r="AU121" s="274">
        <f t="shared" si="25"/>
        <v>0</v>
      </c>
      <c r="AV121" s="190">
        <f>IF($B121&lt;$F$22,SUM($T$100:$T121),"")</f>
        <v>0</v>
      </c>
      <c r="AW121" s="190" t="str">
        <f t="shared" si="55"/>
        <v>-</v>
      </c>
      <c r="AX121" s="190" t="str">
        <f t="shared" si="56"/>
        <v/>
      </c>
      <c r="AY121"/>
      <c r="AZ121" s="190" t="str">
        <f ca="1">IF(ISNUMBER(OFFSET(AV121,-$F$21,0)),SUM(OFFSET($T$100,$F$21,0):$T121),"")</f>
        <v/>
      </c>
      <c r="BA121" s="190" t="str">
        <f t="shared" ca="1" si="26"/>
        <v/>
      </c>
      <c r="BB121" s="190" t="str">
        <f t="shared" ref="BB121:BB184" ca="1" si="70">IF(ISNUMBER(AZ121),(AZ121-BA121)/(3*86400*(OFFSET($B121,-$F$21,0)+1))*1000,"")</f>
        <v/>
      </c>
      <c r="BC121" s="190"/>
      <c r="BD121" s="190" t="str">
        <f ca="1">IFERROR(IF(AND($B121&gt;=($F$16-$F$15),$B121&lt;$F$22+($F$16-$F$15)),SUM(OFFSET($T$100,($F$16-$F$15),0):$T121),""),"")</f>
        <v/>
      </c>
      <c r="BE121" s="190" t="str">
        <f t="shared" ca="1" si="58"/>
        <v/>
      </c>
      <c r="BF121" s="190" t="str">
        <f t="shared" ca="1" si="59"/>
        <v/>
      </c>
      <c r="BG121"/>
      <c r="BH121" s="190" t="str">
        <f ca="1">IF(ISNUMBER(OFFSET(BD121,-$F$21,0)),SUM(OFFSET($T$100,($F$16-$F$15+$F$21),0):$T121),"")</f>
        <v/>
      </c>
      <c r="BI121" s="190" t="str">
        <f t="shared" ca="1" si="27"/>
        <v/>
      </c>
      <c r="BJ121" s="190" t="str">
        <f t="shared" ca="1" si="60"/>
        <v/>
      </c>
      <c r="BK121" s="190"/>
      <c r="BL121" s="190" t="str">
        <f ca="1">IFERROR(IF(AND($B121&gt;=($F$17-$F$15),$B121&lt;$F$22+($F$17-$F$15)),SUM(OFFSET($T$100,($F$17-$F$15),0):$T121),""),"")</f>
        <v/>
      </c>
      <c r="BM121" s="190" t="str">
        <f t="shared" ca="1" si="28"/>
        <v/>
      </c>
      <c r="BN121" s="190" t="str">
        <f t="shared" ca="1" si="61"/>
        <v/>
      </c>
      <c r="BO121"/>
      <c r="BP121" s="190" t="str">
        <f ca="1">IF(ISNUMBER(OFFSET(BL121,-$F$21,0)),SUM(OFFSET($T$100,($F$17-$F$15+$F$21),0):$T121),"")</f>
        <v/>
      </c>
      <c r="BQ121" s="190" t="str">
        <f t="shared" ca="1" si="62"/>
        <v/>
      </c>
      <c r="BR121" s="190" t="str">
        <f t="shared" ca="1" si="63"/>
        <v/>
      </c>
      <c r="BS121" s="190"/>
      <c r="BT121"/>
      <c r="BU121" s="300" t="s">
        <v>289</v>
      </c>
      <c r="BV121" s="301"/>
      <c r="BW121" s="300"/>
      <c r="BX121" s="300"/>
      <c r="BY121" s="300"/>
      <c r="BZ121" s="302"/>
      <c r="CA121" s="280" t="str">
        <f t="shared" si="29"/>
        <v/>
      </c>
      <c r="CB121" s="71" t="str">
        <f t="shared" si="30"/>
        <v>-</v>
      </c>
      <c r="CC121" s="33"/>
      <c r="CD121" s="261" t="str">
        <f t="shared" si="32"/>
        <v/>
      </c>
      <c r="CE121" s="280" t="str">
        <f t="shared" si="33"/>
        <v>-</v>
      </c>
      <c r="CF121" s="71" t="str">
        <f t="shared" ca="1" si="34"/>
        <v>-</v>
      </c>
      <c r="CG121" s="33" t="str">
        <f t="shared" si="35"/>
        <v>21-22</v>
      </c>
      <c r="CH121" s="261" t="str">
        <f t="shared" ca="1" si="36"/>
        <v/>
      </c>
      <c r="CI121" s="99"/>
      <c r="CJ121" s="99"/>
      <c r="CK121" s="99"/>
      <c r="CL121" s="99"/>
      <c r="CM121" s="99"/>
      <c r="CN121" s="99"/>
      <c r="CO121" s="99"/>
    </row>
    <row r="122" spans="2:93" ht="13.5" customHeight="1" x14ac:dyDescent="0.2">
      <c r="B122" s="262">
        <v>22</v>
      </c>
      <c r="C122" s="237" t="str">
        <f t="shared" si="1"/>
        <v/>
      </c>
      <c r="D122" s="237" t="str">
        <f t="shared" si="66"/>
        <v>-</v>
      </c>
      <c r="E122" s="290" t="str">
        <f t="shared" si="37"/>
        <v/>
      </c>
      <c r="F122" s="264" t="str">
        <f t="shared" si="38"/>
        <v/>
      </c>
      <c r="G122" s="291" t="str">
        <f t="shared" si="39"/>
        <v/>
      </c>
      <c r="H122" s="240" t="str">
        <f t="shared" si="40"/>
        <v/>
      </c>
      <c r="I122" s="265" t="str">
        <f t="shared" si="2"/>
        <v/>
      </c>
      <c r="J122" s="265" t="str">
        <f t="shared" si="3"/>
        <v/>
      </c>
      <c r="K122" s="240" t="str">
        <f t="shared" si="41"/>
        <v/>
      </c>
      <c r="L122" s="265" t="str">
        <f t="shared" si="4"/>
        <v/>
      </c>
      <c r="M122" s="265" t="str">
        <f t="shared" si="5"/>
        <v/>
      </c>
      <c r="N122" s="240" t="str">
        <f t="shared" si="6"/>
        <v>-</v>
      </c>
      <c r="O122" s="265" t="str">
        <f t="shared" si="7"/>
        <v>-</v>
      </c>
      <c r="P122" s="265" t="str">
        <f t="shared" si="8"/>
        <v>-</v>
      </c>
      <c r="Q122" s="266" t="str">
        <f t="shared" si="9"/>
        <v>-</v>
      </c>
      <c r="R122" s="267" t="str">
        <f t="shared" si="10"/>
        <v>-</v>
      </c>
      <c r="S122" s="268" t="str">
        <f t="shared" si="11"/>
        <v>-</v>
      </c>
      <c r="T122" s="269" t="str">
        <f t="shared" si="12"/>
        <v/>
      </c>
      <c r="U122" s="221">
        <f t="shared" si="13"/>
        <v>22</v>
      </c>
      <c r="V122" s="220" t="str">
        <f t="shared" si="42"/>
        <v>-</v>
      </c>
      <c r="W122" s="221" t="str">
        <f t="shared" si="43"/>
        <v>-</v>
      </c>
      <c r="X122" s="221" t="str">
        <f t="shared" si="14"/>
        <v>-</v>
      </c>
      <c r="Y122" s="221" t="str">
        <f t="shared" si="15"/>
        <v>-</v>
      </c>
      <c r="Z122" s="270">
        <f t="shared" si="44"/>
        <v>0.1</v>
      </c>
      <c r="AA122" s="271" t="str">
        <f>IFERROR(IF(V121=1,AA$100*EXP(-(LN(2)/$D$65+0.04)*X121)*EXP(-(LN(2)/$D$65+0.1)*Y121),IF(V121=2,AA$100*EXP(-(LN(2)/$D$65+0.04)*(VLOOKUP(($F$16-$F$15)-1,U$99:Y121,4,FALSE)))*EXP(-(LN(2)/$D$65+0.1)*(VLOOKUP(($F$16-$F$15)-1,U$99:Y121,5,FALSE)))*EXP(-(LN(2)/$D$65+0.04)*X121)*EXP(-(LN(2)/$D$65+0.1)*Y121),IF(V121=3,AA$100*EXP(-(LN(2)/$D$65+0.04)*(VLOOKUP(($F$16-$F$15)-1,U$99:Y121,4,FALSE)))*EXP(-(LN(2)/$D$65+0.1)*(VLOOKUP(($F$16-$F$15)-1,U$99:Y121,5,FALSE)))*EXP(-(LN(2)/$D$65+0.04)*(VLOOKUP(($F$16-$F$15)*2-1,U$99:Y121,4,FALSE)))*EXP(-(LN(2)/$D$65+0.1)*(VLOOKUP(($F$16-$F$15)*2-1,U$99:Y121,5,FALSE)))*EXP(-(LN(2)/$D$65+0.04)*X121)*EXP(-(LN(2)/$D$65+0.1)*Y121),"-"))),"-")</f>
        <v>-</v>
      </c>
      <c r="AB122" s="271" t="str">
        <f>IFERROR(IF(V122=1,AB$100*EXP(-(LN(2)/$D$65+0.04)*X122)*EXP(-(LN(2)/$D$65+0.1)*Y122),IF(V122=2,AB$100*EXP(-(LN(2)/$D$65+0.04)*(VLOOKUP(($F$16-$F$15)-1,U$100:Y122,4,FALSE)))*EXP(-(LN(2)/$D$65+0.1)*(VLOOKUP(($F$16-$F$15)-1,U$100:Y122,5,FALSE)))*EXP(-(LN(2)/$D$65+0.04)*X122)*EXP(-(LN(2)/$D$65+0.1)*Y122),IF(V122=3,AB$100*EXP(-(LN(2)/$D$65+0.04)*(VLOOKUP(($F$16-$F$15)-1,U$100:Y122,4,FALSE)))*EXP(-(LN(2)/$D$65+0.1)*(VLOOKUP(($F$16-$F$15)-1,U$100:Y122,5,FALSE)))*EXP(-(LN(2)/$D$65+0.04)*(VLOOKUP(($F$16-$F$15)*2-1,U$100:Y122,4,FALSE)))*EXP(-(LN(2)/$D$65+0.1)*(VLOOKUP(($F$16-$F$15)*2-1,U$100:Y122,5,FALSE)))*EXP(-(LN(2)/$D$65+0.04)*X122)*EXP(-(LN(2)/$D$65+0.1)*Y122),"-"))),"-")</f>
        <v>-</v>
      </c>
      <c r="AC122" s="224">
        <f t="shared" si="45"/>
        <v>22</v>
      </c>
      <c r="AD122" s="223" t="str">
        <f t="shared" si="17"/>
        <v>-</v>
      </c>
      <c r="AE122" s="224" t="str">
        <f t="shared" si="46"/>
        <v>-</v>
      </c>
      <c r="AF122" s="224" t="str">
        <f t="shared" si="18"/>
        <v>-</v>
      </c>
      <c r="AG122" s="224" t="str">
        <f t="shared" si="19"/>
        <v>-</v>
      </c>
      <c r="AH122" s="272">
        <f t="shared" si="47"/>
        <v>0.1</v>
      </c>
      <c r="AI122" s="271" t="str">
        <f>IFERROR(IF(AD121=1,AI$100*EXP(-(LN(2)/$D$65+0.04)*AF121)*EXP(-(LN(2)/$D$65+0.1)*AG121),IF(AD121=2,AI$100*EXP(-(LN(2)/$D$65+0.04)*(VLOOKUP(($F$16-$F$15)-1,AC$99:AG121,4,FALSE)))*EXP(-(LN(2)/$D$65+0.1)*(VLOOKUP(($F$16-$F$15)-1,AC$99:AG121,5,FALSE)))*EXP(-(LN(2)/$D$65+0.04)*AF121)*EXP(-(LN(2)/$D$65+0.1)*AG121),IF(AD121=3,AI$100*EXP(-(LN(2)/$D$65+0.04)*(VLOOKUP(($F$16-$F$15)-1,AC$99:AG121,4,FALSE)))*EXP(-(LN(2)/$D$65+0.1)*(VLOOKUP(($F$16-$F$15)-1,AC$99:AG121,5,FALSE)))*EXP(-(LN(2)/$D$65+0.04)*(VLOOKUP(($F$16-$F$15)*2-1,AC$99:AG121,4,FALSE)))*EXP(-(LN(2)/$D$65+0.1)*(VLOOKUP(($F$16-$F$15)*2-1,AC$99:AG121,5,FALSE)))*EXP(-(LN(2)/$D$65+0.04)*AF121)*EXP(-(LN(2)/$D$65+0.1)*AG121),"-"))),"-")</f>
        <v>-</v>
      </c>
      <c r="AJ122" s="271" t="str">
        <f>IFERROR(IF(AD122=1,AJ$100*EXP(-(LN(2)/$D$65+0.04)*AF122)*EXP(-(LN(2)/$D$65+0.1)*AG122),IF(AD122=2,AJ$100*EXP(-(LN(2)/$D$65+0.04)*(VLOOKUP(($F$16-$F$15)-1,AC$100:AG122,4,FALSE)))*EXP(-(LN(2)/$D$65+0.1)*(VLOOKUP(($F$16-$F$15)-1,AC$100:AG122,5,FALSE)))*EXP(-(LN(2)/$D$65+0.04)*AF122)*EXP(-(LN(2)/$D$65+0.1)*AG122),IF(AD122=3,AJ$100*EXP(-(LN(2)/$D$65+0.04)*(VLOOKUP(($F$16-$F$15)-1,AC$100:AG122,4,FALSE)))*EXP(-(LN(2)/$D$65+0.1)*(VLOOKUP(($F$16-$F$15)-1,AC$100:AG122,5,FALSE)))*EXP(-(LN(2)/$D$65+0.04)*(VLOOKUP(($F$16-$F$15)*2-1,AC$100:AG122,4,FALSE)))*EXP(-(LN(2)/$D$65+0.1)*(VLOOKUP(($F$16-$F$15)*2-1,AC$100:AG122,5,FALSE)))*EXP(-(LN(2)/$D$65+0.04)*AF122)*EXP(-(LN(2)/$D$65+0.1)*AG122),"-"))),"-")</f>
        <v>-</v>
      </c>
      <c r="AK122" s="227">
        <f t="shared" si="49"/>
        <v>22</v>
      </c>
      <c r="AL122" s="226" t="str">
        <f t="shared" si="21"/>
        <v>-</v>
      </c>
      <c r="AM122" s="227" t="str">
        <f t="shared" si="50"/>
        <v>-</v>
      </c>
      <c r="AN122" s="227" t="str">
        <f t="shared" si="51"/>
        <v>-</v>
      </c>
      <c r="AO122" s="227" t="str">
        <f t="shared" si="22"/>
        <v>-</v>
      </c>
      <c r="AP122" s="273">
        <f t="shared" si="52"/>
        <v>0.1</v>
      </c>
      <c r="AQ122" s="271" t="str">
        <f>IFERROR(IF(AL121=1,AQ$100*EXP(-(LN(2)/$D$65+0.04)*AN121)*EXP(-(LN(2)/$D$65+0.1)*AO121),IF(AL121=2,AQ$100*EXP(-(LN(2)/$D$65+0.04)*(VLOOKUP(($F$16-$F$15)-1,AK$99:AO121,4,FALSE)))*EXP(-(LN(2)/$D$65+0.1)*(VLOOKUP(($F$16-$F$15)-1,AK$99:AO121,5,FALSE)))*EXP(-(LN(2)/$D$65+0.04)*AN121)*EXP(-(LN(2)/$D$65+0.1)*AO121),IF(AL121=3,AQ$100*EXP(-(LN(2)/$D$65+0.04)*(VLOOKUP(($F$16-$F$15)-1,AK$99:AO121,4,FALSE)))*EXP(-(LN(2)/$D$65+0.1)*(VLOOKUP(($F$16-$F$15)-1,AK$99:AO121,5,FALSE)))*EXP(-(LN(2)/$D$65+0.04)*(VLOOKUP(($F$16-$F$15)*2-1,AK$99:AO121,4,FALSE)))*EXP(-(LN(2)/$D$65+0.1)*(VLOOKUP(($F$16-$F$15)*2-1,AK$99:AO121,5,FALSE)))*EXP(-(LN(2)/$D$65+0.04)*AN121)*EXP(-(LN(2)/$D$65+0.1)*AO121),"-"))),"-")</f>
        <v>-</v>
      </c>
      <c r="AR122" s="271" t="str">
        <f>IFERROR(IF(AL122=1,AR$100*EXP(-(LN(2)/$D$65+0.04)*AN122)*EXP(-(LN(2)/$D$65+0.1)*AO122),IF(AL122=2,AR$100*EXP(-(LN(2)/$D$65+0.04)*(VLOOKUP(($F$16-$F$15)-1,AK$100:AO122,4,FALSE)))*EXP(-(LN(2)/$D$65+0.1)*(VLOOKUP(($F$16-$F$15)-1,AK$100:AO122,5,FALSE)))*EXP(-(LN(2)/$D$65+0.04)*AN122)*EXP(-(LN(2)/$D$65+0.1)*AO122),IF(AL122=3,AR$100*EXP(-(LN(2)/$D$65+0.04)*(VLOOKUP(($F$16-$F$15)-1,AK$100:AO122,4,FALSE)))*EXP(-(LN(2)/$D$65+0.1)*(VLOOKUP(($F$16-$F$15)-1,AK$100:AO122,5,FALSE)))*EXP(-(LN(2)/$D$65+0.04)*(VLOOKUP(($F$16-$F$15)*2-1,AK$100:AO122,4,FALSE)))*EXP(-(LN(2)/$D$65+0.1)*(VLOOKUP(($F$16-$F$15)*2-1,AK$100:AO122,5,FALSE)))*EXP(-(LN(2)/$D$65+0.04)*AN122)*EXP(-(LN(2)/$D$65+0.1)*AO122),"-"))),"-")</f>
        <v>-</v>
      </c>
      <c r="AS122" s="274">
        <f t="shared" si="23"/>
        <v>0</v>
      </c>
      <c r="AT122" s="274">
        <f t="shared" si="24"/>
        <v>0</v>
      </c>
      <c r="AU122" s="274">
        <f t="shared" si="25"/>
        <v>0</v>
      </c>
      <c r="AV122" s="190">
        <f>IF($B122&lt;$F$22,SUM($T$100:$T122),"")</f>
        <v>0</v>
      </c>
      <c r="AW122" s="190" t="str">
        <f t="shared" si="55"/>
        <v>-</v>
      </c>
      <c r="AX122" s="190" t="str">
        <f t="shared" si="56"/>
        <v/>
      </c>
      <c r="AY122"/>
      <c r="AZ122" s="190" t="str">
        <f ca="1">IF(ISNUMBER(OFFSET(AV122,-$F$21,0)),SUM(OFFSET($T$100,$F$21,0):$T122),"")</f>
        <v/>
      </c>
      <c r="BA122" s="190" t="str">
        <f t="shared" ca="1" si="26"/>
        <v/>
      </c>
      <c r="BB122" s="190" t="str">
        <f t="shared" ca="1" si="70"/>
        <v/>
      </c>
      <c r="BC122" s="190"/>
      <c r="BD122" s="190" t="str">
        <f ca="1">IFERROR(IF(AND($B122&gt;=($F$16-$F$15),$B122&lt;$F$22+($F$16-$F$15)),SUM(OFFSET($T$100,($F$16-$F$15),0):$T122),""),"")</f>
        <v/>
      </c>
      <c r="BE122" s="190" t="str">
        <f t="shared" ca="1" si="58"/>
        <v/>
      </c>
      <c r="BF122" s="190" t="str">
        <f t="shared" ca="1" si="59"/>
        <v/>
      </c>
      <c r="BG122"/>
      <c r="BH122" s="190" t="str">
        <f ca="1">IF(ISNUMBER(OFFSET(BD122,-$F$21,0)),SUM(OFFSET($T$100,($F$16-$F$15+$F$21),0):$T122),"")</f>
        <v/>
      </c>
      <c r="BI122" s="190" t="str">
        <f t="shared" ca="1" si="27"/>
        <v/>
      </c>
      <c r="BJ122" s="190" t="str">
        <f t="shared" ca="1" si="60"/>
        <v/>
      </c>
      <c r="BK122" s="190"/>
      <c r="BL122" s="190" t="str">
        <f ca="1">IFERROR(IF(AND($B122&gt;=($F$17-$F$15),$B122&lt;$F$22+($F$17-$F$15)),SUM(OFFSET($T$100,($F$17-$F$15),0):$T122),""),"")</f>
        <v/>
      </c>
      <c r="BM122" s="190" t="str">
        <f t="shared" ca="1" si="28"/>
        <v/>
      </c>
      <c r="BN122" s="190" t="str">
        <f t="shared" ca="1" si="61"/>
        <v/>
      </c>
      <c r="BO122"/>
      <c r="BP122" s="190" t="str">
        <f ca="1">IF(ISNUMBER(OFFSET(BL122,-$F$21,0)),SUM(OFFSET($T$100,($F$17-$F$15+$F$21),0):$T122),"")</f>
        <v/>
      </c>
      <c r="BQ122" s="190" t="str">
        <f t="shared" ca="1" si="62"/>
        <v/>
      </c>
      <c r="BR122" s="190" t="str">
        <f t="shared" ca="1" si="63"/>
        <v/>
      </c>
      <c r="BS122" s="190"/>
      <c r="BT122"/>
      <c r="BU122" s="185"/>
      <c r="BV122" s="303"/>
      <c r="BW122" s="185"/>
      <c r="BX122" s="185"/>
      <c r="BY122" s="185"/>
      <c r="BZ122" s="302"/>
      <c r="CA122" s="280" t="str">
        <f t="shared" si="29"/>
        <v/>
      </c>
      <c r="CB122" s="71" t="str">
        <f t="shared" si="30"/>
        <v>-</v>
      </c>
      <c r="CC122" s="33"/>
      <c r="CD122" s="261" t="str">
        <f t="shared" si="32"/>
        <v/>
      </c>
      <c r="CE122" s="280" t="str">
        <f t="shared" si="33"/>
        <v>-</v>
      </c>
      <c r="CF122" s="71" t="str">
        <f t="shared" ca="1" si="34"/>
        <v>-</v>
      </c>
      <c r="CG122" s="33" t="str">
        <f t="shared" si="35"/>
        <v>22-23</v>
      </c>
      <c r="CH122" s="261" t="str">
        <f t="shared" ca="1" si="36"/>
        <v/>
      </c>
      <c r="CI122" s="99"/>
      <c r="CJ122" s="99"/>
      <c r="CK122" s="99"/>
      <c r="CL122" s="99"/>
      <c r="CM122" s="99"/>
      <c r="CN122" s="99"/>
      <c r="CO122" s="99"/>
    </row>
    <row r="123" spans="2:93" ht="13.5" customHeight="1" x14ac:dyDescent="0.2">
      <c r="B123" s="262">
        <v>23</v>
      </c>
      <c r="C123" s="237" t="str">
        <f t="shared" si="1"/>
        <v/>
      </c>
      <c r="D123" s="237" t="str">
        <f t="shared" si="66"/>
        <v>-</v>
      </c>
      <c r="E123" s="290" t="str">
        <f t="shared" si="37"/>
        <v/>
      </c>
      <c r="F123" s="264" t="str">
        <f t="shared" si="38"/>
        <v/>
      </c>
      <c r="G123" s="291" t="str">
        <f t="shared" si="39"/>
        <v/>
      </c>
      <c r="H123" s="240" t="str">
        <f t="shared" si="40"/>
        <v/>
      </c>
      <c r="I123" s="265" t="str">
        <f t="shared" si="2"/>
        <v/>
      </c>
      <c r="J123" s="265" t="str">
        <f t="shared" si="3"/>
        <v/>
      </c>
      <c r="K123" s="240" t="str">
        <f t="shared" si="41"/>
        <v/>
      </c>
      <c r="L123" s="265" t="str">
        <f t="shared" si="4"/>
        <v/>
      </c>
      <c r="M123" s="265" t="str">
        <f t="shared" si="5"/>
        <v/>
      </c>
      <c r="N123" s="240" t="str">
        <f t="shared" si="6"/>
        <v>-</v>
      </c>
      <c r="O123" s="265" t="str">
        <f t="shared" si="7"/>
        <v>-</v>
      </c>
      <c r="P123" s="265" t="str">
        <f t="shared" si="8"/>
        <v>-</v>
      </c>
      <c r="Q123" s="266" t="str">
        <f t="shared" si="9"/>
        <v>-</v>
      </c>
      <c r="R123" s="267" t="str">
        <f t="shared" si="10"/>
        <v>-</v>
      </c>
      <c r="S123" s="268" t="str">
        <f t="shared" si="11"/>
        <v>-</v>
      </c>
      <c r="T123" s="269" t="str">
        <f t="shared" si="12"/>
        <v/>
      </c>
      <c r="U123" s="221">
        <f t="shared" si="13"/>
        <v>23</v>
      </c>
      <c r="V123" s="220" t="str">
        <f t="shared" si="42"/>
        <v>-</v>
      </c>
      <c r="W123" s="221" t="str">
        <f t="shared" si="43"/>
        <v>-</v>
      </c>
      <c r="X123" s="221" t="str">
        <f t="shared" si="14"/>
        <v>-</v>
      </c>
      <c r="Y123" s="221" t="str">
        <f t="shared" si="15"/>
        <v>-</v>
      </c>
      <c r="Z123" s="270">
        <f t="shared" si="44"/>
        <v>0.1</v>
      </c>
      <c r="AA123" s="271" t="str">
        <f>IFERROR(IF(V122=1,AA$100*EXP(-(LN(2)/$D$65+0.04)*X122)*EXP(-(LN(2)/$D$65+0.1)*Y122),IF(V122=2,AA$100*EXP(-(LN(2)/$D$65+0.04)*(VLOOKUP(($F$16-$F$15)-1,U$99:Y122,4,FALSE)))*EXP(-(LN(2)/$D$65+0.1)*(VLOOKUP(($F$16-$F$15)-1,U$99:Y122,5,FALSE)))*EXP(-(LN(2)/$D$65+0.04)*X122)*EXP(-(LN(2)/$D$65+0.1)*Y122),IF(V122=3,AA$100*EXP(-(LN(2)/$D$65+0.04)*(VLOOKUP(($F$16-$F$15)-1,U$99:Y122,4,FALSE)))*EXP(-(LN(2)/$D$65+0.1)*(VLOOKUP(($F$16-$F$15)-1,U$99:Y122,5,FALSE)))*EXP(-(LN(2)/$D$65+0.04)*(VLOOKUP(($F$16-$F$15)*2-1,U$99:Y122,4,FALSE)))*EXP(-(LN(2)/$D$65+0.1)*(VLOOKUP(($F$16-$F$15)*2-1,U$99:Y122,5,FALSE)))*EXP(-(LN(2)/$D$65+0.04)*X122)*EXP(-(LN(2)/$D$65+0.1)*Y122),"-"))),"-")</f>
        <v>-</v>
      </c>
      <c r="AB123" s="271" t="str">
        <f>IFERROR(IF(V123=1,AB$100*EXP(-(LN(2)/$D$65+0.04)*X123)*EXP(-(LN(2)/$D$65+0.1)*Y123),IF(V123=2,AB$100*EXP(-(LN(2)/$D$65+0.04)*(VLOOKUP(($F$16-$F$15)-1,U$100:Y123,4,FALSE)))*EXP(-(LN(2)/$D$65+0.1)*(VLOOKUP(($F$16-$F$15)-1,U$100:Y123,5,FALSE)))*EXP(-(LN(2)/$D$65+0.04)*X123)*EXP(-(LN(2)/$D$65+0.1)*Y123),IF(V123=3,AB$100*EXP(-(LN(2)/$D$65+0.04)*(VLOOKUP(($F$16-$F$15)-1,U$100:Y123,4,FALSE)))*EXP(-(LN(2)/$D$65+0.1)*(VLOOKUP(($F$16-$F$15)-1,U$100:Y123,5,FALSE)))*EXP(-(LN(2)/$D$65+0.04)*(VLOOKUP(($F$16-$F$15)*2-1,U$100:Y123,4,FALSE)))*EXP(-(LN(2)/$D$65+0.1)*(VLOOKUP(($F$16-$F$15)*2-1,U$100:Y123,5,FALSE)))*EXP(-(LN(2)/$D$65+0.04)*X123)*EXP(-(LN(2)/$D$65+0.1)*Y123),"-"))),"-")</f>
        <v>-</v>
      </c>
      <c r="AC123" s="224">
        <f t="shared" si="45"/>
        <v>23</v>
      </c>
      <c r="AD123" s="223" t="str">
        <f t="shared" si="17"/>
        <v>-</v>
      </c>
      <c r="AE123" s="224" t="str">
        <f t="shared" si="46"/>
        <v>-</v>
      </c>
      <c r="AF123" s="224" t="str">
        <f t="shared" si="18"/>
        <v>-</v>
      </c>
      <c r="AG123" s="224" t="str">
        <f t="shared" si="19"/>
        <v>-</v>
      </c>
      <c r="AH123" s="272">
        <f t="shared" si="47"/>
        <v>0.1</v>
      </c>
      <c r="AI123" s="271" t="str">
        <f>IFERROR(IF(AD122=1,AI$100*EXP(-(LN(2)/$D$65+0.04)*AF122)*EXP(-(LN(2)/$D$65+0.1)*AG122),IF(AD122=2,AI$100*EXP(-(LN(2)/$D$65+0.04)*(VLOOKUP(($F$16-$F$15)-1,AC$99:AG122,4,FALSE)))*EXP(-(LN(2)/$D$65+0.1)*(VLOOKUP(($F$16-$F$15)-1,AC$99:AG122,5,FALSE)))*EXP(-(LN(2)/$D$65+0.04)*AF122)*EXP(-(LN(2)/$D$65+0.1)*AG122),IF(AD122=3,AI$100*EXP(-(LN(2)/$D$65+0.04)*(VLOOKUP(($F$16-$F$15)-1,AC$99:AG122,4,FALSE)))*EXP(-(LN(2)/$D$65+0.1)*(VLOOKUP(($F$16-$F$15)-1,AC$99:AG122,5,FALSE)))*EXP(-(LN(2)/$D$65+0.04)*(VLOOKUP(($F$16-$F$15)*2-1,AC$99:AG122,4,FALSE)))*EXP(-(LN(2)/$D$65+0.1)*(VLOOKUP(($F$16-$F$15)*2-1,AC$99:AG122,5,FALSE)))*EXP(-(LN(2)/$D$65+0.04)*AF122)*EXP(-(LN(2)/$D$65+0.1)*AG122),"-"))),"-")</f>
        <v>-</v>
      </c>
      <c r="AJ123" s="271" t="str">
        <f>IFERROR(IF(AD123=1,AJ$100*EXP(-(LN(2)/$D$65+0.04)*AF123)*EXP(-(LN(2)/$D$65+0.1)*AG123),IF(AD123=2,AJ$100*EXP(-(LN(2)/$D$65+0.04)*(VLOOKUP(($F$16-$F$15)-1,AC$100:AG123,4,FALSE)))*EXP(-(LN(2)/$D$65+0.1)*(VLOOKUP(($F$16-$F$15)-1,AC$100:AG123,5,FALSE)))*EXP(-(LN(2)/$D$65+0.04)*AF123)*EXP(-(LN(2)/$D$65+0.1)*AG123),IF(AD123=3,AJ$100*EXP(-(LN(2)/$D$65+0.04)*(VLOOKUP(($F$16-$F$15)-1,AC$100:AG123,4,FALSE)))*EXP(-(LN(2)/$D$65+0.1)*(VLOOKUP(($F$16-$F$15)-1,AC$100:AG123,5,FALSE)))*EXP(-(LN(2)/$D$65+0.04)*(VLOOKUP(($F$16-$F$15)*2-1,AC$100:AG123,4,FALSE)))*EXP(-(LN(2)/$D$65+0.1)*(VLOOKUP(($F$16-$F$15)*2-1,AC$100:AG123,5,FALSE)))*EXP(-(LN(2)/$D$65+0.04)*AF123)*EXP(-(LN(2)/$D$65+0.1)*AG123),"-"))),"-")</f>
        <v>-</v>
      </c>
      <c r="AK123" s="227">
        <f t="shared" si="49"/>
        <v>23</v>
      </c>
      <c r="AL123" s="226" t="str">
        <f t="shared" si="21"/>
        <v>-</v>
      </c>
      <c r="AM123" s="227" t="str">
        <f t="shared" si="50"/>
        <v>-</v>
      </c>
      <c r="AN123" s="227" t="str">
        <f t="shared" si="51"/>
        <v>-</v>
      </c>
      <c r="AO123" s="227" t="str">
        <f t="shared" si="22"/>
        <v>-</v>
      </c>
      <c r="AP123" s="273">
        <f t="shared" si="52"/>
        <v>0.1</v>
      </c>
      <c r="AQ123" s="271" t="str">
        <f>IFERROR(IF(AL122=1,AQ$100*EXP(-(LN(2)/$D$65+0.04)*AN122)*EXP(-(LN(2)/$D$65+0.1)*AO122),IF(AL122=2,AQ$100*EXP(-(LN(2)/$D$65+0.04)*(VLOOKUP(($F$16-$F$15)-1,AK$99:AO122,4,FALSE)))*EXP(-(LN(2)/$D$65+0.1)*(VLOOKUP(($F$16-$F$15)-1,AK$99:AO122,5,FALSE)))*EXP(-(LN(2)/$D$65+0.04)*AN122)*EXP(-(LN(2)/$D$65+0.1)*AO122),IF(AL122=3,AQ$100*EXP(-(LN(2)/$D$65+0.04)*(VLOOKUP(($F$16-$F$15)-1,AK$99:AO122,4,FALSE)))*EXP(-(LN(2)/$D$65+0.1)*(VLOOKUP(($F$16-$F$15)-1,AK$99:AO122,5,FALSE)))*EXP(-(LN(2)/$D$65+0.04)*(VLOOKUP(($F$16-$F$15)*2-1,AK$99:AO122,4,FALSE)))*EXP(-(LN(2)/$D$65+0.1)*(VLOOKUP(($F$16-$F$15)*2-1,AK$99:AO122,5,FALSE)))*EXP(-(LN(2)/$D$65+0.04)*AN122)*EXP(-(LN(2)/$D$65+0.1)*AO122),"-"))),"-")</f>
        <v>-</v>
      </c>
      <c r="AR123" s="271" t="str">
        <f>IFERROR(IF(AL123=1,AR$100*EXP(-(LN(2)/$D$65+0.04)*AN123)*EXP(-(LN(2)/$D$65+0.1)*AO123),IF(AL123=2,AR$100*EXP(-(LN(2)/$D$65+0.04)*(VLOOKUP(($F$16-$F$15)-1,AK$100:AO123,4,FALSE)))*EXP(-(LN(2)/$D$65+0.1)*(VLOOKUP(($F$16-$F$15)-1,AK$100:AO123,5,FALSE)))*EXP(-(LN(2)/$D$65+0.04)*AN123)*EXP(-(LN(2)/$D$65+0.1)*AO123),IF(AL123=3,AR$100*EXP(-(LN(2)/$D$65+0.04)*(VLOOKUP(($F$16-$F$15)-1,AK$100:AO123,4,FALSE)))*EXP(-(LN(2)/$D$65+0.1)*(VLOOKUP(($F$16-$F$15)-1,AK$100:AO123,5,FALSE)))*EXP(-(LN(2)/$D$65+0.04)*(VLOOKUP(($F$16-$F$15)*2-1,AK$100:AO123,4,FALSE)))*EXP(-(LN(2)/$D$65+0.1)*(VLOOKUP(($F$16-$F$15)*2-1,AK$100:AO123,5,FALSE)))*EXP(-(LN(2)/$D$65+0.04)*AN123)*EXP(-(LN(2)/$D$65+0.1)*AO123),"-"))),"-")</f>
        <v>-</v>
      </c>
      <c r="AS123" s="274">
        <f t="shared" si="23"/>
        <v>0</v>
      </c>
      <c r="AT123" s="274">
        <f t="shared" si="24"/>
        <v>0</v>
      </c>
      <c r="AU123" s="274">
        <f t="shared" si="25"/>
        <v>0</v>
      </c>
      <c r="AV123" s="190">
        <f>IF($B123&lt;$F$22,SUM($T$100:$T123),"")</f>
        <v>0</v>
      </c>
      <c r="AW123" s="190" t="str">
        <f t="shared" si="55"/>
        <v>-</v>
      </c>
      <c r="AX123" s="190" t="str">
        <f t="shared" si="56"/>
        <v/>
      </c>
      <c r="AY123"/>
      <c r="AZ123" s="190" t="str">
        <f ca="1">IF(ISNUMBER(OFFSET(AV123,-$F$21,0)),SUM(OFFSET($T$100,$F$21,0):$T123),"")</f>
        <v/>
      </c>
      <c r="BA123" s="190" t="str">
        <f t="shared" ca="1" si="26"/>
        <v/>
      </c>
      <c r="BB123" s="190" t="str">
        <f t="shared" ca="1" si="70"/>
        <v/>
      </c>
      <c r="BC123" s="190"/>
      <c r="BD123" s="190" t="str">
        <f ca="1">IFERROR(IF(AND($B123&gt;=($F$16-$F$15),$B123&lt;$F$22+($F$16-$F$15)),SUM(OFFSET($T$100,($F$16-$F$15),0):$T123),""),"")</f>
        <v/>
      </c>
      <c r="BE123" s="190" t="str">
        <f t="shared" ca="1" si="58"/>
        <v/>
      </c>
      <c r="BF123" s="190" t="str">
        <f t="shared" ca="1" si="59"/>
        <v/>
      </c>
      <c r="BG123"/>
      <c r="BH123" s="190" t="str">
        <f ca="1">IF(ISNUMBER(OFFSET(BD123,-$F$21,0)),SUM(OFFSET($T$100,($F$16-$F$15+$F$21),0):$T123),"")</f>
        <v/>
      </c>
      <c r="BI123" s="190" t="str">
        <f t="shared" ca="1" si="27"/>
        <v/>
      </c>
      <c r="BJ123" s="190" t="str">
        <f t="shared" ca="1" si="60"/>
        <v/>
      </c>
      <c r="BK123" s="190"/>
      <c r="BL123" s="190" t="str">
        <f ca="1">IFERROR(IF(AND($B123&gt;=($F$17-$F$15),$B123&lt;$F$22+($F$17-$F$15)),SUM(OFFSET($T$100,($F$17-$F$15),0):$T123),""),"")</f>
        <v/>
      </c>
      <c r="BM123" s="190" t="str">
        <f t="shared" ca="1" si="28"/>
        <v/>
      </c>
      <c r="BN123" s="190" t="str">
        <f t="shared" ca="1" si="61"/>
        <v/>
      </c>
      <c r="BO123"/>
      <c r="BP123" s="190" t="str">
        <f ca="1">IF(ISNUMBER(OFFSET(BL123,-$F$21,0)),SUM(OFFSET($T$100,($F$17-$F$15+$F$21),0):$T123),"")</f>
        <v/>
      </c>
      <c r="BQ123" s="190" t="str">
        <f t="shared" ca="1" si="62"/>
        <v/>
      </c>
      <c r="BR123" s="190" t="str">
        <f t="shared" ca="1" si="63"/>
        <v/>
      </c>
      <c r="BS123" s="190"/>
      <c r="BT123"/>
      <c r="BU123" s="185"/>
      <c r="BV123" s="304"/>
      <c r="BW123" s="185"/>
      <c r="BX123" s="185"/>
      <c r="BY123" s="185"/>
      <c r="BZ123"/>
      <c r="CA123" s="280" t="str">
        <f t="shared" si="29"/>
        <v/>
      </c>
      <c r="CB123" s="71" t="str">
        <f t="shared" si="30"/>
        <v>-</v>
      </c>
      <c r="CC123" s="33"/>
      <c r="CD123" s="261" t="str">
        <f t="shared" si="32"/>
        <v/>
      </c>
      <c r="CE123" s="280" t="str">
        <f t="shared" si="33"/>
        <v>-</v>
      </c>
      <c r="CF123" s="71" t="str">
        <f t="shared" ca="1" si="34"/>
        <v>-</v>
      </c>
      <c r="CG123" s="33" t="str">
        <f t="shared" si="35"/>
        <v>23-24</v>
      </c>
      <c r="CH123" s="261" t="str">
        <f t="shared" ca="1" si="36"/>
        <v/>
      </c>
      <c r="CI123" s="99"/>
      <c r="CJ123" s="99"/>
      <c r="CK123" s="99"/>
      <c r="CL123" s="99"/>
      <c r="CM123" s="99"/>
      <c r="CN123" s="99"/>
      <c r="CO123" s="99"/>
    </row>
    <row r="124" spans="2:93" ht="13.5" customHeight="1" x14ac:dyDescent="0.2">
      <c r="B124" s="262">
        <v>24</v>
      </c>
      <c r="C124" s="237" t="str">
        <f t="shared" si="1"/>
        <v/>
      </c>
      <c r="D124" s="237" t="str">
        <f t="shared" si="66"/>
        <v>-</v>
      </c>
      <c r="E124" s="290" t="str">
        <f t="shared" si="37"/>
        <v/>
      </c>
      <c r="F124" s="264" t="str">
        <f t="shared" si="38"/>
        <v/>
      </c>
      <c r="G124" s="291" t="str">
        <f t="shared" si="39"/>
        <v/>
      </c>
      <c r="H124" s="240" t="str">
        <f t="shared" si="40"/>
        <v/>
      </c>
      <c r="I124" s="265" t="str">
        <f t="shared" si="2"/>
        <v/>
      </c>
      <c r="J124" s="265" t="str">
        <f t="shared" si="3"/>
        <v/>
      </c>
      <c r="K124" s="240" t="str">
        <f t="shared" si="41"/>
        <v/>
      </c>
      <c r="L124" s="265" t="str">
        <f t="shared" si="4"/>
        <v/>
      </c>
      <c r="M124" s="265" t="str">
        <f t="shared" si="5"/>
        <v/>
      </c>
      <c r="N124" s="240" t="str">
        <f t="shared" si="6"/>
        <v>-</v>
      </c>
      <c r="O124" s="265" t="str">
        <f t="shared" si="7"/>
        <v>-</v>
      </c>
      <c r="P124" s="265" t="str">
        <f t="shared" si="8"/>
        <v>-</v>
      </c>
      <c r="Q124" s="266" t="str">
        <f t="shared" si="9"/>
        <v>-</v>
      </c>
      <c r="R124" s="267" t="str">
        <f t="shared" si="10"/>
        <v>-</v>
      </c>
      <c r="S124" s="268" t="str">
        <f t="shared" si="11"/>
        <v>-</v>
      </c>
      <c r="T124" s="269" t="str">
        <f t="shared" si="12"/>
        <v/>
      </c>
      <c r="U124" s="221">
        <f t="shared" si="13"/>
        <v>24</v>
      </c>
      <c r="V124" s="220" t="str">
        <f t="shared" si="42"/>
        <v>-</v>
      </c>
      <c r="W124" s="221" t="str">
        <f t="shared" si="43"/>
        <v>-</v>
      </c>
      <c r="X124" s="221" t="str">
        <f t="shared" si="14"/>
        <v>-</v>
      </c>
      <c r="Y124" s="221" t="str">
        <f t="shared" si="15"/>
        <v>-</v>
      </c>
      <c r="Z124" s="270">
        <f t="shared" si="44"/>
        <v>0.1</v>
      </c>
      <c r="AA124" s="271" t="str">
        <f>IFERROR(IF(V123=1,AA$100*EXP(-(LN(2)/$D$65+0.04)*X123)*EXP(-(LN(2)/$D$65+0.1)*Y123),IF(V123=2,AA$100*EXP(-(LN(2)/$D$65+0.04)*(VLOOKUP(($F$16-$F$15)-1,U$99:Y123,4,FALSE)))*EXP(-(LN(2)/$D$65+0.1)*(VLOOKUP(($F$16-$F$15)-1,U$99:Y123,5,FALSE)))*EXP(-(LN(2)/$D$65+0.04)*X123)*EXP(-(LN(2)/$D$65+0.1)*Y123),IF(V123=3,AA$100*EXP(-(LN(2)/$D$65+0.04)*(VLOOKUP(($F$16-$F$15)-1,U$99:Y123,4,FALSE)))*EXP(-(LN(2)/$D$65+0.1)*(VLOOKUP(($F$16-$F$15)-1,U$99:Y123,5,FALSE)))*EXP(-(LN(2)/$D$65+0.04)*(VLOOKUP(($F$16-$F$15)*2-1,U$99:Y123,4,FALSE)))*EXP(-(LN(2)/$D$65+0.1)*(VLOOKUP(($F$16-$F$15)*2-1,U$99:Y123,5,FALSE)))*EXP(-(LN(2)/$D$65+0.04)*X123)*EXP(-(LN(2)/$D$65+0.1)*Y123),"-"))),"-")</f>
        <v>-</v>
      </c>
      <c r="AB124" s="271" t="str">
        <f>IFERROR(IF(V124=1,AB$100*EXP(-(LN(2)/$D$65+0.04)*X124)*EXP(-(LN(2)/$D$65+0.1)*Y124),IF(V124=2,AB$100*EXP(-(LN(2)/$D$65+0.04)*(VLOOKUP(($F$16-$F$15)-1,U$100:Y124,4,FALSE)))*EXP(-(LN(2)/$D$65+0.1)*(VLOOKUP(($F$16-$F$15)-1,U$100:Y124,5,FALSE)))*EXP(-(LN(2)/$D$65+0.04)*X124)*EXP(-(LN(2)/$D$65+0.1)*Y124),IF(V124=3,AB$100*EXP(-(LN(2)/$D$65+0.04)*(VLOOKUP(($F$16-$F$15)-1,U$100:Y124,4,FALSE)))*EXP(-(LN(2)/$D$65+0.1)*(VLOOKUP(($F$16-$F$15)-1,U$100:Y124,5,FALSE)))*EXP(-(LN(2)/$D$65+0.04)*(VLOOKUP(($F$16-$F$15)*2-1,U$100:Y124,4,FALSE)))*EXP(-(LN(2)/$D$65+0.1)*(VLOOKUP(($F$16-$F$15)*2-1,U$100:Y124,5,FALSE)))*EXP(-(LN(2)/$D$65+0.04)*X124)*EXP(-(LN(2)/$D$65+0.1)*Y124),"-"))),"-")</f>
        <v>-</v>
      </c>
      <c r="AC124" s="224">
        <f t="shared" si="45"/>
        <v>24</v>
      </c>
      <c r="AD124" s="223" t="str">
        <f t="shared" si="17"/>
        <v>-</v>
      </c>
      <c r="AE124" s="224" t="str">
        <f t="shared" si="46"/>
        <v>-</v>
      </c>
      <c r="AF124" s="224" t="str">
        <f t="shared" si="18"/>
        <v>-</v>
      </c>
      <c r="AG124" s="224" t="str">
        <f t="shared" si="19"/>
        <v>-</v>
      </c>
      <c r="AH124" s="272">
        <f t="shared" si="47"/>
        <v>0.1</v>
      </c>
      <c r="AI124" s="271" t="str">
        <f>IFERROR(IF(AD123=1,AI$100*EXP(-(LN(2)/$D$65+0.04)*AF123)*EXP(-(LN(2)/$D$65+0.1)*AG123),IF(AD123=2,AI$100*EXP(-(LN(2)/$D$65+0.04)*(VLOOKUP(($F$16-$F$15)-1,AC$99:AG123,4,FALSE)))*EXP(-(LN(2)/$D$65+0.1)*(VLOOKUP(($F$16-$F$15)-1,AC$99:AG123,5,FALSE)))*EXP(-(LN(2)/$D$65+0.04)*AF123)*EXP(-(LN(2)/$D$65+0.1)*AG123),IF(AD123=3,AI$100*EXP(-(LN(2)/$D$65+0.04)*(VLOOKUP(($F$16-$F$15)-1,AC$99:AG123,4,FALSE)))*EXP(-(LN(2)/$D$65+0.1)*(VLOOKUP(($F$16-$F$15)-1,AC$99:AG123,5,FALSE)))*EXP(-(LN(2)/$D$65+0.04)*(VLOOKUP(($F$16-$F$15)*2-1,AC$99:AG123,4,FALSE)))*EXP(-(LN(2)/$D$65+0.1)*(VLOOKUP(($F$16-$F$15)*2-1,AC$99:AG123,5,FALSE)))*EXP(-(LN(2)/$D$65+0.04)*AF123)*EXP(-(LN(2)/$D$65+0.1)*AG123),"-"))),"-")</f>
        <v>-</v>
      </c>
      <c r="AJ124" s="271" t="str">
        <f>IFERROR(IF(AD124=1,AJ$100*EXP(-(LN(2)/$D$65+0.04)*AF124)*EXP(-(LN(2)/$D$65+0.1)*AG124),IF(AD124=2,AJ$100*EXP(-(LN(2)/$D$65+0.04)*(VLOOKUP(($F$16-$F$15)-1,AC$100:AG124,4,FALSE)))*EXP(-(LN(2)/$D$65+0.1)*(VLOOKUP(($F$16-$F$15)-1,AC$100:AG124,5,FALSE)))*EXP(-(LN(2)/$D$65+0.04)*AF124)*EXP(-(LN(2)/$D$65+0.1)*AG124),IF(AD124=3,AJ$100*EXP(-(LN(2)/$D$65+0.04)*(VLOOKUP(($F$16-$F$15)-1,AC$100:AG124,4,FALSE)))*EXP(-(LN(2)/$D$65+0.1)*(VLOOKUP(($F$16-$F$15)-1,AC$100:AG124,5,FALSE)))*EXP(-(LN(2)/$D$65+0.04)*(VLOOKUP(($F$16-$F$15)*2-1,AC$100:AG124,4,FALSE)))*EXP(-(LN(2)/$D$65+0.1)*(VLOOKUP(($F$16-$F$15)*2-1,AC$100:AG124,5,FALSE)))*EXP(-(LN(2)/$D$65+0.04)*AF124)*EXP(-(LN(2)/$D$65+0.1)*AG124),"-"))),"-")</f>
        <v>-</v>
      </c>
      <c r="AK124" s="227">
        <f t="shared" si="49"/>
        <v>24</v>
      </c>
      <c r="AL124" s="226" t="str">
        <f t="shared" si="21"/>
        <v>-</v>
      </c>
      <c r="AM124" s="227" t="str">
        <f t="shared" si="50"/>
        <v>-</v>
      </c>
      <c r="AN124" s="227" t="str">
        <f t="shared" si="51"/>
        <v>-</v>
      </c>
      <c r="AO124" s="227" t="str">
        <f t="shared" si="22"/>
        <v>-</v>
      </c>
      <c r="AP124" s="273">
        <f t="shared" si="52"/>
        <v>0.1</v>
      </c>
      <c r="AQ124" s="271" t="str">
        <f>IFERROR(IF(AL123=1,AQ$100*EXP(-(LN(2)/$D$65+0.04)*AN123)*EXP(-(LN(2)/$D$65+0.1)*AO123),IF(AL123=2,AQ$100*EXP(-(LN(2)/$D$65+0.04)*(VLOOKUP(($F$16-$F$15)-1,AK$99:AO123,4,FALSE)))*EXP(-(LN(2)/$D$65+0.1)*(VLOOKUP(($F$16-$F$15)-1,AK$99:AO123,5,FALSE)))*EXP(-(LN(2)/$D$65+0.04)*AN123)*EXP(-(LN(2)/$D$65+0.1)*AO123),IF(AL123=3,AQ$100*EXP(-(LN(2)/$D$65+0.04)*(VLOOKUP(($F$16-$F$15)-1,AK$99:AO123,4,FALSE)))*EXP(-(LN(2)/$D$65+0.1)*(VLOOKUP(($F$16-$F$15)-1,AK$99:AO123,5,FALSE)))*EXP(-(LN(2)/$D$65+0.04)*(VLOOKUP(($F$16-$F$15)*2-1,AK$99:AO123,4,FALSE)))*EXP(-(LN(2)/$D$65+0.1)*(VLOOKUP(($F$16-$F$15)*2-1,AK$99:AO123,5,FALSE)))*EXP(-(LN(2)/$D$65+0.04)*AN123)*EXP(-(LN(2)/$D$65+0.1)*AO123),"-"))),"-")</f>
        <v>-</v>
      </c>
      <c r="AR124" s="271" t="str">
        <f>IFERROR(IF(AL124=1,AR$100*EXP(-(LN(2)/$D$65+0.04)*AN124)*EXP(-(LN(2)/$D$65+0.1)*AO124),IF(AL124=2,AR$100*EXP(-(LN(2)/$D$65+0.04)*(VLOOKUP(($F$16-$F$15)-1,AK$100:AO124,4,FALSE)))*EXP(-(LN(2)/$D$65+0.1)*(VLOOKUP(($F$16-$F$15)-1,AK$100:AO124,5,FALSE)))*EXP(-(LN(2)/$D$65+0.04)*AN124)*EXP(-(LN(2)/$D$65+0.1)*AO124),IF(AL124=3,AR$100*EXP(-(LN(2)/$D$65+0.04)*(VLOOKUP(($F$16-$F$15)-1,AK$100:AO124,4,FALSE)))*EXP(-(LN(2)/$D$65+0.1)*(VLOOKUP(($F$16-$F$15)-1,AK$100:AO124,5,FALSE)))*EXP(-(LN(2)/$D$65+0.04)*(VLOOKUP(($F$16-$F$15)*2-1,AK$100:AO124,4,FALSE)))*EXP(-(LN(2)/$D$65+0.1)*(VLOOKUP(($F$16-$F$15)*2-1,AK$100:AO124,5,FALSE)))*EXP(-(LN(2)/$D$65+0.04)*AN124)*EXP(-(LN(2)/$D$65+0.1)*AO124),"-"))),"-")</f>
        <v>-</v>
      </c>
      <c r="AS124" s="274">
        <f t="shared" si="23"/>
        <v>0</v>
      </c>
      <c r="AT124" s="274">
        <f t="shared" si="24"/>
        <v>0</v>
      </c>
      <c r="AU124" s="274">
        <f t="shared" si="25"/>
        <v>0</v>
      </c>
      <c r="AV124" s="190">
        <f>IF($B124&lt;$F$22,SUM($T$100:$T124),"")</f>
        <v>0</v>
      </c>
      <c r="AW124" s="190" t="str">
        <f t="shared" si="55"/>
        <v>-</v>
      </c>
      <c r="AX124" s="190" t="str">
        <f t="shared" si="56"/>
        <v/>
      </c>
      <c r="AY124"/>
      <c r="AZ124" s="190" t="str">
        <f ca="1">IF(ISNUMBER(OFFSET(AV124,-$F$21,0)),SUM(OFFSET($T$100,$F$21,0):$T124),"")</f>
        <v/>
      </c>
      <c r="BA124" s="190" t="str">
        <f t="shared" ca="1" si="26"/>
        <v/>
      </c>
      <c r="BB124" s="190" t="str">
        <f t="shared" ca="1" si="70"/>
        <v/>
      </c>
      <c r="BC124" s="190"/>
      <c r="BD124" s="190" t="str">
        <f ca="1">IFERROR(IF(AND($B124&gt;=($F$16-$F$15),$B124&lt;$F$22+($F$16-$F$15)),SUM(OFFSET($T$100,($F$16-$F$15),0):$T124),""),"")</f>
        <v/>
      </c>
      <c r="BE124" s="190" t="str">
        <f t="shared" ca="1" si="58"/>
        <v/>
      </c>
      <c r="BF124" s="190" t="str">
        <f t="shared" ca="1" si="59"/>
        <v/>
      </c>
      <c r="BG124"/>
      <c r="BH124" s="190" t="str">
        <f ca="1">IF(ISNUMBER(OFFSET(BD124,-$F$21,0)),SUM(OFFSET($T$100,($F$16-$F$15+$F$21),0):$T124),"")</f>
        <v/>
      </c>
      <c r="BI124" s="190" t="str">
        <f t="shared" ca="1" si="27"/>
        <v/>
      </c>
      <c r="BJ124" s="190" t="str">
        <f t="shared" ca="1" si="60"/>
        <v/>
      </c>
      <c r="BK124" s="190"/>
      <c r="BL124" s="190" t="str">
        <f ca="1">IFERROR(IF(AND($B124&gt;=($F$17-$F$15),$B124&lt;$F$22+($F$17-$F$15)),SUM(OFFSET($T$100,($F$17-$F$15),0):$T124),""),"")</f>
        <v/>
      </c>
      <c r="BM124" s="190" t="str">
        <f t="shared" ca="1" si="28"/>
        <v/>
      </c>
      <c r="BN124" s="190" t="str">
        <f t="shared" ca="1" si="61"/>
        <v/>
      </c>
      <c r="BO124"/>
      <c r="BP124" s="190" t="str">
        <f ca="1">IF(ISNUMBER(OFFSET(BL124,-$F$21,0)),SUM(OFFSET($T$100,($F$17-$F$15+$F$21),0):$T124),"")</f>
        <v/>
      </c>
      <c r="BQ124" s="190" t="str">
        <f t="shared" ca="1" si="62"/>
        <v/>
      </c>
      <c r="BR124" s="190" t="str">
        <f t="shared" ca="1" si="63"/>
        <v/>
      </c>
      <c r="BS124" s="190"/>
      <c r="BT124"/>
      <c r="BU124" s="185"/>
      <c r="BV124" s="184"/>
      <c r="BW124" s="185"/>
      <c r="BX124" s="185"/>
      <c r="BY124" s="185"/>
      <c r="BZ124"/>
      <c r="CA124" s="280" t="str">
        <f t="shared" si="29"/>
        <v/>
      </c>
      <c r="CB124" s="71" t="str">
        <f t="shared" si="30"/>
        <v>-</v>
      </c>
      <c r="CC124" s="33"/>
      <c r="CD124" s="261" t="str">
        <f t="shared" si="32"/>
        <v/>
      </c>
      <c r="CE124" s="280" t="str">
        <f t="shared" si="33"/>
        <v>-</v>
      </c>
      <c r="CF124" s="71" t="str">
        <f t="shared" ca="1" si="34"/>
        <v>-</v>
      </c>
      <c r="CG124" s="33" t="str">
        <f t="shared" si="35"/>
        <v>24-25</v>
      </c>
      <c r="CH124" s="261" t="str">
        <f t="shared" ca="1" si="36"/>
        <v/>
      </c>
      <c r="CI124" s="99"/>
      <c r="CJ124" s="99"/>
      <c r="CK124" s="99"/>
      <c r="CL124" s="99"/>
      <c r="CM124" s="99"/>
      <c r="CN124" s="99"/>
      <c r="CO124" s="99"/>
    </row>
    <row r="125" spans="2:93" ht="13.5" customHeight="1" x14ac:dyDescent="0.2">
      <c r="B125" s="262">
        <v>25</v>
      </c>
      <c r="C125" s="237" t="str">
        <f t="shared" si="1"/>
        <v/>
      </c>
      <c r="D125" s="237" t="str">
        <f t="shared" si="66"/>
        <v>-</v>
      </c>
      <c r="E125" s="290" t="str">
        <f t="shared" si="37"/>
        <v/>
      </c>
      <c r="F125" s="264" t="str">
        <f t="shared" si="38"/>
        <v/>
      </c>
      <c r="G125" s="291" t="str">
        <f t="shared" si="39"/>
        <v/>
      </c>
      <c r="H125" s="240" t="str">
        <f t="shared" si="40"/>
        <v/>
      </c>
      <c r="I125" s="265" t="str">
        <f t="shared" si="2"/>
        <v/>
      </c>
      <c r="J125" s="265" t="str">
        <f t="shared" si="3"/>
        <v/>
      </c>
      <c r="K125" s="240" t="str">
        <f t="shared" si="41"/>
        <v/>
      </c>
      <c r="L125" s="265" t="str">
        <f t="shared" si="4"/>
        <v/>
      </c>
      <c r="M125" s="265" t="str">
        <f t="shared" si="5"/>
        <v/>
      </c>
      <c r="N125" s="240" t="str">
        <f t="shared" si="6"/>
        <v>-</v>
      </c>
      <c r="O125" s="265" t="str">
        <f t="shared" si="7"/>
        <v>-</v>
      </c>
      <c r="P125" s="265" t="str">
        <f t="shared" si="8"/>
        <v>-</v>
      </c>
      <c r="Q125" s="266" t="str">
        <f t="shared" si="9"/>
        <v>-</v>
      </c>
      <c r="R125" s="267" t="str">
        <f t="shared" si="10"/>
        <v>-</v>
      </c>
      <c r="S125" s="268" t="str">
        <f t="shared" si="11"/>
        <v>-</v>
      </c>
      <c r="T125" s="269" t="str">
        <f t="shared" si="12"/>
        <v/>
      </c>
      <c r="U125" s="221">
        <f t="shared" si="13"/>
        <v>25</v>
      </c>
      <c r="V125" s="220" t="str">
        <f t="shared" si="42"/>
        <v>-</v>
      </c>
      <c r="W125" s="221" t="str">
        <f t="shared" si="43"/>
        <v>-</v>
      </c>
      <c r="X125" s="221" t="str">
        <f t="shared" si="14"/>
        <v>-</v>
      </c>
      <c r="Y125" s="221" t="str">
        <f t="shared" si="15"/>
        <v>-</v>
      </c>
      <c r="Z125" s="270">
        <f t="shared" si="44"/>
        <v>0.1</v>
      </c>
      <c r="AA125" s="271" t="str">
        <f>IFERROR(IF(V124=1,AA$100*EXP(-(LN(2)/$D$65+0.04)*X124)*EXP(-(LN(2)/$D$65+0.1)*Y124),IF(V124=2,AA$100*EXP(-(LN(2)/$D$65+0.04)*(VLOOKUP(($F$16-$F$15)-1,U$99:Y124,4,FALSE)))*EXP(-(LN(2)/$D$65+0.1)*(VLOOKUP(($F$16-$F$15)-1,U$99:Y124,5,FALSE)))*EXP(-(LN(2)/$D$65+0.04)*X124)*EXP(-(LN(2)/$D$65+0.1)*Y124),IF(V124=3,AA$100*EXP(-(LN(2)/$D$65+0.04)*(VLOOKUP(($F$16-$F$15)-1,U$99:Y124,4,FALSE)))*EXP(-(LN(2)/$D$65+0.1)*(VLOOKUP(($F$16-$F$15)-1,U$99:Y124,5,FALSE)))*EXP(-(LN(2)/$D$65+0.04)*(VLOOKUP(($F$16-$F$15)*2-1,U$99:Y124,4,FALSE)))*EXP(-(LN(2)/$D$65+0.1)*(VLOOKUP(($F$16-$F$15)*2-1,U$99:Y124,5,FALSE)))*EXP(-(LN(2)/$D$65+0.04)*X124)*EXP(-(LN(2)/$D$65+0.1)*Y124),"-"))),"-")</f>
        <v>-</v>
      </c>
      <c r="AB125" s="271" t="str">
        <f>IFERROR(IF(V125=1,AB$100*EXP(-(LN(2)/$D$65+0.04)*X125)*EXP(-(LN(2)/$D$65+0.1)*Y125),IF(V125=2,AB$100*EXP(-(LN(2)/$D$65+0.04)*(VLOOKUP(($F$16-$F$15)-1,U$100:Y125,4,FALSE)))*EXP(-(LN(2)/$D$65+0.1)*(VLOOKUP(($F$16-$F$15)-1,U$100:Y125,5,FALSE)))*EXP(-(LN(2)/$D$65+0.04)*X125)*EXP(-(LN(2)/$D$65+0.1)*Y125),IF(V125=3,AB$100*EXP(-(LN(2)/$D$65+0.04)*(VLOOKUP(($F$16-$F$15)-1,U$100:Y125,4,FALSE)))*EXP(-(LN(2)/$D$65+0.1)*(VLOOKUP(($F$16-$F$15)-1,U$100:Y125,5,FALSE)))*EXP(-(LN(2)/$D$65+0.04)*(VLOOKUP(($F$16-$F$15)*2-1,U$100:Y125,4,FALSE)))*EXP(-(LN(2)/$D$65+0.1)*(VLOOKUP(($F$16-$F$15)*2-1,U$100:Y125,5,FALSE)))*EXP(-(LN(2)/$D$65+0.04)*X125)*EXP(-(LN(2)/$D$65+0.1)*Y125),"-"))),"-")</f>
        <v>-</v>
      </c>
      <c r="AC125" s="224">
        <f t="shared" si="45"/>
        <v>25</v>
      </c>
      <c r="AD125" s="223" t="str">
        <f t="shared" si="17"/>
        <v>-</v>
      </c>
      <c r="AE125" s="224" t="str">
        <f t="shared" si="46"/>
        <v>-</v>
      </c>
      <c r="AF125" s="224" t="str">
        <f t="shared" si="18"/>
        <v>-</v>
      </c>
      <c r="AG125" s="224" t="str">
        <f t="shared" si="19"/>
        <v>-</v>
      </c>
      <c r="AH125" s="272">
        <f t="shared" si="47"/>
        <v>0.1</v>
      </c>
      <c r="AI125" s="271" t="str">
        <f>IFERROR(IF(AD124=1,AI$100*EXP(-(LN(2)/$D$65+0.04)*AF124)*EXP(-(LN(2)/$D$65+0.1)*AG124),IF(AD124=2,AI$100*EXP(-(LN(2)/$D$65+0.04)*(VLOOKUP(($F$16-$F$15)-1,AC$99:AG124,4,FALSE)))*EXP(-(LN(2)/$D$65+0.1)*(VLOOKUP(($F$16-$F$15)-1,AC$99:AG124,5,FALSE)))*EXP(-(LN(2)/$D$65+0.04)*AF124)*EXP(-(LN(2)/$D$65+0.1)*AG124),IF(AD124=3,AI$100*EXP(-(LN(2)/$D$65+0.04)*(VLOOKUP(($F$16-$F$15)-1,AC$99:AG124,4,FALSE)))*EXP(-(LN(2)/$D$65+0.1)*(VLOOKUP(($F$16-$F$15)-1,AC$99:AG124,5,FALSE)))*EXP(-(LN(2)/$D$65+0.04)*(VLOOKUP(($F$16-$F$15)*2-1,AC$99:AG124,4,FALSE)))*EXP(-(LN(2)/$D$65+0.1)*(VLOOKUP(($F$16-$F$15)*2-1,AC$99:AG124,5,FALSE)))*EXP(-(LN(2)/$D$65+0.04)*AF124)*EXP(-(LN(2)/$D$65+0.1)*AG124),"-"))),"-")</f>
        <v>-</v>
      </c>
      <c r="AJ125" s="271" t="str">
        <f>IFERROR(IF(AD125=1,AJ$100*EXP(-(LN(2)/$D$65+0.04)*AF125)*EXP(-(LN(2)/$D$65+0.1)*AG125),IF(AD125=2,AJ$100*EXP(-(LN(2)/$D$65+0.04)*(VLOOKUP(($F$16-$F$15)-1,AC$100:AG125,4,FALSE)))*EXP(-(LN(2)/$D$65+0.1)*(VLOOKUP(($F$16-$F$15)-1,AC$100:AG125,5,FALSE)))*EXP(-(LN(2)/$D$65+0.04)*AF125)*EXP(-(LN(2)/$D$65+0.1)*AG125),IF(AD125=3,AJ$100*EXP(-(LN(2)/$D$65+0.04)*(VLOOKUP(($F$16-$F$15)-1,AC$100:AG125,4,FALSE)))*EXP(-(LN(2)/$D$65+0.1)*(VLOOKUP(($F$16-$F$15)-1,AC$100:AG125,5,FALSE)))*EXP(-(LN(2)/$D$65+0.04)*(VLOOKUP(($F$16-$F$15)*2-1,AC$100:AG125,4,FALSE)))*EXP(-(LN(2)/$D$65+0.1)*(VLOOKUP(($F$16-$F$15)*2-1,AC$100:AG125,5,FALSE)))*EXP(-(LN(2)/$D$65+0.04)*AF125)*EXP(-(LN(2)/$D$65+0.1)*AG125),"-"))),"-")</f>
        <v>-</v>
      </c>
      <c r="AK125" s="227">
        <f t="shared" si="49"/>
        <v>25</v>
      </c>
      <c r="AL125" s="226" t="str">
        <f t="shared" si="21"/>
        <v>-</v>
      </c>
      <c r="AM125" s="227" t="str">
        <f t="shared" si="50"/>
        <v>-</v>
      </c>
      <c r="AN125" s="227" t="str">
        <f t="shared" si="51"/>
        <v>-</v>
      </c>
      <c r="AO125" s="227" t="str">
        <f t="shared" si="22"/>
        <v>-</v>
      </c>
      <c r="AP125" s="273">
        <f t="shared" si="52"/>
        <v>0.1</v>
      </c>
      <c r="AQ125" s="271" t="str">
        <f>IFERROR(IF(AL124=1,AQ$100*EXP(-(LN(2)/$D$65+0.04)*AN124)*EXP(-(LN(2)/$D$65+0.1)*AO124),IF(AL124=2,AQ$100*EXP(-(LN(2)/$D$65+0.04)*(VLOOKUP(($F$16-$F$15)-1,AK$99:AO124,4,FALSE)))*EXP(-(LN(2)/$D$65+0.1)*(VLOOKUP(($F$16-$F$15)-1,AK$99:AO124,5,FALSE)))*EXP(-(LN(2)/$D$65+0.04)*AN124)*EXP(-(LN(2)/$D$65+0.1)*AO124),IF(AL124=3,AQ$100*EXP(-(LN(2)/$D$65+0.04)*(VLOOKUP(($F$16-$F$15)-1,AK$99:AO124,4,FALSE)))*EXP(-(LN(2)/$D$65+0.1)*(VLOOKUP(($F$16-$F$15)-1,AK$99:AO124,5,FALSE)))*EXP(-(LN(2)/$D$65+0.04)*(VLOOKUP(($F$16-$F$15)*2-1,AK$99:AO124,4,FALSE)))*EXP(-(LN(2)/$D$65+0.1)*(VLOOKUP(($F$16-$F$15)*2-1,AK$99:AO124,5,FALSE)))*EXP(-(LN(2)/$D$65+0.04)*AN124)*EXP(-(LN(2)/$D$65+0.1)*AO124),"-"))),"-")</f>
        <v>-</v>
      </c>
      <c r="AR125" s="271" t="str">
        <f>IFERROR(IF(AL125=1,AR$100*EXP(-(LN(2)/$D$65+0.04)*AN125)*EXP(-(LN(2)/$D$65+0.1)*AO125),IF(AL125=2,AR$100*EXP(-(LN(2)/$D$65+0.04)*(VLOOKUP(($F$16-$F$15)-1,AK$100:AO125,4,FALSE)))*EXP(-(LN(2)/$D$65+0.1)*(VLOOKUP(($F$16-$F$15)-1,AK$100:AO125,5,FALSE)))*EXP(-(LN(2)/$D$65+0.04)*AN125)*EXP(-(LN(2)/$D$65+0.1)*AO125),IF(AL125=3,AR$100*EXP(-(LN(2)/$D$65+0.04)*(VLOOKUP(($F$16-$F$15)-1,AK$100:AO125,4,FALSE)))*EXP(-(LN(2)/$D$65+0.1)*(VLOOKUP(($F$16-$F$15)-1,AK$100:AO125,5,FALSE)))*EXP(-(LN(2)/$D$65+0.04)*(VLOOKUP(($F$16-$F$15)*2-1,AK$100:AO125,4,FALSE)))*EXP(-(LN(2)/$D$65+0.1)*(VLOOKUP(($F$16-$F$15)*2-1,AK$100:AO125,5,FALSE)))*EXP(-(LN(2)/$D$65+0.04)*AN125)*EXP(-(LN(2)/$D$65+0.1)*AO125),"-"))),"-")</f>
        <v>-</v>
      </c>
      <c r="AS125" s="274">
        <f t="shared" si="23"/>
        <v>0</v>
      </c>
      <c r="AT125" s="274">
        <f t="shared" si="24"/>
        <v>0</v>
      </c>
      <c r="AU125" s="274">
        <f t="shared" si="25"/>
        <v>0</v>
      </c>
      <c r="AV125" s="190">
        <f>IF($B125&lt;$F$22,SUM($T$100:$T125),"")</f>
        <v>0</v>
      </c>
      <c r="AW125" s="190" t="str">
        <f t="shared" si="55"/>
        <v>-</v>
      </c>
      <c r="AX125" s="190" t="str">
        <f t="shared" si="56"/>
        <v/>
      </c>
      <c r="AY125"/>
      <c r="AZ125" s="190" t="str">
        <f ca="1">IF(ISNUMBER(OFFSET(AV125,-$F$21,0)),SUM(OFFSET($T$100,$F$21,0):$T125),"")</f>
        <v/>
      </c>
      <c r="BA125" s="190" t="str">
        <f t="shared" ca="1" si="26"/>
        <v/>
      </c>
      <c r="BB125" s="190" t="str">
        <f t="shared" ca="1" si="70"/>
        <v/>
      </c>
      <c r="BC125" s="190"/>
      <c r="BD125" s="190" t="str">
        <f ca="1">IFERROR(IF(AND($B125&gt;=($F$16-$F$15),$B125&lt;$F$22+($F$16-$F$15)),SUM(OFFSET($T$100,($F$16-$F$15),0):$T125),""),"")</f>
        <v/>
      </c>
      <c r="BE125" s="190" t="str">
        <f t="shared" ca="1" si="58"/>
        <v/>
      </c>
      <c r="BF125" s="190" t="str">
        <f t="shared" ca="1" si="59"/>
        <v/>
      </c>
      <c r="BG125"/>
      <c r="BH125" s="190" t="str">
        <f ca="1">IF(ISNUMBER(OFFSET(BD125,-$F$21,0)),SUM(OFFSET($T$100,($F$16-$F$15+$F$21),0):$T125),"")</f>
        <v/>
      </c>
      <c r="BI125" s="190" t="str">
        <f t="shared" ca="1" si="27"/>
        <v/>
      </c>
      <c r="BJ125" s="190" t="str">
        <f t="shared" ca="1" si="60"/>
        <v/>
      </c>
      <c r="BK125" s="190"/>
      <c r="BL125" s="190" t="str">
        <f ca="1">IFERROR(IF(AND($B125&gt;=($F$17-$F$15),$B125&lt;$F$22+($F$17-$F$15)),SUM(OFFSET($T$100,($F$17-$F$15),0):$T125),""),"")</f>
        <v/>
      </c>
      <c r="BM125" s="190" t="str">
        <f t="shared" ca="1" si="28"/>
        <v/>
      </c>
      <c r="BN125" s="190" t="str">
        <f t="shared" ca="1" si="61"/>
        <v/>
      </c>
      <c r="BO125"/>
      <c r="BP125" s="190" t="str">
        <f ca="1">IF(ISNUMBER(OFFSET(BL125,-$F$21,0)),SUM(OFFSET($T$100,($F$17-$F$15+$F$21),0):$T125),"")</f>
        <v/>
      </c>
      <c r="BQ125" s="190" t="str">
        <f t="shared" ca="1" si="62"/>
        <v/>
      </c>
      <c r="BR125" s="190" t="str">
        <f t="shared" ca="1" si="63"/>
        <v/>
      </c>
      <c r="BS125" s="190"/>
      <c r="BT125"/>
      <c r="BU125" s="185"/>
      <c r="BV125" s="177"/>
      <c r="BW125" s="185"/>
      <c r="BX125" s="185"/>
      <c r="BY125" s="185"/>
      <c r="BZ125"/>
      <c r="CA125" s="280" t="str">
        <f t="shared" si="29"/>
        <v/>
      </c>
      <c r="CB125" s="71" t="str">
        <f t="shared" si="30"/>
        <v>-</v>
      </c>
      <c r="CC125" s="33"/>
      <c r="CD125" s="261" t="str">
        <f t="shared" si="32"/>
        <v/>
      </c>
      <c r="CE125" s="280" t="str">
        <f t="shared" si="33"/>
        <v>-</v>
      </c>
      <c r="CF125" s="71" t="str">
        <f t="shared" ca="1" si="34"/>
        <v>-</v>
      </c>
      <c r="CG125" s="33" t="str">
        <f t="shared" si="35"/>
        <v>25-26</v>
      </c>
      <c r="CH125" s="261" t="str">
        <f t="shared" ca="1" si="36"/>
        <v/>
      </c>
      <c r="CI125" s="99"/>
      <c r="CJ125" s="99"/>
      <c r="CK125" s="99"/>
      <c r="CL125" s="99"/>
      <c r="CM125" s="99"/>
      <c r="CN125" s="99"/>
      <c r="CO125" s="99"/>
    </row>
    <row r="126" spans="2:93" ht="13.5" customHeight="1" x14ac:dyDescent="0.2">
      <c r="B126" s="262">
        <v>26</v>
      </c>
      <c r="C126" s="237" t="str">
        <f t="shared" si="1"/>
        <v/>
      </c>
      <c r="D126" s="237" t="str">
        <f t="shared" si="66"/>
        <v>-</v>
      </c>
      <c r="E126" s="290" t="str">
        <f t="shared" si="37"/>
        <v/>
      </c>
      <c r="F126" s="264" t="str">
        <f t="shared" si="38"/>
        <v/>
      </c>
      <c r="G126" s="291" t="str">
        <f t="shared" si="39"/>
        <v/>
      </c>
      <c r="H126" s="240" t="str">
        <f t="shared" si="40"/>
        <v/>
      </c>
      <c r="I126" s="265" t="str">
        <f t="shared" si="2"/>
        <v/>
      </c>
      <c r="J126" s="265" t="str">
        <f t="shared" si="3"/>
        <v/>
      </c>
      <c r="K126" s="240" t="str">
        <f t="shared" si="41"/>
        <v/>
      </c>
      <c r="L126" s="265" t="str">
        <f t="shared" si="4"/>
        <v/>
      </c>
      <c r="M126" s="265" t="str">
        <f t="shared" si="5"/>
        <v/>
      </c>
      <c r="N126" s="240" t="str">
        <f t="shared" si="6"/>
        <v>-</v>
      </c>
      <c r="O126" s="265" t="str">
        <f t="shared" si="7"/>
        <v>-</v>
      </c>
      <c r="P126" s="265" t="str">
        <f t="shared" si="8"/>
        <v>-</v>
      </c>
      <c r="Q126" s="266" t="str">
        <f t="shared" si="9"/>
        <v>-</v>
      </c>
      <c r="R126" s="267" t="str">
        <f t="shared" si="10"/>
        <v>-</v>
      </c>
      <c r="S126" s="268" t="str">
        <f t="shared" si="11"/>
        <v>-</v>
      </c>
      <c r="T126" s="269" t="str">
        <f t="shared" si="12"/>
        <v/>
      </c>
      <c r="U126" s="221">
        <f t="shared" si="13"/>
        <v>26</v>
      </c>
      <c r="V126" s="220" t="str">
        <f t="shared" si="42"/>
        <v>-</v>
      </c>
      <c r="W126" s="221" t="str">
        <f t="shared" si="43"/>
        <v>-</v>
      </c>
      <c r="X126" s="221" t="str">
        <f t="shared" si="14"/>
        <v>-</v>
      </c>
      <c r="Y126" s="221" t="str">
        <f t="shared" si="15"/>
        <v>-</v>
      </c>
      <c r="Z126" s="270">
        <f t="shared" si="44"/>
        <v>0.1</v>
      </c>
      <c r="AA126" s="271" t="str">
        <f>IFERROR(IF(V125=1,AA$100*EXP(-(LN(2)/$D$65+0.04)*X125)*EXP(-(LN(2)/$D$65+0.1)*Y125),IF(V125=2,AA$100*EXP(-(LN(2)/$D$65+0.04)*(VLOOKUP(($F$16-$F$15)-1,U$99:Y125,4,FALSE)))*EXP(-(LN(2)/$D$65+0.1)*(VLOOKUP(($F$16-$F$15)-1,U$99:Y125,5,FALSE)))*EXP(-(LN(2)/$D$65+0.04)*X125)*EXP(-(LN(2)/$D$65+0.1)*Y125),IF(V125=3,AA$100*EXP(-(LN(2)/$D$65+0.04)*(VLOOKUP(($F$16-$F$15)-1,U$99:Y125,4,FALSE)))*EXP(-(LN(2)/$D$65+0.1)*(VLOOKUP(($F$16-$F$15)-1,U$99:Y125,5,FALSE)))*EXP(-(LN(2)/$D$65+0.04)*(VLOOKUP(($F$16-$F$15)*2-1,U$99:Y125,4,FALSE)))*EXP(-(LN(2)/$D$65+0.1)*(VLOOKUP(($F$16-$F$15)*2-1,U$99:Y125,5,FALSE)))*EXP(-(LN(2)/$D$65+0.04)*X125)*EXP(-(LN(2)/$D$65+0.1)*Y125),"-"))),"-")</f>
        <v>-</v>
      </c>
      <c r="AB126" s="271" t="str">
        <f>IFERROR(IF(V126=1,AB$100*EXP(-(LN(2)/$D$65+0.04)*X126)*EXP(-(LN(2)/$D$65+0.1)*Y126),IF(V126=2,AB$100*EXP(-(LN(2)/$D$65+0.04)*(VLOOKUP(($F$16-$F$15)-1,U$100:Y126,4,FALSE)))*EXP(-(LN(2)/$D$65+0.1)*(VLOOKUP(($F$16-$F$15)-1,U$100:Y126,5,FALSE)))*EXP(-(LN(2)/$D$65+0.04)*X126)*EXP(-(LN(2)/$D$65+0.1)*Y126),IF(V126=3,AB$100*EXP(-(LN(2)/$D$65+0.04)*(VLOOKUP(($F$16-$F$15)-1,U$100:Y126,4,FALSE)))*EXP(-(LN(2)/$D$65+0.1)*(VLOOKUP(($F$16-$F$15)-1,U$100:Y126,5,FALSE)))*EXP(-(LN(2)/$D$65+0.04)*(VLOOKUP(($F$16-$F$15)*2-1,U$100:Y126,4,FALSE)))*EXP(-(LN(2)/$D$65+0.1)*(VLOOKUP(($F$16-$F$15)*2-1,U$100:Y126,5,FALSE)))*EXP(-(LN(2)/$D$65+0.04)*X126)*EXP(-(LN(2)/$D$65+0.1)*Y126),"-"))),"-")</f>
        <v>-</v>
      </c>
      <c r="AC126" s="224">
        <f t="shared" si="45"/>
        <v>26</v>
      </c>
      <c r="AD126" s="223" t="str">
        <f t="shared" si="17"/>
        <v>-</v>
      </c>
      <c r="AE126" s="224" t="str">
        <f t="shared" si="46"/>
        <v>-</v>
      </c>
      <c r="AF126" s="224" t="str">
        <f t="shared" si="18"/>
        <v>-</v>
      </c>
      <c r="AG126" s="224" t="str">
        <f t="shared" si="19"/>
        <v>-</v>
      </c>
      <c r="AH126" s="272">
        <f t="shared" si="47"/>
        <v>0.1</v>
      </c>
      <c r="AI126" s="271" t="str">
        <f>IFERROR(IF(AD125=1,AI$100*EXP(-(LN(2)/$D$65+0.04)*AF125)*EXP(-(LN(2)/$D$65+0.1)*AG125),IF(AD125=2,AI$100*EXP(-(LN(2)/$D$65+0.04)*(VLOOKUP(($F$16-$F$15)-1,AC$99:AG125,4,FALSE)))*EXP(-(LN(2)/$D$65+0.1)*(VLOOKUP(($F$16-$F$15)-1,AC$99:AG125,5,FALSE)))*EXP(-(LN(2)/$D$65+0.04)*AF125)*EXP(-(LN(2)/$D$65+0.1)*AG125),IF(AD125=3,AI$100*EXP(-(LN(2)/$D$65+0.04)*(VLOOKUP(($F$16-$F$15)-1,AC$99:AG125,4,FALSE)))*EXP(-(LN(2)/$D$65+0.1)*(VLOOKUP(($F$16-$F$15)-1,AC$99:AG125,5,FALSE)))*EXP(-(LN(2)/$D$65+0.04)*(VLOOKUP(($F$16-$F$15)*2-1,AC$99:AG125,4,FALSE)))*EXP(-(LN(2)/$D$65+0.1)*(VLOOKUP(($F$16-$F$15)*2-1,AC$99:AG125,5,FALSE)))*EXP(-(LN(2)/$D$65+0.04)*AF125)*EXP(-(LN(2)/$D$65+0.1)*AG125),"-"))),"-")</f>
        <v>-</v>
      </c>
      <c r="AJ126" s="271" t="str">
        <f>IFERROR(IF(AD126=1,AJ$100*EXP(-(LN(2)/$D$65+0.04)*AF126)*EXP(-(LN(2)/$D$65+0.1)*AG126),IF(AD126=2,AJ$100*EXP(-(LN(2)/$D$65+0.04)*(VLOOKUP(($F$16-$F$15)-1,AC$100:AG126,4,FALSE)))*EXP(-(LN(2)/$D$65+0.1)*(VLOOKUP(($F$16-$F$15)-1,AC$100:AG126,5,FALSE)))*EXP(-(LN(2)/$D$65+0.04)*AF126)*EXP(-(LN(2)/$D$65+0.1)*AG126),IF(AD126=3,AJ$100*EXP(-(LN(2)/$D$65+0.04)*(VLOOKUP(($F$16-$F$15)-1,AC$100:AG126,4,FALSE)))*EXP(-(LN(2)/$D$65+0.1)*(VLOOKUP(($F$16-$F$15)-1,AC$100:AG126,5,FALSE)))*EXP(-(LN(2)/$D$65+0.04)*(VLOOKUP(($F$16-$F$15)*2-1,AC$100:AG126,4,FALSE)))*EXP(-(LN(2)/$D$65+0.1)*(VLOOKUP(($F$16-$F$15)*2-1,AC$100:AG126,5,FALSE)))*EXP(-(LN(2)/$D$65+0.04)*AF126)*EXP(-(LN(2)/$D$65+0.1)*AG126),"-"))),"-")</f>
        <v>-</v>
      </c>
      <c r="AK126" s="227">
        <f t="shared" si="49"/>
        <v>26</v>
      </c>
      <c r="AL126" s="226" t="str">
        <f t="shared" si="21"/>
        <v>-</v>
      </c>
      <c r="AM126" s="227" t="str">
        <f t="shared" si="50"/>
        <v>-</v>
      </c>
      <c r="AN126" s="227" t="str">
        <f t="shared" si="51"/>
        <v>-</v>
      </c>
      <c r="AO126" s="227" t="str">
        <f t="shared" si="22"/>
        <v>-</v>
      </c>
      <c r="AP126" s="273">
        <f t="shared" si="52"/>
        <v>0.1</v>
      </c>
      <c r="AQ126" s="271" t="str">
        <f>IFERROR(IF(AL125=1,AQ$100*EXP(-(LN(2)/$D$65+0.04)*AN125)*EXP(-(LN(2)/$D$65+0.1)*AO125),IF(AL125=2,AQ$100*EXP(-(LN(2)/$D$65+0.04)*(VLOOKUP(($F$16-$F$15)-1,AK$99:AO125,4,FALSE)))*EXP(-(LN(2)/$D$65+0.1)*(VLOOKUP(($F$16-$F$15)-1,AK$99:AO125,5,FALSE)))*EXP(-(LN(2)/$D$65+0.04)*AN125)*EXP(-(LN(2)/$D$65+0.1)*AO125),IF(AL125=3,AQ$100*EXP(-(LN(2)/$D$65+0.04)*(VLOOKUP(($F$16-$F$15)-1,AK$99:AO125,4,FALSE)))*EXP(-(LN(2)/$D$65+0.1)*(VLOOKUP(($F$16-$F$15)-1,AK$99:AO125,5,FALSE)))*EXP(-(LN(2)/$D$65+0.04)*(VLOOKUP(($F$16-$F$15)*2-1,AK$99:AO125,4,FALSE)))*EXP(-(LN(2)/$D$65+0.1)*(VLOOKUP(($F$16-$F$15)*2-1,AK$99:AO125,5,FALSE)))*EXP(-(LN(2)/$D$65+0.04)*AN125)*EXP(-(LN(2)/$D$65+0.1)*AO125),"-"))),"-")</f>
        <v>-</v>
      </c>
      <c r="AR126" s="271" t="str">
        <f>IFERROR(IF(AL126=1,AR$100*EXP(-(LN(2)/$D$65+0.04)*AN126)*EXP(-(LN(2)/$D$65+0.1)*AO126),IF(AL126=2,AR$100*EXP(-(LN(2)/$D$65+0.04)*(VLOOKUP(($F$16-$F$15)-1,AK$100:AO126,4,FALSE)))*EXP(-(LN(2)/$D$65+0.1)*(VLOOKUP(($F$16-$F$15)-1,AK$100:AO126,5,FALSE)))*EXP(-(LN(2)/$D$65+0.04)*AN126)*EXP(-(LN(2)/$D$65+0.1)*AO126),IF(AL126=3,AR$100*EXP(-(LN(2)/$D$65+0.04)*(VLOOKUP(($F$16-$F$15)-1,AK$100:AO126,4,FALSE)))*EXP(-(LN(2)/$D$65+0.1)*(VLOOKUP(($F$16-$F$15)-1,AK$100:AO126,5,FALSE)))*EXP(-(LN(2)/$D$65+0.04)*(VLOOKUP(($F$16-$F$15)*2-1,AK$100:AO126,4,FALSE)))*EXP(-(LN(2)/$D$65+0.1)*(VLOOKUP(($F$16-$F$15)*2-1,AK$100:AO126,5,FALSE)))*EXP(-(LN(2)/$D$65+0.04)*AN126)*EXP(-(LN(2)/$D$65+0.1)*AO126),"-"))),"-")</f>
        <v>-</v>
      </c>
      <c r="AS126" s="274">
        <f t="shared" si="23"/>
        <v>0</v>
      </c>
      <c r="AT126" s="274">
        <f t="shared" si="24"/>
        <v>0</v>
      </c>
      <c r="AU126" s="274">
        <f t="shared" si="25"/>
        <v>0</v>
      </c>
      <c r="AV126" s="190">
        <f>IF($B126&lt;$F$22,SUM($T$100:$T126),"")</f>
        <v>0</v>
      </c>
      <c r="AW126" s="190" t="str">
        <f t="shared" si="55"/>
        <v>-</v>
      </c>
      <c r="AX126" s="190" t="str">
        <f t="shared" si="56"/>
        <v/>
      </c>
      <c r="AY126"/>
      <c r="AZ126" s="190" t="str">
        <f ca="1">IF(ISNUMBER(OFFSET(AV126,-$F$21,0)),SUM(OFFSET($T$100,$F$21,0):$T126),"")</f>
        <v/>
      </c>
      <c r="BA126" s="190" t="str">
        <f t="shared" ca="1" si="26"/>
        <v/>
      </c>
      <c r="BB126" s="190" t="str">
        <f t="shared" ca="1" si="70"/>
        <v/>
      </c>
      <c r="BC126" s="190"/>
      <c r="BD126" s="190" t="str">
        <f ca="1">IFERROR(IF(AND($B126&gt;=($F$16-$F$15),$B126&lt;$F$22+($F$16-$F$15)),SUM(OFFSET($T$100,($F$16-$F$15),0):$T126),""),"")</f>
        <v/>
      </c>
      <c r="BE126" s="190" t="str">
        <f t="shared" ca="1" si="58"/>
        <v/>
      </c>
      <c r="BF126" s="190" t="str">
        <f t="shared" ca="1" si="59"/>
        <v/>
      </c>
      <c r="BG126"/>
      <c r="BH126" s="190" t="str">
        <f ca="1">IF(ISNUMBER(OFFSET(BD126,-$F$21,0)),SUM(OFFSET($T$100,($F$16-$F$15+$F$21),0):$T126),"")</f>
        <v/>
      </c>
      <c r="BI126" s="190" t="str">
        <f t="shared" ca="1" si="27"/>
        <v/>
      </c>
      <c r="BJ126" s="190" t="str">
        <f t="shared" ca="1" si="60"/>
        <v/>
      </c>
      <c r="BK126" s="190"/>
      <c r="BL126" s="190" t="str">
        <f ca="1">IFERROR(IF(AND($B126&gt;=($F$17-$F$15),$B126&lt;$F$22+($F$17-$F$15)),SUM(OFFSET($T$100,($F$17-$F$15),0):$T126),""),"")</f>
        <v/>
      </c>
      <c r="BM126" s="190" t="str">
        <f t="shared" ca="1" si="28"/>
        <v/>
      </c>
      <c r="BN126" s="190" t="str">
        <f t="shared" ca="1" si="61"/>
        <v/>
      </c>
      <c r="BO126"/>
      <c r="BP126" s="190" t="str">
        <f ca="1">IF(ISNUMBER(OFFSET(BL126,-$F$21,0)),SUM(OFFSET($T$100,($F$17-$F$15+$F$21),0):$T126),"")</f>
        <v/>
      </c>
      <c r="BQ126" s="190" t="str">
        <f t="shared" ca="1" si="62"/>
        <v/>
      </c>
      <c r="BR126" s="190" t="str">
        <f t="shared" ca="1" si="63"/>
        <v/>
      </c>
      <c r="BS126" s="190"/>
      <c r="BT126"/>
      <c r="BU126" s="185"/>
      <c r="BV126"/>
      <c r="BW126" s="185" t="str">
        <f>IF(BU126&lt;&gt;"",MIN(BU125:BU126),"")</f>
        <v/>
      </c>
      <c r="BX126" s="185" t="str">
        <f>IF(BU126&lt;&gt;"",MAX(BU125:BU126),"")</f>
        <v/>
      </c>
      <c r="BY126" s="185" t="str">
        <f>IF(B76&lt;&gt;"",(C75-C76)/(B76-B75),"")</f>
        <v/>
      </c>
      <c r="BZ126"/>
      <c r="CA126" s="280" t="str">
        <f t="shared" si="29"/>
        <v/>
      </c>
      <c r="CB126" s="71" t="str">
        <f t="shared" si="30"/>
        <v>-</v>
      </c>
      <c r="CC126" s="33"/>
      <c r="CD126" s="261" t="str">
        <f t="shared" si="32"/>
        <v/>
      </c>
      <c r="CE126" s="280" t="str">
        <f t="shared" si="33"/>
        <v>-</v>
      </c>
      <c r="CF126" s="71" t="str">
        <f t="shared" ca="1" si="34"/>
        <v>-</v>
      </c>
      <c r="CG126" s="33" t="str">
        <f t="shared" si="35"/>
        <v>26-27</v>
      </c>
      <c r="CH126" s="261" t="str">
        <f t="shared" ca="1" si="36"/>
        <v/>
      </c>
      <c r="CI126" s="99"/>
      <c r="CJ126" s="99"/>
      <c r="CK126" s="99"/>
      <c r="CL126" s="99"/>
      <c r="CM126" s="99"/>
      <c r="CN126" s="99"/>
      <c r="CO126" s="99"/>
    </row>
    <row r="127" spans="2:93" ht="13.5" customHeight="1" x14ac:dyDescent="0.2">
      <c r="B127" s="262">
        <v>27</v>
      </c>
      <c r="C127" s="237" t="str">
        <f t="shared" si="1"/>
        <v/>
      </c>
      <c r="D127" s="237" t="str">
        <f t="shared" si="66"/>
        <v>-</v>
      </c>
      <c r="E127" s="290" t="str">
        <f t="shared" si="37"/>
        <v/>
      </c>
      <c r="F127" s="264" t="str">
        <f t="shared" si="38"/>
        <v/>
      </c>
      <c r="G127" s="305" t="str">
        <f t="shared" si="39"/>
        <v/>
      </c>
      <c r="H127" s="240" t="str">
        <f t="shared" si="40"/>
        <v/>
      </c>
      <c r="I127" s="265" t="str">
        <f t="shared" si="2"/>
        <v/>
      </c>
      <c r="J127" s="265" t="str">
        <f t="shared" si="3"/>
        <v/>
      </c>
      <c r="K127" s="240" t="str">
        <f t="shared" si="41"/>
        <v/>
      </c>
      <c r="L127" s="265" t="str">
        <f t="shared" si="4"/>
        <v/>
      </c>
      <c r="M127" s="265" t="str">
        <f t="shared" si="5"/>
        <v/>
      </c>
      <c r="N127" s="240" t="str">
        <f t="shared" si="6"/>
        <v>-</v>
      </c>
      <c r="O127" s="265" t="str">
        <f t="shared" si="7"/>
        <v>-</v>
      </c>
      <c r="P127" s="265" t="str">
        <f t="shared" si="8"/>
        <v>-</v>
      </c>
      <c r="Q127" s="266" t="str">
        <f t="shared" si="9"/>
        <v>-</v>
      </c>
      <c r="R127" s="267" t="str">
        <f t="shared" si="10"/>
        <v>-</v>
      </c>
      <c r="S127" s="268" t="str">
        <f t="shared" si="11"/>
        <v>-</v>
      </c>
      <c r="T127" s="269" t="str">
        <f t="shared" si="12"/>
        <v/>
      </c>
      <c r="U127" s="221">
        <f t="shared" si="13"/>
        <v>27</v>
      </c>
      <c r="V127" s="220" t="str">
        <f t="shared" si="42"/>
        <v>-</v>
      </c>
      <c r="W127" s="221" t="str">
        <f t="shared" si="43"/>
        <v>-</v>
      </c>
      <c r="X127" s="221" t="str">
        <f t="shared" si="14"/>
        <v>-</v>
      </c>
      <c r="Y127" s="221" t="str">
        <f t="shared" si="15"/>
        <v>-</v>
      </c>
      <c r="Z127" s="270">
        <f t="shared" si="44"/>
        <v>0.1</v>
      </c>
      <c r="AA127" s="271" t="str">
        <f>IFERROR(IF(V126=1,AA$100*EXP(-(LN(2)/$D$65+0.04)*X126)*EXP(-(LN(2)/$D$65+0.1)*Y126),IF(V126=2,AA$100*EXP(-(LN(2)/$D$65+0.04)*(VLOOKUP(($F$16-$F$15)-1,U$99:Y126,4,FALSE)))*EXP(-(LN(2)/$D$65+0.1)*(VLOOKUP(($F$16-$F$15)-1,U$99:Y126,5,FALSE)))*EXP(-(LN(2)/$D$65+0.04)*X126)*EXP(-(LN(2)/$D$65+0.1)*Y126),IF(V126=3,AA$100*EXP(-(LN(2)/$D$65+0.04)*(VLOOKUP(($F$16-$F$15)-1,U$99:Y126,4,FALSE)))*EXP(-(LN(2)/$D$65+0.1)*(VLOOKUP(($F$16-$F$15)-1,U$99:Y126,5,FALSE)))*EXP(-(LN(2)/$D$65+0.04)*(VLOOKUP(($F$16-$F$15)*2-1,U$99:Y126,4,FALSE)))*EXP(-(LN(2)/$D$65+0.1)*(VLOOKUP(($F$16-$F$15)*2-1,U$99:Y126,5,FALSE)))*EXP(-(LN(2)/$D$65+0.04)*X126)*EXP(-(LN(2)/$D$65+0.1)*Y126),"-"))),"-")</f>
        <v>-</v>
      </c>
      <c r="AB127" s="271" t="str">
        <f>IFERROR(IF(V127=1,AB$100*EXP(-(LN(2)/$D$65+0.04)*X127)*EXP(-(LN(2)/$D$65+0.1)*Y127),IF(V127=2,AB$100*EXP(-(LN(2)/$D$65+0.04)*(VLOOKUP(($F$16-$F$15)-1,U$100:Y127,4,FALSE)))*EXP(-(LN(2)/$D$65+0.1)*(VLOOKUP(($F$16-$F$15)-1,U$100:Y127,5,FALSE)))*EXP(-(LN(2)/$D$65+0.04)*X127)*EXP(-(LN(2)/$D$65+0.1)*Y127),IF(V127=3,AB$100*EXP(-(LN(2)/$D$65+0.04)*(VLOOKUP(($F$16-$F$15)-1,U$100:Y127,4,FALSE)))*EXP(-(LN(2)/$D$65+0.1)*(VLOOKUP(($F$16-$F$15)-1,U$100:Y127,5,FALSE)))*EXP(-(LN(2)/$D$65+0.04)*(VLOOKUP(($F$16-$F$15)*2-1,U$100:Y127,4,FALSE)))*EXP(-(LN(2)/$D$65+0.1)*(VLOOKUP(($F$16-$F$15)*2-1,U$100:Y127,5,FALSE)))*EXP(-(LN(2)/$D$65+0.04)*X127)*EXP(-(LN(2)/$D$65+0.1)*Y127),"-"))),"-")</f>
        <v>-</v>
      </c>
      <c r="AC127" s="224">
        <f t="shared" si="45"/>
        <v>27</v>
      </c>
      <c r="AD127" s="223" t="str">
        <f t="shared" si="17"/>
        <v>-</v>
      </c>
      <c r="AE127" s="224" t="str">
        <f t="shared" si="46"/>
        <v>-</v>
      </c>
      <c r="AF127" s="224" t="str">
        <f t="shared" si="18"/>
        <v>-</v>
      </c>
      <c r="AG127" s="224" t="str">
        <f t="shared" si="19"/>
        <v>-</v>
      </c>
      <c r="AH127" s="272">
        <f t="shared" si="47"/>
        <v>0.1</v>
      </c>
      <c r="AI127" s="271" t="str">
        <f>IFERROR(IF(AD126=1,AI$100*EXP(-(LN(2)/$D$65+0.04)*AF126)*EXP(-(LN(2)/$D$65+0.1)*AG126),IF(AD126=2,AI$100*EXP(-(LN(2)/$D$65+0.04)*(VLOOKUP(($F$16-$F$15)-1,AC$99:AG126,4,FALSE)))*EXP(-(LN(2)/$D$65+0.1)*(VLOOKUP(($F$16-$F$15)-1,AC$99:AG126,5,FALSE)))*EXP(-(LN(2)/$D$65+0.04)*AF126)*EXP(-(LN(2)/$D$65+0.1)*AG126),IF(AD126=3,AI$100*EXP(-(LN(2)/$D$65+0.04)*(VLOOKUP(($F$16-$F$15)-1,AC$99:AG126,4,FALSE)))*EXP(-(LN(2)/$D$65+0.1)*(VLOOKUP(($F$16-$F$15)-1,AC$99:AG126,5,FALSE)))*EXP(-(LN(2)/$D$65+0.04)*(VLOOKUP(($F$16-$F$15)*2-1,AC$99:AG126,4,FALSE)))*EXP(-(LN(2)/$D$65+0.1)*(VLOOKUP(($F$16-$F$15)*2-1,AC$99:AG126,5,FALSE)))*EXP(-(LN(2)/$D$65+0.04)*AF126)*EXP(-(LN(2)/$D$65+0.1)*AG126),"-"))),"-")</f>
        <v>-</v>
      </c>
      <c r="AJ127" s="271" t="str">
        <f>IFERROR(IF(AD127=1,AJ$100*EXP(-(LN(2)/$D$65+0.04)*AF127)*EXP(-(LN(2)/$D$65+0.1)*AG127),IF(AD127=2,AJ$100*EXP(-(LN(2)/$D$65+0.04)*(VLOOKUP(($F$16-$F$15)-1,AC$100:AG127,4,FALSE)))*EXP(-(LN(2)/$D$65+0.1)*(VLOOKUP(($F$16-$F$15)-1,AC$100:AG127,5,FALSE)))*EXP(-(LN(2)/$D$65+0.04)*AF127)*EXP(-(LN(2)/$D$65+0.1)*AG127),IF(AD127=3,AJ$100*EXP(-(LN(2)/$D$65+0.04)*(VLOOKUP(($F$16-$F$15)-1,AC$100:AG127,4,FALSE)))*EXP(-(LN(2)/$D$65+0.1)*(VLOOKUP(($F$16-$F$15)-1,AC$100:AG127,5,FALSE)))*EXP(-(LN(2)/$D$65+0.04)*(VLOOKUP(($F$16-$F$15)*2-1,AC$100:AG127,4,FALSE)))*EXP(-(LN(2)/$D$65+0.1)*(VLOOKUP(($F$16-$F$15)*2-1,AC$100:AG127,5,FALSE)))*EXP(-(LN(2)/$D$65+0.04)*AF127)*EXP(-(LN(2)/$D$65+0.1)*AG127),"-"))),"-")</f>
        <v>-</v>
      </c>
      <c r="AK127" s="227">
        <f t="shared" si="49"/>
        <v>27</v>
      </c>
      <c r="AL127" s="226" t="str">
        <f t="shared" si="21"/>
        <v>-</v>
      </c>
      <c r="AM127" s="227" t="str">
        <f t="shared" si="50"/>
        <v>-</v>
      </c>
      <c r="AN127" s="227" t="str">
        <f t="shared" si="51"/>
        <v>-</v>
      </c>
      <c r="AO127" s="227" t="str">
        <f t="shared" si="22"/>
        <v>-</v>
      </c>
      <c r="AP127" s="273">
        <f t="shared" si="52"/>
        <v>0.1</v>
      </c>
      <c r="AQ127" s="271" t="str">
        <f>IFERROR(IF(AL126=1,AQ$100*EXP(-(LN(2)/$D$65+0.04)*AN126)*EXP(-(LN(2)/$D$65+0.1)*AO126),IF(AL126=2,AQ$100*EXP(-(LN(2)/$D$65+0.04)*(VLOOKUP(($F$16-$F$15)-1,AK$99:AO126,4,FALSE)))*EXP(-(LN(2)/$D$65+0.1)*(VLOOKUP(($F$16-$F$15)-1,AK$99:AO126,5,FALSE)))*EXP(-(LN(2)/$D$65+0.04)*AN126)*EXP(-(LN(2)/$D$65+0.1)*AO126),IF(AL126=3,AQ$100*EXP(-(LN(2)/$D$65+0.04)*(VLOOKUP(($F$16-$F$15)-1,AK$99:AO126,4,FALSE)))*EXP(-(LN(2)/$D$65+0.1)*(VLOOKUP(($F$16-$F$15)-1,AK$99:AO126,5,FALSE)))*EXP(-(LN(2)/$D$65+0.04)*(VLOOKUP(($F$16-$F$15)*2-1,AK$99:AO126,4,FALSE)))*EXP(-(LN(2)/$D$65+0.1)*(VLOOKUP(($F$16-$F$15)*2-1,AK$99:AO126,5,FALSE)))*EXP(-(LN(2)/$D$65+0.04)*AN126)*EXP(-(LN(2)/$D$65+0.1)*AO126),"-"))),"-")</f>
        <v>-</v>
      </c>
      <c r="AR127" s="271" t="str">
        <f>IFERROR(IF(AL127=1,AR$100*EXP(-(LN(2)/$D$65+0.04)*AN127)*EXP(-(LN(2)/$D$65+0.1)*AO127),IF(AL127=2,AR$100*EXP(-(LN(2)/$D$65+0.04)*(VLOOKUP(($F$16-$F$15)-1,AK$100:AO127,4,FALSE)))*EXP(-(LN(2)/$D$65+0.1)*(VLOOKUP(($F$16-$F$15)-1,AK$100:AO127,5,FALSE)))*EXP(-(LN(2)/$D$65+0.04)*AN127)*EXP(-(LN(2)/$D$65+0.1)*AO127),IF(AL127=3,AR$100*EXP(-(LN(2)/$D$65+0.04)*(VLOOKUP(($F$16-$F$15)-1,AK$100:AO127,4,FALSE)))*EXP(-(LN(2)/$D$65+0.1)*(VLOOKUP(($F$16-$F$15)-1,AK$100:AO127,5,FALSE)))*EXP(-(LN(2)/$D$65+0.04)*(VLOOKUP(($F$16-$F$15)*2-1,AK$100:AO127,4,FALSE)))*EXP(-(LN(2)/$D$65+0.1)*(VLOOKUP(($F$16-$F$15)*2-1,AK$100:AO127,5,FALSE)))*EXP(-(LN(2)/$D$65+0.04)*AN127)*EXP(-(LN(2)/$D$65+0.1)*AO127),"-"))),"-")</f>
        <v>-</v>
      </c>
      <c r="AS127" s="274">
        <f t="shared" si="23"/>
        <v>0</v>
      </c>
      <c r="AT127" s="274">
        <f t="shared" si="24"/>
        <v>0</v>
      </c>
      <c r="AU127" s="274">
        <f t="shared" si="25"/>
        <v>0</v>
      </c>
      <c r="AV127" s="190">
        <f>IF($B127&lt;$F$22,SUM($T$100:$T127),"")</f>
        <v>0</v>
      </c>
      <c r="AW127" s="190" t="str">
        <f t="shared" si="55"/>
        <v>-</v>
      </c>
      <c r="AX127" s="190" t="str">
        <f t="shared" si="56"/>
        <v/>
      </c>
      <c r="AY127"/>
      <c r="AZ127" s="190" t="str">
        <f ca="1">IF(ISNUMBER(OFFSET(AV127,-$F$21,0)),SUM(OFFSET($T$100,$F$21,0):$T127),"")</f>
        <v/>
      </c>
      <c r="BA127" s="190" t="str">
        <f t="shared" ca="1" si="26"/>
        <v/>
      </c>
      <c r="BB127" s="190" t="str">
        <f t="shared" ca="1" si="70"/>
        <v/>
      </c>
      <c r="BC127" s="190"/>
      <c r="BD127" s="190" t="str">
        <f ca="1">IFERROR(IF(AND($B127&gt;=($F$16-$F$15),$B127&lt;$F$22+($F$16-$F$15)),SUM(OFFSET($T$100,($F$16-$F$15),0):$T127),""),"")</f>
        <v/>
      </c>
      <c r="BE127" s="190" t="str">
        <f t="shared" ca="1" si="58"/>
        <v/>
      </c>
      <c r="BF127" s="190" t="str">
        <f t="shared" ca="1" si="59"/>
        <v/>
      </c>
      <c r="BG127"/>
      <c r="BH127" s="190" t="str">
        <f ca="1">IF(ISNUMBER(OFFSET(BD127,-$F$21,0)),SUM(OFFSET($T$100,($F$16-$F$15+$F$21),0):$T127),"")</f>
        <v/>
      </c>
      <c r="BI127" s="190" t="str">
        <f t="shared" ca="1" si="27"/>
        <v/>
      </c>
      <c r="BJ127" s="190" t="str">
        <f t="shared" ca="1" si="60"/>
        <v/>
      </c>
      <c r="BK127" s="190"/>
      <c r="BL127" s="190" t="str">
        <f ca="1">IFERROR(IF(AND($B127&gt;=($F$17-$F$15),$B127&lt;$F$22+($F$17-$F$15)),SUM(OFFSET($T$100,($F$17-$F$15),0):$T127),""),"")</f>
        <v/>
      </c>
      <c r="BM127" s="190" t="str">
        <f t="shared" ca="1" si="28"/>
        <v/>
      </c>
      <c r="BN127" s="190" t="str">
        <f t="shared" ca="1" si="61"/>
        <v/>
      </c>
      <c r="BO127"/>
      <c r="BP127" s="190" t="str">
        <f ca="1">IF(ISNUMBER(OFFSET(BL127,-$F$21,0)),SUM(OFFSET($T$100,($F$17-$F$15+$F$21),0):$T127),"")</f>
        <v/>
      </c>
      <c r="BQ127" s="190" t="str">
        <f t="shared" ca="1" si="62"/>
        <v/>
      </c>
      <c r="BR127" s="190" t="str">
        <f t="shared" ca="1" si="63"/>
        <v/>
      </c>
      <c r="BS127" s="190"/>
      <c r="BT127"/>
      <c r="BU127"/>
      <c r="BV127"/>
      <c r="BY127" s="99"/>
      <c r="BZ127" s="99"/>
      <c r="CA127" s="280" t="str">
        <f t="shared" si="29"/>
        <v/>
      </c>
      <c r="CB127" s="71" t="str">
        <f t="shared" si="30"/>
        <v>-</v>
      </c>
      <c r="CC127" s="33"/>
      <c r="CD127" s="261" t="str">
        <f t="shared" si="32"/>
        <v/>
      </c>
      <c r="CE127" s="280" t="str">
        <f t="shared" si="33"/>
        <v>-</v>
      </c>
      <c r="CF127" s="71" t="str">
        <f t="shared" ca="1" si="34"/>
        <v>-</v>
      </c>
      <c r="CG127" s="33" t="str">
        <f t="shared" si="35"/>
        <v>27-28</v>
      </c>
      <c r="CH127" s="261" t="str">
        <f t="shared" ca="1" si="36"/>
        <v/>
      </c>
      <c r="CI127" s="99"/>
      <c r="CJ127" s="99"/>
      <c r="CK127" s="99"/>
      <c r="CL127" s="99"/>
      <c r="CM127" s="99"/>
      <c r="CN127" s="99"/>
      <c r="CO127" s="99"/>
    </row>
    <row r="128" spans="2:93" ht="13.5" customHeight="1" x14ac:dyDescent="0.2">
      <c r="B128" s="262">
        <v>28</v>
      </c>
      <c r="C128" s="237" t="str">
        <f t="shared" si="1"/>
        <v/>
      </c>
      <c r="D128" s="237" t="str">
        <f t="shared" si="66"/>
        <v>-</v>
      </c>
      <c r="E128" s="290" t="str">
        <f t="shared" si="37"/>
        <v/>
      </c>
      <c r="F128" s="264" t="str">
        <f t="shared" si="38"/>
        <v/>
      </c>
      <c r="G128" s="306" t="str">
        <f t="shared" si="39"/>
        <v/>
      </c>
      <c r="H128" s="240" t="str">
        <f t="shared" si="40"/>
        <v/>
      </c>
      <c r="I128" s="265" t="str">
        <f t="shared" si="2"/>
        <v/>
      </c>
      <c r="J128" s="265" t="str">
        <f t="shared" si="3"/>
        <v/>
      </c>
      <c r="K128" s="240" t="str">
        <f t="shared" si="41"/>
        <v/>
      </c>
      <c r="L128" s="265" t="str">
        <f t="shared" si="4"/>
        <v/>
      </c>
      <c r="M128" s="265" t="str">
        <f t="shared" si="5"/>
        <v/>
      </c>
      <c r="N128" s="240" t="str">
        <f t="shared" si="6"/>
        <v>-</v>
      </c>
      <c r="O128" s="265" t="str">
        <f t="shared" si="7"/>
        <v>-</v>
      </c>
      <c r="P128" s="265" t="str">
        <f t="shared" si="8"/>
        <v>-</v>
      </c>
      <c r="Q128" s="266" t="str">
        <f t="shared" si="9"/>
        <v>-</v>
      </c>
      <c r="R128" s="267" t="str">
        <f t="shared" si="10"/>
        <v>-</v>
      </c>
      <c r="S128" s="268" t="str">
        <f t="shared" si="11"/>
        <v>-</v>
      </c>
      <c r="T128" s="269" t="str">
        <f t="shared" si="12"/>
        <v/>
      </c>
      <c r="U128" s="221">
        <f t="shared" si="13"/>
        <v>28</v>
      </c>
      <c r="V128" s="220" t="str">
        <f t="shared" si="42"/>
        <v>-</v>
      </c>
      <c r="W128" s="221" t="str">
        <f t="shared" si="43"/>
        <v>-</v>
      </c>
      <c r="X128" s="221" t="str">
        <f t="shared" si="14"/>
        <v>-</v>
      </c>
      <c r="Y128" s="221" t="str">
        <f t="shared" si="15"/>
        <v>-</v>
      </c>
      <c r="Z128" s="270">
        <f t="shared" si="44"/>
        <v>0.1</v>
      </c>
      <c r="AA128" s="271" t="str">
        <f>IFERROR(IF(V127=1,AA$100*EXP(-(LN(2)/$D$65+0.04)*X127)*EXP(-(LN(2)/$D$65+0.1)*Y127),IF(V127=2,AA$100*EXP(-(LN(2)/$D$65+0.04)*(VLOOKUP(($F$16-$F$15)-1,U$99:Y127,4,FALSE)))*EXP(-(LN(2)/$D$65+0.1)*(VLOOKUP(($F$16-$F$15)-1,U$99:Y127,5,FALSE)))*EXP(-(LN(2)/$D$65+0.04)*X127)*EXP(-(LN(2)/$D$65+0.1)*Y127),IF(V127=3,AA$100*EXP(-(LN(2)/$D$65+0.04)*(VLOOKUP(($F$16-$F$15)-1,U$99:Y127,4,FALSE)))*EXP(-(LN(2)/$D$65+0.1)*(VLOOKUP(($F$16-$F$15)-1,U$99:Y127,5,FALSE)))*EXP(-(LN(2)/$D$65+0.04)*(VLOOKUP(($F$16-$F$15)*2-1,U$99:Y127,4,FALSE)))*EXP(-(LN(2)/$D$65+0.1)*(VLOOKUP(($F$16-$F$15)*2-1,U$99:Y127,5,FALSE)))*EXP(-(LN(2)/$D$65+0.04)*X127)*EXP(-(LN(2)/$D$65+0.1)*Y127),"-"))),"-")</f>
        <v>-</v>
      </c>
      <c r="AB128" s="271" t="str">
        <f>IFERROR(IF(V128=1,AB$100*EXP(-(LN(2)/$D$65+0.04)*X128)*EXP(-(LN(2)/$D$65+0.1)*Y128),IF(V128=2,AB$100*EXP(-(LN(2)/$D$65+0.04)*(VLOOKUP(($F$16-$F$15)-1,U$100:Y128,4,FALSE)))*EXP(-(LN(2)/$D$65+0.1)*(VLOOKUP(($F$16-$F$15)-1,U$100:Y128,5,FALSE)))*EXP(-(LN(2)/$D$65+0.04)*X128)*EXP(-(LN(2)/$D$65+0.1)*Y128),IF(V128=3,AB$100*EXP(-(LN(2)/$D$65+0.04)*(VLOOKUP(($F$16-$F$15)-1,U$100:Y128,4,FALSE)))*EXP(-(LN(2)/$D$65+0.1)*(VLOOKUP(($F$16-$F$15)-1,U$100:Y128,5,FALSE)))*EXP(-(LN(2)/$D$65+0.04)*(VLOOKUP(($F$16-$F$15)*2-1,U$100:Y128,4,FALSE)))*EXP(-(LN(2)/$D$65+0.1)*(VLOOKUP(($F$16-$F$15)*2-1,U$100:Y128,5,FALSE)))*EXP(-(LN(2)/$D$65+0.04)*X128)*EXP(-(LN(2)/$D$65+0.1)*Y128),"-"))),"-")</f>
        <v>-</v>
      </c>
      <c r="AC128" s="224">
        <f t="shared" si="45"/>
        <v>28</v>
      </c>
      <c r="AD128" s="223" t="str">
        <f t="shared" si="17"/>
        <v>-</v>
      </c>
      <c r="AE128" s="224" t="str">
        <f t="shared" si="46"/>
        <v>-</v>
      </c>
      <c r="AF128" s="224" t="str">
        <f t="shared" si="18"/>
        <v>-</v>
      </c>
      <c r="AG128" s="224" t="str">
        <f t="shared" si="19"/>
        <v>-</v>
      </c>
      <c r="AH128" s="272">
        <f t="shared" si="47"/>
        <v>0.1</v>
      </c>
      <c r="AI128" s="271" t="str">
        <f>IFERROR(IF(AD127=1,AI$100*EXP(-(LN(2)/$D$65+0.04)*AF127)*EXP(-(LN(2)/$D$65+0.1)*AG127),IF(AD127=2,AI$100*EXP(-(LN(2)/$D$65+0.04)*(VLOOKUP(($F$16-$F$15)-1,AC$99:AG127,4,FALSE)))*EXP(-(LN(2)/$D$65+0.1)*(VLOOKUP(($F$16-$F$15)-1,AC$99:AG127,5,FALSE)))*EXP(-(LN(2)/$D$65+0.04)*AF127)*EXP(-(LN(2)/$D$65+0.1)*AG127),IF(AD127=3,AI$100*EXP(-(LN(2)/$D$65+0.04)*(VLOOKUP(($F$16-$F$15)-1,AC$99:AG127,4,FALSE)))*EXP(-(LN(2)/$D$65+0.1)*(VLOOKUP(($F$16-$F$15)-1,AC$99:AG127,5,FALSE)))*EXP(-(LN(2)/$D$65+0.04)*(VLOOKUP(($F$16-$F$15)*2-1,AC$99:AG127,4,FALSE)))*EXP(-(LN(2)/$D$65+0.1)*(VLOOKUP(($F$16-$F$15)*2-1,AC$99:AG127,5,FALSE)))*EXP(-(LN(2)/$D$65+0.04)*AF127)*EXP(-(LN(2)/$D$65+0.1)*AG127),"-"))),"-")</f>
        <v>-</v>
      </c>
      <c r="AJ128" s="271" t="str">
        <f>IFERROR(IF(AD128=1,AJ$100*EXP(-(LN(2)/$D$65+0.04)*AF128)*EXP(-(LN(2)/$D$65+0.1)*AG128),IF(AD128=2,AJ$100*EXP(-(LN(2)/$D$65+0.04)*(VLOOKUP(($F$16-$F$15)-1,AC$100:AG128,4,FALSE)))*EXP(-(LN(2)/$D$65+0.1)*(VLOOKUP(($F$16-$F$15)-1,AC$100:AG128,5,FALSE)))*EXP(-(LN(2)/$D$65+0.04)*AF128)*EXP(-(LN(2)/$D$65+0.1)*AG128),IF(AD128=3,AJ$100*EXP(-(LN(2)/$D$65+0.04)*(VLOOKUP(($F$16-$F$15)-1,AC$100:AG128,4,FALSE)))*EXP(-(LN(2)/$D$65+0.1)*(VLOOKUP(($F$16-$F$15)-1,AC$100:AG128,5,FALSE)))*EXP(-(LN(2)/$D$65+0.04)*(VLOOKUP(($F$16-$F$15)*2-1,AC$100:AG128,4,FALSE)))*EXP(-(LN(2)/$D$65+0.1)*(VLOOKUP(($F$16-$F$15)*2-1,AC$100:AG128,5,FALSE)))*EXP(-(LN(2)/$D$65+0.04)*AF128)*EXP(-(LN(2)/$D$65+0.1)*AG128),"-"))),"-")</f>
        <v>-</v>
      </c>
      <c r="AK128" s="227">
        <f t="shared" si="49"/>
        <v>28</v>
      </c>
      <c r="AL128" s="226" t="str">
        <f t="shared" si="21"/>
        <v>-</v>
      </c>
      <c r="AM128" s="227" t="str">
        <f t="shared" si="50"/>
        <v>-</v>
      </c>
      <c r="AN128" s="227" t="str">
        <f t="shared" si="51"/>
        <v>-</v>
      </c>
      <c r="AO128" s="227" t="str">
        <f t="shared" si="22"/>
        <v>-</v>
      </c>
      <c r="AP128" s="273">
        <f t="shared" si="52"/>
        <v>0.1</v>
      </c>
      <c r="AQ128" s="271" t="str">
        <f>IFERROR(IF(AL127=1,AQ$100*EXP(-(LN(2)/$D$65+0.04)*AN127)*EXP(-(LN(2)/$D$65+0.1)*AO127),IF(AL127=2,AQ$100*EXP(-(LN(2)/$D$65+0.04)*(VLOOKUP(($F$16-$F$15)-1,AK$99:AO127,4,FALSE)))*EXP(-(LN(2)/$D$65+0.1)*(VLOOKUP(($F$16-$F$15)-1,AK$99:AO127,5,FALSE)))*EXP(-(LN(2)/$D$65+0.04)*AN127)*EXP(-(LN(2)/$D$65+0.1)*AO127),IF(AL127=3,AQ$100*EXP(-(LN(2)/$D$65+0.04)*(VLOOKUP(($F$16-$F$15)-1,AK$99:AO127,4,FALSE)))*EXP(-(LN(2)/$D$65+0.1)*(VLOOKUP(($F$16-$F$15)-1,AK$99:AO127,5,FALSE)))*EXP(-(LN(2)/$D$65+0.04)*(VLOOKUP(($F$16-$F$15)*2-1,AK$99:AO127,4,FALSE)))*EXP(-(LN(2)/$D$65+0.1)*(VLOOKUP(($F$16-$F$15)*2-1,AK$99:AO127,5,FALSE)))*EXP(-(LN(2)/$D$65+0.04)*AN127)*EXP(-(LN(2)/$D$65+0.1)*AO127),"-"))),"-")</f>
        <v>-</v>
      </c>
      <c r="AR128" s="271" t="str">
        <f>IFERROR(IF(AL128=1,AR$100*EXP(-(LN(2)/$D$65+0.04)*AN128)*EXP(-(LN(2)/$D$65+0.1)*AO128),IF(AL128=2,AR$100*EXP(-(LN(2)/$D$65+0.04)*(VLOOKUP(($F$16-$F$15)-1,AK$100:AO128,4,FALSE)))*EXP(-(LN(2)/$D$65+0.1)*(VLOOKUP(($F$16-$F$15)-1,AK$100:AO128,5,FALSE)))*EXP(-(LN(2)/$D$65+0.04)*AN128)*EXP(-(LN(2)/$D$65+0.1)*AO128),IF(AL128=3,AR$100*EXP(-(LN(2)/$D$65+0.04)*(VLOOKUP(($F$16-$F$15)-1,AK$100:AO128,4,FALSE)))*EXP(-(LN(2)/$D$65+0.1)*(VLOOKUP(($F$16-$F$15)-1,AK$100:AO128,5,FALSE)))*EXP(-(LN(2)/$D$65+0.04)*(VLOOKUP(($F$16-$F$15)*2-1,AK$100:AO128,4,FALSE)))*EXP(-(LN(2)/$D$65+0.1)*(VLOOKUP(($F$16-$F$15)*2-1,AK$100:AO128,5,FALSE)))*EXP(-(LN(2)/$D$65+0.04)*AN128)*EXP(-(LN(2)/$D$65+0.1)*AO128),"-"))),"-")</f>
        <v>-</v>
      </c>
      <c r="AS128" s="274">
        <f t="shared" si="23"/>
        <v>0</v>
      </c>
      <c r="AT128" s="274">
        <f t="shared" si="24"/>
        <v>0</v>
      </c>
      <c r="AU128" s="274">
        <f t="shared" si="25"/>
        <v>0</v>
      </c>
      <c r="AV128" s="190">
        <f>IF($B128&lt;$F$22,SUM($T$100:$T128),"")</f>
        <v>0</v>
      </c>
      <c r="AW128" s="190" t="str">
        <f t="shared" si="55"/>
        <v>-</v>
      </c>
      <c r="AX128" s="190" t="str">
        <f t="shared" si="56"/>
        <v/>
      </c>
      <c r="AY128"/>
      <c r="AZ128" s="190" t="str">
        <f ca="1">IF(ISNUMBER(OFFSET(AV128,-$F$21,0)),SUM(OFFSET($T$100,$F$21,0):$T128),"")</f>
        <v/>
      </c>
      <c r="BA128" s="190" t="str">
        <f t="shared" ca="1" si="26"/>
        <v/>
      </c>
      <c r="BB128" s="190" t="str">
        <f t="shared" ca="1" si="70"/>
        <v/>
      </c>
      <c r="BC128" s="190"/>
      <c r="BD128" s="190" t="str">
        <f ca="1">IFERROR(IF(AND($B128&gt;=($F$16-$F$15),$B128&lt;$F$22+($F$16-$F$15)),SUM(OFFSET($T$100,($F$16-$F$15),0):$T128),""),"")</f>
        <v/>
      </c>
      <c r="BE128" s="190" t="str">
        <f t="shared" ca="1" si="58"/>
        <v/>
      </c>
      <c r="BF128" s="190" t="str">
        <f t="shared" ca="1" si="59"/>
        <v/>
      </c>
      <c r="BG128"/>
      <c r="BH128" s="190" t="str">
        <f ca="1">IF(ISNUMBER(OFFSET(BD128,-$F$21,0)),SUM(OFFSET($T$100,($F$16-$F$15+$F$21),0):$T128),"")</f>
        <v/>
      </c>
      <c r="BI128" s="190" t="str">
        <f t="shared" ca="1" si="27"/>
        <v/>
      </c>
      <c r="BJ128" s="190" t="str">
        <f t="shared" ca="1" si="60"/>
        <v/>
      </c>
      <c r="BK128" s="190"/>
      <c r="BL128" s="190" t="str">
        <f ca="1">IFERROR(IF(AND($B128&gt;=($F$17-$F$15),$B128&lt;$F$22+($F$17-$F$15)),SUM(OFFSET($T$100,($F$17-$F$15),0):$T128),""),"")</f>
        <v/>
      </c>
      <c r="BM128" s="190" t="str">
        <f t="shared" ca="1" si="28"/>
        <v/>
      </c>
      <c r="BN128" s="190" t="str">
        <f t="shared" ca="1" si="61"/>
        <v/>
      </c>
      <c r="BO128"/>
      <c r="BP128" s="190" t="str">
        <f ca="1">IF(ISNUMBER(OFFSET(BL128,-$F$21,0)),SUM(OFFSET($T$100,($F$17-$F$15+$F$21),0):$T128),"")</f>
        <v/>
      </c>
      <c r="BQ128" s="190" t="str">
        <f t="shared" ca="1" si="62"/>
        <v/>
      </c>
      <c r="BR128" s="190" t="str">
        <f t="shared" ca="1" si="63"/>
        <v/>
      </c>
      <c r="BS128" s="190"/>
      <c r="BT128"/>
      <c r="BU128"/>
      <c r="BV128"/>
      <c r="BY128" s="99"/>
      <c r="BZ128" s="99"/>
      <c r="CA128" s="280" t="str">
        <f t="shared" si="29"/>
        <v/>
      </c>
      <c r="CB128" s="71" t="str">
        <f t="shared" si="30"/>
        <v>-</v>
      </c>
      <c r="CC128" s="33"/>
      <c r="CD128" s="261" t="str">
        <f t="shared" si="32"/>
        <v/>
      </c>
      <c r="CE128" s="280" t="str">
        <f t="shared" si="33"/>
        <v>-</v>
      </c>
      <c r="CF128" s="71" t="str">
        <f t="shared" ca="1" si="34"/>
        <v>-</v>
      </c>
      <c r="CG128" s="33" t="str">
        <f t="shared" si="35"/>
        <v>28-29</v>
      </c>
      <c r="CH128" s="261" t="str">
        <f t="shared" ca="1" si="36"/>
        <v/>
      </c>
      <c r="CI128" s="99"/>
      <c r="CJ128" s="99"/>
      <c r="CK128" s="99"/>
      <c r="CL128" s="99"/>
      <c r="CM128" s="99"/>
      <c r="CN128" s="99"/>
      <c r="CO128" s="99"/>
    </row>
    <row r="129" spans="2:93" ht="13.5" customHeight="1" x14ac:dyDescent="0.2">
      <c r="B129" s="262">
        <v>29</v>
      </c>
      <c r="C129" s="237" t="str">
        <f t="shared" si="1"/>
        <v/>
      </c>
      <c r="D129" s="237" t="str">
        <f t="shared" si="66"/>
        <v>-</v>
      </c>
      <c r="E129" s="290" t="str">
        <f t="shared" si="37"/>
        <v/>
      </c>
      <c r="F129" s="264" t="str">
        <f t="shared" si="38"/>
        <v/>
      </c>
      <c r="G129" s="291" t="str">
        <f t="shared" si="39"/>
        <v/>
      </c>
      <c r="H129" s="240" t="str">
        <f t="shared" si="40"/>
        <v/>
      </c>
      <c r="I129" s="265" t="str">
        <f t="shared" si="2"/>
        <v/>
      </c>
      <c r="J129" s="265" t="str">
        <f t="shared" si="3"/>
        <v/>
      </c>
      <c r="K129" s="240" t="str">
        <f t="shared" si="41"/>
        <v/>
      </c>
      <c r="L129" s="265" t="str">
        <f t="shared" si="4"/>
        <v/>
      </c>
      <c r="M129" s="265" t="str">
        <f t="shared" si="5"/>
        <v/>
      </c>
      <c r="N129" s="240" t="str">
        <f t="shared" si="6"/>
        <v>-</v>
      </c>
      <c r="O129" s="265" t="str">
        <f t="shared" si="7"/>
        <v>-</v>
      </c>
      <c r="P129" s="265" t="str">
        <f t="shared" si="8"/>
        <v>-</v>
      </c>
      <c r="Q129" s="266" t="str">
        <f t="shared" si="9"/>
        <v>-</v>
      </c>
      <c r="R129" s="267" t="str">
        <f t="shared" si="10"/>
        <v>-</v>
      </c>
      <c r="S129" s="268" t="str">
        <f t="shared" si="11"/>
        <v>-</v>
      </c>
      <c r="T129" s="269" t="str">
        <f t="shared" si="12"/>
        <v/>
      </c>
      <c r="U129" s="221">
        <f t="shared" si="13"/>
        <v>29</v>
      </c>
      <c r="V129" s="220" t="str">
        <f t="shared" si="42"/>
        <v>-</v>
      </c>
      <c r="W129" s="221" t="str">
        <f t="shared" si="43"/>
        <v>-</v>
      </c>
      <c r="X129" s="221" t="str">
        <f t="shared" si="14"/>
        <v>-</v>
      </c>
      <c r="Y129" s="221" t="str">
        <f t="shared" si="15"/>
        <v>-</v>
      </c>
      <c r="Z129" s="270">
        <f t="shared" si="44"/>
        <v>0.1</v>
      </c>
      <c r="AA129" s="271" t="str">
        <f>IFERROR(IF(V128=1,AA$100*EXP(-(LN(2)/$D$65+0.04)*X128)*EXP(-(LN(2)/$D$65+0.1)*Y128),IF(V128=2,AA$100*EXP(-(LN(2)/$D$65+0.04)*(VLOOKUP(($F$16-$F$15)-1,U$99:Y128,4,FALSE)))*EXP(-(LN(2)/$D$65+0.1)*(VLOOKUP(($F$16-$F$15)-1,U$99:Y128,5,FALSE)))*EXP(-(LN(2)/$D$65+0.04)*X128)*EXP(-(LN(2)/$D$65+0.1)*Y128),IF(V128=3,AA$100*EXP(-(LN(2)/$D$65+0.04)*(VLOOKUP(($F$16-$F$15)-1,U$99:Y128,4,FALSE)))*EXP(-(LN(2)/$D$65+0.1)*(VLOOKUP(($F$16-$F$15)-1,U$99:Y128,5,FALSE)))*EXP(-(LN(2)/$D$65+0.04)*(VLOOKUP(($F$16-$F$15)*2-1,U$99:Y128,4,FALSE)))*EXP(-(LN(2)/$D$65+0.1)*(VLOOKUP(($F$16-$F$15)*2-1,U$99:Y128,5,FALSE)))*EXP(-(LN(2)/$D$65+0.04)*X128)*EXP(-(LN(2)/$D$65+0.1)*Y128),"-"))),"-")</f>
        <v>-</v>
      </c>
      <c r="AB129" s="271" t="str">
        <f>IFERROR(IF(V129=1,AB$100*EXP(-(LN(2)/$D$65+0.04)*X129)*EXP(-(LN(2)/$D$65+0.1)*Y129),IF(V129=2,AB$100*EXP(-(LN(2)/$D$65+0.04)*(VLOOKUP(($F$16-$F$15)-1,U$100:Y129,4,FALSE)))*EXP(-(LN(2)/$D$65+0.1)*(VLOOKUP(($F$16-$F$15)-1,U$100:Y129,5,FALSE)))*EXP(-(LN(2)/$D$65+0.04)*X129)*EXP(-(LN(2)/$D$65+0.1)*Y129),IF(V129=3,AB$100*EXP(-(LN(2)/$D$65+0.04)*(VLOOKUP(($F$16-$F$15)-1,U$100:Y129,4,FALSE)))*EXP(-(LN(2)/$D$65+0.1)*(VLOOKUP(($F$16-$F$15)-1,U$100:Y129,5,FALSE)))*EXP(-(LN(2)/$D$65+0.04)*(VLOOKUP(($F$16-$F$15)*2-1,U$100:Y129,4,FALSE)))*EXP(-(LN(2)/$D$65+0.1)*(VLOOKUP(($F$16-$F$15)*2-1,U$100:Y129,5,FALSE)))*EXP(-(LN(2)/$D$65+0.04)*X129)*EXP(-(LN(2)/$D$65+0.1)*Y129),"-"))),"-")</f>
        <v>-</v>
      </c>
      <c r="AC129" s="224">
        <f t="shared" si="45"/>
        <v>29</v>
      </c>
      <c r="AD129" s="223" t="str">
        <f t="shared" si="17"/>
        <v>-</v>
      </c>
      <c r="AE129" s="224" t="str">
        <f t="shared" si="46"/>
        <v>-</v>
      </c>
      <c r="AF129" s="224" t="str">
        <f t="shared" si="18"/>
        <v>-</v>
      </c>
      <c r="AG129" s="224" t="str">
        <f t="shared" si="19"/>
        <v>-</v>
      </c>
      <c r="AH129" s="272">
        <f t="shared" si="47"/>
        <v>0.1</v>
      </c>
      <c r="AI129" s="271" t="str">
        <f>IFERROR(IF(AD128=1,AI$100*EXP(-(LN(2)/$D$65+0.04)*AF128)*EXP(-(LN(2)/$D$65+0.1)*AG128),IF(AD128=2,AI$100*EXP(-(LN(2)/$D$65+0.04)*(VLOOKUP(($F$16-$F$15)-1,AC$99:AG128,4,FALSE)))*EXP(-(LN(2)/$D$65+0.1)*(VLOOKUP(($F$16-$F$15)-1,AC$99:AG128,5,FALSE)))*EXP(-(LN(2)/$D$65+0.04)*AF128)*EXP(-(LN(2)/$D$65+0.1)*AG128),IF(AD128=3,AI$100*EXP(-(LN(2)/$D$65+0.04)*(VLOOKUP(($F$16-$F$15)-1,AC$99:AG128,4,FALSE)))*EXP(-(LN(2)/$D$65+0.1)*(VLOOKUP(($F$16-$F$15)-1,AC$99:AG128,5,FALSE)))*EXP(-(LN(2)/$D$65+0.04)*(VLOOKUP(($F$16-$F$15)*2-1,AC$99:AG128,4,FALSE)))*EXP(-(LN(2)/$D$65+0.1)*(VLOOKUP(($F$16-$F$15)*2-1,AC$99:AG128,5,FALSE)))*EXP(-(LN(2)/$D$65+0.04)*AF128)*EXP(-(LN(2)/$D$65+0.1)*AG128),"-"))),"-")</f>
        <v>-</v>
      </c>
      <c r="AJ129" s="271" t="str">
        <f>IFERROR(IF(AD129=1,AJ$100*EXP(-(LN(2)/$D$65+0.04)*AF129)*EXP(-(LN(2)/$D$65+0.1)*AG129),IF(AD129=2,AJ$100*EXP(-(LN(2)/$D$65+0.04)*(VLOOKUP(($F$16-$F$15)-1,AC$100:AG129,4,FALSE)))*EXP(-(LN(2)/$D$65+0.1)*(VLOOKUP(($F$16-$F$15)-1,AC$100:AG129,5,FALSE)))*EXP(-(LN(2)/$D$65+0.04)*AF129)*EXP(-(LN(2)/$D$65+0.1)*AG129),IF(AD129=3,AJ$100*EXP(-(LN(2)/$D$65+0.04)*(VLOOKUP(($F$16-$F$15)-1,AC$100:AG129,4,FALSE)))*EXP(-(LN(2)/$D$65+0.1)*(VLOOKUP(($F$16-$F$15)-1,AC$100:AG129,5,FALSE)))*EXP(-(LN(2)/$D$65+0.04)*(VLOOKUP(($F$16-$F$15)*2-1,AC$100:AG129,4,FALSE)))*EXP(-(LN(2)/$D$65+0.1)*(VLOOKUP(($F$16-$F$15)*2-1,AC$100:AG129,5,FALSE)))*EXP(-(LN(2)/$D$65+0.04)*AF129)*EXP(-(LN(2)/$D$65+0.1)*AG129),"-"))),"-")</f>
        <v>-</v>
      </c>
      <c r="AK129" s="227">
        <f t="shared" si="49"/>
        <v>29</v>
      </c>
      <c r="AL129" s="226" t="str">
        <f t="shared" si="21"/>
        <v>-</v>
      </c>
      <c r="AM129" s="227" t="str">
        <f t="shared" si="50"/>
        <v>-</v>
      </c>
      <c r="AN129" s="227" t="str">
        <f t="shared" si="51"/>
        <v>-</v>
      </c>
      <c r="AO129" s="227" t="str">
        <f t="shared" si="22"/>
        <v>-</v>
      </c>
      <c r="AP129" s="273">
        <f t="shared" si="52"/>
        <v>0.1</v>
      </c>
      <c r="AQ129" s="271" t="str">
        <f>IFERROR(IF(AL128=1,AQ$100*EXP(-(LN(2)/$D$65+0.04)*AN128)*EXP(-(LN(2)/$D$65+0.1)*AO128),IF(AL128=2,AQ$100*EXP(-(LN(2)/$D$65+0.04)*(VLOOKUP(($F$16-$F$15)-1,AK$99:AO128,4,FALSE)))*EXP(-(LN(2)/$D$65+0.1)*(VLOOKUP(($F$16-$F$15)-1,AK$99:AO128,5,FALSE)))*EXP(-(LN(2)/$D$65+0.04)*AN128)*EXP(-(LN(2)/$D$65+0.1)*AO128),IF(AL128=3,AQ$100*EXP(-(LN(2)/$D$65+0.04)*(VLOOKUP(($F$16-$F$15)-1,AK$99:AO128,4,FALSE)))*EXP(-(LN(2)/$D$65+0.1)*(VLOOKUP(($F$16-$F$15)-1,AK$99:AO128,5,FALSE)))*EXP(-(LN(2)/$D$65+0.04)*(VLOOKUP(($F$16-$F$15)*2-1,AK$99:AO128,4,FALSE)))*EXP(-(LN(2)/$D$65+0.1)*(VLOOKUP(($F$16-$F$15)*2-1,AK$99:AO128,5,FALSE)))*EXP(-(LN(2)/$D$65+0.04)*AN128)*EXP(-(LN(2)/$D$65+0.1)*AO128),"-"))),"-")</f>
        <v>-</v>
      </c>
      <c r="AR129" s="271" t="str">
        <f>IFERROR(IF(AL129=1,AR$100*EXP(-(LN(2)/$D$65+0.04)*AN129)*EXP(-(LN(2)/$D$65+0.1)*AO129),IF(AL129=2,AR$100*EXP(-(LN(2)/$D$65+0.04)*(VLOOKUP(($F$16-$F$15)-1,AK$100:AO129,4,FALSE)))*EXP(-(LN(2)/$D$65+0.1)*(VLOOKUP(($F$16-$F$15)-1,AK$100:AO129,5,FALSE)))*EXP(-(LN(2)/$D$65+0.04)*AN129)*EXP(-(LN(2)/$D$65+0.1)*AO129),IF(AL129=3,AR$100*EXP(-(LN(2)/$D$65+0.04)*(VLOOKUP(($F$16-$F$15)-1,AK$100:AO129,4,FALSE)))*EXP(-(LN(2)/$D$65+0.1)*(VLOOKUP(($F$16-$F$15)-1,AK$100:AO129,5,FALSE)))*EXP(-(LN(2)/$D$65+0.04)*(VLOOKUP(($F$16-$F$15)*2-1,AK$100:AO129,4,FALSE)))*EXP(-(LN(2)/$D$65+0.1)*(VLOOKUP(($F$16-$F$15)*2-1,AK$100:AO129,5,FALSE)))*EXP(-(LN(2)/$D$65+0.04)*AN129)*EXP(-(LN(2)/$D$65+0.1)*AO129),"-"))),"-")</f>
        <v>-</v>
      </c>
      <c r="AS129" s="274">
        <f t="shared" si="23"/>
        <v>0</v>
      </c>
      <c r="AT129" s="274">
        <f t="shared" si="24"/>
        <v>0</v>
      </c>
      <c r="AU129" s="274">
        <f t="shared" si="25"/>
        <v>0</v>
      </c>
      <c r="AV129" s="190">
        <f>IF($B129&lt;$F$22,SUM($T$100:$T129),"")</f>
        <v>0</v>
      </c>
      <c r="AW129" s="190" t="str">
        <f t="shared" si="55"/>
        <v>-</v>
      </c>
      <c r="AX129" s="190" t="str">
        <f t="shared" si="56"/>
        <v/>
      </c>
      <c r="AY129"/>
      <c r="AZ129" s="190" t="str">
        <f ca="1">IF(ISNUMBER(OFFSET(AV129,-$F$21,0)),SUM(OFFSET($T$100,$F$21,0):$T129),"")</f>
        <v/>
      </c>
      <c r="BA129" s="190" t="str">
        <f t="shared" ca="1" si="26"/>
        <v/>
      </c>
      <c r="BB129" s="190" t="str">
        <f t="shared" ca="1" si="70"/>
        <v/>
      </c>
      <c r="BC129" s="190"/>
      <c r="BD129" s="190" t="str">
        <f ca="1">IFERROR(IF(AND($B129&gt;=($F$16-$F$15),$B129&lt;$F$22+($F$16-$F$15)),SUM(OFFSET($T$100,($F$16-$F$15),0):$T129),""),"")</f>
        <v/>
      </c>
      <c r="BE129" s="190" t="str">
        <f t="shared" ca="1" si="58"/>
        <v/>
      </c>
      <c r="BF129" s="190" t="str">
        <f t="shared" ca="1" si="59"/>
        <v/>
      </c>
      <c r="BG129"/>
      <c r="BH129" s="190" t="str">
        <f ca="1">IF(ISNUMBER(OFFSET(BD129,-$F$21,0)),SUM(OFFSET($T$100,($F$16-$F$15+$F$21),0):$T129),"")</f>
        <v/>
      </c>
      <c r="BI129" s="190" t="str">
        <f t="shared" ca="1" si="27"/>
        <v/>
      </c>
      <c r="BJ129" s="190" t="str">
        <f t="shared" ca="1" si="60"/>
        <v/>
      </c>
      <c r="BK129" s="190"/>
      <c r="BL129" s="190" t="str">
        <f ca="1">IFERROR(IF(AND($B129&gt;=($F$17-$F$15),$B129&lt;$F$22+($F$17-$F$15)),SUM(OFFSET($T$100,($F$17-$F$15),0):$T129),""),"")</f>
        <v/>
      </c>
      <c r="BM129" s="190" t="str">
        <f t="shared" ca="1" si="28"/>
        <v/>
      </c>
      <c r="BN129" s="190" t="str">
        <f t="shared" ca="1" si="61"/>
        <v/>
      </c>
      <c r="BO129"/>
      <c r="BP129" s="190" t="str">
        <f ca="1">IF(ISNUMBER(OFFSET(BL129,-$F$21,0)),SUM(OFFSET($T$100,($F$17-$F$15+$F$21),0):$T129),"")</f>
        <v/>
      </c>
      <c r="BQ129" s="190" t="str">
        <f t="shared" ca="1" si="62"/>
        <v/>
      </c>
      <c r="BR129" s="190" t="str">
        <f t="shared" ca="1" si="63"/>
        <v/>
      </c>
      <c r="BS129" s="190"/>
      <c r="BT129"/>
      <c r="BU129"/>
      <c r="BV129"/>
      <c r="BY129" s="99"/>
      <c r="BZ129" s="99"/>
      <c r="CA129" s="280" t="str">
        <f t="shared" si="29"/>
        <v/>
      </c>
      <c r="CB129" s="71" t="str">
        <f t="shared" si="30"/>
        <v>-</v>
      </c>
      <c r="CC129" s="33"/>
      <c r="CD129" s="261" t="str">
        <f t="shared" si="32"/>
        <v/>
      </c>
      <c r="CE129" s="280" t="str">
        <f t="shared" si="33"/>
        <v>-</v>
      </c>
      <c r="CF129" s="71" t="str">
        <f t="shared" ca="1" si="34"/>
        <v>-</v>
      </c>
      <c r="CG129" s="33" t="str">
        <f t="shared" si="35"/>
        <v>29-30</v>
      </c>
      <c r="CH129" s="261" t="str">
        <f t="shared" ca="1" si="36"/>
        <v/>
      </c>
      <c r="CI129" s="99"/>
      <c r="CJ129" s="99"/>
      <c r="CK129" s="99"/>
      <c r="CL129" s="99"/>
      <c r="CM129" s="99"/>
      <c r="CN129" s="99"/>
      <c r="CO129" s="99"/>
    </row>
    <row r="130" spans="2:93" ht="13.5" customHeight="1" x14ac:dyDescent="0.2">
      <c r="B130" s="262">
        <v>30</v>
      </c>
      <c r="C130" s="237" t="str">
        <f t="shared" si="1"/>
        <v/>
      </c>
      <c r="D130" s="237" t="str">
        <f t="shared" si="66"/>
        <v>-</v>
      </c>
      <c r="E130" s="290" t="str">
        <f t="shared" si="37"/>
        <v/>
      </c>
      <c r="F130" s="264" t="str">
        <f t="shared" si="38"/>
        <v/>
      </c>
      <c r="G130" s="291" t="str">
        <f t="shared" si="39"/>
        <v/>
      </c>
      <c r="H130" s="240" t="str">
        <f t="shared" si="40"/>
        <v/>
      </c>
      <c r="I130" s="265" t="str">
        <f t="shared" si="2"/>
        <v/>
      </c>
      <c r="J130" s="265" t="str">
        <f t="shared" si="3"/>
        <v/>
      </c>
      <c r="K130" s="240" t="str">
        <f t="shared" si="41"/>
        <v/>
      </c>
      <c r="L130" s="265" t="str">
        <f t="shared" si="4"/>
        <v/>
      </c>
      <c r="M130" s="265" t="str">
        <f t="shared" si="5"/>
        <v/>
      </c>
      <c r="N130" s="240" t="str">
        <f t="shared" si="6"/>
        <v>-</v>
      </c>
      <c r="O130" s="265" t="str">
        <f t="shared" si="7"/>
        <v>-</v>
      </c>
      <c r="P130" s="265" t="str">
        <f t="shared" si="8"/>
        <v>-</v>
      </c>
      <c r="Q130" s="266" t="str">
        <f t="shared" si="9"/>
        <v>-</v>
      </c>
      <c r="R130" s="267" t="str">
        <f t="shared" si="10"/>
        <v>-</v>
      </c>
      <c r="S130" s="268" t="str">
        <f t="shared" si="11"/>
        <v>-</v>
      </c>
      <c r="T130" s="269" t="str">
        <f t="shared" si="12"/>
        <v/>
      </c>
      <c r="U130" s="221">
        <f t="shared" si="13"/>
        <v>30</v>
      </c>
      <c r="V130" s="220" t="str">
        <f t="shared" si="42"/>
        <v>-</v>
      </c>
      <c r="W130" s="221" t="str">
        <f t="shared" si="43"/>
        <v>-</v>
      </c>
      <c r="X130" s="221" t="str">
        <f t="shared" si="14"/>
        <v>-</v>
      </c>
      <c r="Y130" s="221" t="str">
        <f t="shared" si="15"/>
        <v>-</v>
      </c>
      <c r="Z130" s="270">
        <f t="shared" si="44"/>
        <v>0.1</v>
      </c>
      <c r="AA130" s="271" t="str">
        <f>IFERROR(IF(V129=1,AA$100*EXP(-(LN(2)/$D$65+0.04)*X129)*EXP(-(LN(2)/$D$65+0.1)*Y129),IF(V129=2,AA$100*EXP(-(LN(2)/$D$65+0.04)*(VLOOKUP(($F$16-$F$15)-1,U$99:Y129,4,FALSE)))*EXP(-(LN(2)/$D$65+0.1)*(VLOOKUP(($F$16-$F$15)-1,U$99:Y129,5,FALSE)))*EXP(-(LN(2)/$D$65+0.04)*X129)*EXP(-(LN(2)/$D$65+0.1)*Y129),IF(V129=3,AA$100*EXP(-(LN(2)/$D$65+0.04)*(VLOOKUP(($F$16-$F$15)-1,U$99:Y129,4,FALSE)))*EXP(-(LN(2)/$D$65+0.1)*(VLOOKUP(($F$16-$F$15)-1,U$99:Y129,5,FALSE)))*EXP(-(LN(2)/$D$65+0.04)*(VLOOKUP(($F$16-$F$15)*2-1,U$99:Y129,4,FALSE)))*EXP(-(LN(2)/$D$65+0.1)*(VLOOKUP(($F$16-$F$15)*2-1,U$99:Y129,5,FALSE)))*EXP(-(LN(2)/$D$65+0.04)*X129)*EXP(-(LN(2)/$D$65+0.1)*Y129),"-"))),"-")</f>
        <v>-</v>
      </c>
      <c r="AB130" s="271" t="str">
        <f>IFERROR(IF(V130=1,AB$100*EXP(-(LN(2)/$D$65+0.04)*X130)*EXP(-(LN(2)/$D$65+0.1)*Y130),IF(V130=2,AB$100*EXP(-(LN(2)/$D$65+0.04)*(VLOOKUP(($F$16-$F$15)-1,U$100:Y130,4,FALSE)))*EXP(-(LN(2)/$D$65+0.1)*(VLOOKUP(($F$16-$F$15)-1,U$100:Y130,5,FALSE)))*EXP(-(LN(2)/$D$65+0.04)*X130)*EXP(-(LN(2)/$D$65+0.1)*Y130),IF(V130=3,AB$100*EXP(-(LN(2)/$D$65+0.04)*(VLOOKUP(($F$16-$F$15)-1,U$100:Y130,4,FALSE)))*EXP(-(LN(2)/$D$65+0.1)*(VLOOKUP(($F$16-$F$15)-1,U$100:Y130,5,FALSE)))*EXP(-(LN(2)/$D$65+0.04)*(VLOOKUP(($F$16-$F$15)*2-1,U$100:Y130,4,FALSE)))*EXP(-(LN(2)/$D$65+0.1)*(VLOOKUP(($F$16-$F$15)*2-1,U$100:Y130,5,FALSE)))*EXP(-(LN(2)/$D$65+0.04)*X130)*EXP(-(LN(2)/$D$65+0.1)*Y130),"-"))),"-")</f>
        <v>-</v>
      </c>
      <c r="AC130" s="224">
        <f t="shared" si="45"/>
        <v>30</v>
      </c>
      <c r="AD130" s="223" t="str">
        <f t="shared" si="17"/>
        <v>-</v>
      </c>
      <c r="AE130" s="224" t="str">
        <f t="shared" si="46"/>
        <v>-</v>
      </c>
      <c r="AF130" s="224" t="str">
        <f t="shared" si="18"/>
        <v>-</v>
      </c>
      <c r="AG130" s="224" t="str">
        <f t="shared" si="19"/>
        <v>-</v>
      </c>
      <c r="AH130" s="272">
        <f t="shared" si="47"/>
        <v>0.1</v>
      </c>
      <c r="AI130" s="271" t="str">
        <f>IFERROR(IF(AD129=1,AI$100*EXP(-(LN(2)/$D$65+0.04)*AF129)*EXP(-(LN(2)/$D$65+0.1)*AG129),IF(AD129=2,AI$100*EXP(-(LN(2)/$D$65+0.04)*(VLOOKUP(($F$16-$F$15)-1,AC$99:AG129,4,FALSE)))*EXP(-(LN(2)/$D$65+0.1)*(VLOOKUP(($F$16-$F$15)-1,AC$99:AG129,5,FALSE)))*EXP(-(LN(2)/$D$65+0.04)*AF129)*EXP(-(LN(2)/$D$65+0.1)*AG129),IF(AD129=3,AI$100*EXP(-(LN(2)/$D$65+0.04)*(VLOOKUP(($F$16-$F$15)-1,AC$99:AG129,4,FALSE)))*EXP(-(LN(2)/$D$65+0.1)*(VLOOKUP(($F$16-$F$15)-1,AC$99:AG129,5,FALSE)))*EXP(-(LN(2)/$D$65+0.04)*(VLOOKUP(($F$16-$F$15)*2-1,AC$99:AG129,4,FALSE)))*EXP(-(LN(2)/$D$65+0.1)*(VLOOKUP(($F$16-$F$15)*2-1,AC$99:AG129,5,FALSE)))*EXP(-(LN(2)/$D$65+0.04)*AF129)*EXP(-(LN(2)/$D$65+0.1)*AG129),"-"))),"-")</f>
        <v>-</v>
      </c>
      <c r="AJ130" s="271" t="str">
        <f>IFERROR(IF(AD130=1,AJ$100*EXP(-(LN(2)/$D$65+0.04)*AF130)*EXP(-(LN(2)/$D$65+0.1)*AG130),IF(AD130=2,AJ$100*EXP(-(LN(2)/$D$65+0.04)*(VLOOKUP(($F$16-$F$15)-1,AC$100:AG130,4,FALSE)))*EXP(-(LN(2)/$D$65+0.1)*(VLOOKUP(($F$16-$F$15)-1,AC$100:AG130,5,FALSE)))*EXP(-(LN(2)/$D$65+0.04)*AF130)*EXP(-(LN(2)/$D$65+0.1)*AG130),IF(AD130=3,AJ$100*EXP(-(LN(2)/$D$65+0.04)*(VLOOKUP(($F$16-$F$15)-1,AC$100:AG130,4,FALSE)))*EXP(-(LN(2)/$D$65+0.1)*(VLOOKUP(($F$16-$F$15)-1,AC$100:AG130,5,FALSE)))*EXP(-(LN(2)/$D$65+0.04)*(VLOOKUP(($F$16-$F$15)*2-1,AC$100:AG130,4,FALSE)))*EXP(-(LN(2)/$D$65+0.1)*(VLOOKUP(($F$16-$F$15)*2-1,AC$100:AG130,5,FALSE)))*EXP(-(LN(2)/$D$65+0.04)*AF130)*EXP(-(LN(2)/$D$65+0.1)*AG130),"-"))),"-")</f>
        <v>-</v>
      </c>
      <c r="AK130" s="227">
        <f t="shared" si="49"/>
        <v>30</v>
      </c>
      <c r="AL130" s="226" t="str">
        <f t="shared" si="21"/>
        <v>-</v>
      </c>
      <c r="AM130" s="227" t="str">
        <f t="shared" si="50"/>
        <v>-</v>
      </c>
      <c r="AN130" s="227" t="str">
        <f t="shared" si="51"/>
        <v>-</v>
      </c>
      <c r="AO130" s="227" t="str">
        <f t="shared" si="22"/>
        <v>-</v>
      </c>
      <c r="AP130" s="273">
        <f t="shared" si="52"/>
        <v>0.1</v>
      </c>
      <c r="AQ130" s="271" t="str">
        <f>IFERROR(IF(AL129=1,AQ$100*EXP(-(LN(2)/$D$65+0.04)*AN129)*EXP(-(LN(2)/$D$65+0.1)*AO129),IF(AL129=2,AQ$100*EXP(-(LN(2)/$D$65+0.04)*(VLOOKUP(($F$16-$F$15)-1,AK$99:AO129,4,FALSE)))*EXP(-(LN(2)/$D$65+0.1)*(VLOOKUP(($F$16-$F$15)-1,AK$99:AO129,5,FALSE)))*EXP(-(LN(2)/$D$65+0.04)*AN129)*EXP(-(LN(2)/$D$65+0.1)*AO129),IF(AL129=3,AQ$100*EXP(-(LN(2)/$D$65+0.04)*(VLOOKUP(($F$16-$F$15)-1,AK$99:AO129,4,FALSE)))*EXP(-(LN(2)/$D$65+0.1)*(VLOOKUP(($F$16-$F$15)-1,AK$99:AO129,5,FALSE)))*EXP(-(LN(2)/$D$65+0.04)*(VLOOKUP(($F$16-$F$15)*2-1,AK$99:AO129,4,FALSE)))*EXP(-(LN(2)/$D$65+0.1)*(VLOOKUP(($F$16-$F$15)*2-1,AK$99:AO129,5,FALSE)))*EXP(-(LN(2)/$D$65+0.04)*AN129)*EXP(-(LN(2)/$D$65+0.1)*AO129),"-"))),"-")</f>
        <v>-</v>
      </c>
      <c r="AR130" s="271" t="str">
        <f>IFERROR(IF(AL130=1,AR$100*EXP(-(LN(2)/$D$65+0.04)*AN130)*EXP(-(LN(2)/$D$65+0.1)*AO130),IF(AL130=2,AR$100*EXP(-(LN(2)/$D$65+0.04)*(VLOOKUP(($F$16-$F$15)-1,AK$100:AO130,4,FALSE)))*EXP(-(LN(2)/$D$65+0.1)*(VLOOKUP(($F$16-$F$15)-1,AK$100:AO130,5,FALSE)))*EXP(-(LN(2)/$D$65+0.04)*AN130)*EXP(-(LN(2)/$D$65+0.1)*AO130),IF(AL130=3,AR$100*EXP(-(LN(2)/$D$65+0.04)*(VLOOKUP(($F$16-$F$15)-1,AK$100:AO130,4,FALSE)))*EXP(-(LN(2)/$D$65+0.1)*(VLOOKUP(($F$16-$F$15)-1,AK$100:AO130,5,FALSE)))*EXP(-(LN(2)/$D$65+0.04)*(VLOOKUP(($F$16-$F$15)*2-1,AK$100:AO130,4,FALSE)))*EXP(-(LN(2)/$D$65+0.1)*(VLOOKUP(($F$16-$F$15)*2-1,AK$100:AO130,5,FALSE)))*EXP(-(LN(2)/$D$65+0.04)*AN130)*EXP(-(LN(2)/$D$65+0.1)*AO130),"-"))),"-")</f>
        <v>-</v>
      </c>
      <c r="AS130" s="274">
        <f t="shared" si="23"/>
        <v>0</v>
      </c>
      <c r="AT130" s="274">
        <f t="shared" si="24"/>
        <v>0</v>
      </c>
      <c r="AU130" s="274">
        <f t="shared" si="25"/>
        <v>0</v>
      </c>
      <c r="AV130" s="190">
        <f>IF($B130&lt;$F$22,SUM($T$100:$T130),"")</f>
        <v>0</v>
      </c>
      <c r="AW130" s="190" t="str">
        <f t="shared" si="55"/>
        <v>-</v>
      </c>
      <c r="AX130" s="190" t="str">
        <f t="shared" si="56"/>
        <v/>
      </c>
      <c r="AY130"/>
      <c r="AZ130" s="190" t="str">
        <f ca="1">IF(ISNUMBER(OFFSET(AV130,-$F$21,0)),SUM(OFFSET($T$100,$F$21,0):$T130),"")</f>
        <v/>
      </c>
      <c r="BA130" s="190" t="str">
        <f t="shared" ca="1" si="26"/>
        <v/>
      </c>
      <c r="BB130" s="190" t="str">
        <f t="shared" ca="1" si="70"/>
        <v/>
      </c>
      <c r="BC130" s="190"/>
      <c r="BD130" s="190" t="str">
        <f ca="1">IFERROR(IF(AND($B130&gt;=($F$16-$F$15),$B130&lt;$F$22+($F$16-$F$15)),SUM(OFFSET($T$100,($F$16-$F$15),0):$T130),""),"")</f>
        <v/>
      </c>
      <c r="BE130" s="190" t="str">
        <f t="shared" ca="1" si="58"/>
        <v/>
      </c>
      <c r="BF130" s="190" t="str">
        <f t="shared" ca="1" si="59"/>
        <v/>
      </c>
      <c r="BG130"/>
      <c r="BH130" s="190" t="str">
        <f ca="1">IF(ISNUMBER(OFFSET(BD130,-$F$21,0)),SUM(OFFSET($T$100,($F$16-$F$15+$F$21),0):$T130),"")</f>
        <v/>
      </c>
      <c r="BI130" s="190" t="str">
        <f t="shared" ca="1" si="27"/>
        <v/>
      </c>
      <c r="BJ130" s="190" t="str">
        <f t="shared" ca="1" si="60"/>
        <v/>
      </c>
      <c r="BK130" s="190"/>
      <c r="BL130" s="190" t="str">
        <f ca="1">IFERROR(IF(AND($B130&gt;=($F$17-$F$15),$B130&lt;$F$22+($F$17-$F$15)),SUM(OFFSET($T$100,($F$17-$F$15),0):$T130),""),"")</f>
        <v/>
      </c>
      <c r="BM130" s="190" t="str">
        <f t="shared" ca="1" si="28"/>
        <v/>
      </c>
      <c r="BN130" s="190" t="str">
        <f t="shared" ca="1" si="61"/>
        <v/>
      </c>
      <c r="BO130"/>
      <c r="BP130" s="190" t="str">
        <f ca="1">IF(ISNUMBER(OFFSET(BL130,-$F$21,0)),SUM(OFFSET($T$100,($F$17-$F$15+$F$21),0):$T130),"")</f>
        <v/>
      </c>
      <c r="BQ130" s="190" t="str">
        <f t="shared" ca="1" si="62"/>
        <v/>
      </c>
      <c r="BR130" s="190" t="str">
        <f t="shared" ca="1" si="63"/>
        <v/>
      </c>
      <c r="BS130" s="190"/>
      <c r="BT130"/>
      <c r="BU130"/>
      <c r="BV130"/>
      <c r="BY130" s="99"/>
      <c r="BZ130" s="99"/>
      <c r="CA130" s="280" t="str">
        <f t="shared" si="29"/>
        <v/>
      </c>
      <c r="CB130" s="71" t="str">
        <f t="shared" si="30"/>
        <v>-</v>
      </c>
      <c r="CC130" s="33"/>
      <c r="CD130" s="261" t="str">
        <f t="shared" si="32"/>
        <v/>
      </c>
      <c r="CE130" s="280" t="str">
        <f t="shared" si="33"/>
        <v>-</v>
      </c>
      <c r="CF130" s="71" t="str">
        <f t="shared" ca="1" si="34"/>
        <v>-</v>
      </c>
      <c r="CG130" s="33" t="str">
        <f t="shared" si="35"/>
        <v>30-31</v>
      </c>
      <c r="CH130" s="261" t="str">
        <f t="shared" ca="1" si="36"/>
        <v/>
      </c>
      <c r="CI130" s="99"/>
      <c r="CJ130" s="99"/>
      <c r="CK130" s="99"/>
      <c r="CL130" s="99"/>
      <c r="CM130" s="99"/>
      <c r="CN130" s="99"/>
      <c r="CO130" s="99"/>
    </row>
    <row r="131" spans="2:93" ht="13.5" customHeight="1" x14ac:dyDescent="0.2">
      <c r="B131" s="262">
        <v>31</v>
      </c>
      <c r="C131" s="237" t="str">
        <f t="shared" si="1"/>
        <v/>
      </c>
      <c r="D131" s="237" t="str">
        <f t="shared" si="66"/>
        <v>-</v>
      </c>
      <c r="E131" s="290" t="str">
        <f t="shared" si="37"/>
        <v/>
      </c>
      <c r="F131" s="264" t="str">
        <f t="shared" si="38"/>
        <v/>
      </c>
      <c r="G131" s="291" t="str">
        <f t="shared" si="39"/>
        <v/>
      </c>
      <c r="H131" s="240" t="str">
        <f t="shared" si="40"/>
        <v/>
      </c>
      <c r="I131" s="265" t="str">
        <f t="shared" si="2"/>
        <v/>
      </c>
      <c r="J131" s="265" t="str">
        <f t="shared" si="3"/>
        <v/>
      </c>
      <c r="K131" s="240" t="str">
        <f t="shared" si="41"/>
        <v/>
      </c>
      <c r="L131" s="265" t="str">
        <f t="shared" si="4"/>
        <v/>
      </c>
      <c r="M131" s="265" t="str">
        <f t="shared" si="5"/>
        <v/>
      </c>
      <c r="N131" s="240" t="str">
        <f t="shared" si="6"/>
        <v>-</v>
      </c>
      <c r="O131" s="265" t="str">
        <f t="shared" si="7"/>
        <v>-</v>
      </c>
      <c r="P131" s="265" t="str">
        <f t="shared" si="8"/>
        <v>-</v>
      </c>
      <c r="Q131" s="266" t="str">
        <f t="shared" si="9"/>
        <v>-</v>
      </c>
      <c r="R131" s="267" t="str">
        <f t="shared" si="10"/>
        <v>-</v>
      </c>
      <c r="S131" s="268" t="str">
        <f t="shared" si="11"/>
        <v>-</v>
      </c>
      <c r="T131" s="269" t="str">
        <f t="shared" si="12"/>
        <v/>
      </c>
      <c r="U131" s="221">
        <f t="shared" si="13"/>
        <v>31</v>
      </c>
      <c r="V131" s="220" t="str">
        <f t="shared" si="42"/>
        <v>-</v>
      </c>
      <c r="W131" s="221" t="str">
        <f t="shared" si="43"/>
        <v>-</v>
      </c>
      <c r="X131" s="221" t="str">
        <f t="shared" si="14"/>
        <v>-</v>
      </c>
      <c r="Y131" s="221" t="str">
        <f t="shared" si="15"/>
        <v>-</v>
      </c>
      <c r="Z131" s="270">
        <f t="shared" si="44"/>
        <v>0.1</v>
      </c>
      <c r="AA131" s="271" t="str">
        <f>IFERROR(IF(V130=1,AA$100*EXP(-(LN(2)/$D$65+0.04)*X130)*EXP(-(LN(2)/$D$65+0.1)*Y130),IF(V130=2,AA$100*EXP(-(LN(2)/$D$65+0.04)*(VLOOKUP(($F$16-$F$15)-1,U$99:Y130,4,FALSE)))*EXP(-(LN(2)/$D$65+0.1)*(VLOOKUP(($F$16-$F$15)-1,U$99:Y130,5,FALSE)))*EXP(-(LN(2)/$D$65+0.04)*X130)*EXP(-(LN(2)/$D$65+0.1)*Y130),IF(V130=3,AA$100*EXP(-(LN(2)/$D$65+0.04)*(VLOOKUP(($F$16-$F$15)-1,U$99:Y130,4,FALSE)))*EXP(-(LN(2)/$D$65+0.1)*(VLOOKUP(($F$16-$F$15)-1,U$99:Y130,5,FALSE)))*EXP(-(LN(2)/$D$65+0.04)*(VLOOKUP(($F$16-$F$15)*2-1,U$99:Y130,4,FALSE)))*EXP(-(LN(2)/$D$65+0.1)*(VLOOKUP(($F$16-$F$15)*2-1,U$99:Y130,5,FALSE)))*EXP(-(LN(2)/$D$65+0.04)*X130)*EXP(-(LN(2)/$D$65+0.1)*Y130),"-"))),"-")</f>
        <v>-</v>
      </c>
      <c r="AB131" s="271" t="str">
        <f>IFERROR(IF(V131=1,AB$100*EXP(-(LN(2)/$D$65+0.04)*X131)*EXP(-(LN(2)/$D$65+0.1)*Y131),IF(V131=2,AB$100*EXP(-(LN(2)/$D$65+0.04)*(VLOOKUP(($F$16-$F$15)-1,U$100:Y131,4,FALSE)))*EXP(-(LN(2)/$D$65+0.1)*(VLOOKUP(($F$16-$F$15)-1,U$100:Y131,5,FALSE)))*EXP(-(LN(2)/$D$65+0.04)*X131)*EXP(-(LN(2)/$D$65+0.1)*Y131),IF(V131=3,AB$100*EXP(-(LN(2)/$D$65+0.04)*(VLOOKUP(($F$16-$F$15)-1,U$100:Y131,4,FALSE)))*EXP(-(LN(2)/$D$65+0.1)*(VLOOKUP(($F$16-$F$15)-1,U$100:Y131,5,FALSE)))*EXP(-(LN(2)/$D$65+0.04)*(VLOOKUP(($F$16-$F$15)*2-1,U$100:Y131,4,FALSE)))*EXP(-(LN(2)/$D$65+0.1)*(VLOOKUP(($F$16-$F$15)*2-1,U$100:Y131,5,FALSE)))*EXP(-(LN(2)/$D$65+0.04)*X131)*EXP(-(LN(2)/$D$65+0.1)*Y131),"-"))),"-")</f>
        <v>-</v>
      </c>
      <c r="AC131" s="224">
        <f t="shared" si="45"/>
        <v>31</v>
      </c>
      <c r="AD131" s="223" t="str">
        <f t="shared" si="17"/>
        <v>-</v>
      </c>
      <c r="AE131" s="224" t="str">
        <f t="shared" si="46"/>
        <v>-</v>
      </c>
      <c r="AF131" s="224" t="str">
        <f t="shared" si="18"/>
        <v>-</v>
      </c>
      <c r="AG131" s="224" t="str">
        <f t="shared" si="19"/>
        <v>-</v>
      </c>
      <c r="AH131" s="272">
        <f t="shared" si="47"/>
        <v>0.1</v>
      </c>
      <c r="AI131" s="271" t="str">
        <f>IFERROR(IF(AD130=1,AI$100*EXP(-(LN(2)/$D$65+0.04)*AF130)*EXP(-(LN(2)/$D$65+0.1)*AG130),IF(AD130=2,AI$100*EXP(-(LN(2)/$D$65+0.04)*(VLOOKUP(($F$16-$F$15)-1,AC$99:AG130,4,FALSE)))*EXP(-(LN(2)/$D$65+0.1)*(VLOOKUP(($F$16-$F$15)-1,AC$99:AG130,5,FALSE)))*EXP(-(LN(2)/$D$65+0.04)*AF130)*EXP(-(LN(2)/$D$65+0.1)*AG130),IF(AD130=3,AI$100*EXP(-(LN(2)/$D$65+0.04)*(VLOOKUP(($F$16-$F$15)-1,AC$99:AG130,4,FALSE)))*EXP(-(LN(2)/$D$65+0.1)*(VLOOKUP(($F$16-$F$15)-1,AC$99:AG130,5,FALSE)))*EXP(-(LN(2)/$D$65+0.04)*(VLOOKUP(($F$16-$F$15)*2-1,AC$99:AG130,4,FALSE)))*EXP(-(LN(2)/$D$65+0.1)*(VLOOKUP(($F$16-$F$15)*2-1,AC$99:AG130,5,FALSE)))*EXP(-(LN(2)/$D$65+0.04)*AF130)*EXP(-(LN(2)/$D$65+0.1)*AG130),"-"))),"-")</f>
        <v>-</v>
      </c>
      <c r="AJ131" s="271" t="str">
        <f>IFERROR(IF(AD131=1,AJ$100*EXP(-(LN(2)/$D$65+0.04)*AF131)*EXP(-(LN(2)/$D$65+0.1)*AG131),IF(AD131=2,AJ$100*EXP(-(LN(2)/$D$65+0.04)*(VLOOKUP(($F$16-$F$15)-1,AC$100:AG131,4,FALSE)))*EXP(-(LN(2)/$D$65+0.1)*(VLOOKUP(($F$16-$F$15)-1,AC$100:AG131,5,FALSE)))*EXP(-(LN(2)/$D$65+0.04)*AF131)*EXP(-(LN(2)/$D$65+0.1)*AG131),IF(AD131=3,AJ$100*EXP(-(LN(2)/$D$65+0.04)*(VLOOKUP(($F$16-$F$15)-1,AC$100:AG131,4,FALSE)))*EXP(-(LN(2)/$D$65+0.1)*(VLOOKUP(($F$16-$F$15)-1,AC$100:AG131,5,FALSE)))*EXP(-(LN(2)/$D$65+0.04)*(VLOOKUP(($F$16-$F$15)*2-1,AC$100:AG131,4,FALSE)))*EXP(-(LN(2)/$D$65+0.1)*(VLOOKUP(($F$16-$F$15)*2-1,AC$100:AG131,5,FALSE)))*EXP(-(LN(2)/$D$65+0.04)*AF131)*EXP(-(LN(2)/$D$65+0.1)*AG131),"-"))),"-")</f>
        <v>-</v>
      </c>
      <c r="AK131" s="227">
        <f t="shared" si="49"/>
        <v>31</v>
      </c>
      <c r="AL131" s="226" t="str">
        <f t="shared" si="21"/>
        <v>-</v>
      </c>
      <c r="AM131" s="227" t="str">
        <f t="shared" si="50"/>
        <v>-</v>
      </c>
      <c r="AN131" s="227" t="str">
        <f t="shared" si="51"/>
        <v>-</v>
      </c>
      <c r="AO131" s="227" t="str">
        <f t="shared" si="22"/>
        <v>-</v>
      </c>
      <c r="AP131" s="273">
        <f t="shared" si="52"/>
        <v>0.1</v>
      </c>
      <c r="AQ131" s="271" t="str">
        <f>IFERROR(IF(AL130=1,AQ$100*EXP(-(LN(2)/$D$65+0.04)*AN130)*EXP(-(LN(2)/$D$65+0.1)*AO130),IF(AL130=2,AQ$100*EXP(-(LN(2)/$D$65+0.04)*(VLOOKUP(($F$16-$F$15)-1,AK$99:AO130,4,FALSE)))*EXP(-(LN(2)/$D$65+0.1)*(VLOOKUP(($F$16-$F$15)-1,AK$99:AO130,5,FALSE)))*EXP(-(LN(2)/$D$65+0.04)*AN130)*EXP(-(LN(2)/$D$65+0.1)*AO130),IF(AL130=3,AQ$100*EXP(-(LN(2)/$D$65+0.04)*(VLOOKUP(($F$16-$F$15)-1,AK$99:AO130,4,FALSE)))*EXP(-(LN(2)/$D$65+0.1)*(VLOOKUP(($F$16-$F$15)-1,AK$99:AO130,5,FALSE)))*EXP(-(LN(2)/$D$65+0.04)*(VLOOKUP(($F$16-$F$15)*2-1,AK$99:AO130,4,FALSE)))*EXP(-(LN(2)/$D$65+0.1)*(VLOOKUP(($F$16-$F$15)*2-1,AK$99:AO130,5,FALSE)))*EXP(-(LN(2)/$D$65+0.04)*AN130)*EXP(-(LN(2)/$D$65+0.1)*AO130),"-"))),"-")</f>
        <v>-</v>
      </c>
      <c r="AR131" s="271" t="str">
        <f>IFERROR(IF(AL131=1,AR$100*EXP(-(LN(2)/$D$65+0.04)*AN131)*EXP(-(LN(2)/$D$65+0.1)*AO131),IF(AL131=2,AR$100*EXP(-(LN(2)/$D$65+0.04)*(VLOOKUP(($F$16-$F$15)-1,AK$100:AO131,4,FALSE)))*EXP(-(LN(2)/$D$65+0.1)*(VLOOKUP(($F$16-$F$15)-1,AK$100:AO131,5,FALSE)))*EXP(-(LN(2)/$D$65+0.04)*AN131)*EXP(-(LN(2)/$D$65+0.1)*AO131),IF(AL131=3,AR$100*EXP(-(LN(2)/$D$65+0.04)*(VLOOKUP(($F$16-$F$15)-1,AK$100:AO131,4,FALSE)))*EXP(-(LN(2)/$D$65+0.1)*(VLOOKUP(($F$16-$F$15)-1,AK$100:AO131,5,FALSE)))*EXP(-(LN(2)/$D$65+0.04)*(VLOOKUP(($F$16-$F$15)*2-1,AK$100:AO131,4,FALSE)))*EXP(-(LN(2)/$D$65+0.1)*(VLOOKUP(($F$16-$F$15)*2-1,AK$100:AO131,5,FALSE)))*EXP(-(LN(2)/$D$65+0.04)*AN131)*EXP(-(LN(2)/$D$65+0.1)*AO131),"-"))),"-")</f>
        <v>-</v>
      </c>
      <c r="AS131" s="274">
        <f t="shared" si="23"/>
        <v>0</v>
      </c>
      <c r="AT131" s="274">
        <f t="shared" si="24"/>
        <v>0</v>
      </c>
      <c r="AU131" s="274">
        <f t="shared" si="25"/>
        <v>0</v>
      </c>
      <c r="AV131" s="190">
        <f>IF($B131&lt;$F$22,SUM($T$100:$T131),"")</f>
        <v>0</v>
      </c>
      <c r="AW131" s="190" t="str">
        <f t="shared" si="55"/>
        <v>-</v>
      </c>
      <c r="AX131" s="190" t="str">
        <f t="shared" si="56"/>
        <v/>
      </c>
      <c r="AY131"/>
      <c r="AZ131" s="190" t="str">
        <f ca="1">IF(ISNUMBER(OFFSET(AV131,-$F$21,0)),SUM(OFFSET($T$100,$F$21,0):$T131),"")</f>
        <v/>
      </c>
      <c r="BA131" s="190" t="str">
        <f t="shared" ca="1" si="26"/>
        <v/>
      </c>
      <c r="BB131" s="190" t="str">
        <f t="shared" ca="1" si="70"/>
        <v/>
      </c>
      <c r="BC131" s="190"/>
      <c r="BD131" s="190" t="str">
        <f ca="1">IFERROR(IF(AND($B131&gt;=($F$16-$F$15),$B131&lt;$F$22+($F$16-$F$15)),SUM(OFFSET($T$100,($F$16-$F$15),0):$T131),""),"")</f>
        <v/>
      </c>
      <c r="BE131" s="190" t="str">
        <f t="shared" ca="1" si="58"/>
        <v/>
      </c>
      <c r="BF131" s="190" t="str">
        <f t="shared" ca="1" si="59"/>
        <v/>
      </c>
      <c r="BG131"/>
      <c r="BH131" s="190" t="str">
        <f ca="1">IF(ISNUMBER(OFFSET(BD131,-$F$21,0)),SUM(OFFSET($T$100,($F$16-$F$15+$F$21),0):$T131),"")</f>
        <v/>
      </c>
      <c r="BI131" s="190" t="str">
        <f t="shared" ca="1" si="27"/>
        <v/>
      </c>
      <c r="BJ131" s="190" t="str">
        <f t="shared" ca="1" si="60"/>
        <v/>
      </c>
      <c r="BK131" s="190"/>
      <c r="BL131" s="190" t="str">
        <f ca="1">IFERROR(IF(AND($B131&gt;=($F$17-$F$15),$B131&lt;$F$22+($F$17-$F$15)),SUM(OFFSET($T$100,($F$17-$F$15),0):$T131),""),"")</f>
        <v/>
      </c>
      <c r="BM131" s="190" t="str">
        <f t="shared" ca="1" si="28"/>
        <v/>
      </c>
      <c r="BN131" s="190" t="str">
        <f t="shared" ca="1" si="61"/>
        <v/>
      </c>
      <c r="BO131"/>
      <c r="BP131" s="190" t="str">
        <f ca="1">IF(ISNUMBER(OFFSET(BL131,-$F$21,0)),SUM(OFFSET($T$100,($F$17-$F$15+$F$21),0):$T131),"")</f>
        <v/>
      </c>
      <c r="BQ131" s="190" t="str">
        <f t="shared" ca="1" si="62"/>
        <v/>
      </c>
      <c r="BR131" s="190" t="str">
        <f t="shared" ca="1" si="63"/>
        <v/>
      </c>
      <c r="BS131" s="190"/>
      <c r="BT131"/>
      <c r="BU131"/>
      <c r="BV131"/>
      <c r="BY131" s="99"/>
      <c r="BZ131" s="99"/>
      <c r="CA131" s="280" t="str">
        <f t="shared" si="29"/>
        <v/>
      </c>
      <c r="CB131" s="71" t="str">
        <f t="shared" si="30"/>
        <v>-</v>
      </c>
      <c r="CC131" s="33"/>
      <c r="CD131" s="261" t="str">
        <f t="shared" si="32"/>
        <v/>
      </c>
      <c r="CE131" s="280" t="str">
        <f t="shared" si="33"/>
        <v>-</v>
      </c>
      <c r="CF131" s="71" t="str">
        <f t="shared" ca="1" si="34"/>
        <v>-</v>
      </c>
      <c r="CG131" s="33" t="str">
        <f t="shared" si="35"/>
        <v>31-32</v>
      </c>
      <c r="CH131" s="261" t="str">
        <f t="shared" ca="1" si="36"/>
        <v/>
      </c>
      <c r="CI131" s="99"/>
      <c r="CJ131" s="99"/>
      <c r="CK131" s="99"/>
      <c r="CL131" s="99"/>
      <c r="CM131" s="99"/>
      <c r="CN131" s="99"/>
      <c r="CO131" s="99"/>
    </row>
    <row r="132" spans="2:93" ht="13.5" customHeight="1" x14ac:dyDescent="0.2">
      <c r="B132" s="262">
        <v>32</v>
      </c>
      <c r="C132" s="237" t="str">
        <f t="shared" ref="C132:C163" si="71">IF(ISERROR(VLOOKUP(B132,$B$39:$C$73,2,0)),"",VLOOKUP(B132,$B$39:$C$73,2,0))</f>
        <v/>
      </c>
      <c r="D132" s="237" t="str">
        <f t="shared" si="66"/>
        <v>-</v>
      </c>
      <c r="E132" s="290" t="str">
        <f t="shared" si="37"/>
        <v/>
      </c>
      <c r="F132" s="264" t="str">
        <f t="shared" si="38"/>
        <v/>
      </c>
      <c r="G132" s="291" t="str">
        <f t="shared" si="39"/>
        <v/>
      </c>
      <c r="H132" s="240" t="str">
        <f t="shared" ref="H132:H163" si="72">IF(E132&lt;&gt;"",IF($B132&lt;$F$21,"",IF(ISNUMBER(F132),IF(ISNUMBER(I132),(E132*30*50*ffp),""),(E132*30*50*ffp))),"")</f>
        <v/>
      </c>
      <c r="I132" s="265" t="str">
        <f t="shared" ref="I132:I163" si="73">IFERROR(IF(F132&lt;&gt;"",IF($B132&lt;$F$21+$F$16,"",IF(ISNUMBER(G132),IF(ISNUMBER(J132),(F132*30*50*ffp),""),(F132*30*50*ffp))),""),"")</f>
        <v/>
      </c>
      <c r="J132" s="265" t="str">
        <f t="shared" ref="J132:J163" si="74">IFERROR(IF(G132&lt;&gt;"",IF($B132&lt;$F$21+$F$17,"",(G132*30*50*ffp)),""),"")</f>
        <v/>
      </c>
      <c r="K132" s="240" t="str">
        <f t="shared" ref="K132:K163" si="75">IF(E132&lt;&gt;"",((E132*20*50*ffp)/Klevee),"")</f>
        <v/>
      </c>
      <c r="L132" s="265" t="str">
        <f t="shared" ref="L132:L163" si="76">IF(ISNUMBER(F132),((F132*20*50*ffp)/Klevee),"")</f>
        <v/>
      </c>
      <c r="M132" s="265" t="str">
        <f t="shared" ref="M132:M163" si="77">IF(ISNUMBER(G132),((G132*20*50*ffp)/Klevee),"")</f>
        <v/>
      </c>
      <c r="N132" s="240" t="str">
        <f t="shared" ref="N132:N163" si="78">IF(AND(ISNUMBER(I),ISNUMBER($F$14),ISNUMBER($F$20)),IF($B132=0,I*($J$40/100)*$J$42*1,""),"-")</f>
        <v>-</v>
      </c>
      <c r="O132" s="265" t="str">
        <f t="shared" ref="O132:O163" si="79">IF(ISNUMBER($F$14),IF($F$14&gt;1,IF($B132=0+$F$16,I*($J$40/100)*$J$42*1,""),""),"-")</f>
        <v>-</v>
      </c>
      <c r="P132" s="265" t="str">
        <f t="shared" ref="P132:P163" si="80">IF(ISNUMBER($F$14),IF($F$14&gt;2,IF($B132=0+$F$17,I*($J$40/100)*$J$42*1,""),""),"-")</f>
        <v>-</v>
      </c>
      <c r="Q132" s="266" t="str">
        <f t="shared" ref="Q132:Q163" si="81">IF(AND(ISNUMBER(I),ISNUMBER($F$14),ISNUMBER($F$20)),IF($B132=0,I*(dt/100)*$J$45*1,""),"-")</f>
        <v>-</v>
      </c>
      <c r="R132" s="267" t="str">
        <f t="shared" ref="R132:R163" si="82">IF(ISNUMBER($F$14),IF($F$14&gt;1,IF($B132=0+$F$16,I*(dt/100)*$J$45*1,""),""),"-")</f>
        <v>-</v>
      </c>
      <c r="S132" s="268" t="str">
        <f t="shared" ref="S132:S163" si="83">IF(ISNUMBER($F$14),IF($F$14&gt;2,IF($B132=0+$F$17,I*(dt/100)*$J$45*1,""),""),"-")</f>
        <v>-</v>
      </c>
      <c r="T132" s="269" t="str">
        <f t="shared" si="12"/>
        <v/>
      </c>
      <c r="U132" s="221">
        <f t="shared" si="13"/>
        <v>32</v>
      </c>
      <c r="V132" s="220" t="str">
        <f t="shared" si="42"/>
        <v>-</v>
      </c>
      <c r="W132" s="221" t="str">
        <f t="shared" si="43"/>
        <v>-</v>
      </c>
      <c r="X132" s="221" t="str">
        <f t="shared" si="14"/>
        <v>-</v>
      </c>
      <c r="Y132" s="221" t="str">
        <f t="shared" si="15"/>
        <v>-</v>
      </c>
      <c r="Z132" s="270">
        <f t="shared" si="44"/>
        <v>0.1</v>
      </c>
      <c r="AA132" s="271" t="str">
        <f>IFERROR(IF(V131=1,AA$100*EXP(-(LN(2)/$D$65+0.04)*X131)*EXP(-(LN(2)/$D$65+0.1)*Y131),IF(V131=2,AA$100*EXP(-(LN(2)/$D$65+0.04)*(VLOOKUP(($F$16-$F$15)-1,U$99:Y131,4,FALSE)))*EXP(-(LN(2)/$D$65+0.1)*(VLOOKUP(($F$16-$F$15)-1,U$99:Y131,5,FALSE)))*EXP(-(LN(2)/$D$65+0.04)*X131)*EXP(-(LN(2)/$D$65+0.1)*Y131),IF(V131=3,AA$100*EXP(-(LN(2)/$D$65+0.04)*(VLOOKUP(($F$16-$F$15)-1,U$99:Y131,4,FALSE)))*EXP(-(LN(2)/$D$65+0.1)*(VLOOKUP(($F$16-$F$15)-1,U$99:Y131,5,FALSE)))*EXP(-(LN(2)/$D$65+0.04)*(VLOOKUP(($F$16-$F$15)*2-1,U$99:Y131,4,FALSE)))*EXP(-(LN(2)/$D$65+0.1)*(VLOOKUP(($F$16-$F$15)*2-1,U$99:Y131,5,FALSE)))*EXP(-(LN(2)/$D$65+0.04)*X131)*EXP(-(LN(2)/$D$65+0.1)*Y131),"-"))),"-")</f>
        <v>-</v>
      </c>
      <c r="AB132" s="271" t="str">
        <f>IFERROR(IF(V132=1,AB$100*EXP(-(LN(2)/$D$65+0.04)*X132)*EXP(-(LN(2)/$D$65+0.1)*Y132),IF(V132=2,AB$100*EXP(-(LN(2)/$D$65+0.04)*(VLOOKUP(($F$16-$F$15)-1,U$100:Y132,4,FALSE)))*EXP(-(LN(2)/$D$65+0.1)*(VLOOKUP(($F$16-$F$15)-1,U$100:Y132,5,FALSE)))*EXP(-(LN(2)/$D$65+0.04)*X132)*EXP(-(LN(2)/$D$65+0.1)*Y132),IF(V132=3,AB$100*EXP(-(LN(2)/$D$65+0.04)*(VLOOKUP(($F$16-$F$15)-1,U$100:Y132,4,FALSE)))*EXP(-(LN(2)/$D$65+0.1)*(VLOOKUP(($F$16-$F$15)-1,U$100:Y132,5,FALSE)))*EXP(-(LN(2)/$D$65+0.04)*(VLOOKUP(($F$16-$F$15)*2-1,U$100:Y132,4,FALSE)))*EXP(-(LN(2)/$D$65+0.1)*(VLOOKUP(($F$16-$F$15)*2-1,U$100:Y132,5,FALSE)))*EXP(-(LN(2)/$D$65+0.04)*X132)*EXP(-(LN(2)/$D$65+0.1)*Y132),"-"))),"-")</f>
        <v>-</v>
      </c>
      <c r="AC132" s="224">
        <f t="shared" si="45"/>
        <v>32</v>
      </c>
      <c r="AD132" s="223" t="str">
        <f t="shared" si="17"/>
        <v>-</v>
      </c>
      <c r="AE132" s="224" t="str">
        <f t="shared" si="46"/>
        <v>-</v>
      </c>
      <c r="AF132" s="224" t="str">
        <f t="shared" si="18"/>
        <v>-</v>
      </c>
      <c r="AG132" s="224" t="str">
        <f t="shared" si="19"/>
        <v>-</v>
      </c>
      <c r="AH132" s="272">
        <f t="shared" si="47"/>
        <v>0.1</v>
      </c>
      <c r="AI132" s="271" t="str">
        <f>IFERROR(IF(AD131=1,AI$100*EXP(-(LN(2)/$D$65+0.04)*AF131)*EXP(-(LN(2)/$D$65+0.1)*AG131),IF(AD131=2,AI$100*EXP(-(LN(2)/$D$65+0.04)*(VLOOKUP(($F$16-$F$15)-1,AC$99:AG131,4,FALSE)))*EXP(-(LN(2)/$D$65+0.1)*(VLOOKUP(($F$16-$F$15)-1,AC$99:AG131,5,FALSE)))*EXP(-(LN(2)/$D$65+0.04)*AF131)*EXP(-(LN(2)/$D$65+0.1)*AG131),IF(AD131=3,AI$100*EXP(-(LN(2)/$D$65+0.04)*(VLOOKUP(($F$16-$F$15)-1,AC$99:AG131,4,FALSE)))*EXP(-(LN(2)/$D$65+0.1)*(VLOOKUP(($F$16-$F$15)-1,AC$99:AG131,5,FALSE)))*EXP(-(LN(2)/$D$65+0.04)*(VLOOKUP(($F$16-$F$15)*2-1,AC$99:AG131,4,FALSE)))*EXP(-(LN(2)/$D$65+0.1)*(VLOOKUP(($F$16-$F$15)*2-1,AC$99:AG131,5,FALSE)))*EXP(-(LN(2)/$D$65+0.04)*AF131)*EXP(-(LN(2)/$D$65+0.1)*AG131),"-"))),"-")</f>
        <v>-</v>
      </c>
      <c r="AJ132" s="271" t="str">
        <f>IFERROR(IF(AD132=1,AJ$100*EXP(-(LN(2)/$D$65+0.04)*AF132)*EXP(-(LN(2)/$D$65+0.1)*AG132),IF(AD132=2,AJ$100*EXP(-(LN(2)/$D$65+0.04)*(VLOOKUP(($F$16-$F$15)-1,AC$100:AG132,4,FALSE)))*EXP(-(LN(2)/$D$65+0.1)*(VLOOKUP(($F$16-$F$15)-1,AC$100:AG132,5,FALSE)))*EXP(-(LN(2)/$D$65+0.04)*AF132)*EXP(-(LN(2)/$D$65+0.1)*AG132),IF(AD132=3,AJ$100*EXP(-(LN(2)/$D$65+0.04)*(VLOOKUP(($F$16-$F$15)-1,AC$100:AG132,4,FALSE)))*EXP(-(LN(2)/$D$65+0.1)*(VLOOKUP(($F$16-$F$15)-1,AC$100:AG132,5,FALSE)))*EXP(-(LN(2)/$D$65+0.04)*(VLOOKUP(($F$16-$F$15)*2-1,AC$100:AG132,4,FALSE)))*EXP(-(LN(2)/$D$65+0.1)*(VLOOKUP(($F$16-$F$15)*2-1,AC$100:AG132,5,FALSE)))*EXP(-(LN(2)/$D$65+0.04)*AF132)*EXP(-(LN(2)/$D$65+0.1)*AG132),"-"))),"-")</f>
        <v>-</v>
      </c>
      <c r="AK132" s="227">
        <f t="shared" si="49"/>
        <v>32</v>
      </c>
      <c r="AL132" s="226" t="str">
        <f t="shared" si="21"/>
        <v>-</v>
      </c>
      <c r="AM132" s="227" t="str">
        <f t="shared" si="50"/>
        <v>-</v>
      </c>
      <c r="AN132" s="227" t="str">
        <f t="shared" si="51"/>
        <v>-</v>
      </c>
      <c r="AO132" s="227" t="str">
        <f t="shared" si="22"/>
        <v>-</v>
      </c>
      <c r="AP132" s="273">
        <f t="shared" si="52"/>
        <v>0.1</v>
      </c>
      <c r="AQ132" s="271" t="str">
        <f>IFERROR(IF(AL131=1,AQ$100*EXP(-(LN(2)/$D$65+0.04)*AN131)*EXP(-(LN(2)/$D$65+0.1)*AO131),IF(AL131=2,AQ$100*EXP(-(LN(2)/$D$65+0.04)*(VLOOKUP(($F$16-$F$15)-1,AK$99:AO131,4,FALSE)))*EXP(-(LN(2)/$D$65+0.1)*(VLOOKUP(($F$16-$F$15)-1,AK$99:AO131,5,FALSE)))*EXP(-(LN(2)/$D$65+0.04)*AN131)*EXP(-(LN(2)/$D$65+0.1)*AO131),IF(AL131=3,AQ$100*EXP(-(LN(2)/$D$65+0.04)*(VLOOKUP(($F$16-$F$15)-1,AK$99:AO131,4,FALSE)))*EXP(-(LN(2)/$D$65+0.1)*(VLOOKUP(($F$16-$F$15)-1,AK$99:AO131,5,FALSE)))*EXP(-(LN(2)/$D$65+0.04)*(VLOOKUP(($F$16-$F$15)*2-1,AK$99:AO131,4,FALSE)))*EXP(-(LN(2)/$D$65+0.1)*(VLOOKUP(($F$16-$F$15)*2-1,AK$99:AO131,5,FALSE)))*EXP(-(LN(2)/$D$65+0.04)*AN131)*EXP(-(LN(2)/$D$65+0.1)*AO131),"-"))),"-")</f>
        <v>-</v>
      </c>
      <c r="AR132" s="271" t="str">
        <f>IFERROR(IF(AL132=1,AR$100*EXP(-(LN(2)/$D$65+0.04)*AN132)*EXP(-(LN(2)/$D$65+0.1)*AO132),IF(AL132=2,AR$100*EXP(-(LN(2)/$D$65+0.04)*(VLOOKUP(($F$16-$F$15)-1,AK$100:AO132,4,FALSE)))*EXP(-(LN(2)/$D$65+0.1)*(VLOOKUP(($F$16-$F$15)-1,AK$100:AO132,5,FALSE)))*EXP(-(LN(2)/$D$65+0.04)*AN132)*EXP(-(LN(2)/$D$65+0.1)*AO132),IF(AL132=3,AR$100*EXP(-(LN(2)/$D$65+0.04)*(VLOOKUP(($F$16-$F$15)-1,AK$100:AO132,4,FALSE)))*EXP(-(LN(2)/$D$65+0.1)*(VLOOKUP(($F$16-$F$15)-1,AK$100:AO132,5,FALSE)))*EXP(-(LN(2)/$D$65+0.04)*(VLOOKUP(($F$16-$F$15)*2-1,AK$100:AO132,4,FALSE)))*EXP(-(LN(2)/$D$65+0.1)*(VLOOKUP(($F$16-$F$15)*2-1,AK$100:AO132,5,FALSE)))*EXP(-(LN(2)/$D$65+0.04)*AN132)*EXP(-(LN(2)/$D$65+0.1)*AO132),"-"))),"-")</f>
        <v>-</v>
      </c>
      <c r="AS132" s="274">
        <f t="shared" si="23"/>
        <v>0</v>
      </c>
      <c r="AT132" s="274">
        <f t="shared" si="24"/>
        <v>0</v>
      </c>
      <c r="AU132" s="274">
        <f t="shared" si="25"/>
        <v>0</v>
      </c>
      <c r="AV132" s="190">
        <f>IF($B132&lt;$F$22,SUM($T$100:$T132),"")</f>
        <v>0</v>
      </c>
      <c r="AW132" s="190" t="str">
        <f t="shared" ref="AW132:AW163" si="84">IF(ISNUMBER(Koc),IF(ISNUMBER(AV132),AV132*(Koc*(Ocse/100)*Pse*Vse)/(Koc*(Ocse/100)*Pse*Vse+1*86400*($B132+1)),""),"-")</f>
        <v>-</v>
      </c>
      <c r="AX132" s="190" t="str">
        <f t="shared" si="56"/>
        <v/>
      </c>
      <c r="AY132"/>
      <c r="AZ132" s="190" t="str">
        <f ca="1">IF(ISNUMBER(OFFSET(AV132,-$F$21,0)),SUM(OFFSET($T$100,$F$21,0):$T132),"")</f>
        <v/>
      </c>
      <c r="BA132" s="190" t="str">
        <f t="shared" ref="BA132:BA163" ca="1" si="85">IF(ISNUMBER(OFFSET(AV132,-$F$21,0)),AZ132*(Koc*(Ocse/100)*Pse*Vse)/(Koc*(Ocse/100)*Pse*Vse+1*86400*($B132+1)),"")</f>
        <v/>
      </c>
      <c r="BB132" s="190" t="str">
        <f t="shared" ca="1" si="70"/>
        <v/>
      </c>
      <c r="BC132" s="190"/>
      <c r="BD132" s="190" t="str">
        <f ca="1">IFERROR(IF(AND($B132&gt;=($F$16-$F$15),$B132&lt;$F$22+($F$16-$F$15)),SUM(OFFSET($T$100,($F$16-$F$15),0):$T132),""),"")</f>
        <v/>
      </c>
      <c r="BE132" s="190" t="str">
        <f t="shared" ca="1" si="58"/>
        <v/>
      </c>
      <c r="BF132" s="190" t="str">
        <f t="shared" ca="1" si="59"/>
        <v/>
      </c>
      <c r="BG132"/>
      <c r="BH132" s="190" t="str">
        <f ca="1">IF(ISNUMBER(OFFSET(BD132,-$F$21,0)),SUM(OFFSET($T$100,($F$16-$F$15+$F$21),0):$T132),"")</f>
        <v/>
      </c>
      <c r="BI132" s="190" t="str">
        <f t="shared" ref="BI132:BI163" ca="1" si="86">IF(ISNUMBER(OFFSET(BD132,-$F$21,0)),BH132*(Koc*(Ocse/100)*Pse*Vse)/(Koc*(Ocse/100)*Pse*Vse+1*86400*($B132+1)),"")</f>
        <v/>
      </c>
      <c r="BJ132" s="190" t="str">
        <f t="shared" ca="1" si="60"/>
        <v/>
      </c>
      <c r="BK132" s="190"/>
      <c r="BL132" s="190" t="str">
        <f ca="1">IFERROR(IF(AND($B132&gt;=($F$17-$F$15),$B132&lt;$F$22+($F$17-$F$15)),SUM(OFFSET($T$100,($F$17-$F$15),0):$T132),""),"")</f>
        <v/>
      </c>
      <c r="BM132" s="190" t="str">
        <f t="shared" ref="BM132:BM163" ca="1" si="87">IF(ISNUMBER(BL132),BL132*(Koc*(Ocse/100)*Pse*Vse)/(Koc*(Ocse/100)*Pse*Vse+1*86400*($B132+1)),"")</f>
        <v/>
      </c>
      <c r="BN132" s="190" t="str">
        <f t="shared" ca="1" si="61"/>
        <v/>
      </c>
      <c r="BO132"/>
      <c r="BP132" s="190" t="str">
        <f ca="1">IF(ISNUMBER(OFFSET(BL132,-$F$21,0)),SUM(OFFSET($T$100,($F$17-$F$15+$F$21),0):$T132),"")</f>
        <v/>
      </c>
      <c r="BQ132" s="190" t="str">
        <f t="shared" ref="BQ132:BQ163" ca="1" si="88">IF(ISNUMBER(OFFSET(BL132,-$F$21,0)),BP132*(Koc*(Ocse/100)*Pse*Vse)/(Koc*(Ocse/100)*Pse*Vse+1*86400*($B132+1)),"")</f>
        <v/>
      </c>
      <c r="BR132" s="190" t="str">
        <f t="shared" ca="1" si="63"/>
        <v/>
      </c>
      <c r="BS132" s="190"/>
      <c r="BT132"/>
      <c r="BU132"/>
      <c r="BV132"/>
      <c r="BY132" s="99"/>
      <c r="BZ132" s="99"/>
      <c r="CA132" s="280" t="str">
        <f t="shared" ref="CA132:CA163" si="89">IFERROR(IF($B132&lt;$CA$94,T132*(Koc*(Ocse/100)*Pse*Vse)/(Koc*(Ocse/100)*Pse*Vse+1*86400*$CA$94),""),"-")</f>
        <v/>
      </c>
      <c r="CB132" s="71" t="str">
        <f t="shared" si="30"/>
        <v>-</v>
      </c>
      <c r="CC132" s="33"/>
      <c r="CD132" s="261" t="str">
        <f t="shared" si="32"/>
        <v/>
      </c>
      <c r="CE132" s="280" t="str">
        <f t="shared" ref="CE132:CE163" si="90">IFERROR(IF($B132&lt;$CE$94,T132*(Koc*(Ocse/100)*Pse*Vse)/(Koc*(Ocse/100)*Pse*Vse+1*86400*$CE$94),""),"-")</f>
        <v>-</v>
      </c>
      <c r="CF132" s="71" t="str">
        <f t="shared" ref="CF132:CF163" ca="1" si="91">IFERROR(IF($B132&lt;$CE$94,IF(NOT(ISNUMBER(ffp)),"-",IF($F$70=$AX$87,AX132,IF($F$70=$BB$87,OFFSET(BB132,$F$21,0),IF($F$70=$BF$87,OFFSET(BF132,$F$16,0),IF($F$70=$BJ$87,OFFSET(BJ132,$F$16+$F$21,0),IF($F$70=$BN$87,OFFSET(BN132,$F$17,0),OFFSET(BR132,$F$17+$F$21,0))))))),""),"-")</f>
        <v>-</v>
      </c>
      <c r="CG132" s="33" t="str">
        <f t="shared" si="35"/>
        <v>32-33</v>
      </c>
      <c r="CH132" s="261" t="str">
        <f t="shared" ca="1" si="36"/>
        <v/>
      </c>
      <c r="CI132" s="99"/>
      <c r="CJ132" s="99"/>
      <c r="CK132" s="99"/>
      <c r="CL132" s="99"/>
      <c r="CM132" s="99"/>
      <c r="CN132" s="99"/>
      <c r="CO132" s="99"/>
    </row>
    <row r="133" spans="2:93" ht="13.5" customHeight="1" x14ac:dyDescent="0.2">
      <c r="B133" s="262">
        <v>33</v>
      </c>
      <c r="C133" s="237" t="str">
        <f t="shared" si="71"/>
        <v/>
      </c>
      <c r="D133" s="237" t="str">
        <f t="shared" si="66"/>
        <v>-</v>
      </c>
      <c r="E133" s="290" t="str">
        <f t="shared" si="37"/>
        <v/>
      </c>
      <c r="F133" s="264" t="str">
        <f t="shared" si="38"/>
        <v/>
      </c>
      <c r="G133" s="291" t="str">
        <f t="shared" si="39"/>
        <v/>
      </c>
      <c r="H133" s="240" t="str">
        <f t="shared" si="72"/>
        <v/>
      </c>
      <c r="I133" s="265" t="str">
        <f t="shared" si="73"/>
        <v/>
      </c>
      <c r="J133" s="265" t="str">
        <f t="shared" si="74"/>
        <v/>
      </c>
      <c r="K133" s="240" t="str">
        <f t="shared" si="75"/>
        <v/>
      </c>
      <c r="L133" s="265" t="str">
        <f t="shared" si="76"/>
        <v/>
      </c>
      <c r="M133" s="265" t="str">
        <f t="shared" si="77"/>
        <v/>
      </c>
      <c r="N133" s="240" t="str">
        <f t="shared" si="78"/>
        <v>-</v>
      </c>
      <c r="O133" s="265" t="str">
        <f t="shared" si="79"/>
        <v>-</v>
      </c>
      <c r="P133" s="265" t="str">
        <f t="shared" si="80"/>
        <v>-</v>
      </c>
      <c r="Q133" s="266" t="str">
        <f t="shared" si="81"/>
        <v>-</v>
      </c>
      <c r="R133" s="267" t="str">
        <f t="shared" si="82"/>
        <v>-</v>
      </c>
      <c r="S133" s="268" t="str">
        <f t="shared" si="83"/>
        <v>-</v>
      </c>
      <c r="T133" s="269" t="str">
        <f t="shared" si="12"/>
        <v/>
      </c>
      <c r="U133" s="221">
        <f t="shared" si="13"/>
        <v>33</v>
      </c>
      <c r="V133" s="220" t="str">
        <f t="shared" si="42"/>
        <v>-</v>
      </c>
      <c r="W133" s="221" t="str">
        <f t="shared" si="43"/>
        <v>-</v>
      </c>
      <c r="X133" s="221" t="str">
        <f t="shared" si="14"/>
        <v>-</v>
      </c>
      <c r="Y133" s="221" t="str">
        <f t="shared" si="15"/>
        <v>-</v>
      </c>
      <c r="Z133" s="270">
        <f t="shared" si="44"/>
        <v>0.1</v>
      </c>
      <c r="AA133" s="271" t="str">
        <f>IFERROR(IF(V132=1,AA$100*EXP(-(LN(2)/$D$65+0.04)*X132)*EXP(-(LN(2)/$D$65+0.1)*Y132),IF(V132=2,AA$100*EXP(-(LN(2)/$D$65+0.04)*(VLOOKUP(($F$16-$F$15)-1,U$99:Y132,4,FALSE)))*EXP(-(LN(2)/$D$65+0.1)*(VLOOKUP(($F$16-$F$15)-1,U$99:Y132,5,FALSE)))*EXP(-(LN(2)/$D$65+0.04)*X132)*EXP(-(LN(2)/$D$65+0.1)*Y132),IF(V132=3,AA$100*EXP(-(LN(2)/$D$65+0.04)*(VLOOKUP(($F$16-$F$15)-1,U$99:Y132,4,FALSE)))*EXP(-(LN(2)/$D$65+0.1)*(VLOOKUP(($F$16-$F$15)-1,U$99:Y132,5,FALSE)))*EXP(-(LN(2)/$D$65+0.04)*(VLOOKUP(($F$16-$F$15)*2-1,U$99:Y132,4,FALSE)))*EXP(-(LN(2)/$D$65+0.1)*(VLOOKUP(($F$16-$F$15)*2-1,U$99:Y132,5,FALSE)))*EXP(-(LN(2)/$D$65+0.04)*X132)*EXP(-(LN(2)/$D$65+0.1)*Y132),"-"))),"-")</f>
        <v>-</v>
      </c>
      <c r="AB133" s="271" t="str">
        <f>IFERROR(IF(V133=1,AB$100*EXP(-(LN(2)/$D$65+0.04)*X133)*EXP(-(LN(2)/$D$65+0.1)*Y133),IF(V133=2,AB$100*EXP(-(LN(2)/$D$65+0.04)*(VLOOKUP(($F$16-$F$15)-1,U$100:Y133,4,FALSE)))*EXP(-(LN(2)/$D$65+0.1)*(VLOOKUP(($F$16-$F$15)-1,U$100:Y133,5,FALSE)))*EXP(-(LN(2)/$D$65+0.04)*X133)*EXP(-(LN(2)/$D$65+0.1)*Y133),IF(V133=3,AB$100*EXP(-(LN(2)/$D$65+0.04)*(VLOOKUP(($F$16-$F$15)-1,U$100:Y133,4,FALSE)))*EXP(-(LN(2)/$D$65+0.1)*(VLOOKUP(($F$16-$F$15)-1,U$100:Y133,5,FALSE)))*EXP(-(LN(2)/$D$65+0.04)*(VLOOKUP(($F$16-$F$15)*2-1,U$100:Y133,4,FALSE)))*EXP(-(LN(2)/$D$65+0.1)*(VLOOKUP(($F$16-$F$15)*2-1,U$100:Y133,5,FALSE)))*EXP(-(LN(2)/$D$65+0.04)*X133)*EXP(-(LN(2)/$D$65+0.1)*Y133),"-"))),"-")</f>
        <v>-</v>
      </c>
      <c r="AC133" s="224">
        <f t="shared" si="45"/>
        <v>33</v>
      </c>
      <c r="AD133" s="223" t="str">
        <f t="shared" si="17"/>
        <v>-</v>
      </c>
      <c r="AE133" s="224" t="str">
        <f t="shared" si="46"/>
        <v>-</v>
      </c>
      <c r="AF133" s="224" t="str">
        <f t="shared" si="18"/>
        <v>-</v>
      </c>
      <c r="AG133" s="224" t="str">
        <f t="shared" si="19"/>
        <v>-</v>
      </c>
      <c r="AH133" s="272">
        <f t="shared" si="47"/>
        <v>0.1</v>
      </c>
      <c r="AI133" s="271" t="str">
        <f>IFERROR(IF(AD132=1,AI$100*EXP(-(LN(2)/$D$65+0.04)*AF132)*EXP(-(LN(2)/$D$65+0.1)*AG132),IF(AD132=2,AI$100*EXP(-(LN(2)/$D$65+0.04)*(VLOOKUP(($F$16-$F$15)-1,AC$99:AG132,4,FALSE)))*EXP(-(LN(2)/$D$65+0.1)*(VLOOKUP(($F$16-$F$15)-1,AC$99:AG132,5,FALSE)))*EXP(-(LN(2)/$D$65+0.04)*AF132)*EXP(-(LN(2)/$D$65+0.1)*AG132),IF(AD132=3,AI$100*EXP(-(LN(2)/$D$65+0.04)*(VLOOKUP(($F$16-$F$15)-1,AC$99:AG132,4,FALSE)))*EXP(-(LN(2)/$D$65+0.1)*(VLOOKUP(($F$16-$F$15)-1,AC$99:AG132,5,FALSE)))*EXP(-(LN(2)/$D$65+0.04)*(VLOOKUP(($F$16-$F$15)*2-1,AC$99:AG132,4,FALSE)))*EXP(-(LN(2)/$D$65+0.1)*(VLOOKUP(($F$16-$F$15)*2-1,AC$99:AG132,5,FALSE)))*EXP(-(LN(2)/$D$65+0.04)*AF132)*EXP(-(LN(2)/$D$65+0.1)*AG132),"-"))),"-")</f>
        <v>-</v>
      </c>
      <c r="AJ133" s="271" t="str">
        <f>IFERROR(IF(AD133=1,AJ$100*EXP(-(LN(2)/$D$65+0.04)*AF133)*EXP(-(LN(2)/$D$65+0.1)*AG133),IF(AD133=2,AJ$100*EXP(-(LN(2)/$D$65+0.04)*(VLOOKUP(($F$16-$F$15)-1,AC$100:AG133,4,FALSE)))*EXP(-(LN(2)/$D$65+0.1)*(VLOOKUP(($F$16-$F$15)-1,AC$100:AG133,5,FALSE)))*EXP(-(LN(2)/$D$65+0.04)*AF133)*EXP(-(LN(2)/$D$65+0.1)*AG133),IF(AD133=3,AJ$100*EXP(-(LN(2)/$D$65+0.04)*(VLOOKUP(($F$16-$F$15)-1,AC$100:AG133,4,FALSE)))*EXP(-(LN(2)/$D$65+0.1)*(VLOOKUP(($F$16-$F$15)-1,AC$100:AG133,5,FALSE)))*EXP(-(LN(2)/$D$65+0.04)*(VLOOKUP(($F$16-$F$15)*2-1,AC$100:AG133,4,FALSE)))*EXP(-(LN(2)/$D$65+0.1)*(VLOOKUP(($F$16-$F$15)*2-1,AC$100:AG133,5,FALSE)))*EXP(-(LN(2)/$D$65+0.04)*AF133)*EXP(-(LN(2)/$D$65+0.1)*AG133),"-"))),"-")</f>
        <v>-</v>
      </c>
      <c r="AK133" s="227">
        <f t="shared" si="49"/>
        <v>33</v>
      </c>
      <c r="AL133" s="226" t="str">
        <f t="shared" si="21"/>
        <v>-</v>
      </c>
      <c r="AM133" s="227" t="str">
        <f t="shared" si="50"/>
        <v>-</v>
      </c>
      <c r="AN133" s="227" t="str">
        <f t="shared" si="51"/>
        <v>-</v>
      </c>
      <c r="AO133" s="227" t="str">
        <f t="shared" si="22"/>
        <v>-</v>
      </c>
      <c r="AP133" s="273">
        <f t="shared" si="52"/>
        <v>0.1</v>
      </c>
      <c r="AQ133" s="271" t="str">
        <f>IFERROR(IF(AL132=1,AQ$100*EXP(-(LN(2)/$D$65+0.04)*AN132)*EXP(-(LN(2)/$D$65+0.1)*AO132),IF(AL132=2,AQ$100*EXP(-(LN(2)/$D$65+0.04)*(VLOOKUP(($F$16-$F$15)-1,AK$99:AO132,4,FALSE)))*EXP(-(LN(2)/$D$65+0.1)*(VLOOKUP(($F$16-$F$15)-1,AK$99:AO132,5,FALSE)))*EXP(-(LN(2)/$D$65+0.04)*AN132)*EXP(-(LN(2)/$D$65+0.1)*AO132),IF(AL132=3,AQ$100*EXP(-(LN(2)/$D$65+0.04)*(VLOOKUP(($F$16-$F$15)-1,AK$99:AO132,4,FALSE)))*EXP(-(LN(2)/$D$65+0.1)*(VLOOKUP(($F$16-$F$15)-1,AK$99:AO132,5,FALSE)))*EXP(-(LN(2)/$D$65+0.04)*(VLOOKUP(($F$16-$F$15)*2-1,AK$99:AO132,4,FALSE)))*EXP(-(LN(2)/$D$65+0.1)*(VLOOKUP(($F$16-$F$15)*2-1,AK$99:AO132,5,FALSE)))*EXP(-(LN(2)/$D$65+0.04)*AN132)*EXP(-(LN(2)/$D$65+0.1)*AO132),"-"))),"-")</f>
        <v>-</v>
      </c>
      <c r="AR133" s="271" t="str">
        <f>IFERROR(IF(AL133=1,AR$100*EXP(-(LN(2)/$D$65+0.04)*AN133)*EXP(-(LN(2)/$D$65+0.1)*AO133),IF(AL133=2,AR$100*EXP(-(LN(2)/$D$65+0.04)*(VLOOKUP(($F$16-$F$15)-1,AK$100:AO133,4,FALSE)))*EXP(-(LN(2)/$D$65+0.1)*(VLOOKUP(($F$16-$F$15)-1,AK$100:AO133,5,FALSE)))*EXP(-(LN(2)/$D$65+0.04)*AN133)*EXP(-(LN(2)/$D$65+0.1)*AO133),IF(AL133=3,AR$100*EXP(-(LN(2)/$D$65+0.04)*(VLOOKUP(($F$16-$F$15)-1,AK$100:AO133,4,FALSE)))*EXP(-(LN(2)/$D$65+0.1)*(VLOOKUP(($F$16-$F$15)-1,AK$100:AO133,5,FALSE)))*EXP(-(LN(2)/$D$65+0.04)*(VLOOKUP(($F$16-$F$15)*2-1,AK$100:AO133,4,FALSE)))*EXP(-(LN(2)/$D$65+0.1)*(VLOOKUP(($F$16-$F$15)*2-1,AK$100:AO133,5,FALSE)))*EXP(-(LN(2)/$D$65+0.04)*AN133)*EXP(-(LN(2)/$D$65+0.1)*AO133),"-"))),"-")</f>
        <v>-</v>
      </c>
      <c r="AS133" s="274">
        <f t="shared" si="23"/>
        <v>0</v>
      </c>
      <c r="AT133" s="274">
        <f t="shared" si="24"/>
        <v>0</v>
      </c>
      <c r="AU133" s="274">
        <f t="shared" si="25"/>
        <v>0</v>
      </c>
      <c r="AV133" s="190">
        <f>IF($B133&lt;$F$22,SUM($T$100:$T133),"")</f>
        <v>0</v>
      </c>
      <c r="AW133" s="190" t="str">
        <f t="shared" si="84"/>
        <v>-</v>
      </c>
      <c r="AX133" s="190" t="str">
        <f t="shared" si="56"/>
        <v/>
      </c>
      <c r="AY133"/>
      <c r="AZ133" s="190" t="str">
        <f ca="1">IF(ISNUMBER(OFFSET(AV133,-$F$21,0)),SUM(OFFSET($T$100,$F$21,0):$T133),"")</f>
        <v/>
      </c>
      <c r="BA133" s="190" t="str">
        <f t="shared" ca="1" si="85"/>
        <v/>
      </c>
      <c r="BB133" s="190" t="str">
        <f t="shared" ca="1" si="70"/>
        <v/>
      </c>
      <c r="BC133" s="190"/>
      <c r="BD133" s="190" t="str">
        <f ca="1">IFERROR(IF(AND($B133&gt;=($F$16-$F$15),$B133&lt;$F$22+($F$16-$F$15)),SUM(OFFSET($T$100,($F$16-$F$15),0):$T133),""),"")</f>
        <v/>
      </c>
      <c r="BE133" s="190" t="str">
        <f t="shared" ca="1" si="58"/>
        <v/>
      </c>
      <c r="BF133" s="190" t="str">
        <f t="shared" ca="1" si="59"/>
        <v/>
      </c>
      <c r="BG133"/>
      <c r="BH133" s="190" t="str">
        <f ca="1">IF(ISNUMBER(OFFSET(BD133,-$F$21,0)),SUM(OFFSET($T$100,($F$16-$F$15+$F$21),0):$T133),"")</f>
        <v/>
      </c>
      <c r="BI133" s="190" t="str">
        <f t="shared" ca="1" si="86"/>
        <v/>
      </c>
      <c r="BJ133" s="190" t="str">
        <f t="shared" ca="1" si="60"/>
        <v/>
      </c>
      <c r="BK133" s="190"/>
      <c r="BL133" s="190" t="str">
        <f ca="1">IFERROR(IF(AND($B133&gt;=($F$17-$F$15),$B133&lt;$F$22+($F$17-$F$15)),SUM(OFFSET($T$100,($F$17-$F$15),0):$T133),""),"")</f>
        <v/>
      </c>
      <c r="BM133" s="190" t="str">
        <f t="shared" ca="1" si="87"/>
        <v/>
      </c>
      <c r="BN133" s="190" t="str">
        <f t="shared" ca="1" si="61"/>
        <v/>
      </c>
      <c r="BO133"/>
      <c r="BP133" s="190" t="str">
        <f ca="1">IF(ISNUMBER(OFFSET(BL133,-$F$21,0)),SUM(OFFSET($T$100,($F$17-$F$15+$F$21),0):$T133),"")</f>
        <v/>
      </c>
      <c r="BQ133" s="190" t="str">
        <f t="shared" ca="1" si="88"/>
        <v/>
      </c>
      <c r="BR133" s="190" t="str">
        <f t="shared" ca="1" si="63"/>
        <v/>
      </c>
      <c r="BS133" s="190"/>
      <c r="BT133"/>
      <c r="BU133"/>
      <c r="BV133"/>
      <c r="BY133" s="99"/>
      <c r="BZ133" s="99"/>
      <c r="CA133" s="280" t="str">
        <f t="shared" si="89"/>
        <v/>
      </c>
      <c r="CB133" s="71" t="str">
        <f t="shared" si="30"/>
        <v>-</v>
      </c>
      <c r="CC133" s="33"/>
      <c r="CD133" s="261" t="str">
        <f t="shared" si="32"/>
        <v/>
      </c>
      <c r="CE133" s="280" t="str">
        <f t="shared" si="90"/>
        <v>-</v>
      </c>
      <c r="CF133" s="71" t="str">
        <f t="shared" ca="1" si="91"/>
        <v>-</v>
      </c>
      <c r="CG133" s="33" t="str">
        <f t="shared" si="35"/>
        <v>33-34</v>
      </c>
      <c r="CH133" s="261" t="str">
        <f t="shared" ca="1" si="36"/>
        <v/>
      </c>
      <c r="CI133" s="99"/>
      <c r="CJ133" s="99"/>
      <c r="CK133" s="99"/>
      <c r="CL133" s="99"/>
      <c r="CM133" s="99"/>
      <c r="CN133" s="99"/>
      <c r="CO133" s="99"/>
    </row>
    <row r="134" spans="2:93" ht="13.5" customHeight="1" x14ac:dyDescent="0.2">
      <c r="B134" s="262">
        <v>34</v>
      </c>
      <c r="C134" s="237" t="str">
        <f t="shared" si="71"/>
        <v/>
      </c>
      <c r="D134" s="237" t="str">
        <f t="shared" si="66"/>
        <v>-</v>
      </c>
      <c r="E134" s="290" t="str">
        <f t="shared" si="37"/>
        <v/>
      </c>
      <c r="F134" s="264" t="str">
        <f t="shared" si="38"/>
        <v/>
      </c>
      <c r="G134" s="291" t="str">
        <f t="shared" si="39"/>
        <v/>
      </c>
      <c r="H134" s="240" t="str">
        <f t="shared" si="72"/>
        <v/>
      </c>
      <c r="I134" s="265" t="str">
        <f t="shared" si="73"/>
        <v/>
      </c>
      <c r="J134" s="265" t="str">
        <f t="shared" si="74"/>
        <v/>
      </c>
      <c r="K134" s="240" t="str">
        <f t="shared" si="75"/>
        <v/>
      </c>
      <c r="L134" s="265" t="str">
        <f t="shared" si="76"/>
        <v/>
      </c>
      <c r="M134" s="265" t="str">
        <f t="shared" si="77"/>
        <v/>
      </c>
      <c r="N134" s="240" t="str">
        <f t="shared" si="78"/>
        <v>-</v>
      </c>
      <c r="O134" s="265" t="str">
        <f t="shared" si="79"/>
        <v>-</v>
      </c>
      <c r="P134" s="265" t="str">
        <f t="shared" si="80"/>
        <v>-</v>
      </c>
      <c r="Q134" s="266" t="str">
        <f t="shared" si="81"/>
        <v>-</v>
      </c>
      <c r="R134" s="267" t="str">
        <f t="shared" si="82"/>
        <v>-</v>
      </c>
      <c r="S134" s="268" t="str">
        <f t="shared" si="83"/>
        <v>-</v>
      </c>
      <c r="T134" s="269" t="str">
        <f t="shared" si="12"/>
        <v/>
      </c>
      <c r="U134" s="221">
        <f t="shared" si="13"/>
        <v>34</v>
      </c>
      <c r="V134" s="220" t="str">
        <f t="shared" si="42"/>
        <v>-</v>
      </c>
      <c r="W134" s="221" t="str">
        <f t="shared" si="43"/>
        <v>-</v>
      </c>
      <c r="X134" s="221" t="str">
        <f t="shared" si="14"/>
        <v>-</v>
      </c>
      <c r="Y134" s="221" t="str">
        <f t="shared" si="15"/>
        <v>-</v>
      </c>
      <c r="Z134" s="270">
        <f t="shared" si="44"/>
        <v>0.1</v>
      </c>
      <c r="AA134" s="271" t="str">
        <f>IFERROR(IF(V133=1,AA$100*EXP(-(LN(2)/$D$65+0.04)*X133)*EXP(-(LN(2)/$D$65+0.1)*Y133),IF(V133=2,AA$100*EXP(-(LN(2)/$D$65+0.04)*(VLOOKUP(($F$16-$F$15)-1,U$99:Y133,4,FALSE)))*EXP(-(LN(2)/$D$65+0.1)*(VLOOKUP(($F$16-$F$15)-1,U$99:Y133,5,FALSE)))*EXP(-(LN(2)/$D$65+0.04)*X133)*EXP(-(LN(2)/$D$65+0.1)*Y133),IF(V133=3,AA$100*EXP(-(LN(2)/$D$65+0.04)*(VLOOKUP(($F$16-$F$15)-1,U$99:Y133,4,FALSE)))*EXP(-(LN(2)/$D$65+0.1)*(VLOOKUP(($F$16-$F$15)-1,U$99:Y133,5,FALSE)))*EXP(-(LN(2)/$D$65+0.04)*(VLOOKUP(($F$16-$F$15)*2-1,U$99:Y133,4,FALSE)))*EXP(-(LN(2)/$D$65+0.1)*(VLOOKUP(($F$16-$F$15)*2-1,U$99:Y133,5,FALSE)))*EXP(-(LN(2)/$D$65+0.04)*X133)*EXP(-(LN(2)/$D$65+0.1)*Y133),"-"))),"-")</f>
        <v>-</v>
      </c>
      <c r="AB134" s="271" t="str">
        <f>IFERROR(IF(V134=1,AB$100*EXP(-(LN(2)/$D$65+0.04)*X134)*EXP(-(LN(2)/$D$65+0.1)*Y134),IF(V134=2,AB$100*EXP(-(LN(2)/$D$65+0.04)*(VLOOKUP(($F$16-$F$15)-1,U$100:Y134,4,FALSE)))*EXP(-(LN(2)/$D$65+0.1)*(VLOOKUP(($F$16-$F$15)-1,U$100:Y134,5,FALSE)))*EXP(-(LN(2)/$D$65+0.04)*X134)*EXP(-(LN(2)/$D$65+0.1)*Y134),IF(V134=3,AB$100*EXP(-(LN(2)/$D$65+0.04)*(VLOOKUP(($F$16-$F$15)-1,U$100:Y134,4,FALSE)))*EXP(-(LN(2)/$D$65+0.1)*(VLOOKUP(($F$16-$F$15)-1,U$100:Y134,5,FALSE)))*EXP(-(LN(2)/$D$65+0.04)*(VLOOKUP(($F$16-$F$15)*2-1,U$100:Y134,4,FALSE)))*EXP(-(LN(2)/$D$65+0.1)*(VLOOKUP(($F$16-$F$15)*2-1,U$100:Y134,5,FALSE)))*EXP(-(LN(2)/$D$65+0.04)*X134)*EXP(-(LN(2)/$D$65+0.1)*Y134),"-"))),"-")</f>
        <v>-</v>
      </c>
      <c r="AC134" s="224">
        <f t="shared" si="45"/>
        <v>34</v>
      </c>
      <c r="AD134" s="223" t="str">
        <f t="shared" si="17"/>
        <v>-</v>
      </c>
      <c r="AE134" s="224" t="str">
        <f t="shared" si="46"/>
        <v>-</v>
      </c>
      <c r="AF134" s="224" t="str">
        <f t="shared" si="18"/>
        <v>-</v>
      </c>
      <c r="AG134" s="224" t="str">
        <f t="shared" si="19"/>
        <v>-</v>
      </c>
      <c r="AH134" s="272">
        <f t="shared" si="47"/>
        <v>0.1</v>
      </c>
      <c r="AI134" s="271" t="str">
        <f>IFERROR(IF(AD133=1,AI$100*EXP(-(LN(2)/$D$65+0.04)*AF133)*EXP(-(LN(2)/$D$65+0.1)*AG133),IF(AD133=2,AI$100*EXP(-(LN(2)/$D$65+0.04)*(VLOOKUP(($F$16-$F$15)-1,AC$99:AG133,4,FALSE)))*EXP(-(LN(2)/$D$65+0.1)*(VLOOKUP(($F$16-$F$15)-1,AC$99:AG133,5,FALSE)))*EXP(-(LN(2)/$D$65+0.04)*AF133)*EXP(-(LN(2)/$D$65+0.1)*AG133),IF(AD133=3,AI$100*EXP(-(LN(2)/$D$65+0.04)*(VLOOKUP(($F$16-$F$15)-1,AC$99:AG133,4,FALSE)))*EXP(-(LN(2)/$D$65+0.1)*(VLOOKUP(($F$16-$F$15)-1,AC$99:AG133,5,FALSE)))*EXP(-(LN(2)/$D$65+0.04)*(VLOOKUP(($F$16-$F$15)*2-1,AC$99:AG133,4,FALSE)))*EXP(-(LN(2)/$D$65+0.1)*(VLOOKUP(($F$16-$F$15)*2-1,AC$99:AG133,5,FALSE)))*EXP(-(LN(2)/$D$65+0.04)*AF133)*EXP(-(LN(2)/$D$65+0.1)*AG133),"-"))),"-")</f>
        <v>-</v>
      </c>
      <c r="AJ134" s="271" t="str">
        <f>IFERROR(IF(AD134=1,AJ$100*EXP(-(LN(2)/$D$65+0.04)*AF134)*EXP(-(LN(2)/$D$65+0.1)*AG134),IF(AD134=2,AJ$100*EXP(-(LN(2)/$D$65+0.04)*(VLOOKUP(($F$16-$F$15)-1,AC$100:AG134,4,FALSE)))*EXP(-(LN(2)/$D$65+0.1)*(VLOOKUP(($F$16-$F$15)-1,AC$100:AG134,5,FALSE)))*EXP(-(LN(2)/$D$65+0.04)*AF134)*EXP(-(LN(2)/$D$65+0.1)*AG134),IF(AD134=3,AJ$100*EXP(-(LN(2)/$D$65+0.04)*(VLOOKUP(($F$16-$F$15)-1,AC$100:AG134,4,FALSE)))*EXP(-(LN(2)/$D$65+0.1)*(VLOOKUP(($F$16-$F$15)-1,AC$100:AG134,5,FALSE)))*EXP(-(LN(2)/$D$65+0.04)*(VLOOKUP(($F$16-$F$15)*2-1,AC$100:AG134,4,FALSE)))*EXP(-(LN(2)/$D$65+0.1)*(VLOOKUP(($F$16-$F$15)*2-1,AC$100:AG134,5,FALSE)))*EXP(-(LN(2)/$D$65+0.04)*AF134)*EXP(-(LN(2)/$D$65+0.1)*AG134),"-"))),"-")</f>
        <v>-</v>
      </c>
      <c r="AK134" s="227">
        <f t="shared" si="49"/>
        <v>34</v>
      </c>
      <c r="AL134" s="226" t="str">
        <f t="shared" si="21"/>
        <v>-</v>
      </c>
      <c r="AM134" s="227" t="str">
        <f t="shared" si="50"/>
        <v>-</v>
      </c>
      <c r="AN134" s="227" t="str">
        <f t="shared" si="51"/>
        <v>-</v>
      </c>
      <c r="AO134" s="227" t="str">
        <f t="shared" si="22"/>
        <v>-</v>
      </c>
      <c r="AP134" s="273">
        <f t="shared" si="52"/>
        <v>0.1</v>
      </c>
      <c r="AQ134" s="271" t="str">
        <f>IFERROR(IF(AL133=1,AQ$100*EXP(-(LN(2)/$D$65+0.04)*AN133)*EXP(-(LN(2)/$D$65+0.1)*AO133),IF(AL133=2,AQ$100*EXP(-(LN(2)/$D$65+0.04)*(VLOOKUP(($F$16-$F$15)-1,AK$99:AO133,4,FALSE)))*EXP(-(LN(2)/$D$65+0.1)*(VLOOKUP(($F$16-$F$15)-1,AK$99:AO133,5,FALSE)))*EXP(-(LN(2)/$D$65+0.04)*AN133)*EXP(-(LN(2)/$D$65+0.1)*AO133),IF(AL133=3,AQ$100*EXP(-(LN(2)/$D$65+0.04)*(VLOOKUP(($F$16-$F$15)-1,AK$99:AO133,4,FALSE)))*EXP(-(LN(2)/$D$65+0.1)*(VLOOKUP(($F$16-$F$15)-1,AK$99:AO133,5,FALSE)))*EXP(-(LN(2)/$D$65+0.04)*(VLOOKUP(($F$16-$F$15)*2-1,AK$99:AO133,4,FALSE)))*EXP(-(LN(2)/$D$65+0.1)*(VLOOKUP(($F$16-$F$15)*2-1,AK$99:AO133,5,FALSE)))*EXP(-(LN(2)/$D$65+0.04)*AN133)*EXP(-(LN(2)/$D$65+0.1)*AO133),"-"))),"-")</f>
        <v>-</v>
      </c>
      <c r="AR134" s="271" t="str">
        <f>IFERROR(IF(AL134=1,AR$100*EXP(-(LN(2)/$D$65+0.04)*AN134)*EXP(-(LN(2)/$D$65+0.1)*AO134),IF(AL134=2,AR$100*EXP(-(LN(2)/$D$65+0.04)*(VLOOKUP(($F$16-$F$15)-1,AK$100:AO134,4,FALSE)))*EXP(-(LN(2)/$D$65+0.1)*(VLOOKUP(($F$16-$F$15)-1,AK$100:AO134,5,FALSE)))*EXP(-(LN(2)/$D$65+0.04)*AN134)*EXP(-(LN(2)/$D$65+0.1)*AO134),IF(AL134=3,AR$100*EXP(-(LN(2)/$D$65+0.04)*(VLOOKUP(($F$16-$F$15)-1,AK$100:AO134,4,FALSE)))*EXP(-(LN(2)/$D$65+0.1)*(VLOOKUP(($F$16-$F$15)-1,AK$100:AO134,5,FALSE)))*EXP(-(LN(2)/$D$65+0.04)*(VLOOKUP(($F$16-$F$15)*2-1,AK$100:AO134,4,FALSE)))*EXP(-(LN(2)/$D$65+0.1)*(VLOOKUP(($F$16-$F$15)*2-1,AK$100:AO134,5,FALSE)))*EXP(-(LN(2)/$D$65+0.04)*AN134)*EXP(-(LN(2)/$D$65+0.1)*AO134),"-"))),"-")</f>
        <v>-</v>
      </c>
      <c r="AS134" s="274">
        <f t="shared" si="23"/>
        <v>0</v>
      </c>
      <c r="AT134" s="274">
        <f t="shared" si="24"/>
        <v>0</v>
      </c>
      <c r="AU134" s="274">
        <f t="shared" si="25"/>
        <v>0</v>
      </c>
      <c r="AV134" s="190">
        <f>IF($B134&lt;$F$22,SUM($T$100:$T134),"")</f>
        <v>0</v>
      </c>
      <c r="AW134" s="190" t="str">
        <f t="shared" si="84"/>
        <v>-</v>
      </c>
      <c r="AX134" s="190" t="str">
        <f t="shared" si="56"/>
        <v/>
      </c>
      <c r="AY134"/>
      <c r="AZ134" s="190" t="str">
        <f ca="1">IF(ISNUMBER(OFFSET(AV134,-$F$21,0)),SUM(OFFSET($T$100,$F$21,0):$T134),"")</f>
        <v/>
      </c>
      <c r="BA134" s="190" t="str">
        <f t="shared" ca="1" si="85"/>
        <v/>
      </c>
      <c r="BB134" s="190" t="str">
        <f t="shared" ca="1" si="70"/>
        <v/>
      </c>
      <c r="BC134" s="190"/>
      <c r="BD134" s="190" t="str">
        <f ca="1">IFERROR(IF(AND($B134&gt;=($F$16-$F$15),$B134&lt;$F$22+($F$16-$F$15)),SUM(OFFSET($T$100,($F$16-$F$15),0):$T134),""),"")</f>
        <v/>
      </c>
      <c r="BE134" s="190" t="str">
        <f t="shared" ca="1" si="58"/>
        <v/>
      </c>
      <c r="BF134" s="190" t="str">
        <f t="shared" ca="1" si="59"/>
        <v/>
      </c>
      <c r="BG134"/>
      <c r="BH134" s="190" t="str">
        <f ca="1">IF(ISNUMBER(OFFSET(BD134,-$F$21,0)),SUM(OFFSET($T$100,($F$16-$F$15+$F$21),0):$T134),"")</f>
        <v/>
      </c>
      <c r="BI134" s="190" t="str">
        <f t="shared" ca="1" si="86"/>
        <v/>
      </c>
      <c r="BJ134" s="190" t="str">
        <f t="shared" ca="1" si="60"/>
        <v/>
      </c>
      <c r="BK134" s="190"/>
      <c r="BL134" s="190" t="str">
        <f ca="1">IFERROR(IF(AND($B134&gt;=($F$17-$F$15),$B134&lt;$F$22+($F$17-$F$15)),SUM(OFFSET($T$100,($F$17-$F$15),0):$T134),""),"")</f>
        <v/>
      </c>
      <c r="BM134" s="190" t="str">
        <f t="shared" ca="1" si="87"/>
        <v/>
      </c>
      <c r="BN134" s="190" t="str">
        <f t="shared" ca="1" si="61"/>
        <v/>
      </c>
      <c r="BO134"/>
      <c r="BP134" s="190" t="str">
        <f ca="1">IF(ISNUMBER(OFFSET(BL134,-$F$21,0)),SUM(OFFSET($T$100,($F$17-$F$15+$F$21),0):$T134),"")</f>
        <v/>
      </c>
      <c r="BQ134" s="190" t="str">
        <f t="shared" ca="1" si="88"/>
        <v/>
      </c>
      <c r="BR134" s="190" t="str">
        <f t="shared" ca="1" si="63"/>
        <v/>
      </c>
      <c r="BS134" s="190"/>
      <c r="BT134"/>
      <c r="BU134"/>
      <c r="BV134"/>
      <c r="BY134" s="99"/>
      <c r="BZ134" s="99"/>
      <c r="CA134" s="280" t="str">
        <f t="shared" si="89"/>
        <v/>
      </c>
      <c r="CB134" s="71" t="str">
        <f t="shared" si="30"/>
        <v>-</v>
      </c>
      <c r="CC134" s="33"/>
      <c r="CD134" s="261" t="str">
        <f t="shared" si="32"/>
        <v/>
      </c>
      <c r="CE134" s="280" t="str">
        <f t="shared" si="90"/>
        <v>-</v>
      </c>
      <c r="CF134" s="71" t="str">
        <f t="shared" ca="1" si="91"/>
        <v>-</v>
      </c>
      <c r="CG134" s="33" t="str">
        <f t="shared" si="35"/>
        <v>34-35</v>
      </c>
      <c r="CH134" s="261" t="str">
        <f t="shared" ca="1" si="36"/>
        <v/>
      </c>
      <c r="CI134" s="99"/>
      <c r="CJ134" s="99"/>
      <c r="CK134" s="99"/>
      <c r="CL134" s="99"/>
      <c r="CM134" s="99"/>
      <c r="CN134" s="99"/>
      <c r="CO134" s="99"/>
    </row>
    <row r="135" spans="2:93" ht="13.5" customHeight="1" x14ac:dyDescent="0.2">
      <c r="B135" s="262">
        <v>35</v>
      </c>
      <c r="C135" s="237" t="str">
        <f t="shared" si="71"/>
        <v/>
      </c>
      <c r="D135" s="237" t="str">
        <f t="shared" si="66"/>
        <v>-</v>
      </c>
      <c r="E135" s="290" t="str">
        <f t="shared" si="37"/>
        <v/>
      </c>
      <c r="F135" s="264" t="str">
        <f t="shared" si="38"/>
        <v/>
      </c>
      <c r="G135" s="291" t="str">
        <f t="shared" si="39"/>
        <v/>
      </c>
      <c r="H135" s="240" t="str">
        <f t="shared" si="72"/>
        <v/>
      </c>
      <c r="I135" s="265" t="str">
        <f t="shared" si="73"/>
        <v/>
      </c>
      <c r="J135" s="265" t="str">
        <f t="shared" si="74"/>
        <v/>
      </c>
      <c r="K135" s="240" t="str">
        <f t="shared" si="75"/>
        <v/>
      </c>
      <c r="L135" s="265" t="str">
        <f t="shared" si="76"/>
        <v/>
      </c>
      <c r="M135" s="265" t="str">
        <f t="shared" si="77"/>
        <v/>
      </c>
      <c r="N135" s="240" t="str">
        <f t="shared" si="78"/>
        <v>-</v>
      </c>
      <c r="O135" s="265" t="str">
        <f t="shared" si="79"/>
        <v>-</v>
      </c>
      <c r="P135" s="265" t="str">
        <f t="shared" si="80"/>
        <v>-</v>
      </c>
      <c r="Q135" s="266" t="str">
        <f t="shared" si="81"/>
        <v>-</v>
      </c>
      <c r="R135" s="267" t="str">
        <f t="shared" si="82"/>
        <v>-</v>
      </c>
      <c r="S135" s="268" t="str">
        <f t="shared" si="83"/>
        <v>-</v>
      </c>
      <c r="T135" s="269" t="str">
        <f t="shared" si="12"/>
        <v/>
      </c>
      <c r="U135" s="221">
        <f t="shared" si="13"/>
        <v>35</v>
      </c>
      <c r="V135" s="220" t="str">
        <f t="shared" si="42"/>
        <v>-</v>
      </c>
      <c r="W135" s="221" t="str">
        <f t="shared" si="43"/>
        <v>-</v>
      </c>
      <c r="X135" s="221" t="str">
        <f t="shared" si="14"/>
        <v>-</v>
      </c>
      <c r="Y135" s="221" t="str">
        <f t="shared" si="15"/>
        <v>-</v>
      </c>
      <c r="Z135" s="270">
        <f t="shared" si="44"/>
        <v>0.1</v>
      </c>
      <c r="AA135" s="271" t="str">
        <f>IFERROR(IF(V134=1,AA$100*EXP(-(LN(2)/$D$65+0.04)*X134)*EXP(-(LN(2)/$D$65+0.1)*Y134),IF(V134=2,AA$100*EXP(-(LN(2)/$D$65+0.04)*(VLOOKUP(($F$16-$F$15)-1,U$99:Y134,4,FALSE)))*EXP(-(LN(2)/$D$65+0.1)*(VLOOKUP(($F$16-$F$15)-1,U$99:Y134,5,FALSE)))*EXP(-(LN(2)/$D$65+0.04)*X134)*EXP(-(LN(2)/$D$65+0.1)*Y134),IF(V134=3,AA$100*EXP(-(LN(2)/$D$65+0.04)*(VLOOKUP(($F$16-$F$15)-1,U$99:Y134,4,FALSE)))*EXP(-(LN(2)/$D$65+0.1)*(VLOOKUP(($F$16-$F$15)-1,U$99:Y134,5,FALSE)))*EXP(-(LN(2)/$D$65+0.04)*(VLOOKUP(($F$16-$F$15)*2-1,U$99:Y134,4,FALSE)))*EXP(-(LN(2)/$D$65+0.1)*(VLOOKUP(($F$16-$F$15)*2-1,U$99:Y134,5,FALSE)))*EXP(-(LN(2)/$D$65+0.04)*X134)*EXP(-(LN(2)/$D$65+0.1)*Y134),"-"))),"-")</f>
        <v>-</v>
      </c>
      <c r="AB135" s="271" t="str">
        <f>IFERROR(IF(V135=1,AB$100*EXP(-(LN(2)/$D$65+0.04)*X135)*EXP(-(LN(2)/$D$65+0.1)*Y135),IF(V135=2,AB$100*EXP(-(LN(2)/$D$65+0.04)*(VLOOKUP(($F$16-$F$15)-1,U$100:Y135,4,FALSE)))*EXP(-(LN(2)/$D$65+0.1)*(VLOOKUP(($F$16-$F$15)-1,U$100:Y135,5,FALSE)))*EXP(-(LN(2)/$D$65+0.04)*X135)*EXP(-(LN(2)/$D$65+0.1)*Y135),IF(V135=3,AB$100*EXP(-(LN(2)/$D$65+0.04)*(VLOOKUP(($F$16-$F$15)-1,U$100:Y135,4,FALSE)))*EXP(-(LN(2)/$D$65+0.1)*(VLOOKUP(($F$16-$F$15)-1,U$100:Y135,5,FALSE)))*EXP(-(LN(2)/$D$65+0.04)*(VLOOKUP(($F$16-$F$15)*2-1,U$100:Y135,4,FALSE)))*EXP(-(LN(2)/$D$65+0.1)*(VLOOKUP(($F$16-$F$15)*2-1,U$100:Y135,5,FALSE)))*EXP(-(LN(2)/$D$65+0.04)*X135)*EXP(-(LN(2)/$D$65+0.1)*Y135),"-"))),"-")</f>
        <v>-</v>
      </c>
      <c r="AC135" s="224">
        <f t="shared" si="45"/>
        <v>35</v>
      </c>
      <c r="AD135" s="223" t="str">
        <f t="shared" si="17"/>
        <v>-</v>
      </c>
      <c r="AE135" s="224" t="str">
        <f t="shared" si="46"/>
        <v>-</v>
      </c>
      <c r="AF135" s="224" t="str">
        <f t="shared" si="18"/>
        <v>-</v>
      </c>
      <c r="AG135" s="224" t="str">
        <f t="shared" si="19"/>
        <v>-</v>
      </c>
      <c r="AH135" s="272">
        <f t="shared" si="47"/>
        <v>0.1</v>
      </c>
      <c r="AI135" s="271" t="str">
        <f>IFERROR(IF(AD134=1,AI$100*EXP(-(LN(2)/$D$65+0.04)*AF134)*EXP(-(LN(2)/$D$65+0.1)*AG134),IF(AD134=2,AI$100*EXP(-(LN(2)/$D$65+0.04)*(VLOOKUP(($F$16-$F$15)-1,AC$99:AG134,4,FALSE)))*EXP(-(LN(2)/$D$65+0.1)*(VLOOKUP(($F$16-$F$15)-1,AC$99:AG134,5,FALSE)))*EXP(-(LN(2)/$D$65+0.04)*AF134)*EXP(-(LN(2)/$D$65+0.1)*AG134),IF(AD134=3,AI$100*EXP(-(LN(2)/$D$65+0.04)*(VLOOKUP(($F$16-$F$15)-1,AC$99:AG134,4,FALSE)))*EXP(-(LN(2)/$D$65+0.1)*(VLOOKUP(($F$16-$F$15)-1,AC$99:AG134,5,FALSE)))*EXP(-(LN(2)/$D$65+0.04)*(VLOOKUP(($F$16-$F$15)*2-1,AC$99:AG134,4,FALSE)))*EXP(-(LN(2)/$D$65+0.1)*(VLOOKUP(($F$16-$F$15)*2-1,AC$99:AG134,5,FALSE)))*EXP(-(LN(2)/$D$65+0.04)*AF134)*EXP(-(LN(2)/$D$65+0.1)*AG134),"-"))),"-")</f>
        <v>-</v>
      </c>
      <c r="AJ135" s="271" t="str">
        <f>IFERROR(IF(AD135=1,AJ$100*EXP(-(LN(2)/$D$65+0.04)*AF135)*EXP(-(LN(2)/$D$65+0.1)*AG135),IF(AD135=2,AJ$100*EXP(-(LN(2)/$D$65+0.04)*(VLOOKUP(($F$16-$F$15)-1,AC$100:AG135,4,FALSE)))*EXP(-(LN(2)/$D$65+0.1)*(VLOOKUP(($F$16-$F$15)-1,AC$100:AG135,5,FALSE)))*EXP(-(LN(2)/$D$65+0.04)*AF135)*EXP(-(LN(2)/$D$65+0.1)*AG135),IF(AD135=3,AJ$100*EXP(-(LN(2)/$D$65+0.04)*(VLOOKUP(($F$16-$F$15)-1,AC$100:AG135,4,FALSE)))*EXP(-(LN(2)/$D$65+0.1)*(VLOOKUP(($F$16-$F$15)-1,AC$100:AG135,5,FALSE)))*EXP(-(LN(2)/$D$65+0.04)*(VLOOKUP(($F$16-$F$15)*2-1,AC$100:AG135,4,FALSE)))*EXP(-(LN(2)/$D$65+0.1)*(VLOOKUP(($F$16-$F$15)*2-1,AC$100:AG135,5,FALSE)))*EXP(-(LN(2)/$D$65+0.04)*AF135)*EXP(-(LN(2)/$D$65+0.1)*AG135),"-"))),"-")</f>
        <v>-</v>
      </c>
      <c r="AK135" s="227">
        <f t="shared" si="49"/>
        <v>35</v>
      </c>
      <c r="AL135" s="226" t="str">
        <f t="shared" si="21"/>
        <v>-</v>
      </c>
      <c r="AM135" s="227" t="str">
        <f t="shared" si="50"/>
        <v>-</v>
      </c>
      <c r="AN135" s="227" t="str">
        <f t="shared" si="51"/>
        <v>-</v>
      </c>
      <c r="AO135" s="227" t="str">
        <f t="shared" si="22"/>
        <v>-</v>
      </c>
      <c r="AP135" s="273">
        <f t="shared" si="52"/>
        <v>0.1</v>
      </c>
      <c r="AQ135" s="271" t="str">
        <f>IFERROR(IF(AL134=1,AQ$100*EXP(-(LN(2)/$D$65+0.04)*AN134)*EXP(-(LN(2)/$D$65+0.1)*AO134),IF(AL134=2,AQ$100*EXP(-(LN(2)/$D$65+0.04)*(VLOOKUP(($F$16-$F$15)-1,AK$99:AO134,4,FALSE)))*EXP(-(LN(2)/$D$65+0.1)*(VLOOKUP(($F$16-$F$15)-1,AK$99:AO134,5,FALSE)))*EXP(-(LN(2)/$D$65+0.04)*AN134)*EXP(-(LN(2)/$D$65+0.1)*AO134),IF(AL134=3,AQ$100*EXP(-(LN(2)/$D$65+0.04)*(VLOOKUP(($F$16-$F$15)-1,AK$99:AO134,4,FALSE)))*EXP(-(LN(2)/$D$65+0.1)*(VLOOKUP(($F$16-$F$15)-1,AK$99:AO134,5,FALSE)))*EXP(-(LN(2)/$D$65+0.04)*(VLOOKUP(($F$16-$F$15)*2-1,AK$99:AO134,4,FALSE)))*EXP(-(LN(2)/$D$65+0.1)*(VLOOKUP(($F$16-$F$15)*2-1,AK$99:AO134,5,FALSE)))*EXP(-(LN(2)/$D$65+0.04)*AN134)*EXP(-(LN(2)/$D$65+0.1)*AO134),"-"))),"-")</f>
        <v>-</v>
      </c>
      <c r="AR135" s="271" t="str">
        <f>IFERROR(IF(AL135=1,AR$100*EXP(-(LN(2)/$D$65+0.04)*AN135)*EXP(-(LN(2)/$D$65+0.1)*AO135),IF(AL135=2,AR$100*EXP(-(LN(2)/$D$65+0.04)*(VLOOKUP(($F$16-$F$15)-1,AK$100:AO135,4,FALSE)))*EXP(-(LN(2)/$D$65+0.1)*(VLOOKUP(($F$16-$F$15)-1,AK$100:AO135,5,FALSE)))*EXP(-(LN(2)/$D$65+0.04)*AN135)*EXP(-(LN(2)/$D$65+0.1)*AO135),IF(AL135=3,AR$100*EXP(-(LN(2)/$D$65+0.04)*(VLOOKUP(($F$16-$F$15)-1,AK$100:AO135,4,FALSE)))*EXP(-(LN(2)/$D$65+0.1)*(VLOOKUP(($F$16-$F$15)-1,AK$100:AO135,5,FALSE)))*EXP(-(LN(2)/$D$65+0.04)*(VLOOKUP(($F$16-$F$15)*2-1,AK$100:AO135,4,FALSE)))*EXP(-(LN(2)/$D$65+0.1)*(VLOOKUP(($F$16-$F$15)*2-1,AK$100:AO135,5,FALSE)))*EXP(-(LN(2)/$D$65+0.04)*AN135)*EXP(-(LN(2)/$D$65+0.1)*AO135),"-"))),"-")</f>
        <v>-</v>
      </c>
      <c r="AS135" s="274">
        <f t="shared" si="23"/>
        <v>0</v>
      </c>
      <c r="AT135" s="274">
        <f t="shared" si="24"/>
        <v>0</v>
      </c>
      <c r="AU135" s="274">
        <f t="shared" si="25"/>
        <v>0</v>
      </c>
      <c r="AV135" s="190">
        <f>IF($B135&lt;$F$22,SUM($T$100:$T135),"")</f>
        <v>0</v>
      </c>
      <c r="AW135" s="190" t="str">
        <f t="shared" si="84"/>
        <v>-</v>
      </c>
      <c r="AX135" s="190" t="str">
        <f t="shared" si="56"/>
        <v/>
      </c>
      <c r="AY135"/>
      <c r="AZ135" s="190" t="str">
        <f ca="1">IF(ISNUMBER(OFFSET(AV135,-$F$21,0)),SUM(OFFSET($T$100,$F$21,0):$T135),"")</f>
        <v/>
      </c>
      <c r="BA135" s="190" t="str">
        <f t="shared" ca="1" si="85"/>
        <v/>
      </c>
      <c r="BB135" s="190" t="str">
        <f t="shared" ca="1" si="70"/>
        <v/>
      </c>
      <c r="BC135" s="190"/>
      <c r="BD135" s="190" t="str">
        <f ca="1">IFERROR(IF(AND($B135&gt;=($F$16-$F$15),$B135&lt;$F$22+($F$16-$F$15)),SUM(OFFSET($T$100,($F$16-$F$15),0):$T135),""),"")</f>
        <v/>
      </c>
      <c r="BE135" s="190" t="str">
        <f t="shared" ca="1" si="58"/>
        <v/>
      </c>
      <c r="BF135" s="190" t="str">
        <f t="shared" ca="1" si="59"/>
        <v/>
      </c>
      <c r="BG135"/>
      <c r="BH135" s="190" t="str">
        <f ca="1">IF(ISNUMBER(OFFSET(BD135,-$F$21,0)),SUM(OFFSET($T$100,($F$16-$F$15+$F$21),0):$T135),"")</f>
        <v/>
      </c>
      <c r="BI135" s="190" t="str">
        <f t="shared" ca="1" si="86"/>
        <v/>
      </c>
      <c r="BJ135" s="190" t="str">
        <f t="shared" ca="1" si="60"/>
        <v/>
      </c>
      <c r="BK135" s="190"/>
      <c r="BL135" s="190" t="str">
        <f ca="1">IFERROR(IF(AND($B135&gt;=($F$17-$F$15),$B135&lt;$F$22+($F$17-$F$15)),SUM(OFFSET($T$100,($F$17-$F$15),0):$T135),""),"")</f>
        <v/>
      </c>
      <c r="BM135" s="190" t="str">
        <f t="shared" ca="1" si="87"/>
        <v/>
      </c>
      <c r="BN135" s="190" t="str">
        <f t="shared" ca="1" si="61"/>
        <v/>
      </c>
      <c r="BO135"/>
      <c r="BP135" s="190" t="str">
        <f ca="1">IF(ISNUMBER(OFFSET(BL135,-$F$21,0)),SUM(OFFSET($T$100,($F$17-$F$15+$F$21),0):$T135),"")</f>
        <v/>
      </c>
      <c r="BQ135" s="190" t="str">
        <f t="shared" ca="1" si="88"/>
        <v/>
      </c>
      <c r="BR135" s="190" t="str">
        <f t="shared" ca="1" si="63"/>
        <v/>
      </c>
      <c r="BS135" s="190"/>
      <c r="BT135"/>
      <c r="BU135"/>
      <c r="BV135"/>
      <c r="BY135" s="99"/>
      <c r="BZ135" s="99"/>
      <c r="CA135" s="280" t="str">
        <f t="shared" si="89"/>
        <v/>
      </c>
      <c r="CB135" s="71" t="str">
        <f t="shared" si="30"/>
        <v>-</v>
      </c>
      <c r="CC135" s="33"/>
      <c r="CD135" s="261" t="str">
        <f t="shared" si="32"/>
        <v/>
      </c>
      <c r="CE135" s="280" t="str">
        <f t="shared" si="90"/>
        <v>-</v>
      </c>
      <c r="CF135" s="71" t="str">
        <f t="shared" ca="1" si="91"/>
        <v>-</v>
      </c>
      <c r="CG135" s="33" t="str">
        <f t="shared" si="35"/>
        <v>35-36</v>
      </c>
      <c r="CH135" s="261" t="str">
        <f t="shared" ca="1" si="36"/>
        <v/>
      </c>
      <c r="CI135" s="99"/>
      <c r="CJ135" s="99"/>
      <c r="CK135" s="99"/>
      <c r="CL135" s="99"/>
      <c r="CM135" s="99"/>
      <c r="CN135" s="99"/>
      <c r="CO135" s="99"/>
    </row>
    <row r="136" spans="2:93" ht="13.5" customHeight="1" x14ac:dyDescent="0.2">
      <c r="B136" s="262">
        <v>36</v>
      </c>
      <c r="C136" s="237" t="str">
        <f t="shared" si="71"/>
        <v/>
      </c>
      <c r="D136" s="237" t="str">
        <f t="shared" si="66"/>
        <v>-</v>
      </c>
      <c r="E136" s="290" t="str">
        <f t="shared" si="37"/>
        <v/>
      </c>
      <c r="F136" s="264" t="str">
        <f t="shared" si="38"/>
        <v/>
      </c>
      <c r="G136" s="291" t="str">
        <f t="shared" si="39"/>
        <v/>
      </c>
      <c r="H136" s="240" t="str">
        <f t="shared" si="72"/>
        <v/>
      </c>
      <c r="I136" s="265" t="str">
        <f t="shared" si="73"/>
        <v/>
      </c>
      <c r="J136" s="265" t="str">
        <f t="shared" si="74"/>
        <v/>
      </c>
      <c r="K136" s="240" t="str">
        <f t="shared" si="75"/>
        <v/>
      </c>
      <c r="L136" s="265" t="str">
        <f t="shared" si="76"/>
        <v/>
      </c>
      <c r="M136" s="265" t="str">
        <f t="shared" si="77"/>
        <v/>
      </c>
      <c r="N136" s="240" t="str">
        <f t="shared" si="78"/>
        <v>-</v>
      </c>
      <c r="O136" s="265" t="str">
        <f t="shared" si="79"/>
        <v>-</v>
      </c>
      <c r="P136" s="265" t="str">
        <f t="shared" si="80"/>
        <v>-</v>
      </c>
      <c r="Q136" s="266" t="str">
        <f t="shared" si="81"/>
        <v>-</v>
      </c>
      <c r="R136" s="267" t="str">
        <f t="shared" si="82"/>
        <v>-</v>
      </c>
      <c r="S136" s="268" t="str">
        <f t="shared" si="83"/>
        <v>-</v>
      </c>
      <c r="T136" s="269" t="str">
        <f t="shared" si="12"/>
        <v/>
      </c>
      <c r="U136" s="221">
        <f t="shared" si="13"/>
        <v>36</v>
      </c>
      <c r="V136" s="220" t="str">
        <f t="shared" si="42"/>
        <v>-</v>
      </c>
      <c r="W136" s="221" t="str">
        <f t="shared" si="43"/>
        <v>-</v>
      </c>
      <c r="X136" s="221" t="str">
        <f t="shared" si="14"/>
        <v>-</v>
      </c>
      <c r="Y136" s="221" t="str">
        <f t="shared" si="15"/>
        <v>-</v>
      </c>
      <c r="Z136" s="270">
        <f t="shared" si="44"/>
        <v>0.1</v>
      </c>
      <c r="AA136" s="271" t="str">
        <f>IFERROR(IF(V135=1,AA$100*EXP(-(LN(2)/$D$65+0.04)*X135)*EXP(-(LN(2)/$D$65+0.1)*Y135),IF(V135=2,AA$100*EXP(-(LN(2)/$D$65+0.04)*(VLOOKUP(($F$16-$F$15)-1,U$99:Y135,4,FALSE)))*EXP(-(LN(2)/$D$65+0.1)*(VLOOKUP(($F$16-$F$15)-1,U$99:Y135,5,FALSE)))*EXP(-(LN(2)/$D$65+0.04)*X135)*EXP(-(LN(2)/$D$65+0.1)*Y135),IF(V135=3,AA$100*EXP(-(LN(2)/$D$65+0.04)*(VLOOKUP(($F$16-$F$15)-1,U$99:Y135,4,FALSE)))*EXP(-(LN(2)/$D$65+0.1)*(VLOOKUP(($F$16-$F$15)-1,U$99:Y135,5,FALSE)))*EXP(-(LN(2)/$D$65+0.04)*(VLOOKUP(($F$16-$F$15)*2-1,U$99:Y135,4,FALSE)))*EXP(-(LN(2)/$D$65+0.1)*(VLOOKUP(($F$16-$F$15)*2-1,U$99:Y135,5,FALSE)))*EXP(-(LN(2)/$D$65+0.04)*X135)*EXP(-(LN(2)/$D$65+0.1)*Y135),"-"))),"-")</f>
        <v>-</v>
      </c>
      <c r="AB136" s="271" t="str">
        <f>IFERROR(IF(V136=1,AB$100*EXP(-(LN(2)/$D$65+0.04)*X136)*EXP(-(LN(2)/$D$65+0.1)*Y136),IF(V136=2,AB$100*EXP(-(LN(2)/$D$65+0.04)*(VLOOKUP(($F$16-$F$15)-1,U$100:Y136,4,FALSE)))*EXP(-(LN(2)/$D$65+0.1)*(VLOOKUP(($F$16-$F$15)-1,U$100:Y136,5,FALSE)))*EXP(-(LN(2)/$D$65+0.04)*X136)*EXP(-(LN(2)/$D$65+0.1)*Y136),IF(V136=3,AB$100*EXP(-(LN(2)/$D$65+0.04)*(VLOOKUP(($F$16-$F$15)-1,U$100:Y136,4,FALSE)))*EXP(-(LN(2)/$D$65+0.1)*(VLOOKUP(($F$16-$F$15)-1,U$100:Y136,5,FALSE)))*EXP(-(LN(2)/$D$65+0.04)*(VLOOKUP(($F$16-$F$15)*2-1,U$100:Y136,4,FALSE)))*EXP(-(LN(2)/$D$65+0.1)*(VLOOKUP(($F$16-$F$15)*2-1,U$100:Y136,5,FALSE)))*EXP(-(LN(2)/$D$65+0.04)*X136)*EXP(-(LN(2)/$D$65+0.1)*Y136),"-"))),"-")</f>
        <v>-</v>
      </c>
      <c r="AC136" s="224">
        <f t="shared" si="45"/>
        <v>36</v>
      </c>
      <c r="AD136" s="223" t="str">
        <f t="shared" si="17"/>
        <v>-</v>
      </c>
      <c r="AE136" s="224" t="str">
        <f t="shared" si="46"/>
        <v>-</v>
      </c>
      <c r="AF136" s="224" t="str">
        <f t="shared" si="18"/>
        <v>-</v>
      </c>
      <c r="AG136" s="224" t="str">
        <f t="shared" si="19"/>
        <v>-</v>
      </c>
      <c r="AH136" s="272">
        <f t="shared" si="47"/>
        <v>0.1</v>
      </c>
      <c r="AI136" s="271" t="str">
        <f>IFERROR(IF(AD135=1,AI$100*EXP(-(LN(2)/$D$65+0.04)*AF135)*EXP(-(LN(2)/$D$65+0.1)*AG135),IF(AD135=2,AI$100*EXP(-(LN(2)/$D$65+0.04)*(VLOOKUP(($F$16-$F$15)-1,AC$99:AG135,4,FALSE)))*EXP(-(LN(2)/$D$65+0.1)*(VLOOKUP(($F$16-$F$15)-1,AC$99:AG135,5,FALSE)))*EXP(-(LN(2)/$D$65+0.04)*AF135)*EXP(-(LN(2)/$D$65+0.1)*AG135),IF(AD135=3,AI$100*EXP(-(LN(2)/$D$65+0.04)*(VLOOKUP(($F$16-$F$15)-1,AC$99:AG135,4,FALSE)))*EXP(-(LN(2)/$D$65+0.1)*(VLOOKUP(($F$16-$F$15)-1,AC$99:AG135,5,FALSE)))*EXP(-(LN(2)/$D$65+0.04)*(VLOOKUP(($F$16-$F$15)*2-1,AC$99:AG135,4,FALSE)))*EXP(-(LN(2)/$D$65+0.1)*(VLOOKUP(($F$16-$F$15)*2-1,AC$99:AG135,5,FALSE)))*EXP(-(LN(2)/$D$65+0.04)*AF135)*EXP(-(LN(2)/$D$65+0.1)*AG135),"-"))),"-")</f>
        <v>-</v>
      </c>
      <c r="AJ136" s="271" t="str">
        <f>IFERROR(IF(AD136=1,AJ$100*EXP(-(LN(2)/$D$65+0.04)*AF136)*EXP(-(LN(2)/$D$65+0.1)*AG136),IF(AD136=2,AJ$100*EXP(-(LN(2)/$D$65+0.04)*(VLOOKUP(($F$16-$F$15)-1,AC$100:AG136,4,FALSE)))*EXP(-(LN(2)/$D$65+0.1)*(VLOOKUP(($F$16-$F$15)-1,AC$100:AG136,5,FALSE)))*EXP(-(LN(2)/$D$65+0.04)*AF136)*EXP(-(LN(2)/$D$65+0.1)*AG136),IF(AD136=3,AJ$100*EXP(-(LN(2)/$D$65+0.04)*(VLOOKUP(($F$16-$F$15)-1,AC$100:AG136,4,FALSE)))*EXP(-(LN(2)/$D$65+0.1)*(VLOOKUP(($F$16-$F$15)-1,AC$100:AG136,5,FALSE)))*EXP(-(LN(2)/$D$65+0.04)*(VLOOKUP(($F$16-$F$15)*2-1,AC$100:AG136,4,FALSE)))*EXP(-(LN(2)/$D$65+0.1)*(VLOOKUP(($F$16-$F$15)*2-1,AC$100:AG136,5,FALSE)))*EXP(-(LN(2)/$D$65+0.04)*AF136)*EXP(-(LN(2)/$D$65+0.1)*AG136),"-"))),"-")</f>
        <v>-</v>
      </c>
      <c r="AK136" s="227">
        <f t="shared" si="49"/>
        <v>36</v>
      </c>
      <c r="AL136" s="226" t="str">
        <f t="shared" si="21"/>
        <v>-</v>
      </c>
      <c r="AM136" s="227" t="str">
        <f t="shared" si="50"/>
        <v>-</v>
      </c>
      <c r="AN136" s="227" t="str">
        <f t="shared" si="51"/>
        <v>-</v>
      </c>
      <c r="AO136" s="227" t="str">
        <f t="shared" si="22"/>
        <v>-</v>
      </c>
      <c r="AP136" s="273">
        <f t="shared" si="52"/>
        <v>0.1</v>
      </c>
      <c r="AQ136" s="271" t="str">
        <f>IFERROR(IF(AL135=1,AQ$100*EXP(-(LN(2)/$D$65+0.04)*AN135)*EXP(-(LN(2)/$D$65+0.1)*AO135),IF(AL135=2,AQ$100*EXP(-(LN(2)/$D$65+0.04)*(VLOOKUP(($F$16-$F$15)-1,AK$99:AO135,4,FALSE)))*EXP(-(LN(2)/$D$65+0.1)*(VLOOKUP(($F$16-$F$15)-1,AK$99:AO135,5,FALSE)))*EXP(-(LN(2)/$D$65+0.04)*AN135)*EXP(-(LN(2)/$D$65+0.1)*AO135),IF(AL135=3,AQ$100*EXP(-(LN(2)/$D$65+0.04)*(VLOOKUP(($F$16-$F$15)-1,AK$99:AO135,4,FALSE)))*EXP(-(LN(2)/$D$65+0.1)*(VLOOKUP(($F$16-$F$15)-1,AK$99:AO135,5,FALSE)))*EXP(-(LN(2)/$D$65+0.04)*(VLOOKUP(($F$16-$F$15)*2-1,AK$99:AO135,4,FALSE)))*EXP(-(LN(2)/$D$65+0.1)*(VLOOKUP(($F$16-$F$15)*2-1,AK$99:AO135,5,FALSE)))*EXP(-(LN(2)/$D$65+0.04)*AN135)*EXP(-(LN(2)/$D$65+0.1)*AO135),"-"))),"-")</f>
        <v>-</v>
      </c>
      <c r="AR136" s="271" t="str">
        <f>IFERROR(IF(AL136=1,AR$100*EXP(-(LN(2)/$D$65+0.04)*AN136)*EXP(-(LN(2)/$D$65+0.1)*AO136),IF(AL136=2,AR$100*EXP(-(LN(2)/$D$65+0.04)*(VLOOKUP(($F$16-$F$15)-1,AK$100:AO136,4,FALSE)))*EXP(-(LN(2)/$D$65+0.1)*(VLOOKUP(($F$16-$F$15)-1,AK$100:AO136,5,FALSE)))*EXP(-(LN(2)/$D$65+0.04)*AN136)*EXP(-(LN(2)/$D$65+0.1)*AO136),IF(AL136=3,AR$100*EXP(-(LN(2)/$D$65+0.04)*(VLOOKUP(($F$16-$F$15)-1,AK$100:AO136,4,FALSE)))*EXP(-(LN(2)/$D$65+0.1)*(VLOOKUP(($F$16-$F$15)-1,AK$100:AO136,5,FALSE)))*EXP(-(LN(2)/$D$65+0.04)*(VLOOKUP(($F$16-$F$15)*2-1,AK$100:AO136,4,FALSE)))*EXP(-(LN(2)/$D$65+0.1)*(VLOOKUP(($F$16-$F$15)*2-1,AK$100:AO136,5,FALSE)))*EXP(-(LN(2)/$D$65+0.04)*AN136)*EXP(-(LN(2)/$D$65+0.1)*AO136),"-"))),"-")</f>
        <v>-</v>
      </c>
      <c r="AS136" s="274">
        <f t="shared" si="23"/>
        <v>0</v>
      </c>
      <c r="AT136" s="274">
        <f t="shared" si="24"/>
        <v>0</v>
      </c>
      <c r="AU136" s="274">
        <f t="shared" si="25"/>
        <v>0</v>
      </c>
      <c r="AV136" s="190">
        <f>IF($B136&lt;$F$22,SUM($T$100:$T136),"")</f>
        <v>0</v>
      </c>
      <c r="AW136" s="190" t="str">
        <f t="shared" si="84"/>
        <v>-</v>
      </c>
      <c r="AX136" s="190" t="str">
        <f t="shared" si="56"/>
        <v/>
      </c>
      <c r="AY136"/>
      <c r="AZ136" s="190" t="str">
        <f ca="1">IF(ISNUMBER(OFFSET(AV136,-$F$21,0)),SUM(OFFSET($T$100,$F$21,0):$T136),"")</f>
        <v/>
      </c>
      <c r="BA136" s="190" t="str">
        <f t="shared" ca="1" si="85"/>
        <v/>
      </c>
      <c r="BB136" s="190" t="str">
        <f t="shared" ca="1" si="70"/>
        <v/>
      </c>
      <c r="BC136" s="190"/>
      <c r="BD136" s="190" t="str">
        <f ca="1">IFERROR(IF(AND($B136&gt;=($F$16-$F$15),$B136&lt;$F$22+($F$16-$F$15)),SUM(OFFSET($T$100,($F$16-$F$15),0):$T136),""),"")</f>
        <v/>
      </c>
      <c r="BE136" s="190" t="str">
        <f t="shared" ca="1" si="58"/>
        <v/>
      </c>
      <c r="BF136" s="190" t="str">
        <f t="shared" ca="1" si="59"/>
        <v/>
      </c>
      <c r="BG136"/>
      <c r="BH136" s="190" t="str">
        <f ca="1">IF(ISNUMBER(OFFSET(BD136,-$F$21,0)),SUM(OFFSET($T$100,($F$16-$F$15+$F$21),0):$T136),"")</f>
        <v/>
      </c>
      <c r="BI136" s="190" t="str">
        <f t="shared" ca="1" si="86"/>
        <v/>
      </c>
      <c r="BJ136" s="190" t="str">
        <f t="shared" ca="1" si="60"/>
        <v/>
      </c>
      <c r="BK136" s="190"/>
      <c r="BL136" s="190" t="str">
        <f ca="1">IFERROR(IF(AND($B136&gt;=($F$17-$F$15),$B136&lt;$F$22+($F$17-$F$15)),SUM(OFFSET($T$100,($F$17-$F$15),0):$T136),""),"")</f>
        <v/>
      </c>
      <c r="BM136" s="190" t="str">
        <f t="shared" ca="1" si="87"/>
        <v/>
      </c>
      <c r="BN136" s="190" t="str">
        <f t="shared" ca="1" si="61"/>
        <v/>
      </c>
      <c r="BO136"/>
      <c r="BP136" s="190" t="str">
        <f ca="1">IF(ISNUMBER(OFFSET(BL136,-$F$21,0)),SUM(OFFSET($T$100,($F$17-$F$15+$F$21),0):$T136),"")</f>
        <v/>
      </c>
      <c r="BQ136" s="190" t="str">
        <f t="shared" ca="1" si="88"/>
        <v/>
      </c>
      <c r="BR136" s="190" t="str">
        <f t="shared" ca="1" si="63"/>
        <v/>
      </c>
      <c r="BS136" s="190"/>
      <c r="BT136"/>
      <c r="BU136"/>
      <c r="BV136"/>
      <c r="BY136" s="99"/>
      <c r="BZ136" s="99"/>
      <c r="CA136" s="280" t="str">
        <f t="shared" si="89"/>
        <v/>
      </c>
      <c r="CB136" s="71" t="str">
        <f t="shared" si="30"/>
        <v>-</v>
      </c>
      <c r="CC136" s="33"/>
      <c r="CD136" s="261" t="str">
        <f t="shared" si="32"/>
        <v/>
      </c>
      <c r="CE136" s="280" t="str">
        <f t="shared" si="90"/>
        <v>-</v>
      </c>
      <c r="CF136" s="71" t="str">
        <f t="shared" ca="1" si="91"/>
        <v>-</v>
      </c>
      <c r="CG136" s="33" t="str">
        <f t="shared" si="35"/>
        <v>36-37</v>
      </c>
      <c r="CH136" s="261" t="str">
        <f t="shared" ca="1" si="36"/>
        <v/>
      </c>
      <c r="CI136" s="99"/>
      <c r="CJ136" s="99"/>
      <c r="CK136" s="99"/>
      <c r="CL136" s="99"/>
      <c r="CM136" s="99"/>
      <c r="CN136" s="99"/>
      <c r="CO136" s="99"/>
    </row>
    <row r="137" spans="2:93" ht="13.5" customHeight="1" x14ac:dyDescent="0.2">
      <c r="B137" s="262">
        <v>37</v>
      </c>
      <c r="C137" s="237" t="str">
        <f t="shared" si="71"/>
        <v/>
      </c>
      <c r="D137" s="237" t="str">
        <f t="shared" si="66"/>
        <v>-</v>
      </c>
      <c r="E137" s="290" t="str">
        <f t="shared" si="37"/>
        <v/>
      </c>
      <c r="F137" s="264" t="str">
        <f t="shared" si="38"/>
        <v/>
      </c>
      <c r="G137" s="291" t="str">
        <f t="shared" si="39"/>
        <v/>
      </c>
      <c r="H137" s="240" t="str">
        <f t="shared" si="72"/>
        <v/>
      </c>
      <c r="I137" s="265" t="str">
        <f t="shared" si="73"/>
        <v/>
      </c>
      <c r="J137" s="265" t="str">
        <f t="shared" si="74"/>
        <v/>
      </c>
      <c r="K137" s="240" t="str">
        <f t="shared" si="75"/>
        <v/>
      </c>
      <c r="L137" s="265" t="str">
        <f t="shared" si="76"/>
        <v/>
      </c>
      <c r="M137" s="265" t="str">
        <f t="shared" si="77"/>
        <v/>
      </c>
      <c r="N137" s="240" t="str">
        <f t="shared" si="78"/>
        <v>-</v>
      </c>
      <c r="O137" s="265" t="str">
        <f t="shared" si="79"/>
        <v>-</v>
      </c>
      <c r="P137" s="265" t="str">
        <f t="shared" si="80"/>
        <v>-</v>
      </c>
      <c r="Q137" s="266" t="str">
        <f t="shared" si="81"/>
        <v>-</v>
      </c>
      <c r="R137" s="267" t="str">
        <f t="shared" si="82"/>
        <v>-</v>
      </c>
      <c r="S137" s="268" t="str">
        <f t="shared" si="83"/>
        <v>-</v>
      </c>
      <c r="T137" s="269" t="str">
        <f t="shared" si="12"/>
        <v/>
      </c>
      <c r="U137" s="221">
        <f t="shared" si="13"/>
        <v>37</v>
      </c>
      <c r="V137" s="220" t="str">
        <f t="shared" si="42"/>
        <v>-</v>
      </c>
      <c r="W137" s="221" t="str">
        <f t="shared" si="43"/>
        <v>-</v>
      </c>
      <c r="X137" s="221" t="str">
        <f t="shared" si="14"/>
        <v>-</v>
      </c>
      <c r="Y137" s="221" t="str">
        <f t="shared" si="15"/>
        <v>-</v>
      </c>
      <c r="Z137" s="270">
        <f t="shared" si="44"/>
        <v>0.1</v>
      </c>
      <c r="AA137" s="271" t="str">
        <f>IFERROR(IF(V136=1,AA$100*EXP(-(LN(2)/$D$65+0.04)*X136)*EXP(-(LN(2)/$D$65+0.1)*Y136),IF(V136=2,AA$100*EXP(-(LN(2)/$D$65+0.04)*(VLOOKUP(($F$16-$F$15)-1,U$99:Y136,4,FALSE)))*EXP(-(LN(2)/$D$65+0.1)*(VLOOKUP(($F$16-$F$15)-1,U$99:Y136,5,FALSE)))*EXP(-(LN(2)/$D$65+0.04)*X136)*EXP(-(LN(2)/$D$65+0.1)*Y136),IF(V136=3,AA$100*EXP(-(LN(2)/$D$65+0.04)*(VLOOKUP(($F$16-$F$15)-1,U$99:Y136,4,FALSE)))*EXP(-(LN(2)/$D$65+0.1)*(VLOOKUP(($F$16-$F$15)-1,U$99:Y136,5,FALSE)))*EXP(-(LN(2)/$D$65+0.04)*(VLOOKUP(($F$16-$F$15)*2-1,U$99:Y136,4,FALSE)))*EXP(-(LN(2)/$D$65+0.1)*(VLOOKUP(($F$16-$F$15)*2-1,U$99:Y136,5,FALSE)))*EXP(-(LN(2)/$D$65+0.04)*X136)*EXP(-(LN(2)/$D$65+0.1)*Y136),"-"))),"-")</f>
        <v>-</v>
      </c>
      <c r="AB137" s="271" t="str">
        <f>IFERROR(IF(V137=1,AB$100*EXP(-(LN(2)/$D$65+0.04)*X137)*EXP(-(LN(2)/$D$65+0.1)*Y137),IF(V137=2,AB$100*EXP(-(LN(2)/$D$65+0.04)*(VLOOKUP(($F$16-$F$15)-1,U$100:Y137,4,FALSE)))*EXP(-(LN(2)/$D$65+0.1)*(VLOOKUP(($F$16-$F$15)-1,U$100:Y137,5,FALSE)))*EXP(-(LN(2)/$D$65+0.04)*X137)*EXP(-(LN(2)/$D$65+0.1)*Y137),IF(V137=3,AB$100*EXP(-(LN(2)/$D$65+0.04)*(VLOOKUP(($F$16-$F$15)-1,U$100:Y137,4,FALSE)))*EXP(-(LN(2)/$D$65+0.1)*(VLOOKUP(($F$16-$F$15)-1,U$100:Y137,5,FALSE)))*EXP(-(LN(2)/$D$65+0.04)*(VLOOKUP(($F$16-$F$15)*2-1,U$100:Y137,4,FALSE)))*EXP(-(LN(2)/$D$65+0.1)*(VLOOKUP(($F$16-$F$15)*2-1,U$100:Y137,5,FALSE)))*EXP(-(LN(2)/$D$65+0.04)*X137)*EXP(-(LN(2)/$D$65+0.1)*Y137),"-"))),"-")</f>
        <v>-</v>
      </c>
      <c r="AC137" s="224">
        <f t="shared" si="45"/>
        <v>37</v>
      </c>
      <c r="AD137" s="223" t="str">
        <f t="shared" si="17"/>
        <v>-</v>
      </c>
      <c r="AE137" s="224" t="str">
        <f t="shared" si="46"/>
        <v>-</v>
      </c>
      <c r="AF137" s="224" t="str">
        <f t="shared" si="18"/>
        <v>-</v>
      </c>
      <c r="AG137" s="224" t="str">
        <f t="shared" si="19"/>
        <v>-</v>
      </c>
      <c r="AH137" s="272">
        <f t="shared" si="47"/>
        <v>0.1</v>
      </c>
      <c r="AI137" s="271" t="str">
        <f>IFERROR(IF(AD136=1,AI$100*EXP(-(LN(2)/$D$65+0.04)*AF136)*EXP(-(LN(2)/$D$65+0.1)*AG136),IF(AD136=2,AI$100*EXP(-(LN(2)/$D$65+0.04)*(VLOOKUP(($F$16-$F$15)-1,AC$99:AG136,4,FALSE)))*EXP(-(LN(2)/$D$65+0.1)*(VLOOKUP(($F$16-$F$15)-1,AC$99:AG136,5,FALSE)))*EXP(-(LN(2)/$D$65+0.04)*AF136)*EXP(-(LN(2)/$D$65+0.1)*AG136),IF(AD136=3,AI$100*EXP(-(LN(2)/$D$65+0.04)*(VLOOKUP(($F$16-$F$15)-1,AC$99:AG136,4,FALSE)))*EXP(-(LN(2)/$D$65+0.1)*(VLOOKUP(($F$16-$F$15)-1,AC$99:AG136,5,FALSE)))*EXP(-(LN(2)/$D$65+0.04)*(VLOOKUP(($F$16-$F$15)*2-1,AC$99:AG136,4,FALSE)))*EXP(-(LN(2)/$D$65+0.1)*(VLOOKUP(($F$16-$F$15)*2-1,AC$99:AG136,5,FALSE)))*EXP(-(LN(2)/$D$65+0.04)*AF136)*EXP(-(LN(2)/$D$65+0.1)*AG136),"-"))),"-")</f>
        <v>-</v>
      </c>
      <c r="AJ137" s="271" t="str">
        <f>IFERROR(IF(AD137=1,AJ$100*EXP(-(LN(2)/$D$65+0.04)*AF137)*EXP(-(LN(2)/$D$65+0.1)*AG137),IF(AD137=2,AJ$100*EXP(-(LN(2)/$D$65+0.04)*(VLOOKUP(($F$16-$F$15)-1,AC$100:AG137,4,FALSE)))*EXP(-(LN(2)/$D$65+0.1)*(VLOOKUP(($F$16-$F$15)-1,AC$100:AG137,5,FALSE)))*EXP(-(LN(2)/$D$65+0.04)*AF137)*EXP(-(LN(2)/$D$65+0.1)*AG137),IF(AD137=3,AJ$100*EXP(-(LN(2)/$D$65+0.04)*(VLOOKUP(($F$16-$F$15)-1,AC$100:AG137,4,FALSE)))*EXP(-(LN(2)/$D$65+0.1)*(VLOOKUP(($F$16-$F$15)-1,AC$100:AG137,5,FALSE)))*EXP(-(LN(2)/$D$65+0.04)*(VLOOKUP(($F$16-$F$15)*2-1,AC$100:AG137,4,FALSE)))*EXP(-(LN(2)/$D$65+0.1)*(VLOOKUP(($F$16-$F$15)*2-1,AC$100:AG137,5,FALSE)))*EXP(-(LN(2)/$D$65+0.04)*AF137)*EXP(-(LN(2)/$D$65+0.1)*AG137),"-"))),"-")</f>
        <v>-</v>
      </c>
      <c r="AK137" s="227">
        <f t="shared" si="49"/>
        <v>37</v>
      </c>
      <c r="AL137" s="226" t="str">
        <f t="shared" si="21"/>
        <v>-</v>
      </c>
      <c r="AM137" s="227" t="str">
        <f t="shared" si="50"/>
        <v>-</v>
      </c>
      <c r="AN137" s="227" t="str">
        <f t="shared" si="51"/>
        <v>-</v>
      </c>
      <c r="AO137" s="227" t="str">
        <f t="shared" si="22"/>
        <v>-</v>
      </c>
      <c r="AP137" s="273">
        <f t="shared" si="52"/>
        <v>0.1</v>
      </c>
      <c r="AQ137" s="271" t="str">
        <f>IFERROR(IF(AL136=1,AQ$100*EXP(-(LN(2)/$D$65+0.04)*AN136)*EXP(-(LN(2)/$D$65+0.1)*AO136),IF(AL136=2,AQ$100*EXP(-(LN(2)/$D$65+0.04)*(VLOOKUP(($F$16-$F$15)-1,AK$99:AO136,4,FALSE)))*EXP(-(LN(2)/$D$65+0.1)*(VLOOKUP(($F$16-$F$15)-1,AK$99:AO136,5,FALSE)))*EXP(-(LN(2)/$D$65+0.04)*AN136)*EXP(-(LN(2)/$D$65+0.1)*AO136),IF(AL136=3,AQ$100*EXP(-(LN(2)/$D$65+0.04)*(VLOOKUP(($F$16-$F$15)-1,AK$99:AO136,4,FALSE)))*EXP(-(LN(2)/$D$65+0.1)*(VLOOKUP(($F$16-$F$15)-1,AK$99:AO136,5,FALSE)))*EXP(-(LN(2)/$D$65+0.04)*(VLOOKUP(($F$16-$F$15)*2-1,AK$99:AO136,4,FALSE)))*EXP(-(LN(2)/$D$65+0.1)*(VLOOKUP(($F$16-$F$15)*2-1,AK$99:AO136,5,FALSE)))*EXP(-(LN(2)/$D$65+0.04)*AN136)*EXP(-(LN(2)/$D$65+0.1)*AO136),"-"))),"-")</f>
        <v>-</v>
      </c>
      <c r="AR137" s="271" t="str">
        <f>IFERROR(IF(AL137=1,AR$100*EXP(-(LN(2)/$D$65+0.04)*AN137)*EXP(-(LN(2)/$D$65+0.1)*AO137),IF(AL137=2,AR$100*EXP(-(LN(2)/$D$65+0.04)*(VLOOKUP(($F$16-$F$15)-1,AK$100:AO137,4,FALSE)))*EXP(-(LN(2)/$D$65+0.1)*(VLOOKUP(($F$16-$F$15)-1,AK$100:AO137,5,FALSE)))*EXP(-(LN(2)/$D$65+0.04)*AN137)*EXP(-(LN(2)/$D$65+0.1)*AO137),IF(AL137=3,AR$100*EXP(-(LN(2)/$D$65+0.04)*(VLOOKUP(($F$16-$F$15)-1,AK$100:AO137,4,FALSE)))*EXP(-(LN(2)/$D$65+0.1)*(VLOOKUP(($F$16-$F$15)-1,AK$100:AO137,5,FALSE)))*EXP(-(LN(2)/$D$65+0.04)*(VLOOKUP(($F$16-$F$15)*2-1,AK$100:AO137,4,FALSE)))*EXP(-(LN(2)/$D$65+0.1)*(VLOOKUP(($F$16-$F$15)*2-1,AK$100:AO137,5,FALSE)))*EXP(-(LN(2)/$D$65+0.04)*AN137)*EXP(-(LN(2)/$D$65+0.1)*AO137),"-"))),"-")</f>
        <v>-</v>
      </c>
      <c r="AS137" s="274">
        <f t="shared" si="23"/>
        <v>0</v>
      </c>
      <c r="AT137" s="274">
        <f t="shared" si="24"/>
        <v>0</v>
      </c>
      <c r="AU137" s="274">
        <f t="shared" si="25"/>
        <v>0</v>
      </c>
      <c r="AV137" s="190">
        <f>IF($B137&lt;$F$22,SUM($T$100:$T137),"")</f>
        <v>0</v>
      </c>
      <c r="AW137" s="190" t="str">
        <f t="shared" si="84"/>
        <v>-</v>
      </c>
      <c r="AX137" s="190" t="str">
        <f t="shared" si="56"/>
        <v/>
      </c>
      <c r="AY137"/>
      <c r="AZ137" s="190" t="str">
        <f ca="1">IF(ISNUMBER(OFFSET(AV137,-$F$21,0)),SUM(OFFSET($T$100,$F$21,0):$T137),"")</f>
        <v/>
      </c>
      <c r="BA137" s="190" t="str">
        <f t="shared" ca="1" si="85"/>
        <v/>
      </c>
      <c r="BB137" s="190" t="str">
        <f t="shared" ca="1" si="70"/>
        <v/>
      </c>
      <c r="BC137" s="190"/>
      <c r="BD137" s="190" t="str">
        <f ca="1">IFERROR(IF(AND($B137&gt;=($F$16-$F$15),$B137&lt;$F$22+($F$16-$F$15)),SUM(OFFSET($T$100,($F$16-$F$15),0):$T137),""),"")</f>
        <v/>
      </c>
      <c r="BE137" s="190" t="str">
        <f t="shared" ca="1" si="58"/>
        <v/>
      </c>
      <c r="BF137" s="190" t="str">
        <f t="shared" ca="1" si="59"/>
        <v/>
      </c>
      <c r="BG137"/>
      <c r="BH137" s="190" t="str">
        <f ca="1">IF(ISNUMBER(OFFSET(BD137,-$F$21,0)),SUM(OFFSET($T$100,($F$16-$F$15+$F$21),0):$T137),"")</f>
        <v/>
      </c>
      <c r="BI137" s="190" t="str">
        <f t="shared" ca="1" si="86"/>
        <v/>
      </c>
      <c r="BJ137" s="190" t="str">
        <f t="shared" ca="1" si="60"/>
        <v/>
      </c>
      <c r="BK137" s="190"/>
      <c r="BL137" s="190" t="str">
        <f ca="1">IFERROR(IF(AND($B137&gt;=($F$17-$F$15),$B137&lt;$F$22+($F$17-$F$15)),SUM(OFFSET($T$100,($F$17-$F$15),0):$T137),""),"")</f>
        <v/>
      </c>
      <c r="BM137" s="190" t="str">
        <f t="shared" ca="1" si="87"/>
        <v/>
      </c>
      <c r="BN137" s="190" t="str">
        <f t="shared" ca="1" si="61"/>
        <v/>
      </c>
      <c r="BO137"/>
      <c r="BP137" s="190" t="str">
        <f ca="1">IF(ISNUMBER(OFFSET(BL137,-$F$21,0)),SUM(OFFSET($T$100,($F$17-$F$15+$F$21),0):$T137),"")</f>
        <v/>
      </c>
      <c r="BQ137" s="190" t="str">
        <f t="shared" ca="1" si="88"/>
        <v/>
      </c>
      <c r="BR137" s="190" t="str">
        <f t="shared" ca="1" si="63"/>
        <v/>
      </c>
      <c r="BS137" s="190"/>
      <c r="BT137"/>
      <c r="BU137"/>
      <c r="BV137"/>
      <c r="BY137" s="99"/>
      <c r="BZ137" s="99"/>
      <c r="CA137" s="280" t="str">
        <f t="shared" si="89"/>
        <v/>
      </c>
      <c r="CB137" s="71" t="str">
        <f t="shared" si="30"/>
        <v>-</v>
      </c>
      <c r="CC137" s="33"/>
      <c r="CD137" s="261" t="str">
        <f t="shared" si="32"/>
        <v/>
      </c>
      <c r="CE137" s="280" t="str">
        <f t="shared" si="90"/>
        <v>-</v>
      </c>
      <c r="CF137" s="71" t="str">
        <f t="shared" ca="1" si="91"/>
        <v>-</v>
      </c>
      <c r="CG137" s="33" t="str">
        <f t="shared" si="35"/>
        <v>37-38</v>
      </c>
      <c r="CH137" s="261" t="str">
        <f t="shared" ca="1" si="36"/>
        <v/>
      </c>
      <c r="CI137" s="99"/>
      <c r="CJ137" s="99"/>
      <c r="CK137" s="99"/>
      <c r="CL137" s="99"/>
      <c r="CM137" s="99"/>
      <c r="CN137" s="99"/>
      <c r="CO137" s="99"/>
    </row>
    <row r="138" spans="2:93" ht="13.5" customHeight="1" x14ac:dyDescent="0.2">
      <c r="B138" s="262">
        <v>38</v>
      </c>
      <c r="C138" s="237" t="str">
        <f t="shared" si="71"/>
        <v/>
      </c>
      <c r="D138" s="237" t="str">
        <f t="shared" si="66"/>
        <v>-</v>
      </c>
      <c r="E138" s="290" t="str">
        <f t="shared" si="37"/>
        <v/>
      </c>
      <c r="F138" s="264" t="str">
        <f t="shared" si="38"/>
        <v/>
      </c>
      <c r="G138" s="291" t="str">
        <f t="shared" si="39"/>
        <v/>
      </c>
      <c r="H138" s="240" t="str">
        <f t="shared" si="72"/>
        <v/>
      </c>
      <c r="I138" s="265" t="str">
        <f t="shared" si="73"/>
        <v/>
      </c>
      <c r="J138" s="265" t="str">
        <f t="shared" si="74"/>
        <v/>
      </c>
      <c r="K138" s="240" t="str">
        <f t="shared" si="75"/>
        <v/>
      </c>
      <c r="L138" s="265" t="str">
        <f t="shared" si="76"/>
        <v/>
      </c>
      <c r="M138" s="265" t="str">
        <f t="shared" si="77"/>
        <v/>
      </c>
      <c r="N138" s="240" t="str">
        <f t="shared" si="78"/>
        <v>-</v>
      </c>
      <c r="O138" s="265" t="str">
        <f t="shared" si="79"/>
        <v>-</v>
      </c>
      <c r="P138" s="265" t="str">
        <f t="shared" si="80"/>
        <v>-</v>
      </c>
      <c r="Q138" s="266" t="str">
        <f t="shared" si="81"/>
        <v>-</v>
      </c>
      <c r="R138" s="267" t="str">
        <f t="shared" si="82"/>
        <v>-</v>
      </c>
      <c r="S138" s="268" t="str">
        <f t="shared" si="83"/>
        <v>-</v>
      </c>
      <c r="T138" s="269" t="str">
        <f t="shared" si="12"/>
        <v/>
      </c>
      <c r="U138" s="221">
        <f t="shared" si="13"/>
        <v>38</v>
      </c>
      <c r="V138" s="220" t="str">
        <f t="shared" si="42"/>
        <v>-</v>
      </c>
      <c r="W138" s="221" t="str">
        <f t="shared" si="43"/>
        <v>-</v>
      </c>
      <c r="X138" s="221" t="str">
        <f t="shared" si="14"/>
        <v>-</v>
      </c>
      <c r="Y138" s="221" t="str">
        <f t="shared" si="15"/>
        <v>-</v>
      </c>
      <c r="Z138" s="270">
        <f t="shared" si="44"/>
        <v>0.1</v>
      </c>
      <c r="AA138" s="271" t="str">
        <f>IFERROR(IF(V137=1,AA$100*EXP(-(LN(2)/$D$65+0.04)*X137)*EXP(-(LN(2)/$D$65+0.1)*Y137),IF(V137=2,AA$100*EXP(-(LN(2)/$D$65+0.04)*(VLOOKUP(($F$16-$F$15)-1,U$99:Y137,4,FALSE)))*EXP(-(LN(2)/$D$65+0.1)*(VLOOKUP(($F$16-$F$15)-1,U$99:Y137,5,FALSE)))*EXP(-(LN(2)/$D$65+0.04)*X137)*EXP(-(LN(2)/$D$65+0.1)*Y137),IF(V137=3,AA$100*EXP(-(LN(2)/$D$65+0.04)*(VLOOKUP(($F$16-$F$15)-1,U$99:Y137,4,FALSE)))*EXP(-(LN(2)/$D$65+0.1)*(VLOOKUP(($F$16-$F$15)-1,U$99:Y137,5,FALSE)))*EXP(-(LN(2)/$D$65+0.04)*(VLOOKUP(($F$16-$F$15)*2-1,U$99:Y137,4,FALSE)))*EXP(-(LN(2)/$D$65+0.1)*(VLOOKUP(($F$16-$F$15)*2-1,U$99:Y137,5,FALSE)))*EXP(-(LN(2)/$D$65+0.04)*X137)*EXP(-(LN(2)/$D$65+0.1)*Y137),"-"))),"-")</f>
        <v>-</v>
      </c>
      <c r="AB138" s="271" t="str">
        <f>IFERROR(IF(V138=1,AB$100*EXP(-(LN(2)/$D$65+0.04)*X138)*EXP(-(LN(2)/$D$65+0.1)*Y138),IF(V138=2,AB$100*EXP(-(LN(2)/$D$65+0.04)*(VLOOKUP(($F$16-$F$15)-1,U$100:Y138,4,FALSE)))*EXP(-(LN(2)/$D$65+0.1)*(VLOOKUP(($F$16-$F$15)-1,U$100:Y138,5,FALSE)))*EXP(-(LN(2)/$D$65+0.04)*X138)*EXP(-(LN(2)/$D$65+0.1)*Y138),IF(V138=3,AB$100*EXP(-(LN(2)/$D$65+0.04)*(VLOOKUP(($F$16-$F$15)-1,U$100:Y138,4,FALSE)))*EXP(-(LN(2)/$D$65+0.1)*(VLOOKUP(($F$16-$F$15)-1,U$100:Y138,5,FALSE)))*EXP(-(LN(2)/$D$65+0.04)*(VLOOKUP(($F$16-$F$15)*2-1,U$100:Y138,4,FALSE)))*EXP(-(LN(2)/$D$65+0.1)*(VLOOKUP(($F$16-$F$15)*2-1,U$100:Y138,5,FALSE)))*EXP(-(LN(2)/$D$65+0.04)*X138)*EXP(-(LN(2)/$D$65+0.1)*Y138),"-"))),"-")</f>
        <v>-</v>
      </c>
      <c r="AC138" s="224">
        <f t="shared" si="45"/>
        <v>38</v>
      </c>
      <c r="AD138" s="223" t="str">
        <f t="shared" si="17"/>
        <v>-</v>
      </c>
      <c r="AE138" s="224" t="str">
        <f t="shared" si="46"/>
        <v>-</v>
      </c>
      <c r="AF138" s="224" t="str">
        <f t="shared" si="18"/>
        <v>-</v>
      </c>
      <c r="AG138" s="224" t="str">
        <f t="shared" si="19"/>
        <v>-</v>
      </c>
      <c r="AH138" s="272">
        <f t="shared" si="47"/>
        <v>0.1</v>
      </c>
      <c r="AI138" s="271" t="str">
        <f>IFERROR(IF(AD137=1,AI$100*EXP(-(LN(2)/$D$65+0.04)*AF137)*EXP(-(LN(2)/$D$65+0.1)*AG137),IF(AD137=2,AI$100*EXP(-(LN(2)/$D$65+0.04)*(VLOOKUP(($F$16-$F$15)-1,AC$99:AG137,4,FALSE)))*EXP(-(LN(2)/$D$65+0.1)*(VLOOKUP(($F$16-$F$15)-1,AC$99:AG137,5,FALSE)))*EXP(-(LN(2)/$D$65+0.04)*AF137)*EXP(-(LN(2)/$D$65+0.1)*AG137),IF(AD137=3,AI$100*EXP(-(LN(2)/$D$65+0.04)*(VLOOKUP(($F$16-$F$15)-1,AC$99:AG137,4,FALSE)))*EXP(-(LN(2)/$D$65+0.1)*(VLOOKUP(($F$16-$F$15)-1,AC$99:AG137,5,FALSE)))*EXP(-(LN(2)/$D$65+0.04)*(VLOOKUP(($F$16-$F$15)*2-1,AC$99:AG137,4,FALSE)))*EXP(-(LN(2)/$D$65+0.1)*(VLOOKUP(($F$16-$F$15)*2-1,AC$99:AG137,5,FALSE)))*EXP(-(LN(2)/$D$65+0.04)*AF137)*EXP(-(LN(2)/$D$65+0.1)*AG137),"-"))),"-")</f>
        <v>-</v>
      </c>
      <c r="AJ138" s="271" t="str">
        <f>IFERROR(IF(AD138=1,AJ$100*EXP(-(LN(2)/$D$65+0.04)*AF138)*EXP(-(LN(2)/$D$65+0.1)*AG138),IF(AD138=2,AJ$100*EXP(-(LN(2)/$D$65+0.04)*(VLOOKUP(($F$16-$F$15)-1,AC$100:AG138,4,FALSE)))*EXP(-(LN(2)/$D$65+0.1)*(VLOOKUP(($F$16-$F$15)-1,AC$100:AG138,5,FALSE)))*EXP(-(LN(2)/$D$65+0.04)*AF138)*EXP(-(LN(2)/$D$65+0.1)*AG138),IF(AD138=3,AJ$100*EXP(-(LN(2)/$D$65+0.04)*(VLOOKUP(($F$16-$F$15)-1,AC$100:AG138,4,FALSE)))*EXP(-(LN(2)/$D$65+0.1)*(VLOOKUP(($F$16-$F$15)-1,AC$100:AG138,5,FALSE)))*EXP(-(LN(2)/$D$65+0.04)*(VLOOKUP(($F$16-$F$15)*2-1,AC$100:AG138,4,FALSE)))*EXP(-(LN(2)/$D$65+0.1)*(VLOOKUP(($F$16-$F$15)*2-1,AC$100:AG138,5,FALSE)))*EXP(-(LN(2)/$D$65+0.04)*AF138)*EXP(-(LN(2)/$D$65+0.1)*AG138),"-"))),"-")</f>
        <v>-</v>
      </c>
      <c r="AK138" s="227">
        <f t="shared" si="49"/>
        <v>38</v>
      </c>
      <c r="AL138" s="226" t="str">
        <f t="shared" si="21"/>
        <v>-</v>
      </c>
      <c r="AM138" s="227" t="str">
        <f t="shared" si="50"/>
        <v>-</v>
      </c>
      <c r="AN138" s="227" t="str">
        <f t="shared" si="51"/>
        <v>-</v>
      </c>
      <c r="AO138" s="227" t="str">
        <f t="shared" si="22"/>
        <v>-</v>
      </c>
      <c r="AP138" s="273">
        <f t="shared" si="52"/>
        <v>0.1</v>
      </c>
      <c r="AQ138" s="271" t="str">
        <f>IFERROR(IF(AL137=1,AQ$100*EXP(-(LN(2)/$D$65+0.04)*AN137)*EXP(-(LN(2)/$D$65+0.1)*AO137),IF(AL137=2,AQ$100*EXP(-(LN(2)/$D$65+0.04)*(VLOOKUP(($F$16-$F$15)-1,AK$99:AO137,4,FALSE)))*EXP(-(LN(2)/$D$65+0.1)*(VLOOKUP(($F$16-$F$15)-1,AK$99:AO137,5,FALSE)))*EXP(-(LN(2)/$D$65+0.04)*AN137)*EXP(-(LN(2)/$D$65+0.1)*AO137),IF(AL137=3,AQ$100*EXP(-(LN(2)/$D$65+0.04)*(VLOOKUP(($F$16-$F$15)-1,AK$99:AO137,4,FALSE)))*EXP(-(LN(2)/$D$65+0.1)*(VLOOKUP(($F$16-$F$15)-1,AK$99:AO137,5,FALSE)))*EXP(-(LN(2)/$D$65+0.04)*(VLOOKUP(($F$16-$F$15)*2-1,AK$99:AO137,4,FALSE)))*EXP(-(LN(2)/$D$65+0.1)*(VLOOKUP(($F$16-$F$15)*2-1,AK$99:AO137,5,FALSE)))*EXP(-(LN(2)/$D$65+0.04)*AN137)*EXP(-(LN(2)/$D$65+0.1)*AO137),"-"))),"-")</f>
        <v>-</v>
      </c>
      <c r="AR138" s="271" t="str">
        <f>IFERROR(IF(AL138=1,AR$100*EXP(-(LN(2)/$D$65+0.04)*AN138)*EXP(-(LN(2)/$D$65+0.1)*AO138),IF(AL138=2,AR$100*EXP(-(LN(2)/$D$65+0.04)*(VLOOKUP(($F$16-$F$15)-1,AK$100:AO138,4,FALSE)))*EXP(-(LN(2)/$D$65+0.1)*(VLOOKUP(($F$16-$F$15)-1,AK$100:AO138,5,FALSE)))*EXP(-(LN(2)/$D$65+0.04)*AN138)*EXP(-(LN(2)/$D$65+0.1)*AO138),IF(AL138=3,AR$100*EXP(-(LN(2)/$D$65+0.04)*(VLOOKUP(($F$16-$F$15)-1,AK$100:AO138,4,FALSE)))*EXP(-(LN(2)/$D$65+0.1)*(VLOOKUP(($F$16-$F$15)-1,AK$100:AO138,5,FALSE)))*EXP(-(LN(2)/$D$65+0.04)*(VLOOKUP(($F$16-$F$15)*2-1,AK$100:AO138,4,FALSE)))*EXP(-(LN(2)/$D$65+0.1)*(VLOOKUP(($F$16-$F$15)*2-1,AK$100:AO138,5,FALSE)))*EXP(-(LN(2)/$D$65+0.04)*AN138)*EXP(-(LN(2)/$D$65+0.1)*AO138),"-"))),"-")</f>
        <v>-</v>
      </c>
      <c r="AS138" s="274">
        <f t="shared" si="23"/>
        <v>0</v>
      </c>
      <c r="AT138" s="274">
        <f t="shared" si="24"/>
        <v>0</v>
      </c>
      <c r="AU138" s="274">
        <f t="shared" si="25"/>
        <v>0</v>
      </c>
      <c r="AV138" s="190">
        <f>IF($B138&lt;$F$22,SUM($T$100:$T138),"")</f>
        <v>0</v>
      </c>
      <c r="AW138" s="190" t="str">
        <f t="shared" si="84"/>
        <v>-</v>
      </c>
      <c r="AX138" s="190" t="str">
        <f t="shared" si="56"/>
        <v/>
      </c>
      <c r="AY138"/>
      <c r="AZ138" s="190" t="str">
        <f ca="1">IF(ISNUMBER(OFFSET(AV138,-$F$21,0)),SUM(OFFSET($T$100,$F$21,0):$T138),"")</f>
        <v/>
      </c>
      <c r="BA138" s="190" t="str">
        <f t="shared" ca="1" si="85"/>
        <v/>
      </c>
      <c r="BB138" s="190" t="str">
        <f t="shared" ca="1" si="70"/>
        <v/>
      </c>
      <c r="BC138" s="190"/>
      <c r="BD138" s="190" t="str">
        <f ca="1">IFERROR(IF(AND($B138&gt;=($F$16-$F$15),$B138&lt;$F$22+($F$16-$F$15)),SUM(OFFSET($T$100,($F$16-$F$15),0):$T138),""),"")</f>
        <v/>
      </c>
      <c r="BE138" s="190" t="str">
        <f t="shared" ca="1" si="58"/>
        <v/>
      </c>
      <c r="BF138" s="190" t="str">
        <f t="shared" ca="1" si="59"/>
        <v/>
      </c>
      <c r="BG138"/>
      <c r="BH138" s="190" t="str">
        <f ca="1">IF(ISNUMBER(OFFSET(BD138,-$F$21,0)),SUM(OFFSET($T$100,($F$16-$F$15+$F$21),0):$T138),"")</f>
        <v/>
      </c>
      <c r="BI138" s="190" t="str">
        <f t="shared" ca="1" si="86"/>
        <v/>
      </c>
      <c r="BJ138" s="190" t="str">
        <f t="shared" ca="1" si="60"/>
        <v/>
      </c>
      <c r="BK138" s="190"/>
      <c r="BL138" s="190" t="str">
        <f ca="1">IFERROR(IF(AND($B138&gt;=($F$17-$F$15),$B138&lt;$F$22+($F$17-$F$15)),SUM(OFFSET($T$100,($F$17-$F$15),0):$T138),""),"")</f>
        <v/>
      </c>
      <c r="BM138" s="190" t="str">
        <f t="shared" ca="1" si="87"/>
        <v/>
      </c>
      <c r="BN138" s="190" t="str">
        <f t="shared" ca="1" si="61"/>
        <v/>
      </c>
      <c r="BO138"/>
      <c r="BP138" s="190" t="str">
        <f ca="1">IF(ISNUMBER(OFFSET(BL138,-$F$21,0)),SUM(OFFSET($T$100,($F$17-$F$15+$F$21),0):$T138),"")</f>
        <v/>
      </c>
      <c r="BQ138" s="190" t="str">
        <f t="shared" ca="1" si="88"/>
        <v/>
      </c>
      <c r="BR138" s="190" t="str">
        <f t="shared" ca="1" si="63"/>
        <v/>
      </c>
      <c r="BS138" s="190"/>
      <c r="BT138"/>
      <c r="BU138"/>
      <c r="BV138"/>
      <c r="BY138" s="99"/>
      <c r="BZ138" s="99"/>
      <c r="CA138" s="280" t="str">
        <f t="shared" si="89"/>
        <v/>
      </c>
      <c r="CB138" s="71" t="str">
        <f t="shared" si="30"/>
        <v>-</v>
      </c>
      <c r="CC138" s="33"/>
      <c r="CD138" s="261" t="str">
        <f t="shared" si="32"/>
        <v/>
      </c>
      <c r="CE138" s="280" t="str">
        <f t="shared" si="90"/>
        <v>-</v>
      </c>
      <c r="CF138" s="71" t="str">
        <f t="shared" ca="1" si="91"/>
        <v>-</v>
      </c>
      <c r="CG138" s="33" t="str">
        <f t="shared" si="35"/>
        <v>38-39</v>
      </c>
      <c r="CH138" s="261" t="str">
        <f t="shared" ca="1" si="36"/>
        <v/>
      </c>
      <c r="CI138" s="99"/>
      <c r="CJ138" s="99"/>
      <c r="CK138" s="99"/>
      <c r="CL138" s="99"/>
      <c r="CM138" s="99"/>
      <c r="CN138" s="99"/>
      <c r="CO138" s="99"/>
    </row>
    <row r="139" spans="2:93" ht="13.5" customHeight="1" x14ac:dyDescent="0.2">
      <c r="B139" s="262">
        <v>39</v>
      </c>
      <c r="C139" s="237" t="str">
        <f t="shared" si="71"/>
        <v/>
      </c>
      <c r="D139" s="237" t="str">
        <f t="shared" si="66"/>
        <v>-</v>
      </c>
      <c r="E139" s="290" t="str">
        <f t="shared" si="37"/>
        <v/>
      </c>
      <c r="F139" s="264" t="str">
        <f t="shared" si="38"/>
        <v/>
      </c>
      <c r="G139" s="291" t="str">
        <f t="shared" si="39"/>
        <v/>
      </c>
      <c r="H139" s="240" t="str">
        <f t="shared" si="72"/>
        <v/>
      </c>
      <c r="I139" s="265" t="str">
        <f t="shared" si="73"/>
        <v/>
      </c>
      <c r="J139" s="265" t="str">
        <f t="shared" si="74"/>
        <v/>
      </c>
      <c r="K139" s="240" t="str">
        <f t="shared" si="75"/>
        <v/>
      </c>
      <c r="L139" s="265" t="str">
        <f t="shared" si="76"/>
        <v/>
      </c>
      <c r="M139" s="265" t="str">
        <f t="shared" si="77"/>
        <v/>
      </c>
      <c r="N139" s="240" t="str">
        <f t="shared" si="78"/>
        <v>-</v>
      </c>
      <c r="O139" s="265" t="str">
        <f t="shared" si="79"/>
        <v>-</v>
      </c>
      <c r="P139" s="265" t="str">
        <f t="shared" si="80"/>
        <v>-</v>
      </c>
      <c r="Q139" s="266" t="str">
        <f t="shared" si="81"/>
        <v>-</v>
      </c>
      <c r="R139" s="267" t="str">
        <f t="shared" si="82"/>
        <v>-</v>
      </c>
      <c r="S139" s="268" t="str">
        <f t="shared" si="83"/>
        <v>-</v>
      </c>
      <c r="T139" s="269" t="str">
        <f t="shared" si="12"/>
        <v/>
      </c>
      <c r="U139" s="221">
        <f t="shared" si="13"/>
        <v>39</v>
      </c>
      <c r="V139" s="220" t="str">
        <f t="shared" si="42"/>
        <v>-</v>
      </c>
      <c r="W139" s="221" t="str">
        <f t="shared" si="43"/>
        <v>-</v>
      </c>
      <c r="X139" s="221" t="str">
        <f t="shared" si="14"/>
        <v>-</v>
      </c>
      <c r="Y139" s="221" t="str">
        <f t="shared" si="15"/>
        <v>-</v>
      </c>
      <c r="Z139" s="270">
        <f t="shared" si="44"/>
        <v>0.1</v>
      </c>
      <c r="AA139" s="271" t="str">
        <f>IFERROR(IF(V138=1,AA$100*EXP(-(LN(2)/$D$65+0.04)*X138)*EXP(-(LN(2)/$D$65+0.1)*Y138),IF(V138=2,AA$100*EXP(-(LN(2)/$D$65+0.04)*(VLOOKUP(($F$16-$F$15)-1,U$99:Y138,4,FALSE)))*EXP(-(LN(2)/$D$65+0.1)*(VLOOKUP(($F$16-$F$15)-1,U$99:Y138,5,FALSE)))*EXP(-(LN(2)/$D$65+0.04)*X138)*EXP(-(LN(2)/$D$65+0.1)*Y138),IF(V138=3,AA$100*EXP(-(LN(2)/$D$65+0.04)*(VLOOKUP(($F$16-$F$15)-1,U$99:Y138,4,FALSE)))*EXP(-(LN(2)/$D$65+0.1)*(VLOOKUP(($F$16-$F$15)-1,U$99:Y138,5,FALSE)))*EXP(-(LN(2)/$D$65+0.04)*(VLOOKUP(($F$16-$F$15)*2-1,U$99:Y138,4,FALSE)))*EXP(-(LN(2)/$D$65+0.1)*(VLOOKUP(($F$16-$F$15)*2-1,U$99:Y138,5,FALSE)))*EXP(-(LN(2)/$D$65+0.04)*X138)*EXP(-(LN(2)/$D$65+0.1)*Y138),"-"))),"-")</f>
        <v>-</v>
      </c>
      <c r="AB139" s="271" t="str">
        <f>IFERROR(IF(V139=1,AB$100*EXP(-(LN(2)/$D$65+0.04)*X139)*EXP(-(LN(2)/$D$65+0.1)*Y139),IF(V139=2,AB$100*EXP(-(LN(2)/$D$65+0.04)*(VLOOKUP(($F$16-$F$15)-1,U$100:Y139,4,FALSE)))*EXP(-(LN(2)/$D$65+0.1)*(VLOOKUP(($F$16-$F$15)-1,U$100:Y139,5,FALSE)))*EXP(-(LN(2)/$D$65+0.04)*X139)*EXP(-(LN(2)/$D$65+0.1)*Y139),IF(V139=3,AB$100*EXP(-(LN(2)/$D$65+0.04)*(VLOOKUP(($F$16-$F$15)-1,U$100:Y139,4,FALSE)))*EXP(-(LN(2)/$D$65+0.1)*(VLOOKUP(($F$16-$F$15)-1,U$100:Y139,5,FALSE)))*EXP(-(LN(2)/$D$65+0.04)*(VLOOKUP(($F$16-$F$15)*2-1,U$100:Y139,4,FALSE)))*EXP(-(LN(2)/$D$65+0.1)*(VLOOKUP(($F$16-$F$15)*2-1,U$100:Y139,5,FALSE)))*EXP(-(LN(2)/$D$65+0.04)*X139)*EXP(-(LN(2)/$D$65+0.1)*Y139),"-"))),"-")</f>
        <v>-</v>
      </c>
      <c r="AC139" s="224">
        <f t="shared" si="45"/>
        <v>39</v>
      </c>
      <c r="AD139" s="223" t="str">
        <f t="shared" si="17"/>
        <v>-</v>
      </c>
      <c r="AE139" s="224" t="str">
        <f t="shared" si="46"/>
        <v>-</v>
      </c>
      <c r="AF139" s="224" t="str">
        <f t="shared" si="18"/>
        <v>-</v>
      </c>
      <c r="AG139" s="224" t="str">
        <f t="shared" si="19"/>
        <v>-</v>
      </c>
      <c r="AH139" s="272">
        <f t="shared" si="47"/>
        <v>0.1</v>
      </c>
      <c r="AI139" s="271" t="str">
        <f>IFERROR(IF(AD138=1,AI$100*EXP(-(LN(2)/$D$65+0.04)*AF138)*EXP(-(LN(2)/$D$65+0.1)*AG138),IF(AD138=2,AI$100*EXP(-(LN(2)/$D$65+0.04)*(VLOOKUP(($F$16-$F$15)-1,AC$99:AG138,4,FALSE)))*EXP(-(LN(2)/$D$65+0.1)*(VLOOKUP(($F$16-$F$15)-1,AC$99:AG138,5,FALSE)))*EXP(-(LN(2)/$D$65+0.04)*AF138)*EXP(-(LN(2)/$D$65+0.1)*AG138),IF(AD138=3,AI$100*EXP(-(LN(2)/$D$65+0.04)*(VLOOKUP(($F$16-$F$15)-1,AC$99:AG138,4,FALSE)))*EXP(-(LN(2)/$D$65+0.1)*(VLOOKUP(($F$16-$F$15)-1,AC$99:AG138,5,FALSE)))*EXP(-(LN(2)/$D$65+0.04)*(VLOOKUP(($F$16-$F$15)*2-1,AC$99:AG138,4,FALSE)))*EXP(-(LN(2)/$D$65+0.1)*(VLOOKUP(($F$16-$F$15)*2-1,AC$99:AG138,5,FALSE)))*EXP(-(LN(2)/$D$65+0.04)*AF138)*EXP(-(LN(2)/$D$65+0.1)*AG138),"-"))),"-")</f>
        <v>-</v>
      </c>
      <c r="AJ139" s="271" t="str">
        <f>IFERROR(IF(AD139=1,AJ$100*EXP(-(LN(2)/$D$65+0.04)*AF139)*EXP(-(LN(2)/$D$65+0.1)*AG139),IF(AD139=2,AJ$100*EXP(-(LN(2)/$D$65+0.04)*(VLOOKUP(($F$16-$F$15)-1,AC$100:AG139,4,FALSE)))*EXP(-(LN(2)/$D$65+0.1)*(VLOOKUP(($F$16-$F$15)-1,AC$100:AG139,5,FALSE)))*EXP(-(LN(2)/$D$65+0.04)*AF139)*EXP(-(LN(2)/$D$65+0.1)*AG139),IF(AD139=3,AJ$100*EXP(-(LN(2)/$D$65+0.04)*(VLOOKUP(($F$16-$F$15)-1,AC$100:AG139,4,FALSE)))*EXP(-(LN(2)/$D$65+0.1)*(VLOOKUP(($F$16-$F$15)-1,AC$100:AG139,5,FALSE)))*EXP(-(LN(2)/$D$65+0.04)*(VLOOKUP(($F$16-$F$15)*2-1,AC$100:AG139,4,FALSE)))*EXP(-(LN(2)/$D$65+0.1)*(VLOOKUP(($F$16-$F$15)*2-1,AC$100:AG139,5,FALSE)))*EXP(-(LN(2)/$D$65+0.04)*AF139)*EXP(-(LN(2)/$D$65+0.1)*AG139),"-"))),"-")</f>
        <v>-</v>
      </c>
      <c r="AK139" s="227">
        <f t="shared" si="49"/>
        <v>39</v>
      </c>
      <c r="AL139" s="226" t="str">
        <f t="shared" si="21"/>
        <v>-</v>
      </c>
      <c r="AM139" s="227" t="str">
        <f t="shared" si="50"/>
        <v>-</v>
      </c>
      <c r="AN139" s="227" t="str">
        <f t="shared" si="51"/>
        <v>-</v>
      </c>
      <c r="AO139" s="227" t="str">
        <f t="shared" si="22"/>
        <v>-</v>
      </c>
      <c r="AP139" s="273">
        <f t="shared" si="52"/>
        <v>0.1</v>
      </c>
      <c r="AQ139" s="271" t="str">
        <f>IFERROR(IF(AL138=1,AQ$100*EXP(-(LN(2)/$D$65+0.04)*AN138)*EXP(-(LN(2)/$D$65+0.1)*AO138),IF(AL138=2,AQ$100*EXP(-(LN(2)/$D$65+0.04)*(VLOOKUP(($F$16-$F$15)-1,AK$99:AO138,4,FALSE)))*EXP(-(LN(2)/$D$65+0.1)*(VLOOKUP(($F$16-$F$15)-1,AK$99:AO138,5,FALSE)))*EXP(-(LN(2)/$D$65+0.04)*AN138)*EXP(-(LN(2)/$D$65+0.1)*AO138),IF(AL138=3,AQ$100*EXP(-(LN(2)/$D$65+0.04)*(VLOOKUP(($F$16-$F$15)-1,AK$99:AO138,4,FALSE)))*EXP(-(LN(2)/$D$65+0.1)*(VLOOKUP(($F$16-$F$15)-1,AK$99:AO138,5,FALSE)))*EXP(-(LN(2)/$D$65+0.04)*(VLOOKUP(($F$16-$F$15)*2-1,AK$99:AO138,4,FALSE)))*EXP(-(LN(2)/$D$65+0.1)*(VLOOKUP(($F$16-$F$15)*2-1,AK$99:AO138,5,FALSE)))*EXP(-(LN(2)/$D$65+0.04)*AN138)*EXP(-(LN(2)/$D$65+0.1)*AO138),"-"))),"-")</f>
        <v>-</v>
      </c>
      <c r="AR139" s="271" t="str">
        <f>IFERROR(IF(AL139=1,AR$100*EXP(-(LN(2)/$D$65+0.04)*AN139)*EXP(-(LN(2)/$D$65+0.1)*AO139),IF(AL139=2,AR$100*EXP(-(LN(2)/$D$65+0.04)*(VLOOKUP(($F$16-$F$15)-1,AK$100:AO139,4,FALSE)))*EXP(-(LN(2)/$D$65+0.1)*(VLOOKUP(($F$16-$F$15)-1,AK$100:AO139,5,FALSE)))*EXP(-(LN(2)/$D$65+0.04)*AN139)*EXP(-(LN(2)/$D$65+0.1)*AO139),IF(AL139=3,AR$100*EXP(-(LN(2)/$D$65+0.04)*(VLOOKUP(($F$16-$F$15)-1,AK$100:AO139,4,FALSE)))*EXP(-(LN(2)/$D$65+0.1)*(VLOOKUP(($F$16-$F$15)-1,AK$100:AO139,5,FALSE)))*EXP(-(LN(2)/$D$65+0.04)*(VLOOKUP(($F$16-$F$15)*2-1,AK$100:AO139,4,FALSE)))*EXP(-(LN(2)/$D$65+0.1)*(VLOOKUP(($F$16-$F$15)*2-1,AK$100:AO139,5,FALSE)))*EXP(-(LN(2)/$D$65+0.04)*AN139)*EXP(-(LN(2)/$D$65+0.1)*AO139),"-"))),"-")</f>
        <v>-</v>
      </c>
      <c r="AS139" s="274">
        <f t="shared" si="23"/>
        <v>0</v>
      </c>
      <c r="AT139" s="274">
        <f t="shared" si="24"/>
        <v>0</v>
      </c>
      <c r="AU139" s="274">
        <f t="shared" si="25"/>
        <v>0</v>
      </c>
      <c r="AV139" s="190">
        <f>IF($B139&lt;$F$22,SUM($T$100:$T139),"")</f>
        <v>0</v>
      </c>
      <c r="AW139" s="190" t="str">
        <f t="shared" si="84"/>
        <v>-</v>
      </c>
      <c r="AX139" s="190" t="str">
        <f t="shared" si="56"/>
        <v/>
      </c>
      <c r="AY139"/>
      <c r="AZ139" s="190" t="str">
        <f ca="1">IF(ISNUMBER(OFFSET(AV139,-$F$21,0)),SUM(OFFSET($T$100,$F$21,0):$T139),"")</f>
        <v/>
      </c>
      <c r="BA139" s="190" t="str">
        <f t="shared" ca="1" si="85"/>
        <v/>
      </c>
      <c r="BB139" s="190" t="str">
        <f t="shared" ca="1" si="70"/>
        <v/>
      </c>
      <c r="BC139" s="190"/>
      <c r="BD139" s="190" t="str">
        <f ca="1">IFERROR(IF(AND($B139&gt;=($F$16-$F$15),$B139&lt;$F$22+($F$16-$F$15)),SUM(OFFSET($T$100,($F$16-$F$15),0):$T139),""),"")</f>
        <v/>
      </c>
      <c r="BE139" s="190" t="str">
        <f t="shared" ca="1" si="58"/>
        <v/>
      </c>
      <c r="BF139" s="190" t="str">
        <f t="shared" ca="1" si="59"/>
        <v/>
      </c>
      <c r="BG139"/>
      <c r="BH139" s="190" t="str">
        <f ca="1">IF(ISNUMBER(OFFSET(BD139,-$F$21,0)),SUM(OFFSET($T$100,($F$16-$F$15+$F$21),0):$T139),"")</f>
        <v/>
      </c>
      <c r="BI139" s="190" t="str">
        <f t="shared" ca="1" si="86"/>
        <v/>
      </c>
      <c r="BJ139" s="190" t="str">
        <f t="shared" ca="1" si="60"/>
        <v/>
      </c>
      <c r="BK139" s="190"/>
      <c r="BL139" s="190" t="str">
        <f ca="1">IFERROR(IF(AND($B139&gt;=($F$17-$F$15),$B139&lt;$F$22+($F$17-$F$15)),SUM(OFFSET($T$100,($F$17-$F$15),0):$T139),""),"")</f>
        <v/>
      </c>
      <c r="BM139" s="190" t="str">
        <f t="shared" ca="1" si="87"/>
        <v/>
      </c>
      <c r="BN139" s="190" t="str">
        <f t="shared" ca="1" si="61"/>
        <v/>
      </c>
      <c r="BO139"/>
      <c r="BP139" s="190" t="str">
        <f ca="1">IF(ISNUMBER(OFFSET(BL139,-$F$21,0)),SUM(OFFSET($T$100,($F$17-$F$15+$F$21),0):$T139),"")</f>
        <v/>
      </c>
      <c r="BQ139" s="190" t="str">
        <f t="shared" ca="1" si="88"/>
        <v/>
      </c>
      <c r="BR139" s="190" t="str">
        <f t="shared" ca="1" si="63"/>
        <v/>
      </c>
      <c r="BS139" s="190"/>
      <c r="BT139"/>
      <c r="BU139"/>
      <c r="BV139"/>
      <c r="BY139" s="99"/>
      <c r="BZ139" s="99"/>
      <c r="CA139" s="280" t="str">
        <f t="shared" si="89"/>
        <v/>
      </c>
      <c r="CB139" s="71" t="str">
        <f t="shared" si="30"/>
        <v>-</v>
      </c>
      <c r="CC139" s="33"/>
      <c r="CD139" s="261" t="str">
        <f t="shared" si="32"/>
        <v/>
      </c>
      <c r="CE139" s="280" t="str">
        <f t="shared" si="90"/>
        <v>-</v>
      </c>
      <c r="CF139" s="71" t="str">
        <f t="shared" ca="1" si="91"/>
        <v>-</v>
      </c>
      <c r="CG139" s="33" t="str">
        <f t="shared" si="35"/>
        <v>39-40</v>
      </c>
      <c r="CH139" s="261" t="str">
        <f t="shared" ca="1" si="36"/>
        <v/>
      </c>
      <c r="CI139" s="99"/>
      <c r="CJ139" s="99"/>
      <c r="CK139" s="99"/>
      <c r="CL139" s="99"/>
      <c r="CM139" s="99"/>
      <c r="CN139" s="99"/>
      <c r="CO139" s="99"/>
    </row>
    <row r="140" spans="2:93" ht="13.5" customHeight="1" x14ac:dyDescent="0.2">
      <c r="B140" s="262">
        <v>40</v>
      </c>
      <c r="C140" s="237" t="str">
        <f t="shared" si="71"/>
        <v/>
      </c>
      <c r="D140" s="237" t="str">
        <f t="shared" si="66"/>
        <v>-</v>
      </c>
      <c r="E140" s="290" t="str">
        <f t="shared" si="37"/>
        <v/>
      </c>
      <c r="F140" s="264" t="str">
        <f t="shared" si="38"/>
        <v/>
      </c>
      <c r="G140" s="291" t="str">
        <f t="shared" si="39"/>
        <v/>
      </c>
      <c r="H140" s="240" t="str">
        <f t="shared" si="72"/>
        <v/>
      </c>
      <c r="I140" s="265" t="str">
        <f t="shared" si="73"/>
        <v/>
      </c>
      <c r="J140" s="265" t="str">
        <f t="shared" si="74"/>
        <v/>
      </c>
      <c r="K140" s="240" t="str">
        <f t="shared" si="75"/>
        <v/>
      </c>
      <c r="L140" s="265" t="str">
        <f t="shared" si="76"/>
        <v/>
      </c>
      <c r="M140" s="265" t="str">
        <f t="shared" si="77"/>
        <v/>
      </c>
      <c r="N140" s="240" t="str">
        <f t="shared" si="78"/>
        <v>-</v>
      </c>
      <c r="O140" s="265" t="str">
        <f t="shared" si="79"/>
        <v>-</v>
      </c>
      <c r="P140" s="265" t="str">
        <f t="shared" si="80"/>
        <v>-</v>
      </c>
      <c r="Q140" s="266" t="str">
        <f t="shared" si="81"/>
        <v>-</v>
      </c>
      <c r="R140" s="267" t="str">
        <f t="shared" si="82"/>
        <v>-</v>
      </c>
      <c r="S140" s="268" t="str">
        <f t="shared" si="83"/>
        <v>-</v>
      </c>
      <c r="T140" s="269" t="str">
        <f t="shared" si="12"/>
        <v/>
      </c>
      <c r="U140" s="221">
        <f t="shared" si="13"/>
        <v>40</v>
      </c>
      <c r="V140" s="220" t="str">
        <f t="shared" si="42"/>
        <v>-</v>
      </c>
      <c r="W140" s="221" t="str">
        <f t="shared" si="43"/>
        <v>-</v>
      </c>
      <c r="X140" s="221" t="str">
        <f t="shared" si="14"/>
        <v>-</v>
      </c>
      <c r="Y140" s="221" t="str">
        <f t="shared" si="15"/>
        <v>-</v>
      </c>
      <c r="Z140" s="270">
        <f t="shared" si="44"/>
        <v>0.1</v>
      </c>
      <c r="AA140" s="271" t="str">
        <f>IFERROR(IF(V139=1,AA$100*EXP(-(LN(2)/$D$65+0.04)*X139)*EXP(-(LN(2)/$D$65+0.1)*Y139),IF(V139=2,AA$100*EXP(-(LN(2)/$D$65+0.04)*(VLOOKUP(($F$16-$F$15)-1,U$99:Y139,4,FALSE)))*EXP(-(LN(2)/$D$65+0.1)*(VLOOKUP(($F$16-$F$15)-1,U$99:Y139,5,FALSE)))*EXP(-(LN(2)/$D$65+0.04)*X139)*EXP(-(LN(2)/$D$65+0.1)*Y139),IF(V139=3,AA$100*EXP(-(LN(2)/$D$65+0.04)*(VLOOKUP(($F$16-$F$15)-1,U$99:Y139,4,FALSE)))*EXP(-(LN(2)/$D$65+0.1)*(VLOOKUP(($F$16-$F$15)-1,U$99:Y139,5,FALSE)))*EXP(-(LN(2)/$D$65+0.04)*(VLOOKUP(($F$16-$F$15)*2-1,U$99:Y139,4,FALSE)))*EXP(-(LN(2)/$D$65+0.1)*(VLOOKUP(($F$16-$F$15)*2-1,U$99:Y139,5,FALSE)))*EXP(-(LN(2)/$D$65+0.04)*X139)*EXP(-(LN(2)/$D$65+0.1)*Y139),"-"))),"-")</f>
        <v>-</v>
      </c>
      <c r="AB140" s="271" t="str">
        <f>IFERROR(IF(V140=1,AB$100*EXP(-(LN(2)/$D$65+0.04)*X140)*EXP(-(LN(2)/$D$65+0.1)*Y140),IF(V140=2,AB$100*EXP(-(LN(2)/$D$65+0.04)*(VLOOKUP(($F$16-$F$15)-1,U$100:Y140,4,FALSE)))*EXP(-(LN(2)/$D$65+0.1)*(VLOOKUP(($F$16-$F$15)-1,U$100:Y140,5,FALSE)))*EXP(-(LN(2)/$D$65+0.04)*X140)*EXP(-(LN(2)/$D$65+0.1)*Y140),IF(V140=3,AB$100*EXP(-(LN(2)/$D$65+0.04)*(VLOOKUP(($F$16-$F$15)-1,U$100:Y140,4,FALSE)))*EXP(-(LN(2)/$D$65+0.1)*(VLOOKUP(($F$16-$F$15)-1,U$100:Y140,5,FALSE)))*EXP(-(LN(2)/$D$65+0.04)*(VLOOKUP(($F$16-$F$15)*2-1,U$100:Y140,4,FALSE)))*EXP(-(LN(2)/$D$65+0.1)*(VLOOKUP(($F$16-$F$15)*2-1,U$100:Y140,5,FALSE)))*EXP(-(LN(2)/$D$65+0.04)*X140)*EXP(-(LN(2)/$D$65+0.1)*Y140),"-"))),"-")</f>
        <v>-</v>
      </c>
      <c r="AC140" s="224">
        <f t="shared" si="45"/>
        <v>40</v>
      </c>
      <c r="AD140" s="223" t="str">
        <f t="shared" si="17"/>
        <v>-</v>
      </c>
      <c r="AE140" s="224" t="str">
        <f t="shared" si="46"/>
        <v>-</v>
      </c>
      <c r="AF140" s="224" t="str">
        <f t="shared" si="18"/>
        <v>-</v>
      </c>
      <c r="AG140" s="224" t="str">
        <f t="shared" si="19"/>
        <v>-</v>
      </c>
      <c r="AH140" s="272">
        <f t="shared" si="47"/>
        <v>0.1</v>
      </c>
      <c r="AI140" s="271" t="str">
        <f>IFERROR(IF(AD139=1,AI$100*EXP(-(LN(2)/$D$65+0.04)*AF139)*EXP(-(LN(2)/$D$65+0.1)*AG139),IF(AD139=2,AI$100*EXP(-(LN(2)/$D$65+0.04)*(VLOOKUP(($F$16-$F$15)-1,AC$99:AG139,4,FALSE)))*EXP(-(LN(2)/$D$65+0.1)*(VLOOKUP(($F$16-$F$15)-1,AC$99:AG139,5,FALSE)))*EXP(-(LN(2)/$D$65+0.04)*AF139)*EXP(-(LN(2)/$D$65+0.1)*AG139),IF(AD139=3,AI$100*EXP(-(LN(2)/$D$65+0.04)*(VLOOKUP(($F$16-$F$15)-1,AC$99:AG139,4,FALSE)))*EXP(-(LN(2)/$D$65+0.1)*(VLOOKUP(($F$16-$F$15)-1,AC$99:AG139,5,FALSE)))*EXP(-(LN(2)/$D$65+0.04)*(VLOOKUP(($F$16-$F$15)*2-1,AC$99:AG139,4,FALSE)))*EXP(-(LN(2)/$D$65+0.1)*(VLOOKUP(($F$16-$F$15)*2-1,AC$99:AG139,5,FALSE)))*EXP(-(LN(2)/$D$65+0.04)*AF139)*EXP(-(LN(2)/$D$65+0.1)*AG139),"-"))),"-")</f>
        <v>-</v>
      </c>
      <c r="AJ140" s="271" t="str">
        <f>IFERROR(IF(AD140=1,AJ$100*EXP(-(LN(2)/$D$65+0.04)*AF140)*EXP(-(LN(2)/$D$65+0.1)*AG140),IF(AD140=2,AJ$100*EXP(-(LN(2)/$D$65+0.04)*(VLOOKUP(($F$16-$F$15)-1,AC$100:AG140,4,FALSE)))*EXP(-(LN(2)/$D$65+0.1)*(VLOOKUP(($F$16-$F$15)-1,AC$100:AG140,5,FALSE)))*EXP(-(LN(2)/$D$65+0.04)*AF140)*EXP(-(LN(2)/$D$65+0.1)*AG140),IF(AD140=3,AJ$100*EXP(-(LN(2)/$D$65+0.04)*(VLOOKUP(($F$16-$F$15)-1,AC$100:AG140,4,FALSE)))*EXP(-(LN(2)/$D$65+0.1)*(VLOOKUP(($F$16-$F$15)-1,AC$100:AG140,5,FALSE)))*EXP(-(LN(2)/$D$65+0.04)*(VLOOKUP(($F$16-$F$15)*2-1,AC$100:AG140,4,FALSE)))*EXP(-(LN(2)/$D$65+0.1)*(VLOOKUP(($F$16-$F$15)*2-1,AC$100:AG140,5,FALSE)))*EXP(-(LN(2)/$D$65+0.04)*AF140)*EXP(-(LN(2)/$D$65+0.1)*AG140),"-"))),"-")</f>
        <v>-</v>
      </c>
      <c r="AK140" s="227">
        <f t="shared" si="49"/>
        <v>40</v>
      </c>
      <c r="AL140" s="226" t="str">
        <f t="shared" si="21"/>
        <v>-</v>
      </c>
      <c r="AM140" s="227" t="str">
        <f t="shared" si="50"/>
        <v>-</v>
      </c>
      <c r="AN140" s="227" t="str">
        <f t="shared" si="51"/>
        <v>-</v>
      </c>
      <c r="AO140" s="227" t="str">
        <f t="shared" si="22"/>
        <v>-</v>
      </c>
      <c r="AP140" s="273">
        <f t="shared" si="52"/>
        <v>0.1</v>
      </c>
      <c r="AQ140" s="271" t="str">
        <f>IFERROR(IF(AL139=1,AQ$100*EXP(-(LN(2)/$D$65+0.04)*AN139)*EXP(-(LN(2)/$D$65+0.1)*AO139),IF(AL139=2,AQ$100*EXP(-(LN(2)/$D$65+0.04)*(VLOOKUP(($F$16-$F$15)-1,AK$99:AO139,4,FALSE)))*EXP(-(LN(2)/$D$65+0.1)*(VLOOKUP(($F$16-$F$15)-1,AK$99:AO139,5,FALSE)))*EXP(-(LN(2)/$D$65+0.04)*AN139)*EXP(-(LN(2)/$D$65+0.1)*AO139),IF(AL139=3,AQ$100*EXP(-(LN(2)/$D$65+0.04)*(VLOOKUP(($F$16-$F$15)-1,AK$99:AO139,4,FALSE)))*EXP(-(LN(2)/$D$65+0.1)*(VLOOKUP(($F$16-$F$15)-1,AK$99:AO139,5,FALSE)))*EXP(-(LN(2)/$D$65+0.04)*(VLOOKUP(($F$16-$F$15)*2-1,AK$99:AO139,4,FALSE)))*EXP(-(LN(2)/$D$65+0.1)*(VLOOKUP(($F$16-$F$15)*2-1,AK$99:AO139,5,FALSE)))*EXP(-(LN(2)/$D$65+0.04)*AN139)*EXP(-(LN(2)/$D$65+0.1)*AO139),"-"))),"-")</f>
        <v>-</v>
      </c>
      <c r="AR140" s="271" t="str">
        <f>IFERROR(IF(AL140=1,AR$100*EXP(-(LN(2)/$D$65+0.04)*AN140)*EXP(-(LN(2)/$D$65+0.1)*AO140),IF(AL140=2,AR$100*EXP(-(LN(2)/$D$65+0.04)*(VLOOKUP(($F$16-$F$15)-1,AK$100:AO140,4,FALSE)))*EXP(-(LN(2)/$D$65+0.1)*(VLOOKUP(($F$16-$F$15)-1,AK$100:AO140,5,FALSE)))*EXP(-(LN(2)/$D$65+0.04)*AN140)*EXP(-(LN(2)/$D$65+0.1)*AO140),IF(AL140=3,AR$100*EXP(-(LN(2)/$D$65+0.04)*(VLOOKUP(($F$16-$F$15)-1,AK$100:AO140,4,FALSE)))*EXP(-(LN(2)/$D$65+0.1)*(VLOOKUP(($F$16-$F$15)-1,AK$100:AO140,5,FALSE)))*EXP(-(LN(2)/$D$65+0.04)*(VLOOKUP(($F$16-$F$15)*2-1,AK$100:AO140,4,FALSE)))*EXP(-(LN(2)/$D$65+0.1)*(VLOOKUP(($F$16-$F$15)*2-1,AK$100:AO140,5,FALSE)))*EXP(-(LN(2)/$D$65+0.04)*AN140)*EXP(-(LN(2)/$D$65+0.1)*AO140),"-"))),"-")</f>
        <v>-</v>
      </c>
      <c r="AS140" s="274">
        <f t="shared" si="23"/>
        <v>0</v>
      </c>
      <c r="AT140" s="274">
        <f t="shared" si="24"/>
        <v>0</v>
      </c>
      <c r="AU140" s="274">
        <f t="shared" si="25"/>
        <v>0</v>
      </c>
      <c r="AV140" s="190">
        <f>IF($B140&lt;$F$22,SUM($T$100:$T140),"")</f>
        <v>0</v>
      </c>
      <c r="AW140" s="190" t="str">
        <f t="shared" si="84"/>
        <v>-</v>
      </c>
      <c r="AX140" s="190" t="str">
        <f t="shared" si="56"/>
        <v/>
      </c>
      <c r="AY140"/>
      <c r="AZ140" s="190" t="str">
        <f ca="1">IF(ISNUMBER(OFFSET(AV140,-$F$21,0)),SUM(OFFSET($T$100,$F$21,0):$T140),"")</f>
        <v/>
      </c>
      <c r="BA140" s="190" t="str">
        <f t="shared" ca="1" si="85"/>
        <v/>
      </c>
      <c r="BB140" s="190" t="str">
        <f t="shared" ca="1" si="70"/>
        <v/>
      </c>
      <c r="BC140" s="190"/>
      <c r="BD140" s="190" t="str">
        <f ca="1">IFERROR(IF(AND($B140&gt;=($F$16-$F$15),$B140&lt;$F$22+($F$16-$F$15)),SUM(OFFSET($T$100,($F$16-$F$15),0):$T140),""),"")</f>
        <v/>
      </c>
      <c r="BE140" s="190" t="str">
        <f t="shared" ca="1" si="58"/>
        <v/>
      </c>
      <c r="BF140" s="190" t="str">
        <f t="shared" ca="1" si="59"/>
        <v/>
      </c>
      <c r="BG140"/>
      <c r="BH140" s="190" t="str">
        <f ca="1">IF(ISNUMBER(OFFSET(BD140,-$F$21,0)),SUM(OFFSET($T$100,($F$16-$F$15+$F$21),0):$T140),"")</f>
        <v/>
      </c>
      <c r="BI140" s="190" t="str">
        <f t="shared" ca="1" si="86"/>
        <v/>
      </c>
      <c r="BJ140" s="190" t="str">
        <f t="shared" ca="1" si="60"/>
        <v/>
      </c>
      <c r="BK140" s="190"/>
      <c r="BL140" s="190" t="str">
        <f ca="1">IFERROR(IF(AND($B140&gt;=($F$17-$F$15),$B140&lt;$F$22+($F$17-$F$15)),SUM(OFFSET($T$100,($F$17-$F$15),0):$T140),""),"")</f>
        <v/>
      </c>
      <c r="BM140" s="190" t="str">
        <f t="shared" ca="1" si="87"/>
        <v/>
      </c>
      <c r="BN140" s="190" t="str">
        <f t="shared" ca="1" si="61"/>
        <v/>
      </c>
      <c r="BO140"/>
      <c r="BP140" s="190" t="str">
        <f ca="1">IF(ISNUMBER(OFFSET(BL140,-$F$21,0)),SUM(OFFSET($T$100,($F$17-$F$15+$F$21),0):$T140),"")</f>
        <v/>
      </c>
      <c r="BQ140" s="190" t="str">
        <f t="shared" ca="1" si="88"/>
        <v/>
      </c>
      <c r="BR140" s="190" t="str">
        <f t="shared" ca="1" si="63"/>
        <v/>
      </c>
      <c r="BS140" s="190"/>
      <c r="BT140"/>
      <c r="BU140"/>
      <c r="BV140"/>
      <c r="BY140" s="99"/>
      <c r="BZ140" s="99"/>
      <c r="CA140" s="280" t="str">
        <f t="shared" si="89"/>
        <v/>
      </c>
      <c r="CB140" s="71" t="str">
        <f t="shared" si="30"/>
        <v>-</v>
      </c>
      <c r="CC140" s="33"/>
      <c r="CD140" s="261" t="str">
        <f t="shared" si="32"/>
        <v/>
      </c>
      <c r="CE140" s="280" t="str">
        <f t="shared" si="90"/>
        <v>-</v>
      </c>
      <c r="CF140" s="71" t="str">
        <f t="shared" ca="1" si="91"/>
        <v>-</v>
      </c>
      <c r="CG140" s="33" t="str">
        <f t="shared" si="35"/>
        <v>40-41</v>
      </c>
      <c r="CH140" s="261" t="str">
        <f t="shared" ca="1" si="36"/>
        <v/>
      </c>
      <c r="CI140" s="99"/>
      <c r="CJ140" s="99"/>
      <c r="CK140" s="99"/>
      <c r="CL140" s="99"/>
      <c r="CM140" s="99"/>
      <c r="CN140" s="99"/>
      <c r="CO140" s="99"/>
    </row>
    <row r="141" spans="2:93" ht="13.5" customHeight="1" x14ac:dyDescent="0.2">
      <c r="B141" s="262">
        <v>41</v>
      </c>
      <c r="C141" s="237" t="str">
        <f t="shared" si="71"/>
        <v/>
      </c>
      <c r="D141" s="237" t="str">
        <f t="shared" si="66"/>
        <v>-</v>
      </c>
      <c r="E141" s="290" t="str">
        <f t="shared" si="37"/>
        <v/>
      </c>
      <c r="F141" s="264" t="str">
        <f t="shared" si="38"/>
        <v/>
      </c>
      <c r="G141" s="291" t="str">
        <f t="shared" si="39"/>
        <v/>
      </c>
      <c r="H141" s="240" t="str">
        <f t="shared" si="72"/>
        <v/>
      </c>
      <c r="I141" s="265" t="str">
        <f t="shared" si="73"/>
        <v/>
      </c>
      <c r="J141" s="265" t="str">
        <f t="shared" si="74"/>
        <v/>
      </c>
      <c r="K141" s="240" t="str">
        <f t="shared" si="75"/>
        <v/>
      </c>
      <c r="L141" s="265" t="str">
        <f t="shared" si="76"/>
        <v/>
      </c>
      <c r="M141" s="265" t="str">
        <f t="shared" si="77"/>
        <v/>
      </c>
      <c r="N141" s="240" t="str">
        <f t="shared" si="78"/>
        <v>-</v>
      </c>
      <c r="O141" s="265" t="str">
        <f t="shared" si="79"/>
        <v>-</v>
      </c>
      <c r="P141" s="265" t="str">
        <f t="shared" si="80"/>
        <v>-</v>
      </c>
      <c r="Q141" s="266" t="str">
        <f t="shared" si="81"/>
        <v>-</v>
      </c>
      <c r="R141" s="267" t="str">
        <f t="shared" si="82"/>
        <v>-</v>
      </c>
      <c r="S141" s="268" t="str">
        <f t="shared" si="83"/>
        <v>-</v>
      </c>
      <c r="T141" s="269" t="str">
        <f t="shared" si="12"/>
        <v/>
      </c>
      <c r="U141" s="221">
        <f t="shared" si="13"/>
        <v>41</v>
      </c>
      <c r="V141" s="220" t="str">
        <f t="shared" si="42"/>
        <v>-</v>
      </c>
      <c r="W141" s="221" t="str">
        <f t="shared" si="43"/>
        <v>-</v>
      </c>
      <c r="X141" s="221" t="str">
        <f t="shared" si="14"/>
        <v>-</v>
      </c>
      <c r="Y141" s="221" t="str">
        <f t="shared" si="15"/>
        <v>-</v>
      </c>
      <c r="Z141" s="270">
        <f t="shared" si="44"/>
        <v>0.1</v>
      </c>
      <c r="AA141" s="271" t="str">
        <f>IFERROR(IF(V140=1,AA$100*EXP(-(LN(2)/$D$65+0.04)*X140)*EXP(-(LN(2)/$D$65+0.1)*Y140),IF(V140=2,AA$100*EXP(-(LN(2)/$D$65+0.04)*(VLOOKUP(($F$16-$F$15)-1,U$99:Y140,4,FALSE)))*EXP(-(LN(2)/$D$65+0.1)*(VLOOKUP(($F$16-$F$15)-1,U$99:Y140,5,FALSE)))*EXP(-(LN(2)/$D$65+0.04)*X140)*EXP(-(LN(2)/$D$65+0.1)*Y140),IF(V140=3,AA$100*EXP(-(LN(2)/$D$65+0.04)*(VLOOKUP(($F$16-$F$15)-1,U$99:Y140,4,FALSE)))*EXP(-(LN(2)/$D$65+0.1)*(VLOOKUP(($F$16-$F$15)-1,U$99:Y140,5,FALSE)))*EXP(-(LN(2)/$D$65+0.04)*(VLOOKUP(($F$16-$F$15)*2-1,U$99:Y140,4,FALSE)))*EXP(-(LN(2)/$D$65+0.1)*(VLOOKUP(($F$16-$F$15)*2-1,U$99:Y140,5,FALSE)))*EXP(-(LN(2)/$D$65+0.04)*X140)*EXP(-(LN(2)/$D$65+0.1)*Y140),"-"))),"-")</f>
        <v>-</v>
      </c>
      <c r="AB141" s="271" t="str">
        <f>IFERROR(IF(V141=1,AB$100*EXP(-(LN(2)/$D$65+0.04)*X141)*EXP(-(LN(2)/$D$65+0.1)*Y141),IF(V141=2,AB$100*EXP(-(LN(2)/$D$65+0.04)*(VLOOKUP(($F$16-$F$15)-1,U$100:Y141,4,FALSE)))*EXP(-(LN(2)/$D$65+0.1)*(VLOOKUP(($F$16-$F$15)-1,U$100:Y141,5,FALSE)))*EXP(-(LN(2)/$D$65+0.04)*X141)*EXP(-(LN(2)/$D$65+0.1)*Y141),IF(V141=3,AB$100*EXP(-(LN(2)/$D$65+0.04)*(VLOOKUP(($F$16-$F$15)-1,U$100:Y141,4,FALSE)))*EXP(-(LN(2)/$D$65+0.1)*(VLOOKUP(($F$16-$F$15)-1,U$100:Y141,5,FALSE)))*EXP(-(LN(2)/$D$65+0.04)*(VLOOKUP(($F$16-$F$15)*2-1,U$100:Y141,4,FALSE)))*EXP(-(LN(2)/$D$65+0.1)*(VLOOKUP(($F$16-$F$15)*2-1,U$100:Y141,5,FALSE)))*EXP(-(LN(2)/$D$65+0.04)*X141)*EXP(-(LN(2)/$D$65+0.1)*Y141),"-"))),"-")</f>
        <v>-</v>
      </c>
      <c r="AC141" s="224">
        <f t="shared" si="45"/>
        <v>41</v>
      </c>
      <c r="AD141" s="223" t="str">
        <f t="shared" si="17"/>
        <v>-</v>
      </c>
      <c r="AE141" s="224" t="str">
        <f t="shared" si="46"/>
        <v>-</v>
      </c>
      <c r="AF141" s="224" t="str">
        <f t="shared" si="18"/>
        <v>-</v>
      </c>
      <c r="AG141" s="224" t="str">
        <f t="shared" si="19"/>
        <v>-</v>
      </c>
      <c r="AH141" s="272">
        <f t="shared" si="47"/>
        <v>0.1</v>
      </c>
      <c r="AI141" s="271" t="str">
        <f>IFERROR(IF(AD140=1,AI$100*EXP(-(LN(2)/$D$65+0.04)*AF140)*EXP(-(LN(2)/$D$65+0.1)*AG140),IF(AD140=2,AI$100*EXP(-(LN(2)/$D$65+0.04)*(VLOOKUP(($F$16-$F$15)-1,AC$99:AG140,4,FALSE)))*EXP(-(LN(2)/$D$65+0.1)*(VLOOKUP(($F$16-$F$15)-1,AC$99:AG140,5,FALSE)))*EXP(-(LN(2)/$D$65+0.04)*AF140)*EXP(-(LN(2)/$D$65+0.1)*AG140),IF(AD140=3,AI$100*EXP(-(LN(2)/$D$65+0.04)*(VLOOKUP(($F$16-$F$15)-1,AC$99:AG140,4,FALSE)))*EXP(-(LN(2)/$D$65+0.1)*(VLOOKUP(($F$16-$F$15)-1,AC$99:AG140,5,FALSE)))*EXP(-(LN(2)/$D$65+0.04)*(VLOOKUP(($F$16-$F$15)*2-1,AC$99:AG140,4,FALSE)))*EXP(-(LN(2)/$D$65+0.1)*(VLOOKUP(($F$16-$F$15)*2-1,AC$99:AG140,5,FALSE)))*EXP(-(LN(2)/$D$65+0.04)*AF140)*EXP(-(LN(2)/$D$65+0.1)*AG140),"-"))),"-")</f>
        <v>-</v>
      </c>
      <c r="AJ141" s="271" t="str">
        <f>IFERROR(IF(AD141=1,AJ$100*EXP(-(LN(2)/$D$65+0.04)*AF141)*EXP(-(LN(2)/$D$65+0.1)*AG141),IF(AD141=2,AJ$100*EXP(-(LN(2)/$D$65+0.04)*(VLOOKUP(($F$16-$F$15)-1,AC$100:AG141,4,FALSE)))*EXP(-(LN(2)/$D$65+0.1)*(VLOOKUP(($F$16-$F$15)-1,AC$100:AG141,5,FALSE)))*EXP(-(LN(2)/$D$65+0.04)*AF141)*EXP(-(LN(2)/$D$65+0.1)*AG141),IF(AD141=3,AJ$100*EXP(-(LN(2)/$D$65+0.04)*(VLOOKUP(($F$16-$F$15)-1,AC$100:AG141,4,FALSE)))*EXP(-(LN(2)/$D$65+0.1)*(VLOOKUP(($F$16-$F$15)-1,AC$100:AG141,5,FALSE)))*EXP(-(LN(2)/$D$65+0.04)*(VLOOKUP(($F$16-$F$15)*2-1,AC$100:AG141,4,FALSE)))*EXP(-(LN(2)/$D$65+0.1)*(VLOOKUP(($F$16-$F$15)*2-1,AC$100:AG141,5,FALSE)))*EXP(-(LN(2)/$D$65+0.04)*AF141)*EXP(-(LN(2)/$D$65+0.1)*AG141),"-"))),"-")</f>
        <v>-</v>
      </c>
      <c r="AK141" s="227">
        <f t="shared" si="49"/>
        <v>41</v>
      </c>
      <c r="AL141" s="226" t="str">
        <f t="shared" si="21"/>
        <v>-</v>
      </c>
      <c r="AM141" s="227" t="str">
        <f t="shared" si="50"/>
        <v>-</v>
      </c>
      <c r="AN141" s="227" t="str">
        <f t="shared" si="51"/>
        <v>-</v>
      </c>
      <c r="AO141" s="227" t="str">
        <f t="shared" si="22"/>
        <v>-</v>
      </c>
      <c r="AP141" s="273">
        <f t="shared" si="52"/>
        <v>0.1</v>
      </c>
      <c r="AQ141" s="271" t="str">
        <f>IFERROR(IF(AL140=1,AQ$100*EXP(-(LN(2)/$D$65+0.04)*AN140)*EXP(-(LN(2)/$D$65+0.1)*AO140),IF(AL140=2,AQ$100*EXP(-(LN(2)/$D$65+0.04)*(VLOOKUP(($F$16-$F$15)-1,AK$99:AO140,4,FALSE)))*EXP(-(LN(2)/$D$65+0.1)*(VLOOKUP(($F$16-$F$15)-1,AK$99:AO140,5,FALSE)))*EXP(-(LN(2)/$D$65+0.04)*AN140)*EXP(-(LN(2)/$D$65+0.1)*AO140),IF(AL140=3,AQ$100*EXP(-(LN(2)/$D$65+0.04)*(VLOOKUP(($F$16-$F$15)-1,AK$99:AO140,4,FALSE)))*EXP(-(LN(2)/$D$65+0.1)*(VLOOKUP(($F$16-$F$15)-1,AK$99:AO140,5,FALSE)))*EXP(-(LN(2)/$D$65+0.04)*(VLOOKUP(($F$16-$F$15)*2-1,AK$99:AO140,4,FALSE)))*EXP(-(LN(2)/$D$65+0.1)*(VLOOKUP(($F$16-$F$15)*2-1,AK$99:AO140,5,FALSE)))*EXP(-(LN(2)/$D$65+0.04)*AN140)*EXP(-(LN(2)/$D$65+0.1)*AO140),"-"))),"-")</f>
        <v>-</v>
      </c>
      <c r="AR141" s="271" t="str">
        <f>IFERROR(IF(AL141=1,AR$100*EXP(-(LN(2)/$D$65+0.04)*AN141)*EXP(-(LN(2)/$D$65+0.1)*AO141),IF(AL141=2,AR$100*EXP(-(LN(2)/$D$65+0.04)*(VLOOKUP(($F$16-$F$15)-1,AK$100:AO141,4,FALSE)))*EXP(-(LN(2)/$D$65+0.1)*(VLOOKUP(($F$16-$F$15)-1,AK$100:AO141,5,FALSE)))*EXP(-(LN(2)/$D$65+0.04)*AN141)*EXP(-(LN(2)/$D$65+0.1)*AO141),IF(AL141=3,AR$100*EXP(-(LN(2)/$D$65+0.04)*(VLOOKUP(($F$16-$F$15)-1,AK$100:AO141,4,FALSE)))*EXP(-(LN(2)/$D$65+0.1)*(VLOOKUP(($F$16-$F$15)-1,AK$100:AO141,5,FALSE)))*EXP(-(LN(2)/$D$65+0.04)*(VLOOKUP(($F$16-$F$15)*2-1,AK$100:AO141,4,FALSE)))*EXP(-(LN(2)/$D$65+0.1)*(VLOOKUP(($F$16-$F$15)*2-1,AK$100:AO141,5,FALSE)))*EXP(-(LN(2)/$D$65+0.04)*AN141)*EXP(-(LN(2)/$D$65+0.1)*AO141),"-"))),"-")</f>
        <v>-</v>
      </c>
      <c r="AS141" s="274">
        <f t="shared" si="23"/>
        <v>0</v>
      </c>
      <c r="AT141" s="274">
        <f t="shared" si="24"/>
        <v>0</v>
      </c>
      <c r="AU141" s="274">
        <f t="shared" si="25"/>
        <v>0</v>
      </c>
      <c r="AV141" s="190">
        <f>IF($B141&lt;$F$22,SUM($T$100:$T141),"")</f>
        <v>0</v>
      </c>
      <c r="AW141" s="190" t="str">
        <f t="shared" si="84"/>
        <v>-</v>
      </c>
      <c r="AX141" s="190" t="str">
        <f t="shared" si="56"/>
        <v/>
      </c>
      <c r="AY141"/>
      <c r="AZ141" s="190" t="str">
        <f ca="1">IF(ISNUMBER(OFFSET(AV141,-$F$21,0)),SUM(OFFSET($T$100,$F$21,0):$T141),"")</f>
        <v/>
      </c>
      <c r="BA141" s="190" t="str">
        <f t="shared" ca="1" si="85"/>
        <v/>
      </c>
      <c r="BB141" s="190" t="str">
        <f t="shared" ca="1" si="70"/>
        <v/>
      </c>
      <c r="BC141" s="190"/>
      <c r="BD141" s="190" t="str">
        <f ca="1">IFERROR(IF(AND($B141&gt;=($F$16-$F$15),$B141&lt;$F$22+($F$16-$F$15)),SUM(OFFSET($T$100,($F$16-$F$15),0):$T141),""),"")</f>
        <v/>
      </c>
      <c r="BE141" s="190" t="str">
        <f t="shared" ca="1" si="58"/>
        <v/>
      </c>
      <c r="BF141" s="190" t="str">
        <f t="shared" ca="1" si="59"/>
        <v/>
      </c>
      <c r="BG141"/>
      <c r="BH141" s="190" t="str">
        <f ca="1">IF(ISNUMBER(OFFSET(BD141,-$F$21,0)),SUM(OFFSET($T$100,($F$16-$F$15+$F$21),0):$T141),"")</f>
        <v/>
      </c>
      <c r="BI141" s="190" t="str">
        <f t="shared" ca="1" si="86"/>
        <v/>
      </c>
      <c r="BJ141" s="190" t="str">
        <f t="shared" ca="1" si="60"/>
        <v/>
      </c>
      <c r="BK141" s="190"/>
      <c r="BL141" s="190" t="str">
        <f ca="1">IFERROR(IF(AND($B141&gt;=($F$17-$F$15),$B141&lt;$F$22+($F$17-$F$15)),SUM(OFFSET($T$100,($F$17-$F$15),0):$T141),""),"")</f>
        <v/>
      </c>
      <c r="BM141" s="190" t="str">
        <f t="shared" ca="1" si="87"/>
        <v/>
      </c>
      <c r="BN141" s="190" t="str">
        <f t="shared" ca="1" si="61"/>
        <v/>
      </c>
      <c r="BO141"/>
      <c r="BP141" s="190" t="str">
        <f ca="1">IF(ISNUMBER(OFFSET(BL141,-$F$21,0)),SUM(OFFSET($T$100,($F$17-$F$15+$F$21),0):$T141),"")</f>
        <v/>
      </c>
      <c r="BQ141" s="190" t="str">
        <f t="shared" ca="1" si="88"/>
        <v/>
      </c>
      <c r="BR141" s="190" t="str">
        <f t="shared" ca="1" si="63"/>
        <v/>
      </c>
      <c r="BS141" s="190"/>
      <c r="BT141"/>
      <c r="BU141"/>
      <c r="BV141"/>
      <c r="BY141" s="99"/>
      <c r="BZ141" s="99"/>
      <c r="CA141" s="280" t="str">
        <f t="shared" si="89"/>
        <v/>
      </c>
      <c r="CB141" s="71" t="str">
        <f t="shared" si="30"/>
        <v>-</v>
      </c>
      <c r="CC141" s="33"/>
      <c r="CD141" s="261" t="str">
        <f t="shared" si="32"/>
        <v/>
      </c>
      <c r="CE141" s="280" t="str">
        <f t="shared" si="90"/>
        <v>-</v>
      </c>
      <c r="CF141" s="71" t="str">
        <f t="shared" ca="1" si="91"/>
        <v>-</v>
      </c>
      <c r="CG141" s="33" t="str">
        <f t="shared" si="35"/>
        <v>41-42</v>
      </c>
      <c r="CH141" s="261" t="str">
        <f t="shared" ca="1" si="36"/>
        <v/>
      </c>
      <c r="CI141" s="99"/>
      <c r="CJ141" s="99"/>
      <c r="CK141" s="99"/>
      <c r="CL141" s="99"/>
      <c r="CM141" s="99"/>
      <c r="CN141" s="99"/>
      <c r="CO141" s="99"/>
    </row>
    <row r="142" spans="2:93" ht="13.5" customHeight="1" x14ac:dyDescent="0.2">
      <c r="B142" s="262">
        <v>42</v>
      </c>
      <c r="C142" s="237" t="str">
        <f t="shared" si="71"/>
        <v/>
      </c>
      <c r="D142" s="237" t="str">
        <f t="shared" si="66"/>
        <v>-</v>
      </c>
      <c r="E142" s="290" t="str">
        <f t="shared" si="37"/>
        <v/>
      </c>
      <c r="F142" s="264" t="str">
        <f t="shared" si="38"/>
        <v/>
      </c>
      <c r="G142" s="291" t="str">
        <f t="shared" si="39"/>
        <v/>
      </c>
      <c r="H142" s="240" t="str">
        <f t="shared" si="72"/>
        <v/>
      </c>
      <c r="I142" s="265" t="str">
        <f t="shared" si="73"/>
        <v/>
      </c>
      <c r="J142" s="265" t="str">
        <f t="shared" si="74"/>
        <v/>
      </c>
      <c r="K142" s="240" t="str">
        <f t="shared" si="75"/>
        <v/>
      </c>
      <c r="L142" s="265" t="str">
        <f t="shared" si="76"/>
        <v/>
      </c>
      <c r="M142" s="265" t="str">
        <f t="shared" si="77"/>
        <v/>
      </c>
      <c r="N142" s="240" t="str">
        <f t="shared" si="78"/>
        <v>-</v>
      </c>
      <c r="O142" s="265" t="str">
        <f t="shared" si="79"/>
        <v>-</v>
      </c>
      <c r="P142" s="265" t="str">
        <f t="shared" si="80"/>
        <v>-</v>
      </c>
      <c r="Q142" s="266" t="str">
        <f t="shared" si="81"/>
        <v>-</v>
      </c>
      <c r="R142" s="267" t="str">
        <f t="shared" si="82"/>
        <v>-</v>
      </c>
      <c r="S142" s="268" t="str">
        <f t="shared" si="83"/>
        <v>-</v>
      </c>
      <c r="T142" s="269" t="str">
        <f t="shared" si="12"/>
        <v/>
      </c>
      <c r="U142" s="221">
        <f t="shared" si="13"/>
        <v>42</v>
      </c>
      <c r="V142" s="220" t="str">
        <f t="shared" si="42"/>
        <v>-</v>
      </c>
      <c r="W142" s="221" t="str">
        <f t="shared" si="43"/>
        <v>-</v>
      </c>
      <c r="X142" s="221" t="str">
        <f t="shared" si="14"/>
        <v>-</v>
      </c>
      <c r="Y142" s="221" t="str">
        <f t="shared" si="15"/>
        <v>-</v>
      </c>
      <c r="Z142" s="270">
        <f t="shared" si="44"/>
        <v>0.1</v>
      </c>
      <c r="AA142" s="271" t="str">
        <f>IFERROR(IF(V141=1,AA$100*EXP(-(LN(2)/$D$65+0.04)*X141)*EXP(-(LN(2)/$D$65+0.1)*Y141),IF(V141=2,AA$100*EXP(-(LN(2)/$D$65+0.04)*(VLOOKUP(($F$16-$F$15)-1,U$99:Y141,4,FALSE)))*EXP(-(LN(2)/$D$65+0.1)*(VLOOKUP(($F$16-$F$15)-1,U$99:Y141,5,FALSE)))*EXP(-(LN(2)/$D$65+0.04)*X141)*EXP(-(LN(2)/$D$65+0.1)*Y141),IF(V141=3,AA$100*EXP(-(LN(2)/$D$65+0.04)*(VLOOKUP(($F$16-$F$15)-1,U$99:Y141,4,FALSE)))*EXP(-(LN(2)/$D$65+0.1)*(VLOOKUP(($F$16-$F$15)-1,U$99:Y141,5,FALSE)))*EXP(-(LN(2)/$D$65+0.04)*(VLOOKUP(($F$16-$F$15)*2-1,U$99:Y141,4,FALSE)))*EXP(-(LN(2)/$D$65+0.1)*(VLOOKUP(($F$16-$F$15)*2-1,U$99:Y141,5,FALSE)))*EXP(-(LN(2)/$D$65+0.04)*X141)*EXP(-(LN(2)/$D$65+0.1)*Y141),"-"))),"-")</f>
        <v>-</v>
      </c>
      <c r="AB142" s="271" t="str">
        <f>IFERROR(IF(V142=1,AB$100*EXP(-(LN(2)/$D$65+0.04)*X142)*EXP(-(LN(2)/$D$65+0.1)*Y142),IF(V142=2,AB$100*EXP(-(LN(2)/$D$65+0.04)*(VLOOKUP(($F$16-$F$15)-1,U$100:Y142,4,FALSE)))*EXP(-(LN(2)/$D$65+0.1)*(VLOOKUP(($F$16-$F$15)-1,U$100:Y142,5,FALSE)))*EXP(-(LN(2)/$D$65+0.04)*X142)*EXP(-(LN(2)/$D$65+0.1)*Y142),IF(V142=3,AB$100*EXP(-(LN(2)/$D$65+0.04)*(VLOOKUP(($F$16-$F$15)-1,U$100:Y142,4,FALSE)))*EXP(-(LN(2)/$D$65+0.1)*(VLOOKUP(($F$16-$F$15)-1,U$100:Y142,5,FALSE)))*EXP(-(LN(2)/$D$65+0.04)*(VLOOKUP(($F$16-$F$15)*2-1,U$100:Y142,4,FALSE)))*EXP(-(LN(2)/$D$65+0.1)*(VLOOKUP(($F$16-$F$15)*2-1,U$100:Y142,5,FALSE)))*EXP(-(LN(2)/$D$65+0.04)*X142)*EXP(-(LN(2)/$D$65+0.1)*Y142),"-"))),"-")</f>
        <v>-</v>
      </c>
      <c r="AC142" s="224">
        <f t="shared" si="45"/>
        <v>42</v>
      </c>
      <c r="AD142" s="223" t="str">
        <f t="shared" si="17"/>
        <v>-</v>
      </c>
      <c r="AE142" s="224" t="str">
        <f t="shared" si="46"/>
        <v>-</v>
      </c>
      <c r="AF142" s="224" t="str">
        <f t="shared" si="18"/>
        <v>-</v>
      </c>
      <c r="AG142" s="224" t="str">
        <f t="shared" si="19"/>
        <v>-</v>
      </c>
      <c r="AH142" s="272">
        <f t="shared" si="47"/>
        <v>0.1</v>
      </c>
      <c r="AI142" s="271" t="str">
        <f>IFERROR(IF(AD141=1,AI$100*EXP(-(LN(2)/$D$65+0.04)*AF141)*EXP(-(LN(2)/$D$65+0.1)*AG141),IF(AD141=2,AI$100*EXP(-(LN(2)/$D$65+0.04)*(VLOOKUP(($F$16-$F$15)-1,AC$99:AG141,4,FALSE)))*EXP(-(LN(2)/$D$65+0.1)*(VLOOKUP(($F$16-$F$15)-1,AC$99:AG141,5,FALSE)))*EXP(-(LN(2)/$D$65+0.04)*AF141)*EXP(-(LN(2)/$D$65+0.1)*AG141),IF(AD141=3,AI$100*EXP(-(LN(2)/$D$65+0.04)*(VLOOKUP(($F$16-$F$15)-1,AC$99:AG141,4,FALSE)))*EXP(-(LN(2)/$D$65+0.1)*(VLOOKUP(($F$16-$F$15)-1,AC$99:AG141,5,FALSE)))*EXP(-(LN(2)/$D$65+0.04)*(VLOOKUP(($F$16-$F$15)*2-1,AC$99:AG141,4,FALSE)))*EXP(-(LN(2)/$D$65+0.1)*(VLOOKUP(($F$16-$F$15)*2-1,AC$99:AG141,5,FALSE)))*EXP(-(LN(2)/$D$65+0.04)*AF141)*EXP(-(LN(2)/$D$65+0.1)*AG141),"-"))),"-")</f>
        <v>-</v>
      </c>
      <c r="AJ142" s="271" t="str">
        <f>IFERROR(IF(AD142=1,AJ$100*EXP(-(LN(2)/$D$65+0.04)*AF142)*EXP(-(LN(2)/$D$65+0.1)*AG142),IF(AD142=2,AJ$100*EXP(-(LN(2)/$D$65+0.04)*(VLOOKUP(($F$16-$F$15)-1,AC$100:AG142,4,FALSE)))*EXP(-(LN(2)/$D$65+0.1)*(VLOOKUP(($F$16-$F$15)-1,AC$100:AG142,5,FALSE)))*EXP(-(LN(2)/$D$65+0.04)*AF142)*EXP(-(LN(2)/$D$65+0.1)*AG142),IF(AD142=3,AJ$100*EXP(-(LN(2)/$D$65+0.04)*(VLOOKUP(($F$16-$F$15)-1,AC$100:AG142,4,FALSE)))*EXP(-(LN(2)/$D$65+0.1)*(VLOOKUP(($F$16-$F$15)-1,AC$100:AG142,5,FALSE)))*EXP(-(LN(2)/$D$65+0.04)*(VLOOKUP(($F$16-$F$15)*2-1,AC$100:AG142,4,FALSE)))*EXP(-(LN(2)/$D$65+0.1)*(VLOOKUP(($F$16-$F$15)*2-1,AC$100:AG142,5,FALSE)))*EXP(-(LN(2)/$D$65+0.04)*AF142)*EXP(-(LN(2)/$D$65+0.1)*AG142),"-"))),"-")</f>
        <v>-</v>
      </c>
      <c r="AK142" s="227">
        <f t="shared" si="49"/>
        <v>42</v>
      </c>
      <c r="AL142" s="226" t="str">
        <f t="shared" si="21"/>
        <v>-</v>
      </c>
      <c r="AM142" s="227" t="str">
        <f t="shared" si="50"/>
        <v>-</v>
      </c>
      <c r="AN142" s="227" t="str">
        <f t="shared" si="51"/>
        <v>-</v>
      </c>
      <c r="AO142" s="227" t="str">
        <f t="shared" si="22"/>
        <v>-</v>
      </c>
      <c r="AP142" s="273">
        <f t="shared" si="52"/>
        <v>0.1</v>
      </c>
      <c r="AQ142" s="271" t="str">
        <f>IFERROR(IF(AL141=1,AQ$100*EXP(-(LN(2)/$D$65+0.04)*AN141)*EXP(-(LN(2)/$D$65+0.1)*AO141),IF(AL141=2,AQ$100*EXP(-(LN(2)/$D$65+0.04)*(VLOOKUP(($F$16-$F$15)-1,AK$99:AO141,4,FALSE)))*EXP(-(LN(2)/$D$65+0.1)*(VLOOKUP(($F$16-$F$15)-1,AK$99:AO141,5,FALSE)))*EXP(-(LN(2)/$D$65+0.04)*AN141)*EXP(-(LN(2)/$D$65+0.1)*AO141),IF(AL141=3,AQ$100*EXP(-(LN(2)/$D$65+0.04)*(VLOOKUP(($F$16-$F$15)-1,AK$99:AO141,4,FALSE)))*EXP(-(LN(2)/$D$65+0.1)*(VLOOKUP(($F$16-$F$15)-1,AK$99:AO141,5,FALSE)))*EXP(-(LN(2)/$D$65+0.04)*(VLOOKUP(($F$16-$F$15)*2-1,AK$99:AO141,4,FALSE)))*EXP(-(LN(2)/$D$65+0.1)*(VLOOKUP(($F$16-$F$15)*2-1,AK$99:AO141,5,FALSE)))*EXP(-(LN(2)/$D$65+0.04)*AN141)*EXP(-(LN(2)/$D$65+0.1)*AO141),"-"))),"-")</f>
        <v>-</v>
      </c>
      <c r="AR142" s="271" t="str">
        <f>IFERROR(IF(AL142=1,AR$100*EXP(-(LN(2)/$D$65+0.04)*AN142)*EXP(-(LN(2)/$D$65+0.1)*AO142),IF(AL142=2,AR$100*EXP(-(LN(2)/$D$65+0.04)*(VLOOKUP(($F$16-$F$15)-1,AK$100:AO142,4,FALSE)))*EXP(-(LN(2)/$D$65+0.1)*(VLOOKUP(($F$16-$F$15)-1,AK$100:AO142,5,FALSE)))*EXP(-(LN(2)/$D$65+0.04)*AN142)*EXP(-(LN(2)/$D$65+0.1)*AO142),IF(AL142=3,AR$100*EXP(-(LN(2)/$D$65+0.04)*(VLOOKUP(($F$16-$F$15)-1,AK$100:AO142,4,FALSE)))*EXP(-(LN(2)/$D$65+0.1)*(VLOOKUP(($F$16-$F$15)-1,AK$100:AO142,5,FALSE)))*EXP(-(LN(2)/$D$65+0.04)*(VLOOKUP(($F$16-$F$15)*2-1,AK$100:AO142,4,FALSE)))*EXP(-(LN(2)/$D$65+0.1)*(VLOOKUP(($F$16-$F$15)*2-1,AK$100:AO142,5,FALSE)))*EXP(-(LN(2)/$D$65+0.04)*AN142)*EXP(-(LN(2)/$D$65+0.1)*AO142),"-"))),"-")</f>
        <v>-</v>
      </c>
      <c r="AS142" s="274">
        <f t="shared" si="23"/>
        <v>0</v>
      </c>
      <c r="AT142" s="274">
        <f t="shared" si="24"/>
        <v>0</v>
      </c>
      <c r="AU142" s="274">
        <f t="shared" si="25"/>
        <v>0</v>
      </c>
      <c r="AV142" s="190">
        <f>IF($B142&lt;$F$22,SUM($T$100:$T142),"")</f>
        <v>0</v>
      </c>
      <c r="AW142" s="190" t="str">
        <f t="shared" si="84"/>
        <v>-</v>
      </c>
      <c r="AX142" s="190" t="str">
        <f t="shared" si="56"/>
        <v/>
      </c>
      <c r="AY142"/>
      <c r="AZ142" s="190" t="str">
        <f ca="1">IF(ISNUMBER(OFFSET(AV142,-$F$21,0)),SUM(OFFSET($T$100,$F$21,0):$T142),"")</f>
        <v/>
      </c>
      <c r="BA142" s="190" t="str">
        <f t="shared" ca="1" si="85"/>
        <v/>
      </c>
      <c r="BB142" s="190" t="str">
        <f t="shared" ca="1" si="70"/>
        <v/>
      </c>
      <c r="BC142" s="190"/>
      <c r="BD142" s="190" t="str">
        <f ca="1">IFERROR(IF(AND($B142&gt;=($F$16-$F$15),$B142&lt;$F$22+($F$16-$F$15)),SUM(OFFSET($T$100,($F$16-$F$15),0):$T142),""),"")</f>
        <v/>
      </c>
      <c r="BE142" s="190" t="str">
        <f t="shared" ca="1" si="58"/>
        <v/>
      </c>
      <c r="BF142" s="190" t="str">
        <f t="shared" ca="1" si="59"/>
        <v/>
      </c>
      <c r="BG142"/>
      <c r="BH142" s="190" t="str">
        <f ca="1">IF(ISNUMBER(OFFSET(BD142,-$F$21,0)),SUM(OFFSET($T$100,($F$16-$F$15+$F$21),0):$T142),"")</f>
        <v/>
      </c>
      <c r="BI142" s="190" t="str">
        <f t="shared" ca="1" si="86"/>
        <v/>
      </c>
      <c r="BJ142" s="190" t="str">
        <f t="shared" ca="1" si="60"/>
        <v/>
      </c>
      <c r="BK142" s="190"/>
      <c r="BL142" s="190" t="str">
        <f ca="1">IFERROR(IF(AND($B142&gt;=($F$17-$F$15),$B142&lt;$F$22+($F$17-$F$15)),SUM(OFFSET($T$100,($F$17-$F$15),0):$T142),""),"")</f>
        <v/>
      </c>
      <c r="BM142" s="190" t="str">
        <f t="shared" ca="1" si="87"/>
        <v/>
      </c>
      <c r="BN142" s="190" t="str">
        <f t="shared" ca="1" si="61"/>
        <v/>
      </c>
      <c r="BO142"/>
      <c r="BP142" s="190" t="str">
        <f ca="1">IF(ISNUMBER(OFFSET(BL142,-$F$21,0)),SUM(OFFSET($T$100,($F$17-$F$15+$F$21),0):$T142),"")</f>
        <v/>
      </c>
      <c r="BQ142" s="190" t="str">
        <f t="shared" ca="1" si="88"/>
        <v/>
      </c>
      <c r="BR142" s="190" t="str">
        <f t="shared" ca="1" si="63"/>
        <v/>
      </c>
      <c r="BS142" s="190"/>
      <c r="BT142"/>
      <c r="BU142"/>
      <c r="BV142"/>
      <c r="BY142" s="99"/>
      <c r="BZ142" s="99"/>
      <c r="CA142" s="280" t="str">
        <f t="shared" si="89"/>
        <v/>
      </c>
      <c r="CB142" s="71" t="str">
        <f t="shared" si="30"/>
        <v>-</v>
      </c>
      <c r="CC142" s="33"/>
      <c r="CD142" s="261" t="str">
        <f t="shared" si="32"/>
        <v/>
      </c>
      <c r="CE142" s="280" t="str">
        <f t="shared" si="90"/>
        <v>-</v>
      </c>
      <c r="CF142" s="71" t="str">
        <f t="shared" ca="1" si="91"/>
        <v>-</v>
      </c>
      <c r="CG142" s="33" t="str">
        <f t="shared" si="35"/>
        <v>42-43</v>
      </c>
      <c r="CH142" s="261" t="str">
        <f t="shared" ca="1" si="36"/>
        <v/>
      </c>
      <c r="CI142" s="99"/>
      <c r="CJ142" s="99"/>
      <c r="CK142" s="99"/>
      <c r="CL142" s="99"/>
      <c r="CM142" s="99"/>
      <c r="CN142" s="99"/>
      <c r="CO142" s="99"/>
    </row>
    <row r="143" spans="2:93" ht="13.5" customHeight="1" x14ac:dyDescent="0.2">
      <c r="B143" s="262">
        <v>43</v>
      </c>
      <c r="C143" s="237" t="str">
        <f t="shared" si="71"/>
        <v/>
      </c>
      <c r="D143" s="237" t="str">
        <f t="shared" si="66"/>
        <v>-</v>
      </c>
      <c r="E143" s="290" t="str">
        <f t="shared" si="37"/>
        <v/>
      </c>
      <c r="F143" s="264" t="str">
        <f t="shared" si="38"/>
        <v/>
      </c>
      <c r="G143" s="291" t="str">
        <f t="shared" si="39"/>
        <v/>
      </c>
      <c r="H143" s="240" t="str">
        <f t="shared" si="72"/>
        <v/>
      </c>
      <c r="I143" s="265" t="str">
        <f t="shared" si="73"/>
        <v/>
      </c>
      <c r="J143" s="265" t="str">
        <f t="shared" si="74"/>
        <v/>
      </c>
      <c r="K143" s="240" t="str">
        <f t="shared" si="75"/>
        <v/>
      </c>
      <c r="L143" s="265" t="str">
        <f t="shared" si="76"/>
        <v/>
      </c>
      <c r="M143" s="265" t="str">
        <f t="shared" si="77"/>
        <v/>
      </c>
      <c r="N143" s="240" t="str">
        <f t="shared" si="78"/>
        <v>-</v>
      </c>
      <c r="O143" s="265" t="str">
        <f t="shared" si="79"/>
        <v>-</v>
      </c>
      <c r="P143" s="265" t="str">
        <f t="shared" si="80"/>
        <v>-</v>
      </c>
      <c r="Q143" s="266" t="str">
        <f t="shared" si="81"/>
        <v>-</v>
      </c>
      <c r="R143" s="267" t="str">
        <f t="shared" si="82"/>
        <v>-</v>
      </c>
      <c r="S143" s="268" t="str">
        <f t="shared" si="83"/>
        <v>-</v>
      </c>
      <c r="T143" s="269" t="str">
        <f t="shared" si="12"/>
        <v/>
      </c>
      <c r="U143" s="221">
        <f t="shared" si="13"/>
        <v>43</v>
      </c>
      <c r="V143" s="220" t="str">
        <f t="shared" si="42"/>
        <v>-</v>
      </c>
      <c r="W143" s="221" t="str">
        <f t="shared" si="43"/>
        <v>-</v>
      </c>
      <c r="X143" s="221" t="str">
        <f t="shared" si="14"/>
        <v>-</v>
      </c>
      <c r="Y143" s="221" t="str">
        <f t="shared" si="15"/>
        <v>-</v>
      </c>
      <c r="Z143" s="270">
        <f t="shared" si="44"/>
        <v>0.1</v>
      </c>
      <c r="AA143" s="271" t="str">
        <f>IFERROR(IF(V142=1,AA$100*EXP(-(LN(2)/$D$65+0.04)*X142)*EXP(-(LN(2)/$D$65+0.1)*Y142),IF(V142=2,AA$100*EXP(-(LN(2)/$D$65+0.04)*(VLOOKUP(($F$16-$F$15)-1,U$99:Y142,4,FALSE)))*EXP(-(LN(2)/$D$65+0.1)*(VLOOKUP(($F$16-$F$15)-1,U$99:Y142,5,FALSE)))*EXP(-(LN(2)/$D$65+0.04)*X142)*EXP(-(LN(2)/$D$65+0.1)*Y142),IF(V142=3,AA$100*EXP(-(LN(2)/$D$65+0.04)*(VLOOKUP(($F$16-$F$15)-1,U$99:Y142,4,FALSE)))*EXP(-(LN(2)/$D$65+0.1)*(VLOOKUP(($F$16-$F$15)-1,U$99:Y142,5,FALSE)))*EXP(-(LN(2)/$D$65+0.04)*(VLOOKUP(($F$16-$F$15)*2-1,U$99:Y142,4,FALSE)))*EXP(-(LN(2)/$D$65+0.1)*(VLOOKUP(($F$16-$F$15)*2-1,U$99:Y142,5,FALSE)))*EXP(-(LN(2)/$D$65+0.04)*X142)*EXP(-(LN(2)/$D$65+0.1)*Y142),"-"))),"-")</f>
        <v>-</v>
      </c>
      <c r="AB143" s="271" t="str">
        <f>IFERROR(IF(V143=1,AB$100*EXP(-(LN(2)/$D$65+0.04)*X143)*EXP(-(LN(2)/$D$65+0.1)*Y143),IF(V143=2,AB$100*EXP(-(LN(2)/$D$65+0.04)*(VLOOKUP(($F$16-$F$15)-1,U$100:Y143,4,FALSE)))*EXP(-(LN(2)/$D$65+0.1)*(VLOOKUP(($F$16-$F$15)-1,U$100:Y143,5,FALSE)))*EXP(-(LN(2)/$D$65+0.04)*X143)*EXP(-(LN(2)/$D$65+0.1)*Y143),IF(V143=3,AB$100*EXP(-(LN(2)/$D$65+0.04)*(VLOOKUP(($F$16-$F$15)-1,U$100:Y143,4,FALSE)))*EXP(-(LN(2)/$D$65+0.1)*(VLOOKUP(($F$16-$F$15)-1,U$100:Y143,5,FALSE)))*EXP(-(LN(2)/$D$65+0.04)*(VLOOKUP(($F$16-$F$15)*2-1,U$100:Y143,4,FALSE)))*EXP(-(LN(2)/$D$65+0.1)*(VLOOKUP(($F$16-$F$15)*2-1,U$100:Y143,5,FALSE)))*EXP(-(LN(2)/$D$65+0.04)*X143)*EXP(-(LN(2)/$D$65+0.1)*Y143),"-"))),"-")</f>
        <v>-</v>
      </c>
      <c r="AC143" s="224">
        <f t="shared" si="45"/>
        <v>43</v>
      </c>
      <c r="AD143" s="223" t="str">
        <f t="shared" si="17"/>
        <v>-</v>
      </c>
      <c r="AE143" s="224" t="str">
        <f t="shared" si="46"/>
        <v>-</v>
      </c>
      <c r="AF143" s="224" t="str">
        <f t="shared" si="18"/>
        <v>-</v>
      </c>
      <c r="AG143" s="224" t="str">
        <f t="shared" si="19"/>
        <v>-</v>
      </c>
      <c r="AH143" s="272">
        <f t="shared" si="47"/>
        <v>0.1</v>
      </c>
      <c r="AI143" s="271" t="str">
        <f>IFERROR(IF(AD142=1,AI$100*EXP(-(LN(2)/$D$65+0.04)*AF142)*EXP(-(LN(2)/$D$65+0.1)*AG142),IF(AD142=2,AI$100*EXP(-(LN(2)/$D$65+0.04)*(VLOOKUP(($F$16-$F$15)-1,AC$99:AG142,4,FALSE)))*EXP(-(LN(2)/$D$65+0.1)*(VLOOKUP(($F$16-$F$15)-1,AC$99:AG142,5,FALSE)))*EXP(-(LN(2)/$D$65+0.04)*AF142)*EXP(-(LN(2)/$D$65+0.1)*AG142),IF(AD142=3,AI$100*EXP(-(LN(2)/$D$65+0.04)*(VLOOKUP(($F$16-$F$15)-1,AC$99:AG142,4,FALSE)))*EXP(-(LN(2)/$D$65+0.1)*(VLOOKUP(($F$16-$F$15)-1,AC$99:AG142,5,FALSE)))*EXP(-(LN(2)/$D$65+0.04)*(VLOOKUP(($F$16-$F$15)*2-1,AC$99:AG142,4,FALSE)))*EXP(-(LN(2)/$D$65+0.1)*(VLOOKUP(($F$16-$F$15)*2-1,AC$99:AG142,5,FALSE)))*EXP(-(LN(2)/$D$65+0.04)*AF142)*EXP(-(LN(2)/$D$65+0.1)*AG142),"-"))),"-")</f>
        <v>-</v>
      </c>
      <c r="AJ143" s="271" t="str">
        <f>IFERROR(IF(AD143=1,AJ$100*EXP(-(LN(2)/$D$65+0.04)*AF143)*EXP(-(LN(2)/$D$65+0.1)*AG143),IF(AD143=2,AJ$100*EXP(-(LN(2)/$D$65+0.04)*(VLOOKUP(($F$16-$F$15)-1,AC$100:AG143,4,FALSE)))*EXP(-(LN(2)/$D$65+0.1)*(VLOOKUP(($F$16-$F$15)-1,AC$100:AG143,5,FALSE)))*EXP(-(LN(2)/$D$65+0.04)*AF143)*EXP(-(LN(2)/$D$65+0.1)*AG143),IF(AD143=3,AJ$100*EXP(-(LN(2)/$D$65+0.04)*(VLOOKUP(($F$16-$F$15)-1,AC$100:AG143,4,FALSE)))*EXP(-(LN(2)/$D$65+0.1)*(VLOOKUP(($F$16-$F$15)-1,AC$100:AG143,5,FALSE)))*EXP(-(LN(2)/$D$65+0.04)*(VLOOKUP(($F$16-$F$15)*2-1,AC$100:AG143,4,FALSE)))*EXP(-(LN(2)/$D$65+0.1)*(VLOOKUP(($F$16-$F$15)*2-1,AC$100:AG143,5,FALSE)))*EXP(-(LN(2)/$D$65+0.04)*AF143)*EXP(-(LN(2)/$D$65+0.1)*AG143),"-"))),"-")</f>
        <v>-</v>
      </c>
      <c r="AK143" s="227">
        <f t="shared" si="49"/>
        <v>43</v>
      </c>
      <c r="AL143" s="226" t="str">
        <f t="shared" si="21"/>
        <v>-</v>
      </c>
      <c r="AM143" s="227" t="str">
        <f t="shared" si="50"/>
        <v>-</v>
      </c>
      <c r="AN143" s="227" t="str">
        <f t="shared" si="51"/>
        <v>-</v>
      </c>
      <c r="AO143" s="227" t="str">
        <f t="shared" si="22"/>
        <v>-</v>
      </c>
      <c r="AP143" s="273">
        <f t="shared" si="52"/>
        <v>0.1</v>
      </c>
      <c r="AQ143" s="271" t="str">
        <f>IFERROR(IF(AL142=1,AQ$100*EXP(-(LN(2)/$D$65+0.04)*AN142)*EXP(-(LN(2)/$D$65+0.1)*AO142),IF(AL142=2,AQ$100*EXP(-(LN(2)/$D$65+0.04)*(VLOOKUP(($F$16-$F$15)-1,AK$99:AO142,4,FALSE)))*EXP(-(LN(2)/$D$65+0.1)*(VLOOKUP(($F$16-$F$15)-1,AK$99:AO142,5,FALSE)))*EXP(-(LN(2)/$D$65+0.04)*AN142)*EXP(-(LN(2)/$D$65+0.1)*AO142),IF(AL142=3,AQ$100*EXP(-(LN(2)/$D$65+0.04)*(VLOOKUP(($F$16-$F$15)-1,AK$99:AO142,4,FALSE)))*EXP(-(LN(2)/$D$65+0.1)*(VLOOKUP(($F$16-$F$15)-1,AK$99:AO142,5,FALSE)))*EXP(-(LN(2)/$D$65+0.04)*(VLOOKUP(($F$16-$F$15)*2-1,AK$99:AO142,4,FALSE)))*EXP(-(LN(2)/$D$65+0.1)*(VLOOKUP(($F$16-$F$15)*2-1,AK$99:AO142,5,FALSE)))*EXP(-(LN(2)/$D$65+0.04)*AN142)*EXP(-(LN(2)/$D$65+0.1)*AO142),"-"))),"-")</f>
        <v>-</v>
      </c>
      <c r="AR143" s="271" t="str">
        <f>IFERROR(IF(AL143=1,AR$100*EXP(-(LN(2)/$D$65+0.04)*AN143)*EXP(-(LN(2)/$D$65+0.1)*AO143),IF(AL143=2,AR$100*EXP(-(LN(2)/$D$65+0.04)*(VLOOKUP(($F$16-$F$15)-1,AK$100:AO143,4,FALSE)))*EXP(-(LN(2)/$D$65+0.1)*(VLOOKUP(($F$16-$F$15)-1,AK$100:AO143,5,FALSE)))*EXP(-(LN(2)/$D$65+0.04)*AN143)*EXP(-(LN(2)/$D$65+0.1)*AO143),IF(AL143=3,AR$100*EXP(-(LN(2)/$D$65+0.04)*(VLOOKUP(($F$16-$F$15)-1,AK$100:AO143,4,FALSE)))*EXP(-(LN(2)/$D$65+0.1)*(VLOOKUP(($F$16-$F$15)-1,AK$100:AO143,5,FALSE)))*EXP(-(LN(2)/$D$65+0.04)*(VLOOKUP(($F$16-$F$15)*2-1,AK$100:AO143,4,FALSE)))*EXP(-(LN(2)/$D$65+0.1)*(VLOOKUP(($F$16-$F$15)*2-1,AK$100:AO143,5,FALSE)))*EXP(-(LN(2)/$D$65+0.04)*AN143)*EXP(-(LN(2)/$D$65+0.1)*AO143),"-"))),"-")</f>
        <v>-</v>
      </c>
      <c r="AS143" s="274">
        <f t="shared" si="23"/>
        <v>0</v>
      </c>
      <c r="AT143" s="274">
        <f t="shared" si="24"/>
        <v>0</v>
      </c>
      <c r="AU143" s="274">
        <f t="shared" si="25"/>
        <v>0</v>
      </c>
      <c r="AV143" s="190">
        <f>IF($B143&lt;$F$22,SUM($T$100:$T143),"")</f>
        <v>0</v>
      </c>
      <c r="AW143" s="190" t="str">
        <f t="shared" si="84"/>
        <v>-</v>
      </c>
      <c r="AX143" s="190" t="str">
        <f t="shared" si="56"/>
        <v/>
      </c>
      <c r="AY143"/>
      <c r="AZ143" s="190" t="str">
        <f ca="1">IF(ISNUMBER(OFFSET(AV143,-$F$21,0)),SUM(OFFSET($T$100,$F$21,0):$T143),"")</f>
        <v/>
      </c>
      <c r="BA143" s="190" t="str">
        <f t="shared" ca="1" si="85"/>
        <v/>
      </c>
      <c r="BB143" s="190" t="str">
        <f t="shared" ca="1" si="70"/>
        <v/>
      </c>
      <c r="BC143" s="190"/>
      <c r="BD143" s="190" t="str">
        <f ca="1">IFERROR(IF(AND($B143&gt;=($F$16-$F$15),$B143&lt;$F$22+($F$16-$F$15)),SUM(OFFSET($T$100,($F$16-$F$15),0):$T143),""),"")</f>
        <v/>
      </c>
      <c r="BE143" s="190" t="str">
        <f t="shared" ca="1" si="58"/>
        <v/>
      </c>
      <c r="BF143" s="190" t="str">
        <f t="shared" ca="1" si="59"/>
        <v/>
      </c>
      <c r="BG143"/>
      <c r="BH143" s="190" t="str">
        <f ca="1">IF(ISNUMBER(OFFSET(BD143,-$F$21,0)),SUM(OFFSET($T$100,($F$16-$F$15+$F$21),0):$T143),"")</f>
        <v/>
      </c>
      <c r="BI143" s="190" t="str">
        <f t="shared" ca="1" si="86"/>
        <v/>
      </c>
      <c r="BJ143" s="190" t="str">
        <f t="shared" ca="1" si="60"/>
        <v/>
      </c>
      <c r="BK143" s="190"/>
      <c r="BL143" s="190" t="str">
        <f ca="1">IFERROR(IF(AND($B143&gt;=($F$17-$F$15),$B143&lt;$F$22+($F$17-$F$15)),SUM(OFFSET($T$100,($F$17-$F$15),0):$T143),""),"")</f>
        <v/>
      </c>
      <c r="BM143" s="190" t="str">
        <f t="shared" ca="1" si="87"/>
        <v/>
      </c>
      <c r="BN143" s="190" t="str">
        <f t="shared" ca="1" si="61"/>
        <v/>
      </c>
      <c r="BO143"/>
      <c r="BP143" s="190" t="str">
        <f ca="1">IF(ISNUMBER(OFFSET(BL143,-$F$21,0)),SUM(OFFSET($T$100,($F$17-$F$15+$F$21),0):$T143),"")</f>
        <v/>
      </c>
      <c r="BQ143" s="190" t="str">
        <f t="shared" ca="1" si="88"/>
        <v/>
      </c>
      <c r="BR143" s="190" t="str">
        <f t="shared" ca="1" si="63"/>
        <v/>
      </c>
      <c r="BS143" s="190"/>
      <c r="BT143"/>
      <c r="BU143"/>
      <c r="BV143"/>
      <c r="BY143" s="99"/>
      <c r="BZ143" s="99"/>
      <c r="CA143" s="280" t="str">
        <f t="shared" si="89"/>
        <v/>
      </c>
      <c r="CB143" s="71" t="str">
        <f t="shared" si="30"/>
        <v>-</v>
      </c>
      <c r="CC143" s="33"/>
      <c r="CD143" s="261" t="str">
        <f t="shared" si="32"/>
        <v/>
      </c>
      <c r="CE143" s="280" t="str">
        <f t="shared" si="90"/>
        <v>-</v>
      </c>
      <c r="CF143" s="71" t="str">
        <f t="shared" ca="1" si="91"/>
        <v>-</v>
      </c>
      <c r="CG143" s="33" t="str">
        <f t="shared" si="35"/>
        <v>43-44</v>
      </c>
      <c r="CH143" s="261" t="str">
        <f t="shared" ca="1" si="36"/>
        <v/>
      </c>
      <c r="CI143" s="99"/>
      <c r="CJ143" s="99"/>
      <c r="CK143" s="99"/>
      <c r="CL143" s="99"/>
      <c r="CM143" s="99"/>
      <c r="CN143" s="99"/>
      <c r="CO143" s="99"/>
    </row>
    <row r="144" spans="2:93" ht="13.5" customHeight="1" x14ac:dyDescent="0.2">
      <c r="B144" s="262">
        <v>44</v>
      </c>
      <c r="C144" s="237" t="str">
        <f t="shared" si="71"/>
        <v/>
      </c>
      <c r="D144" s="237" t="str">
        <f t="shared" si="66"/>
        <v>-</v>
      </c>
      <c r="E144" s="290" t="str">
        <f t="shared" si="37"/>
        <v/>
      </c>
      <c r="F144" s="264" t="str">
        <f t="shared" si="38"/>
        <v/>
      </c>
      <c r="G144" s="291" t="str">
        <f t="shared" si="39"/>
        <v/>
      </c>
      <c r="H144" s="240" t="str">
        <f t="shared" si="72"/>
        <v/>
      </c>
      <c r="I144" s="265" t="str">
        <f t="shared" si="73"/>
        <v/>
      </c>
      <c r="J144" s="265" t="str">
        <f t="shared" si="74"/>
        <v/>
      </c>
      <c r="K144" s="240" t="str">
        <f t="shared" si="75"/>
        <v/>
      </c>
      <c r="L144" s="265" t="str">
        <f t="shared" si="76"/>
        <v/>
      </c>
      <c r="M144" s="265" t="str">
        <f t="shared" si="77"/>
        <v/>
      </c>
      <c r="N144" s="240" t="str">
        <f t="shared" si="78"/>
        <v>-</v>
      </c>
      <c r="O144" s="265" t="str">
        <f t="shared" si="79"/>
        <v>-</v>
      </c>
      <c r="P144" s="265" t="str">
        <f t="shared" si="80"/>
        <v>-</v>
      </c>
      <c r="Q144" s="266" t="str">
        <f t="shared" si="81"/>
        <v>-</v>
      </c>
      <c r="R144" s="267" t="str">
        <f t="shared" si="82"/>
        <v>-</v>
      </c>
      <c r="S144" s="268" t="str">
        <f t="shared" si="83"/>
        <v>-</v>
      </c>
      <c r="T144" s="269" t="str">
        <f t="shared" si="12"/>
        <v/>
      </c>
      <c r="U144" s="221">
        <f t="shared" si="13"/>
        <v>44</v>
      </c>
      <c r="V144" s="220" t="str">
        <f t="shared" si="42"/>
        <v>-</v>
      </c>
      <c r="W144" s="221" t="str">
        <f t="shared" si="43"/>
        <v>-</v>
      </c>
      <c r="X144" s="221" t="str">
        <f t="shared" si="14"/>
        <v>-</v>
      </c>
      <c r="Y144" s="221" t="str">
        <f t="shared" si="15"/>
        <v>-</v>
      </c>
      <c r="Z144" s="270">
        <f t="shared" si="44"/>
        <v>0.1</v>
      </c>
      <c r="AA144" s="271" t="str">
        <f>IFERROR(IF(V143=1,AA$100*EXP(-(LN(2)/$D$65+0.04)*X143)*EXP(-(LN(2)/$D$65+0.1)*Y143),IF(V143=2,AA$100*EXP(-(LN(2)/$D$65+0.04)*(VLOOKUP(($F$16-$F$15)-1,U$99:Y143,4,FALSE)))*EXP(-(LN(2)/$D$65+0.1)*(VLOOKUP(($F$16-$F$15)-1,U$99:Y143,5,FALSE)))*EXP(-(LN(2)/$D$65+0.04)*X143)*EXP(-(LN(2)/$D$65+0.1)*Y143),IF(V143=3,AA$100*EXP(-(LN(2)/$D$65+0.04)*(VLOOKUP(($F$16-$F$15)-1,U$99:Y143,4,FALSE)))*EXP(-(LN(2)/$D$65+0.1)*(VLOOKUP(($F$16-$F$15)-1,U$99:Y143,5,FALSE)))*EXP(-(LN(2)/$D$65+0.04)*(VLOOKUP(($F$16-$F$15)*2-1,U$99:Y143,4,FALSE)))*EXP(-(LN(2)/$D$65+0.1)*(VLOOKUP(($F$16-$F$15)*2-1,U$99:Y143,5,FALSE)))*EXP(-(LN(2)/$D$65+0.04)*X143)*EXP(-(LN(2)/$D$65+0.1)*Y143),"-"))),"-")</f>
        <v>-</v>
      </c>
      <c r="AB144" s="271" t="str">
        <f>IFERROR(IF(V144=1,AB$100*EXP(-(LN(2)/$D$65+0.04)*X144)*EXP(-(LN(2)/$D$65+0.1)*Y144),IF(V144=2,AB$100*EXP(-(LN(2)/$D$65+0.04)*(VLOOKUP(($F$16-$F$15)-1,U$100:Y144,4,FALSE)))*EXP(-(LN(2)/$D$65+0.1)*(VLOOKUP(($F$16-$F$15)-1,U$100:Y144,5,FALSE)))*EXP(-(LN(2)/$D$65+0.04)*X144)*EXP(-(LN(2)/$D$65+0.1)*Y144),IF(V144=3,AB$100*EXP(-(LN(2)/$D$65+0.04)*(VLOOKUP(($F$16-$F$15)-1,U$100:Y144,4,FALSE)))*EXP(-(LN(2)/$D$65+0.1)*(VLOOKUP(($F$16-$F$15)-1,U$100:Y144,5,FALSE)))*EXP(-(LN(2)/$D$65+0.04)*(VLOOKUP(($F$16-$F$15)*2-1,U$100:Y144,4,FALSE)))*EXP(-(LN(2)/$D$65+0.1)*(VLOOKUP(($F$16-$F$15)*2-1,U$100:Y144,5,FALSE)))*EXP(-(LN(2)/$D$65+0.04)*X144)*EXP(-(LN(2)/$D$65+0.1)*Y144),"-"))),"-")</f>
        <v>-</v>
      </c>
      <c r="AC144" s="224">
        <f t="shared" si="45"/>
        <v>44</v>
      </c>
      <c r="AD144" s="223" t="str">
        <f t="shared" si="17"/>
        <v>-</v>
      </c>
      <c r="AE144" s="224" t="str">
        <f t="shared" si="46"/>
        <v>-</v>
      </c>
      <c r="AF144" s="224" t="str">
        <f t="shared" si="18"/>
        <v>-</v>
      </c>
      <c r="AG144" s="224" t="str">
        <f t="shared" si="19"/>
        <v>-</v>
      </c>
      <c r="AH144" s="272">
        <f t="shared" si="47"/>
        <v>0.1</v>
      </c>
      <c r="AI144" s="271" t="str">
        <f>IFERROR(IF(AD143=1,AI$100*EXP(-(LN(2)/$D$65+0.04)*AF143)*EXP(-(LN(2)/$D$65+0.1)*AG143),IF(AD143=2,AI$100*EXP(-(LN(2)/$D$65+0.04)*(VLOOKUP(($F$16-$F$15)-1,AC$99:AG143,4,FALSE)))*EXP(-(LN(2)/$D$65+0.1)*(VLOOKUP(($F$16-$F$15)-1,AC$99:AG143,5,FALSE)))*EXP(-(LN(2)/$D$65+0.04)*AF143)*EXP(-(LN(2)/$D$65+0.1)*AG143),IF(AD143=3,AI$100*EXP(-(LN(2)/$D$65+0.04)*(VLOOKUP(($F$16-$F$15)-1,AC$99:AG143,4,FALSE)))*EXP(-(LN(2)/$D$65+0.1)*(VLOOKUP(($F$16-$F$15)-1,AC$99:AG143,5,FALSE)))*EXP(-(LN(2)/$D$65+0.04)*(VLOOKUP(($F$16-$F$15)*2-1,AC$99:AG143,4,FALSE)))*EXP(-(LN(2)/$D$65+0.1)*(VLOOKUP(($F$16-$F$15)*2-1,AC$99:AG143,5,FALSE)))*EXP(-(LN(2)/$D$65+0.04)*AF143)*EXP(-(LN(2)/$D$65+0.1)*AG143),"-"))),"-")</f>
        <v>-</v>
      </c>
      <c r="AJ144" s="271" t="str">
        <f>IFERROR(IF(AD144=1,AJ$100*EXP(-(LN(2)/$D$65+0.04)*AF144)*EXP(-(LN(2)/$D$65+0.1)*AG144),IF(AD144=2,AJ$100*EXP(-(LN(2)/$D$65+0.04)*(VLOOKUP(($F$16-$F$15)-1,AC$100:AG144,4,FALSE)))*EXP(-(LN(2)/$D$65+0.1)*(VLOOKUP(($F$16-$F$15)-1,AC$100:AG144,5,FALSE)))*EXP(-(LN(2)/$D$65+0.04)*AF144)*EXP(-(LN(2)/$D$65+0.1)*AG144),IF(AD144=3,AJ$100*EXP(-(LN(2)/$D$65+0.04)*(VLOOKUP(($F$16-$F$15)-1,AC$100:AG144,4,FALSE)))*EXP(-(LN(2)/$D$65+0.1)*(VLOOKUP(($F$16-$F$15)-1,AC$100:AG144,5,FALSE)))*EXP(-(LN(2)/$D$65+0.04)*(VLOOKUP(($F$16-$F$15)*2-1,AC$100:AG144,4,FALSE)))*EXP(-(LN(2)/$D$65+0.1)*(VLOOKUP(($F$16-$F$15)*2-1,AC$100:AG144,5,FALSE)))*EXP(-(LN(2)/$D$65+0.04)*AF144)*EXP(-(LN(2)/$D$65+0.1)*AG144),"-"))),"-")</f>
        <v>-</v>
      </c>
      <c r="AK144" s="227">
        <f t="shared" si="49"/>
        <v>44</v>
      </c>
      <c r="AL144" s="226" t="str">
        <f t="shared" si="21"/>
        <v>-</v>
      </c>
      <c r="AM144" s="227" t="str">
        <f t="shared" si="50"/>
        <v>-</v>
      </c>
      <c r="AN144" s="227" t="str">
        <f t="shared" si="51"/>
        <v>-</v>
      </c>
      <c r="AO144" s="227" t="str">
        <f t="shared" si="22"/>
        <v>-</v>
      </c>
      <c r="AP144" s="273">
        <f t="shared" si="52"/>
        <v>0.1</v>
      </c>
      <c r="AQ144" s="271" t="str">
        <f>IFERROR(IF(AL143=1,AQ$100*EXP(-(LN(2)/$D$65+0.04)*AN143)*EXP(-(LN(2)/$D$65+0.1)*AO143),IF(AL143=2,AQ$100*EXP(-(LN(2)/$D$65+0.04)*(VLOOKUP(($F$16-$F$15)-1,AK$99:AO143,4,FALSE)))*EXP(-(LN(2)/$D$65+0.1)*(VLOOKUP(($F$16-$F$15)-1,AK$99:AO143,5,FALSE)))*EXP(-(LN(2)/$D$65+0.04)*AN143)*EXP(-(LN(2)/$D$65+0.1)*AO143),IF(AL143=3,AQ$100*EXP(-(LN(2)/$D$65+0.04)*(VLOOKUP(($F$16-$F$15)-1,AK$99:AO143,4,FALSE)))*EXP(-(LN(2)/$D$65+0.1)*(VLOOKUP(($F$16-$F$15)-1,AK$99:AO143,5,FALSE)))*EXP(-(LN(2)/$D$65+0.04)*(VLOOKUP(($F$16-$F$15)*2-1,AK$99:AO143,4,FALSE)))*EXP(-(LN(2)/$D$65+0.1)*(VLOOKUP(($F$16-$F$15)*2-1,AK$99:AO143,5,FALSE)))*EXP(-(LN(2)/$D$65+0.04)*AN143)*EXP(-(LN(2)/$D$65+0.1)*AO143),"-"))),"-")</f>
        <v>-</v>
      </c>
      <c r="AR144" s="271" t="str">
        <f>IFERROR(IF(AL144=1,AR$100*EXP(-(LN(2)/$D$65+0.04)*AN144)*EXP(-(LN(2)/$D$65+0.1)*AO144),IF(AL144=2,AR$100*EXP(-(LN(2)/$D$65+0.04)*(VLOOKUP(($F$16-$F$15)-1,AK$100:AO144,4,FALSE)))*EXP(-(LN(2)/$D$65+0.1)*(VLOOKUP(($F$16-$F$15)-1,AK$100:AO144,5,FALSE)))*EXP(-(LN(2)/$D$65+0.04)*AN144)*EXP(-(LN(2)/$D$65+0.1)*AO144),IF(AL144=3,AR$100*EXP(-(LN(2)/$D$65+0.04)*(VLOOKUP(($F$16-$F$15)-1,AK$100:AO144,4,FALSE)))*EXP(-(LN(2)/$D$65+0.1)*(VLOOKUP(($F$16-$F$15)-1,AK$100:AO144,5,FALSE)))*EXP(-(LN(2)/$D$65+0.04)*(VLOOKUP(($F$16-$F$15)*2-1,AK$100:AO144,4,FALSE)))*EXP(-(LN(2)/$D$65+0.1)*(VLOOKUP(($F$16-$F$15)*2-1,AK$100:AO144,5,FALSE)))*EXP(-(LN(2)/$D$65+0.04)*AN144)*EXP(-(LN(2)/$D$65+0.1)*AO144),"-"))),"-")</f>
        <v>-</v>
      </c>
      <c r="AS144" s="274">
        <f t="shared" si="23"/>
        <v>0</v>
      </c>
      <c r="AT144" s="274">
        <f t="shared" si="24"/>
        <v>0</v>
      </c>
      <c r="AU144" s="274">
        <f t="shared" si="25"/>
        <v>0</v>
      </c>
      <c r="AV144" s="190">
        <f>IF($B144&lt;$F$22,SUM($T$100:$T144),"")</f>
        <v>0</v>
      </c>
      <c r="AW144" s="190" t="str">
        <f t="shared" si="84"/>
        <v>-</v>
      </c>
      <c r="AX144" s="190" t="str">
        <f t="shared" si="56"/>
        <v/>
      </c>
      <c r="AY144"/>
      <c r="AZ144" s="190" t="str">
        <f ca="1">IF(ISNUMBER(OFFSET(AV144,-$F$21,0)),SUM(OFFSET($T$100,$F$21,0):$T144),"")</f>
        <v/>
      </c>
      <c r="BA144" s="190" t="str">
        <f t="shared" ca="1" si="85"/>
        <v/>
      </c>
      <c r="BB144" s="190" t="str">
        <f t="shared" ca="1" si="70"/>
        <v/>
      </c>
      <c r="BC144" s="190"/>
      <c r="BD144" s="190" t="str">
        <f ca="1">IFERROR(IF(AND($B144&gt;=($F$16-$F$15),$B144&lt;$F$22+($F$16-$F$15)),SUM(OFFSET($T$100,($F$16-$F$15),0):$T144),""),"")</f>
        <v/>
      </c>
      <c r="BE144" s="190" t="str">
        <f t="shared" ca="1" si="58"/>
        <v/>
      </c>
      <c r="BF144" s="190" t="str">
        <f t="shared" ca="1" si="59"/>
        <v/>
      </c>
      <c r="BG144"/>
      <c r="BH144" s="190" t="str">
        <f ca="1">IF(ISNUMBER(OFFSET(BD144,-$F$21,0)),SUM(OFFSET($T$100,($F$16-$F$15+$F$21),0):$T144),"")</f>
        <v/>
      </c>
      <c r="BI144" s="190" t="str">
        <f t="shared" ca="1" si="86"/>
        <v/>
      </c>
      <c r="BJ144" s="190" t="str">
        <f t="shared" ca="1" si="60"/>
        <v/>
      </c>
      <c r="BK144" s="190"/>
      <c r="BL144" s="190" t="str">
        <f ca="1">IFERROR(IF(AND($B144&gt;=($F$17-$F$15),$B144&lt;$F$22+($F$17-$F$15)),SUM(OFFSET($T$100,($F$17-$F$15),0):$T144),""),"")</f>
        <v/>
      </c>
      <c r="BM144" s="190" t="str">
        <f t="shared" ca="1" si="87"/>
        <v/>
      </c>
      <c r="BN144" s="190" t="str">
        <f t="shared" ca="1" si="61"/>
        <v/>
      </c>
      <c r="BO144"/>
      <c r="BP144" s="190" t="str">
        <f ca="1">IF(ISNUMBER(OFFSET(BL144,-$F$21,0)),SUM(OFFSET($T$100,($F$17-$F$15+$F$21),0):$T144),"")</f>
        <v/>
      </c>
      <c r="BQ144" s="190" t="str">
        <f t="shared" ca="1" si="88"/>
        <v/>
      </c>
      <c r="BR144" s="190" t="str">
        <f t="shared" ca="1" si="63"/>
        <v/>
      </c>
      <c r="BS144" s="190"/>
      <c r="BT144"/>
      <c r="BU144"/>
      <c r="BV144"/>
      <c r="BY144" s="99"/>
      <c r="BZ144" s="99"/>
      <c r="CA144" s="280" t="str">
        <f t="shared" si="89"/>
        <v/>
      </c>
      <c r="CB144" s="71" t="str">
        <f t="shared" si="30"/>
        <v>-</v>
      </c>
      <c r="CC144" s="33"/>
      <c r="CD144" s="261" t="str">
        <f t="shared" si="32"/>
        <v/>
      </c>
      <c r="CE144" s="280" t="str">
        <f t="shared" si="90"/>
        <v>-</v>
      </c>
      <c r="CF144" s="71" t="str">
        <f t="shared" ca="1" si="91"/>
        <v>-</v>
      </c>
      <c r="CG144" s="33" t="str">
        <f t="shared" si="35"/>
        <v>44-45</v>
      </c>
      <c r="CH144" s="261" t="str">
        <f t="shared" ca="1" si="36"/>
        <v/>
      </c>
      <c r="CI144" s="99"/>
      <c r="CJ144" s="99"/>
      <c r="CK144" s="99"/>
      <c r="CL144" s="99"/>
      <c r="CM144" s="99"/>
      <c r="CN144" s="99"/>
      <c r="CO144" s="99"/>
    </row>
    <row r="145" spans="2:93" ht="13.5" customHeight="1" x14ac:dyDescent="0.2">
      <c r="B145" s="262">
        <v>45</v>
      </c>
      <c r="C145" s="237" t="str">
        <f t="shared" si="71"/>
        <v/>
      </c>
      <c r="D145" s="237" t="str">
        <f t="shared" si="66"/>
        <v>-</v>
      </c>
      <c r="E145" s="290" t="str">
        <f t="shared" si="37"/>
        <v/>
      </c>
      <c r="F145" s="264" t="str">
        <f t="shared" si="38"/>
        <v/>
      </c>
      <c r="G145" s="291" t="str">
        <f t="shared" si="39"/>
        <v/>
      </c>
      <c r="H145" s="240" t="str">
        <f t="shared" si="72"/>
        <v/>
      </c>
      <c r="I145" s="265" t="str">
        <f t="shared" si="73"/>
        <v/>
      </c>
      <c r="J145" s="265" t="str">
        <f t="shared" si="74"/>
        <v/>
      </c>
      <c r="K145" s="240" t="str">
        <f t="shared" si="75"/>
        <v/>
      </c>
      <c r="L145" s="265" t="str">
        <f t="shared" si="76"/>
        <v/>
      </c>
      <c r="M145" s="265" t="str">
        <f t="shared" si="77"/>
        <v/>
      </c>
      <c r="N145" s="240" t="str">
        <f t="shared" si="78"/>
        <v>-</v>
      </c>
      <c r="O145" s="265" t="str">
        <f t="shared" si="79"/>
        <v>-</v>
      </c>
      <c r="P145" s="265" t="str">
        <f t="shared" si="80"/>
        <v>-</v>
      </c>
      <c r="Q145" s="266" t="str">
        <f t="shared" si="81"/>
        <v>-</v>
      </c>
      <c r="R145" s="267" t="str">
        <f t="shared" si="82"/>
        <v>-</v>
      </c>
      <c r="S145" s="268" t="str">
        <f t="shared" si="83"/>
        <v>-</v>
      </c>
      <c r="T145" s="269" t="str">
        <f t="shared" si="12"/>
        <v/>
      </c>
      <c r="U145" s="221">
        <f t="shared" si="13"/>
        <v>45</v>
      </c>
      <c r="V145" s="220" t="str">
        <f t="shared" si="42"/>
        <v>-</v>
      </c>
      <c r="W145" s="221" t="str">
        <f t="shared" si="43"/>
        <v>-</v>
      </c>
      <c r="X145" s="221" t="str">
        <f t="shared" si="14"/>
        <v>-</v>
      </c>
      <c r="Y145" s="221" t="str">
        <f t="shared" si="15"/>
        <v>-</v>
      </c>
      <c r="Z145" s="270">
        <f t="shared" si="44"/>
        <v>0.1</v>
      </c>
      <c r="AA145" s="271" t="str">
        <f>IFERROR(IF(V144=1,AA$100*EXP(-(LN(2)/$D$65+0.04)*X144)*EXP(-(LN(2)/$D$65+0.1)*Y144),IF(V144=2,AA$100*EXP(-(LN(2)/$D$65+0.04)*(VLOOKUP(($F$16-$F$15)-1,U$99:Y144,4,FALSE)))*EXP(-(LN(2)/$D$65+0.1)*(VLOOKUP(($F$16-$F$15)-1,U$99:Y144,5,FALSE)))*EXP(-(LN(2)/$D$65+0.04)*X144)*EXP(-(LN(2)/$D$65+0.1)*Y144),IF(V144=3,AA$100*EXP(-(LN(2)/$D$65+0.04)*(VLOOKUP(($F$16-$F$15)-1,U$99:Y144,4,FALSE)))*EXP(-(LN(2)/$D$65+0.1)*(VLOOKUP(($F$16-$F$15)-1,U$99:Y144,5,FALSE)))*EXP(-(LN(2)/$D$65+0.04)*(VLOOKUP(($F$16-$F$15)*2-1,U$99:Y144,4,FALSE)))*EXP(-(LN(2)/$D$65+0.1)*(VLOOKUP(($F$16-$F$15)*2-1,U$99:Y144,5,FALSE)))*EXP(-(LN(2)/$D$65+0.04)*X144)*EXP(-(LN(2)/$D$65+0.1)*Y144),"-"))),"-")</f>
        <v>-</v>
      </c>
      <c r="AB145" s="271" t="str">
        <f>IFERROR(IF(V145=1,AB$100*EXP(-(LN(2)/$D$65+0.04)*X145)*EXP(-(LN(2)/$D$65+0.1)*Y145),IF(V145=2,AB$100*EXP(-(LN(2)/$D$65+0.04)*(VLOOKUP(($F$16-$F$15)-1,U$100:Y145,4,FALSE)))*EXP(-(LN(2)/$D$65+0.1)*(VLOOKUP(($F$16-$F$15)-1,U$100:Y145,5,FALSE)))*EXP(-(LN(2)/$D$65+0.04)*X145)*EXP(-(LN(2)/$D$65+0.1)*Y145),IF(V145=3,AB$100*EXP(-(LN(2)/$D$65+0.04)*(VLOOKUP(($F$16-$F$15)-1,U$100:Y145,4,FALSE)))*EXP(-(LN(2)/$D$65+0.1)*(VLOOKUP(($F$16-$F$15)-1,U$100:Y145,5,FALSE)))*EXP(-(LN(2)/$D$65+0.04)*(VLOOKUP(($F$16-$F$15)*2-1,U$100:Y145,4,FALSE)))*EXP(-(LN(2)/$D$65+0.1)*(VLOOKUP(($F$16-$F$15)*2-1,U$100:Y145,5,FALSE)))*EXP(-(LN(2)/$D$65+0.04)*X145)*EXP(-(LN(2)/$D$65+0.1)*Y145),"-"))),"-")</f>
        <v>-</v>
      </c>
      <c r="AC145" s="224">
        <f t="shared" si="45"/>
        <v>45</v>
      </c>
      <c r="AD145" s="223" t="str">
        <f t="shared" si="17"/>
        <v>-</v>
      </c>
      <c r="AE145" s="224" t="str">
        <f t="shared" si="46"/>
        <v>-</v>
      </c>
      <c r="AF145" s="224" t="str">
        <f t="shared" si="18"/>
        <v>-</v>
      </c>
      <c r="AG145" s="224" t="str">
        <f t="shared" si="19"/>
        <v>-</v>
      </c>
      <c r="AH145" s="272">
        <f t="shared" si="47"/>
        <v>0.1</v>
      </c>
      <c r="AI145" s="271" t="str">
        <f>IFERROR(IF(AD144=1,AI$100*EXP(-(LN(2)/$D$65+0.04)*AF144)*EXP(-(LN(2)/$D$65+0.1)*AG144),IF(AD144=2,AI$100*EXP(-(LN(2)/$D$65+0.04)*(VLOOKUP(($F$16-$F$15)-1,AC$99:AG144,4,FALSE)))*EXP(-(LN(2)/$D$65+0.1)*(VLOOKUP(($F$16-$F$15)-1,AC$99:AG144,5,FALSE)))*EXP(-(LN(2)/$D$65+0.04)*AF144)*EXP(-(LN(2)/$D$65+0.1)*AG144),IF(AD144=3,AI$100*EXP(-(LN(2)/$D$65+0.04)*(VLOOKUP(($F$16-$F$15)-1,AC$99:AG144,4,FALSE)))*EXP(-(LN(2)/$D$65+0.1)*(VLOOKUP(($F$16-$F$15)-1,AC$99:AG144,5,FALSE)))*EXP(-(LN(2)/$D$65+0.04)*(VLOOKUP(($F$16-$F$15)*2-1,AC$99:AG144,4,FALSE)))*EXP(-(LN(2)/$D$65+0.1)*(VLOOKUP(($F$16-$F$15)*2-1,AC$99:AG144,5,FALSE)))*EXP(-(LN(2)/$D$65+0.04)*AF144)*EXP(-(LN(2)/$D$65+0.1)*AG144),"-"))),"-")</f>
        <v>-</v>
      </c>
      <c r="AJ145" s="271" t="str">
        <f>IFERROR(IF(AD145=1,AJ$100*EXP(-(LN(2)/$D$65+0.04)*AF145)*EXP(-(LN(2)/$D$65+0.1)*AG145),IF(AD145=2,AJ$100*EXP(-(LN(2)/$D$65+0.04)*(VLOOKUP(($F$16-$F$15)-1,AC$100:AG145,4,FALSE)))*EXP(-(LN(2)/$D$65+0.1)*(VLOOKUP(($F$16-$F$15)-1,AC$100:AG145,5,FALSE)))*EXP(-(LN(2)/$D$65+0.04)*AF145)*EXP(-(LN(2)/$D$65+0.1)*AG145),IF(AD145=3,AJ$100*EXP(-(LN(2)/$D$65+0.04)*(VLOOKUP(($F$16-$F$15)-1,AC$100:AG145,4,FALSE)))*EXP(-(LN(2)/$D$65+0.1)*(VLOOKUP(($F$16-$F$15)-1,AC$100:AG145,5,FALSE)))*EXP(-(LN(2)/$D$65+0.04)*(VLOOKUP(($F$16-$F$15)*2-1,AC$100:AG145,4,FALSE)))*EXP(-(LN(2)/$D$65+0.1)*(VLOOKUP(($F$16-$F$15)*2-1,AC$100:AG145,5,FALSE)))*EXP(-(LN(2)/$D$65+0.04)*AF145)*EXP(-(LN(2)/$D$65+0.1)*AG145),"-"))),"-")</f>
        <v>-</v>
      </c>
      <c r="AK145" s="227">
        <f t="shared" si="49"/>
        <v>45</v>
      </c>
      <c r="AL145" s="226" t="str">
        <f t="shared" si="21"/>
        <v>-</v>
      </c>
      <c r="AM145" s="227" t="str">
        <f t="shared" si="50"/>
        <v>-</v>
      </c>
      <c r="AN145" s="227" t="str">
        <f t="shared" si="51"/>
        <v>-</v>
      </c>
      <c r="AO145" s="227" t="str">
        <f t="shared" si="22"/>
        <v>-</v>
      </c>
      <c r="AP145" s="273">
        <f t="shared" si="52"/>
        <v>0.1</v>
      </c>
      <c r="AQ145" s="271" t="str">
        <f>IFERROR(IF(AL144=1,AQ$100*EXP(-(LN(2)/$D$65+0.04)*AN144)*EXP(-(LN(2)/$D$65+0.1)*AO144),IF(AL144=2,AQ$100*EXP(-(LN(2)/$D$65+0.04)*(VLOOKUP(($F$16-$F$15)-1,AK$99:AO144,4,FALSE)))*EXP(-(LN(2)/$D$65+0.1)*(VLOOKUP(($F$16-$F$15)-1,AK$99:AO144,5,FALSE)))*EXP(-(LN(2)/$D$65+0.04)*AN144)*EXP(-(LN(2)/$D$65+0.1)*AO144),IF(AL144=3,AQ$100*EXP(-(LN(2)/$D$65+0.04)*(VLOOKUP(($F$16-$F$15)-1,AK$99:AO144,4,FALSE)))*EXP(-(LN(2)/$D$65+0.1)*(VLOOKUP(($F$16-$F$15)-1,AK$99:AO144,5,FALSE)))*EXP(-(LN(2)/$D$65+0.04)*(VLOOKUP(($F$16-$F$15)*2-1,AK$99:AO144,4,FALSE)))*EXP(-(LN(2)/$D$65+0.1)*(VLOOKUP(($F$16-$F$15)*2-1,AK$99:AO144,5,FALSE)))*EXP(-(LN(2)/$D$65+0.04)*AN144)*EXP(-(LN(2)/$D$65+0.1)*AO144),"-"))),"-")</f>
        <v>-</v>
      </c>
      <c r="AR145" s="271" t="str">
        <f>IFERROR(IF(AL145=1,AR$100*EXP(-(LN(2)/$D$65+0.04)*AN145)*EXP(-(LN(2)/$D$65+0.1)*AO145),IF(AL145=2,AR$100*EXP(-(LN(2)/$D$65+0.04)*(VLOOKUP(($F$16-$F$15)-1,AK$100:AO145,4,FALSE)))*EXP(-(LN(2)/$D$65+0.1)*(VLOOKUP(($F$16-$F$15)-1,AK$100:AO145,5,FALSE)))*EXP(-(LN(2)/$D$65+0.04)*AN145)*EXP(-(LN(2)/$D$65+0.1)*AO145),IF(AL145=3,AR$100*EXP(-(LN(2)/$D$65+0.04)*(VLOOKUP(($F$16-$F$15)-1,AK$100:AO145,4,FALSE)))*EXP(-(LN(2)/$D$65+0.1)*(VLOOKUP(($F$16-$F$15)-1,AK$100:AO145,5,FALSE)))*EXP(-(LN(2)/$D$65+0.04)*(VLOOKUP(($F$16-$F$15)*2-1,AK$100:AO145,4,FALSE)))*EXP(-(LN(2)/$D$65+0.1)*(VLOOKUP(($F$16-$F$15)*2-1,AK$100:AO145,5,FALSE)))*EXP(-(LN(2)/$D$65+0.04)*AN145)*EXP(-(LN(2)/$D$65+0.1)*AO145),"-"))),"-")</f>
        <v>-</v>
      </c>
      <c r="AS145" s="274">
        <f t="shared" si="23"/>
        <v>0</v>
      </c>
      <c r="AT145" s="274">
        <f t="shared" si="24"/>
        <v>0</v>
      </c>
      <c r="AU145" s="274">
        <f t="shared" si="25"/>
        <v>0</v>
      </c>
      <c r="AV145" s="190">
        <f>IF($B145&lt;$F$22,SUM($T$100:$T145),"")</f>
        <v>0</v>
      </c>
      <c r="AW145" s="190" t="str">
        <f t="shared" si="84"/>
        <v>-</v>
      </c>
      <c r="AX145" s="190" t="str">
        <f t="shared" si="56"/>
        <v/>
      </c>
      <c r="AY145"/>
      <c r="AZ145" s="190" t="str">
        <f ca="1">IF(ISNUMBER(OFFSET(AV145,-$F$21,0)),SUM(OFFSET($T$100,$F$21,0):$T145),"")</f>
        <v/>
      </c>
      <c r="BA145" s="190" t="str">
        <f t="shared" ca="1" si="85"/>
        <v/>
      </c>
      <c r="BB145" s="190" t="str">
        <f t="shared" ca="1" si="70"/>
        <v/>
      </c>
      <c r="BC145" s="190"/>
      <c r="BD145" s="190" t="str">
        <f ca="1">IFERROR(IF(AND($B145&gt;=($F$16-$F$15),$B145&lt;$F$22+($F$16-$F$15)),SUM(OFFSET($T$100,($F$16-$F$15),0):$T145),""),"")</f>
        <v/>
      </c>
      <c r="BE145" s="190" t="str">
        <f t="shared" ca="1" si="58"/>
        <v/>
      </c>
      <c r="BF145" s="190" t="str">
        <f t="shared" ca="1" si="59"/>
        <v/>
      </c>
      <c r="BG145"/>
      <c r="BH145" s="190" t="str">
        <f ca="1">IF(ISNUMBER(OFFSET(BD145,-$F$21,0)),SUM(OFFSET($T$100,($F$16-$F$15+$F$21),0):$T145),"")</f>
        <v/>
      </c>
      <c r="BI145" s="190" t="str">
        <f t="shared" ca="1" si="86"/>
        <v/>
      </c>
      <c r="BJ145" s="190" t="str">
        <f t="shared" ca="1" si="60"/>
        <v/>
      </c>
      <c r="BK145" s="190"/>
      <c r="BL145" s="190" t="str">
        <f ca="1">IFERROR(IF(AND($B145&gt;=($F$17-$F$15),$B145&lt;$F$22+($F$17-$F$15)),SUM(OFFSET($T$100,($F$17-$F$15),0):$T145),""),"")</f>
        <v/>
      </c>
      <c r="BM145" s="190" t="str">
        <f t="shared" ca="1" si="87"/>
        <v/>
      </c>
      <c r="BN145" s="190" t="str">
        <f t="shared" ca="1" si="61"/>
        <v/>
      </c>
      <c r="BO145"/>
      <c r="BP145" s="190" t="str">
        <f ca="1">IF(ISNUMBER(OFFSET(BL145,-$F$21,0)),SUM(OFFSET($T$100,($F$17-$F$15+$F$21),0):$T145),"")</f>
        <v/>
      </c>
      <c r="BQ145" s="190" t="str">
        <f t="shared" ca="1" si="88"/>
        <v/>
      </c>
      <c r="BR145" s="190" t="str">
        <f t="shared" ca="1" si="63"/>
        <v/>
      </c>
      <c r="BS145" s="190"/>
      <c r="BT145"/>
      <c r="BU145"/>
      <c r="BV145"/>
      <c r="BY145" s="99"/>
      <c r="BZ145" s="99"/>
      <c r="CA145" s="280" t="str">
        <f t="shared" si="89"/>
        <v/>
      </c>
      <c r="CB145" s="71" t="str">
        <f t="shared" si="30"/>
        <v>-</v>
      </c>
      <c r="CC145" s="33"/>
      <c r="CD145" s="261" t="str">
        <f t="shared" si="32"/>
        <v/>
      </c>
      <c r="CE145" s="280" t="str">
        <f t="shared" si="90"/>
        <v>-</v>
      </c>
      <c r="CF145" s="71" t="str">
        <f t="shared" ca="1" si="91"/>
        <v>-</v>
      </c>
      <c r="CG145" s="33" t="str">
        <f t="shared" si="35"/>
        <v>45-46</v>
      </c>
      <c r="CH145" s="261" t="str">
        <f t="shared" ca="1" si="36"/>
        <v/>
      </c>
      <c r="CI145" s="99"/>
      <c r="CJ145" s="99"/>
      <c r="CK145" s="99"/>
      <c r="CL145" s="99"/>
      <c r="CM145" s="99"/>
      <c r="CN145" s="99"/>
      <c r="CO145" s="99"/>
    </row>
    <row r="146" spans="2:93" ht="13.5" customHeight="1" x14ac:dyDescent="0.2">
      <c r="B146" s="262">
        <v>46</v>
      </c>
      <c r="C146" s="237" t="str">
        <f t="shared" si="71"/>
        <v/>
      </c>
      <c r="D146" s="237" t="str">
        <f t="shared" si="66"/>
        <v>-</v>
      </c>
      <c r="E146" s="290" t="str">
        <f t="shared" si="37"/>
        <v/>
      </c>
      <c r="F146" s="264" t="str">
        <f t="shared" si="38"/>
        <v/>
      </c>
      <c r="G146" s="291" t="str">
        <f t="shared" si="39"/>
        <v/>
      </c>
      <c r="H146" s="240" t="str">
        <f t="shared" si="72"/>
        <v/>
      </c>
      <c r="I146" s="265" t="str">
        <f t="shared" si="73"/>
        <v/>
      </c>
      <c r="J146" s="265" t="str">
        <f t="shared" si="74"/>
        <v/>
      </c>
      <c r="K146" s="240" t="str">
        <f t="shared" si="75"/>
        <v/>
      </c>
      <c r="L146" s="265" t="str">
        <f t="shared" si="76"/>
        <v/>
      </c>
      <c r="M146" s="265" t="str">
        <f t="shared" si="77"/>
        <v/>
      </c>
      <c r="N146" s="240" t="str">
        <f t="shared" si="78"/>
        <v>-</v>
      </c>
      <c r="O146" s="265" t="str">
        <f t="shared" si="79"/>
        <v>-</v>
      </c>
      <c r="P146" s="265" t="str">
        <f t="shared" si="80"/>
        <v>-</v>
      </c>
      <c r="Q146" s="266" t="str">
        <f t="shared" si="81"/>
        <v>-</v>
      </c>
      <c r="R146" s="267" t="str">
        <f t="shared" si="82"/>
        <v>-</v>
      </c>
      <c r="S146" s="268" t="str">
        <f t="shared" si="83"/>
        <v>-</v>
      </c>
      <c r="T146" s="269" t="str">
        <f t="shared" si="12"/>
        <v/>
      </c>
      <c r="U146" s="221">
        <f t="shared" si="13"/>
        <v>46</v>
      </c>
      <c r="V146" s="220" t="str">
        <f t="shared" si="42"/>
        <v>-</v>
      </c>
      <c r="W146" s="221" t="str">
        <f t="shared" si="43"/>
        <v>-</v>
      </c>
      <c r="X146" s="221" t="str">
        <f t="shared" si="14"/>
        <v>-</v>
      </c>
      <c r="Y146" s="221" t="str">
        <f t="shared" si="15"/>
        <v>-</v>
      </c>
      <c r="Z146" s="270">
        <f t="shared" si="44"/>
        <v>0.1</v>
      </c>
      <c r="AA146" s="271" t="str">
        <f>IFERROR(IF(V145=1,AA$100*EXP(-(LN(2)/$D$65+0.04)*X145)*EXP(-(LN(2)/$D$65+0.1)*Y145),IF(V145=2,AA$100*EXP(-(LN(2)/$D$65+0.04)*(VLOOKUP(($F$16-$F$15)-1,U$99:Y145,4,FALSE)))*EXP(-(LN(2)/$D$65+0.1)*(VLOOKUP(($F$16-$F$15)-1,U$99:Y145,5,FALSE)))*EXP(-(LN(2)/$D$65+0.04)*X145)*EXP(-(LN(2)/$D$65+0.1)*Y145),IF(V145=3,AA$100*EXP(-(LN(2)/$D$65+0.04)*(VLOOKUP(($F$16-$F$15)-1,U$99:Y145,4,FALSE)))*EXP(-(LN(2)/$D$65+0.1)*(VLOOKUP(($F$16-$F$15)-1,U$99:Y145,5,FALSE)))*EXP(-(LN(2)/$D$65+0.04)*(VLOOKUP(($F$16-$F$15)*2-1,U$99:Y145,4,FALSE)))*EXP(-(LN(2)/$D$65+0.1)*(VLOOKUP(($F$16-$F$15)*2-1,U$99:Y145,5,FALSE)))*EXP(-(LN(2)/$D$65+0.04)*X145)*EXP(-(LN(2)/$D$65+0.1)*Y145),"-"))),"-")</f>
        <v>-</v>
      </c>
      <c r="AB146" s="271" t="str">
        <f>IFERROR(IF(V146=1,AB$100*EXP(-(LN(2)/$D$65+0.04)*X146)*EXP(-(LN(2)/$D$65+0.1)*Y146),IF(V146=2,AB$100*EXP(-(LN(2)/$D$65+0.04)*(VLOOKUP(($F$16-$F$15)-1,U$100:Y146,4,FALSE)))*EXP(-(LN(2)/$D$65+0.1)*(VLOOKUP(($F$16-$F$15)-1,U$100:Y146,5,FALSE)))*EXP(-(LN(2)/$D$65+0.04)*X146)*EXP(-(LN(2)/$D$65+0.1)*Y146),IF(V146=3,AB$100*EXP(-(LN(2)/$D$65+0.04)*(VLOOKUP(($F$16-$F$15)-1,U$100:Y146,4,FALSE)))*EXP(-(LN(2)/$D$65+0.1)*(VLOOKUP(($F$16-$F$15)-1,U$100:Y146,5,FALSE)))*EXP(-(LN(2)/$D$65+0.04)*(VLOOKUP(($F$16-$F$15)*2-1,U$100:Y146,4,FALSE)))*EXP(-(LN(2)/$D$65+0.1)*(VLOOKUP(($F$16-$F$15)*2-1,U$100:Y146,5,FALSE)))*EXP(-(LN(2)/$D$65+0.04)*X146)*EXP(-(LN(2)/$D$65+0.1)*Y146),"-"))),"-")</f>
        <v>-</v>
      </c>
      <c r="AC146" s="224">
        <f t="shared" si="45"/>
        <v>46</v>
      </c>
      <c r="AD146" s="223" t="str">
        <f t="shared" si="17"/>
        <v>-</v>
      </c>
      <c r="AE146" s="224" t="str">
        <f t="shared" si="46"/>
        <v>-</v>
      </c>
      <c r="AF146" s="224" t="str">
        <f t="shared" si="18"/>
        <v>-</v>
      </c>
      <c r="AG146" s="224" t="str">
        <f t="shared" si="19"/>
        <v>-</v>
      </c>
      <c r="AH146" s="272">
        <f t="shared" si="47"/>
        <v>0.1</v>
      </c>
      <c r="AI146" s="271" t="str">
        <f>IFERROR(IF(AD145=1,AI$100*EXP(-(LN(2)/$D$65+0.04)*AF145)*EXP(-(LN(2)/$D$65+0.1)*AG145),IF(AD145=2,AI$100*EXP(-(LN(2)/$D$65+0.04)*(VLOOKUP(($F$16-$F$15)-1,AC$99:AG145,4,FALSE)))*EXP(-(LN(2)/$D$65+0.1)*(VLOOKUP(($F$16-$F$15)-1,AC$99:AG145,5,FALSE)))*EXP(-(LN(2)/$D$65+0.04)*AF145)*EXP(-(LN(2)/$D$65+0.1)*AG145),IF(AD145=3,AI$100*EXP(-(LN(2)/$D$65+0.04)*(VLOOKUP(($F$16-$F$15)-1,AC$99:AG145,4,FALSE)))*EXP(-(LN(2)/$D$65+0.1)*(VLOOKUP(($F$16-$F$15)-1,AC$99:AG145,5,FALSE)))*EXP(-(LN(2)/$D$65+0.04)*(VLOOKUP(($F$16-$F$15)*2-1,AC$99:AG145,4,FALSE)))*EXP(-(LN(2)/$D$65+0.1)*(VLOOKUP(($F$16-$F$15)*2-1,AC$99:AG145,5,FALSE)))*EXP(-(LN(2)/$D$65+0.04)*AF145)*EXP(-(LN(2)/$D$65+0.1)*AG145),"-"))),"-")</f>
        <v>-</v>
      </c>
      <c r="AJ146" s="271" t="str">
        <f>IFERROR(IF(AD146=1,AJ$100*EXP(-(LN(2)/$D$65+0.04)*AF146)*EXP(-(LN(2)/$D$65+0.1)*AG146),IF(AD146=2,AJ$100*EXP(-(LN(2)/$D$65+0.04)*(VLOOKUP(($F$16-$F$15)-1,AC$100:AG146,4,FALSE)))*EXP(-(LN(2)/$D$65+0.1)*(VLOOKUP(($F$16-$F$15)-1,AC$100:AG146,5,FALSE)))*EXP(-(LN(2)/$D$65+0.04)*AF146)*EXP(-(LN(2)/$D$65+0.1)*AG146),IF(AD146=3,AJ$100*EXP(-(LN(2)/$D$65+0.04)*(VLOOKUP(($F$16-$F$15)-1,AC$100:AG146,4,FALSE)))*EXP(-(LN(2)/$D$65+0.1)*(VLOOKUP(($F$16-$F$15)-1,AC$100:AG146,5,FALSE)))*EXP(-(LN(2)/$D$65+0.04)*(VLOOKUP(($F$16-$F$15)*2-1,AC$100:AG146,4,FALSE)))*EXP(-(LN(2)/$D$65+0.1)*(VLOOKUP(($F$16-$F$15)*2-1,AC$100:AG146,5,FALSE)))*EXP(-(LN(2)/$D$65+0.04)*AF146)*EXP(-(LN(2)/$D$65+0.1)*AG146),"-"))),"-")</f>
        <v>-</v>
      </c>
      <c r="AK146" s="227">
        <f t="shared" si="49"/>
        <v>46</v>
      </c>
      <c r="AL146" s="226" t="str">
        <f t="shared" si="21"/>
        <v>-</v>
      </c>
      <c r="AM146" s="227" t="str">
        <f t="shared" si="50"/>
        <v>-</v>
      </c>
      <c r="AN146" s="227" t="str">
        <f t="shared" si="51"/>
        <v>-</v>
      </c>
      <c r="AO146" s="227" t="str">
        <f t="shared" si="22"/>
        <v>-</v>
      </c>
      <c r="AP146" s="273">
        <f t="shared" si="52"/>
        <v>0.1</v>
      </c>
      <c r="AQ146" s="271" t="str">
        <f>IFERROR(IF(AL145=1,AQ$100*EXP(-(LN(2)/$D$65+0.04)*AN145)*EXP(-(LN(2)/$D$65+0.1)*AO145),IF(AL145=2,AQ$100*EXP(-(LN(2)/$D$65+0.04)*(VLOOKUP(($F$16-$F$15)-1,AK$99:AO145,4,FALSE)))*EXP(-(LN(2)/$D$65+0.1)*(VLOOKUP(($F$16-$F$15)-1,AK$99:AO145,5,FALSE)))*EXP(-(LN(2)/$D$65+0.04)*AN145)*EXP(-(LN(2)/$D$65+0.1)*AO145),IF(AL145=3,AQ$100*EXP(-(LN(2)/$D$65+0.04)*(VLOOKUP(($F$16-$F$15)-1,AK$99:AO145,4,FALSE)))*EXP(-(LN(2)/$D$65+0.1)*(VLOOKUP(($F$16-$F$15)-1,AK$99:AO145,5,FALSE)))*EXP(-(LN(2)/$D$65+0.04)*(VLOOKUP(($F$16-$F$15)*2-1,AK$99:AO145,4,FALSE)))*EXP(-(LN(2)/$D$65+0.1)*(VLOOKUP(($F$16-$F$15)*2-1,AK$99:AO145,5,FALSE)))*EXP(-(LN(2)/$D$65+0.04)*AN145)*EXP(-(LN(2)/$D$65+0.1)*AO145),"-"))),"-")</f>
        <v>-</v>
      </c>
      <c r="AR146" s="271" t="str">
        <f>IFERROR(IF(AL146=1,AR$100*EXP(-(LN(2)/$D$65+0.04)*AN146)*EXP(-(LN(2)/$D$65+0.1)*AO146),IF(AL146=2,AR$100*EXP(-(LN(2)/$D$65+0.04)*(VLOOKUP(($F$16-$F$15)-1,AK$100:AO146,4,FALSE)))*EXP(-(LN(2)/$D$65+0.1)*(VLOOKUP(($F$16-$F$15)-1,AK$100:AO146,5,FALSE)))*EXP(-(LN(2)/$D$65+0.04)*AN146)*EXP(-(LN(2)/$D$65+0.1)*AO146),IF(AL146=3,AR$100*EXP(-(LN(2)/$D$65+0.04)*(VLOOKUP(($F$16-$F$15)-1,AK$100:AO146,4,FALSE)))*EXP(-(LN(2)/$D$65+0.1)*(VLOOKUP(($F$16-$F$15)-1,AK$100:AO146,5,FALSE)))*EXP(-(LN(2)/$D$65+0.04)*(VLOOKUP(($F$16-$F$15)*2-1,AK$100:AO146,4,FALSE)))*EXP(-(LN(2)/$D$65+0.1)*(VLOOKUP(($F$16-$F$15)*2-1,AK$100:AO146,5,FALSE)))*EXP(-(LN(2)/$D$65+0.04)*AN146)*EXP(-(LN(2)/$D$65+0.1)*AO146),"-"))),"-")</f>
        <v>-</v>
      </c>
      <c r="AS146" s="274">
        <f t="shared" si="23"/>
        <v>0</v>
      </c>
      <c r="AT146" s="274">
        <f t="shared" si="24"/>
        <v>0</v>
      </c>
      <c r="AU146" s="274">
        <f t="shared" si="25"/>
        <v>0</v>
      </c>
      <c r="AV146" s="190">
        <f>IF($B146&lt;$F$22,SUM($T$100:$T146),"")</f>
        <v>0</v>
      </c>
      <c r="AW146" s="190" t="str">
        <f t="shared" si="84"/>
        <v>-</v>
      </c>
      <c r="AX146" s="190" t="str">
        <f t="shared" si="56"/>
        <v/>
      </c>
      <c r="AY146"/>
      <c r="AZ146" s="190" t="str">
        <f ca="1">IF(ISNUMBER(OFFSET(AV146,-$F$21,0)),SUM(OFFSET($T$100,$F$21,0):$T146),"")</f>
        <v/>
      </c>
      <c r="BA146" s="190" t="str">
        <f t="shared" ca="1" si="85"/>
        <v/>
      </c>
      <c r="BB146" s="190" t="str">
        <f t="shared" ca="1" si="70"/>
        <v/>
      </c>
      <c r="BC146" s="190"/>
      <c r="BD146" s="190" t="str">
        <f ca="1">IFERROR(IF(AND($B146&gt;=($F$16-$F$15),$B146&lt;$F$22+($F$16-$F$15)),SUM(OFFSET($T$100,($F$16-$F$15),0):$T146),""),"")</f>
        <v/>
      </c>
      <c r="BE146" s="190" t="str">
        <f t="shared" ca="1" si="58"/>
        <v/>
      </c>
      <c r="BF146" s="190" t="str">
        <f t="shared" ca="1" si="59"/>
        <v/>
      </c>
      <c r="BG146"/>
      <c r="BH146" s="190" t="str">
        <f ca="1">IF(ISNUMBER(OFFSET(BD146,-$F$21,0)),SUM(OFFSET($T$100,($F$16-$F$15+$F$21),0):$T146),"")</f>
        <v/>
      </c>
      <c r="BI146" s="190" t="str">
        <f t="shared" ca="1" si="86"/>
        <v/>
      </c>
      <c r="BJ146" s="190" t="str">
        <f t="shared" ca="1" si="60"/>
        <v/>
      </c>
      <c r="BK146" s="190"/>
      <c r="BL146" s="190" t="str">
        <f ca="1">IFERROR(IF(AND($B146&gt;=($F$17-$F$15),$B146&lt;$F$22+($F$17-$F$15)),SUM(OFFSET($T$100,($F$17-$F$15),0):$T146),""),"")</f>
        <v/>
      </c>
      <c r="BM146" s="190" t="str">
        <f t="shared" ca="1" si="87"/>
        <v/>
      </c>
      <c r="BN146" s="190" t="str">
        <f t="shared" ca="1" si="61"/>
        <v/>
      </c>
      <c r="BO146"/>
      <c r="BP146" s="190" t="str">
        <f ca="1">IF(ISNUMBER(OFFSET(BL146,-$F$21,0)),SUM(OFFSET($T$100,($F$17-$F$15+$F$21),0):$T146),"")</f>
        <v/>
      </c>
      <c r="BQ146" s="190" t="str">
        <f t="shared" ca="1" si="88"/>
        <v/>
      </c>
      <c r="BR146" s="190" t="str">
        <f t="shared" ca="1" si="63"/>
        <v/>
      </c>
      <c r="BS146" s="190"/>
      <c r="BT146"/>
      <c r="BU146"/>
      <c r="BV146"/>
      <c r="BY146" s="99"/>
      <c r="BZ146" s="99"/>
      <c r="CA146" s="280" t="str">
        <f t="shared" si="89"/>
        <v/>
      </c>
      <c r="CB146" s="71" t="str">
        <f t="shared" si="30"/>
        <v>-</v>
      </c>
      <c r="CC146" s="33"/>
      <c r="CD146" s="261" t="str">
        <f t="shared" si="32"/>
        <v/>
      </c>
      <c r="CE146" s="280" t="str">
        <f t="shared" si="90"/>
        <v>-</v>
      </c>
      <c r="CF146" s="71" t="str">
        <f t="shared" ca="1" si="91"/>
        <v>-</v>
      </c>
      <c r="CG146" s="33" t="str">
        <f t="shared" si="35"/>
        <v>46-47</v>
      </c>
      <c r="CH146" s="261" t="str">
        <f t="shared" ca="1" si="36"/>
        <v/>
      </c>
      <c r="CI146" s="99"/>
      <c r="CJ146" s="99"/>
      <c r="CK146" s="99"/>
      <c r="CL146" s="99"/>
      <c r="CM146" s="99"/>
      <c r="CN146" s="99"/>
      <c r="CO146" s="99"/>
    </row>
    <row r="147" spans="2:93" ht="13.5" customHeight="1" x14ac:dyDescent="0.2">
      <c r="B147" s="262">
        <v>47</v>
      </c>
      <c r="C147" s="237" t="str">
        <f t="shared" si="71"/>
        <v/>
      </c>
      <c r="D147" s="237" t="str">
        <f t="shared" si="66"/>
        <v>-</v>
      </c>
      <c r="E147" s="290" t="str">
        <f t="shared" si="37"/>
        <v/>
      </c>
      <c r="F147" s="264" t="str">
        <f t="shared" si="38"/>
        <v/>
      </c>
      <c r="G147" s="291" t="str">
        <f t="shared" si="39"/>
        <v/>
      </c>
      <c r="H147" s="240" t="str">
        <f t="shared" si="72"/>
        <v/>
      </c>
      <c r="I147" s="265" t="str">
        <f t="shared" si="73"/>
        <v/>
      </c>
      <c r="J147" s="265" t="str">
        <f t="shared" si="74"/>
        <v/>
      </c>
      <c r="K147" s="240" t="str">
        <f t="shared" si="75"/>
        <v/>
      </c>
      <c r="L147" s="265" t="str">
        <f t="shared" si="76"/>
        <v/>
      </c>
      <c r="M147" s="265" t="str">
        <f t="shared" si="77"/>
        <v/>
      </c>
      <c r="N147" s="240" t="str">
        <f t="shared" si="78"/>
        <v>-</v>
      </c>
      <c r="O147" s="265" t="str">
        <f t="shared" si="79"/>
        <v>-</v>
      </c>
      <c r="P147" s="265" t="str">
        <f t="shared" si="80"/>
        <v>-</v>
      </c>
      <c r="Q147" s="266" t="str">
        <f t="shared" si="81"/>
        <v>-</v>
      </c>
      <c r="R147" s="267" t="str">
        <f t="shared" si="82"/>
        <v>-</v>
      </c>
      <c r="S147" s="268" t="str">
        <f t="shared" si="83"/>
        <v>-</v>
      </c>
      <c r="T147" s="269" t="str">
        <f t="shared" si="12"/>
        <v/>
      </c>
      <c r="U147" s="221">
        <f t="shared" si="13"/>
        <v>47</v>
      </c>
      <c r="V147" s="220" t="str">
        <f t="shared" si="42"/>
        <v>-</v>
      </c>
      <c r="W147" s="221" t="str">
        <f t="shared" si="43"/>
        <v>-</v>
      </c>
      <c r="X147" s="221" t="str">
        <f t="shared" si="14"/>
        <v>-</v>
      </c>
      <c r="Y147" s="221" t="str">
        <f t="shared" si="15"/>
        <v>-</v>
      </c>
      <c r="Z147" s="270">
        <f t="shared" si="44"/>
        <v>0.1</v>
      </c>
      <c r="AA147" s="271" t="str">
        <f>IFERROR(IF(V146=1,AA$100*EXP(-(LN(2)/$D$65+0.04)*X146)*EXP(-(LN(2)/$D$65+0.1)*Y146),IF(V146=2,AA$100*EXP(-(LN(2)/$D$65+0.04)*(VLOOKUP(($F$16-$F$15)-1,U$99:Y146,4,FALSE)))*EXP(-(LN(2)/$D$65+0.1)*(VLOOKUP(($F$16-$F$15)-1,U$99:Y146,5,FALSE)))*EXP(-(LN(2)/$D$65+0.04)*X146)*EXP(-(LN(2)/$D$65+0.1)*Y146),IF(V146=3,AA$100*EXP(-(LN(2)/$D$65+0.04)*(VLOOKUP(($F$16-$F$15)-1,U$99:Y146,4,FALSE)))*EXP(-(LN(2)/$D$65+0.1)*(VLOOKUP(($F$16-$F$15)-1,U$99:Y146,5,FALSE)))*EXP(-(LN(2)/$D$65+0.04)*(VLOOKUP(($F$16-$F$15)*2-1,U$99:Y146,4,FALSE)))*EXP(-(LN(2)/$D$65+0.1)*(VLOOKUP(($F$16-$F$15)*2-1,U$99:Y146,5,FALSE)))*EXP(-(LN(2)/$D$65+0.04)*X146)*EXP(-(LN(2)/$D$65+0.1)*Y146),"-"))),"-")</f>
        <v>-</v>
      </c>
      <c r="AB147" s="271" t="str">
        <f>IFERROR(IF(V147=1,AB$100*EXP(-(LN(2)/$D$65+0.04)*X147)*EXP(-(LN(2)/$D$65+0.1)*Y147),IF(V147=2,AB$100*EXP(-(LN(2)/$D$65+0.04)*(VLOOKUP(($F$16-$F$15)-1,U$100:Y147,4,FALSE)))*EXP(-(LN(2)/$D$65+0.1)*(VLOOKUP(($F$16-$F$15)-1,U$100:Y147,5,FALSE)))*EXP(-(LN(2)/$D$65+0.04)*X147)*EXP(-(LN(2)/$D$65+0.1)*Y147),IF(V147=3,AB$100*EXP(-(LN(2)/$D$65+0.04)*(VLOOKUP(($F$16-$F$15)-1,U$100:Y147,4,FALSE)))*EXP(-(LN(2)/$D$65+0.1)*(VLOOKUP(($F$16-$F$15)-1,U$100:Y147,5,FALSE)))*EXP(-(LN(2)/$D$65+0.04)*(VLOOKUP(($F$16-$F$15)*2-1,U$100:Y147,4,FALSE)))*EXP(-(LN(2)/$D$65+0.1)*(VLOOKUP(($F$16-$F$15)*2-1,U$100:Y147,5,FALSE)))*EXP(-(LN(2)/$D$65+0.04)*X147)*EXP(-(LN(2)/$D$65+0.1)*Y147),"-"))),"-")</f>
        <v>-</v>
      </c>
      <c r="AC147" s="224">
        <f t="shared" si="45"/>
        <v>47</v>
      </c>
      <c r="AD147" s="223" t="str">
        <f t="shared" si="17"/>
        <v>-</v>
      </c>
      <c r="AE147" s="224" t="str">
        <f t="shared" si="46"/>
        <v>-</v>
      </c>
      <c r="AF147" s="224" t="str">
        <f t="shared" si="18"/>
        <v>-</v>
      </c>
      <c r="AG147" s="224" t="str">
        <f t="shared" si="19"/>
        <v>-</v>
      </c>
      <c r="AH147" s="272">
        <f t="shared" si="47"/>
        <v>0.1</v>
      </c>
      <c r="AI147" s="271" t="str">
        <f>IFERROR(IF(AD146=1,AI$100*EXP(-(LN(2)/$D$65+0.04)*AF146)*EXP(-(LN(2)/$D$65+0.1)*AG146),IF(AD146=2,AI$100*EXP(-(LN(2)/$D$65+0.04)*(VLOOKUP(($F$16-$F$15)-1,AC$99:AG146,4,FALSE)))*EXP(-(LN(2)/$D$65+0.1)*(VLOOKUP(($F$16-$F$15)-1,AC$99:AG146,5,FALSE)))*EXP(-(LN(2)/$D$65+0.04)*AF146)*EXP(-(LN(2)/$D$65+0.1)*AG146),IF(AD146=3,AI$100*EXP(-(LN(2)/$D$65+0.04)*(VLOOKUP(($F$16-$F$15)-1,AC$99:AG146,4,FALSE)))*EXP(-(LN(2)/$D$65+0.1)*(VLOOKUP(($F$16-$F$15)-1,AC$99:AG146,5,FALSE)))*EXP(-(LN(2)/$D$65+0.04)*(VLOOKUP(($F$16-$F$15)*2-1,AC$99:AG146,4,FALSE)))*EXP(-(LN(2)/$D$65+0.1)*(VLOOKUP(($F$16-$F$15)*2-1,AC$99:AG146,5,FALSE)))*EXP(-(LN(2)/$D$65+0.04)*AF146)*EXP(-(LN(2)/$D$65+0.1)*AG146),"-"))),"-")</f>
        <v>-</v>
      </c>
      <c r="AJ147" s="271" t="str">
        <f>IFERROR(IF(AD147=1,AJ$100*EXP(-(LN(2)/$D$65+0.04)*AF147)*EXP(-(LN(2)/$D$65+0.1)*AG147),IF(AD147=2,AJ$100*EXP(-(LN(2)/$D$65+0.04)*(VLOOKUP(($F$16-$F$15)-1,AC$100:AG147,4,FALSE)))*EXP(-(LN(2)/$D$65+0.1)*(VLOOKUP(($F$16-$F$15)-1,AC$100:AG147,5,FALSE)))*EXP(-(LN(2)/$D$65+0.04)*AF147)*EXP(-(LN(2)/$D$65+0.1)*AG147),IF(AD147=3,AJ$100*EXP(-(LN(2)/$D$65+0.04)*(VLOOKUP(($F$16-$F$15)-1,AC$100:AG147,4,FALSE)))*EXP(-(LN(2)/$D$65+0.1)*(VLOOKUP(($F$16-$F$15)-1,AC$100:AG147,5,FALSE)))*EXP(-(LN(2)/$D$65+0.04)*(VLOOKUP(($F$16-$F$15)*2-1,AC$100:AG147,4,FALSE)))*EXP(-(LN(2)/$D$65+0.1)*(VLOOKUP(($F$16-$F$15)*2-1,AC$100:AG147,5,FALSE)))*EXP(-(LN(2)/$D$65+0.04)*AF147)*EXP(-(LN(2)/$D$65+0.1)*AG147),"-"))),"-")</f>
        <v>-</v>
      </c>
      <c r="AK147" s="227">
        <f t="shared" si="49"/>
        <v>47</v>
      </c>
      <c r="AL147" s="226" t="str">
        <f t="shared" si="21"/>
        <v>-</v>
      </c>
      <c r="AM147" s="227" t="str">
        <f t="shared" si="50"/>
        <v>-</v>
      </c>
      <c r="AN147" s="227" t="str">
        <f t="shared" si="51"/>
        <v>-</v>
      </c>
      <c r="AO147" s="227" t="str">
        <f t="shared" si="22"/>
        <v>-</v>
      </c>
      <c r="AP147" s="273">
        <f t="shared" si="52"/>
        <v>0.1</v>
      </c>
      <c r="AQ147" s="271" t="str">
        <f>IFERROR(IF(AL146=1,AQ$100*EXP(-(LN(2)/$D$65+0.04)*AN146)*EXP(-(LN(2)/$D$65+0.1)*AO146),IF(AL146=2,AQ$100*EXP(-(LN(2)/$D$65+0.04)*(VLOOKUP(($F$16-$F$15)-1,AK$99:AO146,4,FALSE)))*EXP(-(LN(2)/$D$65+0.1)*(VLOOKUP(($F$16-$F$15)-1,AK$99:AO146,5,FALSE)))*EXP(-(LN(2)/$D$65+0.04)*AN146)*EXP(-(LN(2)/$D$65+0.1)*AO146),IF(AL146=3,AQ$100*EXP(-(LN(2)/$D$65+0.04)*(VLOOKUP(($F$16-$F$15)-1,AK$99:AO146,4,FALSE)))*EXP(-(LN(2)/$D$65+0.1)*(VLOOKUP(($F$16-$F$15)-1,AK$99:AO146,5,FALSE)))*EXP(-(LN(2)/$D$65+0.04)*(VLOOKUP(($F$16-$F$15)*2-1,AK$99:AO146,4,FALSE)))*EXP(-(LN(2)/$D$65+0.1)*(VLOOKUP(($F$16-$F$15)*2-1,AK$99:AO146,5,FALSE)))*EXP(-(LN(2)/$D$65+0.04)*AN146)*EXP(-(LN(2)/$D$65+0.1)*AO146),"-"))),"-")</f>
        <v>-</v>
      </c>
      <c r="AR147" s="271" t="str">
        <f>IFERROR(IF(AL147=1,AR$100*EXP(-(LN(2)/$D$65+0.04)*AN147)*EXP(-(LN(2)/$D$65+0.1)*AO147),IF(AL147=2,AR$100*EXP(-(LN(2)/$D$65+0.04)*(VLOOKUP(($F$16-$F$15)-1,AK$100:AO147,4,FALSE)))*EXP(-(LN(2)/$D$65+0.1)*(VLOOKUP(($F$16-$F$15)-1,AK$100:AO147,5,FALSE)))*EXP(-(LN(2)/$D$65+0.04)*AN147)*EXP(-(LN(2)/$D$65+0.1)*AO147),IF(AL147=3,AR$100*EXP(-(LN(2)/$D$65+0.04)*(VLOOKUP(($F$16-$F$15)-1,AK$100:AO147,4,FALSE)))*EXP(-(LN(2)/$D$65+0.1)*(VLOOKUP(($F$16-$F$15)-1,AK$100:AO147,5,FALSE)))*EXP(-(LN(2)/$D$65+0.04)*(VLOOKUP(($F$16-$F$15)*2-1,AK$100:AO147,4,FALSE)))*EXP(-(LN(2)/$D$65+0.1)*(VLOOKUP(($F$16-$F$15)*2-1,AK$100:AO147,5,FALSE)))*EXP(-(LN(2)/$D$65+0.04)*AN147)*EXP(-(LN(2)/$D$65+0.1)*AO147),"-"))),"-")</f>
        <v>-</v>
      </c>
      <c r="AS147" s="274">
        <f t="shared" si="23"/>
        <v>0</v>
      </c>
      <c r="AT147" s="274">
        <f t="shared" si="24"/>
        <v>0</v>
      </c>
      <c r="AU147" s="274">
        <f t="shared" si="25"/>
        <v>0</v>
      </c>
      <c r="AV147" s="190">
        <f>IF($B147&lt;$F$22,SUM($T$100:$T147),"")</f>
        <v>0</v>
      </c>
      <c r="AW147" s="190" t="str">
        <f t="shared" si="84"/>
        <v>-</v>
      </c>
      <c r="AX147" s="190" t="str">
        <f t="shared" si="56"/>
        <v/>
      </c>
      <c r="AY147"/>
      <c r="AZ147" s="190" t="str">
        <f ca="1">IF(ISNUMBER(OFFSET(AV147,-$F$21,0)),SUM(OFFSET($T$100,$F$21,0):$T147),"")</f>
        <v/>
      </c>
      <c r="BA147" s="190" t="str">
        <f t="shared" ca="1" si="85"/>
        <v/>
      </c>
      <c r="BB147" s="190" t="str">
        <f t="shared" ca="1" si="70"/>
        <v/>
      </c>
      <c r="BC147" s="190"/>
      <c r="BD147" s="190" t="str">
        <f ca="1">IFERROR(IF(AND($B147&gt;=($F$16-$F$15),$B147&lt;$F$22+($F$16-$F$15)),SUM(OFFSET($T$100,($F$16-$F$15),0):$T147),""),"")</f>
        <v/>
      </c>
      <c r="BE147" s="190" t="str">
        <f t="shared" ca="1" si="58"/>
        <v/>
      </c>
      <c r="BF147" s="190" t="str">
        <f t="shared" ca="1" si="59"/>
        <v/>
      </c>
      <c r="BG147"/>
      <c r="BH147" s="190" t="str">
        <f ca="1">IF(ISNUMBER(OFFSET(BD147,-$F$21,0)),SUM(OFFSET($T$100,($F$16-$F$15+$F$21),0):$T147),"")</f>
        <v/>
      </c>
      <c r="BI147" s="190" t="str">
        <f t="shared" ca="1" si="86"/>
        <v/>
      </c>
      <c r="BJ147" s="190" t="str">
        <f t="shared" ca="1" si="60"/>
        <v/>
      </c>
      <c r="BK147" s="190"/>
      <c r="BL147" s="190" t="str">
        <f ca="1">IFERROR(IF(AND($B147&gt;=($F$17-$F$15),$B147&lt;$F$22+($F$17-$F$15)),SUM(OFFSET($T$100,($F$17-$F$15),0):$T147),""),"")</f>
        <v/>
      </c>
      <c r="BM147" s="190" t="str">
        <f t="shared" ca="1" si="87"/>
        <v/>
      </c>
      <c r="BN147" s="190" t="str">
        <f t="shared" ca="1" si="61"/>
        <v/>
      </c>
      <c r="BO147"/>
      <c r="BP147" s="190" t="str">
        <f ca="1">IF(ISNUMBER(OFFSET(BL147,-$F$21,0)),SUM(OFFSET($T$100,($F$17-$F$15+$F$21),0):$T147),"")</f>
        <v/>
      </c>
      <c r="BQ147" s="190" t="str">
        <f t="shared" ca="1" si="88"/>
        <v/>
      </c>
      <c r="BR147" s="190" t="str">
        <f t="shared" ca="1" si="63"/>
        <v/>
      </c>
      <c r="BS147" s="190"/>
      <c r="BT147"/>
      <c r="BU147"/>
      <c r="BV147"/>
      <c r="BY147" s="99"/>
      <c r="BZ147" s="99"/>
      <c r="CA147" s="280" t="str">
        <f t="shared" si="89"/>
        <v/>
      </c>
      <c r="CB147" s="71" t="str">
        <f t="shared" si="30"/>
        <v>-</v>
      </c>
      <c r="CC147" s="33"/>
      <c r="CD147" s="261" t="str">
        <f t="shared" si="32"/>
        <v/>
      </c>
      <c r="CE147" s="280" t="str">
        <f t="shared" si="90"/>
        <v>-</v>
      </c>
      <c r="CF147" s="71" t="str">
        <f t="shared" ca="1" si="91"/>
        <v>-</v>
      </c>
      <c r="CG147" s="33" t="str">
        <f t="shared" si="35"/>
        <v>47-48</v>
      </c>
      <c r="CH147" s="261" t="str">
        <f t="shared" ca="1" si="36"/>
        <v/>
      </c>
      <c r="CI147" s="99"/>
      <c r="CJ147" s="99"/>
      <c r="CK147" s="99"/>
      <c r="CL147" s="99"/>
      <c r="CM147" s="99"/>
      <c r="CN147" s="99"/>
      <c r="CO147" s="99"/>
    </row>
    <row r="148" spans="2:93" ht="13.5" customHeight="1" x14ac:dyDescent="0.2">
      <c r="B148" s="262">
        <v>48</v>
      </c>
      <c r="C148" s="237" t="str">
        <f t="shared" si="71"/>
        <v/>
      </c>
      <c r="D148" s="237" t="str">
        <f t="shared" si="66"/>
        <v>-</v>
      </c>
      <c r="E148" s="290" t="str">
        <f t="shared" si="37"/>
        <v/>
      </c>
      <c r="F148" s="264" t="str">
        <f t="shared" si="38"/>
        <v/>
      </c>
      <c r="G148" s="291" t="str">
        <f t="shared" si="39"/>
        <v/>
      </c>
      <c r="H148" s="240" t="str">
        <f t="shared" si="72"/>
        <v/>
      </c>
      <c r="I148" s="265" t="str">
        <f t="shared" si="73"/>
        <v/>
      </c>
      <c r="J148" s="265" t="str">
        <f t="shared" si="74"/>
        <v/>
      </c>
      <c r="K148" s="240" t="str">
        <f t="shared" si="75"/>
        <v/>
      </c>
      <c r="L148" s="265" t="str">
        <f t="shared" si="76"/>
        <v/>
      </c>
      <c r="M148" s="265" t="str">
        <f t="shared" si="77"/>
        <v/>
      </c>
      <c r="N148" s="240" t="str">
        <f t="shared" si="78"/>
        <v>-</v>
      </c>
      <c r="O148" s="265" t="str">
        <f t="shared" si="79"/>
        <v>-</v>
      </c>
      <c r="P148" s="265" t="str">
        <f t="shared" si="80"/>
        <v>-</v>
      </c>
      <c r="Q148" s="266" t="str">
        <f t="shared" si="81"/>
        <v>-</v>
      </c>
      <c r="R148" s="267" t="str">
        <f t="shared" si="82"/>
        <v>-</v>
      </c>
      <c r="S148" s="268" t="str">
        <f t="shared" si="83"/>
        <v>-</v>
      </c>
      <c r="T148" s="269" t="str">
        <f t="shared" si="12"/>
        <v/>
      </c>
      <c r="U148" s="221">
        <f t="shared" si="13"/>
        <v>48</v>
      </c>
      <c r="V148" s="220" t="str">
        <f t="shared" si="42"/>
        <v>-</v>
      </c>
      <c r="W148" s="221" t="str">
        <f t="shared" si="43"/>
        <v>-</v>
      </c>
      <c r="X148" s="221" t="str">
        <f t="shared" si="14"/>
        <v>-</v>
      </c>
      <c r="Y148" s="221" t="str">
        <f t="shared" si="15"/>
        <v>-</v>
      </c>
      <c r="Z148" s="270">
        <f t="shared" si="44"/>
        <v>0.1</v>
      </c>
      <c r="AA148" s="271" t="str">
        <f>IFERROR(IF(V147=1,AA$100*EXP(-(LN(2)/$D$65+0.04)*X147)*EXP(-(LN(2)/$D$65+0.1)*Y147),IF(V147=2,AA$100*EXP(-(LN(2)/$D$65+0.04)*(VLOOKUP(($F$16-$F$15)-1,U$99:Y147,4,FALSE)))*EXP(-(LN(2)/$D$65+0.1)*(VLOOKUP(($F$16-$F$15)-1,U$99:Y147,5,FALSE)))*EXP(-(LN(2)/$D$65+0.04)*X147)*EXP(-(LN(2)/$D$65+0.1)*Y147),IF(V147=3,AA$100*EXP(-(LN(2)/$D$65+0.04)*(VLOOKUP(($F$16-$F$15)-1,U$99:Y147,4,FALSE)))*EXP(-(LN(2)/$D$65+0.1)*(VLOOKUP(($F$16-$F$15)-1,U$99:Y147,5,FALSE)))*EXP(-(LN(2)/$D$65+0.04)*(VLOOKUP(($F$16-$F$15)*2-1,U$99:Y147,4,FALSE)))*EXP(-(LN(2)/$D$65+0.1)*(VLOOKUP(($F$16-$F$15)*2-1,U$99:Y147,5,FALSE)))*EXP(-(LN(2)/$D$65+0.04)*X147)*EXP(-(LN(2)/$D$65+0.1)*Y147),"-"))),"-")</f>
        <v>-</v>
      </c>
      <c r="AB148" s="271" t="str">
        <f>IFERROR(IF(V148=1,AB$100*EXP(-(LN(2)/$D$65+0.04)*X148)*EXP(-(LN(2)/$D$65+0.1)*Y148),IF(V148=2,AB$100*EXP(-(LN(2)/$D$65+0.04)*(VLOOKUP(($F$16-$F$15)-1,U$100:Y148,4,FALSE)))*EXP(-(LN(2)/$D$65+0.1)*(VLOOKUP(($F$16-$F$15)-1,U$100:Y148,5,FALSE)))*EXP(-(LN(2)/$D$65+0.04)*X148)*EXP(-(LN(2)/$D$65+0.1)*Y148),IF(V148=3,AB$100*EXP(-(LN(2)/$D$65+0.04)*(VLOOKUP(($F$16-$F$15)-1,U$100:Y148,4,FALSE)))*EXP(-(LN(2)/$D$65+0.1)*(VLOOKUP(($F$16-$F$15)-1,U$100:Y148,5,FALSE)))*EXP(-(LN(2)/$D$65+0.04)*(VLOOKUP(($F$16-$F$15)*2-1,U$100:Y148,4,FALSE)))*EXP(-(LN(2)/$D$65+0.1)*(VLOOKUP(($F$16-$F$15)*2-1,U$100:Y148,5,FALSE)))*EXP(-(LN(2)/$D$65+0.04)*X148)*EXP(-(LN(2)/$D$65+0.1)*Y148),"-"))),"-")</f>
        <v>-</v>
      </c>
      <c r="AC148" s="224">
        <f t="shared" si="45"/>
        <v>48</v>
      </c>
      <c r="AD148" s="223" t="str">
        <f t="shared" si="17"/>
        <v>-</v>
      </c>
      <c r="AE148" s="224" t="str">
        <f t="shared" si="46"/>
        <v>-</v>
      </c>
      <c r="AF148" s="224" t="str">
        <f t="shared" si="18"/>
        <v>-</v>
      </c>
      <c r="AG148" s="224" t="str">
        <f t="shared" si="19"/>
        <v>-</v>
      </c>
      <c r="AH148" s="272">
        <f t="shared" si="47"/>
        <v>0.1</v>
      </c>
      <c r="AI148" s="271" t="str">
        <f>IFERROR(IF(AD147=1,AI$100*EXP(-(LN(2)/$D$65+0.04)*AF147)*EXP(-(LN(2)/$D$65+0.1)*AG147),IF(AD147=2,AI$100*EXP(-(LN(2)/$D$65+0.04)*(VLOOKUP(($F$16-$F$15)-1,AC$99:AG147,4,FALSE)))*EXP(-(LN(2)/$D$65+0.1)*(VLOOKUP(($F$16-$F$15)-1,AC$99:AG147,5,FALSE)))*EXP(-(LN(2)/$D$65+0.04)*AF147)*EXP(-(LN(2)/$D$65+0.1)*AG147),IF(AD147=3,AI$100*EXP(-(LN(2)/$D$65+0.04)*(VLOOKUP(($F$16-$F$15)-1,AC$99:AG147,4,FALSE)))*EXP(-(LN(2)/$D$65+0.1)*(VLOOKUP(($F$16-$F$15)-1,AC$99:AG147,5,FALSE)))*EXP(-(LN(2)/$D$65+0.04)*(VLOOKUP(($F$16-$F$15)*2-1,AC$99:AG147,4,FALSE)))*EXP(-(LN(2)/$D$65+0.1)*(VLOOKUP(($F$16-$F$15)*2-1,AC$99:AG147,5,FALSE)))*EXP(-(LN(2)/$D$65+0.04)*AF147)*EXP(-(LN(2)/$D$65+0.1)*AG147),"-"))),"-")</f>
        <v>-</v>
      </c>
      <c r="AJ148" s="271" t="str">
        <f>IFERROR(IF(AD148=1,AJ$100*EXP(-(LN(2)/$D$65+0.04)*AF148)*EXP(-(LN(2)/$D$65+0.1)*AG148),IF(AD148=2,AJ$100*EXP(-(LN(2)/$D$65+0.04)*(VLOOKUP(($F$16-$F$15)-1,AC$100:AG148,4,FALSE)))*EXP(-(LN(2)/$D$65+0.1)*(VLOOKUP(($F$16-$F$15)-1,AC$100:AG148,5,FALSE)))*EXP(-(LN(2)/$D$65+0.04)*AF148)*EXP(-(LN(2)/$D$65+0.1)*AG148),IF(AD148=3,AJ$100*EXP(-(LN(2)/$D$65+0.04)*(VLOOKUP(($F$16-$F$15)-1,AC$100:AG148,4,FALSE)))*EXP(-(LN(2)/$D$65+0.1)*(VLOOKUP(($F$16-$F$15)-1,AC$100:AG148,5,FALSE)))*EXP(-(LN(2)/$D$65+0.04)*(VLOOKUP(($F$16-$F$15)*2-1,AC$100:AG148,4,FALSE)))*EXP(-(LN(2)/$D$65+0.1)*(VLOOKUP(($F$16-$F$15)*2-1,AC$100:AG148,5,FALSE)))*EXP(-(LN(2)/$D$65+0.04)*AF148)*EXP(-(LN(2)/$D$65+0.1)*AG148),"-"))),"-")</f>
        <v>-</v>
      </c>
      <c r="AK148" s="227">
        <f t="shared" si="49"/>
        <v>48</v>
      </c>
      <c r="AL148" s="226" t="str">
        <f t="shared" si="21"/>
        <v>-</v>
      </c>
      <c r="AM148" s="227" t="str">
        <f t="shared" si="50"/>
        <v>-</v>
      </c>
      <c r="AN148" s="227" t="str">
        <f t="shared" si="51"/>
        <v>-</v>
      </c>
      <c r="AO148" s="227" t="str">
        <f t="shared" si="22"/>
        <v>-</v>
      </c>
      <c r="AP148" s="273">
        <f t="shared" si="52"/>
        <v>0.1</v>
      </c>
      <c r="AQ148" s="271" t="str">
        <f>IFERROR(IF(AL147=1,AQ$100*EXP(-(LN(2)/$D$65+0.04)*AN147)*EXP(-(LN(2)/$D$65+0.1)*AO147),IF(AL147=2,AQ$100*EXP(-(LN(2)/$D$65+0.04)*(VLOOKUP(($F$16-$F$15)-1,AK$99:AO147,4,FALSE)))*EXP(-(LN(2)/$D$65+0.1)*(VLOOKUP(($F$16-$F$15)-1,AK$99:AO147,5,FALSE)))*EXP(-(LN(2)/$D$65+0.04)*AN147)*EXP(-(LN(2)/$D$65+0.1)*AO147),IF(AL147=3,AQ$100*EXP(-(LN(2)/$D$65+0.04)*(VLOOKUP(($F$16-$F$15)-1,AK$99:AO147,4,FALSE)))*EXP(-(LN(2)/$D$65+0.1)*(VLOOKUP(($F$16-$F$15)-1,AK$99:AO147,5,FALSE)))*EXP(-(LN(2)/$D$65+0.04)*(VLOOKUP(($F$16-$F$15)*2-1,AK$99:AO147,4,FALSE)))*EXP(-(LN(2)/$D$65+0.1)*(VLOOKUP(($F$16-$F$15)*2-1,AK$99:AO147,5,FALSE)))*EXP(-(LN(2)/$D$65+0.04)*AN147)*EXP(-(LN(2)/$D$65+0.1)*AO147),"-"))),"-")</f>
        <v>-</v>
      </c>
      <c r="AR148" s="271" t="str">
        <f>IFERROR(IF(AL148=1,AR$100*EXP(-(LN(2)/$D$65+0.04)*AN148)*EXP(-(LN(2)/$D$65+0.1)*AO148),IF(AL148=2,AR$100*EXP(-(LN(2)/$D$65+0.04)*(VLOOKUP(($F$16-$F$15)-1,AK$100:AO148,4,FALSE)))*EXP(-(LN(2)/$D$65+0.1)*(VLOOKUP(($F$16-$F$15)-1,AK$100:AO148,5,FALSE)))*EXP(-(LN(2)/$D$65+0.04)*AN148)*EXP(-(LN(2)/$D$65+0.1)*AO148),IF(AL148=3,AR$100*EXP(-(LN(2)/$D$65+0.04)*(VLOOKUP(($F$16-$F$15)-1,AK$100:AO148,4,FALSE)))*EXP(-(LN(2)/$D$65+0.1)*(VLOOKUP(($F$16-$F$15)-1,AK$100:AO148,5,FALSE)))*EXP(-(LN(2)/$D$65+0.04)*(VLOOKUP(($F$16-$F$15)*2-1,AK$100:AO148,4,FALSE)))*EXP(-(LN(2)/$D$65+0.1)*(VLOOKUP(($F$16-$F$15)*2-1,AK$100:AO148,5,FALSE)))*EXP(-(LN(2)/$D$65+0.04)*AN148)*EXP(-(LN(2)/$D$65+0.1)*AO148),"-"))),"-")</f>
        <v>-</v>
      </c>
      <c r="AS148" s="274">
        <f t="shared" si="23"/>
        <v>0</v>
      </c>
      <c r="AT148" s="274">
        <f t="shared" si="24"/>
        <v>0</v>
      </c>
      <c r="AU148" s="274">
        <f t="shared" si="25"/>
        <v>0</v>
      </c>
      <c r="AV148" s="190">
        <f>IF($B148&lt;$F$22,SUM($T$100:$T148),"")</f>
        <v>0</v>
      </c>
      <c r="AW148" s="190" t="str">
        <f t="shared" si="84"/>
        <v>-</v>
      </c>
      <c r="AX148" s="190" t="str">
        <f t="shared" si="56"/>
        <v/>
      </c>
      <c r="AY148"/>
      <c r="AZ148" s="190" t="str">
        <f ca="1">IF(ISNUMBER(OFFSET(AV148,-$F$21,0)),SUM(OFFSET($T$100,$F$21,0):$T148),"")</f>
        <v/>
      </c>
      <c r="BA148" s="190" t="str">
        <f t="shared" ca="1" si="85"/>
        <v/>
      </c>
      <c r="BB148" s="190" t="str">
        <f t="shared" ca="1" si="70"/>
        <v/>
      </c>
      <c r="BC148" s="190"/>
      <c r="BD148" s="190" t="str">
        <f ca="1">IFERROR(IF(AND($B148&gt;=($F$16-$F$15),$B148&lt;$F$22+($F$16-$F$15)),SUM(OFFSET($T$100,($F$16-$F$15),0):$T148),""),"")</f>
        <v/>
      </c>
      <c r="BE148" s="190" t="str">
        <f t="shared" ca="1" si="58"/>
        <v/>
      </c>
      <c r="BF148" s="190" t="str">
        <f t="shared" ca="1" si="59"/>
        <v/>
      </c>
      <c r="BG148"/>
      <c r="BH148" s="190" t="str">
        <f ca="1">IF(ISNUMBER(OFFSET(BD148,-$F$21,0)),SUM(OFFSET($T$100,($F$16-$F$15+$F$21),0):$T148),"")</f>
        <v/>
      </c>
      <c r="BI148" s="190" t="str">
        <f t="shared" ca="1" si="86"/>
        <v/>
      </c>
      <c r="BJ148" s="190" t="str">
        <f t="shared" ca="1" si="60"/>
        <v/>
      </c>
      <c r="BK148" s="190"/>
      <c r="BL148" s="190" t="str">
        <f ca="1">IFERROR(IF(AND($B148&gt;=($F$17-$F$15),$B148&lt;$F$22+($F$17-$F$15)),SUM(OFFSET($T$100,($F$17-$F$15),0):$T148),""),"")</f>
        <v/>
      </c>
      <c r="BM148" s="190" t="str">
        <f t="shared" ca="1" si="87"/>
        <v/>
      </c>
      <c r="BN148" s="190" t="str">
        <f t="shared" ca="1" si="61"/>
        <v/>
      </c>
      <c r="BO148"/>
      <c r="BP148" s="190" t="str">
        <f ca="1">IF(ISNUMBER(OFFSET(BL148,-$F$21,0)),SUM(OFFSET($T$100,($F$17-$F$15+$F$21),0):$T148),"")</f>
        <v/>
      </c>
      <c r="BQ148" s="190" t="str">
        <f t="shared" ca="1" si="88"/>
        <v/>
      </c>
      <c r="BR148" s="190" t="str">
        <f t="shared" ca="1" si="63"/>
        <v/>
      </c>
      <c r="BS148" s="190"/>
      <c r="BT148"/>
      <c r="BU148"/>
      <c r="BV148"/>
      <c r="BY148" s="99"/>
      <c r="BZ148" s="99"/>
      <c r="CA148" s="280" t="str">
        <f t="shared" si="89"/>
        <v/>
      </c>
      <c r="CB148" s="71" t="str">
        <f t="shared" si="30"/>
        <v>-</v>
      </c>
      <c r="CC148" s="33"/>
      <c r="CD148" s="261" t="str">
        <f t="shared" si="32"/>
        <v/>
      </c>
      <c r="CE148" s="280" t="str">
        <f t="shared" si="90"/>
        <v>-</v>
      </c>
      <c r="CF148" s="71" t="str">
        <f t="shared" ca="1" si="91"/>
        <v>-</v>
      </c>
      <c r="CG148" s="33" t="str">
        <f t="shared" si="35"/>
        <v>48-49</v>
      </c>
      <c r="CH148" s="261" t="str">
        <f t="shared" ca="1" si="36"/>
        <v/>
      </c>
      <c r="CI148" s="99"/>
      <c r="CJ148" s="99"/>
      <c r="CK148" s="99"/>
      <c r="CL148" s="99"/>
      <c r="CM148" s="99"/>
      <c r="CN148" s="99"/>
      <c r="CO148" s="99"/>
    </row>
    <row r="149" spans="2:93" ht="13.5" customHeight="1" x14ac:dyDescent="0.2">
      <c r="B149" s="262">
        <v>49</v>
      </c>
      <c r="C149" s="237" t="str">
        <f t="shared" si="71"/>
        <v/>
      </c>
      <c r="D149" s="237" t="str">
        <f t="shared" si="66"/>
        <v>-</v>
      </c>
      <c r="E149" s="290" t="str">
        <f t="shared" si="37"/>
        <v/>
      </c>
      <c r="F149" s="264" t="str">
        <f t="shared" si="38"/>
        <v/>
      </c>
      <c r="G149" s="291" t="str">
        <f t="shared" si="39"/>
        <v/>
      </c>
      <c r="H149" s="240" t="str">
        <f t="shared" si="72"/>
        <v/>
      </c>
      <c r="I149" s="265" t="str">
        <f t="shared" si="73"/>
        <v/>
      </c>
      <c r="J149" s="265" t="str">
        <f t="shared" si="74"/>
        <v/>
      </c>
      <c r="K149" s="240" t="str">
        <f t="shared" si="75"/>
        <v/>
      </c>
      <c r="L149" s="265" t="str">
        <f t="shared" si="76"/>
        <v/>
      </c>
      <c r="M149" s="265" t="str">
        <f t="shared" si="77"/>
        <v/>
      </c>
      <c r="N149" s="240" t="str">
        <f t="shared" si="78"/>
        <v>-</v>
      </c>
      <c r="O149" s="265" t="str">
        <f t="shared" si="79"/>
        <v>-</v>
      </c>
      <c r="P149" s="265" t="str">
        <f t="shared" si="80"/>
        <v>-</v>
      </c>
      <c r="Q149" s="266" t="str">
        <f t="shared" si="81"/>
        <v>-</v>
      </c>
      <c r="R149" s="267" t="str">
        <f t="shared" si="82"/>
        <v>-</v>
      </c>
      <c r="S149" s="268" t="str">
        <f t="shared" si="83"/>
        <v>-</v>
      </c>
      <c r="T149" s="269" t="str">
        <f t="shared" si="12"/>
        <v/>
      </c>
      <c r="U149" s="221">
        <f t="shared" si="13"/>
        <v>49</v>
      </c>
      <c r="V149" s="220" t="str">
        <f t="shared" si="42"/>
        <v>-</v>
      </c>
      <c r="W149" s="221" t="str">
        <f t="shared" si="43"/>
        <v>-</v>
      </c>
      <c r="X149" s="221" t="str">
        <f t="shared" si="14"/>
        <v>-</v>
      </c>
      <c r="Y149" s="221" t="str">
        <f t="shared" si="15"/>
        <v>-</v>
      </c>
      <c r="Z149" s="270">
        <f t="shared" si="44"/>
        <v>0.1</v>
      </c>
      <c r="AA149" s="271" t="str">
        <f>IFERROR(IF(V148=1,AA$100*EXP(-(LN(2)/$D$65+0.04)*X148)*EXP(-(LN(2)/$D$65+0.1)*Y148),IF(V148=2,AA$100*EXP(-(LN(2)/$D$65+0.04)*(VLOOKUP(($F$16-$F$15)-1,U$99:Y148,4,FALSE)))*EXP(-(LN(2)/$D$65+0.1)*(VLOOKUP(($F$16-$F$15)-1,U$99:Y148,5,FALSE)))*EXP(-(LN(2)/$D$65+0.04)*X148)*EXP(-(LN(2)/$D$65+0.1)*Y148),IF(V148=3,AA$100*EXP(-(LN(2)/$D$65+0.04)*(VLOOKUP(($F$16-$F$15)-1,U$99:Y148,4,FALSE)))*EXP(-(LN(2)/$D$65+0.1)*(VLOOKUP(($F$16-$F$15)-1,U$99:Y148,5,FALSE)))*EXP(-(LN(2)/$D$65+0.04)*(VLOOKUP(($F$16-$F$15)*2-1,U$99:Y148,4,FALSE)))*EXP(-(LN(2)/$D$65+0.1)*(VLOOKUP(($F$16-$F$15)*2-1,U$99:Y148,5,FALSE)))*EXP(-(LN(2)/$D$65+0.04)*X148)*EXP(-(LN(2)/$D$65+0.1)*Y148),"-"))),"-")</f>
        <v>-</v>
      </c>
      <c r="AB149" s="271" t="str">
        <f>IFERROR(IF(V149=1,AB$100*EXP(-(LN(2)/$D$65+0.04)*X149)*EXP(-(LN(2)/$D$65+0.1)*Y149),IF(V149=2,AB$100*EXP(-(LN(2)/$D$65+0.04)*(VLOOKUP(($F$16-$F$15)-1,U$100:Y149,4,FALSE)))*EXP(-(LN(2)/$D$65+0.1)*(VLOOKUP(($F$16-$F$15)-1,U$100:Y149,5,FALSE)))*EXP(-(LN(2)/$D$65+0.04)*X149)*EXP(-(LN(2)/$D$65+0.1)*Y149),IF(V149=3,AB$100*EXP(-(LN(2)/$D$65+0.04)*(VLOOKUP(($F$16-$F$15)-1,U$100:Y149,4,FALSE)))*EXP(-(LN(2)/$D$65+0.1)*(VLOOKUP(($F$16-$F$15)-1,U$100:Y149,5,FALSE)))*EXP(-(LN(2)/$D$65+0.04)*(VLOOKUP(($F$16-$F$15)*2-1,U$100:Y149,4,FALSE)))*EXP(-(LN(2)/$D$65+0.1)*(VLOOKUP(($F$16-$F$15)*2-1,U$100:Y149,5,FALSE)))*EXP(-(LN(2)/$D$65+0.04)*X149)*EXP(-(LN(2)/$D$65+0.1)*Y149),"-"))),"-")</f>
        <v>-</v>
      </c>
      <c r="AC149" s="224">
        <f t="shared" si="45"/>
        <v>49</v>
      </c>
      <c r="AD149" s="223" t="str">
        <f t="shared" si="17"/>
        <v>-</v>
      </c>
      <c r="AE149" s="224" t="str">
        <f t="shared" si="46"/>
        <v>-</v>
      </c>
      <c r="AF149" s="224" t="str">
        <f t="shared" si="18"/>
        <v>-</v>
      </c>
      <c r="AG149" s="224" t="str">
        <f t="shared" si="19"/>
        <v>-</v>
      </c>
      <c r="AH149" s="272">
        <f t="shared" si="47"/>
        <v>0.1</v>
      </c>
      <c r="AI149" s="271" t="str">
        <f>IFERROR(IF(AD148=1,AI$100*EXP(-(LN(2)/$D$65+0.04)*AF148)*EXP(-(LN(2)/$D$65+0.1)*AG148),IF(AD148=2,AI$100*EXP(-(LN(2)/$D$65+0.04)*(VLOOKUP(($F$16-$F$15)-1,AC$99:AG148,4,FALSE)))*EXP(-(LN(2)/$D$65+0.1)*(VLOOKUP(($F$16-$F$15)-1,AC$99:AG148,5,FALSE)))*EXP(-(LN(2)/$D$65+0.04)*AF148)*EXP(-(LN(2)/$D$65+0.1)*AG148),IF(AD148=3,AI$100*EXP(-(LN(2)/$D$65+0.04)*(VLOOKUP(($F$16-$F$15)-1,AC$99:AG148,4,FALSE)))*EXP(-(LN(2)/$D$65+0.1)*(VLOOKUP(($F$16-$F$15)-1,AC$99:AG148,5,FALSE)))*EXP(-(LN(2)/$D$65+0.04)*(VLOOKUP(($F$16-$F$15)*2-1,AC$99:AG148,4,FALSE)))*EXP(-(LN(2)/$D$65+0.1)*(VLOOKUP(($F$16-$F$15)*2-1,AC$99:AG148,5,FALSE)))*EXP(-(LN(2)/$D$65+0.04)*AF148)*EXP(-(LN(2)/$D$65+0.1)*AG148),"-"))),"-")</f>
        <v>-</v>
      </c>
      <c r="AJ149" s="271" t="str">
        <f>IFERROR(IF(AD149=1,AJ$100*EXP(-(LN(2)/$D$65+0.04)*AF149)*EXP(-(LN(2)/$D$65+0.1)*AG149),IF(AD149=2,AJ$100*EXP(-(LN(2)/$D$65+0.04)*(VLOOKUP(($F$16-$F$15)-1,AC$100:AG149,4,FALSE)))*EXP(-(LN(2)/$D$65+0.1)*(VLOOKUP(($F$16-$F$15)-1,AC$100:AG149,5,FALSE)))*EXP(-(LN(2)/$D$65+0.04)*AF149)*EXP(-(LN(2)/$D$65+0.1)*AG149),IF(AD149=3,AJ$100*EXP(-(LN(2)/$D$65+0.04)*(VLOOKUP(($F$16-$F$15)-1,AC$100:AG149,4,FALSE)))*EXP(-(LN(2)/$D$65+0.1)*(VLOOKUP(($F$16-$F$15)-1,AC$100:AG149,5,FALSE)))*EXP(-(LN(2)/$D$65+0.04)*(VLOOKUP(($F$16-$F$15)*2-1,AC$100:AG149,4,FALSE)))*EXP(-(LN(2)/$D$65+0.1)*(VLOOKUP(($F$16-$F$15)*2-1,AC$100:AG149,5,FALSE)))*EXP(-(LN(2)/$D$65+0.04)*AF149)*EXP(-(LN(2)/$D$65+0.1)*AG149),"-"))),"-")</f>
        <v>-</v>
      </c>
      <c r="AK149" s="227">
        <f t="shared" si="49"/>
        <v>49</v>
      </c>
      <c r="AL149" s="226" t="str">
        <f t="shared" si="21"/>
        <v>-</v>
      </c>
      <c r="AM149" s="227" t="str">
        <f t="shared" si="50"/>
        <v>-</v>
      </c>
      <c r="AN149" s="227" t="str">
        <f t="shared" si="51"/>
        <v>-</v>
      </c>
      <c r="AO149" s="227" t="str">
        <f t="shared" si="22"/>
        <v>-</v>
      </c>
      <c r="AP149" s="273">
        <f t="shared" si="52"/>
        <v>0.1</v>
      </c>
      <c r="AQ149" s="271" t="str">
        <f>IFERROR(IF(AL148=1,AQ$100*EXP(-(LN(2)/$D$65+0.04)*AN148)*EXP(-(LN(2)/$D$65+0.1)*AO148),IF(AL148=2,AQ$100*EXP(-(LN(2)/$D$65+0.04)*(VLOOKUP(($F$16-$F$15)-1,AK$99:AO148,4,FALSE)))*EXP(-(LN(2)/$D$65+0.1)*(VLOOKUP(($F$16-$F$15)-1,AK$99:AO148,5,FALSE)))*EXP(-(LN(2)/$D$65+0.04)*AN148)*EXP(-(LN(2)/$D$65+0.1)*AO148),IF(AL148=3,AQ$100*EXP(-(LN(2)/$D$65+0.04)*(VLOOKUP(($F$16-$F$15)-1,AK$99:AO148,4,FALSE)))*EXP(-(LN(2)/$D$65+0.1)*(VLOOKUP(($F$16-$F$15)-1,AK$99:AO148,5,FALSE)))*EXP(-(LN(2)/$D$65+0.04)*(VLOOKUP(($F$16-$F$15)*2-1,AK$99:AO148,4,FALSE)))*EXP(-(LN(2)/$D$65+0.1)*(VLOOKUP(($F$16-$F$15)*2-1,AK$99:AO148,5,FALSE)))*EXP(-(LN(2)/$D$65+0.04)*AN148)*EXP(-(LN(2)/$D$65+0.1)*AO148),"-"))),"-")</f>
        <v>-</v>
      </c>
      <c r="AR149" s="271" t="str">
        <f>IFERROR(IF(AL149=1,AR$100*EXP(-(LN(2)/$D$65+0.04)*AN149)*EXP(-(LN(2)/$D$65+0.1)*AO149),IF(AL149=2,AR$100*EXP(-(LN(2)/$D$65+0.04)*(VLOOKUP(($F$16-$F$15)-1,AK$100:AO149,4,FALSE)))*EXP(-(LN(2)/$D$65+0.1)*(VLOOKUP(($F$16-$F$15)-1,AK$100:AO149,5,FALSE)))*EXP(-(LN(2)/$D$65+0.04)*AN149)*EXP(-(LN(2)/$D$65+0.1)*AO149),IF(AL149=3,AR$100*EXP(-(LN(2)/$D$65+0.04)*(VLOOKUP(($F$16-$F$15)-1,AK$100:AO149,4,FALSE)))*EXP(-(LN(2)/$D$65+0.1)*(VLOOKUP(($F$16-$F$15)-1,AK$100:AO149,5,FALSE)))*EXP(-(LN(2)/$D$65+0.04)*(VLOOKUP(($F$16-$F$15)*2-1,AK$100:AO149,4,FALSE)))*EXP(-(LN(2)/$D$65+0.1)*(VLOOKUP(($F$16-$F$15)*2-1,AK$100:AO149,5,FALSE)))*EXP(-(LN(2)/$D$65+0.04)*AN149)*EXP(-(LN(2)/$D$65+0.1)*AO149),"-"))),"-")</f>
        <v>-</v>
      </c>
      <c r="AS149" s="274">
        <f t="shared" si="23"/>
        <v>0</v>
      </c>
      <c r="AT149" s="274">
        <f t="shared" si="24"/>
        <v>0</v>
      </c>
      <c r="AU149" s="274">
        <f t="shared" si="25"/>
        <v>0</v>
      </c>
      <c r="AV149" s="190">
        <f>IF($B149&lt;$F$22,SUM($T$100:$T149),"")</f>
        <v>0</v>
      </c>
      <c r="AW149" s="190" t="str">
        <f t="shared" si="84"/>
        <v>-</v>
      </c>
      <c r="AX149" s="190" t="str">
        <f t="shared" si="56"/>
        <v/>
      </c>
      <c r="AY149"/>
      <c r="AZ149" s="190" t="str">
        <f ca="1">IF(ISNUMBER(OFFSET(AV149,-$F$21,0)),SUM(OFFSET($T$100,$F$21,0):$T149),"")</f>
        <v/>
      </c>
      <c r="BA149" s="190" t="str">
        <f t="shared" ca="1" si="85"/>
        <v/>
      </c>
      <c r="BB149" s="190" t="str">
        <f t="shared" ca="1" si="70"/>
        <v/>
      </c>
      <c r="BC149" s="190"/>
      <c r="BD149" s="190" t="str">
        <f ca="1">IFERROR(IF(AND($B149&gt;=($F$16-$F$15),$B149&lt;$F$22+($F$16-$F$15)),SUM(OFFSET($T$100,($F$16-$F$15),0):$T149),""),"")</f>
        <v/>
      </c>
      <c r="BE149" s="190" t="str">
        <f t="shared" ca="1" si="58"/>
        <v/>
      </c>
      <c r="BF149" s="190" t="str">
        <f t="shared" ca="1" si="59"/>
        <v/>
      </c>
      <c r="BG149"/>
      <c r="BH149" s="190" t="str">
        <f ca="1">IF(ISNUMBER(OFFSET(BD149,-$F$21,0)),SUM(OFFSET($T$100,($F$16-$F$15+$F$21),0):$T149),"")</f>
        <v/>
      </c>
      <c r="BI149" s="190" t="str">
        <f t="shared" ca="1" si="86"/>
        <v/>
      </c>
      <c r="BJ149" s="190" t="str">
        <f t="shared" ca="1" si="60"/>
        <v/>
      </c>
      <c r="BK149" s="190"/>
      <c r="BL149" s="190" t="str">
        <f ca="1">IFERROR(IF(AND($B149&gt;=($F$17-$F$15),$B149&lt;$F$22+($F$17-$F$15)),SUM(OFFSET($T$100,($F$17-$F$15),0):$T149),""),"")</f>
        <v/>
      </c>
      <c r="BM149" s="190" t="str">
        <f t="shared" ca="1" si="87"/>
        <v/>
      </c>
      <c r="BN149" s="190" t="str">
        <f t="shared" ca="1" si="61"/>
        <v/>
      </c>
      <c r="BO149"/>
      <c r="BP149" s="190" t="str">
        <f ca="1">IF(ISNUMBER(OFFSET(BL149,-$F$21,0)),SUM(OFFSET($T$100,($F$17-$F$15+$F$21),0):$T149),"")</f>
        <v/>
      </c>
      <c r="BQ149" s="190" t="str">
        <f t="shared" ca="1" si="88"/>
        <v/>
      </c>
      <c r="BR149" s="190" t="str">
        <f t="shared" ca="1" si="63"/>
        <v/>
      </c>
      <c r="BS149" s="190"/>
      <c r="BT149"/>
      <c r="BU149"/>
      <c r="BV149"/>
      <c r="BY149" s="99"/>
      <c r="BZ149" s="99"/>
      <c r="CA149" s="280" t="str">
        <f t="shared" si="89"/>
        <v/>
      </c>
      <c r="CB149" s="71" t="str">
        <f t="shared" si="30"/>
        <v>-</v>
      </c>
      <c r="CC149" s="33"/>
      <c r="CD149" s="261" t="str">
        <f t="shared" si="32"/>
        <v/>
      </c>
      <c r="CE149" s="280" t="str">
        <f t="shared" si="90"/>
        <v>-</v>
      </c>
      <c r="CF149" s="71" t="str">
        <f t="shared" ca="1" si="91"/>
        <v>-</v>
      </c>
      <c r="CG149" s="33" t="str">
        <f t="shared" si="35"/>
        <v>49-50</v>
      </c>
      <c r="CH149" s="261" t="str">
        <f t="shared" ca="1" si="36"/>
        <v/>
      </c>
      <c r="CI149" s="99"/>
      <c r="CJ149" s="99"/>
      <c r="CK149" s="99"/>
      <c r="CL149" s="99"/>
      <c r="CM149" s="99"/>
      <c r="CN149" s="99"/>
      <c r="CO149" s="99"/>
    </row>
    <row r="150" spans="2:93" ht="13.5" customHeight="1" x14ac:dyDescent="0.2">
      <c r="B150" s="262">
        <v>50</v>
      </c>
      <c r="C150" s="237" t="str">
        <f t="shared" si="71"/>
        <v/>
      </c>
      <c r="D150" s="237" t="str">
        <f t="shared" si="66"/>
        <v>-</v>
      </c>
      <c r="E150" s="290" t="str">
        <f t="shared" si="37"/>
        <v/>
      </c>
      <c r="F150" s="264" t="str">
        <f t="shared" si="38"/>
        <v/>
      </c>
      <c r="G150" s="291" t="str">
        <f t="shared" si="39"/>
        <v/>
      </c>
      <c r="H150" s="240" t="str">
        <f t="shared" si="72"/>
        <v/>
      </c>
      <c r="I150" s="265" t="str">
        <f t="shared" si="73"/>
        <v/>
      </c>
      <c r="J150" s="265" t="str">
        <f t="shared" si="74"/>
        <v/>
      </c>
      <c r="K150" s="240" t="str">
        <f t="shared" si="75"/>
        <v/>
      </c>
      <c r="L150" s="265" t="str">
        <f t="shared" si="76"/>
        <v/>
      </c>
      <c r="M150" s="265" t="str">
        <f t="shared" si="77"/>
        <v/>
      </c>
      <c r="N150" s="240" t="str">
        <f t="shared" si="78"/>
        <v>-</v>
      </c>
      <c r="O150" s="265" t="str">
        <f t="shared" si="79"/>
        <v>-</v>
      </c>
      <c r="P150" s="265" t="str">
        <f t="shared" si="80"/>
        <v>-</v>
      </c>
      <c r="Q150" s="266" t="str">
        <f t="shared" si="81"/>
        <v>-</v>
      </c>
      <c r="R150" s="267" t="str">
        <f t="shared" si="82"/>
        <v>-</v>
      </c>
      <c r="S150" s="268" t="str">
        <f t="shared" si="83"/>
        <v>-</v>
      </c>
      <c r="T150" s="269" t="str">
        <f t="shared" si="12"/>
        <v/>
      </c>
      <c r="U150" s="221">
        <f t="shared" si="13"/>
        <v>50</v>
      </c>
      <c r="V150" s="220" t="str">
        <f t="shared" si="42"/>
        <v>-</v>
      </c>
      <c r="W150" s="221" t="str">
        <f t="shared" si="43"/>
        <v>-</v>
      </c>
      <c r="X150" s="221" t="str">
        <f t="shared" si="14"/>
        <v>-</v>
      </c>
      <c r="Y150" s="221" t="str">
        <f t="shared" si="15"/>
        <v>-</v>
      </c>
      <c r="Z150" s="270">
        <f t="shared" si="44"/>
        <v>0.1</v>
      </c>
      <c r="AA150" s="271" t="str">
        <f>IFERROR(IF(V149=1,AA$100*EXP(-(LN(2)/$D$65+0.04)*X149)*EXP(-(LN(2)/$D$65+0.1)*Y149),IF(V149=2,AA$100*EXP(-(LN(2)/$D$65+0.04)*(VLOOKUP(($F$16-$F$15)-1,U$99:Y149,4,FALSE)))*EXP(-(LN(2)/$D$65+0.1)*(VLOOKUP(($F$16-$F$15)-1,U$99:Y149,5,FALSE)))*EXP(-(LN(2)/$D$65+0.04)*X149)*EXP(-(LN(2)/$D$65+0.1)*Y149),IF(V149=3,AA$100*EXP(-(LN(2)/$D$65+0.04)*(VLOOKUP(($F$16-$F$15)-1,U$99:Y149,4,FALSE)))*EXP(-(LN(2)/$D$65+0.1)*(VLOOKUP(($F$16-$F$15)-1,U$99:Y149,5,FALSE)))*EXP(-(LN(2)/$D$65+0.04)*(VLOOKUP(($F$16-$F$15)*2-1,U$99:Y149,4,FALSE)))*EXP(-(LN(2)/$D$65+0.1)*(VLOOKUP(($F$16-$F$15)*2-1,U$99:Y149,5,FALSE)))*EXP(-(LN(2)/$D$65+0.04)*X149)*EXP(-(LN(2)/$D$65+0.1)*Y149),"-"))),"-")</f>
        <v>-</v>
      </c>
      <c r="AB150" s="271" t="str">
        <f>IFERROR(IF(V150=1,AB$100*EXP(-(LN(2)/$D$65+0.04)*X150)*EXP(-(LN(2)/$D$65+0.1)*Y150),IF(V150=2,AB$100*EXP(-(LN(2)/$D$65+0.04)*(VLOOKUP(($F$16-$F$15)-1,U$100:Y150,4,FALSE)))*EXP(-(LN(2)/$D$65+0.1)*(VLOOKUP(($F$16-$F$15)-1,U$100:Y150,5,FALSE)))*EXP(-(LN(2)/$D$65+0.04)*X150)*EXP(-(LN(2)/$D$65+0.1)*Y150),IF(V150=3,AB$100*EXP(-(LN(2)/$D$65+0.04)*(VLOOKUP(($F$16-$F$15)-1,U$100:Y150,4,FALSE)))*EXP(-(LN(2)/$D$65+0.1)*(VLOOKUP(($F$16-$F$15)-1,U$100:Y150,5,FALSE)))*EXP(-(LN(2)/$D$65+0.04)*(VLOOKUP(($F$16-$F$15)*2-1,U$100:Y150,4,FALSE)))*EXP(-(LN(2)/$D$65+0.1)*(VLOOKUP(($F$16-$F$15)*2-1,U$100:Y150,5,FALSE)))*EXP(-(LN(2)/$D$65+0.04)*X150)*EXP(-(LN(2)/$D$65+0.1)*Y150),"-"))),"-")</f>
        <v>-</v>
      </c>
      <c r="AC150" s="224">
        <f t="shared" si="45"/>
        <v>50</v>
      </c>
      <c r="AD150" s="223" t="str">
        <f t="shared" si="17"/>
        <v>-</v>
      </c>
      <c r="AE150" s="224" t="str">
        <f t="shared" si="46"/>
        <v>-</v>
      </c>
      <c r="AF150" s="224" t="str">
        <f t="shared" si="18"/>
        <v>-</v>
      </c>
      <c r="AG150" s="224" t="str">
        <f t="shared" si="19"/>
        <v>-</v>
      </c>
      <c r="AH150" s="272">
        <f t="shared" si="47"/>
        <v>0.1</v>
      </c>
      <c r="AI150" s="271" t="str">
        <f>IFERROR(IF(AD149=1,AI$100*EXP(-(LN(2)/$D$65+0.04)*AF149)*EXP(-(LN(2)/$D$65+0.1)*AG149),IF(AD149=2,AI$100*EXP(-(LN(2)/$D$65+0.04)*(VLOOKUP(($F$16-$F$15)-1,AC$99:AG149,4,FALSE)))*EXP(-(LN(2)/$D$65+0.1)*(VLOOKUP(($F$16-$F$15)-1,AC$99:AG149,5,FALSE)))*EXP(-(LN(2)/$D$65+0.04)*AF149)*EXP(-(LN(2)/$D$65+0.1)*AG149),IF(AD149=3,AI$100*EXP(-(LN(2)/$D$65+0.04)*(VLOOKUP(($F$16-$F$15)-1,AC$99:AG149,4,FALSE)))*EXP(-(LN(2)/$D$65+0.1)*(VLOOKUP(($F$16-$F$15)-1,AC$99:AG149,5,FALSE)))*EXP(-(LN(2)/$D$65+0.04)*(VLOOKUP(($F$16-$F$15)*2-1,AC$99:AG149,4,FALSE)))*EXP(-(LN(2)/$D$65+0.1)*(VLOOKUP(($F$16-$F$15)*2-1,AC$99:AG149,5,FALSE)))*EXP(-(LN(2)/$D$65+0.04)*AF149)*EXP(-(LN(2)/$D$65+0.1)*AG149),"-"))),"-")</f>
        <v>-</v>
      </c>
      <c r="AJ150" s="271" t="str">
        <f>IFERROR(IF(AD150=1,AJ$100*EXP(-(LN(2)/$D$65+0.04)*AF150)*EXP(-(LN(2)/$D$65+0.1)*AG150),IF(AD150=2,AJ$100*EXP(-(LN(2)/$D$65+0.04)*(VLOOKUP(($F$16-$F$15)-1,AC$100:AG150,4,FALSE)))*EXP(-(LN(2)/$D$65+0.1)*(VLOOKUP(($F$16-$F$15)-1,AC$100:AG150,5,FALSE)))*EXP(-(LN(2)/$D$65+0.04)*AF150)*EXP(-(LN(2)/$D$65+0.1)*AG150),IF(AD150=3,AJ$100*EXP(-(LN(2)/$D$65+0.04)*(VLOOKUP(($F$16-$F$15)-1,AC$100:AG150,4,FALSE)))*EXP(-(LN(2)/$D$65+0.1)*(VLOOKUP(($F$16-$F$15)-1,AC$100:AG150,5,FALSE)))*EXP(-(LN(2)/$D$65+0.04)*(VLOOKUP(($F$16-$F$15)*2-1,AC$100:AG150,4,FALSE)))*EXP(-(LN(2)/$D$65+0.1)*(VLOOKUP(($F$16-$F$15)*2-1,AC$100:AG150,5,FALSE)))*EXP(-(LN(2)/$D$65+0.04)*AF150)*EXP(-(LN(2)/$D$65+0.1)*AG150),"-"))),"-")</f>
        <v>-</v>
      </c>
      <c r="AK150" s="227">
        <f t="shared" si="49"/>
        <v>50</v>
      </c>
      <c r="AL150" s="226" t="str">
        <f t="shared" si="21"/>
        <v>-</v>
      </c>
      <c r="AM150" s="227" t="str">
        <f t="shared" si="50"/>
        <v>-</v>
      </c>
      <c r="AN150" s="227" t="str">
        <f t="shared" si="51"/>
        <v>-</v>
      </c>
      <c r="AO150" s="227" t="str">
        <f t="shared" si="22"/>
        <v>-</v>
      </c>
      <c r="AP150" s="273">
        <f t="shared" si="52"/>
        <v>0.1</v>
      </c>
      <c r="AQ150" s="271" t="str">
        <f>IFERROR(IF(AL149=1,AQ$100*EXP(-(LN(2)/$D$65+0.04)*AN149)*EXP(-(LN(2)/$D$65+0.1)*AO149),IF(AL149=2,AQ$100*EXP(-(LN(2)/$D$65+0.04)*(VLOOKUP(($F$16-$F$15)-1,AK$99:AO149,4,FALSE)))*EXP(-(LN(2)/$D$65+0.1)*(VLOOKUP(($F$16-$F$15)-1,AK$99:AO149,5,FALSE)))*EXP(-(LN(2)/$D$65+0.04)*AN149)*EXP(-(LN(2)/$D$65+0.1)*AO149),IF(AL149=3,AQ$100*EXP(-(LN(2)/$D$65+0.04)*(VLOOKUP(($F$16-$F$15)-1,AK$99:AO149,4,FALSE)))*EXP(-(LN(2)/$D$65+0.1)*(VLOOKUP(($F$16-$F$15)-1,AK$99:AO149,5,FALSE)))*EXP(-(LN(2)/$D$65+0.04)*(VLOOKUP(($F$16-$F$15)*2-1,AK$99:AO149,4,FALSE)))*EXP(-(LN(2)/$D$65+0.1)*(VLOOKUP(($F$16-$F$15)*2-1,AK$99:AO149,5,FALSE)))*EXP(-(LN(2)/$D$65+0.04)*AN149)*EXP(-(LN(2)/$D$65+0.1)*AO149),"-"))),"-")</f>
        <v>-</v>
      </c>
      <c r="AR150" s="271" t="str">
        <f>IFERROR(IF(AL150=1,AR$100*EXP(-(LN(2)/$D$65+0.04)*AN150)*EXP(-(LN(2)/$D$65+0.1)*AO150),IF(AL150=2,AR$100*EXP(-(LN(2)/$D$65+0.04)*(VLOOKUP(($F$16-$F$15)-1,AK$100:AO150,4,FALSE)))*EXP(-(LN(2)/$D$65+0.1)*(VLOOKUP(($F$16-$F$15)-1,AK$100:AO150,5,FALSE)))*EXP(-(LN(2)/$D$65+0.04)*AN150)*EXP(-(LN(2)/$D$65+0.1)*AO150),IF(AL150=3,AR$100*EXP(-(LN(2)/$D$65+0.04)*(VLOOKUP(($F$16-$F$15)-1,AK$100:AO150,4,FALSE)))*EXP(-(LN(2)/$D$65+0.1)*(VLOOKUP(($F$16-$F$15)-1,AK$100:AO150,5,FALSE)))*EXP(-(LN(2)/$D$65+0.04)*(VLOOKUP(($F$16-$F$15)*2-1,AK$100:AO150,4,FALSE)))*EXP(-(LN(2)/$D$65+0.1)*(VLOOKUP(($F$16-$F$15)*2-1,AK$100:AO150,5,FALSE)))*EXP(-(LN(2)/$D$65+0.04)*AN150)*EXP(-(LN(2)/$D$65+0.1)*AO150),"-"))),"-")</f>
        <v>-</v>
      </c>
      <c r="AS150" s="274">
        <f t="shared" si="23"/>
        <v>0</v>
      </c>
      <c r="AT150" s="274">
        <f t="shared" si="24"/>
        <v>0</v>
      </c>
      <c r="AU150" s="274">
        <f t="shared" si="25"/>
        <v>0</v>
      </c>
      <c r="AV150" s="190">
        <f>IF($B150&lt;$F$22,SUM($T$100:$T150),"")</f>
        <v>0</v>
      </c>
      <c r="AW150" s="190" t="str">
        <f t="shared" si="84"/>
        <v>-</v>
      </c>
      <c r="AX150" s="190" t="str">
        <f t="shared" si="56"/>
        <v/>
      </c>
      <c r="AY150"/>
      <c r="AZ150" s="190" t="str">
        <f ca="1">IF(ISNUMBER(OFFSET(AV150,-$F$21,0)),SUM(OFFSET($T$100,$F$21,0):$T150),"")</f>
        <v/>
      </c>
      <c r="BA150" s="190" t="str">
        <f t="shared" ca="1" si="85"/>
        <v/>
      </c>
      <c r="BB150" s="190" t="str">
        <f t="shared" ca="1" si="70"/>
        <v/>
      </c>
      <c r="BC150" s="190"/>
      <c r="BD150" s="190" t="str">
        <f ca="1">IFERROR(IF(AND($B150&gt;=($F$16-$F$15),$B150&lt;$F$22+($F$16-$F$15)),SUM(OFFSET($T$100,($F$16-$F$15),0):$T150),""),"")</f>
        <v/>
      </c>
      <c r="BE150" s="190" t="str">
        <f t="shared" ca="1" si="58"/>
        <v/>
      </c>
      <c r="BF150" s="190" t="str">
        <f t="shared" ca="1" si="59"/>
        <v/>
      </c>
      <c r="BG150"/>
      <c r="BH150" s="190" t="str">
        <f ca="1">IF(ISNUMBER(OFFSET(BD150,-$F$21,0)),SUM(OFFSET($T$100,($F$16-$F$15+$F$21),0):$T150),"")</f>
        <v/>
      </c>
      <c r="BI150" s="190" t="str">
        <f t="shared" ca="1" si="86"/>
        <v/>
      </c>
      <c r="BJ150" s="190" t="str">
        <f t="shared" ca="1" si="60"/>
        <v/>
      </c>
      <c r="BK150" s="190"/>
      <c r="BL150" s="190" t="str">
        <f ca="1">IFERROR(IF(AND($B150&gt;=($F$17-$F$15),$B150&lt;$F$22+($F$17-$F$15)),SUM(OFFSET($T$100,($F$17-$F$15),0):$T150),""),"")</f>
        <v/>
      </c>
      <c r="BM150" s="190" t="str">
        <f t="shared" ca="1" si="87"/>
        <v/>
      </c>
      <c r="BN150" s="190" t="str">
        <f t="shared" ca="1" si="61"/>
        <v/>
      </c>
      <c r="BO150"/>
      <c r="BP150" s="190" t="str">
        <f ca="1">IF(ISNUMBER(OFFSET(BL150,-$F$21,0)),SUM(OFFSET($T$100,($F$17-$F$15+$F$21),0):$T150),"")</f>
        <v/>
      </c>
      <c r="BQ150" s="190" t="str">
        <f t="shared" ca="1" si="88"/>
        <v/>
      </c>
      <c r="BR150" s="190" t="str">
        <f t="shared" ca="1" si="63"/>
        <v/>
      </c>
      <c r="BS150" s="190"/>
      <c r="BT150"/>
      <c r="BU150"/>
      <c r="BV150"/>
      <c r="BY150" s="99"/>
      <c r="BZ150" s="99"/>
      <c r="CA150" s="280" t="str">
        <f t="shared" si="89"/>
        <v/>
      </c>
      <c r="CB150" s="71" t="str">
        <f t="shared" si="30"/>
        <v>-</v>
      </c>
      <c r="CC150" s="33"/>
      <c r="CD150" s="261" t="str">
        <f t="shared" si="32"/>
        <v/>
      </c>
      <c r="CE150" s="280" t="str">
        <f t="shared" si="90"/>
        <v>-</v>
      </c>
      <c r="CF150" s="71" t="str">
        <f t="shared" ca="1" si="91"/>
        <v>-</v>
      </c>
      <c r="CG150" s="33" t="str">
        <f t="shared" si="35"/>
        <v>50-51</v>
      </c>
      <c r="CH150" s="261" t="str">
        <f t="shared" ca="1" si="36"/>
        <v/>
      </c>
      <c r="CI150" s="99"/>
      <c r="CJ150" s="99"/>
      <c r="CK150" s="99"/>
      <c r="CL150" s="99"/>
      <c r="CM150" s="99"/>
      <c r="CN150" s="99"/>
      <c r="CO150" s="99"/>
    </row>
    <row r="151" spans="2:93" ht="13.5" customHeight="1" x14ac:dyDescent="0.2">
      <c r="B151" s="262">
        <v>51</v>
      </c>
      <c r="C151" s="237" t="str">
        <f t="shared" si="71"/>
        <v/>
      </c>
      <c r="D151" s="237" t="str">
        <f t="shared" si="66"/>
        <v>-</v>
      </c>
      <c r="E151" s="290" t="str">
        <f t="shared" si="37"/>
        <v/>
      </c>
      <c r="F151" s="264" t="str">
        <f t="shared" si="38"/>
        <v/>
      </c>
      <c r="G151" s="291" t="str">
        <f t="shared" si="39"/>
        <v/>
      </c>
      <c r="H151" s="240" t="str">
        <f t="shared" si="72"/>
        <v/>
      </c>
      <c r="I151" s="265" t="str">
        <f t="shared" si="73"/>
        <v/>
      </c>
      <c r="J151" s="265" t="str">
        <f t="shared" si="74"/>
        <v/>
      </c>
      <c r="K151" s="240" t="str">
        <f t="shared" si="75"/>
        <v/>
      </c>
      <c r="L151" s="265" t="str">
        <f t="shared" si="76"/>
        <v/>
      </c>
      <c r="M151" s="265" t="str">
        <f t="shared" si="77"/>
        <v/>
      </c>
      <c r="N151" s="240" t="str">
        <f t="shared" si="78"/>
        <v>-</v>
      </c>
      <c r="O151" s="265" t="str">
        <f t="shared" si="79"/>
        <v>-</v>
      </c>
      <c r="P151" s="265" t="str">
        <f t="shared" si="80"/>
        <v>-</v>
      </c>
      <c r="Q151" s="266" t="str">
        <f t="shared" si="81"/>
        <v>-</v>
      </c>
      <c r="R151" s="267" t="str">
        <f t="shared" si="82"/>
        <v>-</v>
      </c>
      <c r="S151" s="268" t="str">
        <f t="shared" si="83"/>
        <v>-</v>
      </c>
      <c r="T151" s="269" t="str">
        <f t="shared" si="12"/>
        <v/>
      </c>
      <c r="U151" s="221">
        <f t="shared" si="13"/>
        <v>51</v>
      </c>
      <c r="V151" s="220" t="str">
        <f t="shared" si="42"/>
        <v>-</v>
      </c>
      <c r="W151" s="221" t="str">
        <f t="shared" si="43"/>
        <v>-</v>
      </c>
      <c r="X151" s="221" t="str">
        <f t="shared" si="14"/>
        <v>-</v>
      </c>
      <c r="Y151" s="221" t="str">
        <f t="shared" si="15"/>
        <v>-</v>
      </c>
      <c r="Z151" s="270">
        <f t="shared" si="44"/>
        <v>0.1</v>
      </c>
      <c r="AA151" s="271" t="str">
        <f>IFERROR(IF(V150=1,AA$100*EXP(-(LN(2)/$D$65+0.04)*X150)*EXP(-(LN(2)/$D$65+0.1)*Y150),IF(V150=2,AA$100*EXP(-(LN(2)/$D$65+0.04)*(VLOOKUP(($F$16-$F$15)-1,U$99:Y150,4,FALSE)))*EXP(-(LN(2)/$D$65+0.1)*(VLOOKUP(($F$16-$F$15)-1,U$99:Y150,5,FALSE)))*EXP(-(LN(2)/$D$65+0.04)*X150)*EXP(-(LN(2)/$D$65+0.1)*Y150),IF(V150=3,AA$100*EXP(-(LN(2)/$D$65+0.04)*(VLOOKUP(($F$16-$F$15)-1,U$99:Y150,4,FALSE)))*EXP(-(LN(2)/$D$65+0.1)*(VLOOKUP(($F$16-$F$15)-1,U$99:Y150,5,FALSE)))*EXP(-(LN(2)/$D$65+0.04)*(VLOOKUP(($F$16-$F$15)*2-1,U$99:Y150,4,FALSE)))*EXP(-(LN(2)/$D$65+0.1)*(VLOOKUP(($F$16-$F$15)*2-1,U$99:Y150,5,FALSE)))*EXP(-(LN(2)/$D$65+0.04)*X150)*EXP(-(LN(2)/$D$65+0.1)*Y150),"-"))),"-")</f>
        <v>-</v>
      </c>
      <c r="AB151" s="271" t="str">
        <f>IFERROR(IF(V151=1,AB$100*EXP(-(LN(2)/$D$65+0.04)*X151)*EXP(-(LN(2)/$D$65+0.1)*Y151),IF(V151=2,AB$100*EXP(-(LN(2)/$D$65+0.04)*(VLOOKUP(($F$16-$F$15)-1,U$100:Y151,4,FALSE)))*EXP(-(LN(2)/$D$65+0.1)*(VLOOKUP(($F$16-$F$15)-1,U$100:Y151,5,FALSE)))*EXP(-(LN(2)/$D$65+0.04)*X151)*EXP(-(LN(2)/$D$65+0.1)*Y151),IF(V151=3,AB$100*EXP(-(LN(2)/$D$65+0.04)*(VLOOKUP(($F$16-$F$15)-1,U$100:Y151,4,FALSE)))*EXP(-(LN(2)/$D$65+0.1)*(VLOOKUP(($F$16-$F$15)-1,U$100:Y151,5,FALSE)))*EXP(-(LN(2)/$D$65+0.04)*(VLOOKUP(($F$16-$F$15)*2-1,U$100:Y151,4,FALSE)))*EXP(-(LN(2)/$D$65+0.1)*(VLOOKUP(($F$16-$F$15)*2-1,U$100:Y151,5,FALSE)))*EXP(-(LN(2)/$D$65+0.04)*X151)*EXP(-(LN(2)/$D$65+0.1)*Y151),"-"))),"-")</f>
        <v>-</v>
      </c>
      <c r="AC151" s="224">
        <f t="shared" si="45"/>
        <v>51</v>
      </c>
      <c r="AD151" s="223" t="str">
        <f t="shared" si="17"/>
        <v>-</v>
      </c>
      <c r="AE151" s="224" t="str">
        <f t="shared" si="46"/>
        <v>-</v>
      </c>
      <c r="AF151" s="224" t="str">
        <f t="shared" si="18"/>
        <v>-</v>
      </c>
      <c r="AG151" s="224" t="str">
        <f t="shared" si="19"/>
        <v>-</v>
      </c>
      <c r="AH151" s="272">
        <f t="shared" si="47"/>
        <v>0.1</v>
      </c>
      <c r="AI151" s="271" t="str">
        <f>IFERROR(IF(AD150=1,AI$100*EXP(-(LN(2)/$D$65+0.04)*AF150)*EXP(-(LN(2)/$D$65+0.1)*AG150),IF(AD150=2,AI$100*EXP(-(LN(2)/$D$65+0.04)*(VLOOKUP(($F$16-$F$15)-1,AC$99:AG150,4,FALSE)))*EXP(-(LN(2)/$D$65+0.1)*(VLOOKUP(($F$16-$F$15)-1,AC$99:AG150,5,FALSE)))*EXP(-(LN(2)/$D$65+0.04)*AF150)*EXP(-(LN(2)/$D$65+0.1)*AG150),IF(AD150=3,AI$100*EXP(-(LN(2)/$D$65+0.04)*(VLOOKUP(($F$16-$F$15)-1,AC$99:AG150,4,FALSE)))*EXP(-(LN(2)/$D$65+0.1)*(VLOOKUP(($F$16-$F$15)-1,AC$99:AG150,5,FALSE)))*EXP(-(LN(2)/$D$65+0.04)*(VLOOKUP(($F$16-$F$15)*2-1,AC$99:AG150,4,FALSE)))*EXP(-(LN(2)/$D$65+0.1)*(VLOOKUP(($F$16-$F$15)*2-1,AC$99:AG150,5,FALSE)))*EXP(-(LN(2)/$D$65+0.04)*AF150)*EXP(-(LN(2)/$D$65+0.1)*AG150),"-"))),"-")</f>
        <v>-</v>
      </c>
      <c r="AJ151" s="271" t="str">
        <f>IFERROR(IF(AD151=1,AJ$100*EXP(-(LN(2)/$D$65+0.04)*AF151)*EXP(-(LN(2)/$D$65+0.1)*AG151),IF(AD151=2,AJ$100*EXP(-(LN(2)/$D$65+0.04)*(VLOOKUP(($F$16-$F$15)-1,AC$100:AG151,4,FALSE)))*EXP(-(LN(2)/$D$65+0.1)*(VLOOKUP(($F$16-$F$15)-1,AC$100:AG151,5,FALSE)))*EXP(-(LN(2)/$D$65+0.04)*AF151)*EXP(-(LN(2)/$D$65+0.1)*AG151),IF(AD151=3,AJ$100*EXP(-(LN(2)/$D$65+0.04)*(VLOOKUP(($F$16-$F$15)-1,AC$100:AG151,4,FALSE)))*EXP(-(LN(2)/$D$65+0.1)*(VLOOKUP(($F$16-$F$15)-1,AC$100:AG151,5,FALSE)))*EXP(-(LN(2)/$D$65+0.04)*(VLOOKUP(($F$16-$F$15)*2-1,AC$100:AG151,4,FALSE)))*EXP(-(LN(2)/$D$65+0.1)*(VLOOKUP(($F$16-$F$15)*2-1,AC$100:AG151,5,FALSE)))*EXP(-(LN(2)/$D$65+0.04)*AF151)*EXP(-(LN(2)/$D$65+0.1)*AG151),"-"))),"-")</f>
        <v>-</v>
      </c>
      <c r="AK151" s="227">
        <f t="shared" si="49"/>
        <v>51</v>
      </c>
      <c r="AL151" s="226" t="str">
        <f t="shared" si="21"/>
        <v>-</v>
      </c>
      <c r="AM151" s="227" t="str">
        <f t="shared" si="50"/>
        <v>-</v>
      </c>
      <c r="AN151" s="227" t="str">
        <f t="shared" si="51"/>
        <v>-</v>
      </c>
      <c r="AO151" s="227" t="str">
        <f t="shared" si="22"/>
        <v>-</v>
      </c>
      <c r="AP151" s="273">
        <f t="shared" si="52"/>
        <v>0.1</v>
      </c>
      <c r="AQ151" s="271" t="str">
        <f>IFERROR(IF(AL150=1,AQ$100*EXP(-(LN(2)/$D$65+0.04)*AN150)*EXP(-(LN(2)/$D$65+0.1)*AO150),IF(AL150=2,AQ$100*EXP(-(LN(2)/$D$65+0.04)*(VLOOKUP(($F$16-$F$15)-1,AK$99:AO150,4,FALSE)))*EXP(-(LN(2)/$D$65+0.1)*(VLOOKUP(($F$16-$F$15)-1,AK$99:AO150,5,FALSE)))*EXP(-(LN(2)/$D$65+0.04)*AN150)*EXP(-(LN(2)/$D$65+0.1)*AO150),IF(AL150=3,AQ$100*EXP(-(LN(2)/$D$65+0.04)*(VLOOKUP(($F$16-$F$15)-1,AK$99:AO150,4,FALSE)))*EXP(-(LN(2)/$D$65+0.1)*(VLOOKUP(($F$16-$F$15)-1,AK$99:AO150,5,FALSE)))*EXP(-(LN(2)/$D$65+0.04)*(VLOOKUP(($F$16-$F$15)*2-1,AK$99:AO150,4,FALSE)))*EXP(-(LN(2)/$D$65+0.1)*(VLOOKUP(($F$16-$F$15)*2-1,AK$99:AO150,5,FALSE)))*EXP(-(LN(2)/$D$65+0.04)*AN150)*EXP(-(LN(2)/$D$65+0.1)*AO150),"-"))),"-")</f>
        <v>-</v>
      </c>
      <c r="AR151" s="271" t="str">
        <f>IFERROR(IF(AL151=1,AR$100*EXP(-(LN(2)/$D$65+0.04)*AN151)*EXP(-(LN(2)/$D$65+0.1)*AO151),IF(AL151=2,AR$100*EXP(-(LN(2)/$D$65+0.04)*(VLOOKUP(($F$16-$F$15)-1,AK$100:AO151,4,FALSE)))*EXP(-(LN(2)/$D$65+0.1)*(VLOOKUP(($F$16-$F$15)-1,AK$100:AO151,5,FALSE)))*EXP(-(LN(2)/$D$65+0.04)*AN151)*EXP(-(LN(2)/$D$65+0.1)*AO151),IF(AL151=3,AR$100*EXP(-(LN(2)/$D$65+0.04)*(VLOOKUP(($F$16-$F$15)-1,AK$100:AO151,4,FALSE)))*EXP(-(LN(2)/$D$65+0.1)*(VLOOKUP(($F$16-$F$15)-1,AK$100:AO151,5,FALSE)))*EXP(-(LN(2)/$D$65+0.04)*(VLOOKUP(($F$16-$F$15)*2-1,AK$100:AO151,4,FALSE)))*EXP(-(LN(2)/$D$65+0.1)*(VLOOKUP(($F$16-$F$15)*2-1,AK$100:AO151,5,FALSE)))*EXP(-(LN(2)/$D$65+0.04)*AN151)*EXP(-(LN(2)/$D$65+0.1)*AO151),"-"))),"-")</f>
        <v>-</v>
      </c>
      <c r="AS151" s="274">
        <f t="shared" si="23"/>
        <v>0</v>
      </c>
      <c r="AT151" s="274">
        <f t="shared" si="24"/>
        <v>0</v>
      </c>
      <c r="AU151" s="274">
        <f t="shared" si="25"/>
        <v>0</v>
      </c>
      <c r="AV151" s="190">
        <f>IF($B151&lt;$F$22,SUM($T$100:$T151),"")</f>
        <v>0</v>
      </c>
      <c r="AW151" s="190" t="str">
        <f t="shared" si="84"/>
        <v>-</v>
      </c>
      <c r="AX151" s="190" t="str">
        <f t="shared" si="56"/>
        <v/>
      </c>
      <c r="AY151"/>
      <c r="AZ151" s="190" t="str">
        <f ca="1">IF(ISNUMBER(OFFSET(AV151,-$F$21,0)),SUM(OFFSET($T$100,$F$21,0):$T151),"")</f>
        <v/>
      </c>
      <c r="BA151" s="190" t="str">
        <f t="shared" ca="1" si="85"/>
        <v/>
      </c>
      <c r="BB151" s="190" t="str">
        <f t="shared" ca="1" si="70"/>
        <v/>
      </c>
      <c r="BC151" s="190"/>
      <c r="BD151" s="190" t="str">
        <f ca="1">IFERROR(IF(AND($B151&gt;=($F$16-$F$15),$B151&lt;$F$22+($F$16-$F$15)),SUM(OFFSET($T$100,($F$16-$F$15),0):$T151),""),"")</f>
        <v/>
      </c>
      <c r="BE151" s="190" t="str">
        <f t="shared" ca="1" si="58"/>
        <v/>
      </c>
      <c r="BF151" s="190" t="str">
        <f t="shared" ca="1" si="59"/>
        <v/>
      </c>
      <c r="BG151"/>
      <c r="BH151" s="190" t="str">
        <f ca="1">IF(ISNUMBER(OFFSET(BD151,-$F$21,0)),SUM(OFFSET($T$100,($F$16-$F$15+$F$21),0):$T151),"")</f>
        <v/>
      </c>
      <c r="BI151" s="190" t="str">
        <f t="shared" ca="1" si="86"/>
        <v/>
      </c>
      <c r="BJ151" s="190" t="str">
        <f t="shared" ca="1" si="60"/>
        <v/>
      </c>
      <c r="BK151" s="190"/>
      <c r="BL151" s="190" t="str">
        <f ca="1">IFERROR(IF(AND($B151&gt;=($F$17-$F$15),$B151&lt;$F$22+($F$17-$F$15)),SUM(OFFSET($T$100,($F$17-$F$15),0):$T151),""),"")</f>
        <v/>
      </c>
      <c r="BM151" s="190" t="str">
        <f t="shared" ca="1" si="87"/>
        <v/>
      </c>
      <c r="BN151" s="190" t="str">
        <f t="shared" ca="1" si="61"/>
        <v/>
      </c>
      <c r="BO151"/>
      <c r="BP151" s="190" t="str">
        <f ca="1">IF(ISNUMBER(OFFSET(BL151,-$F$21,0)),SUM(OFFSET($T$100,($F$17-$F$15+$F$21),0):$T151),"")</f>
        <v/>
      </c>
      <c r="BQ151" s="190" t="str">
        <f t="shared" ca="1" si="88"/>
        <v/>
      </c>
      <c r="BR151" s="190" t="str">
        <f t="shared" ca="1" si="63"/>
        <v/>
      </c>
      <c r="BS151" s="190"/>
      <c r="BT151"/>
      <c r="BU151"/>
      <c r="BV151"/>
      <c r="BY151" s="99"/>
      <c r="BZ151" s="99"/>
      <c r="CA151" s="280" t="str">
        <f t="shared" si="89"/>
        <v/>
      </c>
      <c r="CB151" s="71" t="str">
        <f t="shared" si="30"/>
        <v>-</v>
      </c>
      <c r="CC151" s="33"/>
      <c r="CD151" s="261" t="str">
        <f t="shared" si="32"/>
        <v/>
      </c>
      <c r="CE151" s="280" t="str">
        <f t="shared" si="90"/>
        <v>-</v>
      </c>
      <c r="CF151" s="71" t="str">
        <f t="shared" ca="1" si="91"/>
        <v>-</v>
      </c>
      <c r="CG151" s="33" t="str">
        <f t="shared" si="35"/>
        <v>51-52</v>
      </c>
      <c r="CH151" s="261" t="str">
        <f t="shared" ca="1" si="36"/>
        <v/>
      </c>
      <c r="CI151" s="99"/>
      <c r="CJ151" s="99"/>
      <c r="CK151" s="99"/>
      <c r="CL151" s="99"/>
      <c r="CM151" s="99"/>
      <c r="CN151" s="99"/>
      <c r="CO151" s="99"/>
    </row>
    <row r="152" spans="2:93" ht="13.5" customHeight="1" x14ac:dyDescent="0.2">
      <c r="B152" s="262">
        <v>52</v>
      </c>
      <c r="C152" s="237" t="str">
        <f t="shared" si="71"/>
        <v/>
      </c>
      <c r="D152" s="237" t="str">
        <f t="shared" si="66"/>
        <v>-</v>
      </c>
      <c r="E152" s="290" t="str">
        <f t="shared" si="37"/>
        <v/>
      </c>
      <c r="F152" s="264" t="str">
        <f t="shared" si="38"/>
        <v/>
      </c>
      <c r="G152" s="291" t="str">
        <f t="shared" si="39"/>
        <v/>
      </c>
      <c r="H152" s="240" t="str">
        <f t="shared" si="72"/>
        <v/>
      </c>
      <c r="I152" s="265" t="str">
        <f t="shared" si="73"/>
        <v/>
      </c>
      <c r="J152" s="265" t="str">
        <f t="shared" si="74"/>
        <v/>
      </c>
      <c r="K152" s="240" t="str">
        <f t="shared" si="75"/>
        <v/>
      </c>
      <c r="L152" s="265" t="str">
        <f t="shared" si="76"/>
        <v/>
      </c>
      <c r="M152" s="265" t="str">
        <f t="shared" si="77"/>
        <v/>
      </c>
      <c r="N152" s="240" t="str">
        <f t="shared" si="78"/>
        <v>-</v>
      </c>
      <c r="O152" s="265" t="str">
        <f t="shared" si="79"/>
        <v>-</v>
      </c>
      <c r="P152" s="265" t="str">
        <f t="shared" si="80"/>
        <v>-</v>
      </c>
      <c r="Q152" s="266" t="str">
        <f t="shared" si="81"/>
        <v>-</v>
      </c>
      <c r="R152" s="267" t="str">
        <f t="shared" si="82"/>
        <v>-</v>
      </c>
      <c r="S152" s="268" t="str">
        <f t="shared" si="83"/>
        <v>-</v>
      </c>
      <c r="T152" s="269" t="str">
        <f t="shared" si="12"/>
        <v/>
      </c>
      <c r="U152" s="221">
        <f t="shared" si="13"/>
        <v>52</v>
      </c>
      <c r="V152" s="220" t="str">
        <f t="shared" si="42"/>
        <v>-</v>
      </c>
      <c r="W152" s="221" t="str">
        <f t="shared" si="43"/>
        <v>-</v>
      </c>
      <c r="X152" s="221" t="str">
        <f t="shared" si="14"/>
        <v>-</v>
      </c>
      <c r="Y152" s="221" t="str">
        <f t="shared" si="15"/>
        <v>-</v>
      </c>
      <c r="Z152" s="270">
        <f t="shared" si="44"/>
        <v>0.1</v>
      </c>
      <c r="AA152" s="271" t="str">
        <f>IFERROR(IF(V151=1,AA$100*EXP(-(LN(2)/$D$65+0.04)*X151)*EXP(-(LN(2)/$D$65+0.1)*Y151),IF(V151=2,AA$100*EXP(-(LN(2)/$D$65+0.04)*(VLOOKUP(($F$16-$F$15)-1,U$99:Y151,4,FALSE)))*EXP(-(LN(2)/$D$65+0.1)*(VLOOKUP(($F$16-$F$15)-1,U$99:Y151,5,FALSE)))*EXP(-(LN(2)/$D$65+0.04)*X151)*EXP(-(LN(2)/$D$65+0.1)*Y151),IF(V151=3,AA$100*EXP(-(LN(2)/$D$65+0.04)*(VLOOKUP(($F$16-$F$15)-1,U$99:Y151,4,FALSE)))*EXP(-(LN(2)/$D$65+0.1)*(VLOOKUP(($F$16-$F$15)-1,U$99:Y151,5,FALSE)))*EXP(-(LN(2)/$D$65+0.04)*(VLOOKUP(($F$16-$F$15)*2-1,U$99:Y151,4,FALSE)))*EXP(-(LN(2)/$D$65+0.1)*(VLOOKUP(($F$16-$F$15)*2-1,U$99:Y151,5,FALSE)))*EXP(-(LN(2)/$D$65+0.04)*X151)*EXP(-(LN(2)/$D$65+0.1)*Y151),"-"))),"-")</f>
        <v>-</v>
      </c>
      <c r="AB152" s="271" t="str">
        <f>IFERROR(IF(V152=1,AB$100*EXP(-(LN(2)/$D$65+0.04)*X152)*EXP(-(LN(2)/$D$65+0.1)*Y152),IF(V152=2,AB$100*EXP(-(LN(2)/$D$65+0.04)*(VLOOKUP(($F$16-$F$15)-1,U$100:Y152,4,FALSE)))*EXP(-(LN(2)/$D$65+0.1)*(VLOOKUP(($F$16-$F$15)-1,U$100:Y152,5,FALSE)))*EXP(-(LN(2)/$D$65+0.04)*X152)*EXP(-(LN(2)/$D$65+0.1)*Y152),IF(V152=3,AB$100*EXP(-(LN(2)/$D$65+0.04)*(VLOOKUP(($F$16-$F$15)-1,U$100:Y152,4,FALSE)))*EXP(-(LN(2)/$D$65+0.1)*(VLOOKUP(($F$16-$F$15)-1,U$100:Y152,5,FALSE)))*EXP(-(LN(2)/$D$65+0.04)*(VLOOKUP(($F$16-$F$15)*2-1,U$100:Y152,4,FALSE)))*EXP(-(LN(2)/$D$65+0.1)*(VLOOKUP(($F$16-$F$15)*2-1,U$100:Y152,5,FALSE)))*EXP(-(LN(2)/$D$65+0.04)*X152)*EXP(-(LN(2)/$D$65+0.1)*Y152),"-"))),"-")</f>
        <v>-</v>
      </c>
      <c r="AC152" s="224">
        <f t="shared" si="45"/>
        <v>52</v>
      </c>
      <c r="AD152" s="223" t="str">
        <f t="shared" si="17"/>
        <v>-</v>
      </c>
      <c r="AE152" s="224" t="str">
        <f t="shared" si="46"/>
        <v>-</v>
      </c>
      <c r="AF152" s="224" t="str">
        <f t="shared" si="18"/>
        <v>-</v>
      </c>
      <c r="AG152" s="224" t="str">
        <f t="shared" si="19"/>
        <v>-</v>
      </c>
      <c r="AH152" s="272">
        <f t="shared" si="47"/>
        <v>0.1</v>
      </c>
      <c r="AI152" s="271" t="str">
        <f>IFERROR(IF(AD151=1,AI$100*EXP(-(LN(2)/$D$65+0.04)*AF151)*EXP(-(LN(2)/$D$65+0.1)*AG151),IF(AD151=2,AI$100*EXP(-(LN(2)/$D$65+0.04)*(VLOOKUP(($F$16-$F$15)-1,AC$99:AG151,4,FALSE)))*EXP(-(LN(2)/$D$65+0.1)*(VLOOKUP(($F$16-$F$15)-1,AC$99:AG151,5,FALSE)))*EXP(-(LN(2)/$D$65+0.04)*AF151)*EXP(-(LN(2)/$D$65+0.1)*AG151),IF(AD151=3,AI$100*EXP(-(LN(2)/$D$65+0.04)*(VLOOKUP(($F$16-$F$15)-1,AC$99:AG151,4,FALSE)))*EXP(-(LN(2)/$D$65+0.1)*(VLOOKUP(($F$16-$F$15)-1,AC$99:AG151,5,FALSE)))*EXP(-(LN(2)/$D$65+0.04)*(VLOOKUP(($F$16-$F$15)*2-1,AC$99:AG151,4,FALSE)))*EXP(-(LN(2)/$D$65+0.1)*(VLOOKUP(($F$16-$F$15)*2-1,AC$99:AG151,5,FALSE)))*EXP(-(LN(2)/$D$65+0.04)*AF151)*EXP(-(LN(2)/$D$65+0.1)*AG151),"-"))),"-")</f>
        <v>-</v>
      </c>
      <c r="AJ152" s="271" t="str">
        <f>IFERROR(IF(AD152=1,AJ$100*EXP(-(LN(2)/$D$65+0.04)*AF152)*EXP(-(LN(2)/$D$65+0.1)*AG152),IF(AD152=2,AJ$100*EXP(-(LN(2)/$D$65+0.04)*(VLOOKUP(($F$16-$F$15)-1,AC$100:AG152,4,FALSE)))*EXP(-(LN(2)/$D$65+0.1)*(VLOOKUP(($F$16-$F$15)-1,AC$100:AG152,5,FALSE)))*EXP(-(LN(2)/$D$65+0.04)*AF152)*EXP(-(LN(2)/$D$65+0.1)*AG152),IF(AD152=3,AJ$100*EXP(-(LN(2)/$D$65+0.04)*(VLOOKUP(($F$16-$F$15)-1,AC$100:AG152,4,FALSE)))*EXP(-(LN(2)/$D$65+0.1)*(VLOOKUP(($F$16-$F$15)-1,AC$100:AG152,5,FALSE)))*EXP(-(LN(2)/$D$65+0.04)*(VLOOKUP(($F$16-$F$15)*2-1,AC$100:AG152,4,FALSE)))*EXP(-(LN(2)/$D$65+0.1)*(VLOOKUP(($F$16-$F$15)*2-1,AC$100:AG152,5,FALSE)))*EXP(-(LN(2)/$D$65+0.04)*AF152)*EXP(-(LN(2)/$D$65+0.1)*AG152),"-"))),"-")</f>
        <v>-</v>
      </c>
      <c r="AK152" s="227">
        <f t="shared" si="49"/>
        <v>52</v>
      </c>
      <c r="AL152" s="226" t="str">
        <f t="shared" si="21"/>
        <v>-</v>
      </c>
      <c r="AM152" s="227" t="str">
        <f t="shared" si="50"/>
        <v>-</v>
      </c>
      <c r="AN152" s="227" t="str">
        <f t="shared" si="51"/>
        <v>-</v>
      </c>
      <c r="AO152" s="227" t="str">
        <f t="shared" si="22"/>
        <v>-</v>
      </c>
      <c r="AP152" s="273">
        <f t="shared" si="52"/>
        <v>0.1</v>
      </c>
      <c r="AQ152" s="271" t="str">
        <f>IFERROR(IF(AL151=1,AQ$100*EXP(-(LN(2)/$D$65+0.04)*AN151)*EXP(-(LN(2)/$D$65+0.1)*AO151),IF(AL151=2,AQ$100*EXP(-(LN(2)/$D$65+0.04)*(VLOOKUP(($F$16-$F$15)-1,AK$99:AO151,4,FALSE)))*EXP(-(LN(2)/$D$65+0.1)*(VLOOKUP(($F$16-$F$15)-1,AK$99:AO151,5,FALSE)))*EXP(-(LN(2)/$D$65+0.04)*AN151)*EXP(-(LN(2)/$D$65+0.1)*AO151),IF(AL151=3,AQ$100*EXP(-(LN(2)/$D$65+0.04)*(VLOOKUP(($F$16-$F$15)-1,AK$99:AO151,4,FALSE)))*EXP(-(LN(2)/$D$65+0.1)*(VLOOKUP(($F$16-$F$15)-1,AK$99:AO151,5,FALSE)))*EXP(-(LN(2)/$D$65+0.04)*(VLOOKUP(($F$16-$F$15)*2-1,AK$99:AO151,4,FALSE)))*EXP(-(LN(2)/$D$65+0.1)*(VLOOKUP(($F$16-$F$15)*2-1,AK$99:AO151,5,FALSE)))*EXP(-(LN(2)/$D$65+0.04)*AN151)*EXP(-(LN(2)/$D$65+0.1)*AO151),"-"))),"-")</f>
        <v>-</v>
      </c>
      <c r="AR152" s="271" t="str">
        <f>IFERROR(IF(AL152=1,AR$100*EXP(-(LN(2)/$D$65+0.04)*AN152)*EXP(-(LN(2)/$D$65+0.1)*AO152),IF(AL152=2,AR$100*EXP(-(LN(2)/$D$65+0.04)*(VLOOKUP(($F$16-$F$15)-1,AK$100:AO152,4,FALSE)))*EXP(-(LN(2)/$D$65+0.1)*(VLOOKUP(($F$16-$F$15)-1,AK$100:AO152,5,FALSE)))*EXP(-(LN(2)/$D$65+0.04)*AN152)*EXP(-(LN(2)/$D$65+0.1)*AO152),IF(AL152=3,AR$100*EXP(-(LN(2)/$D$65+0.04)*(VLOOKUP(($F$16-$F$15)-1,AK$100:AO152,4,FALSE)))*EXP(-(LN(2)/$D$65+0.1)*(VLOOKUP(($F$16-$F$15)-1,AK$100:AO152,5,FALSE)))*EXP(-(LN(2)/$D$65+0.04)*(VLOOKUP(($F$16-$F$15)*2-1,AK$100:AO152,4,FALSE)))*EXP(-(LN(2)/$D$65+0.1)*(VLOOKUP(($F$16-$F$15)*2-1,AK$100:AO152,5,FALSE)))*EXP(-(LN(2)/$D$65+0.04)*AN152)*EXP(-(LN(2)/$D$65+0.1)*AO152),"-"))),"-")</f>
        <v>-</v>
      </c>
      <c r="AS152" s="274">
        <f t="shared" si="23"/>
        <v>0</v>
      </c>
      <c r="AT152" s="274">
        <f t="shared" si="24"/>
        <v>0</v>
      </c>
      <c r="AU152" s="274">
        <f t="shared" si="25"/>
        <v>0</v>
      </c>
      <c r="AV152" s="190">
        <f>IF($B152&lt;$F$22,SUM($T$100:$T152),"")</f>
        <v>0</v>
      </c>
      <c r="AW152" s="190" t="str">
        <f t="shared" si="84"/>
        <v>-</v>
      </c>
      <c r="AX152" s="190" t="str">
        <f t="shared" si="56"/>
        <v/>
      </c>
      <c r="AY152"/>
      <c r="AZ152" s="190" t="str">
        <f ca="1">IF(ISNUMBER(OFFSET(AV152,-$F$21,0)),SUM(OFFSET($T$100,$F$21,0):$T152),"")</f>
        <v/>
      </c>
      <c r="BA152" s="190" t="str">
        <f t="shared" ca="1" si="85"/>
        <v/>
      </c>
      <c r="BB152" s="190" t="str">
        <f t="shared" ca="1" si="70"/>
        <v/>
      </c>
      <c r="BC152" s="190"/>
      <c r="BD152" s="190" t="str">
        <f ca="1">IFERROR(IF(AND($B152&gt;=($F$16-$F$15),$B152&lt;$F$22+($F$16-$F$15)),SUM(OFFSET($T$100,($F$16-$F$15),0):$T152),""),"")</f>
        <v/>
      </c>
      <c r="BE152" s="190" t="str">
        <f t="shared" ca="1" si="58"/>
        <v/>
      </c>
      <c r="BF152" s="190" t="str">
        <f t="shared" ca="1" si="59"/>
        <v/>
      </c>
      <c r="BG152"/>
      <c r="BH152" s="190" t="str">
        <f ca="1">IF(ISNUMBER(OFFSET(BD152,-$F$21,0)),SUM(OFFSET($T$100,($F$16-$F$15+$F$21),0):$T152),"")</f>
        <v/>
      </c>
      <c r="BI152" s="190" t="str">
        <f t="shared" ca="1" si="86"/>
        <v/>
      </c>
      <c r="BJ152" s="190" t="str">
        <f t="shared" ca="1" si="60"/>
        <v/>
      </c>
      <c r="BK152" s="190"/>
      <c r="BL152" s="190" t="str">
        <f ca="1">IFERROR(IF(AND($B152&gt;=($F$17-$F$15),$B152&lt;$F$22+($F$17-$F$15)),SUM(OFFSET($T$100,($F$17-$F$15),0):$T152),""),"")</f>
        <v/>
      </c>
      <c r="BM152" s="190" t="str">
        <f t="shared" ca="1" si="87"/>
        <v/>
      </c>
      <c r="BN152" s="190" t="str">
        <f t="shared" ca="1" si="61"/>
        <v/>
      </c>
      <c r="BO152"/>
      <c r="BP152" s="190" t="str">
        <f ca="1">IF(ISNUMBER(OFFSET(BL152,-$F$21,0)),SUM(OFFSET($T$100,($F$17-$F$15+$F$21),0):$T152),"")</f>
        <v/>
      </c>
      <c r="BQ152" s="190" t="str">
        <f t="shared" ca="1" si="88"/>
        <v/>
      </c>
      <c r="BR152" s="190" t="str">
        <f t="shared" ca="1" si="63"/>
        <v/>
      </c>
      <c r="BS152" s="190"/>
      <c r="BT152"/>
      <c r="BU152"/>
      <c r="BV152"/>
      <c r="BY152" s="99"/>
      <c r="BZ152" s="99"/>
      <c r="CA152" s="280" t="str">
        <f t="shared" si="89"/>
        <v/>
      </c>
      <c r="CB152" s="71" t="str">
        <f t="shared" si="30"/>
        <v>-</v>
      </c>
      <c r="CC152" s="33"/>
      <c r="CD152" s="261" t="str">
        <f t="shared" si="32"/>
        <v/>
      </c>
      <c r="CE152" s="280" t="str">
        <f t="shared" si="90"/>
        <v>-</v>
      </c>
      <c r="CF152" s="71" t="str">
        <f t="shared" ca="1" si="91"/>
        <v>-</v>
      </c>
      <c r="CG152" s="33" t="str">
        <f t="shared" si="35"/>
        <v>52-53</v>
      </c>
      <c r="CH152" s="261" t="str">
        <f t="shared" ca="1" si="36"/>
        <v/>
      </c>
      <c r="CI152" s="99"/>
      <c r="CJ152" s="99"/>
      <c r="CK152" s="99"/>
      <c r="CL152" s="99"/>
      <c r="CM152" s="99"/>
      <c r="CN152" s="99"/>
      <c r="CO152" s="99"/>
    </row>
    <row r="153" spans="2:93" ht="13.5" customHeight="1" x14ac:dyDescent="0.2">
      <c r="B153" s="262">
        <v>53</v>
      </c>
      <c r="C153" s="237" t="str">
        <f t="shared" si="71"/>
        <v/>
      </c>
      <c r="D153" s="237" t="str">
        <f t="shared" si="66"/>
        <v>-</v>
      </c>
      <c r="E153" s="290" t="str">
        <f t="shared" si="37"/>
        <v/>
      </c>
      <c r="F153" s="264" t="str">
        <f t="shared" si="38"/>
        <v/>
      </c>
      <c r="G153" s="291" t="str">
        <f t="shared" si="39"/>
        <v/>
      </c>
      <c r="H153" s="240" t="str">
        <f t="shared" si="72"/>
        <v/>
      </c>
      <c r="I153" s="265" t="str">
        <f t="shared" si="73"/>
        <v/>
      </c>
      <c r="J153" s="265" t="str">
        <f t="shared" si="74"/>
        <v/>
      </c>
      <c r="K153" s="240" t="str">
        <f t="shared" si="75"/>
        <v/>
      </c>
      <c r="L153" s="265" t="str">
        <f t="shared" si="76"/>
        <v/>
      </c>
      <c r="M153" s="265" t="str">
        <f t="shared" si="77"/>
        <v/>
      </c>
      <c r="N153" s="240" t="str">
        <f t="shared" si="78"/>
        <v>-</v>
      </c>
      <c r="O153" s="265" t="str">
        <f t="shared" si="79"/>
        <v>-</v>
      </c>
      <c r="P153" s="265" t="str">
        <f t="shared" si="80"/>
        <v>-</v>
      </c>
      <c r="Q153" s="266" t="str">
        <f t="shared" si="81"/>
        <v>-</v>
      </c>
      <c r="R153" s="267" t="str">
        <f t="shared" si="82"/>
        <v>-</v>
      </c>
      <c r="S153" s="268" t="str">
        <f t="shared" si="83"/>
        <v>-</v>
      </c>
      <c r="T153" s="269" t="str">
        <f t="shared" si="12"/>
        <v/>
      </c>
      <c r="U153" s="221">
        <f t="shared" si="13"/>
        <v>53</v>
      </c>
      <c r="V153" s="220" t="str">
        <f t="shared" si="42"/>
        <v>-</v>
      </c>
      <c r="W153" s="221" t="str">
        <f t="shared" si="43"/>
        <v>-</v>
      </c>
      <c r="X153" s="221" t="str">
        <f t="shared" si="14"/>
        <v>-</v>
      </c>
      <c r="Y153" s="221" t="str">
        <f t="shared" si="15"/>
        <v>-</v>
      </c>
      <c r="Z153" s="270">
        <f t="shared" si="44"/>
        <v>0.1</v>
      </c>
      <c r="AA153" s="271" t="str">
        <f>IFERROR(IF(V152=1,AA$100*EXP(-(LN(2)/$D$65+0.04)*X152)*EXP(-(LN(2)/$D$65+0.1)*Y152),IF(V152=2,AA$100*EXP(-(LN(2)/$D$65+0.04)*(VLOOKUP(($F$16-$F$15)-1,U$99:Y152,4,FALSE)))*EXP(-(LN(2)/$D$65+0.1)*(VLOOKUP(($F$16-$F$15)-1,U$99:Y152,5,FALSE)))*EXP(-(LN(2)/$D$65+0.04)*X152)*EXP(-(LN(2)/$D$65+0.1)*Y152),IF(V152=3,AA$100*EXP(-(LN(2)/$D$65+0.04)*(VLOOKUP(($F$16-$F$15)-1,U$99:Y152,4,FALSE)))*EXP(-(LN(2)/$D$65+0.1)*(VLOOKUP(($F$16-$F$15)-1,U$99:Y152,5,FALSE)))*EXP(-(LN(2)/$D$65+0.04)*(VLOOKUP(($F$16-$F$15)*2-1,U$99:Y152,4,FALSE)))*EXP(-(LN(2)/$D$65+0.1)*(VLOOKUP(($F$16-$F$15)*2-1,U$99:Y152,5,FALSE)))*EXP(-(LN(2)/$D$65+0.04)*X152)*EXP(-(LN(2)/$D$65+0.1)*Y152),"-"))),"-")</f>
        <v>-</v>
      </c>
      <c r="AB153" s="271" t="str">
        <f>IFERROR(IF(V153=1,AB$100*EXP(-(LN(2)/$D$65+0.04)*X153)*EXP(-(LN(2)/$D$65+0.1)*Y153),IF(V153=2,AB$100*EXP(-(LN(2)/$D$65+0.04)*(VLOOKUP(($F$16-$F$15)-1,U$100:Y153,4,FALSE)))*EXP(-(LN(2)/$D$65+0.1)*(VLOOKUP(($F$16-$F$15)-1,U$100:Y153,5,FALSE)))*EXP(-(LN(2)/$D$65+0.04)*X153)*EXP(-(LN(2)/$D$65+0.1)*Y153),IF(V153=3,AB$100*EXP(-(LN(2)/$D$65+0.04)*(VLOOKUP(($F$16-$F$15)-1,U$100:Y153,4,FALSE)))*EXP(-(LN(2)/$D$65+0.1)*(VLOOKUP(($F$16-$F$15)-1,U$100:Y153,5,FALSE)))*EXP(-(LN(2)/$D$65+0.04)*(VLOOKUP(($F$16-$F$15)*2-1,U$100:Y153,4,FALSE)))*EXP(-(LN(2)/$D$65+0.1)*(VLOOKUP(($F$16-$F$15)*2-1,U$100:Y153,5,FALSE)))*EXP(-(LN(2)/$D$65+0.04)*X153)*EXP(-(LN(2)/$D$65+0.1)*Y153),"-"))),"-")</f>
        <v>-</v>
      </c>
      <c r="AC153" s="224">
        <f t="shared" si="45"/>
        <v>53</v>
      </c>
      <c r="AD153" s="223" t="str">
        <f t="shared" si="17"/>
        <v>-</v>
      </c>
      <c r="AE153" s="224" t="str">
        <f t="shared" si="46"/>
        <v>-</v>
      </c>
      <c r="AF153" s="224" t="str">
        <f t="shared" si="18"/>
        <v>-</v>
      </c>
      <c r="AG153" s="224" t="str">
        <f t="shared" si="19"/>
        <v>-</v>
      </c>
      <c r="AH153" s="272">
        <f t="shared" si="47"/>
        <v>0.1</v>
      </c>
      <c r="AI153" s="271" t="str">
        <f>IFERROR(IF(AD152=1,AI$100*EXP(-(LN(2)/$D$65+0.04)*AF152)*EXP(-(LN(2)/$D$65+0.1)*AG152),IF(AD152=2,AI$100*EXP(-(LN(2)/$D$65+0.04)*(VLOOKUP(($F$16-$F$15)-1,AC$99:AG152,4,FALSE)))*EXP(-(LN(2)/$D$65+0.1)*(VLOOKUP(($F$16-$F$15)-1,AC$99:AG152,5,FALSE)))*EXP(-(LN(2)/$D$65+0.04)*AF152)*EXP(-(LN(2)/$D$65+0.1)*AG152),IF(AD152=3,AI$100*EXP(-(LN(2)/$D$65+0.04)*(VLOOKUP(($F$16-$F$15)-1,AC$99:AG152,4,FALSE)))*EXP(-(LN(2)/$D$65+0.1)*(VLOOKUP(($F$16-$F$15)-1,AC$99:AG152,5,FALSE)))*EXP(-(LN(2)/$D$65+0.04)*(VLOOKUP(($F$16-$F$15)*2-1,AC$99:AG152,4,FALSE)))*EXP(-(LN(2)/$D$65+0.1)*(VLOOKUP(($F$16-$F$15)*2-1,AC$99:AG152,5,FALSE)))*EXP(-(LN(2)/$D$65+0.04)*AF152)*EXP(-(LN(2)/$D$65+0.1)*AG152),"-"))),"-")</f>
        <v>-</v>
      </c>
      <c r="AJ153" s="271" t="str">
        <f>IFERROR(IF(AD153=1,AJ$100*EXP(-(LN(2)/$D$65+0.04)*AF153)*EXP(-(LN(2)/$D$65+0.1)*AG153),IF(AD153=2,AJ$100*EXP(-(LN(2)/$D$65+0.04)*(VLOOKUP(($F$16-$F$15)-1,AC$100:AG153,4,FALSE)))*EXP(-(LN(2)/$D$65+0.1)*(VLOOKUP(($F$16-$F$15)-1,AC$100:AG153,5,FALSE)))*EXP(-(LN(2)/$D$65+0.04)*AF153)*EXP(-(LN(2)/$D$65+0.1)*AG153),IF(AD153=3,AJ$100*EXP(-(LN(2)/$D$65+0.04)*(VLOOKUP(($F$16-$F$15)-1,AC$100:AG153,4,FALSE)))*EXP(-(LN(2)/$D$65+0.1)*(VLOOKUP(($F$16-$F$15)-1,AC$100:AG153,5,FALSE)))*EXP(-(LN(2)/$D$65+0.04)*(VLOOKUP(($F$16-$F$15)*2-1,AC$100:AG153,4,FALSE)))*EXP(-(LN(2)/$D$65+0.1)*(VLOOKUP(($F$16-$F$15)*2-1,AC$100:AG153,5,FALSE)))*EXP(-(LN(2)/$D$65+0.04)*AF153)*EXP(-(LN(2)/$D$65+0.1)*AG153),"-"))),"-")</f>
        <v>-</v>
      </c>
      <c r="AK153" s="227">
        <f t="shared" si="49"/>
        <v>53</v>
      </c>
      <c r="AL153" s="226" t="str">
        <f t="shared" si="21"/>
        <v>-</v>
      </c>
      <c r="AM153" s="227" t="str">
        <f t="shared" si="50"/>
        <v>-</v>
      </c>
      <c r="AN153" s="227" t="str">
        <f t="shared" si="51"/>
        <v>-</v>
      </c>
      <c r="AO153" s="227" t="str">
        <f t="shared" si="22"/>
        <v>-</v>
      </c>
      <c r="AP153" s="273">
        <f t="shared" si="52"/>
        <v>0.1</v>
      </c>
      <c r="AQ153" s="271" t="str">
        <f>IFERROR(IF(AL152=1,AQ$100*EXP(-(LN(2)/$D$65+0.04)*AN152)*EXP(-(LN(2)/$D$65+0.1)*AO152),IF(AL152=2,AQ$100*EXP(-(LN(2)/$D$65+0.04)*(VLOOKUP(($F$16-$F$15)-1,AK$99:AO152,4,FALSE)))*EXP(-(LN(2)/$D$65+0.1)*(VLOOKUP(($F$16-$F$15)-1,AK$99:AO152,5,FALSE)))*EXP(-(LN(2)/$D$65+0.04)*AN152)*EXP(-(LN(2)/$D$65+0.1)*AO152),IF(AL152=3,AQ$100*EXP(-(LN(2)/$D$65+0.04)*(VLOOKUP(($F$16-$F$15)-1,AK$99:AO152,4,FALSE)))*EXP(-(LN(2)/$D$65+0.1)*(VLOOKUP(($F$16-$F$15)-1,AK$99:AO152,5,FALSE)))*EXP(-(LN(2)/$D$65+0.04)*(VLOOKUP(($F$16-$F$15)*2-1,AK$99:AO152,4,FALSE)))*EXP(-(LN(2)/$D$65+0.1)*(VLOOKUP(($F$16-$F$15)*2-1,AK$99:AO152,5,FALSE)))*EXP(-(LN(2)/$D$65+0.04)*AN152)*EXP(-(LN(2)/$D$65+0.1)*AO152),"-"))),"-")</f>
        <v>-</v>
      </c>
      <c r="AR153" s="271" t="str">
        <f>IFERROR(IF(AL153=1,AR$100*EXP(-(LN(2)/$D$65+0.04)*AN153)*EXP(-(LN(2)/$D$65+0.1)*AO153),IF(AL153=2,AR$100*EXP(-(LN(2)/$D$65+0.04)*(VLOOKUP(($F$16-$F$15)-1,AK$100:AO153,4,FALSE)))*EXP(-(LN(2)/$D$65+0.1)*(VLOOKUP(($F$16-$F$15)-1,AK$100:AO153,5,FALSE)))*EXP(-(LN(2)/$D$65+0.04)*AN153)*EXP(-(LN(2)/$D$65+0.1)*AO153),IF(AL153=3,AR$100*EXP(-(LN(2)/$D$65+0.04)*(VLOOKUP(($F$16-$F$15)-1,AK$100:AO153,4,FALSE)))*EXP(-(LN(2)/$D$65+0.1)*(VLOOKUP(($F$16-$F$15)-1,AK$100:AO153,5,FALSE)))*EXP(-(LN(2)/$D$65+0.04)*(VLOOKUP(($F$16-$F$15)*2-1,AK$100:AO153,4,FALSE)))*EXP(-(LN(2)/$D$65+0.1)*(VLOOKUP(($F$16-$F$15)*2-1,AK$100:AO153,5,FALSE)))*EXP(-(LN(2)/$D$65+0.04)*AN153)*EXP(-(LN(2)/$D$65+0.1)*AO153),"-"))),"-")</f>
        <v>-</v>
      </c>
      <c r="AS153" s="274">
        <f t="shared" si="23"/>
        <v>0</v>
      </c>
      <c r="AT153" s="274">
        <f t="shared" si="24"/>
        <v>0</v>
      </c>
      <c r="AU153" s="274">
        <f t="shared" si="25"/>
        <v>0</v>
      </c>
      <c r="AV153" s="190">
        <f>IF($B153&lt;$F$22,SUM($T$100:$T153),"")</f>
        <v>0</v>
      </c>
      <c r="AW153" s="190" t="str">
        <f t="shared" si="84"/>
        <v>-</v>
      </c>
      <c r="AX153" s="190" t="str">
        <f t="shared" si="56"/>
        <v/>
      </c>
      <c r="AY153"/>
      <c r="AZ153" s="190" t="str">
        <f ca="1">IF(ISNUMBER(OFFSET(AV153,-$F$21,0)),SUM(OFFSET($T$100,$F$21,0):$T153),"")</f>
        <v/>
      </c>
      <c r="BA153" s="190" t="str">
        <f t="shared" ca="1" si="85"/>
        <v/>
      </c>
      <c r="BB153" s="190" t="str">
        <f t="shared" ca="1" si="70"/>
        <v/>
      </c>
      <c r="BC153" s="190"/>
      <c r="BD153" s="190" t="str">
        <f ca="1">IFERROR(IF(AND($B153&gt;=($F$16-$F$15),$B153&lt;$F$22+($F$16-$F$15)),SUM(OFFSET($T$100,($F$16-$F$15),0):$T153),""),"")</f>
        <v/>
      </c>
      <c r="BE153" s="190" t="str">
        <f t="shared" ca="1" si="58"/>
        <v/>
      </c>
      <c r="BF153" s="190" t="str">
        <f t="shared" ca="1" si="59"/>
        <v/>
      </c>
      <c r="BG153"/>
      <c r="BH153" s="190" t="str">
        <f ca="1">IF(ISNUMBER(OFFSET(BD153,-$F$21,0)),SUM(OFFSET($T$100,($F$16-$F$15+$F$21),0):$T153),"")</f>
        <v/>
      </c>
      <c r="BI153" s="190" t="str">
        <f t="shared" ca="1" si="86"/>
        <v/>
      </c>
      <c r="BJ153" s="190" t="str">
        <f t="shared" ca="1" si="60"/>
        <v/>
      </c>
      <c r="BK153" s="190"/>
      <c r="BL153" s="190" t="str">
        <f ca="1">IFERROR(IF(AND($B153&gt;=($F$17-$F$15),$B153&lt;$F$22+($F$17-$F$15)),SUM(OFFSET($T$100,($F$17-$F$15),0):$T153),""),"")</f>
        <v/>
      </c>
      <c r="BM153" s="190" t="str">
        <f t="shared" ca="1" si="87"/>
        <v/>
      </c>
      <c r="BN153" s="190" t="str">
        <f t="shared" ca="1" si="61"/>
        <v/>
      </c>
      <c r="BO153"/>
      <c r="BP153" s="190" t="str">
        <f ca="1">IF(ISNUMBER(OFFSET(BL153,-$F$21,0)),SUM(OFFSET($T$100,($F$17-$F$15+$F$21),0):$T153),"")</f>
        <v/>
      </c>
      <c r="BQ153" s="190" t="str">
        <f t="shared" ca="1" si="88"/>
        <v/>
      </c>
      <c r="BR153" s="190" t="str">
        <f t="shared" ca="1" si="63"/>
        <v/>
      </c>
      <c r="BS153" s="190"/>
      <c r="BT153"/>
      <c r="BU153"/>
      <c r="BV153"/>
      <c r="BY153" s="99"/>
      <c r="BZ153" s="99"/>
      <c r="CA153" s="280" t="str">
        <f t="shared" si="89"/>
        <v/>
      </c>
      <c r="CB153" s="71" t="str">
        <f t="shared" si="30"/>
        <v>-</v>
      </c>
      <c r="CC153" s="33"/>
      <c r="CD153" s="261" t="str">
        <f t="shared" si="32"/>
        <v/>
      </c>
      <c r="CE153" s="280" t="str">
        <f t="shared" si="90"/>
        <v>-</v>
      </c>
      <c r="CF153" s="71" t="str">
        <f t="shared" ca="1" si="91"/>
        <v>-</v>
      </c>
      <c r="CG153" s="33" t="str">
        <f t="shared" si="35"/>
        <v>53-54</v>
      </c>
      <c r="CH153" s="261" t="str">
        <f t="shared" ca="1" si="36"/>
        <v/>
      </c>
      <c r="CI153" s="99"/>
      <c r="CJ153" s="99"/>
      <c r="CK153" s="99"/>
      <c r="CL153" s="99"/>
      <c r="CM153" s="99"/>
      <c r="CN153" s="99"/>
      <c r="CO153" s="99"/>
    </row>
    <row r="154" spans="2:93" ht="13.5" customHeight="1" x14ac:dyDescent="0.2">
      <c r="B154" s="262">
        <v>54</v>
      </c>
      <c r="C154" s="237" t="str">
        <f t="shared" si="71"/>
        <v/>
      </c>
      <c r="D154" s="237" t="str">
        <f t="shared" si="66"/>
        <v>-</v>
      </c>
      <c r="E154" s="290" t="str">
        <f t="shared" si="37"/>
        <v/>
      </c>
      <c r="F154" s="264" t="str">
        <f t="shared" si="38"/>
        <v/>
      </c>
      <c r="G154" s="291" t="str">
        <f t="shared" si="39"/>
        <v/>
      </c>
      <c r="H154" s="240" t="str">
        <f t="shared" si="72"/>
        <v/>
      </c>
      <c r="I154" s="265" t="str">
        <f t="shared" si="73"/>
        <v/>
      </c>
      <c r="J154" s="265" t="str">
        <f t="shared" si="74"/>
        <v/>
      </c>
      <c r="K154" s="240" t="str">
        <f t="shared" si="75"/>
        <v/>
      </c>
      <c r="L154" s="265" t="str">
        <f t="shared" si="76"/>
        <v/>
      </c>
      <c r="M154" s="265" t="str">
        <f t="shared" si="77"/>
        <v/>
      </c>
      <c r="N154" s="240" t="str">
        <f t="shared" si="78"/>
        <v>-</v>
      </c>
      <c r="O154" s="265" t="str">
        <f t="shared" si="79"/>
        <v>-</v>
      </c>
      <c r="P154" s="265" t="str">
        <f t="shared" si="80"/>
        <v>-</v>
      </c>
      <c r="Q154" s="266" t="str">
        <f t="shared" si="81"/>
        <v>-</v>
      </c>
      <c r="R154" s="267" t="str">
        <f t="shared" si="82"/>
        <v>-</v>
      </c>
      <c r="S154" s="268" t="str">
        <f t="shared" si="83"/>
        <v>-</v>
      </c>
      <c r="T154" s="269" t="str">
        <f t="shared" si="12"/>
        <v/>
      </c>
      <c r="U154" s="221">
        <f t="shared" si="13"/>
        <v>54</v>
      </c>
      <c r="V154" s="220" t="str">
        <f t="shared" si="42"/>
        <v>-</v>
      </c>
      <c r="W154" s="221" t="str">
        <f t="shared" si="43"/>
        <v>-</v>
      </c>
      <c r="X154" s="221" t="str">
        <f t="shared" si="14"/>
        <v>-</v>
      </c>
      <c r="Y154" s="221" t="str">
        <f t="shared" si="15"/>
        <v>-</v>
      </c>
      <c r="Z154" s="270">
        <f t="shared" si="44"/>
        <v>0.1</v>
      </c>
      <c r="AA154" s="271" t="str">
        <f>IFERROR(IF(V153=1,AA$100*EXP(-(LN(2)/$D$65+0.04)*X153)*EXP(-(LN(2)/$D$65+0.1)*Y153),IF(V153=2,AA$100*EXP(-(LN(2)/$D$65+0.04)*(VLOOKUP(($F$16-$F$15)-1,U$99:Y153,4,FALSE)))*EXP(-(LN(2)/$D$65+0.1)*(VLOOKUP(($F$16-$F$15)-1,U$99:Y153,5,FALSE)))*EXP(-(LN(2)/$D$65+0.04)*X153)*EXP(-(LN(2)/$D$65+0.1)*Y153),IF(V153=3,AA$100*EXP(-(LN(2)/$D$65+0.04)*(VLOOKUP(($F$16-$F$15)-1,U$99:Y153,4,FALSE)))*EXP(-(LN(2)/$D$65+0.1)*(VLOOKUP(($F$16-$F$15)-1,U$99:Y153,5,FALSE)))*EXP(-(LN(2)/$D$65+0.04)*(VLOOKUP(($F$16-$F$15)*2-1,U$99:Y153,4,FALSE)))*EXP(-(LN(2)/$D$65+0.1)*(VLOOKUP(($F$16-$F$15)*2-1,U$99:Y153,5,FALSE)))*EXP(-(LN(2)/$D$65+0.04)*X153)*EXP(-(LN(2)/$D$65+0.1)*Y153),"-"))),"-")</f>
        <v>-</v>
      </c>
      <c r="AB154" s="271" t="str">
        <f>IFERROR(IF(V154=1,AB$100*EXP(-(LN(2)/$D$65+0.04)*X154)*EXP(-(LN(2)/$D$65+0.1)*Y154),IF(V154=2,AB$100*EXP(-(LN(2)/$D$65+0.04)*(VLOOKUP(($F$16-$F$15)-1,U$100:Y154,4,FALSE)))*EXP(-(LN(2)/$D$65+0.1)*(VLOOKUP(($F$16-$F$15)-1,U$100:Y154,5,FALSE)))*EXP(-(LN(2)/$D$65+0.04)*X154)*EXP(-(LN(2)/$D$65+0.1)*Y154),IF(V154=3,AB$100*EXP(-(LN(2)/$D$65+0.04)*(VLOOKUP(($F$16-$F$15)-1,U$100:Y154,4,FALSE)))*EXP(-(LN(2)/$D$65+0.1)*(VLOOKUP(($F$16-$F$15)-1,U$100:Y154,5,FALSE)))*EXP(-(LN(2)/$D$65+0.04)*(VLOOKUP(($F$16-$F$15)*2-1,U$100:Y154,4,FALSE)))*EXP(-(LN(2)/$D$65+0.1)*(VLOOKUP(($F$16-$F$15)*2-1,U$100:Y154,5,FALSE)))*EXP(-(LN(2)/$D$65+0.04)*X154)*EXP(-(LN(2)/$D$65+0.1)*Y154),"-"))),"-")</f>
        <v>-</v>
      </c>
      <c r="AC154" s="224">
        <f t="shared" si="45"/>
        <v>54</v>
      </c>
      <c r="AD154" s="223" t="str">
        <f t="shared" si="17"/>
        <v>-</v>
      </c>
      <c r="AE154" s="224" t="str">
        <f t="shared" si="46"/>
        <v>-</v>
      </c>
      <c r="AF154" s="224" t="str">
        <f t="shared" si="18"/>
        <v>-</v>
      </c>
      <c r="AG154" s="224" t="str">
        <f t="shared" si="19"/>
        <v>-</v>
      </c>
      <c r="AH154" s="272">
        <f t="shared" si="47"/>
        <v>0.1</v>
      </c>
      <c r="AI154" s="271" t="str">
        <f>IFERROR(IF(AD153=1,AI$100*EXP(-(LN(2)/$D$65+0.04)*AF153)*EXP(-(LN(2)/$D$65+0.1)*AG153),IF(AD153=2,AI$100*EXP(-(LN(2)/$D$65+0.04)*(VLOOKUP(($F$16-$F$15)-1,AC$99:AG153,4,FALSE)))*EXP(-(LN(2)/$D$65+0.1)*(VLOOKUP(($F$16-$F$15)-1,AC$99:AG153,5,FALSE)))*EXP(-(LN(2)/$D$65+0.04)*AF153)*EXP(-(LN(2)/$D$65+0.1)*AG153),IF(AD153=3,AI$100*EXP(-(LN(2)/$D$65+0.04)*(VLOOKUP(($F$16-$F$15)-1,AC$99:AG153,4,FALSE)))*EXP(-(LN(2)/$D$65+0.1)*(VLOOKUP(($F$16-$F$15)-1,AC$99:AG153,5,FALSE)))*EXP(-(LN(2)/$D$65+0.04)*(VLOOKUP(($F$16-$F$15)*2-1,AC$99:AG153,4,FALSE)))*EXP(-(LN(2)/$D$65+0.1)*(VLOOKUP(($F$16-$F$15)*2-1,AC$99:AG153,5,FALSE)))*EXP(-(LN(2)/$D$65+0.04)*AF153)*EXP(-(LN(2)/$D$65+0.1)*AG153),"-"))),"-")</f>
        <v>-</v>
      </c>
      <c r="AJ154" s="271" t="str">
        <f>IFERROR(IF(AD154=1,AJ$100*EXP(-(LN(2)/$D$65+0.04)*AF154)*EXP(-(LN(2)/$D$65+0.1)*AG154),IF(AD154=2,AJ$100*EXP(-(LN(2)/$D$65+0.04)*(VLOOKUP(($F$16-$F$15)-1,AC$100:AG154,4,FALSE)))*EXP(-(LN(2)/$D$65+0.1)*(VLOOKUP(($F$16-$F$15)-1,AC$100:AG154,5,FALSE)))*EXP(-(LN(2)/$D$65+0.04)*AF154)*EXP(-(LN(2)/$D$65+0.1)*AG154),IF(AD154=3,AJ$100*EXP(-(LN(2)/$D$65+0.04)*(VLOOKUP(($F$16-$F$15)-1,AC$100:AG154,4,FALSE)))*EXP(-(LN(2)/$D$65+0.1)*(VLOOKUP(($F$16-$F$15)-1,AC$100:AG154,5,FALSE)))*EXP(-(LN(2)/$D$65+0.04)*(VLOOKUP(($F$16-$F$15)*2-1,AC$100:AG154,4,FALSE)))*EXP(-(LN(2)/$D$65+0.1)*(VLOOKUP(($F$16-$F$15)*2-1,AC$100:AG154,5,FALSE)))*EXP(-(LN(2)/$D$65+0.04)*AF154)*EXP(-(LN(2)/$D$65+0.1)*AG154),"-"))),"-")</f>
        <v>-</v>
      </c>
      <c r="AK154" s="227">
        <f t="shared" si="49"/>
        <v>54</v>
      </c>
      <c r="AL154" s="226" t="str">
        <f t="shared" si="21"/>
        <v>-</v>
      </c>
      <c r="AM154" s="227" t="str">
        <f t="shared" si="50"/>
        <v>-</v>
      </c>
      <c r="AN154" s="227" t="str">
        <f t="shared" si="51"/>
        <v>-</v>
      </c>
      <c r="AO154" s="227" t="str">
        <f t="shared" si="22"/>
        <v>-</v>
      </c>
      <c r="AP154" s="273">
        <f t="shared" si="52"/>
        <v>0.1</v>
      </c>
      <c r="AQ154" s="271" t="str">
        <f>IFERROR(IF(AL153=1,AQ$100*EXP(-(LN(2)/$D$65+0.04)*AN153)*EXP(-(LN(2)/$D$65+0.1)*AO153),IF(AL153=2,AQ$100*EXP(-(LN(2)/$D$65+0.04)*(VLOOKUP(($F$16-$F$15)-1,AK$99:AO153,4,FALSE)))*EXP(-(LN(2)/$D$65+0.1)*(VLOOKUP(($F$16-$F$15)-1,AK$99:AO153,5,FALSE)))*EXP(-(LN(2)/$D$65+0.04)*AN153)*EXP(-(LN(2)/$D$65+0.1)*AO153),IF(AL153=3,AQ$100*EXP(-(LN(2)/$D$65+0.04)*(VLOOKUP(($F$16-$F$15)-1,AK$99:AO153,4,FALSE)))*EXP(-(LN(2)/$D$65+0.1)*(VLOOKUP(($F$16-$F$15)-1,AK$99:AO153,5,FALSE)))*EXP(-(LN(2)/$D$65+0.04)*(VLOOKUP(($F$16-$F$15)*2-1,AK$99:AO153,4,FALSE)))*EXP(-(LN(2)/$D$65+0.1)*(VLOOKUP(($F$16-$F$15)*2-1,AK$99:AO153,5,FALSE)))*EXP(-(LN(2)/$D$65+0.04)*AN153)*EXP(-(LN(2)/$D$65+0.1)*AO153),"-"))),"-")</f>
        <v>-</v>
      </c>
      <c r="AR154" s="271" t="str">
        <f>IFERROR(IF(AL154=1,AR$100*EXP(-(LN(2)/$D$65+0.04)*AN154)*EXP(-(LN(2)/$D$65+0.1)*AO154),IF(AL154=2,AR$100*EXP(-(LN(2)/$D$65+0.04)*(VLOOKUP(($F$16-$F$15)-1,AK$100:AO154,4,FALSE)))*EXP(-(LN(2)/$D$65+0.1)*(VLOOKUP(($F$16-$F$15)-1,AK$100:AO154,5,FALSE)))*EXP(-(LN(2)/$D$65+0.04)*AN154)*EXP(-(LN(2)/$D$65+0.1)*AO154),IF(AL154=3,AR$100*EXP(-(LN(2)/$D$65+0.04)*(VLOOKUP(($F$16-$F$15)-1,AK$100:AO154,4,FALSE)))*EXP(-(LN(2)/$D$65+0.1)*(VLOOKUP(($F$16-$F$15)-1,AK$100:AO154,5,FALSE)))*EXP(-(LN(2)/$D$65+0.04)*(VLOOKUP(($F$16-$F$15)*2-1,AK$100:AO154,4,FALSE)))*EXP(-(LN(2)/$D$65+0.1)*(VLOOKUP(($F$16-$F$15)*2-1,AK$100:AO154,5,FALSE)))*EXP(-(LN(2)/$D$65+0.04)*AN154)*EXP(-(LN(2)/$D$65+0.1)*AO154),"-"))),"-")</f>
        <v>-</v>
      </c>
      <c r="AS154" s="274">
        <f t="shared" si="23"/>
        <v>0</v>
      </c>
      <c r="AT154" s="274">
        <f t="shared" si="24"/>
        <v>0</v>
      </c>
      <c r="AU154" s="274">
        <f t="shared" si="25"/>
        <v>0</v>
      </c>
      <c r="AV154" s="190">
        <f>IF($B154&lt;$F$22,SUM($T$100:$T154),"")</f>
        <v>0</v>
      </c>
      <c r="AW154" s="190" t="str">
        <f t="shared" si="84"/>
        <v>-</v>
      </c>
      <c r="AX154" s="190" t="str">
        <f t="shared" si="56"/>
        <v/>
      </c>
      <c r="AY154"/>
      <c r="AZ154" s="190" t="str">
        <f ca="1">IF(ISNUMBER(OFFSET(AV154,-$F$21,0)),SUM(OFFSET($T$100,$F$21,0):$T154),"")</f>
        <v/>
      </c>
      <c r="BA154" s="190" t="str">
        <f t="shared" ca="1" si="85"/>
        <v/>
      </c>
      <c r="BB154" s="190" t="str">
        <f t="shared" ca="1" si="70"/>
        <v/>
      </c>
      <c r="BC154" s="190"/>
      <c r="BD154" s="190" t="str">
        <f ca="1">IFERROR(IF(AND($B154&gt;=($F$16-$F$15),$B154&lt;$F$22+($F$16-$F$15)),SUM(OFFSET($T$100,($F$16-$F$15),0):$T154),""),"")</f>
        <v/>
      </c>
      <c r="BE154" s="190" t="str">
        <f t="shared" ca="1" si="58"/>
        <v/>
      </c>
      <c r="BF154" s="190" t="str">
        <f t="shared" ca="1" si="59"/>
        <v/>
      </c>
      <c r="BG154"/>
      <c r="BH154" s="190" t="str">
        <f ca="1">IF(ISNUMBER(OFFSET(BD154,-$F$21,0)),SUM(OFFSET($T$100,($F$16-$F$15+$F$21),0):$T154),"")</f>
        <v/>
      </c>
      <c r="BI154" s="190" t="str">
        <f t="shared" ca="1" si="86"/>
        <v/>
      </c>
      <c r="BJ154" s="190" t="str">
        <f t="shared" ca="1" si="60"/>
        <v/>
      </c>
      <c r="BK154" s="190"/>
      <c r="BL154" s="190" t="str">
        <f ca="1">IFERROR(IF(AND($B154&gt;=($F$17-$F$15),$B154&lt;$F$22+($F$17-$F$15)),SUM(OFFSET($T$100,($F$17-$F$15),0):$T154),""),"")</f>
        <v/>
      </c>
      <c r="BM154" s="190" t="str">
        <f t="shared" ca="1" si="87"/>
        <v/>
      </c>
      <c r="BN154" s="190" t="str">
        <f t="shared" ca="1" si="61"/>
        <v/>
      </c>
      <c r="BO154"/>
      <c r="BP154" s="190" t="str">
        <f ca="1">IF(ISNUMBER(OFFSET(BL154,-$F$21,0)),SUM(OFFSET($T$100,($F$17-$F$15+$F$21),0):$T154),"")</f>
        <v/>
      </c>
      <c r="BQ154" s="190" t="str">
        <f t="shared" ca="1" si="88"/>
        <v/>
      </c>
      <c r="BR154" s="190" t="str">
        <f t="shared" ca="1" si="63"/>
        <v/>
      </c>
      <c r="BS154" s="190"/>
      <c r="BT154"/>
      <c r="BU154"/>
      <c r="BV154"/>
      <c r="BY154" s="99"/>
      <c r="BZ154" s="99"/>
      <c r="CA154" s="280" t="str">
        <f t="shared" si="89"/>
        <v/>
      </c>
      <c r="CB154" s="71" t="str">
        <f t="shared" si="30"/>
        <v>-</v>
      </c>
      <c r="CC154" s="33"/>
      <c r="CD154" s="261" t="str">
        <f t="shared" si="32"/>
        <v/>
      </c>
      <c r="CE154" s="280" t="str">
        <f t="shared" si="90"/>
        <v>-</v>
      </c>
      <c r="CF154" s="71" t="str">
        <f t="shared" ca="1" si="91"/>
        <v>-</v>
      </c>
      <c r="CG154" s="33" t="str">
        <f t="shared" si="35"/>
        <v>54-55</v>
      </c>
      <c r="CH154" s="261" t="str">
        <f t="shared" ca="1" si="36"/>
        <v/>
      </c>
      <c r="CI154" s="99"/>
      <c r="CJ154" s="99"/>
      <c r="CK154" s="99"/>
      <c r="CL154" s="99"/>
      <c r="CM154" s="99"/>
      <c r="CN154" s="99"/>
      <c r="CO154" s="99"/>
    </row>
    <row r="155" spans="2:93" ht="13.5" customHeight="1" x14ac:dyDescent="0.2">
      <c r="B155" s="262">
        <v>55</v>
      </c>
      <c r="C155" s="237" t="str">
        <f t="shared" si="71"/>
        <v/>
      </c>
      <c r="D155" s="237" t="str">
        <f t="shared" si="66"/>
        <v>-</v>
      </c>
      <c r="E155" s="290" t="str">
        <f t="shared" si="37"/>
        <v/>
      </c>
      <c r="F155" s="264" t="str">
        <f t="shared" si="38"/>
        <v/>
      </c>
      <c r="G155" s="291" t="str">
        <f t="shared" si="39"/>
        <v/>
      </c>
      <c r="H155" s="240" t="str">
        <f t="shared" si="72"/>
        <v/>
      </c>
      <c r="I155" s="265" t="str">
        <f t="shared" si="73"/>
        <v/>
      </c>
      <c r="J155" s="265" t="str">
        <f t="shared" si="74"/>
        <v/>
      </c>
      <c r="K155" s="240" t="str">
        <f t="shared" si="75"/>
        <v/>
      </c>
      <c r="L155" s="265" t="str">
        <f t="shared" si="76"/>
        <v/>
      </c>
      <c r="M155" s="265" t="str">
        <f t="shared" si="77"/>
        <v/>
      </c>
      <c r="N155" s="240" t="str">
        <f t="shared" si="78"/>
        <v>-</v>
      </c>
      <c r="O155" s="265" t="str">
        <f t="shared" si="79"/>
        <v>-</v>
      </c>
      <c r="P155" s="265" t="str">
        <f t="shared" si="80"/>
        <v>-</v>
      </c>
      <c r="Q155" s="266" t="str">
        <f t="shared" si="81"/>
        <v>-</v>
      </c>
      <c r="R155" s="267" t="str">
        <f t="shared" si="82"/>
        <v>-</v>
      </c>
      <c r="S155" s="268" t="str">
        <f t="shared" si="83"/>
        <v>-</v>
      </c>
      <c r="T155" s="269" t="str">
        <f t="shared" si="12"/>
        <v/>
      </c>
      <c r="U155" s="221">
        <f t="shared" si="13"/>
        <v>55</v>
      </c>
      <c r="V155" s="220" t="str">
        <f t="shared" si="42"/>
        <v>-</v>
      </c>
      <c r="W155" s="221" t="str">
        <f t="shared" si="43"/>
        <v>-</v>
      </c>
      <c r="X155" s="221" t="str">
        <f t="shared" si="14"/>
        <v>-</v>
      </c>
      <c r="Y155" s="221" t="str">
        <f t="shared" si="15"/>
        <v>-</v>
      </c>
      <c r="Z155" s="270">
        <f t="shared" si="44"/>
        <v>0.1</v>
      </c>
      <c r="AA155" s="271" t="str">
        <f>IFERROR(IF(V154=1,AA$100*EXP(-(LN(2)/$D$65+0.04)*X154)*EXP(-(LN(2)/$D$65+0.1)*Y154),IF(V154=2,AA$100*EXP(-(LN(2)/$D$65+0.04)*(VLOOKUP(($F$16-$F$15)-1,U$99:Y154,4,FALSE)))*EXP(-(LN(2)/$D$65+0.1)*(VLOOKUP(($F$16-$F$15)-1,U$99:Y154,5,FALSE)))*EXP(-(LN(2)/$D$65+0.04)*X154)*EXP(-(LN(2)/$D$65+0.1)*Y154),IF(V154=3,AA$100*EXP(-(LN(2)/$D$65+0.04)*(VLOOKUP(($F$16-$F$15)-1,U$99:Y154,4,FALSE)))*EXP(-(LN(2)/$D$65+0.1)*(VLOOKUP(($F$16-$F$15)-1,U$99:Y154,5,FALSE)))*EXP(-(LN(2)/$D$65+0.04)*(VLOOKUP(($F$16-$F$15)*2-1,U$99:Y154,4,FALSE)))*EXP(-(LN(2)/$D$65+0.1)*(VLOOKUP(($F$16-$F$15)*2-1,U$99:Y154,5,FALSE)))*EXP(-(LN(2)/$D$65+0.04)*X154)*EXP(-(LN(2)/$D$65+0.1)*Y154),"-"))),"-")</f>
        <v>-</v>
      </c>
      <c r="AB155" s="271" t="str">
        <f>IFERROR(IF(V155=1,AB$100*EXP(-(LN(2)/$D$65+0.04)*X155)*EXP(-(LN(2)/$D$65+0.1)*Y155),IF(V155=2,AB$100*EXP(-(LN(2)/$D$65+0.04)*(VLOOKUP(($F$16-$F$15)-1,U$100:Y155,4,FALSE)))*EXP(-(LN(2)/$D$65+0.1)*(VLOOKUP(($F$16-$F$15)-1,U$100:Y155,5,FALSE)))*EXP(-(LN(2)/$D$65+0.04)*X155)*EXP(-(LN(2)/$D$65+0.1)*Y155),IF(V155=3,AB$100*EXP(-(LN(2)/$D$65+0.04)*(VLOOKUP(($F$16-$F$15)-1,U$100:Y155,4,FALSE)))*EXP(-(LN(2)/$D$65+0.1)*(VLOOKUP(($F$16-$F$15)-1,U$100:Y155,5,FALSE)))*EXP(-(LN(2)/$D$65+0.04)*(VLOOKUP(($F$16-$F$15)*2-1,U$100:Y155,4,FALSE)))*EXP(-(LN(2)/$D$65+0.1)*(VLOOKUP(($F$16-$F$15)*2-1,U$100:Y155,5,FALSE)))*EXP(-(LN(2)/$D$65+0.04)*X155)*EXP(-(LN(2)/$D$65+0.1)*Y155),"-"))),"-")</f>
        <v>-</v>
      </c>
      <c r="AC155" s="224">
        <f t="shared" si="45"/>
        <v>55</v>
      </c>
      <c r="AD155" s="223" t="str">
        <f t="shared" si="17"/>
        <v>-</v>
      </c>
      <c r="AE155" s="224" t="str">
        <f t="shared" si="46"/>
        <v>-</v>
      </c>
      <c r="AF155" s="224" t="str">
        <f t="shared" si="18"/>
        <v>-</v>
      </c>
      <c r="AG155" s="224" t="str">
        <f t="shared" si="19"/>
        <v>-</v>
      </c>
      <c r="AH155" s="272">
        <f t="shared" si="47"/>
        <v>0.1</v>
      </c>
      <c r="AI155" s="271" t="str">
        <f>IFERROR(IF(AD154=1,AI$100*EXP(-(LN(2)/$D$65+0.04)*AF154)*EXP(-(LN(2)/$D$65+0.1)*AG154),IF(AD154=2,AI$100*EXP(-(LN(2)/$D$65+0.04)*(VLOOKUP(($F$16-$F$15)-1,AC$99:AG154,4,FALSE)))*EXP(-(LN(2)/$D$65+0.1)*(VLOOKUP(($F$16-$F$15)-1,AC$99:AG154,5,FALSE)))*EXP(-(LN(2)/$D$65+0.04)*AF154)*EXP(-(LN(2)/$D$65+0.1)*AG154),IF(AD154=3,AI$100*EXP(-(LN(2)/$D$65+0.04)*(VLOOKUP(($F$16-$F$15)-1,AC$99:AG154,4,FALSE)))*EXP(-(LN(2)/$D$65+0.1)*(VLOOKUP(($F$16-$F$15)-1,AC$99:AG154,5,FALSE)))*EXP(-(LN(2)/$D$65+0.04)*(VLOOKUP(($F$16-$F$15)*2-1,AC$99:AG154,4,FALSE)))*EXP(-(LN(2)/$D$65+0.1)*(VLOOKUP(($F$16-$F$15)*2-1,AC$99:AG154,5,FALSE)))*EXP(-(LN(2)/$D$65+0.04)*AF154)*EXP(-(LN(2)/$D$65+0.1)*AG154),"-"))),"-")</f>
        <v>-</v>
      </c>
      <c r="AJ155" s="271" t="str">
        <f>IFERROR(IF(AD155=1,AJ$100*EXP(-(LN(2)/$D$65+0.04)*AF155)*EXP(-(LN(2)/$D$65+0.1)*AG155),IF(AD155=2,AJ$100*EXP(-(LN(2)/$D$65+0.04)*(VLOOKUP(($F$16-$F$15)-1,AC$100:AG155,4,FALSE)))*EXP(-(LN(2)/$D$65+0.1)*(VLOOKUP(($F$16-$F$15)-1,AC$100:AG155,5,FALSE)))*EXP(-(LN(2)/$D$65+0.04)*AF155)*EXP(-(LN(2)/$D$65+0.1)*AG155),IF(AD155=3,AJ$100*EXP(-(LN(2)/$D$65+0.04)*(VLOOKUP(($F$16-$F$15)-1,AC$100:AG155,4,FALSE)))*EXP(-(LN(2)/$D$65+0.1)*(VLOOKUP(($F$16-$F$15)-1,AC$100:AG155,5,FALSE)))*EXP(-(LN(2)/$D$65+0.04)*(VLOOKUP(($F$16-$F$15)*2-1,AC$100:AG155,4,FALSE)))*EXP(-(LN(2)/$D$65+0.1)*(VLOOKUP(($F$16-$F$15)*2-1,AC$100:AG155,5,FALSE)))*EXP(-(LN(2)/$D$65+0.04)*AF155)*EXP(-(LN(2)/$D$65+0.1)*AG155),"-"))),"-")</f>
        <v>-</v>
      </c>
      <c r="AK155" s="227">
        <f t="shared" si="49"/>
        <v>55</v>
      </c>
      <c r="AL155" s="226" t="str">
        <f t="shared" si="21"/>
        <v>-</v>
      </c>
      <c r="AM155" s="227" t="str">
        <f t="shared" si="50"/>
        <v>-</v>
      </c>
      <c r="AN155" s="227" t="str">
        <f t="shared" si="51"/>
        <v>-</v>
      </c>
      <c r="AO155" s="227" t="str">
        <f t="shared" si="22"/>
        <v>-</v>
      </c>
      <c r="AP155" s="273">
        <f t="shared" si="52"/>
        <v>0.1</v>
      </c>
      <c r="AQ155" s="271" t="str">
        <f>IFERROR(IF(AL154=1,AQ$100*EXP(-(LN(2)/$D$65+0.04)*AN154)*EXP(-(LN(2)/$D$65+0.1)*AO154),IF(AL154=2,AQ$100*EXP(-(LN(2)/$D$65+0.04)*(VLOOKUP(($F$16-$F$15)-1,AK$99:AO154,4,FALSE)))*EXP(-(LN(2)/$D$65+0.1)*(VLOOKUP(($F$16-$F$15)-1,AK$99:AO154,5,FALSE)))*EXP(-(LN(2)/$D$65+0.04)*AN154)*EXP(-(LN(2)/$D$65+0.1)*AO154),IF(AL154=3,AQ$100*EXP(-(LN(2)/$D$65+0.04)*(VLOOKUP(($F$16-$F$15)-1,AK$99:AO154,4,FALSE)))*EXP(-(LN(2)/$D$65+0.1)*(VLOOKUP(($F$16-$F$15)-1,AK$99:AO154,5,FALSE)))*EXP(-(LN(2)/$D$65+0.04)*(VLOOKUP(($F$16-$F$15)*2-1,AK$99:AO154,4,FALSE)))*EXP(-(LN(2)/$D$65+0.1)*(VLOOKUP(($F$16-$F$15)*2-1,AK$99:AO154,5,FALSE)))*EXP(-(LN(2)/$D$65+0.04)*AN154)*EXP(-(LN(2)/$D$65+0.1)*AO154),"-"))),"-")</f>
        <v>-</v>
      </c>
      <c r="AR155" s="271" t="str">
        <f>IFERROR(IF(AL155=1,AR$100*EXP(-(LN(2)/$D$65+0.04)*AN155)*EXP(-(LN(2)/$D$65+0.1)*AO155),IF(AL155=2,AR$100*EXP(-(LN(2)/$D$65+0.04)*(VLOOKUP(($F$16-$F$15)-1,AK$100:AO155,4,FALSE)))*EXP(-(LN(2)/$D$65+0.1)*(VLOOKUP(($F$16-$F$15)-1,AK$100:AO155,5,FALSE)))*EXP(-(LN(2)/$D$65+0.04)*AN155)*EXP(-(LN(2)/$D$65+0.1)*AO155),IF(AL155=3,AR$100*EXP(-(LN(2)/$D$65+0.04)*(VLOOKUP(($F$16-$F$15)-1,AK$100:AO155,4,FALSE)))*EXP(-(LN(2)/$D$65+0.1)*(VLOOKUP(($F$16-$F$15)-1,AK$100:AO155,5,FALSE)))*EXP(-(LN(2)/$D$65+0.04)*(VLOOKUP(($F$16-$F$15)*2-1,AK$100:AO155,4,FALSE)))*EXP(-(LN(2)/$D$65+0.1)*(VLOOKUP(($F$16-$F$15)*2-1,AK$100:AO155,5,FALSE)))*EXP(-(LN(2)/$D$65+0.04)*AN155)*EXP(-(LN(2)/$D$65+0.1)*AO155),"-"))),"-")</f>
        <v>-</v>
      </c>
      <c r="AS155" s="274">
        <f t="shared" si="23"/>
        <v>0</v>
      </c>
      <c r="AT155" s="274">
        <f t="shared" si="24"/>
        <v>0</v>
      </c>
      <c r="AU155" s="274">
        <f t="shared" si="25"/>
        <v>0</v>
      </c>
      <c r="AV155" s="190">
        <f>IF($B155&lt;$F$22,SUM($T$100:$T155),"")</f>
        <v>0</v>
      </c>
      <c r="AW155" s="190" t="str">
        <f t="shared" si="84"/>
        <v>-</v>
      </c>
      <c r="AX155" s="190" t="str">
        <f t="shared" si="56"/>
        <v/>
      </c>
      <c r="AY155"/>
      <c r="AZ155" s="190" t="str">
        <f ca="1">IF(ISNUMBER(OFFSET(AV155,-$F$21,0)),SUM(OFFSET($T$100,$F$21,0):$T155),"")</f>
        <v/>
      </c>
      <c r="BA155" s="190" t="str">
        <f t="shared" ca="1" si="85"/>
        <v/>
      </c>
      <c r="BB155" s="190" t="str">
        <f t="shared" ca="1" si="70"/>
        <v/>
      </c>
      <c r="BC155" s="190"/>
      <c r="BD155" s="190" t="str">
        <f ca="1">IFERROR(IF(AND($B155&gt;=($F$16-$F$15),$B155&lt;$F$22+($F$16-$F$15)),SUM(OFFSET($T$100,($F$16-$F$15),0):$T155),""),"")</f>
        <v/>
      </c>
      <c r="BE155" s="190" t="str">
        <f t="shared" ca="1" si="58"/>
        <v/>
      </c>
      <c r="BF155" s="190" t="str">
        <f t="shared" ca="1" si="59"/>
        <v/>
      </c>
      <c r="BG155"/>
      <c r="BH155" s="190" t="str">
        <f ca="1">IF(ISNUMBER(OFFSET(BD155,-$F$21,0)),SUM(OFFSET($T$100,($F$16-$F$15+$F$21),0):$T155),"")</f>
        <v/>
      </c>
      <c r="BI155" s="190" t="str">
        <f t="shared" ca="1" si="86"/>
        <v/>
      </c>
      <c r="BJ155" s="190" t="str">
        <f t="shared" ca="1" si="60"/>
        <v/>
      </c>
      <c r="BK155" s="190"/>
      <c r="BL155" s="190" t="str">
        <f ca="1">IFERROR(IF(AND($B155&gt;=($F$17-$F$15),$B155&lt;$F$22+($F$17-$F$15)),SUM(OFFSET($T$100,($F$17-$F$15),0):$T155),""),"")</f>
        <v/>
      </c>
      <c r="BM155" s="190" t="str">
        <f t="shared" ca="1" si="87"/>
        <v/>
      </c>
      <c r="BN155" s="190" t="str">
        <f t="shared" ca="1" si="61"/>
        <v/>
      </c>
      <c r="BO155"/>
      <c r="BP155" s="190" t="str">
        <f ca="1">IF(ISNUMBER(OFFSET(BL155,-$F$21,0)),SUM(OFFSET($T$100,($F$17-$F$15+$F$21),0):$T155),"")</f>
        <v/>
      </c>
      <c r="BQ155" s="190" t="str">
        <f t="shared" ca="1" si="88"/>
        <v/>
      </c>
      <c r="BR155" s="190" t="str">
        <f t="shared" ca="1" si="63"/>
        <v/>
      </c>
      <c r="BS155" s="190"/>
      <c r="BT155"/>
      <c r="BU155"/>
      <c r="BV155"/>
      <c r="BY155" s="99"/>
      <c r="BZ155" s="99"/>
      <c r="CA155" s="280" t="str">
        <f t="shared" si="89"/>
        <v/>
      </c>
      <c r="CB155" s="71" t="str">
        <f t="shared" si="30"/>
        <v>-</v>
      </c>
      <c r="CC155" s="33"/>
      <c r="CD155" s="261" t="str">
        <f t="shared" si="32"/>
        <v/>
      </c>
      <c r="CE155" s="280" t="str">
        <f t="shared" si="90"/>
        <v>-</v>
      </c>
      <c r="CF155" s="71" t="str">
        <f t="shared" ca="1" si="91"/>
        <v>-</v>
      </c>
      <c r="CG155" s="33" t="str">
        <f t="shared" si="35"/>
        <v>55-56</v>
      </c>
      <c r="CH155" s="261" t="str">
        <f t="shared" ca="1" si="36"/>
        <v/>
      </c>
      <c r="CI155" s="99"/>
      <c r="CJ155" s="99"/>
      <c r="CK155" s="99"/>
      <c r="CL155" s="99"/>
      <c r="CM155" s="99"/>
      <c r="CN155" s="99"/>
      <c r="CO155" s="99"/>
    </row>
    <row r="156" spans="2:93" ht="13.5" customHeight="1" x14ac:dyDescent="0.2">
      <c r="B156" s="262">
        <v>56</v>
      </c>
      <c r="C156" s="237" t="str">
        <f t="shared" si="71"/>
        <v/>
      </c>
      <c r="D156" s="237" t="str">
        <f t="shared" si="66"/>
        <v>-</v>
      </c>
      <c r="E156" s="290" t="str">
        <f t="shared" si="37"/>
        <v/>
      </c>
      <c r="F156" s="264" t="str">
        <f t="shared" si="38"/>
        <v/>
      </c>
      <c r="G156" s="291" t="str">
        <f t="shared" si="39"/>
        <v/>
      </c>
      <c r="H156" s="240" t="str">
        <f t="shared" si="72"/>
        <v/>
      </c>
      <c r="I156" s="265" t="str">
        <f t="shared" si="73"/>
        <v/>
      </c>
      <c r="J156" s="265" t="str">
        <f t="shared" si="74"/>
        <v/>
      </c>
      <c r="K156" s="240" t="str">
        <f t="shared" si="75"/>
        <v/>
      </c>
      <c r="L156" s="265" t="str">
        <f t="shared" si="76"/>
        <v/>
      </c>
      <c r="M156" s="265" t="str">
        <f t="shared" si="77"/>
        <v/>
      </c>
      <c r="N156" s="240" t="str">
        <f t="shared" si="78"/>
        <v>-</v>
      </c>
      <c r="O156" s="265" t="str">
        <f t="shared" si="79"/>
        <v>-</v>
      </c>
      <c r="P156" s="265" t="str">
        <f t="shared" si="80"/>
        <v>-</v>
      </c>
      <c r="Q156" s="266" t="str">
        <f t="shared" si="81"/>
        <v>-</v>
      </c>
      <c r="R156" s="267" t="str">
        <f t="shared" si="82"/>
        <v>-</v>
      </c>
      <c r="S156" s="268" t="str">
        <f t="shared" si="83"/>
        <v>-</v>
      </c>
      <c r="T156" s="269" t="str">
        <f t="shared" si="12"/>
        <v/>
      </c>
      <c r="U156" s="221">
        <f t="shared" si="13"/>
        <v>56</v>
      </c>
      <c r="V156" s="220" t="str">
        <f t="shared" si="42"/>
        <v>-</v>
      </c>
      <c r="W156" s="221" t="str">
        <f t="shared" si="43"/>
        <v>-</v>
      </c>
      <c r="X156" s="221" t="str">
        <f t="shared" si="14"/>
        <v>-</v>
      </c>
      <c r="Y156" s="221" t="str">
        <f t="shared" si="15"/>
        <v>-</v>
      </c>
      <c r="Z156" s="270">
        <f t="shared" si="44"/>
        <v>0.1</v>
      </c>
      <c r="AA156" s="271" t="str">
        <f>IFERROR(IF(V155=1,AA$100*EXP(-(LN(2)/$D$65+0.04)*X155)*EXP(-(LN(2)/$D$65+0.1)*Y155),IF(V155=2,AA$100*EXP(-(LN(2)/$D$65+0.04)*(VLOOKUP(($F$16-$F$15)-1,U$99:Y155,4,FALSE)))*EXP(-(LN(2)/$D$65+0.1)*(VLOOKUP(($F$16-$F$15)-1,U$99:Y155,5,FALSE)))*EXP(-(LN(2)/$D$65+0.04)*X155)*EXP(-(LN(2)/$D$65+0.1)*Y155),IF(V155=3,AA$100*EXP(-(LN(2)/$D$65+0.04)*(VLOOKUP(($F$16-$F$15)-1,U$99:Y155,4,FALSE)))*EXP(-(LN(2)/$D$65+0.1)*(VLOOKUP(($F$16-$F$15)-1,U$99:Y155,5,FALSE)))*EXP(-(LN(2)/$D$65+0.04)*(VLOOKUP(($F$16-$F$15)*2-1,U$99:Y155,4,FALSE)))*EXP(-(LN(2)/$D$65+0.1)*(VLOOKUP(($F$16-$F$15)*2-1,U$99:Y155,5,FALSE)))*EXP(-(LN(2)/$D$65+0.04)*X155)*EXP(-(LN(2)/$D$65+0.1)*Y155),"-"))),"-")</f>
        <v>-</v>
      </c>
      <c r="AB156" s="271" t="str">
        <f>IFERROR(IF(V156=1,AB$100*EXP(-(LN(2)/$D$65+0.04)*X156)*EXP(-(LN(2)/$D$65+0.1)*Y156),IF(V156=2,AB$100*EXP(-(LN(2)/$D$65+0.04)*(VLOOKUP(($F$16-$F$15)-1,U$100:Y156,4,FALSE)))*EXP(-(LN(2)/$D$65+0.1)*(VLOOKUP(($F$16-$F$15)-1,U$100:Y156,5,FALSE)))*EXP(-(LN(2)/$D$65+0.04)*X156)*EXP(-(LN(2)/$D$65+0.1)*Y156),IF(V156=3,AB$100*EXP(-(LN(2)/$D$65+0.04)*(VLOOKUP(($F$16-$F$15)-1,U$100:Y156,4,FALSE)))*EXP(-(LN(2)/$D$65+0.1)*(VLOOKUP(($F$16-$F$15)-1,U$100:Y156,5,FALSE)))*EXP(-(LN(2)/$D$65+0.04)*(VLOOKUP(($F$16-$F$15)*2-1,U$100:Y156,4,FALSE)))*EXP(-(LN(2)/$D$65+0.1)*(VLOOKUP(($F$16-$F$15)*2-1,U$100:Y156,5,FALSE)))*EXP(-(LN(2)/$D$65+0.04)*X156)*EXP(-(LN(2)/$D$65+0.1)*Y156),"-"))),"-")</f>
        <v>-</v>
      </c>
      <c r="AC156" s="224">
        <f t="shared" si="45"/>
        <v>56</v>
      </c>
      <c r="AD156" s="223" t="str">
        <f t="shared" si="17"/>
        <v>-</v>
      </c>
      <c r="AE156" s="224" t="str">
        <f t="shared" si="46"/>
        <v>-</v>
      </c>
      <c r="AF156" s="224" t="str">
        <f t="shared" si="18"/>
        <v>-</v>
      </c>
      <c r="AG156" s="224" t="str">
        <f t="shared" si="19"/>
        <v>-</v>
      </c>
      <c r="AH156" s="272">
        <f t="shared" si="47"/>
        <v>0.1</v>
      </c>
      <c r="AI156" s="271" t="str">
        <f>IFERROR(IF(AD155=1,AI$100*EXP(-(LN(2)/$D$65+0.04)*AF155)*EXP(-(LN(2)/$D$65+0.1)*AG155),IF(AD155=2,AI$100*EXP(-(LN(2)/$D$65+0.04)*(VLOOKUP(($F$16-$F$15)-1,AC$99:AG155,4,FALSE)))*EXP(-(LN(2)/$D$65+0.1)*(VLOOKUP(($F$16-$F$15)-1,AC$99:AG155,5,FALSE)))*EXP(-(LN(2)/$D$65+0.04)*AF155)*EXP(-(LN(2)/$D$65+0.1)*AG155),IF(AD155=3,AI$100*EXP(-(LN(2)/$D$65+0.04)*(VLOOKUP(($F$16-$F$15)-1,AC$99:AG155,4,FALSE)))*EXP(-(LN(2)/$D$65+0.1)*(VLOOKUP(($F$16-$F$15)-1,AC$99:AG155,5,FALSE)))*EXP(-(LN(2)/$D$65+0.04)*(VLOOKUP(($F$16-$F$15)*2-1,AC$99:AG155,4,FALSE)))*EXP(-(LN(2)/$D$65+0.1)*(VLOOKUP(($F$16-$F$15)*2-1,AC$99:AG155,5,FALSE)))*EXP(-(LN(2)/$D$65+0.04)*AF155)*EXP(-(LN(2)/$D$65+0.1)*AG155),"-"))),"-")</f>
        <v>-</v>
      </c>
      <c r="AJ156" s="271" t="str">
        <f>IFERROR(IF(AD156=1,AJ$100*EXP(-(LN(2)/$D$65+0.04)*AF156)*EXP(-(LN(2)/$D$65+0.1)*AG156),IF(AD156=2,AJ$100*EXP(-(LN(2)/$D$65+0.04)*(VLOOKUP(($F$16-$F$15)-1,AC$100:AG156,4,FALSE)))*EXP(-(LN(2)/$D$65+0.1)*(VLOOKUP(($F$16-$F$15)-1,AC$100:AG156,5,FALSE)))*EXP(-(LN(2)/$D$65+0.04)*AF156)*EXP(-(LN(2)/$D$65+0.1)*AG156),IF(AD156=3,AJ$100*EXP(-(LN(2)/$D$65+0.04)*(VLOOKUP(($F$16-$F$15)-1,AC$100:AG156,4,FALSE)))*EXP(-(LN(2)/$D$65+0.1)*(VLOOKUP(($F$16-$F$15)-1,AC$100:AG156,5,FALSE)))*EXP(-(LN(2)/$D$65+0.04)*(VLOOKUP(($F$16-$F$15)*2-1,AC$100:AG156,4,FALSE)))*EXP(-(LN(2)/$D$65+0.1)*(VLOOKUP(($F$16-$F$15)*2-1,AC$100:AG156,5,FALSE)))*EXP(-(LN(2)/$D$65+0.04)*AF156)*EXP(-(LN(2)/$D$65+0.1)*AG156),"-"))),"-")</f>
        <v>-</v>
      </c>
      <c r="AK156" s="227">
        <f t="shared" si="49"/>
        <v>56</v>
      </c>
      <c r="AL156" s="226" t="str">
        <f t="shared" si="21"/>
        <v>-</v>
      </c>
      <c r="AM156" s="227" t="str">
        <f t="shared" si="50"/>
        <v>-</v>
      </c>
      <c r="AN156" s="227" t="str">
        <f t="shared" si="51"/>
        <v>-</v>
      </c>
      <c r="AO156" s="227" t="str">
        <f t="shared" si="22"/>
        <v>-</v>
      </c>
      <c r="AP156" s="273">
        <f t="shared" si="52"/>
        <v>0.1</v>
      </c>
      <c r="AQ156" s="271" t="str">
        <f>IFERROR(IF(AL155=1,AQ$100*EXP(-(LN(2)/$D$65+0.04)*AN155)*EXP(-(LN(2)/$D$65+0.1)*AO155),IF(AL155=2,AQ$100*EXP(-(LN(2)/$D$65+0.04)*(VLOOKUP(($F$16-$F$15)-1,AK$99:AO155,4,FALSE)))*EXP(-(LN(2)/$D$65+0.1)*(VLOOKUP(($F$16-$F$15)-1,AK$99:AO155,5,FALSE)))*EXP(-(LN(2)/$D$65+0.04)*AN155)*EXP(-(LN(2)/$D$65+0.1)*AO155),IF(AL155=3,AQ$100*EXP(-(LN(2)/$D$65+0.04)*(VLOOKUP(($F$16-$F$15)-1,AK$99:AO155,4,FALSE)))*EXP(-(LN(2)/$D$65+0.1)*(VLOOKUP(($F$16-$F$15)-1,AK$99:AO155,5,FALSE)))*EXP(-(LN(2)/$D$65+0.04)*(VLOOKUP(($F$16-$F$15)*2-1,AK$99:AO155,4,FALSE)))*EXP(-(LN(2)/$D$65+0.1)*(VLOOKUP(($F$16-$F$15)*2-1,AK$99:AO155,5,FALSE)))*EXP(-(LN(2)/$D$65+0.04)*AN155)*EXP(-(LN(2)/$D$65+0.1)*AO155),"-"))),"-")</f>
        <v>-</v>
      </c>
      <c r="AR156" s="271" t="str">
        <f>IFERROR(IF(AL156=1,AR$100*EXP(-(LN(2)/$D$65+0.04)*AN156)*EXP(-(LN(2)/$D$65+0.1)*AO156),IF(AL156=2,AR$100*EXP(-(LN(2)/$D$65+0.04)*(VLOOKUP(($F$16-$F$15)-1,AK$100:AO156,4,FALSE)))*EXP(-(LN(2)/$D$65+0.1)*(VLOOKUP(($F$16-$F$15)-1,AK$100:AO156,5,FALSE)))*EXP(-(LN(2)/$D$65+0.04)*AN156)*EXP(-(LN(2)/$D$65+0.1)*AO156),IF(AL156=3,AR$100*EXP(-(LN(2)/$D$65+0.04)*(VLOOKUP(($F$16-$F$15)-1,AK$100:AO156,4,FALSE)))*EXP(-(LN(2)/$D$65+0.1)*(VLOOKUP(($F$16-$F$15)-1,AK$100:AO156,5,FALSE)))*EXP(-(LN(2)/$D$65+0.04)*(VLOOKUP(($F$16-$F$15)*2-1,AK$100:AO156,4,FALSE)))*EXP(-(LN(2)/$D$65+0.1)*(VLOOKUP(($F$16-$F$15)*2-1,AK$100:AO156,5,FALSE)))*EXP(-(LN(2)/$D$65+0.04)*AN156)*EXP(-(LN(2)/$D$65+0.1)*AO156),"-"))),"-")</f>
        <v>-</v>
      </c>
      <c r="AS156" s="274">
        <f t="shared" si="23"/>
        <v>0</v>
      </c>
      <c r="AT156" s="274">
        <f t="shared" si="24"/>
        <v>0</v>
      </c>
      <c r="AU156" s="274">
        <f t="shared" si="25"/>
        <v>0</v>
      </c>
      <c r="AV156" s="190">
        <f>IF($B156&lt;$F$22,SUM($T$100:$T156),"")</f>
        <v>0</v>
      </c>
      <c r="AW156" s="190" t="str">
        <f t="shared" si="84"/>
        <v>-</v>
      </c>
      <c r="AX156" s="190" t="str">
        <f t="shared" si="56"/>
        <v/>
      </c>
      <c r="AY156"/>
      <c r="AZ156" s="190" t="str">
        <f ca="1">IF(ISNUMBER(OFFSET(AV156,-$F$21,0)),SUM(OFFSET($T$100,$F$21,0):$T156),"")</f>
        <v/>
      </c>
      <c r="BA156" s="190" t="str">
        <f t="shared" ca="1" si="85"/>
        <v/>
      </c>
      <c r="BB156" s="190" t="str">
        <f t="shared" ca="1" si="70"/>
        <v/>
      </c>
      <c r="BC156" s="190"/>
      <c r="BD156" s="190" t="str">
        <f ca="1">IFERROR(IF(AND($B156&gt;=($F$16-$F$15),$B156&lt;$F$22+($F$16-$F$15)),SUM(OFFSET($T$100,($F$16-$F$15),0):$T156),""),"")</f>
        <v/>
      </c>
      <c r="BE156" s="190" t="str">
        <f t="shared" ca="1" si="58"/>
        <v/>
      </c>
      <c r="BF156" s="190" t="str">
        <f t="shared" ca="1" si="59"/>
        <v/>
      </c>
      <c r="BG156"/>
      <c r="BH156" s="190" t="str">
        <f ca="1">IF(ISNUMBER(OFFSET(BD156,-$F$21,0)),SUM(OFFSET($T$100,($F$16-$F$15+$F$21),0):$T156),"")</f>
        <v/>
      </c>
      <c r="BI156" s="190" t="str">
        <f t="shared" ca="1" si="86"/>
        <v/>
      </c>
      <c r="BJ156" s="190" t="str">
        <f t="shared" ca="1" si="60"/>
        <v/>
      </c>
      <c r="BK156" s="190"/>
      <c r="BL156" s="190" t="str">
        <f ca="1">IFERROR(IF(AND($B156&gt;=($F$17-$F$15),$B156&lt;$F$22+($F$17-$F$15)),SUM(OFFSET($T$100,($F$17-$F$15),0):$T156),""),"")</f>
        <v/>
      </c>
      <c r="BM156" s="190" t="str">
        <f t="shared" ca="1" si="87"/>
        <v/>
      </c>
      <c r="BN156" s="190" t="str">
        <f t="shared" ca="1" si="61"/>
        <v/>
      </c>
      <c r="BO156"/>
      <c r="BP156" s="190" t="str">
        <f ca="1">IF(ISNUMBER(OFFSET(BL156,-$F$21,0)),SUM(OFFSET($T$100,($F$17-$F$15+$F$21),0):$T156),"")</f>
        <v/>
      </c>
      <c r="BQ156" s="190" t="str">
        <f t="shared" ca="1" si="88"/>
        <v/>
      </c>
      <c r="BR156" s="190" t="str">
        <f t="shared" ca="1" si="63"/>
        <v/>
      </c>
      <c r="BS156" s="190"/>
      <c r="BT156"/>
      <c r="BU156"/>
      <c r="BV156"/>
      <c r="BY156" s="99"/>
      <c r="BZ156" s="99"/>
      <c r="CA156" s="280" t="str">
        <f t="shared" si="89"/>
        <v/>
      </c>
      <c r="CB156" s="71" t="str">
        <f t="shared" si="30"/>
        <v>-</v>
      </c>
      <c r="CC156" s="33"/>
      <c r="CD156" s="261" t="str">
        <f t="shared" si="32"/>
        <v/>
      </c>
      <c r="CE156" s="280" t="str">
        <f t="shared" si="90"/>
        <v>-</v>
      </c>
      <c r="CF156" s="71" t="str">
        <f t="shared" ca="1" si="91"/>
        <v>-</v>
      </c>
      <c r="CG156" s="33" t="str">
        <f t="shared" si="35"/>
        <v>56-57</v>
      </c>
      <c r="CH156" s="261" t="str">
        <f t="shared" ca="1" si="36"/>
        <v/>
      </c>
      <c r="CI156" s="99"/>
      <c r="CJ156" s="99"/>
      <c r="CK156" s="99"/>
      <c r="CL156" s="99"/>
      <c r="CM156" s="99"/>
      <c r="CN156" s="99"/>
      <c r="CO156" s="99"/>
    </row>
    <row r="157" spans="2:93" ht="13.5" customHeight="1" x14ac:dyDescent="0.2">
      <c r="B157" s="262">
        <v>57</v>
      </c>
      <c r="C157" s="237" t="str">
        <f t="shared" si="71"/>
        <v/>
      </c>
      <c r="D157" s="237" t="str">
        <f t="shared" si="66"/>
        <v>-</v>
      </c>
      <c r="E157" s="290" t="str">
        <f t="shared" si="37"/>
        <v/>
      </c>
      <c r="F157" s="264" t="str">
        <f t="shared" si="38"/>
        <v/>
      </c>
      <c r="G157" s="291" t="str">
        <f t="shared" si="39"/>
        <v/>
      </c>
      <c r="H157" s="240" t="str">
        <f t="shared" si="72"/>
        <v/>
      </c>
      <c r="I157" s="265" t="str">
        <f t="shared" si="73"/>
        <v/>
      </c>
      <c r="J157" s="265" t="str">
        <f t="shared" si="74"/>
        <v/>
      </c>
      <c r="K157" s="240" t="str">
        <f t="shared" si="75"/>
        <v/>
      </c>
      <c r="L157" s="265" t="str">
        <f t="shared" si="76"/>
        <v/>
      </c>
      <c r="M157" s="265" t="str">
        <f t="shared" si="77"/>
        <v/>
      </c>
      <c r="N157" s="240" t="str">
        <f t="shared" si="78"/>
        <v>-</v>
      </c>
      <c r="O157" s="265" t="str">
        <f t="shared" si="79"/>
        <v>-</v>
      </c>
      <c r="P157" s="265" t="str">
        <f t="shared" si="80"/>
        <v>-</v>
      </c>
      <c r="Q157" s="266" t="str">
        <f t="shared" si="81"/>
        <v>-</v>
      </c>
      <c r="R157" s="267" t="str">
        <f t="shared" si="82"/>
        <v>-</v>
      </c>
      <c r="S157" s="268" t="str">
        <f t="shared" si="83"/>
        <v>-</v>
      </c>
      <c r="T157" s="269" t="str">
        <f t="shared" si="12"/>
        <v/>
      </c>
      <c r="U157" s="221">
        <f t="shared" si="13"/>
        <v>57</v>
      </c>
      <c r="V157" s="220" t="str">
        <f t="shared" si="42"/>
        <v>-</v>
      </c>
      <c r="W157" s="221" t="str">
        <f t="shared" si="43"/>
        <v>-</v>
      </c>
      <c r="X157" s="221" t="str">
        <f t="shared" si="14"/>
        <v>-</v>
      </c>
      <c r="Y157" s="221" t="str">
        <f t="shared" si="15"/>
        <v>-</v>
      </c>
      <c r="Z157" s="270">
        <f t="shared" si="44"/>
        <v>0.1</v>
      </c>
      <c r="AA157" s="271" t="str">
        <f>IFERROR(IF(V156=1,AA$100*EXP(-(LN(2)/$D$65+0.04)*X156)*EXP(-(LN(2)/$D$65+0.1)*Y156),IF(V156=2,AA$100*EXP(-(LN(2)/$D$65+0.04)*(VLOOKUP(($F$16-$F$15)-1,U$99:Y156,4,FALSE)))*EXP(-(LN(2)/$D$65+0.1)*(VLOOKUP(($F$16-$F$15)-1,U$99:Y156,5,FALSE)))*EXP(-(LN(2)/$D$65+0.04)*X156)*EXP(-(LN(2)/$D$65+0.1)*Y156),IF(V156=3,AA$100*EXP(-(LN(2)/$D$65+0.04)*(VLOOKUP(($F$16-$F$15)-1,U$99:Y156,4,FALSE)))*EXP(-(LN(2)/$D$65+0.1)*(VLOOKUP(($F$16-$F$15)-1,U$99:Y156,5,FALSE)))*EXP(-(LN(2)/$D$65+0.04)*(VLOOKUP(($F$16-$F$15)*2-1,U$99:Y156,4,FALSE)))*EXP(-(LN(2)/$D$65+0.1)*(VLOOKUP(($F$16-$F$15)*2-1,U$99:Y156,5,FALSE)))*EXP(-(LN(2)/$D$65+0.04)*X156)*EXP(-(LN(2)/$D$65+0.1)*Y156),"-"))),"-")</f>
        <v>-</v>
      </c>
      <c r="AB157" s="271" t="str">
        <f>IFERROR(IF(V157=1,AB$100*EXP(-(LN(2)/$D$65+0.04)*X157)*EXP(-(LN(2)/$D$65+0.1)*Y157),IF(V157=2,AB$100*EXP(-(LN(2)/$D$65+0.04)*(VLOOKUP(($F$16-$F$15)-1,U$100:Y157,4,FALSE)))*EXP(-(LN(2)/$D$65+0.1)*(VLOOKUP(($F$16-$F$15)-1,U$100:Y157,5,FALSE)))*EXP(-(LN(2)/$D$65+0.04)*X157)*EXP(-(LN(2)/$D$65+0.1)*Y157),IF(V157=3,AB$100*EXP(-(LN(2)/$D$65+0.04)*(VLOOKUP(($F$16-$F$15)-1,U$100:Y157,4,FALSE)))*EXP(-(LN(2)/$D$65+0.1)*(VLOOKUP(($F$16-$F$15)-1,U$100:Y157,5,FALSE)))*EXP(-(LN(2)/$D$65+0.04)*(VLOOKUP(($F$16-$F$15)*2-1,U$100:Y157,4,FALSE)))*EXP(-(LN(2)/$D$65+0.1)*(VLOOKUP(($F$16-$F$15)*2-1,U$100:Y157,5,FALSE)))*EXP(-(LN(2)/$D$65+0.04)*X157)*EXP(-(LN(2)/$D$65+0.1)*Y157),"-"))),"-")</f>
        <v>-</v>
      </c>
      <c r="AC157" s="224">
        <f t="shared" si="45"/>
        <v>57</v>
      </c>
      <c r="AD157" s="223" t="str">
        <f t="shared" si="17"/>
        <v>-</v>
      </c>
      <c r="AE157" s="224" t="str">
        <f t="shared" si="46"/>
        <v>-</v>
      </c>
      <c r="AF157" s="224" t="str">
        <f t="shared" si="18"/>
        <v>-</v>
      </c>
      <c r="AG157" s="224" t="str">
        <f t="shared" si="19"/>
        <v>-</v>
      </c>
      <c r="AH157" s="272">
        <f t="shared" si="47"/>
        <v>0.1</v>
      </c>
      <c r="AI157" s="271" t="str">
        <f>IFERROR(IF(AD156=1,AI$100*EXP(-(LN(2)/$D$65+0.04)*AF156)*EXP(-(LN(2)/$D$65+0.1)*AG156),IF(AD156=2,AI$100*EXP(-(LN(2)/$D$65+0.04)*(VLOOKUP(($F$16-$F$15)-1,AC$99:AG156,4,FALSE)))*EXP(-(LN(2)/$D$65+0.1)*(VLOOKUP(($F$16-$F$15)-1,AC$99:AG156,5,FALSE)))*EXP(-(LN(2)/$D$65+0.04)*AF156)*EXP(-(LN(2)/$D$65+0.1)*AG156),IF(AD156=3,AI$100*EXP(-(LN(2)/$D$65+0.04)*(VLOOKUP(($F$16-$F$15)-1,AC$99:AG156,4,FALSE)))*EXP(-(LN(2)/$D$65+0.1)*(VLOOKUP(($F$16-$F$15)-1,AC$99:AG156,5,FALSE)))*EXP(-(LN(2)/$D$65+0.04)*(VLOOKUP(($F$16-$F$15)*2-1,AC$99:AG156,4,FALSE)))*EXP(-(LN(2)/$D$65+0.1)*(VLOOKUP(($F$16-$F$15)*2-1,AC$99:AG156,5,FALSE)))*EXP(-(LN(2)/$D$65+0.04)*AF156)*EXP(-(LN(2)/$D$65+0.1)*AG156),"-"))),"-")</f>
        <v>-</v>
      </c>
      <c r="AJ157" s="271" t="str">
        <f>IFERROR(IF(AD157=1,AJ$100*EXP(-(LN(2)/$D$65+0.04)*AF157)*EXP(-(LN(2)/$D$65+0.1)*AG157),IF(AD157=2,AJ$100*EXP(-(LN(2)/$D$65+0.04)*(VLOOKUP(($F$16-$F$15)-1,AC$100:AG157,4,FALSE)))*EXP(-(LN(2)/$D$65+0.1)*(VLOOKUP(($F$16-$F$15)-1,AC$100:AG157,5,FALSE)))*EXP(-(LN(2)/$D$65+0.04)*AF157)*EXP(-(LN(2)/$D$65+0.1)*AG157),IF(AD157=3,AJ$100*EXP(-(LN(2)/$D$65+0.04)*(VLOOKUP(($F$16-$F$15)-1,AC$100:AG157,4,FALSE)))*EXP(-(LN(2)/$D$65+0.1)*(VLOOKUP(($F$16-$F$15)-1,AC$100:AG157,5,FALSE)))*EXP(-(LN(2)/$D$65+0.04)*(VLOOKUP(($F$16-$F$15)*2-1,AC$100:AG157,4,FALSE)))*EXP(-(LN(2)/$D$65+0.1)*(VLOOKUP(($F$16-$F$15)*2-1,AC$100:AG157,5,FALSE)))*EXP(-(LN(2)/$D$65+0.04)*AF157)*EXP(-(LN(2)/$D$65+0.1)*AG157),"-"))),"-")</f>
        <v>-</v>
      </c>
      <c r="AK157" s="227">
        <f t="shared" si="49"/>
        <v>57</v>
      </c>
      <c r="AL157" s="226" t="str">
        <f t="shared" si="21"/>
        <v>-</v>
      </c>
      <c r="AM157" s="227" t="str">
        <f t="shared" si="50"/>
        <v>-</v>
      </c>
      <c r="AN157" s="227" t="str">
        <f t="shared" si="51"/>
        <v>-</v>
      </c>
      <c r="AO157" s="227" t="str">
        <f t="shared" si="22"/>
        <v>-</v>
      </c>
      <c r="AP157" s="273">
        <f t="shared" si="52"/>
        <v>0.1</v>
      </c>
      <c r="AQ157" s="271" t="str">
        <f>IFERROR(IF(AL156=1,AQ$100*EXP(-(LN(2)/$D$65+0.04)*AN156)*EXP(-(LN(2)/$D$65+0.1)*AO156),IF(AL156=2,AQ$100*EXP(-(LN(2)/$D$65+0.04)*(VLOOKUP(($F$16-$F$15)-1,AK$99:AO156,4,FALSE)))*EXP(-(LN(2)/$D$65+0.1)*(VLOOKUP(($F$16-$F$15)-1,AK$99:AO156,5,FALSE)))*EXP(-(LN(2)/$D$65+0.04)*AN156)*EXP(-(LN(2)/$D$65+0.1)*AO156),IF(AL156=3,AQ$100*EXP(-(LN(2)/$D$65+0.04)*(VLOOKUP(($F$16-$F$15)-1,AK$99:AO156,4,FALSE)))*EXP(-(LN(2)/$D$65+0.1)*(VLOOKUP(($F$16-$F$15)-1,AK$99:AO156,5,FALSE)))*EXP(-(LN(2)/$D$65+0.04)*(VLOOKUP(($F$16-$F$15)*2-1,AK$99:AO156,4,FALSE)))*EXP(-(LN(2)/$D$65+0.1)*(VLOOKUP(($F$16-$F$15)*2-1,AK$99:AO156,5,FALSE)))*EXP(-(LN(2)/$D$65+0.04)*AN156)*EXP(-(LN(2)/$D$65+0.1)*AO156),"-"))),"-")</f>
        <v>-</v>
      </c>
      <c r="AR157" s="271" t="str">
        <f>IFERROR(IF(AL157=1,AR$100*EXP(-(LN(2)/$D$65+0.04)*AN157)*EXP(-(LN(2)/$D$65+0.1)*AO157),IF(AL157=2,AR$100*EXP(-(LN(2)/$D$65+0.04)*(VLOOKUP(($F$16-$F$15)-1,AK$100:AO157,4,FALSE)))*EXP(-(LN(2)/$D$65+0.1)*(VLOOKUP(($F$16-$F$15)-1,AK$100:AO157,5,FALSE)))*EXP(-(LN(2)/$D$65+0.04)*AN157)*EXP(-(LN(2)/$D$65+0.1)*AO157),IF(AL157=3,AR$100*EXP(-(LN(2)/$D$65+0.04)*(VLOOKUP(($F$16-$F$15)-1,AK$100:AO157,4,FALSE)))*EXP(-(LN(2)/$D$65+0.1)*(VLOOKUP(($F$16-$F$15)-1,AK$100:AO157,5,FALSE)))*EXP(-(LN(2)/$D$65+0.04)*(VLOOKUP(($F$16-$F$15)*2-1,AK$100:AO157,4,FALSE)))*EXP(-(LN(2)/$D$65+0.1)*(VLOOKUP(($F$16-$F$15)*2-1,AK$100:AO157,5,FALSE)))*EXP(-(LN(2)/$D$65+0.04)*AN157)*EXP(-(LN(2)/$D$65+0.1)*AO157),"-"))),"-")</f>
        <v>-</v>
      </c>
      <c r="AS157" s="274">
        <f t="shared" si="23"/>
        <v>0</v>
      </c>
      <c r="AT157" s="274">
        <f t="shared" si="24"/>
        <v>0</v>
      </c>
      <c r="AU157" s="274">
        <f t="shared" si="25"/>
        <v>0</v>
      </c>
      <c r="AV157" s="190">
        <f>IF($B157&lt;$F$22,SUM($T$100:$T157),"")</f>
        <v>0</v>
      </c>
      <c r="AW157" s="190" t="str">
        <f t="shared" si="84"/>
        <v>-</v>
      </c>
      <c r="AX157" s="190" t="str">
        <f t="shared" si="56"/>
        <v/>
      </c>
      <c r="AY157"/>
      <c r="AZ157" s="190" t="str">
        <f ca="1">IF(ISNUMBER(OFFSET(AV157,-$F$21,0)),SUM(OFFSET($T$100,$F$21,0):$T157),"")</f>
        <v/>
      </c>
      <c r="BA157" s="190" t="str">
        <f t="shared" ca="1" si="85"/>
        <v/>
      </c>
      <c r="BB157" s="190" t="str">
        <f t="shared" ca="1" si="70"/>
        <v/>
      </c>
      <c r="BC157" s="190"/>
      <c r="BD157" s="190" t="str">
        <f ca="1">IFERROR(IF(AND($B157&gt;=($F$16-$F$15),$B157&lt;$F$22+($F$16-$F$15)),SUM(OFFSET($T$100,($F$16-$F$15),0):$T157),""),"")</f>
        <v/>
      </c>
      <c r="BE157" s="190" t="str">
        <f t="shared" ca="1" si="58"/>
        <v/>
      </c>
      <c r="BF157" s="190" t="str">
        <f t="shared" ca="1" si="59"/>
        <v/>
      </c>
      <c r="BG157"/>
      <c r="BH157" s="190" t="str">
        <f ca="1">IF(ISNUMBER(OFFSET(BD157,-$F$21,0)),SUM(OFFSET($T$100,($F$16-$F$15+$F$21),0):$T157),"")</f>
        <v/>
      </c>
      <c r="BI157" s="190" t="str">
        <f t="shared" ca="1" si="86"/>
        <v/>
      </c>
      <c r="BJ157" s="190" t="str">
        <f t="shared" ca="1" si="60"/>
        <v/>
      </c>
      <c r="BK157" s="190"/>
      <c r="BL157" s="190" t="str">
        <f ca="1">IFERROR(IF(AND($B157&gt;=($F$17-$F$15),$B157&lt;$F$22+($F$17-$F$15)),SUM(OFFSET($T$100,($F$17-$F$15),0):$T157),""),"")</f>
        <v/>
      </c>
      <c r="BM157" s="190" t="str">
        <f t="shared" ca="1" si="87"/>
        <v/>
      </c>
      <c r="BN157" s="190" t="str">
        <f t="shared" ca="1" si="61"/>
        <v/>
      </c>
      <c r="BO157"/>
      <c r="BP157" s="190" t="str">
        <f ca="1">IF(ISNUMBER(OFFSET(BL157,-$F$21,0)),SUM(OFFSET($T$100,($F$17-$F$15+$F$21),0):$T157),"")</f>
        <v/>
      </c>
      <c r="BQ157" s="190" t="str">
        <f t="shared" ca="1" si="88"/>
        <v/>
      </c>
      <c r="BR157" s="190" t="str">
        <f t="shared" ca="1" si="63"/>
        <v/>
      </c>
      <c r="BS157" s="190"/>
      <c r="BT157"/>
      <c r="BU157"/>
      <c r="BV157"/>
      <c r="BY157" s="99"/>
      <c r="BZ157" s="99"/>
      <c r="CA157" s="280" t="str">
        <f t="shared" si="89"/>
        <v/>
      </c>
      <c r="CB157" s="71" t="str">
        <f t="shared" si="30"/>
        <v>-</v>
      </c>
      <c r="CC157" s="33"/>
      <c r="CD157" s="261" t="str">
        <f t="shared" si="32"/>
        <v/>
      </c>
      <c r="CE157" s="280" t="str">
        <f t="shared" si="90"/>
        <v>-</v>
      </c>
      <c r="CF157" s="71" t="str">
        <f t="shared" ca="1" si="91"/>
        <v>-</v>
      </c>
      <c r="CG157" s="33" t="str">
        <f t="shared" si="35"/>
        <v>57-58</v>
      </c>
      <c r="CH157" s="261" t="str">
        <f t="shared" ca="1" si="36"/>
        <v/>
      </c>
      <c r="CI157" s="99"/>
      <c r="CJ157" s="99"/>
      <c r="CK157" s="99"/>
      <c r="CL157" s="99"/>
      <c r="CM157" s="99"/>
      <c r="CN157" s="99"/>
      <c r="CO157" s="99"/>
    </row>
    <row r="158" spans="2:93" ht="13.5" customHeight="1" x14ac:dyDescent="0.2">
      <c r="B158" s="262">
        <v>58</v>
      </c>
      <c r="C158" s="237" t="str">
        <f t="shared" si="71"/>
        <v/>
      </c>
      <c r="D158" s="237" t="str">
        <f t="shared" si="66"/>
        <v>-</v>
      </c>
      <c r="E158" s="290" t="str">
        <f t="shared" si="37"/>
        <v/>
      </c>
      <c r="F158" s="264" t="str">
        <f t="shared" si="38"/>
        <v/>
      </c>
      <c r="G158" s="291" t="str">
        <f t="shared" si="39"/>
        <v/>
      </c>
      <c r="H158" s="240" t="str">
        <f t="shared" si="72"/>
        <v/>
      </c>
      <c r="I158" s="265" t="str">
        <f t="shared" si="73"/>
        <v/>
      </c>
      <c r="J158" s="265" t="str">
        <f t="shared" si="74"/>
        <v/>
      </c>
      <c r="K158" s="240" t="str">
        <f t="shared" si="75"/>
        <v/>
      </c>
      <c r="L158" s="265" t="str">
        <f t="shared" si="76"/>
        <v/>
      </c>
      <c r="M158" s="265" t="str">
        <f t="shared" si="77"/>
        <v/>
      </c>
      <c r="N158" s="240" t="str">
        <f t="shared" si="78"/>
        <v>-</v>
      </c>
      <c r="O158" s="265" t="str">
        <f t="shared" si="79"/>
        <v>-</v>
      </c>
      <c r="P158" s="265" t="str">
        <f t="shared" si="80"/>
        <v>-</v>
      </c>
      <c r="Q158" s="266" t="str">
        <f t="shared" si="81"/>
        <v>-</v>
      </c>
      <c r="R158" s="267" t="str">
        <f t="shared" si="82"/>
        <v>-</v>
      </c>
      <c r="S158" s="268" t="str">
        <f t="shared" si="83"/>
        <v>-</v>
      </c>
      <c r="T158" s="269" t="str">
        <f t="shared" si="12"/>
        <v/>
      </c>
      <c r="U158" s="221">
        <f t="shared" si="13"/>
        <v>58</v>
      </c>
      <c r="V158" s="220" t="str">
        <f t="shared" si="42"/>
        <v>-</v>
      </c>
      <c r="W158" s="221" t="str">
        <f t="shared" si="43"/>
        <v>-</v>
      </c>
      <c r="X158" s="221" t="str">
        <f t="shared" si="14"/>
        <v>-</v>
      </c>
      <c r="Y158" s="221" t="str">
        <f t="shared" si="15"/>
        <v>-</v>
      </c>
      <c r="Z158" s="270">
        <f t="shared" si="44"/>
        <v>0.1</v>
      </c>
      <c r="AA158" s="271" t="str">
        <f>IFERROR(IF(V157=1,AA$100*EXP(-(LN(2)/$D$65+0.04)*X157)*EXP(-(LN(2)/$D$65+0.1)*Y157),IF(V157=2,AA$100*EXP(-(LN(2)/$D$65+0.04)*(VLOOKUP(($F$16-$F$15)-1,U$99:Y157,4,FALSE)))*EXP(-(LN(2)/$D$65+0.1)*(VLOOKUP(($F$16-$F$15)-1,U$99:Y157,5,FALSE)))*EXP(-(LN(2)/$D$65+0.04)*X157)*EXP(-(LN(2)/$D$65+0.1)*Y157),IF(V157=3,AA$100*EXP(-(LN(2)/$D$65+0.04)*(VLOOKUP(($F$16-$F$15)-1,U$99:Y157,4,FALSE)))*EXP(-(LN(2)/$D$65+0.1)*(VLOOKUP(($F$16-$F$15)-1,U$99:Y157,5,FALSE)))*EXP(-(LN(2)/$D$65+0.04)*(VLOOKUP(($F$16-$F$15)*2-1,U$99:Y157,4,FALSE)))*EXP(-(LN(2)/$D$65+0.1)*(VLOOKUP(($F$16-$F$15)*2-1,U$99:Y157,5,FALSE)))*EXP(-(LN(2)/$D$65+0.04)*X157)*EXP(-(LN(2)/$D$65+0.1)*Y157),"-"))),"-")</f>
        <v>-</v>
      </c>
      <c r="AB158" s="271" t="str">
        <f>IFERROR(IF(V158=1,AB$100*EXP(-(LN(2)/$D$65+0.04)*X158)*EXP(-(LN(2)/$D$65+0.1)*Y158),IF(V158=2,AB$100*EXP(-(LN(2)/$D$65+0.04)*(VLOOKUP(($F$16-$F$15)-1,U$100:Y158,4,FALSE)))*EXP(-(LN(2)/$D$65+0.1)*(VLOOKUP(($F$16-$F$15)-1,U$100:Y158,5,FALSE)))*EXP(-(LN(2)/$D$65+0.04)*X158)*EXP(-(LN(2)/$D$65+0.1)*Y158),IF(V158=3,AB$100*EXP(-(LN(2)/$D$65+0.04)*(VLOOKUP(($F$16-$F$15)-1,U$100:Y158,4,FALSE)))*EXP(-(LN(2)/$D$65+0.1)*(VLOOKUP(($F$16-$F$15)-1,U$100:Y158,5,FALSE)))*EXP(-(LN(2)/$D$65+0.04)*(VLOOKUP(($F$16-$F$15)*2-1,U$100:Y158,4,FALSE)))*EXP(-(LN(2)/$D$65+0.1)*(VLOOKUP(($F$16-$F$15)*2-1,U$100:Y158,5,FALSE)))*EXP(-(LN(2)/$D$65+0.04)*X158)*EXP(-(LN(2)/$D$65+0.1)*Y158),"-"))),"-")</f>
        <v>-</v>
      </c>
      <c r="AC158" s="224">
        <f t="shared" si="45"/>
        <v>58</v>
      </c>
      <c r="AD158" s="223" t="str">
        <f t="shared" si="17"/>
        <v>-</v>
      </c>
      <c r="AE158" s="224" t="str">
        <f t="shared" si="46"/>
        <v>-</v>
      </c>
      <c r="AF158" s="224" t="str">
        <f t="shared" si="18"/>
        <v>-</v>
      </c>
      <c r="AG158" s="224" t="str">
        <f t="shared" si="19"/>
        <v>-</v>
      </c>
      <c r="AH158" s="272">
        <f t="shared" si="47"/>
        <v>0.1</v>
      </c>
      <c r="AI158" s="271" t="str">
        <f>IFERROR(IF(AD157=1,AI$100*EXP(-(LN(2)/$D$65+0.04)*AF157)*EXP(-(LN(2)/$D$65+0.1)*AG157),IF(AD157=2,AI$100*EXP(-(LN(2)/$D$65+0.04)*(VLOOKUP(($F$16-$F$15)-1,AC$99:AG157,4,FALSE)))*EXP(-(LN(2)/$D$65+0.1)*(VLOOKUP(($F$16-$F$15)-1,AC$99:AG157,5,FALSE)))*EXP(-(LN(2)/$D$65+0.04)*AF157)*EXP(-(LN(2)/$D$65+0.1)*AG157),IF(AD157=3,AI$100*EXP(-(LN(2)/$D$65+0.04)*(VLOOKUP(($F$16-$F$15)-1,AC$99:AG157,4,FALSE)))*EXP(-(LN(2)/$D$65+0.1)*(VLOOKUP(($F$16-$F$15)-1,AC$99:AG157,5,FALSE)))*EXP(-(LN(2)/$D$65+0.04)*(VLOOKUP(($F$16-$F$15)*2-1,AC$99:AG157,4,FALSE)))*EXP(-(LN(2)/$D$65+0.1)*(VLOOKUP(($F$16-$F$15)*2-1,AC$99:AG157,5,FALSE)))*EXP(-(LN(2)/$D$65+0.04)*AF157)*EXP(-(LN(2)/$D$65+0.1)*AG157),"-"))),"-")</f>
        <v>-</v>
      </c>
      <c r="AJ158" s="271" t="str">
        <f>IFERROR(IF(AD158=1,AJ$100*EXP(-(LN(2)/$D$65+0.04)*AF158)*EXP(-(LN(2)/$D$65+0.1)*AG158),IF(AD158=2,AJ$100*EXP(-(LN(2)/$D$65+0.04)*(VLOOKUP(($F$16-$F$15)-1,AC$100:AG158,4,FALSE)))*EXP(-(LN(2)/$D$65+0.1)*(VLOOKUP(($F$16-$F$15)-1,AC$100:AG158,5,FALSE)))*EXP(-(LN(2)/$D$65+0.04)*AF158)*EXP(-(LN(2)/$D$65+0.1)*AG158),IF(AD158=3,AJ$100*EXP(-(LN(2)/$D$65+0.04)*(VLOOKUP(($F$16-$F$15)-1,AC$100:AG158,4,FALSE)))*EXP(-(LN(2)/$D$65+0.1)*(VLOOKUP(($F$16-$F$15)-1,AC$100:AG158,5,FALSE)))*EXP(-(LN(2)/$D$65+0.04)*(VLOOKUP(($F$16-$F$15)*2-1,AC$100:AG158,4,FALSE)))*EXP(-(LN(2)/$D$65+0.1)*(VLOOKUP(($F$16-$F$15)*2-1,AC$100:AG158,5,FALSE)))*EXP(-(LN(2)/$D$65+0.04)*AF158)*EXP(-(LN(2)/$D$65+0.1)*AG158),"-"))),"-")</f>
        <v>-</v>
      </c>
      <c r="AK158" s="227">
        <f t="shared" si="49"/>
        <v>58</v>
      </c>
      <c r="AL158" s="226" t="str">
        <f t="shared" si="21"/>
        <v>-</v>
      </c>
      <c r="AM158" s="227" t="str">
        <f t="shared" si="50"/>
        <v>-</v>
      </c>
      <c r="AN158" s="227" t="str">
        <f t="shared" si="51"/>
        <v>-</v>
      </c>
      <c r="AO158" s="227" t="str">
        <f t="shared" si="22"/>
        <v>-</v>
      </c>
      <c r="AP158" s="273">
        <f t="shared" si="52"/>
        <v>0.1</v>
      </c>
      <c r="AQ158" s="271" t="str">
        <f>IFERROR(IF(AL157=1,AQ$100*EXP(-(LN(2)/$D$65+0.04)*AN157)*EXP(-(LN(2)/$D$65+0.1)*AO157),IF(AL157=2,AQ$100*EXP(-(LN(2)/$D$65+0.04)*(VLOOKUP(($F$16-$F$15)-1,AK$99:AO157,4,FALSE)))*EXP(-(LN(2)/$D$65+0.1)*(VLOOKUP(($F$16-$F$15)-1,AK$99:AO157,5,FALSE)))*EXP(-(LN(2)/$D$65+0.04)*AN157)*EXP(-(LN(2)/$D$65+0.1)*AO157),IF(AL157=3,AQ$100*EXP(-(LN(2)/$D$65+0.04)*(VLOOKUP(($F$16-$F$15)-1,AK$99:AO157,4,FALSE)))*EXP(-(LN(2)/$D$65+0.1)*(VLOOKUP(($F$16-$F$15)-1,AK$99:AO157,5,FALSE)))*EXP(-(LN(2)/$D$65+0.04)*(VLOOKUP(($F$16-$F$15)*2-1,AK$99:AO157,4,FALSE)))*EXP(-(LN(2)/$D$65+0.1)*(VLOOKUP(($F$16-$F$15)*2-1,AK$99:AO157,5,FALSE)))*EXP(-(LN(2)/$D$65+0.04)*AN157)*EXP(-(LN(2)/$D$65+0.1)*AO157),"-"))),"-")</f>
        <v>-</v>
      </c>
      <c r="AR158" s="271" t="str">
        <f>IFERROR(IF(AL158=1,AR$100*EXP(-(LN(2)/$D$65+0.04)*AN158)*EXP(-(LN(2)/$D$65+0.1)*AO158),IF(AL158=2,AR$100*EXP(-(LN(2)/$D$65+0.04)*(VLOOKUP(($F$16-$F$15)-1,AK$100:AO158,4,FALSE)))*EXP(-(LN(2)/$D$65+0.1)*(VLOOKUP(($F$16-$F$15)-1,AK$100:AO158,5,FALSE)))*EXP(-(LN(2)/$D$65+0.04)*AN158)*EXP(-(LN(2)/$D$65+0.1)*AO158),IF(AL158=3,AR$100*EXP(-(LN(2)/$D$65+0.04)*(VLOOKUP(($F$16-$F$15)-1,AK$100:AO158,4,FALSE)))*EXP(-(LN(2)/$D$65+0.1)*(VLOOKUP(($F$16-$F$15)-1,AK$100:AO158,5,FALSE)))*EXP(-(LN(2)/$D$65+0.04)*(VLOOKUP(($F$16-$F$15)*2-1,AK$100:AO158,4,FALSE)))*EXP(-(LN(2)/$D$65+0.1)*(VLOOKUP(($F$16-$F$15)*2-1,AK$100:AO158,5,FALSE)))*EXP(-(LN(2)/$D$65+0.04)*AN158)*EXP(-(LN(2)/$D$65+0.1)*AO158),"-"))),"-")</f>
        <v>-</v>
      </c>
      <c r="AS158" s="274">
        <f t="shared" si="23"/>
        <v>0</v>
      </c>
      <c r="AT158" s="274">
        <f t="shared" si="24"/>
        <v>0</v>
      </c>
      <c r="AU158" s="274">
        <f t="shared" si="25"/>
        <v>0</v>
      </c>
      <c r="AV158" s="190">
        <f>IF($B158&lt;$F$22,SUM($T$100:$T158),"")</f>
        <v>0</v>
      </c>
      <c r="AW158" s="190" t="str">
        <f t="shared" si="84"/>
        <v>-</v>
      </c>
      <c r="AX158" s="190" t="str">
        <f t="shared" si="56"/>
        <v/>
      </c>
      <c r="AY158"/>
      <c r="AZ158" s="190" t="str">
        <f ca="1">IF(ISNUMBER(OFFSET(AV158,-$F$21,0)),SUM(OFFSET($T$100,$F$21,0):$T158),"")</f>
        <v/>
      </c>
      <c r="BA158" s="190" t="str">
        <f t="shared" ca="1" si="85"/>
        <v/>
      </c>
      <c r="BB158" s="190" t="str">
        <f t="shared" ca="1" si="70"/>
        <v/>
      </c>
      <c r="BC158" s="190"/>
      <c r="BD158" s="190" t="str">
        <f ca="1">IFERROR(IF(AND($B158&gt;=($F$16-$F$15),$B158&lt;$F$22+($F$16-$F$15)),SUM(OFFSET($T$100,($F$16-$F$15),0):$T158),""),"")</f>
        <v/>
      </c>
      <c r="BE158" s="190" t="str">
        <f t="shared" ca="1" si="58"/>
        <v/>
      </c>
      <c r="BF158" s="190" t="str">
        <f t="shared" ca="1" si="59"/>
        <v/>
      </c>
      <c r="BG158"/>
      <c r="BH158" s="190" t="str">
        <f ca="1">IF(ISNUMBER(OFFSET(BD158,-$F$21,0)),SUM(OFFSET($T$100,($F$16-$F$15+$F$21),0):$T158),"")</f>
        <v/>
      </c>
      <c r="BI158" s="190" t="str">
        <f t="shared" ca="1" si="86"/>
        <v/>
      </c>
      <c r="BJ158" s="190" t="str">
        <f t="shared" ca="1" si="60"/>
        <v/>
      </c>
      <c r="BK158" s="190"/>
      <c r="BL158" s="190" t="str">
        <f ca="1">IFERROR(IF(AND($B158&gt;=($F$17-$F$15),$B158&lt;$F$22+($F$17-$F$15)),SUM(OFFSET($T$100,($F$17-$F$15),0):$T158),""),"")</f>
        <v/>
      </c>
      <c r="BM158" s="190" t="str">
        <f t="shared" ca="1" si="87"/>
        <v/>
      </c>
      <c r="BN158" s="190" t="str">
        <f t="shared" ca="1" si="61"/>
        <v/>
      </c>
      <c r="BO158"/>
      <c r="BP158" s="190" t="str">
        <f ca="1">IF(ISNUMBER(OFFSET(BL158,-$F$21,0)),SUM(OFFSET($T$100,($F$17-$F$15+$F$21),0):$T158),"")</f>
        <v/>
      </c>
      <c r="BQ158" s="190" t="str">
        <f t="shared" ca="1" si="88"/>
        <v/>
      </c>
      <c r="BR158" s="190" t="str">
        <f t="shared" ca="1" si="63"/>
        <v/>
      </c>
      <c r="BS158" s="190"/>
      <c r="BT158"/>
      <c r="BU158"/>
      <c r="BV158"/>
      <c r="BY158" s="99"/>
      <c r="BZ158" s="99"/>
      <c r="CA158" s="280" t="str">
        <f t="shared" si="89"/>
        <v/>
      </c>
      <c r="CB158" s="71" t="str">
        <f t="shared" si="30"/>
        <v>-</v>
      </c>
      <c r="CC158" s="33"/>
      <c r="CD158" s="261" t="str">
        <f t="shared" si="32"/>
        <v/>
      </c>
      <c r="CE158" s="280" t="str">
        <f t="shared" si="90"/>
        <v>-</v>
      </c>
      <c r="CF158" s="71" t="str">
        <f t="shared" ca="1" si="91"/>
        <v>-</v>
      </c>
      <c r="CG158" s="33" t="str">
        <f t="shared" si="35"/>
        <v>58-59</v>
      </c>
      <c r="CH158" s="261" t="str">
        <f t="shared" ca="1" si="36"/>
        <v/>
      </c>
      <c r="CI158" s="99"/>
      <c r="CJ158" s="99"/>
      <c r="CK158" s="99"/>
      <c r="CL158" s="99"/>
      <c r="CM158" s="99"/>
      <c r="CN158" s="99"/>
      <c r="CO158" s="99"/>
    </row>
    <row r="159" spans="2:93" ht="13.5" customHeight="1" x14ac:dyDescent="0.2">
      <c r="B159" s="262">
        <v>59</v>
      </c>
      <c r="C159" s="237" t="str">
        <f t="shared" si="71"/>
        <v/>
      </c>
      <c r="D159" s="237" t="str">
        <f t="shared" si="66"/>
        <v>-</v>
      </c>
      <c r="E159" s="290" t="str">
        <f t="shared" si="37"/>
        <v/>
      </c>
      <c r="F159" s="264" t="str">
        <f t="shared" si="38"/>
        <v/>
      </c>
      <c r="G159" s="291" t="str">
        <f t="shared" si="39"/>
        <v/>
      </c>
      <c r="H159" s="240" t="str">
        <f t="shared" si="72"/>
        <v/>
      </c>
      <c r="I159" s="265" t="str">
        <f t="shared" si="73"/>
        <v/>
      </c>
      <c r="J159" s="265" t="str">
        <f t="shared" si="74"/>
        <v/>
      </c>
      <c r="K159" s="240" t="str">
        <f t="shared" si="75"/>
        <v/>
      </c>
      <c r="L159" s="265" t="str">
        <f t="shared" si="76"/>
        <v/>
      </c>
      <c r="M159" s="265" t="str">
        <f t="shared" si="77"/>
        <v/>
      </c>
      <c r="N159" s="240" t="str">
        <f t="shared" si="78"/>
        <v>-</v>
      </c>
      <c r="O159" s="265" t="str">
        <f t="shared" si="79"/>
        <v>-</v>
      </c>
      <c r="P159" s="265" t="str">
        <f t="shared" si="80"/>
        <v>-</v>
      </c>
      <c r="Q159" s="266" t="str">
        <f t="shared" si="81"/>
        <v>-</v>
      </c>
      <c r="R159" s="267" t="str">
        <f t="shared" si="82"/>
        <v>-</v>
      </c>
      <c r="S159" s="268" t="str">
        <f t="shared" si="83"/>
        <v>-</v>
      </c>
      <c r="T159" s="269" t="str">
        <f t="shared" si="12"/>
        <v/>
      </c>
      <c r="U159" s="221">
        <f t="shared" si="13"/>
        <v>59</v>
      </c>
      <c r="V159" s="220" t="str">
        <f t="shared" si="42"/>
        <v>-</v>
      </c>
      <c r="W159" s="221" t="str">
        <f t="shared" si="43"/>
        <v>-</v>
      </c>
      <c r="X159" s="221" t="str">
        <f t="shared" si="14"/>
        <v>-</v>
      </c>
      <c r="Y159" s="221" t="str">
        <f t="shared" si="15"/>
        <v>-</v>
      </c>
      <c r="Z159" s="270">
        <f t="shared" si="44"/>
        <v>0.1</v>
      </c>
      <c r="AA159" s="271" t="str">
        <f>IFERROR(IF(V158=1,AA$100*EXP(-(LN(2)/$D$65+0.04)*X158)*EXP(-(LN(2)/$D$65+0.1)*Y158),IF(V158=2,AA$100*EXP(-(LN(2)/$D$65+0.04)*(VLOOKUP(($F$16-$F$15)-1,U$99:Y158,4,FALSE)))*EXP(-(LN(2)/$D$65+0.1)*(VLOOKUP(($F$16-$F$15)-1,U$99:Y158,5,FALSE)))*EXP(-(LN(2)/$D$65+0.04)*X158)*EXP(-(LN(2)/$D$65+0.1)*Y158),IF(V158=3,AA$100*EXP(-(LN(2)/$D$65+0.04)*(VLOOKUP(($F$16-$F$15)-1,U$99:Y158,4,FALSE)))*EXP(-(LN(2)/$D$65+0.1)*(VLOOKUP(($F$16-$F$15)-1,U$99:Y158,5,FALSE)))*EXP(-(LN(2)/$D$65+0.04)*(VLOOKUP(($F$16-$F$15)*2-1,U$99:Y158,4,FALSE)))*EXP(-(LN(2)/$D$65+0.1)*(VLOOKUP(($F$16-$F$15)*2-1,U$99:Y158,5,FALSE)))*EXP(-(LN(2)/$D$65+0.04)*X158)*EXP(-(LN(2)/$D$65+0.1)*Y158),"-"))),"-")</f>
        <v>-</v>
      </c>
      <c r="AB159" s="271" t="str">
        <f>IFERROR(IF(V159=1,AB$100*EXP(-(LN(2)/$D$65+0.04)*X159)*EXP(-(LN(2)/$D$65+0.1)*Y159),IF(V159=2,AB$100*EXP(-(LN(2)/$D$65+0.04)*(VLOOKUP(($F$16-$F$15)-1,U$100:Y159,4,FALSE)))*EXP(-(LN(2)/$D$65+0.1)*(VLOOKUP(($F$16-$F$15)-1,U$100:Y159,5,FALSE)))*EXP(-(LN(2)/$D$65+0.04)*X159)*EXP(-(LN(2)/$D$65+0.1)*Y159),IF(V159=3,AB$100*EXP(-(LN(2)/$D$65+0.04)*(VLOOKUP(($F$16-$F$15)-1,U$100:Y159,4,FALSE)))*EXP(-(LN(2)/$D$65+0.1)*(VLOOKUP(($F$16-$F$15)-1,U$100:Y159,5,FALSE)))*EXP(-(LN(2)/$D$65+0.04)*(VLOOKUP(($F$16-$F$15)*2-1,U$100:Y159,4,FALSE)))*EXP(-(LN(2)/$D$65+0.1)*(VLOOKUP(($F$16-$F$15)*2-1,U$100:Y159,5,FALSE)))*EXP(-(LN(2)/$D$65+0.04)*X159)*EXP(-(LN(2)/$D$65+0.1)*Y159),"-"))),"-")</f>
        <v>-</v>
      </c>
      <c r="AC159" s="224">
        <f t="shared" si="45"/>
        <v>59</v>
      </c>
      <c r="AD159" s="223" t="str">
        <f t="shared" si="17"/>
        <v>-</v>
      </c>
      <c r="AE159" s="224" t="str">
        <f t="shared" si="46"/>
        <v>-</v>
      </c>
      <c r="AF159" s="224" t="str">
        <f t="shared" si="18"/>
        <v>-</v>
      </c>
      <c r="AG159" s="224" t="str">
        <f t="shared" si="19"/>
        <v>-</v>
      </c>
      <c r="AH159" s="272">
        <f t="shared" si="47"/>
        <v>0.1</v>
      </c>
      <c r="AI159" s="271" t="str">
        <f>IFERROR(IF(AD158=1,AI$100*EXP(-(LN(2)/$D$65+0.04)*AF158)*EXP(-(LN(2)/$D$65+0.1)*AG158),IF(AD158=2,AI$100*EXP(-(LN(2)/$D$65+0.04)*(VLOOKUP(($F$16-$F$15)-1,AC$99:AG158,4,FALSE)))*EXP(-(LN(2)/$D$65+0.1)*(VLOOKUP(($F$16-$F$15)-1,AC$99:AG158,5,FALSE)))*EXP(-(LN(2)/$D$65+0.04)*AF158)*EXP(-(LN(2)/$D$65+0.1)*AG158),IF(AD158=3,AI$100*EXP(-(LN(2)/$D$65+0.04)*(VLOOKUP(($F$16-$F$15)-1,AC$99:AG158,4,FALSE)))*EXP(-(LN(2)/$D$65+0.1)*(VLOOKUP(($F$16-$F$15)-1,AC$99:AG158,5,FALSE)))*EXP(-(LN(2)/$D$65+0.04)*(VLOOKUP(($F$16-$F$15)*2-1,AC$99:AG158,4,FALSE)))*EXP(-(LN(2)/$D$65+0.1)*(VLOOKUP(($F$16-$F$15)*2-1,AC$99:AG158,5,FALSE)))*EXP(-(LN(2)/$D$65+0.04)*AF158)*EXP(-(LN(2)/$D$65+0.1)*AG158),"-"))),"-")</f>
        <v>-</v>
      </c>
      <c r="AJ159" s="271" t="str">
        <f>IFERROR(IF(AD159=1,AJ$100*EXP(-(LN(2)/$D$65+0.04)*AF159)*EXP(-(LN(2)/$D$65+0.1)*AG159),IF(AD159=2,AJ$100*EXP(-(LN(2)/$D$65+0.04)*(VLOOKUP(($F$16-$F$15)-1,AC$100:AG159,4,FALSE)))*EXP(-(LN(2)/$D$65+0.1)*(VLOOKUP(($F$16-$F$15)-1,AC$100:AG159,5,FALSE)))*EXP(-(LN(2)/$D$65+0.04)*AF159)*EXP(-(LN(2)/$D$65+0.1)*AG159),IF(AD159=3,AJ$100*EXP(-(LN(2)/$D$65+0.04)*(VLOOKUP(($F$16-$F$15)-1,AC$100:AG159,4,FALSE)))*EXP(-(LN(2)/$D$65+0.1)*(VLOOKUP(($F$16-$F$15)-1,AC$100:AG159,5,FALSE)))*EXP(-(LN(2)/$D$65+0.04)*(VLOOKUP(($F$16-$F$15)*2-1,AC$100:AG159,4,FALSE)))*EXP(-(LN(2)/$D$65+0.1)*(VLOOKUP(($F$16-$F$15)*2-1,AC$100:AG159,5,FALSE)))*EXP(-(LN(2)/$D$65+0.04)*AF159)*EXP(-(LN(2)/$D$65+0.1)*AG159),"-"))),"-")</f>
        <v>-</v>
      </c>
      <c r="AK159" s="227">
        <f t="shared" si="49"/>
        <v>59</v>
      </c>
      <c r="AL159" s="226" t="str">
        <f t="shared" si="21"/>
        <v>-</v>
      </c>
      <c r="AM159" s="227" t="str">
        <f t="shared" si="50"/>
        <v>-</v>
      </c>
      <c r="AN159" s="227" t="str">
        <f t="shared" si="51"/>
        <v>-</v>
      </c>
      <c r="AO159" s="227" t="str">
        <f t="shared" si="22"/>
        <v>-</v>
      </c>
      <c r="AP159" s="273">
        <f t="shared" si="52"/>
        <v>0.1</v>
      </c>
      <c r="AQ159" s="271" t="str">
        <f>IFERROR(IF(AL158=1,AQ$100*EXP(-(LN(2)/$D$65+0.04)*AN158)*EXP(-(LN(2)/$D$65+0.1)*AO158),IF(AL158=2,AQ$100*EXP(-(LN(2)/$D$65+0.04)*(VLOOKUP(($F$16-$F$15)-1,AK$99:AO158,4,FALSE)))*EXP(-(LN(2)/$D$65+0.1)*(VLOOKUP(($F$16-$F$15)-1,AK$99:AO158,5,FALSE)))*EXP(-(LN(2)/$D$65+0.04)*AN158)*EXP(-(LN(2)/$D$65+0.1)*AO158),IF(AL158=3,AQ$100*EXP(-(LN(2)/$D$65+0.04)*(VLOOKUP(($F$16-$F$15)-1,AK$99:AO158,4,FALSE)))*EXP(-(LN(2)/$D$65+0.1)*(VLOOKUP(($F$16-$F$15)-1,AK$99:AO158,5,FALSE)))*EXP(-(LN(2)/$D$65+0.04)*(VLOOKUP(($F$16-$F$15)*2-1,AK$99:AO158,4,FALSE)))*EXP(-(LN(2)/$D$65+0.1)*(VLOOKUP(($F$16-$F$15)*2-1,AK$99:AO158,5,FALSE)))*EXP(-(LN(2)/$D$65+0.04)*AN158)*EXP(-(LN(2)/$D$65+0.1)*AO158),"-"))),"-")</f>
        <v>-</v>
      </c>
      <c r="AR159" s="271" t="str">
        <f>IFERROR(IF(AL159=1,AR$100*EXP(-(LN(2)/$D$65+0.04)*AN159)*EXP(-(LN(2)/$D$65+0.1)*AO159),IF(AL159=2,AR$100*EXP(-(LN(2)/$D$65+0.04)*(VLOOKUP(($F$16-$F$15)-1,AK$100:AO159,4,FALSE)))*EXP(-(LN(2)/$D$65+0.1)*(VLOOKUP(($F$16-$F$15)-1,AK$100:AO159,5,FALSE)))*EXP(-(LN(2)/$D$65+0.04)*AN159)*EXP(-(LN(2)/$D$65+0.1)*AO159),IF(AL159=3,AR$100*EXP(-(LN(2)/$D$65+0.04)*(VLOOKUP(($F$16-$F$15)-1,AK$100:AO159,4,FALSE)))*EXP(-(LN(2)/$D$65+0.1)*(VLOOKUP(($F$16-$F$15)-1,AK$100:AO159,5,FALSE)))*EXP(-(LN(2)/$D$65+0.04)*(VLOOKUP(($F$16-$F$15)*2-1,AK$100:AO159,4,FALSE)))*EXP(-(LN(2)/$D$65+0.1)*(VLOOKUP(($F$16-$F$15)*2-1,AK$100:AO159,5,FALSE)))*EXP(-(LN(2)/$D$65+0.04)*AN159)*EXP(-(LN(2)/$D$65+0.1)*AO159),"-"))),"-")</f>
        <v>-</v>
      </c>
      <c r="AS159" s="274">
        <f t="shared" si="23"/>
        <v>0</v>
      </c>
      <c r="AT159" s="274">
        <f t="shared" si="24"/>
        <v>0</v>
      </c>
      <c r="AU159" s="274">
        <f t="shared" si="25"/>
        <v>0</v>
      </c>
      <c r="AV159" s="190">
        <f>IF($B159&lt;$F$22,SUM($T$100:$T159),"")</f>
        <v>0</v>
      </c>
      <c r="AW159" s="190" t="str">
        <f t="shared" si="84"/>
        <v>-</v>
      </c>
      <c r="AX159" s="190" t="str">
        <f t="shared" si="56"/>
        <v/>
      </c>
      <c r="AY159"/>
      <c r="AZ159" s="190" t="str">
        <f ca="1">IF(ISNUMBER(OFFSET(AV159,-$F$21,0)),SUM(OFFSET($T$100,$F$21,0):$T159),"")</f>
        <v/>
      </c>
      <c r="BA159" s="190" t="str">
        <f t="shared" ca="1" si="85"/>
        <v/>
      </c>
      <c r="BB159" s="190" t="str">
        <f t="shared" ca="1" si="70"/>
        <v/>
      </c>
      <c r="BC159" s="190"/>
      <c r="BD159" s="190" t="str">
        <f ca="1">IFERROR(IF(AND($B159&gt;=($F$16-$F$15),$B159&lt;$F$22+($F$16-$F$15)),SUM(OFFSET($T$100,($F$16-$F$15),0):$T159),""),"")</f>
        <v/>
      </c>
      <c r="BE159" s="190" t="str">
        <f t="shared" ca="1" si="58"/>
        <v/>
      </c>
      <c r="BF159" s="190" t="str">
        <f t="shared" ca="1" si="59"/>
        <v/>
      </c>
      <c r="BG159"/>
      <c r="BH159" s="190" t="str">
        <f ca="1">IF(ISNUMBER(OFFSET(BD159,-$F$21,0)),SUM(OFFSET($T$100,($F$16-$F$15+$F$21),0):$T159),"")</f>
        <v/>
      </c>
      <c r="BI159" s="190" t="str">
        <f t="shared" ca="1" si="86"/>
        <v/>
      </c>
      <c r="BJ159" s="190" t="str">
        <f t="shared" ca="1" si="60"/>
        <v/>
      </c>
      <c r="BK159" s="190"/>
      <c r="BL159" s="190" t="str">
        <f ca="1">IFERROR(IF(AND($B159&gt;=($F$17-$F$15),$B159&lt;$F$22+($F$17-$F$15)),SUM(OFFSET($T$100,($F$17-$F$15),0):$T159),""),"")</f>
        <v/>
      </c>
      <c r="BM159" s="190" t="str">
        <f t="shared" ca="1" si="87"/>
        <v/>
      </c>
      <c r="BN159" s="190" t="str">
        <f t="shared" ca="1" si="61"/>
        <v/>
      </c>
      <c r="BO159"/>
      <c r="BP159" s="190" t="str">
        <f ca="1">IF(ISNUMBER(OFFSET(BL159,-$F$21,0)),SUM(OFFSET($T$100,($F$17-$F$15+$F$21),0):$T159),"")</f>
        <v/>
      </c>
      <c r="BQ159" s="190" t="str">
        <f t="shared" ca="1" si="88"/>
        <v/>
      </c>
      <c r="BR159" s="190" t="str">
        <f t="shared" ca="1" si="63"/>
        <v/>
      </c>
      <c r="BS159" s="190"/>
      <c r="BT159"/>
      <c r="BU159"/>
      <c r="BV159"/>
      <c r="BY159" s="99"/>
      <c r="BZ159" s="99"/>
      <c r="CA159" s="280" t="str">
        <f t="shared" si="89"/>
        <v/>
      </c>
      <c r="CB159" s="71" t="str">
        <f t="shared" si="30"/>
        <v>-</v>
      </c>
      <c r="CC159" s="33"/>
      <c r="CD159" s="261" t="str">
        <f t="shared" si="32"/>
        <v/>
      </c>
      <c r="CE159" s="280" t="str">
        <f t="shared" si="90"/>
        <v>-</v>
      </c>
      <c r="CF159" s="71" t="str">
        <f t="shared" ca="1" si="91"/>
        <v>-</v>
      </c>
      <c r="CG159" s="33" t="str">
        <f t="shared" si="35"/>
        <v>59-60</v>
      </c>
      <c r="CH159" s="261" t="str">
        <f t="shared" ca="1" si="36"/>
        <v/>
      </c>
      <c r="CI159" s="99"/>
      <c r="CJ159" s="99"/>
      <c r="CK159" s="99"/>
      <c r="CL159" s="99"/>
      <c r="CM159" s="99"/>
      <c r="CN159" s="99"/>
      <c r="CO159" s="99"/>
    </row>
    <row r="160" spans="2:93" ht="13.5" customHeight="1" x14ac:dyDescent="0.2">
      <c r="B160" s="262">
        <v>60</v>
      </c>
      <c r="C160" s="237" t="str">
        <f t="shared" si="71"/>
        <v/>
      </c>
      <c r="D160" s="237" t="str">
        <f t="shared" si="66"/>
        <v>-</v>
      </c>
      <c r="E160" s="290" t="str">
        <f t="shared" si="37"/>
        <v/>
      </c>
      <c r="F160" s="264" t="str">
        <f t="shared" si="38"/>
        <v/>
      </c>
      <c r="G160" s="291" t="str">
        <f t="shared" si="39"/>
        <v/>
      </c>
      <c r="H160" s="240" t="str">
        <f t="shared" si="72"/>
        <v/>
      </c>
      <c r="I160" s="265" t="str">
        <f t="shared" si="73"/>
        <v/>
      </c>
      <c r="J160" s="265" t="str">
        <f t="shared" si="74"/>
        <v/>
      </c>
      <c r="K160" s="240" t="str">
        <f t="shared" si="75"/>
        <v/>
      </c>
      <c r="L160" s="265" t="str">
        <f t="shared" si="76"/>
        <v/>
      </c>
      <c r="M160" s="265" t="str">
        <f t="shared" si="77"/>
        <v/>
      </c>
      <c r="N160" s="240" t="str">
        <f t="shared" si="78"/>
        <v>-</v>
      </c>
      <c r="O160" s="265" t="str">
        <f t="shared" si="79"/>
        <v>-</v>
      </c>
      <c r="P160" s="265" t="str">
        <f t="shared" si="80"/>
        <v>-</v>
      </c>
      <c r="Q160" s="266" t="str">
        <f t="shared" si="81"/>
        <v>-</v>
      </c>
      <c r="R160" s="267" t="str">
        <f t="shared" si="82"/>
        <v>-</v>
      </c>
      <c r="S160" s="268" t="str">
        <f t="shared" si="83"/>
        <v>-</v>
      </c>
      <c r="T160" s="269" t="str">
        <f t="shared" si="12"/>
        <v/>
      </c>
      <c r="U160" s="221">
        <f t="shared" si="13"/>
        <v>60</v>
      </c>
      <c r="V160" s="220" t="str">
        <f t="shared" si="42"/>
        <v>-</v>
      </c>
      <c r="W160" s="221" t="str">
        <f t="shared" si="43"/>
        <v>-</v>
      </c>
      <c r="X160" s="221" t="str">
        <f t="shared" si="14"/>
        <v>-</v>
      </c>
      <c r="Y160" s="221" t="str">
        <f t="shared" si="15"/>
        <v>-</v>
      </c>
      <c r="Z160" s="270">
        <f t="shared" si="44"/>
        <v>0.1</v>
      </c>
      <c r="AA160" s="271" t="str">
        <f>IFERROR(IF(V159=1,AA$100*EXP(-(LN(2)/$D$65+0.04)*X159)*EXP(-(LN(2)/$D$65+0.1)*Y159),IF(V159=2,AA$100*EXP(-(LN(2)/$D$65+0.04)*(VLOOKUP(($F$16-$F$15)-1,U$99:Y159,4,FALSE)))*EXP(-(LN(2)/$D$65+0.1)*(VLOOKUP(($F$16-$F$15)-1,U$99:Y159,5,FALSE)))*EXP(-(LN(2)/$D$65+0.04)*X159)*EXP(-(LN(2)/$D$65+0.1)*Y159),IF(V159=3,AA$100*EXP(-(LN(2)/$D$65+0.04)*(VLOOKUP(($F$16-$F$15)-1,U$99:Y159,4,FALSE)))*EXP(-(LN(2)/$D$65+0.1)*(VLOOKUP(($F$16-$F$15)-1,U$99:Y159,5,FALSE)))*EXP(-(LN(2)/$D$65+0.04)*(VLOOKUP(($F$16-$F$15)*2-1,U$99:Y159,4,FALSE)))*EXP(-(LN(2)/$D$65+0.1)*(VLOOKUP(($F$16-$F$15)*2-1,U$99:Y159,5,FALSE)))*EXP(-(LN(2)/$D$65+0.04)*X159)*EXP(-(LN(2)/$D$65+0.1)*Y159),"-"))),"-")</f>
        <v>-</v>
      </c>
      <c r="AB160" s="271" t="str">
        <f>IFERROR(IF(V160=1,AB$100*EXP(-(LN(2)/$D$65+0.04)*X160)*EXP(-(LN(2)/$D$65+0.1)*Y160),IF(V160=2,AB$100*EXP(-(LN(2)/$D$65+0.04)*(VLOOKUP(($F$16-$F$15)-1,U$100:Y160,4,FALSE)))*EXP(-(LN(2)/$D$65+0.1)*(VLOOKUP(($F$16-$F$15)-1,U$100:Y160,5,FALSE)))*EXP(-(LN(2)/$D$65+0.04)*X160)*EXP(-(LN(2)/$D$65+0.1)*Y160),IF(V160=3,AB$100*EXP(-(LN(2)/$D$65+0.04)*(VLOOKUP(($F$16-$F$15)-1,U$100:Y160,4,FALSE)))*EXP(-(LN(2)/$D$65+0.1)*(VLOOKUP(($F$16-$F$15)-1,U$100:Y160,5,FALSE)))*EXP(-(LN(2)/$D$65+0.04)*(VLOOKUP(($F$16-$F$15)*2-1,U$100:Y160,4,FALSE)))*EXP(-(LN(2)/$D$65+0.1)*(VLOOKUP(($F$16-$F$15)*2-1,U$100:Y160,5,FALSE)))*EXP(-(LN(2)/$D$65+0.04)*X160)*EXP(-(LN(2)/$D$65+0.1)*Y160),"-"))),"-")</f>
        <v>-</v>
      </c>
      <c r="AC160" s="224">
        <f t="shared" si="45"/>
        <v>60</v>
      </c>
      <c r="AD160" s="223" t="str">
        <f t="shared" si="17"/>
        <v>-</v>
      </c>
      <c r="AE160" s="224" t="str">
        <f t="shared" si="46"/>
        <v>-</v>
      </c>
      <c r="AF160" s="224" t="str">
        <f t="shared" si="18"/>
        <v>-</v>
      </c>
      <c r="AG160" s="224" t="str">
        <f t="shared" si="19"/>
        <v>-</v>
      </c>
      <c r="AH160" s="272">
        <f t="shared" si="47"/>
        <v>0.1</v>
      </c>
      <c r="AI160" s="271" t="str">
        <f>IFERROR(IF(AD159=1,AI$100*EXP(-(LN(2)/$D$65+0.04)*AF159)*EXP(-(LN(2)/$D$65+0.1)*AG159),IF(AD159=2,AI$100*EXP(-(LN(2)/$D$65+0.04)*(VLOOKUP(($F$16-$F$15)-1,AC$99:AG159,4,FALSE)))*EXP(-(LN(2)/$D$65+0.1)*(VLOOKUP(($F$16-$F$15)-1,AC$99:AG159,5,FALSE)))*EXP(-(LN(2)/$D$65+0.04)*AF159)*EXP(-(LN(2)/$D$65+0.1)*AG159),IF(AD159=3,AI$100*EXP(-(LN(2)/$D$65+0.04)*(VLOOKUP(($F$16-$F$15)-1,AC$99:AG159,4,FALSE)))*EXP(-(LN(2)/$D$65+0.1)*(VLOOKUP(($F$16-$F$15)-1,AC$99:AG159,5,FALSE)))*EXP(-(LN(2)/$D$65+0.04)*(VLOOKUP(($F$16-$F$15)*2-1,AC$99:AG159,4,FALSE)))*EXP(-(LN(2)/$D$65+0.1)*(VLOOKUP(($F$16-$F$15)*2-1,AC$99:AG159,5,FALSE)))*EXP(-(LN(2)/$D$65+0.04)*AF159)*EXP(-(LN(2)/$D$65+0.1)*AG159),"-"))),"-")</f>
        <v>-</v>
      </c>
      <c r="AJ160" s="271" t="str">
        <f>IFERROR(IF(AD160=1,AJ$100*EXP(-(LN(2)/$D$65+0.04)*AF160)*EXP(-(LN(2)/$D$65+0.1)*AG160),IF(AD160=2,AJ$100*EXP(-(LN(2)/$D$65+0.04)*(VLOOKUP(($F$16-$F$15)-1,AC$100:AG160,4,FALSE)))*EXP(-(LN(2)/$D$65+0.1)*(VLOOKUP(($F$16-$F$15)-1,AC$100:AG160,5,FALSE)))*EXP(-(LN(2)/$D$65+0.04)*AF160)*EXP(-(LN(2)/$D$65+0.1)*AG160),IF(AD160=3,AJ$100*EXP(-(LN(2)/$D$65+0.04)*(VLOOKUP(($F$16-$F$15)-1,AC$100:AG160,4,FALSE)))*EXP(-(LN(2)/$D$65+0.1)*(VLOOKUP(($F$16-$F$15)-1,AC$100:AG160,5,FALSE)))*EXP(-(LN(2)/$D$65+0.04)*(VLOOKUP(($F$16-$F$15)*2-1,AC$100:AG160,4,FALSE)))*EXP(-(LN(2)/$D$65+0.1)*(VLOOKUP(($F$16-$F$15)*2-1,AC$100:AG160,5,FALSE)))*EXP(-(LN(2)/$D$65+0.04)*AF160)*EXP(-(LN(2)/$D$65+0.1)*AG160),"-"))),"-")</f>
        <v>-</v>
      </c>
      <c r="AK160" s="227">
        <f t="shared" si="49"/>
        <v>60</v>
      </c>
      <c r="AL160" s="226" t="str">
        <f t="shared" si="21"/>
        <v>-</v>
      </c>
      <c r="AM160" s="227" t="str">
        <f t="shared" si="50"/>
        <v>-</v>
      </c>
      <c r="AN160" s="227" t="str">
        <f t="shared" si="51"/>
        <v>-</v>
      </c>
      <c r="AO160" s="227" t="str">
        <f t="shared" si="22"/>
        <v>-</v>
      </c>
      <c r="AP160" s="273">
        <f t="shared" si="52"/>
        <v>0.1</v>
      </c>
      <c r="AQ160" s="271" t="str">
        <f>IFERROR(IF(AL159=1,AQ$100*EXP(-(LN(2)/$D$65+0.04)*AN159)*EXP(-(LN(2)/$D$65+0.1)*AO159),IF(AL159=2,AQ$100*EXP(-(LN(2)/$D$65+0.04)*(VLOOKUP(($F$16-$F$15)-1,AK$99:AO159,4,FALSE)))*EXP(-(LN(2)/$D$65+0.1)*(VLOOKUP(($F$16-$F$15)-1,AK$99:AO159,5,FALSE)))*EXP(-(LN(2)/$D$65+0.04)*AN159)*EXP(-(LN(2)/$D$65+0.1)*AO159),IF(AL159=3,AQ$100*EXP(-(LN(2)/$D$65+0.04)*(VLOOKUP(($F$16-$F$15)-1,AK$99:AO159,4,FALSE)))*EXP(-(LN(2)/$D$65+0.1)*(VLOOKUP(($F$16-$F$15)-1,AK$99:AO159,5,FALSE)))*EXP(-(LN(2)/$D$65+0.04)*(VLOOKUP(($F$16-$F$15)*2-1,AK$99:AO159,4,FALSE)))*EXP(-(LN(2)/$D$65+0.1)*(VLOOKUP(($F$16-$F$15)*2-1,AK$99:AO159,5,FALSE)))*EXP(-(LN(2)/$D$65+0.04)*AN159)*EXP(-(LN(2)/$D$65+0.1)*AO159),"-"))),"-")</f>
        <v>-</v>
      </c>
      <c r="AR160" s="271" t="str">
        <f>IFERROR(IF(AL160=1,AR$100*EXP(-(LN(2)/$D$65+0.04)*AN160)*EXP(-(LN(2)/$D$65+0.1)*AO160),IF(AL160=2,AR$100*EXP(-(LN(2)/$D$65+0.04)*(VLOOKUP(($F$16-$F$15)-1,AK$100:AO160,4,FALSE)))*EXP(-(LN(2)/$D$65+0.1)*(VLOOKUP(($F$16-$F$15)-1,AK$100:AO160,5,FALSE)))*EXP(-(LN(2)/$D$65+0.04)*AN160)*EXP(-(LN(2)/$D$65+0.1)*AO160),IF(AL160=3,AR$100*EXP(-(LN(2)/$D$65+0.04)*(VLOOKUP(($F$16-$F$15)-1,AK$100:AO160,4,FALSE)))*EXP(-(LN(2)/$D$65+0.1)*(VLOOKUP(($F$16-$F$15)-1,AK$100:AO160,5,FALSE)))*EXP(-(LN(2)/$D$65+0.04)*(VLOOKUP(($F$16-$F$15)*2-1,AK$100:AO160,4,FALSE)))*EXP(-(LN(2)/$D$65+0.1)*(VLOOKUP(($F$16-$F$15)*2-1,AK$100:AO160,5,FALSE)))*EXP(-(LN(2)/$D$65+0.04)*AN160)*EXP(-(LN(2)/$D$65+0.1)*AO160),"-"))),"-")</f>
        <v>-</v>
      </c>
      <c r="AS160" s="274">
        <f t="shared" si="23"/>
        <v>0</v>
      </c>
      <c r="AT160" s="274">
        <f t="shared" si="24"/>
        <v>0</v>
      </c>
      <c r="AU160" s="274">
        <f t="shared" si="25"/>
        <v>0</v>
      </c>
      <c r="AV160" s="190">
        <f>IF($B160&lt;$F$22,SUM($T$100:$T160),"")</f>
        <v>0</v>
      </c>
      <c r="AW160" s="190" t="str">
        <f t="shared" si="84"/>
        <v>-</v>
      </c>
      <c r="AX160" s="190" t="str">
        <f t="shared" si="56"/>
        <v/>
      </c>
      <c r="AY160"/>
      <c r="AZ160" s="190" t="str">
        <f ca="1">IF(ISNUMBER(OFFSET(AV160,-$F$21,0)),SUM(OFFSET($T$100,$F$21,0):$T160),"")</f>
        <v/>
      </c>
      <c r="BA160" s="190" t="str">
        <f t="shared" ca="1" si="85"/>
        <v/>
      </c>
      <c r="BB160" s="190" t="str">
        <f t="shared" ca="1" si="70"/>
        <v/>
      </c>
      <c r="BC160" s="190"/>
      <c r="BD160" s="190" t="str">
        <f ca="1">IFERROR(IF(AND($B160&gt;=($F$16-$F$15),$B160&lt;$F$22+($F$16-$F$15)),SUM(OFFSET($T$100,($F$16-$F$15),0):$T160),""),"")</f>
        <v/>
      </c>
      <c r="BE160" s="190" t="str">
        <f t="shared" ca="1" si="58"/>
        <v/>
      </c>
      <c r="BF160" s="190" t="str">
        <f t="shared" ca="1" si="59"/>
        <v/>
      </c>
      <c r="BG160"/>
      <c r="BH160" s="190" t="str">
        <f ca="1">IF(ISNUMBER(OFFSET(BD160,-$F$21,0)),SUM(OFFSET($T$100,($F$16-$F$15+$F$21),0):$T160),"")</f>
        <v/>
      </c>
      <c r="BI160" s="190" t="str">
        <f t="shared" ca="1" si="86"/>
        <v/>
      </c>
      <c r="BJ160" s="190" t="str">
        <f t="shared" ca="1" si="60"/>
        <v/>
      </c>
      <c r="BK160" s="190"/>
      <c r="BL160" s="190" t="str">
        <f ca="1">IFERROR(IF(AND($B160&gt;=($F$17-$F$15),$B160&lt;$F$22+($F$17-$F$15)),SUM(OFFSET($T$100,($F$17-$F$15),0):$T160),""),"")</f>
        <v/>
      </c>
      <c r="BM160" s="190" t="str">
        <f t="shared" ca="1" si="87"/>
        <v/>
      </c>
      <c r="BN160" s="190" t="str">
        <f t="shared" ca="1" si="61"/>
        <v/>
      </c>
      <c r="BO160"/>
      <c r="BP160" s="190" t="str">
        <f ca="1">IF(ISNUMBER(OFFSET(BL160,-$F$21,0)),SUM(OFFSET($T$100,($F$17-$F$15+$F$21),0):$T160),"")</f>
        <v/>
      </c>
      <c r="BQ160" s="190" t="str">
        <f t="shared" ca="1" si="88"/>
        <v/>
      </c>
      <c r="BR160" s="190" t="str">
        <f t="shared" ca="1" si="63"/>
        <v/>
      </c>
      <c r="BS160" s="190"/>
      <c r="BT160"/>
      <c r="BU160"/>
      <c r="BV160"/>
      <c r="BY160" s="99"/>
      <c r="BZ160" s="99"/>
      <c r="CA160" s="280" t="str">
        <f t="shared" si="89"/>
        <v/>
      </c>
      <c r="CB160" s="71" t="str">
        <f t="shared" si="30"/>
        <v>-</v>
      </c>
      <c r="CC160" s="33"/>
      <c r="CD160" s="261" t="str">
        <f t="shared" si="32"/>
        <v/>
      </c>
      <c r="CE160" s="280" t="str">
        <f t="shared" si="90"/>
        <v>-</v>
      </c>
      <c r="CF160" s="71" t="str">
        <f t="shared" ca="1" si="91"/>
        <v>-</v>
      </c>
      <c r="CG160" s="33" t="str">
        <f t="shared" si="35"/>
        <v>60-61</v>
      </c>
      <c r="CH160" s="261" t="str">
        <f t="shared" ca="1" si="36"/>
        <v/>
      </c>
      <c r="CI160" s="99"/>
      <c r="CJ160" s="99"/>
      <c r="CK160" s="99"/>
      <c r="CL160" s="99"/>
      <c r="CM160" s="99"/>
      <c r="CN160" s="99"/>
      <c r="CO160" s="99"/>
    </row>
    <row r="161" spans="2:93" ht="13.5" customHeight="1" x14ac:dyDescent="0.2">
      <c r="B161" s="262">
        <v>61</v>
      </c>
      <c r="C161" s="237" t="str">
        <f t="shared" si="71"/>
        <v/>
      </c>
      <c r="D161" s="237" t="str">
        <f t="shared" si="66"/>
        <v>-</v>
      </c>
      <c r="E161" s="290" t="str">
        <f t="shared" si="37"/>
        <v/>
      </c>
      <c r="F161" s="264" t="str">
        <f t="shared" si="38"/>
        <v/>
      </c>
      <c r="G161" s="291" t="str">
        <f t="shared" si="39"/>
        <v/>
      </c>
      <c r="H161" s="240" t="str">
        <f t="shared" si="72"/>
        <v/>
      </c>
      <c r="I161" s="265" t="str">
        <f t="shared" si="73"/>
        <v/>
      </c>
      <c r="J161" s="265" t="str">
        <f t="shared" si="74"/>
        <v/>
      </c>
      <c r="K161" s="240" t="str">
        <f t="shared" si="75"/>
        <v/>
      </c>
      <c r="L161" s="265" t="str">
        <f t="shared" si="76"/>
        <v/>
      </c>
      <c r="M161" s="265" t="str">
        <f t="shared" si="77"/>
        <v/>
      </c>
      <c r="N161" s="240" t="str">
        <f t="shared" si="78"/>
        <v>-</v>
      </c>
      <c r="O161" s="265" t="str">
        <f t="shared" si="79"/>
        <v>-</v>
      </c>
      <c r="P161" s="265" t="str">
        <f t="shared" si="80"/>
        <v>-</v>
      </c>
      <c r="Q161" s="266" t="str">
        <f t="shared" si="81"/>
        <v>-</v>
      </c>
      <c r="R161" s="267" t="str">
        <f t="shared" si="82"/>
        <v>-</v>
      </c>
      <c r="S161" s="268" t="str">
        <f t="shared" si="83"/>
        <v>-</v>
      </c>
      <c r="T161" s="269" t="str">
        <f t="shared" si="12"/>
        <v/>
      </c>
      <c r="U161" s="221">
        <f t="shared" si="13"/>
        <v>61</v>
      </c>
      <c r="V161" s="220" t="str">
        <f t="shared" si="42"/>
        <v>-</v>
      </c>
      <c r="W161" s="221" t="str">
        <f t="shared" si="43"/>
        <v>-</v>
      </c>
      <c r="X161" s="221" t="str">
        <f t="shared" si="14"/>
        <v>-</v>
      </c>
      <c r="Y161" s="221" t="str">
        <f t="shared" si="15"/>
        <v>-</v>
      </c>
      <c r="Z161" s="270">
        <f t="shared" si="44"/>
        <v>0.1</v>
      </c>
      <c r="AA161" s="271" t="str">
        <f>IFERROR(IF(V160=1,AA$100*EXP(-(LN(2)/$D$65+0.04)*X160)*EXP(-(LN(2)/$D$65+0.1)*Y160),IF(V160=2,AA$100*EXP(-(LN(2)/$D$65+0.04)*(VLOOKUP(($F$16-$F$15)-1,U$99:Y160,4,FALSE)))*EXP(-(LN(2)/$D$65+0.1)*(VLOOKUP(($F$16-$F$15)-1,U$99:Y160,5,FALSE)))*EXP(-(LN(2)/$D$65+0.04)*X160)*EXP(-(LN(2)/$D$65+0.1)*Y160),IF(V160=3,AA$100*EXP(-(LN(2)/$D$65+0.04)*(VLOOKUP(($F$16-$F$15)-1,U$99:Y160,4,FALSE)))*EXP(-(LN(2)/$D$65+0.1)*(VLOOKUP(($F$16-$F$15)-1,U$99:Y160,5,FALSE)))*EXP(-(LN(2)/$D$65+0.04)*(VLOOKUP(($F$16-$F$15)*2-1,U$99:Y160,4,FALSE)))*EXP(-(LN(2)/$D$65+0.1)*(VLOOKUP(($F$16-$F$15)*2-1,U$99:Y160,5,FALSE)))*EXP(-(LN(2)/$D$65+0.04)*X160)*EXP(-(LN(2)/$D$65+0.1)*Y160),"-"))),"-")</f>
        <v>-</v>
      </c>
      <c r="AB161" s="271" t="str">
        <f>IFERROR(IF(V161=1,AB$100*EXP(-(LN(2)/$D$65+0.04)*X161)*EXP(-(LN(2)/$D$65+0.1)*Y161),IF(V161=2,AB$100*EXP(-(LN(2)/$D$65+0.04)*(VLOOKUP(($F$16-$F$15)-1,U$100:Y161,4,FALSE)))*EXP(-(LN(2)/$D$65+0.1)*(VLOOKUP(($F$16-$F$15)-1,U$100:Y161,5,FALSE)))*EXP(-(LN(2)/$D$65+0.04)*X161)*EXP(-(LN(2)/$D$65+0.1)*Y161),IF(V161=3,AB$100*EXP(-(LN(2)/$D$65+0.04)*(VLOOKUP(($F$16-$F$15)-1,U$100:Y161,4,FALSE)))*EXP(-(LN(2)/$D$65+0.1)*(VLOOKUP(($F$16-$F$15)-1,U$100:Y161,5,FALSE)))*EXP(-(LN(2)/$D$65+0.04)*(VLOOKUP(($F$16-$F$15)*2-1,U$100:Y161,4,FALSE)))*EXP(-(LN(2)/$D$65+0.1)*(VLOOKUP(($F$16-$F$15)*2-1,U$100:Y161,5,FALSE)))*EXP(-(LN(2)/$D$65+0.04)*X161)*EXP(-(LN(2)/$D$65+0.1)*Y161),"-"))),"-")</f>
        <v>-</v>
      </c>
      <c r="AC161" s="224">
        <f t="shared" si="45"/>
        <v>61</v>
      </c>
      <c r="AD161" s="223" t="str">
        <f t="shared" si="17"/>
        <v>-</v>
      </c>
      <c r="AE161" s="224" t="str">
        <f t="shared" si="46"/>
        <v>-</v>
      </c>
      <c r="AF161" s="224" t="str">
        <f t="shared" si="18"/>
        <v>-</v>
      </c>
      <c r="AG161" s="224" t="str">
        <f t="shared" si="19"/>
        <v>-</v>
      </c>
      <c r="AH161" s="272">
        <f t="shared" si="47"/>
        <v>0.1</v>
      </c>
      <c r="AI161" s="271" t="str">
        <f>IFERROR(IF(AD160=1,AI$100*EXP(-(LN(2)/$D$65+0.04)*AF160)*EXP(-(LN(2)/$D$65+0.1)*AG160),IF(AD160=2,AI$100*EXP(-(LN(2)/$D$65+0.04)*(VLOOKUP(($F$16-$F$15)-1,AC$99:AG160,4,FALSE)))*EXP(-(LN(2)/$D$65+0.1)*(VLOOKUP(($F$16-$F$15)-1,AC$99:AG160,5,FALSE)))*EXP(-(LN(2)/$D$65+0.04)*AF160)*EXP(-(LN(2)/$D$65+0.1)*AG160),IF(AD160=3,AI$100*EXP(-(LN(2)/$D$65+0.04)*(VLOOKUP(($F$16-$F$15)-1,AC$99:AG160,4,FALSE)))*EXP(-(LN(2)/$D$65+0.1)*(VLOOKUP(($F$16-$F$15)-1,AC$99:AG160,5,FALSE)))*EXP(-(LN(2)/$D$65+0.04)*(VLOOKUP(($F$16-$F$15)*2-1,AC$99:AG160,4,FALSE)))*EXP(-(LN(2)/$D$65+0.1)*(VLOOKUP(($F$16-$F$15)*2-1,AC$99:AG160,5,FALSE)))*EXP(-(LN(2)/$D$65+0.04)*AF160)*EXP(-(LN(2)/$D$65+0.1)*AG160),"-"))),"-")</f>
        <v>-</v>
      </c>
      <c r="AJ161" s="271" t="str">
        <f>IFERROR(IF(AD161=1,AJ$100*EXP(-(LN(2)/$D$65+0.04)*AF161)*EXP(-(LN(2)/$D$65+0.1)*AG161),IF(AD161=2,AJ$100*EXP(-(LN(2)/$D$65+0.04)*(VLOOKUP(($F$16-$F$15)-1,AC$100:AG161,4,FALSE)))*EXP(-(LN(2)/$D$65+0.1)*(VLOOKUP(($F$16-$F$15)-1,AC$100:AG161,5,FALSE)))*EXP(-(LN(2)/$D$65+0.04)*AF161)*EXP(-(LN(2)/$D$65+0.1)*AG161),IF(AD161=3,AJ$100*EXP(-(LN(2)/$D$65+0.04)*(VLOOKUP(($F$16-$F$15)-1,AC$100:AG161,4,FALSE)))*EXP(-(LN(2)/$D$65+0.1)*(VLOOKUP(($F$16-$F$15)-1,AC$100:AG161,5,FALSE)))*EXP(-(LN(2)/$D$65+0.04)*(VLOOKUP(($F$16-$F$15)*2-1,AC$100:AG161,4,FALSE)))*EXP(-(LN(2)/$D$65+0.1)*(VLOOKUP(($F$16-$F$15)*2-1,AC$100:AG161,5,FALSE)))*EXP(-(LN(2)/$D$65+0.04)*AF161)*EXP(-(LN(2)/$D$65+0.1)*AG161),"-"))),"-")</f>
        <v>-</v>
      </c>
      <c r="AK161" s="227">
        <f t="shared" si="49"/>
        <v>61</v>
      </c>
      <c r="AL161" s="226" t="str">
        <f t="shared" si="21"/>
        <v>-</v>
      </c>
      <c r="AM161" s="227" t="str">
        <f t="shared" si="50"/>
        <v>-</v>
      </c>
      <c r="AN161" s="227" t="str">
        <f t="shared" si="51"/>
        <v>-</v>
      </c>
      <c r="AO161" s="227" t="str">
        <f t="shared" si="22"/>
        <v>-</v>
      </c>
      <c r="AP161" s="273">
        <f t="shared" si="52"/>
        <v>0.1</v>
      </c>
      <c r="AQ161" s="271" t="str">
        <f>IFERROR(IF(AL160=1,AQ$100*EXP(-(LN(2)/$D$65+0.04)*AN160)*EXP(-(LN(2)/$D$65+0.1)*AO160),IF(AL160=2,AQ$100*EXP(-(LN(2)/$D$65+0.04)*(VLOOKUP(($F$16-$F$15)-1,AK$99:AO160,4,FALSE)))*EXP(-(LN(2)/$D$65+0.1)*(VLOOKUP(($F$16-$F$15)-1,AK$99:AO160,5,FALSE)))*EXP(-(LN(2)/$D$65+0.04)*AN160)*EXP(-(LN(2)/$D$65+0.1)*AO160),IF(AL160=3,AQ$100*EXP(-(LN(2)/$D$65+0.04)*(VLOOKUP(($F$16-$F$15)-1,AK$99:AO160,4,FALSE)))*EXP(-(LN(2)/$D$65+0.1)*(VLOOKUP(($F$16-$F$15)-1,AK$99:AO160,5,FALSE)))*EXP(-(LN(2)/$D$65+0.04)*(VLOOKUP(($F$16-$F$15)*2-1,AK$99:AO160,4,FALSE)))*EXP(-(LN(2)/$D$65+0.1)*(VLOOKUP(($F$16-$F$15)*2-1,AK$99:AO160,5,FALSE)))*EXP(-(LN(2)/$D$65+0.04)*AN160)*EXP(-(LN(2)/$D$65+0.1)*AO160),"-"))),"-")</f>
        <v>-</v>
      </c>
      <c r="AR161" s="271" t="str">
        <f>IFERROR(IF(AL161=1,AR$100*EXP(-(LN(2)/$D$65+0.04)*AN161)*EXP(-(LN(2)/$D$65+0.1)*AO161),IF(AL161=2,AR$100*EXP(-(LN(2)/$D$65+0.04)*(VLOOKUP(($F$16-$F$15)-1,AK$100:AO161,4,FALSE)))*EXP(-(LN(2)/$D$65+0.1)*(VLOOKUP(($F$16-$F$15)-1,AK$100:AO161,5,FALSE)))*EXP(-(LN(2)/$D$65+0.04)*AN161)*EXP(-(LN(2)/$D$65+0.1)*AO161),IF(AL161=3,AR$100*EXP(-(LN(2)/$D$65+0.04)*(VLOOKUP(($F$16-$F$15)-1,AK$100:AO161,4,FALSE)))*EXP(-(LN(2)/$D$65+0.1)*(VLOOKUP(($F$16-$F$15)-1,AK$100:AO161,5,FALSE)))*EXP(-(LN(2)/$D$65+0.04)*(VLOOKUP(($F$16-$F$15)*2-1,AK$100:AO161,4,FALSE)))*EXP(-(LN(2)/$D$65+0.1)*(VLOOKUP(($F$16-$F$15)*2-1,AK$100:AO161,5,FALSE)))*EXP(-(LN(2)/$D$65+0.04)*AN161)*EXP(-(LN(2)/$D$65+0.1)*AO161),"-"))),"-")</f>
        <v>-</v>
      </c>
      <c r="AS161" s="274">
        <f t="shared" si="23"/>
        <v>0</v>
      </c>
      <c r="AT161" s="274">
        <f t="shared" si="24"/>
        <v>0</v>
      </c>
      <c r="AU161" s="274">
        <f t="shared" si="25"/>
        <v>0</v>
      </c>
      <c r="AV161" s="190">
        <f>IF($B161&lt;$F$22,SUM($T$100:$T161),"")</f>
        <v>0</v>
      </c>
      <c r="AW161" s="190" t="str">
        <f t="shared" si="84"/>
        <v>-</v>
      </c>
      <c r="AX161" s="190" t="str">
        <f t="shared" si="56"/>
        <v/>
      </c>
      <c r="AY161"/>
      <c r="AZ161" s="190" t="str">
        <f ca="1">IF(ISNUMBER(OFFSET(AV161,-$F$21,0)),SUM(OFFSET($T$100,$F$21,0):$T161),"")</f>
        <v/>
      </c>
      <c r="BA161" s="190" t="str">
        <f t="shared" ca="1" si="85"/>
        <v/>
      </c>
      <c r="BB161" s="190" t="str">
        <f t="shared" ca="1" si="70"/>
        <v/>
      </c>
      <c r="BC161" s="190"/>
      <c r="BD161" s="190" t="str">
        <f ca="1">IFERROR(IF(AND($B161&gt;=($F$16-$F$15),$B161&lt;$F$22+($F$16-$F$15)),SUM(OFFSET($T$100,($F$16-$F$15),0):$T161),""),"")</f>
        <v/>
      </c>
      <c r="BE161" s="190" t="str">
        <f t="shared" ca="1" si="58"/>
        <v/>
      </c>
      <c r="BF161" s="190" t="str">
        <f t="shared" ca="1" si="59"/>
        <v/>
      </c>
      <c r="BG161"/>
      <c r="BH161" s="190" t="str">
        <f ca="1">IF(ISNUMBER(OFFSET(BD161,-$F$21,0)),SUM(OFFSET($T$100,($F$16-$F$15+$F$21),0):$T161),"")</f>
        <v/>
      </c>
      <c r="BI161" s="190" t="str">
        <f t="shared" ca="1" si="86"/>
        <v/>
      </c>
      <c r="BJ161" s="190" t="str">
        <f t="shared" ca="1" si="60"/>
        <v/>
      </c>
      <c r="BK161" s="190"/>
      <c r="BL161" s="190" t="str">
        <f ca="1">IFERROR(IF(AND($B161&gt;=($F$17-$F$15),$B161&lt;$F$22+($F$17-$F$15)),SUM(OFFSET($T$100,($F$17-$F$15),0):$T161),""),"")</f>
        <v/>
      </c>
      <c r="BM161" s="190" t="str">
        <f t="shared" ca="1" si="87"/>
        <v/>
      </c>
      <c r="BN161" s="190" t="str">
        <f t="shared" ca="1" si="61"/>
        <v/>
      </c>
      <c r="BO161"/>
      <c r="BP161" s="190" t="str">
        <f ca="1">IF(ISNUMBER(OFFSET(BL161,-$F$21,0)),SUM(OFFSET($T$100,($F$17-$F$15+$F$21),0):$T161),"")</f>
        <v/>
      </c>
      <c r="BQ161" s="190" t="str">
        <f t="shared" ca="1" si="88"/>
        <v/>
      </c>
      <c r="BR161" s="190" t="str">
        <f t="shared" ca="1" si="63"/>
        <v/>
      </c>
      <c r="BS161" s="190"/>
      <c r="BT161"/>
      <c r="BU161"/>
      <c r="BV161"/>
      <c r="BY161" s="99"/>
      <c r="BZ161" s="99"/>
      <c r="CA161" s="280" t="str">
        <f t="shared" si="89"/>
        <v/>
      </c>
      <c r="CB161" s="71" t="str">
        <f t="shared" si="30"/>
        <v>-</v>
      </c>
      <c r="CC161" s="33"/>
      <c r="CD161" s="261" t="str">
        <f t="shared" si="32"/>
        <v/>
      </c>
      <c r="CE161" s="280" t="str">
        <f t="shared" si="90"/>
        <v>-</v>
      </c>
      <c r="CF161" s="71" t="str">
        <f t="shared" ca="1" si="91"/>
        <v>-</v>
      </c>
      <c r="CG161" s="33" t="str">
        <f t="shared" si="35"/>
        <v>61-62</v>
      </c>
      <c r="CH161" s="261" t="str">
        <f t="shared" ca="1" si="36"/>
        <v/>
      </c>
      <c r="CI161" s="99"/>
      <c r="CJ161" s="99"/>
      <c r="CK161" s="99"/>
      <c r="CL161" s="99"/>
      <c r="CM161" s="99"/>
      <c r="CN161" s="99"/>
      <c r="CO161" s="99"/>
    </row>
    <row r="162" spans="2:93" ht="13.5" customHeight="1" x14ac:dyDescent="0.2">
      <c r="B162" s="262">
        <v>62</v>
      </c>
      <c r="C162" s="237" t="str">
        <f t="shared" si="71"/>
        <v/>
      </c>
      <c r="D162" s="237" t="str">
        <f t="shared" si="66"/>
        <v>-</v>
      </c>
      <c r="E162" s="290" t="str">
        <f t="shared" si="37"/>
        <v/>
      </c>
      <c r="F162" s="264" t="str">
        <f t="shared" si="38"/>
        <v/>
      </c>
      <c r="G162" s="291" t="str">
        <f t="shared" si="39"/>
        <v/>
      </c>
      <c r="H162" s="240" t="str">
        <f t="shared" si="72"/>
        <v/>
      </c>
      <c r="I162" s="265" t="str">
        <f t="shared" si="73"/>
        <v/>
      </c>
      <c r="J162" s="265" t="str">
        <f t="shared" si="74"/>
        <v/>
      </c>
      <c r="K162" s="240" t="str">
        <f t="shared" si="75"/>
        <v/>
      </c>
      <c r="L162" s="265" t="str">
        <f t="shared" si="76"/>
        <v/>
      </c>
      <c r="M162" s="265" t="str">
        <f t="shared" si="77"/>
        <v/>
      </c>
      <c r="N162" s="240" t="str">
        <f t="shared" si="78"/>
        <v>-</v>
      </c>
      <c r="O162" s="265" t="str">
        <f t="shared" si="79"/>
        <v>-</v>
      </c>
      <c r="P162" s="265" t="str">
        <f t="shared" si="80"/>
        <v>-</v>
      </c>
      <c r="Q162" s="266" t="str">
        <f t="shared" si="81"/>
        <v>-</v>
      </c>
      <c r="R162" s="267" t="str">
        <f t="shared" si="82"/>
        <v>-</v>
      </c>
      <c r="S162" s="268" t="str">
        <f t="shared" si="83"/>
        <v>-</v>
      </c>
      <c r="T162" s="269" t="str">
        <f t="shared" si="12"/>
        <v/>
      </c>
      <c r="U162" s="221">
        <f t="shared" si="13"/>
        <v>62</v>
      </c>
      <c r="V162" s="220" t="str">
        <f t="shared" si="42"/>
        <v>-</v>
      </c>
      <c r="W162" s="221" t="str">
        <f t="shared" si="43"/>
        <v>-</v>
      </c>
      <c r="X162" s="221" t="str">
        <f t="shared" si="14"/>
        <v>-</v>
      </c>
      <c r="Y162" s="221" t="str">
        <f t="shared" si="15"/>
        <v>-</v>
      </c>
      <c r="Z162" s="270">
        <f t="shared" si="44"/>
        <v>0.1</v>
      </c>
      <c r="AA162" s="271" t="str">
        <f>IFERROR(IF(V161=1,AA$100*EXP(-(LN(2)/$D$65+0.04)*X161)*EXP(-(LN(2)/$D$65+0.1)*Y161),IF(V161=2,AA$100*EXP(-(LN(2)/$D$65+0.04)*(VLOOKUP(($F$16-$F$15)-1,U$99:Y161,4,FALSE)))*EXP(-(LN(2)/$D$65+0.1)*(VLOOKUP(($F$16-$F$15)-1,U$99:Y161,5,FALSE)))*EXP(-(LN(2)/$D$65+0.04)*X161)*EXP(-(LN(2)/$D$65+0.1)*Y161),IF(V161=3,AA$100*EXP(-(LN(2)/$D$65+0.04)*(VLOOKUP(($F$16-$F$15)-1,U$99:Y161,4,FALSE)))*EXP(-(LN(2)/$D$65+0.1)*(VLOOKUP(($F$16-$F$15)-1,U$99:Y161,5,FALSE)))*EXP(-(LN(2)/$D$65+0.04)*(VLOOKUP(($F$16-$F$15)*2-1,U$99:Y161,4,FALSE)))*EXP(-(LN(2)/$D$65+0.1)*(VLOOKUP(($F$16-$F$15)*2-1,U$99:Y161,5,FALSE)))*EXP(-(LN(2)/$D$65+0.04)*X161)*EXP(-(LN(2)/$D$65+0.1)*Y161),"-"))),"-")</f>
        <v>-</v>
      </c>
      <c r="AB162" s="271" t="str">
        <f>IFERROR(IF(V162=1,AB$100*EXP(-(LN(2)/$D$65+0.04)*X162)*EXP(-(LN(2)/$D$65+0.1)*Y162),IF(V162=2,AB$100*EXP(-(LN(2)/$D$65+0.04)*(VLOOKUP(($F$16-$F$15)-1,U$100:Y162,4,FALSE)))*EXP(-(LN(2)/$D$65+0.1)*(VLOOKUP(($F$16-$F$15)-1,U$100:Y162,5,FALSE)))*EXP(-(LN(2)/$D$65+0.04)*X162)*EXP(-(LN(2)/$D$65+0.1)*Y162),IF(V162=3,AB$100*EXP(-(LN(2)/$D$65+0.04)*(VLOOKUP(($F$16-$F$15)-1,U$100:Y162,4,FALSE)))*EXP(-(LN(2)/$D$65+0.1)*(VLOOKUP(($F$16-$F$15)-1,U$100:Y162,5,FALSE)))*EXP(-(LN(2)/$D$65+0.04)*(VLOOKUP(($F$16-$F$15)*2-1,U$100:Y162,4,FALSE)))*EXP(-(LN(2)/$D$65+0.1)*(VLOOKUP(($F$16-$F$15)*2-1,U$100:Y162,5,FALSE)))*EXP(-(LN(2)/$D$65+0.04)*X162)*EXP(-(LN(2)/$D$65+0.1)*Y162),"-"))),"-")</f>
        <v>-</v>
      </c>
      <c r="AC162" s="224">
        <f t="shared" si="45"/>
        <v>62</v>
      </c>
      <c r="AD162" s="223" t="str">
        <f t="shared" si="17"/>
        <v>-</v>
      </c>
      <c r="AE162" s="224" t="str">
        <f t="shared" si="46"/>
        <v>-</v>
      </c>
      <c r="AF162" s="224" t="str">
        <f t="shared" si="18"/>
        <v>-</v>
      </c>
      <c r="AG162" s="224" t="str">
        <f t="shared" si="19"/>
        <v>-</v>
      </c>
      <c r="AH162" s="272">
        <f t="shared" si="47"/>
        <v>0.1</v>
      </c>
      <c r="AI162" s="271" t="str">
        <f>IFERROR(IF(AD161=1,AI$100*EXP(-(LN(2)/$D$65+0.04)*AF161)*EXP(-(LN(2)/$D$65+0.1)*AG161),IF(AD161=2,AI$100*EXP(-(LN(2)/$D$65+0.04)*(VLOOKUP(($F$16-$F$15)-1,AC$99:AG161,4,FALSE)))*EXP(-(LN(2)/$D$65+0.1)*(VLOOKUP(($F$16-$F$15)-1,AC$99:AG161,5,FALSE)))*EXP(-(LN(2)/$D$65+0.04)*AF161)*EXP(-(LN(2)/$D$65+0.1)*AG161),IF(AD161=3,AI$100*EXP(-(LN(2)/$D$65+0.04)*(VLOOKUP(($F$16-$F$15)-1,AC$99:AG161,4,FALSE)))*EXP(-(LN(2)/$D$65+0.1)*(VLOOKUP(($F$16-$F$15)-1,AC$99:AG161,5,FALSE)))*EXP(-(LN(2)/$D$65+0.04)*(VLOOKUP(($F$16-$F$15)*2-1,AC$99:AG161,4,FALSE)))*EXP(-(LN(2)/$D$65+0.1)*(VLOOKUP(($F$16-$F$15)*2-1,AC$99:AG161,5,FALSE)))*EXP(-(LN(2)/$D$65+0.04)*AF161)*EXP(-(LN(2)/$D$65+0.1)*AG161),"-"))),"-")</f>
        <v>-</v>
      </c>
      <c r="AJ162" s="271" t="str">
        <f>IFERROR(IF(AD162=1,AJ$100*EXP(-(LN(2)/$D$65+0.04)*AF162)*EXP(-(LN(2)/$D$65+0.1)*AG162),IF(AD162=2,AJ$100*EXP(-(LN(2)/$D$65+0.04)*(VLOOKUP(($F$16-$F$15)-1,AC$100:AG162,4,FALSE)))*EXP(-(LN(2)/$D$65+0.1)*(VLOOKUP(($F$16-$F$15)-1,AC$100:AG162,5,FALSE)))*EXP(-(LN(2)/$D$65+0.04)*AF162)*EXP(-(LN(2)/$D$65+0.1)*AG162),IF(AD162=3,AJ$100*EXP(-(LN(2)/$D$65+0.04)*(VLOOKUP(($F$16-$F$15)-1,AC$100:AG162,4,FALSE)))*EXP(-(LN(2)/$D$65+0.1)*(VLOOKUP(($F$16-$F$15)-1,AC$100:AG162,5,FALSE)))*EXP(-(LN(2)/$D$65+0.04)*(VLOOKUP(($F$16-$F$15)*2-1,AC$100:AG162,4,FALSE)))*EXP(-(LN(2)/$D$65+0.1)*(VLOOKUP(($F$16-$F$15)*2-1,AC$100:AG162,5,FALSE)))*EXP(-(LN(2)/$D$65+0.04)*AF162)*EXP(-(LN(2)/$D$65+0.1)*AG162),"-"))),"-")</f>
        <v>-</v>
      </c>
      <c r="AK162" s="227">
        <f t="shared" si="49"/>
        <v>62</v>
      </c>
      <c r="AL162" s="226" t="str">
        <f t="shared" si="21"/>
        <v>-</v>
      </c>
      <c r="AM162" s="227" t="str">
        <f t="shared" si="50"/>
        <v>-</v>
      </c>
      <c r="AN162" s="227" t="str">
        <f t="shared" si="51"/>
        <v>-</v>
      </c>
      <c r="AO162" s="227" t="str">
        <f t="shared" si="22"/>
        <v>-</v>
      </c>
      <c r="AP162" s="273">
        <f t="shared" si="52"/>
        <v>0.1</v>
      </c>
      <c r="AQ162" s="271" t="str">
        <f>IFERROR(IF(AL161=1,AQ$100*EXP(-(LN(2)/$D$65+0.04)*AN161)*EXP(-(LN(2)/$D$65+0.1)*AO161),IF(AL161=2,AQ$100*EXP(-(LN(2)/$D$65+0.04)*(VLOOKUP(($F$16-$F$15)-1,AK$99:AO161,4,FALSE)))*EXP(-(LN(2)/$D$65+0.1)*(VLOOKUP(($F$16-$F$15)-1,AK$99:AO161,5,FALSE)))*EXP(-(LN(2)/$D$65+0.04)*AN161)*EXP(-(LN(2)/$D$65+0.1)*AO161),IF(AL161=3,AQ$100*EXP(-(LN(2)/$D$65+0.04)*(VLOOKUP(($F$16-$F$15)-1,AK$99:AO161,4,FALSE)))*EXP(-(LN(2)/$D$65+0.1)*(VLOOKUP(($F$16-$F$15)-1,AK$99:AO161,5,FALSE)))*EXP(-(LN(2)/$D$65+0.04)*(VLOOKUP(($F$16-$F$15)*2-1,AK$99:AO161,4,FALSE)))*EXP(-(LN(2)/$D$65+0.1)*(VLOOKUP(($F$16-$F$15)*2-1,AK$99:AO161,5,FALSE)))*EXP(-(LN(2)/$D$65+0.04)*AN161)*EXP(-(LN(2)/$D$65+0.1)*AO161),"-"))),"-")</f>
        <v>-</v>
      </c>
      <c r="AR162" s="271" t="str">
        <f>IFERROR(IF(AL162=1,AR$100*EXP(-(LN(2)/$D$65+0.04)*AN162)*EXP(-(LN(2)/$D$65+0.1)*AO162),IF(AL162=2,AR$100*EXP(-(LN(2)/$D$65+0.04)*(VLOOKUP(($F$16-$F$15)-1,AK$100:AO162,4,FALSE)))*EXP(-(LN(2)/$D$65+0.1)*(VLOOKUP(($F$16-$F$15)-1,AK$100:AO162,5,FALSE)))*EXP(-(LN(2)/$D$65+0.04)*AN162)*EXP(-(LN(2)/$D$65+0.1)*AO162),IF(AL162=3,AR$100*EXP(-(LN(2)/$D$65+0.04)*(VLOOKUP(($F$16-$F$15)-1,AK$100:AO162,4,FALSE)))*EXP(-(LN(2)/$D$65+0.1)*(VLOOKUP(($F$16-$F$15)-1,AK$100:AO162,5,FALSE)))*EXP(-(LN(2)/$D$65+0.04)*(VLOOKUP(($F$16-$F$15)*2-1,AK$100:AO162,4,FALSE)))*EXP(-(LN(2)/$D$65+0.1)*(VLOOKUP(($F$16-$F$15)*2-1,AK$100:AO162,5,FALSE)))*EXP(-(LN(2)/$D$65+0.04)*AN162)*EXP(-(LN(2)/$D$65+0.1)*AO162),"-"))),"-")</f>
        <v>-</v>
      </c>
      <c r="AS162" s="274">
        <f t="shared" si="23"/>
        <v>0</v>
      </c>
      <c r="AT162" s="274">
        <f t="shared" si="24"/>
        <v>0</v>
      </c>
      <c r="AU162" s="274">
        <f t="shared" si="25"/>
        <v>0</v>
      </c>
      <c r="AV162" s="190">
        <f>IF($B162&lt;$F$22,SUM($T$100:$T162),"")</f>
        <v>0</v>
      </c>
      <c r="AW162" s="190" t="str">
        <f t="shared" si="84"/>
        <v>-</v>
      </c>
      <c r="AX162" s="190" t="str">
        <f t="shared" si="56"/>
        <v/>
      </c>
      <c r="AY162"/>
      <c r="AZ162" s="190" t="str">
        <f ca="1">IF(ISNUMBER(OFFSET(AV162,-$F$21,0)),SUM(OFFSET($T$100,$F$21,0):$T162),"")</f>
        <v/>
      </c>
      <c r="BA162" s="190" t="str">
        <f t="shared" ca="1" si="85"/>
        <v/>
      </c>
      <c r="BB162" s="190" t="str">
        <f t="shared" ca="1" si="70"/>
        <v/>
      </c>
      <c r="BC162" s="190"/>
      <c r="BD162" s="190" t="str">
        <f ca="1">IFERROR(IF(AND($B162&gt;=($F$16-$F$15),$B162&lt;$F$22+($F$16-$F$15)),SUM(OFFSET($T$100,($F$16-$F$15),0):$T162),""),"")</f>
        <v/>
      </c>
      <c r="BE162" s="190" t="str">
        <f t="shared" ca="1" si="58"/>
        <v/>
      </c>
      <c r="BF162" s="190" t="str">
        <f t="shared" ca="1" si="59"/>
        <v/>
      </c>
      <c r="BG162"/>
      <c r="BH162" s="190" t="str">
        <f ca="1">IF(ISNUMBER(OFFSET(BD162,-$F$21,0)),SUM(OFFSET($T$100,($F$16-$F$15+$F$21),0):$T162),"")</f>
        <v/>
      </c>
      <c r="BI162" s="190" t="str">
        <f t="shared" ca="1" si="86"/>
        <v/>
      </c>
      <c r="BJ162" s="190" t="str">
        <f t="shared" ca="1" si="60"/>
        <v/>
      </c>
      <c r="BK162" s="190"/>
      <c r="BL162" s="190" t="str">
        <f ca="1">IFERROR(IF(AND($B162&gt;=($F$17-$F$15),$B162&lt;$F$22+($F$17-$F$15)),SUM(OFFSET($T$100,($F$17-$F$15),0):$T162),""),"")</f>
        <v/>
      </c>
      <c r="BM162" s="190" t="str">
        <f t="shared" ca="1" si="87"/>
        <v/>
      </c>
      <c r="BN162" s="190" t="str">
        <f t="shared" ca="1" si="61"/>
        <v/>
      </c>
      <c r="BO162"/>
      <c r="BP162" s="190" t="str">
        <f ca="1">IF(ISNUMBER(OFFSET(BL162,-$F$21,0)),SUM(OFFSET($T$100,($F$17-$F$15+$F$21),0):$T162),"")</f>
        <v/>
      </c>
      <c r="BQ162" s="190" t="str">
        <f t="shared" ca="1" si="88"/>
        <v/>
      </c>
      <c r="BR162" s="190" t="str">
        <f t="shared" ca="1" si="63"/>
        <v/>
      </c>
      <c r="BS162" s="190"/>
      <c r="BT162"/>
      <c r="BU162"/>
      <c r="BV162"/>
      <c r="BY162" s="99"/>
      <c r="BZ162" s="99"/>
      <c r="CA162" s="280" t="str">
        <f t="shared" si="89"/>
        <v/>
      </c>
      <c r="CB162" s="71" t="str">
        <f t="shared" si="30"/>
        <v>-</v>
      </c>
      <c r="CC162" s="33"/>
      <c r="CD162" s="261" t="str">
        <f t="shared" si="32"/>
        <v/>
      </c>
      <c r="CE162" s="280" t="str">
        <f t="shared" si="90"/>
        <v>-</v>
      </c>
      <c r="CF162" s="71" t="str">
        <f t="shared" ca="1" si="91"/>
        <v>-</v>
      </c>
      <c r="CG162" s="33" t="str">
        <f t="shared" si="35"/>
        <v>62-63</v>
      </c>
      <c r="CH162" s="261" t="str">
        <f t="shared" ca="1" si="36"/>
        <v/>
      </c>
      <c r="CI162" s="99"/>
      <c r="CJ162" s="99"/>
      <c r="CK162" s="99"/>
      <c r="CL162" s="99"/>
      <c r="CM162" s="99"/>
      <c r="CN162" s="99"/>
      <c r="CO162" s="99"/>
    </row>
    <row r="163" spans="2:93" ht="13.5" customHeight="1" x14ac:dyDescent="0.2">
      <c r="B163" s="262">
        <v>63</v>
      </c>
      <c r="C163" s="237" t="str">
        <f t="shared" si="71"/>
        <v/>
      </c>
      <c r="D163" s="237" t="str">
        <f t="shared" si="66"/>
        <v>-</v>
      </c>
      <c r="E163" s="290" t="str">
        <f t="shared" si="37"/>
        <v/>
      </c>
      <c r="F163" s="264" t="str">
        <f t="shared" si="38"/>
        <v/>
      </c>
      <c r="G163" s="291" t="str">
        <f t="shared" si="39"/>
        <v/>
      </c>
      <c r="H163" s="240" t="str">
        <f t="shared" si="72"/>
        <v/>
      </c>
      <c r="I163" s="265" t="str">
        <f t="shared" si="73"/>
        <v/>
      </c>
      <c r="J163" s="265" t="str">
        <f t="shared" si="74"/>
        <v/>
      </c>
      <c r="K163" s="240" t="str">
        <f t="shared" si="75"/>
        <v/>
      </c>
      <c r="L163" s="265" t="str">
        <f t="shared" si="76"/>
        <v/>
      </c>
      <c r="M163" s="265" t="str">
        <f t="shared" si="77"/>
        <v/>
      </c>
      <c r="N163" s="240" t="str">
        <f t="shared" si="78"/>
        <v>-</v>
      </c>
      <c r="O163" s="265" t="str">
        <f t="shared" si="79"/>
        <v>-</v>
      </c>
      <c r="P163" s="265" t="str">
        <f t="shared" si="80"/>
        <v>-</v>
      </c>
      <c r="Q163" s="266" t="str">
        <f t="shared" si="81"/>
        <v>-</v>
      </c>
      <c r="R163" s="267" t="str">
        <f t="shared" si="82"/>
        <v>-</v>
      </c>
      <c r="S163" s="268" t="str">
        <f t="shared" si="83"/>
        <v>-</v>
      </c>
      <c r="T163" s="269" t="str">
        <f t="shared" si="12"/>
        <v/>
      </c>
      <c r="U163" s="221">
        <f t="shared" si="13"/>
        <v>63</v>
      </c>
      <c r="V163" s="220" t="str">
        <f t="shared" si="42"/>
        <v>-</v>
      </c>
      <c r="W163" s="221" t="str">
        <f t="shared" si="43"/>
        <v>-</v>
      </c>
      <c r="X163" s="221" t="str">
        <f t="shared" si="14"/>
        <v>-</v>
      </c>
      <c r="Y163" s="221" t="str">
        <f t="shared" si="15"/>
        <v>-</v>
      </c>
      <c r="Z163" s="270">
        <f t="shared" si="44"/>
        <v>0.1</v>
      </c>
      <c r="AA163" s="271" t="str">
        <f>IFERROR(IF(V162=1,AA$100*EXP(-(LN(2)/$D$65+0.04)*X162)*EXP(-(LN(2)/$D$65+0.1)*Y162),IF(V162=2,AA$100*EXP(-(LN(2)/$D$65+0.04)*(VLOOKUP(($F$16-$F$15)-1,U$99:Y162,4,FALSE)))*EXP(-(LN(2)/$D$65+0.1)*(VLOOKUP(($F$16-$F$15)-1,U$99:Y162,5,FALSE)))*EXP(-(LN(2)/$D$65+0.04)*X162)*EXP(-(LN(2)/$D$65+0.1)*Y162),IF(V162=3,AA$100*EXP(-(LN(2)/$D$65+0.04)*(VLOOKUP(($F$16-$F$15)-1,U$99:Y162,4,FALSE)))*EXP(-(LN(2)/$D$65+0.1)*(VLOOKUP(($F$16-$F$15)-1,U$99:Y162,5,FALSE)))*EXP(-(LN(2)/$D$65+0.04)*(VLOOKUP(($F$16-$F$15)*2-1,U$99:Y162,4,FALSE)))*EXP(-(LN(2)/$D$65+0.1)*(VLOOKUP(($F$16-$F$15)*2-1,U$99:Y162,5,FALSE)))*EXP(-(LN(2)/$D$65+0.04)*X162)*EXP(-(LN(2)/$D$65+0.1)*Y162),"-"))),"-")</f>
        <v>-</v>
      </c>
      <c r="AB163" s="271" t="str">
        <f>IFERROR(IF(V163=1,AB$100*EXP(-(LN(2)/$D$65+0.04)*X163)*EXP(-(LN(2)/$D$65+0.1)*Y163),IF(V163=2,AB$100*EXP(-(LN(2)/$D$65+0.04)*(VLOOKUP(($F$16-$F$15)-1,U$100:Y163,4,FALSE)))*EXP(-(LN(2)/$D$65+0.1)*(VLOOKUP(($F$16-$F$15)-1,U$100:Y163,5,FALSE)))*EXP(-(LN(2)/$D$65+0.04)*X163)*EXP(-(LN(2)/$D$65+0.1)*Y163),IF(V163=3,AB$100*EXP(-(LN(2)/$D$65+0.04)*(VLOOKUP(($F$16-$F$15)-1,U$100:Y163,4,FALSE)))*EXP(-(LN(2)/$D$65+0.1)*(VLOOKUP(($F$16-$F$15)-1,U$100:Y163,5,FALSE)))*EXP(-(LN(2)/$D$65+0.04)*(VLOOKUP(($F$16-$F$15)*2-1,U$100:Y163,4,FALSE)))*EXP(-(LN(2)/$D$65+0.1)*(VLOOKUP(($F$16-$F$15)*2-1,U$100:Y163,5,FALSE)))*EXP(-(LN(2)/$D$65+0.04)*X163)*EXP(-(LN(2)/$D$65+0.1)*Y163),"-"))),"-")</f>
        <v>-</v>
      </c>
      <c r="AC163" s="224">
        <f t="shared" si="45"/>
        <v>63</v>
      </c>
      <c r="AD163" s="223" t="str">
        <f t="shared" si="17"/>
        <v>-</v>
      </c>
      <c r="AE163" s="224" t="str">
        <f t="shared" si="46"/>
        <v>-</v>
      </c>
      <c r="AF163" s="224" t="str">
        <f t="shared" si="18"/>
        <v>-</v>
      </c>
      <c r="AG163" s="224" t="str">
        <f t="shared" si="19"/>
        <v>-</v>
      </c>
      <c r="AH163" s="272">
        <f t="shared" si="47"/>
        <v>0.1</v>
      </c>
      <c r="AI163" s="271" t="str">
        <f>IFERROR(IF(AD162=1,AI$100*EXP(-(LN(2)/$D$65+0.04)*AF162)*EXP(-(LN(2)/$D$65+0.1)*AG162),IF(AD162=2,AI$100*EXP(-(LN(2)/$D$65+0.04)*(VLOOKUP(($F$16-$F$15)-1,AC$99:AG162,4,FALSE)))*EXP(-(LN(2)/$D$65+0.1)*(VLOOKUP(($F$16-$F$15)-1,AC$99:AG162,5,FALSE)))*EXP(-(LN(2)/$D$65+0.04)*AF162)*EXP(-(LN(2)/$D$65+0.1)*AG162),IF(AD162=3,AI$100*EXP(-(LN(2)/$D$65+0.04)*(VLOOKUP(($F$16-$F$15)-1,AC$99:AG162,4,FALSE)))*EXP(-(LN(2)/$D$65+0.1)*(VLOOKUP(($F$16-$F$15)-1,AC$99:AG162,5,FALSE)))*EXP(-(LN(2)/$D$65+0.04)*(VLOOKUP(($F$16-$F$15)*2-1,AC$99:AG162,4,FALSE)))*EXP(-(LN(2)/$D$65+0.1)*(VLOOKUP(($F$16-$F$15)*2-1,AC$99:AG162,5,FALSE)))*EXP(-(LN(2)/$D$65+0.04)*AF162)*EXP(-(LN(2)/$D$65+0.1)*AG162),"-"))),"-")</f>
        <v>-</v>
      </c>
      <c r="AJ163" s="271" t="str">
        <f>IFERROR(IF(AD163=1,AJ$100*EXP(-(LN(2)/$D$65+0.04)*AF163)*EXP(-(LN(2)/$D$65+0.1)*AG163),IF(AD163=2,AJ$100*EXP(-(LN(2)/$D$65+0.04)*(VLOOKUP(($F$16-$F$15)-1,AC$100:AG163,4,FALSE)))*EXP(-(LN(2)/$D$65+0.1)*(VLOOKUP(($F$16-$F$15)-1,AC$100:AG163,5,FALSE)))*EXP(-(LN(2)/$D$65+0.04)*AF163)*EXP(-(LN(2)/$D$65+0.1)*AG163),IF(AD163=3,AJ$100*EXP(-(LN(2)/$D$65+0.04)*(VLOOKUP(($F$16-$F$15)-1,AC$100:AG163,4,FALSE)))*EXP(-(LN(2)/$D$65+0.1)*(VLOOKUP(($F$16-$F$15)-1,AC$100:AG163,5,FALSE)))*EXP(-(LN(2)/$D$65+0.04)*(VLOOKUP(($F$16-$F$15)*2-1,AC$100:AG163,4,FALSE)))*EXP(-(LN(2)/$D$65+0.1)*(VLOOKUP(($F$16-$F$15)*2-1,AC$100:AG163,5,FALSE)))*EXP(-(LN(2)/$D$65+0.04)*AF163)*EXP(-(LN(2)/$D$65+0.1)*AG163),"-"))),"-")</f>
        <v>-</v>
      </c>
      <c r="AK163" s="227">
        <f t="shared" si="49"/>
        <v>63</v>
      </c>
      <c r="AL163" s="226" t="str">
        <f t="shared" si="21"/>
        <v>-</v>
      </c>
      <c r="AM163" s="227" t="str">
        <f t="shared" si="50"/>
        <v>-</v>
      </c>
      <c r="AN163" s="227" t="str">
        <f t="shared" si="51"/>
        <v>-</v>
      </c>
      <c r="AO163" s="227" t="str">
        <f t="shared" si="22"/>
        <v>-</v>
      </c>
      <c r="AP163" s="273">
        <f t="shared" si="52"/>
        <v>0.1</v>
      </c>
      <c r="AQ163" s="271" t="str">
        <f>IFERROR(IF(AL162=1,AQ$100*EXP(-(LN(2)/$D$65+0.04)*AN162)*EXP(-(LN(2)/$D$65+0.1)*AO162),IF(AL162=2,AQ$100*EXP(-(LN(2)/$D$65+0.04)*(VLOOKUP(($F$16-$F$15)-1,AK$99:AO162,4,FALSE)))*EXP(-(LN(2)/$D$65+0.1)*(VLOOKUP(($F$16-$F$15)-1,AK$99:AO162,5,FALSE)))*EXP(-(LN(2)/$D$65+0.04)*AN162)*EXP(-(LN(2)/$D$65+0.1)*AO162),IF(AL162=3,AQ$100*EXP(-(LN(2)/$D$65+0.04)*(VLOOKUP(($F$16-$F$15)-1,AK$99:AO162,4,FALSE)))*EXP(-(LN(2)/$D$65+0.1)*(VLOOKUP(($F$16-$F$15)-1,AK$99:AO162,5,FALSE)))*EXP(-(LN(2)/$D$65+0.04)*(VLOOKUP(($F$16-$F$15)*2-1,AK$99:AO162,4,FALSE)))*EXP(-(LN(2)/$D$65+0.1)*(VLOOKUP(($F$16-$F$15)*2-1,AK$99:AO162,5,FALSE)))*EXP(-(LN(2)/$D$65+0.04)*AN162)*EXP(-(LN(2)/$D$65+0.1)*AO162),"-"))),"-")</f>
        <v>-</v>
      </c>
      <c r="AR163" s="271" t="str">
        <f>IFERROR(IF(AL163=1,AR$100*EXP(-(LN(2)/$D$65+0.04)*AN163)*EXP(-(LN(2)/$D$65+0.1)*AO163),IF(AL163=2,AR$100*EXP(-(LN(2)/$D$65+0.04)*(VLOOKUP(($F$16-$F$15)-1,AK$100:AO163,4,FALSE)))*EXP(-(LN(2)/$D$65+0.1)*(VLOOKUP(($F$16-$F$15)-1,AK$100:AO163,5,FALSE)))*EXP(-(LN(2)/$D$65+0.04)*AN163)*EXP(-(LN(2)/$D$65+0.1)*AO163),IF(AL163=3,AR$100*EXP(-(LN(2)/$D$65+0.04)*(VLOOKUP(($F$16-$F$15)-1,AK$100:AO163,4,FALSE)))*EXP(-(LN(2)/$D$65+0.1)*(VLOOKUP(($F$16-$F$15)-1,AK$100:AO163,5,FALSE)))*EXP(-(LN(2)/$D$65+0.04)*(VLOOKUP(($F$16-$F$15)*2-1,AK$100:AO163,4,FALSE)))*EXP(-(LN(2)/$D$65+0.1)*(VLOOKUP(($F$16-$F$15)*2-1,AK$100:AO163,5,FALSE)))*EXP(-(LN(2)/$D$65+0.04)*AN163)*EXP(-(LN(2)/$D$65+0.1)*AO163),"-"))),"-")</f>
        <v>-</v>
      </c>
      <c r="AS163" s="274">
        <f t="shared" si="23"/>
        <v>0</v>
      </c>
      <c r="AT163" s="274">
        <f t="shared" si="24"/>
        <v>0</v>
      </c>
      <c r="AU163" s="274">
        <f t="shared" si="25"/>
        <v>0</v>
      </c>
      <c r="AV163" s="190">
        <f>IF($B163&lt;$F$22,SUM($T$100:$T163),"")</f>
        <v>0</v>
      </c>
      <c r="AW163" s="190" t="str">
        <f t="shared" si="84"/>
        <v>-</v>
      </c>
      <c r="AX163" s="190" t="str">
        <f t="shared" si="56"/>
        <v/>
      </c>
      <c r="AY163"/>
      <c r="AZ163" s="190" t="str">
        <f ca="1">IF(ISNUMBER(OFFSET(AV163,-$F$21,0)),SUM(OFFSET($T$100,$F$21,0):$T163),"")</f>
        <v/>
      </c>
      <c r="BA163" s="190" t="str">
        <f t="shared" ca="1" si="85"/>
        <v/>
      </c>
      <c r="BB163" s="190" t="str">
        <f t="shared" ca="1" si="70"/>
        <v/>
      </c>
      <c r="BC163" s="190"/>
      <c r="BD163" s="190" t="str">
        <f ca="1">IFERROR(IF(AND($B163&gt;=($F$16-$F$15),$B163&lt;$F$22+($F$16-$F$15)),SUM(OFFSET($T$100,($F$16-$F$15),0):$T163),""),"")</f>
        <v/>
      </c>
      <c r="BE163" s="190" t="str">
        <f t="shared" ca="1" si="58"/>
        <v/>
      </c>
      <c r="BF163" s="190" t="str">
        <f t="shared" ca="1" si="59"/>
        <v/>
      </c>
      <c r="BG163"/>
      <c r="BH163" s="190" t="str">
        <f ca="1">IF(ISNUMBER(OFFSET(BD163,-$F$21,0)),SUM(OFFSET($T$100,($F$16-$F$15+$F$21),0):$T163),"")</f>
        <v/>
      </c>
      <c r="BI163" s="190" t="str">
        <f t="shared" ca="1" si="86"/>
        <v/>
      </c>
      <c r="BJ163" s="190" t="str">
        <f t="shared" ca="1" si="60"/>
        <v/>
      </c>
      <c r="BK163" s="190"/>
      <c r="BL163" s="190" t="str">
        <f ca="1">IFERROR(IF(AND($B163&gt;=($F$17-$F$15),$B163&lt;$F$22+($F$17-$F$15)),SUM(OFFSET($T$100,($F$17-$F$15),0):$T163),""),"")</f>
        <v/>
      </c>
      <c r="BM163" s="190" t="str">
        <f t="shared" ca="1" si="87"/>
        <v/>
      </c>
      <c r="BN163" s="190" t="str">
        <f t="shared" ca="1" si="61"/>
        <v/>
      </c>
      <c r="BO163"/>
      <c r="BP163" s="190" t="str">
        <f ca="1">IF(ISNUMBER(OFFSET(BL163,-$F$21,0)),SUM(OFFSET($T$100,($F$17-$F$15+$F$21),0):$T163),"")</f>
        <v/>
      </c>
      <c r="BQ163" s="190" t="str">
        <f t="shared" ca="1" si="88"/>
        <v/>
      </c>
      <c r="BR163" s="190" t="str">
        <f t="shared" ca="1" si="63"/>
        <v/>
      </c>
      <c r="BS163" s="190"/>
      <c r="BT163"/>
      <c r="BU163"/>
      <c r="BV163"/>
      <c r="BY163" s="99"/>
      <c r="BZ163" s="99"/>
      <c r="CA163" s="280" t="str">
        <f t="shared" si="89"/>
        <v/>
      </c>
      <c r="CB163" s="71" t="str">
        <f t="shared" si="30"/>
        <v>-</v>
      </c>
      <c r="CC163" s="33"/>
      <c r="CD163" s="261" t="str">
        <f t="shared" si="32"/>
        <v/>
      </c>
      <c r="CE163" s="280" t="str">
        <f t="shared" si="90"/>
        <v>-</v>
      </c>
      <c r="CF163" s="71" t="str">
        <f t="shared" ca="1" si="91"/>
        <v>-</v>
      </c>
      <c r="CG163" s="33" t="str">
        <f t="shared" si="35"/>
        <v>63-64</v>
      </c>
      <c r="CH163" s="261" t="str">
        <f t="shared" ca="1" si="36"/>
        <v/>
      </c>
      <c r="CI163" s="99"/>
      <c r="CJ163" s="99"/>
      <c r="CK163" s="99"/>
      <c r="CL163" s="99"/>
      <c r="CM163" s="99"/>
      <c r="CN163" s="99"/>
      <c r="CO163" s="99"/>
    </row>
    <row r="164" spans="2:93" ht="13.5" customHeight="1" x14ac:dyDescent="0.2">
      <c r="B164" s="262">
        <v>64</v>
      </c>
      <c r="C164" s="237" t="str">
        <f t="shared" ref="C164:C195" si="92">IF(ISERROR(VLOOKUP(B164,$B$39:$C$73,2,0)),"",VLOOKUP(B164,$B$39:$C$73,2,0))</f>
        <v/>
      </c>
      <c r="D164" s="237" t="str">
        <f t="shared" si="66"/>
        <v>-</v>
      </c>
      <c r="E164" s="290" t="str">
        <f t="shared" si="37"/>
        <v/>
      </c>
      <c r="F164" s="264" t="str">
        <f t="shared" si="38"/>
        <v/>
      </c>
      <c r="G164" s="291" t="str">
        <f t="shared" si="39"/>
        <v/>
      </c>
      <c r="H164" s="240" t="str">
        <f t="shared" ref="H164:H195" si="93">IF(E164&lt;&gt;"",IF($B164&lt;$F$21,"",IF(ISNUMBER(F164),IF(ISNUMBER(I164),(E164*30*50*ffp),""),(E164*30*50*ffp))),"")</f>
        <v/>
      </c>
      <c r="I164" s="265" t="str">
        <f t="shared" ref="I164:I195" si="94">IFERROR(IF(F164&lt;&gt;"",IF($B164&lt;$F$21+$F$16,"",IF(ISNUMBER(G164),IF(ISNUMBER(J164),(F164*30*50*ffp),""),(F164*30*50*ffp))),""),"")</f>
        <v/>
      </c>
      <c r="J164" s="265" t="str">
        <f t="shared" ref="J164:J195" si="95">IFERROR(IF(G164&lt;&gt;"",IF($B164&lt;$F$21+$F$17,"",(G164*30*50*ffp)),""),"")</f>
        <v/>
      </c>
      <c r="K164" s="240" t="str">
        <f t="shared" ref="K164:K195" si="96">IF(E164&lt;&gt;"",((E164*20*50*ffp)/Klevee),"")</f>
        <v/>
      </c>
      <c r="L164" s="265" t="str">
        <f t="shared" ref="L164:L195" si="97">IF(ISNUMBER(F164),((F164*20*50*ffp)/Klevee),"")</f>
        <v/>
      </c>
      <c r="M164" s="265" t="str">
        <f t="shared" ref="M164:M195" si="98">IF(ISNUMBER(G164),((G164*20*50*ffp)/Klevee),"")</f>
        <v/>
      </c>
      <c r="N164" s="240" t="str">
        <f t="shared" ref="N164:N195" si="99">IF(AND(ISNUMBER(I),ISNUMBER($F$14),ISNUMBER($F$20)),IF($B164=0,I*($J$40/100)*$J$42*1,""),"-")</f>
        <v>-</v>
      </c>
      <c r="O164" s="265" t="str">
        <f t="shared" ref="O164:O195" si="100">IF(ISNUMBER($F$14),IF($F$14&gt;1,IF($B164=0+$F$16,I*($J$40/100)*$J$42*1,""),""),"-")</f>
        <v>-</v>
      </c>
      <c r="P164" s="265" t="str">
        <f t="shared" ref="P164:P195" si="101">IF(ISNUMBER($F$14),IF($F$14&gt;2,IF($B164=0+$F$17,I*($J$40/100)*$J$42*1,""),""),"-")</f>
        <v>-</v>
      </c>
      <c r="Q164" s="266" t="str">
        <f t="shared" ref="Q164:Q195" si="102">IF(AND(ISNUMBER(I),ISNUMBER($F$14),ISNUMBER($F$20)),IF($B164=0,I*(dt/100)*$J$45*1,""),"-")</f>
        <v>-</v>
      </c>
      <c r="R164" s="267" t="str">
        <f t="shared" ref="R164:R195" si="103">IF(ISNUMBER($F$14),IF($F$14&gt;1,IF($B164=0+$F$16,I*(dt/100)*$J$45*1,""),""),"-")</f>
        <v>-</v>
      </c>
      <c r="S164" s="268" t="str">
        <f t="shared" ref="S164:S195" si="104">IF(ISNUMBER($F$14),IF($F$14&gt;2,IF($B164=0+$F$17,I*(dt/100)*$J$45*1,""),""),"-")</f>
        <v>-</v>
      </c>
      <c r="T164" s="269" t="str">
        <f t="shared" ref="T164:T227" si="105">IF(SUM(H164:S164)=0,"",SUM(H164:S164))</f>
        <v/>
      </c>
      <c r="U164" s="221">
        <f t="shared" ref="U164:U227" si="106">B164</f>
        <v>64</v>
      </c>
      <c r="V164" s="220" t="str">
        <f t="shared" si="42"/>
        <v>-</v>
      </c>
      <c r="W164" s="221" t="str">
        <f t="shared" si="43"/>
        <v>-</v>
      </c>
      <c r="X164" s="221" t="str">
        <f t="shared" ref="X164:X227" si="107">IFERROR(IF($F$21=0,0,IF(V164=V163,IF(B164-(V164-1)*($F$16-$F$15)&lt;$F$21,X163+1,X163),1)),"-")</f>
        <v>-</v>
      </c>
      <c r="Y164" s="221" t="str">
        <f t="shared" ref="Y164:Y227" si="108">IFERROR(W164-X164,"-")</f>
        <v>-</v>
      </c>
      <c r="Z164" s="270">
        <f t="shared" si="44"/>
        <v>0.1</v>
      </c>
      <c r="AA164" s="271" t="str">
        <f>IFERROR(IF(V163=1,AA$100*EXP(-(LN(2)/$D$65+0.04)*X163)*EXP(-(LN(2)/$D$65+0.1)*Y163),IF(V163=2,AA$100*EXP(-(LN(2)/$D$65+0.04)*(VLOOKUP(($F$16-$F$15)-1,U$99:Y163,4,FALSE)))*EXP(-(LN(2)/$D$65+0.1)*(VLOOKUP(($F$16-$F$15)-1,U$99:Y163,5,FALSE)))*EXP(-(LN(2)/$D$65+0.04)*X163)*EXP(-(LN(2)/$D$65+0.1)*Y163),IF(V163=3,AA$100*EXP(-(LN(2)/$D$65+0.04)*(VLOOKUP(($F$16-$F$15)-1,U$99:Y163,4,FALSE)))*EXP(-(LN(2)/$D$65+0.1)*(VLOOKUP(($F$16-$F$15)-1,U$99:Y163,5,FALSE)))*EXP(-(LN(2)/$D$65+0.04)*(VLOOKUP(($F$16-$F$15)*2-1,U$99:Y163,4,FALSE)))*EXP(-(LN(2)/$D$65+0.1)*(VLOOKUP(($F$16-$F$15)*2-1,U$99:Y163,5,FALSE)))*EXP(-(LN(2)/$D$65+0.04)*X163)*EXP(-(LN(2)/$D$65+0.1)*Y163),"-"))),"-")</f>
        <v>-</v>
      </c>
      <c r="AB164" s="271" t="str">
        <f>IFERROR(IF(V164=1,AB$100*EXP(-(LN(2)/$D$65+0.04)*X164)*EXP(-(LN(2)/$D$65+0.1)*Y164),IF(V164=2,AB$100*EXP(-(LN(2)/$D$65+0.04)*(VLOOKUP(($F$16-$F$15)-1,U$100:Y164,4,FALSE)))*EXP(-(LN(2)/$D$65+0.1)*(VLOOKUP(($F$16-$F$15)-1,U$100:Y164,5,FALSE)))*EXP(-(LN(2)/$D$65+0.04)*X164)*EXP(-(LN(2)/$D$65+0.1)*Y164),IF(V164=3,AB$100*EXP(-(LN(2)/$D$65+0.04)*(VLOOKUP(($F$16-$F$15)-1,U$100:Y164,4,FALSE)))*EXP(-(LN(2)/$D$65+0.1)*(VLOOKUP(($F$16-$F$15)-1,U$100:Y164,5,FALSE)))*EXP(-(LN(2)/$D$65+0.04)*(VLOOKUP(($F$16-$F$15)*2-1,U$100:Y164,4,FALSE)))*EXP(-(LN(2)/$D$65+0.1)*(VLOOKUP(($F$16-$F$15)*2-1,U$100:Y164,5,FALSE)))*EXP(-(LN(2)/$D$65+0.04)*X164)*EXP(-(LN(2)/$D$65+0.1)*Y164),"-"))),"-")</f>
        <v>-</v>
      </c>
      <c r="AC164" s="224">
        <f t="shared" si="45"/>
        <v>64</v>
      </c>
      <c r="AD164" s="223" t="str">
        <f t="shared" ref="AD164:AD227" si="109">IFERROR(IF($F$14-1&gt;0,IF(B164&lt;($F$16-$F$15)*($F$14-1),INT(B164/($F$16-$F$15))+1,AD162),"-"),"-")</f>
        <v>-</v>
      </c>
      <c r="AE164" s="224" t="str">
        <f t="shared" si="46"/>
        <v>-</v>
      </c>
      <c r="AF164" s="224" t="str">
        <f t="shared" ref="AF164:AF227" si="110">IFERROR(IF($F$21=0,0,IF(AD164=AD163,IF(B164-(AD164-1)*($F$16-$F$15)&lt;$F$21,AF163+1,AF163),1)),"-")</f>
        <v>-</v>
      </c>
      <c r="AG164" s="224" t="str">
        <f t="shared" ref="AG164:AG227" si="111">IFERROR(AE164-AF164,"-")</f>
        <v>-</v>
      </c>
      <c r="AH164" s="272">
        <f t="shared" si="47"/>
        <v>0.1</v>
      </c>
      <c r="AI164" s="271" t="str">
        <f>IFERROR(IF(AD163=1,AI$100*EXP(-(LN(2)/$D$65+0.04)*AF163)*EXP(-(LN(2)/$D$65+0.1)*AG163),IF(AD163=2,AI$100*EXP(-(LN(2)/$D$65+0.04)*(VLOOKUP(($F$16-$F$15)-1,AC$99:AG163,4,FALSE)))*EXP(-(LN(2)/$D$65+0.1)*(VLOOKUP(($F$16-$F$15)-1,AC$99:AG163,5,FALSE)))*EXP(-(LN(2)/$D$65+0.04)*AF163)*EXP(-(LN(2)/$D$65+0.1)*AG163),IF(AD163=3,AI$100*EXP(-(LN(2)/$D$65+0.04)*(VLOOKUP(($F$16-$F$15)-1,AC$99:AG163,4,FALSE)))*EXP(-(LN(2)/$D$65+0.1)*(VLOOKUP(($F$16-$F$15)-1,AC$99:AG163,5,FALSE)))*EXP(-(LN(2)/$D$65+0.04)*(VLOOKUP(($F$16-$F$15)*2-1,AC$99:AG163,4,FALSE)))*EXP(-(LN(2)/$D$65+0.1)*(VLOOKUP(($F$16-$F$15)*2-1,AC$99:AG163,5,FALSE)))*EXP(-(LN(2)/$D$65+0.04)*AF163)*EXP(-(LN(2)/$D$65+0.1)*AG163),"-"))),"-")</f>
        <v>-</v>
      </c>
      <c r="AJ164" s="271" t="str">
        <f>IFERROR(IF(AD164=1,AJ$100*EXP(-(LN(2)/$D$65+0.04)*AF164)*EXP(-(LN(2)/$D$65+0.1)*AG164),IF(AD164=2,AJ$100*EXP(-(LN(2)/$D$65+0.04)*(VLOOKUP(($F$16-$F$15)-1,AC$100:AG164,4,FALSE)))*EXP(-(LN(2)/$D$65+0.1)*(VLOOKUP(($F$16-$F$15)-1,AC$100:AG164,5,FALSE)))*EXP(-(LN(2)/$D$65+0.04)*AF164)*EXP(-(LN(2)/$D$65+0.1)*AG164),IF(AD164=3,AJ$100*EXP(-(LN(2)/$D$65+0.04)*(VLOOKUP(($F$16-$F$15)-1,AC$100:AG164,4,FALSE)))*EXP(-(LN(2)/$D$65+0.1)*(VLOOKUP(($F$16-$F$15)-1,AC$100:AG164,5,FALSE)))*EXP(-(LN(2)/$D$65+0.04)*(VLOOKUP(($F$16-$F$15)*2-1,AC$100:AG164,4,FALSE)))*EXP(-(LN(2)/$D$65+0.1)*(VLOOKUP(($F$16-$F$15)*2-1,AC$100:AG164,5,FALSE)))*EXP(-(LN(2)/$D$65+0.04)*AF164)*EXP(-(LN(2)/$D$65+0.1)*AG164),"-"))),"-")</f>
        <v>-</v>
      </c>
      <c r="AK164" s="227">
        <f t="shared" si="49"/>
        <v>64</v>
      </c>
      <c r="AL164" s="226" t="str">
        <f t="shared" ref="AL164:AL227" si="112">IFERROR(IF($F$14-2&gt;0,IF(B164&lt;($F$16-$F$15)*($F$14-2),INT(B164/($F$16-$F$15))+1,AL162),"-"),"-")</f>
        <v>-</v>
      </c>
      <c r="AM164" s="227" t="str">
        <f t="shared" si="50"/>
        <v>-</v>
      </c>
      <c r="AN164" s="227" t="str">
        <f t="shared" si="51"/>
        <v>-</v>
      </c>
      <c r="AO164" s="227" t="str">
        <f t="shared" ref="AO164:AO227" si="113">IFERROR(AM164-AN164,"-")</f>
        <v>-</v>
      </c>
      <c r="AP164" s="273">
        <f t="shared" si="52"/>
        <v>0.1</v>
      </c>
      <c r="AQ164" s="271" t="str">
        <f>IFERROR(IF(AL163=1,AQ$100*EXP(-(LN(2)/$D$65+0.04)*AN163)*EXP(-(LN(2)/$D$65+0.1)*AO163),IF(AL163=2,AQ$100*EXP(-(LN(2)/$D$65+0.04)*(VLOOKUP(($F$16-$F$15)-1,AK$99:AO163,4,FALSE)))*EXP(-(LN(2)/$D$65+0.1)*(VLOOKUP(($F$16-$F$15)-1,AK$99:AO163,5,FALSE)))*EXP(-(LN(2)/$D$65+0.04)*AN163)*EXP(-(LN(2)/$D$65+0.1)*AO163),IF(AL163=3,AQ$100*EXP(-(LN(2)/$D$65+0.04)*(VLOOKUP(($F$16-$F$15)-1,AK$99:AO163,4,FALSE)))*EXP(-(LN(2)/$D$65+0.1)*(VLOOKUP(($F$16-$F$15)-1,AK$99:AO163,5,FALSE)))*EXP(-(LN(2)/$D$65+0.04)*(VLOOKUP(($F$16-$F$15)*2-1,AK$99:AO163,4,FALSE)))*EXP(-(LN(2)/$D$65+0.1)*(VLOOKUP(($F$16-$F$15)*2-1,AK$99:AO163,5,FALSE)))*EXP(-(LN(2)/$D$65+0.04)*AN163)*EXP(-(LN(2)/$D$65+0.1)*AO163),"-"))),"-")</f>
        <v>-</v>
      </c>
      <c r="AR164" s="271" t="str">
        <f>IFERROR(IF(AL164=1,AR$100*EXP(-(LN(2)/$D$65+0.04)*AN164)*EXP(-(LN(2)/$D$65+0.1)*AO164),IF(AL164=2,AR$100*EXP(-(LN(2)/$D$65+0.04)*(VLOOKUP(($F$16-$F$15)-1,AK$100:AO164,4,FALSE)))*EXP(-(LN(2)/$D$65+0.1)*(VLOOKUP(($F$16-$F$15)-1,AK$100:AO164,5,FALSE)))*EXP(-(LN(2)/$D$65+0.04)*AN164)*EXP(-(LN(2)/$D$65+0.1)*AO164),IF(AL164=3,AR$100*EXP(-(LN(2)/$D$65+0.04)*(VLOOKUP(($F$16-$F$15)-1,AK$100:AO164,4,FALSE)))*EXP(-(LN(2)/$D$65+0.1)*(VLOOKUP(($F$16-$F$15)-1,AK$100:AO164,5,FALSE)))*EXP(-(LN(2)/$D$65+0.04)*(VLOOKUP(($F$16-$F$15)*2-1,AK$100:AO164,4,FALSE)))*EXP(-(LN(2)/$D$65+0.1)*(VLOOKUP(($F$16-$F$15)*2-1,AK$100:AO164,5,FALSE)))*EXP(-(LN(2)/$D$65+0.04)*AN164)*EXP(-(LN(2)/$D$65+0.1)*AO164),"-"))),"-")</f>
        <v>-</v>
      </c>
      <c r="AS164" s="274">
        <f t="shared" ref="AS164:AS227" si="114">SUM(H164:J164)</f>
        <v>0</v>
      </c>
      <c r="AT164" s="274">
        <f t="shared" ref="AT164:AT227" si="115">SUM(K164:M164)</f>
        <v>0</v>
      </c>
      <c r="AU164" s="274">
        <f t="shared" ref="AU164:AU227" si="116">SUM(N164:S164)</f>
        <v>0</v>
      </c>
      <c r="AV164" s="190">
        <f>IF($B164&lt;$F$22,SUM($T$100:$T164),"")</f>
        <v>0</v>
      </c>
      <c r="AW164" s="190" t="str">
        <f t="shared" ref="AW164:AW195" si="117">IF(ISNUMBER(Koc),IF(ISNUMBER(AV164),AV164*(Koc*(Ocse/100)*Pse*Vse)/(Koc*(Ocse/100)*Pse*Vse+1*86400*($B164+1)),""),"-")</f>
        <v>-</v>
      </c>
      <c r="AX164" s="190" t="str">
        <f t="shared" si="56"/>
        <v/>
      </c>
      <c r="AY164"/>
      <c r="AZ164" s="190" t="str">
        <f ca="1">IF(ISNUMBER(OFFSET(AV164,-$F$21,0)),SUM(OFFSET($T$100,$F$21,0):$T164),"")</f>
        <v/>
      </c>
      <c r="BA164" s="190" t="str">
        <f t="shared" ref="BA164:BA195" ca="1" si="118">IF(ISNUMBER(OFFSET(AV164,-$F$21,0)),AZ164*(Koc*(Ocse/100)*Pse*Vse)/(Koc*(Ocse/100)*Pse*Vse+1*86400*($B164+1)),"")</f>
        <v/>
      </c>
      <c r="BB164" s="190" t="str">
        <f t="shared" ca="1" si="70"/>
        <v/>
      </c>
      <c r="BC164" s="190"/>
      <c r="BD164" s="190" t="str">
        <f ca="1">IFERROR(IF(AND($B164&gt;=($F$16-$F$15),$B164&lt;$F$22+($F$16-$F$15)),SUM(OFFSET($T$100,($F$16-$F$15),0):$T164),""),"")</f>
        <v/>
      </c>
      <c r="BE164" s="190" t="str">
        <f t="shared" ca="1" si="58"/>
        <v/>
      </c>
      <c r="BF164" s="190" t="str">
        <f t="shared" ca="1" si="59"/>
        <v/>
      </c>
      <c r="BG164"/>
      <c r="BH164" s="190" t="str">
        <f ca="1">IF(ISNUMBER(OFFSET(BD164,-$F$21,0)),SUM(OFFSET($T$100,($F$16-$F$15+$F$21),0):$T164),"")</f>
        <v/>
      </c>
      <c r="BI164" s="190" t="str">
        <f t="shared" ref="BI164:BI195" ca="1" si="119">IF(ISNUMBER(OFFSET(BD164,-$F$21,0)),BH164*(Koc*(Ocse/100)*Pse*Vse)/(Koc*(Ocse/100)*Pse*Vse+1*86400*($B164+1)),"")</f>
        <v/>
      </c>
      <c r="BJ164" s="190" t="str">
        <f t="shared" ca="1" si="60"/>
        <v/>
      </c>
      <c r="BK164" s="190"/>
      <c r="BL164" s="190" t="str">
        <f ca="1">IFERROR(IF(AND($B164&gt;=($F$17-$F$15),$B164&lt;$F$22+($F$17-$F$15)),SUM(OFFSET($T$100,($F$17-$F$15),0):$T164),""),"")</f>
        <v/>
      </c>
      <c r="BM164" s="190" t="str">
        <f t="shared" ref="BM164:BM195" ca="1" si="120">IF(ISNUMBER(BL164),BL164*(Koc*(Ocse/100)*Pse*Vse)/(Koc*(Ocse/100)*Pse*Vse+1*86400*($B164+1)),"")</f>
        <v/>
      </c>
      <c r="BN164" s="190" t="str">
        <f t="shared" ca="1" si="61"/>
        <v/>
      </c>
      <c r="BO164"/>
      <c r="BP164" s="190" t="str">
        <f ca="1">IF(ISNUMBER(OFFSET(BL164,-$F$21,0)),SUM(OFFSET($T$100,($F$17-$F$15+$F$21),0):$T164),"")</f>
        <v/>
      </c>
      <c r="BQ164" s="190" t="str">
        <f t="shared" ref="BQ164:BQ195" ca="1" si="121">IF(ISNUMBER(OFFSET(BL164,-$F$21,0)),BP164*(Koc*(Ocse/100)*Pse*Vse)/(Koc*(Ocse/100)*Pse*Vse+1*86400*($B164+1)),"")</f>
        <v/>
      </c>
      <c r="BR164" s="190" t="str">
        <f t="shared" ca="1" si="63"/>
        <v/>
      </c>
      <c r="BS164" s="190"/>
      <c r="BT164"/>
      <c r="BU164"/>
      <c r="BV164"/>
      <c r="BY164" s="99"/>
      <c r="BZ164" s="99"/>
      <c r="CA164" s="280" t="str">
        <f t="shared" ref="CA164:CA195" si="122">IFERROR(IF($B164&lt;$CA$94,T164*(Koc*(Ocse/100)*Pse*Vse)/(Koc*(Ocse/100)*Pse*Vse+1*86400*$CA$94),""),"-")</f>
        <v/>
      </c>
      <c r="CB164" s="71" t="str">
        <f t="shared" ref="CB164:CB227" si="123">IF(ISNUMBER(T164),IF($B164&lt;$CA$94,(T164-CA164)/(3*86400)*1000,""),"-")</f>
        <v>-</v>
      </c>
      <c r="CC164" s="33"/>
      <c r="CD164" s="261" t="str">
        <f t="shared" ref="CD164:CD227" si="124">IF(CC164=CA$96,CB$96,"")</f>
        <v/>
      </c>
      <c r="CE164" s="280" t="str">
        <f t="shared" ref="CE164:CE195" si="125">IFERROR(IF($B164&lt;$CE$94,T164*(Koc*(Ocse/100)*Pse*Vse)/(Koc*(Ocse/100)*Pse*Vse+1*86400*$CE$94),""),"-")</f>
        <v>-</v>
      </c>
      <c r="CF164" s="71" t="str">
        <f t="shared" ref="CF164:CF195" ca="1" si="126">IFERROR(IF($B164&lt;$CE$94,IF(NOT(ISNUMBER(ffp)),"-",IF($F$70=$AX$87,AX164,IF($F$70=$BB$87,OFFSET(BB164,$F$21,0),IF($F$70=$BF$87,OFFSET(BF164,$F$16,0),IF($F$70=$BJ$87,OFFSET(BJ164,$F$16+$F$21,0),IF($F$70=$BN$87,OFFSET(BN164,$F$17,0),OFFSET(BR164,$F$17+$F$21,0))))))),""),"-")</f>
        <v>-</v>
      </c>
      <c r="CG164" s="33" t="str">
        <f t="shared" ref="CG164:CG227" si="127">IF($B164&lt;$CE$94,$B164&amp;"-"&amp;$B164+1,"")</f>
        <v>64-65</v>
      </c>
      <c r="CH164" s="261" t="str">
        <f t="shared" ref="CH164:CH227" ca="1" si="128">IF(CG164=CE$96,CF$96,"")</f>
        <v/>
      </c>
      <c r="CI164" s="99"/>
      <c r="CJ164" s="99"/>
      <c r="CK164" s="99"/>
      <c r="CL164" s="99"/>
      <c r="CM164" s="99"/>
      <c r="CN164" s="99"/>
      <c r="CO164" s="99"/>
    </row>
    <row r="165" spans="2:93" ht="13.5" customHeight="1" x14ac:dyDescent="0.2">
      <c r="B165" s="262">
        <v>65</v>
      </c>
      <c r="C165" s="237" t="str">
        <f t="shared" si="92"/>
        <v/>
      </c>
      <c r="D165" s="237" t="str">
        <f t="shared" si="66"/>
        <v>-</v>
      </c>
      <c r="E165" s="290" t="str">
        <f t="shared" ref="E165:E228" si="129">IF(ISNUMBER($F$14),IF(ISNUMBER(AA165),AA165,""),"")</f>
        <v/>
      </c>
      <c r="F165" s="264" t="str">
        <f t="shared" ref="F165:F228" si="130">IF(OR($F$14=2,$F$14=3),IF(($F$16-$F$15)&gt;B165," ",VLOOKUP((B165-($F$16-$F$15)),$AC$100:$AI$250,7,FALSE)),"")</f>
        <v/>
      </c>
      <c r="G165" s="291" t="str">
        <f t="shared" ref="G165:G228" si="131">IF($F$14=3,IF(($F$16-$F$15)*2&gt;B165," ",VLOOKUP((B165-($F$16-$F$15)*2),$AK$100:$AQ$250,7,FALSE)),"")</f>
        <v/>
      </c>
      <c r="H165" s="240" t="str">
        <f t="shared" si="93"/>
        <v/>
      </c>
      <c r="I165" s="265" t="str">
        <f t="shared" si="94"/>
        <v/>
      </c>
      <c r="J165" s="265" t="str">
        <f t="shared" si="95"/>
        <v/>
      </c>
      <c r="K165" s="240" t="str">
        <f t="shared" si="96"/>
        <v/>
      </c>
      <c r="L165" s="265" t="str">
        <f t="shared" si="97"/>
        <v/>
      </c>
      <c r="M165" s="265" t="str">
        <f t="shared" si="98"/>
        <v/>
      </c>
      <c r="N165" s="240" t="str">
        <f t="shared" si="99"/>
        <v>-</v>
      </c>
      <c r="O165" s="265" t="str">
        <f t="shared" si="100"/>
        <v>-</v>
      </c>
      <c r="P165" s="265" t="str">
        <f t="shared" si="101"/>
        <v>-</v>
      </c>
      <c r="Q165" s="266" t="str">
        <f t="shared" si="102"/>
        <v>-</v>
      </c>
      <c r="R165" s="267" t="str">
        <f t="shared" si="103"/>
        <v>-</v>
      </c>
      <c r="S165" s="268" t="str">
        <f t="shared" si="104"/>
        <v>-</v>
      </c>
      <c r="T165" s="269" t="str">
        <f t="shared" si="105"/>
        <v/>
      </c>
      <c r="U165" s="221">
        <f t="shared" si="106"/>
        <v>65</v>
      </c>
      <c r="V165" s="220" t="str">
        <f t="shared" ref="V165:V228" si="132">IF(ISNUMBER($F$14),IF(B165&lt;($F$16-$F$15)*$F$14,INT(B165/($F$16-$F$15))+1,V163),"-")</f>
        <v>-</v>
      </c>
      <c r="W165" s="221" t="str">
        <f t="shared" ref="W165:W228" si="133">IF(ISNUMBER($F$14),IF(B165&lt;$F$14*($F$16-$F$15),B165-INT(B165/($F$16-$F$15))*($F$16-$F$15)+1,W164+1),"-")</f>
        <v>-</v>
      </c>
      <c r="X165" s="221" t="str">
        <f t="shared" si="107"/>
        <v>-</v>
      </c>
      <c r="Y165" s="221" t="str">
        <f t="shared" si="108"/>
        <v>-</v>
      </c>
      <c r="Z165" s="270">
        <f t="shared" ref="Z165:Z228" si="134">IF(Y165&gt;0,0.1,0.04)</f>
        <v>0.1</v>
      </c>
      <c r="AA165" s="271" t="str">
        <f>IFERROR(IF(V164=1,AA$100*EXP(-(LN(2)/$D$65+0.04)*X164)*EXP(-(LN(2)/$D$65+0.1)*Y164),IF(V164=2,AA$100*EXP(-(LN(2)/$D$65+0.04)*(VLOOKUP(($F$16-$F$15)-1,U$99:Y164,4,FALSE)))*EXP(-(LN(2)/$D$65+0.1)*(VLOOKUP(($F$16-$F$15)-1,U$99:Y164,5,FALSE)))*EXP(-(LN(2)/$D$65+0.04)*X164)*EXP(-(LN(2)/$D$65+0.1)*Y164),IF(V164=3,AA$100*EXP(-(LN(2)/$D$65+0.04)*(VLOOKUP(($F$16-$F$15)-1,U$99:Y164,4,FALSE)))*EXP(-(LN(2)/$D$65+0.1)*(VLOOKUP(($F$16-$F$15)-1,U$99:Y164,5,FALSE)))*EXP(-(LN(2)/$D$65+0.04)*(VLOOKUP(($F$16-$F$15)*2-1,U$99:Y164,4,FALSE)))*EXP(-(LN(2)/$D$65+0.1)*(VLOOKUP(($F$16-$F$15)*2-1,U$99:Y164,5,FALSE)))*EXP(-(LN(2)/$D$65+0.04)*X164)*EXP(-(LN(2)/$D$65+0.1)*Y164),"-"))),"-")</f>
        <v>-</v>
      </c>
      <c r="AB165" s="271" t="str">
        <f>IFERROR(IF(V165=1,AB$100*EXP(-(LN(2)/$D$65+0.04)*X165)*EXP(-(LN(2)/$D$65+0.1)*Y165),IF(V165=2,AB$100*EXP(-(LN(2)/$D$65+0.04)*(VLOOKUP(($F$16-$F$15)-1,U$100:Y165,4,FALSE)))*EXP(-(LN(2)/$D$65+0.1)*(VLOOKUP(($F$16-$F$15)-1,U$100:Y165,5,FALSE)))*EXP(-(LN(2)/$D$65+0.04)*X165)*EXP(-(LN(2)/$D$65+0.1)*Y165),IF(V165=3,AB$100*EXP(-(LN(2)/$D$65+0.04)*(VLOOKUP(($F$16-$F$15)-1,U$100:Y165,4,FALSE)))*EXP(-(LN(2)/$D$65+0.1)*(VLOOKUP(($F$16-$F$15)-1,U$100:Y165,5,FALSE)))*EXP(-(LN(2)/$D$65+0.04)*(VLOOKUP(($F$16-$F$15)*2-1,U$100:Y165,4,FALSE)))*EXP(-(LN(2)/$D$65+0.1)*(VLOOKUP(($F$16-$F$15)*2-1,U$100:Y165,5,FALSE)))*EXP(-(LN(2)/$D$65+0.04)*X165)*EXP(-(LN(2)/$D$65+0.1)*Y165),"-"))),"-")</f>
        <v>-</v>
      </c>
      <c r="AC165" s="224">
        <f t="shared" ref="AC165:AC228" si="135">B165</f>
        <v>65</v>
      </c>
      <c r="AD165" s="223" t="str">
        <f t="shared" si="109"/>
        <v>-</v>
      </c>
      <c r="AE165" s="224" t="str">
        <f t="shared" ref="AE165:AE228" si="136">IFERROR(IF($F$14-1&gt;0,IF(B165&lt;($F$14-1)*($F$16-$F$15),B165-INT(B165/($F$16-$F$15))*($F$16-$F$15)+1,AE164+1),"-"),"-")</f>
        <v>-</v>
      </c>
      <c r="AF165" s="224" t="str">
        <f t="shared" si="110"/>
        <v>-</v>
      </c>
      <c r="AG165" s="224" t="str">
        <f t="shared" si="111"/>
        <v>-</v>
      </c>
      <c r="AH165" s="272">
        <f t="shared" ref="AH165:AH228" si="137">IF(AG165&gt;0,0.1,0.04)</f>
        <v>0.1</v>
      </c>
      <c r="AI165" s="271" t="str">
        <f>IFERROR(IF(AD164=1,AI$100*EXP(-(LN(2)/$D$65+0.04)*AF164)*EXP(-(LN(2)/$D$65+0.1)*AG164),IF(AD164=2,AI$100*EXP(-(LN(2)/$D$65+0.04)*(VLOOKUP(($F$16-$F$15)-1,AC$99:AG164,4,FALSE)))*EXP(-(LN(2)/$D$65+0.1)*(VLOOKUP(($F$16-$F$15)-1,AC$99:AG164,5,FALSE)))*EXP(-(LN(2)/$D$65+0.04)*AF164)*EXP(-(LN(2)/$D$65+0.1)*AG164),IF(AD164=3,AI$100*EXP(-(LN(2)/$D$65+0.04)*(VLOOKUP(($F$16-$F$15)-1,AC$99:AG164,4,FALSE)))*EXP(-(LN(2)/$D$65+0.1)*(VLOOKUP(($F$16-$F$15)-1,AC$99:AG164,5,FALSE)))*EXP(-(LN(2)/$D$65+0.04)*(VLOOKUP(($F$16-$F$15)*2-1,AC$99:AG164,4,FALSE)))*EXP(-(LN(2)/$D$65+0.1)*(VLOOKUP(($F$16-$F$15)*2-1,AC$99:AG164,5,FALSE)))*EXP(-(LN(2)/$D$65+0.04)*AF164)*EXP(-(LN(2)/$D$65+0.1)*AG164),"-"))),"-")</f>
        <v>-</v>
      </c>
      <c r="AJ165" s="271" t="str">
        <f>IFERROR(IF(AD165=1,AJ$100*EXP(-(LN(2)/$D$65+0.04)*AF165)*EXP(-(LN(2)/$D$65+0.1)*AG165),IF(AD165=2,AJ$100*EXP(-(LN(2)/$D$65+0.04)*(VLOOKUP(($F$16-$F$15)-1,AC$100:AG165,4,FALSE)))*EXP(-(LN(2)/$D$65+0.1)*(VLOOKUP(($F$16-$F$15)-1,AC$100:AG165,5,FALSE)))*EXP(-(LN(2)/$D$65+0.04)*AF165)*EXP(-(LN(2)/$D$65+0.1)*AG165),IF(AD165=3,AJ$100*EXP(-(LN(2)/$D$65+0.04)*(VLOOKUP(($F$16-$F$15)-1,AC$100:AG165,4,FALSE)))*EXP(-(LN(2)/$D$65+0.1)*(VLOOKUP(($F$16-$F$15)-1,AC$100:AG165,5,FALSE)))*EXP(-(LN(2)/$D$65+0.04)*(VLOOKUP(($F$16-$F$15)*2-1,AC$100:AG165,4,FALSE)))*EXP(-(LN(2)/$D$65+0.1)*(VLOOKUP(($F$16-$F$15)*2-1,AC$100:AG165,5,FALSE)))*EXP(-(LN(2)/$D$65+0.04)*AF165)*EXP(-(LN(2)/$D$65+0.1)*AG165),"-"))),"-")</f>
        <v>-</v>
      </c>
      <c r="AK165" s="227">
        <f t="shared" ref="AK165:AK228" si="138">B165</f>
        <v>65</v>
      </c>
      <c r="AL165" s="226" t="str">
        <f t="shared" si="112"/>
        <v>-</v>
      </c>
      <c r="AM165" s="227" t="str">
        <f t="shared" ref="AM165:AM228" si="139">IFERROR(IF($F$14-2&gt;0,IF(B165&lt;($F$14-2)*($F$16-$F$15),B165-INT(B165/($F$16-$F$15))*($F$16-$F$15)+1,AM164+1),"-"),"-")</f>
        <v>-</v>
      </c>
      <c r="AN165" s="227" t="str">
        <f t="shared" ref="AN165:AN228" si="140">IFERROR(IF($F$21=0,0,IF(AL165=AL164,IF(B165-(AL165-1)*($F$16-$F$15)&lt;$F$21,AN164+1,AN164),1)),"-")</f>
        <v>-</v>
      </c>
      <c r="AO165" s="227" t="str">
        <f t="shared" si="113"/>
        <v>-</v>
      </c>
      <c r="AP165" s="273">
        <f t="shared" ref="AP165:AP228" si="141">IF(AO165&gt;0,0.1,0.04)</f>
        <v>0.1</v>
      </c>
      <c r="AQ165" s="271" t="str">
        <f>IFERROR(IF(AL164=1,AQ$100*EXP(-(LN(2)/$D$65+0.04)*AN164)*EXP(-(LN(2)/$D$65+0.1)*AO164),IF(AL164=2,AQ$100*EXP(-(LN(2)/$D$65+0.04)*(VLOOKUP(($F$16-$F$15)-1,AK$99:AO164,4,FALSE)))*EXP(-(LN(2)/$D$65+0.1)*(VLOOKUP(($F$16-$F$15)-1,AK$99:AO164,5,FALSE)))*EXP(-(LN(2)/$D$65+0.04)*AN164)*EXP(-(LN(2)/$D$65+0.1)*AO164),IF(AL164=3,AQ$100*EXP(-(LN(2)/$D$65+0.04)*(VLOOKUP(($F$16-$F$15)-1,AK$99:AO164,4,FALSE)))*EXP(-(LN(2)/$D$65+0.1)*(VLOOKUP(($F$16-$F$15)-1,AK$99:AO164,5,FALSE)))*EXP(-(LN(2)/$D$65+0.04)*(VLOOKUP(($F$16-$F$15)*2-1,AK$99:AO164,4,FALSE)))*EXP(-(LN(2)/$D$65+0.1)*(VLOOKUP(($F$16-$F$15)*2-1,AK$99:AO164,5,FALSE)))*EXP(-(LN(2)/$D$65+0.04)*AN164)*EXP(-(LN(2)/$D$65+0.1)*AO164),"-"))),"-")</f>
        <v>-</v>
      </c>
      <c r="AR165" s="271" t="str">
        <f>IFERROR(IF(AL165=1,AR$100*EXP(-(LN(2)/$D$65+0.04)*AN165)*EXP(-(LN(2)/$D$65+0.1)*AO165),IF(AL165=2,AR$100*EXP(-(LN(2)/$D$65+0.04)*(VLOOKUP(($F$16-$F$15)-1,AK$100:AO165,4,FALSE)))*EXP(-(LN(2)/$D$65+0.1)*(VLOOKUP(($F$16-$F$15)-1,AK$100:AO165,5,FALSE)))*EXP(-(LN(2)/$D$65+0.04)*AN165)*EXP(-(LN(2)/$D$65+0.1)*AO165),IF(AL165=3,AR$100*EXP(-(LN(2)/$D$65+0.04)*(VLOOKUP(($F$16-$F$15)-1,AK$100:AO165,4,FALSE)))*EXP(-(LN(2)/$D$65+0.1)*(VLOOKUP(($F$16-$F$15)-1,AK$100:AO165,5,FALSE)))*EXP(-(LN(2)/$D$65+0.04)*(VLOOKUP(($F$16-$F$15)*2-1,AK$100:AO165,4,FALSE)))*EXP(-(LN(2)/$D$65+0.1)*(VLOOKUP(($F$16-$F$15)*2-1,AK$100:AO165,5,FALSE)))*EXP(-(LN(2)/$D$65+0.04)*AN165)*EXP(-(LN(2)/$D$65+0.1)*AO165),"-"))),"-")</f>
        <v>-</v>
      </c>
      <c r="AS165" s="274">
        <f t="shared" si="114"/>
        <v>0</v>
      </c>
      <c r="AT165" s="274">
        <f t="shared" si="115"/>
        <v>0</v>
      </c>
      <c r="AU165" s="274">
        <f t="shared" si="116"/>
        <v>0</v>
      </c>
      <c r="AV165" s="190">
        <f>IF($B165&lt;$F$22,SUM($T$100:$T165),"")</f>
        <v>0</v>
      </c>
      <c r="AW165" s="190" t="str">
        <f t="shared" si="117"/>
        <v>-</v>
      </c>
      <c r="AX165" s="190" t="str">
        <f t="shared" ref="AX165:AX228" si="142">IF(ISNUMBER(AW165),IF(ISNUMBER(AV165),(AV165-AW165)/(3*86400*($B165+1))*1000,""),"")</f>
        <v/>
      </c>
      <c r="AY165"/>
      <c r="AZ165" s="190" t="str">
        <f ca="1">IF(ISNUMBER(OFFSET(AV165,-$F$21,0)),SUM(OFFSET($T$100,$F$21,0):$T165),"")</f>
        <v/>
      </c>
      <c r="BA165" s="190" t="str">
        <f t="shared" ca="1" si="118"/>
        <v/>
      </c>
      <c r="BB165" s="190" t="str">
        <f t="shared" ca="1" si="70"/>
        <v/>
      </c>
      <c r="BC165" s="190"/>
      <c r="BD165" s="190" t="str">
        <f ca="1">IFERROR(IF(AND($B165&gt;=($F$16-$F$15),$B165&lt;$F$22+($F$16-$F$15)),SUM(OFFSET($T$100,($F$16-$F$15),0):$T165),""),"")</f>
        <v/>
      </c>
      <c r="BE165" s="190" t="str">
        <f t="shared" ref="BE165:BE228" ca="1" si="143">IF(ISNUMBER(BD165),BD165*(Koc*(Ocse/100)*Pse*Vse)/(Koc*(Ocse/100)*Pse*Vse+1*86400*($B165+1)),"")</f>
        <v/>
      </c>
      <c r="BF165" s="190" t="str">
        <f t="shared" ref="BF165:BF228" ca="1" si="144">IF(ISNUMBER(BD165),(BD165-BE165)/(3*86400*($B165-($F$16-$F$15)+1))*1000,"")</f>
        <v/>
      </c>
      <c r="BG165"/>
      <c r="BH165" s="190" t="str">
        <f ca="1">IF(ISNUMBER(OFFSET(BD165,-$F$21,0)),SUM(OFFSET($T$100,($F$16-$F$15+$F$21),0):$T165),"")</f>
        <v/>
      </c>
      <c r="BI165" s="190" t="str">
        <f t="shared" ca="1" si="119"/>
        <v/>
      </c>
      <c r="BJ165" s="190" t="str">
        <f t="shared" ref="BJ165:BJ228" ca="1" si="145">IF(ISNUMBER(BH165),(BH165-BI165)/(3*86400*((OFFSET($B165,-$F$21,0)-($F$16-$F$15)+1)))*1000,"")</f>
        <v/>
      </c>
      <c r="BK165" s="190"/>
      <c r="BL165" s="190" t="str">
        <f ca="1">IFERROR(IF(AND($B165&gt;=($F$17-$F$15),$B165&lt;$F$22+($F$17-$F$15)),SUM(OFFSET($T$100,($F$17-$F$15),0):$T165),""),"")</f>
        <v/>
      </c>
      <c r="BM165" s="190" t="str">
        <f t="shared" ca="1" si="120"/>
        <v/>
      </c>
      <c r="BN165" s="190" t="str">
        <f t="shared" ref="BN165:BN228" ca="1" si="146">IF(ISNUMBER(BL165),(BL165-BM165)/(3*86400*($B165-($F$17-$F$15)+1))*1000,"")</f>
        <v/>
      </c>
      <c r="BO165"/>
      <c r="BP165" s="190" t="str">
        <f ca="1">IF(ISNUMBER(OFFSET(BL165,-$F$21,0)),SUM(OFFSET($T$100,($F$17-$F$15+$F$21),0):$T165),"")</f>
        <v/>
      </c>
      <c r="BQ165" s="190" t="str">
        <f t="shared" ca="1" si="121"/>
        <v/>
      </c>
      <c r="BR165" s="190" t="str">
        <f t="shared" ref="BR165:BR228" ca="1" si="147">IF(ISNUMBER(BP165),(BP165-BQ165)/(3*86400*(OFFSET($B165,-$F$21,0)-($F$17-$F$15)+1))*1000,"")</f>
        <v/>
      </c>
      <c r="BS165" s="190"/>
      <c r="BT165"/>
      <c r="BU165"/>
      <c r="BV165"/>
      <c r="BY165" s="99"/>
      <c r="BZ165" s="99"/>
      <c r="CA165" s="280" t="str">
        <f t="shared" si="122"/>
        <v/>
      </c>
      <c r="CB165" s="71" t="str">
        <f t="shared" si="123"/>
        <v>-</v>
      </c>
      <c r="CC165" s="33"/>
      <c r="CD165" s="261" t="str">
        <f t="shared" si="124"/>
        <v/>
      </c>
      <c r="CE165" s="280" t="str">
        <f t="shared" si="125"/>
        <v>-</v>
      </c>
      <c r="CF165" s="71" t="str">
        <f t="shared" ca="1" si="126"/>
        <v>-</v>
      </c>
      <c r="CG165" s="33" t="str">
        <f t="shared" si="127"/>
        <v>65-66</v>
      </c>
      <c r="CH165" s="261" t="str">
        <f t="shared" ca="1" si="128"/>
        <v/>
      </c>
      <c r="CI165" s="99"/>
      <c r="CJ165" s="99"/>
      <c r="CK165" s="99"/>
      <c r="CL165" s="99"/>
      <c r="CM165" s="99"/>
      <c r="CN165" s="99"/>
      <c r="CO165" s="99"/>
    </row>
    <row r="166" spans="2:93" ht="13.5" customHeight="1" x14ac:dyDescent="0.2">
      <c r="B166" s="262">
        <v>66</v>
      </c>
      <c r="C166" s="237" t="str">
        <f t="shared" si="92"/>
        <v/>
      </c>
      <c r="D166" s="237" t="str">
        <f t="shared" ref="D166:D229" si="148">IFERROR(IF(B166&lt;$F$22,IF(ISNUMBER($D$65),IF(MAX($BU$101:$BU$120)&lt;B166, "", IF(B166=VLOOKUP(B166, $BU$101:$BU$120,1,1), C166,D165-INDEX($BY$101:$BY$120, MATCH(VLOOKUP(B166, $BU$101:$BU$120,1,1), $BU$101:$BU$120)+1, 1))),D165-VLOOKUP(MAX($BU$101:$BU$120),$BU$101:$BY$120,5)),""),"-")</f>
        <v>-</v>
      </c>
      <c r="E166" s="290" t="str">
        <f t="shared" si="129"/>
        <v/>
      </c>
      <c r="F166" s="264" t="str">
        <f t="shared" si="130"/>
        <v/>
      </c>
      <c r="G166" s="291" t="str">
        <f t="shared" si="131"/>
        <v/>
      </c>
      <c r="H166" s="240" t="str">
        <f t="shared" si="93"/>
        <v/>
      </c>
      <c r="I166" s="265" t="str">
        <f t="shared" si="94"/>
        <v/>
      </c>
      <c r="J166" s="265" t="str">
        <f t="shared" si="95"/>
        <v/>
      </c>
      <c r="K166" s="240" t="str">
        <f t="shared" si="96"/>
        <v/>
      </c>
      <c r="L166" s="265" t="str">
        <f t="shared" si="97"/>
        <v/>
      </c>
      <c r="M166" s="265" t="str">
        <f t="shared" si="98"/>
        <v/>
      </c>
      <c r="N166" s="240" t="str">
        <f t="shared" si="99"/>
        <v>-</v>
      </c>
      <c r="O166" s="265" t="str">
        <f t="shared" si="100"/>
        <v>-</v>
      </c>
      <c r="P166" s="265" t="str">
        <f t="shared" si="101"/>
        <v>-</v>
      </c>
      <c r="Q166" s="266" t="str">
        <f t="shared" si="102"/>
        <v>-</v>
      </c>
      <c r="R166" s="267" t="str">
        <f t="shared" si="103"/>
        <v>-</v>
      </c>
      <c r="S166" s="268" t="str">
        <f t="shared" si="104"/>
        <v>-</v>
      </c>
      <c r="T166" s="269" t="str">
        <f t="shared" si="105"/>
        <v/>
      </c>
      <c r="U166" s="221">
        <f t="shared" si="106"/>
        <v>66</v>
      </c>
      <c r="V166" s="220" t="str">
        <f t="shared" si="132"/>
        <v>-</v>
      </c>
      <c r="W166" s="221" t="str">
        <f t="shared" si="133"/>
        <v>-</v>
      </c>
      <c r="X166" s="221" t="str">
        <f t="shared" si="107"/>
        <v>-</v>
      </c>
      <c r="Y166" s="221" t="str">
        <f t="shared" si="108"/>
        <v>-</v>
      </c>
      <c r="Z166" s="270">
        <f t="shared" si="134"/>
        <v>0.1</v>
      </c>
      <c r="AA166" s="271" t="str">
        <f>IFERROR(IF(V165=1,AA$100*EXP(-(LN(2)/$D$65+0.04)*X165)*EXP(-(LN(2)/$D$65+0.1)*Y165),IF(V165=2,AA$100*EXP(-(LN(2)/$D$65+0.04)*(VLOOKUP(($F$16-$F$15)-1,U$99:Y165,4,FALSE)))*EXP(-(LN(2)/$D$65+0.1)*(VLOOKUP(($F$16-$F$15)-1,U$99:Y165,5,FALSE)))*EXP(-(LN(2)/$D$65+0.04)*X165)*EXP(-(LN(2)/$D$65+0.1)*Y165),IF(V165=3,AA$100*EXP(-(LN(2)/$D$65+0.04)*(VLOOKUP(($F$16-$F$15)-1,U$99:Y165,4,FALSE)))*EXP(-(LN(2)/$D$65+0.1)*(VLOOKUP(($F$16-$F$15)-1,U$99:Y165,5,FALSE)))*EXP(-(LN(2)/$D$65+0.04)*(VLOOKUP(($F$16-$F$15)*2-1,U$99:Y165,4,FALSE)))*EXP(-(LN(2)/$D$65+0.1)*(VLOOKUP(($F$16-$F$15)*2-1,U$99:Y165,5,FALSE)))*EXP(-(LN(2)/$D$65+0.04)*X165)*EXP(-(LN(2)/$D$65+0.1)*Y165),"-"))),"-")</f>
        <v>-</v>
      </c>
      <c r="AB166" s="271" t="str">
        <f>IFERROR(IF(V166=1,AB$100*EXP(-(LN(2)/$D$65+0.04)*X166)*EXP(-(LN(2)/$D$65+0.1)*Y166),IF(V166=2,AB$100*EXP(-(LN(2)/$D$65+0.04)*(VLOOKUP(($F$16-$F$15)-1,U$100:Y166,4,FALSE)))*EXP(-(LN(2)/$D$65+0.1)*(VLOOKUP(($F$16-$F$15)-1,U$100:Y166,5,FALSE)))*EXP(-(LN(2)/$D$65+0.04)*X166)*EXP(-(LN(2)/$D$65+0.1)*Y166),IF(V166=3,AB$100*EXP(-(LN(2)/$D$65+0.04)*(VLOOKUP(($F$16-$F$15)-1,U$100:Y166,4,FALSE)))*EXP(-(LN(2)/$D$65+0.1)*(VLOOKUP(($F$16-$F$15)-1,U$100:Y166,5,FALSE)))*EXP(-(LN(2)/$D$65+0.04)*(VLOOKUP(($F$16-$F$15)*2-1,U$100:Y166,4,FALSE)))*EXP(-(LN(2)/$D$65+0.1)*(VLOOKUP(($F$16-$F$15)*2-1,U$100:Y166,5,FALSE)))*EXP(-(LN(2)/$D$65+0.04)*X166)*EXP(-(LN(2)/$D$65+0.1)*Y166),"-"))),"-")</f>
        <v>-</v>
      </c>
      <c r="AC166" s="224">
        <f t="shared" si="135"/>
        <v>66</v>
      </c>
      <c r="AD166" s="223" t="str">
        <f t="shared" si="109"/>
        <v>-</v>
      </c>
      <c r="AE166" s="224" t="str">
        <f t="shared" si="136"/>
        <v>-</v>
      </c>
      <c r="AF166" s="224" t="str">
        <f t="shared" si="110"/>
        <v>-</v>
      </c>
      <c r="AG166" s="224" t="str">
        <f t="shared" si="111"/>
        <v>-</v>
      </c>
      <c r="AH166" s="272">
        <f t="shared" si="137"/>
        <v>0.1</v>
      </c>
      <c r="AI166" s="271" t="str">
        <f>IFERROR(IF(AD165=1,AI$100*EXP(-(LN(2)/$D$65+0.04)*AF165)*EXP(-(LN(2)/$D$65+0.1)*AG165),IF(AD165=2,AI$100*EXP(-(LN(2)/$D$65+0.04)*(VLOOKUP(($F$16-$F$15)-1,AC$99:AG165,4,FALSE)))*EXP(-(LN(2)/$D$65+0.1)*(VLOOKUP(($F$16-$F$15)-1,AC$99:AG165,5,FALSE)))*EXP(-(LN(2)/$D$65+0.04)*AF165)*EXP(-(LN(2)/$D$65+0.1)*AG165),IF(AD165=3,AI$100*EXP(-(LN(2)/$D$65+0.04)*(VLOOKUP(($F$16-$F$15)-1,AC$99:AG165,4,FALSE)))*EXP(-(LN(2)/$D$65+0.1)*(VLOOKUP(($F$16-$F$15)-1,AC$99:AG165,5,FALSE)))*EXP(-(LN(2)/$D$65+0.04)*(VLOOKUP(($F$16-$F$15)*2-1,AC$99:AG165,4,FALSE)))*EXP(-(LN(2)/$D$65+0.1)*(VLOOKUP(($F$16-$F$15)*2-1,AC$99:AG165,5,FALSE)))*EXP(-(LN(2)/$D$65+0.04)*AF165)*EXP(-(LN(2)/$D$65+0.1)*AG165),"-"))),"-")</f>
        <v>-</v>
      </c>
      <c r="AJ166" s="271" t="str">
        <f>IFERROR(IF(AD166=1,AJ$100*EXP(-(LN(2)/$D$65+0.04)*AF166)*EXP(-(LN(2)/$D$65+0.1)*AG166),IF(AD166=2,AJ$100*EXP(-(LN(2)/$D$65+0.04)*(VLOOKUP(($F$16-$F$15)-1,AC$100:AG166,4,FALSE)))*EXP(-(LN(2)/$D$65+0.1)*(VLOOKUP(($F$16-$F$15)-1,AC$100:AG166,5,FALSE)))*EXP(-(LN(2)/$D$65+0.04)*AF166)*EXP(-(LN(2)/$D$65+0.1)*AG166),IF(AD166=3,AJ$100*EXP(-(LN(2)/$D$65+0.04)*(VLOOKUP(($F$16-$F$15)-1,AC$100:AG166,4,FALSE)))*EXP(-(LN(2)/$D$65+0.1)*(VLOOKUP(($F$16-$F$15)-1,AC$100:AG166,5,FALSE)))*EXP(-(LN(2)/$D$65+0.04)*(VLOOKUP(($F$16-$F$15)*2-1,AC$100:AG166,4,FALSE)))*EXP(-(LN(2)/$D$65+0.1)*(VLOOKUP(($F$16-$F$15)*2-1,AC$100:AG166,5,FALSE)))*EXP(-(LN(2)/$D$65+0.04)*AF166)*EXP(-(LN(2)/$D$65+0.1)*AG166),"-"))),"-")</f>
        <v>-</v>
      </c>
      <c r="AK166" s="227">
        <f t="shared" si="138"/>
        <v>66</v>
      </c>
      <c r="AL166" s="226" t="str">
        <f t="shared" si="112"/>
        <v>-</v>
      </c>
      <c r="AM166" s="227" t="str">
        <f t="shared" si="139"/>
        <v>-</v>
      </c>
      <c r="AN166" s="227" t="str">
        <f t="shared" si="140"/>
        <v>-</v>
      </c>
      <c r="AO166" s="227" t="str">
        <f t="shared" si="113"/>
        <v>-</v>
      </c>
      <c r="AP166" s="273">
        <f t="shared" si="141"/>
        <v>0.1</v>
      </c>
      <c r="AQ166" s="271" t="str">
        <f>IFERROR(IF(AL165=1,AQ$100*EXP(-(LN(2)/$D$65+0.04)*AN165)*EXP(-(LN(2)/$D$65+0.1)*AO165),IF(AL165=2,AQ$100*EXP(-(LN(2)/$D$65+0.04)*(VLOOKUP(($F$16-$F$15)-1,AK$99:AO165,4,FALSE)))*EXP(-(LN(2)/$D$65+0.1)*(VLOOKUP(($F$16-$F$15)-1,AK$99:AO165,5,FALSE)))*EXP(-(LN(2)/$D$65+0.04)*AN165)*EXP(-(LN(2)/$D$65+0.1)*AO165),IF(AL165=3,AQ$100*EXP(-(LN(2)/$D$65+0.04)*(VLOOKUP(($F$16-$F$15)-1,AK$99:AO165,4,FALSE)))*EXP(-(LN(2)/$D$65+0.1)*(VLOOKUP(($F$16-$F$15)-1,AK$99:AO165,5,FALSE)))*EXP(-(LN(2)/$D$65+0.04)*(VLOOKUP(($F$16-$F$15)*2-1,AK$99:AO165,4,FALSE)))*EXP(-(LN(2)/$D$65+0.1)*(VLOOKUP(($F$16-$F$15)*2-1,AK$99:AO165,5,FALSE)))*EXP(-(LN(2)/$D$65+0.04)*AN165)*EXP(-(LN(2)/$D$65+0.1)*AO165),"-"))),"-")</f>
        <v>-</v>
      </c>
      <c r="AR166" s="271" t="str">
        <f>IFERROR(IF(AL166=1,AR$100*EXP(-(LN(2)/$D$65+0.04)*AN166)*EXP(-(LN(2)/$D$65+0.1)*AO166),IF(AL166=2,AR$100*EXP(-(LN(2)/$D$65+0.04)*(VLOOKUP(($F$16-$F$15)-1,AK$100:AO166,4,FALSE)))*EXP(-(LN(2)/$D$65+0.1)*(VLOOKUP(($F$16-$F$15)-1,AK$100:AO166,5,FALSE)))*EXP(-(LN(2)/$D$65+0.04)*AN166)*EXP(-(LN(2)/$D$65+0.1)*AO166),IF(AL166=3,AR$100*EXP(-(LN(2)/$D$65+0.04)*(VLOOKUP(($F$16-$F$15)-1,AK$100:AO166,4,FALSE)))*EXP(-(LN(2)/$D$65+0.1)*(VLOOKUP(($F$16-$F$15)-1,AK$100:AO166,5,FALSE)))*EXP(-(LN(2)/$D$65+0.04)*(VLOOKUP(($F$16-$F$15)*2-1,AK$100:AO166,4,FALSE)))*EXP(-(LN(2)/$D$65+0.1)*(VLOOKUP(($F$16-$F$15)*2-1,AK$100:AO166,5,FALSE)))*EXP(-(LN(2)/$D$65+0.04)*AN166)*EXP(-(LN(2)/$D$65+0.1)*AO166),"-"))),"-")</f>
        <v>-</v>
      </c>
      <c r="AS166" s="274">
        <f t="shared" si="114"/>
        <v>0</v>
      </c>
      <c r="AT166" s="274">
        <f t="shared" si="115"/>
        <v>0</v>
      </c>
      <c r="AU166" s="274">
        <f t="shared" si="116"/>
        <v>0</v>
      </c>
      <c r="AV166" s="190">
        <f>IF($B166&lt;$F$22,SUM($T$100:$T166),"")</f>
        <v>0</v>
      </c>
      <c r="AW166" s="190" t="str">
        <f t="shared" si="117"/>
        <v>-</v>
      </c>
      <c r="AX166" s="190" t="str">
        <f t="shared" si="142"/>
        <v/>
      </c>
      <c r="AY166"/>
      <c r="AZ166" s="190" t="str">
        <f ca="1">IF(ISNUMBER(OFFSET(AV166,-$F$21,0)),SUM(OFFSET($T$100,$F$21,0):$T166),"")</f>
        <v/>
      </c>
      <c r="BA166" s="190" t="str">
        <f t="shared" ca="1" si="118"/>
        <v/>
      </c>
      <c r="BB166" s="190" t="str">
        <f t="shared" ca="1" si="70"/>
        <v/>
      </c>
      <c r="BC166" s="190"/>
      <c r="BD166" s="190" t="str">
        <f ca="1">IFERROR(IF(AND($B166&gt;=($F$16-$F$15),$B166&lt;$F$22+($F$16-$F$15)),SUM(OFFSET($T$100,($F$16-$F$15),0):$T166),""),"")</f>
        <v/>
      </c>
      <c r="BE166" s="190" t="str">
        <f t="shared" ca="1" si="143"/>
        <v/>
      </c>
      <c r="BF166" s="190" t="str">
        <f t="shared" ca="1" si="144"/>
        <v/>
      </c>
      <c r="BG166"/>
      <c r="BH166" s="190" t="str">
        <f ca="1">IF(ISNUMBER(OFFSET(BD166,-$F$21,0)),SUM(OFFSET($T$100,($F$16-$F$15+$F$21),0):$T166),"")</f>
        <v/>
      </c>
      <c r="BI166" s="190" t="str">
        <f t="shared" ca="1" si="119"/>
        <v/>
      </c>
      <c r="BJ166" s="190" t="str">
        <f t="shared" ca="1" si="145"/>
        <v/>
      </c>
      <c r="BK166" s="190"/>
      <c r="BL166" s="190" t="str">
        <f ca="1">IFERROR(IF(AND($B166&gt;=($F$17-$F$15),$B166&lt;$F$22+($F$17-$F$15)),SUM(OFFSET($T$100,($F$17-$F$15),0):$T166),""),"")</f>
        <v/>
      </c>
      <c r="BM166" s="190" t="str">
        <f t="shared" ca="1" si="120"/>
        <v/>
      </c>
      <c r="BN166" s="190" t="str">
        <f t="shared" ca="1" si="146"/>
        <v/>
      </c>
      <c r="BO166"/>
      <c r="BP166" s="190" t="str">
        <f ca="1">IF(ISNUMBER(OFFSET(BL166,-$F$21,0)),SUM(OFFSET($T$100,($F$17-$F$15+$F$21),0):$T166),"")</f>
        <v/>
      </c>
      <c r="BQ166" s="190" t="str">
        <f t="shared" ca="1" si="121"/>
        <v/>
      </c>
      <c r="BR166" s="190" t="str">
        <f t="shared" ca="1" si="147"/>
        <v/>
      </c>
      <c r="BS166" s="190"/>
      <c r="BT166"/>
      <c r="BU166"/>
      <c r="BV166"/>
      <c r="BY166" s="99"/>
      <c r="BZ166" s="99"/>
      <c r="CA166" s="280" t="str">
        <f t="shared" si="122"/>
        <v/>
      </c>
      <c r="CB166" s="71" t="str">
        <f t="shared" si="123"/>
        <v>-</v>
      </c>
      <c r="CC166" s="33"/>
      <c r="CD166" s="261" t="str">
        <f t="shared" si="124"/>
        <v/>
      </c>
      <c r="CE166" s="280" t="str">
        <f t="shared" si="125"/>
        <v>-</v>
      </c>
      <c r="CF166" s="71" t="str">
        <f t="shared" ca="1" si="126"/>
        <v>-</v>
      </c>
      <c r="CG166" s="33" t="str">
        <f t="shared" si="127"/>
        <v>66-67</v>
      </c>
      <c r="CH166" s="261" t="str">
        <f t="shared" ca="1" si="128"/>
        <v/>
      </c>
      <c r="CI166" s="99"/>
      <c r="CJ166" s="99"/>
      <c r="CK166" s="99"/>
      <c r="CL166" s="99"/>
      <c r="CM166" s="99"/>
      <c r="CN166" s="99"/>
      <c r="CO166" s="99"/>
    </row>
    <row r="167" spans="2:93" ht="13.5" customHeight="1" x14ac:dyDescent="0.2">
      <c r="B167" s="262">
        <v>67</v>
      </c>
      <c r="C167" s="237" t="str">
        <f t="shared" si="92"/>
        <v/>
      </c>
      <c r="D167" s="237" t="str">
        <f t="shared" si="148"/>
        <v>-</v>
      </c>
      <c r="E167" s="290" t="str">
        <f t="shared" si="129"/>
        <v/>
      </c>
      <c r="F167" s="264" t="str">
        <f t="shared" si="130"/>
        <v/>
      </c>
      <c r="G167" s="291" t="str">
        <f t="shared" si="131"/>
        <v/>
      </c>
      <c r="H167" s="240" t="str">
        <f t="shared" si="93"/>
        <v/>
      </c>
      <c r="I167" s="265" t="str">
        <f t="shared" si="94"/>
        <v/>
      </c>
      <c r="J167" s="265" t="str">
        <f t="shared" si="95"/>
        <v/>
      </c>
      <c r="K167" s="240" t="str">
        <f t="shared" si="96"/>
        <v/>
      </c>
      <c r="L167" s="265" t="str">
        <f t="shared" si="97"/>
        <v/>
      </c>
      <c r="M167" s="265" t="str">
        <f t="shared" si="98"/>
        <v/>
      </c>
      <c r="N167" s="240" t="str">
        <f t="shared" si="99"/>
        <v>-</v>
      </c>
      <c r="O167" s="265" t="str">
        <f t="shared" si="100"/>
        <v>-</v>
      </c>
      <c r="P167" s="265" t="str">
        <f t="shared" si="101"/>
        <v>-</v>
      </c>
      <c r="Q167" s="266" t="str">
        <f t="shared" si="102"/>
        <v>-</v>
      </c>
      <c r="R167" s="267" t="str">
        <f t="shared" si="103"/>
        <v>-</v>
      </c>
      <c r="S167" s="268" t="str">
        <f t="shared" si="104"/>
        <v>-</v>
      </c>
      <c r="T167" s="269" t="str">
        <f t="shared" si="105"/>
        <v/>
      </c>
      <c r="U167" s="221">
        <f t="shared" si="106"/>
        <v>67</v>
      </c>
      <c r="V167" s="220" t="str">
        <f t="shared" si="132"/>
        <v>-</v>
      </c>
      <c r="W167" s="221" t="str">
        <f t="shared" si="133"/>
        <v>-</v>
      </c>
      <c r="X167" s="221" t="str">
        <f t="shared" si="107"/>
        <v>-</v>
      </c>
      <c r="Y167" s="221" t="str">
        <f t="shared" si="108"/>
        <v>-</v>
      </c>
      <c r="Z167" s="270">
        <f t="shared" si="134"/>
        <v>0.1</v>
      </c>
      <c r="AA167" s="271" t="str">
        <f>IFERROR(IF(V166=1,AA$100*EXP(-(LN(2)/$D$65+0.04)*X166)*EXP(-(LN(2)/$D$65+0.1)*Y166),IF(V166=2,AA$100*EXP(-(LN(2)/$D$65+0.04)*(VLOOKUP(($F$16-$F$15)-1,U$99:Y166,4,FALSE)))*EXP(-(LN(2)/$D$65+0.1)*(VLOOKUP(($F$16-$F$15)-1,U$99:Y166,5,FALSE)))*EXP(-(LN(2)/$D$65+0.04)*X166)*EXP(-(LN(2)/$D$65+0.1)*Y166),IF(V166=3,AA$100*EXP(-(LN(2)/$D$65+0.04)*(VLOOKUP(($F$16-$F$15)-1,U$99:Y166,4,FALSE)))*EXP(-(LN(2)/$D$65+0.1)*(VLOOKUP(($F$16-$F$15)-1,U$99:Y166,5,FALSE)))*EXP(-(LN(2)/$D$65+0.04)*(VLOOKUP(($F$16-$F$15)*2-1,U$99:Y166,4,FALSE)))*EXP(-(LN(2)/$D$65+0.1)*(VLOOKUP(($F$16-$F$15)*2-1,U$99:Y166,5,FALSE)))*EXP(-(LN(2)/$D$65+0.04)*X166)*EXP(-(LN(2)/$D$65+0.1)*Y166),"-"))),"-")</f>
        <v>-</v>
      </c>
      <c r="AB167" s="271" t="str">
        <f>IFERROR(IF(V167=1,AB$100*EXP(-(LN(2)/$D$65+0.04)*X167)*EXP(-(LN(2)/$D$65+0.1)*Y167),IF(V167=2,AB$100*EXP(-(LN(2)/$D$65+0.04)*(VLOOKUP(($F$16-$F$15)-1,U$100:Y167,4,FALSE)))*EXP(-(LN(2)/$D$65+0.1)*(VLOOKUP(($F$16-$F$15)-1,U$100:Y167,5,FALSE)))*EXP(-(LN(2)/$D$65+0.04)*X167)*EXP(-(LN(2)/$D$65+0.1)*Y167),IF(V167=3,AB$100*EXP(-(LN(2)/$D$65+0.04)*(VLOOKUP(($F$16-$F$15)-1,U$100:Y167,4,FALSE)))*EXP(-(LN(2)/$D$65+0.1)*(VLOOKUP(($F$16-$F$15)-1,U$100:Y167,5,FALSE)))*EXP(-(LN(2)/$D$65+0.04)*(VLOOKUP(($F$16-$F$15)*2-1,U$100:Y167,4,FALSE)))*EXP(-(LN(2)/$D$65+0.1)*(VLOOKUP(($F$16-$F$15)*2-1,U$100:Y167,5,FALSE)))*EXP(-(LN(2)/$D$65+0.04)*X167)*EXP(-(LN(2)/$D$65+0.1)*Y167),"-"))),"-")</f>
        <v>-</v>
      </c>
      <c r="AC167" s="224">
        <f t="shared" si="135"/>
        <v>67</v>
      </c>
      <c r="AD167" s="223" t="str">
        <f t="shared" si="109"/>
        <v>-</v>
      </c>
      <c r="AE167" s="224" t="str">
        <f t="shared" si="136"/>
        <v>-</v>
      </c>
      <c r="AF167" s="224" t="str">
        <f t="shared" si="110"/>
        <v>-</v>
      </c>
      <c r="AG167" s="224" t="str">
        <f t="shared" si="111"/>
        <v>-</v>
      </c>
      <c r="AH167" s="272">
        <f t="shared" si="137"/>
        <v>0.1</v>
      </c>
      <c r="AI167" s="271" t="str">
        <f>IFERROR(IF(AD166=1,AI$100*EXP(-(LN(2)/$D$65+0.04)*AF166)*EXP(-(LN(2)/$D$65+0.1)*AG166),IF(AD166=2,AI$100*EXP(-(LN(2)/$D$65+0.04)*(VLOOKUP(($F$16-$F$15)-1,AC$99:AG166,4,FALSE)))*EXP(-(LN(2)/$D$65+0.1)*(VLOOKUP(($F$16-$F$15)-1,AC$99:AG166,5,FALSE)))*EXP(-(LN(2)/$D$65+0.04)*AF166)*EXP(-(LN(2)/$D$65+0.1)*AG166),IF(AD166=3,AI$100*EXP(-(LN(2)/$D$65+0.04)*(VLOOKUP(($F$16-$F$15)-1,AC$99:AG166,4,FALSE)))*EXP(-(LN(2)/$D$65+0.1)*(VLOOKUP(($F$16-$F$15)-1,AC$99:AG166,5,FALSE)))*EXP(-(LN(2)/$D$65+0.04)*(VLOOKUP(($F$16-$F$15)*2-1,AC$99:AG166,4,FALSE)))*EXP(-(LN(2)/$D$65+0.1)*(VLOOKUP(($F$16-$F$15)*2-1,AC$99:AG166,5,FALSE)))*EXP(-(LN(2)/$D$65+0.04)*AF166)*EXP(-(LN(2)/$D$65+0.1)*AG166),"-"))),"-")</f>
        <v>-</v>
      </c>
      <c r="AJ167" s="271" t="str">
        <f>IFERROR(IF(AD167=1,AJ$100*EXP(-(LN(2)/$D$65+0.04)*AF167)*EXP(-(LN(2)/$D$65+0.1)*AG167),IF(AD167=2,AJ$100*EXP(-(LN(2)/$D$65+0.04)*(VLOOKUP(($F$16-$F$15)-1,AC$100:AG167,4,FALSE)))*EXP(-(LN(2)/$D$65+0.1)*(VLOOKUP(($F$16-$F$15)-1,AC$100:AG167,5,FALSE)))*EXP(-(LN(2)/$D$65+0.04)*AF167)*EXP(-(LN(2)/$D$65+0.1)*AG167),IF(AD167=3,AJ$100*EXP(-(LN(2)/$D$65+0.04)*(VLOOKUP(($F$16-$F$15)-1,AC$100:AG167,4,FALSE)))*EXP(-(LN(2)/$D$65+0.1)*(VLOOKUP(($F$16-$F$15)-1,AC$100:AG167,5,FALSE)))*EXP(-(LN(2)/$D$65+0.04)*(VLOOKUP(($F$16-$F$15)*2-1,AC$100:AG167,4,FALSE)))*EXP(-(LN(2)/$D$65+0.1)*(VLOOKUP(($F$16-$F$15)*2-1,AC$100:AG167,5,FALSE)))*EXP(-(LN(2)/$D$65+0.04)*AF167)*EXP(-(LN(2)/$D$65+0.1)*AG167),"-"))),"-")</f>
        <v>-</v>
      </c>
      <c r="AK167" s="227">
        <f t="shared" si="138"/>
        <v>67</v>
      </c>
      <c r="AL167" s="226" t="str">
        <f t="shared" si="112"/>
        <v>-</v>
      </c>
      <c r="AM167" s="227" t="str">
        <f t="shared" si="139"/>
        <v>-</v>
      </c>
      <c r="AN167" s="227" t="str">
        <f t="shared" si="140"/>
        <v>-</v>
      </c>
      <c r="AO167" s="227" t="str">
        <f t="shared" si="113"/>
        <v>-</v>
      </c>
      <c r="AP167" s="273">
        <f t="shared" si="141"/>
        <v>0.1</v>
      </c>
      <c r="AQ167" s="271" t="str">
        <f>IFERROR(IF(AL166=1,AQ$100*EXP(-(LN(2)/$D$65+0.04)*AN166)*EXP(-(LN(2)/$D$65+0.1)*AO166),IF(AL166=2,AQ$100*EXP(-(LN(2)/$D$65+0.04)*(VLOOKUP(($F$16-$F$15)-1,AK$99:AO166,4,FALSE)))*EXP(-(LN(2)/$D$65+0.1)*(VLOOKUP(($F$16-$F$15)-1,AK$99:AO166,5,FALSE)))*EXP(-(LN(2)/$D$65+0.04)*AN166)*EXP(-(LN(2)/$D$65+0.1)*AO166),IF(AL166=3,AQ$100*EXP(-(LN(2)/$D$65+0.04)*(VLOOKUP(($F$16-$F$15)-1,AK$99:AO166,4,FALSE)))*EXP(-(LN(2)/$D$65+0.1)*(VLOOKUP(($F$16-$F$15)-1,AK$99:AO166,5,FALSE)))*EXP(-(LN(2)/$D$65+0.04)*(VLOOKUP(($F$16-$F$15)*2-1,AK$99:AO166,4,FALSE)))*EXP(-(LN(2)/$D$65+0.1)*(VLOOKUP(($F$16-$F$15)*2-1,AK$99:AO166,5,FALSE)))*EXP(-(LN(2)/$D$65+0.04)*AN166)*EXP(-(LN(2)/$D$65+0.1)*AO166),"-"))),"-")</f>
        <v>-</v>
      </c>
      <c r="AR167" s="271" t="str">
        <f>IFERROR(IF(AL167=1,AR$100*EXP(-(LN(2)/$D$65+0.04)*AN167)*EXP(-(LN(2)/$D$65+0.1)*AO167),IF(AL167=2,AR$100*EXP(-(LN(2)/$D$65+0.04)*(VLOOKUP(($F$16-$F$15)-1,AK$100:AO167,4,FALSE)))*EXP(-(LN(2)/$D$65+0.1)*(VLOOKUP(($F$16-$F$15)-1,AK$100:AO167,5,FALSE)))*EXP(-(LN(2)/$D$65+0.04)*AN167)*EXP(-(LN(2)/$D$65+0.1)*AO167),IF(AL167=3,AR$100*EXP(-(LN(2)/$D$65+0.04)*(VLOOKUP(($F$16-$F$15)-1,AK$100:AO167,4,FALSE)))*EXP(-(LN(2)/$D$65+0.1)*(VLOOKUP(($F$16-$F$15)-1,AK$100:AO167,5,FALSE)))*EXP(-(LN(2)/$D$65+0.04)*(VLOOKUP(($F$16-$F$15)*2-1,AK$100:AO167,4,FALSE)))*EXP(-(LN(2)/$D$65+0.1)*(VLOOKUP(($F$16-$F$15)*2-1,AK$100:AO167,5,FALSE)))*EXP(-(LN(2)/$D$65+0.04)*AN167)*EXP(-(LN(2)/$D$65+0.1)*AO167),"-"))),"-")</f>
        <v>-</v>
      </c>
      <c r="AS167" s="274">
        <f t="shared" si="114"/>
        <v>0</v>
      </c>
      <c r="AT167" s="274">
        <f t="shared" si="115"/>
        <v>0</v>
      </c>
      <c r="AU167" s="274">
        <f t="shared" si="116"/>
        <v>0</v>
      </c>
      <c r="AV167" s="190">
        <f>IF($B167&lt;$F$22,SUM($T$100:$T167),"")</f>
        <v>0</v>
      </c>
      <c r="AW167" s="190" t="str">
        <f t="shared" si="117"/>
        <v>-</v>
      </c>
      <c r="AX167" s="190" t="str">
        <f t="shared" si="142"/>
        <v/>
      </c>
      <c r="AY167"/>
      <c r="AZ167" s="190" t="str">
        <f ca="1">IF(ISNUMBER(OFFSET(AV167,-$F$21,0)),SUM(OFFSET($T$100,$F$21,0):$T167),"")</f>
        <v/>
      </c>
      <c r="BA167" s="190" t="str">
        <f t="shared" ca="1" si="118"/>
        <v/>
      </c>
      <c r="BB167" s="190" t="str">
        <f t="shared" ca="1" si="70"/>
        <v/>
      </c>
      <c r="BC167" s="190"/>
      <c r="BD167" s="190" t="str">
        <f ca="1">IFERROR(IF(AND($B167&gt;=($F$16-$F$15),$B167&lt;$F$22+($F$16-$F$15)),SUM(OFFSET($T$100,($F$16-$F$15),0):$T167),""),"")</f>
        <v/>
      </c>
      <c r="BE167" s="190" t="str">
        <f t="shared" ca="1" si="143"/>
        <v/>
      </c>
      <c r="BF167" s="190" t="str">
        <f t="shared" ca="1" si="144"/>
        <v/>
      </c>
      <c r="BG167"/>
      <c r="BH167" s="190" t="str">
        <f ca="1">IF(ISNUMBER(OFFSET(BD167,-$F$21,0)),SUM(OFFSET($T$100,($F$16-$F$15+$F$21),0):$T167),"")</f>
        <v/>
      </c>
      <c r="BI167" s="190" t="str">
        <f t="shared" ca="1" si="119"/>
        <v/>
      </c>
      <c r="BJ167" s="190" t="str">
        <f t="shared" ca="1" si="145"/>
        <v/>
      </c>
      <c r="BK167" s="190"/>
      <c r="BL167" s="190" t="str">
        <f ca="1">IFERROR(IF(AND($B167&gt;=($F$17-$F$15),$B167&lt;$F$22+($F$17-$F$15)),SUM(OFFSET($T$100,($F$17-$F$15),0):$T167),""),"")</f>
        <v/>
      </c>
      <c r="BM167" s="190" t="str">
        <f t="shared" ca="1" si="120"/>
        <v/>
      </c>
      <c r="BN167" s="190" t="str">
        <f t="shared" ca="1" si="146"/>
        <v/>
      </c>
      <c r="BO167"/>
      <c r="BP167" s="190" t="str">
        <f ca="1">IF(ISNUMBER(OFFSET(BL167,-$F$21,0)),SUM(OFFSET($T$100,($F$17-$F$15+$F$21),0):$T167),"")</f>
        <v/>
      </c>
      <c r="BQ167" s="190" t="str">
        <f t="shared" ca="1" si="121"/>
        <v/>
      </c>
      <c r="BR167" s="190" t="str">
        <f t="shared" ca="1" si="147"/>
        <v/>
      </c>
      <c r="BS167" s="190"/>
      <c r="BT167"/>
      <c r="BU167"/>
      <c r="BV167"/>
      <c r="BY167" s="99"/>
      <c r="BZ167" s="99"/>
      <c r="CA167" s="280" t="str">
        <f t="shared" si="122"/>
        <v/>
      </c>
      <c r="CB167" s="71" t="str">
        <f t="shared" si="123"/>
        <v>-</v>
      </c>
      <c r="CC167" s="33"/>
      <c r="CD167" s="261" t="str">
        <f t="shared" si="124"/>
        <v/>
      </c>
      <c r="CE167" s="280" t="str">
        <f t="shared" si="125"/>
        <v>-</v>
      </c>
      <c r="CF167" s="71" t="str">
        <f t="shared" ca="1" si="126"/>
        <v>-</v>
      </c>
      <c r="CG167" s="33" t="str">
        <f t="shared" si="127"/>
        <v>67-68</v>
      </c>
      <c r="CH167" s="261" t="str">
        <f t="shared" ca="1" si="128"/>
        <v/>
      </c>
      <c r="CI167" s="99"/>
      <c r="CJ167" s="99"/>
      <c r="CK167" s="99"/>
      <c r="CL167" s="99"/>
      <c r="CM167" s="99"/>
      <c r="CN167" s="99"/>
      <c r="CO167" s="99"/>
    </row>
    <row r="168" spans="2:93" ht="13.5" customHeight="1" x14ac:dyDescent="0.2">
      <c r="B168" s="262">
        <v>68</v>
      </c>
      <c r="C168" s="237" t="str">
        <f t="shared" si="92"/>
        <v/>
      </c>
      <c r="D168" s="237" t="str">
        <f t="shared" si="148"/>
        <v>-</v>
      </c>
      <c r="E168" s="290" t="str">
        <f t="shared" si="129"/>
        <v/>
      </c>
      <c r="F168" s="264" t="str">
        <f t="shared" si="130"/>
        <v/>
      </c>
      <c r="G168" s="291" t="str">
        <f t="shared" si="131"/>
        <v/>
      </c>
      <c r="H168" s="240" t="str">
        <f t="shared" si="93"/>
        <v/>
      </c>
      <c r="I168" s="265" t="str">
        <f t="shared" si="94"/>
        <v/>
      </c>
      <c r="J168" s="265" t="str">
        <f t="shared" si="95"/>
        <v/>
      </c>
      <c r="K168" s="240" t="str">
        <f t="shared" si="96"/>
        <v/>
      </c>
      <c r="L168" s="265" t="str">
        <f t="shared" si="97"/>
        <v/>
      </c>
      <c r="M168" s="265" t="str">
        <f t="shared" si="98"/>
        <v/>
      </c>
      <c r="N168" s="240" t="str">
        <f t="shared" si="99"/>
        <v>-</v>
      </c>
      <c r="O168" s="265" t="str">
        <f t="shared" si="100"/>
        <v>-</v>
      </c>
      <c r="P168" s="265" t="str">
        <f t="shared" si="101"/>
        <v>-</v>
      </c>
      <c r="Q168" s="266" t="str">
        <f t="shared" si="102"/>
        <v>-</v>
      </c>
      <c r="R168" s="267" t="str">
        <f t="shared" si="103"/>
        <v>-</v>
      </c>
      <c r="S168" s="268" t="str">
        <f t="shared" si="104"/>
        <v>-</v>
      </c>
      <c r="T168" s="269" t="str">
        <f t="shared" si="105"/>
        <v/>
      </c>
      <c r="U168" s="221">
        <f t="shared" si="106"/>
        <v>68</v>
      </c>
      <c r="V168" s="220" t="str">
        <f t="shared" si="132"/>
        <v>-</v>
      </c>
      <c r="W168" s="221" t="str">
        <f t="shared" si="133"/>
        <v>-</v>
      </c>
      <c r="X168" s="221" t="str">
        <f t="shared" si="107"/>
        <v>-</v>
      </c>
      <c r="Y168" s="221" t="str">
        <f t="shared" si="108"/>
        <v>-</v>
      </c>
      <c r="Z168" s="270">
        <f t="shared" si="134"/>
        <v>0.1</v>
      </c>
      <c r="AA168" s="271" t="str">
        <f>IFERROR(IF(V167=1,AA$100*EXP(-(LN(2)/$D$65+0.04)*X167)*EXP(-(LN(2)/$D$65+0.1)*Y167),IF(V167=2,AA$100*EXP(-(LN(2)/$D$65+0.04)*(VLOOKUP(($F$16-$F$15)-1,U$99:Y167,4,FALSE)))*EXP(-(LN(2)/$D$65+0.1)*(VLOOKUP(($F$16-$F$15)-1,U$99:Y167,5,FALSE)))*EXP(-(LN(2)/$D$65+0.04)*X167)*EXP(-(LN(2)/$D$65+0.1)*Y167),IF(V167=3,AA$100*EXP(-(LN(2)/$D$65+0.04)*(VLOOKUP(($F$16-$F$15)-1,U$99:Y167,4,FALSE)))*EXP(-(LN(2)/$D$65+0.1)*(VLOOKUP(($F$16-$F$15)-1,U$99:Y167,5,FALSE)))*EXP(-(LN(2)/$D$65+0.04)*(VLOOKUP(($F$16-$F$15)*2-1,U$99:Y167,4,FALSE)))*EXP(-(LN(2)/$D$65+0.1)*(VLOOKUP(($F$16-$F$15)*2-1,U$99:Y167,5,FALSE)))*EXP(-(LN(2)/$D$65+0.04)*X167)*EXP(-(LN(2)/$D$65+0.1)*Y167),"-"))),"-")</f>
        <v>-</v>
      </c>
      <c r="AB168" s="271" t="str">
        <f>IFERROR(IF(V168=1,AB$100*EXP(-(LN(2)/$D$65+0.04)*X168)*EXP(-(LN(2)/$D$65+0.1)*Y168),IF(V168=2,AB$100*EXP(-(LN(2)/$D$65+0.04)*(VLOOKUP(($F$16-$F$15)-1,U$100:Y168,4,FALSE)))*EXP(-(LN(2)/$D$65+0.1)*(VLOOKUP(($F$16-$F$15)-1,U$100:Y168,5,FALSE)))*EXP(-(LN(2)/$D$65+0.04)*X168)*EXP(-(LN(2)/$D$65+0.1)*Y168),IF(V168=3,AB$100*EXP(-(LN(2)/$D$65+0.04)*(VLOOKUP(($F$16-$F$15)-1,U$100:Y168,4,FALSE)))*EXP(-(LN(2)/$D$65+0.1)*(VLOOKUP(($F$16-$F$15)-1,U$100:Y168,5,FALSE)))*EXP(-(LN(2)/$D$65+0.04)*(VLOOKUP(($F$16-$F$15)*2-1,U$100:Y168,4,FALSE)))*EXP(-(LN(2)/$D$65+0.1)*(VLOOKUP(($F$16-$F$15)*2-1,U$100:Y168,5,FALSE)))*EXP(-(LN(2)/$D$65+0.04)*X168)*EXP(-(LN(2)/$D$65+0.1)*Y168),"-"))),"-")</f>
        <v>-</v>
      </c>
      <c r="AC168" s="224">
        <f t="shared" si="135"/>
        <v>68</v>
      </c>
      <c r="AD168" s="223" t="str">
        <f t="shared" si="109"/>
        <v>-</v>
      </c>
      <c r="AE168" s="224" t="str">
        <f t="shared" si="136"/>
        <v>-</v>
      </c>
      <c r="AF168" s="224" t="str">
        <f t="shared" si="110"/>
        <v>-</v>
      </c>
      <c r="AG168" s="224" t="str">
        <f t="shared" si="111"/>
        <v>-</v>
      </c>
      <c r="AH168" s="272">
        <f t="shared" si="137"/>
        <v>0.1</v>
      </c>
      <c r="AI168" s="271" t="str">
        <f>IFERROR(IF(AD167=1,AI$100*EXP(-(LN(2)/$D$65+0.04)*AF167)*EXP(-(LN(2)/$D$65+0.1)*AG167),IF(AD167=2,AI$100*EXP(-(LN(2)/$D$65+0.04)*(VLOOKUP(($F$16-$F$15)-1,AC$99:AG167,4,FALSE)))*EXP(-(LN(2)/$D$65+0.1)*(VLOOKUP(($F$16-$F$15)-1,AC$99:AG167,5,FALSE)))*EXP(-(LN(2)/$D$65+0.04)*AF167)*EXP(-(LN(2)/$D$65+0.1)*AG167),IF(AD167=3,AI$100*EXP(-(LN(2)/$D$65+0.04)*(VLOOKUP(($F$16-$F$15)-1,AC$99:AG167,4,FALSE)))*EXP(-(LN(2)/$D$65+0.1)*(VLOOKUP(($F$16-$F$15)-1,AC$99:AG167,5,FALSE)))*EXP(-(LN(2)/$D$65+0.04)*(VLOOKUP(($F$16-$F$15)*2-1,AC$99:AG167,4,FALSE)))*EXP(-(LN(2)/$D$65+0.1)*(VLOOKUP(($F$16-$F$15)*2-1,AC$99:AG167,5,FALSE)))*EXP(-(LN(2)/$D$65+0.04)*AF167)*EXP(-(LN(2)/$D$65+0.1)*AG167),"-"))),"-")</f>
        <v>-</v>
      </c>
      <c r="AJ168" s="271" t="str">
        <f>IFERROR(IF(AD168=1,AJ$100*EXP(-(LN(2)/$D$65+0.04)*AF168)*EXP(-(LN(2)/$D$65+0.1)*AG168),IF(AD168=2,AJ$100*EXP(-(LN(2)/$D$65+0.04)*(VLOOKUP(($F$16-$F$15)-1,AC$100:AG168,4,FALSE)))*EXP(-(LN(2)/$D$65+0.1)*(VLOOKUP(($F$16-$F$15)-1,AC$100:AG168,5,FALSE)))*EXP(-(LN(2)/$D$65+0.04)*AF168)*EXP(-(LN(2)/$D$65+0.1)*AG168),IF(AD168=3,AJ$100*EXP(-(LN(2)/$D$65+0.04)*(VLOOKUP(($F$16-$F$15)-1,AC$100:AG168,4,FALSE)))*EXP(-(LN(2)/$D$65+0.1)*(VLOOKUP(($F$16-$F$15)-1,AC$100:AG168,5,FALSE)))*EXP(-(LN(2)/$D$65+0.04)*(VLOOKUP(($F$16-$F$15)*2-1,AC$100:AG168,4,FALSE)))*EXP(-(LN(2)/$D$65+0.1)*(VLOOKUP(($F$16-$F$15)*2-1,AC$100:AG168,5,FALSE)))*EXP(-(LN(2)/$D$65+0.04)*AF168)*EXP(-(LN(2)/$D$65+0.1)*AG168),"-"))),"-")</f>
        <v>-</v>
      </c>
      <c r="AK168" s="227">
        <f t="shared" si="138"/>
        <v>68</v>
      </c>
      <c r="AL168" s="226" t="str">
        <f t="shared" si="112"/>
        <v>-</v>
      </c>
      <c r="AM168" s="227" t="str">
        <f t="shared" si="139"/>
        <v>-</v>
      </c>
      <c r="AN168" s="227" t="str">
        <f t="shared" si="140"/>
        <v>-</v>
      </c>
      <c r="AO168" s="227" t="str">
        <f t="shared" si="113"/>
        <v>-</v>
      </c>
      <c r="AP168" s="273">
        <f t="shared" si="141"/>
        <v>0.1</v>
      </c>
      <c r="AQ168" s="271" t="str">
        <f>IFERROR(IF(AL167=1,AQ$100*EXP(-(LN(2)/$D$65+0.04)*AN167)*EXP(-(LN(2)/$D$65+0.1)*AO167),IF(AL167=2,AQ$100*EXP(-(LN(2)/$D$65+0.04)*(VLOOKUP(($F$16-$F$15)-1,AK$99:AO167,4,FALSE)))*EXP(-(LN(2)/$D$65+0.1)*(VLOOKUP(($F$16-$F$15)-1,AK$99:AO167,5,FALSE)))*EXP(-(LN(2)/$D$65+0.04)*AN167)*EXP(-(LN(2)/$D$65+0.1)*AO167),IF(AL167=3,AQ$100*EXP(-(LN(2)/$D$65+0.04)*(VLOOKUP(($F$16-$F$15)-1,AK$99:AO167,4,FALSE)))*EXP(-(LN(2)/$D$65+0.1)*(VLOOKUP(($F$16-$F$15)-1,AK$99:AO167,5,FALSE)))*EXP(-(LN(2)/$D$65+0.04)*(VLOOKUP(($F$16-$F$15)*2-1,AK$99:AO167,4,FALSE)))*EXP(-(LN(2)/$D$65+0.1)*(VLOOKUP(($F$16-$F$15)*2-1,AK$99:AO167,5,FALSE)))*EXP(-(LN(2)/$D$65+0.04)*AN167)*EXP(-(LN(2)/$D$65+0.1)*AO167),"-"))),"-")</f>
        <v>-</v>
      </c>
      <c r="AR168" s="271" t="str">
        <f>IFERROR(IF(AL168=1,AR$100*EXP(-(LN(2)/$D$65+0.04)*AN168)*EXP(-(LN(2)/$D$65+0.1)*AO168),IF(AL168=2,AR$100*EXP(-(LN(2)/$D$65+0.04)*(VLOOKUP(($F$16-$F$15)-1,AK$100:AO168,4,FALSE)))*EXP(-(LN(2)/$D$65+0.1)*(VLOOKUP(($F$16-$F$15)-1,AK$100:AO168,5,FALSE)))*EXP(-(LN(2)/$D$65+0.04)*AN168)*EXP(-(LN(2)/$D$65+0.1)*AO168),IF(AL168=3,AR$100*EXP(-(LN(2)/$D$65+0.04)*(VLOOKUP(($F$16-$F$15)-1,AK$100:AO168,4,FALSE)))*EXP(-(LN(2)/$D$65+0.1)*(VLOOKUP(($F$16-$F$15)-1,AK$100:AO168,5,FALSE)))*EXP(-(LN(2)/$D$65+0.04)*(VLOOKUP(($F$16-$F$15)*2-1,AK$100:AO168,4,FALSE)))*EXP(-(LN(2)/$D$65+0.1)*(VLOOKUP(($F$16-$F$15)*2-1,AK$100:AO168,5,FALSE)))*EXP(-(LN(2)/$D$65+0.04)*AN168)*EXP(-(LN(2)/$D$65+0.1)*AO168),"-"))),"-")</f>
        <v>-</v>
      </c>
      <c r="AS168" s="274">
        <f t="shared" si="114"/>
        <v>0</v>
      </c>
      <c r="AT168" s="274">
        <f t="shared" si="115"/>
        <v>0</v>
      </c>
      <c r="AU168" s="274">
        <f t="shared" si="116"/>
        <v>0</v>
      </c>
      <c r="AV168" s="190">
        <f>IF($B168&lt;$F$22,SUM($T$100:$T168),"")</f>
        <v>0</v>
      </c>
      <c r="AW168" s="190" t="str">
        <f t="shared" si="117"/>
        <v>-</v>
      </c>
      <c r="AX168" s="190" t="str">
        <f t="shared" si="142"/>
        <v/>
      </c>
      <c r="AY168"/>
      <c r="AZ168" s="190" t="str">
        <f ca="1">IF(ISNUMBER(OFFSET(AV168,-$F$21,0)),SUM(OFFSET($T$100,$F$21,0):$T168),"")</f>
        <v/>
      </c>
      <c r="BA168" s="190" t="str">
        <f t="shared" ca="1" si="118"/>
        <v/>
      </c>
      <c r="BB168" s="190" t="str">
        <f t="shared" ca="1" si="70"/>
        <v/>
      </c>
      <c r="BC168" s="190"/>
      <c r="BD168" s="190" t="str">
        <f ca="1">IFERROR(IF(AND($B168&gt;=($F$16-$F$15),$B168&lt;$F$22+($F$16-$F$15)),SUM(OFFSET($T$100,($F$16-$F$15),0):$T168),""),"")</f>
        <v/>
      </c>
      <c r="BE168" s="190" t="str">
        <f t="shared" ca="1" si="143"/>
        <v/>
      </c>
      <c r="BF168" s="190" t="str">
        <f t="shared" ca="1" si="144"/>
        <v/>
      </c>
      <c r="BG168"/>
      <c r="BH168" s="190" t="str">
        <f ca="1">IF(ISNUMBER(OFFSET(BD168,-$F$21,0)),SUM(OFFSET($T$100,($F$16-$F$15+$F$21),0):$T168),"")</f>
        <v/>
      </c>
      <c r="BI168" s="190" t="str">
        <f t="shared" ca="1" si="119"/>
        <v/>
      </c>
      <c r="BJ168" s="190" t="str">
        <f t="shared" ca="1" si="145"/>
        <v/>
      </c>
      <c r="BK168" s="190"/>
      <c r="BL168" s="190" t="str">
        <f ca="1">IFERROR(IF(AND($B168&gt;=($F$17-$F$15),$B168&lt;$F$22+($F$17-$F$15)),SUM(OFFSET($T$100,($F$17-$F$15),0):$T168),""),"")</f>
        <v/>
      </c>
      <c r="BM168" s="190" t="str">
        <f t="shared" ca="1" si="120"/>
        <v/>
      </c>
      <c r="BN168" s="190" t="str">
        <f t="shared" ca="1" si="146"/>
        <v/>
      </c>
      <c r="BO168"/>
      <c r="BP168" s="190" t="str">
        <f ca="1">IF(ISNUMBER(OFFSET(BL168,-$F$21,0)),SUM(OFFSET($T$100,($F$17-$F$15+$F$21),0):$T168),"")</f>
        <v/>
      </c>
      <c r="BQ168" s="190" t="str">
        <f t="shared" ca="1" si="121"/>
        <v/>
      </c>
      <c r="BR168" s="190" t="str">
        <f t="shared" ca="1" si="147"/>
        <v/>
      </c>
      <c r="BS168" s="190"/>
      <c r="BT168"/>
      <c r="BU168"/>
      <c r="BV168"/>
      <c r="BY168" s="99"/>
      <c r="BZ168" s="99"/>
      <c r="CA168" s="280" t="str">
        <f t="shared" si="122"/>
        <v/>
      </c>
      <c r="CB168" s="71" t="str">
        <f t="shared" si="123"/>
        <v>-</v>
      </c>
      <c r="CC168" s="33"/>
      <c r="CD168" s="261" t="str">
        <f t="shared" si="124"/>
        <v/>
      </c>
      <c r="CE168" s="280" t="str">
        <f t="shared" si="125"/>
        <v>-</v>
      </c>
      <c r="CF168" s="71" t="str">
        <f t="shared" ca="1" si="126"/>
        <v>-</v>
      </c>
      <c r="CG168" s="33" t="str">
        <f t="shared" si="127"/>
        <v>68-69</v>
      </c>
      <c r="CH168" s="261" t="str">
        <f t="shared" ca="1" si="128"/>
        <v/>
      </c>
      <c r="CI168" s="99"/>
      <c r="CJ168" s="99"/>
      <c r="CK168" s="99"/>
      <c r="CL168" s="99"/>
      <c r="CM168" s="99"/>
      <c r="CN168" s="99"/>
      <c r="CO168" s="99"/>
    </row>
    <row r="169" spans="2:93" ht="13.5" customHeight="1" x14ac:dyDescent="0.2">
      <c r="B169" s="262">
        <v>69</v>
      </c>
      <c r="C169" s="237" t="str">
        <f t="shared" si="92"/>
        <v/>
      </c>
      <c r="D169" s="237" t="str">
        <f t="shared" si="148"/>
        <v>-</v>
      </c>
      <c r="E169" s="290" t="str">
        <f t="shared" si="129"/>
        <v/>
      </c>
      <c r="F169" s="264" t="str">
        <f t="shared" si="130"/>
        <v/>
      </c>
      <c r="G169" s="291" t="str">
        <f t="shared" si="131"/>
        <v/>
      </c>
      <c r="H169" s="240" t="str">
        <f t="shared" si="93"/>
        <v/>
      </c>
      <c r="I169" s="265" t="str">
        <f t="shared" si="94"/>
        <v/>
      </c>
      <c r="J169" s="265" t="str">
        <f t="shared" si="95"/>
        <v/>
      </c>
      <c r="K169" s="240" t="str">
        <f t="shared" si="96"/>
        <v/>
      </c>
      <c r="L169" s="265" t="str">
        <f t="shared" si="97"/>
        <v/>
      </c>
      <c r="M169" s="265" t="str">
        <f t="shared" si="98"/>
        <v/>
      </c>
      <c r="N169" s="240" t="str">
        <f t="shared" si="99"/>
        <v>-</v>
      </c>
      <c r="O169" s="265" t="str">
        <f t="shared" si="100"/>
        <v>-</v>
      </c>
      <c r="P169" s="265" t="str">
        <f t="shared" si="101"/>
        <v>-</v>
      </c>
      <c r="Q169" s="266" t="str">
        <f t="shared" si="102"/>
        <v>-</v>
      </c>
      <c r="R169" s="267" t="str">
        <f t="shared" si="103"/>
        <v>-</v>
      </c>
      <c r="S169" s="268" t="str">
        <f t="shared" si="104"/>
        <v>-</v>
      </c>
      <c r="T169" s="269" t="str">
        <f t="shared" si="105"/>
        <v/>
      </c>
      <c r="U169" s="221">
        <f t="shared" si="106"/>
        <v>69</v>
      </c>
      <c r="V169" s="220" t="str">
        <f t="shared" si="132"/>
        <v>-</v>
      </c>
      <c r="W169" s="221" t="str">
        <f t="shared" si="133"/>
        <v>-</v>
      </c>
      <c r="X169" s="221" t="str">
        <f t="shared" si="107"/>
        <v>-</v>
      </c>
      <c r="Y169" s="221" t="str">
        <f t="shared" si="108"/>
        <v>-</v>
      </c>
      <c r="Z169" s="270">
        <f t="shared" si="134"/>
        <v>0.1</v>
      </c>
      <c r="AA169" s="271" t="str">
        <f>IFERROR(IF(V168=1,AA$100*EXP(-(LN(2)/$D$65+0.04)*X168)*EXP(-(LN(2)/$D$65+0.1)*Y168),IF(V168=2,AA$100*EXP(-(LN(2)/$D$65+0.04)*(VLOOKUP(($F$16-$F$15)-1,U$99:Y168,4,FALSE)))*EXP(-(LN(2)/$D$65+0.1)*(VLOOKUP(($F$16-$F$15)-1,U$99:Y168,5,FALSE)))*EXP(-(LN(2)/$D$65+0.04)*X168)*EXP(-(LN(2)/$D$65+0.1)*Y168),IF(V168=3,AA$100*EXP(-(LN(2)/$D$65+0.04)*(VLOOKUP(($F$16-$F$15)-1,U$99:Y168,4,FALSE)))*EXP(-(LN(2)/$D$65+0.1)*(VLOOKUP(($F$16-$F$15)-1,U$99:Y168,5,FALSE)))*EXP(-(LN(2)/$D$65+0.04)*(VLOOKUP(($F$16-$F$15)*2-1,U$99:Y168,4,FALSE)))*EXP(-(LN(2)/$D$65+0.1)*(VLOOKUP(($F$16-$F$15)*2-1,U$99:Y168,5,FALSE)))*EXP(-(LN(2)/$D$65+0.04)*X168)*EXP(-(LN(2)/$D$65+0.1)*Y168),"-"))),"-")</f>
        <v>-</v>
      </c>
      <c r="AB169" s="271" t="str">
        <f>IFERROR(IF(V169=1,AB$100*EXP(-(LN(2)/$D$65+0.04)*X169)*EXP(-(LN(2)/$D$65+0.1)*Y169),IF(V169=2,AB$100*EXP(-(LN(2)/$D$65+0.04)*(VLOOKUP(($F$16-$F$15)-1,U$100:Y169,4,FALSE)))*EXP(-(LN(2)/$D$65+0.1)*(VLOOKUP(($F$16-$F$15)-1,U$100:Y169,5,FALSE)))*EXP(-(LN(2)/$D$65+0.04)*X169)*EXP(-(LN(2)/$D$65+0.1)*Y169),IF(V169=3,AB$100*EXP(-(LN(2)/$D$65+0.04)*(VLOOKUP(($F$16-$F$15)-1,U$100:Y169,4,FALSE)))*EXP(-(LN(2)/$D$65+0.1)*(VLOOKUP(($F$16-$F$15)-1,U$100:Y169,5,FALSE)))*EXP(-(LN(2)/$D$65+0.04)*(VLOOKUP(($F$16-$F$15)*2-1,U$100:Y169,4,FALSE)))*EXP(-(LN(2)/$D$65+0.1)*(VLOOKUP(($F$16-$F$15)*2-1,U$100:Y169,5,FALSE)))*EXP(-(LN(2)/$D$65+0.04)*X169)*EXP(-(LN(2)/$D$65+0.1)*Y169),"-"))),"-")</f>
        <v>-</v>
      </c>
      <c r="AC169" s="224">
        <f t="shared" si="135"/>
        <v>69</v>
      </c>
      <c r="AD169" s="223" t="str">
        <f t="shared" si="109"/>
        <v>-</v>
      </c>
      <c r="AE169" s="224" t="str">
        <f t="shared" si="136"/>
        <v>-</v>
      </c>
      <c r="AF169" s="224" t="str">
        <f t="shared" si="110"/>
        <v>-</v>
      </c>
      <c r="AG169" s="224" t="str">
        <f t="shared" si="111"/>
        <v>-</v>
      </c>
      <c r="AH169" s="272">
        <f t="shared" si="137"/>
        <v>0.1</v>
      </c>
      <c r="AI169" s="271" t="str">
        <f>IFERROR(IF(AD168=1,AI$100*EXP(-(LN(2)/$D$65+0.04)*AF168)*EXP(-(LN(2)/$D$65+0.1)*AG168),IF(AD168=2,AI$100*EXP(-(LN(2)/$D$65+0.04)*(VLOOKUP(($F$16-$F$15)-1,AC$99:AG168,4,FALSE)))*EXP(-(LN(2)/$D$65+0.1)*(VLOOKUP(($F$16-$F$15)-1,AC$99:AG168,5,FALSE)))*EXP(-(LN(2)/$D$65+0.04)*AF168)*EXP(-(LN(2)/$D$65+0.1)*AG168),IF(AD168=3,AI$100*EXP(-(LN(2)/$D$65+0.04)*(VLOOKUP(($F$16-$F$15)-1,AC$99:AG168,4,FALSE)))*EXP(-(LN(2)/$D$65+0.1)*(VLOOKUP(($F$16-$F$15)-1,AC$99:AG168,5,FALSE)))*EXP(-(LN(2)/$D$65+0.04)*(VLOOKUP(($F$16-$F$15)*2-1,AC$99:AG168,4,FALSE)))*EXP(-(LN(2)/$D$65+0.1)*(VLOOKUP(($F$16-$F$15)*2-1,AC$99:AG168,5,FALSE)))*EXP(-(LN(2)/$D$65+0.04)*AF168)*EXP(-(LN(2)/$D$65+0.1)*AG168),"-"))),"-")</f>
        <v>-</v>
      </c>
      <c r="AJ169" s="271" t="str">
        <f>IFERROR(IF(AD169=1,AJ$100*EXP(-(LN(2)/$D$65+0.04)*AF169)*EXP(-(LN(2)/$D$65+0.1)*AG169),IF(AD169=2,AJ$100*EXP(-(LN(2)/$D$65+0.04)*(VLOOKUP(($F$16-$F$15)-1,AC$100:AG169,4,FALSE)))*EXP(-(LN(2)/$D$65+0.1)*(VLOOKUP(($F$16-$F$15)-1,AC$100:AG169,5,FALSE)))*EXP(-(LN(2)/$D$65+0.04)*AF169)*EXP(-(LN(2)/$D$65+0.1)*AG169),IF(AD169=3,AJ$100*EXP(-(LN(2)/$D$65+0.04)*(VLOOKUP(($F$16-$F$15)-1,AC$100:AG169,4,FALSE)))*EXP(-(LN(2)/$D$65+0.1)*(VLOOKUP(($F$16-$F$15)-1,AC$100:AG169,5,FALSE)))*EXP(-(LN(2)/$D$65+0.04)*(VLOOKUP(($F$16-$F$15)*2-1,AC$100:AG169,4,FALSE)))*EXP(-(LN(2)/$D$65+0.1)*(VLOOKUP(($F$16-$F$15)*2-1,AC$100:AG169,5,FALSE)))*EXP(-(LN(2)/$D$65+0.04)*AF169)*EXP(-(LN(2)/$D$65+0.1)*AG169),"-"))),"-")</f>
        <v>-</v>
      </c>
      <c r="AK169" s="227">
        <f t="shared" si="138"/>
        <v>69</v>
      </c>
      <c r="AL169" s="226" t="str">
        <f t="shared" si="112"/>
        <v>-</v>
      </c>
      <c r="AM169" s="227" t="str">
        <f t="shared" si="139"/>
        <v>-</v>
      </c>
      <c r="AN169" s="227" t="str">
        <f t="shared" si="140"/>
        <v>-</v>
      </c>
      <c r="AO169" s="227" t="str">
        <f t="shared" si="113"/>
        <v>-</v>
      </c>
      <c r="AP169" s="273">
        <f t="shared" si="141"/>
        <v>0.1</v>
      </c>
      <c r="AQ169" s="271" t="str">
        <f>IFERROR(IF(AL168=1,AQ$100*EXP(-(LN(2)/$D$65+0.04)*AN168)*EXP(-(LN(2)/$D$65+0.1)*AO168),IF(AL168=2,AQ$100*EXP(-(LN(2)/$D$65+0.04)*(VLOOKUP(($F$16-$F$15)-1,AK$99:AO168,4,FALSE)))*EXP(-(LN(2)/$D$65+0.1)*(VLOOKUP(($F$16-$F$15)-1,AK$99:AO168,5,FALSE)))*EXP(-(LN(2)/$D$65+0.04)*AN168)*EXP(-(LN(2)/$D$65+0.1)*AO168),IF(AL168=3,AQ$100*EXP(-(LN(2)/$D$65+0.04)*(VLOOKUP(($F$16-$F$15)-1,AK$99:AO168,4,FALSE)))*EXP(-(LN(2)/$D$65+0.1)*(VLOOKUP(($F$16-$F$15)-1,AK$99:AO168,5,FALSE)))*EXP(-(LN(2)/$D$65+0.04)*(VLOOKUP(($F$16-$F$15)*2-1,AK$99:AO168,4,FALSE)))*EXP(-(LN(2)/$D$65+0.1)*(VLOOKUP(($F$16-$F$15)*2-1,AK$99:AO168,5,FALSE)))*EXP(-(LN(2)/$D$65+0.04)*AN168)*EXP(-(LN(2)/$D$65+0.1)*AO168),"-"))),"-")</f>
        <v>-</v>
      </c>
      <c r="AR169" s="271" t="str">
        <f>IFERROR(IF(AL169=1,AR$100*EXP(-(LN(2)/$D$65+0.04)*AN169)*EXP(-(LN(2)/$D$65+0.1)*AO169),IF(AL169=2,AR$100*EXP(-(LN(2)/$D$65+0.04)*(VLOOKUP(($F$16-$F$15)-1,AK$100:AO169,4,FALSE)))*EXP(-(LN(2)/$D$65+0.1)*(VLOOKUP(($F$16-$F$15)-1,AK$100:AO169,5,FALSE)))*EXP(-(LN(2)/$D$65+0.04)*AN169)*EXP(-(LN(2)/$D$65+0.1)*AO169),IF(AL169=3,AR$100*EXP(-(LN(2)/$D$65+0.04)*(VLOOKUP(($F$16-$F$15)-1,AK$100:AO169,4,FALSE)))*EXP(-(LN(2)/$D$65+0.1)*(VLOOKUP(($F$16-$F$15)-1,AK$100:AO169,5,FALSE)))*EXP(-(LN(2)/$D$65+0.04)*(VLOOKUP(($F$16-$F$15)*2-1,AK$100:AO169,4,FALSE)))*EXP(-(LN(2)/$D$65+0.1)*(VLOOKUP(($F$16-$F$15)*2-1,AK$100:AO169,5,FALSE)))*EXP(-(LN(2)/$D$65+0.04)*AN169)*EXP(-(LN(2)/$D$65+0.1)*AO169),"-"))),"-")</f>
        <v>-</v>
      </c>
      <c r="AS169" s="274">
        <f t="shared" si="114"/>
        <v>0</v>
      </c>
      <c r="AT169" s="274">
        <f t="shared" si="115"/>
        <v>0</v>
      </c>
      <c r="AU169" s="274">
        <f t="shared" si="116"/>
        <v>0</v>
      </c>
      <c r="AV169" s="190">
        <f>IF($B169&lt;$F$22,SUM($T$100:$T169),"")</f>
        <v>0</v>
      </c>
      <c r="AW169" s="190" t="str">
        <f t="shared" si="117"/>
        <v>-</v>
      </c>
      <c r="AX169" s="190" t="str">
        <f t="shared" si="142"/>
        <v/>
      </c>
      <c r="AY169"/>
      <c r="AZ169" s="190" t="str">
        <f ca="1">IF(ISNUMBER(OFFSET(AV169,-$F$21,0)),SUM(OFFSET($T$100,$F$21,0):$T169),"")</f>
        <v/>
      </c>
      <c r="BA169" s="190" t="str">
        <f t="shared" ca="1" si="118"/>
        <v/>
      </c>
      <c r="BB169" s="190" t="str">
        <f t="shared" ca="1" si="70"/>
        <v/>
      </c>
      <c r="BC169" s="190"/>
      <c r="BD169" s="190" t="str">
        <f ca="1">IFERROR(IF(AND($B169&gt;=($F$16-$F$15),$B169&lt;$F$22+($F$16-$F$15)),SUM(OFFSET($T$100,($F$16-$F$15),0):$T169),""),"")</f>
        <v/>
      </c>
      <c r="BE169" s="190" t="str">
        <f t="shared" ca="1" si="143"/>
        <v/>
      </c>
      <c r="BF169" s="190" t="str">
        <f t="shared" ca="1" si="144"/>
        <v/>
      </c>
      <c r="BG169"/>
      <c r="BH169" s="190" t="str">
        <f ca="1">IF(ISNUMBER(OFFSET(BD169,-$F$21,0)),SUM(OFFSET($T$100,($F$16-$F$15+$F$21),0):$T169),"")</f>
        <v/>
      </c>
      <c r="BI169" s="190" t="str">
        <f t="shared" ca="1" si="119"/>
        <v/>
      </c>
      <c r="BJ169" s="190" t="str">
        <f t="shared" ca="1" si="145"/>
        <v/>
      </c>
      <c r="BK169" s="190"/>
      <c r="BL169" s="190" t="str">
        <f ca="1">IFERROR(IF(AND($B169&gt;=($F$17-$F$15),$B169&lt;$F$22+($F$17-$F$15)),SUM(OFFSET($T$100,($F$17-$F$15),0):$T169),""),"")</f>
        <v/>
      </c>
      <c r="BM169" s="190" t="str">
        <f t="shared" ca="1" si="120"/>
        <v/>
      </c>
      <c r="BN169" s="190" t="str">
        <f t="shared" ca="1" si="146"/>
        <v/>
      </c>
      <c r="BO169"/>
      <c r="BP169" s="190" t="str">
        <f ca="1">IF(ISNUMBER(OFFSET(BL169,-$F$21,0)),SUM(OFFSET($T$100,($F$17-$F$15+$F$21),0):$T169),"")</f>
        <v/>
      </c>
      <c r="BQ169" s="190" t="str">
        <f t="shared" ca="1" si="121"/>
        <v/>
      </c>
      <c r="BR169" s="190" t="str">
        <f t="shared" ca="1" si="147"/>
        <v/>
      </c>
      <c r="BS169" s="190"/>
      <c r="BT169"/>
      <c r="BU169"/>
      <c r="BV169"/>
      <c r="BY169" s="99"/>
      <c r="BZ169" s="99"/>
      <c r="CA169" s="280" t="str">
        <f t="shared" si="122"/>
        <v/>
      </c>
      <c r="CB169" s="71" t="str">
        <f t="shared" si="123"/>
        <v>-</v>
      </c>
      <c r="CC169" s="33"/>
      <c r="CD169" s="261" t="str">
        <f t="shared" si="124"/>
        <v/>
      </c>
      <c r="CE169" s="280" t="str">
        <f t="shared" si="125"/>
        <v>-</v>
      </c>
      <c r="CF169" s="71" t="str">
        <f t="shared" ca="1" si="126"/>
        <v>-</v>
      </c>
      <c r="CG169" s="33" t="str">
        <f t="shared" si="127"/>
        <v>69-70</v>
      </c>
      <c r="CH169" s="261" t="str">
        <f t="shared" ca="1" si="128"/>
        <v/>
      </c>
      <c r="CI169" s="99"/>
      <c r="CJ169" s="99"/>
      <c r="CK169" s="99"/>
      <c r="CL169" s="99"/>
      <c r="CM169" s="99"/>
      <c r="CN169" s="99"/>
      <c r="CO169" s="99"/>
    </row>
    <row r="170" spans="2:93" ht="13.5" customHeight="1" x14ac:dyDescent="0.2">
      <c r="B170" s="262">
        <v>70</v>
      </c>
      <c r="C170" s="237" t="str">
        <f t="shared" si="92"/>
        <v/>
      </c>
      <c r="D170" s="237" t="str">
        <f t="shared" si="148"/>
        <v>-</v>
      </c>
      <c r="E170" s="290" t="str">
        <f t="shared" si="129"/>
        <v/>
      </c>
      <c r="F170" s="264" t="str">
        <f t="shared" si="130"/>
        <v/>
      </c>
      <c r="G170" s="291" t="str">
        <f t="shared" si="131"/>
        <v/>
      </c>
      <c r="H170" s="240" t="str">
        <f t="shared" si="93"/>
        <v/>
      </c>
      <c r="I170" s="265" t="str">
        <f t="shared" si="94"/>
        <v/>
      </c>
      <c r="J170" s="265" t="str">
        <f t="shared" si="95"/>
        <v/>
      </c>
      <c r="K170" s="240" t="str">
        <f t="shared" si="96"/>
        <v/>
      </c>
      <c r="L170" s="265" t="str">
        <f t="shared" si="97"/>
        <v/>
      </c>
      <c r="M170" s="265" t="str">
        <f t="shared" si="98"/>
        <v/>
      </c>
      <c r="N170" s="240" t="str">
        <f t="shared" si="99"/>
        <v>-</v>
      </c>
      <c r="O170" s="265" t="str">
        <f t="shared" si="100"/>
        <v>-</v>
      </c>
      <c r="P170" s="265" t="str">
        <f t="shared" si="101"/>
        <v>-</v>
      </c>
      <c r="Q170" s="266" t="str">
        <f t="shared" si="102"/>
        <v>-</v>
      </c>
      <c r="R170" s="267" t="str">
        <f t="shared" si="103"/>
        <v>-</v>
      </c>
      <c r="S170" s="268" t="str">
        <f t="shared" si="104"/>
        <v>-</v>
      </c>
      <c r="T170" s="269" t="str">
        <f t="shared" si="105"/>
        <v/>
      </c>
      <c r="U170" s="221">
        <f t="shared" si="106"/>
        <v>70</v>
      </c>
      <c r="V170" s="220" t="str">
        <f t="shared" si="132"/>
        <v>-</v>
      </c>
      <c r="W170" s="221" t="str">
        <f t="shared" si="133"/>
        <v>-</v>
      </c>
      <c r="X170" s="221" t="str">
        <f t="shared" si="107"/>
        <v>-</v>
      </c>
      <c r="Y170" s="221" t="str">
        <f t="shared" si="108"/>
        <v>-</v>
      </c>
      <c r="Z170" s="270">
        <f t="shared" si="134"/>
        <v>0.1</v>
      </c>
      <c r="AA170" s="271" t="str">
        <f>IFERROR(IF(V169=1,AA$100*EXP(-(LN(2)/$D$65+0.04)*X169)*EXP(-(LN(2)/$D$65+0.1)*Y169),IF(V169=2,AA$100*EXP(-(LN(2)/$D$65+0.04)*(VLOOKUP(($F$16-$F$15)-1,U$99:Y169,4,FALSE)))*EXP(-(LN(2)/$D$65+0.1)*(VLOOKUP(($F$16-$F$15)-1,U$99:Y169,5,FALSE)))*EXP(-(LN(2)/$D$65+0.04)*X169)*EXP(-(LN(2)/$D$65+0.1)*Y169),IF(V169=3,AA$100*EXP(-(LN(2)/$D$65+0.04)*(VLOOKUP(($F$16-$F$15)-1,U$99:Y169,4,FALSE)))*EXP(-(LN(2)/$D$65+0.1)*(VLOOKUP(($F$16-$F$15)-1,U$99:Y169,5,FALSE)))*EXP(-(LN(2)/$D$65+0.04)*(VLOOKUP(($F$16-$F$15)*2-1,U$99:Y169,4,FALSE)))*EXP(-(LN(2)/$D$65+0.1)*(VLOOKUP(($F$16-$F$15)*2-1,U$99:Y169,5,FALSE)))*EXP(-(LN(2)/$D$65+0.04)*X169)*EXP(-(LN(2)/$D$65+0.1)*Y169),"-"))),"-")</f>
        <v>-</v>
      </c>
      <c r="AB170" s="271" t="str">
        <f>IFERROR(IF(V170=1,AB$100*EXP(-(LN(2)/$D$65+0.04)*X170)*EXP(-(LN(2)/$D$65+0.1)*Y170),IF(V170=2,AB$100*EXP(-(LN(2)/$D$65+0.04)*(VLOOKUP(($F$16-$F$15)-1,U$100:Y170,4,FALSE)))*EXP(-(LN(2)/$D$65+0.1)*(VLOOKUP(($F$16-$F$15)-1,U$100:Y170,5,FALSE)))*EXP(-(LN(2)/$D$65+0.04)*X170)*EXP(-(LN(2)/$D$65+0.1)*Y170),IF(V170=3,AB$100*EXP(-(LN(2)/$D$65+0.04)*(VLOOKUP(($F$16-$F$15)-1,U$100:Y170,4,FALSE)))*EXP(-(LN(2)/$D$65+0.1)*(VLOOKUP(($F$16-$F$15)-1,U$100:Y170,5,FALSE)))*EXP(-(LN(2)/$D$65+0.04)*(VLOOKUP(($F$16-$F$15)*2-1,U$100:Y170,4,FALSE)))*EXP(-(LN(2)/$D$65+0.1)*(VLOOKUP(($F$16-$F$15)*2-1,U$100:Y170,5,FALSE)))*EXP(-(LN(2)/$D$65+0.04)*X170)*EXP(-(LN(2)/$D$65+0.1)*Y170),"-"))),"-")</f>
        <v>-</v>
      </c>
      <c r="AC170" s="224">
        <f t="shared" si="135"/>
        <v>70</v>
      </c>
      <c r="AD170" s="223" t="str">
        <f t="shared" si="109"/>
        <v>-</v>
      </c>
      <c r="AE170" s="224" t="str">
        <f t="shared" si="136"/>
        <v>-</v>
      </c>
      <c r="AF170" s="224" t="str">
        <f t="shared" si="110"/>
        <v>-</v>
      </c>
      <c r="AG170" s="224" t="str">
        <f t="shared" si="111"/>
        <v>-</v>
      </c>
      <c r="AH170" s="272">
        <f t="shared" si="137"/>
        <v>0.1</v>
      </c>
      <c r="AI170" s="271" t="str">
        <f>IFERROR(IF(AD169=1,AI$100*EXP(-(LN(2)/$D$65+0.04)*AF169)*EXP(-(LN(2)/$D$65+0.1)*AG169),IF(AD169=2,AI$100*EXP(-(LN(2)/$D$65+0.04)*(VLOOKUP(($F$16-$F$15)-1,AC$99:AG169,4,FALSE)))*EXP(-(LN(2)/$D$65+0.1)*(VLOOKUP(($F$16-$F$15)-1,AC$99:AG169,5,FALSE)))*EXP(-(LN(2)/$D$65+0.04)*AF169)*EXP(-(LN(2)/$D$65+0.1)*AG169),IF(AD169=3,AI$100*EXP(-(LN(2)/$D$65+0.04)*(VLOOKUP(($F$16-$F$15)-1,AC$99:AG169,4,FALSE)))*EXP(-(LN(2)/$D$65+0.1)*(VLOOKUP(($F$16-$F$15)-1,AC$99:AG169,5,FALSE)))*EXP(-(LN(2)/$D$65+0.04)*(VLOOKUP(($F$16-$F$15)*2-1,AC$99:AG169,4,FALSE)))*EXP(-(LN(2)/$D$65+0.1)*(VLOOKUP(($F$16-$F$15)*2-1,AC$99:AG169,5,FALSE)))*EXP(-(LN(2)/$D$65+0.04)*AF169)*EXP(-(LN(2)/$D$65+0.1)*AG169),"-"))),"-")</f>
        <v>-</v>
      </c>
      <c r="AJ170" s="271" t="str">
        <f>IFERROR(IF(AD170=1,AJ$100*EXP(-(LN(2)/$D$65+0.04)*AF170)*EXP(-(LN(2)/$D$65+0.1)*AG170),IF(AD170=2,AJ$100*EXP(-(LN(2)/$D$65+0.04)*(VLOOKUP(($F$16-$F$15)-1,AC$100:AG170,4,FALSE)))*EXP(-(LN(2)/$D$65+0.1)*(VLOOKUP(($F$16-$F$15)-1,AC$100:AG170,5,FALSE)))*EXP(-(LN(2)/$D$65+0.04)*AF170)*EXP(-(LN(2)/$D$65+0.1)*AG170),IF(AD170=3,AJ$100*EXP(-(LN(2)/$D$65+0.04)*(VLOOKUP(($F$16-$F$15)-1,AC$100:AG170,4,FALSE)))*EXP(-(LN(2)/$D$65+0.1)*(VLOOKUP(($F$16-$F$15)-1,AC$100:AG170,5,FALSE)))*EXP(-(LN(2)/$D$65+0.04)*(VLOOKUP(($F$16-$F$15)*2-1,AC$100:AG170,4,FALSE)))*EXP(-(LN(2)/$D$65+0.1)*(VLOOKUP(($F$16-$F$15)*2-1,AC$100:AG170,5,FALSE)))*EXP(-(LN(2)/$D$65+0.04)*AF170)*EXP(-(LN(2)/$D$65+0.1)*AG170),"-"))),"-")</f>
        <v>-</v>
      </c>
      <c r="AK170" s="227">
        <f t="shared" si="138"/>
        <v>70</v>
      </c>
      <c r="AL170" s="226" t="str">
        <f t="shared" si="112"/>
        <v>-</v>
      </c>
      <c r="AM170" s="227" t="str">
        <f t="shared" si="139"/>
        <v>-</v>
      </c>
      <c r="AN170" s="227" t="str">
        <f t="shared" si="140"/>
        <v>-</v>
      </c>
      <c r="AO170" s="227" t="str">
        <f t="shared" si="113"/>
        <v>-</v>
      </c>
      <c r="AP170" s="273">
        <f t="shared" si="141"/>
        <v>0.1</v>
      </c>
      <c r="AQ170" s="271" t="str">
        <f>IFERROR(IF(AL169=1,AQ$100*EXP(-(LN(2)/$D$65+0.04)*AN169)*EXP(-(LN(2)/$D$65+0.1)*AO169),IF(AL169=2,AQ$100*EXP(-(LN(2)/$D$65+0.04)*(VLOOKUP(($F$16-$F$15)-1,AK$99:AO169,4,FALSE)))*EXP(-(LN(2)/$D$65+0.1)*(VLOOKUP(($F$16-$F$15)-1,AK$99:AO169,5,FALSE)))*EXP(-(LN(2)/$D$65+0.04)*AN169)*EXP(-(LN(2)/$D$65+0.1)*AO169),IF(AL169=3,AQ$100*EXP(-(LN(2)/$D$65+0.04)*(VLOOKUP(($F$16-$F$15)-1,AK$99:AO169,4,FALSE)))*EXP(-(LN(2)/$D$65+0.1)*(VLOOKUP(($F$16-$F$15)-1,AK$99:AO169,5,FALSE)))*EXP(-(LN(2)/$D$65+0.04)*(VLOOKUP(($F$16-$F$15)*2-1,AK$99:AO169,4,FALSE)))*EXP(-(LN(2)/$D$65+0.1)*(VLOOKUP(($F$16-$F$15)*2-1,AK$99:AO169,5,FALSE)))*EXP(-(LN(2)/$D$65+0.04)*AN169)*EXP(-(LN(2)/$D$65+0.1)*AO169),"-"))),"-")</f>
        <v>-</v>
      </c>
      <c r="AR170" s="271" t="str">
        <f>IFERROR(IF(AL170=1,AR$100*EXP(-(LN(2)/$D$65+0.04)*AN170)*EXP(-(LN(2)/$D$65+0.1)*AO170),IF(AL170=2,AR$100*EXP(-(LN(2)/$D$65+0.04)*(VLOOKUP(($F$16-$F$15)-1,AK$100:AO170,4,FALSE)))*EXP(-(LN(2)/$D$65+0.1)*(VLOOKUP(($F$16-$F$15)-1,AK$100:AO170,5,FALSE)))*EXP(-(LN(2)/$D$65+0.04)*AN170)*EXP(-(LN(2)/$D$65+0.1)*AO170),IF(AL170=3,AR$100*EXP(-(LN(2)/$D$65+0.04)*(VLOOKUP(($F$16-$F$15)-1,AK$100:AO170,4,FALSE)))*EXP(-(LN(2)/$D$65+0.1)*(VLOOKUP(($F$16-$F$15)-1,AK$100:AO170,5,FALSE)))*EXP(-(LN(2)/$D$65+0.04)*(VLOOKUP(($F$16-$F$15)*2-1,AK$100:AO170,4,FALSE)))*EXP(-(LN(2)/$D$65+0.1)*(VLOOKUP(($F$16-$F$15)*2-1,AK$100:AO170,5,FALSE)))*EXP(-(LN(2)/$D$65+0.04)*AN170)*EXP(-(LN(2)/$D$65+0.1)*AO170),"-"))),"-")</f>
        <v>-</v>
      </c>
      <c r="AS170" s="274">
        <f t="shared" si="114"/>
        <v>0</v>
      </c>
      <c r="AT170" s="274">
        <f t="shared" si="115"/>
        <v>0</v>
      </c>
      <c r="AU170" s="274">
        <f t="shared" si="116"/>
        <v>0</v>
      </c>
      <c r="AV170" s="190">
        <f>IF($B170&lt;$F$22,SUM($T$100:$T170),"")</f>
        <v>0</v>
      </c>
      <c r="AW170" s="190" t="str">
        <f t="shared" si="117"/>
        <v>-</v>
      </c>
      <c r="AX170" s="190" t="str">
        <f t="shared" si="142"/>
        <v/>
      </c>
      <c r="AY170"/>
      <c r="AZ170" s="190" t="str">
        <f ca="1">IF(ISNUMBER(OFFSET(AV170,-$F$21,0)),SUM(OFFSET($T$100,$F$21,0):$T170),"")</f>
        <v/>
      </c>
      <c r="BA170" s="190" t="str">
        <f t="shared" ca="1" si="118"/>
        <v/>
      </c>
      <c r="BB170" s="190" t="str">
        <f t="shared" ca="1" si="70"/>
        <v/>
      </c>
      <c r="BC170" s="190"/>
      <c r="BD170" s="190" t="str">
        <f ca="1">IFERROR(IF(AND($B170&gt;=($F$16-$F$15),$B170&lt;$F$22+($F$16-$F$15)),SUM(OFFSET($T$100,($F$16-$F$15),0):$T170),""),"")</f>
        <v/>
      </c>
      <c r="BE170" s="190" t="str">
        <f t="shared" ca="1" si="143"/>
        <v/>
      </c>
      <c r="BF170" s="190" t="str">
        <f t="shared" ca="1" si="144"/>
        <v/>
      </c>
      <c r="BG170"/>
      <c r="BH170" s="190" t="str">
        <f ca="1">IF(ISNUMBER(OFFSET(BD170,-$F$21,0)),SUM(OFFSET($T$100,($F$16-$F$15+$F$21),0):$T170),"")</f>
        <v/>
      </c>
      <c r="BI170" s="190" t="str">
        <f t="shared" ca="1" si="119"/>
        <v/>
      </c>
      <c r="BJ170" s="190" t="str">
        <f t="shared" ca="1" si="145"/>
        <v/>
      </c>
      <c r="BK170" s="190"/>
      <c r="BL170" s="190" t="str">
        <f ca="1">IFERROR(IF(AND($B170&gt;=($F$17-$F$15),$B170&lt;$F$22+($F$17-$F$15)),SUM(OFFSET($T$100,($F$17-$F$15),0):$T170),""),"")</f>
        <v/>
      </c>
      <c r="BM170" s="190" t="str">
        <f t="shared" ca="1" si="120"/>
        <v/>
      </c>
      <c r="BN170" s="190" t="str">
        <f t="shared" ca="1" si="146"/>
        <v/>
      </c>
      <c r="BO170"/>
      <c r="BP170" s="190" t="str">
        <f ca="1">IF(ISNUMBER(OFFSET(BL170,-$F$21,0)),SUM(OFFSET($T$100,($F$17-$F$15+$F$21),0):$T170),"")</f>
        <v/>
      </c>
      <c r="BQ170" s="190" t="str">
        <f t="shared" ca="1" si="121"/>
        <v/>
      </c>
      <c r="BR170" s="190" t="str">
        <f t="shared" ca="1" si="147"/>
        <v/>
      </c>
      <c r="BS170" s="190"/>
      <c r="BT170"/>
      <c r="BU170"/>
      <c r="BV170"/>
      <c r="BY170" s="99"/>
      <c r="BZ170" s="99"/>
      <c r="CA170" s="280" t="str">
        <f t="shared" si="122"/>
        <v/>
      </c>
      <c r="CB170" s="71" t="str">
        <f t="shared" si="123"/>
        <v>-</v>
      </c>
      <c r="CC170" s="33"/>
      <c r="CD170" s="261" t="str">
        <f t="shared" si="124"/>
        <v/>
      </c>
      <c r="CE170" s="280" t="str">
        <f t="shared" si="125"/>
        <v>-</v>
      </c>
      <c r="CF170" s="71" t="str">
        <f t="shared" ca="1" si="126"/>
        <v>-</v>
      </c>
      <c r="CG170" s="33" t="str">
        <f t="shared" si="127"/>
        <v>70-71</v>
      </c>
      <c r="CH170" s="261" t="str">
        <f t="shared" ca="1" si="128"/>
        <v/>
      </c>
      <c r="CI170" s="99"/>
      <c r="CJ170" s="99"/>
      <c r="CK170" s="99"/>
      <c r="CL170" s="99"/>
      <c r="CM170" s="99"/>
      <c r="CN170" s="99"/>
      <c r="CO170" s="99"/>
    </row>
    <row r="171" spans="2:93" ht="13.5" customHeight="1" x14ac:dyDescent="0.2">
      <c r="B171" s="262">
        <v>71</v>
      </c>
      <c r="C171" s="237" t="str">
        <f t="shared" si="92"/>
        <v/>
      </c>
      <c r="D171" s="237" t="str">
        <f t="shared" si="148"/>
        <v>-</v>
      </c>
      <c r="E171" s="290" t="str">
        <f t="shared" si="129"/>
        <v/>
      </c>
      <c r="F171" s="264" t="str">
        <f t="shared" si="130"/>
        <v/>
      </c>
      <c r="G171" s="291" t="str">
        <f t="shared" si="131"/>
        <v/>
      </c>
      <c r="H171" s="240" t="str">
        <f t="shared" si="93"/>
        <v/>
      </c>
      <c r="I171" s="265" t="str">
        <f t="shared" si="94"/>
        <v/>
      </c>
      <c r="J171" s="265" t="str">
        <f t="shared" si="95"/>
        <v/>
      </c>
      <c r="K171" s="240" t="str">
        <f t="shared" si="96"/>
        <v/>
      </c>
      <c r="L171" s="265" t="str">
        <f t="shared" si="97"/>
        <v/>
      </c>
      <c r="M171" s="265" t="str">
        <f t="shared" si="98"/>
        <v/>
      </c>
      <c r="N171" s="240" t="str">
        <f t="shared" si="99"/>
        <v>-</v>
      </c>
      <c r="O171" s="265" t="str">
        <f t="shared" si="100"/>
        <v>-</v>
      </c>
      <c r="P171" s="265" t="str">
        <f t="shared" si="101"/>
        <v>-</v>
      </c>
      <c r="Q171" s="266" t="str">
        <f t="shared" si="102"/>
        <v>-</v>
      </c>
      <c r="R171" s="267" t="str">
        <f t="shared" si="103"/>
        <v>-</v>
      </c>
      <c r="S171" s="268" t="str">
        <f t="shared" si="104"/>
        <v>-</v>
      </c>
      <c r="T171" s="269" t="str">
        <f t="shared" si="105"/>
        <v/>
      </c>
      <c r="U171" s="221">
        <f t="shared" si="106"/>
        <v>71</v>
      </c>
      <c r="V171" s="220" t="str">
        <f t="shared" si="132"/>
        <v>-</v>
      </c>
      <c r="W171" s="221" t="str">
        <f t="shared" si="133"/>
        <v>-</v>
      </c>
      <c r="X171" s="221" t="str">
        <f t="shared" si="107"/>
        <v>-</v>
      </c>
      <c r="Y171" s="221" t="str">
        <f t="shared" si="108"/>
        <v>-</v>
      </c>
      <c r="Z171" s="270">
        <f t="shared" si="134"/>
        <v>0.1</v>
      </c>
      <c r="AA171" s="271" t="str">
        <f>IFERROR(IF(V170=1,AA$100*EXP(-(LN(2)/$D$65+0.04)*X170)*EXP(-(LN(2)/$D$65+0.1)*Y170),IF(V170=2,AA$100*EXP(-(LN(2)/$D$65+0.04)*(VLOOKUP(($F$16-$F$15)-1,U$99:Y170,4,FALSE)))*EXP(-(LN(2)/$D$65+0.1)*(VLOOKUP(($F$16-$F$15)-1,U$99:Y170,5,FALSE)))*EXP(-(LN(2)/$D$65+0.04)*X170)*EXP(-(LN(2)/$D$65+0.1)*Y170),IF(V170=3,AA$100*EXP(-(LN(2)/$D$65+0.04)*(VLOOKUP(($F$16-$F$15)-1,U$99:Y170,4,FALSE)))*EXP(-(LN(2)/$D$65+0.1)*(VLOOKUP(($F$16-$F$15)-1,U$99:Y170,5,FALSE)))*EXP(-(LN(2)/$D$65+0.04)*(VLOOKUP(($F$16-$F$15)*2-1,U$99:Y170,4,FALSE)))*EXP(-(LN(2)/$D$65+0.1)*(VLOOKUP(($F$16-$F$15)*2-1,U$99:Y170,5,FALSE)))*EXP(-(LN(2)/$D$65+0.04)*X170)*EXP(-(LN(2)/$D$65+0.1)*Y170),"-"))),"-")</f>
        <v>-</v>
      </c>
      <c r="AB171" s="271" t="str">
        <f>IFERROR(IF(V171=1,AB$100*EXP(-(LN(2)/$D$65+0.04)*X171)*EXP(-(LN(2)/$D$65+0.1)*Y171),IF(V171=2,AB$100*EXP(-(LN(2)/$D$65+0.04)*(VLOOKUP(($F$16-$F$15)-1,U$100:Y171,4,FALSE)))*EXP(-(LN(2)/$D$65+0.1)*(VLOOKUP(($F$16-$F$15)-1,U$100:Y171,5,FALSE)))*EXP(-(LN(2)/$D$65+0.04)*X171)*EXP(-(LN(2)/$D$65+0.1)*Y171),IF(V171=3,AB$100*EXP(-(LN(2)/$D$65+0.04)*(VLOOKUP(($F$16-$F$15)-1,U$100:Y171,4,FALSE)))*EXP(-(LN(2)/$D$65+0.1)*(VLOOKUP(($F$16-$F$15)-1,U$100:Y171,5,FALSE)))*EXP(-(LN(2)/$D$65+0.04)*(VLOOKUP(($F$16-$F$15)*2-1,U$100:Y171,4,FALSE)))*EXP(-(LN(2)/$D$65+0.1)*(VLOOKUP(($F$16-$F$15)*2-1,U$100:Y171,5,FALSE)))*EXP(-(LN(2)/$D$65+0.04)*X171)*EXP(-(LN(2)/$D$65+0.1)*Y171),"-"))),"-")</f>
        <v>-</v>
      </c>
      <c r="AC171" s="224">
        <f t="shared" si="135"/>
        <v>71</v>
      </c>
      <c r="AD171" s="223" t="str">
        <f t="shared" si="109"/>
        <v>-</v>
      </c>
      <c r="AE171" s="224" t="str">
        <f t="shared" si="136"/>
        <v>-</v>
      </c>
      <c r="AF171" s="224" t="str">
        <f t="shared" si="110"/>
        <v>-</v>
      </c>
      <c r="AG171" s="224" t="str">
        <f t="shared" si="111"/>
        <v>-</v>
      </c>
      <c r="AH171" s="272">
        <f t="shared" si="137"/>
        <v>0.1</v>
      </c>
      <c r="AI171" s="271" t="str">
        <f>IFERROR(IF(AD170=1,AI$100*EXP(-(LN(2)/$D$65+0.04)*AF170)*EXP(-(LN(2)/$D$65+0.1)*AG170),IF(AD170=2,AI$100*EXP(-(LN(2)/$D$65+0.04)*(VLOOKUP(($F$16-$F$15)-1,AC$99:AG170,4,FALSE)))*EXP(-(LN(2)/$D$65+0.1)*(VLOOKUP(($F$16-$F$15)-1,AC$99:AG170,5,FALSE)))*EXP(-(LN(2)/$D$65+0.04)*AF170)*EXP(-(LN(2)/$D$65+0.1)*AG170),IF(AD170=3,AI$100*EXP(-(LN(2)/$D$65+0.04)*(VLOOKUP(($F$16-$F$15)-1,AC$99:AG170,4,FALSE)))*EXP(-(LN(2)/$D$65+0.1)*(VLOOKUP(($F$16-$F$15)-1,AC$99:AG170,5,FALSE)))*EXP(-(LN(2)/$D$65+0.04)*(VLOOKUP(($F$16-$F$15)*2-1,AC$99:AG170,4,FALSE)))*EXP(-(LN(2)/$D$65+0.1)*(VLOOKUP(($F$16-$F$15)*2-1,AC$99:AG170,5,FALSE)))*EXP(-(LN(2)/$D$65+0.04)*AF170)*EXP(-(LN(2)/$D$65+0.1)*AG170),"-"))),"-")</f>
        <v>-</v>
      </c>
      <c r="AJ171" s="271" t="str">
        <f>IFERROR(IF(AD171=1,AJ$100*EXP(-(LN(2)/$D$65+0.04)*AF171)*EXP(-(LN(2)/$D$65+0.1)*AG171),IF(AD171=2,AJ$100*EXP(-(LN(2)/$D$65+0.04)*(VLOOKUP(($F$16-$F$15)-1,AC$100:AG171,4,FALSE)))*EXP(-(LN(2)/$D$65+0.1)*(VLOOKUP(($F$16-$F$15)-1,AC$100:AG171,5,FALSE)))*EXP(-(LN(2)/$D$65+0.04)*AF171)*EXP(-(LN(2)/$D$65+0.1)*AG171),IF(AD171=3,AJ$100*EXP(-(LN(2)/$D$65+0.04)*(VLOOKUP(($F$16-$F$15)-1,AC$100:AG171,4,FALSE)))*EXP(-(LN(2)/$D$65+0.1)*(VLOOKUP(($F$16-$F$15)-1,AC$100:AG171,5,FALSE)))*EXP(-(LN(2)/$D$65+0.04)*(VLOOKUP(($F$16-$F$15)*2-1,AC$100:AG171,4,FALSE)))*EXP(-(LN(2)/$D$65+0.1)*(VLOOKUP(($F$16-$F$15)*2-1,AC$100:AG171,5,FALSE)))*EXP(-(LN(2)/$D$65+0.04)*AF171)*EXP(-(LN(2)/$D$65+0.1)*AG171),"-"))),"-")</f>
        <v>-</v>
      </c>
      <c r="AK171" s="227">
        <f t="shared" si="138"/>
        <v>71</v>
      </c>
      <c r="AL171" s="226" t="str">
        <f t="shared" si="112"/>
        <v>-</v>
      </c>
      <c r="AM171" s="227" t="str">
        <f t="shared" si="139"/>
        <v>-</v>
      </c>
      <c r="AN171" s="227" t="str">
        <f t="shared" si="140"/>
        <v>-</v>
      </c>
      <c r="AO171" s="227" t="str">
        <f t="shared" si="113"/>
        <v>-</v>
      </c>
      <c r="AP171" s="273">
        <f t="shared" si="141"/>
        <v>0.1</v>
      </c>
      <c r="AQ171" s="271" t="str">
        <f>IFERROR(IF(AL170=1,AQ$100*EXP(-(LN(2)/$D$65+0.04)*AN170)*EXP(-(LN(2)/$D$65+0.1)*AO170),IF(AL170=2,AQ$100*EXP(-(LN(2)/$D$65+0.04)*(VLOOKUP(($F$16-$F$15)-1,AK$99:AO170,4,FALSE)))*EXP(-(LN(2)/$D$65+0.1)*(VLOOKUP(($F$16-$F$15)-1,AK$99:AO170,5,FALSE)))*EXP(-(LN(2)/$D$65+0.04)*AN170)*EXP(-(LN(2)/$D$65+0.1)*AO170),IF(AL170=3,AQ$100*EXP(-(LN(2)/$D$65+0.04)*(VLOOKUP(($F$16-$F$15)-1,AK$99:AO170,4,FALSE)))*EXP(-(LN(2)/$D$65+0.1)*(VLOOKUP(($F$16-$F$15)-1,AK$99:AO170,5,FALSE)))*EXP(-(LN(2)/$D$65+0.04)*(VLOOKUP(($F$16-$F$15)*2-1,AK$99:AO170,4,FALSE)))*EXP(-(LN(2)/$D$65+0.1)*(VLOOKUP(($F$16-$F$15)*2-1,AK$99:AO170,5,FALSE)))*EXP(-(LN(2)/$D$65+0.04)*AN170)*EXP(-(LN(2)/$D$65+0.1)*AO170),"-"))),"-")</f>
        <v>-</v>
      </c>
      <c r="AR171" s="271" t="str">
        <f>IFERROR(IF(AL171=1,AR$100*EXP(-(LN(2)/$D$65+0.04)*AN171)*EXP(-(LN(2)/$D$65+0.1)*AO171),IF(AL171=2,AR$100*EXP(-(LN(2)/$D$65+0.04)*(VLOOKUP(($F$16-$F$15)-1,AK$100:AO171,4,FALSE)))*EXP(-(LN(2)/$D$65+0.1)*(VLOOKUP(($F$16-$F$15)-1,AK$100:AO171,5,FALSE)))*EXP(-(LN(2)/$D$65+0.04)*AN171)*EXP(-(LN(2)/$D$65+0.1)*AO171),IF(AL171=3,AR$100*EXP(-(LN(2)/$D$65+0.04)*(VLOOKUP(($F$16-$F$15)-1,AK$100:AO171,4,FALSE)))*EXP(-(LN(2)/$D$65+0.1)*(VLOOKUP(($F$16-$F$15)-1,AK$100:AO171,5,FALSE)))*EXP(-(LN(2)/$D$65+0.04)*(VLOOKUP(($F$16-$F$15)*2-1,AK$100:AO171,4,FALSE)))*EXP(-(LN(2)/$D$65+0.1)*(VLOOKUP(($F$16-$F$15)*2-1,AK$100:AO171,5,FALSE)))*EXP(-(LN(2)/$D$65+0.04)*AN171)*EXP(-(LN(2)/$D$65+0.1)*AO171),"-"))),"-")</f>
        <v>-</v>
      </c>
      <c r="AS171" s="274">
        <f t="shared" si="114"/>
        <v>0</v>
      </c>
      <c r="AT171" s="274">
        <f t="shared" si="115"/>
        <v>0</v>
      </c>
      <c r="AU171" s="274">
        <f t="shared" si="116"/>
        <v>0</v>
      </c>
      <c r="AV171" s="190">
        <f>IF($B171&lt;$F$22,SUM($T$100:$T171),"")</f>
        <v>0</v>
      </c>
      <c r="AW171" s="190" t="str">
        <f t="shared" si="117"/>
        <v>-</v>
      </c>
      <c r="AX171" s="190" t="str">
        <f t="shared" si="142"/>
        <v/>
      </c>
      <c r="AY171"/>
      <c r="AZ171" s="190" t="str">
        <f ca="1">IF(ISNUMBER(OFFSET(AV171,-$F$21,0)),SUM(OFFSET($T$100,$F$21,0):$T171),"")</f>
        <v/>
      </c>
      <c r="BA171" s="190" t="str">
        <f t="shared" ca="1" si="118"/>
        <v/>
      </c>
      <c r="BB171" s="190" t="str">
        <f t="shared" ca="1" si="70"/>
        <v/>
      </c>
      <c r="BC171" s="190"/>
      <c r="BD171" s="190" t="str">
        <f ca="1">IFERROR(IF(AND($B171&gt;=($F$16-$F$15),$B171&lt;$F$22+($F$16-$F$15)),SUM(OFFSET($T$100,($F$16-$F$15),0):$T171),""),"")</f>
        <v/>
      </c>
      <c r="BE171" s="190" t="str">
        <f t="shared" ca="1" si="143"/>
        <v/>
      </c>
      <c r="BF171" s="190" t="str">
        <f t="shared" ca="1" si="144"/>
        <v/>
      </c>
      <c r="BG171"/>
      <c r="BH171" s="190" t="str">
        <f ca="1">IF(ISNUMBER(OFFSET(BD171,-$F$21,0)),SUM(OFFSET($T$100,($F$16-$F$15+$F$21),0):$T171),"")</f>
        <v/>
      </c>
      <c r="BI171" s="190" t="str">
        <f t="shared" ca="1" si="119"/>
        <v/>
      </c>
      <c r="BJ171" s="190" t="str">
        <f t="shared" ca="1" si="145"/>
        <v/>
      </c>
      <c r="BK171" s="190"/>
      <c r="BL171" s="190" t="str">
        <f ca="1">IFERROR(IF(AND($B171&gt;=($F$17-$F$15),$B171&lt;$F$22+($F$17-$F$15)),SUM(OFFSET($T$100,($F$17-$F$15),0):$T171),""),"")</f>
        <v/>
      </c>
      <c r="BM171" s="190" t="str">
        <f t="shared" ca="1" si="120"/>
        <v/>
      </c>
      <c r="BN171" s="190" t="str">
        <f t="shared" ca="1" si="146"/>
        <v/>
      </c>
      <c r="BO171"/>
      <c r="BP171" s="190" t="str">
        <f ca="1">IF(ISNUMBER(OFFSET(BL171,-$F$21,0)),SUM(OFFSET($T$100,($F$17-$F$15+$F$21),0):$T171),"")</f>
        <v/>
      </c>
      <c r="BQ171" s="190" t="str">
        <f t="shared" ca="1" si="121"/>
        <v/>
      </c>
      <c r="BR171" s="190" t="str">
        <f t="shared" ca="1" si="147"/>
        <v/>
      </c>
      <c r="BS171" s="190"/>
      <c r="BT171"/>
      <c r="BU171"/>
      <c r="BV171"/>
      <c r="BY171" s="99"/>
      <c r="BZ171" s="99"/>
      <c r="CA171" s="280" t="str">
        <f t="shared" si="122"/>
        <v/>
      </c>
      <c r="CB171" s="71" t="str">
        <f t="shared" si="123"/>
        <v>-</v>
      </c>
      <c r="CC171" s="33"/>
      <c r="CD171" s="261" t="str">
        <f t="shared" si="124"/>
        <v/>
      </c>
      <c r="CE171" s="280" t="str">
        <f t="shared" si="125"/>
        <v>-</v>
      </c>
      <c r="CF171" s="71" t="str">
        <f t="shared" ca="1" si="126"/>
        <v>-</v>
      </c>
      <c r="CG171" s="33" t="str">
        <f t="shared" si="127"/>
        <v>71-72</v>
      </c>
      <c r="CH171" s="261" t="str">
        <f t="shared" ca="1" si="128"/>
        <v/>
      </c>
      <c r="CI171" s="99"/>
      <c r="CJ171" s="99"/>
      <c r="CK171" s="99"/>
      <c r="CL171" s="99"/>
      <c r="CM171" s="99"/>
      <c r="CN171" s="99"/>
      <c r="CO171" s="99"/>
    </row>
    <row r="172" spans="2:93" ht="13.5" customHeight="1" x14ac:dyDescent="0.2">
      <c r="B172" s="262">
        <v>72</v>
      </c>
      <c r="C172" s="237" t="str">
        <f t="shared" si="92"/>
        <v/>
      </c>
      <c r="D172" s="237" t="str">
        <f t="shared" si="148"/>
        <v>-</v>
      </c>
      <c r="E172" s="290" t="str">
        <f t="shared" si="129"/>
        <v/>
      </c>
      <c r="F172" s="264" t="str">
        <f t="shared" si="130"/>
        <v/>
      </c>
      <c r="G172" s="291" t="str">
        <f t="shared" si="131"/>
        <v/>
      </c>
      <c r="H172" s="240" t="str">
        <f t="shared" si="93"/>
        <v/>
      </c>
      <c r="I172" s="265" t="str">
        <f t="shared" si="94"/>
        <v/>
      </c>
      <c r="J172" s="265" t="str">
        <f t="shared" si="95"/>
        <v/>
      </c>
      <c r="K172" s="240" t="str">
        <f t="shared" si="96"/>
        <v/>
      </c>
      <c r="L172" s="265" t="str">
        <f t="shared" si="97"/>
        <v/>
      </c>
      <c r="M172" s="265" t="str">
        <f t="shared" si="98"/>
        <v/>
      </c>
      <c r="N172" s="240" t="str">
        <f t="shared" si="99"/>
        <v>-</v>
      </c>
      <c r="O172" s="265" t="str">
        <f t="shared" si="100"/>
        <v>-</v>
      </c>
      <c r="P172" s="265" t="str">
        <f t="shared" si="101"/>
        <v>-</v>
      </c>
      <c r="Q172" s="266" t="str">
        <f t="shared" si="102"/>
        <v>-</v>
      </c>
      <c r="R172" s="267" t="str">
        <f t="shared" si="103"/>
        <v>-</v>
      </c>
      <c r="S172" s="268" t="str">
        <f t="shared" si="104"/>
        <v>-</v>
      </c>
      <c r="T172" s="269" t="str">
        <f t="shared" si="105"/>
        <v/>
      </c>
      <c r="U172" s="221">
        <f t="shared" si="106"/>
        <v>72</v>
      </c>
      <c r="V172" s="220" t="str">
        <f t="shared" si="132"/>
        <v>-</v>
      </c>
      <c r="W172" s="221" t="str">
        <f t="shared" si="133"/>
        <v>-</v>
      </c>
      <c r="X172" s="221" t="str">
        <f t="shared" si="107"/>
        <v>-</v>
      </c>
      <c r="Y172" s="221" t="str">
        <f t="shared" si="108"/>
        <v>-</v>
      </c>
      <c r="Z172" s="270">
        <f t="shared" si="134"/>
        <v>0.1</v>
      </c>
      <c r="AA172" s="271" t="str">
        <f>IFERROR(IF(V171=1,AA$100*EXP(-(LN(2)/$D$65+0.04)*X171)*EXP(-(LN(2)/$D$65+0.1)*Y171),IF(V171=2,AA$100*EXP(-(LN(2)/$D$65+0.04)*(VLOOKUP(($F$16-$F$15)-1,U$99:Y171,4,FALSE)))*EXP(-(LN(2)/$D$65+0.1)*(VLOOKUP(($F$16-$F$15)-1,U$99:Y171,5,FALSE)))*EXP(-(LN(2)/$D$65+0.04)*X171)*EXP(-(LN(2)/$D$65+0.1)*Y171),IF(V171=3,AA$100*EXP(-(LN(2)/$D$65+0.04)*(VLOOKUP(($F$16-$F$15)-1,U$99:Y171,4,FALSE)))*EXP(-(LN(2)/$D$65+0.1)*(VLOOKUP(($F$16-$F$15)-1,U$99:Y171,5,FALSE)))*EXP(-(LN(2)/$D$65+0.04)*(VLOOKUP(($F$16-$F$15)*2-1,U$99:Y171,4,FALSE)))*EXP(-(LN(2)/$D$65+0.1)*(VLOOKUP(($F$16-$F$15)*2-1,U$99:Y171,5,FALSE)))*EXP(-(LN(2)/$D$65+0.04)*X171)*EXP(-(LN(2)/$D$65+0.1)*Y171),"-"))),"-")</f>
        <v>-</v>
      </c>
      <c r="AB172" s="271" t="str">
        <f>IFERROR(IF(V172=1,AB$100*EXP(-(LN(2)/$D$65+0.04)*X172)*EXP(-(LN(2)/$D$65+0.1)*Y172),IF(V172=2,AB$100*EXP(-(LN(2)/$D$65+0.04)*(VLOOKUP(($F$16-$F$15)-1,U$100:Y172,4,FALSE)))*EXP(-(LN(2)/$D$65+0.1)*(VLOOKUP(($F$16-$F$15)-1,U$100:Y172,5,FALSE)))*EXP(-(LN(2)/$D$65+0.04)*X172)*EXP(-(LN(2)/$D$65+0.1)*Y172),IF(V172=3,AB$100*EXP(-(LN(2)/$D$65+0.04)*(VLOOKUP(($F$16-$F$15)-1,U$100:Y172,4,FALSE)))*EXP(-(LN(2)/$D$65+0.1)*(VLOOKUP(($F$16-$F$15)-1,U$100:Y172,5,FALSE)))*EXP(-(LN(2)/$D$65+0.04)*(VLOOKUP(($F$16-$F$15)*2-1,U$100:Y172,4,FALSE)))*EXP(-(LN(2)/$D$65+0.1)*(VLOOKUP(($F$16-$F$15)*2-1,U$100:Y172,5,FALSE)))*EXP(-(LN(2)/$D$65+0.04)*X172)*EXP(-(LN(2)/$D$65+0.1)*Y172),"-"))),"-")</f>
        <v>-</v>
      </c>
      <c r="AC172" s="224">
        <f t="shared" si="135"/>
        <v>72</v>
      </c>
      <c r="AD172" s="223" t="str">
        <f t="shared" si="109"/>
        <v>-</v>
      </c>
      <c r="AE172" s="224" t="str">
        <f t="shared" si="136"/>
        <v>-</v>
      </c>
      <c r="AF172" s="224" t="str">
        <f t="shared" si="110"/>
        <v>-</v>
      </c>
      <c r="AG172" s="224" t="str">
        <f t="shared" si="111"/>
        <v>-</v>
      </c>
      <c r="AH172" s="272">
        <f t="shared" si="137"/>
        <v>0.1</v>
      </c>
      <c r="AI172" s="271" t="str">
        <f>IFERROR(IF(AD171=1,AI$100*EXP(-(LN(2)/$D$65+0.04)*AF171)*EXP(-(LN(2)/$D$65+0.1)*AG171),IF(AD171=2,AI$100*EXP(-(LN(2)/$D$65+0.04)*(VLOOKUP(($F$16-$F$15)-1,AC$99:AG171,4,FALSE)))*EXP(-(LN(2)/$D$65+0.1)*(VLOOKUP(($F$16-$F$15)-1,AC$99:AG171,5,FALSE)))*EXP(-(LN(2)/$D$65+0.04)*AF171)*EXP(-(LN(2)/$D$65+0.1)*AG171),IF(AD171=3,AI$100*EXP(-(LN(2)/$D$65+0.04)*(VLOOKUP(($F$16-$F$15)-1,AC$99:AG171,4,FALSE)))*EXP(-(LN(2)/$D$65+0.1)*(VLOOKUP(($F$16-$F$15)-1,AC$99:AG171,5,FALSE)))*EXP(-(LN(2)/$D$65+0.04)*(VLOOKUP(($F$16-$F$15)*2-1,AC$99:AG171,4,FALSE)))*EXP(-(LN(2)/$D$65+0.1)*(VLOOKUP(($F$16-$F$15)*2-1,AC$99:AG171,5,FALSE)))*EXP(-(LN(2)/$D$65+0.04)*AF171)*EXP(-(LN(2)/$D$65+0.1)*AG171),"-"))),"-")</f>
        <v>-</v>
      </c>
      <c r="AJ172" s="271" t="str">
        <f>IFERROR(IF(AD172=1,AJ$100*EXP(-(LN(2)/$D$65+0.04)*AF172)*EXP(-(LN(2)/$D$65+0.1)*AG172),IF(AD172=2,AJ$100*EXP(-(LN(2)/$D$65+0.04)*(VLOOKUP(($F$16-$F$15)-1,AC$100:AG172,4,FALSE)))*EXP(-(LN(2)/$D$65+0.1)*(VLOOKUP(($F$16-$F$15)-1,AC$100:AG172,5,FALSE)))*EXP(-(LN(2)/$D$65+0.04)*AF172)*EXP(-(LN(2)/$D$65+0.1)*AG172),IF(AD172=3,AJ$100*EXP(-(LN(2)/$D$65+0.04)*(VLOOKUP(($F$16-$F$15)-1,AC$100:AG172,4,FALSE)))*EXP(-(LN(2)/$D$65+0.1)*(VLOOKUP(($F$16-$F$15)-1,AC$100:AG172,5,FALSE)))*EXP(-(LN(2)/$D$65+0.04)*(VLOOKUP(($F$16-$F$15)*2-1,AC$100:AG172,4,FALSE)))*EXP(-(LN(2)/$D$65+0.1)*(VLOOKUP(($F$16-$F$15)*2-1,AC$100:AG172,5,FALSE)))*EXP(-(LN(2)/$D$65+0.04)*AF172)*EXP(-(LN(2)/$D$65+0.1)*AG172),"-"))),"-")</f>
        <v>-</v>
      </c>
      <c r="AK172" s="227">
        <f t="shared" si="138"/>
        <v>72</v>
      </c>
      <c r="AL172" s="226" t="str">
        <f t="shared" si="112"/>
        <v>-</v>
      </c>
      <c r="AM172" s="227" t="str">
        <f t="shared" si="139"/>
        <v>-</v>
      </c>
      <c r="AN172" s="227" t="str">
        <f t="shared" si="140"/>
        <v>-</v>
      </c>
      <c r="AO172" s="227" t="str">
        <f t="shared" si="113"/>
        <v>-</v>
      </c>
      <c r="AP172" s="273">
        <f t="shared" si="141"/>
        <v>0.1</v>
      </c>
      <c r="AQ172" s="271" t="str">
        <f>IFERROR(IF(AL171=1,AQ$100*EXP(-(LN(2)/$D$65+0.04)*AN171)*EXP(-(LN(2)/$D$65+0.1)*AO171),IF(AL171=2,AQ$100*EXP(-(LN(2)/$D$65+0.04)*(VLOOKUP(($F$16-$F$15)-1,AK$99:AO171,4,FALSE)))*EXP(-(LN(2)/$D$65+0.1)*(VLOOKUP(($F$16-$F$15)-1,AK$99:AO171,5,FALSE)))*EXP(-(LN(2)/$D$65+0.04)*AN171)*EXP(-(LN(2)/$D$65+0.1)*AO171),IF(AL171=3,AQ$100*EXP(-(LN(2)/$D$65+0.04)*(VLOOKUP(($F$16-$F$15)-1,AK$99:AO171,4,FALSE)))*EXP(-(LN(2)/$D$65+0.1)*(VLOOKUP(($F$16-$F$15)-1,AK$99:AO171,5,FALSE)))*EXP(-(LN(2)/$D$65+0.04)*(VLOOKUP(($F$16-$F$15)*2-1,AK$99:AO171,4,FALSE)))*EXP(-(LN(2)/$D$65+0.1)*(VLOOKUP(($F$16-$F$15)*2-1,AK$99:AO171,5,FALSE)))*EXP(-(LN(2)/$D$65+0.04)*AN171)*EXP(-(LN(2)/$D$65+0.1)*AO171),"-"))),"-")</f>
        <v>-</v>
      </c>
      <c r="AR172" s="271" t="str">
        <f>IFERROR(IF(AL172=1,AR$100*EXP(-(LN(2)/$D$65+0.04)*AN172)*EXP(-(LN(2)/$D$65+0.1)*AO172),IF(AL172=2,AR$100*EXP(-(LN(2)/$D$65+0.04)*(VLOOKUP(($F$16-$F$15)-1,AK$100:AO172,4,FALSE)))*EXP(-(LN(2)/$D$65+0.1)*(VLOOKUP(($F$16-$F$15)-1,AK$100:AO172,5,FALSE)))*EXP(-(LN(2)/$D$65+0.04)*AN172)*EXP(-(LN(2)/$D$65+0.1)*AO172),IF(AL172=3,AR$100*EXP(-(LN(2)/$D$65+0.04)*(VLOOKUP(($F$16-$F$15)-1,AK$100:AO172,4,FALSE)))*EXP(-(LN(2)/$D$65+0.1)*(VLOOKUP(($F$16-$F$15)-1,AK$100:AO172,5,FALSE)))*EXP(-(LN(2)/$D$65+0.04)*(VLOOKUP(($F$16-$F$15)*2-1,AK$100:AO172,4,FALSE)))*EXP(-(LN(2)/$D$65+0.1)*(VLOOKUP(($F$16-$F$15)*2-1,AK$100:AO172,5,FALSE)))*EXP(-(LN(2)/$D$65+0.04)*AN172)*EXP(-(LN(2)/$D$65+0.1)*AO172),"-"))),"-")</f>
        <v>-</v>
      </c>
      <c r="AS172" s="274">
        <f t="shared" si="114"/>
        <v>0</v>
      </c>
      <c r="AT172" s="274">
        <f t="shared" si="115"/>
        <v>0</v>
      </c>
      <c r="AU172" s="274">
        <f t="shared" si="116"/>
        <v>0</v>
      </c>
      <c r="AV172" s="190">
        <f>IF($B172&lt;$F$22,SUM($T$100:$T172),"")</f>
        <v>0</v>
      </c>
      <c r="AW172" s="190" t="str">
        <f t="shared" si="117"/>
        <v>-</v>
      </c>
      <c r="AX172" s="190" t="str">
        <f t="shared" si="142"/>
        <v/>
      </c>
      <c r="AY172"/>
      <c r="AZ172" s="190" t="str">
        <f ca="1">IF(ISNUMBER(OFFSET(AV172,-$F$21,0)),SUM(OFFSET($T$100,$F$21,0):$T172),"")</f>
        <v/>
      </c>
      <c r="BA172" s="190" t="str">
        <f t="shared" ca="1" si="118"/>
        <v/>
      </c>
      <c r="BB172" s="190" t="str">
        <f t="shared" ca="1" si="70"/>
        <v/>
      </c>
      <c r="BC172" s="190"/>
      <c r="BD172" s="190" t="str">
        <f ca="1">IFERROR(IF(AND($B172&gt;=($F$16-$F$15),$B172&lt;$F$22+($F$16-$F$15)),SUM(OFFSET($T$100,($F$16-$F$15),0):$T172),""),"")</f>
        <v/>
      </c>
      <c r="BE172" s="190" t="str">
        <f t="shared" ca="1" si="143"/>
        <v/>
      </c>
      <c r="BF172" s="190" t="str">
        <f t="shared" ca="1" si="144"/>
        <v/>
      </c>
      <c r="BG172"/>
      <c r="BH172" s="190" t="str">
        <f ca="1">IF(ISNUMBER(OFFSET(BD172,-$F$21,0)),SUM(OFFSET($T$100,($F$16-$F$15+$F$21),0):$T172),"")</f>
        <v/>
      </c>
      <c r="BI172" s="190" t="str">
        <f t="shared" ca="1" si="119"/>
        <v/>
      </c>
      <c r="BJ172" s="190" t="str">
        <f t="shared" ca="1" si="145"/>
        <v/>
      </c>
      <c r="BK172" s="190"/>
      <c r="BL172" s="190" t="str">
        <f ca="1">IFERROR(IF(AND($B172&gt;=($F$17-$F$15),$B172&lt;$F$22+($F$17-$F$15)),SUM(OFFSET($T$100,($F$17-$F$15),0):$T172),""),"")</f>
        <v/>
      </c>
      <c r="BM172" s="190" t="str">
        <f t="shared" ca="1" si="120"/>
        <v/>
      </c>
      <c r="BN172" s="190" t="str">
        <f t="shared" ca="1" si="146"/>
        <v/>
      </c>
      <c r="BO172"/>
      <c r="BP172" s="190" t="str">
        <f ca="1">IF(ISNUMBER(OFFSET(BL172,-$F$21,0)),SUM(OFFSET($T$100,($F$17-$F$15+$F$21),0):$T172),"")</f>
        <v/>
      </c>
      <c r="BQ172" s="190" t="str">
        <f t="shared" ca="1" si="121"/>
        <v/>
      </c>
      <c r="BR172" s="190" t="str">
        <f t="shared" ca="1" si="147"/>
        <v/>
      </c>
      <c r="BS172" s="190"/>
      <c r="BT172"/>
      <c r="BU172"/>
      <c r="BV172"/>
      <c r="BY172" s="99"/>
      <c r="BZ172" s="99"/>
      <c r="CA172" s="280" t="str">
        <f t="shared" si="122"/>
        <v/>
      </c>
      <c r="CB172" s="71" t="str">
        <f t="shared" si="123"/>
        <v>-</v>
      </c>
      <c r="CC172" s="33"/>
      <c r="CD172" s="261" t="str">
        <f t="shared" si="124"/>
        <v/>
      </c>
      <c r="CE172" s="280" t="str">
        <f t="shared" si="125"/>
        <v>-</v>
      </c>
      <c r="CF172" s="71" t="str">
        <f t="shared" ca="1" si="126"/>
        <v>-</v>
      </c>
      <c r="CG172" s="33" t="str">
        <f t="shared" si="127"/>
        <v>72-73</v>
      </c>
      <c r="CH172" s="261" t="str">
        <f t="shared" ca="1" si="128"/>
        <v/>
      </c>
      <c r="CI172" s="99"/>
      <c r="CJ172" s="99"/>
      <c r="CK172" s="99"/>
      <c r="CL172" s="99"/>
      <c r="CM172" s="99"/>
      <c r="CN172" s="99"/>
      <c r="CO172" s="99"/>
    </row>
    <row r="173" spans="2:93" ht="13.5" customHeight="1" x14ac:dyDescent="0.2">
      <c r="B173" s="262">
        <v>73</v>
      </c>
      <c r="C173" s="237" t="str">
        <f t="shared" si="92"/>
        <v/>
      </c>
      <c r="D173" s="237" t="str">
        <f t="shared" si="148"/>
        <v>-</v>
      </c>
      <c r="E173" s="290" t="str">
        <f t="shared" si="129"/>
        <v/>
      </c>
      <c r="F173" s="264" t="str">
        <f t="shared" si="130"/>
        <v/>
      </c>
      <c r="G173" s="291" t="str">
        <f t="shared" si="131"/>
        <v/>
      </c>
      <c r="H173" s="240" t="str">
        <f t="shared" si="93"/>
        <v/>
      </c>
      <c r="I173" s="265" t="str">
        <f t="shared" si="94"/>
        <v/>
      </c>
      <c r="J173" s="265" t="str">
        <f t="shared" si="95"/>
        <v/>
      </c>
      <c r="K173" s="240" t="str">
        <f t="shared" si="96"/>
        <v/>
      </c>
      <c r="L173" s="265" t="str">
        <f t="shared" si="97"/>
        <v/>
      </c>
      <c r="M173" s="265" t="str">
        <f t="shared" si="98"/>
        <v/>
      </c>
      <c r="N173" s="240" t="str">
        <f t="shared" si="99"/>
        <v>-</v>
      </c>
      <c r="O173" s="265" t="str">
        <f t="shared" si="100"/>
        <v>-</v>
      </c>
      <c r="P173" s="265" t="str">
        <f t="shared" si="101"/>
        <v>-</v>
      </c>
      <c r="Q173" s="266" t="str">
        <f t="shared" si="102"/>
        <v>-</v>
      </c>
      <c r="R173" s="267" t="str">
        <f t="shared" si="103"/>
        <v>-</v>
      </c>
      <c r="S173" s="268" t="str">
        <f t="shared" si="104"/>
        <v>-</v>
      </c>
      <c r="T173" s="269" t="str">
        <f t="shared" si="105"/>
        <v/>
      </c>
      <c r="U173" s="221">
        <f t="shared" si="106"/>
        <v>73</v>
      </c>
      <c r="V173" s="220" t="str">
        <f t="shared" si="132"/>
        <v>-</v>
      </c>
      <c r="W173" s="221" t="str">
        <f t="shared" si="133"/>
        <v>-</v>
      </c>
      <c r="X173" s="221" t="str">
        <f t="shared" si="107"/>
        <v>-</v>
      </c>
      <c r="Y173" s="221" t="str">
        <f t="shared" si="108"/>
        <v>-</v>
      </c>
      <c r="Z173" s="270">
        <f t="shared" si="134"/>
        <v>0.1</v>
      </c>
      <c r="AA173" s="271" t="str">
        <f>IFERROR(IF(V172=1,AA$100*EXP(-(LN(2)/$D$65+0.04)*X172)*EXP(-(LN(2)/$D$65+0.1)*Y172),IF(V172=2,AA$100*EXP(-(LN(2)/$D$65+0.04)*(VLOOKUP(($F$16-$F$15)-1,U$99:Y172,4,FALSE)))*EXP(-(LN(2)/$D$65+0.1)*(VLOOKUP(($F$16-$F$15)-1,U$99:Y172,5,FALSE)))*EXP(-(LN(2)/$D$65+0.04)*X172)*EXP(-(LN(2)/$D$65+0.1)*Y172),IF(V172=3,AA$100*EXP(-(LN(2)/$D$65+0.04)*(VLOOKUP(($F$16-$F$15)-1,U$99:Y172,4,FALSE)))*EXP(-(LN(2)/$D$65+0.1)*(VLOOKUP(($F$16-$F$15)-1,U$99:Y172,5,FALSE)))*EXP(-(LN(2)/$D$65+0.04)*(VLOOKUP(($F$16-$F$15)*2-1,U$99:Y172,4,FALSE)))*EXP(-(LN(2)/$D$65+0.1)*(VLOOKUP(($F$16-$F$15)*2-1,U$99:Y172,5,FALSE)))*EXP(-(LN(2)/$D$65+0.04)*X172)*EXP(-(LN(2)/$D$65+0.1)*Y172),"-"))),"-")</f>
        <v>-</v>
      </c>
      <c r="AB173" s="271" t="str">
        <f>IFERROR(IF(V173=1,AB$100*EXP(-(LN(2)/$D$65+0.04)*X173)*EXP(-(LN(2)/$D$65+0.1)*Y173),IF(V173=2,AB$100*EXP(-(LN(2)/$D$65+0.04)*(VLOOKUP(($F$16-$F$15)-1,U$100:Y173,4,FALSE)))*EXP(-(LN(2)/$D$65+0.1)*(VLOOKUP(($F$16-$F$15)-1,U$100:Y173,5,FALSE)))*EXP(-(LN(2)/$D$65+0.04)*X173)*EXP(-(LN(2)/$D$65+0.1)*Y173),IF(V173=3,AB$100*EXP(-(LN(2)/$D$65+0.04)*(VLOOKUP(($F$16-$F$15)-1,U$100:Y173,4,FALSE)))*EXP(-(LN(2)/$D$65+0.1)*(VLOOKUP(($F$16-$F$15)-1,U$100:Y173,5,FALSE)))*EXP(-(LN(2)/$D$65+0.04)*(VLOOKUP(($F$16-$F$15)*2-1,U$100:Y173,4,FALSE)))*EXP(-(LN(2)/$D$65+0.1)*(VLOOKUP(($F$16-$F$15)*2-1,U$100:Y173,5,FALSE)))*EXP(-(LN(2)/$D$65+0.04)*X173)*EXP(-(LN(2)/$D$65+0.1)*Y173),"-"))),"-")</f>
        <v>-</v>
      </c>
      <c r="AC173" s="224">
        <f t="shared" si="135"/>
        <v>73</v>
      </c>
      <c r="AD173" s="223" t="str">
        <f t="shared" si="109"/>
        <v>-</v>
      </c>
      <c r="AE173" s="224" t="str">
        <f t="shared" si="136"/>
        <v>-</v>
      </c>
      <c r="AF173" s="224" t="str">
        <f t="shared" si="110"/>
        <v>-</v>
      </c>
      <c r="AG173" s="224" t="str">
        <f t="shared" si="111"/>
        <v>-</v>
      </c>
      <c r="AH173" s="272">
        <f t="shared" si="137"/>
        <v>0.1</v>
      </c>
      <c r="AI173" s="271" t="str">
        <f>IFERROR(IF(AD172=1,AI$100*EXP(-(LN(2)/$D$65+0.04)*AF172)*EXP(-(LN(2)/$D$65+0.1)*AG172),IF(AD172=2,AI$100*EXP(-(LN(2)/$D$65+0.04)*(VLOOKUP(($F$16-$F$15)-1,AC$99:AG172,4,FALSE)))*EXP(-(LN(2)/$D$65+0.1)*(VLOOKUP(($F$16-$F$15)-1,AC$99:AG172,5,FALSE)))*EXP(-(LN(2)/$D$65+0.04)*AF172)*EXP(-(LN(2)/$D$65+0.1)*AG172),IF(AD172=3,AI$100*EXP(-(LN(2)/$D$65+0.04)*(VLOOKUP(($F$16-$F$15)-1,AC$99:AG172,4,FALSE)))*EXP(-(LN(2)/$D$65+0.1)*(VLOOKUP(($F$16-$F$15)-1,AC$99:AG172,5,FALSE)))*EXP(-(LN(2)/$D$65+0.04)*(VLOOKUP(($F$16-$F$15)*2-1,AC$99:AG172,4,FALSE)))*EXP(-(LN(2)/$D$65+0.1)*(VLOOKUP(($F$16-$F$15)*2-1,AC$99:AG172,5,FALSE)))*EXP(-(LN(2)/$D$65+0.04)*AF172)*EXP(-(LN(2)/$D$65+0.1)*AG172),"-"))),"-")</f>
        <v>-</v>
      </c>
      <c r="AJ173" s="271" t="str">
        <f>IFERROR(IF(AD173=1,AJ$100*EXP(-(LN(2)/$D$65+0.04)*AF173)*EXP(-(LN(2)/$D$65+0.1)*AG173),IF(AD173=2,AJ$100*EXP(-(LN(2)/$D$65+0.04)*(VLOOKUP(($F$16-$F$15)-1,AC$100:AG173,4,FALSE)))*EXP(-(LN(2)/$D$65+0.1)*(VLOOKUP(($F$16-$F$15)-1,AC$100:AG173,5,FALSE)))*EXP(-(LN(2)/$D$65+0.04)*AF173)*EXP(-(LN(2)/$D$65+0.1)*AG173),IF(AD173=3,AJ$100*EXP(-(LN(2)/$D$65+0.04)*(VLOOKUP(($F$16-$F$15)-1,AC$100:AG173,4,FALSE)))*EXP(-(LN(2)/$D$65+0.1)*(VLOOKUP(($F$16-$F$15)-1,AC$100:AG173,5,FALSE)))*EXP(-(LN(2)/$D$65+0.04)*(VLOOKUP(($F$16-$F$15)*2-1,AC$100:AG173,4,FALSE)))*EXP(-(LN(2)/$D$65+0.1)*(VLOOKUP(($F$16-$F$15)*2-1,AC$100:AG173,5,FALSE)))*EXP(-(LN(2)/$D$65+0.04)*AF173)*EXP(-(LN(2)/$D$65+0.1)*AG173),"-"))),"-")</f>
        <v>-</v>
      </c>
      <c r="AK173" s="227">
        <f t="shared" si="138"/>
        <v>73</v>
      </c>
      <c r="AL173" s="226" t="str">
        <f t="shared" si="112"/>
        <v>-</v>
      </c>
      <c r="AM173" s="227" t="str">
        <f t="shared" si="139"/>
        <v>-</v>
      </c>
      <c r="AN173" s="227" t="str">
        <f t="shared" si="140"/>
        <v>-</v>
      </c>
      <c r="AO173" s="227" t="str">
        <f t="shared" si="113"/>
        <v>-</v>
      </c>
      <c r="AP173" s="273">
        <f t="shared" si="141"/>
        <v>0.1</v>
      </c>
      <c r="AQ173" s="271" t="str">
        <f>IFERROR(IF(AL172=1,AQ$100*EXP(-(LN(2)/$D$65+0.04)*AN172)*EXP(-(LN(2)/$D$65+0.1)*AO172),IF(AL172=2,AQ$100*EXP(-(LN(2)/$D$65+0.04)*(VLOOKUP(($F$16-$F$15)-1,AK$99:AO172,4,FALSE)))*EXP(-(LN(2)/$D$65+0.1)*(VLOOKUP(($F$16-$F$15)-1,AK$99:AO172,5,FALSE)))*EXP(-(LN(2)/$D$65+0.04)*AN172)*EXP(-(LN(2)/$D$65+0.1)*AO172),IF(AL172=3,AQ$100*EXP(-(LN(2)/$D$65+0.04)*(VLOOKUP(($F$16-$F$15)-1,AK$99:AO172,4,FALSE)))*EXP(-(LN(2)/$D$65+0.1)*(VLOOKUP(($F$16-$F$15)-1,AK$99:AO172,5,FALSE)))*EXP(-(LN(2)/$D$65+0.04)*(VLOOKUP(($F$16-$F$15)*2-1,AK$99:AO172,4,FALSE)))*EXP(-(LN(2)/$D$65+0.1)*(VLOOKUP(($F$16-$F$15)*2-1,AK$99:AO172,5,FALSE)))*EXP(-(LN(2)/$D$65+0.04)*AN172)*EXP(-(LN(2)/$D$65+0.1)*AO172),"-"))),"-")</f>
        <v>-</v>
      </c>
      <c r="AR173" s="271" t="str">
        <f>IFERROR(IF(AL173=1,AR$100*EXP(-(LN(2)/$D$65+0.04)*AN173)*EXP(-(LN(2)/$D$65+0.1)*AO173),IF(AL173=2,AR$100*EXP(-(LN(2)/$D$65+0.04)*(VLOOKUP(($F$16-$F$15)-1,AK$100:AO173,4,FALSE)))*EXP(-(LN(2)/$D$65+0.1)*(VLOOKUP(($F$16-$F$15)-1,AK$100:AO173,5,FALSE)))*EXP(-(LN(2)/$D$65+0.04)*AN173)*EXP(-(LN(2)/$D$65+0.1)*AO173),IF(AL173=3,AR$100*EXP(-(LN(2)/$D$65+0.04)*(VLOOKUP(($F$16-$F$15)-1,AK$100:AO173,4,FALSE)))*EXP(-(LN(2)/$D$65+0.1)*(VLOOKUP(($F$16-$F$15)-1,AK$100:AO173,5,FALSE)))*EXP(-(LN(2)/$D$65+0.04)*(VLOOKUP(($F$16-$F$15)*2-1,AK$100:AO173,4,FALSE)))*EXP(-(LN(2)/$D$65+0.1)*(VLOOKUP(($F$16-$F$15)*2-1,AK$100:AO173,5,FALSE)))*EXP(-(LN(2)/$D$65+0.04)*AN173)*EXP(-(LN(2)/$D$65+0.1)*AO173),"-"))),"-")</f>
        <v>-</v>
      </c>
      <c r="AS173" s="274">
        <f t="shared" si="114"/>
        <v>0</v>
      </c>
      <c r="AT173" s="274">
        <f t="shared" si="115"/>
        <v>0</v>
      </c>
      <c r="AU173" s="274">
        <f t="shared" si="116"/>
        <v>0</v>
      </c>
      <c r="AV173" s="190">
        <f>IF($B173&lt;$F$22,SUM($T$100:$T173),"")</f>
        <v>0</v>
      </c>
      <c r="AW173" s="190" t="str">
        <f t="shared" si="117"/>
        <v>-</v>
      </c>
      <c r="AX173" s="190" t="str">
        <f t="shared" si="142"/>
        <v/>
      </c>
      <c r="AY173"/>
      <c r="AZ173" s="190" t="str">
        <f ca="1">IF(ISNUMBER(OFFSET(AV173,-$F$21,0)),SUM(OFFSET($T$100,$F$21,0):$T173),"")</f>
        <v/>
      </c>
      <c r="BA173" s="190" t="str">
        <f t="shared" ca="1" si="118"/>
        <v/>
      </c>
      <c r="BB173" s="190" t="str">
        <f t="shared" ca="1" si="70"/>
        <v/>
      </c>
      <c r="BC173" s="190"/>
      <c r="BD173" s="190" t="str">
        <f ca="1">IFERROR(IF(AND($B173&gt;=($F$16-$F$15),$B173&lt;$F$22+($F$16-$F$15)),SUM(OFFSET($T$100,($F$16-$F$15),0):$T173),""),"")</f>
        <v/>
      </c>
      <c r="BE173" s="190" t="str">
        <f t="shared" ca="1" si="143"/>
        <v/>
      </c>
      <c r="BF173" s="190" t="str">
        <f t="shared" ca="1" si="144"/>
        <v/>
      </c>
      <c r="BG173"/>
      <c r="BH173" s="190" t="str">
        <f ca="1">IF(ISNUMBER(OFFSET(BD173,-$F$21,0)),SUM(OFFSET($T$100,($F$16-$F$15+$F$21),0):$T173),"")</f>
        <v/>
      </c>
      <c r="BI173" s="190" t="str">
        <f t="shared" ca="1" si="119"/>
        <v/>
      </c>
      <c r="BJ173" s="190" t="str">
        <f t="shared" ca="1" si="145"/>
        <v/>
      </c>
      <c r="BK173" s="190"/>
      <c r="BL173" s="190" t="str">
        <f ca="1">IFERROR(IF(AND($B173&gt;=($F$17-$F$15),$B173&lt;$F$22+($F$17-$F$15)),SUM(OFFSET($T$100,($F$17-$F$15),0):$T173),""),"")</f>
        <v/>
      </c>
      <c r="BM173" s="190" t="str">
        <f t="shared" ca="1" si="120"/>
        <v/>
      </c>
      <c r="BN173" s="190" t="str">
        <f t="shared" ca="1" si="146"/>
        <v/>
      </c>
      <c r="BO173"/>
      <c r="BP173" s="190" t="str">
        <f ca="1">IF(ISNUMBER(OFFSET(BL173,-$F$21,0)),SUM(OFFSET($T$100,($F$17-$F$15+$F$21),0):$T173),"")</f>
        <v/>
      </c>
      <c r="BQ173" s="190" t="str">
        <f t="shared" ca="1" si="121"/>
        <v/>
      </c>
      <c r="BR173" s="190" t="str">
        <f t="shared" ca="1" si="147"/>
        <v/>
      </c>
      <c r="BS173" s="190"/>
      <c r="BT173"/>
      <c r="BU173"/>
      <c r="BV173"/>
      <c r="BY173" s="99"/>
      <c r="BZ173" s="99"/>
      <c r="CA173" s="280" t="str">
        <f t="shared" si="122"/>
        <v/>
      </c>
      <c r="CB173" s="71" t="str">
        <f t="shared" si="123"/>
        <v>-</v>
      </c>
      <c r="CC173" s="33"/>
      <c r="CD173" s="261" t="str">
        <f t="shared" si="124"/>
        <v/>
      </c>
      <c r="CE173" s="280" t="str">
        <f t="shared" si="125"/>
        <v>-</v>
      </c>
      <c r="CF173" s="71" t="str">
        <f t="shared" ca="1" si="126"/>
        <v>-</v>
      </c>
      <c r="CG173" s="33" t="str">
        <f t="shared" si="127"/>
        <v>73-74</v>
      </c>
      <c r="CH173" s="261" t="str">
        <f t="shared" ca="1" si="128"/>
        <v/>
      </c>
      <c r="CI173" s="99"/>
      <c r="CJ173" s="99"/>
      <c r="CK173" s="99"/>
      <c r="CL173" s="99"/>
      <c r="CM173" s="99"/>
      <c r="CN173" s="99"/>
      <c r="CO173" s="99"/>
    </row>
    <row r="174" spans="2:93" ht="13.5" customHeight="1" x14ac:dyDescent="0.2">
      <c r="B174" s="262">
        <v>74</v>
      </c>
      <c r="C174" s="237" t="str">
        <f t="shared" si="92"/>
        <v/>
      </c>
      <c r="D174" s="237" t="str">
        <f t="shared" si="148"/>
        <v>-</v>
      </c>
      <c r="E174" s="290" t="str">
        <f t="shared" si="129"/>
        <v/>
      </c>
      <c r="F174" s="264" t="str">
        <f t="shared" si="130"/>
        <v/>
      </c>
      <c r="G174" s="291" t="str">
        <f t="shared" si="131"/>
        <v/>
      </c>
      <c r="H174" s="240" t="str">
        <f t="shared" si="93"/>
        <v/>
      </c>
      <c r="I174" s="265" t="str">
        <f t="shared" si="94"/>
        <v/>
      </c>
      <c r="J174" s="265" t="str">
        <f t="shared" si="95"/>
        <v/>
      </c>
      <c r="K174" s="240" t="str">
        <f t="shared" si="96"/>
        <v/>
      </c>
      <c r="L174" s="265" t="str">
        <f t="shared" si="97"/>
        <v/>
      </c>
      <c r="M174" s="265" t="str">
        <f t="shared" si="98"/>
        <v/>
      </c>
      <c r="N174" s="240" t="str">
        <f t="shared" si="99"/>
        <v>-</v>
      </c>
      <c r="O174" s="265" t="str">
        <f t="shared" si="100"/>
        <v>-</v>
      </c>
      <c r="P174" s="265" t="str">
        <f t="shared" si="101"/>
        <v>-</v>
      </c>
      <c r="Q174" s="266" t="str">
        <f t="shared" si="102"/>
        <v>-</v>
      </c>
      <c r="R174" s="267" t="str">
        <f t="shared" si="103"/>
        <v>-</v>
      </c>
      <c r="S174" s="268" t="str">
        <f t="shared" si="104"/>
        <v>-</v>
      </c>
      <c r="T174" s="269" t="str">
        <f t="shared" si="105"/>
        <v/>
      </c>
      <c r="U174" s="221">
        <f t="shared" si="106"/>
        <v>74</v>
      </c>
      <c r="V174" s="220" t="str">
        <f t="shared" si="132"/>
        <v>-</v>
      </c>
      <c r="W174" s="221" t="str">
        <f t="shared" si="133"/>
        <v>-</v>
      </c>
      <c r="X174" s="221" t="str">
        <f t="shared" si="107"/>
        <v>-</v>
      </c>
      <c r="Y174" s="221" t="str">
        <f t="shared" si="108"/>
        <v>-</v>
      </c>
      <c r="Z174" s="270">
        <f t="shared" si="134"/>
        <v>0.1</v>
      </c>
      <c r="AA174" s="271" t="str">
        <f>IFERROR(IF(V173=1,AA$100*EXP(-(LN(2)/$D$65+0.04)*X173)*EXP(-(LN(2)/$D$65+0.1)*Y173),IF(V173=2,AA$100*EXP(-(LN(2)/$D$65+0.04)*(VLOOKUP(($F$16-$F$15)-1,U$99:Y173,4,FALSE)))*EXP(-(LN(2)/$D$65+0.1)*(VLOOKUP(($F$16-$F$15)-1,U$99:Y173,5,FALSE)))*EXP(-(LN(2)/$D$65+0.04)*X173)*EXP(-(LN(2)/$D$65+0.1)*Y173),IF(V173=3,AA$100*EXP(-(LN(2)/$D$65+0.04)*(VLOOKUP(($F$16-$F$15)-1,U$99:Y173,4,FALSE)))*EXP(-(LN(2)/$D$65+0.1)*(VLOOKUP(($F$16-$F$15)-1,U$99:Y173,5,FALSE)))*EXP(-(LN(2)/$D$65+0.04)*(VLOOKUP(($F$16-$F$15)*2-1,U$99:Y173,4,FALSE)))*EXP(-(LN(2)/$D$65+0.1)*(VLOOKUP(($F$16-$F$15)*2-1,U$99:Y173,5,FALSE)))*EXP(-(LN(2)/$D$65+0.04)*X173)*EXP(-(LN(2)/$D$65+0.1)*Y173),"-"))),"-")</f>
        <v>-</v>
      </c>
      <c r="AB174" s="271" t="str">
        <f>IFERROR(IF(V174=1,AB$100*EXP(-(LN(2)/$D$65+0.04)*X174)*EXP(-(LN(2)/$D$65+0.1)*Y174),IF(V174=2,AB$100*EXP(-(LN(2)/$D$65+0.04)*(VLOOKUP(($F$16-$F$15)-1,U$100:Y174,4,FALSE)))*EXP(-(LN(2)/$D$65+0.1)*(VLOOKUP(($F$16-$F$15)-1,U$100:Y174,5,FALSE)))*EXP(-(LN(2)/$D$65+0.04)*X174)*EXP(-(LN(2)/$D$65+0.1)*Y174),IF(V174=3,AB$100*EXP(-(LN(2)/$D$65+0.04)*(VLOOKUP(($F$16-$F$15)-1,U$100:Y174,4,FALSE)))*EXP(-(LN(2)/$D$65+0.1)*(VLOOKUP(($F$16-$F$15)-1,U$100:Y174,5,FALSE)))*EXP(-(LN(2)/$D$65+0.04)*(VLOOKUP(($F$16-$F$15)*2-1,U$100:Y174,4,FALSE)))*EXP(-(LN(2)/$D$65+0.1)*(VLOOKUP(($F$16-$F$15)*2-1,U$100:Y174,5,FALSE)))*EXP(-(LN(2)/$D$65+0.04)*X174)*EXP(-(LN(2)/$D$65+0.1)*Y174),"-"))),"-")</f>
        <v>-</v>
      </c>
      <c r="AC174" s="224">
        <f t="shared" si="135"/>
        <v>74</v>
      </c>
      <c r="AD174" s="223" t="str">
        <f t="shared" si="109"/>
        <v>-</v>
      </c>
      <c r="AE174" s="224" t="str">
        <f t="shared" si="136"/>
        <v>-</v>
      </c>
      <c r="AF174" s="224" t="str">
        <f t="shared" si="110"/>
        <v>-</v>
      </c>
      <c r="AG174" s="224" t="str">
        <f t="shared" si="111"/>
        <v>-</v>
      </c>
      <c r="AH174" s="272">
        <f t="shared" si="137"/>
        <v>0.1</v>
      </c>
      <c r="AI174" s="271" t="str">
        <f>IFERROR(IF(AD173=1,AI$100*EXP(-(LN(2)/$D$65+0.04)*AF173)*EXP(-(LN(2)/$D$65+0.1)*AG173),IF(AD173=2,AI$100*EXP(-(LN(2)/$D$65+0.04)*(VLOOKUP(($F$16-$F$15)-1,AC$99:AG173,4,FALSE)))*EXP(-(LN(2)/$D$65+0.1)*(VLOOKUP(($F$16-$F$15)-1,AC$99:AG173,5,FALSE)))*EXP(-(LN(2)/$D$65+0.04)*AF173)*EXP(-(LN(2)/$D$65+0.1)*AG173),IF(AD173=3,AI$100*EXP(-(LN(2)/$D$65+0.04)*(VLOOKUP(($F$16-$F$15)-1,AC$99:AG173,4,FALSE)))*EXP(-(LN(2)/$D$65+0.1)*(VLOOKUP(($F$16-$F$15)-1,AC$99:AG173,5,FALSE)))*EXP(-(LN(2)/$D$65+0.04)*(VLOOKUP(($F$16-$F$15)*2-1,AC$99:AG173,4,FALSE)))*EXP(-(LN(2)/$D$65+0.1)*(VLOOKUP(($F$16-$F$15)*2-1,AC$99:AG173,5,FALSE)))*EXP(-(LN(2)/$D$65+0.04)*AF173)*EXP(-(LN(2)/$D$65+0.1)*AG173),"-"))),"-")</f>
        <v>-</v>
      </c>
      <c r="AJ174" s="271" t="str">
        <f>IFERROR(IF(AD174=1,AJ$100*EXP(-(LN(2)/$D$65+0.04)*AF174)*EXP(-(LN(2)/$D$65+0.1)*AG174),IF(AD174=2,AJ$100*EXP(-(LN(2)/$D$65+0.04)*(VLOOKUP(($F$16-$F$15)-1,AC$100:AG174,4,FALSE)))*EXP(-(LN(2)/$D$65+0.1)*(VLOOKUP(($F$16-$F$15)-1,AC$100:AG174,5,FALSE)))*EXP(-(LN(2)/$D$65+0.04)*AF174)*EXP(-(LN(2)/$D$65+0.1)*AG174),IF(AD174=3,AJ$100*EXP(-(LN(2)/$D$65+0.04)*(VLOOKUP(($F$16-$F$15)-1,AC$100:AG174,4,FALSE)))*EXP(-(LN(2)/$D$65+0.1)*(VLOOKUP(($F$16-$F$15)-1,AC$100:AG174,5,FALSE)))*EXP(-(LN(2)/$D$65+0.04)*(VLOOKUP(($F$16-$F$15)*2-1,AC$100:AG174,4,FALSE)))*EXP(-(LN(2)/$D$65+0.1)*(VLOOKUP(($F$16-$F$15)*2-1,AC$100:AG174,5,FALSE)))*EXP(-(LN(2)/$D$65+0.04)*AF174)*EXP(-(LN(2)/$D$65+0.1)*AG174),"-"))),"-")</f>
        <v>-</v>
      </c>
      <c r="AK174" s="227">
        <f t="shared" si="138"/>
        <v>74</v>
      </c>
      <c r="AL174" s="226" t="str">
        <f t="shared" si="112"/>
        <v>-</v>
      </c>
      <c r="AM174" s="227" t="str">
        <f t="shared" si="139"/>
        <v>-</v>
      </c>
      <c r="AN174" s="227" t="str">
        <f t="shared" si="140"/>
        <v>-</v>
      </c>
      <c r="AO174" s="227" t="str">
        <f t="shared" si="113"/>
        <v>-</v>
      </c>
      <c r="AP174" s="273">
        <f t="shared" si="141"/>
        <v>0.1</v>
      </c>
      <c r="AQ174" s="271" t="str">
        <f>IFERROR(IF(AL173=1,AQ$100*EXP(-(LN(2)/$D$65+0.04)*AN173)*EXP(-(LN(2)/$D$65+0.1)*AO173),IF(AL173=2,AQ$100*EXP(-(LN(2)/$D$65+0.04)*(VLOOKUP(($F$16-$F$15)-1,AK$99:AO173,4,FALSE)))*EXP(-(LN(2)/$D$65+0.1)*(VLOOKUP(($F$16-$F$15)-1,AK$99:AO173,5,FALSE)))*EXP(-(LN(2)/$D$65+0.04)*AN173)*EXP(-(LN(2)/$D$65+0.1)*AO173),IF(AL173=3,AQ$100*EXP(-(LN(2)/$D$65+0.04)*(VLOOKUP(($F$16-$F$15)-1,AK$99:AO173,4,FALSE)))*EXP(-(LN(2)/$D$65+0.1)*(VLOOKUP(($F$16-$F$15)-1,AK$99:AO173,5,FALSE)))*EXP(-(LN(2)/$D$65+0.04)*(VLOOKUP(($F$16-$F$15)*2-1,AK$99:AO173,4,FALSE)))*EXP(-(LN(2)/$D$65+0.1)*(VLOOKUP(($F$16-$F$15)*2-1,AK$99:AO173,5,FALSE)))*EXP(-(LN(2)/$D$65+0.04)*AN173)*EXP(-(LN(2)/$D$65+0.1)*AO173),"-"))),"-")</f>
        <v>-</v>
      </c>
      <c r="AR174" s="271" t="str">
        <f>IFERROR(IF(AL174=1,AR$100*EXP(-(LN(2)/$D$65+0.04)*AN174)*EXP(-(LN(2)/$D$65+0.1)*AO174),IF(AL174=2,AR$100*EXP(-(LN(2)/$D$65+0.04)*(VLOOKUP(($F$16-$F$15)-1,AK$100:AO174,4,FALSE)))*EXP(-(LN(2)/$D$65+0.1)*(VLOOKUP(($F$16-$F$15)-1,AK$100:AO174,5,FALSE)))*EXP(-(LN(2)/$D$65+0.04)*AN174)*EXP(-(LN(2)/$D$65+0.1)*AO174),IF(AL174=3,AR$100*EXP(-(LN(2)/$D$65+0.04)*(VLOOKUP(($F$16-$F$15)-1,AK$100:AO174,4,FALSE)))*EXP(-(LN(2)/$D$65+0.1)*(VLOOKUP(($F$16-$F$15)-1,AK$100:AO174,5,FALSE)))*EXP(-(LN(2)/$D$65+0.04)*(VLOOKUP(($F$16-$F$15)*2-1,AK$100:AO174,4,FALSE)))*EXP(-(LN(2)/$D$65+0.1)*(VLOOKUP(($F$16-$F$15)*2-1,AK$100:AO174,5,FALSE)))*EXP(-(LN(2)/$D$65+0.04)*AN174)*EXP(-(LN(2)/$D$65+0.1)*AO174),"-"))),"-")</f>
        <v>-</v>
      </c>
      <c r="AS174" s="274">
        <f t="shared" si="114"/>
        <v>0</v>
      </c>
      <c r="AT174" s="274">
        <f t="shared" si="115"/>
        <v>0</v>
      </c>
      <c r="AU174" s="274">
        <f t="shared" si="116"/>
        <v>0</v>
      </c>
      <c r="AV174" s="190">
        <f>IF($B174&lt;$F$22,SUM($T$100:$T174),"")</f>
        <v>0</v>
      </c>
      <c r="AW174" s="190" t="str">
        <f t="shared" si="117"/>
        <v>-</v>
      </c>
      <c r="AX174" s="190" t="str">
        <f t="shared" si="142"/>
        <v/>
      </c>
      <c r="AY174"/>
      <c r="AZ174" s="190" t="str">
        <f ca="1">IF(ISNUMBER(OFFSET(AV174,-$F$21,0)),SUM(OFFSET($T$100,$F$21,0):$T174),"")</f>
        <v/>
      </c>
      <c r="BA174" s="190" t="str">
        <f t="shared" ca="1" si="118"/>
        <v/>
      </c>
      <c r="BB174" s="190" t="str">
        <f t="shared" ca="1" si="70"/>
        <v/>
      </c>
      <c r="BC174" s="190"/>
      <c r="BD174" s="190" t="str">
        <f ca="1">IFERROR(IF(AND($B174&gt;=($F$16-$F$15),$B174&lt;$F$22+($F$16-$F$15)),SUM(OFFSET($T$100,($F$16-$F$15),0):$T174),""),"")</f>
        <v/>
      </c>
      <c r="BE174" s="190" t="str">
        <f t="shared" ca="1" si="143"/>
        <v/>
      </c>
      <c r="BF174" s="190" t="str">
        <f t="shared" ca="1" si="144"/>
        <v/>
      </c>
      <c r="BG174"/>
      <c r="BH174" s="190" t="str">
        <f ca="1">IF(ISNUMBER(OFFSET(BD174,-$F$21,0)),SUM(OFFSET($T$100,($F$16-$F$15+$F$21),0):$T174),"")</f>
        <v/>
      </c>
      <c r="BI174" s="190" t="str">
        <f t="shared" ca="1" si="119"/>
        <v/>
      </c>
      <c r="BJ174" s="190" t="str">
        <f t="shared" ca="1" si="145"/>
        <v/>
      </c>
      <c r="BK174" s="190"/>
      <c r="BL174" s="190" t="str">
        <f ca="1">IFERROR(IF(AND($B174&gt;=($F$17-$F$15),$B174&lt;$F$22+($F$17-$F$15)),SUM(OFFSET($T$100,($F$17-$F$15),0):$T174),""),"")</f>
        <v/>
      </c>
      <c r="BM174" s="190" t="str">
        <f t="shared" ca="1" si="120"/>
        <v/>
      </c>
      <c r="BN174" s="190" t="str">
        <f t="shared" ca="1" si="146"/>
        <v/>
      </c>
      <c r="BO174"/>
      <c r="BP174" s="190" t="str">
        <f ca="1">IF(ISNUMBER(OFFSET(BL174,-$F$21,0)),SUM(OFFSET($T$100,($F$17-$F$15+$F$21),0):$T174),"")</f>
        <v/>
      </c>
      <c r="BQ174" s="190" t="str">
        <f t="shared" ca="1" si="121"/>
        <v/>
      </c>
      <c r="BR174" s="190" t="str">
        <f t="shared" ca="1" si="147"/>
        <v/>
      </c>
      <c r="BS174" s="190"/>
      <c r="BT174"/>
      <c r="BU174"/>
      <c r="BV174"/>
      <c r="BY174" s="99"/>
      <c r="BZ174" s="99"/>
      <c r="CA174" s="280" t="str">
        <f t="shared" si="122"/>
        <v/>
      </c>
      <c r="CB174" s="71" t="str">
        <f t="shared" si="123"/>
        <v>-</v>
      </c>
      <c r="CC174" s="33"/>
      <c r="CD174" s="261" t="str">
        <f t="shared" si="124"/>
        <v/>
      </c>
      <c r="CE174" s="280" t="str">
        <f t="shared" si="125"/>
        <v>-</v>
      </c>
      <c r="CF174" s="71" t="str">
        <f t="shared" ca="1" si="126"/>
        <v>-</v>
      </c>
      <c r="CG174" s="33" t="str">
        <f t="shared" si="127"/>
        <v>74-75</v>
      </c>
      <c r="CH174" s="261" t="str">
        <f t="shared" ca="1" si="128"/>
        <v/>
      </c>
      <c r="CI174" s="99"/>
      <c r="CJ174" s="99"/>
      <c r="CK174" s="99"/>
      <c r="CL174" s="99"/>
      <c r="CM174" s="99"/>
      <c r="CN174" s="99"/>
      <c r="CO174" s="99"/>
    </row>
    <row r="175" spans="2:93" ht="13.5" customHeight="1" x14ac:dyDescent="0.2">
      <c r="B175" s="262">
        <v>75</v>
      </c>
      <c r="C175" s="237" t="str">
        <f t="shared" si="92"/>
        <v/>
      </c>
      <c r="D175" s="237" t="str">
        <f t="shared" si="148"/>
        <v>-</v>
      </c>
      <c r="E175" s="290" t="str">
        <f t="shared" si="129"/>
        <v/>
      </c>
      <c r="F175" s="264" t="str">
        <f t="shared" si="130"/>
        <v/>
      </c>
      <c r="G175" s="291" t="str">
        <f t="shared" si="131"/>
        <v/>
      </c>
      <c r="H175" s="240" t="str">
        <f t="shared" si="93"/>
        <v/>
      </c>
      <c r="I175" s="265" t="str">
        <f t="shared" si="94"/>
        <v/>
      </c>
      <c r="J175" s="265" t="str">
        <f t="shared" si="95"/>
        <v/>
      </c>
      <c r="K175" s="240" t="str">
        <f t="shared" si="96"/>
        <v/>
      </c>
      <c r="L175" s="265" t="str">
        <f t="shared" si="97"/>
        <v/>
      </c>
      <c r="M175" s="265" t="str">
        <f t="shared" si="98"/>
        <v/>
      </c>
      <c r="N175" s="240" t="str">
        <f t="shared" si="99"/>
        <v>-</v>
      </c>
      <c r="O175" s="265" t="str">
        <f t="shared" si="100"/>
        <v>-</v>
      </c>
      <c r="P175" s="265" t="str">
        <f t="shared" si="101"/>
        <v>-</v>
      </c>
      <c r="Q175" s="266" t="str">
        <f t="shared" si="102"/>
        <v>-</v>
      </c>
      <c r="R175" s="267" t="str">
        <f t="shared" si="103"/>
        <v>-</v>
      </c>
      <c r="S175" s="268" t="str">
        <f t="shared" si="104"/>
        <v>-</v>
      </c>
      <c r="T175" s="269" t="str">
        <f t="shared" si="105"/>
        <v/>
      </c>
      <c r="U175" s="221">
        <f t="shared" si="106"/>
        <v>75</v>
      </c>
      <c r="V175" s="220" t="str">
        <f t="shared" si="132"/>
        <v>-</v>
      </c>
      <c r="W175" s="221" t="str">
        <f t="shared" si="133"/>
        <v>-</v>
      </c>
      <c r="X175" s="221" t="str">
        <f t="shared" si="107"/>
        <v>-</v>
      </c>
      <c r="Y175" s="221" t="str">
        <f t="shared" si="108"/>
        <v>-</v>
      </c>
      <c r="Z175" s="270">
        <f t="shared" si="134"/>
        <v>0.1</v>
      </c>
      <c r="AA175" s="271" t="str">
        <f>IFERROR(IF(V174=1,AA$100*EXP(-(LN(2)/$D$65+0.04)*X174)*EXP(-(LN(2)/$D$65+0.1)*Y174),IF(V174=2,AA$100*EXP(-(LN(2)/$D$65+0.04)*(VLOOKUP(($F$16-$F$15)-1,U$99:Y174,4,FALSE)))*EXP(-(LN(2)/$D$65+0.1)*(VLOOKUP(($F$16-$F$15)-1,U$99:Y174,5,FALSE)))*EXP(-(LN(2)/$D$65+0.04)*X174)*EXP(-(LN(2)/$D$65+0.1)*Y174),IF(V174=3,AA$100*EXP(-(LN(2)/$D$65+0.04)*(VLOOKUP(($F$16-$F$15)-1,U$99:Y174,4,FALSE)))*EXP(-(LN(2)/$D$65+0.1)*(VLOOKUP(($F$16-$F$15)-1,U$99:Y174,5,FALSE)))*EXP(-(LN(2)/$D$65+0.04)*(VLOOKUP(($F$16-$F$15)*2-1,U$99:Y174,4,FALSE)))*EXP(-(LN(2)/$D$65+0.1)*(VLOOKUP(($F$16-$F$15)*2-1,U$99:Y174,5,FALSE)))*EXP(-(LN(2)/$D$65+0.04)*X174)*EXP(-(LN(2)/$D$65+0.1)*Y174),"-"))),"-")</f>
        <v>-</v>
      </c>
      <c r="AB175" s="271" t="str">
        <f>IFERROR(IF(V175=1,AB$100*EXP(-(LN(2)/$D$65+0.04)*X175)*EXP(-(LN(2)/$D$65+0.1)*Y175),IF(V175=2,AB$100*EXP(-(LN(2)/$D$65+0.04)*(VLOOKUP(($F$16-$F$15)-1,U$100:Y175,4,FALSE)))*EXP(-(LN(2)/$D$65+0.1)*(VLOOKUP(($F$16-$F$15)-1,U$100:Y175,5,FALSE)))*EXP(-(LN(2)/$D$65+0.04)*X175)*EXP(-(LN(2)/$D$65+0.1)*Y175),IF(V175=3,AB$100*EXP(-(LN(2)/$D$65+0.04)*(VLOOKUP(($F$16-$F$15)-1,U$100:Y175,4,FALSE)))*EXP(-(LN(2)/$D$65+0.1)*(VLOOKUP(($F$16-$F$15)-1,U$100:Y175,5,FALSE)))*EXP(-(LN(2)/$D$65+0.04)*(VLOOKUP(($F$16-$F$15)*2-1,U$100:Y175,4,FALSE)))*EXP(-(LN(2)/$D$65+0.1)*(VLOOKUP(($F$16-$F$15)*2-1,U$100:Y175,5,FALSE)))*EXP(-(LN(2)/$D$65+0.04)*X175)*EXP(-(LN(2)/$D$65+0.1)*Y175),"-"))),"-")</f>
        <v>-</v>
      </c>
      <c r="AC175" s="224">
        <f t="shared" si="135"/>
        <v>75</v>
      </c>
      <c r="AD175" s="223" t="str">
        <f t="shared" si="109"/>
        <v>-</v>
      </c>
      <c r="AE175" s="224" t="str">
        <f t="shared" si="136"/>
        <v>-</v>
      </c>
      <c r="AF175" s="224" t="str">
        <f t="shared" si="110"/>
        <v>-</v>
      </c>
      <c r="AG175" s="224" t="str">
        <f t="shared" si="111"/>
        <v>-</v>
      </c>
      <c r="AH175" s="272">
        <f t="shared" si="137"/>
        <v>0.1</v>
      </c>
      <c r="AI175" s="271" t="str">
        <f>IFERROR(IF(AD174=1,AI$100*EXP(-(LN(2)/$D$65+0.04)*AF174)*EXP(-(LN(2)/$D$65+0.1)*AG174),IF(AD174=2,AI$100*EXP(-(LN(2)/$D$65+0.04)*(VLOOKUP(($F$16-$F$15)-1,AC$99:AG174,4,FALSE)))*EXP(-(LN(2)/$D$65+0.1)*(VLOOKUP(($F$16-$F$15)-1,AC$99:AG174,5,FALSE)))*EXP(-(LN(2)/$D$65+0.04)*AF174)*EXP(-(LN(2)/$D$65+0.1)*AG174),IF(AD174=3,AI$100*EXP(-(LN(2)/$D$65+0.04)*(VLOOKUP(($F$16-$F$15)-1,AC$99:AG174,4,FALSE)))*EXP(-(LN(2)/$D$65+0.1)*(VLOOKUP(($F$16-$F$15)-1,AC$99:AG174,5,FALSE)))*EXP(-(LN(2)/$D$65+0.04)*(VLOOKUP(($F$16-$F$15)*2-1,AC$99:AG174,4,FALSE)))*EXP(-(LN(2)/$D$65+0.1)*(VLOOKUP(($F$16-$F$15)*2-1,AC$99:AG174,5,FALSE)))*EXP(-(LN(2)/$D$65+0.04)*AF174)*EXP(-(LN(2)/$D$65+0.1)*AG174),"-"))),"-")</f>
        <v>-</v>
      </c>
      <c r="AJ175" s="271" t="str">
        <f>IFERROR(IF(AD175=1,AJ$100*EXP(-(LN(2)/$D$65+0.04)*AF175)*EXP(-(LN(2)/$D$65+0.1)*AG175),IF(AD175=2,AJ$100*EXP(-(LN(2)/$D$65+0.04)*(VLOOKUP(($F$16-$F$15)-1,AC$100:AG175,4,FALSE)))*EXP(-(LN(2)/$D$65+0.1)*(VLOOKUP(($F$16-$F$15)-1,AC$100:AG175,5,FALSE)))*EXP(-(LN(2)/$D$65+0.04)*AF175)*EXP(-(LN(2)/$D$65+0.1)*AG175),IF(AD175=3,AJ$100*EXP(-(LN(2)/$D$65+0.04)*(VLOOKUP(($F$16-$F$15)-1,AC$100:AG175,4,FALSE)))*EXP(-(LN(2)/$D$65+0.1)*(VLOOKUP(($F$16-$F$15)-1,AC$100:AG175,5,FALSE)))*EXP(-(LN(2)/$D$65+0.04)*(VLOOKUP(($F$16-$F$15)*2-1,AC$100:AG175,4,FALSE)))*EXP(-(LN(2)/$D$65+0.1)*(VLOOKUP(($F$16-$F$15)*2-1,AC$100:AG175,5,FALSE)))*EXP(-(LN(2)/$D$65+0.04)*AF175)*EXP(-(LN(2)/$D$65+0.1)*AG175),"-"))),"-")</f>
        <v>-</v>
      </c>
      <c r="AK175" s="227">
        <f t="shared" si="138"/>
        <v>75</v>
      </c>
      <c r="AL175" s="226" t="str">
        <f t="shared" si="112"/>
        <v>-</v>
      </c>
      <c r="AM175" s="227" t="str">
        <f t="shared" si="139"/>
        <v>-</v>
      </c>
      <c r="AN175" s="227" t="str">
        <f t="shared" si="140"/>
        <v>-</v>
      </c>
      <c r="AO175" s="227" t="str">
        <f t="shared" si="113"/>
        <v>-</v>
      </c>
      <c r="AP175" s="273">
        <f t="shared" si="141"/>
        <v>0.1</v>
      </c>
      <c r="AQ175" s="271" t="str">
        <f>IFERROR(IF(AL174=1,AQ$100*EXP(-(LN(2)/$D$65+0.04)*AN174)*EXP(-(LN(2)/$D$65+0.1)*AO174),IF(AL174=2,AQ$100*EXP(-(LN(2)/$D$65+0.04)*(VLOOKUP(($F$16-$F$15)-1,AK$99:AO174,4,FALSE)))*EXP(-(LN(2)/$D$65+0.1)*(VLOOKUP(($F$16-$F$15)-1,AK$99:AO174,5,FALSE)))*EXP(-(LN(2)/$D$65+0.04)*AN174)*EXP(-(LN(2)/$D$65+0.1)*AO174),IF(AL174=3,AQ$100*EXP(-(LN(2)/$D$65+0.04)*(VLOOKUP(($F$16-$F$15)-1,AK$99:AO174,4,FALSE)))*EXP(-(LN(2)/$D$65+0.1)*(VLOOKUP(($F$16-$F$15)-1,AK$99:AO174,5,FALSE)))*EXP(-(LN(2)/$D$65+0.04)*(VLOOKUP(($F$16-$F$15)*2-1,AK$99:AO174,4,FALSE)))*EXP(-(LN(2)/$D$65+0.1)*(VLOOKUP(($F$16-$F$15)*2-1,AK$99:AO174,5,FALSE)))*EXP(-(LN(2)/$D$65+0.04)*AN174)*EXP(-(LN(2)/$D$65+0.1)*AO174),"-"))),"-")</f>
        <v>-</v>
      </c>
      <c r="AR175" s="271" t="str">
        <f>IFERROR(IF(AL175=1,AR$100*EXP(-(LN(2)/$D$65+0.04)*AN175)*EXP(-(LN(2)/$D$65+0.1)*AO175),IF(AL175=2,AR$100*EXP(-(LN(2)/$D$65+0.04)*(VLOOKUP(($F$16-$F$15)-1,AK$100:AO175,4,FALSE)))*EXP(-(LN(2)/$D$65+0.1)*(VLOOKUP(($F$16-$F$15)-1,AK$100:AO175,5,FALSE)))*EXP(-(LN(2)/$D$65+0.04)*AN175)*EXP(-(LN(2)/$D$65+0.1)*AO175),IF(AL175=3,AR$100*EXP(-(LN(2)/$D$65+0.04)*(VLOOKUP(($F$16-$F$15)-1,AK$100:AO175,4,FALSE)))*EXP(-(LN(2)/$D$65+0.1)*(VLOOKUP(($F$16-$F$15)-1,AK$100:AO175,5,FALSE)))*EXP(-(LN(2)/$D$65+0.04)*(VLOOKUP(($F$16-$F$15)*2-1,AK$100:AO175,4,FALSE)))*EXP(-(LN(2)/$D$65+0.1)*(VLOOKUP(($F$16-$F$15)*2-1,AK$100:AO175,5,FALSE)))*EXP(-(LN(2)/$D$65+0.04)*AN175)*EXP(-(LN(2)/$D$65+0.1)*AO175),"-"))),"-")</f>
        <v>-</v>
      </c>
      <c r="AS175" s="274">
        <f t="shared" si="114"/>
        <v>0</v>
      </c>
      <c r="AT175" s="274">
        <f t="shared" si="115"/>
        <v>0</v>
      </c>
      <c r="AU175" s="274">
        <f t="shared" si="116"/>
        <v>0</v>
      </c>
      <c r="AV175" s="190">
        <f>IF($B175&lt;$F$22,SUM($T$100:$T175),"")</f>
        <v>0</v>
      </c>
      <c r="AW175" s="190" t="str">
        <f t="shared" si="117"/>
        <v>-</v>
      </c>
      <c r="AX175" s="190" t="str">
        <f t="shared" si="142"/>
        <v/>
      </c>
      <c r="AY175"/>
      <c r="AZ175" s="190" t="str">
        <f ca="1">IF(ISNUMBER(OFFSET(AV175,-$F$21,0)),SUM(OFFSET($T$100,$F$21,0):$T175),"")</f>
        <v/>
      </c>
      <c r="BA175" s="190" t="str">
        <f t="shared" ca="1" si="118"/>
        <v/>
      </c>
      <c r="BB175" s="190" t="str">
        <f t="shared" ca="1" si="70"/>
        <v/>
      </c>
      <c r="BC175" s="190"/>
      <c r="BD175" s="190" t="str">
        <f ca="1">IFERROR(IF(AND($B175&gt;=($F$16-$F$15),$B175&lt;$F$22+($F$16-$F$15)),SUM(OFFSET($T$100,($F$16-$F$15),0):$T175),""),"")</f>
        <v/>
      </c>
      <c r="BE175" s="190" t="str">
        <f t="shared" ca="1" si="143"/>
        <v/>
      </c>
      <c r="BF175" s="190" t="str">
        <f t="shared" ca="1" si="144"/>
        <v/>
      </c>
      <c r="BG175"/>
      <c r="BH175" s="190" t="str">
        <f ca="1">IF(ISNUMBER(OFFSET(BD175,-$F$21,0)),SUM(OFFSET($T$100,($F$16-$F$15+$F$21),0):$T175),"")</f>
        <v/>
      </c>
      <c r="BI175" s="190" t="str">
        <f t="shared" ca="1" si="119"/>
        <v/>
      </c>
      <c r="BJ175" s="190" t="str">
        <f t="shared" ca="1" si="145"/>
        <v/>
      </c>
      <c r="BK175" s="190"/>
      <c r="BL175" s="190" t="str">
        <f ca="1">IFERROR(IF(AND($B175&gt;=($F$17-$F$15),$B175&lt;$F$22+($F$17-$F$15)),SUM(OFFSET($T$100,($F$17-$F$15),0):$T175),""),"")</f>
        <v/>
      </c>
      <c r="BM175" s="190" t="str">
        <f t="shared" ca="1" si="120"/>
        <v/>
      </c>
      <c r="BN175" s="190" t="str">
        <f t="shared" ca="1" si="146"/>
        <v/>
      </c>
      <c r="BO175"/>
      <c r="BP175" s="190" t="str">
        <f ca="1">IF(ISNUMBER(OFFSET(BL175,-$F$21,0)),SUM(OFFSET($T$100,($F$17-$F$15+$F$21),0):$T175),"")</f>
        <v/>
      </c>
      <c r="BQ175" s="190" t="str">
        <f t="shared" ca="1" si="121"/>
        <v/>
      </c>
      <c r="BR175" s="190" t="str">
        <f t="shared" ca="1" si="147"/>
        <v/>
      </c>
      <c r="BS175" s="190"/>
      <c r="BT175"/>
      <c r="BU175"/>
      <c r="BV175"/>
      <c r="BY175" s="99"/>
      <c r="BZ175" s="99"/>
      <c r="CA175" s="280" t="str">
        <f t="shared" si="122"/>
        <v/>
      </c>
      <c r="CB175" s="71" t="str">
        <f t="shared" si="123"/>
        <v>-</v>
      </c>
      <c r="CC175" s="33"/>
      <c r="CD175" s="261" t="str">
        <f t="shared" si="124"/>
        <v/>
      </c>
      <c r="CE175" s="280" t="str">
        <f t="shared" si="125"/>
        <v>-</v>
      </c>
      <c r="CF175" s="71" t="str">
        <f t="shared" ca="1" si="126"/>
        <v>-</v>
      </c>
      <c r="CG175" s="33" t="str">
        <f t="shared" si="127"/>
        <v>75-76</v>
      </c>
      <c r="CH175" s="261" t="str">
        <f t="shared" ca="1" si="128"/>
        <v/>
      </c>
      <c r="CI175" s="99"/>
      <c r="CJ175" s="99"/>
      <c r="CK175" s="99"/>
      <c r="CL175" s="99"/>
      <c r="CM175" s="99"/>
      <c r="CN175" s="99"/>
      <c r="CO175" s="99"/>
    </row>
    <row r="176" spans="2:93" ht="13.5" customHeight="1" x14ac:dyDescent="0.2">
      <c r="B176" s="262">
        <v>76</v>
      </c>
      <c r="C176" s="237" t="str">
        <f t="shared" si="92"/>
        <v/>
      </c>
      <c r="D176" s="237" t="str">
        <f t="shared" si="148"/>
        <v>-</v>
      </c>
      <c r="E176" s="290" t="str">
        <f t="shared" si="129"/>
        <v/>
      </c>
      <c r="F176" s="264" t="str">
        <f t="shared" si="130"/>
        <v/>
      </c>
      <c r="G176" s="291" t="str">
        <f t="shared" si="131"/>
        <v/>
      </c>
      <c r="H176" s="240" t="str">
        <f t="shared" si="93"/>
        <v/>
      </c>
      <c r="I176" s="265" t="str">
        <f t="shared" si="94"/>
        <v/>
      </c>
      <c r="J176" s="265" t="str">
        <f t="shared" si="95"/>
        <v/>
      </c>
      <c r="K176" s="240" t="str">
        <f t="shared" si="96"/>
        <v/>
      </c>
      <c r="L176" s="265" t="str">
        <f t="shared" si="97"/>
        <v/>
      </c>
      <c r="M176" s="265" t="str">
        <f t="shared" si="98"/>
        <v/>
      </c>
      <c r="N176" s="240" t="str">
        <f t="shared" si="99"/>
        <v>-</v>
      </c>
      <c r="O176" s="265" t="str">
        <f t="shared" si="100"/>
        <v>-</v>
      </c>
      <c r="P176" s="265" t="str">
        <f t="shared" si="101"/>
        <v>-</v>
      </c>
      <c r="Q176" s="266" t="str">
        <f t="shared" si="102"/>
        <v>-</v>
      </c>
      <c r="R176" s="267" t="str">
        <f t="shared" si="103"/>
        <v>-</v>
      </c>
      <c r="S176" s="268" t="str">
        <f t="shared" si="104"/>
        <v>-</v>
      </c>
      <c r="T176" s="269" t="str">
        <f t="shared" si="105"/>
        <v/>
      </c>
      <c r="U176" s="221">
        <f t="shared" si="106"/>
        <v>76</v>
      </c>
      <c r="V176" s="220" t="str">
        <f t="shared" si="132"/>
        <v>-</v>
      </c>
      <c r="W176" s="221" t="str">
        <f t="shared" si="133"/>
        <v>-</v>
      </c>
      <c r="X176" s="221" t="str">
        <f t="shared" si="107"/>
        <v>-</v>
      </c>
      <c r="Y176" s="221" t="str">
        <f t="shared" si="108"/>
        <v>-</v>
      </c>
      <c r="Z176" s="270">
        <f t="shared" si="134"/>
        <v>0.1</v>
      </c>
      <c r="AA176" s="271" t="str">
        <f>IFERROR(IF(V175=1,AA$100*EXP(-(LN(2)/$D$65+0.04)*X175)*EXP(-(LN(2)/$D$65+0.1)*Y175),IF(V175=2,AA$100*EXP(-(LN(2)/$D$65+0.04)*(VLOOKUP(($F$16-$F$15)-1,U$99:Y175,4,FALSE)))*EXP(-(LN(2)/$D$65+0.1)*(VLOOKUP(($F$16-$F$15)-1,U$99:Y175,5,FALSE)))*EXP(-(LN(2)/$D$65+0.04)*X175)*EXP(-(LN(2)/$D$65+0.1)*Y175),IF(V175=3,AA$100*EXP(-(LN(2)/$D$65+0.04)*(VLOOKUP(($F$16-$F$15)-1,U$99:Y175,4,FALSE)))*EXP(-(LN(2)/$D$65+0.1)*(VLOOKUP(($F$16-$F$15)-1,U$99:Y175,5,FALSE)))*EXP(-(LN(2)/$D$65+0.04)*(VLOOKUP(($F$16-$F$15)*2-1,U$99:Y175,4,FALSE)))*EXP(-(LN(2)/$D$65+0.1)*(VLOOKUP(($F$16-$F$15)*2-1,U$99:Y175,5,FALSE)))*EXP(-(LN(2)/$D$65+0.04)*X175)*EXP(-(LN(2)/$D$65+0.1)*Y175),"-"))),"-")</f>
        <v>-</v>
      </c>
      <c r="AB176" s="271" t="str">
        <f>IFERROR(IF(V176=1,AB$100*EXP(-(LN(2)/$D$65+0.04)*X176)*EXP(-(LN(2)/$D$65+0.1)*Y176),IF(V176=2,AB$100*EXP(-(LN(2)/$D$65+0.04)*(VLOOKUP(($F$16-$F$15)-1,U$100:Y176,4,FALSE)))*EXP(-(LN(2)/$D$65+0.1)*(VLOOKUP(($F$16-$F$15)-1,U$100:Y176,5,FALSE)))*EXP(-(LN(2)/$D$65+0.04)*X176)*EXP(-(LN(2)/$D$65+0.1)*Y176),IF(V176=3,AB$100*EXP(-(LN(2)/$D$65+0.04)*(VLOOKUP(($F$16-$F$15)-1,U$100:Y176,4,FALSE)))*EXP(-(LN(2)/$D$65+0.1)*(VLOOKUP(($F$16-$F$15)-1,U$100:Y176,5,FALSE)))*EXP(-(LN(2)/$D$65+0.04)*(VLOOKUP(($F$16-$F$15)*2-1,U$100:Y176,4,FALSE)))*EXP(-(LN(2)/$D$65+0.1)*(VLOOKUP(($F$16-$F$15)*2-1,U$100:Y176,5,FALSE)))*EXP(-(LN(2)/$D$65+0.04)*X176)*EXP(-(LN(2)/$D$65+0.1)*Y176),"-"))),"-")</f>
        <v>-</v>
      </c>
      <c r="AC176" s="224">
        <f t="shared" si="135"/>
        <v>76</v>
      </c>
      <c r="AD176" s="223" t="str">
        <f t="shared" si="109"/>
        <v>-</v>
      </c>
      <c r="AE176" s="224" t="str">
        <f t="shared" si="136"/>
        <v>-</v>
      </c>
      <c r="AF176" s="224" t="str">
        <f t="shared" si="110"/>
        <v>-</v>
      </c>
      <c r="AG176" s="224" t="str">
        <f t="shared" si="111"/>
        <v>-</v>
      </c>
      <c r="AH176" s="272">
        <f t="shared" si="137"/>
        <v>0.1</v>
      </c>
      <c r="AI176" s="271" t="str">
        <f>IFERROR(IF(AD175=1,AI$100*EXP(-(LN(2)/$D$65+0.04)*AF175)*EXP(-(LN(2)/$D$65+0.1)*AG175),IF(AD175=2,AI$100*EXP(-(LN(2)/$D$65+0.04)*(VLOOKUP(($F$16-$F$15)-1,AC$99:AG175,4,FALSE)))*EXP(-(LN(2)/$D$65+0.1)*(VLOOKUP(($F$16-$F$15)-1,AC$99:AG175,5,FALSE)))*EXP(-(LN(2)/$D$65+0.04)*AF175)*EXP(-(LN(2)/$D$65+0.1)*AG175),IF(AD175=3,AI$100*EXP(-(LN(2)/$D$65+0.04)*(VLOOKUP(($F$16-$F$15)-1,AC$99:AG175,4,FALSE)))*EXP(-(LN(2)/$D$65+0.1)*(VLOOKUP(($F$16-$F$15)-1,AC$99:AG175,5,FALSE)))*EXP(-(LN(2)/$D$65+0.04)*(VLOOKUP(($F$16-$F$15)*2-1,AC$99:AG175,4,FALSE)))*EXP(-(LN(2)/$D$65+0.1)*(VLOOKUP(($F$16-$F$15)*2-1,AC$99:AG175,5,FALSE)))*EXP(-(LN(2)/$D$65+0.04)*AF175)*EXP(-(LN(2)/$D$65+0.1)*AG175),"-"))),"-")</f>
        <v>-</v>
      </c>
      <c r="AJ176" s="271" t="str">
        <f>IFERROR(IF(AD176=1,AJ$100*EXP(-(LN(2)/$D$65+0.04)*AF176)*EXP(-(LN(2)/$D$65+0.1)*AG176),IF(AD176=2,AJ$100*EXP(-(LN(2)/$D$65+0.04)*(VLOOKUP(($F$16-$F$15)-1,AC$100:AG176,4,FALSE)))*EXP(-(LN(2)/$D$65+0.1)*(VLOOKUP(($F$16-$F$15)-1,AC$100:AG176,5,FALSE)))*EXP(-(LN(2)/$D$65+0.04)*AF176)*EXP(-(LN(2)/$D$65+0.1)*AG176),IF(AD176=3,AJ$100*EXP(-(LN(2)/$D$65+0.04)*(VLOOKUP(($F$16-$F$15)-1,AC$100:AG176,4,FALSE)))*EXP(-(LN(2)/$D$65+0.1)*(VLOOKUP(($F$16-$F$15)-1,AC$100:AG176,5,FALSE)))*EXP(-(LN(2)/$D$65+0.04)*(VLOOKUP(($F$16-$F$15)*2-1,AC$100:AG176,4,FALSE)))*EXP(-(LN(2)/$D$65+0.1)*(VLOOKUP(($F$16-$F$15)*2-1,AC$100:AG176,5,FALSE)))*EXP(-(LN(2)/$D$65+0.04)*AF176)*EXP(-(LN(2)/$D$65+0.1)*AG176),"-"))),"-")</f>
        <v>-</v>
      </c>
      <c r="AK176" s="227">
        <f t="shared" si="138"/>
        <v>76</v>
      </c>
      <c r="AL176" s="226" t="str">
        <f t="shared" si="112"/>
        <v>-</v>
      </c>
      <c r="AM176" s="227" t="str">
        <f t="shared" si="139"/>
        <v>-</v>
      </c>
      <c r="AN176" s="227" t="str">
        <f t="shared" si="140"/>
        <v>-</v>
      </c>
      <c r="AO176" s="227" t="str">
        <f t="shared" si="113"/>
        <v>-</v>
      </c>
      <c r="AP176" s="273">
        <f t="shared" si="141"/>
        <v>0.1</v>
      </c>
      <c r="AQ176" s="271" t="str">
        <f>IFERROR(IF(AL175=1,AQ$100*EXP(-(LN(2)/$D$65+0.04)*AN175)*EXP(-(LN(2)/$D$65+0.1)*AO175),IF(AL175=2,AQ$100*EXP(-(LN(2)/$D$65+0.04)*(VLOOKUP(($F$16-$F$15)-1,AK$99:AO175,4,FALSE)))*EXP(-(LN(2)/$D$65+0.1)*(VLOOKUP(($F$16-$F$15)-1,AK$99:AO175,5,FALSE)))*EXP(-(LN(2)/$D$65+0.04)*AN175)*EXP(-(LN(2)/$D$65+0.1)*AO175),IF(AL175=3,AQ$100*EXP(-(LN(2)/$D$65+0.04)*(VLOOKUP(($F$16-$F$15)-1,AK$99:AO175,4,FALSE)))*EXP(-(LN(2)/$D$65+0.1)*(VLOOKUP(($F$16-$F$15)-1,AK$99:AO175,5,FALSE)))*EXP(-(LN(2)/$D$65+0.04)*(VLOOKUP(($F$16-$F$15)*2-1,AK$99:AO175,4,FALSE)))*EXP(-(LN(2)/$D$65+0.1)*(VLOOKUP(($F$16-$F$15)*2-1,AK$99:AO175,5,FALSE)))*EXP(-(LN(2)/$D$65+0.04)*AN175)*EXP(-(LN(2)/$D$65+0.1)*AO175),"-"))),"-")</f>
        <v>-</v>
      </c>
      <c r="AR176" s="271" t="str">
        <f>IFERROR(IF(AL176=1,AR$100*EXP(-(LN(2)/$D$65+0.04)*AN176)*EXP(-(LN(2)/$D$65+0.1)*AO176),IF(AL176=2,AR$100*EXP(-(LN(2)/$D$65+0.04)*(VLOOKUP(($F$16-$F$15)-1,AK$100:AO176,4,FALSE)))*EXP(-(LN(2)/$D$65+0.1)*(VLOOKUP(($F$16-$F$15)-1,AK$100:AO176,5,FALSE)))*EXP(-(LN(2)/$D$65+0.04)*AN176)*EXP(-(LN(2)/$D$65+0.1)*AO176),IF(AL176=3,AR$100*EXP(-(LN(2)/$D$65+0.04)*(VLOOKUP(($F$16-$F$15)-1,AK$100:AO176,4,FALSE)))*EXP(-(LN(2)/$D$65+0.1)*(VLOOKUP(($F$16-$F$15)-1,AK$100:AO176,5,FALSE)))*EXP(-(LN(2)/$D$65+0.04)*(VLOOKUP(($F$16-$F$15)*2-1,AK$100:AO176,4,FALSE)))*EXP(-(LN(2)/$D$65+0.1)*(VLOOKUP(($F$16-$F$15)*2-1,AK$100:AO176,5,FALSE)))*EXP(-(LN(2)/$D$65+0.04)*AN176)*EXP(-(LN(2)/$D$65+0.1)*AO176),"-"))),"-")</f>
        <v>-</v>
      </c>
      <c r="AS176" s="274">
        <f t="shared" si="114"/>
        <v>0</v>
      </c>
      <c r="AT176" s="274">
        <f t="shared" si="115"/>
        <v>0</v>
      </c>
      <c r="AU176" s="274">
        <f t="shared" si="116"/>
        <v>0</v>
      </c>
      <c r="AV176" s="190">
        <f>IF($B176&lt;$F$22,SUM($T$100:$T176),"")</f>
        <v>0</v>
      </c>
      <c r="AW176" s="190" t="str">
        <f t="shared" si="117"/>
        <v>-</v>
      </c>
      <c r="AX176" s="190" t="str">
        <f t="shared" si="142"/>
        <v/>
      </c>
      <c r="AY176"/>
      <c r="AZ176" s="190" t="str">
        <f ca="1">IF(ISNUMBER(OFFSET(AV176,-$F$21,0)),SUM(OFFSET($T$100,$F$21,0):$T176),"")</f>
        <v/>
      </c>
      <c r="BA176" s="190" t="str">
        <f t="shared" ca="1" si="118"/>
        <v/>
      </c>
      <c r="BB176" s="190" t="str">
        <f t="shared" ca="1" si="70"/>
        <v/>
      </c>
      <c r="BC176" s="190"/>
      <c r="BD176" s="190" t="str">
        <f ca="1">IFERROR(IF(AND($B176&gt;=($F$16-$F$15),$B176&lt;$F$22+($F$16-$F$15)),SUM(OFFSET($T$100,($F$16-$F$15),0):$T176),""),"")</f>
        <v/>
      </c>
      <c r="BE176" s="190" t="str">
        <f t="shared" ca="1" si="143"/>
        <v/>
      </c>
      <c r="BF176" s="190" t="str">
        <f t="shared" ca="1" si="144"/>
        <v/>
      </c>
      <c r="BG176"/>
      <c r="BH176" s="190" t="str">
        <f ca="1">IF(ISNUMBER(OFFSET(BD176,-$F$21,0)),SUM(OFFSET($T$100,($F$16-$F$15+$F$21),0):$T176),"")</f>
        <v/>
      </c>
      <c r="BI176" s="190" t="str">
        <f t="shared" ca="1" si="119"/>
        <v/>
      </c>
      <c r="BJ176" s="190" t="str">
        <f t="shared" ca="1" si="145"/>
        <v/>
      </c>
      <c r="BK176" s="190"/>
      <c r="BL176" s="190" t="str">
        <f ca="1">IFERROR(IF(AND($B176&gt;=($F$17-$F$15),$B176&lt;$F$22+($F$17-$F$15)),SUM(OFFSET($T$100,($F$17-$F$15),0):$T176),""),"")</f>
        <v/>
      </c>
      <c r="BM176" s="190" t="str">
        <f t="shared" ca="1" si="120"/>
        <v/>
      </c>
      <c r="BN176" s="190" t="str">
        <f t="shared" ca="1" si="146"/>
        <v/>
      </c>
      <c r="BO176"/>
      <c r="BP176" s="190" t="str">
        <f ca="1">IF(ISNUMBER(OFFSET(BL176,-$F$21,0)),SUM(OFFSET($T$100,($F$17-$F$15+$F$21),0):$T176),"")</f>
        <v/>
      </c>
      <c r="BQ176" s="190" t="str">
        <f t="shared" ca="1" si="121"/>
        <v/>
      </c>
      <c r="BR176" s="190" t="str">
        <f t="shared" ca="1" si="147"/>
        <v/>
      </c>
      <c r="BS176" s="190"/>
      <c r="BT176"/>
      <c r="BU176"/>
      <c r="BV176"/>
      <c r="BY176" s="99"/>
      <c r="BZ176" s="99"/>
      <c r="CA176" s="280" t="str">
        <f t="shared" si="122"/>
        <v/>
      </c>
      <c r="CB176" s="71" t="str">
        <f t="shared" si="123"/>
        <v>-</v>
      </c>
      <c r="CC176" s="33"/>
      <c r="CD176" s="261" t="str">
        <f t="shared" si="124"/>
        <v/>
      </c>
      <c r="CE176" s="280" t="str">
        <f t="shared" si="125"/>
        <v>-</v>
      </c>
      <c r="CF176" s="71" t="str">
        <f t="shared" ca="1" si="126"/>
        <v>-</v>
      </c>
      <c r="CG176" s="33" t="str">
        <f t="shared" si="127"/>
        <v>76-77</v>
      </c>
      <c r="CH176" s="261" t="str">
        <f t="shared" ca="1" si="128"/>
        <v/>
      </c>
      <c r="CI176" s="99"/>
      <c r="CJ176" s="99"/>
      <c r="CK176" s="99"/>
      <c r="CL176" s="99"/>
      <c r="CM176" s="99"/>
      <c r="CN176" s="99"/>
      <c r="CO176" s="99"/>
    </row>
    <row r="177" spans="2:93" ht="13.5" customHeight="1" x14ac:dyDescent="0.2">
      <c r="B177" s="262">
        <v>77</v>
      </c>
      <c r="C177" s="237" t="str">
        <f t="shared" si="92"/>
        <v/>
      </c>
      <c r="D177" s="237" t="str">
        <f t="shared" si="148"/>
        <v>-</v>
      </c>
      <c r="E177" s="290" t="str">
        <f t="shared" si="129"/>
        <v/>
      </c>
      <c r="F177" s="264" t="str">
        <f t="shared" si="130"/>
        <v/>
      </c>
      <c r="G177" s="291" t="str">
        <f t="shared" si="131"/>
        <v/>
      </c>
      <c r="H177" s="240" t="str">
        <f t="shared" si="93"/>
        <v/>
      </c>
      <c r="I177" s="265" t="str">
        <f t="shared" si="94"/>
        <v/>
      </c>
      <c r="J177" s="265" t="str">
        <f t="shared" si="95"/>
        <v/>
      </c>
      <c r="K177" s="240" t="str">
        <f t="shared" si="96"/>
        <v/>
      </c>
      <c r="L177" s="265" t="str">
        <f t="shared" si="97"/>
        <v/>
      </c>
      <c r="M177" s="265" t="str">
        <f t="shared" si="98"/>
        <v/>
      </c>
      <c r="N177" s="240" t="str">
        <f t="shared" si="99"/>
        <v>-</v>
      </c>
      <c r="O177" s="265" t="str">
        <f t="shared" si="100"/>
        <v>-</v>
      </c>
      <c r="P177" s="265" t="str">
        <f t="shared" si="101"/>
        <v>-</v>
      </c>
      <c r="Q177" s="266" t="str">
        <f t="shared" si="102"/>
        <v>-</v>
      </c>
      <c r="R177" s="267" t="str">
        <f t="shared" si="103"/>
        <v>-</v>
      </c>
      <c r="S177" s="268" t="str">
        <f t="shared" si="104"/>
        <v>-</v>
      </c>
      <c r="T177" s="269" t="str">
        <f t="shared" si="105"/>
        <v/>
      </c>
      <c r="U177" s="221">
        <f t="shared" si="106"/>
        <v>77</v>
      </c>
      <c r="V177" s="220" t="str">
        <f t="shared" si="132"/>
        <v>-</v>
      </c>
      <c r="W177" s="221" t="str">
        <f t="shared" si="133"/>
        <v>-</v>
      </c>
      <c r="X177" s="221" t="str">
        <f t="shared" si="107"/>
        <v>-</v>
      </c>
      <c r="Y177" s="221" t="str">
        <f t="shared" si="108"/>
        <v>-</v>
      </c>
      <c r="Z177" s="270">
        <f t="shared" si="134"/>
        <v>0.1</v>
      </c>
      <c r="AA177" s="271" t="str">
        <f>IFERROR(IF(V176=1,AA$100*EXP(-(LN(2)/$D$65+0.04)*X176)*EXP(-(LN(2)/$D$65+0.1)*Y176),IF(V176=2,AA$100*EXP(-(LN(2)/$D$65+0.04)*(VLOOKUP(($F$16-$F$15)-1,U$99:Y176,4,FALSE)))*EXP(-(LN(2)/$D$65+0.1)*(VLOOKUP(($F$16-$F$15)-1,U$99:Y176,5,FALSE)))*EXP(-(LN(2)/$D$65+0.04)*X176)*EXP(-(LN(2)/$D$65+0.1)*Y176),IF(V176=3,AA$100*EXP(-(LN(2)/$D$65+0.04)*(VLOOKUP(($F$16-$F$15)-1,U$99:Y176,4,FALSE)))*EXP(-(LN(2)/$D$65+0.1)*(VLOOKUP(($F$16-$F$15)-1,U$99:Y176,5,FALSE)))*EXP(-(LN(2)/$D$65+0.04)*(VLOOKUP(($F$16-$F$15)*2-1,U$99:Y176,4,FALSE)))*EXP(-(LN(2)/$D$65+0.1)*(VLOOKUP(($F$16-$F$15)*2-1,U$99:Y176,5,FALSE)))*EXP(-(LN(2)/$D$65+0.04)*X176)*EXP(-(LN(2)/$D$65+0.1)*Y176),"-"))),"-")</f>
        <v>-</v>
      </c>
      <c r="AB177" s="271" t="str">
        <f>IFERROR(IF(V177=1,AB$100*EXP(-(LN(2)/$D$65+0.04)*X177)*EXP(-(LN(2)/$D$65+0.1)*Y177),IF(V177=2,AB$100*EXP(-(LN(2)/$D$65+0.04)*(VLOOKUP(($F$16-$F$15)-1,U$100:Y177,4,FALSE)))*EXP(-(LN(2)/$D$65+0.1)*(VLOOKUP(($F$16-$F$15)-1,U$100:Y177,5,FALSE)))*EXP(-(LN(2)/$D$65+0.04)*X177)*EXP(-(LN(2)/$D$65+0.1)*Y177),IF(V177=3,AB$100*EXP(-(LN(2)/$D$65+0.04)*(VLOOKUP(($F$16-$F$15)-1,U$100:Y177,4,FALSE)))*EXP(-(LN(2)/$D$65+0.1)*(VLOOKUP(($F$16-$F$15)-1,U$100:Y177,5,FALSE)))*EXP(-(LN(2)/$D$65+0.04)*(VLOOKUP(($F$16-$F$15)*2-1,U$100:Y177,4,FALSE)))*EXP(-(LN(2)/$D$65+0.1)*(VLOOKUP(($F$16-$F$15)*2-1,U$100:Y177,5,FALSE)))*EXP(-(LN(2)/$D$65+0.04)*X177)*EXP(-(LN(2)/$D$65+0.1)*Y177),"-"))),"-")</f>
        <v>-</v>
      </c>
      <c r="AC177" s="224">
        <f t="shared" si="135"/>
        <v>77</v>
      </c>
      <c r="AD177" s="223" t="str">
        <f t="shared" si="109"/>
        <v>-</v>
      </c>
      <c r="AE177" s="224" t="str">
        <f t="shared" si="136"/>
        <v>-</v>
      </c>
      <c r="AF177" s="224" t="str">
        <f t="shared" si="110"/>
        <v>-</v>
      </c>
      <c r="AG177" s="224" t="str">
        <f t="shared" si="111"/>
        <v>-</v>
      </c>
      <c r="AH177" s="272">
        <f t="shared" si="137"/>
        <v>0.1</v>
      </c>
      <c r="AI177" s="271" t="str">
        <f>IFERROR(IF(AD176=1,AI$100*EXP(-(LN(2)/$D$65+0.04)*AF176)*EXP(-(LN(2)/$D$65+0.1)*AG176),IF(AD176=2,AI$100*EXP(-(LN(2)/$D$65+0.04)*(VLOOKUP(($F$16-$F$15)-1,AC$99:AG176,4,FALSE)))*EXP(-(LN(2)/$D$65+0.1)*(VLOOKUP(($F$16-$F$15)-1,AC$99:AG176,5,FALSE)))*EXP(-(LN(2)/$D$65+0.04)*AF176)*EXP(-(LN(2)/$D$65+0.1)*AG176),IF(AD176=3,AI$100*EXP(-(LN(2)/$D$65+0.04)*(VLOOKUP(($F$16-$F$15)-1,AC$99:AG176,4,FALSE)))*EXP(-(LN(2)/$D$65+0.1)*(VLOOKUP(($F$16-$F$15)-1,AC$99:AG176,5,FALSE)))*EXP(-(LN(2)/$D$65+0.04)*(VLOOKUP(($F$16-$F$15)*2-1,AC$99:AG176,4,FALSE)))*EXP(-(LN(2)/$D$65+0.1)*(VLOOKUP(($F$16-$F$15)*2-1,AC$99:AG176,5,FALSE)))*EXP(-(LN(2)/$D$65+0.04)*AF176)*EXP(-(LN(2)/$D$65+0.1)*AG176),"-"))),"-")</f>
        <v>-</v>
      </c>
      <c r="AJ177" s="271" t="str">
        <f>IFERROR(IF(AD177=1,AJ$100*EXP(-(LN(2)/$D$65+0.04)*AF177)*EXP(-(LN(2)/$D$65+0.1)*AG177),IF(AD177=2,AJ$100*EXP(-(LN(2)/$D$65+0.04)*(VLOOKUP(($F$16-$F$15)-1,AC$100:AG177,4,FALSE)))*EXP(-(LN(2)/$D$65+0.1)*(VLOOKUP(($F$16-$F$15)-1,AC$100:AG177,5,FALSE)))*EXP(-(LN(2)/$D$65+0.04)*AF177)*EXP(-(LN(2)/$D$65+0.1)*AG177),IF(AD177=3,AJ$100*EXP(-(LN(2)/$D$65+0.04)*(VLOOKUP(($F$16-$F$15)-1,AC$100:AG177,4,FALSE)))*EXP(-(LN(2)/$D$65+0.1)*(VLOOKUP(($F$16-$F$15)-1,AC$100:AG177,5,FALSE)))*EXP(-(LN(2)/$D$65+0.04)*(VLOOKUP(($F$16-$F$15)*2-1,AC$100:AG177,4,FALSE)))*EXP(-(LN(2)/$D$65+0.1)*(VLOOKUP(($F$16-$F$15)*2-1,AC$100:AG177,5,FALSE)))*EXP(-(LN(2)/$D$65+0.04)*AF177)*EXP(-(LN(2)/$D$65+0.1)*AG177),"-"))),"-")</f>
        <v>-</v>
      </c>
      <c r="AK177" s="227">
        <f t="shared" si="138"/>
        <v>77</v>
      </c>
      <c r="AL177" s="226" t="str">
        <f t="shared" si="112"/>
        <v>-</v>
      </c>
      <c r="AM177" s="227" t="str">
        <f t="shared" si="139"/>
        <v>-</v>
      </c>
      <c r="AN177" s="227" t="str">
        <f t="shared" si="140"/>
        <v>-</v>
      </c>
      <c r="AO177" s="227" t="str">
        <f t="shared" si="113"/>
        <v>-</v>
      </c>
      <c r="AP177" s="273">
        <f t="shared" si="141"/>
        <v>0.1</v>
      </c>
      <c r="AQ177" s="271" t="str">
        <f>IFERROR(IF(AL176=1,AQ$100*EXP(-(LN(2)/$D$65+0.04)*AN176)*EXP(-(LN(2)/$D$65+0.1)*AO176),IF(AL176=2,AQ$100*EXP(-(LN(2)/$D$65+0.04)*(VLOOKUP(($F$16-$F$15)-1,AK$99:AO176,4,FALSE)))*EXP(-(LN(2)/$D$65+0.1)*(VLOOKUP(($F$16-$F$15)-1,AK$99:AO176,5,FALSE)))*EXP(-(LN(2)/$D$65+0.04)*AN176)*EXP(-(LN(2)/$D$65+0.1)*AO176),IF(AL176=3,AQ$100*EXP(-(LN(2)/$D$65+0.04)*(VLOOKUP(($F$16-$F$15)-1,AK$99:AO176,4,FALSE)))*EXP(-(LN(2)/$D$65+0.1)*(VLOOKUP(($F$16-$F$15)-1,AK$99:AO176,5,FALSE)))*EXP(-(LN(2)/$D$65+0.04)*(VLOOKUP(($F$16-$F$15)*2-1,AK$99:AO176,4,FALSE)))*EXP(-(LN(2)/$D$65+0.1)*(VLOOKUP(($F$16-$F$15)*2-1,AK$99:AO176,5,FALSE)))*EXP(-(LN(2)/$D$65+0.04)*AN176)*EXP(-(LN(2)/$D$65+0.1)*AO176),"-"))),"-")</f>
        <v>-</v>
      </c>
      <c r="AR177" s="271" t="str">
        <f>IFERROR(IF(AL177=1,AR$100*EXP(-(LN(2)/$D$65+0.04)*AN177)*EXP(-(LN(2)/$D$65+0.1)*AO177),IF(AL177=2,AR$100*EXP(-(LN(2)/$D$65+0.04)*(VLOOKUP(($F$16-$F$15)-1,AK$100:AO177,4,FALSE)))*EXP(-(LN(2)/$D$65+0.1)*(VLOOKUP(($F$16-$F$15)-1,AK$100:AO177,5,FALSE)))*EXP(-(LN(2)/$D$65+0.04)*AN177)*EXP(-(LN(2)/$D$65+0.1)*AO177),IF(AL177=3,AR$100*EXP(-(LN(2)/$D$65+0.04)*(VLOOKUP(($F$16-$F$15)-1,AK$100:AO177,4,FALSE)))*EXP(-(LN(2)/$D$65+0.1)*(VLOOKUP(($F$16-$F$15)-1,AK$100:AO177,5,FALSE)))*EXP(-(LN(2)/$D$65+0.04)*(VLOOKUP(($F$16-$F$15)*2-1,AK$100:AO177,4,FALSE)))*EXP(-(LN(2)/$D$65+0.1)*(VLOOKUP(($F$16-$F$15)*2-1,AK$100:AO177,5,FALSE)))*EXP(-(LN(2)/$D$65+0.04)*AN177)*EXP(-(LN(2)/$D$65+0.1)*AO177),"-"))),"-")</f>
        <v>-</v>
      </c>
      <c r="AS177" s="274">
        <f t="shared" si="114"/>
        <v>0</v>
      </c>
      <c r="AT177" s="274">
        <f t="shared" si="115"/>
        <v>0</v>
      </c>
      <c r="AU177" s="274">
        <f t="shared" si="116"/>
        <v>0</v>
      </c>
      <c r="AV177" s="190">
        <f>IF($B177&lt;$F$22,SUM($T$100:$T177),"")</f>
        <v>0</v>
      </c>
      <c r="AW177" s="190" t="str">
        <f t="shared" si="117"/>
        <v>-</v>
      </c>
      <c r="AX177" s="190" t="str">
        <f t="shared" si="142"/>
        <v/>
      </c>
      <c r="AY177"/>
      <c r="AZ177" s="190" t="str">
        <f ca="1">IF(ISNUMBER(OFFSET(AV177,-$F$21,0)),SUM(OFFSET($T$100,$F$21,0):$T177),"")</f>
        <v/>
      </c>
      <c r="BA177" s="190" t="str">
        <f t="shared" ca="1" si="118"/>
        <v/>
      </c>
      <c r="BB177" s="190" t="str">
        <f t="shared" ca="1" si="70"/>
        <v/>
      </c>
      <c r="BC177" s="190"/>
      <c r="BD177" s="190" t="str">
        <f ca="1">IFERROR(IF(AND($B177&gt;=($F$16-$F$15),$B177&lt;$F$22+($F$16-$F$15)),SUM(OFFSET($T$100,($F$16-$F$15),0):$T177),""),"")</f>
        <v/>
      </c>
      <c r="BE177" s="190" t="str">
        <f t="shared" ca="1" si="143"/>
        <v/>
      </c>
      <c r="BF177" s="190" t="str">
        <f t="shared" ca="1" si="144"/>
        <v/>
      </c>
      <c r="BG177"/>
      <c r="BH177" s="190" t="str">
        <f ca="1">IF(ISNUMBER(OFFSET(BD177,-$F$21,0)),SUM(OFFSET($T$100,($F$16-$F$15+$F$21),0):$T177),"")</f>
        <v/>
      </c>
      <c r="BI177" s="190" t="str">
        <f t="shared" ca="1" si="119"/>
        <v/>
      </c>
      <c r="BJ177" s="190" t="str">
        <f t="shared" ca="1" si="145"/>
        <v/>
      </c>
      <c r="BK177" s="190"/>
      <c r="BL177" s="190" t="str">
        <f ca="1">IFERROR(IF(AND($B177&gt;=($F$17-$F$15),$B177&lt;$F$22+($F$17-$F$15)),SUM(OFFSET($T$100,($F$17-$F$15),0):$T177),""),"")</f>
        <v/>
      </c>
      <c r="BM177" s="190" t="str">
        <f t="shared" ca="1" si="120"/>
        <v/>
      </c>
      <c r="BN177" s="190" t="str">
        <f t="shared" ca="1" si="146"/>
        <v/>
      </c>
      <c r="BO177"/>
      <c r="BP177" s="190" t="str">
        <f ca="1">IF(ISNUMBER(OFFSET(BL177,-$F$21,0)),SUM(OFFSET($T$100,($F$17-$F$15+$F$21),0):$T177),"")</f>
        <v/>
      </c>
      <c r="BQ177" s="190" t="str">
        <f t="shared" ca="1" si="121"/>
        <v/>
      </c>
      <c r="BR177" s="190" t="str">
        <f t="shared" ca="1" si="147"/>
        <v/>
      </c>
      <c r="BS177" s="190"/>
      <c r="BT177"/>
      <c r="BU177"/>
      <c r="BV177"/>
      <c r="BY177" s="99"/>
      <c r="BZ177" s="99"/>
      <c r="CA177" s="280" t="str">
        <f t="shared" si="122"/>
        <v/>
      </c>
      <c r="CB177" s="71" t="str">
        <f t="shared" si="123"/>
        <v>-</v>
      </c>
      <c r="CC177" s="33"/>
      <c r="CD177" s="261" t="str">
        <f t="shared" si="124"/>
        <v/>
      </c>
      <c r="CE177" s="280" t="str">
        <f t="shared" si="125"/>
        <v>-</v>
      </c>
      <c r="CF177" s="71" t="str">
        <f t="shared" ca="1" si="126"/>
        <v>-</v>
      </c>
      <c r="CG177" s="33" t="str">
        <f t="shared" si="127"/>
        <v>77-78</v>
      </c>
      <c r="CH177" s="261" t="str">
        <f t="shared" ca="1" si="128"/>
        <v/>
      </c>
      <c r="CI177" s="99"/>
      <c r="CJ177" s="99"/>
      <c r="CK177" s="99"/>
      <c r="CL177" s="99"/>
      <c r="CM177" s="99"/>
      <c r="CN177" s="99"/>
      <c r="CO177" s="99"/>
    </row>
    <row r="178" spans="2:93" ht="13.5" customHeight="1" x14ac:dyDescent="0.2">
      <c r="B178" s="262">
        <v>78</v>
      </c>
      <c r="C178" s="237" t="str">
        <f t="shared" si="92"/>
        <v/>
      </c>
      <c r="D178" s="237" t="str">
        <f t="shared" si="148"/>
        <v>-</v>
      </c>
      <c r="E178" s="290" t="str">
        <f t="shared" si="129"/>
        <v/>
      </c>
      <c r="F178" s="264" t="str">
        <f t="shared" si="130"/>
        <v/>
      </c>
      <c r="G178" s="291" t="str">
        <f t="shared" si="131"/>
        <v/>
      </c>
      <c r="H178" s="240" t="str">
        <f t="shared" si="93"/>
        <v/>
      </c>
      <c r="I178" s="265" t="str">
        <f t="shared" si="94"/>
        <v/>
      </c>
      <c r="J178" s="265" t="str">
        <f t="shared" si="95"/>
        <v/>
      </c>
      <c r="K178" s="240" t="str">
        <f t="shared" si="96"/>
        <v/>
      </c>
      <c r="L178" s="265" t="str">
        <f t="shared" si="97"/>
        <v/>
      </c>
      <c r="M178" s="265" t="str">
        <f t="shared" si="98"/>
        <v/>
      </c>
      <c r="N178" s="240" t="str">
        <f t="shared" si="99"/>
        <v>-</v>
      </c>
      <c r="O178" s="265" t="str">
        <f t="shared" si="100"/>
        <v>-</v>
      </c>
      <c r="P178" s="265" t="str">
        <f t="shared" si="101"/>
        <v>-</v>
      </c>
      <c r="Q178" s="266" t="str">
        <f t="shared" si="102"/>
        <v>-</v>
      </c>
      <c r="R178" s="267" t="str">
        <f t="shared" si="103"/>
        <v>-</v>
      </c>
      <c r="S178" s="268" t="str">
        <f t="shared" si="104"/>
        <v>-</v>
      </c>
      <c r="T178" s="269" t="str">
        <f t="shared" si="105"/>
        <v/>
      </c>
      <c r="U178" s="221">
        <f t="shared" si="106"/>
        <v>78</v>
      </c>
      <c r="V178" s="220" t="str">
        <f t="shared" si="132"/>
        <v>-</v>
      </c>
      <c r="W178" s="221" t="str">
        <f t="shared" si="133"/>
        <v>-</v>
      </c>
      <c r="X178" s="221" t="str">
        <f t="shared" si="107"/>
        <v>-</v>
      </c>
      <c r="Y178" s="221" t="str">
        <f t="shared" si="108"/>
        <v>-</v>
      </c>
      <c r="Z178" s="270">
        <f t="shared" si="134"/>
        <v>0.1</v>
      </c>
      <c r="AA178" s="271" t="str">
        <f>IFERROR(IF(V177=1,AA$100*EXP(-(LN(2)/$D$65+0.04)*X177)*EXP(-(LN(2)/$D$65+0.1)*Y177),IF(V177=2,AA$100*EXP(-(LN(2)/$D$65+0.04)*(VLOOKUP(($F$16-$F$15)-1,U$99:Y177,4,FALSE)))*EXP(-(LN(2)/$D$65+0.1)*(VLOOKUP(($F$16-$F$15)-1,U$99:Y177,5,FALSE)))*EXP(-(LN(2)/$D$65+0.04)*X177)*EXP(-(LN(2)/$D$65+0.1)*Y177),IF(V177=3,AA$100*EXP(-(LN(2)/$D$65+0.04)*(VLOOKUP(($F$16-$F$15)-1,U$99:Y177,4,FALSE)))*EXP(-(LN(2)/$D$65+0.1)*(VLOOKUP(($F$16-$F$15)-1,U$99:Y177,5,FALSE)))*EXP(-(LN(2)/$D$65+0.04)*(VLOOKUP(($F$16-$F$15)*2-1,U$99:Y177,4,FALSE)))*EXP(-(LN(2)/$D$65+0.1)*(VLOOKUP(($F$16-$F$15)*2-1,U$99:Y177,5,FALSE)))*EXP(-(LN(2)/$D$65+0.04)*X177)*EXP(-(LN(2)/$D$65+0.1)*Y177),"-"))),"-")</f>
        <v>-</v>
      </c>
      <c r="AB178" s="271" t="str">
        <f>IFERROR(IF(V178=1,AB$100*EXP(-(LN(2)/$D$65+0.04)*X178)*EXP(-(LN(2)/$D$65+0.1)*Y178),IF(V178=2,AB$100*EXP(-(LN(2)/$D$65+0.04)*(VLOOKUP(($F$16-$F$15)-1,U$100:Y178,4,FALSE)))*EXP(-(LN(2)/$D$65+0.1)*(VLOOKUP(($F$16-$F$15)-1,U$100:Y178,5,FALSE)))*EXP(-(LN(2)/$D$65+0.04)*X178)*EXP(-(LN(2)/$D$65+0.1)*Y178),IF(V178=3,AB$100*EXP(-(LN(2)/$D$65+0.04)*(VLOOKUP(($F$16-$F$15)-1,U$100:Y178,4,FALSE)))*EXP(-(LN(2)/$D$65+0.1)*(VLOOKUP(($F$16-$F$15)-1,U$100:Y178,5,FALSE)))*EXP(-(LN(2)/$D$65+0.04)*(VLOOKUP(($F$16-$F$15)*2-1,U$100:Y178,4,FALSE)))*EXP(-(LN(2)/$D$65+0.1)*(VLOOKUP(($F$16-$F$15)*2-1,U$100:Y178,5,FALSE)))*EXP(-(LN(2)/$D$65+0.04)*X178)*EXP(-(LN(2)/$D$65+0.1)*Y178),"-"))),"-")</f>
        <v>-</v>
      </c>
      <c r="AC178" s="224">
        <f t="shared" si="135"/>
        <v>78</v>
      </c>
      <c r="AD178" s="223" t="str">
        <f t="shared" si="109"/>
        <v>-</v>
      </c>
      <c r="AE178" s="224" t="str">
        <f t="shared" si="136"/>
        <v>-</v>
      </c>
      <c r="AF178" s="224" t="str">
        <f t="shared" si="110"/>
        <v>-</v>
      </c>
      <c r="AG178" s="224" t="str">
        <f t="shared" si="111"/>
        <v>-</v>
      </c>
      <c r="AH178" s="272">
        <f t="shared" si="137"/>
        <v>0.1</v>
      </c>
      <c r="AI178" s="271" t="str">
        <f>IFERROR(IF(AD177=1,AI$100*EXP(-(LN(2)/$D$65+0.04)*AF177)*EXP(-(LN(2)/$D$65+0.1)*AG177),IF(AD177=2,AI$100*EXP(-(LN(2)/$D$65+0.04)*(VLOOKUP(($F$16-$F$15)-1,AC$99:AG177,4,FALSE)))*EXP(-(LN(2)/$D$65+0.1)*(VLOOKUP(($F$16-$F$15)-1,AC$99:AG177,5,FALSE)))*EXP(-(LN(2)/$D$65+0.04)*AF177)*EXP(-(LN(2)/$D$65+0.1)*AG177),IF(AD177=3,AI$100*EXP(-(LN(2)/$D$65+0.04)*(VLOOKUP(($F$16-$F$15)-1,AC$99:AG177,4,FALSE)))*EXP(-(LN(2)/$D$65+0.1)*(VLOOKUP(($F$16-$F$15)-1,AC$99:AG177,5,FALSE)))*EXP(-(LN(2)/$D$65+0.04)*(VLOOKUP(($F$16-$F$15)*2-1,AC$99:AG177,4,FALSE)))*EXP(-(LN(2)/$D$65+0.1)*(VLOOKUP(($F$16-$F$15)*2-1,AC$99:AG177,5,FALSE)))*EXP(-(LN(2)/$D$65+0.04)*AF177)*EXP(-(LN(2)/$D$65+0.1)*AG177),"-"))),"-")</f>
        <v>-</v>
      </c>
      <c r="AJ178" s="271" t="str">
        <f>IFERROR(IF(AD178=1,AJ$100*EXP(-(LN(2)/$D$65+0.04)*AF178)*EXP(-(LN(2)/$D$65+0.1)*AG178),IF(AD178=2,AJ$100*EXP(-(LN(2)/$D$65+0.04)*(VLOOKUP(($F$16-$F$15)-1,AC$100:AG178,4,FALSE)))*EXP(-(LN(2)/$D$65+0.1)*(VLOOKUP(($F$16-$F$15)-1,AC$100:AG178,5,FALSE)))*EXP(-(LN(2)/$D$65+0.04)*AF178)*EXP(-(LN(2)/$D$65+0.1)*AG178),IF(AD178=3,AJ$100*EXP(-(LN(2)/$D$65+0.04)*(VLOOKUP(($F$16-$F$15)-1,AC$100:AG178,4,FALSE)))*EXP(-(LN(2)/$D$65+0.1)*(VLOOKUP(($F$16-$F$15)-1,AC$100:AG178,5,FALSE)))*EXP(-(LN(2)/$D$65+0.04)*(VLOOKUP(($F$16-$F$15)*2-1,AC$100:AG178,4,FALSE)))*EXP(-(LN(2)/$D$65+0.1)*(VLOOKUP(($F$16-$F$15)*2-1,AC$100:AG178,5,FALSE)))*EXP(-(LN(2)/$D$65+0.04)*AF178)*EXP(-(LN(2)/$D$65+0.1)*AG178),"-"))),"-")</f>
        <v>-</v>
      </c>
      <c r="AK178" s="227">
        <f t="shared" si="138"/>
        <v>78</v>
      </c>
      <c r="AL178" s="226" t="str">
        <f t="shared" si="112"/>
        <v>-</v>
      </c>
      <c r="AM178" s="227" t="str">
        <f t="shared" si="139"/>
        <v>-</v>
      </c>
      <c r="AN178" s="227" t="str">
        <f t="shared" si="140"/>
        <v>-</v>
      </c>
      <c r="AO178" s="227" t="str">
        <f t="shared" si="113"/>
        <v>-</v>
      </c>
      <c r="AP178" s="273">
        <f t="shared" si="141"/>
        <v>0.1</v>
      </c>
      <c r="AQ178" s="271" t="str">
        <f>IFERROR(IF(AL177=1,AQ$100*EXP(-(LN(2)/$D$65+0.04)*AN177)*EXP(-(LN(2)/$D$65+0.1)*AO177),IF(AL177=2,AQ$100*EXP(-(LN(2)/$D$65+0.04)*(VLOOKUP(($F$16-$F$15)-1,AK$99:AO177,4,FALSE)))*EXP(-(LN(2)/$D$65+0.1)*(VLOOKUP(($F$16-$F$15)-1,AK$99:AO177,5,FALSE)))*EXP(-(LN(2)/$D$65+0.04)*AN177)*EXP(-(LN(2)/$D$65+0.1)*AO177),IF(AL177=3,AQ$100*EXP(-(LN(2)/$D$65+0.04)*(VLOOKUP(($F$16-$F$15)-1,AK$99:AO177,4,FALSE)))*EXP(-(LN(2)/$D$65+0.1)*(VLOOKUP(($F$16-$F$15)-1,AK$99:AO177,5,FALSE)))*EXP(-(LN(2)/$D$65+0.04)*(VLOOKUP(($F$16-$F$15)*2-1,AK$99:AO177,4,FALSE)))*EXP(-(LN(2)/$D$65+0.1)*(VLOOKUP(($F$16-$F$15)*2-1,AK$99:AO177,5,FALSE)))*EXP(-(LN(2)/$D$65+0.04)*AN177)*EXP(-(LN(2)/$D$65+0.1)*AO177),"-"))),"-")</f>
        <v>-</v>
      </c>
      <c r="AR178" s="271" t="str">
        <f>IFERROR(IF(AL178=1,AR$100*EXP(-(LN(2)/$D$65+0.04)*AN178)*EXP(-(LN(2)/$D$65+0.1)*AO178),IF(AL178=2,AR$100*EXP(-(LN(2)/$D$65+0.04)*(VLOOKUP(($F$16-$F$15)-1,AK$100:AO178,4,FALSE)))*EXP(-(LN(2)/$D$65+0.1)*(VLOOKUP(($F$16-$F$15)-1,AK$100:AO178,5,FALSE)))*EXP(-(LN(2)/$D$65+0.04)*AN178)*EXP(-(LN(2)/$D$65+0.1)*AO178),IF(AL178=3,AR$100*EXP(-(LN(2)/$D$65+0.04)*(VLOOKUP(($F$16-$F$15)-1,AK$100:AO178,4,FALSE)))*EXP(-(LN(2)/$D$65+0.1)*(VLOOKUP(($F$16-$F$15)-1,AK$100:AO178,5,FALSE)))*EXP(-(LN(2)/$D$65+0.04)*(VLOOKUP(($F$16-$F$15)*2-1,AK$100:AO178,4,FALSE)))*EXP(-(LN(2)/$D$65+0.1)*(VLOOKUP(($F$16-$F$15)*2-1,AK$100:AO178,5,FALSE)))*EXP(-(LN(2)/$D$65+0.04)*AN178)*EXP(-(LN(2)/$D$65+0.1)*AO178),"-"))),"-")</f>
        <v>-</v>
      </c>
      <c r="AS178" s="274">
        <f t="shared" si="114"/>
        <v>0</v>
      </c>
      <c r="AT178" s="274">
        <f t="shared" si="115"/>
        <v>0</v>
      </c>
      <c r="AU178" s="274">
        <f t="shared" si="116"/>
        <v>0</v>
      </c>
      <c r="AV178" s="190">
        <f>IF($B178&lt;$F$22,SUM($T$100:$T178),"")</f>
        <v>0</v>
      </c>
      <c r="AW178" s="190" t="str">
        <f t="shared" si="117"/>
        <v>-</v>
      </c>
      <c r="AX178" s="190" t="str">
        <f t="shared" si="142"/>
        <v/>
      </c>
      <c r="AY178"/>
      <c r="AZ178" s="190" t="str">
        <f ca="1">IF(ISNUMBER(OFFSET(AV178,-$F$21,0)),SUM(OFFSET($T$100,$F$21,0):$T178),"")</f>
        <v/>
      </c>
      <c r="BA178" s="190" t="str">
        <f t="shared" ca="1" si="118"/>
        <v/>
      </c>
      <c r="BB178" s="190" t="str">
        <f t="shared" ca="1" si="70"/>
        <v/>
      </c>
      <c r="BC178" s="190"/>
      <c r="BD178" s="190" t="str">
        <f ca="1">IFERROR(IF(AND($B178&gt;=($F$16-$F$15),$B178&lt;$F$22+($F$16-$F$15)),SUM(OFFSET($T$100,($F$16-$F$15),0):$T178),""),"")</f>
        <v/>
      </c>
      <c r="BE178" s="190" t="str">
        <f t="shared" ca="1" si="143"/>
        <v/>
      </c>
      <c r="BF178" s="190" t="str">
        <f t="shared" ca="1" si="144"/>
        <v/>
      </c>
      <c r="BG178"/>
      <c r="BH178" s="190" t="str">
        <f ca="1">IF(ISNUMBER(OFFSET(BD178,-$F$21,0)),SUM(OFFSET($T$100,($F$16-$F$15+$F$21),0):$T178),"")</f>
        <v/>
      </c>
      <c r="BI178" s="190" t="str">
        <f t="shared" ca="1" si="119"/>
        <v/>
      </c>
      <c r="BJ178" s="190" t="str">
        <f t="shared" ca="1" si="145"/>
        <v/>
      </c>
      <c r="BK178" s="190"/>
      <c r="BL178" s="190" t="str">
        <f ca="1">IFERROR(IF(AND($B178&gt;=($F$17-$F$15),$B178&lt;$F$22+($F$17-$F$15)),SUM(OFFSET($T$100,($F$17-$F$15),0):$T178),""),"")</f>
        <v/>
      </c>
      <c r="BM178" s="190" t="str">
        <f t="shared" ca="1" si="120"/>
        <v/>
      </c>
      <c r="BN178" s="190" t="str">
        <f t="shared" ca="1" si="146"/>
        <v/>
      </c>
      <c r="BO178"/>
      <c r="BP178" s="190" t="str">
        <f ca="1">IF(ISNUMBER(OFFSET(BL178,-$F$21,0)),SUM(OFFSET($T$100,($F$17-$F$15+$F$21),0):$T178),"")</f>
        <v/>
      </c>
      <c r="BQ178" s="190" t="str">
        <f t="shared" ca="1" si="121"/>
        <v/>
      </c>
      <c r="BR178" s="190" t="str">
        <f t="shared" ca="1" si="147"/>
        <v/>
      </c>
      <c r="BS178" s="190"/>
      <c r="BT178"/>
      <c r="BU178"/>
      <c r="BV178"/>
      <c r="BY178" s="99"/>
      <c r="BZ178" s="99"/>
      <c r="CA178" s="280" t="str">
        <f t="shared" si="122"/>
        <v/>
      </c>
      <c r="CB178" s="71" t="str">
        <f t="shared" si="123"/>
        <v>-</v>
      </c>
      <c r="CC178" s="33"/>
      <c r="CD178" s="261" t="str">
        <f t="shared" si="124"/>
        <v/>
      </c>
      <c r="CE178" s="280" t="str">
        <f t="shared" si="125"/>
        <v>-</v>
      </c>
      <c r="CF178" s="71" t="str">
        <f t="shared" ca="1" si="126"/>
        <v>-</v>
      </c>
      <c r="CG178" s="33" t="str">
        <f t="shared" si="127"/>
        <v>78-79</v>
      </c>
      <c r="CH178" s="261" t="str">
        <f t="shared" ca="1" si="128"/>
        <v/>
      </c>
      <c r="CI178" s="99"/>
      <c r="CJ178" s="99"/>
      <c r="CK178" s="99"/>
      <c r="CL178" s="99"/>
      <c r="CM178" s="99"/>
      <c r="CN178" s="99"/>
      <c r="CO178" s="99"/>
    </row>
    <row r="179" spans="2:93" ht="13.5" customHeight="1" x14ac:dyDescent="0.2">
      <c r="B179" s="262">
        <v>79</v>
      </c>
      <c r="C179" s="237" t="str">
        <f t="shared" si="92"/>
        <v/>
      </c>
      <c r="D179" s="237" t="str">
        <f t="shared" si="148"/>
        <v>-</v>
      </c>
      <c r="E179" s="290" t="str">
        <f t="shared" si="129"/>
        <v/>
      </c>
      <c r="F179" s="264" t="str">
        <f t="shared" si="130"/>
        <v/>
      </c>
      <c r="G179" s="291" t="str">
        <f t="shared" si="131"/>
        <v/>
      </c>
      <c r="H179" s="240" t="str">
        <f t="shared" si="93"/>
        <v/>
      </c>
      <c r="I179" s="265" t="str">
        <f t="shared" si="94"/>
        <v/>
      </c>
      <c r="J179" s="265" t="str">
        <f t="shared" si="95"/>
        <v/>
      </c>
      <c r="K179" s="240" t="str">
        <f t="shared" si="96"/>
        <v/>
      </c>
      <c r="L179" s="265" t="str">
        <f t="shared" si="97"/>
        <v/>
      </c>
      <c r="M179" s="265" t="str">
        <f t="shared" si="98"/>
        <v/>
      </c>
      <c r="N179" s="240" t="str">
        <f t="shared" si="99"/>
        <v>-</v>
      </c>
      <c r="O179" s="265" t="str">
        <f t="shared" si="100"/>
        <v>-</v>
      </c>
      <c r="P179" s="265" t="str">
        <f t="shared" si="101"/>
        <v>-</v>
      </c>
      <c r="Q179" s="266" t="str">
        <f t="shared" si="102"/>
        <v>-</v>
      </c>
      <c r="R179" s="267" t="str">
        <f t="shared" si="103"/>
        <v>-</v>
      </c>
      <c r="S179" s="268" t="str">
        <f t="shared" si="104"/>
        <v>-</v>
      </c>
      <c r="T179" s="269" t="str">
        <f t="shared" si="105"/>
        <v/>
      </c>
      <c r="U179" s="221">
        <f t="shared" si="106"/>
        <v>79</v>
      </c>
      <c r="V179" s="220" t="str">
        <f t="shared" si="132"/>
        <v>-</v>
      </c>
      <c r="W179" s="221" t="str">
        <f t="shared" si="133"/>
        <v>-</v>
      </c>
      <c r="X179" s="221" t="str">
        <f t="shared" si="107"/>
        <v>-</v>
      </c>
      <c r="Y179" s="221" t="str">
        <f t="shared" si="108"/>
        <v>-</v>
      </c>
      <c r="Z179" s="270">
        <f t="shared" si="134"/>
        <v>0.1</v>
      </c>
      <c r="AA179" s="271" t="str">
        <f>IFERROR(IF(V178=1,AA$100*EXP(-(LN(2)/$D$65+0.04)*X178)*EXP(-(LN(2)/$D$65+0.1)*Y178),IF(V178=2,AA$100*EXP(-(LN(2)/$D$65+0.04)*(VLOOKUP(($F$16-$F$15)-1,U$99:Y178,4,FALSE)))*EXP(-(LN(2)/$D$65+0.1)*(VLOOKUP(($F$16-$F$15)-1,U$99:Y178,5,FALSE)))*EXP(-(LN(2)/$D$65+0.04)*X178)*EXP(-(LN(2)/$D$65+0.1)*Y178),IF(V178=3,AA$100*EXP(-(LN(2)/$D$65+0.04)*(VLOOKUP(($F$16-$F$15)-1,U$99:Y178,4,FALSE)))*EXP(-(LN(2)/$D$65+0.1)*(VLOOKUP(($F$16-$F$15)-1,U$99:Y178,5,FALSE)))*EXP(-(LN(2)/$D$65+0.04)*(VLOOKUP(($F$16-$F$15)*2-1,U$99:Y178,4,FALSE)))*EXP(-(LN(2)/$D$65+0.1)*(VLOOKUP(($F$16-$F$15)*2-1,U$99:Y178,5,FALSE)))*EXP(-(LN(2)/$D$65+0.04)*X178)*EXP(-(LN(2)/$D$65+0.1)*Y178),"-"))),"-")</f>
        <v>-</v>
      </c>
      <c r="AB179" s="271" t="str">
        <f>IFERROR(IF(V179=1,AB$100*EXP(-(LN(2)/$D$65+0.04)*X179)*EXP(-(LN(2)/$D$65+0.1)*Y179),IF(V179=2,AB$100*EXP(-(LN(2)/$D$65+0.04)*(VLOOKUP(($F$16-$F$15)-1,U$100:Y179,4,FALSE)))*EXP(-(LN(2)/$D$65+0.1)*(VLOOKUP(($F$16-$F$15)-1,U$100:Y179,5,FALSE)))*EXP(-(LN(2)/$D$65+0.04)*X179)*EXP(-(LN(2)/$D$65+0.1)*Y179),IF(V179=3,AB$100*EXP(-(LN(2)/$D$65+0.04)*(VLOOKUP(($F$16-$F$15)-1,U$100:Y179,4,FALSE)))*EXP(-(LN(2)/$D$65+0.1)*(VLOOKUP(($F$16-$F$15)-1,U$100:Y179,5,FALSE)))*EXP(-(LN(2)/$D$65+0.04)*(VLOOKUP(($F$16-$F$15)*2-1,U$100:Y179,4,FALSE)))*EXP(-(LN(2)/$D$65+0.1)*(VLOOKUP(($F$16-$F$15)*2-1,U$100:Y179,5,FALSE)))*EXP(-(LN(2)/$D$65+0.04)*X179)*EXP(-(LN(2)/$D$65+0.1)*Y179),"-"))),"-")</f>
        <v>-</v>
      </c>
      <c r="AC179" s="224">
        <f t="shared" si="135"/>
        <v>79</v>
      </c>
      <c r="AD179" s="223" t="str">
        <f t="shared" si="109"/>
        <v>-</v>
      </c>
      <c r="AE179" s="224" t="str">
        <f t="shared" si="136"/>
        <v>-</v>
      </c>
      <c r="AF179" s="224" t="str">
        <f t="shared" si="110"/>
        <v>-</v>
      </c>
      <c r="AG179" s="224" t="str">
        <f t="shared" si="111"/>
        <v>-</v>
      </c>
      <c r="AH179" s="272">
        <f t="shared" si="137"/>
        <v>0.1</v>
      </c>
      <c r="AI179" s="271" t="str">
        <f>IFERROR(IF(AD178=1,AI$100*EXP(-(LN(2)/$D$65+0.04)*AF178)*EXP(-(LN(2)/$D$65+0.1)*AG178),IF(AD178=2,AI$100*EXP(-(LN(2)/$D$65+0.04)*(VLOOKUP(($F$16-$F$15)-1,AC$99:AG178,4,FALSE)))*EXP(-(LN(2)/$D$65+0.1)*(VLOOKUP(($F$16-$F$15)-1,AC$99:AG178,5,FALSE)))*EXP(-(LN(2)/$D$65+0.04)*AF178)*EXP(-(LN(2)/$D$65+0.1)*AG178),IF(AD178=3,AI$100*EXP(-(LN(2)/$D$65+0.04)*(VLOOKUP(($F$16-$F$15)-1,AC$99:AG178,4,FALSE)))*EXP(-(LN(2)/$D$65+0.1)*(VLOOKUP(($F$16-$F$15)-1,AC$99:AG178,5,FALSE)))*EXP(-(LN(2)/$D$65+0.04)*(VLOOKUP(($F$16-$F$15)*2-1,AC$99:AG178,4,FALSE)))*EXP(-(LN(2)/$D$65+0.1)*(VLOOKUP(($F$16-$F$15)*2-1,AC$99:AG178,5,FALSE)))*EXP(-(LN(2)/$D$65+0.04)*AF178)*EXP(-(LN(2)/$D$65+0.1)*AG178),"-"))),"-")</f>
        <v>-</v>
      </c>
      <c r="AJ179" s="271" t="str">
        <f>IFERROR(IF(AD179=1,AJ$100*EXP(-(LN(2)/$D$65+0.04)*AF179)*EXP(-(LN(2)/$D$65+0.1)*AG179),IF(AD179=2,AJ$100*EXP(-(LN(2)/$D$65+0.04)*(VLOOKUP(($F$16-$F$15)-1,AC$100:AG179,4,FALSE)))*EXP(-(LN(2)/$D$65+0.1)*(VLOOKUP(($F$16-$F$15)-1,AC$100:AG179,5,FALSE)))*EXP(-(LN(2)/$D$65+0.04)*AF179)*EXP(-(LN(2)/$D$65+0.1)*AG179),IF(AD179=3,AJ$100*EXP(-(LN(2)/$D$65+0.04)*(VLOOKUP(($F$16-$F$15)-1,AC$100:AG179,4,FALSE)))*EXP(-(LN(2)/$D$65+0.1)*(VLOOKUP(($F$16-$F$15)-1,AC$100:AG179,5,FALSE)))*EXP(-(LN(2)/$D$65+0.04)*(VLOOKUP(($F$16-$F$15)*2-1,AC$100:AG179,4,FALSE)))*EXP(-(LN(2)/$D$65+0.1)*(VLOOKUP(($F$16-$F$15)*2-1,AC$100:AG179,5,FALSE)))*EXP(-(LN(2)/$D$65+0.04)*AF179)*EXP(-(LN(2)/$D$65+0.1)*AG179),"-"))),"-")</f>
        <v>-</v>
      </c>
      <c r="AK179" s="227">
        <f t="shared" si="138"/>
        <v>79</v>
      </c>
      <c r="AL179" s="226" t="str">
        <f t="shared" si="112"/>
        <v>-</v>
      </c>
      <c r="AM179" s="227" t="str">
        <f t="shared" si="139"/>
        <v>-</v>
      </c>
      <c r="AN179" s="227" t="str">
        <f t="shared" si="140"/>
        <v>-</v>
      </c>
      <c r="AO179" s="227" t="str">
        <f t="shared" si="113"/>
        <v>-</v>
      </c>
      <c r="AP179" s="273">
        <f t="shared" si="141"/>
        <v>0.1</v>
      </c>
      <c r="AQ179" s="271" t="str">
        <f>IFERROR(IF(AL178=1,AQ$100*EXP(-(LN(2)/$D$65+0.04)*AN178)*EXP(-(LN(2)/$D$65+0.1)*AO178),IF(AL178=2,AQ$100*EXP(-(LN(2)/$D$65+0.04)*(VLOOKUP(($F$16-$F$15)-1,AK$99:AO178,4,FALSE)))*EXP(-(LN(2)/$D$65+0.1)*(VLOOKUP(($F$16-$F$15)-1,AK$99:AO178,5,FALSE)))*EXP(-(LN(2)/$D$65+0.04)*AN178)*EXP(-(LN(2)/$D$65+0.1)*AO178),IF(AL178=3,AQ$100*EXP(-(LN(2)/$D$65+0.04)*(VLOOKUP(($F$16-$F$15)-1,AK$99:AO178,4,FALSE)))*EXP(-(LN(2)/$D$65+0.1)*(VLOOKUP(($F$16-$F$15)-1,AK$99:AO178,5,FALSE)))*EXP(-(LN(2)/$D$65+0.04)*(VLOOKUP(($F$16-$F$15)*2-1,AK$99:AO178,4,FALSE)))*EXP(-(LN(2)/$D$65+0.1)*(VLOOKUP(($F$16-$F$15)*2-1,AK$99:AO178,5,FALSE)))*EXP(-(LN(2)/$D$65+0.04)*AN178)*EXP(-(LN(2)/$D$65+0.1)*AO178),"-"))),"-")</f>
        <v>-</v>
      </c>
      <c r="AR179" s="271" t="str">
        <f>IFERROR(IF(AL179=1,AR$100*EXP(-(LN(2)/$D$65+0.04)*AN179)*EXP(-(LN(2)/$D$65+0.1)*AO179),IF(AL179=2,AR$100*EXP(-(LN(2)/$D$65+0.04)*(VLOOKUP(($F$16-$F$15)-1,AK$100:AO179,4,FALSE)))*EXP(-(LN(2)/$D$65+0.1)*(VLOOKUP(($F$16-$F$15)-1,AK$100:AO179,5,FALSE)))*EXP(-(LN(2)/$D$65+0.04)*AN179)*EXP(-(LN(2)/$D$65+0.1)*AO179),IF(AL179=3,AR$100*EXP(-(LN(2)/$D$65+0.04)*(VLOOKUP(($F$16-$F$15)-1,AK$100:AO179,4,FALSE)))*EXP(-(LN(2)/$D$65+0.1)*(VLOOKUP(($F$16-$F$15)-1,AK$100:AO179,5,FALSE)))*EXP(-(LN(2)/$D$65+0.04)*(VLOOKUP(($F$16-$F$15)*2-1,AK$100:AO179,4,FALSE)))*EXP(-(LN(2)/$D$65+0.1)*(VLOOKUP(($F$16-$F$15)*2-1,AK$100:AO179,5,FALSE)))*EXP(-(LN(2)/$D$65+0.04)*AN179)*EXP(-(LN(2)/$D$65+0.1)*AO179),"-"))),"-")</f>
        <v>-</v>
      </c>
      <c r="AS179" s="274">
        <f t="shared" si="114"/>
        <v>0</v>
      </c>
      <c r="AT179" s="274">
        <f t="shared" si="115"/>
        <v>0</v>
      </c>
      <c r="AU179" s="274">
        <f t="shared" si="116"/>
        <v>0</v>
      </c>
      <c r="AV179" s="190">
        <f>IF($B179&lt;$F$22,SUM($T$100:$T179),"")</f>
        <v>0</v>
      </c>
      <c r="AW179" s="190" t="str">
        <f t="shared" si="117"/>
        <v>-</v>
      </c>
      <c r="AX179" s="190" t="str">
        <f t="shared" si="142"/>
        <v/>
      </c>
      <c r="AY179"/>
      <c r="AZ179" s="190" t="str">
        <f ca="1">IF(ISNUMBER(OFFSET(AV179,-$F$21,0)),SUM(OFFSET($T$100,$F$21,0):$T179),"")</f>
        <v/>
      </c>
      <c r="BA179" s="190" t="str">
        <f t="shared" ca="1" si="118"/>
        <v/>
      </c>
      <c r="BB179" s="190" t="str">
        <f t="shared" ca="1" si="70"/>
        <v/>
      </c>
      <c r="BC179" s="190"/>
      <c r="BD179" s="190" t="str">
        <f ca="1">IFERROR(IF(AND($B179&gt;=($F$16-$F$15),$B179&lt;$F$22+($F$16-$F$15)),SUM(OFFSET($T$100,($F$16-$F$15),0):$T179),""),"")</f>
        <v/>
      </c>
      <c r="BE179" s="190" t="str">
        <f t="shared" ca="1" si="143"/>
        <v/>
      </c>
      <c r="BF179" s="190" t="str">
        <f t="shared" ca="1" si="144"/>
        <v/>
      </c>
      <c r="BG179"/>
      <c r="BH179" s="190" t="str">
        <f ca="1">IF(ISNUMBER(OFFSET(BD179,-$F$21,0)),SUM(OFFSET($T$100,($F$16-$F$15+$F$21),0):$T179),"")</f>
        <v/>
      </c>
      <c r="BI179" s="190" t="str">
        <f t="shared" ca="1" si="119"/>
        <v/>
      </c>
      <c r="BJ179" s="190" t="str">
        <f t="shared" ca="1" si="145"/>
        <v/>
      </c>
      <c r="BK179" s="190"/>
      <c r="BL179" s="190" t="str">
        <f ca="1">IFERROR(IF(AND($B179&gt;=($F$17-$F$15),$B179&lt;$F$22+($F$17-$F$15)),SUM(OFFSET($T$100,($F$17-$F$15),0):$T179),""),"")</f>
        <v/>
      </c>
      <c r="BM179" s="190" t="str">
        <f t="shared" ca="1" si="120"/>
        <v/>
      </c>
      <c r="BN179" s="190" t="str">
        <f t="shared" ca="1" si="146"/>
        <v/>
      </c>
      <c r="BO179"/>
      <c r="BP179" s="190" t="str">
        <f ca="1">IF(ISNUMBER(OFFSET(BL179,-$F$21,0)),SUM(OFFSET($T$100,($F$17-$F$15+$F$21),0):$T179),"")</f>
        <v/>
      </c>
      <c r="BQ179" s="190" t="str">
        <f t="shared" ca="1" si="121"/>
        <v/>
      </c>
      <c r="BR179" s="190" t="str">
        <f t="shared" ca="1" si="147"/>
        <v/>
      </c>
      <c r="BS179" s="190"/>
      <c r="BT179"/>
      <c r="BU179"/>
      <c r="BV179"/>
      <c r="BY179" s="99"/>
      <c r="BZ179" s="99"/>
      <c r="CA179" s="280" t="str">
        <f t="shared" si="122"/>
        <v/>
      </c>
      <c r="CB179" s="71" t="str">
        <f t="shared" si="123"/>
        <v>-</v>
      </c>
      <c r="CC179" s="33"/>
      <c r="CD179" s="261" t="str">
        <f t="shared" si="124"/>
        <v/>
      </c>
      <c r="CE179" s="280" t="str">
        <f t="shared" si="125"/>
        <v>-</v>
      </c>
      <c r="CF179" s="71" t="str">
        <f t="shared" ca="1" si="126"/>
        <v>-</v>
      </c>
      <c r="CG179" s="33" t="str">
        <f t="shared" si="127"/>
        <v>79-80</v>
      </c>
      <c r="CH179" s="261" t="str">
        <f t="shared" ca="1" si="128"/>
        <v/>
      </c>
      <c r="CI179" s="99"/>
      <c r="CJ179" s="99"/>
      <c r="CK179" s="99"/>
      <c r="CL179" s="99"/>
      <c r="CM179" s="99"/>
      <c r="CN179" s="99"/>
      <c r="CO179" s="99"/>
    </row>
    <row r="180" spans="2:93" ht="13.5" customHeight="1" x14ac:dyDescent="0.2">
      <c r="B180" s="262">
        <v>80</v>
      </c>
      <c r="C180" s="237" t="str">
        <f t="shared" si="92"/>
        <v/>
      </c>
      <c r="D180" s="237" t="str">
        <f t="shared" si="148"/>
        <v>-</v>
      </c>
      <c r="E180" s="263" t="str">
        <f t="shared" si="129"/>
        <v/>
      </c>
      <c r="F180" s="264" t="str">
        <f t="shared" si="130"/>
        <v/>
      </c>
      <c r="G180" s="306" t="str">
        <f t="shared" si="131"/>
        <v/>
      </c>
      <c r="H180" s="240" t="str">
        <f t="shared" si="93"/>
        <v/>
      </c>
      <c r="I180" s="265" t="str">
        <f t="shared" si="94"/>
        <v/>
      </c>
      <c r="J180" s="265" t="str">
        <f t="shared" si="95"/>
        <v/>
      </c>
      <c r="K180" s="240" t="str">
        <f t="shared" si="96"/>
        <v/>
      </c>
      <c r="L180" s="265" t="str">
        <f t="shared" si="97"/>
        <v/>
      </c>
      <c r="M180" s="265" t="str">
        <f t="shared" si="98"/>
        <v/>
      </c>
      <c r="N180" s="240" t="str">
        <f t="shared" si="99"/>
        <v>-</v>
      </c>
      <c r="O180" s="265" t="str">
        <f t="shared" si="100"/>
        <v>-</v>
      </c>
      <c r="P180" s="265" t="str">
        <f t="shared" si="101"/>
        <v>-</v>
      </c>
      <c r="Q180" s="266" t="str">
        <f t="shared" si="102"/>
        <v>-</v>
      </c>
      <c r="R180" s="267" t="str">
        <f t="shared" si="103"/>
        <v>-</v>
      </c>
      <c r="S180" s="268" t="str">
        <f t="shared" si="104"/>
        <v>-</v>
      </c>
      <c r="T180" s="269" t="str">
        <f t="shared" si="105"/>
        <v/>
      </c>
      <c r="U180" s="221">
        <f t="shared" si="106"/>
        <v>80</v>
      </c>
      <c r="V180" s="220" t="str">
        <f t="shared" si="132"/>
        <v>-</v>
      </c>
      <c r="W180" s="221" t="str">
        <f t="shared" si="133"/>
        <v>-</v>
      </c>
      <c r="X180" s="221" t="str">
        <f t="shared" si="107"/>
        <v>-</v>
      </c>
      <c r="Y180" s="221" t="str">
        <f t="shared" si="108"/>
        <v>-</v>
      </c>
      <c r="Z180" s="270">
        <f t="shared" si="134"/>
        <v>0.1</v>
      </c>
      <c r="AA180" s="271" t="str">
        <f>IFERROR(IF(V179=1,AA$100*EXP(-(LN(2)/$D$65+0.04)*X179)*EXP(-(LN(2)/$D$65+0.1)*Y179),IF(V179=2,AA$100*EXP(-(LN(2)/$D$65+0.04)*(VLOOKUP(($F$16-$F$15)-1,U$99:Y179,4,FALSE)))*EXP(-(LN(2)/$D$65+0.1)*(VLOOKUP(($F$16-$F$15)-1,U$99:Y179,5,FALSE)))*EXP(-(LN(2)/$D$65+0.04)*X179)*EXP(-(LN(2)/$D$65+0.1)*Y179),IF(V179=3,AA$100*EXP(-(LN(2)/$D$65+0.04)*(VLOOKUP(($F$16-$F$15)-1,U$99:Y179,4,FALSE)))*EXP(-(LN(2)/$D$65+0.1)*(VLOOKUP(($F$16-$F$15)-1,U$99:Y179,5,FALSE)))*EXP(-(LN(2)/$D$65+0.04)*(VLOOKUP(($F$16-$F$15)*2-1,U$99:Y179,4,FALSE)))*EXP(-(LN(2)/$D$65+0.1)*(VLOOKUP(($F$16-$F$15)*2-1,U$99:Y179,5,FALSE)))*EXP(-(LN(2)/$D$65+0.04)*X179)*EXP(-(LN(2)/$D$65+0.1)*Y179),"-"))),"-")</f>
        <v>-</v>
      </c>
      <c r="AB180" s="271" t="str">
        <f>IFERROR(IF(V180=1,AB$100*EXP(-(LN(2)/$D$65+0.04)*X180)*EXP(-(LN(2)/$D$65+0.1)*Y180),IF(V180=2,AB$100*EXP(-(LN(2)/$D$65+0.04)*(VLOOKUP(($F$16-$F$15)-1,U$100:Y180,4,FALSE)))*EXP(-(LN(2)/$D$65+0.1)*(VLOOKUP(($F$16-$F$15)-1,U$100:Y180,5,FALSE)))*EXP(-(LN(2)/$D$65+0.04)*X180)*EXP(-(LN(2)/$D$65+0.1)*Y180),IF(V180=3,AB$100*EXP(-(LN(2)/$D$65+0.04)*(VLOOKUP(($F$16-$F$15)-1,U$100:Y180,4,FALSE)))*EXP(-(LN(2)/$D$65+0.1)*(VLOOKUP(($F$16-$F$15)-1,U$100:Y180,5,FALSE)))*EXP(-(LN(2)/$D$65+0.04)*(VLOOKUP(($F$16-$F$15)*2-1,U$100:Y180,4,FALSE)))*EXP(-(LN(2)/$D$65+0.1)*(VLOOKUP(($F$16-$F$15)*2-1,U$100:Y180,5,FALSE)))*EXP(-(LN(2)/$D$65+0.04)*X180)*EXP(-(LN(2)/$D$65+0.1)*Y180),"-"))),"-")</f>
        <v>-</v>
      </c>
      <c r="AC180" s="224">
        <f t="shared" si="135"/>
        <v>80</v>
      </c>
      <c r="AD180" s="223" t="str">
        <f t="shared" si="109"/>
        <v>-</v>
      </c>
      <c r="AE180" s="224" t="str">
        <f t="shared" si="136"/>
        <v>-</v>
      </c>
      <c r="AF180" s="224" t="str">
        <f t="shared" si="110"/>
        <v>-</v>
      </c>
      <c r="AG180" s="224" t="str">
        <f t="shared" si="111"/>
        <v>-</v>
      </c>
      <c r="AH180" s="272">
        <f t="shared" si="137"/>
        <v>0.1</v>
      </c>
      <c r="AI180" s="271" t="str">
        <f>IFERROR(IF(AD179=1,AI$100*EXP(-(LN(2)/$D$65+0.04)*AF179)*EXP(-(LN(2)/$D$65+0.1)*AG179),IF(AD179=2,AI$100*EXP(-(LN(2)/$D$65+0.04)*(VLOOKUP(($F$16-$F$15)-1,AC$99:AG179,4,FALSE)))*EXP(-(LN(2)/$D$65+0.1)*(VLOOKUP(($F$16-$F$15)-1,AC$99:AG179,5,FALSE)))*EXP(-(LN(2)/$D$65+0.04)*AF179)*EXP(-(LN(2)/$D$65+0.1)*AG179),IF(AD179=3,AI$100*EXP(-(LN(2)/$D$65+0.04)*(VLOOKUP(($F$16-$F$15)-1,AC$99:AG179,4,FALSE)))*EXP(-(LN(2)/$D$65+0.1)*(VLOOKUP(($F$16-$F$15)-1,AC$99:AG179,5,FALSE)))*EXP(-(LN(2)/$D$65+0.04)*(VLOOKUP(($F$16-$F$15)*2-1,AC$99:AG179,4,FALSE)))*EXP(-(LN(2)/$D$65+0.1)*(VLOOKUP(($F$16-$F$15)*2-1,AC$99:AG179,5,FALSE)))*EXP(-(LN(2)/$D$65+0.04)*AF179)*EXP(-(LN(2)/$D$65+0.1)*AG179),"-"))),"-")</f>
        <v>-</v>
      </c>
      <c r="AJ180" s="271" t="str">
        <f>IFERROR(IF(AD180=1,AJ$100*EXP(-(LN(2)/$D$65+0.04)*AF180)*EXP(-(LN(2)/$D$65+0.1)*AG180),IF(AD180=2,AJ$100*EXP(-(LN(2)/$D$65+0.04)*(VLOOKUP(($F$16-$F$15)-1,AC$100:AG180,4,FALSE)))*EXP(-(LN(2)/$D$65+0.1)*(VLOOKUP(($F$16-$F$15)-1,AC$100:AG180,5,FALSE)))*EXP(-(LN(2)/$D$65+0.04)*AF180)*EXP(-(LN(2)/$D$65+0.1)*AG180),IF(AD180=3,AJ$100*EXP(-(LN(2)/$D$65+0.04)*(VLOOKUP(($F$16-$F$15)-1,AC$100:AG180,4,FALSE)))*EXP(-(LN(2)/$D$65+0.1)*(VLOOKUP(($F$16-$F$15)-1,AC$100:AG180,5,FALSE)))*EXP(-(LN(2)/$D$65+0.04)*(VLOOKUP(($F$16-$F$15)*2-1,AC$100:AG180,4,FALSE)))*EXP(-(LN(2)/$D$65+0.1)*(VLOOKUP(($F$16-$F$15)*2-1,AC$100:AG180,5,FALSE)))*EXP(-(LN(2)/$D$65+0.04)*AF180)*EXP(-(LN(2)/$D$65+0.1)*AG180),"-"))),"-")</f>
        <v>-</v>
      </c>
      <c r="AK180" s="227">
        <f t="shared" si="138"/>
        <v>80</v>
      </c>
      <c r="AL180" s="226" t="str">
        <f t="shared" si="112"/>
        <v>-</v>
      </c>
      <c r="AM180" s="227" t="str">
        <f t="shared" si="139"/>
        <v>-</v>
      </c>
      <c r="AN180" s="227" t="str">
        <f t="shared" si="140"/>
        <v>-</v>
      </c>
      <c r="AO180" s="227" t="str">
        <f t="shared" si="113"/>
        <v>-</v>
      </c>
      <c r="AP180" s="273">
        <f t="shared" si="141"/>
        <v>0.1</v>
      </c>
      <c r="AQ180" s="271" t="str">
        <f>IFERROR(IF(AL179=1,AQ$100*EXP(-(LN(2)/$D$65+0.04)*AN179)*EXP(-(LN(2)/$D$65+0.1)*AO179),IF(AL179=2,AQ$100*EXP(-(LN(2)/$D$65+0.04)*(VLOOKUP(($F$16-$F$15)-1,AK$99:AO179,4,FALSE)))*EXP(-(LN(2)/$D$65+0.1)*(VLOOKUP(($F$16-$F$15)-1,AK$99:AO179,5,FALSE)))*EXP(-(LN(2)/$D$65+0.04)*AN179)*EXP(-(LN(2)/$D$65+0.1)*AO179),IF(AL179=3,AQ$100*EXP(-(LN(2)/$D$65+0.04)*(VLOOKUP(($F$16-$F$15)-1,AK$99:AO179,4,FALSE)))*EXP(-(LN(2)/$D$65+0.1)*(VLOOKUP(($F$16-$F$15)-1,AK$99:AO179,5,FALSE)))*EXP(-(LN(2)/$D$65+0.04)*(VLOOKUP(($F$16-$F$15)*2-1,AK$99:AO179,4,FALSE)))*EXP(-(LN(2)/$D$65+0.1)*(VLOOKUP(($F$16-$F$15)*2-1,AK$99:AO179,5,FALSE)))*EXP(-(LN(2)/$D$65+0.04)*AN179)*EXP(-(LN(2)/$D$65+0.1)*AO179),"-"))),"-")</f>
        <v>-</v>
      </c>
      <c r="AR180" s="271" t="str">
        <f>IFERROR(IF(AL180=1,AR$100*EXP(-(LN(2)/$D$65+0.04)*AN180)*EXP(-(LN(2)/$D$65+0.1)*AO180),IF(AL180=2,AR$100*EXP(-(LN(2)/$D$65+0.04)*(VLOOKUP(($F$16-$F$15)-1,AK$100:AO180,4,FALSE)))*EXP(-(LN(2)/$D$65+0.1)*(VLOOKUP(($F$16-$F$15)-1,AK$100:AO180,5,FALSE)))*EXP(-(LN(2)/$D$65+0.04)*AN180)*EXP(-(LN(2)/$D$65+0.1)*AO180),IF(AL180=3,AR$100*EXP(-(LN(2)/$D$65+0.04)*(VLOOKUP(($F$16-$F$15)-1,AK$100:AO180,4,FALSE)))*EXP(-(LN(2)/$D$65+0.1)*(VLOOKUP(($F$16-$F$15)-1,AK$100:AO180,5,FALSE)))*EXP(-(LN(2)/$D$65+0.04)*(VLOOKUP(($F$16-$F$15)*2-1,AK$100:AO180,4,FALSE)))*EXP(-(LN(2)/$D$65+0.1)*(VLOOKUP(($F$16-$F$15)*2-1,AK$100:AO180,5,FALSE)))*EXP(-(LN(2)/$D$65+0.04)*AN180)*EXP(-(LN(2)/$D$65+0.1)*AO180),"-"))),"-")</f>
        <v>-</v>
      </c>
      <c r="AS180" s="274">
        <f t="shared" si="114"/>
        <v>0</v>
      </c>
      <c r="AT180" s="274">
        <f t="shared" si="115"/>
        <v>0</v>
      </c>
      <c r="AU180" s="274">
        <f t="shared" si="116"/>
        <v>0</v>
      </c>
      <c r="AV180" s="190">
        <f>IF($B180&lt;$F$22,SUM($T$100:$T180),"")</f>
        <v>0</v>
      </c>
      <c r="AW180" s="190" t="str">
        <f t="shared" si="117"/>
        <v>-</v>
      </c>
      <c r="AX180" s="190" t="str">
        <f t="shared" si="142"/>
        <v/>
      </c>
      <c r="AY180"/>
      <c r="AZ180" s="190" t="str">
        <f ca="1">IF(ISNUMBER(OFFSET(AV180,-$F$21,0)),SUM(OFFSET($T$100,$F$21,0):$T180),"")</f>
        <v/>
      </c>
      <c r="BA180" s="190" t="str">
        <f t="shared" ca="1" si="118"/>
        <v/>
      </c>
      <c r="BB180" s="190" t="str">
        <f t="shared" ca="1" si="70"/>
        <v/>
      </c>
      <c r="BC180" s="190"/>
      <c r="BD180" s="190" t="str">
        <f ca="1">IFERROR(IF(AND($B180&gt;=($F$16-$F$15),$B180&lt;$F$22+($F$16-$F$15)),SUM(OFFSET($T$100,($F$16-$F$15),0):$T180),""),"")</f>
        <v/>
      </c>
      <c r="BE180" s="190" t="str">
        <f t="shared" ca="1" si="143"/>
        <v/>
      </c>
      <c r="BF180" s="190" t="str">
        <f t="shared" ca="1" si="144"/>
        <v/>
      </c>
      <c r="BG180"/>
      <c r="BH180" s="190" t="str">
        <f ca="1">IF(ISNUMBER(OFFSET(BD180,-$F$21,0)),SUM(OFFSET($T$100,($F$16-$F$15+$F$21),0):$T180),"")</f>
        <v/>
      </c>
      <c r="BI180" s="190" t="str">
        <f t="shared" ca="1" si="119"/>
        <v/>
      </c>
      <c r="BJ180" s="190" t="str">
        <f t="shared" ca="1" si="145"/>
        <v/>
      </c>
      <c r="BK180" s="190"/>
      <c r="BL180" s="190" t="str">
        <f ca="1">IFERROR(IF(AND($B180&gt;=($F$17-$F$15),$B180&lt;$F$22+($F$17-$F$15)),SUM(OFFSET($T$100,($F$17-$F$15),0):$T180),""),"")</f>
        <v/>
      </c>
      <c r="BM180" s="190" t="str">
        <f t="shared" ca="1" si="120"/>
        <v/>
      </c>
      <c r="BN180" s="190" t="str">
        <f t="shared" ca="1" si="146"/>
        <v/>
      </c>
      <c r="BO180"/>
      <c r="BP180" s="190" t="str">
        <f ca="1">IF(ISNUMBER(OFFSET(BL180,-$F$21,0)),SUM(OFFSET($T$100,($F$17-$F$15+$F$21),0):$T180),"")</f>
        <v/>
      </c>
      <c r="BQ180" s="190" t="str">
        <f t="shared" ca="1" si="121"/>
        <v/>
      </c>
      <c r="BR180" s="190" t="str">
        <f t="shared" ca="1" si="147"/>
        <v/>
      </c>
      <c r="BS180" s="190"/>
      <c r="BT180"/>
      <c r="BU180"/>
      <c r="BV180"/>
      <c r="BY180" s="99"/>
      <c r="BZ180" s="99"/>
      <c r="CA180" s="280" t="str">
        <f t="shared" si="122"/>
        <v/>
      </c>
      <c r="CB180" s="71" t="str">
        <f t="shared" si="123"/>
        <v>-</v>
      </c>
      <c r="CC180" s="33"/>
      <c r="CD180" s="261" t="str">
        <f t="shared" si="124"/>
        <v/>
      </c>
      <c r="CE180" s="280" t="str">
        <f t="shared" si="125"/>
        <v>-</v>
      </c>
      <c r="CF180" s="71" t="str">
        <f t="shared" ca="1" si="126"/>
        <v>-</v>
      </c>
      <c r="CG180" s="33" t="str">
        <f t="shared" si="127"/>
        <v>80-81</v>
      </c>
      <c r="CH180" s="261" t="str">
        <f t="shared" ca="1" si="128"/>
        <v/>
      </c>
      <c r="CI180" s="99"/>
      <c r="CJ180" s="99"/>
      <c r="CK180" s="99"/>
      <c r="CL180" s="99"/>
      <c r="CM180" s="99"/>
      <c r="CN180" s="99"/>
      <c r="CO180" s="99"/>
    </row>
    <row r="181" spans="2:93" ht="13.5" customHeight="1" x14ac:dyDescent="0.2">
      <c r="B181" s="262">
        <v>81</v>
      </c>
      <c r="C181" s="237" t="str">
        <f t="shared" si="92"/>
        <v/>
      </c>
      <c r="D181" s="237" t="str">
        <f t="shared" si="148"/>
        <v>-</v>
      </c>
      <c r="E181" s="263" t="str">
        <f t="shared" si="129"/>
        <v/>
      </c>
      <c r="F181" s="264" t="str">
        <f t="shared" si="130"/>
        <v/>
      </c>
      <c r="G181" s="306" t="str">
        <f t="shared" si="131"/>
        <v/>
      </c>
      <c r="H181" s="240" t="str">
        <f t="shared" si="93"/>
        <v/>
      </c>
      <c r="I181" s="265" t="str">
        <f t="shared" si="94"/>
        <v/>
      </c>
      <c r="J181" s="265" t="str">
        <f t="shared" si="95"/>
        <v/>
      </c>
      <c r="K181" s="240" t="str">
        <f t="shared" si="96"/>
        <v/>
      </c>
      <c r="L181" s="265" t="str">
        <f t="shared" si="97"/>
        <v/>
      </c>
      <c r="M181" s="265" t="str">
        <f t="shared" si="98"/>
        <v/>
      </c>
      <c r="N181" s="240" t="str">
        <f t="shared" si="99"/>
        <v>-</v>
      </c>
      <c r="O181" s="265" t="str">
        <f t="shared" si="100"/>
        <v>-</v>
      </c>
      <c r="P181" s="265" t="str">
        <f t="shared" si="101"/>
        <v>-</v>
      </c>
      <c r="Q181" s="266" t="str">
        <f t="shared" si="102"/>
        <v>-</v>
      </c>
      <c r="R181" s="267" t="str">
        <f t="shared" si="103"/>
        <v>-</v>
      </c>
      <c r="S181" s="268" t="str">
        <f t="shared" si="104"/>
        <v>-</v>
      </c>
      <c r="T181" s="269" t="str">
        <f t="shared" si="105"/>
        <v/>
      </c>
      <c r="U181" s="221">
        <f t="shared" si="106"/>
        <v>81</v>
      </c>
      <c r="V181" s="220" t="str">
        <f t="shared" si="132"/>
        <v>-</v>
      </c>
      <c r="W181" s="221" t="str">
        <f t="shared" si="133"/>
        <v>-</v>
      </c>
      <c r="X181" s="221" t="str">
        <f t="shared" si="107"/>
        <v>-</v>
      </c>
      <c r="Y181" s="221" t="str">
        <f t="shared" si="108"/>
        <v>-</v>
      </c>
      <c r="Z181" s="270">
        <f t="shared" si="134"/>
        <v>0.1</v>
      </c>
      <c r="AA181" s="271" t="str">
        <f>IFERROR(IF(V180=1,AA$100*EXP(-(LN(2)/$D$65+0.04)*X180)*EXP(-(LN(2)/$D$65+0.1)*Y180),IF(V180=2,AA$100*EXP(-(LN(2)/$D$65+0.04)*(VLOOKUP(($F$16-$F$15)-1,U$99:Y180,4,FALSE)))*EXP(-(LN(2)/$D$65+0.1)*(VLOOKUP(($F$16-$F$15)-1,U$99:Y180,5,FALSE)))*EXP(-(LN(2)/$D$65+0.04)*X180)*EXP(-(LN(2)/$D$65+0.1)*Y180),IF(V180=3,AA$100*EXP(-(LN(2)/$D$65+0.04)*(VLOOKUP(($F$16-$F$15)-1,U$99:Y180,4,FALSE)))*EXP(-(LN(2)/$D$65+0.1)*(VLOOKUP(($F$16-$F$15)-1,U$99:Y180,5,FALSE)))*EXP(-(LN(2)/$D$65+0.04)*(VLOOKUP(($F$16-$F$15)*2-1,U$99:Y180,4,FALSE)))*EXP(-(LN(2)/$D$65+0.1)*(VLOOKUP(($F$16-$F$15)*2-1,U$99:Y180,5,FALSE)))*EXP(-(LN(2)/$D$65+0.04)*X180)*EXP(-(LN(2)/$D$65+0.1)*Y180),"-"))),"-")</f>
        <v>-</v>
      </c>
      <c r="AB181" s="271" t="str">
        <f>IFERROR(IF(V181=1,AB$100*EXP(-(LN(2)/$D$65+0.04)*X181)*EXP(-(LN(2)/$D$65+0.1)*Y181),IF(V181=2,AB$100*EXP(-(LN(2)/$D$65+0.04)*(VLOOKUP(($F$16-$F$15)-1,U$100:Y181,4,FALSE)))*EXP(-(LN(2)/$D$65+0.1)*(VLOOKUP(($F$16-$F$15)-1,U$100:Y181,5,FALSE)))*EXP(-(LN(2)/$D$65+0.04)*X181)*EXP(-(LN(2)/$D$65+0.1)*Y181),IF(V181=3,AB$100*EXP(-(LN(2)/$D$65+0.04)*(VLOOKUP(($F$16-$F$15)-1,U$100:Y181,4,FALSE)))*EXP(-(LN(2)/$D$65+0.1)*(VLOOKUP(($F$16-$F$15)-1,U$100:Y181,5,FALSE)))*EXP(-(LN(2)/$D$65+0.04)*(VLOOKUP(($F$16-$F$15)*2-1,U$100:Y181,4,FALSE)))*EXP(-(LN(2)/$D$65+0.1)*(VLOOKUP(($F$16-$F$15)*2-1,U$100:Y181,5,FALSE)))*EXP(-(LN(2)/$D$65+0.04)*X181)*EXP(-(LN(2)/$D$65+0.1)*Y181),"-"))),"-")</f>
        <v>-</v>
      </c>
      <c r="AC181" s="224">
        <f t="shared" si="135"/>
        <v>81</v>
      </c>
      <c r="AD181" s="223" t="str">
        <f t="shared" si="109"/>
        <v>-</v>
      </c>
      <c r="AE181" s="224" t="str">
        <f t="shared" si="136"/>
        <v>-</v>
      </c>
      <c r="AF181" s="224" t="str">
        <f t="shared" si="110"/>
        <v>-</v>
      </c>
      <c r="AG181" s="224" t="str">
        <f t="shared" si="111"/>
        <v>-</v>
      </c>
      <c r="AH181" s="272">
        <f t="shared" si="137"/>
        <v>0.1</v>
      </c>
      <c r="AI181" s="271" t="str">
        <f>IFERROR(IF(AD180=1,AI$100*EXP(-(LN(2)/$D$65+0.04)*AF180)*EXP(-(LN(2)/$D$65+0.1)*AG180),IF(AD180=2,AI$100*EXP(-(LN(2)/$D$65+0.04)*(VLOOKUP(($F$16-$F$15)-1,AC$99:AG180,4,FALSE)))*EXP(-(LN(2)/$D$65+0.1)*(VLOOKUP(($F$16-$F$15)-1,AC$99:AG180,5,FALSE)))*EXP(-(LN(2)/$D$65+0.04)*AF180)*EXP(-(LN(2)/$D$65+0.1)*AG180),IF(AD180=3,AI$100*EXP(-(LN(2)/$D$65+0.04)*(VLOOKUP(($F$16-$F$15)-1,AC$99:AG180,4,FALSE)))*EXP(-(LN(2)/$D$65+0.1)*(VLOOKUP(($F$16-$F$15)-1,AC$99:AG180,5,FALSE)))*EXP(-(LN(2)/$D$65+0.04)*(VLOOKUP(($F$16-$F$15)*2-1,AC$99:AG180,4,FALSE)))*EXP(-(LN(2)/$D$65+0.1)*(VLOOKUP(($F$16-$F$15)*2-1,AC$99:AG180,5,FALSE)))*EXP(-(LN(2)/$D$65+0.04)*AF180)*EXP(-(LN(2)/$D$65+0.1)*AG180),"-"))),"-")</f>
        <v>-</v>
      </c>
      <c r="AJ181" s="271" t="str">
        <f>IFERROR(IF(AD181=1,AJ$100*EXP(-(LN(2)/$D$65+0.04)*AF181)*EXP(-(LN(2)/$D$65+0.1)*AG181),IF(AD181=2,AJ$100*EXP(-(LN(2)/$D$65+0.04)*(VLOOKUP(($F$16-$F$15)-1,AC$100:AG181,4,FALSE)))*EXP(-(LN(2)/$D$65+0.1)*(VLOOKUP(($F$16-$F$15)-1,AC$100:AG181,5,FALSE)))*EXP(-(LN(2)/$D$65+0.04)*AF181)*EXP(-(LN(2)/$D$65+0.1)*AG181),IF(AD181=3,AJ$100*EXP(-(LN(2)/$D$65+0.04)*(VLOOKUP(($F$16-$F$15)-1,AC$100:AG181,4,FALSE)))*EXP(-(LN(2)/$D$65+0.1)*(VLOOKUP(($F$16-$F$15)-1,AC$100:AG181,5,FALSE)))*EXP(-(LN(2)/$D$65+0.04)*(VLOOKUP(($F$16-$F$15)*2-1,AC$100:AG181,4,FALSE)))*EXP(-(LN(2)/$D$65+0.1)*(VLOOKUP(($F$16-$F$15)*2-1,AC$100:AG181,5,FALSE)))*EXP(-(LN(2)/$D$65+0.04)*AF181)*EXP(-(LN(2)/$D$65+0.1)*AG181),"-"))),"-")</f>
        <v>-</v>
      </c>
      <c r="AK181" s="227">
        <f t="shared" si="138"/>
        <v>81</v>
      </c>
      <c r="AL181" s="226" t="str">
        <f t="shared" si="112"/>
        <v>-</v>
      </c>
      <c r="AM181" s="227" t="str">
        <f t="shared" si="139"/>
        <v>-</v>
      </c>
      <c r="AN181" s="227" t="str">
        <f t="shared" si="140"/>
        <v>-</v>
      </c>
      <c r="AO181" s="227" t="str">
        <f t="shared" si="113"/>
        <v>-</v>
      </c>
      <c r="AP181" s="273">
        <f t="shared" si="141"/>
        <v>0.1</v>
      </c>
      <c r="AQ181" s="271" t="str">
        <f>IFERROR(IF(AL180=1,AQ$100*EXP(-(LN(2)/$D$65+0.04)*AN180)*EXP(-(LN(2)/$D$65+0.1)*AO180),IF(AL180=2,AQ$100*EXP(-(LN(2)/$D$65+0.04)*(VLOOKUP(($F$16-$F$15)-1,AK$99:AO180,4,FALSE)))*EXP(-(LN(2)/$D$65+0.1)*(VLOOKUP(($F$16-$F$15)-1,AK$99:AO180,5,FALSE)))*EXP(-(LN(2)/$D$65+0.04)*AN180)*EXP(-(LN(2)/$D$65+0.1)*AO180),IF(AL180=3,AQ$100*EXP(-(LN(2)/$D$65+0.04)*(VLOOKUP(($F$16-$F$15)-1,AK$99:AO180,4,FALSE)))*EXP(-(LN(2)/$D$65+0.1)*(VLOOKUP(($F$16-$F$15)-1,AK$99:AO180,5,FALSE)))*EXP(-(LN(2)/$D$65+0.04)*(VLOOKUP(($F$16-$F$15)*2-1,AK$99:AO180,4,FALSE)))*EXP(-(LN(2)/$D$65+0.1)*(VLOOKUP(($F$16-$F$15)*2-1,AK$99:AO180,5,FALSE)))*EXP(-(LN(2)/$D$65+0.04)*AN180)*EXP(-(LN(2)/$D$65+0.1)*AO180),"-"))),"-")</f>
        <v>-</v>
      </c>
      <c r="AR181" s="271" t="str">
        <f>IFERROR(IF(AL181=1,AR$100*EXP(-(LN(2)/$D$65+0.04)*AN181)*EXP(-(LN(2)/$D$65+0.1)*AO181),IF(AL181=2,AR$100*EXP(-(LN(2)/$D$65+0.04)*(VLOOKUP(($F$16-$F$15)-1,AK$100:AO181,4,FALSE)))*EXP(-(LN(2)/$D$65+0.1)*(VLOOKUP(($F$16-$F$15)-1,AK$100:AO181,5,FALSE)))*EXP(-(LN(2)/$D$65+0.04)*AN181)*EXP(-(LN(2)/$D$65+0.1)*AO181),IF(AL181=3,AR$100*EXP(-(LN(2)/$D$65+0.04)*(VLOOKUP(($F$16-$F$15)-1,AK$100:AO181,4,FALSE)))*EXP(-(LN(2)/$D$65+0.1)*(VLOOKUP(($F$16-$F$15)-1,AK$100:AO181,5,FALSE)))*EXP(-(LN(2)/$D$65+0.04)*(VLOOKUP(($F$16-$F$15)*2-1,AK$100:AO181,4,FALSE)))*EXP(-(LN(2)/$D$65+0.1)*(VLOOKUP(($F$16-$F$15)*2-1,AK$100:AO181,5,FALSE)))*EXP(-(LN(2)/$D$65+0.04)*AN181)*EXP(-(LN(2)/$D$65+0.1)*AO181),"-"))),"-")</f>
        <v>-</v>
      </c>
      <c r="AS181" s="274">
        <f t="shared" si="114"/>
        <v>0</v>
      </c>
      <c r="AT181" s="274">
        <f t="shared" si="115"/>
        <v>0</v>
      </c>
      <c r="AU181" s="274">
        <f t="shared" si="116"/>
        <v>0</v>
      </c>
      <c r="AV181" s="190">
        <f>IF($B181&lt;$F$22,SUM($T$100:$T181),"")</f>
        <v>0</v>
      </c>
      <c r="AW181" s="190" t="str">
        <f t="shared" si="117"/>
        <v>-</v>
      </c>
      <c r="AX181" s="190" t="str">
        <f t="shared" si="142"/>
        <v/>
      </c>
      <c r="AY181"/>
      <c r="AZ181" s="190" t="str">
        <f ca="1">IF(ISNUMBER(OFFSET(AV181,-$F$21,0)),SUM(OFFSET($T$100,$F$21,0):$T181),"")</f>
        <v/>
      </c>
      <c r="BA181" s="190" t="str">
        <f t="shared" ca="1" si="118"/>
        <v/>
      </c>
      <c r="BB181" s="190" t="str">
        <f t="shared" ca="1" si="70"/>
        <v/>
      </c>
      <c r="BC181" s="190"/>
      <c r="BD181" s="190" t="str">
        <f ca="1">IFERROR(IF(AND($B181&gt;=($F$16-$F$15),$B181&lt;$F$22+($F$16-$F$15)),SUM(OFFSET($T$100,($F$16-$F$15),0):$T181),""),"")</f>
        <v/>
      </c>
      <c r="BE181" s="190" t="str">
        <f t="shared" ca="1" si="143"/>
        <v/>
      </c>
      <c r="BF181" s="190" t="str">
        <f t="shared" ca="1" si="144"/>
        <v/>
      </c>
      <c r="BG181"/>
      <c r="BH181" s="190" t="str">
        <f ca="1">IF(ISNUMBER(OFFSET(BD181,-$F$21,0)),SUM(OFFSET($T$100,($F$16-$F$15+$F$21),0):$T181),"")</f>
        <v/>
      </c>
      <c r="BI181" s="190" t="str">
        <f t="shared" ca="1" si="119"/>
        <v/>
      </c>
      <c r="BJ181" s="190" t="str">
        <f t="shared" ca="1" si="145"/>
        <v/>
      </c>
      <c r="BK181" s="190"/>
      <c r="BL181" s="190" t="str">
        <f ca="1">IFERROR(IF(AND($B181&gt;=($F$17-$F$15),$B181&lt;$F$22+($F$17-$F$15)),SUM(OFFSET($T$100,($F$17-$F$15),0):$T181),""),"")</f>
        <v/>
      </c>
      <c r="BM181" s="190" t="str">
        <f t="shared" ca="1" si="120"/>
        <v/>
      </c>
      <c r="BN181" s="190" t="str">
        <f t="shared" ca="1" si="146"/>
        <v/>
      </c>
      <c r="BO181"/>
      <c r="BP181" s="190" t="str">
        <f ca="1">IF(ISNUMBER(OFFSET(BL181,-$F$21,0)),SUM(OFFSET($T$100,($F$17-$F$15+$F$21),0):$T181),"")</f>
        <v/>
      </c>
      <c r="BQ181" s="190" t="str">
        <f t="shared" ca="1" si="121"/>
        <v/>
      </c>
      <c r="BR181" s="190" t="str">
        <f t="shared" ca="1" si="147"/>
        <v/>
      </c>
      <c r="BS181" s="190"/>
      <c r="BT181"/>
      <c r="BU181"/>
      <c r="BV181"/>
      <c r="BY181" s="99"/>
      <c r="BZ181" s="99"/>
      <c r="CA181" s="280" t="str">
        <f t="shared" si="122"/>
        <v/>
      </c>
      <c r="CB181" s="71" t="str">
        <f t="shared" si="123"/>
        <v>-</v>
      </c>
      <c r="CC181" s="33"/>
      <c r="CD181" s="261" t="str">
        <f t="shared" si="124"/>
        <v/>
      </c>
      <c r="CE181" s="280" t="str">
        <f t="shared" si="125"/>
        <v>-</v>
      </c>
      <c r="CF181" s="71" t="str">
        <f t="shared" ca="1" si="126"/>
        <v>-</v>
      </c>
      <c r="CG181" s="33" t="str">
        <f t="shared" si="127"/>
        <v>81-82</v>
      </c>
      <c r="CH181" s="261" t="str">
        <f t="shared" ca="1" si="128"/>
        <v/>
      </c>
      <c r="CI181" s="99"/>
      <c r="CJ181" s="99"/>
      <c r="CK181" s="99"/>
      <c r="CL181" s="99"/>
      <c r="CM181" s="99"/>
      <c r="CN181" s="99"/>
      <c r="CO181" s="99"/>
    </row>
    <row r="182" spans="2:93" ht="13.5" customHeight="1" x14ac:dyDescent="0.2">
      <c r="B182" s="262">
        <v>82</v>
      </c>
      <c r="C182" s="237" t="str">
        <f t="shared" si="92"/>
        <v/>
      </c>
      <c r="D182" s="237" t="str">
        <f t="shared" si="148"/>
        <v>-</v>
      </c>
      <c r="E182" s="263" t="str">
        <f t="shared" si="129"/>
        <v/>
      </c>
      <c r="F182" s="264" t="str">
        <f t="shared" si="130"/>
        <v/>
      </c>
      <c r="G182" s="306" t="str">
        <f t="shared" si="131"/>
        <v/>
      </c>
      <c r="H182" s="240" t="str">
        <f t="shared" si="93"/>
        <v/>
      </c>
      <c r="I182" s="265" t="str">
        <f t="shared" si="94"/>
        <v/>
      </c>
      <c r="J182" s="265" t="str">
        <f t="shared" si="95"/>
        <v/>
      </c>
      <c r="K182" s="240" t="str">
        <f t="shared" si="96"/>
        <v/>
      </c>
      <c r="L182" s="265" t="str">
        <f t="shared" si="97"/>
        <v/>
      </c>
      <c r="M182" s="265" t="str">
        <f t="shared" si="98"/>
        <v/>
      </c>
      <c r="N182" s="240" t="str">
        <f t="shared" si="99"/>
        <v>-</v>
      </c>
      <c r="O182" s="265" t="str">
        <f t="shared" si="100"/>
        <v>-</v>
      </c>
      <c r="P182" s="265" t="str">
        <f t="shared" si="101"/>
        <v>-</v>
      </c>
      <c r="Q182" s="266" t="str">
        <f t="shared" si="102"/>
        <v>-</v>
      </c>
      <c r="R182" s="267" t="str">
        <f t="shared" si="103"/>
        <v>-</v>
      </c>
      <c r="S182" s="268" t="str">
        <f t="shared" si="104"/>
        <v>-</v>
      </c>
      <c r="T182" s="269" t="str">
        <f t="shared" si="105"/>
        <v/>
      </c>
      <c r="U182" s="221">
        <f t="shared" si="106"/>
        <v>82</v>
      </c>
      <c r="V182" s="220" t="str">
        <f t="shared" si="132"/>
        <v>-</v>
      </c>
      <c r="W182" s="221" t="str">
        <f t="shared" si="133"/>
        <v>-</v>
      </c>
      <c r="X182" s="221" t="str">
        <f t="shared" si="107"/>
        <v>-</v>
      </c>
      <c r="Y182" s="221" t="str">
        <f t="shared" si="108"/>
        <v>-</v>
      </c>
      <c r="Z182" s="270">
        <f t="shared" si="134"/>
        <v>0.1</v>
      </c>
      <c r="AA182" s="271" t="str">
        <f>IFERROR(IF(V181=1,AA$100*EXP(-(LN(2)/$D$65+0.04)*X181)*EXP(-(LN(2)/$D$65+0.1)*Y181),IF(V181=2,AA$100*EXP(-(LN(2)/$D$65+0.04)*(VLOOKUP(($F$16-$F$15)-1,U$99:Y181,4,FALSE)))*EXP(-(LN(2)/$D$65+0.1)*(VLOOKUP(($F$16-$F$15)-1,U$99:Y181,5,FALSE)))*EXP(-(LN(2)/$D$65+0.04)*X181)*EXP(-(LN(2)/$D$65+0.1)*Y181),IF(V181=3,AA$100*EXP(-(LN(2)/$D$65+0.04)*(VLOOKUP(($F$16-$F$15)-1,U$99:Y181,4,FALSE)))*EXP(-(LN(2)/$D$65+0.1)*(VLOOKUP(($F$16-$F$15)-1,U$99:Y181,5,FALSE)))*EXP(-(LN(2)/$D$65+0.04)*(VLOOKUP(($F$16-$F$15)*2-1,U$99:Y181,4,FALSE)))*EXP(-(LN(2)/$D$65+0.1)*(VLOOKUP(($F$16-$F$15)*2-1,U$99:Y181,5,FALSE)))*EXP(-(LN(2)/$D$65+0.04)*X181)*EXP(-(LN(2)/$D$65+0.1)*Y181),"-"))),"-")</f>
        <v>-</v>
      </c>
      <c r="AB182" s="271" t="str">
        <f>IFERROR(IF(V182=1,AB$100*EXP(-(LN(2)/$D$65+0.04)*X182)*EXP(-(LN(2)/$D$65+0.1)*Y182),IF(V182=2,AB$100*EXP(-(LN(2)/$D$65+0.04)*(VLOOKUP(($F$16-$F$15)-1,U$100:Y182,4,FALSE)))*EXP(-(LN(2)/$D$65+0.1)*(VLOOKUP(($F$16-$F$15)-1,U$100:Y182,5,FALSE)))*EXP(-(LN(2)/$D$65+0.04)*X182)*EXP(-(LN(2)/$D$65+0.1)*Y182),IF(V182=3,AB$100*EXP(-(LN(2)/$D$65+0.04)*(VLOOKUP(($F$16-$F$15)-1,U$100:Y182,4,FALSE)))*EXP(-(LN(2)/$D$65+0.1)*(VLOOKUP(($F$16-$F$15)-1,U$100:Y182,5,FALSE)))*EXP(-(LN(2)/$D$65+0.04)*(VLOOKUP(($F$16-$F$15)*2-1,U$100:Y182,4,FALSE)))*EXP(-(LN(2)/$D$65+0.1)*(VLOOKUP(($F$16-$F$15)*2-1,U$100:Y182,5,FALSE)))*EXP(-(LN(2)/$D$65+0.04)*X182)*EXP(-(LN(2)/$D$65+0.1)*Y182),"-"))),"-")</f>
        <v>-</v>
      </c>
      <c r="AC182" s="224">
        <f t="shared" si="135"/>
        <v>82</v>
      </c>
      <c r="AD182" s="223" t="str">
        <f t="shared" si="109"/>
        <v>-</v>
      </c>
      <c r="AE182" s="224" t="str">
        <f t="shared" si="136"/>
        <v>-</v>
      </c>
      <c r="AF182" s="224" t="str">
        <f t="shared" si="110"/>
        <v>-</v>
      </c>
      <c r="AG182" s="224" t="str">
        <f t="shared" si="111"/>
        <v>-</v>
      </c>
      <c r="AH182" s="272">
        <f t="shared" si="137"/>
        <v>0.1</v>
      </c>
      <c r="AI182" s="271" t="str">
        <f>IFERROR(IF(AD181=1,AI$100*EXP(-(LN(2)/$D$65+0.04)*AF181)*EXP(-(LN(2)/$D$65+0.1)*AG181),IF(AD181=2,AI$100*EXP(-(LN(2)/$D$65+0.04)*(VLOOKUP(($F$16-$F$15)-1,AC$99:AG181,4,FALSE)))*EXP(-(LN(2)/$D$65+0.1)*(VLOOKUP(($F$16-$F$15)-1,AC$99:AG181,5,FALSE)))*EXP(-(LN(2)/$D$65+0.04)*AF181)*EXP(-(LN(2)/$D$65+0.1)*AG181),IF(AD181=3,AI$100*EXP(-(LN(2)/$D$65+0.04)*(VLOOKUP(($F$16-$F$15)-1,AC$99:AG181,4,FALSE)))*EXP(-(LN(2)/$D$65+0.1)*(VLOOKUP(($F$16-$F$15)-1,AC$99:AG181,5,FALSE)))*EXP(-(LN(2)/$D$65+0.04)*(VLOOKUP(($F$16-$F$15)*2-1,AC$99:AG181,4,FALSE)))*EXP(-(LN(2)/$D$65+0.1)*(VLOOKUP(($F$16-$F$15)*2-1,AC$99:AG181,5,FALSE)))*EXP(-(LN(2)/$D$65+0.04)*AF181)*EXP(-(LN(2)/$D$65+0.1)*AG181),"-"))),"-")</f>
        <v>-</v>
      </c>
      <c r="AJ182" s="271" t="str">
        <f>IFERROR(IF(AD182=1,AJ$100*EXP(-(LN(2)/$D$65+0.04)*AF182)*EXP(-(LN(2)/$D$65+0.1)*AG182),IF(AD182=2,AJ$100*EXP(-(LN(2)/$D$65+0.04)*(VLOOKUP(($F$16-$F$15)-1,AC$100:AG182,4,FALSE)))*EXP(-(LN(2)/$D$65+0.1)*(VLOOKUP(($F$16-$F$15)-1,AC$100:AG182,5,FALSE)))*EXP(-(LN(2)/$D$65+0.04)*AF182)*EXP(-(LN(2)/$D$65+0.1)*AG182),IF(AD182=3,AJ$100*EXP(-(LN(2)/$D$65+0.04)*(VLOOKUP(($F$16-$F$15)-1,AC$100:AG182,4,FALSE)))*EXP(-(LN(2)/$D$65+0.1)*(VLOOKUP(($F$16-$F$15)-1,AC$100:AG182,5,FALSE)))*EXP(-(LN(2)/$D$65+0.04)*(VLOOKUP(($F$16-$F$15)*2-1,AC$100:AG182,4,FALSE)))*EXP(-(LN(2)/$D$65+0.1)*(VLOOKUP(($F$16-$F$15)*2-1,AC$100:AG182,5,FALSE)))*EXP(-(LN(2)/$D$65+0.04)*AF182)*EXP(-(LN(2)/$D$65+0.1)*AG182),"-"))),"-")</f>
        <v>-</v>
      </c>
      <c r="AK182" s="227">
        <f t="shared" si="138"/>
        <v>82</v>
      </c>
      <c r="AL182" s="226" t="str">
        <f t="shared" si="112"/>
        <v>-</v>
      </c>
      <c r="AM182" s="227" t="str">
        <f t="shared" si="139"/>
        <v>-</v>
      </c>
      <c r="AN182" s="227" t="str">
        <f t="shared" si="140"/>
        <v>-</v>
      </c>
      <c r="AO182" s="227" t="str">
        <f t="shared" si="113"/>
        <v>-</v>
      </c>
      <c r="AP182" s="273">
        <f t="shared" si="141"/>
        <v>0.1</v>
      </c>
      <c r="AQ182" s="271" t="str">
        <f>IFERROR(IF(AL181=1,AQ$100*EXP(-(LN(2)/$D$65+0.04)*AN181)*EXP(-(LN(2)/$D$65+0.1)*AO181),IF(AL181=2,AQ$100*EXP(-(LN(2)/$D$65+0.04)*(VLOOKUP(($F$16-$F$15)-1,AK$99:AO181,4,FALSE)))*EXP(-(LN(2)/$D$65+0.1)*(VLOOKUP(($F$16-$F$15)-1,AK$99:AO181,5,FALSE)))*EXP(-(LN(2)/$D$65+0.04)*AN181)*EXP(-(LN(2)/$D$65+0.1)*AO181),IF(AL181=3,AQ$100*EXP(-(LN(2)/$D$65+0.04)*(VLOOKUP(($F$16-$F$15)-1,AK$99:AO181,4,FALSE)))*EXP(-(LN(2)/$D$65+0.1)*(VLOOKUP(($F$16-$F$15)-1,AK$99:AO181,5,FALSE)))*EXP(-(LN(2)/$D$65+0.04)*(VLOOKUP(($F$16-$F$15)*2-1,AK$99:AO181,4,FALSE)))*EXP(-(LN(2)/$D$65+0.1)*(VLOOKUP(($F$16-$F$15)*2-1,AK$99:AO181,5,FALSE)))*EXP(-(LN(2)/$D$65+0.04)*AN181)*EXP(-(LN(2)/$D$65+0.1)*AO181),"-"))),"-")</f>
        <v>-</v>
      </c>
      <c r="AR182" s="271" t="str">
        <f>IFERROR(IF(AL182=1,AR$100*EXP(-(LN(2)/$D$65+0.04)*AN182)*EXP(-(LN(2)/$D$65+0.1)*AO182),IF(AL182=2,AR$100*EXP(-(LN(2)/$D$65+0.04)*(VLOOKUP(($F$16-$F$15)-1,AK$100:AO182,4,FALSE)))*EXP(-(LN(2)/$D$65+0.1)*(VLOOKUP(($F$16-$F$15)-1,AK$100:AO182,5,FALSE)))*EXP(-(LN(2)/$D$65+0.04)*AN182)*EXP(-(LN(2)/$D$65+0.1)*AO182),IF(AL182=3,AR$100*EXP(-(LN(2)/$D$65+0.04)*(VLOOKUP(($F$16-$F$15)-1,AK$100:AO182,4,FALSE)))*EXP(-(LN(2)/$D$65+0.1)*(VLOOKUP(($F$16-$F$15)-1,AK$100:AO182,5,FALSE)))*EXP(-(LN(2)/$D$65+0.04)*(VLOOKUP(($F$16-$F$15)*2-1,AK$100:AO182,4,FALSE)))*EXP(-(LN(2)/$D$65+0.1)*(VLOOKUP(($F$16-$F$15)*2-1,AK$100:AO182,5,FALSE)))*EXP(-(LN(2)/$D$65+0.04)*AN182)*EXP(-(LN(2)/$D$65+0.1)*AO182),"-"))),"-")</f>
        <v>-</v>
      </c>
      <c r="AS182" s="274">
        <f t="shared" si="114"/>
        <v>0</v>
      </c>
      <c r="AT182" s="274">
        <f t="shared" si="115"/>
        <v>0</v>
      </c>
      <c r="AU182" s="274">
        <f t="shared" si="116"/>
        <v>0</v>
      </c>
      <c r="AV182" s="190">
        <f>IF($B182&lt;$F$22,SUM($T$100:$T182),"")</f>
        <v>0</v>
      </c>
      <c r="AW182" s="190" t="str">
        <f t="shared" si="117"/>
        <v>-</v>
      </c>
      <c r="AX182" s="190" t="str">
        <f t="shared" si="142"/>
        <v/>
      </c>
      <c r="AY182"/>
      <c r="AZ182" s="190" t="str">
        <f ca="1">IF(ISNUMBER(OFFSET(AV182,-$F$21,0)),SUM(OFFSET($T$100,$F$21,0):$T182),"")</f>
        <v/>
      </c>
      <c r="BA182" s="190" t="str">
        <f t="shared" ca="1" si="118"/>
        <v/>
      </c>
      <c r="BB182" s="190" t="str">
        <f t="shared" ca="1" si="70"/>
        <v/>
      </c>
      <c r="BC182" s="190"/>
      <c r="BD182" s="190" t="str">
        <f ca="1">IFERROR(IF(AND($B182&gt;=($F$16-$F$15),$B182&lt;$F$22+($F$16-$F$15)),SUM(OFFSET($T$100,($F$16-$F$15),0):$T182),""),"")</f>
        <v/>
      </c>
      <c r="BE182" s="190" t="str">
        <f t="shared" ca="1" si="143"/>
        <v/>
      </c>
      <c r="BF182" s="190" t="str">
        <f t="shared" ca="1" si="144"/>
        <v/>
      </c>
      <c r="BG182"/>
      <c r="BH182" s="190" t="str">
        <f ca="1">IF(ISNUMBER(OFFSET(BD182,-$F$21,0)),SUM(OFFSET($T$100,($F$16-$F$15+$F$21),0):$T182),"")</f>
        <v/>
      </c>
      <c r="BI182" s="190" t="str">
        <f t="shared" ca="1" si="119"/>
        <v/>
      </c>
      <c r="BJ182" s="190" t="str">
        <f t="shared" ca="1" si="145"/>
        <v/>
      </c>
      <c r="BK182" s="190"/>
      <c r="BL182" s="190" t="str">
        <f ca="1">IFERROR(IF(AND($B182&gt;=($F$17-$F$15),$B182&lt;$F$22+($F$17-$F$15)),SUM(OFFSET($T$100,($F$17-$F$15),0):$T182),""),"")</f>
        <v/>
      </c>
      <c r="BM182" s="190" t="str">
        <f t="shared" ca="1" si="120"/>
        <v/>
      </c>
      <c r="BN182" s="190" t="str">
        <f t="shared" ca="1" si="146"/>
        <v/>
      </c>
      <c r="BO182"/>
      <c r="BP182" s="190" t="str">
        <f ca="1">IF(ISNUMBER(OFFSET(BL182,-$F$21,0)),SUM(OFFSET($T$100,($F$17-$F$15+$F$21),0):$T182),"")</f>
        <v/>
      </c>
      <c r="BQ182" s="190" t="str">
        <f t="shared" ca="1" si="121"/>
        <v/>
      </c>
      <c r="BR182" s="190" t="str">
        <f t="shared" ca="1" si="147"/>
        <v/>
      </c>
      <c r="BS182" s="190"/>
      <c r="BT182"/>
      <c r="BU182"/>
      <c r="BV182"/>
      <c r="BY182" s="99"/>
      <c r="BZ182" s="99"/>
      <c r="CA182" s="280" t="str">
        <f t="shared" si="122"/>
        <v/>
      </c>
      <c r="CB182" s="71" t="str">
        <f t="shared" si="123"/>
        <v>-</v>
      </c>
      <c r="CC182" s="33"/>
      <c r="CD182" s="261" t="str">
        <f t="shared" si="124"/>
        <v/>
      </c>
      <c r="CE182" s="280" t="str">
        <f t="shared" si="125"/>
        <v>-</v>
      </c>
      <c r="CF182" s="71" t="str">
        <f t="shared" ca="1" si="126"/>
        <v>-</v>
      </c>
      <c r="CG182" s="33" t="str">
        <f t="shared" si="127"/>
        <v>82-83</v>
      </c>
      <c r="CH182" s="261" t="str">
        <f t="shared" ca="1" si="128"/>
        <v/>
      </c>
      <c r="CI182" s="99"/>
      <c r="CJ182" s="99"/>
      <c r="CK182" s="99"/>
      <c r="CL182" s="99"/>
      <c r="CM182" s="99"/>
      <c r="CN182" s="99"/>
      <c r="CO182" s="99"/>
    </row>
    <row r="183" spans="2:93" ht="13.5" customHeight="1" x14ac:dyDescent="0.2">
      <c r="B183" s="262">
        <v>83</v>
      </c>
      <c r="C183" s="237" t="str">
        <f t="shared" si="92"/>
        <v/>
      </c>
      <c r="D183" s="237" t="str">
        <f t="shared" si="148"/>
        <v>-</v>
      </c>
      <c r="E183" s="263" t="str">
        <f t="shared" si="129"/>
        <v/>
      </c>
      <c r="F183" s="264" t="str">
        <f t="shared" si="130"/>
        <v/>
      </c>
      <c r="G183" s="306" t="str">
        <f t="shared" si="131"/>
        <v/>
      </c>
      <c r="H183" s="240" t="str">
        <f t="shared" si="93"/>
        <v/>
      </c>
      <c r="I183" s="265" t="str">
        <f t="shared" si="94"/>
        <v/>
      </c>
      <c r="J183" s="265" t="str">
        <f t="shared" si="95"/>
        <v/>
      </c>
      <c r="K183" s="240" t="str">
        <f t="shared" si="96"/>
        <v/>
      </c>
      <c r="L183" s="265" t="str">
        <f t="shared" si="97"/>
        <v/>
      </c>
      <c r="M183" s="265" t="str">
        <f t="shared" si="98"/>
        <v/>
      </c>
      <c r="N183" s="240" t="str">
        <f t="shared" si="99"/>
        <v>-</v>
      </c>
      <c r="O183" s="265" t="str">
        <f t="shared" si="100"/>
        <v>-</v>
      </c>
      <c r="P183" s="265" t="str">
        <f t="shared" si="101"/>
        <v>-</v>
      </c>
      <c r="Q183" s="266" t="str">
        <f t="shared" si="102"/>
        <v>-</v>
      </c>
      <c r="R183" s="267" t="str">
        <f t="shared" si="103"/>
        <v>-</v>
      </c>
      <c r="S183" s="268" t="str">
        <f t="shared" si="104"/>
        <v>-</v>
      </c>
      <c r="T183" s="269" t="str">
        <f t="shared" si="105"/>
        <v/>
      </c>
      <c r="U183" s="221">
        <f t="shared" si="106"/>
        <v>83</v>
      </c>
      <c r="V183" s="220" t="str">
        <f t="shared" si="132"/>
        <v>-</v>
      </c>
      <c r="W183" s="221" t="str">
        <f t="shared" si="133"/>
        <v>-</v>
      </c>
      <c r="X183" s="221" t="str">
        <f t="shared" si="107"/>
        <v>-</v>
      </c>
      <c r="Y183" s="221" t="str">
        <f t="shared" si="108"/>
        <v>-</v>
      </c>
      <c r="Z183" s="270">
        <f t="shared" si="134"/>
        <v>0.1</v>
      </c>
      <c r="AA183" s="271" t="str">
        <f>IFERROR(IF(V182=1,AA$100*EXP(-(LN(2)/$D$65+0.04)*X182)*EXP(-(LN(2)/$D$65+0.1)*Y182),IF(V182=2,AA$100*EXP(-(LN(2)/$D$65+0.04)*(VLOOKUP(($F$16-$F$15)-1,U$99:Y182,4,FALSE)))*EXP(-(LN(2)/$D$65+0.1)*(VLOOKUP(($F$16-$F$15)-1,U$99:Y182,5,FALSE)))*EXP(-(LN(2)/$D$65+0.04)*X182)*EXP(-(LN(2)/$D$65+0.1)*Y182),IF(V182=3,AA$100*EXP(-(LN(2)/$D$65+0.04)*(VLOOKUP(($F$16-$F$15)-1,U$99:Y182,4,FALSE)))*EXP(-(LN(2)/$D$65+0.1)*(VLOOKUP(($F$16-$F$15)-1,U$99:Y182,5,FALSE)))*EXP(-(LN(2)/$D$65+0.04)*(VLOOKUP(($F$16-$F$15)*2-1,U$99:Y182,4,FALSE)))*EXP(-(LN(2)/$D$65+0.1)*(VLOOKUP(($F$16-$F$15)*2-1,U$99:Y182,5,FALSE)))*EXP(-(LN(2)/$D$65+0.04)*X182)*EXP(-(LN(2)/$D$65+0.1)*Y182),"-"))),"-")</f>
        <v>-</v>
      </c>
      <c r="AB183" s="271" t="str">
        <f>IFERROR(IF(V183=1,AB$100*EXP(-(LN(2)/$D$65+0.04)*X183)*EXP(-(LN(2)/$D$65+0.1)*Y183),IF(V183=2,AB$100*EXP(-(LN(2)/$D$65+0.04)*(VLOOKUP(($F$16-$F$15)-1,U$100:Y183,4,FALSE)))*EXP(-(LN(2)/$D$65+0.1)*(VLOOKUP(($F$16-$F$15)-1,U$100:Y183,5,FALSE)))*EXP(-(LN(2)/$D$65+0.04)*X183)*EXP(-(LN(2)/$D$65+0.1)*Y183),IF(V183=3,AB$100*EXP(-(LN(2)/$D$65+0.04)*(VLOOKUP(($F$16-$F$15)-1,U$100:Y183,4,FALSE)))*EXP(-(LN(2)/$D$65+0.1)*(VLOOKUP(($F$16-$F$15)-1,U$100:Y183,5,FALSE)))*EXP(-(LN(2)/$D$65+0.04)*(VLOOKUP(($F$16-$F$15)*2-1,U$100:Y183,4,FALSE)))*EXP(-(LN(2)/$D$65+0.1)*(VLOOKUP(($F$16-$F$15)*2-1,U$100:Y183,5,FALSE)))*EXP(-(LN(2)/$D$65+0.04)*X183)*EXP(-(LN(2)/$D$65+0.1)*Y183),"-"))),"-")</f>
        <v>-</v>
      </c>
      <c r="AC183" s="224">
        <f t="shared" si="135"/>
        <v>83</v>
      </c>
      <c r="AD183" s="223" t="str">
        <f t="shared" si="109"/>
        <v>-</v>
      </c>
      <c r="AE183" s="224" t="str">
        <f t="shared" si="136"/>
        <v>-</v>
      </c>
      <c r="AF183" s="224" t="str">
        <f t="shared" si="110"/>
        <v>-</v>
      </c>
      <c r="AG183" s="224" t="str">
        <f t="shared" si="111"/>
        <v>-</v>
      </c>
      <c r="AH183" s="272">
        <f t="shared" si="137"/>
        <v>0.1</v>
      </c>
      <c r="AI183" s="271" t="str">
        <f>IFERROR(IF(AD182=1,AI$100*EXP(-(LN(2)/$D$65+0.04)*AF182)*EXP(-(LN(2)/$D$65+0.1)*AG182),IF(AD182=2,AI$100*EXP(-(LN(2)/$D$65+0.04)*(VLOOKUP(($F$16-$F$15)-1,AC$99:AG182,4,FALSE)))*EXP(-(LN(2)/$D$65+0.1)*(VLOOKUP(($F$16-$F$15)-1,AC$99:AG182,5,FALSE)))*EXP(-(LN(2)/$D$65+0.04)*AF182)*EXP(-(LN(2)/$D$65+0.1)*AG182),IF(AD182=3,AI$100*EXP(-(LN(2)/$D$65+0.04)*(VLOOKUP(($F$16-$F$15)-1,AC$99:AG182,4,FALSE)))*EXP(-(LN(2)/$D$65+0.1)*(VLOOKUP(($F$16-$F$15)-1,AC$99:AG182,5,FALSE)))*EXP(-(LN(2)/$D$65+0.04)*(VLOOKUP(($F$16-$F$15)*2-1,AC$99:AG182,4,FALSE)))*EXP(-(LN(2)/$D$65+0.1)*(VLOOKUP(($F$16-$F$15)*2-1,AC$99:AG182,5,FALSE)))*EXP(-(LN(2)/$D$65+0.04)*AF182)*EXP(-(LN(2)/$D$65+0.1)*AG182),"-"))),"-")</f>
        <v>-</v>
      </c>
      <c r="AJ183" s="271" t="str">
        <f>IFERROR(IF(AD183=1,AJ$100*EXP(-(LN(2)/$D$65+0.04)*AF183)*EXP(-(LN(2)/$D$65+0.1)*AG183),IF(AD183=2,AJ$100*EXP(-(LN(2)/$D$65+0.04)*(VLOOKUP(($F$16-$F$15)-1,AC$100:AG183,4,FALSE)))*EXP(-(LN(2)/$D$65+0.1)*(VLOOKUP(($F$16-$F$15)-1,AC$100:AG183,5,FALSE)))*EXP(-(LN(2)/$D$65+0.04)*AF183)*EXP(-(LN(2)/$D$65+0.1)*AG183),IF(AD183=3,AJ$100*EXP(-(LN(2)/$D$65+0.04)*(VLOOKUP(($F$16-$F$15)-1,AC$100:AG183,4,FALSE)))*EXP(-(LN(2)/$D$65+0.1)*(VLOOKUP(($F$16-$F$15)-1,AC$100:AG183,5,FALSE)))*EXP(-(LN(2)/$D$65+0.04)*(VLOOKUP(($F$16-$F$15)*2-1,AC$100:AG183,4,FALSE)))*EXP(-(LN(2)/$D$65+0.1)*(VLOOKUP(($F$16-$F$15)*2-1,AC$100:AG183,5,FALSE)))*EXP(-(LN(2)/$D$65+0.04)*AF183)*EXP(-(LN(2)/$D$65+0.1)*AG183),"-"))),"-")</f>
        <v>-</v>
      </c>
      <c r="AK183" s="227">
        <f t="shared" si="138"/>
        <v>83</v>
      </c>
      <c r="AL183" s="226" t="str">
        <f t="shared" si="112"/>
        <v>-</v>
      </c>
      <c r="AM183" s="227" t="str">
        <f t="shared" si="139"/>
        <v>-</v>
      </c>
      <c r="AN183" s="227" t="str">
        <f t="shared" si="140"/>
        <v>-</v>
      </c>
      <c r="AO183" s="227" t="str">
        <f t="shared" si="113"/>
        <v>-</v>
      </c>
      <c r="AP183" s="273">
        <f t="shared" si="141"/>
        <v>0.1</v>
      </c>
      <c r="AQ183" s="271" t="str">
        <f>IFERROR(IF(AL182=1,AQ$100*EXP(-(LN(2)/$D$65+0.04)*AN182)*EXP(-(LN(2)/$D$65+0.1)*AO182),IF(AL182=2,AQ$100*EXP(-(LN(2)/$D$65+0.04)*(VLOOKUP(($F$16-$F$15)-1,AK$99:AO182,4,FALSE)))*EXP(-(LN(2)/$D$65+0.1)*(VLOOKUP(($F$16-$F$15)-1,AK$99:AO182,5,FALSE)))*EXP(-(LN(2)/$D$65+0.04)*AN182)*EXP(-(LN(2)/$D$65+0.1)*AO182),IF(AL182=3,AQ$100*EXP(-(LN(2)/$D$65+0.04)*(VLOOKUP(($F$16-$F$15)-1,AK$99:AO182,4,FALSE)))*EXP(-(LN(2)/$D$65+0.1)*(VLOOKUP(($F$16-$F$15)-1,AK$99:AO182,5,FALSE)))*EXP(-(LN(2)/$D$65+0.04)*(VLOOKUP(($F$16-$F$15)*2-1,AK$99:AO182,4,FALSE)))*EXP(-(LN(2)/$D$65+0.1)*(VLOOKUP(($F$16-$F$15)*2-1,AK$99:AO182,5,FALSE)))*EXP(-(LN(2)/$D$65+0.04)*AN182)*EXP(-(LN(2)/$D$65+0.1)*AO182),"-"))),"-")</f>
        <v>-</v>
      </c>
      <c r="AR183" s="271" t="str">
        <f>IFERROR(IF(AL183=1,AR$100*EXP(-(LN(2)/$D$65+0.04)*AN183)*EXP(-(LN(2)/$D$65+0.1)*AO183),IF(AL183=2,AR$100*EXP(-(LN(2)/$D$65+0.04)*(VLOOKUP(($F$16-$F$15)-1,AK$100:AO183,4,FALSE)))*EXP(-(LN(2)/$D$65+0.1)*(VLOOKUP(($F$16-$F$15)-1,AK$100:AO183,5,FALSE)))*EXP(-(LN(2)/$D$65+0.04)*AN183)*EXP(-(LN(2)/$D$65+0.1)*AO183),IF(AL183=3,AR$100*EXP(-(LN(2)/$D$65+0.04)*(VLOOKUP(($F$16-$F$15)-1,AK$100:AO183,4,FALSE)))*EXP(-(LN(2)/$D$65+0.1)*(VLOOKUP(($F$16-$F$15)-1,AK$100:AO183,5,FALSE)))*EXP(-(LN(2)/$D$65+0.04)*(VLOOKUP(($F$16-$F$15)*2-1,AK$100:AO183,4,FALSE)))*EXP(-(LN(2)/$D$65+0.1)*(VLOOKUP(($F$16-$F$15)*2-1,AK$100:AO183,5,FALSE)))*EXP(-(LN(2)/$D$65+0.04)*AN183)*EXP(-(LN(2)/$D$65+0.1)*AO183),"-"))),"-")</f>
        <v>-</v>
      </c>
      <c r="AS183" s="274">
        <f t="shared" si="114"/>
        <v>0</v>
      </c>
      <c r="AT183" s="274">
        <f t="shared" si="115"/>
        <v>0</v>
      </c>
      <c r="AU183" s="274">
        <f t="shared" si="116"/>
        <v>0</v>
      </c>
      <c r="AV183" s="190">
        <f>IF($B183&lt;$F$22,SUM($T$100:$T183),"")</f>
        <v>0</v>
      </c>
      <c r="AW183" s="190" t="str">
        <f t="shared" si="117"/>
        <v>-</v>
      </c>
      <c r="AX183" s="190" t="str">
        <f t="shared" si="142"/>
        <v/>
      </c>
      <c r="AY183"/>
      <c r="AZ183" s="190" t="str">
        <f ca="1">IF(ISNUMBER(OFFSET(AV183,-$F$21,0)),SUM(OFFSET($T$100,$F$21,0):$T183),"")</f>
        <v/>
      </c>
      <c r="BA183" s="190" t="str">
        <f t="shared" ca="1" si="118"/>
        <v/>
      </c>
      <c r="BB183" s="190" t="str">
        <f t="shared" ca="1" si="70"/>
        <v/>
      </c>
      <c r="BC183" s="190"/>
      <c r="BD183" s="190" t="str">
        <f ca="1">IFERROR(IF(AND($B183&gt;=($F$16-$F$15),$B183&lt;$F$22+($F$16-$F$15)),SUM(OFFSET($T$100,($F$16-$F$15),0):$T183),""),"")</f>
        <v/>
      </c>
      <c r="BE183" s="190" t="str">
        <f t="shared" ca="1" si="143"/>
        <v/>
      </c>
      <c r="BF183" s="190" t="str">
        <f t="shared" ca="1" si="144"/>
        <v/>
      </c>
      <c r="BG183"/>
      <c r="BH183" s="190" t="str">
        <f ca="1">IF(ISNUMBER(OFFSET(BD183,-$F$21,0)),SUM(OFFSET($T$100,($F$16-$F$15+$F$21),0):$T183),"")</f>
        <v/>
      </c>
      <c r="BI183" s="190" t="str">
        <f t="shared" ca="1" si="119"/>
        <v/>
      </c>
      <c r="BJ183" s="190" t="str">
        <f t="shared" ca="1" si="145"/>
        <v/>
      </c>
      <c r="BK183" s="190"/>
      <c r="BL183" s="190" t="str">
        <f ca="1">IFERROR(IF(AND($B183&gt;=($F$17-$F$15),$B183&lt;$F$22+($F$17-$F$15)),SUM(OFFSET($T$100,($F$17-$F$15),0):$T183),""),"")</f>
        <v/>
      </c>
      <c r="BM183" s="190" t="str">
        <f t="shared" ca="1" si="120"/>
        <v/>
      </c>
      <c r="BN183" s="190" t="str">
        <f t="shared" ca="1" si="146"/>
        <v/>
      </c>
      <c r="BO183"/>
      <c r="BP183" s="190" t="str">
        <f ca="1">IF(ISNUMBER(OFFSET(BL183,-$F$21,0)),SUM(OFFSET($T$100,($F$17-$F$15+$F$21),0):$T183),"")</f>
        <v/>
      </c>
      <c r="BQ183" s="190" t="str">
        <f t="shared" ca="1" si="121"/>
        <v/>
      </c>
      <c r="BR183" s="190" t="str">
        <f t="shared" ca="1" si="147"/>
        <v/>
      </c>
      <c r="BS183" s="190"/>
      <c r="BT183"/>
      <c r="BU183"/>
      <c r="BV183"/>
      <c r="BY183" s="99"/>
      <c r="BZ183" s="99"/>
      <c r="CA183" s="280" t="str">
        <f t="shared" si="122"/>
        <v/>
      </c>
      <c r="CB183" s="71" t="str">
        <f t="shared" si="123"/>
        <v>-</v>
      </c>
      <c r="CC183" s="33"/>
      <c r="CD183" s="261" t="str">
        <f t="shared" si="124"/>
        <v/>
      </c>
      <c r="CE183" s="280" t="str">
        <f t="shared" si="125"/>
        <v>-</v>
      </c>
      <c r="CF183" s="71" t="str">
        <f t="shared" ca="1" si="126"/>
        <v>-</v>
      </c>
      <c r="CG183" s="33" t="str">
        <f t="shared" si="127"/>
        <v>83-84</v>
      </c>
      <c r="CH183" s="261" t="str">
        <f t="shared" ca="1" si="128"/>
        <v/>
      </c>
      <c r="CI183" s="99"/>
      <c r="CJ183" s="99"/>
      <c r="CK183" s="99"/>
      <c r="CL183" s="99"/>
      <c r="CM183" s="99"/>
      <c r="CN183" s="99"/>
      <c r="CO183" s="99"/>
    </row>
    <row r="184" spans="2:93" ht="13.5" customHeight="1" x14ac:dyDescent="0.2">
      <c r="B184" s="262">
        <v>84</v>
      </c>
      <c r="C184" s="237" t="str">
        <f t="shared" si="92"/>
        <v/>
      </c>
      <c r="D184" s="237" t="str">
        <f t="shared" si="148"/>
        <v>-</v>
      </c>
      <c r="E184" s="263" t="str">
        <f t="shared" si="129"/>
        <v/>
      </c>
      <c r="F184" s="264" t="str">
        <f t="shared" si="130"/>
        <v/>
      </c>
      <c r="G184" s="306" t="str">
        <f t="shared" si="131"/>
        <v/>
      </c>
      <c r="H184" s="240" t="str">
        <f t="shared" si="93"/>
        <v/>
      </c>
      <c r="I184" s="265" t="str">
        <f t="shared" si="94"/>
        <v/>
      </c>
      <c r="J184" s="265" t="str">
        <f t="shared" si="95"/>
        <v/>
      </c>
      <c r="K184" s="240" t="str">
        <f t="shared" si="96"/>
        <v/>
      </c>
      <c r="L184" s="265" t="str">
        <f t="shared" si="97"/>
        <v/>
      </c>
      <c r="M184" s="265" t="str">
        <f t="shared" si="98"/>
        <v/>
      </c>
      <c r="N184" s="240" t="str">
        <f t="shared" si="99"/>
        <v>-</v>
      </c>
      <c r="O184" s="265" t="str">
        <f t="shared" si="100"/>
        <v>-</v>
      </c>
      <c r="P184" s="265" t="str">
        <f t="shared" si="101"/>
        <v>-</v>
      </c>
      <c r="Q184" s="266" t="str">
        <f t="shared" si="102"/>
        <v>-</v>
      </c>
      <c r="R184" s="267" t="str">
        <f t="shared" si="103"/>
        <v>-</v>
      </c>
      <c r="S184" s="268" t="str">
        <f t="shared" si="104"/>
        <v>-</v>
      </c>
      <c r="T184" s="269" t="str">
        <f t="shared" si="105"/>
        <v/>
      </c>
      <c r="U184" s="221">
        <f t="shared" si="106"/>
        <v>84</v>
      </c>
      <c r="V184" s="220" t="str">
        <f t="shared" si="132"/>
        <v>-</v>
      </c>
      <c r="W184" s="221" t="str">
        <f t="shared" si="133"/>
        <v>-</v>
      </c>
      <c r="X184" s="221" t="str">
        <f t="shared" si="107"/>
        <v>-</v>
      </c>
      <c r="Y184" s="221" t="str">
        <f t="shared" si="108"/>
        <v>-</v>
      </c>
      <c r="Z184" s="270">
        <f t="shared" si="134"/>
        <v>0.1</v>
      </c>
      <c r="AA184" s="271" t="str">
        <f>IFERROR(IF(V183=1,AA$100*EXP(-(LN(2)/$D$65+0.04)*X183)*EXP(-(LN(2)/$D$65+0.1)*Y183),IF(V183=2,AA$100*EXP(-(LN(2)/$D$65+0.04)*(VLOOKUP(($F$16-$F$15)-1,U$99:Y183,4,FALSE)))*EXP(-(LN(2)/$D$65+0.1)*(VLOOKUP(($F$16-$F$15)-1,U$99:Y183,5,FALSE)))*EXP(-(LN(2)/$D$65+0.04)*X183)*EXP(-(LN(2)/$D$65+0.1)*Y183),IF(V183=3,AA$100*EXP(-(LN(2)/$D$65+0.04)*(VLOOKUP(($F$16-$F$15)-1,U$99:Y183,4,FALSE)))*EXP(-(LN(2)/$D$65+0.1)*(VLOOKUP(($F$16-$F$15)-1,U$99:Y183,5,FALSE)))*EXP(-(LN(2)/$D$65+0.04)*(VLOOKUP(($F$16-$F$15)*2-1,U$99:Y183,4,FALSE)))*EXP(-(LN(2)/$D$65+0.1)*(VLOOKUP(($F$16-$F$15)*2-1,U$99:Y183,5,FALSE)))*EXP(-(LN(2)/$D$65+0.04)*X183)*EXP(-(LN(2)/$D$65+0.1)*Y183),"-"))),"-")</f>
        <v>-</v>
      </c>
      <c r="AB184" s="271" t="str">
        <f>IFERROR(IF(V184=1,AB$100*EXP(-(LN(2)/$D$65+0.04)*X184)*EXP(-(LN(2)/$D$65+0.1)*Y184),IF(V184=2,AB$100*EXP(-(LN(2)/$D$65+0.04)*(VLOOKUP(($F$16-$F$15)-1,U$100:Y184,4,FALSE)))*EXP(-(LN(2)/$D$65+0.1)*(VLOOKUP(($F$16-$F$15)-1,U$100:Y184,5,FALSE)))*EXP(-(LN(2)/$D$65+0.04)*X184)*EXP(-(LN(2)/$D$65+0.1)*Y184),IF(V184=3,AB$100*EXP(-(LN(2)/$D$65+0.04)*(VLOOKUP(($F$16-$F$15)-1,U$100:Y184,4,FALSE)))*EXP(-(LN(2)/$D$65+0.1)*(VLOOKUP(($F$16-$F$15)-1,U$100:Y184,5,FALSE)))*EXP(-(LN(2)/$D$65+0.04)*(VLOOKUP(($F$16-$F$15)*2-1,U$100:Y184,4,FALSE)))*EXP(-(LN(2)/$D$65+0.1)*(VLOOKUP(($F$16-$F$15)*2-1,U$100:Y184,5,FALSE)))*EXP(-(LN(2)/$D$65+0.04)*X184)*EXP(-(LN(2)/$D$65+0.1)*Y184),"-"))),"-")</f>
        <v>-</v>
      </c>
      <c r="AC184" s="224">
        <f t="shared" si="135"/>
        <v>84</v>
      </c>
      <c r="AD184" s="223" t="str">
        <f t="shared" si="109"/>
        <v>-</v>
      </c>
      <c r="AE184" s="224" t="str">
        <f t="shared" si="136"/>
        <v>-</v>
      </c>
      <c r="AF184" s="224" t="str">
        <f t="shared" si="110"/>
        <v>-</v>
      </c>
      <c r="AG184" s="224" t="str">
        <f t="shared" si="111"/>
        <v>-</v>
      </c>
      <c r="AH184" s="272">
        <f t="shared" si="137"/>
        <v>0.1</v>
      </c>
      <c r="AI184" s="271" t="str">
        <f>IFERROR(IF(AD183=1,AI$100*EXP(-(LN(2)/$D$65+0.04)*AF183)*EXP(-(LN(2)/$D$65+0.1)*AG183),IF(AD183=2,AI$100*EXP(-(LN(2)/$D$65+0.04)*(VLOOKUP(($F$16-$F$15)-1,AC$99:AG183,4,FALSE)))*EXP(-(LN(2)/$D$65+0.1)*(VLOOKUP(($F$16-$F$15)-1,AC$99:AG183,5,FALSE)))*EXP(-(LN(2)/$D$65+0.04)*AF183)*EXP(-(LN(2)/$D$65+0.1)*AG183),IF(AD183=3,AI$100*EXP(-(LN(2)/$D$65+0.04)*(VLOOKUP(($F$16-$F$15)-1,AC$99:AG183,4,FALSE)))*EXP(-(LN(2)/$D$65+0.1)*(VLOOKUP(($F$16-$F$15)-1,AC$99:AG183,5,FALSE)))*EXP(-(LN(2)/$D$65+0.04)*(VLOOKUP(($F$16-$F$15)*2-1,AC$99:AG183,4,FALSE)))*EXP(-(LN(2)/$D$65+0.1)*(VLOOKUP(($F$16-$F$15)*2-1,AC$99:AG183,5,FALSE)))*EXP(-(LN(2)/$D$65+0.04)*AF183)*EXP(-(LN(2)/$D$65+0.1)*AG183),"-"))),"-")</f>
        <v>-</v>
      </c>
      <c r="AJ184" s="271" t="str">
        <f>IFERROR(IF(AD184=1,AJ$100*EXP(-(LN(2)/$D$65+0.04)*AF184)*EXP(-(LN(2)/$D$65+0.1)*AG184),IF(AD184=2,AJ$100*EXP(-(LN(2)/$D$65+0.04)*(VLOOKUP(($F$16-$F$15)-1,AC$100:AG184,4,FALSE)))*EXP(-(LN(2)/$D$65+0.1)*(VLOOKUP(($F$16-$F$15)-1,AC$100:AG184,5,FALSE)))*EXP(-(LN(2)/$D$65+0.04)*AF184)*EXP(-(LN(2)/$D$65+0.1)*AG184),IF(AD184=3,AJ$100*EXP(-(LN(2)/$D$65+0.04)*(VLOOKUP(($F$16-$F$15)-1,AC$100:AG184,4,FALSE)))*EXP(-(LN(2)/$D$65+0.1)*(VLOOKUP(($F$16-$F$15)-1,AC$100:AG184,5,FALSE)))*EXP(-(LN(2)/$D$65+0.04)*(VLOOKUP(($F$16-$F$15)*2-1,AC$100:AG184,4,FALSE)))*EXP(-(LN(2)/$D$65+0.1)*(VLOOKUP(($F$16-$F$15)*2-1,AC$100:AG184,5,FALSE)))*EXP(-(LN(2)/$D$65+0.04)*AF184)*EXP(-(LN(2)/$D$65+0.1)*AG184),"-"))),"-")</f>
        <v>-</v>
      </c>
      <c r="AK184" s="227">
        <f t="shared" si="138"/>
        <v>84</v>
      </c>
      <c r="AL184" s="226" t="str">
        <f t="shared" si="112"/>
        <v>-</v>
      </c>
      <c r="AM184" s="227" t="str">
        <f t="shared" si="139"/>
        <v>-</v>
      </c>
      <c r="AN184" s="227" t="str">
        <f t="shared" si="140"/>
        <v>-</v>
      </c>
      <c r="AO184" s="227" t="str">
        <f t="shared" si="113"/>
        <v>-</v>
      </c>
      <c r="AP184" s="273">
        <f t="shared" si="141"/>
        <v>0.1</v>
      </c>
      <c r="AQ184" s="271" t="str">
        <f>IFERROR(IF(AL183=1,AQ$100*EXP(-(LN(2)/$D$65+0.04)*AN183)*EXP(-(LN(2)/$D$65+0.1)*AO183),IF(AL183=2,AQ$100*EXP(-(LN(2)/$D$65+0.04)*(VLOOKUP(($F$16-$F$15)-1,AK$99:AO183,4,FALSE)))*EXP(-(LN(2)/$D$65+0.1)*(VLOOKUP(($F$16-$F$15)-1,AK$99:AO183,5,FALSE)))*EXP(-(LN(2)/$D$65+0.04)*AN183)*EXP(-(LN(2)/$D$65+0.1)*AO183),IF(AL183=3,AQ$100*EXP(-(LN(2)/$D$65+0.04)*(VLOOKUP(($F$16-$F$15)-1,AK$99:AO183,4,FALSE)))*EXP(-(LN(2)/$D$65+0.1)*(VLOOKUP(($F$16-$F$15)-1,AK$99:AO183,5,FALSE)))*EXP(-(LN(2)/$D$65+0.04)*(VLOOKUP(($F$16-$F$15)*2-1,AK$99:AO183,4,FALSE)))*EXP(-(LN(2)/$D$65+0.1)*(VLOOKUP(($F$16-$F$15)*2-1,AK$99:AO183,5,FALSE)))*EXP(-(LN(2)/$D$65+0.04)*AN183)*EXP(-(LN(2)/$D$65+0.1)*AO183),"-"))),"-")</f>
        <v>-</v>
      </c>
      <c r="AR184" s="271" t="str">
        <f>IFERROR(IF(AL184=1,AR$100*EXP(-(LN(2)/$D$65+0.04)*AN184)*EXP(-(LN(2)/$D$65+0.1)*AO184),IF(AL184=2,AR$100*EXP(-(LN(2)/$D$65+0.04)*(VLOOKUP(($F$16-$F$15)-1,AK$100:AO184,4,FALSE)))*EXP(-(LN(2)/$D$65+0.1)*(VLOOKUP(($F$16-$F$15)-1,AK$100:AO184,5,FALSE)))*EXP(-(LN(2)/$D$65+0.04)*AN184)*EXP(-(LN(2)/$D$65+0.1)*AO184),IF(AL184=3,AR$100*EXP(-(LN(2)/$D$65+0.04)*(VLOOKUP(($F$16-$F$15)-1,AK$100:AO184,4,FALSE)))*EXP(-(LN(2)/$D$65+0.1)*(VLOOKUP(($F$16-$F$15)-1,AK$100:AO184,5,FALSE)))*EXP(-(LN(2)/$D$65+0.04)*(VLOOKUP(($F$16-$F$15)*2-1,AK$100:AO184,4,FALSE)))*EXP(-(LN(2)/$D$65+0.1)*(VLOOKUP(($F$16-$F$15)*2-1,AK$100:AO184,5,FALSE)))*EXP(-(LN(2)/$D$65+0.04)*AN184)*EXP(-(LN(2)/$D$65+0.1)*AO184),"-"))),"-")</f>
        <v>-</v>
      </c>
      <c r="AS184" s="274">
        <f t="shared" si="114"/>
        <v>0</v>
      </c>
      <c r="AT184" s="274">
        <f t="shared" si="115"/>
        <v>0</v>
      </c>
      <c r="AU184" s="274">
        <f t="shared" si="116"/>
        <v>0</v>
      </c>
      <c r="AV184" s="190">
        <f>IF($B184&lt;$F$22,SUM($T$100:$T184),"")</f>
        <v>0</v>
      </c>
      <c r="AW184" s="190" t="str">
        <f t="shared" si="117"/>
        <v>-</v>
      </c>
      <c r="AX184" s="190" t="str">
        <f t="shared" si="142"/>
        <v/>
      </c>
      <c r="AY184"/>
      <c r="AZ184" s="190" t="str">
        <f ca="1">IF(ISNUMBER(OFFSET(AV184,-$F$21,0)),SUM(OFFSET($T$100,$F$21,0):$T184),"")</f>
        <v/>
      </c>
      <c r="BA184" s="190" t="str">
        <f t="shared" ca="1" si="118"/>
        <v/>
      </c>
      <c r="BB184" s="190" t="str">
        <f t="shared" ca="1" si="70"/>
        <v/>
      </c>
      <c r="BC184" s="190"/>
      <c r="BD184" s="190" t="str">
        <f ca="1">IFERROR(IF(AND($B184&gt;=($F$16-$F$15),$B184&lt;$F$22+($F$16-$F$15)),SUM(OFFSET($T$100,($F$16-$F$15),0):$T184),""),"")</f>
        <v/>
      </c>
      <c r="BE184" s="190" t="str">
        <f t="shared" ca="1" si="143"/>
        <v/>
      </c>
      <c r="BF184" s="190" t="str">
        <f t="shared" ca="1" si="144"/>
        <v/>
      </c>
      <c r="BG184"/>
      <c r="BH184" s="190" t="str">
        <f ca="1">IF(ISNUMBER(OFFSET(BD184,-$F$21,0)),SUM(OFFSET($T$100,($F$16-$F$15+$F$21),0):$T184),"")</f>
        <v/>
      </c>
      <c r="BI184" s="190" t="str">
        <f t="shared" ca="1" si="119"/>
        <v/>
      </c>
      <c r="BJ184" s="190" t="str">
        <f t="shared" ca="1" si="145"/>
        <v/>
      </c>
      <c r="BK184" s="190"/>
      <c r="BL184" s="190" t="str">
        <f ca="1">IFERROR(IF(AND($B184&gt;=($F$17-$F$15),$B184&lt;$F$22+($F$17-$F$15)),SUM(OFFSET($T$100,($F$17-$F$15),0):$T184),""),"")</f>
        <v/>
      </c>
      <c r="BM184" s="190" t="str">
        <f t="shared" ca="1" si="120"/>
        <v/>
      </c>
      <c r="BN184" s="190" t="str">
        <f t="shared" ca="1" si="146"/>
        <v/>
      </c>
      <c r="BO184"/>
      <c r="BP184" s="190" t="str">
        <f ca="1">IF(ISNUMBER(OFFSET(BL184,-$F$21,0)),SUM(OFFSET($T$100,($F$17-$F$15+$F$21),0):$T184),"")</f>
        <v/>
      </c>
      <c r="BQ184" s="190" t="str">
        <f t="shared" ca="1" si="121"/>
        <v/>
      </c>
      <c r="BR184" s="190" t="str">
        <f t="shared" ca="1" si="147"/>
        <v/>
      </c>
      <c r="BS184" s="190"/>
      <c r="BT184"/>
      <c r="BU184"/>
      <c r="BV184"/>
      <c r="BY184" s="99"/>
      <c r="BZ184" s="99"/>
      <c r="CA184" s="280" t="str">
        <f t="shared" si="122"/>
        <v/>
      </c>
      <c r="CB184" s="71" t="str">
        <f t="shared" si="123"/>
        <v>-</v>
      </c>
      <c r="CC184" s="33"/>
      <c r="CD184" s="261" t="str">
        <f t="shared" si="124"/>
        <v/>
      </c>
      <c r="CE184" s="280" t="str">
        <f t="shared" si="125"/>
        <v>-</v>
      </c>
      <c r="CF184" s="71" t="str">
        <f t="shared" ca="1" si="126"/>
        <v>-</v>
      </c>
      <c r="CG184" s="33" t="str">
        <f t="shared" si="127"/>
        <v>84-85</v>
      </c>
      <c r="CH184" s="261" t="str">
        <f t="shared" ca="1" si="128"/>
        <v/>
      </c>
      <c r="CI184" s="99"/>
      <c r="CJ184" s="99"/>
      <c r="CK184" s="99"/>
      <c r="CL184" s="99"/>
      <c r="CM184" s="99"/>
      <c r="CN184" s="99"/>
      <c r="CO184" s="99"/>
    </row>
    <row r="185" spans="2:93" ht="13.5" customHeight="1" x14ac:dyDescent="0.2">
      <c r="B185" s="262">
        <v>85</v>
      </c>
      <c r="C185" s="237" t="str">
        <f t="shared" si="92"/>
        <v/>
      </c>
      <c r="D185" s="237" t="str">
        <f t="shared" si="148"/>
        <v>-</v>
      </c>
      <c r="E185" s="263" t="str">
        <f t="shared" si="129"/>
        <v/>
      </c>
      <c r="F185" s="264" t="str">
        <f t="shared" si="130"/>
        <v/>
      </c>
      <c r="G185" s="306" t="str">
        <f t="shared" si="131"/>
        <v/>
      </c>
      <c r="H185" s="240" t="str">
        <f t="shared" si="93"/>
        <v/>
      </c>
      <c r="I185" s="265" t="str">
        <f t="shared" si="94"/>
        <v/>
      </c>
      <c r="J185" s="265" t="str">
        <f t="shared" si="95"/>
        <v/>
      </c>
      <c r="K185" s="240" t="str">
        <f t="shared" si="96"/>
        <v/>
      </c>
      <c r="L185" s="265" t="str">
        <f t="shared" si="97"/>
        <v/>
      </c>
      <c r="M185" s="265" t="str">
        <f t="shared" si="98"/>
        <v/>
      </c>
      <c r="N185" s="240" t="str">
        <f t="shared" si="99"/>
        <v>-</v>
      </c>
      <c r="O185" s="265" t="str">
        <f t="shared" si="100"/>
        <v>-</v>
      </c>
      <c r="P185" s="265" t="str">
        <f t="shared" si="101"/>
        <v>-</v>
      </c>
      <c r="Q185" s="266" t="str">
        <f t="shared" si="102"/>
        <v>-</v>
      </c>
      <c r="R185" s="267" t="str">
        <f t="shared" si="103"/>
        <v>-</v>
      </c>
      <c r="S185" s="268" t="str">
        <f t="shared" si="104"/>
        <v>-</v>
      </c>
      <c r="T185" s="269" t="str">
        <f t="shared" si="105"/>
        <v/>
      </c>
      <c r="U185" s="221">
        <f t="shared" si="106"/>
        <v>85</v>
      </c>
      <c r="V185" s="220" t="str">
        <f t="shared" si="132"/>
        <v>-</v>
      </c>
      <c r="W185" s="221" t="str">
        <f t="shared" si="133"/>
        <v>-</v>
      </c>
      <c r="X185" s="221" t="str">
        <f t="shared" si="107"/>
        <v>-</v>
      </c>
      <c r="Y185" s="221" t="str">
        <f t="shared" si="108"/>
        <v>-</v>
      </c>
      <c r="Z185" s="270">
        <f t="shared" si="134"/>
        <v>0.1</v>
      </c>
      <c r="AA185" s="271" t="str">
        <f>IFERROR(IF(V184=1,AA$100*EXP(-(LN(2)/$D$65+0.04)*X184)*EXP(-(LN(2)/$D$65+0.1)*Y184),IF(V184=2,AA$100*EXP(-(LN(2)/$D$65+0.04)*(VLOOKUP(($F$16-$F$15)-1,U$99:Y184,4,FALSE)))*EXP(-(LN(2)/$D$65+0.1)*(VLOOKUP(($F$16-$F$15)-1,U$99:Y184,5,FALSE)))*EXP(-(LN(2)/$D$65+0.04)*X184)*EXP(-(LN(2)/$D$65+0.1)*Y184),IF(V184=3,AA$100*EXP(-(LN(2)/$D$65+0.04)*(VLOOKUP(($F$16-$F$15)-1,U$99:Y184,4,FALSE)))*EXP(-(LN(2)/$D$65+0.1)*(VLOOKUP(($F$16-$F$15)-1,U$99:Y184,5,FALSE)))*EXP(-(LN(2)/$D$65+0.04)*(VLOOKUP(($F$16-$F$15)*2-1,U$99:Y184,4,FALSE)))*EXP(-(LN(2)/$D$65+0.1)*(VLOOKUP(($F$16-$F$15)*2-1,U$99:Y184,5,FALSE)))*EXP(-(LN(2)/$D$65+0.04)*X184)*EXP(-(LN(2)/$D$65+0.1)*Y184),"-"))),"-")</f>
        <v>-</v>
      </c>
      <c r="AB185" s="271" t="str">
        <f>IFERROR(IF(V185=1,AB$100*EXP(-(LN(2)/$D$65+0.04)*X185)*EXP(-(LN(2)/$D$65+0.1)*Y185),IF(V185=2,AB$100*EXP(-(LN(2)/$D$65+0.04)*(VLOOKUP(($F$16-$F$15)-1,U$100:Y185,4,FALSE)))*EXP(-(LN(2)/$D$65+0.1)*(VLOOKUP(($F$16-$F$15)-1,U$100:Y185,5,FALSE)))*EXP(-(LN(2)/$D$65+0.04)*X185)*EXP(-(LN(2)/$D$65+0.1)*Y185),IF(V185=3,AB$100*EXP(-(LN(2)/$D$65+0.04)*(VLOOKUP(($F$16-$F$15)-1,U$100:Y185,4,FALSE)))*EXP(-(LN(2)/$D$65+0.1)*(VLOOKUP(($F$16-$F$15)-1,U$100:Y185,5,FALSE)))*EXP(-(LN(2)/$D$65+0.04)*(VLOOKUP(($F$16-$F$15)*2-1,U$100:Y185,4,FALSE)))*EXP(-(LN(2)/$D$65+0.1)*(VLOOKUP(($F$16-$F$15)*2-1,U$100:Y185,5,FALSE)))*EXP(-(LN(2)/$D$65+0.04)*X185)*EXP(-(LN(2)/$D$65+0.1)*Y185),"-"))),"-")</f>
        <v>-</v>
      </c>
      <c r="AC185" s="224">
        <f t="shared" si="135"/>
        <v>85</v>
      </c>
      <c r="AD185" s="223" t="str">
        <f t="shared" si="109"/>
        <v>-</v>
      </c>
      <c r="AE185" s="224" t="str">
        <f t="shared" si="136"/>
        <v>-</v>
      </c>
      <c r="AF185" s="224" t="str">
        <f t="shared" si="110"/>
        <v>-</v>
      </c>
      <c r="AG185" s="224" t="str">
        <f t="shared" si="111"/>
        <v>-</v>
      </c>
      <c r="AH185" s="272">
        <f t="shared" si="137"/>
        <v>0.1</v>
      </c>
      <c r="AI185" s="271" t="str">
        <f>IFERROR(IF(AD184=1,AI$100*EXP(-(LN(2)/$D$65+0.04)*AF184)*EXP(-(LN(2)/$D$65+0.1)*AG184),IF(AD184=2,AI$100*EXP(-(LN(2)/$D$65+0.04)*(VLOOKUP(($F$16-$F$15)-1,AC$99:AG184,4,FALSE)))*EXP(-(LN(2)/$D$65+0.1)*(VLOOKUP(($F$16-$F$15)-1,AC$99:AG184,5,FALSE)))*EXP(-(LN(2)/$D$65+0.04)*AF184)*EXP(-(LN(2)/$D$65+0.1)*AG184),IF(AD184=3,AI$100*EXP(-(LN(2)/$D$65+0.04)*(VLOOKUP(($F$16-$F$15)-1,AC$99:AG184,4,FALSE)))*EXP(-(LN(2)/$D$65+0.1)*(VLOOKUP(($F$16-$F$15)-1,AC$99:AG184,5,FALSE)))*EXP(-(LN(2)/$D$65+0.04)*(VLOOKUP(($F$16-$F$15)*2-1,AC$99:AG184,4,FALSE)))*EXP(-(LN(2)/$D$65+0.1)*(VLOOKUP(($F$16-$F$15)*2-1,AC$99:AG184,5,FALSE)))*EXP(-(LN(2)/$D$65+0.04)*AF184)*EXP(-(LN(2)/$D$65+0.1)*AG184),"-"))),"-")</f>
        <v>-</v>
      </c>
      <c r="AJ185" s="271" t="str">
        <f>IFERROR(IF(AD185=1,AJ$100*EXP(-(LN(2)/$D$65+0.04)*AF185)*EXP(-(LN(2)/$D$65+0.1)*AG185),IF(AD185=2,AJ$100*EXP(-(LN(2)/$D$65+0.04)*(VLOOKUP(($F$16-$F$15)-1,AC$100:AG185,4,FALSE)))*EXP(-(LN(2)/$D$65+0.1)*(VLOOKUP(($F$16-$F$15)-1,AC$100:AG185,5,FALSE)))*EXP(-(LN(2)/$D$65+0.04)*AF185)*EXP(-(LN(2)/$D$65+0.1)*AG185),IF(AD185=3,AJ$100*EXP(-(LN(2)/$D$65+0.04)*(VLOOKUP(($F$16-$F$15)-1,AC$100:AG185,4,FALSE)))*EXP(-(LN(2)/$D$65+0.1)*(VLOOKUP(($F$16-$F$15)-1,AC$100:AG185,5,FALSE)))*EXP(-(LN(2)/$D$65+0.04)*(VLOOKUP(($F$16-$F$15)*2-1,AC$100:AG185,4,FALSE)))*EXP(-(LN(2)/$D$65+0.1)*(VLOOKUP(($F$16-$F$15)*2-1,AC$100:AG185,5,FALSE)))*EXP(-(LN(2)/$D$65+0.04)*AF185)*EXP(-(LN(2)/$D$65+0.1)*AG185),"-"))),"-")</f>
        <v>-</v>
      </c>
      <c r="AK185" s="227">
        <f t="shared" si="138"/>
        <v>85</v>
      </c>
      <c r="AL185" s="226" t="str">
        <f t="shared" si="112"/>
        <v>-</v>
      </c>
      <c r="AM185" s="227" t="str">
        <f t="shared" si="139"/>
        <v>-</v>
      </c>
      <c r="AN185" s="227" t="str">
        <f t="shared" si="140"/>
        <v>-</v>
      </c>
      <c r="AO185" s="227" t="str">
        <f t="shared" si="113"/>
        <v>-</v>
      </c>
      <c r="AP185" s="273">
        <f t="shared" si="141"/>
        <v>0.1</v>
      </c>
      <c r="AQ185" s="271" t="str">
        <f>IFERROR(IF(AL184=1,AQ$100*EXP(-(LN(2)/$D$65+0.04)*AN184)*EXP(-(LN(2)/$D$65+0.1)*AO184),IF(AL184=2,AQ$100*EXP(-(LN(2)/$D$65+0.04)*(VLOOKUP(($F$16-$F$15)-1,AK$99:AO184,4,FALSE)))*EXP(-(LN(2)/$D$65+0.1)*(VLOOKUP(($F$16-$F$15)-1,AK$99:AO184,5,FALSE)))*EXP(-(LN(2)/$D$65+0.04)*AN184)*EXP(-(LN(2)/$D$65+0.1)*AO184),IF(AL184=3,AQ$100*EXP(-(LN(2)/$D$65+0.04)*(VLOOKUP(($F$16-$F$15)-1,AK$99:AO184,4,FALSE)))*EXP(-(LN(2)/$D$65+0.1)*(VLOOKUP(($F$16-$F$15)-1,AK$99:AO184,5,FALSE)))*EXP(-(LN(2)/$D$65+0.04)*(VLOOKUP(($F$16-$F$15)*2-1,AK$99:AO184,4,FALSE)))*EXP(-(LN(2)/$D$65+0.1)*(VLOOKUP(($F$16-$F$15)*2-1,AK$99:AO184,5,FALSE)))*EXP(-(LN(2)/$D$65+0.04)*AN184)*EXP(-(LN(2)/$D$65+0.1)*AO184),"-"))),"-")</f>
        <v>-</v>
      </c>
      <c r="AR185" s="271" t="str">
        <f>IFERROR(IF(AL185=1,AR$100*EXP(-(LN(2)/$D$65+0.04)*AN185)*EXP(-(LN(2)/$D$65+0.1)*AO185),IF(AL185=2,AR$100*EXP(-(LN(2)/$D$65+0.04)*(VLOOKUP(($F$16-$F$15)-1,AK$100:AO185,4,FALSE)))*EXP(-(LN(2)/$D$65+0.1)*(VLOOKUP(($F$16-$F$15)-1,AK$100:AO185,5,FALSE)))*EXP(-(LN(2)/$D$65+0.04)*AN185)*EXP(-(LN(2)/$D$65+0.1)*AO185),IF(AL185=3,AR$100*EXP(-(LN(2)/$D$65+0.04)*(VLOOKUP(($F$16-$F$15)-1,AK$100:AO185,4,FALSE)))*EXP(-(LN(2)/$D$65+0.1)*(VLOOKUP(($F$16-$F$15)-1,AK$100:AO185,5,FALSE)))*EXP(-(LN(2)/$D$65+0.04)*(VLOOKUP(($F$16-$F$15)*2-1,AK$100:AO185,4,FALSE)))*EXP(-(LN(2)/$D$65+0.1)*(VLOOKUP(($F$16-$F$15)*2-1,AK$100:AO185,5,FALSE)))*EXP(-(LN(2)/$D$65+0.04)*AN185)*EXP(-(LN(2)/$D$65+0.1)*AO185),"-"))),"-")</f>
        <v>-</v>
      </c>
      <c r="AS185" s="274">
        <f t="shared" si="114"/>
        <v>0</v>
      </c>
      <c r="AT185" s="274">
        <f t="shared" si="115"/>
        <v>0</v>
      </c>
      <c r="AU185" s="274">
        <f t="shared" si="116"/>
        <v>0</v>
      </c>
      <c r="AV185" s="190">
        <f>IF($B185&lt;$F$22,SUM($T$100:$T185),"")</f>
        <v>0</v>
      </c>
      <c r="AW185" s="190" t="str">
        <f t="shared" si="117"/>
        <v>-</v>
      </c>
      <c r="AX185" s="190" t="str">
        <f t="shared" si="142"/>
        <v/>
      </c>
      <c r="AY185"/>
      <c r="AZ185" s="190" t="str">
        <f ca="1">IF(ISNUMBER(OFFSET(AV185,-$F$21,0)),SUM(OFFSET($T$100,$F$21,0):$T185),"")</f>
        <v/>
      </c>
      <c r="BA185" s="190" t="str">
        <f t="shared" ca="1" si="118"/>
        <v/>
      </c>
      <c r="BB185" s="190" t="str">
        <f t="shared" ref="BB185:BB248" ca="1" si="149">IF(ISNUMBER(AZ185),(AZ185-BA185)/(3*86400*(OFFSET($B185,-$F$21,0)+1))*1000,"")</f>
        <v/>
      </c>
      <c r="BC185" s="190"/>
      <c r="BD185" s="190" t="str">
        <f ca="1">IFERROR(IF(AND($B185&gt;=($F$16-$F$15),$B185&lt;$F$22+($F$16-$F$15)),SUM(OFFSET($T$100,($F$16-$F$15),0):$T185),""),"")</f>
        <v/>
      </c>
      <c r="BE185" s="190" t="str">
        <f t="shared" ca="1" si="143"/>
        <v/>
      </c>
      <c r="BF185" s="190" t="str">
        <f t="shared" ca="1" si="144"/>
        <v/>
      </c>
      <c r="BG185"/>
      <c r="BH185" s="190" t="str">
        <f ca="1">IF(ISNUMBER(OFFSET(BD185,-$F$21,0)),SUM(OFFSET($T$100,($F$16-$F$15+$F$21),0):$T185),"")</f>
        <v/>
      </c>
      <c r="BI185" s="190" t="str">
        <f t="shared" ca="1" si="119"/>
        <v/>
      </c>
      <c r="BJ185" s="190" t="str">
        <f t="shared" ca="1" si="145"/>
        <v/>
      </c>
      <c r="BK185" s="190"/>
      <c r="BL185" s="190" t="str">
        <f ca="1">IFERROR(IF(AND($B185&gt;=($F$17-$F$15),$B185&lt;$F$22+($F$17-$F$15)),SUM(OFFSET($T$100,($F$17-$F$15),0):$T185),""),"")</f>
        <v/>
      </c>
      <c r="BM185" s="190" t="str">
        <f t="shared" ca="1" si="120"/>
        <v/>
      </c>
      <c r="BN185" s="190" t="str">
        <f t="shared" ca="1" si="146"/>
        <v/>
      </c>
      <c r="BO185"/>
      <c r="BP185" s="190" t="str">
        <f ca="1">IF(ISNUMBER(OFFSET(BL185,-$F$21,0)),SUM(OFFSET($T$100,($F$17-$F$15+$F$21),0):$T185),"")</f>
        <v/>
      </c>
      <c r="BQ185" s="190" t="str">
        <f t="shared" ca="1" si="121"/>
        <v/>
      </c>
      <c r="BR185" s="190" t="str">
        <f t="shared" ca="1" si="147"/>
        <v/>
      </c>
      <c r="BS185" s="190"/>
      <c r="BT185"/>
      <c r="BU185"/>
      <c r="BV185"/>
      <c r="BY185" s="99"/>
      <c r="BZ185" s="99"/>
      <c r="CA185" s="280" t="str">
        <f t="shared" si="122"/>
        <v/>
      </c>
      <c r="CB185" s="71" t="str">
        <f t="shared" si="123"/>
        <v>-</v>
      </c>
      <c r="CC185" s="33"/>
      <c r="CD185" s="261" t="str">
        <f t="shared" si="124"/>
        <v/>
      </c>
      <c r="CE185" s="280" t="str">
        <f t="shared" si="125"/>
        <v>-</v>
      </c>
      <c r="CF185" s="71" t="str">
        <f t="shared" ca="1" si="126"/>
        <v>-</v>
      </c>
      <c r="CG185" s="33" t="str">
        <f t="shared" si="127"/>
        <v>85-86</v>
      </c>
      <c r="CH185" s="261" t="str">
        <f t="shared" ca="1" si="128"/>
        <v/>
      </c>
      <c r="CI185" s="99"/>
      <c r="CJ185" s="99"/>
      <c r="CK185" s="99"/>
      <c r="CL185" s="99"/>
      <c r="CM185" s="99"/>
      <c r="CN185" s="99"/>
      <c r="CO185" s="99"/>
    </row>
    <row r="186" spans="2:93" ht="13.5" customHeight="1" x14ac:dyDescent="0.2">
      <c r="B186" s="262">
        <v>86</v>
      </c>
      <c r="C186" s="237" t="str">
        <f t="shared" si="92"/>
        <v/>
      </c>
      <c r="D186" s="237" t="str">
        <f t="shared" si="148"/>
        <v>-</v>
      </c>
      <c r="E186" s="263" t="str">
        <f t="shared" si="129"/>
        <v/>
      </c>
      <c r="F186" s="264" t="str">
        <f t="shared" si="130"/>
        <v/>
      </c>
      <c r="G186" s="264" t="str">
        <f t="shared" si="131"/>
        <v/>
      </c>
      <c r="H186" s="240" t="str">
        <f t="shared" si="93"/>
        <v/>
      </c>
      <c r="I186" s="265" t="str">
        <f t="shared" si="94"/>
        <v/>
      </c>
      <c r="J186" s="265" t="str">
        <f t="shared" si="95"/>
        <v/>
      </c>
      <c r="K186" s="240" t="str">
        <f t="shared" si="96"/>
        <v/>
      </c>
      <c r="L186" s="265" t="str">
        <f t="shared" si="97"/>
        <v/>
      </c>
      <c r="M186" s="265" t="str">
        <f t="shared" si="98"/>
        <v/>
      </c>
      <c r="N186" s="240" t="str">
        <f t="shared" si="99"/>
        <v>-</v>
      </c>
      <c r="O186" s="265" t="str">
        <f t="shared" si="100"/>
        <v>-</v>
      </c>
      <c r="P186" s="265" t="str">
        <f t="shared" si="101"/>
        <v>-</v>
      </c>
      <c r="Q186" s="266" t="str">
        <f t="shared" si="102"/>
        <v>-</v>
      </c>
      <c r="R186" s="267" t="str">
        <f t="shared" si="103"/>
        <v>-</v>
      </c>
      <c r="S186" s="268" t="str">
        <f t="shared" si="104"/>
        <v>-</v>
      </c>
      <c r="T186" s="269" t="str">
        <f t="shared" si="105"/>
        <v/>
      </c>
      <c r="U186" s="221">
        <f t="shared" si="106"/>
        <v>86</v>
      </c>
      <c r="V186" s="220" t="str">
        <f t="shared" si="132"/>
        <v>-</v>
      </c>
      <c r="W186" s="221" t="str">
        <f t="shared" si="133"/>
        <v>-</v>
      </c>
      <c r="X186" s="221" t="str">
        <f t="shared" si="107"/>
        <v>-</v>
      </c>
      <c r="Y186" s="221" t="str">
        <f t="shared" si="108"/>
        <v>-</v>
      </c>
      <c r="Z186" s="270">
        <f t="shared" si="134"/>
        <v>0.1</v>
      </c>
      <c r="AA186" s="271" t="str">
        <f>IFERROR(IF(V185=1,AA$100*EXP(-(LN(2)/$D$65+0.04)*X185)*EXP(-(LN(2)/$D$65+0.1)*Y185),IF(V185=2,AA$100*EXP(-(LN(2)/$D$65+0.04)*(VLOOKUP(($F$16-$F$15)-1,U$99:Y185,4,FALSE)))*EXP(-(LN(2)/$D$65+0.1)*(VLOOKUP(($F$16-$F$15)-1,U$99:Y185,5,FALSE)))*EXP(-(LN(2)/$D$65+0.04)*X185)*EXP(-(LN(2)/$D$65+0.1)*Y185),IF(V185=3,AA$100*EXP(-(LN(2)/$D$65+0.04)*(VLOOKUP(($F$16-$F$15)-1,U$99:Y185,4,FALSE)))*EXP(-(LN(2)/$D$65+0.1)*(VLOOKUP(($F$16-$F$15)-1,U$99:Y185,5,FALSE)))*EXP(-(LN(2)/$D$65+0.04)*(VLOOKUP(($F$16-$F$15)*2-1,U$99:Y185,4,FALSE)))*EXP(-(LN(2)/$D$65+0.1)*(VLOOKUP(($F$16-$F$15)*2-1,U$99:Y185,5,FALSE)))*EXP(-(LN(2)/$D$65+0.04)*X185)*EXP(-(LN(2)/$D$65+0.1)*Y185),"-"))),"-")</f>
        <v>-</v>
      </c>
      <c r="AB186" s="271" t="str">
        <f>IFERROR(IF(V186=1,AB$100*EXP(-(LN(2)/$D$65+0.04)*X186)*EXP(-(LN(2)/$D$65+0.1)*Y186),IF(V186=2,AB$100*EXP(-(LN(2)/$D$65+0.04)*(VLOOKUP(($F$16-$F$15)-1,U$100:Y186,4,FALSE)))*EXP(-(LN(2)/$D$65+0.1)*(VLOOKUP(($F$16-$F$15)-1,U$100:Y186,5,FALSE)))*EXP(-(LN(2)/$D$65+0.04)*X186)*EXP(-(LN(2)/$D$65+0.1)*Y186),IF(V186=3,AB$100*EXP(-(LN(2)/$D$65+0.04)*(VLOOKUP(($F$16-$F$15)-1,U$100:Y186,4,FALSE)))*EXP(-(LN(2)/$D$65+0.1)*(VLOOKUP(($F$16-$F$15)-1,U$100:Y186,5,FALSE)))*EXP(-(LN(2)/$D$65+0.04)*(VLOOKUP(($F$16-$F$15)*2-1,U$100:Y186,4,FALSE)))*EXP(-(LN(2)/$D$65+0.1)*(VLOOKUP(($F$16-$F$15)*2-1,U$100:Y186,5,FALSE)))*EXP(-(LN(2)/$D$65+0.04)*X186)*EXP(-(LN(2)/$D$65+0.1)*Y186),"-"))),"-")</f>
        <v>-</v>
      </c>
      <c r="AC186" s="224">
        <f t="shared" si="135"/>
        <v>86</v>
      </c>
      <c r="AD186" s="223" t="str">
        <f t="shared" si="109"/>
        <v>-</v>
      </c>
      <c r="AE186" s="224" t="str">
        <f t="shared" si="136"/>
        <v>-</v>
      </c>
      <c r="AF186" s="224" t="str">
        <f t="shared" si="110"/>
        <v>-</v>
      </c>
      <c r="AG186" s="224" t="str">
        <f t="shared" si="111"/>
        <v>-</v>
      </c>
      <c r="AH186" s="272">
        <f t="shared" si="137"/>
        <v>0.1</v>
      </c>
      <c r="AI186" s="271" t="str">
        <f>IFERROR(IF(AD185=1,AI$100*EXP(-(LN(2)/$D$65+0.04)*AF185)*EXP(-(LN(2)/$D$65+0.1)*AG185),IF(AD185=2,AI$100*EXP(-(LN(2)/$D$65+0.04)*(VLOOKUP(($F$16-$F$15)-1,AC$99:AG185,4,FALSE)))*EXP(-(LN(2)/$D$65+0.1)*(VLOOKUP(($F$16-$F$15)-1,AC$99:AG185,5,FALSE)))*EXP(-(LN(2)/$D$65+0.04)*AF185)*EXP(-(LN(2)/$D$65+0.1)*AG185),IF(AD185=3,AI$100*EXP(-(LN(2)/$D$65+0.04)*(VLOOKUP(($F$16-$F$15)-1,AC$99:AG185,4,FALSE)))*EXP(-(LN(2)/$D$65+0.1)*(VLOOKUP(($F$16-$F$15)-1,AC$99:AG185,5,FALSE)))*EXP(-(LN(2)/$D$65+0.04)*(VLOOKUP(($F$16-$F$15)*2-1,AC$99:AG185,4,FALSE)))*EXP(-(LN(2)/$D$65+0.1)*(VLOOKUP(($F$16-$F$15)*2-1,AC$99:AG185,5,FALSE)))*EXP(-(LN(2)/$D$65+0.04)*AF185)*EXP(-(LN(2)/$D$65+0.1)*AG185),"-"))),"-")</f>
        <v>-</v>
      </c>
      <c r="AJ186" s="271" t="str">
        <f>IFERROR(IF(AD186=1,AJ$100*EXP(-(LN(2)/$D$65+0.04)*AF186)*EXP(-(LN(2)/$D$65+0.1)*AG186),IF(AD186=2,AJ$100*EXP(-(LN(2)/$D$65+0.04)*(VLOOKUP(($F$16-$F$15)-1,AC$100:AG186,4,FALSE)))*EXP(-(LN(2)/$D$65+0.1)*(VLOOKUP(($F$16-$F$15)-1,AC$100:AG186,5,FALSE)))*EXP(-(LN(2)/$D$65+0.04)*AF186)*EXP(-(LN(2)/$D$65+0.1)*AG186),IF(AD186=3,AJ$100*EXP(-(LN(2)/$D$65+0.04)*(VLOOKUP(($F$16-$F$15)-1,AC$100:AG186,4,FALSE)))*EXP(-(LN(2)/$D$65+0.1)*(VLOOKUP(($F$16-$F$15)-1,AC$100:AG186,5,FALSE)))*EXP(-(LN(2)/$D$65+0.04)*(VLOOKUP(($F$16-$F$15)*2-1,AC$100:AG186,4,FALSE)))*EXP(-(LN(2)/$D$65+0.1)*(VLOOKUP(($F$16-$F$15)*2-1,AC$100:AG186,5,FALSE)))*EXP(-(LN(2)/$D$65+0.04)*AF186)*EXP(-(LN(2)/$D$65+0.1)*AG186),"-"))),"-")</f>
        <v>-</v>
      </c>
      <c r="AK186" s="227">
        <f t="shared" si="138"/>
        <v>86</v>
      </c>
      <c r="AL186" s="226" t="str">
        <f t="shared" si="112"/>
        <v>-</v>
      </c>
      <c r="AM186" s="227" t="str">
        <f t="shared" si="139"/>
        <v>-</v>
      </c>
      <c r="AN186" s="227" t="str">
        <f t="shared" si="140"/>
        <v>-</v>
      </c>
      <c r="AO186" s="227" t="str">
        <f t="shared" si="113"/>
        <v>-</v>
      </c>
      <c r="AP186" s="273">
        <f t="shared" si="141"/>
        <v>0.1</v>
      </c>
      <c r="AQ186" s="271" t="str">
        <f>IFERROR(IF(AL185=1,AQ$100*EXP(-(LN(2)/$D$65+0.04)*AN185)*EXP(-(LN(2)/$D$65+0.1)*AO185),IF(AL185=2,AQ$100*EXP(-(LN(2)/$D$65+0.04)*(VLOOKUP(($F$16-$F$15)-1,AK$99:AO185,4,FALSE)))*EXP(-(LN(2)/$D$65+0.1)*(VLOOKUP(($F$16-$F$15)-1,AK$99:AO185,5,FALSE)))*EXP(-(LN(2)/$D$65+0.04)*AN185)*EXP(-(LN(2)/$D$65+0.1)*AO185),IF(AL185=3,AQ$100*EXP(-(LN(2)/$D$65+0.04)*(VLOOKUP(($F$16-$F$15)-1,AK$99:AO185,4,FALSE)))*EXP(-(LN(2)/$D$65+0.1)*(VLOOKUP(($F$16-$F$15)-1,AK$99:AO185,5,FALSE)))*EXP(-(LN(2)/$D$65+0.04)*(VLOOKUP(($F$16-$F$15)*2-1,AK$99:AO185,4,FALSE)))*EXP(-(LN(2)/$D$65+0.1)*(VLOOKUP(($F$16-$F$15)*2-1,AK$99:AO185,5,FALSE)))*EXP(-(LN(2)/$D$65+0.04)*AN185)*EXP(-(LN(2)/$D$65+0.1)*AO185),"-"))),"-")</f>
        <v>-</v>
      </c>
      <c r="AR186" s="271" t="str">
        <f>IFERROR(IF(AL186=1,AR$100*EXP(-(LN(2)/$D$65+0.04)*AN186)*EXP(-(LN(2)/$D$65+0.1)*AO186),IF(AL186=2,AR$100*EXP(-(LN(2)/$D$65+0.04)*(VLOOKUP(($F$16-$F$15)-1,AK$100:AO186,4,FALSE)))*EXP(-(LN(2)/$D$65+0.1)*(VLOOKUP(($F$16-$F$15)-1,AK$100:AO186,5,FALSE)))*EXP(-(LN(2)/$D$65+0.04)*AN186)*EXP(-(LN(2)/$D$65+0.1)*AO186),IF(AL186=3,AR$100*EXP(-(LN(2)/$D$65+0.04)*(VLOOKUP(($F$16-$F$15)-1,AK$100:AO186,4,FALSE)))*EXP(-(LN(2)/$D$65+0.1)*(VLOOKUP(($F$16-$F$15)-1,AK$100:AO186,5,FALSE)))*EXP(-(LN(2)/$D$65+0.04)*(VLOOKUP(($F$16-$F$15)*2-1,AK$100:AO186,4,FALSE)))*EXP(-(LN(2)/$D$65+0.1)*(VLOOKUP(($F$16-$F$15)*2-1,AK$100:AO186,5,FALSE)))*EXP(-(LN(2)/$D$65+0.04)*AN186)*EXP(-(LN(2)/$D$65+0.1)*AO186),"-"))),"-")</f>
        <v>-</v>
      </c>
      <c r="AS186" s="274">
        <f t="shared" si="114"/>
        <v>0</v>
      </c>
      <c r="AT186" s="274">
        <f t="shared" si="115"/>
        <v>0</v>
      </c>
      <c r="AU186" s="274">
        <f t="shared" si="116"/>
        <v>0</v>
      </c>
      <c r="AV186" s="190">
        <f>IF($B186&lt;$F$22,SUM($T$100:$T186),"")</f>
        <v>0</v>
      </c>
      <c r="AW186" s="190" t="str">
        <f t="shared" si="117"/>
        <v>-</v>
      </c>
      <c r="AX186" s="190" t="str">
        <f t="shared" si="142"/>
        <v/>
      </c>
      <c r="AY186"/>
      <c r="AZ186" s="190" t="str">
        <f ca="1">IF(ISNUMBER(OFFSET(AV186,-$F$21,0)),SUM(OFFSET($T$100,$F$21,0):$T186),"")</f>
        <v/>
      </c>
      <c r="BA186" s="190" t="str">
        <f t="shared" ca="1" si="118"/>
        <v/>
      </c>
      <c r="BB186" s="190" t="str">
        <f t="shared" ca="1" si="149"/>
        <v/>
      </c>
      <c r="BC186" s="190"/>
      <c r="BD186" s="190" t="str">
        <f ca="1">IFERROR(IF(AND($B186&gt;=($F$16-$F$15),$B186&lt;$F$22+($F$16-$F$15)),SUM(OFFSET($T$100,($F$16-$F$15),0):$T186),""),"")</f>
        <v/>
      </c>
      <c r="BE186" s="190" t="str">
        <f t="shared" ca="1" si="143"/>
        <v/>
      </c>
      <c r="BF186" s="190" t="str">
        <f t="shared" ca="1" si="144"/>
        <v/>
      </c>
      <c r="BG186"/>
      <c r="BH186" s="190" t="str">
        <f ca="1">IF(ISNUMBER(OFFSET(BD186,-$F$21,0)),SUM(OFFSET($T$100,($F$16-$F$15+$F$21),0):$T186),"")</f>
        <v/>
      </c>
      <c r="BI186" s="190" t="str">
        <f t="shared" ca="1" si="119"/>
        <v/>
      </c>
      <c r="BJ186" s="190" t="str">
        <f t="shared" ca="1" si="145"/>
        <v/>
      </c>
      <c r="BK186" s="190"/>
      <c r="BL186" s="190" t="str">
        <f ca="1">IFERROR(IF(AND($B186&gt;=($F$17-$F$15),$B186&lt;$F$22+($F$17-$F$15)),SUM(OFFSET($T$100,($F$17-$F$15),0):$T186),""),"")</f>
        <v/>
      </c>
      <c r="BM186" s="190" t="str">
        <f t="shared" ca="1" si="120"/>
        <v/>
      </c>
      <c r="BN186" s="190" t="str">
        <f t="shared" ca="1" si="146"/>
        <v/>
      </c>
      <c r="BO186"/>
      <c r="BP186" s="190" t="str">
        <f ca="1">IF(ISNUMBER(OFFSET(BL186,-$F$21,0)),SUM(OFFSET($T$100,($F$17-$F$15+$F$21),0):$T186),"")</f>
        <v/>
      </c>
      <c r="BQ186" s="190" t="str">
        <f t="shared" ca="1" si="121"/>
        <v/>
      </c>
      <c r="BR186" s="190" t="str">
        <f t="shared" ca="1" si="147"/>
        <v/>
      </c>
      <c r="BS186" s="190"/>
      <c r="BT186"/>
      <c r="BU186"/>
      <c r="BV186"/>
      <c r="BY186" s="99"/>
      <c r="BZ186" s="99"/>
      <c r="CA186" s="280" t="str">
        <f t="shared" si="122"/>
        <v/>
      </c>
      <c r="CB186" s="71" t="str">
        <f t="shared" si="123"/>
        <v>-</v>
      </c>
      <c r="CC186" s="33"/>
      <c r="CD186" s="261" t="str">
        <f t="shared" si="124"/>
        <v/>
      </c>
      <c r="CE186" s="280" t="str">
        <f t="shared" si="125"/>
        <v>-</v>
      </c>
      <c r="CF186" s="71" t="str">
        <f t="shared" ca="1" si="126"/>
        <v>-</v>
      </c>
      <c r="CG186" s="33" t="str">
        <f t="shared" si="127"/>
        <v>86-87</v>
      </c>
      <c r="CH186" s="261" t="str">
        <f t="shared" ca="1" si="128"/>
        <v/>
      </c>
      <c r="CI186" s="99"/>
      <c r="CJ186" s="99"/>
      <c r="CK186" s="99"/>
      <c r="CL186" s="99"/>
      <c r="CM186" s="99"/>
      <c r="CN186" s="99"/>
      <c r="CO186" s="99"/>
    </row>
    <row r="187" spans="2:93" ht="13.5" customHeight="1" x14ac:dyDescent="0.2">
      <c r="B187" s="262">
        <v>87</v>
      </c>
      <c r="C187" s="237" t="str">
        <f t="shared" si="92"/>
        <v/>
      </c>
      <c r="D187" s="237" t="str">
        <f t="shared" si="148"/>
        <v>-</v>
      </c>
      <c r="E187" s="263" t="str">
        <f t="shared" si="129"/>
        <v/>
      </c>
      <c r="F187" s="264" t="str">
        <f t="shared" si="130"/>
        <v/>
      </c>
      <c r="G187" s="264" t="str">
        <f t="shared" si="131"/>
        <v/>
      </c>
      <c r="H187" s="240" t="str">
        <f t="shared" si="93"/>
        <v/>
      </c>
      <c r="I187" s="265" t="str">
        <f t="shared" si="94"/>
        <v/>
      </c>
      <c r="J187" s="265" t="str">
        <f t="shared" si="95"/>
        <v/>
      </c>
      <c r="K187" s="240" t="str">
        <f t="shared" si="96"/>
        <v/>
      </c>
      <c r="L187" s="265" t="str">
        <f t="shared" si="97"/>
        <v/>
      </c>
      <c r="M187" s="265" t="str">
        <f t="shared" si="98"/>
        <v/>
      </c>
      <c r="N187" s="240" t="str">
        <f t="shared" si="99"/>
        <v>-</v>
      </c>
      <c r="O187" s="265" t="str">
        <f t="shared" si="100"/>
        <v>-</v>
      </c>
      <c r="P187" s="265" t="str">
        <f t="shared" si="101"/>
        <v>-</v>
      </c>
      <c r="Q187" s="266" t="str">
        <f t="shared" si="102"/>
        <v>-</v>
      </c>
      <c r="R187" s="267" t="str">
        <f t="shared" si="103"/>
        <v>-</v>
      </c>
      <c r="S187" s="268" t="str">
        <f t="shared" si="104"/>
        <v>-</v>
      </c>
      <c r="T187" s="269" t="str">
        <f t="shared" si="105"/>
        <v/>
      </c>
      <c r="U187" s="221">
        <f t="shared" si="106"/>
        <v>87</v>
      </c>
      <c r="V187" s="220" t="str">
        <f t="shared" si="132"/>
        <v>-</v>
      </c>
      <c r="W187" s="221" t="str">
        <f t="shared" si="133"/>
        <v>-</v>
      </c>
      <c r="X187" s="221" t="str">
        <f t="shared" si="107"/>
        <v>-</v>
      </c>
      <c r="Y187" s="221" t="str">
        <f t="shared" si="108"/>
        <v>-</v>
      </c>
      <c r="Z187" s="270">
        <f t="shared" si="134"/>
        <v>0.1</v>
      </c>
      <c r="AA187" s="271" t="str">
        <f>IFERROR(IF(V186=1,AA$100*EXP(-(LN(2)/$D$65+0.04)*X186)*EXP(-(LN(2)/$D$65+0.1)*Y186),IF(V186=2,AA$100*EXP(-(LN(2)/$D$65+0.04)*(VLOOKUP(($F$16-$F$15)-1,U$99:Y186,4,FALSE)))*EXP(-(LN(2)/$D$65+0.1)*(VLOOKUP(($F$16-$F$15)-1,U$99:Y186,5,FALSE)))*EXP(-(LN(2)/$D$65+0.04)*X186)*EXP(-(LN(2)/$D$65+0.1)*Y186),IF(V186=3,AA$100*EXP(-(LN(2)/$D$65+0.04)*(VLOOKUP(($F$16-$F$15)-1,U$99:Y186,4,FALSE)))*EXP(-(LN(2)/$D$65+0.1)*(VLOOKUP(($F$16-$F$15)-1,U$99:Y186,5,FALSE)))*EXP(-(LN(2)/$D$65+0.04)*(VLOOKUP(($F$16-$F$15)*2-1,U$99:Y186,4,FALSE)))*EXP(-(LN(2)/$D$65+0.1)*(VLOOKUP(($F$16-$F$15)*2-1,U$99:Y186,5,FALSE)))*EXP(-(LN(2)/$D$65+0.04)*X186)*EXP(-(LN(2)/$D$65+0.1)*Y186),"-"))),"-")</f>
        <v>-</v>
      </c>
      <c r="AB187" s="271" t="str">
        <f>IFERROR(IF(V187=1,AB$100*EXP(-(LN(2)/$D$65+0.04)*X187)*EXP(-(LN(2)/$D$65+0.1)*Y187),IF(V187=2,AB$100*EXP(-(LN(2)/$D$65+0.04)*(VLOOKUP(($F$16-$F$15)-1,U$100:Y187,4,FALSE)))*EXP(-(LN(2)/$D$65+0.1)*(VLOOKUP(($F$16-$F$15)-1,U$100:Y187,5,FALSE)))*EXP(-(LN(2)/$D$65+0.04)*X187)*EXP(-(LN(2)/$D$65+0.1)*Y187),IF(V187=3,AB$100*EXP(-(LN(2)/$D$65+0.04)*(VLOOKUP(($F$16-$F$15)-1,U$100:Y187,4,FALSE)))*EXP(-(LN(2)/$D$65+0.1)*(VLOOKUP(($F$16-$F$15)-1,U$100:Y187,5,FALSE)))*EXP(-(LN(2)/$D$65+0.04)*(VLOOKUP(($F$16-$F$15)*2-1,U$100:Y187,4,FALSE)))*EXP(-(LN(2)/$D$65+0.1)*(VLOOKUP(($F$16-$F$15)*2-1,U$100:Y187,5,FALSE)))*EXP(-(LN(2)/$D$65+0.04)*X187)*EXP(-(LN(2)/$D$65+0.1)*Y187),"-"))),"-")</f>
        <v>-</v>
      </c>
      <c r="AC187" s="224">
        <f t="shared" si="135"/>
        <v>87</v>
      </c>
      <c r="AD187" s="223" t="str">
        <f t="shared" si="109"/>
        <v>-</v>
      </c>
      <c r="AE187" s="224" t="str">
        <f t="shared" si="136"/>
        <v>-</v>
      </c>
      <c r="AF187" s="224" t="str">
        <f t="shared" si="110"/>
        <v>-</v>
      </c>
      <c r="AG187" s="224" t="str">
        <f t="shared" si="111"/>
        <v>-</v>
      </c>
      <c r="AH187" s="272">
        <f t="shared" si="137"/>
        <v>0.1</v>
      </c>
      <c r="AI187" s="271" t="str">
        <f>IFERROR(IF(AD186=1,AI$100*EXP(-(LN(2)/$D$65+0.04)*AF186)*EXP(-(LN(2)/$D$65+0.1)*AG186),IF(AD186=2,AI$100*EXP(-(LN(2)/$D$65+0.04)*(VLOOKUP(($F$16-$F$15)-1,AC$99:AG186,4,FALSE)))*EXP(-(LN(2)/$D$65+0.1)*(VLOOKUP(($F$16-$F$15)-1,AC$99:AG186,5,FALSE)))*EXP(-(LN(2)/$D$65+0.04)*AF186)*EXP(-(LN(2)/$D$65+0.1)*AG186),IF(AD186=3,AI$100*EXP(-(LN(2)/$D$65+0.04)*(VLOOKUP(($F$16-$F$15)-1,AC$99:AG186,4,FALSE)))*EXP(-(LN(2)/$D$65+0.1)*(VLOOKUP(($F$16-$F$15)-1,AC$99:AG186,5,FALSE)))*EXP(-(LN(2)/$D$65+0.04)*(VLOOKUP(($F$16-$F$15)*2-1,AC$99:AG186,4,FALSE)))*EXP(-(LN(2)/$D$65+0.1)*(VLOOKUP(($F$16-$F$15)*2-1,AC$99:AG186,5,FALSE)))*EXP(-(LN(2)/$D$65+0.04)*AF186)*EXP(-(LN(2)/$D$65+0.1)*AG186),"-"))),"-")</f>
        <v>-</v>
      </c>
      <c r="AJ187" s="271" t="str">
        <f>IFERROR(IF(AD187=1,AJ$100*EXP(-(LN(2)/$D$65+0.04)*AF187)*EXP(-(LN(2)/$D$65+0.1)*AG187),IF(AD187=2,AJ$100*EXP(-(LN(2)/$D$65+0.04)*(VLOOKUP(($F$16-$F$15)-1,AC$100:AG187,4,FALSE)))*EXP(-(LN(2)/$D$65+0.1)*(VLOOKUP(($F$16-$F$15)-1,AC$100:AG187,5,FALSE)))*EXP(-(LN(2)/$D$65+0.04)*AF187)*EXP(-(LN(2)/$D$65+0.1)*AG187),IF(AD187=3,AJ$100*EXP(-(LN(2)/$D$65+0.04)*(VLOOKUP(($F$16-$F$15)-1,AC$100:AG187,4,FALSE)))*EXP(-(LN(2)/$D$65+0.1)*(VLOOKUP(($F$16-$F$15)-1,AC$100:AG187,5,FALSE)))*EXP(-(LN(2)/$D$65+0.04)*(VLOOKUP(($F$16-$F$15)*2-1,AC$100:AG187,4,FALSE)))*EXP(-(LN(2)/$D$65+0.1)*(VLOOKUP(($F$16-$F$15)*2-1,AC$100:AG187,5,FALSE)))*EXP(-(LN(2)/$D$65+0.04)*AF187)*EXP(-(LN(2)/$D$65+0.1)*AG187),"-"))),"-")</f>
        <v>-</v>
      </c>
      <c r="AK187" s="227">
        <f t="shared" si="138"/>
        <v>87</v>
      </c>
      <c r="AL187" s="226" t="str">
        <f t="shared" si="112"/>
        <v>-</v>
      </c>
      <c r="AM187" s="227" t="str">
        <f t="shared" si="139"/>
        <v>-</v>
      </c>
      <c r="AN187" s="227" t="str">
        <f t="shared" si="140"/>
        <v>-</v>
      </c>
      <c r="AO187" s="227" t="str">
        <f t="shared" si="113"/>
        <v>-</v>
      </c>
      <c r="AP187" s="273">
        <f t="shared" si="141"/>
        <v>0.1</v>
      </c>
      <c r="AQ187" s="271" t="str">
        <f>IFERROR(IF(AL186=1,AQ$100*EXP(-(LN(2)/$D$65+0.04)*AN186)*EXP(-(LN(2)/$D$65+0.1)*AO186),IF(AL186=2,AQ$100*EXP(-(LN(2)/$D$65+0.04)*(VLOOKUP(($F$16-$F$15)-1,AK$99:AO186,4,FALSE)))*EXP(-(LN(2)/$D$65+0.1)*(VLOOKUP(($F$16-$F$15)-1,AK$99:AO186,5,FALSE)))*EXP(-(LN(2)/$D$65+0.04)*AN186)*EXP(-(LN(2)/$D$65+0.1)*AO186),IF(AL186=3,AQ$100*EXP(-(LN(2)/$D$65+0.04)*(VLOOKUP(($F$16-$F$15)-1,AK$99:AO186,4,FALSE)))*EXP(-(LN(2)/$D$65+0.1)*(VLOOKUP(($F$16-$F$15)-1,AK$99:AO186,5,FALSE)))*EXP(-(LN(2)/$D$65+0.04)*(VLOOKUP(($F$16-$F$15)*2-1,AK$99:AO186,4,FALSE)))*EXP(-(LN(2)/$D$65+0.1)*(VLOOKUP(($F$16-$F$15)*2-1,AK$99:AO186,5,FALSE)))*EXP(-(LN(2)/$D$65+0.04)*AN186)*EXP(-(LN(2)/$D$65+0.1)*AO186),"-"))),"-")</f>
        <v>-</v>
      </c>
      <c r="AR187" s="271" t="str">
        <f>IFERROR(IF(AL187=1,AR$100*EXP(-(LN(2)/$D$65+0.04)*AN187)*EXP(-(LN(2)/$D$65+0.1)*AO187),IF(AL187=2,AR$100*EXP(-(LN(2)/$D$65+0.04)*(VLOOKUP(($F$16-$F$15)-1,AK$100:AO187,4,FALSE)))*EXP(-(LN(2)/$D$65+0.1)*(VLOOKUP(($F$16-$F$15)-1,AK$100:AO187,5,FALSE)))*EXP(-(LN(2)/$D$65+0.04)*AN187)*EXP(-(LN(2)/$D$65+0.1)*AO187),IF(AL187=3,AR$100*EXP(-(LN(2)/$D$65+0.04)*(VLOOKUP(($F$16-$F$15)-1,AK$100:AO187,4,FALSE)))*EXP(-(LN(2)/$D$65+0.1)*(VLOOKUP(($F$16-$F$15)-1,AK$100:AO187,5,FALSE)))*EXP(-(LN(2)/$D$65+0.04)*(VLOOKUP(($F$16-$F$15)*2-1,AK$100:AO187,4,FALSE)))*EXP(-(LN(2)/$D$65+0.1)*(VLOOKUP(($F$16-$F$15)*2-1,AK$100:AO187,5,FALSE)))*EXP(-(LN(2)/$D$65+0.04)*AN187)*EXP(-(LN(2)/$D$65+0.1)*AO187),"-"))),"-")</f>
        <v>-</v>
      </c>
      <c r="AS187" s="274">
        <f t="shared" si="114"/>
        <v>0</v>
      </c>
      <c r="AT187" s="274">
        <f t="shared" si="115"/>
        <v>0</v>
      </c>
      <c r="AU187" s="274">
        <f t="shared" si="116"/>
        <v>0</v>
      </c>
      <c r="AV187" s="190">
        <f>IF($B187&lt;$F$22,SUM($T$100:$T187),"")</f>
        <v>0</v>
      </c>
      <c r="AW187" s="190" t="str">
        <f t="shared" si="117"/>
        <v>-</v>
      </c>
      <c r="AX187" s="190" t="str">
        <f t="shared" si="142"/>
        <v/>
      </c>
      <c r="AY187"/>
      <c r="AZ187" s="190" t="str">
        <f ca="1">IF(ISNUMBER(OFFSET(AV187,-$F$21,0)),SUM(OFFSET($T$100,$F$21,0):$T187),"")</f>
        <v/>
      </c>
      <c r="BA187" s="190" t="str">
        <f t="shared" ca="1" si="118"/>
        <v/>
      </c>
      <c r="BB187" s="190" t="str">
        <f t="shared" ca="1" si="149"/>
        <v/>
      </c>
      <c r="BC187" s="190"/>
      <c r="BD187" s="190" t="str">
        <f ca="1">IFERROR(IF(AND($B187&gt;=($F$16-$F$15),$B187&lt;$F$22+($F$16-$F$15)),SUM(OFFSET($T$100,($F$16-$F$15),0):$T187),""),"")</f>
        <v/>
      </c>
      <c r="BE187" s="190" t="str">
        <f t="shared" ca="1" si="143"/>
        <v/>
      </c>
      <c r="BF187" s="190" t="str">
        <f t="shared" ca="1" si="144"/>
        <v/>
      </c>
      <c r="BG187"/>
      <c r="BH187" s="190" t="str">
        <f ca="1">IF(ISNUMBER(OFFSET(BD187,-$F$21,0)),SUM(OFFSET($T$100,($F$16-$F$15+$F$21),0):$T187),"")</f>
        <v/>
      </c>
      <c r="BI187" s="190" t="str">
        <f t="shared" ca="1" si="119"/>
        <v/>
      </c>
      <c r="BJ187" s="190" t="str">
        <f t="shared" ca="1" si="145"/>
        <v/>
      </c>
      <c r="BK187" s="190"/>
      <c r="BL187" s="190" t="str">
        <f ca="1">IFERROR(IF(AND($B187&gt;=($F$17-$F$15),$B187&lt;$F$22+($F$17-$F$15)),SUM(OFFSET($T$100,($F$17-$F$15),0):$T187),""),"")</f>
        <v/>
      </c>
      <c r="BM187" s="190" t="str">
        <f t="shared" ca="1" si="120"/>
        <v/>
      </c>
      <c r="BN187" s="190" t="str">
        <f t="shared" ca="1" si="146"/>
        <v/>
      </c>
      <c r="BO187"/>
      <c r="BP187" s="190" t="str">
        <f ca="1">IF(ISNUMBER(OFFSET(BL187,-$F$21,0)),SUM(OFFSET($T$100,($F$17-$F$15+$F$21),0):$T187),"")</f>
        <v/>
      </c>
      <c r="BQ187" s="190" t="str">
        <f t="shared" ca="1" si="121"/>
        <v/>
      </c>
      <c r="BR187" s="190" t="str">
        <f t="shared" ca="1" si="147"/>
        <v/>
      </c>
      <c r="BS187" s="190"/>
      <c r="BT187"/>
      <c r="BU187"/>
      <c r="BV187"/>
      <c r="BY187" s="99"/>
      <c r="BZ187" s="99"/>
      <c r="CA187" s="280" t="str">
        <f t="shared" si="122"/>
        <v/>
      </c>
      <c r="CB187" s="71" t="str">
        <f t="shared" si="123"/>
        <v>-</v>
      </c>
      <c r="CC187" s="33"/>
      <c r="CD187" s="261" t="str">
        <f t="shared" si="124"/>
        <v/>
      </c>
      <c r="CE187" s="280" t="str">
        <f t="shared" si="125"/>
        <v>-</v>
      </c>
      <c r="CF187" s="71" t="str">
        <f t="shared" ca="1" si="126"/>
        <v>-</v>
      </c>
      <c r="CG187" s="33" t="str">
        <f t="shared" si="127"/>
        <v>87-88</v>
      </c>
      <c r="CH187" s="261" t="str">
        <f t="shared" ca="1" si="128"/>
        <v/>
      </c>
      <c r="CI187" s="99"/>
      <c r="CJ187" s="99"/>
      <c r="CK187" s="99"/>
      <c r="CL187" s="99"/>
      <c r="CM187" s="99"/>
      <c r="CN187" s="99"/>
      <c r="CO187" s="99"/>
    </row>
    <row r="188" spans="2:93" ht="13.5" customHeight="1" x14ac:dyDescent="0.2">
      <c r="B188" s="262">
        <v>88</v>
      </c>
      <c r="C188" s="237" t="str">
        <f t="shared" si="92"/>
        <v/>
      </c>
      <c r="D188" s="237" t="str">
        <f t="shared" si="148"/>
        <v>-</v>
      </c>
      <c r="E188" s="263" t="str">
        <f t="shared" si="129"/>
        <v/>
      </c>
      <c r="F188" s="264" t="str">
        <f t="shared" si="130"/>
        <v/>
      </c>
      <c r="G188" s="264" t="str">
        <f t="shared" si="131"/>
        <v/>
      </c>
      <c r="H188" s="240" t="str">
        <f t="shared" si="93"/>
        <v/>
      </c>
      <c r="I188" s="265" t="str">
        <f t="shared" si="94"/>
        <v/>
      </c>
      <c r="J188" s="265" t="str">
        <f t="shared" si="95"/>
        <v/>
      </c>
      <c r="K188" s="240" t="str">
        <f t="shared" si="96"/>
        <v/>
      </c>
      <c r="L188" s="265" t="str">
        <f t="shared" si="97"/>
        <v/>
      </c>
      <c r="M188" s="265" t="str">
        <f t="shared" si="98"/>
        <v/>
      </c>
      <c r="N188" s="240" t="str">
        <f t="shared" si="99"/>
        <v>-</v>
      </c>
      <c r="O188" s="265" t="str">
        <f t="shared" si="100"/>
        <v>-</v>
      </c>
      <c r="P188" s="265" t="str">
        <f t="shared" si="101"/>
        <v>-</v>
      </c>
      <c r="Q188" s="266" t="str">
        <f t="shared" si="102"/>
        <v>-</v>
      </c>
      <c r="R188" s="267" t="str">
        <f t="shared" si="103"/>
        <v>-</v>
      </c>
      <c r="S188" s="268" t="str">
        <f t="shared" si="104"/>
        <v>-</v>
      </c>
      <c r="T188" s="269" t="str">
        <f t="shared" si="105"/>
        <v/>
      </c>
      <c r="U188" s="221">
        <f t="shared" si="106"/>
        <v>88</v>
      </c>
      <c r="V188" s="220" t="str">
        <f t="shared" si="132"/>
        <v>-</v>
      </c>
      <c r="W188" s="221" t="str">
        <f t="shared" si="133"/>
        <v>-</v>
      </c>
      <c r="X188" s="221" t="str">
        <f t="shared" si="107"/>
        <v>-</v>
      </c>
      <c r="Y188" s="221" t="str">
        <f t="shared" si="108"/>
        <v>-</v>
      </c>
      <c r="Z188" s="270">
        <f t="shared" si="134"/>
        <v>0.1</v>
      </c>
      <c r="AA188" s="271" t="str">
        <f>IFERROR(IF(V187=1,AA$100*EXP(-(LN(2)/$D$65+0.04)*X187)*EXP(-(LN(2)/$D$65+0.1)*Y187),IF(V187=2,AA$100*EXP(-(LN(2)/$D$65+0.04)*(VLOOKUP(($F$16-$F$15)-1,U$99:Y187,4,FALSE)))*EXP(-(LN(2)/$D$65+0.1)*(VLOOKUP(($F$16-$F$15)-1,U$99:Y187,5,FALSE)))*EXP(-(LN(2)/$D$65+0.04)*X187)*EXP(-(LN(2)/$D$65+0.1)*Y187),IF(V187=3,AA$100*EXP(-(LN(2)/$D$65+0.04)*(VLOOKUP(($F$16-$F$15)-1,U$99:Y187,4,FALSE)))*EXP(-(LN(2)/$D$65+0.1)*(VLOOKUP(($F$16-$F$15)-1,U$99:Y187,5,FALSE)))*EXP(-(LN(2)/$D$65+0.04)*(VLOOKUP(($F$16-$F$15)*2-1,U$99:Y187,4,FALSE)))*EXP(-(LN(2)/$D$65+0.1)*(VLOOKUP(($F$16-$F$15)*2-1,U$99:Y187,5,FALSE)))*EXP(-(LN(2)/$D$65+0.04)*X187)*EXP(-(LN(2)/$D$65+0.1)*Y187),"-"))),"-")</f>
        <v>-</v>
      </c>
      <c r="AB188" s="271" t="str">
        <f>IFERROR(IF(V188=1,AB$100*EXP(-(LN(2)/$D$65+0.04)*X188)*EXP(-(LN(2)/$D$65+0.1)*Y188),IF(V188=2,AB$100*EXP(-(LN(2)/$D$65+0.04)*(VLOOKUP(($F$16-$F$15)-1,U$100:Y188,4,FALSE)))*EXP(-(LN(2)/$D$65+0.1)*(VLOOKUP(($F$16-$F$15)-1,U$100:Y188,5,FALSE)))*EXP(-(LN(2)/$D$65+0.04)*X188)*EXP(-(LN(2)/$D$65+0.1)*Y188),IF(V188=3,AB$100*EXP(-(LN(2)/$D$65+0.04)*(VLOOKUP(($F$16-$F$15)-1,U$100:Y188,4,FALSE)))*EXP(-(LN(2)/$D$65+0.1)*(VLOOKUP(($F$16-$F$15)-1,U$100:Y188,5,FALSE)))*EXP(-(LN(2)/$D$65+0.04)*(VLOOKUP(($F$16-$F$15)*2-1,U$100:Y188,4,FALSE)))*EXP(-(LN(2)/$D$65+0.1)*(VLOOKUP(($F$16-$F$15)*2-1,U$100:Y188,5,FALSE)))*EXP(-(LN(2)/$D$65+0.04)*X188)*EXP(-(LN(2)/$D$65+0.1)*Y188),"-"))),"-")</f>
        <v>-</v>
      </c>
      <c r="AC188" s="224">
        <f t="shared" si="135"/>
        <v>88</v>
      </c>
      <c r="AD188" s="223" t="str">
        <f t="shared" si="109"/>
        <v>-</v>
      </c>
      <c r="AE188" s="224" t="str">
        <f t="shared" si="136"/>
        <v>-</v>
      </c>
      <c r="AF188" s="224" t="str">
        <f t="shared" si="110"/>
        <v>-</v>
      </c>
      <c r="AG188" s="224" t="str">
        <f t="shared" si="111"/>
        <v>-</v>
      </c>
      <c r="AH188" s="272">
        <f t="shared" si="137"/>
        <v>0.1</v>
      </c>
      <c r="AI188" s="271" t="str">
        <f>IFERROR(IF(AD187=1,AI$100*EXP(-(LN(2)/$D$65+0.04)*AF187)*EXP(-(LN(2)/$D$65+0.1)*AG187),IF(AD187=2,AI$100*EXP(-(LN(2)/$D$65+0.04)*(VLOOKUP(($F$16-$F$15)-1,AC$99:AG187,4,FALSE)))*EXP(-(LN(2)/$D$65+0.1)*(VLOOKUP(($F$16-$F$15)-1,AC$99:AG187,5,FALSE)))*EXP(-(LN(2)/$D$65+0.04)*AF187)*EXP(-(LN(2)/$D$65+0.1)*AG187),IF(AD187=3,AI$100*EXP(-(LN(2)/$D$65+0.04)*(VLOOKUP(($F$16-$F$15)-1,AC$99:AG187,4,FALSE)))*EXP(-(LN(2)/$D$65+0.1)*(VLOOKUP(($F$16-$F$15)-1,AC$99:AG187,5,FALSE)))*EXP(-(LN(2)/$D$65+0.04)*(VLOOKUP(($F$16-$F$15)*2-1,AC$99:AG187,4,FALSE)))*EXP(-(LN(2)/$D$65+0.1)*(VLOOKUP(($F$16-$F$15)*2-1,AC$99:AG187,5,FALSE)))*EXP(-(LN(2)/$D$65+0.04)*AF187)*EXP(-(LN(2)/$D$65+0.1)*AG187),"-"))),"-")</f>
        <v>-</v>
      </c>
      <c r="AJ188" s="271" t="str">
        <f>IFERROR(IF(AD188=1,AJ$100*EXP(-(LN(2)/$D$65+0.04)*AF188)*EXP(-(LN(2)/$D$65+0.1)*AG188),IF(AD188=2,AJ$100*EXP(-(LN(2)/$D$65+0.04)*(VLOOKUP(($F$16-$F$15)-1,AC$100:AG188,4,FALSE)))*EXP(-(LN(2)/$D$65+0.1)*(VLOOKUP(($F$16-$F$15)-1,AC$100:AG188,5,FALSE)))*EXP(-(LN(2)/$D$65+0.04)*AF188)*EXP(-(LN(2)/$D$65+0.1)*AG188),IF(AD188=3,AJ$100*EXP(-(LN(2)/$D$65+0.04)*(VLOOKUP(($F$16-$F$15)-1,AC$100:AG188,4,FALSE)))*EXP(-(LN(2)/$D$65+0.1)*(VLOOKUP(($F$16-$F$15)-1,AC$100:AG188,5,FALSE)))*EXP(-(LN(2)/$D$65+0.04)*(VLOOKUP(($F$16-$F$15)*2-1,AC$100:AG188,4,FALSE)))*EXP(-(LN(2)/$D$65+0.1)*(VLOOKUP(($F$16-$F$15)*2-1,AC$100:AG188,5,FALSE)))*EXP(-(LN(2)/$D$65+0.04)*AF188)*EXP(-(LN(2)/$D$65+0.1)*AG188),"-"))),"-")</f>
        <v>-</v>
      </c>
      <c r="AK188" s="227">
        <f t="shared" si="138"/>
        <v>88</v>
      </c>
      <c r="AL188" s="226" t="str">
        <f t="shared" si="112"/>
        <v>-</v>
      </c>
      <c r="AM188" s="227" t="str">
        <f t="shared" si="139"/>
        <v>-</v>
      </c>
      <c r="AN188" s="227" t="str">
        <f t="shared" si="140"/>
        <v>-</v>
      </c>
      <c r="AO188" s="227" t="str">
        <f t="shared" si="113"/>
        <v>-</v>
      </c>
      <c r="AP188" s="273">
        <f t="shared" si="141"/>
        <v>0.1</v>
      </c>
      <c r="AQ188" s="271" t="str">
        <f>IFERROR(IF(AL187=1,AQ$100*EXP(-(LN(2)/$D$65+0.04)*AN187)*EXP(-(LN(2)/$D$65+0.1)*AO187),IF(AL187=2,AQ$100*EXP(-(LN(2)/$D$65+0.04)*(VLOOKUP(($F$16-$F$15)-1,AK$99:AO187,4,FALSE)))*EXP(-(LN(2)/$D$65+0.1)*(VLOOKUP(($F$16-$F$15)-1,AK$99:AO187,5,FALSE)))*EXP(-(LN(2)/$D$65+0.04)*AN187)*EXP(-(LN(2)/$D$65+0.1)*AO187),IF(AL187=3,AQ$100*EXP(-(LN(2)/$D$65+0.04)*(VLOOKUP(($F$16-$F$15)-1,AK$99:AO187,4,FALSE)))*EXP(-(LN(2)/$D$65+0.1)*(VLOOKUP(($F$16-$F$15)-1,AK$99:AO187,5,FALSE)))*EXP(-(LN(2)/$D$65+0.04)*(VLOOKUP(($F$16-$F$15)*2-1,AK$99:AO187,4,FALSE)))*EXP(-(LN(2)/$D$65+0.1)*(VLOOKUP(($F$16-$F$15)*2-1,AK$99:AO187,5,FALSE)))*EXP(-(LN(2)/$D$65+0.04)*AN187)*EXP(-(LN(2)/$D$65+0.1)*AO187),"-"))),"-")</f>
        <v>-</v>
      </c>
      <c r="AR188" s="271" t="str">
        <f>IFERROR(IF(AL188=1,AR$100*EXP(-(LN(2)/$D$65+0.04)*AN188)*EXP(-(LN(2)/$D$65+0.1)*AO188),IF(AL188=2,AR$100*EXP(-(LN(2)/$D$65+0.04)*(VLOOKUP(($F$16-$F$15)-1,AK$100:AO188,4,FALSE)))*EXP(-(LN(2)/$D$65+0.1)*(VLOOKUP(($F$16-$F$15)-1,AK$100:AO188,5,FALSE)))*EXP(-(LN(2)/$D$65+0.04)*AN188)*EXP(-(LN(2)/$D$65+0.1)*AO188),IF(AL188=3,AR$100*EXP(-(LN(2)/$D$65+0.04)*(VLOOKUP(($F$16-$F$15)-1,AK$100:AO188,4,FALSE)))*EXP(-(LN(2)/$D$65+0.1)*(VLOOKUP(($F$16-$F$15)-1,AK$100:AO188,5,FALSE)))*EXP(-(LN(2)/$D$65+0.04)*(VLOOKUP(($F$16-$F$15)*2-1,AK$100:AO188,4,FALSE)))*EXP(-(LN(2)/$D$65+0.1)*(VLOOKUP(($F$16-$F$15)*2-1,AK$100:AO188,5,FALSE)))*EXP(-(LN(2)/$D$65+0.04)*AN188)*EXP(-(LN(2)/$D$65+0.1)*AO188),"-"))),"-")</f>
        <v>-</v>
      </c>
      <c r="AS188" s="274">
        <f t="shared" si="114"/>
        <v>0</v>
      </c>
      <c r="AT188" s="274">
        <f t="shared" si="115"/>
        <v>0</v>
      </c>
      <c r="AU188" s="274">
        <f t="shared" si="116"/>
        <v>0</v>
      </c>
      <c r="AV188" s="190">
        <f>IF($B188&lt;$F$22,SUM($T$100:$T188),"")</f>
        <v>0</v>
      </c>
      <c r="AW188" s="190" t="str">
        <f t="shared" si="117"/>
        <v>-</v>
      </c>
      <c r="AX188" s="190" t="str">
        <f t="shared" si="142"/>
        <v/>
      </c>
      <c r="AY188"/>
      <c r="AZ188" s="190" t="str">
        <f ca="1">IF(ISNUMBER(OFFSET(AV188,-$F$21,0)),SUM(OFFSET($T$100,$F$21,0):$T188),"")</f>
        <v/>
      </c>
      <c r="BA188" s="190" t="str">
        <f t="shared" ca="1" si="118"/>
        <v/>
      </c>
      <c r="BB188" s="190" t="str">
        <f t="shared" ca="1" si="149"/>
        <v/>
      </c>
      <c r="BC188" s="190"/>
      <c r="BD188" s="190" t="str">
        <f ca="1">IFERROR(IF(AND($B188&gt;=($F$16-$F$15),$B188&lt;$F$22+($F$16-$F$15)),SUM(OFFSET($T$100,($F$16-$F$15),0):$T188),""),"")</f>
        <v/>
      </c>
      <c r="BE188" s="190" t="str">
        <f t="shared" ca="1" si="143"/>
        <v/>
      </c>
      <c r="BF188" s="190" t="str">
        <f t="shared" ca="1" si="144"/>
        <v/>
      </c>
      <c r="BG188"/>
      <c r="BH188" s="190" t="str">
        <f ca="1">IF(ISNUMBER(OFFSET(BD188,-$F$21,0)),SUM(OFFSET($T$100,($F$16-$F$15+$F$21),0):$T188),"")</f>
        <v/>
      </c>
      <c r="BI188" s="190" t="str">
        <f t="shared" ca="1" si="119"/>
        <v/>
      </c>
      <c r="BJ188" s="190" t="str">
        <f t="shared" ca="1" si="145"/>
        <v/>
      </c>
      <c r="BK188" s="190"/>
      <c r="BL188" s="190" t="str">
        <f ca="1">IFERROR(IF(AND($B188&gt;=($F$17-$F$15),$B188&lt;$F$22+($F$17-$F$15)),SUM(OFFSET($T$100,($F$17-$F$15),0):$T188),""),"")</f>
        <v/>
      </c>
      <c r="BM188" s="190" t="str">
        <f t="shared" ca="1" si="120"/>
        <v/>
      </c>
      <c r="BN188" s="190" t="str">
        <f t="shared" ca="1" si="146"/>
        <v/>
      </c>
      <c r="BO188"/>
      <c r="BP188" s="190" t="str">
        <f ca="1">IF(ISNUMBER(OFFSET(BL188,-$F$21,0)),SUM(OFFSET($T$100,($F$17-$F$15+$F$21),0):$T188),"")</f>
        <v/>
      </c>
      <c r="BQ188" s="190" t="str">
        <f t="shared" ca="1" si="121"/>
        <v/>
      </c>
      <c r="BR188" s="190" t="str">
        <f t="shared" ca="1" si="147"/>
        <v/>
      </c>
      <c r="BS188" s="190"/>
      <c r="BT188"/>
      <c r="BU188"/>
      <c r="BV188"/>
      <c r="BY188" s="99"/>
      <c r="BZ188" s="99"/>
      <c r="CA188" s="280" t="str">
        <f t="shared" si="122"/>
        <v/>
      </c>
      <c r="CB188" s="71" t="str">
        <f t="shared" si="123"/>
        <v>-</v>
      </c>
      <c r="CC188" s="33"/>
      <c r="CD188" s="261" t="str">
        <f t="shared" si="124"/>
        <v/>
      </c>
      <c r="CE188" s="280" t="str">
        <f t="shared" si="125"/>
        <v>-</v>
      </c>
      <c r="CF188" s="71" t="str">
        <f t="shared" ca="1" si="126"/>
        <v>-</v>
      </c>
      <c r="CG188" s="33" t="str">
        <f t="shared" si="127"/>
        <v>88-89</v>
      </c>
      <c r="CH188" s="261" t="str">
        <f t="shared" ca="1" si="128"/>
        <v/>
      </c>
      <c r="CI188" s="99"/>
      <c r="CJ188" s="99"/>
      <c r="CK188" s="99"/>
      <c r="CL188" s="99"/>
      <c r="CM188" s="99"/>
      <c r="CN188" s="99"/>
      <c r="CO188" s="99"/>
    </row>
    <row r="189" spans="2:93" ht="13.5" customHeight="1" x14ac:dyDescent="0.2">
      <c r="B189" s="262">
        <v>89</v>
      </c>
      <c r="C189" s="237" t="str">
        <f t="shared" si="92"/>
        <v/>
      </c>
      <c r="D189" s="237" t="str">
        <f t="shared" si="148"/>
        <v>-</v>
      </c>
      <c r="E189" s="263" t="str">
        <f t="shared" si="129"/>
        <v/>
      </c>
      <c r="F189" s="264" t="str">
        <f t="shared" si="130"/>
        <v/>
      </c>
      <c r="G189" s="264" t="str">
        <f t="shared" si="131"/>
        <v/>
      </c>
      <c r="H189" s="240" t="str">
        <f t="shared" si="93"/>
        <v/>
      </c>
      <c r="I189" s="265" t="str">
        <f t="shared" si="94"/>
        <v/>
      </c>
      <c r="J189" s="265" t="str">
        <f t="shared" si="95"/>
        <v/>
      </c>
      <c r="K189" s="240" t="str">
        <f t="shared" si="96"/>
        <v/>
      </c>
      <c r="L189" s="265" t="str">
        <f t="shared" si="97"/>
        <v/>
      </c>
      <c r="M189" s="265" t="str">
        <f t="shared" si="98"/>
        <v/>
      </c>
      <c r="N189" s="240" t="str">
        <f t="shared" si="99"/>
        <v>-</v>
      </c>
      <c r="O189" s="265" t="str">
        <f t="shared" si="100"/>
        <v>-</v>
      </c>
      <c r="P189" s="265" t="str">
        <f t="shared" si="101"/>
        <v>-</v>
      </c>
      <c r="Q189" s="266" t="str">
        <f t="shared" si="102"/>
        <v>-</v>
      </c>
      <c r="R189" s="267" t="str">
        <f t="shared" si="103"/>
        <v>-</v>
      </c>
      <c r="S189" s="268" t="str">
        <f t="shared" si="104"/>
        <v>-</v>
      </c>
      <c r="T189" s="269" t="str">
        <f t="shared" si="105"/>
        <v/>
      </c>
      <c r="U189" s="221">
        <f t="shared" si="106"/>
        <v>89</v>
      </c>
      <c r="V189" s="220" t="str">
        <f t="shared" si="132"/>
        <v>-</v>
      </c>
      <c r="W189" s="221" t="str">
        <f t="shared" si="133"/>
        <v>-</v>
      </c>
      <c r="X189" s="221" t="str">
        <f t="shared" si="107"/>
        <v>-</v>
      </c>
      <c r="Y189" s="221" t="str">
        <f t="shared" si="108"/>
        <v>-</v>
      </c>
      <c r="Z189" s="270">
        <f t="shared" si="134"/>
        <v>0.1</v>
      </c>
      <c r="AA189" s="271" t="str">
        <f>IFERROR(IF(V188=1,AA$100*EXP(-(LN(2)/$D$65+0.04)*X188)*EXP(-(LN(2)/$D$65+0.1)*Y188),IF(V188=2,AA$100*EXP(-(LN(2)/$D$65+0.04)*(VLOOKUP(($F$16-$F$15)-1,U$99:Y188,4,FALSE)))*EXP(-(LN(2)/$D$65+0.1)*(VLOOKUP(($F$16-$F$15)-1,U$99:Y188,5,FALSE)))*EXP(-(LN(2)/$D$65+0.04)*X188)*EXP(-(LN(2)/$D$65+0.1)*Y188),IF(V188=3,AA$100*EXP(-(LN(2)/$D$65+0.04)*(VLOOKUP(($F$16-$F$15)-1,U$99:Y188,4,FALSE)))*EXP(-(LN(2)/$D$65+0.1)*(VLOOKUP(($F$16-$F$15)-1,U$99:Y188,5,FALSE)))*EXP(-(LN(2)/$D$65+0.04)*(VLOOKUP(($F$16-$F$15)*2-1,U$99:Y188,4,FALSE)))*EXP(-(LN(2)/$D$65+0.1)*(VLOOKUP(($F$16-$F$15)*2-1,U$99:Y188,5,FALSE)))*EXP(-(LN(2)/$D$65+0.04)*X188)*EXP(-(LN(2)/$D$65+0.1)*Y188),"-"))),"-")</f>
        <v>-</v>
      </c>
      <c r="AB189" s="271" t="str">
        <f>IFERROR(IF(V189=1,AB$100*EXP(-(LN(2)/$D$65+0.04)*X189)*EXP(-(LN(2)/$D$65+0.1)*Y189),IF(V189=2,AB$100*EXP(-(LN(2)/$D$65+0.04)*(VLOOKUP(($F$16-$F$15)-1,U$100:Y189,4,FALSE)))*EXP(-(LN(2)/$D$65+0.1)*(VLOOKUP(($F$16-$F$15)-1,U$100:Y189,5,FALSE)))*EXP(-(LN(2)/$D$65+0.04)*X189)*EXP(-(LN(2)/$D$65+0.1)*Y189),IF(V189=3,AB$100*EXP(-(LN(2)/$D$65+0.04)*(VLOOKUP(($F$16-$F$15)-1,U$100:Y189,4,FALSE)))*EXP(-(LN(2)/$D$65+0.1)*(VLOOKUP(($F$16-$F$15)-1,U$100:Y189,5,FALSE)))*EXP(-(LN(2)/$D$65+0.04)*(VLOOKUP(($F$16-$F$15)*2-1,U$100:Y189,4,FALSE)))*EXP(-(LN(2)/$D$65+0.1)*(VLOOKUP(($F$16-$F$15)*2-1,U$100:Y189,5,FALSE)))*EXP(-(LN(2)/$D$65+0.04)*X189)*EXP(-(LN(2)/$D$65+0.1)*Y189),"-"))),"-")</f>
        <v>-</v>
      </c>
      <c r="AC189" s="224">
        <f t="shared" si="135"/>
        <v>89</v>
      </c>
      <c r="AD189" s="223" t="str">
        <f t="shared" si="109"/>
        <v>-</v>
      </c>
      <c r="AE189" s="224" t="str">
        <f t="shared" si="136"/>
        <v>-</v>
      </c>
      <c r="AF189" s="224" t="str">
        <f t="shared" si="110"/>
        <v>-</v>
      </c>
      <c r="AG189" s="224" t="str">
        <f t="shared" si="111"/>
        <v>-</v>
      </c>
      <c r="AH189" s="272">
        <f t="shared" si="137"/>
        <v>0.1</v>
      </c>
      <c r="AI189" s="271" t="str">
        <f>IFERROR(IF(AD188=1,AI$100*EXP(-(LN(2)/$D$65+0.04)*AF188)*EXP(-(LN(2)/$D$65+0.1)*AG188),IF(AD188=2,AI$100*EXP(-(LN(2)/$D$65+0.04)*(VLOOKUP(($F$16-$F$15)-1,AC$99:AG188,4,FALSE)))*EXP(-(LN(2)/$D$65+0.1)*(VLOOKUP(($F$16-$F$15)-1,AC$99:AG188,5,FALSE)))*EXP(-(LN(2)/$D$65+0.04)*AF188)*EXP(-(LN(2)/$D$65+0.1)*AG188),IF(AD188=3,AI$100*EXP(-(LN(2)/$D$65+0.04)*(VLOOKUP(($F$16-$F$15)-1,AC$99:AG188,4,FALSE)))*EXP(-(LN(2)/$D$65+0.1)*(VLOOKUP(($F$16-$F$15)-1,AC$99:AG188,5,FALSE)))*EXP(-(LN(2)/$D$65+0.04)*(VLOOKUP(($F$16-$F$15)*2-1,AC$99:AG188,4,FALSE)))*EXP(-(LN(2)/$D$65+0.1)*(VLOOKUP(($F$16-$F$15)*2-1,AC$99:AG188,5,FALSE)))*EXP(-(LN(2)/$D$65+0.04)*AF188)*EXP(-(LN(2)/$D$65+0.1)*AG188),"-"))),"-")</f>
        <v>-</v>
      </c>
      <c r="AJ189" s="271" t="str">
        <f>IFERROR(IF(AD189=1,AJ$100*EXP(-(LN(2)/$D$65+0.04)*AF189)*EXP(-(LN(2)/$D$65+0.1)*AG189),IF(AD189=2,AJ$100*EXP(-(LN(2)/$D$65+0.04)*(VLOOKUP(($F$16-$F$15)-1,AC$100:AG189,4,FALSE)))*EXP(-(LN(2)/$D$65+0.1)*(VLOOKUP(($F$16-$F$15)-1,AC$100:AG189,5,FALSE)))*EXP(-(LN(2)/$D$65+0.04)*AF189)*EXP(-(LN(2)/$D$65+0.1)*AG189),IF(AD189=3,AJ$100*EXP(-(LN(2)/$D$65+0.04)*(VLOOKUP(($F$16-$F$15)-1,AC$100:AG189,4,FALSE)))*EXP(-(LN(2)/$D$65+0.1)*(VLOOKUP(($F$16-$F$15)-1,AC$100:AG189,5,FALSE)))*EXP(-(LN(2)/$D$65+0.04)*(VLOOKUP(($F$16-$F$15)*2-1,AC$100:AG189,4,FALSE)))*EXP(-(LN(2)/$D$65+0.1)*(VLOOKUP(($F$16-$F$15)*2-1,AC$100:AG189,5,FALSE)))*EXP(-(LN(2)/$D$65+0.04)*AF189)*EXP(-(LN(2)/$D$65+0.1)*AG189),"-"))),"-")</f>
        <v>-</v>
      </c>
      <c r="AK189" s="227">
        <f t="shared" si="138"/>
        <v>89</v>
      </c>
      <c r="AL189" s="226" t="str">
        <f t="shared" si="112"/>
        <v>-</v>
      </c>
      <c r="AM189" s="227" t="str">
        <f t="shared" si="139"/>
        <v>-</v>
      </c>
      <c r="AN189" s="227" t="str">
        <f t="shared" si="140"/>
        <v>-</v>
      </c>
      <c r="AO189" s="227" t="str">
        <f t="shared" si="113"/>
        <v>-</v>
      </c>
      <c r="AP189" s="273">
        <f t="shared" si="141"/>
        <v>0.1</v>
      </c>
      <c r="AQ189" s="271" t="str">
        <f>IFERROR(IF(AL188=1,AQ$100*EXP(-(LN(2)/$D$65+0.04)*AN188)*EXP(-(LN(2)/$D$65+0.1)*AO188),IF(AL188=2,AQ$100*EXP(-(LN(2)/$D$65+0.04)*(VLOOKUP(($F$16-$F$15)-1,AK$99:AO188,4,FALSE)))*EXP(-(LN(2)/$D$65+0.1)*(VLOOKUP(($F$16-$F$15)-1,AK$99:AO188,5,FALSE)))*EXP(-(LN(2)/$D$65+0.04)*AN188)*EXP(-(LN(2)/$D$65+0.1)*AO188),IF(AL188=3,AQ$100*EXP(-(LN(2)/$D$65+0.04)*(VLOOKUP(($F$16-$F$15)-1,AK$99:AO188,4,FALSE)))*EXP(-(LN(2)/$D$65+0.1)*(VLOOKUP(($F$16-$F$15)-1,AK$99:AO188,5,FALSE)))*EXP(-(LN(2)/$D$65+0.04)*(VLOOKUP(($F$16-$F$15)*2-1,AK$99:AO188,4,FALSE)))*EXP(-(LN(2)/$D$65+0.1)*(VLOOKUP(($F$16-$F$15)*2-1,AK$99:AO188,5,FALSE)))*EXP(-(LN(2)/$D$65+0.04)*AN188)*EXP(-(LN(2)/$D$65+0.1)*AO188),"-"))),"-")</f>
        <v>-</v>
      </c>
      <c r="AR189" s="271" t="str">
        <f>IFERROR(IF(AL189=1,AR$100*EXP(-(LN(2)/$D$65+0.04)*AN189)*EXP(-(LN(2)/$D$65+0.1)*AO189),IF(AL189=2,AR$100*EXP(-(LN(2)/$D$65+0.04)*(VLOOKUP(($F$16-$F$15)-1,AK$100:AO189,4,FALSE)))*EXP(-(LN(2)/$D$65+0.1)*(VLOOKUP(($F$16-$F$15)-1,AK$100:AO189,5,FALSE)))*EXP(-(LN(2)/$D$65+0.04)*AN189)*EXP(-(LN(2)/$D$65+0.1)*AO189),IF(AL189=3,AR$100*EXP(-(LN(2)/$D$65+0.04)*(VLOOKUP(($F$16-$F$15)-1,AK$100:AO189,4,FALSE)))*EXP(-(LN(2)/$D$65+0.1)*(VLOOKUP(($F$16-$F$15)-1,AK$100:AO189,5,FALSE)))*EXP(-(LN(2)/$D$65+0.04)*(VLOOKUP(($F$16-$F$15)*2-1,AK$100:AO189,4,FALSE)))*EXP(-(LN(2)/$D$65+0.1)*(VLOOKUP(($F$16-$F$15)*2-1,AK$100:AO189,5,FALSE)))*EXP(-(LN(2)/$D$65+0.04)*AN189)*EXP(-(LN(2)/$D$65+0.1)*AO189),"-"))),"-")</f>
        <v>-</v>
      </c>
      <c r="AS189" s="274">
        <f t="shared" si="114"/>
        <v>0</v>
      </c>
      <c r="AT189" s="274">
        <f t="shared" si="115"/>
        <v>0</v>
      </c>
      <c r="AU189" s="274">
        <f t="shared" si="116"/>
        <v>0</v>
      </c>
      <c r="AV189" s="190">
        <f>IF($B189&lt;$F$22,SUM($T$100:$T189),"")</f>
        <v>0</v>
      </c>
      <c r="AW189" s="190" t="str">
        <f t="shared" si="117"/>
        <v>-</v>
      </c>
      <c r="AX189" s="190" t="str">
        <f t="shared" si="142"/>
        <v/>
      </c>
      <c r="AY189"/>
      <c r="AZ189" s="190" t="str">
        <f ca="1">IF(ISNUMBER(OFFSET(AV189,-$F$21,0)),SUM(OFFSET($T$100,$F$21,0):$T189),"")</f>
        <v/>
      </c>
      <c r="BA189" s="190" t="str">
        <f t="shared" ca="1" si="118"/>
        <v/>
      </c>
      <c r="BB189" s="190" t="str">
        <f t="shared" ca="1" si="149"/>
        <v/>
      </c>
      <c r="BC189" s="190"/>
      <c r="BD189" s="190" t="str">
        <f ca="1">IFERROR(IF(AND($B189&gt;=($F$16-$F$15),$B189&lt;$F$22+($F$16-$F$15)),SUM(OFFSET($T$100,($F$16-$F$15),0):$T189),""),"")</f>
        <v/>
      </c>
      <c r="BE189" s="190" t="str">
        <f t="shared" ca="1" si="143"/>
        <v/>
      </c>
      <c r="BF189" s="190" t="str">
        <f t="shared" ca="1" si="144"/>
        <v/>
      </c>
      <c r="BG189"/>
      <c r="BH189" s="190" t="str">
        <f ca="1">IF(ISNUMBER(OFFSET(BD189,-$F$21,0)),SUM(OFFSET($T$100,($F$16-$F$15+$F$21),0):$T189),"")</f>
        <v/>
      </c>
      <c r="BI189" s="190" t="str">
        <f t="shared" ca="1" si="119"/>
        <v/>
      </c>
      <c r="BJ189" s="190" t="str">
        <f t="shared" ca="1" si="145"/>
        <v/>
      </c>
      <c r="BK189" s="190"/>
      <c r="BL189" s="190" t="str">
        <f ca="1">IFERROR(IF(AND($B189&gt;=($F$17-$F$15),$B189&lt;$F$22+($F$17-$F$15)),SUM(OFFSET($T$100,($F$17-$F$15),0):$T189),""),"")</f>
        <v/>
      </c>
      <c r="BM189" s="190" t="str">
        <f t="shared" ca="1" si="120"/>
        <v/>
      </c>
      <c r="BN189" s="190" t="str">
        <f t="shared" ca="1" si="146"/>
        <v/>
      </c>
      <c r="BO189"/>
      <c r="BP189" s="190" t="str">
        <f ca="1">IF(ISNUMBER(OFFSET(BL189,-$F$21,0)),SUM(OFFSET($T$100,($F$17-$F$15+$F$21),0):$T189),"")</f>
        <v/>
      </c>
      <c r="BQ189" s="190" t="str">
        <f t="shared" ca="1" si="121"/>
        <v/>
      </c>
      <c r="BR189" s="190" t="str">
        <f t="shared" ca="1" si="147"/>
        <v/>
      </c>
      <c r="BS189" s="190"/>
      <c r="BT189"/>
      <c r="BU189"/>
      <c r="BV189"/>
      <c r="BY189" s="99"/>
      <c r="BZ189" s="99"/>
      <c r="CA189" s="280" t="str">
        <f t="shared" si="122"/>
        <v/>
      </c>
      <c r="CB189" s="71" t="str">
        <f t="shared" si="123"/>
        <v>-</v>
      </c>
      <c r="CC189" s="33"/>
      <c r="CD189" s="261" t="str">
        <f t="shared" si="124"/>
        <v/>
      </c>
      <c r="CE189" s="280" t="str">
        <f t="shared" si="125"/>
        <v>-</v>
      </c>
      <c r="CF189" s="71" t="str">
        <f t="shared" ca="1" si="126"/>
        <v>-</v>
      </c>
      <c r="CG189" s="33" t="str">
        <f t="shared" si="127"/>
        <v>89-90</v>
      </c>
      <c r="CH189" s="261" t="str">
        <f t="shared" ca="1" si="128"/>
        <v/>
      </c>
    </row>
    <row r="190" spans="2:93" ht="13.5" customHeight="1" x14ac:dyDescent="0.2">
      <c r="B190" s="262">
        <v>90</v>
      </c>
      <c r="C190" s="237" t="str">
        <f t="shared" si="92"/>
        <v/>
      </c>
      <c r="D190" s="237" t="str">
        <f t="shared" si="148"/>
        <v>-</v>
      </c>
      <c r="E190" s="263" t="str">
        <f t="shared" si="129"/>
        <v/>
      </c>
      <c r="F190" s="264" t="str">
        <f t="shared" si="130"/>
        <v/>
      </c>
      <c r="G190" s="264" t="str">
        <f t="shared" si="131"/>
        <v/>
      </c>
      <c r="H190" s="240" t="str">
        <f t="shared" si="93"/>
        <v/>
      </c>
      <c r="I190" s="265" t="str">
        <f t="shared" si="94"/>
        <v/>
      </c>
      <c r="J190" s="265" t="str">
        <f t="shared" si="95"/>
        <v/>
      </c>
      <c r="K190" s="240" t="str">
        <f t="shared" si="96"/>
        <v/>
      </c>
      <c r="L190" s="265" t="str">
        <f t="shared" si="97"/>
        <v/>
      </c>
      <c r="M190" s="265" t="str">
        <f t="shared" si="98"/>
        <v/>
      </c>
      <c r="N190" s="240" t="str">
        <f t="shared" si="99"/>
        <v>-</v>
      </c>
      <c r="O190" s="265" t="str">
        <f t="shared" si="100"/>
        <v>-</v>
      </c>
      <c r="P190" s="265" t="str">
        <f t="shared" si="101"/>
        <v>-</v>
      </c>
      <c r="Q190" s="266" t="str">
        <f t="shared" si="102"/>
        <v>-</v>
      </c>
      <c r="R190" s="267" t="str">
        <f t="shared" si="103"/>
        <v>-</v>
      </c>
      <c r="S190" s="268" t="str">
        <f t="shared" si="104"/>
        <v>-</v>
      </c>
      <c r="T190" s="269" t="str">
        <f t="shared" si="105"/>
        <v/>
      </c>
      <c r="U190" s="221">
        <f t="shared" si="106"/>
        <v>90</v>
      </c>
      <c r="V190" s="220" t="str">
        <f t="shared" si="132"/>
        <v>-</v>
      </c>
      <c r="W190" s="221" t="str">
        <f t="shared" si="133"/>
        <v>-</v>
      </c>
      <c r="X190" s="221" t="str">
        <f t="shared" si="107"/>
        <v>-</v>
      </c>
      <c r="Y190" s="221" t="str">
        <f t="shared" si="108"/>
        <v>-</v>
      </c>
      <c r="Z190" s="270">
        <f t="shared" si="134"/>
        <v>0.1</v>
      </c>
      <c r="AA190" s="271" t="str">
        <f>IFERROR(IF(V189=1,AA$100*EXP(-(LN(2)/$D$65+0.04)*X189)*EXP(-(LN(2)/$D$65+0.1)*Y189),IF(V189=2,AA$100*EXP(-(LN(2)/$D$65+0.04)*(VLOOKUP(($F$16-$F$15)-1,U$99:Y189,4,FALSE)))*EXP(-(LN(2)/$D$65+0.1)*(VLOOKUP(($F$16-$F$15)-1,U$99:Y189,5,FALSE)))*EXP(-(LN(2)/$D$65+0.04)*X189)*EXP(-(LN(2)/$D$65+0.1)*Y189),IF(V189=3,AA$100*EXP(-(LN(2)/$D$65+0.04)*(VLOOKUP(($F$16-$F$15)-1,U$99:Y189,4,FALSE)))*EXP(-(LN(2)/$D$65+0.1)*(VLOOKUP(($F$16-$F$15)-1,U$99:Y189,5,FALSE)))*EXP(-(LN(2)/$D$65+0.04)*(VLOOKUP(($F$16-$F$15)*2-1,U$99:Y189,4,FALSE)))*EXP(-(LN(2)/$D$65+0.1)*(VLOOKUP(($F$16-$F$15)*2-1,U$99:Y189,5,FALSE)))*EXP(-(LN(2)/$D$65+0.04)*X189)*EXP(-(LN(2)/$D$65+0.1)*Y189),"-"))),"-")</f>
        <v>-</v>
      </c>
      <c r="AB190" s="271" t="str">
        <f>IFERROR(IF(V190=1,AB$100*EXP(-(LN(2)/$D$65+0.04)*X190)*EXP(-(LN(2)/$D$65+0.1)*Y190),IF(V190=2,AB$100*EXP(-(LN(2)/$D$65+0.04)*(VLOOKUP(($F$16-$F$15)-1,U$100:Y190,4,FALSE)))*EXP(-(LN(2)/$D$65+0.1)*(VLOOKUP(($F$16-$F$15)-1,U$100:Y190,5,FALSE)))*EXP(-(LN(2)/$D$65+0.04)*X190)*EXP(-(LN(2)/$D$65+0.1)*Y190),IF(V190=3,AB$100*EXP(-(LN(2)/$D$65+0.04)*(VLOOKUP(($F$16-$F$15)-1,U$100:Y190,4,FALSE)))*EXP(-(LN(2)/$D$65+0.1)*(VLOOKUP(($F$16-$F$15)-1,U$100:Y190,5,FALSE)))*EXP(-(LN(2)/$D$65+0.04)*(VLOOKUP(($F$16-$F$15)*2-1,U$100:Y190,4,FALSE)))*EXP(-(LN(2)/$D$65+0.1)*(VLOOKUP(($F$16-$F$15)*2-1,U$100:Y190,5,FALSE)))*EXP(-(LN(2)/$D$65+0.04)*X190)*EXP(-(LN(2)/$D$65+0.1)*Y190),"-"))),"-")</f>
        <v>-</v>
      </c>
      <c r="AC190" s="224">
        <f t="shared" si="135"/>
        <v>90</v>
      </c>
      <c r="AD190" s="223" t="str">
        <f t="shared" si="109"/>
        <v>-</v>
      </c>
      <c r="AE190" s="224" t="str">
        <f t="shared" si="136"/>
        <v>-</v>
      </c>
      <c r="AF190" s="224" t="str">
        <f t="shared" si="110"/>
        <v>-</v>
      </c>
      <c r="AG190" s="224" t="str">
        <f t="shared" si="111"/>
        <v>-</v>
      </c>
      <c r="AH190" s="272">
        <f t="shared" si="137"/>
        <v>0.1</v>
      </c>
      <c r="AI190" s="271" t="str">
        <f>IFERROR(IF(AD189=1,AI$100*EXP(-(LN(2)/$D$65+0.04)*AF189)*EXP(-(LN(2)/$D$65+0.1)*AG189),IF(AD189=2,AI$100*EXP(-(LN(2)/$D$65+0.04)*(VLOOKUP(($F$16-$F$15)-1,AC$99:AG189,4,FALSE)))*EXP(-(LN(2)/$D$65+0.1)*(VLOOKUP(($F$16-$F$15)-1,AC$99:AG189,5,FALSE)))*EXP(-(LN(2)/$D$65+0.04)*AF189)*EXP(-(LN(2)/$D$65+0.1)*AG189),IF(AD189=3,AI$100*EXP(-(LN(2)/$D$65+0.04)*(VLOOKUP(($F$16-$F$15)-1,AC$99:AG189,4,FALSE)))*EXP(-(LN(2)/$D$65+0.1)*(VLOOKUP(($F$16-$F$15)-1,AC$99:AG189,5,FALSE)))*EXP(-(LN(2)/$D$65+0.04)*(VLOOKUP(($F$16-$F$15)*2-1,AC$99:AG189,4,FALSE)))*EXP(-(LN(2)/$D$65+0.1)*(VLOOKUP(($F$16-$F$15)*2-1,AC$99:AG189,5,FALSE)))*EXP(-(LN(2)/$D$65+0.04)*AF189)*EXP(-(LN(2)/$D$65+0.1)*AG189),"-"))),"-")</f>
        <v>-</v>
      </c>
      <c r="AJ190" s="271" t="str">
        <f>IFERROR(IF(AD190=1,AJ$100*EXP(-(LN(2)/$D$65+0.04)*AF190)*EXP(-(LN(2)/$D$65+0.1)*AG190),IF(AD190=2,AJ$100*EXP(-(LN(2)/$D$65+0.04)*(VLOOKUP(($F$16-$F$15)-1,AC$100:AG190,4,FALSE)))*EXP(-(LN(2)/$D$65+0.1)*(VLOOKUP(($F$16-$F$15)-1,AC$100:AG190,5,FALSE)))*EXP(-(LN(2)/$D$65+0.04)*AF190)*EXP(-(LN(2)/$D$65+0.1)*AG190),IF(AD190=3,AJ$100*EXP(-(LN(2)/$D$65+0.04)*(VLOOKUP(($F$16-$F$15)-1,AC$100:AG190,4,FALSE)))*EXP(-(LN(2)/$D$65+0.1)*(VLOOKUP(($F$16-$F$15)-1,AC$100:AG190,5,FALSE)))*EXP(-(LN(2)/$D$65+0.04)*(VLOOKUP(($F$16-$F$15)*2-1,AC$100:AG190,4,FALSE)))*EXP(-(LN(2)/$D$65+0.1)*(VLOOKUP(($F$16-$F$15)*2-1,AC$100:AG190,5,FALSE)))*EXP(-(LN(2)/$D$65+0.04)*AF190)*EXP(-(LN(2)/$D$65+0.1)*AG190),"-"))),"-")</f>
        <v>-</v>
      </c>
      <c r="AK190" s="227">
        <f t="shared" si="138"/>
        <v>90</v>
      </c>
      <c r="AL190" s="226" t="str">
        <f t="shared" si="112"/>
        <v>-</v>
      </c>
      <c r="AM190" s="227" t="str">
        <f t="shared" si="139"/>
        <v>-</v>
      </c>
      <c r="AN190" s="227" t="str">
        <f t="shared" si="140"/>
        <v>-</v>
      </c>
      <c r="AO190" s="227" t="str">
        <f t="shared" si="113"/>
        <v>-</v>
      </c>
      <c r="AP190" s="273">
        <f t="shared" si="141"/>
        <v>0.1</v>
      </c>
      <c r="AQ190" s="271" t="str">
        <f>IFERROR(IF(AL189=1,AQ$100*EXP(-(LN(2)/$D$65+0.04)*AN189)*EXP(-(LN(2)/$D$65+0.1)*AO189),IF(AL189=2,AQ$100*EXP(-(LN(2)/$D$65+0.04)*(VLOOKUP(($F$16-$F$15)-1,AK$99:AO189,4,FALSE)))*EXP(-(LN(2)/$D$65+0.1)*(VLOOKUP(($F$16-$F$15)-1,AK$99:AO189,5,FALSE)))*EXP(-(LN(2)/$D$65+0.04)*AN189)*EXP(-(LN(2)/$D$65+0.1)*AO189),IF(AL189=3,AQ$100*EXP(-(LN(2)/$D$65+0.04)*(VLOOKUP(($F$16-$F$15)-1,AK$99:AO189,4,FALSE)))*EXP(-(LN(2)/$D$65+0.1)*(VLOOKUP(($F$16-$F$15)-1,AK$99:AO189,5,FALSE)))*EXP(-(LN(2)/$D$65+0.04)*(VLOOKUP(($F$16-$F$15)*2-1,AK$99:AO189,4,FALSE)))*EXP(-(LN(2)/$D$65+0.1)*(VLOOKUP(($F$16-$F$15)*2-1,AK$99:AO189,5,FALSE)))*EXP(-(LN(2)/$D$65+0.04)*AN189)*EXP(-(LN(2)/$D$65+0.1)*AO189),"-"))),"-")</f>
        <v>-</v>
      </c>
      <c r="AR190" s="271" t="str">
        <f>IFERROR(IF(AL190=1,AR$100*EXP(-(LN(2)/$D$65+0.04)*AN190)*EXP(-(LN(2)/$D$65+0.1)*AO190),IF(AL190=2,AR$100*EXP(-(LN(2)/$D$65+0.04)*(VLOOKUP(($F$16-$F$15)-1,AK$100:AO190,4,FALSE)))*EXP(-(LN(2)/$D$65+0.1)*(VLOOKUP(($F$16-$F$15)-1,AK$100:AO190,5,FALSE)))*EXP(-(LN(2)/$D$65+0.04)*AN190)*EXP(-(LN(2)/$D$65+0.1)*AO190),IF(AL190=3,AR$100*EXP(-(LN(2)/$D$65+0.04)*(VLOOKUP(($F$16-$F$15)-1,AK$100:AO190,4,FALSE)))*EXP(-(LN(2)/$D$65+0.1)*(VLOOKUP(($F$16-$F$15)-1,AK$100:AO190,5,FALSE)))*EXP(-(LN(2)/$D$65+0.04)*(VLOOKUP(($F$16-$F$15)*2-1,AK$100:AO190,4,FALSE)))*EXP(-(LN(2)/$D$65+0.1)*(VLOOKUP(($F$16-$F$15)*2-1,AK$100:AO190,5,FALSE)))*EXP(-(LN(2)/$D$65+0.04)*AN190)*EXP(-(LN(2)/$D$65+0.1)*AO190),"-"))),"-")</f>
        <v>-</v>
      </c>
      <c r="AS190" s="274">
        <f t="shared" si="114"/>
        <v>0</v>
      </c>
      <c r="AT190" s="274">
        <f t="shared" si="115"/>
        <v>0</v>
      </c>
      <c r="AU190" s="274">
        <f t="shared" si="116"/>
        <v>0</v>
      </c>
      <c r="AV190" s="190">
        <f>IF($B190&lt;$F$22,SUM($T$100:$T190),"")</f>
        <v>0</v>
      </c>
      <c r="AW190" s="190" t="str">
        <f t="shared" si="117"/>
        <v>-</v>
      </c>
      <c r="AX190" s="190" t="str">
        <f t="shared" si="142"/>
        <v/>
      </c>
      <c r="AY190"/>
      <c r="AZ190" s="190" t="str">
        <f ca="1">IF(ISNUMBER(OFFSET(AV190,-$F$21,0)),SUM(OFFSET($T$100,$F$21,0):$T190),"")</f>
        <v/>
      </c>
      <c r="BA190" s="190" t="str">
        <f t="shared" ca="1" si="118"/>
        <v/>
      </c>
      <c r="BB190" s="190" t="str">
        <f t="shared" ca="1" si="149"/>
        <v/>
      </c>
      <c r="BC190" s="190"/>
      <c r="BD190" s="190" t="str">
        <f ca="1">IFERROR(IF(AND($B190&gt;=($F$16-$F$15),$B190&lt;$F$22+($F$16-$F$15)),SUM(OFFSET($T$100,($F$16-$F$15),0):$T190),""),"")</f>
        <v/>
      </c>
      <c r="BE190" s="190" t="str">
        <f t="shared" ca="1" si="143"/>
        <v/>
      </c>
      <c r="BF190" s="190" t="str">
        <f t="shared" ca="1" si="144"/>
        <v/>
      </c>
      <c r="BG190"/>
      <c r="BH190" s="190" t="str">
        <f ca="1">IF(ISNUMBER(OFFSET(BD190,-$F$21,0)),SUM(OFFSET($T$100,($F$16-$F$15+$F$21),0):$T190),"")</f>
        <v/>
      </c>
      <c r="BI190" s="190" t="str">
        <f t="shared" ca="1" si="119"/>
        <v/>
      </c>
      <c r="BJ190" s="190" t="str">
        <f t="shared" ca="1" si="145"/>
        <v/>
      </c>
      <c r="BK190" s="190"/>
      <c r="BL190" s="190" t="str">
        <f ca="1">IFERROR(IF(AND($B190&gt;=($F$17-$F$15),$B190&lt;$F$22+($F$17-$F$15)),SUM(OFFSET($T$100,($F$17-$F$15),0):$T190),""),"")</f>
        <v/>
      </c>
      <c r="BM190" s="190" t="str">
        <f t="shared" ca="1" si="120"/>
        <v/>
      </c>
      <c r="BN190" s="190" t="str">
        <f t="shared" ca="1" si="146"/>
        <v/>
      </c>
      <c r="BO190"/>
      <c r="BP190" s="190" t="str">
        <f ca="1">IF(ISNUMBER(OFFSET(BL190,-$F$21,0)),SUM(OFFSET($T$100,($F$17-$F$15+$F$21),0):$T190),"")</f>
        <v/>
      </c>
      <c r="BQ190" s="190" t="str">
        <f t="shared" ca="1" si="121"/>
        <v/>
      </c>
      <c r="BR190" s="190" t="str">
        <f t="shared" ca="1" si="147"/>
        <v/>
      </c>
      <c r="BS190" s="190"/>
      <c r="BT190"/>
      <c r="BU190"/>
      <c r="BV190"/>
      <c r="BY190" s="99"/>
      <c r="BZ190" s="99"/>
      <c r="CA190" s="280" t="str">
        <f t="shared" si="122"/>
        <v/>
      </c>
      <c r="CB190" s="71" t="str">
        <f t="shared" si="123"/>
        <v>-</v>
      </c>
      <c r="CC190" s="33"/>
      <c r="CD190" s="261" t="str">
        <f t="shared" si="124"/>
        <v/>
      </c>
      <c r="CE190" s="280" t="str">
        <f t="shared" si="125"/>
        <v>-</v>
      </c>
      <c r="CF190" s="71" t="str">
        <f t="shared" ca="1" si="126"/>
        <v>-</v>
      </c>
      <c r="CG190" s="33" t="str">
        <f t="shared" si="127"/>
        <v>90-91</v>
      </c>
      <c r="CH190" s="261" t="str">
        <f t="shared" ca="1" si="128"/>
        <v/>
      </c>
    </row>
    <row r="191" spans="2:93" ht="13.5" customHeight="1" x14ac:dyDescent="0.2">
      <c r="B191" s="262">
        <v>91</v>
      </c>
      <c r="C191" s="237" t="str">
        <f t="shared" si="92"/>
        <v/>
      </c>
      <c r="D191" s="237" t="str">
        <f t="shared" si="148"/>
        <v>-</v>
      </c>
      <c r="E191" s="263" t="str">
        <f t="shared" si="129"/>
        <v/>
      </c>
      <c r="F191" s="264" t="str">
        <f t="shared" si="130"/>
        <v/>
      </c>
      <c r="G191" s="264" t="str">
        <f t="shared" si="131"/>
        <v/>
      </c>
      <c r="H191" s="240" t="str">
        <f t="shared" si="93"/>
        <v/>
      </c>
      <c r="I191" s="265" t="str">
        <f t="shared" si="94"/>
        <v/>
      </c>
      <c r="J191" s="265" t="str">
        <f t="shared" si="95"/>
        <v/>
      </c>
      <c r="K191" s="240" t="str">
        <f t="shared" si="96"/>
        <v/>
      </c>
      <c r="L191" s="265" t="str">
        <f t="shared" si="97"/>
        <v/>
      </c>
      <c r="M191" s="265" t="str">
        <f t="shared" si="98"/>
        <v/>
      </c>
      <c r="N191" s="240" t="str">
        <f t="shared" si="99"/>
        <v>-</v>
      </c>
      <c r="O191" s="265" t="str">
        <f t="shared" si="100"/>
        <v>-</v>
      </c>
      <c r="P191" s="265" t="str">
        <f t="shared" si="101"/>
        <v>-</v>
      </c>
      <c r="Q191" s="266" t="str">
        <f t="shared" si="102"/>
        <v>-</v>
      </c>
      <c r="R191" s="267" t="str">
        <f t="shared" si="103"/>
        <v>-</v>
      </c>
      <c r="S191" s="268" t="str">
        <f t="shared" si="104"/>
        <v>-</v>
      </c>
      <c r="T191" s="269" t="str">
        <f t="shared" si="105"/>
        <v/>
      </c>
      <c r="U191" s="221">
        <f t="shared" si="106"/>
        <v>91</v>
      </c>
      <c r="V191" s="220" t="str">
        <f t="shared" si="132"/>
        <v>-</v>
      </c>
      <c r="W191" s="221" t="str">
        <f t="shared" si="133"/>
        <v>-</v>
      </c>
      <c r="X191" s="221" t="str">
        <f t="shared" si="107"/>
        <v>-</v>
      </c>
      <c r="Y191" s="221" t="str">
        <f t="shared" si="108"/>
        <v>-</v>
      </c>
      <c r="Z191" s="270">
        <f t="shared" si="134"/>
        <v>0.1</v>
      </c>
      <c r="AA191" s="271" t="str">
        <f>IFERROR(IF(V190=1,AA$100*EXP(-(LN(2)/$D$65+0.04)*X190)*EXP(-(LN(2)/$D$65+0.1)*Y190),IF(V190=2,AA$100*EXP(-(LN(2)/$D$65+0.04)*(VLOOKUP(($F$16-$F$15)-1,U$99:Y190,4,FALSE)))*EXP(-(LN(2)/$D$65+0.1)*(VLOOKUP(($F$16-$F$15)-1,U$99:Y190,5,FALSE)))*EXP(-(LN(2)/$D$65+0.04)*X190)*EXP(-(LN(2)/$D$65+0.1)*Y190),IF(V190=3,AA$100*EXP(-(LN(2)/$D$65+0.04)*(VLOOKUP(($F$16-$F$15)-1,U$99:Y190,4,FALSE)))*EXP(-(LN(2)/$D$65+0.1)*(VLOOKUP(($F$16-$F$15)-1,U$99:Y190,5,FALSE)))*EXP(-(LN(2)/$D$65+0.04)*(VLOOKUP(($F$16-$F$15)*2-1,U$99:Y190,4,FALSE)))*EXP(-(LN(2)/$D$65+0.1)*(VLOOKUP(($F$16-$F$15)*2-1,U$99:Y190,5,FALSE)))*EXP(-(LN(2)/$D$65+0.04)*X190)*EXP(-(LN(2)/$D$65+0.1)*Y190),"-"))),"-")</f>
        <v>-</v>
      </c>
      <c r="AB191" s="271" t="str">
        <f>IFERROR(IF(V191=1,AB$100*EXP(-(LN(2)/$D$65+0.04)*X191)*EXP(-(LN(2)/$D$65+0.1)*Y191),IF(V191=2,AB$100*EXP(-(LN(2)/$D$65+0.04)*(VLOOKUP(($F$16-$F$15)-1,U$100:Y191,4,FALSE)))*EXP(-(LN(2)/$D$65+0.1)*(VLOOKUP(($F$16-$F$15)-1,U$100:Y191,5,FALSE)))*EXP(-(LN(2)/$D$65+0.04)*X191)*EXP(-(LN(2)/$D$65+0.1)*Y191),IF(V191=3,AB$100*EXP(-(LN(2)/$D$65+0.04)*(VLOOKUP(($F$16-$F$15)-1,U$100:Y191,4,FALSE)))*EXP(-(LN(2)/$D$65+0.1)*(VLOOKUP(($F$16-$F$15)-1,U$100:Y191,5,FALSE)))*EXP(-(LN(2)/$D$65+0.04)*(VLOOKUP(($F$16-$F$15)*2-1,U$100:Y191,4,FALSE)))*EXP(-(LN(2)/$D$65+0.1)*(VLOOKUP(($F$16-$F$15)*2-1,U$100:Y191,5,FALSE)))*EXP(-(LN(2)/$D$65+0.04)*X191)*EXP(-(LN(2)/$D$65+0.1)*Y191),"-"))),"-")</f>
        <v>-</v>
      </c>
      <c r="AC191" s="224">
        <f t="shared" si="135"/>
        <v>91</v>
      </c>
      <c r="AD191" s="223" t="str">
        <f t="shared" si="109"/>
        <v>-</v>
      </c>
      <c r="AE191" s="224" t="str">
        <f t="shared" si="136"/>
        <v>-</v>
      </c>
      <c r="AF191" s="224" t="str">
        <f t="shared" si="110"/>
        <v>-</v>
      </c>
      <c r="AG191" s="224" t="str">
        <f t="shared" si="111"/>
        <v>-</v>
      </c>
      <c r="AH191" s="272">
        <f t="shared" si="137"/>
        <v>0.1</v>
      </c>
      <c r="AI191" s="271" t="str">
        <f>IFERROR(IF(AD190=1,AI$100*EXP(-(LN(2)/$D$65+0.04)*AF190)*EXP(-(LN(2)/$D$65+0.1)*AG190),IF(AD190=2,AI$100*EXP(-(LN(2)/$D$65+0.04)*(VLOOKUP(($F$16-$F$15)-1,AC$99:AG190,4,FALSE)))*EXP(-(LN(2)/$D$65+0.1)*(VLOOKUP(($F$16-$F$15)-1,AC$99:AG190,5,FALSE)))*EXP(-(LN(2)/$D$65+0.04)*AF190)*EXP(-(LN(2)/$D$65+0.1)*AG190),IF(AD190=3,AI$100*EXP(-(LN(2)/$D$65+0.04)*(VLOOKUP(($F$16-$F$15)-1,AC$99:AG190,4,FALSE)))*EXP(-(LN(2)/$D$65+0.1)*(VLOOKUP(($F$16-$F$15)-1,AC$99:AG190,5,FALSE)))*EXP(-(LN(2)/$D$65+0.04)*(VLOOKUP(($F$16-$F$15)*2-1,AC$99:AG190,4,FALSE)))*EXP(-(LN(2)/$D$65+0.1)*(VLOOKUP(($F$16-$F$15)*2-1,AC$99:AG190,5,FALSE)))*EXP(-(LN(2)/$D$65+0.04)*AF190)*EXP(-(LN(2)/$D$65+0.1)*AG190),"-"))),"-")</f>
        <v>-</v>
      </c>
      <c r="AJ191" s="271" t="str">
        <f>IFERROR(IF(AD191=1,AJ$100*EXP(-(LN(2)/$D$65+0.04)*AF191)*EXP(-(LN(2)/$D$65+0.1)*AG191),IF(AD191=2,AJ$100*EXP(-(LN(2)/$D$65+0.04)*(VLOOKUP(($F$16-$F$15)-1,AC$100:AG191,4,FALSE)))*EXP(-(LN(2)/$D$65+0.1)*(VLOOKUP(($F$16-$F$15)-1,AC$100:AG191,5,FALSE)))*EXP(-(LN(2)/$D$65+0.04)*AF191)*EXP(-(LN(2)/$D$65+0.1)*AG191),IF(AD191=3,AJ$100*EXP(-(LN(2)/$D$65+0.04)*(VLOOKUP(($F$16-$F$15)-1,AC$100:AG191,4,FALSE)))*EXP(-(LN(2)/$D$65+0.1)*(VLOOKUP(($F$16-$F$15)-1,AC$100:AG191,5,FALSE)))*EXP(-(LN(2)/$D$65+0.04)*(VLOOKUP(($F$16-$F$15)*2-1,AC$100:AG191,4,FALSE)))*EXP(-(LN(2)/$D$65+0.1)*(VLOOKUP(($F$16-$F$15)*2-1,AC$100:AG191,5,FALSE)))*EXP(-(LN(2)/$D$65+0.04)*AF191)*EXP(-(LN(2)/$D$65+0.1)*AG191),"-"))),"-")</f>
        <v>-</v>
      </c>
      <c r="AK191" s="227">
        <f t="shared" si="138"/>
        <v>91</v>
      </c>
      <c r="AL191" s="226" t="str">
        <f t="shared" si="112"/>
        <v>-</v>
      </c>
      <c r="AM191" s="227" t="str">
        <f t="shared" si="139"/>
        <v>-</v>
      </c>
      <c r="AN191" s="227" t="str">
        <f t="shared" si="140"/>
        <v>-</v>
      </c>
      <c r="AO191" s="227" t="str">
        <f t="shared" si="113"/>
        <v>-</v>
      </c>
      <c r="AP191" s="273">
        <f t="shared" si="141"/>
        <v>0.1</v>
      </c>
      <c r="AQ191" s="271" t="str">
        <f>IFERROR(IF(AL190=1,AQ$100*EXP(-(LN(2)/$D$65+0.04)*AN190)*EXP(-(LN(2)/$D$65+0.1)*AO190),IF(AL190=2,AQ$100*EXP(-(LN(2)/$D$65+0.04)*(VLOOKUP(($F$16-$F$15)-1,AK$99:AO190,4,FALSE)))*EXP(-(LN(2)/$D$65+0.1)*(VLOOKUP(($F$16-$F$15)-1,AK$99:AO190,5,FALSE)))*EXP(-(LN(2)/$D$65+0.04)*AN190)*EXP(-(LN(2)/$D$65+0.1)*AO190),IF(AL190=3,AQ$100*EXP(-(LN(2)/$D$65+0.04)*(VLOOKUP(($F$16-$F$15)-1,AK$99:AO190,4,FALSE)))*EXP(-(LN(2)/$D$65+0.1)*(VLOOKUP(($F$16-$F$15)-1,AK$99:AO190,5,FALSE)))*EXP(-(LN(2)/$D$65+0.04)*(VLOOKUP(($F$16-$F$15)*2-1,AK$99:AO190,4,FALSE)))*EXP(-(LN(2)/$D$65+0.1)*(VLOOKUP(($F$16-$F$15)*2-1,AK$99:AO190,5,FALSE)))*EXP(-(LN(2)/$D$65+0.04)*AN190)*EXP(-(LN(2)/$D$65+0.1)*AO190),"-"))),"-")</f>
        <v>-</v>
      </c>
      <c r="AR191" s="271" t="str">
        <f>IFERROR(IF(AL191=1,AR$100*EXP(-(LN(2)/$D$65+0.04)*AN191)*EXP(-(LN(2)/$D$65+0.1)*AO191),IF(AL191=2,AR$100*EXP(-(LN(2)/$D$65+0.04)*(VLOOKUP(($F$16-$F$15)-1,AK$100:AO191,4,FALSE)))*EXP(-(LN(2)/$D$65+0.1)*(VLOOKUP(($F$16-$F$15)-1,AK$100:AO191,5,FALSE)))*EXP(-(LN(2)/$D$65+0.04)*AN191)*EXP(-(LN(2)/$D$65+0.1)*AO191),IF(AL191=3,AR$100*EXP(-(LN(2)/$D$65+0.04)*(VLOOKUP(($F$16-$F$15)-1,AK$100:AO191,4,FALSE)))*EXP(-(LN(2)/$D$65+0.1)*(VLOOKUP(($F$16-$F$15)-1,AK$100:AO191,5,FALSE)))*EXP(-(LN(2)/$D$65+0.04)*(VLOOKUP(($F$16-$F$15)*2-1,AK$100:AO191,4,FALSE)))*EXP(-(LN(2)/$D$65+0.1)*(VLOOKUP(($F$16-$F$15)*2-1,AK$100:AO191,5,FALSE)))*EXP(-(LN(2)/$D$65+0.04)*AN191)*EXP(-(LN(2)/$D$65+0.1)*AO191),"-"))),"-")</f>
        <v>-</v>
      </c>
      <c r="AS191" s="274">
        <f t="shared" si="114"/>
        <v>0</v>
      </c>
      <c r="AT191" s="274">
        <f t="shared" si="115"/>
        <v>0</v>
      </c>
      <c r="AU191" s="274">
        <f t="shared" si="116"/>
        <v>0</v>
      </c>
      <c r="AV191" s="190">
        <f>IF($B191&lt;$F$22,SUM($T$100:$T191),"")</f>
        <v>0</v>
      </c>
      <c r="AW191" s="190" t="str">
        <f t="shared" si="117"/>
        <v>-</v>
      </c>
      <c r="AX191" s="190" t="str">
        <f t="shared" si="142"/>
        <v/>
      </c>
      <c r="AY191"/>
      <c r="AZ191" s="190" t="str">
        <f ca="1">IF(ISNUMBER(OFFSET(AV191,-$F$21,0)),SUM(OFFSET($T$100,$F$21,0):$T191),"")</f>
        <v/>
      </c>
      <c r="BA191" s="190" t="str">
        <f t="shared" ca="1" si="118"/>
        <v/>
      </c>
      <c r="BB191" s="190" t="str">
        <f t="shared" ca="1" si="149"/>
        <v/>
      </c>
      <c r="BC191" s="190"/>
      <c r="BD191" s="190" t="str">
        <f ca="1">IFERROR(IF(AND($B191&gt;=($F$16-$F$15),$B191&lt;$F$22+($F$16-$F$15)),SUM(OFFSET($T$100,($F$16-$F$15),0):$T191),""),"")</f>
        <v/>
      </c>
      <c r="BE191" s="190" t="str">
        <f t="shared" ca="1" si="143"/>
        <v/>
      </c>
      <c r="BF191" s="190" t="str">
        <f t="shared" ca="1" si="144"/>
        <v/>
      </c>
      <c r="BG191"/>
      <c r="BH191" s="190" t="str">
        <f ca="1">IF(ISNUMBER(OFFSET(BD191,-$F$21,0)),SUM(OFFSET($T$100,($F$16-$F$15+$F$21),0):$T191),"")</f>
        <v/>
      </c>
      <c r="BI191" s="190" t="str">
        <f t="shared" ca="1" si="119"/>
        <v/>
      </c>
      <c r="BJ191" s="190" t="str">
        <f t="shared" ca="1" si="145"/>
        <v/>
      </c>
      <c r="BK191" s="190"/>
      <c r="BL191" s="190" t="str">
        <f ca="1">IFERROR(IF(AND($B191&gt;=($F$17-$F$15),$B191&lt;$F$22+($F$17-$F$15)),SUM(OFFSET($T$100,($F$17-$F$15),0):$T191),""),"")</f>
        <v/>
      </c>
      <c r="BM191" s="190" t="str">
        <f t="shared" ca="1" si="120"/>
        <v/>
      </c>
      <c r="BN191" s="190" t="str">
        <f t="shared" ca="1" si="146"/>
        <v/>
      </c>
      <c r="BO191"/>
      <c r="BP191" s="190" t="str">
        <f ca="1">IF(ISNUMBER(OFFSET(BL191,-$F$21,0)),SUM(OFFSET($T$100,($F$17-$F$15+$F$21),0):$T191),"")</f>
        <v/>
      </c>
      <c r="BQ191" s="190" t="str">
        <f t="shared" ca="1" si="121"/>
        <v/>
      </c>
      <c r="BR191" s="190" t="str">
        <f t="shared" ca="1" si="147"/>
        <v/>
      </c>
      <c r="BS191" s="190"/>
      <c r="BT191"/>
      <c r="BU191"/>
      <c r="BV191"/>
      <c r="BY191" s="99"/>
      <c r="BZ191" s="99"/>
      <c r="CA191" s="280" t="str">
        <f t="shared" si="122"/>
        <v/>
      </c>
      <c r="CB191" s="71" t="str">
        <f t="shared" si="123"/>
        <v>-</v>
      </c>
      <c r="CC191" s="33"/>
      <c r="CD191" s="261" t="str">
        <f t="shared" si="124"/>
        <v/>
      </c>
      <c r="CE191" s="280" t="str">
        <f t="shared" si="125"/>
        <v>-</v>
      </c>
      <c r="CF191" s="71" t="str">
        <f t="shared" ca="1" si="126"/>
        <v>-</v>
      </c>
      <c r="CG191" s="33" t="str">
        <f t="shared" si="127"/>
        <v>91-92</v>
      </c>
      <c r="CH191" s="261" t="str">
        <f t="shared" ca="1" si="128"/>
        <v/>
      </c>
    </row>
    <row r="192" spans="2:93" ht="13.5" customHeight="1" x14ac:dyDescent="0.2">
      <c r="B192" s="262">
        <v>92</v>
      </c>
      <c r="C192" s="237" t="str">
        <f t="shared" si="92"/>
        <v/>
      </c>
      <c r="D192" s="237" t="str">
        <f t="shared" si="148"/>
        <v>-</v>
      </c>
      <c r="E192" s="263" t="str">
        <f t="shared" si="129"/>
        <v/>
      </c>
      <c r="F192" s="264" t="str">
        <f t="shared" si="130"/>
        <v/>
      </c>
      <c r="G192" s="264" t="str">
        <f t="shared" si="131"/>
        <v/>
      </c>
      <c r="H192" s="240" t="str">
        <f t="shared" si="93"/>
        <v/>
      </c>
      <c r="I192" s="265" t="str">
        <f t="shared" si="94"/>
        <v/>
      </c>
      <c r="J192" s="265" t="str">
        <f t="shared" si="95"/>
        <v/>
      </c>
      <c r="K192" s="240" t="str">
        <f t="shared" si="96"/>
        <v/>
      </c>
      <c r="L192" s="265" t="str">
        <f t="shared" si="97"/>
        <v/>
      </c>
      <c r="M192" s="265" t="str">
        <f t="shared" si="98"/>
        <v/>
      </c>
      <c r="N192" s="240" t="str">
        <f t="shared" si="99"/>
        <v>-</v>
      </c>
      <c r="O192" s="265" t="str">
        <f t="shared" si="100"/>
        <v>-</v>
      </c>
      <c r="P192" s="265" t="str">
        <f t="shared" si="101"/>
        <v>-</v>
      </c>
      <c r="Q192" s="266" t="str">
        <f t="shared" si="102"/>
        <v>-</v>
      </c>
      <c r="R192" s="267" t="str">
        <f t="shared" si="103"/>
        <v>-</v>
      </c>
      <c r="S192" s="268" t="str">
        <f t="shared" si="104"/>
        <v>-</v>
      </c>
      <c r="T192" s="269" t="str">
        <f t="shared" si="105"/>
        <v/>
      </c>
      <c r="U192" s="221">
        <f t="shared" si="106"/>
        <v>92</v>
      </c>
      <c r="V192" s="220" t="str">
        <f t="shared" si="132"/>
        <v>-</v>
      </c>
      <c r="W192" s="221" t="str">
        <f t="shared" si="133"/>
        <v>-</v>
      </c>
      <c r="X192" s="221" t="str">
        <f t="shared" si="107"/>
        <v>-</v>
      </c>
      <c r="Y192" s="221" t="str">
        <f t="shared" si="108"/>
        <v>-</v>
      </c>
      <c r="Z192" s="270">
        <f t="shared" si="134"/>
        <v>0.1</v>
      </c>
      <c r="AA192" s="271" t="str">
        <f>IFERROR(IF(V191=1,AA$100*EXP(-(LN(2)/$D$65+0.04)*X191)*EXP(-(LN(2)/$D$65+0.1)*Y191),IF(V191=2,AA$100*EXP(-(LN(2)/$D$65+0.04)*(VLOOKUP(($F$16-$F$15)-1,U$99:Y191,4,FALSE)))*EXP(-(LN(2)/$D$65+0.1)*(VLOOKUP(($F$16-$F$15)-1,U$99:Y191,5,FALSE)))*EXP(-(LN(2)/$D$65+0.04)*X191)*EXP(-(LN(2)/$D$65+0.1)*Y191),IF(V191=3,AA$100*EXP(-(LN(2)/$D$65+0.04)*(VLOOKUP(($F$16-$F$15)-1,U$99:Y191,4,FALSE)))*EXP(-(LN(2)/$D$65+0.1)*(VLOOKUP(($F$16-$F$15)-1,U$99:Y191,5,FALSE)))*EXP(-(LN(2)/$D$65+0.04)*(VLOOKUP(($F$16-$F$15)*2-1,U$99:Y191,4,FALSE)))*EXP(-(LN(2)/$D$65+0.1)*(VLOOKUP(($F$16-$F$15)*2-1,U$99:Y191,5,FALSE)))*EXP(-(LN(2)/$D$65+0.04)*X191)*EXP(-(LN(2)/$D$65+0.1)*Y191),"-"))),"-")</f>
        <v>-</v>
      </c>
      <c r="AB192" s="271" t="str">
        <f>IFERROR(IF(V192=1,AB$100*EXP(-(LN(2)/$D$65+0.04)*X192)*EXP(-(LN(2)/$D$65+0.1)*Y192),IF(V192=2,AB$100*EXP(-(LN(2)/$D$65+0.04)*(VLOOKUP(($F$16-$F$15)-1,U$100:Y192,4,FALSE)))*EXP(-(LN(2)/$D$65+0.1)*(VLOOKUP(($F$16-$F$15)-1,U$100:Y192,5,FALSE)))*EXP(-(LN(2)/$D$65+0.04)*X192)*EXP(-(LN(2)/$D$65+0.1)*Y192),IF(V192=3,AB$100*EXP(-(LN(2)/$D$65+0.04)*(VLOOKUP(($F$16-$F$15)-1,U$100:Y192,4,FALSE)))*EXP(-(LN(2)/$D$65+0.1)*(VLOOKUP(($F$16-$F$15)-1,U$100:Y192,5,FALSE)))*EXP(-(LN(2)/$D$65+0.04)*(VLOOKUP(($F$16-$F$15)*2-1,U$100:Y192,4,FALSE)))*EXP(-(LN(2)/$D$65+0.1)*(VLOOKUP(($F$16-$F$15)*2-1,U$100:Y192,5,FALSE)))*EXP(-(LN(2)/$D$65+0.04)*X192)*EXP(-(LN(2)/$D$65+0.1)*Y192),"-"))),"-")</f>
        <v>-</v>
      </c>
      <c r="AC192" s="224">
        <f t="shared" si="135"/>
        <v>92</v>
      </c>
      <c r="AD192" s="223" t="str">
        <f t="shared" si="109"/>
        <v>-</v>
      </c>
      <c r="AE192" s="224" t="str">
        <f t="shared" si="136"/>
        <v>-</v>
      </c>
      <c r="AF192" s="224" t="str">
        <f t="shared" si="110"/>
        <v>-</v>
      </c>
      <c r="AG192" s="224" t="str">
        <f t="shared" si="111"/>
        <v>-</v>
      </c>
      <c r="AH192" s="272">
        <f t="shared" si="137"/>
        <v>0.1</v>
      </c>
      <c r="AI192" s="271" t="str">
        <f>IFERROR(IF(AD191=1,AI$100*EXP(-(LN(2)/$D$65+0.04)*AF191)*EXP(-(LN(2)/$D$65+0.1)*AG191),IF(AD191=2,AI$100*EXP(-(LN(2)/$D$65+0.04)*(VLOOKUP(($F$16-$F$15)-1,AC$99:AG191,4,FALSE)))*EXP(-(LN(2)/$D$65+0.1)*(VLOOKUP(($F$16-$F$15)-1,AC$99:AG191,5,FALSE)))*EXP(-(LN(2)/$D$65+0.04)*AF191)*EXP(-(LN(2)/$D$65+0.1)*AG191),IF(AD191=3,AI$100*EXP(-(LN(2)/$D$65+0.04)*(VLOOKUP(($F$16-$F$15)-1,AC$99:AG191,4,FALSE)))*EXP(-(LN(2)/$D$65+0.1)*(VLOOKUP(($F$16-$F$15)-1,AC$99:AG191,5,FALSE)))*EXP(-(LN(2)/$D$65+0.04)*(VLOOKUP(($F$16-$F$15)*2-1,AC$99:AG191,4,FALSE)))*EXP(-(LN(2)/$D$65+0.1)*(VLOOKUP(($F$16-$F$15)*2-1,AC$99:AG191,5,FALSE)))*EXP(-(LN(2)/$D$65+0.04)*AF191)*EXP(-(LN(2)/$D$65+0.1)*AG191),"-"))),"-")</f>
        <v>-</v>
      </c>
      <c r="AJ192" s="271" t="str">
        <f>IFERROR(IF(AD192=1,AJ$100*EXP(-(LN(2)/$D$65+0.04)*AF192)*EXP(-(LN(2)/$D$65+0.1)*AG192),IF(AD192=2,AJ$100*EXP(-(LN(2)/$D$65+0.04)*(VLOOKUP(($F$16-$F$15)-1,AC$100:AG192,4,FALSE)))*EXP(-(LN(2)/$D$65+0.1)*(VLOOKUP(($F$16-$F$15)-1,AC$100:AG192,5,FALSE)))*EXP(-(LN(2)/$D$65+0.04)*AF192)*EXP(-(LN(2)/$D$65+0.1)*AG192),IF(AD192=3,AJ$100*EXP(-(LN(2)/$D$65+0.04)*(VLOOKUP(($F$16-$F$15)-1,AC$100:AG192,4,FALSE)))*EXP(-(LN(2)/$D$65+0.1)*(VLOOKUP(($F$16-$F$15)-1,AC$100:AG192,5,FALSE)))*EXP(-(LN(2)/$D$65+0.04)*(VLOOKUP(($F$16-$F$15)*2-1,AC$100:AG192,4,FALSE)))*EXP(-(LN(2)/$D$65+0.1)*(VLOOKUP(($F$16-$F$15)*2-1,AC$100:AG192,5,FALSE)))*EXP(-(LN(2)/$D$65+0.04)*AF192)*EXP(-(LN(2)/$D$65+0.1)*AG192),"-"))),"-")</f>
        <v>-</v>
      </c>
      <c r="AK192" s="227">
        <f t="shared" si="138"/>
        <v>92</v>
      </c>
      <c r="AL192" s="226" t="str">
        <f t="shared" si="112"/>
        <v>-</v>
      </c>
      <c r="AM192" s="227" t="str">
        <f t="shared" si="139"/>
        <v>-</v>
      </c>
      <c r="AN192" s="227" t="str">
        <f t="shared" si="140"/>
        <v>-</v>
      </c>
      <c r="AO192" s="227" t="str">
        <f t="shared" si="113"/>
        <v>-</v>
      </c>
      <c r="AP192" s="273">
        <f t="shared" si="141"/>
        <v>0.1</v>
      </c>
      <c r="AQ192" s="271" t="str">
        <f>IFERROR(IF(AL191=1,AQ$100*EXP(-(LN(2)/$D$65+0.04)*AN191)*EXP(-(LN(2)/$D$65+0.1)*AO191),IF(AL191=2,AQ$100*EXP(-(LN(2)/$D$65+0.04)*(VLOOKUP(($F$16-$F$15)-1,AK$99:AO191,4,FALSE)))*EXP(-(LN(2)/$D$65+0.1)*(VLOOKUP(($F$16-$F$15)-1,AK$99:AO191,5,FALSE)))*EXP(-(LN(2)/$D$65+0.04)*AN191)*EXP(-(LN(2)/$D$65+0.1)*AO191),IF(AL191=3,AQ$100*EXP(-(LN(2)/$D$65+0.04)*(VLOOKUP(($F$16-$F$15)-1,AK$99:AO191,4,FALSE)))*EXP(-(LN(2)/$D$65+0.1)*(VLOOKUP(($F$16-$F$15)-1,AK$99:AO191,5,FALSE)))*EXP(-(LN(2)/$D$65+0.04)*(VLOOKUP(($F$16-$F$15)*2-1,AK$99:AO191,4,FALSE)))*EXP(-(LN(2)/$D$65+0.1)*(VLOOKUP(($F$16-$F$15)*2-1,AK$99:AO191,5,FALSE)))*EXP(-(LN(2)/$D$65+0.04)*AN191)*EXP(-(LN(2)/$D$65+0.1)*AO191),"-"))),"-")</f>
        <v>-</v>
      </c>
      <c r="AR192" s="271" t="str">
        <f>IFERROR(IF(AL192=1,AR$100*EXP(-(LN(2)/$D$65+0.04)*AN192)*EXP(-(LN(2)/$D$65+0.1)*AO192),IF(AL192=2,AR$100*EXP(-(LN(2)/$D$65+0.04)*(VLOOKUP(($F$16-$F$15)-1,AK$100:AO192,4,FALSE)))*EXP(-(LN(2)/$D$65+0.1)*(VLOOKUP(($F$16-$F$15)-1,AK$100:AO192,5,FALSE)))*EXP(-(LN(2)/$D$65+0.04)*AN192)*EXP(-(LN(2)/$D$65+0.1)*AO192),IF(AL192=3,AR$100*EXP(-(LN(2)/$D$65+0.04)*(VLOOKUP(($F$16-$F$15)-1,AK$100:AO192,4,FALSE)))*EXP(-(LN(2)/$D$65+0.1)*(VLOOKUP(($F$16-$F$15)-1,AK$100:AO192,5,FALSE)))*EXP(-(LN(2)/$D$65+0.04)*(VLOOKUP(($F$16-$F$15)*2-1,AK$100:AO192,4,FALSE)))*EXP(-(LN(2)/$D$65+0.1)*(VLOOKUP(($F$16-$F$15)*2-1,AK$100:AO192,5,FALSE)))*EXP(-(LN(2)/$D$65+0.04)*AN192)*EXP(-(LN(2)/$D$65+0.1)*AO192),"-"))),"-")</f>
        <v>-</v>
      </c>
      <c r="AS192" s="274">
        <f t="shared" si="114"/>
        <v>0</v>
      </c>
      <c r="AT192" s="274">
        <f t="shared" si="115"/>
        <v>0</v>
      </c>
      <c r="AU192" s="274">
        <f t="shared" si="116"/>
        <v>0</v>
      </c>
      <c r="AV192" s="190">
        <f>IF($B192&lt;$F$22,SUM($T$100:$T192),"")</f>
        <v>0</v>
      </c>
      <c r="AW192" s="190" t="str">
        <f t="shared" si="117"/>
        <v>-</v>
      </c>
      <c r="AX192" s="190" t="str">
        <f t="shared" si="142"/>
        <v/>
      </c>
      <c r="AY192"/>
      <c r="AZ192" s="190" t="str">
        <f ca="1">IF(ISNUMBER(OFFSET(AV192,-$F$21,0)),SUM(OFFSET($T$100,$F$21,0):$T192),"")</f>
        <v/>
      </c>
      <c r="BA192" s="190" t="str">
        <f t="shared" ca="1" si="118"/>
        <v/>
      </c>
      <c r="BB192" s="190" t="str">
        <f t="shared" ca="1" si="149"/>
        <v/>
      </c>
      <c r="BC192" s="190"/>
      <c r="BD192" s="190" t="str">
        <f ca="1">IFERROR(IF(AND($B192&gt;=($F$16-$F$15),$B192&lt;$F$22+($F$16-$F$15)),SUM(OFFSET($T$100,($F$16-$F$15),0):$T192),""),"")</f>
        <v/>
      </c>
      <c r="BE192" s="190" t="str">
        <f t="shared" ca="1" si="143"/>
        <v/>
      </c>
      <c r="BF192" s="190" t="str">
        <f t="shared" ca="1" si="144"/>
        <v/>
      </c>
      <c r="BG192"/>
      <c r="BH192" s="190" t="str">
        <f ca="1">IF(ISNUMBER(OFFSET(BD192,-$F$21,0)),SUM(OFFSET($T$100,($F$16-$F$15+$F$21),0):$T192),"")</f>
        <v/>
      </c>
      <c r="BI192" s="190" t="str">
        <f t="shared" ca="1" si="119"/>
        <v/>
      </c>
      <c r="BJ192" s="190" t="str">
        <f t="shared" ca="1" si="145"/>
        <v/>
      </c>
      <c r="BK192" s="190"/>
      <c r="BL192" s="190" t="str">
        <f ca="1">IFERROR(IF(AND($B192&gt;=($F$17-$F$15),$B192&lt;$F$22+($F$17-$F$15)),SUM(OFFSET($T$100,($F$17-$F$15),0):$T192),""),"")</f>
        <v/>
      </c>
      <c r="BM192" s="190" t="str">
        <f t="shared" ca="1" si="120"/>
        <v/>
      </c>
      <c r="BN192" s="190" t="str">
        <f t="shared" ca="1" si="146"/>
        <v/>
      </c>
      <c r="BO192"/>
      <c r="BP192" s="190" t="str">
        <f ca="1">IF(ISNUMBER(OFFSET(BL192,-$F$21,0)),SUM(OFFSET($T$100,($F$17-$F$15+$F$21),0):$T192),"")</f>
        <v/>
      </c>
      <c r="BQ192" s="190" t="str">
        <f t="shared" ca="1" si="121"/>
        <v/>
      </c>
      <c r="BR192" s="190" t="str">
        <f t="shared" ca="1" si="147"/>
        <v/>
      </c>
      <c r="BS192" s="190"/>
      <c r="BT192"/>
      <c r="BU192"/>
      <c r="BV192"/>
      <c r="BY192" s="99"/>
      <c r="BZ192" s="99"/>
      <c r="CA192" s="280" t="str">
        <f t="shared" si="122"/>
        <v/>
      </c>
      <c r="CB192" s="71" t="str">
        <f t="shared" si="123"/>
        <v>-</v>
      </c>
      <c r="CC192" s="33"/>
      <c r="CD192" s="261" t="str">
        <f t="shared" si="124"/>
        <v/>
      </c>
      <c r="CE192" s="280" t="str">
        <f t="shared" si="125"/>
        <v>-</v>
      </c>
      <c r="CF192" s="71" t="str">
        <f t="shared" ca="1" si="126"/>
        <v>-</v>
      </c>
      <c r="CG192" s="33" t="str">
        <f t="shared" si="127"/>
        <v>92-93</v>
      </c>
      <c r="CH192" s="261" t="str">
        <f t="shared" ca="1" si="128"/>
        <v/>
      </c>
    </row>
    <row r="193" spans="2:86" ht="13.5" customHeight="1" x14ac:dyDescent="0.2">
      <c r="B193" s="262">
        <v>93</v>
      </c>
      <c r="C193" s="237" t="str">
        <f t="shared" si="92"/>
        <v/>
      </c>
      <c r="D193" s="237" t="str">
        <f t="shared" si="148"/>
        <v>-</v>
      </c>
      <c r="E193" s="263" t="str">
        <f t="shared" si="129"/>
        <v/>
      </c>
      <c r="F193" s="264" t="str">
        <f t="shared" si="130"/>
        <v/>
      </c>
      <c r="G193" s="264" t="str">
        <f t="shared" si="131"/>
        <v/>
      </c>
      <c r="H193" s="240" t="str">
        <f t="shared" si="93"/>
        <v/>
      </c>
      <c r="I193" s="265" t="str">
        <f t="shared" si="94"/>
        <v/>
      </c>
      <c r="J193" s="265" t="str">
        <f t="shared" si="95"/>
        <v/>
      </c>
      <c r="K193" s="240" t="str">
        <f t="shared" si="96"/>
        <v/>
      </c>
      <c r="L193" s="265" t="str">
        <f t="shared" si="97"/>
        <v/>
      </c>
      <c r="M193" s="265" t="str">
        <f t="shared" si="98"/>
        <v/>
      </c>
      <c r="N193" s="240" t="str">
        <f t="shared" si="99"/>
        <v>-</v>
      </c>
      <c r="O193" s="265" t="str">
        <f t="shared" si="100"/>
        <v>-</v>
      </c>
      <c r="P193" s="265" t="str">
        <f t="shared" si="101"/>
        <v>-</v>
      </c>
      <c r="Q193" s="266" t="str">
        <f t="shared" si="102"/>
        <v>-</v>
      </c>
      <c r="R193" s="267" t="str">
        <f t="shared" si="103"/>
        <v>-</v>
      </c>
      <c r="S193" s="268" t="str">
        <f t="shared" si="104"/>
        <v>-</v>
      </c>
      <c r="T193" s="269" t="str">
        <f t="shared" si="105"/>
        <v/>
      </c>
      <c r="U193" s="221">
        <f t="shared" si="106"/>
        <v>93</v>
      </c>
      <c r="V193" s="220" t="str">
        <f t="shared" si="132"/>
        <v>-</v>
      </c>
      <c r="W193" s="221" t="str">
        <f t="shared" si="133"/>
        <v>-</v>
      </c>
      <c r="X193" s="221" t="str">
        <f t="shared" si="107"/>
        <v>-</v>
      </c>
      <c r="Y193" s="221" t="str">
        <f t="shared" si="108"/>
        <v>-</v>
      </c>
      <c r="Z193" s="270">
        <f t="shared" si="134"/>
        <v>0.1</v>
      </c>
      <c r="AA193" s="271" t="str">
        <f>IFERROR(IF(V192=1,AA$100*EXP(-(LN(2)/$D$65+0.04)*X192)*EXP(-(LN(2)/$D$65+0.1)*Y192),IF(V192=2,AA$100*EXP(-(LN(2)/$D$65+0.04)*(VLOOKUP(($F$16-$F$15)-1,U$99:Y192,4,FALSE)))*EXP(-(LN(2)/$D$65+0.1)*(VLOOKUP(($F$16-$F$15)-1,U$99:Y192,5,FALSE)))*EXP(-(LN(2)/$D$65+0.04)*X192)*EXP(-(LN(2)/$D$65+0.1)*Y192),IF(V192=3,AA$100*EXP(-(LN(2)/$D$65+0.04)*(VLOOKUP(($F$16-$F$15)-1,U$99:Y192,4,FALSE)))*EXP(-(LN(2)/$D$65+0.1)*(VLOOKUP(($F$16-$F$15)-1,U$99:Y192,5,FALSE)))*EXP(-(LN(2)/$D$65+0.04)*(VLOOKUP(($F$16-$F$15)*2-1,U$99:Y192,4,FALSE)))*EXP(-(LN(2)/$D$65+0.1)*(VLOOKUP(($F$16-$F$15)*2-1,U$99:Y192,5,FALSE)))*EXP(-(LN(2)/$D$65+0.04)*X192)*EXP(-(LN(2)/$D$65+0.1)*Y192),"-"))),"-")</f>
        <v>-</v>
      </c>
      <c r="AB193" s="271" t="str">
        <f>IFERROR(IF(V193=1,AB$100*EXP(-(LN(2)/$D$65+0.04)*X193)*EXP(-(LN(2)/$D$65+0.1)*Y193),IF(V193=2,AB$100*EXP(-(LN(2)/$D$65+0.04)*(VLOOKUP(($F$16-$F$15)-1,U$100:Y193,4,FALSE)))*EXP(-(LN(2)/$D$65+0.1)*(VLOOKUP(($F$16-$F$15)-1,U$100:Y193,5,FALSE)))*EXP(-(LN(2)/$D$65+0.04)*X193)*EXP(-(LN(2)/$D$65+0.1)*Y193),IF(V193=3,AB$100*EXP(-(LN(2)/$D$65+0.04)*(VLOOKUP(($F$16-$F$15)-1,U$100:Y193,4,FALSE)))*EXP(-(LN(2)/$D$65+0.1)*(VLOOKUP(($F$16-$F$15)-1,U$100:Y193,5,FALSE)))*EXP(-(LN(2)/$D$65+0.04)*(VLOOKUP(($F$16-$F$15)*2-1,U$100:Y193,4,FALSE)))*EXP(-(LN(2)/$D$65+0.1)*(VLOOKUP(($F$16-$F$15)*2-1,U$100:Y193,5,FALSE)))*EXP(-(LN(2)/$D$65+0.04)*X193)*EXP(-(LN(2)/$D$65+0.1)*Y193),"-"))),"-")</f>
        <v>-</v>
      </c>
      <c r="AC193" s="224">
        <f t="shared" si="135"/>
        <v>93</v>
      </c>
      <c r="AD193" s="223" t="str">
        <f t="shared" si="109"/>
        <v>-</v>
      </c>
      <c r="AE193" s="224" t="str">
        <f t="shared" si="136"/>
        <v>-</v>
      </c>
      <c r="AF193" s="224" t="str">
        <f t="shared" si="110"/>
        <v>-</v>
      </c>
      <c r="AG193" s="224" t="str">
        <f t="shared" si="111"/>
        <v>-</v>
      </c>
      <c r="AH193" s="272">
        <f t="shared" si="137"/>
        <v>0.1</v>
      </c>
      <c r="AI193" s="271" t="str">
        <f>IFERROR(IF(AD192=1,AI$100*EXP(-(LN(2)/$D$65+0.04)*AF192)*EXP(-(LN(2)/$D$65+0.1)*AG192),IF(AD192=2,AI$100*EXP(-(LN(2)/$D$65+0.04)*(VLOOKUP(($F$16-$F$15)-1,AC$99:AG192,4,FALSE)))*EXP(-(LN(2)/$D$65+0.1)*(VLOOKUP(($F$16-$F$15)-1,AC$99:AG192,5,FALSE)))*EXP(-(LN(2)/$D$65+0.04)*AF192)*EXP(-(LN(2)/$D$65+0.1)*AG192),IF(AD192=3,AI$100*EXP(-(LN(2)/$D$65+0.04)*(VLOOKUP(($F$16-$F$15)-1,AC$99:AG192,4,FALSE)))*EXP(-(LN(2)/$D$65+0.1)*(VLOOKUP(($F$16-$F$15)-1,AC$99:AG192,5,FALSE)))*EXP(-(LN(2)/$D$65+0.04)*(VLOOKUP(($F$16-$F$15)*2-1,AC$99:AG192,4,FALSE)))*EXP(-(LN(2)/$D$65+0.1)*(VLOOKUP(($F$16-$F$15)*2-1,AC$99:AG192,5,FALSE)))*EXP(-(LN(2)/$D$65+0.04)*AF192)*EXP(-(LN(2)/$D$65+0.1)*AG192),"-"))),"-")</f>
        <v>-</v>
      </c>
      <c r="AJ193" s="271" t="str">
        <f>IFERROR(IF(AD193=1,AJ$100*EXP(-(LN(2)/$D$65+0.04)*AF193)*EXP(-(LN(2)/$D$65+0.1)*AG193),IF(AD193=2,AJ$100*EXP(-(LN(2)/$D$65+0.04)*(VLOOKUP(($F$16-$F$15)-1,AC$100:AG193,4,FALSE)))*EXP(-(LN(2)/$D$65+0.1)*(VLOOKUP(($F$16-$F$15)-1,AC$100:AG193,5,FALSE)))*EXP(-(LN(2)/$D$65+0.04)*AF193)*EXP(-(LN(2)/$D$65+0.1)*AG193),IF(AD193=3,AJ$100*EXP(-(LN(2)/$D$65+0.04)*(VLOOKUP(($F$16-$F$15)-1,AC$100:AG193,4,FALSE)))*EXP(-(LN(2)/$D$65+0.1)*(VLOOKUP(($F$16-$F$15)-1,AC$100:AG193,5,FALSE)))*EXP(-(LN(2)/$D$65+0.04)*(VLOOKUP(($F$16-$F$15)*2-1,AC$100:AG193,4,FALSE)))*EXP(-(LN(2)/$D$65+0.1)*(VLOOKUP(($F$16-$F$15)*2-1,AC$100:AG193,5,FALSE)))*EXP(-(LN(2)/$D$65+0.04)*AF193)*EXP(-(LN(2)/$D$65+0.1)*AG193),"-"))),"-")</f>
        <v>-</v>
      </c>
      <c r="AK193" s="227">
        <f t="shared" si="138"/>
        <v>93</v>
      </c>
      <c r="AL193" s="226" t="str">
        <f t="shared" si="112"/>
        <v>-</v>
      </c>
      <c r="AM193" s="227" t="str">
        <f t="shared" si="139"/>
        <v>-</v>
      </c>
      <c r="AN193" s="227" t="str">
        <f t="shared" si="140"/>
        <v>-</v>
      </c>
      <c r="AO193" s="227" t="str">
        <f t="shared" si="113"/>
        <v>-</v>
      </c>
      <c r="AP193" s="273">
        <f t="shared" si="141"/>
        <v>0.1</v>
      </c>
      <c r="AQ193" s="271" t="str">
        <f>IFERROR(IF(AL192=1,AQ$100*EXP(-(LN(2)/$D$65+0.04)*AN192)*EXP(-(LN(2)/$D$65+0.1)*AO192),IF(AL192=2,AQ$100*EXP(-(LN(2)/$D$65+0.04)*(VLOOKUP(($F$16-$F$15)-1,AK$99:AO192,4,FALSE)))*EXP(-(LN(2)/$D$65+0.1)*(VLOOKUP(($F$16-$F$15)-1,AK$99:AO192,5,FALSE)))*EXP(-(LN(2)/$D$65+0.04)*AN192)*EXP(-(LN(2)/$D$65+0.1)*AO192),IF(AL192=3,AQ$100*EXP(-(LN(2)/$D$65+0.04)*(VLOOKUP(($F$16-$F$15)-1,AK$99:AO192,4,FALSE)))*EXP(-(LN(2)/$D$65+0.1)*(VLOOKUP(($F$16-$F$15)-1,AK$99:AO192,5,FALSE)))*EXP(-(LN(2)/$D$65+0.04)*(VLOOKUP(($F$16-$F$15)*2-1,AK$99:AO192,4,FALSE)))*EXP(-(LN(2)/$D$65+0.1)*(VLOOKUP(($F$16-$F$15)*2-1,AK$99:AO192,5,FALSE)))*EXP(-(LN(2)/$D$65+0.04)*AN192)*EXP(-(LN(2)/$D$65+0.1)*AO192),"-"))),"-")</f>
        <v>-</v>
      </c>
      <c r="AR193" s="271" t="str">
        <f>IFERROR(IF(AL193=1,AR$100*EXP(-(LN(2)/$D$65+0.04)*AN193)*EXP(-(LN(2)/$D$65+0.1)*AO193),IF(AL193=2,AR$100*EXP(-(LN(2)/$D$65+0.04)*(VLOOKUP(($F$16-$F$15)-1,AK$100:AO193,4,FALSE)))*EXP(-(LN(2)/$D$65+0.1)*(VLOOKUP(($F$16-$F$15)-1,AK$100:AO193,5,FALSE)))*EXP(-(LN(2)/$D$65+0.04)*AN193)*EXP(-(LN(2)/$D$65+0.1)*AO193),IF(AL193=3,AR$100*EXP(-(LN(2)/$D$65+0.04)*(VLOOKUP(($F$16-$F$15)-1,AK$100:AO193,4,FALSE)))*EXP(-(LN(2)/$D$65+0.1)*(VLOOKUP(($F$16-$F$15)-1,AK$100:AO193,5,FALSE)))*EXP(-(LN(2)/$D$65+0.04)*(VLOOKUP(($F$16-$F$15)*2-1,AK$100:AO193,4,FALSE)))*EXP(-(LN(2)/$D$65+0.1)*(VLOOKUP(($F$16-$F$15)*2-1,AK$100:AO193,5,FALSE)))*EXP(-(LN(2)/$D$65+0.04)*AN193)*EXP(-(LN(2)/$D$65+0.1)*AO193),"-"))),"-")</f>
        <v>-</v>
      </c>
      <c r="AS193" s="274">
        <f t="shared" si="114"/>
        <v>0</v>
      </c>
      <c r="AT193" s="274">
        <f t="shared" si="115"/>
        <v>0</v>
      </c>
      <c r="AU193" s="274">
        <f t="shared" si="116"/>
        <v>0</v>
      </c>
      <c r="AV193" s="190">
        <f>IF($B193&lt;$F$22,SUM($T$100:$T193),"")</f>
        <v>0</v>
      </c>
      <c r="AW193" s="190" t="str">
        <f t="shared" si="117"/>
        <v>-</v>
      </c>
      <c r="AX193" s="190" t="str">
        <f t="shared" si="142"/>
        <v/>
      </c>
      <c r="AY193"/>
      <c r="AZ193" s="190" t="str">
        <f ca="1">IF(ISNUMBER(OFFSET(AV193,-$F$21,0)),SUM(OFFSET($T$100,$F$21,0):$T193),"")</f>
        <v/>
      </c>
      <c r="BA193" s="190" t="str">
        <f t="shared" ca="1" si="118"/>
        <v/>
      </c>
      <c r="BB193" s="190" t="str">
        <f t="shared" ca="1" si="149"/>
        <v/>
      </c>
      <c r="BC193" s="190"/>
      <c r="BD193" s="190" t="str">
        <f ca="1">IFERROR(IF(AND($B193&gt;=($F$16-$F$15),$B193&lt;$F$22+($F$16-$F$15)),SUM(OFFSET($T$100,($F$16-$F$15),0):$T193),""),"")</f>
        <v/>
      </c>
      <c r="BE193" s="190" t="str">
        <f t="shared" ca="1" si="143"/>
        <v/>
      </c>
      <c r="BF193" s="190" t="str">
        <f t="shared" ca="1" si="144"/>
        <v/>
      </c>
      <c r="BG193"/>
      <c r="BH193" s="190" t="str">
        <f ca="1">IF(ISNUMBER(OFFSET(BD193,-$F$21,0)),SUM(OFFSET($T$100,($F$16-$F$15+$F$21),0):$T193),"")</f>
        <v/>
      </c>
      <c r="BI193" s="190" t="str">
        <f t="shared" ca="1" si="119"/>
        <v/>
      </c>
      <c r="BJ193" s="190" t="str">
        <f t="shared" ca="1" si="145"/>
        <v/>
      </c>
      <c r="BK193" s="190"/>
      <c r="BL193" s="190" t="str">
        <f ca="1">IFERROR(IF(AND($B193&gt;=($F$17-$F$15),$B193&lt;$F$22+($F$17-$F$15)),SUM(OFFSET($T$100,($F$17-$F$15),0):$T193),""),"")</f>
        <v/>
      </c>
      <c r="BM193" s="190" t="str">
        <f t="shared" ca="1" si="120"/>
        <v/>
      </c>
      <c r="BN193" s="190" t="str">
        <f t="shared" ca="1" si="146"/>
        <v/>
      </c>
      <c r="BO193"/>
      <c r="BP193" s="190" t="str">
        <f ca="1">IF(ISNUMBER(OFFSET(BL193,-$F$21,0)),SUM(OFFSET($T$100,($F$17-$F$15+$F$21),0):$T193),"")</f>
        <v/>
      </c>
      <c r="BQ193" s="190" t="str">
        <f t="shared" ca="1" si="121"/>
        <v/>
      </c>
      <c r="BR193" s="190" t="str">
        <f t="shared" ca="1" si="147"/>
        <v/>
      </c>
      <c r="BS193" s="190"/>
      <c r="BT193"/>
      <c r="BU193"/>
      <c r="BV193"/>
      <c r="BY193" s="99"/>
      <c r="BZ193" s="99"/>
      <c r="CA193" s="280" t="str">
        <f t="shared" si="122"/>
        <v/>
      </c>
      <c r="CB193" s="71" t="str">
        <f t="shared" si="123"/>
        <v>-</v>
      </c>
      <c r="CC193" s="33"/>
      <c r="CD193" s="261" t="str">
        <f t="shared" si="124"/>
        <v/>
      </c>
      <c r="CE193" s="280" t="str">
        <f t="shared" si="125"/>
        <v>-</v>
      </c>
      <c r="CF193" s="71" t="str">
        <f t="shared" ca="1" si="126"/>
        <v>-</v>
      </c>
      <c r="CG193" s="33" t="str">
        <f t="shared" si="127"/>
        <v>93-94</v>
      </c>
      <c r="CH193" s="261" t="str">
        <f t="shared" ca="1" si="128"/>
        <v/>
      </c>
    </row>
    <row r="194" spans="2:86" ht="13.5" customHeight="1" x14ac:dyDescent="0.2">
      <c r="B194" s="262">
        <v>94</v>
      </c>
      <c r="C194" s="237" t="str">
        <f t="shared" si="92"/>
        <v/>
      </c>
      <c r="D194" s="237" t="str">
        <f t="shared" si="148"/>
        <v>-</v>
      </c>
      <c r="E194" s="263" t="str">
        <f t="shared" si="129"/>
        <v/>
      </c>
      <c r="F194" s="264" t="str">
        <f t="shared" si="130"/>
        <v/>
      </c>
      <c r="G194" s="264" t="str">
        <f t="shared" si="131"/>
        <v/>
      </c>
      <c r="H194" s="240" t="str">
        <f t="shared" si="93"/>
        <v/>
      </c>
      <c r="I194" s="265" t="str">
        <f t="shared" si="94"/>
        <v/>
      </c>
      <c r="J194" s="265" t="str">
        <f t="shared" si="95"/>
        <v/>
      </c>
      <c r="K194" s="240" t="str">
        <f t="shared" si="96"/>
        <v/>
      </c>
      <c r="L194" s="265" t="str">
        <f t="shared" si="97"/>
        <v/>
      </c>
      <c r="M194" s="265" t="str">
        <f t="shared" si="98"/>
        <v/>
      </c>
      <c r="N194" s="240" t="str">
        <f t="shared" si="99"/>
        <v>-</v>
      </c>
      <c r="O194" s="265" t="str">
        <f t="shared" si="100"/>
        <v>-</v>
      </c>
      <c r="P194" s="265" t="str">
        <f t="shared" si="101"/>
        <v>-</v>
      </c>
      <c r="Q194" s="266" t="str">
        <f t="shared" si="102"/>
        <v>-</v>
      </c>
      <c r="R194" s="267" t="str">
        <f t="shared" si="103"/>
        <v>-</v>
      </c>
      <c r="S194" s="268" t="str">
        <f t="shared" si="104"/>
        <v>-</v>
      </c>
      <c r="T194" s="269" t="str">
        <f t="shared" si="105"/>
        <v/>
      </c>
      <c r="U194" s="221">
        <f t="shared" si="106"/>
        <v>94</v>
      </c>
      <c r="V194" s="220" t="str">
        <f t="shared" si="132"/>
        <v>-</v>
      </c>
      <c r="W194" s="221" t="str">
        <f t="shared" si="133"/>
        <v>-</v>
      </c>
      <c r="X194" s="221" t="str">
        <f t="shared" si="107"/>
        <v>-</v>
      </c>
      <c r="Y194" s="221" t="str">
        <f t="shared" si="108"/>
        <v>-</v>
      </c>
      <c r="Z194" s="270">
        <f t="shared" si="134"/>
        <v>0.1</v>
      </c>
      <c r="AA194" s="271" t="str">
        <f>IFERROR(IF(V193=1,AA$100*EXP(-(LN(2)/$D$65+0.04)*X193)*EXP(-(LN(2)/$D$65+0.1)*Y193),IF(V193=2,AA$100*EXP(-(LN(2)/$D$65+0.04)*(VLOOKUP(($F$16-$F$15)-1,U$99:Y193,4,FALSE)))*EXP(-(LN(2)/$D$65+0.1)*(VLOOKUP(($F$16-$F$15)-1,U$99:Y193,5,FALSE)))*EXP(-(LN(2)/$D$65+0.04)*X193)*EXP(-(LN(2)/$D$65+0.1)*Y193),IF(V193=3,AA$100*EXP(-(LN(2)/$D$65+0.04)*(VLOOKUP(($F$16-$F$15)-1,U$99:Y193,4,FALSE)))*EXP(-(LN(2)/$D$65+0.1)*(VLOOKUP(($F$16-$F$15)-1,U$99:Y193,5,FALSE)))*EXP(-(LN(2)/$D$65+0.04)*(VLOOKUP(($F$16-$F$15)*2-1,U$99:Y193,4,FALSE)))*EXP(-(LN(2)/$D$65+0.1)*(VLOOKUP(($F$16-$F$15)*2-1,U$99:Y193,5,FALSE)))*EXP(-(LN(2)/$D$65+0.04)*X193)*EXP(-(LN(2)/$D$65+0.1)*Y193),"-"))),"-")</f>
        <v>-</v>
      </c>
      <c r="AB194" s="271" t="str">
        <f>IFERROR(IF(V194=1,AB$100*EXP(-(LN(2)/$D$65+0.04)*X194)*EXP(-(LN(2)/$D$65+0.1)*Y194),IF(V194=2,AB$100*EXP(-(LN(2)/$D$65+0.04)*(VLOOKUP(($F$16-$F$15)-1,U$100:Y194,4,FALSE)))*EXP(-(LN(2)/$D$65+0.1)*(VLOOKUP(($F$16-$F$15)-1,U$100:Y194,5,FALSE)))*EXP(-(LN(2)/$D$65+0.04)*X194)*EXP(-(LN(2)/$D$65+0.1)*Y194),IF(V194=3,AB$100*EXP(-(LN(2)/$D$65+0.04)*(VLOOKUP(($F$16-$F$15)-1,U$100:Y194,4,FALSE)))*EXP(-(LN(2)/$D$65+0.1)*(VLOOKUP(($F$16-$F$15)-1,U$100:Y194,5,FALSE)))*EXP(-(LN(2)/$D$65+0.04)*(VLOOKUP(($F$16-$F$15)*2-1,U$100:Y194,4,FALSE)))*EXP(-(LN(2)/$D$65+0.1)*(VLOOKUP(($F$16-$F$15)*2-1,U$100:Y194,5,FALSE)))*EXP(-(LN(2)/$D$65+0.04)*X194)*EXP(-(LN(2)/$D$65+0.1)*Y194),"-"))),"-")</f>
        <v>-</v>
      </c>
      <c r="AC194" s="224">
        <f t="shared" si="135"/>
        <v>94</v>
      </c>
      <c r="AD194" s="223" t="str">
        <f t="shared" si="109"/>
        <v>-</v>
      </c>
      <c r="AE194" s="224" t="str">
        <f t="shared" si="136"/>
        <v>-</v>
      </c>
      <c r="AF194" s="224" t="str">
        <f t="shared" si="110"/>
        <v>-</v>
      </c>
      <c r="AG194" s="224" t="str">
        <f t="shared" si="111"/>
        <v>-</v>
      </c>
      <c r="AH194" s="272">
        <f t="shared" si="137"/>
        <v>0.1</v>
      </c>
      <c r="AI194" s="271" t="str">
        <f>IFERROR(IF(AD193=1,AI$100*EXP(-(LN(2)/$D$65+0.04)*AF193)*EXP(-(LN(2)/$D$65+0.1)*AG193),IF(AD193=2,AI$100*EXP(-(LN(2)/$D$65+0.04)*(VLOOKUP(($F$16-$F$15)-1,AC$99:AG193,4,FALSE)))*EXP(-(LN(2)/$D$65+0.1)*(VLOOKUP(($F$16-$F$15)-1,AC$99:AG193,5,FALSE)))*EXP(-(LN(2)/$D$65+0.04)*AF193)*EXP(-(LN(2)/$D$65+0.1)*AG193),IF(AD193=3,AI$100*EXP(-(LN(2)/$D$65+0.04)*(VLOOKUP(($F$16-$F$15)-1,AC$99:AG193,4,FALSE)))*EXP(-(LN(2)/$D$65+0.1)*(VLOOKUP(($F$16-$F$15)-1,AC$99:AG193,5,FALSE)))*EXP(-(LN(2)/$D$65+0.04)*(VLOOKUP(($F$16-$F$15)*2-1,AC$99:AG193,4,FALSE)))*EXP(-(LN(2)/$D$65+0.1)*(VLOOKUP(($F$16-$F$15)*2-1,AC$99:AG193,5,FALSE)))*EXP(-(LN(2)/$D$65+0.04)*AF193)*EXP(-(LN(2)/$D$65+0.1)*AG193),"-"))),"-")</f>
        <v>-</v>
      </c>
      <c r="AJ194" s="271" t="str">
        <f>IFERROR(IF(AD194=1,AJ$100*EXP(-(LN(2)/$D$65+0.04)*AF194)*EXP(-(LN(2)/$D$65+0.1)*AG194),IF(AD194=2,AJ$100*EXP(-(LN(2)/$D$65+0.04)*(VLOOKUP(($F$16-$F$15)-1,AC$100:AG194,4,FALSE)))*EXP(-(LN(2)/$D$65+0.1)*(VLOOKUP(($F$16-$F$15)-1,AC$100:AG194,5,FALSE)))*EXP(-(LN(2)/$D$65+0.04)*AF194)*EXP(-(LN(2)/$D$65+0.1)*AG194),IF(AD194=3,AJ$100*EXP(-(LN(2)/$D$65+0.04)*(VLOOKUP(($F$16-$F$15)-1,AC$100:AG194,4,FALSE)))*EXP(-(LN(2)/$D$65+0.1)*(VLOOKUP(($F$16-$F$15)-1,AC$100:AG194,5,FALSE)))*EXP(-(LN(2)/$D$65+0.04)*(VLOOKUP(($F$16-$F$15)*2-1,AC$100:AG194,4,FALSE)))*EXP(-(LN(2)/$D$65+0.1)*(VLOOKUP(($F$16-$F$15)*2-1,AC$100:AG194,5,FALSE)))*EXP(-(LN(2)/$D$65+0.04)*AF194)*EXP(-(LN(2)/$D$65+0.1)*AG194),"-"))),"-")</f>
        <v>-</v>
      </c>
      <c r="AK194" s="227">
        <f t="shared" si="138"/>
        <v>94</v>
      </c>
      <c r="AL194" s="226" t="str">
        <f t="shared" si="112"/>
        <v>-</v>
      </c>
      <c r="AM194" s="227" t="str">
        <f t="shared" si="139"/>
        <v>-</v>
      </c>
      <c r="AN194" s="227" t="str">
        <f t="shared" si="140"/>
        <v>-</v>
      </c>
      <c r="AO194" s="227" t="str">
        <f t="shared" si="113"/>
        <v>-</v>
      </c>
      <c r="AP194" s="273">
        <f t="shared" si="141"/>
        <v>0.1</v>
      </c>
      <c r="AQ194" s="271" t="str">
        <f>IFERROR(IF(AL193=1,AQ$100*EXP(-(LN(2)/$D$65+0.04)*AN193)*EXP(-(LN(2)/$D$65+0.1)*AO193),IF(AL193=2,AQ$100*EXP(-(LN(2)/$D$65+0.04)*(VLOOKUP(($F$16-$F$15)-1,AK$99:AO193,4,FALSE)))*EXP(-(LN(2)/$D$65+0.1)*(VLOOKUP(($F$16-$F$15)-1,AK$99:AO193,5,FALSE)))*EXP(-(LN(2)/$D$65+0.04)*AN193)*EXP(-(LN(2)/$D$65+0.1)*AO193),IF(AL193=3,AQ$100*EXP(-(LN(2)/$D$65+0.04)*(VLOOKUP(($F$16-$F$15)-1,AK$99:AO193,4,FALSE)))*EXP(-(LN(2)/$D$65+0.1)*(VLOOKUP(($F$16-$F$15)-1,AK$99:AO193,5,FALSE)))*EXP(-(LN(2)/$D$65+0.04)*(VLOOKUP(($F$16-$F$15)*2-1,AK$99:AO193,4,FALSE)))*EXP(-(LN(2)/$D$65+0.1)*(VLOOKUP(($F$16-$F$15)*2-1,AK$99:AO193,5,FALSE)))*EXP(-(LN(2)/$D$65+0.04)*AN193)*EXP(-(LN(2)/$D$65+0.1)*AO193),"-"))),"-")</f>
        <v>-</v>
      </c>
      <c r="AR194" s="271" t="str">
        <f>IFERROR(IF(AL194=1,AR$100*EXP(-(LN(2)/$D$65+0.04)*AN194)*EXP(-(LN(2)/$D$65+0.1)*AO194),IF(AL194=2,AR$100*EXP(-(LN(2)/$D$65+0.04)*(VLOOKUP(($F$16-$F$15)-1,AK$100:AO194,4,FALSE)))*EXP(-(LN(2)/$D$65+0.1)*(VLOOKUP(($F$16-$F$15)-1,AK$100:AO194,5,FALSE)))*EXP(-(LN(2)/$D$65+0.04)*AN194)*EXP(-(LN(2)/$D$65+0.1)*AO194),IF(AL194=3,AR$100*EXP(-(LN(2)/$D$65+0.04)*(VLOOKUP(($F$16-$F$15)-1,AK$100:AO194,4,FALSE)))*EXP(-(LN(2)/$D$65+0.1)*(VLOOKUP(($F$16-$F$15)-1,AK$100:AO194,5,FALSE)))*EXP(-(LN(2)/$D$65+0.04)*(VLOOKUP(($F$16-$F$15)*2-1,AK$100:AO194,4,FALSE)))*EXP(-(LN(2)/$D$65+0.1)*(VLOOKUP(($F$16-$F$15)*2-1,AK$100:AO194,5,FALSE)))*EXP(-(LN(2)/$D$65+0.04)*AN194)*EXP(-(LN(2)/$D$65+0.1)*AO194),"-"))),"-")</f>
        <v>-</v>
      </c>
      <c r="AS194" s="274">
        <f t="shared" si="114"/>
        <v>0</v>
      </c>
      <c r="AT194" s="274">
        <f t="shared" si="115"/>
        <v>0</v>
      </c>
      <c r="AU194" s="274">
        <f t="shared" si="116"/>
        <v>0</v>
      </c>
      <c r="AV194" s="190">
        <f>IF($B194&lt;$F$22,SUM($T$100:$T194),"")</f>
        <v>0</v>
      </c>
      <c r="AW194" s="190" t="str">
        <f t="shared" si="117"/>
        <v>-</v>
      </c>
      <c r="AX194" s="190" t="str">
        <f t="shared" si="142"/>
        <v/>
      </c>
      <c r="AY194"/>
      <c r="AZ194" s="190" t="str">
        <f ca="1">IF(ISNUMBER(OFFSET(AV194,-$F$21,0)),SUM(OFFSET($T$100,$F$21,0):$T194),"")</f>
        <v/>
      </c>
      <c r="BA194" s="190" t="str">
        <f t="shared" ca="1" si="118"/>
        <v/>
      </c>
      <c r="BB194" s="190" t="str">
        <f t="shared" ca="1" si="149"/>
        <v/>
      </c>
      <c r="BC194" s="190"/>
      <c r="BD194" s="190" t="str">
        <f ca="1">IFERROR(IF(AND($B194&gt;=($F$16-$F$15),$B194&lt;$F$22+($F$16-$F$15)),SUM(OFFSET($T$100,($F$16-$F$15),0):$T194),""),"")</f>
        <v/>
      </c>
      <c r="BE194" s="190" t="str">
        <f t="shared" ca="1" si="143"/>
        <v/>
      </c>
      <c r="BF194" s="190" t="str">
        <f t="shared" ca="1" si="144"/>
        <v/>
      </c>
      <c r="BG194"/>
      <c r="BH194" s="190" t="str">
        <f ca="1">IF(ISNUMBER(OFFSET(BD194,-$F$21,0)),SUM(OFFSET($T$100,($F$16-$F$15+$F$21),0):$T194),"")</f>
        <v/>
      </c>
      <c r="BI194" s="190" t="str">
        <f t="shared" ca="1" si="119"/>
        <v/>
      </c>
      <c r="BJ194" s="190" t="str">
        <f t="shared" ca="1" si="145"/>
        <v/>
      </c>
      <c r="BK194" s="190"/>
      <c r="BL194" s="190" t="str">
        <f ca="1">IFERROR(IF(AND($B194&gt;=($F$17-$F$15),$B194&lt;$F$22+($F$17-$F$15)),SUM(OFFSET($T$100,($F$17-$F$15),0):$T194),""),"")</f>
        <v/>
      </c>
      <c r="BM194" s="190" t="str">
        <f t="shared" ca="1" si="120"/>
        <v/>
      </c>
      <c r="BN194" s="190" t="str">
        <f t="shared" ca="1" si="146"/>
        <v/>
      </c>
      <c r="BO194"/>
      <c r="BP194" s="190" t="str">
        <f ca="1">IF(ISNUMBER(OFFSET(BL194,-$F$21,0)),SUM(OFFSET($T$100,($F$17-$F$15+$F$21),0):$T194),"")</f>
        <v/>
      </c>
      <c r="BQ194" s="190" t="str">
        <f t="shared" ca="1" si="121"/>
        <v/>
      </c>
      <c r="BR194" s="190" t="str">
        <f t="shared" ca="1" si="147"/>
        <v/>
      </c>
      <c r="BS194" s="190"/>
      <c r="BT194"/>
      <c r="BU194"/>
      <c r="BV194"/>
      <c r="BY194" s="99"/>
      <c r="BZ194" s="99"/>
      <c r="CA194" s="280" t="str">
        <f t="shared" si="122"/>
        <v/>
      </c>
      <c r="CB194" s="71" t="str">
        <f t="shared" si="123"/>
        <v>-</v>
      </c>
      <c r="CC194" s="33"/>
      <c r="CD194" s="261" t="str">
        <f t="shared" si="124"/>
        <v/>
      </c>
      <c r="CE194" s="280" t="str">
        <f t="shared" si="125"/>
        <v>-</v>
      </c>
      <c r="CF194" s="71" t="str">
        <f t="shared" ca="1" si="126"/>
        <v>-</v>
      </c>
      <c r="CG194" s="33" t="str">
        <f t="shared" si="127"/>
        <v>94-95</v>
      </c>
      <c r="CH194" s="261" t="str">
        <f t="shared" ca="1" si="128"/>
        <v/>
      </c>
    </row>
    <row r="195" spans="2:86" ht="13.5" customHeight="1" x14ac:dyDescent="0.2">
      <c r="B195" s="262">
        <v>95</v>
      </c>
      <c r="C195" s="237" t="str">
        <f t="shared" si="92"/>
        <v/>
      </c>
      <c r="D195" s="237" t="str">
        <f t="shared" si="148"/>
        <v>-</v>
      </c>
      <c r="E195" s="263" t="str">
        <f t="shared" si="129"/>
        <v/>
      </c>
      <c r="F195" s="264" t="str">
        <f t="shared" si="130"/>
        <v/>
      </c>
      <c r="G195" s="264" t="str">
        <f t="shared" si="131"/>
        <v/>
      </c>
      <c r="H195" s="240" t="str">
        <f t="shared" si="93"/>
        <v/>
      </c>
      <c r="I195" s="265" t="str">
        <f t="shared" si="94"/>
        <v/>
      </c>
      <c r="J195" s="265" t="str">
        <f t="shared" si="95"/>
        <v/>
      </c>
      <c r="K195" s="240" t="str">
        <f t="shared" si="96"/>
        <v/>
      </c>
      <c r="L195" s="265" t="str">
        <f t="shared" si="97"/>
        <v/>
      </c>
      <c r="M195" s="265" t="str">
        <f t="shared" si="98"/>
        <v/>
      </c>
      <c r="N195" s="240" t="str">
        <f t="shared" si="99"/>
        <v>-</v>
      </c>
      <c r="O195" s="265" t="str">
        <f t="shared" si="100"/>
        <v>-</v>
      </c>
      <c r="P195" s="265" t="str">
        <f t="shared" si="101"/>
        <v>-</v>
      </c>
      <c r="Q195" s="266" t="str">
        <f t="shared" si="102"/>
        <v>-</v>
      </c>
      <c r="R195" s="267" t="str">
        <f t="shared" si="103"/>
        <v>-</v>
      </c>
      <c r="S195" s="268" t="str">
        <f t="shared" si="104"/>
        <v>-</v>
      </c>
      <c r="T195" s="269" t="str">
        <f t="shared" si="105"/>
        <v/>
      </c>
      <c r="U195" s="221">
        <f t="shared" si="106"/>
        <v>95</v>
      </c>
      <c r="V195" s="220" t="str">
        <f t="shared" si="132"/>
        <v>-</v>
      </c>
      <c r="W195" s="221" t="str">
        <f t="shared" si="133"/>
        <v>-</v>
      </c>
      <c r="X195" s="221" t="str">
        <f t="shared" si="107"/>
        <v>-</v>
      </c>
      <c r="Y195" s="221" t="str">
        <f t="shared" si="108"/>
        <v>-</v>
      </c>
      <c r="Z195" s="270">
        <f t="shared" si="134"/>
        <v>0.1</v>
      </c>
      <c r="AA195" s="271" t="str">
        <f>IFERROR(IF(V194=1,AA$100*EXP(-(LN(2)/$D$65+0.04)*X194)*EXP(-(LN(2)/$D$65+0.1)*Y194),IF(V194=2,AA$100*EXP(-(LN(2)/$D$65+0.04)*(VLOOKUP(($F$16-$F$15)-1,U$99:Y194,4,FALSE)))*EXP(-(LN(2)/$D$65+0.1)*(VLOOKUP(($F$16-$F$15)-1,U$99:Y194,5,FALSE)))*EXP(-(LN(2)/$D$65+0.04)*X194)*EXP(-(LN(2)/$D$65+0.1)*Y194),IF(V194=3,AA$100*EXP(-(LN(2)/$D$65+0.04)*(VLOOKUP(($F$16-$F$15)-1,U$99:Y194,4,FALSE)))*EXP(-(LN(2)/$D$65+0.1)*(VLOOKUP(($F$16-$F$15)-1,U$99:Y194,5,FALSE)))*EXP(-(LN(2)/$D$65+0.04)*(VLOOKUP(($F$16-$F$15)*2-1,U$99:Y194,4,FALSE)))*EXP(-(LN(2)/$D$65+0.1)*(VLOOKUP(($F$16-$F$15)*2-1,U$99:Y194,5,FALSE)))*EXP(-(LN(2)/$D$65+0.04)*X194)*EXP(-(LN(2)/$D$65+0.1)*Y194),"-"))),"-")</f>
        <v>-</v>
      </c>
      <c r="AB195" s="271" t="str">
        <f>IFERROR(IF(V195=1,AB$100*EXP(-(LN(2)/$D$65+0.04)*X195)*EXP(-(LN(2)/$D$65+0.1)*Y195),IF(V195=2,AB$100*EXP(-(LN(2)/$D$65+0.04)*(VLOOKUP(($F$16-$F$15)-1,U$100:Y195,4,FALSE)))*EXP(-(LN(2)/$D$65+0.1)*(VLOOKUP(($F$16-$F$15)-1,U$100:Y195,5,FALSE)))*EXP(-(LN(2)/$D$65+0.04)*X195)*EXP(-(LN(2)/$D$65+0.1)*Y195),IF(V195=3,AB$100*EXP(-(LN(2)/$D$65+0.04)*(VLOOKUP(($F$16-$F$15)-1,U$100:Y195,4,FALSE)))*EXP(-(LN(2)/$D$65+0.1)*(VLOOKUP(($F$16-$F$15)-1,U$100:Y195,5,FALSE)))*EXP(-(LN(2)/$D$65+0.04)*(VLOOKUP(($F$16-$F$15)*2-1,U$100:Y195,4,FALSE)))*EXP(-(LN(2)/$D$65+0.1)*(VLOOKUP(($F$16-$F$15)*2-1,U$100:Y195,5,FALSE)))*EXP(-(LN(2)/$D$65+0.04)*X195)*EXP(-(LN(2)/$D$65+0.1)*Y195),"-"))),"-")</f>
        <v>-</v>
      </c>
      <c r="AC195" s="224">
        <f t="shared" si="135"/>
        <v>95</v>
      </c>
      <c r="AD195" s="223" t="str">
        <f t="shared" si="109"/>
        <v>-</v>
      </c>
      <c r="AE195" s="224" t="str">
        <f t="shared" si="136"/>
        <v>-</v>
      </c>
      <c r="AF195" s="224" t="str">
        <f t="shared" si="110"/>
        <v>-</v>
      </c>
      <c r="AG195" s="224" t="str">
        <f t="shared" si="111"/>
        <v>-</v>
      </c>
      <c r="AH195" s="272">
        <f t="shared" si="137"/>
        <v>0.1</v>
      </c>
      <c r="AI195" s="271" t="str">
        <f>IFERROR(IF(AD194=1,AI$100*EXP(-(LN(2)/$D$65+0.04)*AF194)*EXP(-(LN(2)/$D$65+0.1)*AG194),IF(AD194=2,AI$100*EXP(-(LN(2)/$D$65+0.04)*(VLOOKUP(($F$16-$F$15)-1,AC$99:AG194,4,FALSE)))*EXP(-(LN(2)/$D$65+0.1)*(VLOOKUP(($F$16-$F$15)-1,AC$99:AG194,5,FALSE)))*EXP(-(LN(2)/$D$65+0.04)*AF194)*EXP(-(LN(2)/$D$65+0.1)*AG194),IF(AD194=3,AI$100*EXP(-(LN(2)/$D$65+0.04)*(VLOOKUP(($F$16-$F$15)-1,AC$99:AG194,4,FALSE)))*EXP(-(LN(2)/$D$65+0.1)*(VLOOKUP(($F$16-$F$15)-1,AC$99:AG194,5,FALSE)))*EXP(-(LN(2)/$D$65+0.04)*(VLOOKUP(($F$16-$F$15)*2-1,AC$99:AG194,4,FALSE)))*EXP(-(LN(2)/$D$65+0.1)*(VLOOKUP(($F$16-$F$15)*2-1,AC$99:AG194,5,FALSE)))*EXP(-(LN(2)/$D$65+0.04)*AF194)*EXP(-(LN(2)/$D$65+0.1)*AG194),"-"))),"-")</f>
        <v>-</v>
      </c>
      <c r="AJ195" s="271" t="str">
        <f>IFERROR(IF(AD195=1,AJ$100*EXP(-(LN(2)/$D$65+0.04)*AF195)*EXP(-(LN(2)/$D$65+0.1)*AG195),IF(AD195=2,AJ$100*EXP(-(LN(2)/$D$65+0.04)*(VLOOKUP(($F$16-$F$15)-1,AC$100:AG195,4,FALSE)))*EXP(-(LN(2)/$D$65+0.1)*(VLOOKUP(($F$16-$F$15)-1,AC$100:AG195,5,FALSE)))*EXP(-(LN(2)/$D$65+0.04)*AF195)*EXP(-(LN(2)/$D$65+0.1)*AG195),IF(AD195=3,AJ$100*EXP(-(LN(2)/$D$65+0.04)*(VLOOKUP(($F$16-$F$15)-1,AC$100:AG195,4,FALSE)))*EXP(-(LN(2)/$D$65+0.1)*(VLOOKUP(($F$16-$F$15)-1,AC$100:AG195,5,FALSE)))*EXP(-(LN(2)/$D$65+0.04)*(VLOOKUP(($F$16-$F$15)*2-1,AC$100:AG195,4,FALSE)))*EXP(-(LN(2)/$D$65+0.1)*(VLOOKUP(($F$16-$F$15)*2-1,AC$100:AG195,5,FALSE)))*EXP(-(LN(2)/$D$65+0.04)*AF195)*EXP(-(LN(2)/$D$65+0.1)*AG195),"-"))),"-")</f>
        <v>-</v>
      </c>
      <c r="AK195" s="227">
        <f t="shared" si="138"/>
        <v>95</v>
      </c>
      <c r="AL195" s="226" t="str">
        <f t="shared" si="112"/>
        <v>-</v>
      </c>
      <c r="AM195" s="227" t="str">
        <f t="shared" si="139"/>
        <v>-</v>
      </c>
      <c r="AN195" s="227" t="str">
        <f t="shared" si="140"/>
        <v>-</v>
      </c>
      <c r="AO195" s="227" t="str">
        <f t="shared" si="113"/>
        <v>-</v>
      </c>
      <c r="AP195" s="273">
        <f t="shared" si="141"/>
        <v>0.1</v>
      </c>
      <c r="AQ195" s="271" t="str">
        <f>IFERROR(IF(AL194=1,AQ$100*EXP(-(LN(2)/$D$65+0.04)*AN194)*EXP(-(LN(2)/$D$65+0.1)*AO194),IF(AL194=2,AQ$100*EXP(-(LN(2)/$D$65+0.04)*(VLOOKUP(($F$16-$F$15)-1,AK$99:AO194,4,FALSE)))*EXP(-(LN(2)/$D$65+0.1)*(VLOOKUP(($F$16-$F$15)-1,AK$99:AO194,5,FALSE)))*EXP(-(LN(2)/$D$65+0.04)*AN194)*EXP(-(LN(2)/$D$65+0.1)*AO194),IF(AL194=3,AQ$100*EXP(-(LN(2)/$D$65+0.04)*(VLOOKUP(($F$16-$F$15)-1,AK$99:AO194,4,FALSE)))*EXP(-(LN(2)/$D$65+0.1)*(VLOOKUP(($F$16-$F$15)-1,AK$99:AO194,5,FALSE)))*EXP(-(LN(2)/$D$65+0.04)*(VLOOKUP(($F$16-$F$15)*2-1,AK$99:AO194,4,FALSE)))*EXP(-(LN(2)/$D$65+0.1)*(VLOOKUP(($F$16-$F$15)*2-1,AK$99:AO194,5,FALSE)))*EXP(-(LN(2)/$D$65+0.04)*AN194)*EXP(-(LN(2)/$D$65+0.1)*AO194),"-"))),"-")</f>
        <v>-</v>
      </c>
      <c r="AR195" s="271" t="str">
        <f>IFERROR(IF(AL195=1,AR$100*EXP(-(LN(2)/$D$65+0.04)*AN195)*EXP(-(LN(2)/$D$65+0.1)*AO195),IF(AL195=2,AR$100*EXP(-(LN(2)/$D$65+0.04)*(VLOOKUP(($F$16-$F$15)-1,AK$100:AO195,4,FALSE)))*EXP(-(LN(2)/$D$65+0.1)*(VLOOKUP(($F$16-$F$15)-1,AK$100:AO195,5,FALSE)))*EXP(-(LN(2)/$D$65+0.04)*AN195)*EXP(-(LN(2)/$D$65+0.1)*AO195),IF(AL195=3,AR$100*EXP(-(LN(2)/$D$65+0.04)*(VLOOKUP(($F$16-$F$15)-1,AK$100:AO195,4,FALSE)))*EXP(-(LN(2)/$D$65+0.1)*(VLOOKUP(($F$16-$F$15)-1,AK$100:AO195,5,FALSE)))*EXP(-(LN(2)/$D$65+0.04)*(VLOOKUP(($F$16-$F$15)*2-1,AK$100:AO195,4,FALSE)))*EXP(-(LN(2)/$D$65+0.1)*(VLOOKUP(($F$16-$F$15)*2-1,AK$100:AO195,5,FALSE)))*EXP(-(LN(2)/$D$65+0.04)*AN195)*EXP(-(LN(2)/$D$65+0.1)*AO195),"-"))),"-")</f>
        <v>-</v>
      </c>
      <c r="AS195" s="274">
        <f t="shared" si="114"/>
        <v>0</v>
      </c>
      <c r="AT195" s="274">
        <f t="shared" si="115"/>
        <v>0</v>
      </c>
      <c r="AU195" s="274">
        <f t="shared" si="116"/>
        <v>0</v>
      </c>
      <c r="AV195" s="190">
        <f>IF($B195&lt;$F$22,SUM($T$100:$T195),"")</f>
        <v>0</v>
      </c>
      <c r="AW195" s="190" t="str">
        <f t="shared" si="117"/>
        <v>-</v>
      </c>
      <c r="AX195" s="190" t="str">
        <f t="shared" si="142"/>
        <v/>
      </c>
      <c r="AY195"/>
      <c r="AZ195" s="190" t="str">
        <f ca="1">IF(ISNUMBER(OFFSET(AV195,-$F$21,0)),SUM(OFFSET($T$100,$F$21,0):$T195),"")</f>
        <v/>
      </c>
      <c r="BA195" s="190" t="str">
        <f t="shared" ca="1" si="118"/>
        <v/>
      </c>
      <c r="BB195" s="190" t="str">
        <f t="shared" ca="1" si="149"/>
        <v/>
      </c>
      <c r="BC195" s="190"/>
      <c r="BD195" s="190" t="str">
        <f ca="1">IFERROR(IF(AND($B195&gt;=($F$16-$F$15),$B195&lt;$F$22+($F$16-$F$15)),SUM(OFFSET($T$100,($F$16-$F$15),0):$T195),""),"")</f>
        <v/>
      </c>
      <c r="BE195" s="190" t="str">
        <f t="shared" ca="1" si="143"/>
        <v/>
      </c>
      <c r="BF195" s="190" t="str">
        <f t="shared" ca="1" si="144"/>
        <v/>
      </c>
      <c r="BG195"/>
      <c r="BH195" s="190" t="str">
        <f ca="1">IF(ISNUMBER(OFFSET(BD195,-$F$21,0)),SUM(OFFSET($T$100,($F$16-$F$15+$F$21),0):$T195),"")</f>
        <v/>
      </c>
      <c r="BI195" s="190" t="str">
        <f t="shared" ca="1" si="119"/>
        <v/>
      </c>
      <c r="BJ195" s="190" t="str">
        <f t="shared" ca="1" si="145"/>
        <v/>
      </c>
      <c r="BK195" s="190"/>
      <c r="BL195" s="190" t="str">
        <f ca="1">IFERROR(IF(AND($B195&gt;=($F$17-$F$15),$B195&lt;$F$22+($F$17-$F$15)),SUM(OFFSET($T$100,($F$17-$F$15),0):$T195),""),"")</f>
        <v/>
      </c>
      <c r="BM195" s="190" t="str">
        <f t="shared" ca="1" si="120"/>
        <v/>
      </c>
      <c r="BN195" s="190" t="str">
        <f t="shared" ca="1" si="146"/>
        <v/>
      </c>
      <c r="BO195"/>
      <c r="BP195" s="190" t="str">
        <f ca="1">IF(ISNUMBER(OFFSET(BL195,-$F$21,0)),SUM(OFFSET($T$100,($F$17-$F$15+$F$21),0):$T195),"")</f>
        <v/>
      </c>
      <c r="BQ195" s="190" t="str">
        <f t="shared" ca="1" si="121"/>
        <v/>
      </c>
      <c r="BR195" s="190" t="str">
        <f t="shared" ca="1" si="147"/>
        <v/>
      </c>
      <c r="BS195" s="190"/>
      <c r="BT195"/>
      <c r="BU195"/>
      <c r="BV195"/>
      <c r="BY195" s="99"/>
      <c r="BZ195" s="99"/>
      <c r="CA195" s="280" t="str">
        <f t="shared" si="122"/>
        <v/>
      </c>
      <c r="CB195" s="71" t="str">
        <f t="shared" si="123"/>
        <v>-</v>
      </c>
      <c r="CC195" s="33"/>
      <c r="CD195" s="261" t="str">
        <f t="shared" si="124"/>
        <v/>
      </c>
      <c r="CE195" s="280" t="str">
        <f t="shared" si="125"/>
        <v>-</v>
      </c>
      <c r="CF195" s="71" t="str">
        <f t="shared" ca="1" si="126"/>
        <v>-</v>
      </c>
      <c r="CG195" s="33" t="str">
        <f t="shared" si="127"/>
        <v>95-96</v>
      </c>
      <c r="CH195" s="261" t="str">
        <f t="shared" ca="1" si="128"/>
        <v/>
      </c>
    </row>
    <row r="196" spans="2:86" ht="13.5" customHeight="1" x14ac:dyDescent="0.2">
      <c r="B196" s="262">
        <v>96</v>
      </c>
      <c r="C196" s="237" t="str">
        <f t="shared" ref="C196:C227" si="150">IF(ISERROR(VLOOKUP(B196,$B$39:$C$73,2,0)),"",VLOOKUP(B196,$B$39:$C$73,2,0))</f>
        <v/>
      </c>
      <c r="D196" s="237" t="str">
        <f t="shared" si="148"/>
        <v>-</v>
      </c>
      <c r="E196" s="263" t="str">
        <f t="shared" si="129"/>
        <v/>
      </c>
      <c r="F196" s="264" t="str">
        <f t="shared" si="130"/>
        <v/>
      </c>
      <c r="G196" s="264" t="str">
        <f t="shared" si="131"/>
        <v/>
      </c>
      <c r="H196" s="240" t="str">
        <f t="shared" ref="H196:H227" si="151">IF(E196&lt;&gt;"",IF($B196&lt;$F$21,"",IF(ISNUMBER(F196),IF(ISNUMBER(I196),(E196*30*50*ffp),""),(E196*30*50*ffp))),"")</f>
        <v/>
      </c>
      <c r="I196" s="265" t="str">
        <f t="shared" ref="I196:I227" si="152">IFERROR(IF(F196&lt;&gt;"",IF($B196&lt;$F$21+$F$16,"",IF(ISNUMBER(G196),IF(ISNUMBER(J196),(F196*30*50*ffp),""),(F196*30*50*ffp))),""),"")</f>
        <v/>
      </c>
      <c r="J196" s="265" t="str">
        <f t="shared" ref="J196:J227" si="153">IFERROR(IF(G196&lt;&gt;"",IF($B196&lt;$F$21+$F$17,"",(G196*30*50*ffp)),""),"")</f>
        <v/>
      </c>
      <c r="K196" s="240" t="str">
        <f t="shared" ref="K196:K227" si="154">IF(E196&lt;&gt;"",((E196*20*50*ffp)/Klevee),"")</f>
        <v/>
      </c>
      <c r="L196" s="265" t="str">
        <f t="shared" ref="L196:L227" si="155">IF(ISNUMBER(F196),((F196*20*50*ffp)/Klevee),"")</f>
        <v/>
      </c>
      <c r="M196" s="265" t="str">
        <f t="shared" ref="M196:M227" si="156">IF(ISNUMBER(G196),((G196*20*50*ffp)/Klevee),"")</f>
        <v/>
      </c>
      <c r="N196" s="240" t="str">
        <f t="shared" ref="N196:N227" si="157">IF(AND(ISNUMBER(I),ISNUMBER($F$14),ISNUMBER($F$20)),IF($B196=0,I*($J$40/100)*$J$42*1,""),"-")</f>
        <v>-</v>
      </c>
      <c r="O196" s="265" t="str">
        <f t="shared" ref="O196:O227" si="158">IF(ISNUMBER($F$14),IF($F$14&gt;1,IF($B196=0+$F$16,I*($J$40/100)*$J$42*1,""),""),"-")</f>
        <v>-</v>
      </c>
      <c r="P196" s="265" t="str">
        <f t="shared" ref="P196:P227" si="159">IF(ISNUMBER($F$14),IF($F$14&gt;2,IF($B196=0+$F$17,I*($J$40/100)*$J$42*1,""),""),"-")</f>
        <v>-</v>
      </c>
      <c r="Q196" s="266" t="str">
        <f t="shared" ref="Q196:Q227" si="160">IF(AND(ISNUMBER(I),ISNUMBER($F$14),ISNUMBER($F$20)),IF($B196=0,I*(dt/100)*$J$45*1,""),"-")</f>
        <v>-</v>
      </c>
      <c r="R196" s="267" t="str">
        <f t="shared" ref="R196:R227" si="161">IF(ISNUMBER($F$14),IF($F$14&gt;1,IF($B196=0+$F$16,I*(dt/100)*$J$45*1,""),""),"-")</f>
        <v>-</v>
      </c>
      <c r="S196" s="268" t="str">
        <f t="shared" ref="S196:S227" si="162">IF(ISNUMBER($F$14),IF($F$14&gt;2,IF($B196=0+$F$17,I*(dt/100)*$J$45*1,""),""),"-")</f>
        <v>-</v>
      </c>
      <c r="T196" s="269" t="str">
        <f t="shared" si="105"/>
        <v/>
      </c>
      <c r="U196" s="221">
        <f t="shared" si="106"/>
        <v>96</v>
      </c>
      <c r="V196" s="220" t="str">
        <f t="shared" si="132"/>
        <v>-</v>
      </c>
      <c r="W196" s="221" t="str">
        <f t="shared" si="133"/>
        <v>-</v>
      </c>
      <c r="X196" s="221" t="str">
        <f t="shared" si="107"/>
        <v>-</v>
      </c>
      <c r="Y196" s="221" t="str">
        <f t="shared" si="108"/>
        <v>-</v>
      </c>
      <c r="Z196" s="270">
        <f t="shared" si="134"/>
        <v>0.1</v>
      </c>
      <c r="AA196" s="271" t="str">
        <f>IFERROR(IF(V195=1,AA$100*EXP(-(LN(2)/$D$65+0.04)*X195)*EXP(-(LN(2)/$D$65+0.1)*Y195),IF(V195=2,AA$100*EXP(-(LN(2)/$D$65+0.04)*(VLOOKUP(($F$16-$F$15)-1,U$99:Y195,4,FALSE)))*EXP(-(LN(2)/$D$65+0.1)*(VLOOKUP(($F$16-$F$15)-1,U$99:Y195,5,FALSE)))*EXP(-(LN(2)/$D$65+0.04)*X195)*EXP(-(LN(2)/$D$65+0.1)*Y195),IF(V195=3,AA$100*EXP(-(LN(2)/$D$65+0.04)*(VLOOKUP(($F$16-$F$15)-1,U$99:Y195,4,FALSE)))*EXP(-(LN(2)/$D$65+0.1)*(VLOOKUP(($F$16-$F$15)-1,U$99:Y195,5,FALSE)))*EXP(-(LN(2)/$D$65+0.04)*(VLOOKUP(($F$16-$F$15)*2-1,U$99:Y195,4,FALSE)))*EXP(-(LN(2)/$D$65+0.1)*(VLOOKUP(($F$16-$F$15)*2-1,U$99:Y195,5,FALSE)))*EXP(-(LN(2)/$D$65+0.04)*X195)*EXP(-(LN(2)/$D$65+0.1)*Y195),"-"))),"-")</f>
        <v>-</v>
      </c>
      <c r="AB196" s="271" t="str">
        <f>IFERROR(IF(V196=1,AB$100*EXP(-(LN(2)/$D$65+0.04)*X196)*EXP(-(LN(2)/$D$65+0.1)*Y196),IF(V196=2,AB$100*EXP(-(LN(2)/$D$65+0.04)*(VLOOKUP(($F$16-$F$15)-1,U$100:Y196,4,FALSE)))*EXP(-(LN(2)/$D$65+0.1)*(VLOOKUP(($F$16-$F$15)-1,U$100:Y196,5,FALSE)))*EXP(-(LN(2)/$D$65+0.04)*X196)*EXP(-(LN(2)/$D$65+0.1)*Y196),IF(V196=3,AB$100*EXP(-(LN(2)/$D$65+0.04)*(VLOOKUP(($F$16-$F$15)-1,U$100:Y196,4,FALSE)))*EXP(-(LN(2)/$D$65+0.1)*(VLOOKUP(($F$16-$F$15)-1,U$100:Y196,5,FALSE)))*EXP(-(LN(2)/$D$65+0.04)*(VLOOKUP(($F$16-$F$15)*2-1,U$100:Y196,4,FALSE)))*EXP(-(LN(2)/$D$65+0.1)*(VLOOKUP(($F$16-$F$15)*2-1,U$100:Y196,5,FALSE)))*EXP(-(LN(2)/$D$65+0.04)*X196)*EXP(-(LN(2)/$D$65+0.1)*Y196),"-"))),"-")</f>
        <v>-</v>
      </c>
      <c r="AC196" s="224">
        <f t="shared" si="135"/>
        <v>96</v>
      </c>
      <c r="AD196" s="223" t="str">
        <f t="shared" si="109"/>
        <v>-</v>
      </c>
      <c r="AE196" s="224" t="str">
        <f t="shared" si="136"/>
        <v>-</v>
      </c>
      <c r="AF196" s="224" t="str">
        <f t="shared" si="110"/>
        <v>-</v>
      </c>
      <c r="AG196" s="224" t="str">
        <f t="shared" si="111"/>
        <v>-</v>
      </c>
      <c r="AH196" s="272">
        <f t="shared" si="137"/>
        <v>0.1</v>
      </c>
      <c r="AI196" s="271" t="str">
        <f>IFERROR(IF(AD195=1,AI$100*EXP(-(LN(2)/$D$65+0.04)*AF195)*EXP(-(LN(2)/$D$65+0.1)*AG195),IF(AD195=2,AI$100*EXP(-(LN(2)/$D$65+0.04)*(VLOOKUP(($F$16-$F$15)-1,AC$99:AG195,4,FALSE)))*EXP(-(LN(2)/$D$65+0.1)*(VLOOKUP(($F$16-$F$15)-1,AC$99:AG195,5,FALSE)))*EXP(-(LN(2)/$D$65+0.04)*AF195)*EXP(-(LN(2)/$D$65+0.1)*AG195),IF(AD195=3,AI$100*EXP(-(LN(2)/$D$65+0.04)*(VLOOKUP(($F$16-$F$15)-1,AC$99:AG195,4,FALSE)))*EXP(-(LN(2)/$D$65+0.1)*(VLOOKUP(($F$16-$F$15)-1,AC$99:AG195,5,FALSE)))*EXP(-(LN(2)/$D$65+0.04)*(VLOOKUP(($F$16-$F$15)*2-1,AC$99:AG195,4,FALSE)))*EXP(-(LN(2)/$D$65+0.1)*(VLOOKUP(($F$16-$F$15)*2-1,AC$99:AG195,5,FALSE)))*EXP(-(LN(2)/$D$65+0.04)*AF195)*EXP(-(LN(2)/$D$65+0.1)*AG195),"-"))),"-")</f>
        <v>-</v>
      </c>
      <c r="AJ196" s="271" t="str">
        <f>IFERROR(IF(AD196=1,AJ$100*EXP(-(LN(2)/$D$65+0.04)*AF196)*EXP(-(LN(2)/$D$65+0.1)*AG196),IF(AD196=2,AJ$100*EXP(-(LN(2)/$D$65+0.04)*(VLOOKUP(($F$16-$F$15)-1,AC$100:AG196,4,FALSE)))*EXP(-(LN(2)/$D$65+0.1)*(VLOOKUP(($F$16-$F$15)-1,AC$100:AG196,5,FALSE)))*EXP(-(LN(2)/$D$65+0.04)*AF196)*EXP(-(LN(2)/$D$65+0.1)*AG196),IF(AD196=3,AJ$100*EXP(-(LN(2)/$D$65+0.04)*(VLOOKUP(($F$16-$F$15)-1,AC$100:AG196,4,FALSE)))*EXP(-(LN(2)/$D$65+0.1)*(VLOOKUP(($F$16-$F$15)-1,AC$100:AG196,5,FALSE)))*EXP(-(LN(2)/$D$65+0.04)*(VLOOKUP(($F$16-$F$15)*2-1,AC$100:AG196,4,FALSE)))*EXP(-(LN(2)/$D$65+0.1)*(VLOOKUP(($F$16-$F$15)*2-1,AC$100:AG196,5,FALSE)))*EXP(-(LN(2)/$D$65+0.04)*AF196)*EXP(-(LN(2)/$D$65+0.1)*AG196),"-"))),"-")</f>
        <v>-</v>
      </c>
      <c r="AK196" s="227">
        <f t="shared" si="138"/>
        <v>96</v>
      </c>
      <c r="AL196" s="226" t="str">
        <f t="shared" si="112"/>
        <v>-</v>
      </c>
      <c r="AM196" s="227" t="str">
        <f t="shared" si="139"/>
        <v>-</v>
      </c>
      <c r="AN196" s="227" t="str">
        <f t="shared" si="140"/>
        <v>-</v>
      </c>
      <c r="AO196" s="227" t="str">
        <f t="shared" si="113"/>
        <v>-</v>
      </c>
      <c r="AP196" s="273">
        <f t="shared" si="141"/>
        <v>0.1</v>
      </c>
      <c r="AQ196" s="271" t="str">
        <f>IFERROR(IF(AL195=1,AQ$100*EXP(-(LN(2)/$D$65+0.04)*AN195)*EXP(-(LN(2)/$D$65+0.1)*AO195),IF(AL195=2,AQ$100*EXP(-(LN(2)/$D$65+0.04)*(VLOOKUP(($F$16-$F$15)-1,AK$99:AO195,4,FALSE)))*EXP(-(LN(2)/$D$65+0.1)*(VLOOKUP(($F$16-$F$15)-1,AK$99:AO195,5,FALSE)))*EXP(-(LN(2)/$D$65+0.04)*AN195)*EXP(-(LN(2)/$D$65+0.1)*AO195),IF(AL195=3,AQ$100*EXP(-(LN(2)/$D$65+0.04)*(VLOOKUP(($F$16-$F$15)-1,AK$99:AO195,4,FALSE)))*EXP(-(LN(2)/$D$65+0.1)*(VLOOKUP(($F$16-$F$15)-1,AK$99:AO195,5,FALSE)))*EXP(-(LN(2)/$D$65+0.04)*(VLOOKUP(($F$16-$F$15)*2-1,AK$99:AO195,4,FALSE)))*EXP(-(LN(2)/$D$65+0.1)*(VLOOKUP(($F$16-$F$15)*2-1,AK$99:AO195,5,FALSE)))*EXP(-(LN(2)/$D$65+0.04)*AN195)*EXP(-(LN(2)/$D$65+0.1)*AO195),"-"))),"-")</f>
        <v>-</v>
      </c>
      <c r="AR196" s="271" t="str">
        <f>IFERROR(IF(AL196=1,AR$100*EXP(-(LN(2)/$D$65+0.04)*AN196)*EXP(-(LN(2)/$D$65+0.1)*AO196),IF(AL196=2,AR$100*EXP(-(LN(2)/$D$65+0.04)*(VLOOKUP(($F$16-$F$15)-1,AK$100:AO196,4,FALSE)))*EXP(-(LN(2)/$D$65+0.1)*(VLOOKUP(($F$16-$F$15)-1,AK$100:AO196,5,FALSE)))*EXP(-(LN(2)/$D$65+0.04)*AN196)*EXP(-(LN(2)/$D$65+0.1)*AO196),IF(AL196=3,AR$100*EXP(-(LN(2)/$D$65+0.04)*(VLOOKUP(($F$16-$F$15)-1,AK$100:AO196,4,FALSE)))*EXP(-(LN(2)/$D$65+0.1)*(VLOOKUP(($F$16-$F$15)-1,AK$100:AO196,5,FALSE)))*EXP(-(LN(2)/$D$65+0.04)*(VLOOKUP(($F$16-$F$15)*2-1,AK$100:AO196,4,FALSE)))*EXP(-(LN(2)/$D$65+0.1)*(VLOOKUP(($F$16-$F$15)*2-1,AK$100:AO196,5,FALSE)))*EXP(-(LN(2)/$D$65+0.04)*AN196)*EXP(-(LN(2)/$D$65+0.1)*AO196),"-"))),"-")</f>
        <v>-</v>
      </c>
      <c r="AS196" s="274">
        <f t="shared" si="114"/>
        <v>0</v>
      </c>
      <c r="AT196" s="274">
        <f t="shared" si="115"/>
        <v>0</v>
      </c>
      <c r="AU196" s="274">
        <f t="shared" si="116"/>
        <v>0</v>
      </c>
      <c r="AV196" s="190">
        <f>IF($B196&lt;$F$22,SUM($T$100:$T196),"")</f>
        <v>0</v>
      </c>
      <c r="AW196" s="190" t="str">
        <f t="shared" ref="AW196:AW227" si="163">IF(ISNUMBER(Koc),IF(ISNUMBER(AV196),AV196*(Koc*(Ocse/100)*Pse*Vse)/(Koc*(Ocse/100)*Pse*Vse+1*86400*($B196+1)),""),"-")</f>
        <v>-</v>
      </c>
      <c r="AX196" s="190" t="str">
        <f t="shared" si="142"/>
        <v/>
      </c>
      <c r="AY196"/>
      <c r="AZ196" s="190" t="str">
        <f ca="1">IF(ISNUMBER(OFFSET(AV196,-$F$21,0)),SUM(OFFSET($T$100,$F$21,0):$T196),"")</f>
        <v/>
      </c>
      <c r="BA196" s="190" t="str">
        <f t="shared" ref="BA196:BA227" ca="1" si="164">IF(ISNUMBER(OFFSET(AV196,-$F$21,0)),AZ196*(Koc*(Ocse/100)*Pse*Vse)/(Koc*(Ocse/100)*Pse*Vse+1*86400*($B196+1)),"")</f>
        <v/>
      </c>
      <c r="BB196" s="190" t="str">
        <f t="shared" ca="1" si="149"/>
        <v/>
      </c>
      <c r="BC196" s="190"/>
      <c r="BD196" s="190" t="str">
        <f ca="1">IFERROR(IF(AND($B196&gt;=($F$16-$F$15),$B196&lt;$F$22+($F$16-$F$15)),SUM(OFFSET($T$100,($F$16-$F$15),0):$T196),""),"")</f>
        <v/>
      </c>
      <c r="BE196" s="190" t="str">
        <f t="shared" ca="1" si="143"/>
        <v/>
      </c>
      <c r="BF196" s="190" t="str">
        <f t="shared" ca="1" si="144"/>
        <v/>
      </c>
      <c r="BG196"/>
      <c r="BH196" s="190" t="str">
        <f ca="1">IF(ISNUMBER(OFFSET(BD196,-$F$21,0)),SUM(OFFSET($T$100,($F$16-$F$15+$F$21),0):$T196),"")</f>
        <v/>
      </c>
      <c r="BI196" s="190" t="str">
        <f t="shared" ref="BI196:BI227" ca="1" si="165">IF(ISNUMBER(OFFSET(BD196,-$F$21,0)),BH196*(Koc*(Ocse/100)*Pse*Vse)/(Koc*(Ocse/100)*Pse*Vse+1*86400*($B196+1)),"")</f>
        <v/>
      </c>
      <c r="BJ196" s="190" t="str">
        <f t="shared" ca="1" si="145"/>
        <v/>
      </c>
      <c r="BK196" s="190"/>
      <c r="BL196" s="190" t="str">
        <f ca="1">IFERROR(IF(AND($B196&gt;=($F$17-$F$15),$B196&lt;$F$22+($F$17-$F$15)),SUM(OFFSET($T$100,($F$17-$F$15),0):$T196),""),"")</f>
        <v/>
      </c>
      <c r="BM196" s="190" t="str">
        <f t="shared" ref="BM196:BM227" ca="1" si="166">IF(ISNUMBER(BL196),BL196*(Koc*(Ocse/100)*Pse*Vse)/(Koc*(Ocse/100)*Pse*Vse+1*86400*($B196+1)),"")</f>
        <v/>
      </c>
      <c r="BN196" s="190" t="str">
        <f t="shared" ca="1" si="146"/>
        <v/>
      </c>
      <c r="BO196"/>
      <c r="BP196" s="190" t="str">
        <f ca="1">IF(ISNUMBER(OFFSET(BL196,-$F$21,0)),SUM(OFFSET($T$100,($F$17-$F$15+$F$21),0):$T196),"")</f>
        <v/>
      </c>
      <c r="BQ196" s="190" t="str">
        <f t="shared" ref="BQ196:BQ227" ca="1" si="167">IF(ISNUMBER(OFFSET(BL196,-$F$21,0)),BP196*(Koc*(Ocse/100)*Pse*Vse)/(Koc*(Ocse/100)*Pse*Vse+1*86400*($B196+1)),"")</f>
        <v/>
      </c>
      <c r="BR196" s="190" t="str">
        <f t="shared" ca="1" si="147"/>
        <v/>
      </c>
      <c r="BS196" s="190"/>
      <c r="BT196"/>
      <c r="BU196"/>
      <c r="BV196"/>
      <c r="BY196" s="99"/>
      <c r="BZ196" s="99"/>
      <c r="CA196" s="280" t="str">
        <f t="shared" ref="CA196:CA227" si="168">IFERROR(IF($B196&lt;$CA$94,T196*(Koc*(Ocse/100)*Pse*Vse)/(Koc*(Ocse/100)*Pse*Vse+1*86400*$CA$94),""),"-")</f>
        <v/>
      </c>
      <c r="CB196" s="71" t="str">
        <f t="shared" si="123"/>
        <v>-</v>
      </c>
      <c r="CC196" s="33"/>
      <c r="CD196" s="261" t="str">
        <f t="shared" si="124"/>
        <v/>
      </c>
      <c r="CE196" s="280" t="str">
        <f t="shared" ref="CE196:CE227" si="169">IFERROR(IF($B196&lt;$CE$94,T196*(Koc*(Ocse/100)*Pse*Vse)/(Koc*(Ocse/100)*Pse*Vse+1*86400*$CE$94),""),"-")</f>
        <v>-</v>
      </c>
      <c r="CF196" s="71" t="str">
        <f t="shared" ref="CF196:CF227" ca="1" si="170">IFERROR(IF($B196&lt;$CE$94,IF(NOT(ISNUMBER(ffp)),"-",IF($F$70=$AX$87,AX196,IF($F$70=$BB$87,OFFSET(BB196,$F$21,0),IF($F$70=$BF$87,OFFSET(BF196,$F$16,0),IF($F$70=$BJ$87,OFFSET(BJ196,$F$16+$F$21,0),IF($F$70=$BN$87,OFFSET(BN196,$F$17,0),OFFSET(BR196,$F$17+$F$21,0))))))),""),"-")</f>
        <v>-</v>
      </c>
      <c r="CG196" s="33" t="str">
        <f t="shared" si="127"/>
        <v>96-97</v>
      </c>
      <c r="CH196" s="261" t="str">
        <f t="shared" ca="1" si="128"/>
        <v/>
      </c>
    </row>
    <row r="197" spans="2:86" ht="13.5" customHeight="1" x14ac:dyDescent="0.2">
      <c r="B197" s="262">
        <v>97</v>
      </c>
      <c r="C197" s="237" t="str">
        <f t="shared" si="150"/>
        <v/>
      </c>
      <c r="D197" s="237" t="str">
        <f t="shared" si="148"/>
        <v>-</v>
      </c>
      <c r="E197" s="263" t="str">
        <f t="shared" si="129"/>
        <v/>
      </c>
      <c r="F197" s="264" t="str">
        <f t="shared" si="130"/>
        <v/>
      </c>
      <c r="G197" s="264" t="str">
        <f t="shared" si="131"/>
        <v/>
      </c>
      <c r="H197" s="240" t="str">
        <f t="shared" si="151"/>
        <v/>
      </c>
      <c r="I197" s="265" t="str">
        <f t="shared" si="152"/>
        <v/>
      </c>
      <c r="J197" s="265" t="str">
        <f t="shared" si="153"/>
        <v/>
      </c>
      <c r="K197" s="240" t="str">
        <f t="shared" si="154"/>
        <v/>
      </c>
      <c r="L197" s="265" t="str">
        <f t="shared" si="155"/>
        <v/>
      </c>
      <c r="M197" s="265" t="str">
        <f t="shared" si="156"/>
        <v/>
      </c>
      <c r="N197" s="240" t="str">
        <f t="shared" si="157"/>
        <v>-</v>
      </c>
      <c r="O197" s="265" t="str">
        <f t="shared" si="158"/>
        <v>-</v>
      </c>
      <c r="P197" s="265" t="str">
        <f t="shared" si="159"/>
        <v>-</v>
      </c>
      <c r="Q197" s="266" t="str">
        <f t="shared" si="160"/>
        <v>-</v>
      </c>
      <c r="R197" s="267" t="str">
        <f t="shared" si="161"/>
        <v>-</v>
      </c>
      <c r="S197" s="268" t="str">
        <f t="shared" si="162"/>
        <v>-</v>
      </c>
      <c r="T197" s="269" t="str">
        <f t="shared" si="105"/>
        <v/>
      </c>
      <c r="U197" s="221">
        <f t="shared" si="106"/>
        <v>97</v>
      </c>
      <c r="V197" s="220" t="str">
        <f t="shared" si="132"/>
        <v>-</v>
      </c>
      <c r="W197" s="221" t="str">
        <f t="shared" si="133"/>
        <v>-</v>
      </c>
      <c r="X197" s="221" t="str">
        <f t="shared" si="107"/>
        <v>-</v>
      </c>
      <c r="Y197" s="221" t="str">
        <f t="shared" si="108"/>
        <v>-</v>
      </c>
      <c r="Z197" s="270">
        <f t="shared" si="134"/>
        <v>0.1</v>
      </c>
      <c r="AA197" s="271" t="str">
        <f>IFERROR(IF(V196=1,AA$100*EXP(-(LN(2)/$D$65+0.04)*X196)*EXP(-(LN(2)/$D$65+0.1)*Y196),IF(V196=2,AA$100*EXP(-(LN(2)/$D$65+0.04)*(VLOOKUP(($F$16-$F$15)-1,U$99:Y196,4,FALSE)))*EXP(-(LN(2)/$D$65+0.1)*(VLOOKUP(($F$16-$F$15)-1,U$99:Y196,5,FALSE)))*EXP(-(LN(2)/$D$65+0.04)*X196)*EXP(-(LN(2)/$D$65+0.1)*Y196),IF(V196=3,AA$100*EXP(-(LN(2)/$D$65+0.04)*(VLOOKUP(($F$16-$F$15)-1,U$99:Y196,4,FALSE)))*EXP(-(LN(2)/$D$65+0.1)*(VLOOKUP(($F$16-$F$15)-1,U$99:Y196,5,FALSE)))*EXP(-(LN(2)/$D$65+0.04)*(VLOOKUP(($F$16-$F$15)*2-1,U$99:Y196,4,FALSE)))*EXP(-(LN(2)/$D$65+0.1)*(VLOOKUP(($F$16-$F$15)*2-1,U$99:Y196,5,FALSE)))*EXP(-(LN(2)/$D$65+0.04)*X196)*EXP(-(LN(2)/$D$65+0.1)*Y196),"-"))),"-")</f>
        <v>-</v>
      </c>
      <c r="AB197" s="271" t="str">
        <f>IFERROR(IF(V197=1,AB$100*EXP(-(LN(2)/$D$65+0.04)*X197)*EXP(-(LN(2)/$D$65+0.1)*Y197),IF(V197=2,AB$100*EXP(-(LN(2)/$D$65+0.04)*(VLOOKUP(($F$16-$F$15)-1,U$100:Y197,4,FALSE)))*EXP(-(LN(2)/$D$65+0.1)*(VLOOKUP(($F$16-$F$15)-1,U$100:Y197,5,FALSE)))*EXP(-(LN(2)/$D$65+0.04)*X197)*EXP(-(LN(2)/$D$65+0.1)*Y197),IF(V197=3,AB$100*EXP(-(LN(2)/$D$65+0.04)*(VLOOKUP(($F$16-$F$15)-1,U$100:Y197,4,FALSE)))*EXP(-(LN(2)/$D$65+0.1)*(VLOOKUP(($F$16-$F$15)-1,U$100:Y197,5,FALSE)))*EXP(-(LN(2)/$D$65+0.04)*(VLOOKUP(($F$16-$F$15)*2-1,U$100:Y197,4,FALSE)))*EXP(-(LN(2)/$D$65+0.1)*(VLOOKUP(($F$16-$F$15)*2-1,U$100:Y197,5,FALSE)))*EXP(-(LN(2)/$D$65+0.04)*X197)*EXP(-(LN(2)/$D$65+0.1)*Y197),"-"))),"-")</f>
        <v>-</v>
      </c>
      <c r="AC197" s="224">
        <f t="shared" si="135"/>
        <v>97</v>
      </c>
      <c r="AD197" s="223" t="str">
        <f t="shared" si="109"/>
        <v>-</v>
      </c>
      <c r="AE197" s="224" t="str">
        <f t="shared" si="136"/>
        <v>-</v>
      </c>
      <c r="AF197" s="224" t="str">
        <f t="shared" si="110"/>
        <v>-</v>
      </c>
      <c r="AG197" s="224" t="str">
        <f t="shared" si="111"/>
        <v>-</v>
      </c>
      <c r="AH197" s="272">
        <f t="shared" si="137"/>
        <v>0.1</v>
      </c>
      <c r="AI197" s="271" t="str">
        <f>IFERROR(IF(AD196=1,AI$100*EXP(-(LN(2)/$D$65+0.04)*AF196)*EXP(-(LN(2)/$D$65+0.1)*AG196),IF(AD196=2,AI$100*EXP(-(LN(2)/$D$65+0.04)*(VLOOKUP(($F$16-$F$15)-1,AC$99:AG196,4,FALSE)))*EXP(-(LN(2)/$D$65+0.1)*(VLOOKUP(($F$16-$F$15)-1,AC$99:AG196,5,FALSE)))*EXP(-(LN(2)/$D$65+0.04)*AF196)*EXP(-(LN(2)/$D$65+0.1)*AG196),IF(AD196=3,AI$100*EXP(-(LN(2)/$D$65+0.04)*(VLOOKUP(($F$16-$F$15)-1,AC$99:AG196,4,FALSE)))*EXP(-(LN(2)/$D$65+0.1)*(VLOOKUP(($F$16-$F$15)-1,AC$99:AG196,5,FALSE)))*EXP(-(LN(2)/$D$65+0.04)*(VLOOKUP(($F$16-$F$15)*2-1,AC$99:AG196,4,FALSE)))*EXP(-(LN(2)/$D$65+0.1)*(VLOOKUP(($F$16-$F$15)*2-1,AC$99:AG196,5,FALSE)))*EXP(-(LN(2)/$D$65+0.04)*AF196)*EXP(-(LN(2)/$D$65+0.1)*AG196),"-"))),"-")</f>
        <v>-</v>
      </c>
      <c r="AJ197" s="271" t="str">
        <f>IFERROR(IF(AD197=1,AJ$100*EXP(-(LN(2)/$D$65+0.04)*AF197)*EXP(-(LN(2)/$D$65+0.1)*AG197),IF(AD197=2,AJ$100*EXP(-(LN(2)/$D$65+0.04)*(VLOOKUP(($F$16-$F$15)-1,AC$100:AG197,4,FALSE)))*EXP(-(LN(2)/$D$65+0.1)*(VLOOKUP(($F$16-$F$15)-1,AC$100:AG197,5,FALSE)))*EXP(-(LN(2)/$D$65+0.04)*AF197)*EXP(-(LN(2)/$D$65+0.1)*AG197),IF(AD197=3,AJ$100*EXP(-(LN(2)/$D$65+0.04)*(VLOOKUP(($F$16-$F$15)-1,AC$100:AG197,4,FALSE)))*EXP(-(LN(2)/$D$65+0.1)*(VLOOKUP(($F$16-$F$15)-1,AC$100:AG197,5,FALSE)))*EXP(-(LN(2)/$D$65+0.04)*(VLOOKUP(($F$16-$F$15)*2-1,AC$100:AG197,4,FALSE)))*EXP(-(LN(2)/$D$65+0.1)*(VLOOKUP(($F$16-$F$15)*2-1,AC$100:AG197,5,FALSE)))*EXP(-(LN(2)/$D$65+0.04)*AF197)*EXP(-(LN(2)/$D$65+0.1)*AG197),"-"))),"-")</f>
        <v>-</v>
      </c>
      <c r="AK197" s="227">
        <f t="shared" si="138"/>
        <v>97</v>
      </c>
      <c r="AL197" s="226" t="str">
        <f t="shared" si="112"/>
        <v>-</v>
      </c>
      <c r="AM197" s="227" t="str">
        <f t="shared" si="139"/>
        <v>-</v>
      </c>
      <c r="AN197" s="227" t="str">
        <f t="shared" si="140"/>
        <v>-</v>
      </c>
      <c r="AO197" s="227" t="str">
        <f t="shared" si="113"/>
        <v>-</v>
      </c>
      <c r="AP197" s="273">
        <f t="shared" si="141"/>
        <v>0.1</v>
      </c>
      <c r="AQ197" s="271" t="str">
        <f>IFERROR(IF(AL196=1,AQ$100*EXP(-(LN(2)/$D$65+0.04)*AN196)*EXP(-(LN(2)/$D$65+0.1)*AO196),IF(AL196=2,AQ$100*EXP(-(LN(2)/$D$65+0.04)*(VLOOKUP(($F$16-$F$15)-1,AK$99:AO196,4,FALSE)))*EXP(-(LN(2)/$D$65+0.1)*(VLOOKUP(($F$16-$F$15)-1,AK$99:AO196,5,FALSE)))*EXP(-(LN(2)/$D$65+0.04)*AN196)*EXP(-(LN(2)/$D$65+0.1)*AO196),IF(AL196=3,AQ$100*EXP(-(LN(2)/$D$65+0.04)*(VLOOKUP(($F$16-$F$15)-1,AK$99:AO196,4,FALSE)))*EXP(-(LN(2)/$D$65+0.1)*(VLOOKUP(($F$16-$F$15)-1,AK$99:AO196,5,FALSE)))*EXP(-(LN(2)/$D$65+0.04)*(VLOOKUP(($F$16-$F$15)*2-1,AK$99:AO196,4,FALSE)))*EXP(-(LN(2)/$D$65+0.1)*(VLOOKUP(($F$16-$F$15)*2-1,AK$99:AO196,5,FALSE)))*EXP(-(LN(2)/$D$65+0.04)*AN196)*EXP(-(LN(2)/$D$65+0.1)*AO196),"-"))),"-")</f>
        <v>-</v>
      </c>
      <c r="AR197" s="271" t="str">
        <f>IFERROR(IF(AL197=1,AR$100*EXP(-(LN(2)/$D$65+0.04)*AN197)*EXP(-(LN(2)/$D$65+0.1)*AO197),IF(AL197=2,AR$100*EXP(-(LN(2)/$D$65+0.04)*(VLOOKUP(($F$16-$F$15)-1,AK$100:AO197,4,FALSE)))*EXP(-(LN(2)/$D$65+0.1)*(VLOOKUP(($F$16-$F$15)-1,AK$100:AO197,5,FALSE)))*EXP(-(LN(2)/$D$65+0.04)*AN197)*EXP(-(LN(2)/$D$65+0.1)*AO197),IF(AL197=3,AR$100*EXP(-(LN(2)/$D$65+0.04)*(VLOOKUP(($F$16-$F$15)-1,AK$100:AO197,4,FALSE)))*EXP(-(LN(2)/$D$65+0.1)*(VLOOKUP(($F$16-$F$15)-1,AK$100:AO197,5,FALSE)))*EXP(-(LN(2)/$D$65+0.04)*(VLOOKUP(($F$16-$F$15)*2-1,AK$100:AO197,4,FALSE)))*EXP(-(LN(2)/$D$65+0.1)*(VLOOKUP(($F$16-$F$15)*2-1,AK$100:AO197,5,FALSE)))*EXP(-(LN(2)/$D$65+0.04)*AN197)*EXP(-(LN(2)/$D$65+0.1)*AO197),"-"))),"-")</f>
        <v>-</v>
      </c>
      <c r="AS197" s="274">
        <f t="shared" si="114"/>
        <v>0</v>
      </c>
      <c r="AT197" s="274">
        <f t="shared" si="115"/>
        <v>0</v>
      </c>
      <c r="AU197" s="274">
        <f t="shared" si="116"/>
        <v>0</v>
      </c>
      <c r="AV197" s="190">
        <f>IF($B197&lt;$F$22,SUM($T$100:$T197),"")</f>
        <v>0</v>
      </c>
      <c r="AW197" s="190" t="str">
        <f t="shared" si="163"/>
        <v>-</v>
      </c>
      <c r="AX197" s="190" t="str">
        <f t="shared" si="142"/>
        <v/>
      </c>
      <c r="AY197"/>
      <c r="AZ197" s="190" t="str">
        <f ca="1">IF(ISNUMBER(OFFSET(AV197,-$F$21,0)),SUM(OFFSET($T$100,$F$21,0):$T197),"")</f>
        <v/>
      </c>
      <c r="BA197" s="190" t="str">
        <f t="shared" ca="1" si="164"/>
        <v/>
      </c>
      <c r="BB197" s="190" t="str">
        <f t="shared" ca="1" si="149"/>
        <v/>
      </c>
      <c r="BC197" s="190"/>
      <c r="BD197" s="190" t="str">
        <f ca="1">IFERROR(IF(AND($B197&gt;=($F$16-$F$15),$B197&lt;$F$22+($F$16-$F$15)),SUM(OFFSET($T$100,($F$16-$F$15),0):$T197),""),"")</f>
        <v/>
      </c>
      <c r="BE197" s="190" t="str">
        <f t="shared" ca="1" si="143"/>
        <v/>
      </c>
      <c r="BF197" s="190" t="str">
        <f t="shared" ca="1" si="144"/>
        <v/>
      </c>
      <c r="BG197"/>
      <c r="BH197" s="190" t="str">
        <f ca="1">IF(ISNUMBER(OFFSET(BD197,-$F$21,0)),SUM(OFFSET($T$100,($F$16-$F$15+$F$21),0):$T197),"")</f>
        <v/>
      </c>
      <c r="BI197" s="190" t="str">
        <f t="shared" ca="1" si="165"/>
        <v/>
      </c>
      <c r="BJ197" s="190" t="str">
        <f t="shared" ca="1" si="145"/>
        <v/>
      </c>
      <c r="BK197" s="190"/>
      <c r="BL197" s="190" t="str">
        <f ca="1">IFERROR(IF(AND($B197&gt;=($F$17-$F$15),$B197&lt;$F$22+($F$17-$F$15)),SUM(OFFSET($T$100,($F$17-$F$15),0):$T197),""),"")</f>
        <v/>
      </c>
      <c r="BM197" s="190" t="str">
        <f t="shared" ca="1" si="166"/>
        <v/>
      </c>
      <c r="BN197" s="190" t="str">
        <f t="shared" ca="1" si="146"/>
        <v/>
      </c>
      <c r="BO197"/>
      <c r="BP197" s="190" t="str">
        <f ca="1">IF(ISNUMBER(OFFSET(BL197,-$F$21,0)),SUM(OFFSET($T$100,($F$17-$F$15+$F$21),0):$T197),"")</f>
        <v/>
      </c>
      <c r="BQ197" s="190" t="str">
        <f t="shared" ca="1" si="167"/>
        <v/>
      </c>
      <c r="BR197" s="190" t="str">
        <f t="shared" ca="1" si="147"/>
        <v/>
      </c>
      <c r="BS197" s="190"/>
      <c r="BT197"/>
      <c r="BU197"/>
      <c r="BV197"/>
      <c r="BY197" s="99"/>
      <c r="BZ197" s="99"/>
      <c r="CA197" s="280" t="str">
        <f t="shared" si="168"/>
        <v/>
      </c>
      <c r="CB197" s="71" t="str">
        <f t="shared" si="123"/>
        <v>-</v>
      </c>
      <c r="CC197" s="33"/>
      <c r="CD197" s="261" t="str">
        <f t="shared" si="124"/>
        <v/>
      </c>
      <c r="CE197" s="280" t="str">
        <f t="shared" si="169"/>
        <v>-</v>
      </c>
      <c r="CF197" s="71" t="str">
        <f t="shared" ca="1" si="170"/>
        <v>-</v>
      </c>
      <c r="CG197" s="33" t="str">
        <f t="shared" si="127"/>
        <v>97-98</v>
      </c>
      <c r="CH197" s="261" t="str">
        <f t="shared" ca="1" si="128"/>
        <v/>
      </c>
    </row>
    <row r="198" spans="2:86" ht="13.5" customHeight="1" x14ac:dyDescent="0.2">
      <c r="B198" s="262">
        <v>98</v>
      </c>
      <c r="C198" s="237" t="str">
        <f t="shared" si="150"/>
        <v/>
      </c>
      <c r="D198" s="237" t="str">
        <f t="shared" si="148"/>
        <v>-</v>
      </c>
      <c r="E198" s="263" t="str">
        <f t="shared" si="129"/>
        <v/>
      </c>
      <c r="F198" s="264" t="str">
        <f t="shared" si="130"/>
        <v/>
      </c>
      <c r="G198" s="264" t="str">
        <f t="shared" si="131"/>
        <v/>
      </c>
      <c r="H198" s="240" t="str">
        <f t="shared" si="151"/>
        <v/>
      </c>
      <c r="I198" s="265" t="str">
        <f t="shared" si="152"/>
        <v/>
      </c>
      <c r="J198" s="265" t="str">
        <f t="shared" si="153"/>
        <v/>
      </c>
      <c r="K198" s="240" t="str">
        <f t="shared" si="154"/>
        <v/>
      </c>
      <c r="L198" s="265" t="str">
        <f t="shared" si="155"/>
        <v/>
      </c>
      <c r="M198" s="265" t="str">
        <f t="shared" si="156"/>
        <v/>
      </c>
      <c r="N198" s="240" t="str">
        <f t="shared" si="157"/>
        <v>-</v>
      </c>
      <c r="O198" s="265" t="str">
        <f t="shared" si="158"/>
        <v>-</v>
      </c>
      <c r="P198" s="265" t="str">
        <f t="shared" si="159"/>
        <v>-</v>
      </c>
      <c r="Q198" s="266" t="str">
        <f t="shared" si="160"/>
        <v>-</v>
      </c>
      <c r="R198" s="267" t="str">
        <f t="shared" si="161"/>
        <v>-</v>
      </c>
      <c r="S198" s="268" t="str">
        <f t="shared" si="162"/>
        <v>-</v>
      </c>
      <c r="T198" s="269" t="str">
        <f t="shared" si="105"/>
        <v/>
      </c>
      <c r="U198" s="221">
        <f t="shared" si="106"/>
        <v>98</v>
      </c>
      <c r="V198" s="220" t="str">
        <f t="shared" si="132"/>
        <v>-</v>
      </c>
      <c r="W198" s="221" t="str">
        <f t="shared" si="133"/>
        <v>-</v>
      </c>
      <c r="X198" s="221" t="str">
        <f t="shared" si="107"/>
        <v>-</v>
      </c>
      <c r="Y198" s="221" t="str">
        <f t="shared" si="108"/>
        <v>-</v>
      </c>
      <c r="Z198" s="270">
        <f t="shared" si="134"/>
        <v>0.1</v>
      </c>
      <c r="AA198" s="271" t="str">
        <f>IFERROR(IF(V197=1,AA$100*EXP(-(LN(2)/$D$65+0.04)*X197)*EXP(-(LN(2)/$D$65+0.1)*Y197),IF(V197=2,AA$100*EXP(-(LN(2)/$D$65+0.04)*(VLOOKUP(($F$16-$F$15)-1,U$99:Y197,4,FALSE)))*EXP(-(LN(2)/$D$65+0.1)*(VLOOKUP(($F$16-$F$15)-1,U$99:Y197,5,FALSE)))*EXP(-(LN(2)/$D$65+0.04)*X197)*EXP(-(LN(2)/$D$65+0.1)*Y197),IF(V197=3,AA$100*EXP(-(LN(2)/$D$65+0.04)*(VLOOKUP(($F$16-$F$15)-1,U$99:Y197,4,FALSE)))*EXP(-(LN(2)/$D$65+0.1)*(VLOOKUP(($F$16-$F$15)-1,U$99:Y197,5,FALSE)))*EXP(-(LN(2)/$D$65+0.04)*(VLOOKUP(($F$16-$F$15)*2-1,U$99:Y197,4,FALSE)))*EXP(-(LN(2)/$D$65+0.1)*(VLOOKUP(($F$16-$F$15)*2-1,U$99:Y197,5,FALSE)))*EXP(-(LN(2)/$D$65+0.04)*X197)*EXP(-(LN(2)/$D$65+0.1)*Y197),"-"))),"-")</f>
        <v>-</v>
      </c>
      <c r="AB198" s="271" t="str">
        <f>IFERROR(IF(V198=1,AB$100*EXP(-(LN(2)/$D$65+0.04)*X198)*EXP(-(LN(2)/$D$65+0.1)*Y198),IF(V198=2,AB$100*EXP(-(LN(2)/$D$65+0.04)*(VLOOKUP(($F$16-$F$15)-1,U$100:Y198,4,FALSE)))*EXP(-(LN(2)/$D$65+0.1)*(VLOOKUP(($F$16-$F$15)-1,U$100:Y198,5,FALSE)))*EXP(-(LN(2)/$D$65+0.04)*X198)*EXP(-(LN(2)/$D$65+0.1)*Y198),IF(V198=3,AB$100*EXP(-(LN(2)/$D$65+0.04)*(VLOOKUP(($F$16-$F$15)-1,U$100:Y198,4,FALSE)))*EXP(-(LN(2)/$D$65+0.1)*(VLOOKUP(($F$16-$F$15)-1,U$100:Y198,5,FALSE)))*EXP(-(LN(2)/$D$65+0.04)*(VLOOKUP(($F$16-$F$15)*2-1,U$100:Y198,4,FALSE)))*EXP(-(LN(2)/$D$65+0.1)*(VLOOKUP(($F$16-$F$15)*2-1,U$100:Y198,5,FALSE)))*EXP(-(LN(2)/$D$65+0.04)*X198)*EXP(-(LN(2)/$D$65+0.1)*Y198),"-"))),"-")</f>
        <v>-</v>
      </c>
      <c r="AC198" s="224">
        <f t="shared" si="135"/>
        <v>98</v>
      </c>
      <c r="AD198" s="223" t="str">
        <f t="shared" si="109"/>
        <v>-</v>
      </c>
      <c r="AE198" s="224" t="str">
        <f t="shared" si="136"/>
        <v>-</v>
      </c>
      <c r="AF198" s="224" t="str">
        <f t="shared" si="110"/>
        <v>-</v>
      </c>
      <c r="AG198" s="224" t="str">
        <f t="shared" si="111"/>
        <v>-</v>
      </c>
      <c r="AH198" s="272">
        <f t="shared" si="137"/>
        <v>0.1</v>
      </c>
      <c r="AI198" s="271" t="str">
        <f>IFERROR(IF(AD197=1,AI$100*EXP(-(LN(2)/$D$65+0.04)*AF197)*EXP(-(LN(2)/$D$65+0.1)*AG197),IF(AD197=2,AI$100*EXP(-(LN(2)/$D$65+0.04)*(VLOOKUP(($F$16-$F$15)-1,AC$99:AG197,4,FALSE)))*EXP(-(LN(2)/$D$65+0.1)*(VLOOKUP(($F$16-$F$15)-1,AC$99:AG197,5,FALSE)))*EXP(-(LN(2)/$D$65+0.04)*AF197)*EXP(-(LN(2)/$D$65+0.1)*AG197),IF(AD197=3,AI$100*EXP(-(LN(2)/$D$65+0.04)*(VLOOKUP(($F$16-$F$15)-1,AC$99:AG197,4,FALSE)))*EXP(-(LN(2)/$D$65+0.1)*(VLOOKUP(($F$16-$F$15)-1,AC$99:AG197,5,FALSE)))*EXP(-(LN(2)/$D$65+0.04)*(VLOOKUP(($F$16-$F$15)*2-1,AC$99:AG197,4,FALSE)))*EXP(-(LN(2)/$D$65+0.1)*(VLOOKUP(($F$16-$F$15)*2-1,AC$99:AG197,5,FALSE)))*EXP(-(LN(2)/$D$65+0.04)*AF197)*EXP(-(LN(2)/$D$65+0.1)*AG197),"-"))),"-")</f>
        <v>-</v>
      </c>
      <c r="AJ198" s="271" t="str">
        <f>IFERROR(IF(AD198=1,AJ$100*EXP(-(LN(2)/$D$65+0.04)*AF198)*EXP(-(LN(2)/$D$65+0.1)*AG198),IF(AD198=2,AJ$100*EXP(-(LN(2)/$D$65+0.04)*(VLOOKUP(($F$16-$F$15)-1,AC$100:AG198,4,FALSE)))*EXP(-(LN(2)/$D$65+0.1)*(VLOOKUP(($F$16-$F$15)-1,AC$100:AG198,5,FALSE)))*EXP(-(LN(2)/$D$65+0.04)*AF198)*EXP(-(LN(2)/$D$65+0.1)*AG198),IF(AD198=3,AJ$100*EXP(-(LN(2)/$D$65+0.04)*(VLOOKUP(($F$16-$F$15)-1,AC$100:AG198,4,FALSE)))*EXP(-(LN(2)/$D$65+0.1)*(VLOOKUP(($F$16-$F$15)-1,AC$100:AG198,5,FALSE)))*EXP(-(LN(2)/$D$65+0.04)*(VLOOKUP(($F$16-$F$15)*2-1,AC$100:AG198,4,FALSE)))*EXP(-(LN(2)/$D$65+0.1)*(VLOOKUP(($F$16-$F$15)*2-1,AC$100:AG198,5,FALSE)))*EXP(-(LN(2)/$D$65+0.04)*AF198)*EXP(-(LN(2)/$D$65+0.1)*AG198),"-"))),"-")</f>
        <v>-</v>
      </c>
      <c r="AK198" s="227">
        <f t="shared" si="138"/>
        <v>98</v>
      </c>
      <c r="AL198" s="226" t="str">
        <f t="shared" si="112"/>
        <v>-</v>
      </c>
      <c r="AM198" s="227" t="str">
        <f t="shared" si="139"/>
        <v>-</v>
      </c>
      <c r="AN198" s="227" t="str">
        <f t="shared" si="140"/>
        <v>-</v>
      </c>
      <c r="AO198" s="227" t="str">
        <f t="shared" si="113"/>
        <v>-</v>
      </c>
      <c r="AP198" s="273">
        <f t="shared" si="141"/>
        <v>0.1</v>
      </c>
      <c r="AQ198" s="271" t="str">
        <f>IFERROR(IF(AL197=1,AQ$100*EXP(-(LN(2)/$D$65+0.04)*AN197)*EXP(-(LN(2)/$D$65+0.1)*AO197),IF(AL197=2,AQ$100*EXP(-(LN(2)/$D$65+0.04)*(VLOOKUP(($F$16-$F$15)-1,AK$99:AO197,4,FALSE)))*EXP(-(LN(2)/$D$65+0.1)*(VLOOKUP(($F$16-$F$15)-1,AK$99:AO197,5,FALSE)))*EXP(-(LN(2)/$D$65+0.04)*AN197)*EXP(-(LN(2)/$D$65+0.1)*AO197),IF(AL197=3,AQ$100*EXP(-(LN(2)/$D$65+0.04)*(VLOOKUP(($F$16-$F$15)-1,AK$99:AO197,4,FALSE)))*EXP(-(LN(2)/$D$65+0.1)*(VLOOKUP(($F$16-$F$15)-1,AK$99:AO197,5,FALSE)))*EXP(-(LN(2)/$D$65+0.04)*(VLOOKUP(($F$16-$F$15)*2-1,AK$99:AO197,4,FALSE)))*EXP(-(LN(2)/$D$65+0.1)*(VLOOKUP(($F$16-$F$15)*2-1,AK$99:AO197,5,FALSE)))*EXP(-(LN(2)/$D$65+0.04)*AN197)*EXP(-(LN(2)/$D$65+0.1)*AO197),"-"))),"-")</f>
        <v>-</v>
      </c>
      <c r="AR198" s="271" t="str">
        <f>IFERROR(IF(AL198=1,AR$100*EXP(-(LN(2)/$D$65+0.04)*AN198)*EXP(-(LN(2)/$D$65+0.1)*AO198),IF(AL198=2,AR$100*EXP(-(LN(2)/$D$65+0.04)*(VLOOKUP(($F$16-$F$15)-1,AK$100:AO198,4,FALSE)))*EXP(-(LN(2)/$D$65+0.1)*(VLOOKUP(($F$16-$F$15)-1,AK$100:AO198,5,FALSE)))*EXP(-(LN(2)/$D$65+0.04)*AN198)*EXP(-(LN(2)/$D$65+0.1)*AO198),IF(AL198=3,AR$100*EXP(-(LN(2)/$D$65+0.04)*(VLOOKUP(($F$16-$F$15)-1,AK$100:AO198,4,FALSE)))*EXP(-(LN(2)/$D$65+0.1)*(VLOOKUP(($F$16-$F$15)-1,AK$100:AO198,5,FALSE)))*EXP(-(LN(2)/$D$65+0.04)*(VLOOKUP(($F$16-$F$15)*2-1,AK$100:AO198,4,FALSE)))*EXP(-(LN(2)/$D$65+0.1)*(VLOOKUP(($F$16-$F$15)*2-1,AK$100:AO198,5,FALSE)))*EXP(-(LN(2)/$D$65+0.04)*AN198)*EXP(-(LN(2)/$D$65+0.1)*AO198),"-"))),"-")</f>
        <v>-</v>
      </c>
      <c r="AS198" s="274">
        <f t="shared" si="114"/>
        <v>0</v>
      </c>
      <c r="AT198" s="274">
        <f t="shared" si="115"/>
        <v>0</v>
      </c>
      <c r="AU198" s="274">
        <f t="shared" si="116"/>
        <v>0</v>
      </c>
      <c r="AV198" s="190">
        <f>IF($B198&lt;$F$22,SUM($T$100:$T198),"")</f>
        <v>0</v>
      </c>
      <c r="AW198" s="190" t="str">
        <f t="shared" si="163"/>
        <v>-</v>
      </c>
      <c r="AX198" s="190" t="str">
        <f t="shared" si="142"/>
        <v/>
      </c>
      <c r="AY198"/>
      <c r="AZ198" s="190" t="str">
        <f ca="1">IF(ISNUMBER(OFFSET(AV198,-$F$21,0)),SUM(OFFSET($T$100,$F$21,0):$T198),"")</f>
        <v/>
      </c>
      <c r="BA198" s="190" t="str">
        <f t="shared" ca="1" si="164"/>
        <v/>
      </c>
      <c r="BB198" s="190" t="str">
        <f t="shared" ca="1" si="149"/>
        <v/>
      </c>
      <c r="BC198" s="190"/>
      <c r="BD198" s="190" t="str">
        <f ca="1">IFERROR(IF(AND($B198&gt;=($F$16-$F$15),$B198&lt;$F$22+($F$16-$F$15)),SUM(OFFSET($T$100,($F$16-$F$15),0):$T198),""),"")</f>
        <v/>
      </c>
      <c r="BE198" s="190" t="str">
        <f t="shared" ca="1" si="143"/>
        <v/>
      </c>
      <c r="BF198" s="190" t="str">
        <f t="shared" ca="1" si="144"/>
        <v/>
      </c>
      <c r="BG198"/>
      <c r="BH198" s="190" t="str">
        <f ca="1">IF(ISNUMBER(OFFSET(BD198,-$F$21,0)),SUM(OFFSET($T$100,($F$16-$F$15+$F$21),0):$T198),"")</f>
        <v/>
      </c>
      <c r="BI198" s="190" t="str">
        <f t="shared" ca="1" si="165"/>
        <v/>
      </c>
      <c r="BJ198" s="190" t="str">
        <f t="shared" ca="1" si="145"/>
        <v/>
      </c>
      <c r="BK198" s="190"/>
      <c r="BL198" s="190" t="str">
        <f ca="1">IFERROR(IF(AND($B198&gt;=($F$17-$F$15),$B198&lt;$F$22+($F$17-$F$15)),SUM(OFFSET($T$100,($F$17-$F$15),0):$T198),""),"")</f>
        <v/>
      </c>
      <c r="BM198" s="190" t="str">
        <f t="shared" ca="1" si="166"/>
        <v/>
      </c>
      <c r="BN198" s="190" t="str">
        <f t="shared" ca="1" si="146"/>
        <v/>
      </c>
      <c r="BO198"/>
      <c r="BP198" s="190" t="str">
        <f ca="1">IF(ISNUMBER(OFFSET(BL198,-$F$21,0)),SUM(OFFSET($T$100,($F$17-$F$15+$F$21),0):$T198),"")</f>
        <v/>
      </c>
      <c r="BQ198" s="190" t="str">
        <f t="shared" ca="1" si="167"/>
        <v/>
      </c>
      <c r="BR198" s="190" t="str">
        <f t="shared" ca="1" si="147"/>
        <v/>
      </c>
      <c r="BS198" s="190"/>
      <c r="BT198"/>
      <c r="BU198"/>
      <c r="BV198"/>
      <c r="BY198" s="99"/>
      <c r="BZ198" s="99"/>
      <c r="CA198" s="280" t="str">
        <f t="shared" si="168"/>
        <v/>
      </c>
      <c r="CB198" s="71" t="str">
        <f t="shared" si="123"/>
        <v>-</v>
      </c>
      <c r="CC198" s="33"/>
      <c r="CD198" s="261" t="str">
        <f t="shared" si="124"/>
        <v/>
      </c>
      <c r="CE198" s="280" t="str">
        <f t="shared" si="169"/>
        <v>-</v>
      </c>
      <c r="CF198" s="71" t="str">
        <f t="shared" ca="1" si="170"/>
        <v>-</v>
      </c>
      <c r="CG198" s="33" t="str">
        <f t="shared" si="127"/>
        <v>98-99</v>
      </c>
      <c r="CH198" s="261" t="str">
        <f t="shared" ca="1" si="128"/>
        <v/>
      </c>
    </row>
    <row r="199" spans="2:86" ht="13.5" customHeight="1" x14ac:dyDescent="0.2">
      <c r="B199" s="262">
        <v>99</v>
      </c>
      <c r="C199" s="237" t="str">
        <f t="shared" si="150"/>
        <v/>
      </c>
      <c r="D199" s="237" t="str">
        <f t="shared" si="148"/>
        <v>-</v>
      </c>
      <c r="E199" s="263" t="str">
        <f t="shared" si="129"/>
        <v/>
      </c>
      <c r="F199" s="264" t="str">
        <f t="shared" si="130"/>
        <v/>
      </c>
      <c r="G199" s="264" t="str">
        <f t="shared" si="131"/>
        <v/>
      </c>
      <c r="H199" s="240" t="str">
        <f t="shared" si="151"/>
        <v/>
      </c>
      <c r="I199" s="265" t="str">
        <f t="shared" si="152"/>
        <v/>
      </c>
      <c r="J199" s="265" t="str">
        <f t="shared" si="153"/>
        <v/>
      </c>
      <c r="K199" s="240" t="str">
        <f t="shared" si="154"/>
        <v/>
      </c>
      <c r="L199" s="265" t="str">
        <f t="shared" si="155"/>
        <v/>
      </c>
      <c r="M199" s="265" t="str">
        <f t="shared" si="156"/>
        <v/>
      </c>
      <c r="N199" s="240" t="str">
        <f t="shared" si="157"/>
        <v>-</v>
      </c>
      <c r="O199" s="265" t="str">
        <f t="shared" si="158"/>
        <v>-</v>
      </c>
      <c r="P199" s="265" t="str">
        <f t="shared" si="159"/>
        <v>-</v>
      </c>
      <c r="Q199" s="266" t="str">
        <f t="shared" si="160"/>
        <v>-</v>
      </c>
      <c r="R199" s="267" t="str">
        <f t="shared" si="161"/>
        <v>-</v>
      </c>
      <c r="S199" s="268" t="str">
        <f t="shared" si="162"/>
        <v>-</v>
      </c>
      <c r="T199" s="269" t="str">
        <f t="shared" si="105"/>
        <v/>
      </c>
      <c r="U199" s="221">
        <f t="shared" si="106"/>
        <v>99</v>
      </c>
      <c r="V199" s="220" t="str">
        <f t="shared" si="132"/>
        <v>-</v>
      </c>
      <c r="W199" s="221" t="str">
        <f t="shared" si="133"/>
        <v>-</v>
      </c>
      <c r="X199" s="221" t="str">
        <f t="shared" si="107"/>
        <v>-</v>
      </c>
      <c r="Y199" s="221" t="str">
        <f t="shared" si="108"/>
        <v>-</v>
      </c>
      <c r="Z199" s="270">
        <f t="shared" si="134"/>
        <v>0.1</v>
      </c>
      <c r="AA199" s="271" t="str">
        <f>IFERROR(IF(V198=1,AA$100*EXP(-(LN(2)/$D$65+0.04)*X198)*EXP(-(LN(2)/$D$65+0.1)*Y198),IF(V198=2,AA$100*EXP(-(LN(2)/$D$65+0.04)*(VLOOKUP(($F$16-$F$15)-1,U$99:Y198,4,FALSE)))*EXP(-(LN(2)/$D$65+0.1)*(VLOOKUP(($F$16-$F$15)-1,U$99:Y198,5,FALSE)))*EXP(-(LN(2)/$D$65+0.04)*X198)*EXP(-(LN(2)/$D$65+0.1)*Y198),IF(V198=3,AA$100*EXP(-(LN(2)/$D$65+0.04)*(VLOOKUP(($F$16-$F$15)-1,U$99:Y198,4,FALSE)))*EXP(-(LN(2)/$D$65+0.1)*(VLOOKUP(($F$16-$F$15)-1,U$99:Y198,5,FALSE)))*EXP(-(LN(2)/$D$65+0.04)*(VLOOKUP(($F$16-$F$15)*2-1,U$99:Y198,4,FALSE)))*EXP(-(LN(2)/$D$65+0.1)*(VLOOKUP(($F$16-$F$15)*2-1,U$99:Y198,5,FALSE)))*EXP(-(LN(2)/$D$65+0.04)*X198)*EXP(-(LN(2)/$D$65+0.1)*Y198),"-"))),"-")</f>
        <v>-</v>
      </c>
      <c r="AB199" s="271" t="str">
        <f>IFERROR(IF(V199=1,AB$100*EXP(-(LN(2)/$D$65+0.04)*X199)*EXP(-(LN(2)/$D$65+0.1)*Y199),IF(V199=2,AB$100*EXP(-(LN(2)/$D$65+0.04)*(VLOOKUP(($F$16-$F$15)-1,U$100:Y199,4,FALSE)))*EXP(-(LN(2)/$D$65+0.1)*(VLOOKUP(($F$16-$F$15)-1,U$100:Y199,5,FALSE)))*EXP(-(LN(2)/$D$65+0.04)*X199)*EXP(-(LN(2)/$D$65+0.1)*Y199),IF(V199=3,AB$100*EXP(-(LN(2)/$D$65+0.04)*(VLOOKUP(($F$16-$F$15)-1,U$100:Y199,4,FALSE)))*EXP(-(LN(2)/$D$65+0.1)*(VLOOKUP(($F$16-$F$15)-1,U$100:Y199,5,FALSE)))*EXP(-(LN(2)/$D$65+0.04)*(VLOOKUP(($F$16-$F$15)*2-1,U$100:Y199,4,FALSE)))*EXP(-(LN(2)/$D$65+0.1)*(VLOOKUP(($F$16-$F$15)*2-1,U$100:Y199,5,FALSE)))*EXP(-(LN(2)/$D$65+0.04)*X199)*EXP(-(LN(2)/$D$65+0.1)*Y199),"-"))),"-")</f>
        <v>-</v>
      </c>
      <c r="AC199" s="224">
        <f t="shared" si="135"/>
        <v>99</v>
      </c>
      <c r="AD199" s="223" t="str">
        <f t="shared" si="109"/>
        <v>-</v>
      </c>
      <c r="AE199" s="224" t="str">
        <f t="shared" si="136"/>
        <v>-</v>
      </c>
      <c r="AF199" s="224" t="str">
        <f t="shared" si="110"/>
        <v>-</v>
      </c>
      <c r="AG199" s="224" t="str">
        <f t="shared" si="111"/>
        <v>-</v>
      </c>
      <c r="AH199" s="272">
        <f t="shared" si="137"/>
        <v>0.1</v>
      </c>
      <c r="AI199" s="271" t="str">
        <f>IFERROR(IF(AD198=1,AI$100*EXP(-(LN(2)/$D$65+0.04)*AF198)*EXP(-(LN(2)/$D$65+0.1)*AG198),IF(AD198=2,AI$100*EXP(-(LN(2)/$D$65+0.04)*(VLOOKUP(($F$16-$F$15)-1,AC$99:AG198,4,FALSE)))*EXP(-(LN(2)/$D$65+0.1)*(VLOOKUP(($F$16-$F$15)-1,AC$99:AG198,5,FALSE)))*EXP(-(LN(2)/$D$65+0.04)*AF198)*EXP(-(LN(2)/$D$65+0.1)*AG198),IF(AD198=3,AI$100*EXP(-(LN(2)/$D$65+0.04)*(VLOOKUP(($F$16-$F$15)-1,AC$99:AG198,4,FALSE)))*EXP(-(LN(2)/$D$65+0.1)*(VLOOKUP(($F$16-$F$15)-1,AC$99:AG198,5,FALSE)))*EXP(-(LN(2)/$D$65+0.04)*(VLOOKUP(($F$16-$F$15)*2-1,AC$99:AG198,4,FALSE)))*EXP(-(LN(2)/$D$65+0.1)*(VLOOKUP(($F$16-$F$15)*2-1,AC$99:AG198,5,FALSE)))*EXP(-(LN(2)/$D$65+0.04)*AF198)*EXP(-(LN(2)/$D$65+0.1)*AG198),"-"))),"-")</f>
        <v>-</v>
      </c>
      <c r="AJ199" s="271" t="str">
        <f>IFERROR(IF(AD199=1,AJ$100*EXP(-(LN(2)/$D$65+0.04)*AF199)*EXP(-(LN(2)/$D$65+0.1)*AG199),IF(AD199=2,AJ$100*EXP(-(LN(2)/$D$65+0.04)*(VLOOKUP(($F$16-$F$15)-1,AC$100:AG199,4,FALSE)))*EXP(-(LN(2)/$D$65+0.1)*(VLOOKUP(($F$16-$F$15)-1,AC$100:AG199,5,FALSE)))*EXP(-(LN(2)/$D$65+0.04)*AF199)*EXP(-(LN(2)/$D$65+0.1)*AG199),IF(AD199=3,AJ$100*EXP(-(LN(2)/$D$65+0.04)*(VLOOKUP(($F$16-$F$15)-1,AC$100:AG199,4,FALSE)))*EXP(-(LN(2)/$D$65+0.1)*(VLOOKUP(($F$16-$F$15)-1,AC$100:AG199,5,FALSE)))*EXP(-(LN(2)/$D$65+0.04)*(VLOOKUP(($F$16-$F$15)*2-1,AC$100:AG199,4,FALSE)))*EXP(-(LN(2)/$D$65+0.1)*(VLOOKUP(($F$16-$F$15)*2-1,AC$100:AG199,5,FALSE)))*EXP(-(LN(2)/$D$65+0.04)*AF199)*EXP(-(LN(2)/$D$65+0.1)*AG199),"-"))),"-")</f>
        <v>-</v>
      </c>
      <c r="AK199" s="227">
        <f t="shared" si="138"/>
        <v>99</v>
      </c>
      <c r="AL199" s="226" t="str">
        <f t="shared" si="112"/>
        <v>-</v>
      </c>
      <c r="AM199" s="227" t="str">
        <f t="shared" si="139"/>
        <v>-</v>
      </c>
      <c r="AN199" s="227" t="str">
        <f t="shared" si="140"/>
        <v>-</v>
      </c>
      <c r="AO199" s="227" t="str">
        <f t="shared" si="113"/>
        <v>-</v>
      </c>
      <c r="AP199" s="273">
        <f t="shared" si="141"/>
        <v>0.1</v>
      </c>
      <c r="AQ199" s="271" t="str">
        <f>IFERROR(IF(AL198=1,AQ$100*EXP(-(LN(2)/$D$65+0.04)*AN198)*EXP(-(LN(2)/$D$65+0.1)*AO198),IF(AL198=2,AQ$100*EXP(-(LN(2)/$D$65+0.04)*(VLOOKUP(($F$16-$F$15)-1,AK$99:AO198,4,FALSE)))*EXP(-(LN(2)/$D$65+0.1)*(VLOOKUP(($F$16-$F$15)-1,AK$99:AO198,5,FALSE)))*EXP(-(LN(2)/$D$65+0.04)*AN198)*EXP(-(LN(2)/$D$65+0.1)*AO198),IF(AL198=3,AQ$100*EXP(-(LN(2)/$D$65+0.04)*(VLOOKUP(($F$16-$F$15)-1,AK$99:AO198,4,FALSE)))*EXP(-(LN(2)/$D$65+0.1)*(VLOOKUP(($F$16-$F$15)-1,AK$99:AO198,5,FALSE)))*EXP(-(LN(2)/$D$65+0.04)*(VLOOKUP(($F$16-$F$15)*2-1,AK$99:AO198,4,FALSE)))*EXP(-(LN(2)/$D$65+0.1)*(VLOOKUP(($F$16-$F$15)*2-1,AK$99:AO198,5,FALSE)))*EXP(-(LN(2)/$D$65+0.04)*AN198)*EXP(-(LN(2)/$D$65+0.1)*AO198),"-"))),"-")</f>
        <v>-</v>
      </c>
      <c r="AR199" s="271" t="str">
        <f>IFERROR(IF(AL199=1,AR$100*EXP(-(LN(2)/$D$65+0.04)*AN199)*EXP(-(LN(2)/$D$65+0.1)*AO199),IF(AL199=2,AR$100*EXP(-(LN(2)/$D$65+0.04)*(VLOOKUP(($F$16-$F$15)-1,AK$100:AO199,4,FALSE)))*EXP(-(LN(2)/$D$65+0.1)*(VLOOKUP(($F$16-$F$15)-1,AK$100:AO199,5,FALSE)))*EXP(-(LN(2)/$D$65+0.04)*AN199)*EXP(-(LN(2)/$D$65+0.1)*AO199),IF(AL199=3,AR$100*EXP(-(LN(2)/$D$65+0.04)*(VLOOKUP(($F$16-$F$15)-1,AK$100:AO199,4,FALSE)))*EXP(-(LN(2)/$D$65+0.1)*(VLOOKUP(($F$16-$F$15)-1,AK$100:AO199,5,FALSE)))*EXP(-(LN(2)/$D$65+0.04)*(VLOOKUP(($F$16-$F$15)*2-1,AK$100:AO199,4,FALSE)))*EXP(-(LN(2)/$D$65+0.1)*(VLOOKUP(($F$16-$F$15)*2-1,AK$100:AO199,5,FALSE)))*EXP(-(LN(2)/$D$65+0.04)*AN199)*EXP(-(LN(2)/$D$65+0.1)*AO199),"-"))),"-")</f>
        <v>-</v>
      </c>
      <c r="AS199" s="274">
        <f t="shared" si="114"/>
        <v>0</v>
      </c>
      <c r="AT199" s="274">
        <f t="shared" si="115"/>
        <v>0</v>
      </c>
      <c r="AU199" s="274">
        <f t="shared" si="116"/>
        <v>0</v>
      </c>
      <c r="AV199" s="190">
        <f>IF($B199&lt;$F$22,SUM($T$100:$T199),"")</f>
        <v>0</v>
      </c>
      <c r="AW199" s="190" t="str">
        <f t="shared" si="163"/>
        <v>-</v>
      </c>
      <c r="AX199" s="190" t="str">
        <f t="shared" si="142"/>
        <v/>
      </c>
      <c r="AY199"/>
      <c r="AZ199" s="190" t="str">
        <f ca="1">IF(ISNUMBER(OFFSET(AV199,-$F$21,0)),SUM(OFFSET($T$100,$F$21,0):$T199),"")</f>
        <v/>
      </c>
      <c r="BA199" s="190" t="str">
        <f t="shared" ca="1" si="164"/>
        <v/>
      </c>
      <c r="BB199" s="190" t="str">
        <f t="shared" ca="1" si="149"/>
        <v/>
      </c>
      <c r="BC199" s="190"/>
      <c r="BD199" s="190" t="str">
        <f ca="1">IFERROR(IF(AND($B199&gt;=($F$16-$F$15),$B199&lt;$F$22+($F$16-$F$15)),SUM(OFFSET($T$100,($F$16-$F$15),0):$T199),""),"")</f>
        <v/>
      </c>
      <c r="BE199" s="190" t="str">
        <f t="shared" ca="1" si="143"/>
        <v/>
      </c>
      <c r="BF199" s="190" t="str">
        <f t="shared" ca="1" si="144"/>
        <v/>
      </c>
      <c r="BG199"/>
      <c r="BH199" s="190" t="str">
        <f ca="1">IF(ISNUMBER(OFFSET(BD199,-$F$21,0)),SUM(OFFSET($T$100,($F$16-$F$15+$F$21),0):$T199),"")</f>
        <v/>
      </c>
      <c r="BI199" s="190" t="str">
        <f t="shared" ca="1" si="165"/>
        <v/>
      </c>
      <c r="BJ199" s="190" t="str">
        <f t="shared" ca="1" si="145"/>
        <v/>
      </c>
      <c r="BK199" s="190"/>
      <c r="BL199" s="190" t="str">
        <f ca="1">IFERROR(IF(AND($B199&gt;=($F$17-$F$15),$B199&lt;$F$22+($F$17-$F$15)),SUM(OFFSET($T$100,($F$17-$F$15),0):$T199),""),"")</f>
        <v/>
      </c>
      <c r="BM199" s="190" t="str">
        <f t="shared" ca="1" si="166"/>
        <v/>
      </c>
      <c r="BN199" s="190" t="str">
        <f t="shared" ca="1" si="146"/>
        <v/>
      </c>
      <c r="BO199"/>
      <c r="BP199" s="190" t="str">
        <f ca="1">IF(ISNUMBER(OFFSET(BL199,-$F$21,0)),SUM(OFFSET($T$100,($F$17-$F$15+$F$21),0):$T199),"")</f>
        <v/>
      </c>
      <c r="BQ199" s="190" t="str">
        <f t="shared" ca="1" si="167"/>
        <v/>
      </c>
      <c r="BR199" s="190" t="str">
        <f t="shared" ca="1" si="147"/>
        <v/>
      </c>
      <c r="BS199" s="190"/>
      <c r="BT199"/>
      <c r="BU199"/>
      <c r="BV199"/>
      <c r="BY199" s="99"/>
      <c r="BZ199" s="99"/>
      <c r="CA199" s="280" t="str">
        <f t="shared" si="168"/>
        <v/>
      </c>
      <c r="CB199" s="71" t="str">
        <f t="shared" si="123"/>
        <v>-</v>
      </c>
      <c r="CC199" s="33"/>
      <c r="CD199" s="261" t="str">
        <f t="shared" si="124"/>
        <v/>
      </c>
      <c r="CE199" s="280" t="str">
        <f t="shared" si="169"/>
        <v>-</v>
      </c>
      <c r="CF199" s="71" t="str">
        <f t="shared" ca="1" si="170"/>
        <v>-</v>
      </c>
      <c r="CG199" s="33" t="str">
        <f t="shared" si="127"/>
        <v>99-100</v>
      </c>
      <c r="CH199" s="261" t="str">
        <f t="shared" ca="1" si="128"/>
        <v/>
      </c>
    </row>
    <row r="200" spans="2:86" ht="13.5" customHeight="1" x14ac:dyDescent="0.2">
      <c r="B200" s="262">
        <v>100</v>
      </c>
      <c r="C200" s="237" t="str">
        <f t="shared" si="150"/>
        <v/>
      </c>
      <c r="D200" s="237" t="str">
        <f t="shared" si="148"/>
        <v>-</v>
      </c>
      <c r="E200" s="263" t="str">
        <f t="shared" si="129"/>
        <v/>
      </c>
      <c r="F200" s="264" t="str">
        <f t="shared" si="130"/>
        <v/>
      </c>
      <c r="G200" s="264" t="str">
        <f t="shared" si="131"/>
        <v/>
      </c>
      <c r="H200" s="240" t="str">
        <f t="shared" si="151"/>
        <v/>
      </c>
      <c r="I200" s="265" t="str">
        <f t="shared" si="152"/>
        <v/>
      </c>
      <c r="J200" s="265" t="str">
        <f t="shared" si="153"/>
        <v/>
      </c>
      <c r="K200" s="240" t="str">
        <f t="shared" si="154"/>
        <v/>
      </c>
      <c r="L200" s="265" t="str">
        <f t="shared" si="155"/>
        <v/>
      </c>
      <c r="M200" s="265" t="str">
        <f t="shared" si="156"/>
        <v/>
      </c>
      <c r="N200" s="240" t="str">
        <f t="shared" si="157"/>
        <v>-</v>
      </c>
      <c r="O200" s="265" t="str">
        <f t="shared" si="158"/>
        <v>-</v>
      </c>
      <c r="P200" s="265" t="str">
        <f t="shared" si="159"/>
        <v>-</v>
      </c>
      <c r="Q200" s="266" t="str">
        <f t="shared" si="160"/>
        <v>-</v>
      </c>
      <c r="R200" s="267" t="str">
        <f t="shared" si="161"/>
        <v>-</v>
      </c>
      <c r="S200" s="268" t="str">
        <f t="shared" si="162"/>
        <v>-</v>
      </c>
      <c r="T200" s="269" t="str">
        <f t="shared" si="105"/>
        <v/>
      </c>
      <c r="U200" s="221">
        <f t="shared" si="106"/>
        <v>100</v>
      </c>
      <c r="V200" s="220" t="str">
        <f t="shared" si="132"/>
        <v>-</v>
      </c>
      <c r="W200" s="221" t="str">
        <f t="shared" si="133"/>
        <v>-</v>
      </c>
      <c r="X200" s="221" t="str">
        <f t="shared" si="107"/>
        <v>-</v>
      </c>
      <c r="Y200" s="221" t="str">
        <f t="shared" si="108"/>
        <v>-</v>
      </c>
      <c r="Z200" s="270">
        <f t="shared" si="134"/>
        <v>0.1</v>
      </c>
      <c r="AA200" s="271" t="str">
        <f>IFERROR(IF(V199=1,AA$100*EXP(-(LN(2)/$D$65+0.04)*X199)*EXP(-(LN(2)/$D$65+0.1)*Y199),IF(V199=2,AA$100*EXP(-(LN(2)/$D$65+0.04)*(VLOOKUP(($F$16-$F$15)-1,U$99:Y199,4,FALSE)))*EXP(-(LN(2)/$D$65+0.1)*(VLOOKUP(($F$16-$F$15)-1,U$99:Y199,5,FALSE)))*EXP(-(LN(2)/$D$65+0.04)*X199)*EXP(-(LN(2)/$D$65+0.1)*Y199),IF(V199=3,AA$100*EXP(-(LN(2)/$D$65+0.04)*(VLOOKUP(($F$16-$F$15)-1,U$99:Y199,4,FALSE)))*EXP(-(LN(2)/$D$65+0.1)*(VLOOKUP(($F$16-$F$15)-1,U$99:Y199,5,FALSE)))*EXP(-(LN(2)/$D$65+0.04)*(VLOOKUP(($F$16-$F$15)*2-1,U$99:Y199,4,FALSE)))*EXP(-(LN(2)/$D$65+0.1)*(VLOOKUP(($F$16-$F$15)*2-1,U$99:Y199,5,FALSE)))*EXP(-(LN(2)/$D$65+0.04)*X199)*EXP(-(LN(2)/$D$65+0.1)*Y199),"-"))),"-")</f>
        <v>-</v>
      </c>
      <c r="AB200" s="271" t="str">
        <f>IFERROR(IF(V200=1,AB$100*EXP(-(LN(2)/$D$65+0.04)*X200)*EXP(-(LN(2)/$D$65+0.1)*Y200),IF(V200=2,AB$100*EXP(-(LN(2)/$D$65+0.04)*(VLOOKUP(($F$16-$F$15)-1,U$100:Y200,4,FALSE)))*EXP(-(LN(2)/$D$65+0.1)*(VLOOKUP(($F$16-$F$15)-1,U$100:Y200,5,FALSE)))*EXP(-(LN(2)/$D$65+0.04)*X200)*EXP(-(LN(2)/$D$65+0.1)*Y200),IF(V200=3,AB$100*EXP(-(LN(2)/$D$65+0.04)*(VLOOKUP(($F$16-$F$15)-1,U$100:Y200,4,FALSE)))*EXP(-(LN(2)/$D$65+0.1)*(VLOOKUP(($F$16-$F$15)-1,U$100:Y200,5,FALSE)))*EXP(-(LN(2)/$D$65+0.04)*(VLOOKUP(($F$16-$F$15)*2-1,U$100:Y200,4,FALSE)))*EXP(-(LN(2)/$D$65+0.1)*(VLOOKUP(($F$16-$F$15)*2-1,U$100:Y200,5,FALSE)))*EXP(-(LN(2)/$D$65+0.04)*X200)*EXP(-(LN(2)/$D$65+0.1)*Y200),"-"))),"-")</f>
        <v>-</v>
      </c>
      <c r="AC200" s="224">
        <f t="shared" si="135"/>
        <v>100</v>
      </c>
      <c r="AD200" s="223" t="str">
        <f t="shared" si="109"/>
        <v>-</v>
      </c>
      <c r="AE200" s="224" t="str">
        <f t="shared" si="136"/>
        <v>-</v>
      </c>
      <c r="AF200" s="224" t="str">
        <f t="shared" si="110"/>
        <v>-</v>
      </c>
      <c r="AG200" s="224" t="str">
        <f t="shared" si="111"/>
        <v>-</v>
      </c>
      <c r="AH200" s="272">
        <f t="shared" si="137"/>
        <v>0.1</v>
      </c>
      <c r="AI200" s="271" t="str">
        <f>IFERROR(IF(AD199=1,AI$100*EXP(-(LN(2)/$D$65+0.04)*AF199)*EXP(-(LN(2)/$D$65+0.1)*AG199),IF(AD199=2,AI$100*EXP(-(LN(2)/$D$65+0.04)*(VLOOKUP(($F$16-$F$15)-1,AC$99:AG199,4,FALSE)))*EXP(-(LN(2)/$D$65+0.1)*(VLOOKUP(($F$16-$F$15)-1,AC$99:AG199,5,FALSE)))*EXP(-(LN(2)/$D$65+0.04)*AF199)*EXP(-(LN(2)/$D$65+0.1)*AG199),IF(AD199=3,AI$100*EXP(-(LN(2)/$D$65+0.04)*(VLOOKUP(($F$16-$F$15)-1,AC$99:AG199,4,FALSE)))*EXP(-(LN(2)/$D$65+0.1)*(VLOOKUP(($F$16-$F$15)-1,AC$99:AG199,5,FALSE)))*EXP(-(LN(2)/$D$65+0.04)*(VLOOKUP(($F$16-$F$15)*2-1,AC$99:AG199,4,FALSE)))*EXP(-(LN(2)/$D$65+0.1)*(VLOOKUP(($F$16-$F$15)*2-1,AC$99:AG199,5,FALSE)))*EXP(-(LN(2)/$D$65+0.04)*AF199)*EXP(-(LN(2)/$D$65+0.1)*AG199),"-"))),"-")</f>
        <v>-</v>
      </c>
      <c r="AJ200" s="271" t="str">
        <f>IFERROR(IF(AD200=1,AJ$100*EXP(-(LN(2)/$D$65+0.04)*AF200)*EXP(-(LN(2)/$D$65+0.1)*AG200),IF(AD200=2,AJ$100*EXP(-(LN(2)/$D$65+0.04)*(VLOOKUP(($F$16-$F$15)-1,AC$100:AG200,4,FALSE)))*EXP(-(LN(2)/$D$65+0.1)*(VLOOKUP(($F$16-$F$15)-1,AC$100:AG200,5,FALSE)))*EXP(-(LN(2)/$D$65+0.04)*AF200)*EXP(-(LN(2)/$D$65+0.1)*AG200),IF(AD200=3,AJ$100*EXP(-(LN(2)/$D$65+0.04)*(VLOOKUP(($F$16-$F$15)-1,AC$100:AG200,4,FALSE)))*EXP(-(LN(2)/$D$65+0.1)*(VLOOKUP(($F$16-$F$15)-1,AC$100:AG200,5,FALSE)))*EXP(-(LN(2)/$D$65+0.04)*(VLOOKUP(($F$16-$F$15)*2-1,AC$100:AG200,4,FALSE)))*EXP(-(LN(2)/$D$65+0.1)*(VLOOKUP(($F$16-$F$15)*2-1,AC$100:AG200,5,FALSE)))*EXP(-(LN(2)/$D$65+0.04)*AF200)*EXP(-(LN(2)/$D$65+0.1)*AG200),"-"))),"-")</f>
        <v>-</v>
      </c>
      <c r="AK200" s="227">
        <f t="shared" si="138"/>
        <v>100</v>
      </c>
      <c r="AL200" s="226" t="str">
        <f t="shared" si="112"/>
        <v>-</v>
      </c>
      <c r="AM200" s="227" t="str">
        <f t="shared" si="139"/>
        <v>-</v>
      </c>
      <c r="AN200" s="227" t="str">
        <f t="shared" si="140"/>
        <v>-</v>
      </c>
      <c r="AO200" s="227" t="str">
        <f t="shared" si="113"/>
        <v>-</v>
      </c>
      <c r="AP200" s="273">
        <f t="shared" si="141"/>
        <v>0.1</v>
      </c>
      <c r="AQ200" s="271" t="str">
        <f>IFERROR(IF(AL199=1,AQ$100*EXP(-(LN(2)/$D$65+0.04)*AN199)*EXP(-(LN(2)/$D$65+0.1)*AO199),IF(AL199=2,AQ$100*EXP(-(LN(2)/$D$65+0.04)*(VLOOKUP(($F$16-$F$15)-1,AK$99:AO199,4,FALSE)))*EXP(-(LN(2)/$D$65+0.1)*(VLOOKUP(($F$16-$F$15)-1,AK$99:AO199,5,FALSE)))*EXP(-(LN(2)/$D$65+0.04)*AN199)*EXP(-(LN(2)/$D$65+0.1)*AO199),IF(AL199=3,AQ$100*EXP(-(LN(2)/$D$65+0.04)*(VLOOKUP(($F$16-$F$15)-1,AK$99:AO199,4,FALSE)))*EXP(-(LN(2)/$D$65+0.1)*(VLOOKUP(($F$16-$F$15)-1,AK$99:AO199,5,FALSE)))*EXP(-(LN(2)/$D$65+0.04)*(VLOOKUP(($F$16-$F$15)*2-1,AK$99:AO199,4,FALSE)))*EXP(-(LN(2)/$D$65+0.1)*(VLOOKUP(($F$16-$F$15)*2-1,AK$99:AO199,5,FALSE)))*EXP(-(LN(2)/$D$65+0.04)*AN199)*EXP(-(LN(2)/$D$65+0.1)*AO199),"-"))),"-")</f>
        <v>-</v>
      </c>
      <c r="AR200" s="271" t="str">
        <f>IFERROR(IF(AL200=1,AR$100*EXP(-(LN(2)/$D$65+0.04)*AN200)*EXP(-(LN(2)/$D$65+0.1)*AO200),IF(AL200=2,AR$100*EXP(-(LN(2)/$D$65+0.04)*(VLOOKUP(($F$16-$F$15)-1,AK$100:AO200,4,FALSE)))*EXP(-(LN(2)/$D$65+0.1)*(VLOOKUP(($F$16-$F$15)-1,AK$100:AO200,5,FALSE)))*EXP(-(LN(2)/$D$65+0.04)*AN200)*EXP(-(LN(2)/$D$65+0.1)*AO200),IF(AL200=3,AR$100*EXP(-(LN(2)/$D$65+0.04)*(VLOOKUP(($F$16-$F$15)-1,AK$100:AO200,4,FALSE)))*EXP(-(LN(2)/$D$65+0.1)*(VLOOKUP(($F$16-$F$15)-1,AK$100:AO200,5,FALSE)))*EXP(-(LN(2)/$D$65+0.04)*(VLOOKUP(($F$16-$F$15)*2-1,AK$100:AO200,4,FALSE)))*EXP(-(LN(2)/$D$65+0.1)*(VLOOKUP(($F$16-$F$15)*2-1,AK$100:AO200,5,FALSE)))*EXP(-(LN(2)/$D$65+0.04)*AN200)*EXP(-(LN(2)/$D$65+0.1)*AO200),"-"))),"-")</f>
        <v>-</v>
      </c>
      <c r="AS200" s="274">
        <f t="shared" si="114"/>
        <v>0</v>
      </c>
      <c r="AT200" s="274">
        <f t="shared" si="115"/>
        <v>0</v>
      </c>
      <c r="AU200" s="274">
        <f t="shared" si="116"/>
        <v>0</v>
      </c>
      <c r="AV200" s="190">
        <f>IF($B200&lt;$F$22,SUM($T$100:$T200),"")</f>
        <v>0</v>
      </c>
      <c r="AW200" s="190" t="str">
        <f t="shared" si="163"/>
        <v>-</v>
      </c>
      <c r="AX200" s="190" t="str">
        <f t="shared" si="142"/>
        <v/>
      </c>
      <c r="AY200"/>
      <c r="AZ200" s="190" t="str">
        <f ca="1">IF(ISNUMBER(OFFSET(AV200,-$F$21,0)),SUM(OFFSET($T$100,$F$21,0):$T200),"")</f>
        <v/>
      </c>
      <c r="BA200" s="190" t="str">
        <f t="shared" ca="1" si="164"/>
        <v/>
      </c>
      <c r="BB200" s="190" t="str">
        <f t="shared" ca="1" si="149"/>
        <v/>
      </c>
      <c r="BC200" s="190"/>
      <c r="BD200" s="190" t="str">
        <f ca="1">IFERROR(IF(AND($B200&gt;=($F$16-$F$15),$B200&lt;$F$22+($F$16-$F$15)),SUM(OFFSET($T$100,($F$16-$F$15),0):$T200),""),"")</f>
        <v/>
      </c>
      <c r="BE200" s="190" t="str">
        <f t="shared" ca="1" si="143"/>
        <v/>
      </c>
      <c r="BF200" s="190" t="str">
        <f t="shared" ca="1" si="144"/>
        <v/>
      </c>
      <c r="BG200"/>
      <c r="BH200" s="190" t="str">
        <f ca="1">IF(ISNUMBER(OFFSET(BD200,-$F$21,0)),SUM(OFFSET($T$100,($F$16-$F$15+$F$21),0):$T200),"")</f>
        <v/>
      </c>
      <c r="BI200" s="190" t="str">
        <f t="shared" ca="1" si="165"/>
        <v/>
      </c>
      <c r="BJ200" s="190" t="str">
        <f t="shared" ca="1" si="145"/>
        <v/>
      </c>
      <c r="BK200" s="190"/>
      <c r="BL200" s="190" t="str">
        <f ca="1">IFERROR(IF(AND($B200&gt;=($F$17-$F$15),$B200&lt;$F$22+($F$17-$F$15)),SUM(OFFSET($T$100,($F$17-$F$15),0):$T200),""),"")</f>
        <v/>
      </c>
      <c r="BM200" s="190" t="str">
        <f t="shared" ca="1" si="166"/>
        <v/>
      </c>
      <c r="BN200" s="190" t="str">
        <f t="shared" ca="1" si="146"/>
        <v/>
      </c>
      <c r="BO200"/>
      <c r="BP200" s="190" t="str">
        <f ca="1">IF(ISNUMBER(OFFSET(BL200,-$F$21,0)),SUM(OFFSET($T$100,($F$17-$F$15+$F$21),0):$T200),"")</f>
        <v/>
      </c>
      <c r="BQ200" s="190" t="str">
        <f t="shared" ca="1" si="167"/>
        <v/>
      </c>
      <c r="BR200" s="190" t="str">
        <f t="shared" ca="1" si="147"/>
        <v/>
      </c>
      <c r="BS200" s="190"/>
      <c r="BT200"/>
      <c r="BU200"/>
      <c r="BV200"/>
      <c r="BY200" s="99"/>
      <c r="BZ200" s="99"/>
      <c r="CA200" s="280" t="str">
        <f t="shared" si="168"/>
        <v/>
      </c>
      <c r="CB200" s="71" t="str">
        <f t="shared" si="123"/>
        <v>-</v>
      </c>
      <c r="CC200" s="33"/>
      <c r="CD200" s="261" t="str">
        <f t="shared" si="124"/>
        <v/>
      </c>
      <c r="CE200" s="280" t="str">
        <f t="shared" si="169"/>
        <v>-</v>
      </c>
      <c r="CF200" s="71" t="str">
        <f t="shared" ca="1" si="170"/>
        <v>-</v>
      </c>
      <c r="CG200" s="33" t="str">
        <f t="shared" si="127"/>
        <v>100-101</v>
      </c>
      <c r="CH200" s="261" t="str">
        <f t="shared" ca="1" si="128"/>
        <v/>
      </c>
    </row>
    <row r="201" spans="2:86" ht="13.5" customHeight="1" x14ac:dyDescent="0.2">
      <c r="B201" s="262">
        <v>101</v>
      </c>
      <c r="C201" s="237" t="str">
        <f t="shared" si="150"/>
        <v/>
      </c>
      <c r="D201" s="237" t="str">
        <f t="shared" si="148"/>
        <v>-</v>
      </c>
      <c r="E201" s="263" t="str">
        <f t="shared" si="129"/>
        <v/>
      </c>
      <c r="F201" s="264" t="str">
        <f t="shared" si="130"/>
        <v/>
      </c>
      <c r="G201" s="264" t="str">
        <f t="shared" si="131"/>
        <v/>
      </c>
      <c r="H201" s="240" t="str">
        <f t="shared" si="151"/>
        <v/>
      </c>
      <c r="I201" s="265" t="str">
        <f t="shared" si="152"/>
        <v/>
      </c>
      <c r="J201" s="265" t="str">
        <f t="shared" si="153"/>
        <v/>
      </c>
      <c r="K201" s="240" t="str">
        <f t="shared" si="154"/>
        <v/>
      </c>
      <c r="L201" s="265" t="str">
        <f t="shared" si="155"/>
        <v/>
      </c>
      <c r="M201" s="265" t="str">
        <f t="shared" si="156"/>
        <v/>
      </c>
      <c r="N201" s="240" t="str">
        <f t="shared" si="157"/>
        <v>-</v>
      </c>
      <c r="O201" s="265" t="str">
        <f t="shared" si="158"/>
        <v>-</v>
      </c>
      <c r="P201" s="265" t="str">
        <f t="shared" si="159"/>
        <v>-</v>
      </c>
      <c r="Q201" s="266" t="str">
        <f t="shared" si="160"/>
        <v>-</v>
      </c>
      <c r="R201" s="267" t="str">
        <f t="shared" si="161"/>
        <v>-</v>
      </c>
      <c r="S201" s="268" t="str">
        <f t="shared" si="162"/>
        <v>-</v>
      </c>
      <c r="T201" s="269" t="str">
        <f t="shared" si="105"/>
        <v/>
      </c>
      <c r="U201" s="221">
        <f t="shared" si="106"/>
        <v>101</v>
      </c>
      <c r="V201" s="220" t="str">
        <f t="shared" si="132"/>
        <v>-</v>
      </c>
      <c r="W201" s="221" t="str">
        <f t="shared" si="133"/>
        <v>-</v>
      </c>
      <c r="X201" s="221" t="str">
        <f t="shared" si="107"/>
        <v>-</v>
      </c>
      <c r="Y201" s="221" t="str">
        <f t="shared" si="108"/>
        <v>-</v>
      </c>
      <c r="Z201" s="270">
        <f t="shared" si="134"/>
        <v>0.1</v>
      </c>
      <c r="AA201" s="271" t="str">
        <f>IFERROR(IF(V200=1,AA$100*EXP(-(LN(2)/$D$65+0.04)*X200)*EXP(-(LN(2)/$D$65+0.1)*Y200),IF(V200=2,AA$100*EXP(-(LN(2)/$D$65+0.04)*(VLOOKUP(($F$16-$F$15)-1,U$99:Y200,4,FALSE)))*EXP(-(LN(2)/$D$65+0.1)*(VLOOKUP(($F$16-$F$15)-1,U$99:Y200,5,FALSE)))*EXP(-(LN(2)/$D$65+0.04)*X200)*EXP(-(LN(2)/$D$65+0.1)*Y200),IF(V200=3,AA$100*EXP(-(LN(2)/$D$65+0.04)*(VLOOKUP(($F$16-$F$15)-1,U$99:Y200,4,FALSE)))*EXP(-(LN(2)/$D$65+0.1)*(VLOOKUP(($F$16-$F$15)-1,U$99:Y200,5,FALSE)))*EXP(-(LN(2)/$D$65+0.04)*(VLOOKUP(($F$16-$F$15)*2-1,U$99:Y200,4,FALSE)))*EXP(-(LN(2)/$D$65+0.1)*(VLOOKUP(($F$16-$F$15)*2-1,U$99:Y200,5,FALSE)))*EXP(-(LN(2)/$D$65+0.04)*X200)*EXP(-(LN(2)/$D$65+0.1)*Y200),"-"))),"-")</f>
        <v>-</v>
      </c>
      <c r="AB201" s="271" t="str">
        <f>IFERROR(IF(V201=1,AB$100*EXP(-(LN(2)/$D$65+0.04)*X201)*EXP(-(LN(2)/$D$65+0.1)*Y201),IF(V201=2,AB$100*EXP(-(LN(2)/$D$65+0.04)*(VLOOKUP(($F$16-$F$15)-1,U$100:Y201,4,FALSE)))*EXP(-(LN(2)/$D$65+0.1)*(VLOOKUP(($F$16-$F$15)-1,U$100:Y201,5,FALSE)))*EXP(-(LN(2)/$D$65+0.04)*X201)*EXP(-(LN(2)/$D$65+0.1)*Y201),IF(V201=3,AB$100*EXP(-(LN(2)/$D$65+0.04)*(VLOOKUP(($F$16-$F$15)-1,U$100:Y201,4,FALSE)))*EXP(-(LN(2)/$D$65+0.1)*(VLOOKUP(($F$16-$F$15)-1,U$100:Y201,5,FALSE)))*EXP(-(LN(2)/$D$65+0.04)*(VLOOKUP(($F$16-$F$15)*2-1,U$100:Y201,4,FALSE)))*EXP(-(LN(2)/$D$65+0.1)*(VLOOKUP(($F$16-$F$15)*2-1,U$100:Y201,5,FALSE)))*EXP(-(LN(2)/$D$65+0.04)*X201)*EXP(-(LN(2)/$D$65+0.1)*Y201),"-"))),"-")</f>
        <v>-</v>
      </c>
      <c r="AC201" s="224">
        <f t="shared" si="135"/>
        <v>101</v>
      </c>
      <c r="AD201" s="223" t="str">
        <f t="shared" si="109"/>
        <v>-</v>
      </c>
      <c r="AE201" s="224" t="str">
        <f t="shared" si="136"/>
        <v>-</v>
      </c>
      <c r="AF201" s="224" t="str">
        <f t="shared" si="110"/>
        <v>-</v>
      </c>
      <c r="AG201" s="224" t="str">
        <f t="shared" si="111"/>
        <v>-</v>
      </c>
      <c r="AH201" s="272">
        <f t="shared" si="137"/>
        <v>0.1</v>
      </c>
      <c r="AI201" s="271" t="str">
        <f>IFERROR(IF(AD200=1,AI$100*EXP(-(LN(2)/$D$65+0.04)*AF200)*EXP(-(LN(2)/$D$65+0.1)*AG200),IF(AD200=2,AI$100*EXP(-(LN(2)/$D$65+0.04)*(VLOOKUP(($F$16-$F$15)-1,AC$99:AG200,4,FALSE)))*EXP(-(LN(2)/$D$65+0.1)*(VLOOKUP(($F$16-$F$15)-1,AC$99:AG200,5,FALSE)))*EXP(-(LN(2)/$D$65+0.04)*AF200)*EXP(-(LN(2)/$D$65+0.1)*AG200),IF(AD200=3,AI$100*EXP(-(LN(2)/$D$65+0.04)*(VLOOKUP(($F$16-$F$15)-1,AC$99:AG200,4,FALSE)))*EXP(-(LN(2)/$D$65+0.1)*(VLOOKUP(($F$16-$F$15)-1,AC$99:AG200,5,FALSE)))*EXP(-(LN(2)/$D$65+0.04)*(VLOOKUP(($F$16-$F$15)*2-1,AC$99:AG200,4,FALSE)))*EXP(-(LN(2)/$D$65+0.1)*(VLOOKUP(($F$16-$F$15)*2-1,AC$99:AG200,5,FALSE)))*EXP(-(LN(2)/$D$65+0.04)*AF200)*EXP(-(LN(2)/$D$65+0.1)*AG200),"-"))),"-")</f>
        <v>-</v>
      </c>
      <c r="AJ201" s="271" t="str">
        <f>IFERROR(IF(AD201=1,AJ$100*EXP(-(LN(2)/$D$65+0.04)*AF201)*EXP(-(LN(2)/$D$65+0.1)*AG201),IF(AD201=2,AJ$100*EXP(-(LN(2)/$D$65+0.04)*(VLOOKUP(($F$16-$F$15)-1,AC$100:AG201,4,FALSE)))*EXP(-(LN(2)/$D$65+0.1)*(VLOOKUP(($F$16-$F$15)-1,AC$100:AG201,5,FALSE)))*EXP(-(LN(2)/$D$65+0.04)*AF201)*EXP(-(LN(2)/$D$65+0.1)*AG201),IF(AD201=3,AJ$100*EXP(-(LN(2)/$D$65+0.04)*(VLOOKUP(($F$16-$F$15)-1,AC$100:AG201,4,FALSE)))*EXP(-(LN(2)/$D$65+0.1)*(VLOOKUP(($F$16-$F$15)-1,AC$100:AG201,5,FALSE)))*EXP(-(LN(2)/$D$65+0.04)*(VLOOKUP(($F$16-$F$15)*2-1,AC$100:AG201,4,FALSE)))*EXP(-(LN(2)/$D$65+0.1)*(VLOOKUP(($F$16-$F$15)*2-1,AC$100:AG201,5,FALSE)))*EXP(-(LN(2)/$D$65+0.04)*AF201)*EXP(-(LN(2)/$D$65+0.1)*AG201),"-"))),"-")</f>
        <v>-</v>
      </c>
      <c r="AK201" s="227">
        <f t="shared" si="138"/>
        <v>101</v>
      </c>
      <c r="AL201" s="226" t="str">
        <f t="shared" si="112"/>
        <v>-</v>
      </c>
      <c r="AM201" s="227" t="str">
        <f t="shared" si="139"/>
        <v>-</v>
      </c>
      <c r="AN201" s="227" t="str">
        <f t="shared" si="140"/>
        <v>-</v>
      </c>
      <c r="AO201" s="227" t="str">
        <f t="shared" si="113"/>
        <v>-</v>
      </c>
      <c r="AP201" s="273">
        <f t="shared" si="141"/>
        <v>0.1</v>
      </c>
      <c r="AQ201" s="271" t="str">
        <f>IFERROR(IF(AL200=1,AQ$100*EXP(-(LN(2)/$D$65+0.04)*AN200)*EXP(-(LN(2)/$D$65+0.1)*AO200),IF(AL200=2,AQ$100*EXP(-(LN(2)/$D$65+0.04)*(VLOOKUP(($F$16-$F$15)-1,AK$99:AO200,4,FALSE)))*EXP(-(LN(2)/$D$65+0.1)*(VLOOKUP(($F$16-$F$15)-1,AK$99:AO200,5,FALSE)))*EXP(-(LN(2)/$D$65+0.04)*AN200)*EXP(-(LN(2)/$D$65+0.1)*AO200),IF(AL200=3,AQ$100*EXP(-(LN(2)/$D$65+0.04)*(VLOOKUP(($F$16-$F$15)-1,AK$99:AO200,4,FALSE)))*EXP(-(LN(2)/$D$65+0.1)*(VLOOKUP(($F$16-$F$15)-1,AK$99:AO200,5,FALSE)))*EXP(-(LN(2)/$D$65+0.04)*(VLOOKUP(($F$16-$F$15)*2-1,AK$99:AO200,4,FALSE)))*EXP(-(LN(2)/$D$65+0.1)*(VLOOKUP(($F$16-$F$15)*2-1,AK$99:AO200,5,FALSE)))*EXP(-(LN(2)/$D$65+0.04)*AN200)*EXP(-(LN(2)/$D$65+0.1)*AO200),"-"))),"-")</f>
        <v>-</v>
      </c>
      <c r="AR201" s="271" t="str">
        <f>IFERROR(IF(AL201=1,AR$100*EXP(-(LN(2)/$D$65+0.04)*AN201)*EXP(-(LN(2)/$D$65+0.1)*AO201),IF(AL201=2,AR$100*EXP(-(LN(2)/$D$65+0.04)*(VLOOKUP(($F$16-$F$15)-1,AK$100:AO201,4,FALSE)))*EXP(-(LN(2)/$D$65+0.1)*(VLOOKUP(($F$16-$F$15)-1,AK$100:AO201,5,FALSE)))*EXP(-(LN(2)/$D$65+0.04)*AN201)*EXP(-(LN(2)/$D$65+0.1)*AO201),IF(AL201=3,AR$100*EXP(-(LN(2)/$D$65+0.04)*(VLOOKUP(($F$16-$F$15)-1,AK$100:AO201,4,FALSE)))*EXP(-(LN(2)/$D$65+0.1)*(VLOOKUP(($F$16-$F$15)-1,AK$100:AO201,5,FALSE)))*EXP(-(LN(2)/$D$65+0.04)*(VLOOKUP(($F$16-$F$15)*2-1,AK$100:AO201,4,FALSE)))*EXP(-(LN(2)/$D$65+0.1)*(VLOOKUP(($F$16-$F$15)*2-1,AK$100:AO201,5,FALSE)))*EXP(-(LN(2)/$D$65+0.04)*AN201)*EXP(-(LN(2)/$D$65+0.1)*AO201),"-"))),"-")</f>
        <v>-</v>
      </c>
      <c r="AS201" s="274">
        <f t="shared" si="114"/>
        <v>0</v>
      </c>
      <c r="AT201" s="274">
        <f t="shared" si="115"/>
        <v>0</v>
      </c>
      <c r="AU201" s="274">
        <f t="shared" si="116"/>
        <v>0</v>
      </c>
      <c r="AV201" s="190">
        <f>IF($B201&lt;$F$22,SUM($T$100:$T201),"")</f>
        <v>0</v>
      </c>
      <c r="AW201" s="190" t="str">
        <f t="shared" si="163"/>
        <v>-</v>
      </c>
      <c r="AX201" s="190" t="str">
        <f t="shared" si="142"/>
        <v/>
      </c>
      <c r="AY201"/>
      <c r="AZ201" s="190" t="str">
        <f ca="1">IF(ISNUMBER(OFFSET(AV201,-$F$21,0)),SUM(OFFSET($T$100,$F$21,0):$T201),"")</f>
        <v/>
      </c>
      <c r="BA201" s="190" t="str">
        <f t="shared" ca="1" si="164"/>
        <v/>
      </c>
      <c r="BB201" s="190" t="str">
        <f t="shared" ca="1" si="149"/>
        <v/>
      </c>
      <c r="BC201" s="190"/>
      <c r="BD201" s="190" t="str">
        <f ca="1">IFERROR(IF(AND($B201&gt;=($F$16-$F$15),$B201&lt;$F$22+($F$16-$F$15)),SUM(OFFSET($T$100,($F$16-$F$15),0):$T201),""),"")</f>
        <v/>
      </c>
      <c r="BE201" s="190" t="str">
        <f t="shared" ca="1" si="143"/>
        <v/>
      </c>
      <c r="BF201" s="190" t="str">
        <f t="shared" ca="1" si="144"/>
        <v/>
      </c>
      <c r="BG201"/>
      <c r="BH201" s="190" t="str">
        <f ca="1">IF(ISNUMBER(OFFSET(BD201,-$F$21,0)),SUM(OFFSET($T$100,($F$16-$F$15+$F$21),0):$T201),"")</f>
        <v/>
      </c>
      <c r="BI201" s="190" t="str">
        <f t="shared" ca="1" si="165"/>
        <v/>
      </c>
      <c r="BJ201" s="190" t="str">
        <f t="shared" ca="1" si="145"/>
        <v/>
      </c>
      <c r="BK201" s="190"/>
      <c r="BL201" s="190" t="str">
        <f ca="1">IFERROR(IF(AND($B201&gt;=($F$17-$F$15),$B201&lt;$F$22+($F$17-$F$15)),SUM(OFFSET($T$100,($F$17-$F$15),0):$T201),""),"")</f>
        <v/>
      </c>
      <c r="BM201" s="190" t="str">
        <f t="shared" ca="1" si="166"/>
        <v/>
      </c>
      <c r="BN201" s="190" t="str">
        <f t="shared" ca="1" si="146"/>
        <v/>
      </c>
      <c r="BO201"/>
      <c r="BP201" s="190" t="str">
        <f ca="1">IF(ISNUMBER(OFFSET(BL201,-$F$21,0)),SUM(OFFSET($T$100,($F$17-$F$15+$F$21),0):$T201),"")</f>
        <v/>
      </c>
      <c r="BQ201" s="190" t="str">
        <f t="shared" ca="1" si="167"/>
        <v/>
      </c>
      <c r="BR201" s="190" t="str">
        <f t="shared" ca="1" si="147"/>
        <v/>
      </c>
      <c r="BS201" s="190"/>
      <c r="BT201"/>
      <c r="BU201"/>
      <c r="BV201"/>
      <c r="BY201" s="99"/>
      <c r="BZ201" s="99"/>
      <c r="CA201" s="280" t="str">
        <f t="shared" si="168"/>
        <v/>
      </c>
      <c r="CB201" s="71" t="str">
        <f t="shared" si="123"/>
        <v>-</v>
      </c>
      <c r="CC201" s="33"/>
      <c r="CD201" s="261" t="str">
        <f t="shared" si="124"/>
        <v/>
      </c>
      <c r="CE201" s="280" t="str">
        <f t="shared" si="169"/>
        <v>-</v>
      </c>
      <c r="CF201" s="71" t="str">
        <f t="shared" ca="1" si="170"/>
        <v>-</v>
      </c>
      <c r="CG201" s="33" t="str">
        <f t="shared" si="127"/>
        <v>101-102</v>
      </c>
      <c r="CH201" s="261" t="str">
        <f t="shared" ca="1" si="128"/>
        <v/>
      </c>
    </row>
    <row r="202" spans="2:86" ht="13.5" customHeight="1" x14ac:dyDescent="0.2">
      <c r="B202" s="262">
        <v>102</v>
      </c>
      <c r="C202" s="237" t="str">
        <f t="shared" si="150"/>
        <v/>
      </c>
      <c r="D202" s="237" t="str">
        <f t="shared" si="148"/>
        <v>-</v>
      </c>
      <c r="E202" s="263" t="str">
        <f t="shared" si="129"/>
        <v/>
      </c>
      <c r="F202" s="264" t="str">
        <f t="shared" si="130"/>
        <v/>
      </c>
      <c r="G202" s="264" t="str">
        <f t="shared" si="131"/>
        <v/>
      </c>
      <c r="H202" s="240" t="str">
        <f t="shared" si="151"/>
        <v/>
      </c>
      <c r="I202" s="265" t="str">
        <f t="shared" si="152"/>
        <v/>
      </c>
      <c r="J202" s="265" t="str">
        <f t="shared" si="153"/>
        <v/>
      </c>
      <c r="K202" s="240" t="str">
        <f t="shared" si="154"/>
        <v/>
      </c>
      <c r="L202" s="265" t="str">
        <f t="shared" si="155"/>
        <v/>
      </c>
      <c r="M202" s="265" t="str">
        <f t="shared" si="156"/>
        <v/>
      </c>
      <c r="N202" s="240" t="str">
        <f t="shared" si="157"/>
        <v>-</v>
      </c>
      <c r="O202" s="265" t="str">
        <f t="shared" si="158"/>
        <v>-</v>
      </c>
      <c r="P202" s="265" t="str">
        <f t="shared" si="159"/>
        <v>-</v>
      </c>
      <c r="Q202" s="266" t="str">
        <f t="shared" si="160"/>
        <v>-</v>
      </c>
      <c r="R202" s="267" t="str">
        <f t="shared" si="161"/>
        <v>-</v>
      </c>
      <c r="S202" s="268" t="str">
        <f t="shared" si="162"/>
        <v>-</v>
      </c>
      <c r="T202" s="269" t="str">
        <f t="shared" si="105"/>
        <v/>
      </c>
      <c r="U202" s="221">
        <f t="shared" si="106"/>
        <v>102</v>
      </c>
      <c r="V202" s="220" t="str">
        <f t="shared" si="132"/>
        <v>-</v>
      </c>
      <c r="W202" s="221" t="str">
        <f t="shared" si="133"/>
        <v>-</v>
      </c>
      <c r="X202" s="221" t="str">
        <f t="shared" si="107"/>
        <v>-</v>
      </c>
      <c r="Y202" s="221" t="str">
        <f t="shared" si="108"/>
        <v>-</v>
      </c>
      <c r="Z202" s="270">
        <f t="shared" si="134"/>
        <v>0.1</v>
      </c>
      <c r="AA202" s="271" t="str">
        <f>IFERROR(IF(V201=1,AA$100*EXP(-(LN(2)/$D$65+0.04)*X201)*EXP(-(LN(2)/$D$65+0.1)*Y201),IF(V201=2,AA$100*EXP(-(LN(2)/$D$65+0.04)*(VLOOKUP(($F$16-$F$15)-1,U$99:Y201,4,FALSE)))*EXP(-(LN(2)/$D$65+0.1)*(VLOOKUP(($F$16-$F$15)-1,U$99:Y201,5,FALSE)))*EXP(-(LN(2)/$D$65+0.04)*X201)*EXP(-(LN(2)/$D$65+0.1)*Y201),IF(V201=3,AA$100*EXP(-(LN(2)/$D$65+0.04)*(VLOOKUP(($F$16-$F$15)-1,U$99:Y201,4,FALSE)))*EXP(-(LN(2)/$D$65+0.1)*(VLOOKUP(($F$16-$F$15)-1,U$99:Y201,5,FALSE)))*EXP(-(LN(2)/$D$65+0.04)*(VLOOKUP(($F$16-$F$15)*2-1,U$99:Y201,4,FALSE)))*EXP(-(LN(2)/$D$65+0.1)*(VLOOKUP(($F$16-$F$15)*2-1,U$99:Y201,5,FALSE)))*EXP(-(LN(2)/$D$65+0.04)*X201)*EXP(-(LN(2)/$D$65+0.1)*Y201),"-"))),"-")</f>
        <v>-</v>
      </c>
      <c r="AB202" s="271" t="str">
        <f>IFERROR(IF(V202=1,AB$100*EXP(-(LN(2)/$D$65+0.04)*X202)*EXP(-(LN(2)/$D$65+0.1)*Y202),IF(V202=2,AB$100*EXP(-(LN(2)/$D$65+0.04)*(VLOOKUP(($F$16-$F$15)-1,U$100:Y202,4,FALSE)))*EXP(-(LN(2)/$D$65+0.1)*(VLOOKUP(($F$16-$F$15)-1,U$100:Y202,5,FALSE)))*EXP(-(LN(2)/$D$65+0.04)*X202)*EXP(-(LN(2)/$D$65+0.1)*Y202),IF(V202=3,AB$100*EXP(-(LN(2)/$D$65+0.04)*(VLOOKUP(($F$16-$F$15)-1,U$100:Y202,4,FALSE)))*EXP(-(LN(2)/$D$65+0.1)*(VLOOKUP(($F$16-$F$15)-1,U$100:Y202,5,FALSE)))*EXP(-(LN(2)/$D$65+0.04)*(VLOOKUP(($F$16-$F$15)*2-1,U$100:Y202,4,FALSE)))*EXP(-(LN(2)/$D$65+0.1)*(VLOOKUP(($F$16-$F$15)*2-1,U$100:Y202,5,FALSE)))*EXP(-(LN(2)/$D$65+0.04)*X202)*EXP(-(LN(2)/$D$65+0.1)*Y202),"-"))),"-")</f>
        <v>-</v>
      </c>
      <c r="AC202" s="224">
        <f t="shared" si="135"/>
        <v>102</v>
      </c>
      <c r="AD202" s="223" t="str">
        <f t="shared" si="109"/>
        <v>-</v>
      </c>
      <c r="AE202" s="224" t="str">
        <f t="shared" si="136"/>
        <v>-</v>
      </c>
      <c r="AF202" s="224" t="str">
        <f t="shared" si="110"/>
        <v>-</v>
      </c>
      <c r="AG202" s="224" t="str">
        <f t="shared" si="111"/>
        <v>-</v>
      </c>
      <c r="AH202" s="272">
        <f t="shared" si="137"/>
        <v>0.1</v>
      </c>
      <c r="AI202" s="271" t="str">
        <f>IFERROR(IF(AD201=1,AI$100*EXP(-(LN(2)/$D$65+0.04)*AF201)*EXP(-(LN(2)/$D$65+0.1)*AG201),IF(AD201=2,AI$100*EXP(-(LN(2)/$D$65+0.04)*(VLOOKUP(($F$16-$F$15)-1,AC$99:AG201,4,FALSE)))*EXP(-(LN(2)/$D$65+0.1)*(VLOOKUP(($F$16-$F$15)-1,AC$99:AG201,5,FALSE)))*EXP(-(LN(2)/$D$65+0.04)*AF201)*EXP(-(LN(2)/$D$65+0.1)*AG201),IF(AD201=3,AI$100*EXP(-(LN(2)/$D$65+0.04)*(VLOOKUP(($F$16-$F$15)-1,AC$99:AG201,4,FALSE)))*EXP(-(LN(2)/$D$65+0.1)*(VLOOKUP(($F$16-$F$15)-1,AC$99:AG201,5,FALSE)))*EXP(-(LN(2)/$D$65+0.04)*(VLOOKUP(($F$16-$F$15)*2-1,AC$99:AG201,4,FALSE)))*EXP(-(LN(2)/$D$65+0.1)*(VLOOKUP(($F$16-$F$15)*2-1,AC$99:AG201,5,FALSE)))*EXP(-(LN(2)/$D$65+0.04)*AF201)*EXP(-(LN(2)/$D$65+0.1)*AG201),"-"))),"-")</f>
        <v>-</v>
      </c>
      <c r="AJ202" s="271" t="str">
        <f>IFERROR(IF(AD202=1,AJ$100*EXP(-(LN(2)/$D$65+0.04)*AF202)*EXP(-(LN(2)/$D$65+0.1)*AG202),IF(AD202=2,AJ$100*EXP(-(LN(2)/$D$65+0.04)*(VLOOKUP(($F$16-$F$15)-1,AC$100:AG202,4,FALSE)))*EXP(-(LN(2)/$D$65+0.1)*(VLOOKUP(($F$16-$F$15)-1,AC$100:AG202,5,FALSE)))*EXP(-(LN(2)/$D$65+0.04)*AF202)*EXP(-(LN(2)/$D$65+0.1)*AG202),IF(AD202=3,AJ$100*EXP(-(LN(2)/$D$65+0.04)*(VLOOKUP(($F$16-$F$15)-1,AC$100:AG202,4,FALSE)))*EXP(-(LN(2)/$D$65+0.1)*(VLOOKUP(($F$16-$F$15)-1,AC$100:AG202,5,FALSE)))*EXP(-(LN(2)/$D$65+0.04)*(VLOOKUP(($F$16-$F$15)*2-1,AC$100:AG202,4,FALSE)))*EXP(-(LN(2)/$D$65+0.1)*(VLOOKUP(($F$16-$F$15)*2-1,AC$100:AG202,5,FALSE)))*EXP(-(LN(2)/$D$65+0.04)*AF202)*EXP(-(LN(2)/$D$65+0.1)*AG202),"-"))),"-")</f>
        <v>-</v>
      </c>
      <c r="AK202" s="227">
        <f t="shared" si="138"/>
        <v>102</v>
      </c>
      <c r="AL202" s="226" t="str">
        <f t="shared" si="112"/>
        <v>-</v>
      </c>
      <c r="AM202" s="227" t="str">
        <f t="shared" si="139"/>
        <v>-</v>
      </c>
      <c r="AN202" s="227" t="str">
        <f t="shared" si="140"/>
        <v>-</v>
      </c>
      <c r="AO202" s="227" t="str">
        <f t="shared" si="113"/>
        <v>-</v>
      </c>
      <c r="AP202" s="273">
        <f t="shared" si="141"/>
        <v>0.1</v>
      </c>
      <c r="AQ202" s="271" t="str">
        <f>IFERROR(IF(AL201=1,AQ$100*EXP(-(LN(2)/$D$65+0.04)*AN201)*EXP(-(LN(2)/$D$65+0.1)*AO201),IF(AL201=2,AQ$100*EXP(-(LN(2)/$D$65+0.04)*(VLOOKUP(($F$16-$F$15)-1,AK$99:AO201,4,FALSE)))*EXP(-(LN(2)/$D$65+0.1)*(VLOOKUP(($F$16-$F$15)-1,AK$99:AO201,5,FALSE)))*EXP(-(LN(2)/$D$65+0.04)*AN201)*EXP(-(LN(2)/$D$65+0.1)*AO201),IF(AL201=3,AQ$100*EXP(-(LN(2)/$D$65+0.04)*(VLOOKUP(($F$16-$F$15)-1,AK$99:AO201,4,FALSE)))*EXP(-(LN(2)/$D$65+0.1)*(VLOOKUP(($F$16-$F$15)-1,AK$99:AO201,5,FALSE)))*EXP(-(LN(2)/$D$65+0.04)*(VLOOKUP(($F$16-$F$15)*2-1,AK$99:AO201,4,FALSE)))*EXP(-(LN(2)/$D$65+0.1)*(VLOOKUP(($F$16-$F$15)*2-1,AK$99:AO201,5,FALSE)))*EXP(-(LN(2)/$D$65+0.04)*AN201)*EXP(-(LN(2)/$D$65+0.1)*AO201),"-"))),"-")</f>
        <v>-</v>
      </c>
      <c r="AR202" s="271" t="str">
        <f>IFERROR(IF(AL202=1,AR$100*EXP(-(LN(2)/$D$65+0.04)*AN202)*EXP(-(LN(2)/$D$65+0.1)*AO202),IF(AL202=2,AR$100*EXP(-(LN(2)/$D$65+0.04)*(VLOOKUP(($F$16-$F$15)-1,AK$100:AO202,4,FALSE)))*EXP(-(LN(2)/$D$65+0.1)*(VLOOKUP(($F$16-$F$15)-1,AK$100:AO202,5,FALSE)))*EXP(-(LN(2)/$D$65+0.04)*AN202)*EXP(-(LN(2)/$D$65+0.1)*AO202),IF(AL202=3,AR$100*EXP(-(LN(2)/$D$65+0.04)*(VLOOKUP(($F$16-$F$15)-1,AK$100:AO202,4,FALSE)))*EXP(-(LN(2)/$D$65+0.1)*(VLOOKUP(($F$16-$F$15)-1,AK$100:AO202,5,FALSE)))*EXP(-(LN(2)/$D$65+0.04)*(VLOOKUP(($F$16-$F$15)*2-1,AK$100:AO202,4,FALSE)))*EXP(-(LN(2)/$D$65+0.1)*(VLOOKUP(($F$16-$F$15)*2-1,AK$100:AO202,5,FALSE)))*EXP(-(LN(2)/$D$65+0.04)*AN202)*EXP(-(LN(2)/$D$65+0.1)*AO202),"-"))),"-")</f>
        <v>-</v>
      </c>
      <c r="AS202" s="274">
        <f t="shared" si="114"/>
        <v>0</v>
      </c>
      <c r="AT202" s="274">
        <f t="shared" si="115"/>
        <v>0</v>
      </c>
      <c r="AU202" s="274">
        <f t="shared" si="116"/>
        <v>0</v>
      </c>
      <c r="AV202" s="190">
        <f>IF($B202&lt;$F$22,SUM($T$100:$T202),"")</f>
        <v>0</v>
      </c>
      <c r="AW202" s="190" t="str">
        <f t="shared" si="163"/>
        <v>-</v>
      </c>
      <c r="AX202" s="190" t="str">
        <f t="shared" si="142"/>
        <v/>
      </c>
      <c r="AY202"/>
      <c r="AZ202" s="190" t="str">
        <f ca="1">IF(ISNUMBER(OFFSET(AV202,-$F$21,0)),SUM(OFFSET($T$100,$F$21,0):$T202),"")</f>
        <v/>
      </c>
      <c r="BA202" s="190" t="str">
        <f t="shared" ca="1" si="164"/>
        <v/>
      </c>
      <c r="BB202" s="190" t="str">
        <f t="shared" ca="1" si="149"/>
        <v/>
      </c>
      <c r="BC202" s="190"/>
      <c r="BD202" s="190" t="str">
        <f ca="1">IFERROR(IF(AND($B202&gt;=($F$16-$F$15),$B202&lt;$F$22+($F$16-$F$15)),SUM(OFFSET($T$100,($F$16-$F$15),0):$T202),""),"")</f>
        <v/>
      </c>
      <c r="BE202" s="190" t="str">
        <f t="shared" ca="1" si="143"/>
        <v/>
      </c>
      <c r="BF202" s="190" t="str">
        <f t="shared" ca="1" si="144"/>
        <v/>
      </c>
      <c r="BG202"/>
      <c r="BH202" s="190" t="str">
        <f ca="1">IF(ISNUMBER(OFFSET(BD202,-$F$21,0)),SUM(OFFSET($T$100,($F$16-$F$15+$F$21),0):$T202),"")</f>
        <v/>
      </c>
      <c r="BI202" s="190" t="str">
        <f t="shared" ca="1" si="165"/>
        <v/>
      </c>
      <c r="BJ202" s="190" t="str">
        <f t="shared" ca="1" si="145"/>
        <v/>
      </c>
      <c r="BK202" s="190"/>
      <c r="BL202" s="190" t="str">
        <f ca="1">IFERROR(IF(AND($B202&gt;=($F$17-$F$15),$B202&lt;$F$22+($F$17-$F$15)),SUM(OFFSET($T$100,($F$17-$F$15),0):$T202),""),"")</f>
        <v/>
      </c>
      <c r="BM202" s="190" t="str">
        <f t="shared" ca="1" si="166"/>
        <v/>
      </c>
      <c r="BN202" s="190" t="str">
        <f t="shared" ca="1" si="146"/>
        <v/>
      </c>
      <c r="BO202"/>
      <c r="BP202" s="190" t="str">
        <f ca="1">IF(ISNUMBER(OFFSET(BL202,-$F$21,0)),SUM(OFFSET($T$100,($F$17-$F$15+$F$21),0):$T202),"")</f>
        <v/>
      </c>
      <c r="BQ202" s="190" t="str">
        <f t="shared" ca="1" si="167"/>
        <v/>
      </c>
      <c r="BR202" s="190" t="str">
        <f t="shared" ca="1" si="147"/>
        <v/>
      </c>
      <c r="BS202" s="190"/>
      <c r="BT202"/>
      <c r="BU202"/>
      <c r="BV202"/>
      <c r="BY202" s="99"/>
      <c r="BZ202" s="99"/>
      <c r="CA202" s="280" t="str">
        <f t="shared" si="168"/>
        <v/>
      </c>
      <c r="CB202" s="71" t="str">
        <f t="shared" si="123"/>
        <v>-</v>
      </c>
      <c r="CC202" s="33"/>
      <c r="CD202" s="261" t="str">
        <f t="shared" si="124"/>
        <v/>
      </c>
      <c r="CE202" s="280" t="str">
        <f t="shared" si="169"/>
        <v>-</v>
      </c>
      <c r="CF202" s="71" t="str">
        <f t="shared" ca="1" si="170"/>
        <v>-</v>
      </c>
      <c r="CG202" s="33" t="str">
        <f t="shared" si="127"/>
        <v>102-103</v>
      </c>
      <c r="CH202" s="261" t="str">
        <f t="shared" ca="1" si="128"/>
        <v/>
      </c>
    </row>
    <row r="203" spans="2:86" ht="13.5" customHeight="1" x14ac:dyDescent="0.2">
      <c r="B203" s="262">
        <v>103</v>
      </c>
      <c r="C203" s="237" t="str">
        <f t="shared" si="150"/>
        <v/>
      </c>
      <c r="D203" s="237" t="str">
        <f t="shared" si="148"/>
        <v>-</v>
      </c>
      <c r="E203" s="263" t="str">
        <f t="shared" si="129"/>
        <v/>
      </c>
      <c r="F203" s="264" t="str">
        <f t="shared" si="130"/>
        <v/>
      </c>
      <c r="G203" s="264" t="str">
        <f t="shared" si="131"/>
        <v/>
      </c>
      <c r="H203" s="240" t="str">
        <f t="shared" si="151"/>
        <v/>
      </c>
      <c r="I203" s="265" t="str">
        <f t="shared" si="152"/>
        <v/>
      </c>
      <c r="J203" s="265" t="str">
        <f t="shared" si="153"/>
        <v/>
      </c>
      <c r="K203" s="240" t="str">
        <f t="shared" si="154"/>
        <v/>
      </c>
      <c r="L203" s="265" t="str">
        <f t="shared" si="155"/>
        <v/>
      </c>
      <c r="M203" s="265" t="str">
        <f t="shared" si="156"/>
        <v/>
      </c>
      <c r="N203" s="240" t="str">
        <f t="shared" si="157"/>
        <v>-</v>
      </c>
      <c r="O203" s="265" t="str">
        <f t="shared" si="158"/>
        <v>-</v>
      </c>
      <c r="P203" s="265" t="str">
        <f t="shared" si="159"/>
        <v>-</v>
      </c>
      <c r="Q203" s="266" t="str">
        <f t="shared" si="160"/>
        <v>-</v>
      </c>
      <c r="R203" s="267" t="str">
        <f t="shared" si="161"/>
        <v>-</v>
      </c>
      <c r="S203" s="268" t="str">
        <f t="shared" si="162"/>
        <v>-</v>
      </c>
      <c r="T203" s="269" t="str">
        <f t="shared" si="105"/>
        <v/>
      </c>
      <c r="U203" s="221">
        <f t="shared" si="106"/>
        <v>103</v>
      </c>
      <c r="V203" s="220" t="str">
        <f t="shared" si="132"/>
        <v>-</v>
      </c>
      <c r="W203" s="221" t="str">
        <f t="shared" si="133"/>
        <v>-</v>
      </c>
      <c r="X203" s="221" t="str">
        <f t="shared" si="107"/>
        <v>-</v>
      </c>
      <c r="Y203" s="221" t="str">
        <f t="shared" si="108"/>
        <v>-</v>
      </c>
      <c r="Z203" s="270">
        <f t="shared" si="134"/>
        <v>0.1</v>
      </c>
      <c r="AA203" s="271" t="str">
        <f>IFERROR(IF(V202=1,AA$100*EXP(-(LN(2)/$D$65+0.04)*X202)*EXP(-(LN(2)/$D$65+0.1)*Y202),IF(V202=2,AA$100*EXP(-(LN(2)/$D$65+0.04)*(VLOOKUP(($F$16-$F$15)-1,U$99:Y202,4,FALSE)))*EXP(-(LN(2)/$D$65+0.1)*(VLOOKUP(($F$16-$F$15)-1,U$99:Y202,5,FALSE)))*EXP(-(LN(2)/$D$65+0.04)*X202)*EXP(-(LN(2)/$D$65+0.1)*Y202),IF(V202=3,AA$100*EXP(-(LN(2)/$D$65+0.04)*(VLOOKUP(($F$16-$F$15)-1,U$99:Y202,4,FALSE)))*EXP(-(LN(2)/$D$65+0.1)*(VLOOKUP(($F$16-$F$15)-1,U$99:Y202,5,FALSE)))*EXP(-(LN(2)/$D$65+0.04)*(VLOOKUP(($F$16-$F$15)*2-1,U$99:Y202,4,FALSE)))*EXP(-(LN(2)/$D$65+0.1)*(VLOOKUP(($F$16-$F$15)*2-1,U$99:Y202,5,FALSE)))*EXP(-(LN(2)/$D$65+0.04)*X202)*EXP(-(LN(2)/$D$65+0.1)*Y202),"-"))),"-")</f>
        <v>-</v>
      </c>
      <c r="AB203" s="271" t="str">
        <f>IFERROR(IF(V203=1,AB$100*EXP(-(LN(2)/$D$65+0.04)*X203)*EXP(-(LN(2)/$D$65+0.1)*Y203),IF(V203=2,AB$100*EXP(-(LN(2)/$D$65+0.04)*(VLOOKUP(($F$16-$F$15)-1,U$100:Y203,4,FALSE)))*EXP(-(LN(2)/$D$65+0.1)*(VLOOKUP(($F$16-$F$15)-1,U$100:Y203,5,FALSE)))*EXP(-(LN(2)/$D$65+0.04)*X203)*EXP(-(LN(2)/$D$65+0.1)*Y203),IF(V203=3,AB$100*EXP(-(LN(2)/$D$65+0.04)*(VLOOKUP(($F$16-$F$15)-1,U$100:Y203,4,FALSE)))*EXP(-(LN(2)/$D$65+0.1)*(VLOOKUP(($F$16-$F$15)-1,U$100:Y203,5,FALSE)))*EXP(-(LN(2)/$D$65+0.04)*(VLOOKUP(($F$16-$F$15)*2-1,U$100:Y203,4,FALSE)))*EXP(-(LN(2)/$D$65+0.1)*(VLOOKUP(($F$16-$F$15)*2-1,U$100:Y203,5,FALSE)))*EXP(-(LN(2)/$D$65+0.04)*X203)*EXP(-(LN(2)/$D$65+0.1)*Y203),"-"))),"-")</f>
        <v>-</v>
      </c>
      <c r="AC203" s="224">
        <f t="shared" si="135"/>
        <v>103</v>
      </c>
      <c r="AD203" s="223" t="str">
        <f t="shared" si="109"/>
        <v>-</v>
      </c>
      <c r="AE203" s="224" t="str">
        <f t="shared" si="136"/>
        <v>-</v>
      </c>
      <c r="AF203" s="224" t="str">
        <f t="shared" si="110"/>
        <v>-</v>
      </c>
      <c r="AG203" s="224" t="str">
        <f t="shared" si="111"/>
        <v>-</v>
      </c>
      <c r="AH203" s="272">
        <f t="shared" si="137"/>
        <v>0.1</v>
      </c>
      <c r="AI203" s="271" t="str">
        <f>IFERROR(IF(AD202=1,AI$100*EXP(-(LN(2)/$D$65+0.04)*AF202)*EXP(-(LN(2)/$D$65+0.1)*AG202),IF(AD202=2,AI$100*EXP(-(LN(2)/$D$65+0.04)*(VLOOKUP(($F$16-$F$15)-1,AC$99:AG202,4,FALSE)))*EXP(-(LN(2)/$D$65+0.1)*(VLOOKUP(($F$16-$F$15)-1,AC$99:AG202,5,FALSE)))*EXP(-(LN(2)/$D$65+0.04)*AF202)*EXP(-(LN(2)/$D$65+0.1)*AG202),IF(AD202=3,AI$100*EXP(-(LN(2)/$D$65+0.04)*(VLOOKUP(($F$16-$F$15)-1,AC$99:AG202,4,FALSE)))*EXP(-(LN(2)/$D$65+0.1)*(VLOOKUP(($F$16-$F$15)-1,AC$99:AG202,5,FALSE)))*EXP(-(LN(2)/$D$65+0.04)*(VLOOKUP(($F$16-$F$15)*2-1,AC$99:AG202,4,FALSE)))*EXP(-(LN(2)/$D$65+0.1)*(VLOOKUP(($F$16-$F$15)*2-1,AC$99:AG202,5,FALSE)))*EXP(-(LN(2)/$D$65+0.04)*AF202)*EXP(-(LN(2)/$D$65+0.1)*AG202),"-"))),"-")</f>
        <v>-</v>
      </c>
      <c r="AJ203" s="271" t="str">
        <f>IFERROR(IF(AD203=1,AJ$100*EXP(-(LN(2)/$D$65+0.04)*AF203)*EXP(-(LN(2)/$D$65+0.1)*AG203),IF(AD203=2,AJ$100*EXP(-(LN(2)/$D$65+0.04)*(VLOOKUP(($F$16-$F$15)-1,AC$100:AG203,4,FALSE)))*EXP(-(LN(2)/$D$65+0.1)*(VLOOKUP(($F$16-$F$15)-1,AC$100:AG203,5,FALSE)))*EXP(-(LN(2)/$D$65+0.04)*AF203)*EXP(-(LN(2)/$D$65+0.1)*AG203),IF(AD203=3,AJ$100*EXP(-(LN(2)/$D$65+0.04)*(VLOOKUP(($F$16-$F$15)-1,AC$100:AG203,4,FALSE)))*EXP(-(LN(2)/$D$65+0.1)*(VLOOKUP(($F$16-$F$15)-1,AC$100:AG203,5,FALSE)))*EXP(-(LN(2)/$D$65+0.04)*(VLOOKUP(($F$16-$F$15)*2-1,AC$100:AG203,4,FALSE)))*EXP(-(LN(2)/$D$65+0.1)*(VLOOKUP(($F$16-$F$15)*2-1,AC$100:AG203,5,FALSE)))*EXP(-(LN(2)/$D$65+0.04)*AF203)*EXP(-(LN(2)/$D$65+0.1)*AG203),"-"))),"-")</f>
        <v>-</v>
      </c>
      <c r="AK203" s="227">
        <f t="shared" si="138"/>
        <v>103</v>
      </c>
      <c r="AL203" s="226" t="str">
        <f t="shared" si="112"/>
        <v>-</v>
      </c>
      <c r="AM203" s="227" t="str">
        <f t="shared" si="139"/>
        <v>-</v>
      </c>
      <c r="AN203" s="227" t="str">
        <f t="shared" si="140"/>
        <v>-</v>
      </c>
      <c r="AO203" s="227" t="str">
        <f t="shared" si="113"/>
        <v>-</v>
      </c>
      <c r="AP203" s="273">
        <f t="shared" si="141"/>
        <v>0.1</v>
      </c>
      <c r="AQ203" s="271" t="str">
        <f>IFERROR(IF(AL202=1,AQ$100*EXP(-(LN(2)/$D$65+0.04)*AN202)*EXP(-(LN(2)/$D$65+0.1)*AO202),IF(AL202=2,AQ$100*EXP(-(LN(2)/$D$65+0.04)*(VLOOKUP(($F$16-$F$15)-1,AK$99:AO202,4,FALSE)))*EXP(-(LN(2)/$D$65+0.1)*(VLOOKUP(($F$16-$F$15)-1,AK$99:AO202,5,FALSE)))*EXP(-(LN(2)/$D$65+0.04)*AN202)*EXP(-(LN(2)/$D$65+0.1)*AO202),IF(AL202=3,AQ$100*EXP(-(LN(2)/$D$65+0.04)*(VLOOKUP(($F$16-$F$15)-1,AK$99:AO202,4,FALSE)))*EXP(-(LN(2)/$D$65+0.1)*(VLOOKUP(($F$16-$F$15)-1,AK$99:AO202,5,FALSE)))*EXP(-(LN(2)/$D$65+0.04)*(VLOOKUP(($F$16-$F$15)*2-1,AK$99:AO202,4,FALSE)))*EXP(-(LN(2)/$D$65+0.1)*(VLOOKUP(($F$16-$F$15)*2-1,AK$99:AO202,5,FALSE)))*EXP(-(LN(2)/$D$65+0.04)*AN202)*EXP(-(LN(2)/$D$65+0.1)*AO202),"-"))),"-")</f>
        <v>-</v>
      </c>
      <c r="AR203" s="271" t="str">
        <f>IFERROR(IF(AL203=1,AR$100*EXP(-(LN(2)/$D$65+0.04)*AN203)*EXP(-(LN(2)/$D$65+0.1)*AO203),IF(AL203=2,AR$100*EXP(-(LN(2)/$D$65+0.04)*(VLOOKUP(($F$16-$F$15)-1,AK$100:AO203,4,FALSE)))*EXP(-(LN(2)/$D$65+0.1)*(VLOOKUP(($F$16-$F$15)-1,AK$100:AO203,5,FALSE)))*EXP(-(LN(2)/$D$65+0.04)*AN203)*EXP(-(LN(2)/$D$65+0.1)*AO203),IF(AL203=3,AR$100*EXP(-(LN(2)/$D$65+0.04)*(VLOOKUP(($F$16-$F$15)-1,AK$100:AO203,4,FALSE)))*EXP(-(LN(2)/$D$65+0.1)*(VLOOKUP(($F$16-$F$15)-1,AK$100:AO203,5,FALSE)))*EXP(-(LN(2)/$D$65+0.04)*(VLOOKUP(($F$16-$F$15)*2-1,AK$100:AO203,4,FALSE)))*EXP(-(LN(2)/$D$65+0.1)*(VLOOKUP(($F$16-$F$15)*2-1,AK$100:AO203,5,FALSE)))*EXP(-(LN(2)/$D$65+0.04)*AN203)*EXP(-(LN(2)/$D$65+0.1)*AO203),"-"))),"-")</f>
        <v>-</v>
      </c>
      <c r="AS203" s="274">
        <f t="shared" si="114"/>
        <v>0</v>
      </c>
      <c r="AT203" s="274">
        <f t="shared" si="115"/>
        <v>0</v>
      </c>
      <c r="AU203" s="274">
        <f t="shared" si="116"/>
        <v>0</v>
      </c>
      <c r="AV203" s="190">
        <f>IF($B203&lt;$F$22,SUM($T$100:$T203),"")</f>
        <v>0</v>
      </c>
      <c r="AW203" s="190" t="str">
        <f t="shared" si="163"/>
        <v>-</v>
      </c>
      <c r="AX203" s="190" t="str">
        <f t="shared" si="142"/>
        <v/>
      </c>
      <c r="AY203"/>
      <c r="AZ203" s="190" t="str">
        <f ca="1">IF(ISNUMBER(OFFSET(AV203,-$F$21,0)),SUM(OFFSET($T$100,$F$21,0):$T203),"")</f>
        <v/>
      </c>
      <c r="BA203" s="190" t="str">
        <f t="shared" ca="1" si="164"/>
        <v/>
      </c>
      <c r="BB203" s="190" t="str">
        <f t="shared" ca="1" si="149"/>
        <v/>
      </c>
      <c r="BC203" s="190"/>
      <c r="BD203" s="190" t="str">
        <f ca="1">IFERROR(IF(AND($B203&gt;=($F$16-$F$15),$B203&lt;$F$22+($F$16-$F$15)),SUM(OFFSET($T$100,($F$16-$F$15),0):$T203),""),"")</f>
        <v/>
      </c>
      <c r="BE203" s="190" t="str">
        <f t="shared" ca="1" si="143"/>
        <v/>
      </c>
      <c r="BF203" s="190" t="str">
        <f t="shared" ca="1" si="144"/>
        <v/>
      </c>
      <c r="BG203"/>
      <c r="BH203" s="190" t="str">
        <f ca="1">IF(ISNUMBER(OFFSET(BD203,-$F$21,0)),SUM(OFFSET($T$100,($F$16-$F$15+$F$21),0):$T203),"")</f>
        <v/>
      </c>
      <c r="BI203" s="190" t="str">
        <f t="shared" ca="1" si="165"/>
        <v/>
      </c>
      <c r="BJ203" s="190" t="str">
        <f t="shared" ca="1" si="145"/>
        <v/>
      </c>
      <c r="BK203" s="190"/>
      <c r="BL203" s="190" t="str">
        <f ca="1">IFERROR(IF(AND($B203&gt;=($F$17-$F$15),$B203&lt;$F$22+($F$17-$F$15)),SUM(OFFSET($T$100,($F$17-$F$15),0):$T203),""),"")</f>
        <v/>
      </c>
      <c r="BM203" s="190" t="str">
        <f t="shared" ca="1" si="166"/>
        <v/>
      </c>
      <c r="BN203" s="190" t="str">
        <f t="shared" ca="1" si="146"/>
        <v/>
      </c>
      <c r="BO203"/>
      <c r="BP203" s="190" t="str">
        <f ca="1">IF(ISNUMBER(OFFSET(BL203,-$F$21,0)),SUM(OFFSET($T$100,($F$17-$F$15+$F$21),0):$T203),"")</f>
        <v/>
      </c>
      <c r="BQ203" s="190" t="str">
        <f t="shared" ca="1" si="167"/>
        <v/>
      </c>
      <c r="BR203" s="190" t="str">
        <f t="shared" ca="1" si="147"/>
        <v/>
      </c>
      <c r="BS203" s="190"/>
      <c r="BT203"/>
      <c r="BU203"/>
      <c r="BV203"/>
      <c r="BY203" s="99"/>
      <c r="BZ203" s="99"/>
      <c r="CA203" s="280" t="str">
        <f t="shared" si="168"/>
        <v/>
      </c>
      <c r="CB203" s="71" t="str">
        <f t="shared" si="123"/>
        <v>-</v>
      </c>
      <c r="CC203" s="33"/>
      <c r="CD203" s="261" t="str">
        <f t="shared" si="124"/>
        <v/>
      </c>
      <c r="CE203" s="280" t="str">
        <f t="shared" si="169"/>
        <v>-</v>
      </c>
      <c r="CF203" s="71" t="str">
        <f t="shared" ca="1" si="170"/>
        <v>-</v>
      </c>
      <c r="CG203" s="33" t="str">
        <f t="shared" si="127"/>
        <v>103-104</v>
      </c>
      <c r="CH203" s="261" t="str">
        <f t="shared" ca="1" si="128"/>
        <v/>
      </c>
    </row>
    <row r="204" spans="2:86" ht="13.5" customHeight="1" x14ac:dyDescent="0.2">
      <c r="B204" s="262">
        <v>104</v>
      </c>
      <c r="C204" s="237" t="str">
        <f t="shared" si="150"/>
        <v/>
      </c>
      <c r="D204" s="237" t="str">
        <f t="shared" si="148"/>
        <v>-</v>
      </c>
      <c r="E204" s="263" t="str">
        <f t="shared" si="129"/>
        <v/>
      </c>
      <c r="F204" s="264" t="str">
        <f t="shared" si="130"/>
        <v/>
      </c>
      <c r="G204" s="264" t="str">
        <f t="shared" si="131"/>
        <v/>
      </c>
      <c r="H204" s="240" t="str">
        <f t="shared" si="151"/>
        <v/>
      </c>
      <c r="I204" s="265" t="str">
        <f t="shared" si="152"/>
        <v/>
      </c>
      <c r="J204" s="265" t="str">
        <f t="shared" si="153"/>
        <v/>
      </c>
      <c r="K204" s="240" t="str">
        <f t="shared" si="154"/>
        <v/>
      </c>
      <c r="L204" s="265" t="str">
        <f t="shared" si="155"/>
        <v/>
      </c>
      <c r="M204" s="265" t="str">
        <f t="shared" si="156"/>
        <v/>
      </c>
      <c r="N204" s="240" t="str">
        <f t="shared" si="157"/>
        <v>-</v>
      </c>
      <c r="O204" s="265" t="str">
        <f t="shared" si="158"/>
        <v>-</v>
      </c>
      <c r="P204" s="265" t="str">
        <f t="shared" si="159"/>
        <v>-</v>
      </c>
      <c r="Q204" s="266" t="str">
        <f t="shared" si="160"/>
        <v>-</v>
      </c>
      <c r="R204" s="267" t="str">
        <f t="shared" si="161"/>
        <v>-</v>
      </c>
      <c r="S204" s="268" t="str">
        <f t="shared" si="162"/>
        <v>-</v>
      </c>
      <c r="T204" s="269" t="str">
        <f t="shared" si="105"/>
        <v/>
      </c>
      <c r="U204" s="221">
        <f t="shared" si="106"/>
        <v>104</v>
      </c>
      <c r="V204" s="220" t="str">
        <f t="shared" si="132"/>
        <v>-</v>
      </c>
      <c r="W204" s="221" t="str">
        <f t="shared" si="133"/>
        <v>-</v>
      </c>
      <c r="X204" s="221" t="str">
        <f t="shared" si="107"/>
        <v>-</v>
      </c>
      <c r="Y204" s="221" t="str">
        <f t="shared" si="108"/>
        <v>-</v>
      </c>
      <c r="Z204" s="270">
        <f t="shared" si="134"/>
        <v>0.1</v>
      </c>
      <c r="AA204" s="271" t="str">
        <f>IFERROR(IF(V203=1,AA$100*EXP(-(LN(2)/$D$65+0.04)*X203)*EXP(-(LN(2)/$D$65+0.1)*Y203),IF(V203=2,AA$100*EXP(-(LN(2)/$D$65+0.04)*(VLOOKUP(($F$16-$F$15)-1,U$99:Y203,4,FALSE)))*EXP(-(LN(2)/$D$65+0.1)*(VLOOKUP(($F$16-$F$15)-1,U$99:Y203,5,FALSE)))*EXP(-(LN(2)/$D$65+0.04)*X203)*EXP(-(LN(2)/$D$65+0.1)*Y203),IF(V203=3,AA$100*EXP(-(LN(2)/$D$65+0.04)*(VLOOKUP(($F$16-$F$15)-1,U$99:Y203,4,FALSE)))*EXP(-(LN(2)/$D$65+0.1)*(VLOOKUP(($F$16-$F$15)-1,U$99:Y203,5,FALSE)))*EXP(-(LN(2)/$D$65+0.04)*(VLOOKUP(($F$16-$F$15)*2-1,U$99:Y203,4,FALSE)))*EXP(-(LN(2)/$D$65+0.1)*(VLOOKUP(($F$16-$F$15)*2-1,U$99:Y203,5,FALSE)))*EXP(-(LN(2)/$D$65+0.04)*X203)*EXP(-(LN(2)/$D$65+0.1)*Y203),"-"))),"-")</f>
        <v>-</v>
      </c>
      <c r="AB204" s="271" t="str">
        <f>IFERROR(IF(V204=1,AB$100*EXP(-(LN(2)/$D$65+0.04)*X204)*EXP(-(LN(2)/$D$65+0.1)*Y204),IF(V204=2,AB$100*EXP(-(LN(2)/$D$65+0.04)*(VLOOKUP(($F$16-$F$15)-1,U$100:Y204,4,FALSE)))*EXP(-(LN(2)/$D$65+0.1)*(VLOOKUP(($F$16-$F$15)-1,U$100:Y204,5,FALSE)))*EXP(-(LN(2)/$D$65+0.04)*X204)*EXP(-(LN(2)/$D$65+0.1)*Y204),IF(V204=3,AB$100*EXP(-(LN(2)/$D$65+0.04)*(VLOOKUP(($F$16-$F$15)-1,U$100:Y204,4,FALSE)))*EXP(-(LN(2)/$D$65+0.1)*(VLOOKUP(($F$16-$F$15)-1,U$100:Y204,5,FALSE)))*EXP(-(LN(2)/$D$65+0.04)*(VLOOKUP(($F$16-$F$15)*2-1,U$100:Y204,4,FALSE)))*EXP(-(LN(2)/$D$65+0.1)*(VLOOKUP(($F$16-$F$15)*2-1,U$100:Y204,5,FALSE)))*EXP(-(LN(2)/$D$65+0.04)*X204)*EXP(-(LN(2)/$D$65+0.1)*Y204),"-"))),"-")</f>
        <v>-</v>
      </c>
      <c r="AC204" s="224">
        <f t="shared" si="135"/>
        <v>104</v>
      </c>
      <c r="AD204" s="223" t="str">
        <f t="shared" si="109"/>
        <v>-</v>
      </c>
      <c r="AE204" s="224" t="str">
        <f t="shared" si="136"/>
        <v>-</v>
      </c>
      <c r="AF204" s="224" t="str">
        <f t="shared" si="110"/>
        <v>-</v>
      </c>
      <c r="AG204" s="224" t="str">
        <f t="shared" si="111"/>
        <v>-</v>
      </c>
      <c r="AH204" s="272">
        <f t="shared" si="137"/>
        <v>0.1</v>
      </c>
      <c r="AI204" s="271" t="str">
        <f>IFERROR(IF(AD203=1,AI$100*EXP(-(LN(2)/$D$65+0.04)*AF203)*EXP(-(LN(2)/$D$65+0.1)*AG203),IF(AD203=2,AI$100*EXP(-(LN(2)/$D$65+0.04)*(VLOOKUP(($F$16-$F$15)-1,AC$99:AG203,4,FALSE)))*EXP(-(LN(2)/$D$65+0.1)*(VLOOKUP(($F$16-$F$15)-1,AC$99:AG203,5,FALSE)))*EXP(-(LN(2)/$D$65+0.04)*AF203)*EXP(-(LN(2)/$D$65+0.1)*AG203),IF(AD203=3,AI$100*EXP(-(LN(2)/$D$65+0.04)*(VLOOKUP(($F$16-$F$15)-1,AC$99:AG203,4,FALSE)))*EXP(-(LN(2)/$D$65+0.1)*(VLOOKUP(($F$16-$F$15)-1,AC$99:AG203,5,FALSE)))*EXP(-(LN(2)/$D$65+0.04)*(VLOOKUP(($F$16-$F$15)*2-1,AC$99:AG203,4,FALSE)))*EXP(-(LN(2)/$D$65+0.1)*(VLOOKUP(($F$16-$F$15)*2-1,AC$99:AG203,5,FALSE)))*EXP(-(LN(2)/$D$65+0.04)*AF203)*EXP(-(LN(2)/$D$65+0.1)*AG203),"-"))),"-")</f>
        <v>-</v>
      </c>
      <c r="AJ204" s="271" t="str">
        <f>IFERROR(IF(AD204=1,AJ$100*EXP(-(LN(2)/$D$65+0.04)*AF204)*EXP(-(LN(2)/$D$65+0.1)*AG204),IF(AD204=2,AJ$100*EXP(-(LN(2)/$D$65+0.04)*(VLOOKUP(($F$16-$F$15)-1,AC$100:AG204,4,FALSE)))*EXP(-(LN(2)/$D$65+0.1)*(VLOOKUP(($F$16-$F$15)-1,AC$100:AG204,5,FALSE)))*EXP(-(LN(2)/$D$65+0.04)*AF204)*EXP(-(LN(2)/$D$65+0.1)*AG204),IF(AD204=3,AJ$100*EXP(-(LN(2)/$D$65+0.04)*(VLOOKUP(($F$16-$F$15)-1,AC$100:AG204,4,FALSE)))*EXP(-(LN(2)/$D$65+0.1)*(VLOOKUP(($F$16-$F$15)-1,AC$100:AG204,5,FALSE)))*EXP(-(LN(2)/$D$65+0.04)*(VLOOKUP(($F$16-$F$15)*2-1,AC$100:AG204,4,FALSE)))*EXP(-(LN(2)/$D$65+0.1)*(VLOOKUP(($F$16-$F$15)*2-1,AC$100:AG204,5,FALSE)))*EXP(-(LN(2)/$D$65+0.04)*AF204)*EXP(-(LN(2)/$D$65+0.1)*AG204),"-"))),"-")</f>
        <v>-</v>
      </c>
      <c r="AK204" s="227">
        <f t="shared" si="138"/>
        <v>104</v>
      </c>
      <c r="AL204" s="226" t="str">
        <f t="shared" si="112"/>
        <v>-</v>
      </c>
      <c r="AM204" s="227" t="str">
        <f t="shared" si="139"/>
        <v>-</v>
      </c>
      <c r="AN204" s="227" t="str">
        <f t="shared" si="140"/>
        <v>-</v>
      </c>
      <c r="AO204" s="227" t="str">
        <f t="shared" si="113"/>
        <v>-</v>
      </c>
      <c r="AP204" s="273">
        <f t="shared" si="141"/>
        <v>0.1</v>
      </c>
      <c r="AQ204" s="271" t="str">
        <f>IFERROR(IF(AL203=1,AQ$100*EXP(-(LN(2)/$D$65+0.04)*AN203)*EXP(-(LN(2)/$D$65+0.1)*AO203),IF(AL203=2,AQ$100*EXP(-(LN(2)/$D$65+0.04)*(VLOOKUP(($F$16-$F$15)-1,AK$99:AO203,4,FALSE)))*EXP(-(LN(2)/$D$65+0.1)*(VLOOKUP(($F$16-$F$15)-1,AK$99:AO203,5,FALSE)))*EXP(-(LN(2)/$D$65+0.04)*AN203)*EXP(-(LN(2)/$D$65+0.1)*AO203),IF(AL203=3,AQ$100*EXP(-(LN(2)/$D$65+0.04)*(VLOOKUP(($F$16-$F$15)-1,AK$99:AO203,4,FALSE)))*EXP(-(LN(2)/$D$65+0.1)*(VLOOKUP(($F$16-$F$15)-1,AK$99:AO203,5,FALSE)))*EXP(-(LN(2)/$D$65+0.04)*(VLOOKUP(($F$16-$F$15)*2-1,AK$99:AO203,4,FALSE)))*EXP(-(LN(2)/$D$65+0.1)*(VLOOKUP(($F$16-$F$15)*2-1,AK$99:AO203,5,FALSE)))*EXP(-(LN(2)/$D$65+0.04)*AN203)*EXP(-(LN(2)/$D$65+0.1)*AO203),"-"))),"-")</f>
        <v>-</v>
      </c>
      <c r="AR204" s="271" t="str">
        <f>IFERROR(IF(AL204=1,AR$100*EXP(-(LN(2)/$D$65+0.04)*AN204)*EXP(-(LN(2)/$D$65+0.1)*AO204),IF(AL204=2,AR$100*EXP(-(LN(2)/$D$65+0.04)*(VLOOKUP(($F$16-$F$15)-1,AK$100:AO204,4,FALSE)))*EXP(-(LN(2)/$D$65+0.1)*(VLOOKUP(($F$16-$F$15)-1,AK$100:AO204,5,FALSE)))*EXP(-(LN(2)/$D$65+0.04)*AN204)*EXP(-(LN(2)/$D$65+0.1)*AO204),IF(AL204=3,AR$100*EXP(-(LN(2)/$D$65+0.04)*(VLOOKUP(($F$16-$F$15)-1,AK$100:AO204,4,FALSE)))*EXP(-(LN(2)/$D$65+0.1)*(VLOOKUP(($F$16-$F$15)-1,AK$100:AO204,5,FALSE)))*EXP(-(LN(2)/$D$65+0.04)*(VLOOKUP(($F$16-$F$15)*2-1,AK$100:AO204,4,FALSE)))*EXP(-(LN(2)/$D$65+0.1)*(VLOOKUP(($F$16-$F$15)*2-1,AK$100:AO204,5,FALSE)))*EXP(-(LN(2)/$D$65+0.04)*AN204)*EXP(-(LN(2)/$D$65+0.1)*AO204),"-"))),"-")</f>
        <v>-</v>
      </c>
      <c r="AS204" s="274">
        <f t="shared" si="114"/>
        <v>0</v>
      </c>
      <c r="AT204" s="274">
        <f t="shared" si="115"/>
        <v>0</v>
      </c>
      <c r="AU204" s="274">
        <f t="shared" si="116"/>
        <v>0</v>
      </c>
      <c r="AV204" s="190">
        <f>IF($B204&lt;$F$22,SUM($T$100:$T204),"")</f>
        <v>0</v>
      </c>
      <c r="AW204" s="190" t="str">
        <f t="shared" si="163"/>
        <v>-</v>
      </c>
      <c r="AX204" s="190" t="str">
        <f t="shared" si="142"/>
        <v/>
      </c>
      <c r="AY204"/>
      <c r="AZ204" s="190" t="str">
        <f ca="1">IF(ISNUMBER(OFFSET(AV204,-$F$21,0)),SUM(OFFSET($T$100,$F$21,0):$T204),"")</f>
        <v/>
      </c>
      <c r="BA204" s="190" t="str">
        <f t="shared" ca="1" si="164"/>
        <v/>
      </c>
      <c r="BB204" s="190" t="str">
        <f t="shared" ca="1" si="149"/>
        <v/>
      </c>
      <c r="BC204" s="190"/>
      <c r="BD204" s="190" t="str">
        <f ca="1">IFERROR(IF(AND($B204&gt;=($F$16-$F$15),$B204&lt;$F$22+($F$16-$F$15)),SUM(OFFSET($T$100,($F$16-$F$15),0):$T204),""),"")</f>
        <v/>
      </c>
      <c r="BE204" s="190" t="str">
        <f t="shared" ca="1" si="143"/>
        <v/>
      </c>
      <c r="BF204" s="190" t="str">
        <f t="shared" ca="1" si="144"/>
        <v/>
      </c>
      <c r="BG204"/>
      <c r="BH204" s="190" t="str">
        <f ca="1">IF(ISNUMBER(OFFSET(BD204,-$F$21,0)),SUM(OFFSET($T$100,($F$16-$F$15+$F$21),0):$T204),"")</f>
        <v/>
      </c>
      <c r="BI204" s="190" t="str">
        <f t="shared" ca="1" si="165"/>
        <v/>
      </c>
      <c r="BJ204" s="190" t="str">
        <f t="shared" ca="1" si="145"/>
        <v/>
      </c>
      <c r="BK204" s="190"/>
      <c r="BL204" s="190" t="str">
        <f ca="1">IFERROR(IF(AND($B204&gt;=($F$17-$F$15),$B204&lt;$F$22+($F$17-$F$15)),SUM(OFFSET($T$100,($F$17-$F$15),0):$T204),""),"")</f>
        <v/>
      </c>
      <c r="BM204" s="190" t="str">
        <f t="shared" ca="1" si="166"/>
        <v/>
      </c>
      <c r="BN204" s="190" t="str">
        <f t="shared" ca="1" si="146"/>
        <v/>
      </c>
      <c r="BO204"/>
      <c r="BP204" s="190" t="str">
        <f ca="1">IF(ISNUMBER(OFFSET(BL204,-$F$21,0)),SUM(OFFSET($T$100,($F$17-$F$15+$F$21),0):$T204),"")</f>
        <v/>
      </c>
      <c r="BQ204" s="190" t="str">
        <f t="shared" ca="1" si="167"/>
        <v/>
      </c>
      <c r="BR204" s="190" t="str">
        <f t="shared" ca="1" si="147"/>
        <v/>
      </c>
      <c r="BS204" s="190"/>
      <c r="BT204"/>
      <c r="BU204"/>
      <c r="BV204"/>
      <c r="BY204" s="99"/>
      <c r="BZ204" s="99"/>
      <c r="CA204" s="280" t="str">
        <f t="shared" si="168"/>
        <v/>
      </c>
      <c r="CB204" s="71" t="str">
        <f t="shared" si="123"/>
        <v>-</v>
      </c>
      <c r="CC204" s="33"/>
      <c r="CD204" s="261" t="str">
        <f t="shared" si="124"/>
        <v/>
      </c>
      <c r="CE204" s="280" t="str">
        <f t="shared" si="169"/>
        <v>-</v>
      </c>
      <c r="CF204" s="71" t="str">
        <f t="shared" ca="1" si="170"/>
        <v>-</v>
      </c>
      <c r="CG204" s="33" t="str">
        <f t="shared" si="127"/>
        <v>104-105</v>
      </c>
      <c r="CH204" s="261" t="str">
        <f t="shared" ca="1" si="128"/>
        <v/>
      </c>
    </row>
    <row r="205" spans="2:86" ht="13.5" customHeight="1" x14ac:dyDescent="0.2">
      <c r="B205" s="262">
        <v>105</v>
      </c>
      <c r="C205" s="237" t="str">
        <f t="shared" si="150"/>
        <v/>
      </c>
      <c r="D205" s="237" t="str">
        <f t="shared" si="148"/>
        <v>-</v>
      </c>
      <c r="E205" s="263" t="str">
        <f t="shared" si="129"/>
        <v/>
      </c>
      <c r="F205" s="264" t="str">
        <f t="shared" si="130"/>
        <v/>
      </c>
      <c r="G205" s="264" t="str">
        <f t="shared" si="131"/>
        <v/>
      </c>
      <c r="H205" s="240" t="str">
        <f t="shared" si="151"/>
        <v/>
      </c>
      <c r="I205" s="265" t="str">
        <f t="shared" si="152"/>
        <v/>
      </c>
      <c r="J205" s="265" t="str">
        <f t="shared" si="153"/>
        <v/>
      </c>
      <c r="K205" s="240" t="str">
        <f t="shared" si="154"/>
        <v/>
      </c>
      <c r="L205" s="265" t="str">
        <f t="shared" si="155"/>
        <v/>
      </c>
      <c r="M205" s="265" t="str">
        <f t="shared" si="156"/>
        <v/>
      </c>
      <c r="N205" s="240" t="str">
        <f t="shared" si="157"/>
        <v>-</v>
      </c>
      <c r="O205" s="265" t="str">
        <f t="shared" si="158"/>
        <v>-</v>
      </c>
      <c r="P205" s="265" t="str">
        <f t="shared" si="159"/>
        <v>-</v>
      </c>
      <c r="Q205" s="266" t="str">
        <f t="shared" si="160"/>
        <v>-</v>
      </c>
      <c r="R205" s="267" t="str">
        <f t="shared" si="161"/>
        <v>-</v>
      </c>
      <c r="S205" s="268" t="str">
        <f t="shared" si="162"/>
        <v>-</v>
      </c>
      <c r="T205" s="269" t="str">
        <f t="shared" si="105"/>
        <v/>
      </c>
      <c r="U205" s="221">
        <f t="shared" si="106"/>
        <v>105</v>
      </c>
      <c r="V205" s="220" t="str">
        <f t="shared" si="132"/>
        <v>-</v>
      </c>
      <c r="W205" s="221" t="str">
        <f t="shared" si="133"/>
        <v>-</v>
      </c>
      <c r="X205" s="221" t="str">
        <f t="shared" si="107"/>
        <v>-</v>
      </c>
      <c r="Y205" s="221" t="str">
        <f t="shared" si="108"/>
        <v>-</v>
      </c>
      <c r="Z205" s="270">
        <f t="shared" si="134"/>
        <v>0.1</v>
      </c>
      <c r="AA205" s="271" t="str">
        <f>IFERROR(IF(V204=1,AA$100*EXP(-(LN(2)/$D$65+0.04)*X204)*EXP(-(LN(2)/$D$65+0.1)*Y204),IF(V204=2,AA$100*EXP(-(LN(2)/$D$65+0.04)*(VLOOKUP(($F$16-$F$15)-1,U$99:Y204,4,FALSE)))*EXP(-(LN(2)/$D$65+0.1)*(VLOOKUP(($F$16-$F$15)-1,U$99:Y204,5,FALSE)))*EXP(-(LN(2)/$D$65+0.04)*X204)*EXP(-(LN(2)/$D$65+0.1)*Y204),IF(V204=3,AA$100*EXP(-(LN(2)/$D$65+0.04)*(VLOOKUP(($F$16-$F$15)-1,U$99:Y204,4,FALSE)))*EXP(-(LN(2)/$D$65+0.1)*(VLOOKUP(($F$16-$F$15)-1,U$99:Y204,5,FALSE)))*EXP(-(LN(2)/$D$65+0.04)*(VLOOKUP(($F$16-$F$15)*2-1,U$99:Y204,4,FALSE)))*EXP(-(LN(2)/$D$65+0.1)*(VLOOKUP(($F$16-$F$15)*2-1,U$99:Y204,5,FALSE)))*EXP(-(LN(2)/$D$65+0.04)*X204)*EXP(-(LN(2)/$D$65+0.1)*Y204),"-"))),"-")</f>
        <v>-</v>
      </c>
      <c r="AB205" s="271" t="str">
        <f>IFERROR(IF(V205=1,AB$100*EXP(-(LN(2)/$D$65+0.04)*X205)*EXP(-(LN(2)/$D$65+0.1)*Y205),IF(V205=2,AB$100*EXP(-(LN(2)/$D$65+0.04)*(VLOOKUP(($F$16-$F$15)-1,U$100:Y205,4,FALSE)))*EXP(-(LN(2)/$D$65+0.1)*(VLOOKUP(($F$16-$F$15)-1,U$100:Y205,5,FALSE)))*EXP(-(LN(2)/$D$65+0.04)*X205)*EXP(-(LN(2)/$D$65+0.1)*Y205),IF(V205=3,AB$100*EXP(-(LN(2)/$D$65+0.04)*(VLOOKUP(($F$16-$F$15)-1,U$100:Y205,4,FALSE)))*EXP(-(LN(2)/$D$65+0.1)*(VLOOKUP(($F$16-$F$15)-1,U$100:Y205,5,FALSE)))*EXP(-(LN(2)/$D$65+0.04)*(VLOOKUP(($F$16-$F$15)*2-1,U$100:Y205,4,FALSE)))*EXP(-(LN(2)/$D$65+0.1)*(VLOOKUP(($F$16-$F$15)*2-1,U$100:Y205,5,FALSE)))*EXP(-(LN(2)/$D$65+0.04)*X205)*EXP(-(LN(2)/$D$65+0.1)*Y205),"-"))),"-")</f>
        <v>-</v>
      </c>
      <c r="AC205" s="224">
        <f t="shared" si="135"/>
        <v>105</v>
      </c>
      <c r="AD205" s="223" t="str">
        <f t="shared" si="109"/>
        <v>-</v>
      </c>
      <c r="AE205" s="224" t="str">
        <f t="shared" si="136"/>
        <v>-</v>
      </c>
      <c r="AF205" s="224" t="str">
        <f t="shared" si="110"/>
        <v>-</v>
      </c>
      <c r="AG205" s="224" t="str">
        <f t="shared" si="111"/>
        <v>-</v>
      </c>
      <c r="AH205" s="272">
        <f t="shared" si="137"/>
        <v>0.1</v>
      </c>
      <c r="AI205" s="271" t="str">
        <f>IFERROR(IF(AD204=1,AI$100*EXP(-(LN(2)/$D$65+0.04)*AF204)*EXP(-(LN(2)/$D$65+0.1)*AG204),IF(AD204=2,AI$100*EXP(-(LN(2)/$D$65+0.04)*(VLOOKUP(($F$16-$F$15)-1,AC$99:AG204,4,FALSE)))*EXP(-(LN(2)/$D$65+0.1)*(VLOOKUP(($F$16-$F$15)-1,AC$99:AG204,5,FALSE)))*EXP(-(LN(2)/$D$65+0.04)*AF204)*EXP(-(LN(2)/$D$65+0.1)*AG204),IF(AD204=3,AI$100*EXP(-(LN(2)/$D$65+0.04)*(VLOOKUP(($F$16-$F$15)-1,AC$99:AG204,4,FALSE)))*EXP(-(LN(2)/$D$65+0.1)*(VLOOKUP(($F$16-$F$15)-1,AC$99:AG204,5,FALSE)))*EXP(-(LN(2)/$D$65+0.04)*(VLOOKUP(($F$16-$F$15)*2-1,AC$99:AG204,4,FALSE)))*EXP(-(LN(2)/$D$65+0.1)*(VLOOKUP(($F$16-$F$15)*2-1,AC$99:AG204,5,FALSE)))*EXP(-(LN(2)/$D$65+0.04)*AF204)*EXP(-(LN(2)/$D$65+0.1)*AG204),"-"))),"-")</f>
        <v>-</v>
      </c>
      <c r="AJ205" s="271" t="str">
        <f>IFERROR(IF(AD205=1,AJ$100*EXP(-(LN(2)/$D$65+0.04)*AF205)*EXP(-(LN(2)/$D$65+0.1)*AG205),IF(AD205=2,AJ$100*EXP(-(LN(2)/$D$65+0.04)*(VLOOKUP(($F$16-$F$15)-1,AC$100:AG205,4,FALSE)))*EXP(-(LN(2)/$D$65+0.1)*(VLOOKUP(($F$16-$F$15)-1,AC$100:AG205,5,FALSE)))*EXP(-(LN(2)/$D$65+0.04)*AF205)*EXP(-(LN(2)/$D$65+0.1)*AG205),IF(AD205=3,AJ$100*EXP(-(LN(2)/$D$65+0.04)*(VLOOKUP(($F$16-$F$15)-1,AC$100:AG205,4,FALSE)))*EXP(-(LN(2)/$D$65+0.1)*(VLOOKUP(($F$16-$F$15)-1,AC$100:AG205,5,FALSE)))*EXP(-(LN(2)/$D$65+0.04)*(VLOOKUP(($F$16-$F$15)*2-1,AC$100:AG205,4,FALSE)))*EXP(-(LN(2)/$D$65+0.1)*(VLOOKUP(($F$16-$F$15)*2-1,AC$100:AG205,5,FALSE)))*EXP(-(LN(2)/$D$65+0.04)*AF205)*EXP(-(LN(2)/$D$65+0.1)*AG205),"-"))),"-")</f>
        <v>-</v>
      </c>
      <c r="AK205" s="227">
        <f t="shared" si="138"/>
        <v>105</v>
      </c>
      <c r="AL205" s="226" t="str">
        <f t="shared" si="112"/>
        <v>-</v>
      </c>
      <c r="AM205" s="227" t="str">
        <f t="shared" si="139"/>
        <v>-</v>
      </c>
      <c r="AN205" s="227" t="str">
        <f t="shared" si="140"/>
        <v>-</v>
      </c>
      <c r="AO205" s="227" t="str">
        <f t="shared" si="113"/>
        <v>-</v>
      </c>
      <c r="AP205" s="273">
        <f t="shared" si="141"/>
        <v>0.1</v>
      </c>
      <c r="AQ205" s="271" t="str">
        <f>IFERROR(IF(AL204=1,AQ$100*EXP(-(LN(2)/$D$65+0.04)*AN204)*EXP(-(LN(2)/$D$65+0.1)*AO204),IF(AL204=2,AQ$100*EXP(-(LN(2)/$D$65+0.04)*(VLOOKUP(($F$16-$F$15)-1,AK$99:AO204,4,FALSE)))*EXP(-(LN(2)/$D$65+0.1)*(VLOOKUP(($F$16-$F$15)-1,AK$99:AO204,5,FALSE)))*EXP(-(LN(2)/$D$65+0.04)*AN204)*EXP(-(LN(2)/$D$65+0.1)*AO204),IF(AL204=3,AQ$100*EXP(-(LN(2)/$D$65+0.04)*(VLOOKUP(($F$16-$F$15)-1,AK$99:AO204,4,FALSE)))*EXP(-(LN(2)/$D$65+0.1)*(VLOOKUP(($F$16-$F$15)-1,AK$99:AO204,5,FALSE)))*EXP(-(LN(2)/$D$65+0.04)*(VLOOKUP(($F$16-$F$15)*2-1,AK$99:AO204,4,FALSE)))*EXP(-(LN(2)/$D$65+0.1)*(VLOOKUP(($F$16-$F$15)*2-1,AK$99:AO204,5,FALSE)))*EXP(-(LN(2)/$D$65+0.04)*AN204)*EXP(-(LN(2)/$D$65+0.1)*AO204),"-"))),"-")</f>
        <v>-</v>
      </c>
      <c r="AR205" s="271" t="str">
        <f>IFERROR(IF(AL205=1,AR$100*EXP(-(LN(2)/$D$65+0.04)*AN205)*EXP(-(LN(2)/$D$65+0.1)*AO205),IF(AL205=2,AR$100*EXP(-(LN(2)/$D$65+0.04)*(VLOOKUP(($F$16-$F$15)-1,AK$100:AO205,4,FALSE)))*EXP(-(LN(2)/$D$65+0.1)*(VLOOKUP(($F$16-$F$15)-1,AK$100:AO205,5,FALSE)))*EXP(-(LN(2)/$D$65+0.04)*AN205)*EXP(-(LN(2)/$D$65+0.1)*AO205),IF(AL205=3,AR$100*EXP(-(LN(2)/$D$65+0.04)*(VLOOKUP(($F$16-$F$15)-1,AK$100:AO205,4,FALSE)))*EXP(-(LN(2)/$D$65+0.1)*(VLOOKUP(($F$16-$F$15)-1,AK$100:AO205,5,FALSE)))*EXP(-(LN(2)/$D$65+0.04)*(VLOOKUP(($F$16-$F$15)*2-1,AK$100:AO205,4,FALSE)))*EXP(-(LN(2)/$D$65+0.1)*(VLOOKUP(($F$16-$F$15)*2-1,AK$100:AO205,5,FALSE)))*EXP(-(LN(2)/$D$65+0.04)*AN205)*EXP(-(LN(2)/$D$65+0.1)*AO205),"-"))),"-")</f>
        <v>-</v>
      </c>
      <c r="AS205" s="274">
        <f t="shared" si="114"/>
        <v>0</v>
      </c>
      <c r="AT205" s="274">
        <f t="shared" si="115"/>
        <v>0</v>
      </c>
      <c r="AU205" s="274">
        <f t="shared" si="116"/>
        <v>0</v>
      </c>
      <c r="AV205" s="190">
        <f>IF($B205&lt;$F$22,SUM($T$100:$T205),"")</f>
        <v>0</v>
      </c>
      <c r="AW205" s="190" t="str">
        <f t="shared" si="163"/>
        <v>-</v>
      </c>
      <c r="AX205" s="190" t="str">
        <f t="shared" si="142"/>
        <v/>
      </c>
      <c r="AY205"/>
      <c r="AZ205" s="190" t="str">
        <f ca="1">IF(ISNUMBER(OFFSET(AV205,-$F$21,0)),SUM(OFFSET($T$100,$F$21,0):$T205),"")</f>
        <v/>
      </c>
      <c r="BA205" s="190" t="str">
        <f t="shared" ca="1" si="164"/>
        <v/>
      </c>
      <c r="BB205" s="190" t="str">
        <f t="shared" ca="1" si="149"/>
        <v/>
      </c>
      <c r="BC205" s="190"/>
      <c r="BD205" s="190" t="str">
        <f ca="1">IFERROR(IF(AND($B205&gt;=($F$16-$F$15),$B205&lt;$F$22+($F$16-$F$15)),SUM(OFFSET($T$100,($F$16-$F$15),0):$T205),""),"")</f>
        <v/>
      </c>
      <c r="BE205" s="190" t="str">
        <f t="shared" ca="1" si="143"/>
        <v/>
      </c>
      <c r="BF205" s="190" t="str">
        <f t="shared" ca="1" si="144"/>
        <v/>
      </c>
      <c r="BG205"/>
      <c r="BH205" s="190" t="str">
        <f ca="1">IF(ISNUMBER(OFFSET(BD205,-$F$21,0)),SUM(OFFSET($T$100,($F$16-$F$15+$F$21),0):$T205),"")</f>
        <v/>
      </c>
      <c r="BI205" s="190" t="str">
        <f t="shared" ca="1" si="165"/>
        <v/>
      </c>
      <c r="BJ205" s="190" t="str">
        <f t="shared" ca="1" si="145"/>
        <v/>
      </c>
      <c r="BK205" s="190"/>
      <c r="BL205" s="190" t="str">
        <f ca="1">IFERROR(IF(AND($B205&gt;=($F$17-$F$15),$B205&lt;$F$22+($F$17-$F$15)),SUM(OFFSET($T$100,($F$17-$F$15),0):$T205),""),"")</f>
        <v/>
      </c>
      <c r="BM205" s="190" t="str">
        <f t="shared" ca="1" si="166"/>
        <v/>
      </c>
      <c r="BN205" s="190" t="str">
        <f t="shared" ca="1" si="146"/>
        <v/>
      </c>
      <c r="BO205"/>
      <c r="BP205" s="190" t="str">
        <f ca="1">IF(ISNUMBER(OFFSET(BL205,-$F$21,0)),SUM(OFFSET($T$100,($F$17-$F$15+$F$21),0):$T205),"")</f>
        <v/>
      </c>
      <c r="BQ205" s="190" t="str">
        <f t="shared" ca="1" si="167"/>
        <v/>
      </c>
      <c r="BR205" s="190" t="str">
        <f t="shared" ca="1" si="147"/>
        <v/>
      </c>
      <c r="BS205" s="190"/>
      <c r="BT205"/>
      <c r="BU205"/>
      <c r="BV205"/>
      <c r="BY205" s="99"/>
      <c r="BZ205" s="99"/>
      <c r="CA205" s="280" t="str">
        <f t="shared" si="168"/>
        <v/>
      </c>
      <c r="CB205" s="71" t="str">
        <f t="shared" si="123"/>
        <v>-</v>
      </c>
      <c r="CC205" s="33"/>
      <c r="CD205" s="261" t="str">
        <f t="shared" si="124"/>
        <v/>
      </c>
      <c r="CE205" s="280" t="str">
        <f t="shared" si="169"/>
        <v>-</v>
      </c>
      <c r="CF205" s="71" t="str">
        <f t="shared" ca="1" si="170"/>
        <v>-</v>
      </c>
      <c r="CG205" s="33" t="str">
        <f t="shared" si="127"/>
        <v>105-106</v>
      </c>
      <c r="CH205" s="261" t="str">
        <f t="shared" ca="1" si="128"/>
        <v/>
      </c>
    </row>
    <row r="206" spans="2:86" ht="13.5" customHeight="1" x14ac:dyDescent="0.2">
      <c r="B206" s="262">
        <v>106</v>
      </c>
      <c r="C206" s="237" t="str">
        <f t="shared" si="150"/>
        <v/>
      </c>
      <c r="D206" s="237" t="str">
        <f t="shared" si="148"/>
        <v>-</v>
      </c>
      <c r="E206" s="263" t="str">
        <f t="shared" si="129"/>
        <v/>
      </c>
      <c r="F206" s="264" t="str">
        <f t="shared" si="130"/>
        <v/>
      </c>
      <c r="G206" s="264" t="str">
        <f t="shared" si="131"/>
        <v/>
      </c>
      <c r="H206" s="240" t="str">
        <f t="shared" si="151"/>
        <v/>
      </c>
      <c r="I206" s="265" t="str">
        <f t="shared" si="152"/>
        <v/>
      </c>
      <c r="J206" s="265" t="str">
        <f t="shared" si="153"/>
        <v/>
      </c>
      <c r="K206" s="240" t="str">
        <f t="shared" si="154"/>
        <v/>
      </c>
      <c r="L206" s="265" t="str">
        <f t="shared" si="155"/>
        <v/>
      </c>
      <c r="M206" s="265" t="str">
        <f t="shared" si="156"/>
        <v/>
      </c>
      <c r="N206" s="240" t="str">
        <f t="shared" si="157"/>
        <v>-</v>
      </c>
      <c r="O206" s="265" t="str">
        <f t="shared" si="158"/>
        <v>-</v>
      </c>
      <c r="P206" s="265" t="str">
        <f t="shared" si="159"/>
        <v>-</v>
      </c>
      <c r="Q206" s="266" t="str">
        <f t="shared" si="160"/>
        <v>-</v>
      </c>
      <c r="R206" s="267" t="str">
        <f t="shared" si="161"/>
        <v>-</v>
      </c>
      <c r="S206" s="268" t="str">
        <f t="shared" si="162"/>
        <v>-</v>
      </c>
      <c r="T206" s="269" t="str">
        <f t="shared" si="105"/>
        <v/>
      </c>
      <c r="U206" s="221">
        <f t="shared" si="106"/>
        <v>106</v>
      </c>
      <c r="V206" s="220" t="str">
        <f t="shared" si="132"/>
        <v>-</v>
      </c>
      <c r="W206" s="221" t="str">
        <f t="shared" si="133"/>
        <v>-</v>
      </c>
      <c r="X206" s="221" t="str">
        <f t="shared" si="107"/>
        <v>-</v>
      </c>
      <c r="Y206" s="221" t="str">
        <f t="shared" si="108"/>
        <v>-</v>
      </c>
      <c r="Z206" s="270">
        <f t="shared" si="134"/>
        <v>0.1</v>
      </c>
      <c r="AA206" s="271" t="str">
        <f>IFERROR(IF(V205=1,AA$100*EXP(-(LN(2)/$D$65+0.04)*X205)*EXP(-(LN(2)/$D$65+0.1)*Y205),IF(V205=2,AA$100*EXP(-(LN(2)/$D$65+0.04)*(VLOOKUP(($F$16-$F$15)-1,U$99:Y205,4,FALSE)))*EXP(-(LN(2)/$D$65+0.1)*(VLOOKUP(($F$16-$F$15)-1,U$99:Y205,5,FALSE)))*EXP(-(LN(2)/$D$65+0.04)*X205)*EXP(-(LN(2)/$D$65+0.1)*Y205),IF(V205=3,AA$100*EXP(-(LN(2)/$D$65+0.04)*(VLOOKUP(($F$16-$F$15)-1,U$99:Y205,4,FALSE)))*EXP(-(LN(2)/$D$65+0.1)*(VLOOKUP(($F$16-$F$15)-1,U$99:Y205,5,FALSE)))*EXP(-(LN(2)/$D$65+0.04)*(VLOOKUP(($F$16-$F$15)*2-1,U$99:Y205,4,FALSE)))*EXP(-(LN(2)/$D$65+0.1)*(VLOOKUP(($F$16-$F$15)*2-1,U$99:Y205,5,FALSE)))*EXP(-(LN(2)/$D$65+0.04)*X205)*EXP(-(LN(2)/$D$65+0.1)*Y205),"-"))),"-")</f>
        <v>-</v>
      </c>
      <c r="AB206" s="271" t="str">
        <f>IFERROR(IF(V206=1,AB$100*EXP(-(LN(2)/$D$65+0.04)*X206)*EXP(-(LN(2)/$D$65+0.1)*Y206),IF(V206=2,AB$100*EXP(-(LN(2)/$D$65+0.04)*(VLOOKUP(($F$16-$F$15)-1,U$100:Y206,4,FALSE)))*EXP(-(LN(2)/$D$65+0.1)*(VLOOKUP(($F$16-$F$15)-1,U$100:Y206,5,FALSE)))*EXP(-(LN(2)/$D$65+0.04)*X206)*EXP(-(LN(2)/$D$65+0.1)*Y206),IF(V206=3,AB$100*EXP(-(LN(2)/$D$65+0.04)*(VLOOKUP(($F$16-$F$15)-1,U$100:Y206,4,FALSE)))*EXP(-(LN(2)/$D$65+0.1)*(VLOOKUP(($F$16-$F$15)-1,U$100:Y206,5,FALSE)))*EXP(-(LN(2)/$D$65+0.04)*(VLOOKUP(($F$16-$F$15)*2-1,U$100:Y206,4,FALSE)))*EXP(-(LN(2)/$D$65+0.1)*(VLOOKUP(($F$16-$F$15)*2-1,U$100:Y206,5,FALSE)))*EXP(-(LN(2)/$D$65+0.04)*X206)*EXP(-(LN(2)/$D$65+0.1)*Y206),"-"))),"-")</f>
        <v>-</v>
      </c>
      <c r="AC206" s="224">
        <f t="shared" si="135"/>
        <v>106</v>
      </c>
      <c r="AD206" s="223" t="str">
        <f t="shared" si="109"/>
        <v>-</v>
      </c>
      <c r="AE206" s="224" t="str">
        <f t="shared" si="136"/>
        <v>-</v>
      </c>
      <c r="AF206" s="224" t="str">
        <f t="shared" si="110"/>
        <v>-</v>
      </c>
      <c r="AG206" s="224" t="str">
        <f t="shared" si="111"/>
        <v>-</v>
      </c>
      <c r="AH206" s="272">
        <f t="shared" si="137"/>
        <v>0.1</v>
      </c>
      <c r="AI206" s="271" t="str">
        <f>IFERROR(IF(AD205=1,AI$100*EXP(-(LN(2)/$D$65+0.04)*AF205)*EXP(-(LN(2)/$D$65+0.1)*AG205),IF(AD205=2,AI$100*EXP(-(LN(2)/$D$65+0.04)*(VLOOKUP(($F$16-$F$15)-1,AC$99:AG205,4,FALSE)))*EXP(-(LN(2)/$D$65+0.1)*(VLOOKUP(($F$16-$F$15)-1,AC$99:AG205,5,FALSE)))*EXP(-(LN(2)/$D$65+0.04)*AF205)*EXP(-(LN(2)/$D$65+0.1)*AG205),IF(AD205=3,AI$100*EXP(-(LN(2)/$D$65+0.04)*(VLOOKUP(($F$16-$F$15)-1,AC$99:AG205,4,FALSE)))*EXP(-(LN(2)/$D$65+0.1)*(VLOOKUP(($F$16-$F$15)-1,AC$99:AG205,5,FALSE)))*EXP(-(LN(2)/$D$65+0.04)*(VLOOKUP(($F$16-$F$15)*2-1,AC$99:AG205,4,FALSE)))*EXP(-(LN(2)/$D$65+0.1)*(VLOOKUP(($F$16-$F$15)*2-1,AC$99:AG205,5,FALSE)))*EXP(-(LN(2)/$D$65+0.04)*AF205)*EXP(-(LN(2)/$D$65+0.1)*AG205),"-"))),"-")</f>
        <v>-</v>
      </c>
      <c r="AJ206" s="271" t="str">
        <f>IFERROR(IF(AD206=1,AJ$100*EXP(-(LN(2)/$D$65+0.04)*AF206)*EXP(-(LN(2)/$D$65+0.1)*AG206),IF(AD206=2,AJ$100*EXP(-(LN(2)/$D$65+0.04)*(VLOOKUP(($F$16-$F$15)-1,AC$100:AG206,4,FALSE)))*EXP(-(LN(2)/$D$65+0.1)*(VLOOKUP(($F$16-$F$15)-1,AC$100:AG206,5,FALSE)))*EXP(-(LN(2)/$D$65+0.04)*AF206)*EXP(-(LN(2)/$D$65+0.1)*AG206),IF(AD206=3,AJ$100*EXP(-(LN(2)/$D$65+0.04)*(VLOOKUP(($F$16-$F$15)-1,AC$100:AG206,4,FALSE)))*EXP(-(LN(2)/$D$65+0.1)*(VLOOKUP(($F$16-$F$15)-1,AC$100:AG206,5,FALSE)))*EXP(-(LN(2)/$D$65+0.04)*(VLOOKUP(($F$16-$F$15)*2-1,AC$100:AG206,4,FALSE)))*EXP(-(LN(2)/$D$65+0.1)*(VLOOKUP(($F$16-$F$15)*2-1,AC$100:AG206,5,FALSE)))*EXP(-(LN(2)/$D$65+0.04)*AF206)*EXP(-(LN(2)/$D$65+0.1)*AG206),"-"))),"-")</f>
        <v>-</v>
      </c>
      <c r="AK206" s="227">
        <f t="shared" si="138"/>
        <v>106</v>
      </c>
      <c r="AL206" s="226" t="str">
        <f t="shared" si="112"/>
        <v>-</v>
      </c>
      <c r="AM206" s="227" t="str">
        <f t="shared" si="139"/>
        <v>-</v>
      </c>
      <c r="AN206" s="227" t="str">
        <f t="shared" si="140"/>
        <v>-</v>
      </c>
      <c r="AO206" s="227" t="str">
        <f t="shared" si="113"/>
        <v>-</v>
      </c>
      <c r="AP206" s="273">
        <f t="shared" si="141"/>
        <v>0.1</v>
      </c>
      <c r="AQ206" s="271" t="str">
        <f>IFERROR(IF(AL205=1,AQ$100*EXP(-(LN(2)/$D$65+0.04)*AN205)*EXP(-(LN(2)/$D$65+0.1)*AO205),IF(AL205=2,AQ$100*EXP(-(LN(2)/$D$65+0.04)*(VLOOKUP(($F$16-$F$15)-1,AK$99:AO205,4,FALSE)))*EXP(-(LN(2)/$D$65+0.1)*(VLOOKUP(($F$16-$F$15)-1,AK$99:AO205,5,FALSE)))*EXP(-(LN(2)/$D$65+0.04)*AN205)*EXP(-(LN(2)/$D$65+0.1)*AO205),IF(AL205=3,AQ$100*EXP(-(LN(2)/$D$65+0.04)*(VLOOKUP(($F$16-$F$15)-1,AK$99:AO205,4,FALSE)))*EXP(-(LN(2)/$D$65+0.1)*(VLOOKUP(($F$16-$F$15)-1,AK$99:AO205,5,FALSE)))*EXP(-(LN(2)/$D$65+0.04)*(VLOOKUP(($F$16-$F$15)*2-1,AK$99:AO205,4,FALSE)))*EXP(-(LN(2)/$D$65+0.1)*(VLOOKUP(($F$16-$F$15)*2-1,AK$99:AO205,5,FALSE)))*EXP(-(LN(2)/$D$65+0.04)*AN205)*EXP(-(LN(2)/$D$65+0.1)*AO205),"-"))),"-")</f>
        <v>-</v>
      </c>
      <c r="AR206" s="271" t="str">
        <f>IFERROR(IF(AL206=1,AR$100*EXP(-(LN(2)/$D$65+0.04)*AN206)*EXP(-(LN(2)/$D$65+0.1)*AO206),IF(AL206=2,AR$100*EXP(-(LN(2)/$D$65+0.04)*(VLOOKUP(($F$16-$F$15)-1,AK$100:AO206,4,FALSE)))*EXP(-(LN(2)/$D$65+0.1)*(VLOOKUP(($F$16-$F$15)-1,AK$100:AO206,5,FALSE)))*EXP(-(LN(2)/$D$65+0.04)*AN206)*EXP(-(LN(2)/$D$65+0.1)*AO206),IF(AL206=3,AR$100*EXP(-(LN(2)/$D$65+0.04)*(VLOOKUP(($F$16-$F$15)-1,AK$100:AO206,4,FALSE)))*EXP(-(LN(2)/$D$65+0.1)*(VLOOKUP(($F$16-$F$15)-1,AK$100:AO206,5,FALSE)))*EXP(-(LN(2)/$D$65+0.04)*(VLOOKUP(($F$16-$F$15)*2-1,AK$100:AO206,4,FALSE)))*EXP(-(LN(2)/$D$65+0.1)*(VLOOKUP(($F$16-$F$15)*2-1,AK$100:AO206,5,FALSE)))*EXP(-(LN(2)/$D$65+0.04)*AN206)*EXP(-(LN(2)/$D$65+0.1)*AO206),"-"))),"-")</f>
        <v>-</v>
      </c>
      <c r="AS206" s="274">
        <f t="shared" si="114"/>
        <v>0</v>
      </c>
      <c r="AT206" s="274">
        <f t="shared" si="115"/>
        <v>0</v>
      </c>
      <c r="AU206" s="274">
        <f t="shared" si="116"/>
        <v>0</v>
      </c>
      <c r="AV206" s="190">
        <f>IF($B206&lt;$F$22,SUM($T$100:$T206),"")</f>
        <v>0</v>
      </c>
      <c r="AW206" s="190" t="str">
        <f t="shared" si="163"/>
        <v>-</v>
      </c>
      <c r="AX206" s="190" t="str">
        <f t="shared" si="142"/>
        <v/>
      </c>
      <c r="AY206"/>
      <c r="AZ206" s="190" t="str">
        <f ca="1">IF(ISNUMBER(OFFSET(AV206,-$F$21,0)),SUM(OFFSET($T$100,$F$21,0):$T206),"")</f>
        <v/>
      </c>
      <c r="BA206" s="190" t="str">
        <f t="shared" ca="1" si="164"/>
        <v/>
      </c>
      <c r="BB206" s="190" t="str">
        <f t="shared" ca="1" si="149"/>
        <v/>
      </c>
      <c r="BC206" s="190"/>
      <c r="BD206" s="190" t="str">
        <f ca="1">IFERROR(IF(AND($B206&gt;=($F$16-$F$15),$B206&lt;$F$22+($F$16-$F$15)),SUM(OFFSET($T$100,($F$16-$F$15),0):$T206),""),"")</f>
        <v/>
      </c>
      <c r="BE206" s="190" t="str">
        <f t="shared" ca="1" si="143"/>
        <v/>
      </c>
      <c r="BF206" s="190" t="str">
        <f t="shared" ca="1" si="144"/>
        <v/>
      </c>
      <c r="BG206"/>
      <c r="BH206" s="190" t="str">
        <f ca="1">IF(ISNUMBER(OFFSET(BD206,-$F$21,0)),SUM(OFFSET($T$100,($F$16-$F$15+$F$21),0):$T206),"")</f>
        <v/>
      </c>
      <c r="BI206" s="190" t="str">
        <f t="shared" ca="1" si="165"/>
        <v/>
      </c>
      <c r="BJ206" s="190" t="str">
        <f t="shared" ca="1" si="145"/>
        <v/>
      </c>
      <c r="BK206" s="190"/>
      <c r="BL206" s="190" t="str">
        <f ca="1">IFERROR(IF(AND($B206&gt;=($F$17-$F$15),$B206&lt;$F$22+($F$17-$F$15)),SUM(OFFSET($T$100,($F$17-$F$15),0):$T206),""),"")</f>
        <v/>
      </c>
      <c r="BM206" s="190" t="str">
        <f t="shared" ca="1" si="166"/>
        <v/>
      </c>
      <c r="BN206" s="190" t="str">
        <f t="shared" ca="1" si="146"/>
        <v/>
      </c>
      <c r="BO206"/>
      <c r="BP206" s="190" t="str">
        <f ca="1">IF(ISNUMBER(OFFSET(BL206,-$F$21,0)),SUM(OFFSET($T$100,($F$17-$F$15+$F$21),0):$T206),"")</f>
        <v/>
      </c>
      <c r="BQ206" s="190" t="str">
        <f t="shared" ca="1" si="167"/>
        <v/>
      </c>
      <c r="BR206" s="190" t="str">
        <f t="shared" ca="1" si="147"/>
        <v/>
      </c>
      <c r="BS206" s="190"/>
      <c r="BT206"/>
      <c r="BU206"/>
      <c r="BV206"/>
      <c r="BY206" s="99"/>
      <c r="BZ206" s="99"/>
      <c r="CA206" s="280" t="str">
        <f t="shared" si="168"/>
        <v/>
      </c>
      <c r="CB206" s="71" t="str">
        <f t="shared" si="123"/>
        <v>-</v>
      </c>
      <c r="CC206" s="33"/>
      <c r="CD206" s="261" t="str">
        <f t="shared" si="124"/>
        <v/>
      </c>
      <c r="CE206" s="280" t="str">
        <f t="shared" si="169"/>
        <v>-</v>
      </c>
      <c r="CF206" s="71" t="str">
        <f t="shared" ca="1" si="170"/>
        <v>-</v>
      </c>
      <c r="CG206" s="33" t="str">
        <f t="shared" si="127"/>
        <v>106-107</v>
      </c>
      <c r="CH206" s="261" t="str">
        <f t="shared" ca="1" si="128"/>
        <v/>
      </c>
    </row>
    <row r="207" spans="2:86" ht="13.5" customHeight="1" x14ac:dyDescent="0.2">
      <c r="B207" s="262">
        <v>107</v>
      </c>
      <c r="C207" s="237" t="str">
        <f t="shared" si="150"/>
        <v/>
      </c>
      <c r="D207" s="237" t="str">
        <f t="shared" si="148"/>
        <v>-</v>
      </c>
      <c r="E207" s="263" t="str">
        <f t="shared" si="129"/>
        <v/>
      </c>
      <c r="F207" s="264" t="str">
        <f t="shared" si="130"/>
        <v/>
      </c>
      <c r="G207" s="264" t="str">
        <f t="shared" si="131"/>
        <v/>
      </c>
      <c r="H207" s="240" t="str">
        <f t="shared" si="151"/>
        <v/>
      </c>
      <c r="I207" s="265" t="str">
        <f t="shared" si="152"/>
        <v/>
      </c>
      <c r="J207" s="265" t="str">
        <f t="shared" si="153"/>
        <v/>
      </c>
      <c r="K207" s="240" t="str">
        <f t="shared" si="154"/>
        <v/>
      </c>
      <c r="L207" s="265" t="str">
        <f t="shared" si="155"/>
        <v/>
      </c>
      <c r="M207" s="265" t="str">
        <f t="shared" si="156"/>
        <v/>
      </c>
      <c r="N207" s="240" t="str">
        <f t="shared" si="157"/>
        <v>-</v>
      </c>
      <c r="O207" s="265" t="str">
        <f t="shared" si="158"/>
        <v>-</v>
      </c>
      <c r="P207" s="265" t="str">
        <f t="shared" si="159"/>
        <v>-</v>
      </c>
      <c r="Q207" s="266" t="str">
        <f t="shared" si="160"/>
        <v>-</v>
      </c>
      <c r="R207" s="267" t="str">
        <f t="shared" si="161"/>
        <v>-</v>
      </c>
      <c r="S207" s="268" t="str">
        <f t="shared" si="162"/>
        <v>-</v>
      </c>
      <c r="T207" s="269" t="str">
        <f t="shared" si="105"/>
        <v/>
      </c>
      <c r="U207" s="221">
        <f t="shared" si="106"/>
        <v>107</v>
      </c>
      <c r="V207" s="220" t="str">
        <f t="shared" si="132"/>
        <v>-</v>
      </c>
      <c r="W207" s="221" t="str">
        <f t="shared" si="133"/>
        <v>-</v>
      </c>
      <c r="X207" s="221" t="str">
        <f t="shared" si="107"/>
        <v>-</v>
      </c>
      <c r="Y207" s="221" t="str">
        <f t="shared" si="108"/>
        <v>-</v>
      </c>
      <c r="Z207" s="270">
        <f t="shared" si="134"/>
        <v>0.1</v>
      </c>
      <c r="AA207" s="271" t="str">
        <f>IFERROR(IF(V206=1,AA$100*EXP(-(LN(2)/$D$65+0.04)*X206)*EXP(-(LN(2)/$D$65+0.1)*Y206),IF(V206=2,AA$100*EXP(-(LN(2)/$D$65+0.04)*(VLOOKUP(($F$16-$F$15)-1,U$99:Y206,4,FALSE)))*EXP(-(LN(2)/$D$65+0.1)*(VLOOKUP(($F$16-$F$15)-1,U$99:Y206,5,FALSE)))*EXP(-(LN(2)/$D$65+0.04)*X206)*EXP(-(LN(2)/$D$65+0.1)*Y206),IF(V206=3,AA$100*EXP(-(LN(2)/$D$65+0.04)*(VLOOKUP(($F$16-$F$15)-1,U$99:Y206,4,FALSE)))*EXP(-(LN(2)/$D$65+0.1)*(VLOOKUP(($F$16-$F$15)-1,U$99:Y206,5,FALSE)))*EXP(-(LN(2)/$D$65+0.04)*(VLOOKUP(($F$16-$F$15)*2-1,U$99:Y206,4,FALSE)))*EXP(-(LN(2)/$D$65+0.1)*(VLOOKUP(($F$16-$F$15)*2-1,U$99:Y206,5,FALSE)))*EXP(-(LN(2)/$D$65+0.04)*X206)*EXP(-(LN(2)/$D$65+0.1)*Y206),"-"))),"-")</f>
        <v>-</v>
      </c>
      <c r="AB207" s="271" t="str">
        <f>IFERROR(IF(V207=1,AB$100*EXP(-(LN(2)/$D$65+0.04)*X207)*EXP(-(LN(2)/$D$65+0.1)*Y207),IF(V207=2,AB$100*EXP(-(LN(2)/$D$65+0.04)*(VLOOKUP(($F$16-$F$15)-1,U$100:Y207,4,FALSE)))*EXP(-(LN(2)/$D$65+0.1)*(VLOOKUP(($F$16-$F$15)-1,U$100:Y207,5,FALSE)))*EXP(-(LN(2)/$D$65+0.04)*X207)*EXP(-(LN(2)/$D$65+0.1)*Y207),IF(V207=3,AB$100*EXP(-(LN(2)/$D$65+0.04)*(VLOOKUP(($F$16-$F$15)-1,U$100:Y207,4,FALSE)))*EXP(-(LN(2)/$D$65+0.1)*(VLOOKUP(($F$16-$F$15)-1,U$100:Y207,5,FALSE)))*EXP(-(LN(2)/$D$65+0.04)*(VLOOKUP(($F$16-$F$15)*2-1,U$100:Y207,4,FALSE)))*EXP(-(LN(2)/$D$65+0.1)*(VLOOKUP(($F$16-$F$15)*2-1,U$100:Y207,5,FALSE)))*EXP(-(LN(2)/$D$65+0.04)*X207)*EXP(-(LN(2)/$D$65+0.1)*Y207),"-"))),"-")</f>
        <v>-</v>
      </c>
      <c r="AC207" s="224">
        <f t="shared" si="135"/>
        <v>107</v>
      </c>
      <c r="AD207" s="223" t="str">
        <f t="shared" si="109"/>
        <v>-</v>
      </c>
      <c r="AE207" s="224" t="str">
        <f t="shared" si="136"/>
        <v>-</v>
      </c>
      <c r="AF207" s="224" t="str">
        <f t="shared" si="110"/>
        <v>-</v>
      </c>
      <c r="AG207" s="224" t="str">
        <f t="shared" si="111"/>
        <v>-</v>
      </c>
      <c r="AH207" s="272">
        <f t="shared" si="137"/>
        <v>0.1</v>
      </c>
      <c r="AI207" s="271" t="str">
        <f>IFERROR(IF(AD206=1,AI$100*EXP(-(LN(2)/$D$65+0.04)*AF206)*EXP(-(LN(2)/$D$65+0.1)*AG206),IF(AD206=2,AI$100*EXP(-(LN(2)/$D$65+0.04)*(VLOOKUP(($F$16-$F$15)-1,AC$99:AG206,4,FALSE)))*EXP(-(LN(2)/$D$65+0.1)*(VLOOKUP(($F$16-$F$15)-1,AC$99:AG206,5,FALSE)))*EXP(-(LN(2)/$D$65+0.04)*AF206)*EXP(-(LN(2)/$D$65+0.1)*AG206),IF(AD206=3,AI$100*EXP(-(LN(2)/$D$65+0.04)*(VLOOKUP(($F$16-$F$15)-1,AC$99:AG206,4,FALSE)))*EXP(-(LN(2)/$D$65+0.1)*(VLOOKUP(($F$16-$F$15)-1,AC$99:AG206,5,FALSE)))*EXP(-(LN(2)/$D$65+0.04)*(VLOOKUP(($F$16-$F$15)*2-1,AC$99:AG206,4,FALSE)))*EXP(-(LN(2)/$D$65+0.1)*(VLOOKUP(($F$16-$F$15)*2-1,AC$99:AG206,5,FALSE)))*EXP(-(LN(2)/$D$65+0.04)*AF206)*EXP(-(LN(2)/$D$65+0.1)*AG206),"-"))),"-")</f>
        <v>-</v>
      </c>
      <c r="AJ207" s="271" t="str">
        <f>IFERROR(IF(AD207=1,AJ$100*EXP(-(LN(2)/$D$65+0.04)*AF207)*EXP(-(LN(2)/$D$65+0.1)*AG207),IF(AD207=2,AJ$100*EXP(-(LN(2)/$D$65+0.04)*(VLOOKUP(($F$16-$F$15)-1,AC$100:AG207,4,FALSE)))*EXP(-(LN(2)/$D$65+0.1)*(VLOOKUP(($F$16-$F$15)-1,AC$100:AG207,5,FALSE)))*EXP(-(LN(2)/$D$65+0.04)*AF207)*EXP(-(LN(2)/$D$65+0.1)*AG207),IF(AD207=3,AJ$100*EXP(-(LN(2)/$D$65+0.04)*(VLOOKUP(($F$16-$F$15)-1,AC$100:AG207,4,FALSE)))*EXP(-(LN(2)/$D$65+0.1)*(VLOOKUP(($F$16-$F$15)-1,AC$100:AG207,5,FALSE)))*EXP(-(LN(2)/$D$65+0.04)*(VLOOKUP(($F$16-$F$15)*2-1,AC$100:AG207,4,FALSE)))*EXP(-(LN(2)/$D$65+0.1)*(VLOOKUP(($F$16-$F$15)*2-1,AC$100:AG207,5,FALSE)))*EXP(-(LN(2)/$D$65+0.04)*AF207)*EXP(-(LN(2)/$D$65+0.1)*AG207),"-"))),"-")</f>
        <v>-</v>
      </c>
      <c r="AK207" s="227">
        <f t="shared" si="138"/>
        <v>107</v>
      </c>
      <c r="AL207" s="226" t="str">
        <f t="shared" si="112"/>
        <v>-</v>
      </c>
      <c r="AM207" s="227" t="str">
        <f t="shared" si="139"/>
        <v>-</v>
      </c>
      <c r="AN207" s="227" t="str">
        <f t="shared" si="140"/>
        <v>-</v>
      </c>
      <c r="AO207" s="227" t="str">
        <f t="shared" si="113"/>
        <v>-</v>
      </c>
      <c r="AP207" s="273">
        <f t="shared" si="141"/>
        <v>0.1</v>
      </c>
      <c r="AQ207" s="271" t="str">
        <f>IFERROR(IF(AL206=1,AQ$100*EXP(-(LN(2)/$D$65+0.04)*AN206)*EXP(-(LN(2)/$D$65+0.1)*AO206),IF(AL206=2,AQ$100*EXP(-(LN(2)/$D$65+0.04)*(VLOOKUP(($F$16-$F$15)-1,AK$99:AO206,4,FALSE)))*EXP(-(LN(2)/$D$65+0.1)*(VLOOKUP(($F$16-$F$15)-1,AK$99:AO206,5,FALSE)))*EXP(-(LN(2)/$D$65+0.04)*AN206)*EXP(-(LN(2)/$D$65+0.1)*AO206),IF(AL206=3,AQ$100*EXP(-(LN(2)/$D$65+0.04)*(VLOOKUP(($F$16-$F$15)-1,AK$99:AO206,4,FALSE)))*EXP(-(LN(2)/$D$65+0.1)*(VLOOKUP(($F$16-$F$15)-1,AK$99:AO206,5,FALSE)))*EXP(-(LN(2)/$D$65+0.04)*(VLOOKUP(($F$16-$F$15)*2-1,AK$99:AO206,4,FALSE)))*EXP(-(LN(2)/$D$65+0.1)*(VLOOKUP(($F$16-$F$15)*2-1,AK$99:AO206,5,FALSE)))*EXP(-(LN(2)/$D$65+0.04)*AN206)*EXP(-(LN(2)/$D$65+0.1)*AO206),"-"))),"-")</f>
        <v>-</v>
      </c>
      <c r="AR207" s="271" t="str">
        <f>IFERROR(IF(AL207=1,AR$100*EXP(-(LN(2)/$D$65+0.04)*AN207)*EXP(-(LN(2)/$D$65+0.1)*AO207),IF(AL207=2,AR$100*EXP(-(LN(2)/$D$65+0.04)*(VLOOKUP(($F$16-$F$15)-1,AK$100:AO207,4,FALSE)))*EXP(-(LN(2)/$D$65+0.1)*(VLOOKUP(($F$16-$F$15)-1,AK$100:AO207,5,FALSE)))*EXP(-(LN(2)/$D$65+0.04)*AN207)*EXP(-(LN(2)/$D$65+0.1)*AO207),IF(AL207=3,AR$100*EXP(-(LN(2)/$D$65+0.04)*(VLOOKUP(($F$16-$F$15)-1,AK$100:AO207,4,FALSE)))*EXP(-(LN(2)/$D$65+0.1)*(VLOOKUP(($F$16-$F$15)-1,AK$100:AO207,5,FALSE)))*EXP(-(LN(2)/$D$65+0.04)*(VLOOKUP(($F$16-$F$15)*2-1,AK$100:AO207,4,FALSE)))*EXP(-(LN(2)/$D$65+0.1)*(VLOOKUP(($F$16-$F$15)*2-1,AK$100:AO207,5,FALSE)))*EXP(-(LN(2)/$D$65+0.04)*AN207)*EXP(-(LN(2)/$D$65+0.1)*AO207),"-"))),"-")</f>
        <v>-</v>
      </c>
      <c r="AS207" s="274">
        <f t="shared" si="114"/>
        <v>0</v>
      </c>
      <c r="AT207" s="274">
        <f t="shared" si="115"/>
        <v>0</v>
      </c>
      <c r="AU207" s="274">
        <f t="shared" si="116"/>
        <v>0</v>
      </c>
      <c r="AV207" s="190">
        <f>IF($B207&lt;$F$22,SUM($T$100:$T207),"")</f>
        <v>0</v>
      </c>
      <c r="AW207" s="190" t="str">
        <f t="shared" si="163"/>
        <v>-</v>
      </c>
      <c r="AX207" s="190" t="str">
        <f t="shared" si="142"/>
        <v/>
      </c>
      <c r="AY207"/>
      <c r="AZ207" s="190" t="str">
        <f ca="1">IF(ISNUMBER(OFFSET(AV207,-$F$21,0)),SUM(OFFSET($T$100,$F$21,0):$T207),"")</f>
        <v/>
      </c>
      <c r="BA207" s="190" t="str">
        <f t="shared" ca="1" si="164"/>
        <v/>
      </c>
      <c r="BB207" s="190" t="str">
        <f t="shared" ca="1" si="149"/>
        <v/>
      </c>
      <c r="BC207" s="190"/>
      <c r="BD207" s="190" t="str">
        <f ca="1">IFERROR(IF(AND($B207&gt;=($F$16-$F$15),$B207&lt;$F$22+($F$16-$F$15)),SUM(OFFSET($T$100,($F$16-$F$15),0):$T207),""),"")</f>
        <v/>
      </c>
      <c r="BE207" s="190" t="str">
        <f t="shared" ca="1" si="143"/>
        <v/>
      </c>
      <c r="BF207" s="190" t="str">
        <f t="shared" ca="1" si="144"/>
        <v/>
      </c>
      <c r="BG207"/>
      <c r="BH207" s="190" t="str">
        <f ca="1">IF(ISNUMBER(OFFSET(BD207,-$F$21,0)),SUM(OFFSET($T$100,($F$16-$F$15+$F$21),0):$T207),"")</f>
        <v/>
      </c>
      <c r="BI207" s="190" t="str">
        <f t="shared" ca="1" si="165"/>
        <v/>
      </c>
      <c r="BJ207" s="190" t="str">
        <f t="shared" ca="1" si="145"/>
        <v/>
      </c>
      <c r="BK207" s="190"/>
      <c r="BL207" s="190" t="str">
        <f ca="1">IFERROR(IF(AND($B207&gt;=($F$17-$F$15),$B207&lt;$F$22+($F$17-$F$15)),SUM(OFFSET($T$100,($F$17-$F$15),0):$T207),""),"")</f>
        <v/>
      </c>
      <c r="BM207" s="190" t="str">
        <f t="shared" ca="1" si="166"/>
        <v/>
      </c>
      <c r="BN207" s="190" t="str">
        <f t="shared" ca="1" si="146"/>
        <v/>
      </c>
      <c r="BO207"/>
      <c r="BP207" s="190" t="str">
        <f ca="1">IF(ISNUMBER(OFFSET(BL207,-$F$21,0)),SUM(OFFSET($T$100,($F$17-$F$15+$F$21),0):$T207),"")</f>
        <v/>
      </c>
      <c r="BQ207" s="190" t="str">
        <f t="shared" ca="1" si="167"/>
        <v/>
      </c>
      <c r="BR207" s="190" t="str">
        <f t="shared" ca="1" si="147"/>
        <v/>
      </c>
      <c r="BS207" s="190"/>
      <c r="BT207"/>
      <c r="BU207"/>
      <c r="BV207"/>
      <c r="BY207" s="99"/>
      <c r="BZ207" s="99"/>
      <c r="CA207" s="280" t="str">
        <f t="shared" si="168"/>
        <v/>
      </c>
      <c r="CB207" s="71" t="str">
        <f t="shared" si="123"/>
        <v>-</v>
      </c>
      <c r="CC207" s="33"/>
      <c r="CD207" s="261" t="str">
        <f t="shared" si="124"/>
        <v/>
      </c>
      <c r="CE207" s="280" t="str">
        <f t="shared" si="169"/>
        <v>-</v>
      </c>
      <c r="CF207" s="71" t="str">
        <f t="shared" ca="1" si="170"/>
        <v>-</v>
      </c>
      <c r="CG207" s="33" t="str">
        <f t="shared" si="127"/>
        <v>107-108</v>
      </c>
      <c r="CH207" s="261" t="str">
        <f t="shared" ca="1" si="128"/>
        <v/>
      </c>
    </row>
    <row r="208" spans="2:86" ht="13.5" customHeight="1" x14ac:dyDescent="0.2">
      <c r="B208" s="262">
        <v>108</v>
      </c>
      <c r="C208" s="237" t="str">
        <f t="shared" si="150"/>
        <v/>
      </c>
      <c r="D208" s="237" t="str">
        <f t="shared" si="148"/>
        <v>-</v>
      </c>
      <c r="E208" s="263" t="str">
        <f t="shared" si="129"/>
        <v/>
      </c>
      <c r="F208" s="264" t="str">
        <f t="shared" si="130"/>
        <v/>
      </c>
      <c r="G208" s="264" t="str">
        <f t="shared" si="131"/>
        <v/>
      </c>
      <c r="H208" s="240" t="str">
        <f t="shared" si="151"/>
        <v/>
      </c>
      <c r="I208" s="265" t="str">
        <f t="shared" si="152"/>
        <v/>
      </c>
      <c r="J208" s="265" t="str">
        <f t="shared" si="153"/>
        <v/>
      </c>
      <c r="K208" s="240" t="str">
        <f t="shared" si="154"/>
        <v/>
      </c>
      <c r="L208" s="265" t="str">
        <f t="shared" si="155"/>
        <v/>
      </c>
      <c r="M208" s="265" t="str">
        <f t="shared" si="156"/>
        <v/>
      </c>
      <c r="N208" s="240" t="str">
        <f t="shared" si="157"/>
        <v>-</v>
      </c>
      <c r="O208" s="265" t="str">
        <f t="shared" si="158"/>
        <v>-</v>
      </c>
      <c r="P208" s="265" t="str">
        <f t="shared" si="159"/>
        <v>-</v>
      </c>
      <c r="Q208" s="266" t="str">
        <f t="shared" si="160"/>
        <v>-</v>
      </c>
      <c r="R208" s="267" t="str">
        <f t="shared" si="161"/>
        <v>-</v>
      </c>
      <c r="S208" s="268" t="str">
        <f t="shared" si="162"/>
        <v>-</v>
      </c>
      <c r="T208" s="269" t="str">
        <f t="shared" si="105"/>
        <v/>
      </c>
      <c r="U208" s="221">
        <f t="shared" si="106"/>
        <v>108</v>
      </c>
      <c r="V208" s="220" t="str">
        <f t="shared" si="132"/>
        <v>-</v>
      </c>
      <c r="W208" s="221" t="str">
        <f t="shared" si="133"/>
        <v>-</v>
      </c>
      <c r="X208" s="221" t="str">
        <f t="shared" si="107"/>
        <v>-</v>
      </c>
      <c r="Y208" s="221" t="str">
        <f t="shared" si="108"/>
        <v>-</v>
      </c>
      <c r="Z208" s="270">
        <f t="shared" si="134"/>
        <v>0.1</v>
      </c>
      <c r="AA208" s="271" t="str">
        <f>IFERROR(IF(V207=1,AA$100*EXP(-(LN(2)/$D$65+0.04)*X207)*EXP(-(LN(2)/$D$65+0.1)*Y207),IF(V207=2,AA$100*EXP(-(LN(2)/$D$65+0.04)*(VLOOKUP(($F$16-$F$15)-1,U$99:Y207,4,FALSE)))*EXP(-(LN(2)/$D$65+0.1)*(VLOOKUP(($F$16-$F$15)-1,U$99:Y207,5,FALSE)))*EXP(-(LN(2)/$D$65+0.04)*X207)*EXP(-(LN(2)/$D$65+0.1)*Y207),IF(V207=3,AA$100*EXP(-(LN(2)/$D$65+0.04)*(VLOOKUP(($F$16-$F$15)-1,U$99:Y207,4,FALSE)))*EXP(-(LN(2)/$D$65+0.1)*(VLOOKUP(($F$16-$F$15)-1,U$99:Y207,5,FALSE)))*EXP(-(LN(2)/$D$65+0.04)*(VLOOKUP(($F$16-$F$15)*2-1,U$99:Y207,4,FALSE)))*EXP(-(LN(2)/$D$65+0.1)*(VLOOKUP(($F$16-$F$15)*2-1,U$99:Y207,5,FALSE)))*EXP(-(LN(2)/$D$65+0.04)*X207)*EXP(-(LN(2)/$D$65+0.1)*Y207),"-"))),"-")</f>
        <v>-</v>
      </c>
      <c r="AB208" s="271" t="str">
        <f>IFERROR(IF(V208=1,AB$100*EXP(-(LN(2)/$D$65+0.04)*X208)*EXP(-(LN(2)/$D$65+0.1)*Y208),IF(V208=2,AB$100*EXP(-(LN(2)/$D$65+0.04)*(VLOOKUP(($F$16-$F$15)-1,U$100:Y208,4,FALSE)))*EXP(-(LN(2)/$D$65+0.1)*(VLOOKUP(($F$16-$F$15)-1,U$100:Y208,5,FALSE)))*EXP(-(LN(2)/$D$65+0.04)*X208)*EXP(-(LN(2)/$D$65+0.1)*Y208),IF(V208=3,AB$100*EXP(-(LN(2)/$D$65+0.04)*(VLOOKUP(($F$16-$F$15)-1,U$100:Y208,4,FALSE)))*EXP(-(LN(2)/$D$65+0.1)*(VLOOKUP(($F$16-$F$15)-1,U$100:Y208,5,FALSE)))*EXP(-(LN(2)/$D$65+0.04)*(VLOOKUP(($F$16-$F$15)*2-1,U$100:Y208,4,FALSE)))*EXP(-(LN(2)/$D$65+0.1)*(VLOOKUP(($F$16-$F$15)*2-1,U$100:Y208,5,FALSE)))*EXP(-(LN(2)/$D$65+0.04)*X208)*EXP(-(LN(2)/$D$65+0.1)*Y208),"-"))),"-")</f>
        <v>-</v>
      </c>
      <c r="AC208" s="224">
        <f t="shared" si="135"/>
        <v>108</v>
      </c>
      <c r="AD208" s="223" t="str">
        <f t="shared" si="109"/>
        <v>-</v>
      </c>
      <c r="AE208" s="224" t="str">
        <f t="shared" si="136"/>
        <v>-</v>
      </c>
      <c r="AF208" s="224" t="str">
        <f t="shared" si="110"/>
        <v>-</v>
      </c>
      <c r="AG208" s="224" t="str">
        <f t="shared" si="111"/>
        <v>-</v>
      </c>
      <c r="AH208" s="272">
        <f t="shared" si="137"/>
        <v>0.1</v>
      </c>
      <c r="AI208" s="271" t="str">
        <f>IFERROR(IF(AD207=1,AI$100*EXP(-(LN(2)/$D$65+0.04)*AF207)*EXP(-(LN(2)/$D$65+0.1)*AG207),IF(AD207=2,AI$100*EXP(-(LN(2)/$D$65+0.04)*(VLOOKUP(($F$16-$F$15)-1,AC$99:AG207,4,FALSE)))*EXP(-(LN(2)/$D$65+0.1)*(VLOOKUP(($F$16-$F$15)-1,AC$99:AG207,5,FALSE)))*EXP(-(LN(2)/$D$65+0.04)*AF207)*EXP(-(LN(2)/$D$65+0.1)*AG207),IF(AD207=3,AI$100*EXP(-(LN(2)/$D$65+0.04)*(VLOOKUP(($F$16-$F$15)-1,AC$99:AG207,4,FALSE)))*EXP(-(LN(2)/$D$65+0.1)*(VLOOKUP(($F$16-$F$15)-1,AC$99:AG207,5,FALSE)))*EXP(-(LN(2)/$D$65+0.04)*(VLOOKUP(($F$16-$F$15)*2-1,AC$99:AG207,4,FALSE)))*EXP(-(LN(2)/$D$65+0.1)*(VLOOKUP(($F$16-$F$15)*2-1,AC$99:AG207,5,FALSE)))*EXP(-(LN(2)/$D$65+0.04)*AF207)*EXP(-(LN(2)/$D$65+0.1)*AG207),"-"))),"-")</f>
        <v>-</v>
      </c>
      <c r="AJ208" s="271" t="str">
        <f>IFERROR(IF(AD208=1,AJ$100*EXP(-(LN(2)/$D$65+0.04)*AF208)*EXP(-(LN(2)/$D$65+0.1)*AG208),IF(AD208=2,AJ$100*EXP(-(LN(2)/$D$65+0.04)*(VLOOKUP(($F$16-$F$15)-1,AC$100:AG208,4,FALSE)))*EXP(-(LN(2)/$D$65+0.1)*(VLOOKUP(($F$16-$F$15)-1,AC$100:AG208,5,FALSE)))*EXP(-(LN(2)/$D$65+0.04)*AF208)*EXP(-(LN(2)/$D$65+0.1)*AG208),IF(AD208=3,AJ$100*EXP(-(LN(2)/$D$65+0.04)*(VLOOKUP(($F$16-$F$15)-1,AC$100:AG208,4,FALSE)))*EXP(-(LN(2)/$D$65+0.1)*(VLOOKUP(($F$16-$F$15)-1,AC$100:AG208,5,FALSE)))*EXP(-(LN(2)/$D$65+0.04)*(VLOOKUP(($F$16-$F$15)*2-1,AC$100:AG208,4,FALSE)))*EXP(-(LN(2)/$D$65+0.1)*(VLOOKUP(($F$16-$F$15)*2-1,AC$100:AG208,5,FALSE)))*EXP(-(LN(2)/$D$65+0.04)*AF208)*EXP(-(LN(2)/$D$65+0.1)*AG208),"-"))),"-")</f>
        <v>-</v>
      </c>
      <c r="AK208" s="227">
        <f t="shared" si="138"/>
        <v>108</v>
      </c>
      <c r="AL208" s="226" t="str">
        <f t="shared" si="112"/>
        <v>-</v>
      </c>
      <c r="AM208" s="227" t="str">
        <f t="shared" si="139"/>
        <v>-</v>
      </c>
      <c r="AN208" s="227" t="str">
        <f t="shared" si="140"/>
        <v>-</v>
      </c>
      <c r="AO208" s="227" t="str">
        <f t="shared" si="113"/>
        <v>-</v>
      </c>
      <c r="AP208" s="273">
        <f t="shared" si="141"/>
        <v>0.1</v>
      </c>
      <c r="AQ208" s="271" t="str">
        <f>IFERROR(IF(AL207=1,AQ$100*EXP(-(LN(2)/$D$65+0.04)*AN207)*EXP(-(LN(2)/$D$65+0.1)*AO207),IF(AL207=2,AQ$100*EXP(-(LN(2)/$D$65+0.04)*(VLOOKUP(($F$16-$F$15)-1,AK$99:AO207,4,FALSE)))*EXP(-(LN(2)/$D$65+0.1)*(VLOOKUP(($F$16-$F$15)-1,AK$99:AO207,5,FALSE)))*EXP(-(LN(2)/$D$65+0.04)*AN207)*EXP(-(LN(2)/$D$65+0.1)*AO207),IF(AL207=3,AQ$100*EXP(-(LN(2)/$D$65+0.04)*(VLOOKUP(($F$16-$F$15)-1,AK$99:AO207,4,FALSE)))*EXP(-(LN(2)/$D$65+0.1)*(VLOOKUP(($F$16-$F$15)-1,AK$99:AO207,5,FALSE)))*EXP(-(LN(2)/$D$65+0.04)*(VLOOKUP(($F$16-$F$15)*2-1,AK$99:AO207,4,FALSE)))*EXP(-(LN(2)/$D$65+0.1)*(VLOOKUP(($F$16-$F$15)*2-1,AK$99:AO207,5,FALSE)))*EXP(-(LN(2)/$D$65+0.04)*AN207)*EXP(-(LN(2)/$D$65+0.1)*AO207),"-"))),"-")</f>
        <v>-</v>
      </c>
      <c r="AR208" s="271" t="str">
        <f>IFERROR(IF(AL208=1,AR$100*EXP(-(LN(2)/$D$65+0.04)*AN208)*EXP(-(LN(2)/$D$65+0.1)*AO208),IF(AL208=2,AR$100*EXP(-(LN(2)/$D$65+0.04)*(VLOOKUP(($F$16-$F$15)-1,AK$100:AO208,4,FALSE)))*EXP(-(LN(2)/$D$65+0.1)*(VLOOKUP(($F$16-$F$15)-1,AK$100:AO208,5,FALSE)))*EXP(-(LN(2)/$D$65+0.04)*AN208)*EXP(-(LN(2)/$D$65+0.1)*AO208),IF(AL208=3,AR$100*EXP(-(LN(2)/$D$65+0.04)*(VLOOKUP(($F$16-$F$15)-1,AK$100:AO208,4,FALSE)))*EXP(-(LN(2)/$D$65+0.1)*(VLOOKUP(($F$16-$F$15)-1,AK$100:AO208,5,FALSE)))*EXP(-(LN(2)/$D$65+0.04)*(VLOOKUP(($F$16-$F$15)*2-1,AK$100:AO208,4,FALSE)))*EXP(-(LN(2)/$D$65+0.1)*(VLOOKUP(($F$16-$F$15)*2-1,AK$100:AO208,5,FALSE)))*EXP(-(LN(2)/$D$65+0.04)*AN208)*EXP(-(LN(2)/$D$65+0.1)*AO208),"-"))),"-")</f>
        <v>-</v>
      </c>
      <c r="AS208" s="274">
        <f t="shared" si="114"/>
        <v>0</v>
      </c>
      <c r="AT208" s="274">
        <f t="shared" si="115"/>
        <v>0</v>
      </c>
      <c r="AU208" s="274">
        <f t="shared" si="116"/>
        <v>0</v>
      </c>
      <c r="AV208" s="190">
        <f>IF($B208&lt;$F$22,SUM($T$100:$T208),"")</f>
        <v>0</v>
      </c>
      <c r="AW208" s="190" t="str">
        <f t="shared" si="163"/>
        <v>-</v>
      </c>
      <c r="AX208" s="190" t="str">
        <f t="shared" si="142"/>
        <v/>
      </c>
      <c r="AY208"/>
      <c r="AZ208" s="190" t="str">
        <f ca="1">IF(ISNUMBER(OFFSET(AV208,-$F$21,0)),SUM(OFFSET($T$100,$F$21,0):$T208),"")</f>
        <v/>
      </c>
      <c r="BA208" s="190" t="str">
        <f t="shared" ca="1" si="164"/>
        <v/>
      </c>
      <c r="BB208" s="190" t="str">
        <f t="shared" ca="1" si="149"/>
        <v/>
      </c>
      <c r="BC208" s="190"/>
      <c r="BD208" s="190" t="str">
        <f ca="1">IFERROR(IF(AND($B208&gt;=($F$16-$F$15),$B208&lt;$F$22+($F$16-$F$15)),SUM(OFFSET($T$100,($F$16-$F$15),0):$T208),""),"")</f>
        <v/>
      </c>
      <c r="BE208" s="190" t="str">
        <f t="shared" ca="1" si="143"/>
        <v/>
      </c>
      <c r="BF208" s="190" t="str">
        <f t="shared" ca="1" si="144"/>
        <v/>
      </c>
      <c r="BG208"/>
      <c r="BH208" s="190" t="str">
        <f ca="1">IF(ISNUMBER(OFFSET(BD208,-$F$21,0)),SUM(OFFSET($T$100,($F$16-$F$15+$F$21),0):$T208),"")</f>
        <v/>
      </c>
      <c r="BI208" s="190" t="str">
        <f t="shared" ca="1" si="165"/>
        <v/>
      </c>
      <c r="BJ208" s="190" t="str">
        <f t="shared" ca="1" si="145"/>
        <v/>
      </c>
      <c r="BK208" s="190"/>
      <c r="BL208" s="190" t="str">
        <f ca="1">IFERROR(IF(AND($B208&gt;=($F$17-$F$15),$B208&lt;$F$22+($F$17-$F$15)),SUM(OFFSET($T$100,($F$17-$F$15),0):$T208),""),"")</f>
        <v/>
      </c>
      <c r="BM208" s="190" t="str">
        <f t="shared" ca="1" si="166"/>
        <v/>
      </c>
      <c r="BN208" s="190" t="str">
        <f t="shared" ca="1" si="146"/>
        <v/>
      </c>
      <c r="BO208"/>
      <c r="BP208" s="190" t="str">
        <f ca="1">IF(ISNUMBER(OFFSET(BL208,-$F$21,0)),SUM(OFFSET($T$100,($F$17-$F$15+$F$21),0):$T208),"")</f>
        <v/>
      </c>
      <c r="BQ208" s="190" t="str">
        <f t="shared" ca="1" si="167"/>
        <v/>
      </c>
      <c r="BR208" s="190" t="str">
        <f t="shared" ca="1" si="147"/>
        <v/>
      </c>
      <c r="BS208" s="190"/>
      <c r="BT208"/>
      <c r="BU208"/>
      <c r="BV208"/>
      <c r="BY208" s="99"/>
      <c r="BZ208" s="99"/>
      <c r="CA208" s="280" t="str">
        <f t="shared" si="168"/>
        <v/>
      </c>
      <c r="CB208" s="71" t="str">
        <f t="shared" si="123"/>
        <v>-</v>
      </c>
      <c r="CC208" s="33"/>
      <c r="CD208" s="261" t="str">
        <f t="shared" si="124"/>
        <v/>
      </c>
      <c r="CE208" s="280" t="str">
        <f t="shared" si="169"/>
        <v>-</v>
      </c>
      <c r="CF208" s="71" t="str">
        <f t="shared" ca="1" si="170"/>
        <v>-</v>
      </c>
      <c r="CG208" s="33" t="str">
        <f t="shared" si="127"/>
        <v>108-109</v>
      </c>
      <c r="CH208" s="261" t="str">
        <f t="shared" ca="1" si="128"/>
        <v/>
      </c>
    </row>
    <row r="209" spans="2:86" ht="13.5" customHeight="1" x14ac:dyDescent="0.2">
      <c r="B209" s="262">
        <v>109</v>
      </c>
      <c r="C209" s="237" t="str">
        <f t="shared" si="150"/>
        <v/>
      </c>
      <c r="D209" s="237" t="str">
        <f t="shared" si="148"/>
        <v>-</v>
      </c>
      <c r="E209" s="263" t="str">
        <f t="shared" si="129"/>
        <v/>
      </c>
      <c r="F209" s="264" t="str">
        <f t="shared" si="130"/>
        <v/>
      </c>
      <c r="G209" s="264" t="str">
        <f t="shared" si="131"/>
        <v/>
      </c>
      <c r="H209" s="240" t="str">
        <f t="shared" si="151"/>
        <v/>
      </c>
      <c r="I209" s="265" t="str">
        <f t="shared" si="152"/>
        <v/>
      </c>
      <c r="J209" s="265" t="str">
        <f t="shared" si="153"/>
        <v/>
      </c>
      <c r="K209" s="240" t="str">
        <f t="shared" si="154"/>
        <v/>
      </c>
      <c r="L209" s="265" t="str">
        <f t="shared" si="155"/>
        <v/>
      </c>
      <c r="M209" s="265" t="str">
        <f t="shared" si="156"/>
        <v/>
      </c>
      <c r="N209" s="240" t="str">
        <f t="shared" si="157"/>
        <v>-</v>
      </c>
      <c r="O209" s="265" t="str">
        <f t="shared" si="158"/>
        <v>-</v>
      </c>
      <c r="P209" s="265" t="str">
        <f t="shared" si="159"/>
        <v>-</v>
      </c>
      <c r="Q209" s="266" t="str">
        <f t="shared" si="160"/>
        <v>-</v>
      </c>
      <c r="R209" s="267" t="str">
        <f t="shared" si="161"/>
        <v>-</v>
      </c>
      <c r="S209" s="268" t="str">
        <f t="shared" si="162"/>
        <v>-</v>
      </c>
      <c r="T209" s="269" t="str">
        <f t="shared" si="105"/>
        <v/>
      </c>
      <c r="U209" s="221">
        <f t="shared" si="106"/>
        <v>109</v>
      </c>
      <c r="V209" s="220" t="str">
        <f t="shared" si="132"/>
        <v>-</v>
      </c>
      <c r="W209" s="221" t="str">
        <f t="shared" si="133"/>
        <v>-</v>
      </c>
      <c r="X209" s="221" t="str">
        <f t="shared" si="107"/>
        <v>-</v>
      </c>
      <c r="Y209" s="221" t="str">
        <f t="shared" si="108"/>
        <v>-</v>
      </c>
      <c r="Z209" s="270">
        <f t="shared" si="134"/>
        <v>0.1</v>
      </c>
      <c r="AA209" s="271" t="str">
        <f>IFERROR(IF(V208=1,AA$100*EXP(-(LN(2)/$D$65+0.04)*X208)*EXP(-(LN(2)/$D$65+0.1)*Y208),IF(V208=2,AA$100*EXP(-(LN(2)/$D$65+0.04)*(VLOOKUP(($F$16-$F$15)-1,U$99:Y208,4,FALSE)))*EXP(-(LN(2)/$D$65+0.1)*(VLOOKUP(($F$16-$F$15)-1,U$99:Y208,5,FALSE)))*EXP(-(LN(2)/$D$65+0.04)*X208)*EXP(-(LN(2)/$D$65+0.1)*Y208),IF(V208=3,AA$100*EXP(-(LN(2)/$D$65+0.04)*(VLOOKUP(($F$16-$F$15)-1,U$99:Y208,4,FALSE)))*EXP(-(LN(2)/$D$65+0.1)*(VLOOKUP(($F$16-$F$15)-1,U$99:Y208,5,FALSE)))*EXP(-(LN(2)/$D$65+0.04)*(VLOOKUP(($F$16-$F$15)*2-1,U$99:Y208,4,FALSE)))*EXP(-(LN(2)/$D$65+0.1)*(VLOOKUP(($F$16-$F$15)*2-1,U$99:Y208,5,FALSE)))*EXP(-(LN(2)/$D$65+0.04)*X208)*EXP(-(LN(2)/$D$65+0.1)*Y208),"-"))),"-")</f>
        <v>-</v>
      </c>
      <c r="AB209" s="271" t="str">
        <f>IFERROR(IF(V209=1,AB$100*EXP(-(LN(2)/$D$65+0.04)*X209)*EXP(-(LN(2)/$D$65+0.1)*Y209),IF(V209=2,AB$100*EXP(-(LN(2)/$D$65+0.04)*(VLOOKUP(($F$16-$F$15)-1,U$100:Y209,4,FALSE)))*EXP(-(LN(2)/$D$65+0.1)*(VLOOKUP(($F$16-$F$15)-1,U$100:Y209,5,FALSE)))*EXP(-(LN(2)/$D$65+0.04)*X209)*EXP(-(LN(2)/$D$65+0.1)*Y209),IF(V209=3,AB$100*EXP(-(LN(2)/$D$65+0.04)*(VLOOKUP(($F$16-$F$15)-1,U$100:Y209,4,FALSE)))*EXP(-(LN(2)/$D$65+0.1)*(VLOOKUP(($F$16-$F$15)-1,U$100:Y209,5,FALSE)))*EXP(-(LN(2)/$D$65+0.04)*(VLOOKUP(($F$16-$F$15)*2-1,U$100:Y209,4,FALSE)))*EXP(-(LN(2)/$D$65+0.1)*(VLOOKUP(($F$16-$F$15)*2-1,U$100:Y209,5,FALSE)))*EXP(-(LN(2)/$D$65+0.04)*X209)*EXP(-(LN(2)/$D$65+0.1)*Y209),"-"))),"-")</f>
        <v>-</v>
      </c>
      <c r="AC209" s="224">
        <f t="shared" si="135"/>
        <v>109</v>
      </c>
      <c r="AD209" s="223" t="str">
        <f t="shared" si="109"/>
        <v>-</v>
      </c>
      <c r="AE209" s="224" t="str">
        <f t="shared" si="136"/>
        <v>-</v>
      </c>
      <c r="AF209" s="224" t="str">
        <f t="shared" si="110"/>
        <v>-</v>
      </c>
      <c r="AG209" s="224" t="str">
        <f t="shared" si="111"/>
        <v>-</v>
      </c>
      <c r="AH209" s="272">
        <f t="shared" si="137"/>
        <v>0.1</v>
      </c>
      <c r="AI209" s="271" t="str">
        <f>IFERROR(IF(AD208=1,AI$100*EXP(-(LN(2)/$D$65+0.04)*AF208)*EXP(-(LN(2)/$D$65+0.1)*AG208),IF(AD208=2,AI$100*EXP(-(LN(2)/$D$65+0.04)*(VLOOKUP(($F$16-$F$15)-1,AC$99:AG208,4,FALSE)))*EXP(-(LN(2)/$D$65+0.1)*(VLOOKUP(($F$16-$F$15)-1,AC$99:AG208,5,FALSE)))*EXP(-(LN(2)/$D$65+0.04)*AF208)*EXP(-(LN(2)/$D$65+0.1)*AG208),IF(AD208=3,AI$100*EXP(-(LN(2)/$D$65+0.04)*(VLOOKUP(($F$16-$F$15)-1,AC$99:AG208,4,FALSE)))*EXP(-(LN(2)/$D$65+0.1)*(VLOOKUP(($F$16-$F$15)-1,AC$99:AG208,5,FALSE)))*EXP(-(LN(2)/$D$65+0.04)*(VLOOKUP(($F$16-$F$15)*2-1,AC$99:AG208,4,FALSE)))*EXP(-(LN(2)/$D$65+0.1)*(VLOOKUP(($F$16-$F$15)*2-1,AC$99:AG208,5,FALSE)))*EXP(-(LN(2)/$D$65+0.04)*AF208)*EXP(-(LN(2)/$D$65+0.1)*AG208),"-"))),"-")</f>
        <v>-</v>
      </c>
      <c r="AJ209" s="271" t="str">
        <f>IFERROR(IF(AD209=1,AJ$100*EXP(-(LN(2)/$D$65+0.04)*AF209)*EXP(-(LN(2)/$D$65+0.1)*AG209),IF(AD209=2,AJ$100*EXP(-(LN(2)/$D$65+0.04)*(VLOOKUP(($F$16-$F$15)-1,AC$100:AG209,4,FALSE)))*EXP(-(LN(2)/$D$65+0.1)*(VLOOKUP(($F$16-$F$15)-1,AC$100:AG209,5,FALSE)))*EXP(-(LN(2)/$D$65+0.04)*AF209)*EXP(-(LN(2)/$D$65+0.1)*AG209),IF(AD209=3,AJ$100*EXP(-(LN(2)/$D$65+0.04)*(VLOOKUP(($F$16-$F$15)-1,AC$100:AG209,4,FALSE)))*EXP(-(LN(2)/$D$65+0.1)*(VLOOKUP(($F$16-$F$15)-1,AC$100:AG209,5,FALSE)))*EXP(-(LN(2)/$D$65+0.04)*(VLOOKUP(($F$16-$F$15)*2-1,AC$100:AG209,4,FALSE)))*EXP(-(LN(2)/$D$65+0.1)*(VLOOKUP(($F$16-$F$15)*2-1,AC$100:AG209,5,FALSE)))*EXP(-(LN(2)/$D$65+0.04)*AF209)*EXP(-(LN(2)/$D$65+0.1)*AG209),"-"))),"-")</f>
        <v>-</v>
      </c>
      <c r="AK209" s="227">
        <f t="shared" si="138"/>
        <v>109</v>
      </c>
      <c r="AL209" s="226" t="str">
        <f t="shared" si="112"/>
        <v>-</v>
      </c>
      <c r="AM209" s="227" t="str">
        <f t="shared" si="139"/>
        <v>-</v>
      </c>
      <c r="AN209" s="227" t="str">
        <f t="shared" si="140"/>
        <v>-</v>
      </c>
      <c r="AO209" s="227" t="str">
        <f t="shared" si="113"/>
        <v>-</v>
      </c>
      <c r="AP209" s="273">
        <f t="shared" si="141"/>
        <v>0.1</v>
      </c>
      <c r="AQ209" s="271" t="str">
        <f>IFERROR(IF(AL208=1,AQ$100*EXP(-(LN(2)/$D$65+0.04)*AN208)*EXP(-(LN(2)/$D$65+0.1)*AO208),IF(AL208=2,AQ$100*EXP(-(LN(2)/$D$65+0.04)*(VLOOKUP(($F$16-$F$15)-1,AK$99:AO208,4,FALSE)))*EXP(-(LN(2)/$D$65+0.1)*(VLOOKUP(($F$16-$F$15)-1,AK$99:AO208,5,FALSE)))*EXP(-(LN(2)/$D$65+0.04)*AN208)*EXP(-(LN(2)/$D$65+0.1)*AO208),IF(AL208=3,AQ$100*EXP(-(LN(2)/$D$65+0.04)*(VLOOKUP(($F$16-$F$15)-1,AK$99:AO208,4,FALSE)))*EXP(-(LN(2)/$D$65+0.1)*(VLOOKUP(($F$16-$F$15)-1,AK$99:AO208,5,FALSE)))*EXP(-(LN(2)/$D$65+0.04)*(VLOOKUP(($F$16-$F$15)*2-1,AK$99:AO208,4,FALSE)))*EXP(-(LN(2)/$D$65+0.1)*(VLOOKUP(($F$16-$F$15)*2-1,AK$99:AO208,5,FALSE)))*EXP(-(LN(2)/$D$65+0.04)*AN208)*EXP(-(LN(2)/$D$65+0.1)*AO208),"-"))),"-")</f>
        <v>-</v>
      </c>
      <c r="AR209" s="271" t="str">
        <f>IFERROR(IF(AL209=1,AR$100*EXP(-(LN(2)/$D$65+0.04)*AN209)*EXP(-(LN(2)/$D$65+0.1)*AO209),IF(AL209=2,AR$100*EXP(-(LN(2)/$D$65+0.04)*(VLOOKUP(($F$16-$F$15)-1,AK$100:AO209,4,FALSE)))*EXP(-(LN(2)/$D$65+0.1)*(VLOOKUP(($F$16-$F$15)-1,AK$100:AO209,5,FALSE)))*EXP(-(LN(2)/$D$65+0.04)*AN209)*EXP(-(LN(2)/$D$65+0.1)*AO209),IF(AL209=3,AR$100*EXP(-(LN(2)/$D$65+0.04)*(VLOOKUP(($F$16-$F$15)-1,AK$100:AO209,4,FALSE)))*EXP(-(LN(2)/$D$65+0.1)*(VLOOKUP(($F$16-$F$15)-1,AK$100:AO209,5,FALSE)))*EXP(-(LN(2)/$D$65+0.04)*(VLOOKUP(($F$16-$F$15)*2-1,AK$100:AO209,4,FALSE)))*EXP(-(LN(2)/$D$65+0.1)*(VLOOKUP(($F$16-$F$15)*2-1,AK$100:AO209,5,FALSE)))*EXP(-(LN(2)/$D$65+0.04)*AN209)*EXP(-(LN(2)/$D$65+0.1)*AO209),"-"))),"-")</f>
        <v>-</v>
      </c>
      <c r="AS209" s="274">
        <f t="shared" si="114"/>
        <v>0</v>
      </c>
      <c r="AT209" s="274">
        <f t="shared" si="115"/>
        <v>0</v>
      </c>
      <c r="AU209" s="274">
        <f t="shared" si="116"/>
        <v>0</v>
      </c>
      <c r="AV209" s="190">
        <f>IF($B209&lt;$F$22,SUM($T$100:$T209),"")</f>
        <v>0</v>
      </c>
      <c r="AW209" s="190" t="str">
        <f t="shared" si="163"/>
        <v>-</v>
      </c>
      <c r="AX209" s="190" t="str">
        <f t="shared" si="142"/>
        <v/>
      </c>
      <c r="AY209"/>
      <c r="AZ209" s="190" t="str">
        <f ca="1">IF(ISNUMBER(OFFSET(AV209,-$F$21,0)),SUM(OFFSET($T$100,$F$21,0):$T209),"")</f>
        <v/>
      </c>
      <c r="BA209" s="190" t="str">
        <f t="shared" ca="1" si="164"/>
        <v/>
      </c>
      <c r="BB209" s="190" t="str">
        <f t="shared" ca="1" si="149"/>
        <v/>
      </c>
      <c r="BC209" s="190"/>
      <c r="BD209" s="190" t="str">
        <f ca="1">IFERROR(IF(AND($B209&gt;=($F$16-$F$15),$B209&lt;$F$22+($F$16-$F$15)),SUM(OFFSET($T$100,($F$16-$F$15),0):$T209),""),"")</f>
        <v/>
      </c>
      <c r="BE209" s="190" t="str">
        <f t="shared" ca="1" si="143"/>
        <v/>
      </c>
      <c r="BF209" s="190" t="str">
        <f t="shared" ca="1" si="144"/>
        <v/>
      </c>
      <c r="BG209"/>
      <c r="BH209" s="190" t="str">
        <f ca="1">IF(ISNUMBER(OFFSET(BD209,-$F$21,0)),SUM(OFFSET($T$100,($F$16-$F$15+$F$21),0):$T209),"")</f>
        <v/>
      </c>
      <c r="BI209" s="190" t="str">
        <f t="shared" ca="1" si="165"/>
        <v/>
      </c>
      <c r="BJ209" s="190" t="str">
        <f t="shared" ca="1" si="145"/>
        <v/>
      </c>
      <c r="BK209" s="190"/>
      <c r="BL209" s="190" t="str">
        <f ca="1">IFERROR(IF(AND($B209&gt;=($F$17-$F$15),$B209&lt;$F$22+($F$17-$F$15)),SUM(OFFSET($T$100,($F$17-$F$15),0):$T209),""),"")</f>
        <v/>
      </c>
      <c r="BM209" s="190" t="str">
        <f t="shared" ca="1" si="166"/>
        <v/>
      </c>
      <c r="BN209" s="190" t="str">
        <f t="shared" ca="1" si="146"/>
        <v/>
      </c>
      <c r="BO209"/>
      <c r="BP209" s="190" t="str">
        <f ca="1">IF(ISNUMBER(OFFSET(BL209,-$F$21,0)),SUM(OFFSET($T$100,($F$17-$F$15+$F$21),0):$T209),"")</f>
        <v/>
      </c>
      <c r="BQ209" s="190" t="str">
        <f t="shared" ca="1" si="167"/>
        <v/>
      </c>
      <c r="BR209" s="190" t="str">
        <f t="shared" ca="1" si="147"/>
        <v/>
      </c>
      <c r="BS209" s="190"/>
      <c r="BT209"/>
      <c r="BU209"/>
      <c r="BV209"/>
      <c r="BY209" s="99"/>
      <c r="BZ209" s="99"/>
      <c r="CA209" s="280" t="str">
        <f t="shared" si="168"/>
        <v/>
      </c>
      <c r="CB209" s="71" t="str">
        <f t="shared" si="123"/>
        <v>-</v>
      </c>
      <c r="CC209" s="33"/>
      <c r="CD209" s="261" t="str">
        <f t="shared" si="124"/>
        <v/>
      </c>
      <c r="CE209" s="280" t="str">
        <f t="shared" si="169"/>
        <v>-</v>
      </c>
      <c r="CF209" s="71" t="str">
        <f t="shared" ca="1" si="170"/>
        <v>-</v>
      </c>
      <c r="CG209" s="33" t="str">
        <f t="shared" si="127"/>
        <v>109-110</v>
      </c>
      <c r="CH209" s="261" t="str">
        <f t="shared" ca="1" si="128"/>
        <v/>
      </c>
    </row>
    <row r="210" spans="2:86" ht="13.5" customHeight="1" x14ac:dyDescent="0.2">
      <c r="B210" s="262">
        <v>110</v>
      </c>
      <c r="C210" s="237" t="str">
        <f t="shared" si="150"/>
        <v/>
      </c>
      <c r="D210" s="237" t="str">
        <f t="shared" si="148"/>
        <v>-</v>
      </c>
      <c r="E210" s="263" t="str">
        <f t="shared" si="129"/>
        <v/>
      </c>
      <c r="F210" s="264" t="str">
        <f t="shared" si="130"/>
        <v/>
      </c>
      <c r="G210" s="264" t="str">
        <f t="shared" si="131"/>
        <v/>
      </c>
      <c r="H210" s="240" t="str">
        <f t="shared" si="151"/>
        <v/>
      </c>
      <c r="I210" s="265" t="str">
        <f t="shared" si="152"/>
        <v/>
      </c>
      <c r="J210" s="265" t="str">
        <f t="shared" si="153"/>
        <v/>
      </c>
      <c r="K210" s="240" t="str">
        <f t="shared" si="154"/>
        <v/>
      </c>
      <c r="L210" s="265" t="str">
        <f t="shared" si="155"/>
        <v/>
      </c>
      <c r="M210" s="265" t="str">
        <f t="shared" si="156"/>
        <v/>
      </c>
      <c r="N210" s="240" t="str">
        <f t="shared" si="157"/>
        <v>-</v>
      </c>
      <c r="O210" s="265" t="str">
        <f t="shared" si="158"/>
        <v>-</v>
      </c>
      <c r="P210" s="265" t="str">
        <f t="shared" si="159"/>
        <v>-</v>
      </c>
      <c r="Q210" s="266" t="str">
        <f t="shared" si="160"/>
        <v>-</v>
      </c>
      <c r="R210" s="267" t="str">
        <f t="shared" si="161"/>
        <v>-</v>
      </c>
      <c r="S210" s="268" t="str">
        <f t="shared" si="162"/>
        <v>-</v>
      </c>
      <c r="T210" s="269" t="str">
        <f t="shared" si="105"/>
        <v/>
      </c>
      <c r="U210" s="221">
        <f t="shared" si="106"/>
        <v>110</v>
      </c>
      <c r="V210" s="220" t="str">
        <f t="shared" si="132"/>
        <v>-</v>
      </c>
      <c r="W210" s="221" t="str">
        <f t="shared" si="133"/>
        <v>-</v>
      </c>
      <c r="X210" s="221" t="str">
        <f t="shared" si="107"/>
        <v>-</v>
      </c>
      <c r="Y210" s="221" t="str">
        <f t="shared" si="108"/>
        <v>-</v>
      </c>
      <c r="Z210" s="270">
        <f t="shared" si="134"/>
        <v>0.1</v>
      </c>
      <c r="AA210" s="271" t="str">
        <f>IFERROR(IF(V209=1,AA$100*EXP(-(LN(2)/$D$65+0.04)*X209)*EXP(-(LN(2)/$D$65+0.1)*Y209),IF(V209=2,AA$100*EXP(-(LN(2)/$D$65+0.04)*(VLOOKUP(($F$16-$F$15)-1,U$99:Y209,4,FALSE)))*EXP(-(LN(2)/$D$65+0.1)*(VLOOKUP(($F$16-$F$15)-1,U$99:Y209,5,FALSE)))*EXP(-(LN(2)/$D$65+0.04)*X209)*EXP(-(LN(2)/$D$65+0.1)*Y209),IF(V209=3,AA$100*EXP(-(LN(2)/$D$65+0.04)*(VLOOKUP(($F$16-$F$15)-1,U$99:Y209,4,FALSE)))*EXP(-(LN(2)/$D$65+0.1)*(VLOOKUP(($F$16-$F$15)-1,U$99:Y209,5,FALSE)))*EXP(-(LN(2)/$D$65+0.04)*(VLOOKUP(($F$16-$F$15)*2-1,U$99:Y209,4,FALSE)))*EXP(-(LN(2)/$D$65+0.1)*(VLOOKUP(($F$16-$F$15)*2-1,U$99:Y209,5,FALSE)))*EXP(-(LN(2)/$D$65+0.04)*X209)*EXP(-(LN(2)/$D$65+0.1)*Y209),"-"))),"-")</f>
        <v>-</v>
      </c>
      <c r="AB210" s="271" t="str">
        <f>IFERROR(IF(V210=1,AB$100*EXP(-(LN(2)/$D$65+0.04)*X210)*EXP(-(LN(2)/$D$65+0.1)*Y210),IF(V210=2,AB$100*EXP(-(LN(2)/$D$65+0.04)*(VLOOKUP(($F$16-$F$15)-1,U$100:Y210,4,FALSE)))*EXP(-(LN(2)/$D$65+0.1)*(VLOOKUP(($F$16-$F$15)-1,U$100:Y210,5,FALSE)))*EXP(-(LN(2)/$D$65+0.04)*X210)*EXP(-(LN(2)/$D$65+0.1)*Y210),IF(V210=3,AB$100*EXP(-(LN(2)/$D$65+0.04)*(VLOOKUP(($F$16-$F$15)-1,U$100:Y210,4,FALSE)))*EXP(-(LN(2)/$D$65+0.1)*(VLOOKUP(($F$16-$F$15)-1,U$100:Y210,5,FALSE)))*EXP(-(LN(2)/$D$65+0.04)*(VLOOKUP(($F$16-$F$15)*2-1,U$100:Y210,4,FALSE)))*EXP(-(LN(2)/$D$65+0.1)*(VLOOKUP(($F$16-$F$15)*2-1,U$100:Y210,5,FALSE)))*EXP(-(LN(2)/$D$65+0.04)*X210)*EXP(-(LN(2)/$D$65+0.1)*Y210),"-"))),"-")</f>
        <v>-</v>
      </c>
      <c r="AC210" s="224">
        <f t="shared" si="135"/>
        <v>110</v>
      </c>
      <c r="AD210" s="223" t="str">
        <f t="shared" si="109"/>
        <v>-</v>
      </c>
      <c r="AE210" s="224" t="str">
        <f t="shared" si="136"/>
        <v>-</v>
      </c>
      <c r="AF210" s="224" t="str">
        <f t="shared" si="110"/>
        <v>-</v>
      </c>
      <c r="AG210" s="224" t="str">
        <f t="shared" si="111"/>
        <v>-</v>
      </c>
      <c r="AH210" s="272">
        <f t="shared" si="137"/>
        <v>0.1</v>
      </c>
      <c r="AI210" s="271" t="str">
        <f>IFERROR(IF(AD209=1,AI$100*EXP(-(LN(2)/$D$65+0.04)*AF209)*EXP(-(LN(2)/$D$65+0.1)*AG209),IF(AD209=2,AI$100*EXP(-(LN(2)/$D$65+0.04)*(VLOOKUP(($F$16-$F$15)-1,AC$99:AG209,4,FALSE)))*EXP(-(LN(2)/$D$65+0.1)*(VLOOKUP(($F$16-$F$15)-1,AC$99:AG209,5,FALSE)))*EXP(-(LN(2)/$D$65+0.04)*AF209)*EXP(-(LN(2)/$D$65+0.1)*AG209),IF(AD209=3,AI$100*EXP(-(LN(2)/$D$65+0.04)*(VLOOKUP(($F$16-$F$15)-1,AC$99:AG209,4,FALSE)))*EXP(-(LN(2)/$D$65+0.1)*(VLOOKUP(($F$16-$F$15)-1,AC$99:AG209,5,FALSE)))*EXP(-(LN(2)/$D$65+0.04)*(VLOOKUP(($F$16-$F$15)*2-1,AC$99:AG209,4,FALSE)))*EXP(-(LN(2)/$D$65+0.1)*(VLOOKUP(($F$16-$F$15)*2-1,AC$99:AG209,5,FALSE)))*EXP(-(LN(2)/$D$65+0.04)*AF209)*EXP(-(LN(2)/$D$65+0.1)*AG209),"-"))),"-")</f>
        <v>-</v>
      </c>
      <c r="AJ210" s="271" t="str">
        <f>IFERROR(IF(AD210=1,AJ$100*EXP(-(LN(2)/$D$65+0.04)*AF210)*EXP(-(LN(2)/$D$65+0.1)*AG210),IF(AD210=2,AJ$100*EXP(-(LN(2)/$D$65+0.04)*(VLOOKUP(($F$16-$F$15)-1,AC$100:AG210,4,FALSE)))*EXP(-(LN(2)/$D$65+0.1)*(VLOOKUP(($F$16-$F$15)-1,AC$100:AG210,5,FALSE)))*EXP(-(LN(2)/$D$65+0.04)*AF210)*EXP(-(LN(2)/$D$65+0.1)*AG210),IF(AD210=3,AJ$100*EXP(-(LN(2)/$D$65+0.04)*(VLOOKUP(($F$16-$F$15)-1,AC$100:AG210,4,FALSE)))*EXP(-(LN(2)/$D$65+0.1)*(VLOOKUP(($F$16-$F$15)-1,AC$100:AG210,5,FALSE)))*EXP(-(LN(2)/$D$65+0.04)*(VLOOKUP(($F$16-$F$15)*2-1,AC$100:AG210,4,FALSE)))*EXP(-(LN(2)/$D$65+0.1)*(VLOOKUP(($F$16-$F$15)*2-1,AC$100:AG210,5,FALSE)))*EXP(-(LN(2)/$D$65+0.04)*AF210)*EXP(-(LN(2)/$D$65+0.1)*AG210),"-"))),"-")</f>
        <v>-</v>
      </c>
      <c r="AK210" s="227">
        <f t="shared" si="138"/>
        <v>110</v>
      </c>
      <c r="AL210" s="226" t="str">
        <f t="shared" si="112"/>
        <v>-</v>
      </c>
      <c r="AM210" s="227" t="str">
        <f t="shared" si="139"/>
        <v>-</v>
      </c>
      <c r="AN210" s="227" t="str">
        <f t="shared" si="140"/>
        <v>-</v>
      </c>
      <c r="AO210" s="227" t="str">
        <f t="shared" si="113"/>
        <v>-</v>
      </c>
      <c r="AP210" s="273">
        <f t="shared" si="141"/>
        <v>0.1</v>
      </c>
      <c r="AQ210" s="271" t="str">
        <f>IFERROR(IF(AL209=1,AQ$100*EXP(-(LN(2)/$D$65+0.04)*AN209)*EXP(-(LN(2)/$D$65+0.1)*AO209),IF(AL209=2,AQ$100*EXP(-(LN(2)/$D$65+0.04)*(VLOOKUP(($F$16-$F$15)-1,AK$99:AO209,4,FALSE)))*EXP(-(LN(2)/$D$65+0.1)*(VLOOKUP(($F$16-$F$15)-1,AK$99:AO209,5,FALSE)))*EXP(-(LN(2)/$D$65+0.04)*AN209)*EXP(-(LN(2)/$D$65+0.1)*AO209),IF(AL209=3,AQ$100*EXP(-(LN(2)/$D$65+0.04)*(VLOOKUP(($F$16-$F$15)-1,AK$99:AO209,4,FALSE)))*EXP(-(LN(2)/$D$65+0.1)*(VLOOKUP(($F$16-$F$15)-1,AK$99:AO209,5,FALSE)))*EXP(-(LN(2)/$D$65+0.04)*(VLOOKUP(($F$16-$F$15)*2-1,AK$99:AO209,4,FALSE)))*EXP(-(LN(2)/$D$65+0.1)*(VLOOKUP(($F$16-$F$15)*2-1,AK$99:AO209,5,FALSE)))*EXP(-(LN(2)/$D$65+0.04)*AN209)*EXP(-(LN(2)/$D$65+0.1)*AO209),"-"))),"-")</f>
        <v>-</v>
      </c>
      <c r="AR210" s="271" t="str">
        <f>IFERROR(IF(AL210=1,AR$100*EXP(-(LN(2)/$D$65+0.04)*AN210)*EXP(-(LN(2)/$D$65+0.1)*AO210),IF(AL210=2,AR$100*EXP(-(LN(2)/$D$65+0.04)*(VLOOKUP(($F$16-$F$15)-1,AK$100:AO210,4,FALSE)))*EXP(-(LN(2)/$D$65+0.1)*(VLOOKUP(($F$16-$F$15)-1,AK$100:AO210,5,FALSE)))*EXP(-(LN(2)/$D$65+0.04)*AN210)*EXP(-(LN(2)/$D$65+0.1)*AO210),IF(AL210=3,AR$100*EXP(-(LN(2)/$D$65+0.04)*(VLOOKUP(($F$16-$F$15)-1,AK$100:AO210,4,FALSE)))*EXP(-(LN(2)/$D$65+0.1)*(VLOOKUP(($F$16-$F$15)-1,AK$100:AO210,5,FALSE)))*EXP(-(LN(2)/$D$65+0.04)*(VLOOKUP(($F$16-$F$15)*2-1,AK$100:AO210,4,FALSE)))*EXP(-(LN(2)/$D$65+0.1)*(VLOOKUP(($F$16-$F$15)*2-1,AK$100:AO210,5,FALSE)))*EXP(-(LN(2)/$D$65+0.04)*AN210)*EXP(-(LN(2)/$D$65+0.1)*AO210),"-"))),"-")</f>
        <v>-</v>
      </c>
      <c r="AS210" s="274">
        <f t="shared" si="114"/>
        <v>0</v>
      </c>
      <c r="AT210" s="274">
        <f t="shared" si="115"/>
        <v>0</v>
      </c>
      <c r="AU210" s="274">
        <f t="shared" si="116"/>
        <v>0</v>
      </c>
      <c r="AV210" s="190">
        <f>IF($B210&lt;$F$22,SUM($T$100:$T210),"")</f>
        <v>0</v>
      </c>
      <c r="AW210" s="190" t="str">
        <f t="shared" si="163"/>
        <v>-</v>
      </c>
      <c r="AX210" s="190" t="str">
        <f t="shared" si="142"/>
        <v/>
      </c>
      <c r="AY210"/>
      <c r="AZ210" s="190" t="str">
        <f ca="1">IF(ISNUMBER(OFFSET(AV210,-$F$21,0)),SUM(OFFSET($T$100,$F$21,0):$T210),"")</f>
        <v/>
      </c>
      <c r="BA210" s="190" t="str">
        <f t="shared" ca="1" si="164"/>
        <v/>
      </c>
      <c r="BB210" s="190" t="str">
        <f t="shared" ca="1" si="149"/>
        <v/>
      </c>
      <c r="BC210" s="190"/>
      <c r="BD210" s="190" t="str">
        <f ca="1">IFERROR(IF(AND($B210&gt;=($F$16-$F$15),$B210&lt;$F$22+($F$16-$F$15)),SUM(OFFSET($T$100,($F$16-$F$15),0):$T210),""),"")</f>
        <v/>
      </c>
      <c r="BE210" s="190" t="str">
        <f t="shared" ca="1" si="143"/>
        <v/>
      </c>
      <c r="BF210" s="190" t="str">
        <f t="shared" ca="1" si="144"/>
        <v/>
      </c>
      <c r="BG210"/>
      <c r="BH210" s="190" t="str">
        <f ca="1">IF(ISNUMBER(OFFSET(BD210,-$F$21,0)),SUM(OFFSET($T$100,($F$16-$F$15+$F$21),0):$T210),"")</f>
        <v/>
      </c>
      <c r="BI210" s="190" t="str">
        <f t="shared" ca="1" si="165"/>
        <v/>
      </c>
      <c r="BJ210" s="190" t="str">
        <f t="shared" ca="1" si="145"/>
        <v/>
      </c>
      <c r="BK210" s="190"/>
      <c r="BL210" s="190" t="str">
        <f ca="1">IFERROR(IF(AND($B210&gt;=($F$17-$F$15),$B210&lt;$F$22+($F$17-$F$15)),SUM(OFFSET($T$100,($F$17-$F$15),0):$T210),""),"")</f>
        <v/>
      </c>
      <c r="BM210" s="190" t="str">
        <f t="shared" ca="1" si="166"/>
        <v/>
      </c>
      <c r="BN210" s="190" t="str">
        <f t="shared" ca="1" si="146"/>
        <v/>
      </c>
      <c r="BO210"/>
      <c r="BP210" s="190" t="str">
        <f ca="1">IF(ISNUMBER(OFFSET(BL210,-$F$21,0)),SUM(OFFSET($T$100,($F$17-$F$15+$F$21),0):$T210),"")</f>
        <v/>
      </c>
      <c r="BQ210" s="190" t="str">
        <f t="shared" ca="1" si="167"/>
        <v/>
      </c>
      <c r="BR210" s="190" t="str">
        <f t="shared" ca="1" si="147"/>
        <v/>
      </c>
      <c r="BS210" s="190"/>
      <c r="BT210"/>
      <c r="BU210"/>
      <c r="BV210"/>
      <c r="BY210" s="99"/>
      <c r="BZ210" s="99"/>
      <c r="CA210" s="280" t="str">
        <f t="shared" si="168"/>
        <v/>
      </c>
      <c r="CB210" s="71" t="str">
        <f t="shared" si="123"/>
        <v>-</v>
      </c>
      <c r="CC210" s="33"/>
      <c r="CD210" s="261" t="str">
        <f t="shared" si="124"/>
        <v/>
      </c>
      <c r="CE210" s="280" t="str">
        <f t="shared" si="169"/>
        <v>-</v>
      </c>
      <c r="CF210" s="71" t="str">
        <f t="shared" ca="1" si="170"/>
        <v>-</v>
      </c>
      <c r="CG210" s="33" t="str">
        <f t="shared" si="127"/>
        <v>110-111</v>
      </c>
      <c r="CH210" s="261" t="str">
        <f t="shared" ca="1" si="128"/>
        <v/>
      </c>
    </row>
    <row r="211" spans="2:86" ht="13.5" customHeight="1" x14ac:dyDescent="0.2">
      <c r="B211" s="262">
        <v>111</v>
      </c>
      <c r="C211" s="237" t="str">
        <f t="shared" si="150"/>
        <v/>
      </c>
      <c r="D211" s="237" t="str">
        <f t="shared" si="148"/>
        <v>-</v>
      </c>
      <c r="E211" s="263" t="str">
        <f t="shared" si="129"/>
        <v/>
      </c>
      <c r="F211" s="264" t="str">
        <f t="shared" si="130"/>
        <v/>
      </c>
      <c r="G211" s="264" t="str">
        <f t="shared" si="131"/>
        <v/>
      </c>
      <c r="H211" s="240" t="str">
        <f t="shared" si="151"/>
        <v/>
      </c>
      <c r="I211" s="265" t="str">
        <f t="shared" si="152"/>
        <v/>
      </c>
      <c r="J211" s="265" t="str">
        <f t="shared" si="153"/>
        <v/>
      </c>
      <c r="K211" s="240" t="str">
        <f t="shared" si="154"/>
        <v/>
      </c>
      <c r="L211" s="265" t="str">
        <f t="shared" si="155"/>
        <v/>
      </c>
      <c r="M211" s="265" t="str">
        <f t="shared" si="156"/>
        <v/>
      </c>
      <c r="N211" s="240" t="str">
        <f t="shared" si="157"/>
        <v>-</v>
      </c>
      <c r="O211" s="265" t="str">
        <f t="shared" si="158"/>
        <v>-</v>
      </c>
      <c r="P211" s="265" t="str">
        <f t="shared" si="159"/>
        <v>-</v>
      </c>
      <c r="Q211" s="266" t="str">
        <f t="shared" si="160"/>
        <v>-</v>
      </c>
      <c r="R211" s="267" t="str">
        <f t="shared" si="161"/>
        <v>-</v>
      </c>
      <c r="S211" s="268" t="str">
        <f t="shared" si="162"/>
        <v>-</v>
      </c>
      <c r="T211" s="269" t="str">
        <f t="shared" si="105"/>
        <v/>
      </c>
      <c r="U211" s="221">
        <f t="shared" si="106"/>
        <v>111</v>
      </c>
      <c r="V211" s="220" t="str">
        <f t="shared" si="132"/>
        <v>-</v>
      </c>
      <c r="W211" s="221" t="str">
        <f t="shared" si="133"/>
        <v>-</v>
      </c>
      <c r="X211" s="221" t="str">
        <f t="shared" si="107"/>
        <v>-</v>
      </c>
      <c r="Y211" s="221" t="str">
        <f t="shared" si="108"/>
        <v>-</v>
      </c>
      <c r="Z211" s="270">
        <f t="shared" si="134"/>
        <v>0.1</v>
      </c>
      <c r="AA211" s="271" t="str">
        <f>IFERROR(IF(V210=1,AA$100*EXP(-(LN(2)/$D$65+0.04)*X210)*EXP(-(LN(2)/$D$65+0.1)*Y210),IF(V210=2,AA$100*EXP(-(LN(2)/$D$65+0.04)*(VLOOKUP(($F$16-$F$15)-1,U$99:Y210,4,FALSE)))*EXP(-(LN(2)/$D$65+0.1)*(VLOOKUP(($F$16-$F$15)-1,U$99:Y210,5,FALSE)))*EXP(-(LN(2)/$D$65+0.04)*X210)*EXP(-(LN(2)/$D$65+0.1)*Y210),IF(V210=3,AA$100*EXP(-(LN(2)/$D$65+0.04)*(VLOOKUP(($F$16-$F$15)-1,U$99:Y210,4,FALSE)))*EXP(-(LN(2)/$D$65+0.1)*(VLOOKUP(($F$16-$F$15)-1,U$99:Y210,5,FALSE)))*EXP(-(LN(2)/$D$65+0.04)*(VLOOKUP(($F$16-$F$15)*2-1,U$99:Y210,4,FALSE)))*EXP(-(LN(2)/$D$65+0.1)*(VLOOKUP(($F$16-$F$15)*2-1,U$99:Y210,5,FALSE)))*EXP(-(LN(2)/$D$65+0.04)*X210)*EXP(-(LN(2)/$D$65+0.1)*Y210),"-"))),"-")</f>
        <v>-</v>
      </c>
      <c r="AB211" s="271" t="str">
        <f>IFERROR(IF(V211=1,AB$100*EXP(-(LN(2)/$D$65+0.04)*X211)*EXP(-(LN(2)/$D$65+0.1)*Y211),IF(V211=2,AB$100*EXP(-(LN(2)/$D$65+0.04)*(VLOOKUP(($F$16-$F$15)-1,U$100:Y211,4,FALSE)))*EXP(-(LN(2)/$D$65+0.1)*(VLOOKUP(($F$16-$F$15)-1,U$100:Y211,5,FALSE)))*EXP(-(LN(2)/$D$65+0.04)*X211)*EXP(-(LN(2)/$D$65+0.1)*Y211),IF(V211=3,AB$100*EXP(-(LN(2)/$D$65+0.04)*(VLOOKUP(($F$16-$F$15)-1,U$100:Y211,4,FALSE)))*EXP(-(LN(2)/$D$65+0.1)*(VLOOKUP(($F$16-$F$15)-1,U$100:Y211,5,FALSE)))*EXP(-(LN(2)/$D$65+0.04)*(VLOOKUP(($F$16-$F$15)*2-1,U$100:Y211,4,FALSE)))*EXP(-(LN(2)/$D$65+0.1)*(VLOOKUP(($F$16-$F$15)*2-1,U$100:Y211,5,FALSE)))*EXP(-(LN(2)/$D$65+0.04)*X211)*EXP(-(LN(2)/$D$65+0.1)*Y211),"-"))),"-")</f>
        <v>-</v>
      </c>
      <c r="AC211" s="224">
        <f t="shared" si="135"/>
        <v>111</v>
      </c>
      <c r="AD211" s="223" t="str">
        <f t="shared" si="109"/>
        <v>-</v>
      </c>
      <c r="AE211" s="224" t="str">
        <f t="shared" si="136"/>
        <v>-</v>
      </c>
      <c r="AF211" s="224" t="str">
        <f t="shared" si="110"/>
        <v>-</v>
      </c>
      <c r="AG211" s="224" t="str">
        <f t="shared" si="111"/>
        <v>-</v>
      </c>
      <c r="AH211" s="272">
        <f t="shared" si="137"/>
        <v>0.1</v>
      </c>
      <c r="AI211" s="271" t="str">
        <f>IFERROR(IF(AD210=1,AI$100*EXP(-(LN(2)/$D$65+0.04)*AF210)*EXP(-(LN(2)/$D$65+0.1)*AG210),IF(AD210=2,AI$100*EXP(-(LN(2)/$D$65+0.04)*(VLOOKUP(($F$16-$F$15)-1,AC$99:AG210,4,FALSE)))*EXP(-(LN(2)/$D$65+0.1)*(VLOOKUP(($F$16-$F$15)-1,AC$99:AG210,5,FALSE)))*EXP(-(LN(2)/$D$65+0.04)*AF210)*EXP(-(LN(2)/$D$65+0.1)*AG210),IF(AD210=3,AI$100*EXP(-(LN(2)/$D$65+0.04)*(VLOOKUP(($F$16-$F$15)-1,AC$99:AG210,4,FALSE)))*EXP(-(LN(2)/$D$65+0.1)*(VLOOKUP(($F$16-$F$15)-1,AC$99:AG210,5,FALSE)))*EXP(-(LN(2)/$D$65+0.04)*(VLOOKUP(($F$16-$F$15)*2-1,AC$99:AG210,4,FALSE)))*EXP(-(LN(2)/$D$65+0.1)*(VLOOKUP(($F$16-$F$15)*2-1,AC$99:AG210,5,FALSE)))*EXP(-(LN(2)/$D$65+0.04)*AF210)*EXP(-(LN(2)/$D$65+0.1)*AG210),"-"))),"-")</f>
        <v>-</v>
      </c>
      <c r="AJ211" s="271" t="str">
        <f>IFERROR(IF(AD211=1,AJ$100*EXP(-(LN(2)/$D$65+0.04)*AF211)*EXP(-(LN(2)/$D$65+0.1)*AG211),IF(AD211=2,AJ$100*EXP(-(LN(2)/$D$65+0.04)*(VLOOKUP(($F$16-$F$15)-1,AC$100:AG211,4,FALSE)))*EXP(-(LN(2)/$D$65+0.1)*(VLOOKUP(($F$16-$F$15)-1,AC$100:AG211,5,FALSE)))*EXP(-(LN(2)/$D$65+0.04)*AF211)*EXP(-(LN(2)/$D$65+0.1)*AG211),IF(AD211=3,AJ$100*EXP(-(LN(2)/$D$65+0.04)*(VLOOKUP(($F$16-$F$15)-1,AC$100:AG211,4,FALSE)))*EXP(-(LN(2)/$D$65+0.1)*(VLOOKUP(($F$16-$F$15)-1,AC$100:AG211,5,FALSE)))*EXP(-(LN(2)/$D$65+0.04)*(VLOOKUP(($F$16-$F$15)*2-1,AC$100:AG211,4,FALSE)))*EXP(-(LN(2)/$D$65+0.1)*(VLOOKUP(($F$16-$F$15)*2-1,AC$100:AG211,5,FALSE)))*EXP(-(LN(2)/$D$65+0.04)*AF211)*EXP(-(LN(2)/$D$65+0.1)*AG211),"-"))),"-")</f>
        <v>-</v>
      </c>
      <c r="AK211" s="227">
        <f t="shared" si="138"/>
        <v>111</v>
      </c>
      <c r="AL211" s="226" t="str">
        <f t="shared" si="112"/>
        <v>-</v>
      </c>
      <c r="AM211" s="227" t="str">
        <f t="shared" si="139"/>
        <v>-</v>
      </c>
      <c r="AN211" s="227" t="str">
        <f t="shared" si="140"/>
        <v>-</v>
      </c>
      <c r="AO211" s="227" t="str">
        <f t="shared" si="113"/>
        <v>-</v>
      </c>
      <c r="AP211" s="273">
        <f t="shared" si="141"/>
        <v>0.1</v>
      </c>
      <c r="AQ211" s="271" t="str">
        <f>IFERROR(IF(AL210=1,AQ$100*EXP(-(LN(2)/$D$65+0.04)*AN210)*EXP(-(LN(2)/$D$65+0.1)*AO210),IF(AL210=2,AQ$100*EXP(-(LN(2)/$D$65+0.04)*(VLOOKUP(($F$16-$F$15)-1,AK$99:AO210,4,FALSE)))*EXP(-(LN(2)/$D$65+0.1)*(VLOOKUP(($F$16-$F$15)-1,AK$99:AO210,5,FALSE)))*EXP(-(LN(2)/$D$65+0.04)*AN210)*EXP(-(LN(2)/$D$65+0.1)*AO210),IF(AL210=3,AQ$100*EXP(-(LN(2)/$D$65+0.04)*(VLOOKUP(($F$16-$F$15)-1,AK$99:AO210,4,FALSE)))*EXP(-(LN(2)/$D$65+0.1)*(VLOOKUP(($F$16-$F$15)-1,AK$99:AO210,5,FALSE)))*EXP(-(LN(2)/$D$65+0.04)*(VLOOKUP(($F$16-$F$15)*2-1,AK$99:AO210,4,FALSE)))*EXP(-(LN(2)/$D$65+0.1)*(VLOOKUP(($F$16-$F$15)*2-1,AK$99:AO210,5,FALSE)))*EXP(-(LN(2)/$D$65+0.04)*AN210)*EXP(-(LN(2)/$D$65+0.1)*AO210),"-"))),"-")</f>
        <v>-</v>
      </c>
      <c r="AR211" s="271" t="str">
        <f>IFERROR(IF(AL211=1,AR$100*EXP(-(LN(2)/$D$65+0.04)*AN211)*EXP(-(LN(2)/$D$65+0.1)*AO211),IF(AL211=2,AR$100*EXP(-(LN(2)/$D$65+0.04)*(VLOOKUP(($F$16-$F$15)-1,AK$100:AO211,4,FALSE)))*EXP(-(LN(2)/$D$65+0.1)*(VLOOKUP(($F$16-$F$15)-1,AK$100:AO211,5,FALSE)))*EXP(-(LN(2)/$D$65+0.04)*AN211)*EXP(-(LN(2)/$D$65+0.1)*AO211),IF(AL211=3,AR$100*EXP(-(LN(2)/$D$65+0.04)*(VLOOKUP(($F$16-$F$15)-1,AK$100:AO211,4,FALSE)))*EXP(-(LN(2)/$D$65+0.1)*(VLOOKUP(($F$16-$F$15)-1,AK$100:AO211,5,FALSE)))*EXP(-(LN(2)/$D$65+0.04)*(VLOOKUP(($F$16-$F$15)*2-1,AK$100:AO211,4,FALSE)))*EXP(-(LN(2)/$D$65+0.1)*(VLOOKUP(($F$16-$F$15)*2-1,AK$100:AO211,5,FALSE)))*EXP(-(LN(2)/$D$65+0.04)*AN211)*EXP(-(LN(2)/$D$65+0.1)*AO211),"-"))),"-")</f>
        <v>-</v>
      </c>
      <c r="AS211" s="274">
        <f t="shared" si="114"/>
        <v>0</v>
      </c>
      <c r="AT211" s="274">
        <f t="shared" si="115"/>
        <v>0</v>
      </c>
      <c r="AU211" s="274">
        <f t="shared" si="116"/>
        <v>0</v>
      </c>
      <c r="AV211" s="190">
        <f>IF($B211&lt;$F$22,SUM($T$100:$T211),"")</f>
        <v>0</v>
      </c>
      <c r="AW211" s="190" t="str">
        <f t="shared" si="163"/>
        <v>-</v>
      </c>
      <c r="AX211" s="190" t="str">
        <f t="shared" si="142"/>
        <v/>
      </c>
      <c r="AY211"/>
      <c r="AZ211" s="190" t="str">
        <f ca="1">IF(ISNUMBER(OFFSET(AV211,-$F$21,0)),SUM(OFFSET($T$100,$F$21,0):$T211),"")</f>
        <v/>
      </c>
      <c r="BA211" s="190" t="str">
        <f t="shared" ca="1" si="164"/>
        <v/>
      </c>
      <c r="BB211" s="190" t="str">
        <f t="shared" ca="1" si="149"/>
        <v/>
      </c>
      <c r="BC211" s="190"/>
      <c r="BD211" s="190" t="str">
        <f ca="1">IFERROR(IF(AND($B211&gt;=($F$16-$F$15),$B211&lt;$F$22+($F$16-$F$15)),SUM(OFFSET($T$100,($F$16-$F$15),0):$T211),""),"")</f>
        <v/>
      </c>
      <c r="BE211" s="190" t="str">
        <f t="shared" ca="1" si="143"/>
        <v/>
      </c>
      <c r="BF211" s="190" t="str">
        <f t="shared" ca="1" si="144"/>
        <v/>
      </c>
      <c r="BG211"/>
      <c r="BH211" s="190" t="str">
        <f ca="1">IF(ISNUMBER(OFFSET(BD211,-$F$21,0)),SUM(OFFSET($T$100,($F$16-$F$15+$F$21),0):$T211),"")</f>
        <v/>
      </c>
      <c r="BI211" s="190" t="str">
        <f t="shared" ca="1" si="165"/>
        <v/>
      </c>
      <c r="BJ211" s="190" t="str">
        <f t="shared" ca="1" si="145"/>
        <v/>
      </c>
      <c r="BK211" s="190"/>
      <c r="BL211" s="190" t="str">
        <f ca="1">IFERROR(IF(AND($B211&gt;=($F$17-$F$15),$B211&lt;$F$22+($F$17-$F$15)),SUM(OFFSET($T$100,($F$17-$F$15),0):$T211),""),"")</f>
        <v/>
      </c>
      <c r="BM211" s="190" t="str">
        <f t="shared" ca="1" si="166"/>
        <v/>
      </c>
      <c r="BN211" s="190" t="str">
        <f t="shared" ca="1" si="146"/>
        <v/>
      </c>
      <c r="BO211"/>
      <c r="BP211" s="190" t="str">
        <f ca="1">IF(ISNUMBER(OFFSET(BL211,-$F$21,0)),SUM(OFFSET($T$100,($F$17-$F$15+$F$21),0):$T211),"")</f>
        <v/>
      </c>
      <c r="BQ211" s="190" t="str">
        <f t="shared" ca="1" si="167"/>
        <v/>
      </c>
      <c r="BR211" s="190" t="str">
        <f t="shared" ca="1" si="147"/>
        <v/>
      </c>
      <c r="BS211" s="190"/>
      <c r="BT211"/>
      <c r="BU211"/>
      <c r="BV211"/>
      <c r="BY211" s="99"/>
      <c r="BZ211" s="99"/>
      <c r="CA211" s="280" t="str">
        <f t="shared" si="168"/>
        <v/>
      </c>
      <c r="CB211" s="71" t="str">
        <f t="shared" si="123"/>
        <v>-</v>
      </c>
      <c r="CC211" s="33"/>
      <c r="CD211" s="261" t="str">
        <f t="shared" si="124"/>
        <v/>
      </c>
      <c r="CE211" s="280" t="str">
        <f t="shared" si="169"/>
        <v>-</v>
      </c>
      <c r="CF211" s="71" t="str">
        <f t="shared" ca="1" si="170"/>
        <v>-</v>
      </c>
      <c r="CG211" s="33" t="str">
        <f t="shared" si="127"/>
        <v>111-112</v>
      </c>
      <c r="CH211" s="261" t="str">
        <f t="shared" ca="1" si="128"/>
        <v/>
      </c>
    </row>
    <row r="212" spans="2:86" ht="13.5" customHeight="1" x14ac:dyDescent="0.2">
      <c r="B212" s="262">
        <v>112</v>
      </c>
      <c r="C212" s="237" t="str">
        <f t="shared" si="150"/>
        <v/>
      </c>
      <c r="D212" s="237" t="str">
        <f t="shared" si="148"/>
        <v>-</v>
      </c>
      <c r="E212" s="263" t="str">
        <f t="shared" si="129"/>
        <v/>
      </c>
      <c r="F212" s="264" t="str">
        <f t="shared" si="130"/>
        <v/>
      </c>
      <c r="G212" s="264" t="str">
        <f t="shared" si="131"/>
        <v/>
      </c>
      <c r="H212" s="240" t="str">
        <f t="shared" si="151"/>
        <v/>
      </c>
      <c r="I212" s="265" t="str">
        <f t="shared" si="152"/>
        <v/>
      </c>
      <c r="J212" s="265" t="str">
        <f t="shared" si="153"/>
        <v/>
      </c>
      <c r="K212" s="240" t="str">
        <f t="shared" si="154"/>
        <v/>
      </c>
      <c r="L212" s="265" t="str">
        <f t="shared" si="155"/>
        <v/>
      </c>
      <c r="M212" s="265" t="str">
        <f t="shared" si="156"/>
        <v/>
      </c>
      <c r="N212" s="240" t="str">
        <f t="shared" si="157"/>
        <v>-</v>
      </c>
      <c r="O212" s="265" t="str">
        <f t="shared" si="158"/>
        <v>-</v>
      </c>
      <c r="P212" s="265" t="str">
        <f t="shared" si="159"/>
        <v>-</v>
      </c>
      <c r="Q212" s="266" t="str">
        <f t="shared" si="160"/>
        <v>-</v>
      </c>
      <c r="R212" s="267" t="str">
        <f t="shared" si="161"/>
        <v>-</v>
      </c>
      <c r="S212" s="268" t="str">
        <f t="shared" si="162"/>
        <v>-</v>
      </c>
      <c r="T212" s="269" t="str">
        <f t="shared" si="105"/>
        <v/>
      </c>
      <c r="U212" s="221">
        <f t="shared" si="106"/>
        <v>112</v>
      </c>
      <c r="V212" s="220" t="str">
        <f t="shared" si="132"/>
        <v>-</v>
      </c>
      <c r="W212" s="221" t="str">
        <f t="shared" si="133"/>
        <v>-</v>
      </c>
      <c r="X212" s="221" t="str">
        <f t="shared" si="107"/>
        <v>-</v>
      </c>
      <c r="Y212" s="221" t="str">
        <f t="shared" si="108"/>
        <v>-</v>
      </c>
      <c r="Z212" s="270">
        <f t="shared" si="134"/>
        <v>0.1</v>
      </c>
      <c r="AA212" s="271" t="str">
        <f>IFERROR(IF(V211=1,AA$100*EXP(-(LN(2)/$D$65+0.04)*X211)*EXP(-(LN(2)/$D$65+0.1)*Y211),IF(V211=2,AA$100*EXP(-(LN(2)/$D$65+0.04)*(VLOOKUP(($F$16-$F$15)-1,U$99:Y211,4,FALSE)))*EXP(-(LN(2)/$D$65+0.1)*(VLOOKUP(($F$16-$F$15)-1,U$99:Y211,5,FALSE)))*EXP(-(LN(2)/$D$65+0.04)*X211)*EXP(-(LN(2)/$D$65+0.1)*Y211),IF(V211=3,AA$100*EXP(-(LN(2)/$D$65+0.04)*(VLOOKUP(($F$16-$F$15)-1,U$99:Y211,4,FALSE)))*EXP(-(LN(2)/$D$65+0.1)*(VLOOKUP(($F$16-$F$15)-1,U$99:Y211,5,FALSE)))*EXP(-(LN(2)/$D$65+0.04)*(VLOOKUP(($F$16-$F$15)*2-1,U$99:Y211,4,FALSE)))*EXP(-(LN(2)/$D$65+0.1)*(VLOOKUP(($F$16-$F$15)*2-1,U$99:Y211,5,FALSE)))*EXP(-(LN(2)/$D$65+0.04)*X211)*EXP(-(LN(2)/$D$65+0.1)*Y211),"-"))),"-")</f>
        <v>-</v>
      </c>
      <c r="AB212" s="271" t="str">
        <f>IFERROR(IF(V212=1,AB$100*EXP(-(LN(2)/$D$65+0.04)*X212)*EXP(-(LN(2)/$D$65+0.1)*Y212),IF(V212=2,AB$100*EXP(-(LN(2)/$D$65+0.04)*(VLOOKUP(($F$16-$F$15)-1,U$100:Y212,4,FALSE)))*EXP(-(LN(2)/$D$65+0.1)*(VLOOKUP(($F$16-$F$15)-1,U$100:Y212,5,FALSE)))*EXP(-(LN(2)/$D$65+0.04)*X212)*EXP(-(LN(2)/$D$65+0.1)*Y212),IF(V212=3,AB$100*EXP(-(LN(2)/$D$65+0.04)*(VLOOKUP(($F$16-$F$15)-1,U$100:Y212,4,FALSE)))*EXP(-(LN(2)/$D$65+0.1)*(VLOOKUP(($F$16-$F$15)-1,U$100:Y212,5,FALSE)))*EXP(-(LN(2)/$D$65+0.04)*(VLOOKUP(($F$16-$F$15)*2-1,U$100:Y212,4,FALSE)))*EXP(-(LN(2)/$D$65+0.1)*(VLOOKUP(($F$16-$F$15)*2-1,U$100:Y212,5,FALSE)))*EXP(-(LN(2)/$D$65+0.04)*X212)*EXP(-(LN(2)/$D$65+0.1)*Y212),"-"))),"-")</f>
        <v>-</v>
      </c>
      <c r="AC212" s="224">
        <f t="shared" si="135"/>
        <v>112</v>
      </c>
      <c r="AD212" s="223" t="str">
        <f t="shared" si="109"/>
        <v>-</v>
      </c>
      <c r="AE212" s="224" t="str">
        <f t="shared" si="136"/>
        <v>-</v>
      </c>
      <c r="AF212" s="224" t="str">
        <f t="shared" si="110"/>
        <v>-</v>
      </c>
      <c r="AG212" s="224" t="str">
        <f t="shared" si="111"/>
        <v>-</v>
      </c>
      <c r="AH212" s="272">
        <f t="shared" si="137"/>
        <v>0.1</v>
      </c>
      <c r="AI212" s="271" t="str">
        <f>IFERROR(IF(AD211=1,AI$100*EXP(-(LN(2)/$D$65+0.04)*AF211)*EXP(-(LN(2)/$D$65+0.1)*AG211),IF(AD211=2,AI$100*EXP(-(LN(2)/$D$65+0.04)*(VLOOKUP(($F$16-$F$15)-1,AC$99:AG211,4,FALSE)))*EXP(-(LN(2)/$D$65+0.1)*(VLOOKUP(($F$16-$F$15)-1,AC$99:AG211,5,FALSE)))*EXP(-(LN(2)/$D$65+0.04)*AF211)*EXP(-(LN(2)/$D$65+0.1)*AG211),IF(AD211=3,AI$100*EXP(-(LN(2)/$D$65+0.04)*(VLOOKUP(($F$16-$F$15)-1,AC$99:AG211,4,FALSE)))*EXP(-(LN(2)/$D$65+0.1)*(VLOOKUP(($F$16-$F$15)-1,AC$99:AG211,5,FALSE)))*EXP(-(LN(2)/$D$65+0.04)*(VLOOKUP(($F$16-$F$15)*2-1,AC$99:AG211,4,FALSE)))*EXP(-(LN(2)/$D$65+0.1)*(VLOOKUP(($F$16-$F$15)*2-1,AC$99:AG211,5,FALSE)))*EXP(-(LN(2)/$D$65+0.04)*AF211)*EXP(-(LN(2)/$D$65+0.1)*AG211),"-"))),"-")</f>
        <v>-</v>
      </c>
      <c r="AJ212" s="271" t="str">
        <f>IFERROR(IF(AD212=1,AJ$100*EXP(-(LN(2)/$D$65+0.04)*AF212)*EXP(-(LN(2)/$D$65+0.1)*AG212),IF(AD212=2,AJ$100*EXP(-(LN(2)/$D$65+0.04)*(VLOOKUP(($F$16-$F$15)-1,AC$100:AG212,4,FALSE)))*EXP(-(LN(2)/$D$65+0.1)*(VLOOKUP(($F$16-$F$15)-1,AC$100:AG212,5,FALSE)))*EXP(-(LN(2)/$D$65+0.04)*AF212)*EXP(-(LN(2)/$D$65+0.1)*AG212),IF(AD212=3,AJ$100*EXP(-(LN(2)/$D$65+0.04)*(VLOOKUP(($F$16-$F$15)-1,AC$100:AG212,4,FALSE)))*EXP(-(LN(2)/$D$65+0.1)*(VLOOKUP(($F$16-$F$15)-1,AC$100:AG212,5,FALSE)))*EXP(-(LN(2)/$D$65+0.04)*(VLOOKUP(($F$16-$F$15)*2-1,AC$100:AG212,4,FALSE)))*EXP(-(LN(2)/$D$65+0.1)*(VLOOKUP(($F$16-$F$15)*2-1,AC$100:AG212,5,FALSE)))*EXP(-(LN(2)/$D$65+0.04)*AF212)*EXP(-(LN(2)/$D$65+0.1)*AG212),"-"))),"-")</f>
        <v>-</v>
      </c>
      <c r="AK212" s="227">
        <f t="shared" si="138"/>
        <v>112</v>
      </c>
      <c r="AL212" s="226" t="str">
        <f t="shared" si="112"/>
        <v>-</v>
      </c>
      <c r="AM212" s="227" t="str">
        <f t="shared" si="139"/>
        <v>-</v>
      </c>
      <c r="AN212" s="227" t="str">
        <f t="shared" si="140"/>
        <v>-</v>
      </c>
      <c r="AO212" s="227" t="str">
        <f t="shared" si="113"/>
        <v>-</v>
      </c>
      <c r="AP212" s="273">
        <f t="shared" si="141"/>
        <v>0.1</v>
      </c>
      <c r="AQ212" s="271" t="str">
        <f>IFERROR(IF(AL211=1,AQ$100*EXP(-(LN(2)/$D$65+0.04)*AN211)*EXP(-(LN(2)/$D$65+0.1)*AO211),IF(AL211=2,AQ$100*EXP(-(LN(2)/$D$65+0.04)*(VLOOKUP(($F$16-$F$15)-1,AK$99:AO211,4,FALSE)))*EXP(-(LN(2)/$D$65+0.1)*(VLOOKUP(($F$16-$F$15)-1,AK$99:AO211,5,FALSE)))*EXP(-(LN(2)/$D$65+0.04)*AN211)*EXP(-(LN(2)/$D$65+0.1)*AO211),IF(AL211=3,AQ$100*EXP(-(LN(2)/$D$65+0.04)*(VLOOKUP(($F$16-$F$15)-1,AK$99:AO211,4,FALSE)))*EXP(-(LN(2)/$D$65+0.1)*(VLOOKUP(($F$16-$F$15)-1,AK$99:AO211,5,FALSE)))*EXP(-(LN(2)/$D$65+0.04)*(VLOOKUP(($F$16-$F$15)*2-1,AK$99:AO211,4,FALSE)))*EXP(-(LN(2)/$D$65+0.1)*(VLOOKUP(($F$16-$F$15)*2-1,AK$99:AO211,5,FALSE)))*EXP(-(LN(2)/$D$65+0.04)*AN211)*EXP(-(LN(2)/$D$65+0.1)*AO211),"-"))),"-")</f>
        <v>-</v>
      </c>
      <c r="AR212" s="271" t="str">
        <f>IFERROR(IF(AL212=1,AR$100*EXP(-(LN(2)/$D$65+0.04)*AN212)*EXP(-(LN(2)/$D$65+0.1)*AO212),IF(AL212=2,AR$100*EXP(-(LN(2)/$D$65+0.04)*(VLOOKUP(($F$16-$F$15)-1,AK$100:AO212,4,FALSE)))*EXP(-(LN(2)/$D$65+0.1)*(VLOOKUP(($F$16-$F$15)-1,AK$100:AO212,5,FALSE)))*EXP(-(LN(2)/$D$65+0.04)*AN212)*EXP(-(LN(2)/$D$65+0.1)*AO212),IF(AL212=3,AR$100*EXP(-(LN(2)/$D$65+0.04)*(VLOOKUP(($F$16-$F$15)-1,AK$100:AO212,4,FALSE)))*EXP(-(LN(2)/$D$65+0.1)*(VLOOKUP(($F$16-$F$15)-1,AK$100:AO212,5,FALSE)))*EXP(-(LN(2)/$D$65+0.04)*(VLOOKUP(($F$16-$F$15)*2-1,AK$100:AO212,4,FALSE)))*EXP(-(LN(2)/$D$65+0.1)*(VLOOKUP(($F$16-$F$15)*2-1,AK$100:AO212,5,FALSE)))*EXP(-(LN(2)/$D$65+0.04)*AN212)*EXP(-(LN(2)/$D$65+0.1)*AO212),"-"))),"-")</f>
        <v>-</v>
      </c>
      <c r="AS212" s="274">
        <f t="shared" si="114"/>
        <v>0</v>
      </c>
      <c r="AT212" s="274">
        <f t="shared" si="115"/>
        <v>0</v>
      </c>
      <c r="AU212" s="274">
        <f t="shared" si="116"/>
        <v>0</v>
      </c>
      <c r="AV212" s="190">
        <f>IF($B212&lt;$F$22,SUM($T$100:$T212),"")</f>
        <v>0</v>
      </c>
      <c r="AW212" s="190" t="str">
        <f t="shared" si="163"/>
        <v>-</v>
      </c>
      <c r="AX212" s="190" t="str">
        <f t="shared" si="142"/>
        <v/>
      </c>
      <c r="AY212"/>
      <c r="AZ212" s="190" t="str">
        <f ca="1">IF(ISNUMBER(OFFSET(AV212,-$F$21,0)),SUM(OFFSET($T$100,$F$21,0):$T212),"")</f>
        <v/>
      </c>
      <c r="BA212" s="190" t="str">
        <f t="shared" ca="1" si="164"/>
        <v/>
      </c>
      <c r="BB212" s="190" t="str">
        <f t="shared" ca="1" si="149"/>
        <v/>
      </c>
      <c r="BC212" s="190"/>
      <c r="BD212" s="190" t="str">
        <f ca="1">IFERROR(IF(AND($B212&gt;=($F$16-$F$15),$B212&lt;$F$22+($F$16-$F$15)),SUM(OFFSET($T$100,($F$16-$F$15),0):$T212),""),"")</f>
        <v/>
      </c>
      <c r="BE212" s="190" t="str">
        <f t="shared" ca="1" si="143"/>
        <v/>
      </c>
      <c r="BF212" s="190" t="str">
        <f t="shared" ca="1" si="144"/>
        <v/>
      </c>
      <c r="BG212"/>
      <c r="BH212" s="190" t="str">
        <f ca="1">IF(ISNUMBER(OFFSET(BD212,-$F$21,0)),SUM(OFFSET($T$100,($F$16-$F$15+$F$21),0):$T212),"")</f>
        <v/>
      </c>
      <c r="BI212" s="190" t="str">
        <f t="shared" ca="1" si="165"/>
        <v/>
      </c>
      <c r="BJ212" s="190" t="str">
        <f t="shared" ca="1" si="145"/>
        <v/>
      </c>
      <c r="BK212" s="190"/>
      <c r="BL212" s="190" t="str">
        <f ca="1">IFERROR(IF(AND($B212&gt;=($F$17-$F$15),$B212&lt;$F$22+($F$17-$F$15)),SUM(OFFSET($T$100,($F$17-$F$15),0):$T212),""),"")</f>
        <v/>
      </c>
      <c r="BM212" s="190" t="str">
        <f t="shared" ca="1" si="166"/>
        <v/>
      </c>
      <c r="BN212" s="190" t="str">
        <f t="shared" ca="1" si="146"/>
        <v/>
      </c>
      <c r="BO212"/>
      <c r="BP212" s="190" t="str">
        <f ca="1">IF(ISNUMBER(OFFSET(BL212,-$F$21,0)),SUM(OFFSET($T$100,($F$17-$F$15+$F$21),0):$T212),"")</f>
        <v/>
      </c>
      <c r="BQ212" s="190" t="str">
        <f t="shared" ca="1" si="167"/>
        <v/>
      </c>
      <c r="BR212" s="190" t="str">
        <f t="shared" ca="1" si="147"/>
        <v/>
      </c>
      <c r="BS212" s="190"/>
      <c r="BT212"/>
      <c r="BU212"/>
      <c r="BV212"/>
      <c r="BY212" s="99"/>
      <c r="BZ212" s="99"/>
      <c r="CA212" s="280" t="str">
        <f t="shared" si="168"/>
        <v/>
      </c>
      <c r="CB212" s="71" t="str">
        <f t="shared" si="123"/>
        <v>-</v>
      </c>
      <c r="CC212" s="33"/>
      <c r="CD212" s="261" t="str">
        <f t="shared" si="124"/>
        <v/>
      </c>
      <c r="CE212" s="280" t="str">
        <f t="shared" si="169"/>
        <v>-</v>
      </c>
      <c r="CF212" s="71" t="str">
        <f t="shared" ca="1" si="170"/>
        <v>-</v>
      </c>
      <c r="CG212" s="33" t="str">
        <f t="shared" si="127"/>
        <v>112-113</v>
      </c>
      <c r="CH212" s="261" t="str">
        <f t="shared" ca="1" si="128"/>
        <v/>
      </c>
    </row>
    <row r="213" spans="2:86" ht="13.5" customHeight="1" x14ac:dyDescent="0.2">
      <c r="B213" s="262">
        <v>113</v>
      </c>
      <c r="C213" s="237" t="str">
        <f t="shared" si="150"/>
        <v/>
      </c>
      <c r="D213" s="237" t="str">
        <f t="shared" si="148"/>
        <v>-</v>
      </c>
      <c r="E213" s="263" t="str">
        <f t="shared" si="129"/>
        <v/>
      </c>
      <c r="F213" s="264" t="str">
        <f t="shared" si="130"/>
        <v/>
      </c>
      <c r="G213" s="264" t="str">
        <f t="shared" si="131"/>
        <v/>
      </c>
      <c r="H213" s="240" t="str">
        <f t="shared" si="151"/>
        <v/>
      </c>
      <c r="I213" s="265" t="str">
        <f t="shared" si="152"/>
        <v/>
      </c>
      <c r="J213" s="265" t="str">
        <f t="shared" si="153"/>
        <v/>
      </c>
      <c r="K213" s="240" t="str">
        <f t="shared" si="154"/>
        <v/>
      </c>
      <c r="L213" s="265" t="str">
        <f t="shared" si="155"/>
        <v/>
      </c>
      <c r="M213" s="265" t="str">
        <f t="shared" si="156"/>
        <v/>
      </c>
      <c r="N213" s="240" t="str">
        <f t="shared" si="157"/>
        <v>-</v>
      </c>
      <c r="O213" s="265" t="str">
        <f t="shared" si="158"/>
        <v>-</v>
      </c>
      <c r="P213" s="265" t="str">
        <f t="shared" si="159"/>
        <v>-</v>
      </c>
      <c r="Q213" s="266" t="str">
        <f t="shared" si="160"/>
        <v>-</v>
      </c>
      <c r="R213" s="267" t="str">
        <f t="shared" si="161"/>
        <v>-</v>
      </c>
      <c r="S213" s="268" t="str">
        <f t="shared" si="162"/>
        <v>-</v>
      </c>
      <c r="T213" s="269" t="str">
        <f t="shared" si="105"/>
        <v/>
      </c>
      <c r="U213" s="221">
        <f t="shared" si="106"/>
        <v>113</v>
      </c>
      <c r="V213" s="220" t="str">
        <f t="shared" si="132"/>
        <v>-</v>
      </c>
      <c r="W213" s="221" t="str">
        <f t="shared" si="133"/>
        <v>-</v>
      </c>
      <c r="X213" s="221" t="str">
        <f t="shared" si="107"/>
        <v>-</v>
      </c>
      <c r="Y213" s="221" t="str">
        <f t="shared" si="108"/>
        <v>-</v>
      </c>
      <c r="Z213" s="270">
        <f t="shared" si="134"/>
        <v>0.1</v>
      </c>
      <c r="AA213" s="271" t="str">
        <f>IFERROR(IF(V212=1,AA$100*EXP(-(LN(2)/$D$65+0.04)*X212)*EXP(-(LN(2)/$D$65+0.1)*Y212),IF(V212=2,AA$100*EXP(-(LN(2)/$D$65+0.04)*(VLOOKUP(($F$16-$F$15)-1,U$99:Y212,4,FALSE)))*EXP(-(LN(2)/$D$65+0.1)*(VLOOKUP(($F$16-$F$15)-1,U$99:Y212,5,FALSE)))*EXP(-(LN(2)/$D$65+0.04)*X212)*EXP(-(LN(2)/$D$65+0.1)*Y212),IF(V212=3,AA$100*EXP(-(LN(2)/$D$65+0.04)*(VLOOKUP(($F$16-$F$15)-1,U$99:Y212,4,FALSE)))*EXP(-(LN(2)/$D$65+0.1)*(VLOOKUP(($F$16-$F$15)-1,U$99:Y212,5,FALSE)))*EXP(-(LN(2)/$D$65+0.04)*(VLOOKUP(($F$16-$F$15)*2-1,U$99:Y212,4,FALSE)))*EXP(-(LN(2)/$D$65+0.1)*(VLOOKUP(($F$16-$F$15)*2-1,U$99:Y212,5,FALSE)))*EXP(-(LN(2)/$D$65+0.04)*X212)*EXP(-(LN(2)/$D$65+0.1)*Y212),"-"))),"-")</f>
        <v>-</v>
      </c>
      <c r="AB213" s="271" t="str">
        <f>IFERROR(IF(V213=1,AB$100*EXP(-(LN(2)/$D$65+0.04)*X213)*EXP(-(LN(2)/$D$65+0.1)*Y213),IF(V213=2,AB$100*EXP(-(LN(2)/$D$65+0.04)*(VLOOKUP(($F$16-$F$15)-1,U$100:Y213,4,FALSE)))*EXP(-(LN(2)/$D$65+0.1)*(VLOOKUP(($F$16-$F$15)-1,U$100:Y213,5,FALSE)))*EXP(-(LN(2)/$D$65+0.04)*X213)*EXP(-(LN(2)/$D$65+0.1)*Y213),IF(V213=3,AB$100*EXP(-(LN(2)/$D$65+0.04)*(VLOOKUP(($F$16-$F$15)-1,U$100:Y213,4,FALSE)))*EXP(-(LN(2)/$D$65+0.1)*(VLOOKUP(($F$16-$F$15)-1,U$100:Y213,5,FALSE)))*EXP(-(LN(2)/$D$65+0.04)*(VLOOKUP(($F$16-$F$15)*2-1,U$100:Y213,4,FALSE)))*EXP(-(LN(2)/$D$65+0.1)*(VLOOKUP(($F$16-$F$15)*2-1,U$100:Y213,5,FALSE)))*EXP(-(LN(2)/$D$65+0.04)*X213)*EXP(-(LN(2)/$D$65+0.1)*Y213),"-"))),"-")</f>
        <v>-</v>
      </c>
      <c r="AC213" s="224">
        <f t="shared" si="135"/>
        <v>113</v>
      </c>
      <c r="AD213" s="223" t="str">
        <f t="shared" si="109"/>
        <v>-</v>
      </c>
      <c r="AE213" s="224" t="str">
        <f t="shared" si="136"/>
        <v>-</v>
      </c>
      <c r="AF213" s="224" t="str">
        <f t="shared" si="110"/>
        <v>-</v>
      </c>
      <c r="AG213" s="224" t="str">
        <f t="shared" si="111"/>
        <v>-</v>
      </c>
      <c r="AH213" s="272">
        <f t="shared" si="137"/>
        <v>0.1</v>
      </c>
      <c r="AI213" s="271" t="str">
        <f>IFERROR(IF(AD212=1,AI$100*EXP(-(LN(2)/$D$65+0.04)*AF212)*EXP(-(LN(2)/$D$65+0.1)*AG212),IF(AD212=2,AI$100*EXP(-(LN(2)/$D$65+0.04)*(VLOOKUP(($F$16-$F$15)-1,AC$99:AG212,4,FALSE)))*EXP(-(LN(2)/$D$65+0.1)*(VLOOKUP(($F$16-$F$15)-1,AC$99:AG212,5,FALSE)))*EXP(-(LN(2)/$D$65+0.04)*AF212)*EXP(-(LN(2)/$D$65+0.1)*AG212),IF(AD212=3,AI$100*EXP(-(LN(2)/$D$65+0.04)*(VLOOKUP(($F$16-$F$15)-1,AC$99:AG212,4,FALSE)))*EXP(-(LN(2)/$D$65+0.1)*(VLOOKUP(($F$16-$F$15)-1,AC$99:AG212,5,FALSE)))*EXP(-(LN(2)/$D$65+0.04)*(VLOOKUP(($F$16-$F$15)*2-1,AC$99:AG212,4,FALSE)))*EXP(-(LN(2)/$D$65+0.1)*(VLOOKUP(($F$16-$F$15)*2-1,AC$99:AG212,5,FALSE)))*EXP(-(LN(2)/$D$65+0.04)*AF212)*EXP(-(LN(2)/$D$65+0.1)*AG212),"-"))),"-")</f>
        <v>-</v>
      </c>
      <c r="AJ213" s="271" t="str">
        <f>IFERROR(IF(AD213=1,AJ$100*EXP(-(LN(2)/$D$65+0.04)*AF213)*EXP(-(LN(2)/$D$65+0.1)*AG213),IF(AD213=2,AJ$100*EXP(-(LN(2)/$D$65+0.04)*(VLOOKUP(($F$16-$F$15)-1,AC$100:AG213,4,FALSE)))*EXP(-(LN(2)/$D$65+0.1)*(VLOOKUP(($F$16-$F$15)-1,AC$100:AG213,5,FALSE)))*EXP(-(LN(2)/$D$65+0.04)*AF213)*EXP(-(LN(2)/$D$65+0.1)*AG213),IF(AD213=3,AJ$100*EXP(-(LN(2)/$D$65+0.04)*(VLOOKUP(($F$16-$F$15)-1,AC$100:AG213,4,FALSE)))*EXP(-(LN(2)/$D$65+0.1)*(VLOOKUP(($F$16-$F$15)-1,AC$100:AG213,5,FALSE)))*EXP(-(LN(2)/$D$65+0.04)*(VLOOKUP(($F$16-$F$15)*2-1,AC$100:AG213,4,FALSE)))*EXP(-(LN(2)/$D$65+0.1)*(VLOOKUP(($F$16-$F$15)*2-1,AC$100:AG213,5,FALSE)))*EXP(-(LN(2)/$D$65+0.04)*AF213)*EXP(-(LN(2)/$D$65+0.1)*AG213),"-"))),"-")</f>
        <v>-</v>
      </c>
      <c r="AK213" s="227">
        <f t="shared" si="138"/>
        <v>113</v>
      </c>
      <c r="AL213" s="226" t="str">
        <f t="shared" si="112"/>
        <v>-</v>
      </c>
      <c r="AM213" s="227" t="str">
        <f t="shared" si="139"/>
        <v>-</v>
      </c>
      <c r="AN213" s="227" t="str">
        <f t="shared" si="140"/>
        <v>-</v>
      </c>
      <c r="AO213" s="227" t="str">
        <f t="shared" si="113"/>
        <v>-</v>
      </c>
      <c r="AP213" s="273">
        <f t="shared" si="141"/>
        <v>0.1</v>
      </c>
      <c r="AQ213" s="271" t="str">
        <f>IFERROR(IF(AL212=1,AQ$100*EXP(-(LN(2)/$D$65+0.04)*AN212)*EXP(-(LN(2)/$D$65+0.1)*AO212),IF(AL212=2,AQ$100*EXP(-(LN(2)/$D$65+0.04)*(VLOOKUP(($F$16-$F$15)-1,AK$99:AO212,4,FALSE)))*EXP(-(LN(2)/$D$65+0.1)*(VLOOKUP(($F$16-$F$15)-1,AK$99:AO212,5,FALSE)))*EXP(-(LN(2)/$D$65+0.04)*AN212)*EXP(-(LN(2)/$D$65+0.1)*AO212),IF(AL212=3,AQ$100*EXP(-(LN(2)/$D$65+0.04)*(VLOOKUP(($F$16-$F$15)-1,AK$99:AO212,4,FALSE)))*EXP(-(LN(2)/$D$65+0.1)*(VLOOKUP(($F$16-$F$15)-1,AK$99:AO212,5,FALSE)))*EXP(-(LN(2)/$D$65+0.04)*(VLOOKUP(($F$16-$F$15)*2-1,AK$99:AO212,4,FALSE)))*EXP(-(LN(2)/$D$65+0.1)*(VLOOKUP(($F$16-$F$15)*2-1,AK$99:AO212,5,FALSE)))*EXP(-(LN(2)/$D$65+0.04)*AN212)*EXP(-(LN(2)/$D$65+0.1)*AO212),"-"))),"-")</f>
        <v>-</v>
      </c>
      <c r="AR213" s="271" t="str">
        <f>IFERROR(IF(AL213=1,AR$100*EXP(-(LN(2)/$D$65+0.04)*AN213)*EXP(-(LN(2)/$D$65+0.1)*AO213),IF(AL213=2,AR$100*EXP(-(LN(2)/$D$65+0.04)*(VLOOKUP(($F$16-$F$15)-1,AK$100:AO213,4,FALSE)))*EXP(-(LN(2)/$D$65+0.1)*(VLOOKUP(($F$16-$F$15)-1,AK$100:AO213,5,FALSE)))*EXP(-(LN(2)/$D$65+0.04)*AN213)*EXP(-(LN(2)/$D$65+0.1)*AO213),IF(AL213=3,AR$100*EXP(-(LN(2)/$D$65+0.04)*(VLOOKUP(($F$16-$F$15)-1,AK$100:AO213,4,FALSE)))*EXP(-(LN(2)/$D$65+0.1)*(VLOOKUP(($F$16-$F$15)-1,AK$100:AO213,5,FALSE)))*EXP(-(LN(2)/$D$65+0.04)*(VLOOKUP(($F$16-$F$15)*2-1,AK$100:AO213,4,FALSE)))*EXP(-(LN(2)/$D$65+0.1)*(VLOOKUP(($F$16-$F$15)*2-1,AK$100:AO213,5,FALSE)))*EXP(-(LN(2)/$D$65+0.04)*AN213)*EXP(-(LN(2)/$D$65+0.1)*AO213),"-"))),"-")</f>
        <v>-</v>
      </c>
      <c r="AS213" s="274">
        <f t="shared" si="114"/>
        <v>0</v>
      </c>
      <c r="AT213" s="274">
        <f t="shared" si="115"/>
        <v>0</v>
      </c>
      <c r="AU213" s="274">
        <f t="shared" si="116"/>
        <v>0</v>
      </c>
      <c r="AV213" s="190">
        <f>IF($B213&lt;$F$22,SUM($T$100:$T213),"")</f>
        <v>0</v>
      </c>
      <c r="AW213" s="190" t="str">
        <f t="shared" si="163"/>
        <v>-</v>
      </c>
      <c r="AX213" s="190" t="str">
        <f t="shared" si="142"/>
        <v/>
      </c>
      <c r="AY213"/>
      <c r="AZ213" s="190" t="str">
        <f ca="1">IF(ISNUMBER(OFFSET(AV213,-$F$21,0)),SUM(OFFSET($T$100,$F$21,0):$T213),"")</f>
        <v/>
      </c>
      <c r="BA213" s="190" t="str">
        <f t="shared" ca="1" si="164"/>
        <v/>
      </c>
      <c r="BB213" s="190" t="str">
        <f t="shared" ca="1" si="149"/>
        <v/>
      </c>
      <c r="BC213" s="190"/>
      <c r="BD213" s="190" t="str">
        <f ca="1">IFERROR(IF(AND($B213&gt;=($F$16-$F$15),$B213&lt;$F$22+($F$16-$F$15)),SUM(OFFSET($T$100,($F$16-$F$15),0):$T213),""),"")</f>
        <v/>
      </c>
      <c r="BE213" s="190" t="str">
        <f t="shared" ca="1" si="143"/>
        <v/>
      </c>
      <c r="BF213" s="190" t="str">
        <f t="shared" ca="1" si="144"/>
        <v/>
      </c>
      <c r="BG213"/>
      <c r="BH213" s="190" t="str">
        <f ca="1">IF(ISNUMBER(OFFSET(BD213,-$F$21,0)),SUM(OFFSET($T$100,($F$16-$F$15+$F$21),0):$T213),"")</f>
        <v/>
      </c>
      <c r="BI213" s="190" t="str">
        <f t="shared" ca="1" si="165"/>
        <v/>
      </c>
      <c r="BJ213" s="190" t="str">
        <f t="shared" ca="1" si="145"/>
        <v/>
      </c>
      <c r="BK213" s="190"/>
      <c r="BL213" s="190" t="str">
        <f ca="1">IFERROR(IF(AND($B213&gt;=($F$17-$F$15),$B213&lt;$F$22+($F$17-$F$15)),SUM(OFFSET($T$100,($F$17-$F$15),0):$T213),""),"")</f>
        <v/>
      </c>
      <c r="BM213" s="190" t="str">
        <f t="shared" ca="1" si="166"/>
        <v/>
      </c>
      <c r="BN213" s="190" t="str">
        <f t="shared" ca="1" si="146"/>
        <v/>
      </c>
      <c r="BO213"/>
      <c r="BP213" s="190" t="str">
        <f ca="1">IF(ISNUMBER(OFFSET(BL213,-$F$21,0)),SUM(OFFSET($T$100,($F$17-$F$15+$F$21),0):$T213),"")</f>
        <v/>
      </c>
      <c r="BQ213" s="190" t="str">
        <f t="shared" ca="1" si="167"/>
        <v/>
      </c>
      <c r="BR213" s="190" t="str">
        <f t="shared" ca="1" si="147"/>
        <v/>
      </c>
      <c r="BS213" s="190"/>
      <c r="BT213"/>
      <c r="BU213"/>
      <c r="BV213"/>
      <c r="BY213" s="99"/>
      <c r="BZ213" s="99"/>
      <c r="CA213" s="280" t="str">
        <f t="shared" si="168"/>
        <v/>
      </c>
      <c r="CB213" s="71" t="str">
        <f t="shared" si="123"/>
        <v>-</v>
      </c>
      <c r="CC213" s="33"/>
      <c r="CD213" s="261" t="str">
        <f t="shared" si="124"/>
        <v/>
      </c>
      <c r="CE213" s="280" t="str">
        <f t="shared" si="169"/>
        <v>-</v>
      </c>
      <c r="CF213" s="71" t="str">
        <f t="shared" ca="1" si="170"/>
        <v>-</v>
      </c>
      <c r="CG213" s="33" t="str">
        <f t="shared" si="127"/>
        <v>113-114</v>
      </c>
      <c r="CH213" s="261" t="str">
        <f t="shared" ca="1" si="128"/>
        <v/>
      </c>
    </row>
    <row r="214" spans="2:86" ht="13.5" customHeight="1" x14ac:dyDescent="0.2">
      <c r="B214" s="262">
        <v>114</v>
      </c>
      <c r="C214" s="237" t="str">
        <f t="shared" si="150"/>
        <v/>
      </c>
      <c r="D214" s="237" t="str">
        <f t="shared" si="148"/>
        <v>-</v>
      </c>
      <c r="E214" s="263" t="str">
        <f t="shared" si="129"/>
        <v/>
      </c>
      <c r="F214" s="264" t="str">
        <f t="shared" si="130"/>
        <v/>
      </c>
      <c r="G214" s="264" t="str">
        <f t="shared" si="131"/>
        <v/>
      </c>
      <c r="H214" s="240" t="str">
        <f t="shared" si="151"/>
        <v/>
      </c>
      <c r="I214" s="265" t="str">
        <f t="shared" si="152"/>
        <v/>
      </c>
      <c r="J214" s="265" t="str">
        <f t="shared" si="153"/>
        <v/>
      </c>
      <c r="K214" s="240" t="str">
        <f t="shared" si="154"/>
        <v/>
      </c>
      <c r="L214" s="265" t="str">
        <f t="shared" si="155"/>
        <v/>
      </c>
      <c r="M214" s="265" t="str">
        <f t="shared" si="156"/>
        <v/>
      </c>
      <c r="N214" s="240" t="str">
        <f t="shared" si="157"/>
        <v>-</v>
      </c>
      <c r="O214" s="265" t="str">
        <f t="shared" si="158"/>
        <v>-</v>
      </c>
      <c r="P214" s="265" t="str">
        <f t="shared" si="159"/>
        <v>-</v>
      </c>
      <c r="Q214" s="266" t="str">
        <f t="shared" si="160"/>
        <v>-</v>
      </c>
      <c r="R214" s="267" t="str">
        <f t="shared" si="161"/>
        <v>-</v>
      </c>
      <c r="S214" s="268" t="str">
        <f t="shared" si="162"/>
        <v>-</v>
      </c>
      <c r="T214" s="269" t="str">
        <f t="shared" si="105"/>
        <v/>
      </c>
      <c r="U214" s="221">
        <f t="shared" si="106"/>
        <v>114</v>
      </c>
      <c r="V214" s="220" t="str">
        <f t="shared" si="132"/>
        <v>-</v>
      </c>
      <c r="W214" s="221" t="str">
        <f t="shared" si="133"/>
        <v>-</v>
      </c>
      <c r="X214" s="221" t="str">
        <f t="shared" si="107"/>
        <v>-</v>
      </c>
      <c r="Y214" s="221" t="str">
        <f t="shared" si="108"/>
        <v>-</v>
      </c>
      <c r="Z214" s="270">
        <f t="shared" si="134"/>
        <v>0.1</v>
      </c>
      <c r="AA214" s="271" t="str">
        <f>IFERROR(IF(V213=1,AA$100*EXP(-(LN(2)/$D$65+0.04)*X213)*EXP(-(LN(2)/$D$65+0.1)*Y213),IF(V213=2,AA$100*EXP(-(LN(2)/$D$65+0.04)*(VLOOKUP(($F$16-$F$15)-1,U$99:Y213,4,FALSE)))*EXP(-(LN(2)/$D$65+0.1)*(VLOOKUP(($F$16-$F$15)-1,U$99:Y213,5,FALSE)))*EXP(-(LN(2)/$D$65+0.04)*X213)*EXP(-(LN(2)/$D$65+0.1)*Y213),IF(V213=3,AA$100*EXP(-(LN(2)/$D$65+0.04)*(VLOOKUP(($F$16-$F$15)-1,U$99:Y213,4,FALSE)))*EXP(-(LN(2)/$D$65+0.1)*(VLOOKUP(($F$16-$F$15)-1,U$99:Y213,5,FALSE)))*EXP(-(LN(2)/$D$65+0.04)*(VLOOKUP(($F$16-$F$15)*2-1,U$99:Y213,4,FALSE)))*EXP(-(LN(2)/$D$65+0.1)*(VLOOKUP(($F$16-$F$15)*2-1,U$99:Y213,5,FALSE)))*EXP(-(LN(2)/$D$65+0.04)*X213)*EXP(-(LN(2)/$D$65+0.1)*Y213),"-"))),"-")</f>
        <v>-</v>
      </c>
      <c r="AB214" s="271" t="str">
        <f>IFERROR(IF(V214=1,AB$100*EXP(-(LN(2)/$D$65+0.04)*X214)*EXP(-(LN(2)/$D$65+0.1)*Y214),IF(V214=2,AB$100*EXP(-(LN(2)/$D$65+0.04)*(VLOOKUP(($F$16-$F$15)-1,U$100:Y214,4,FALSE)))*EXP(-(LN(2)/$D$65+0.1)*(VLOOKUP(($F$16-$F$15)-1,U$100:Y214,5,FALSE)))*EXP(-(LN(2)/$D$65+0.04)*X214)*EXP(-(LN(2)/$D$65+0.1)*Y214),IF(V214=3,AB$100*EXP(-(LN(2)/$D$65+0.04)*(VLOOKUP(($F$16-$F$15)-1,U$100:Y214,4,FALSE)))*EXP(-(LN(2)/$D$65+0.1)*(VLOOKUP(($F$16-$F$15)-1,U$100:Y214,5,FALSE)))*EXP(-(LN(2)/$D$65+0.04)*(VLOOKUP(($F$16-$F$15)*2-1,U$100:Y214,4,FALSE)))*EXP(-(LN(2)/$D$65+0.1)*(VLOOKUP(($F$16-$F$15)*2-1,U$100:Y214,5,FALSE)))*EXP(-(LN(2)/$D$65+0.04)*X214)*EXP(-(LN(2)/$D$65+0.1)*Y214),"-"))),"-")</f>
        <v>-</v>
      </c>
      <c r="AC214" s="224">
        <f t="shared" si="135"/>
        <v>114</v>
      </c>
      <c r="AD214" s="223" t="str">
        <f t="shared" si="109"/>
        <v>-</v>
      </c>
      <c r="AE214" s="224" t="str">
        <f t="shared" si="136"/>
        <v>-</v>
      </c>
      <c r="AF214" s="224" t="str">
        <f t="shared" si="110"/>
        <v>-</v>
      </c>
      <c r="AG214" s="224" t="str">
        <f t="shared" si="111"/>
        <v>-</v>
      </c>
      <c r="AH214" s="272">
        <f t="shared" si="137"/>
        <v>0.1</v>
      </c>
      <c r="AI214" s="271" t="str">
        <f>IFERROR(IF(AD213=1,AI$100*EXP(-(LN(2)/$D$65+0.04)*AF213)*EXP(-(LN(2)/$D$65+0.1)*AG213),IF(AD213=2,AI$100*EXP(-(LN(2)/$D$65+0.04)*(VLOOKUP(($F$16-$F$15)-1,AC$99:AG213,4,FALSE)))*EXP(-(LN(2)/$D$65+0.1)*(VLOOKUP(($F$16-$F$15)-1,AC$99:AG213,5,FALSE)))*EXP(-(LN(2)/$D$65+0.04)*AF213)*EXP(-(LN(2)/$D$65+0.1)*AG213),IF(AD213=3,AI$100*EXP(-(LN(2)/$D$65+0.04)*(VLOOKUP(($F$16-$F$15)-1,AC$99:AG213,4,FALSE)))*EXP(-(LN(2)/$D$65+0.1)*(VLOOKUP(($F$16-$F$15)-1,AC$99:AG213,5,FALSE)))*EXP(-(LN(2)/$D$65+0.04)*(VLOOKUP(($F$16-$F$15)*2-1,AC$99:AG213,4,FALSE)))*EXP(-(LN(2)/$D$65+0.1)*(VLOOKUP(($F$16-$F$15)*2-1,AC$99:AG213,5,FALSE)))*EXP(-(LN(2)/$D$65+0.04)*AF213)*EXP(-(LN(2)/$D$65+0.1)*AG213),"-"))),"-")</f>
        <v>-</v>
      </c>
      <c r="AJ214" s="271" t="str">
        <f>IFERROR(IF(AD214=1,AJ$100*EXP(-(LN(2)/$D$65+0.04)*AF214)*EXP(-(LN(2)/$D$65+0.1)*AG214),IF(AD214=2,AJ$100*EXP(-(LN(2)/$D$65+0.04)*(VLOOKUP(($F$16-$F$15)-1,AC$100:AG214,4,FALSE)))*EXP(-(LN(2)/$D$65+0.1)*(VLOOKUP(($F$16-$F$15)-1,AC$100:AG214,5,FALSE)))*EXP(-(LN(2)/$D$65+0.04)*AF214)*EXP(-(LN(2)/$D$65+0.1)*AG214),IF(AD214=3,AJ$100*EXP(-(LN(2)/$D$65+0.04)*(VLOOKUP(($F$16-$F$15)-1,AC$100:AG214,4,FALSE)))*EXP(-(LN(2)/$D$65+0.1)*(VLOOKUP(($F$16-$F$15)-1,AC$100:AG214,5,FALSE)))*EXP(-(LN(2)/$D$65+0.04)*(VLOOKUP(($F$16-$F$15)*2-1,AC$100:AG214,4,FALSE)))*EXP(-(LN(2)/$D$65+0.1)*(VLOOKUP(($F$16-$F$15)*2-1,AC$100:AG214,5,FALSE)))*EXP(-(LN(2)/$D$65+0.04)*AF214)*EXP(-(LN(2)/$D$65+0.1)*AG214),"-"))),"-")</f>
        <v>-</v>
      </c>
      <c r="AK214" s="227">
        <f t="shared" si="138"/>
        <v>114</v>
      </c>
      <c r="AL214" s="226" t="str">
        <f t="shared" si="112"/>
        <v>-</v>
      </c>
      <c r="AM214" s="227" t="str">
        <f t="shared" si="139"/>
        <v>-</v>
      </c>
      <c r="AN214" s="227" t="str">
        <f t="shared" si="140"/>
        <v>-</v>
      </c>
      <c r="AO214" s="227" t="str">
        <f t="shared" si="113"/>
        <v>-</v>
      </c>
      <c r="AP214" s="273">
        <f t="shared" si="141"/>
        <v>0.1</v>
      </c>
      <c r="AQ214" s="271" t="str">
        <f>IFERROR(IF(AL213=1,AQ$100*EXP(-(LN(2)/$D$65+0.04)*AN213)*EXP(-(LN(2)/$D$65+0.1)*AO213),IF(AL213=2,AQ$100*EXP(-(LN(2)/$D$65+0.04)*(VLOOKUP(($F$16-$F$15)-1,AK$99:AO213,4,FALSE)))*EXP(-(LN(2)/$D$65+0.1)*(VLOOKUP(($F$16-$F$15)-1,AK$99:AO213,5,FALSE)))*EXP(-(LN(2)/$D$65+0.04)*AN213)*EXP(-(LN(2)/$D$65+0.1)*AO213),IF(AL213=3,AQ$100*EXP(-(LN(2)/$D$65+0.04)*(VLOOKUP(($F$16-$F$15)-1,AK$99:AO213,4,FALSE)))*EXP(-(LN(2)/$D$65+0.1)*(VLOOKUP(($F$16-$F$15)-1,AK$99:AO213,5,FALSE)))*EXP(-(LN(2)/$D$65+0.04)*(VLOOKUP(($F$16-$F$15)*2-1,AK$99:AO213,4,FALSE)))*EXP(-(LN(2)/$D$65+0.1)*(VLOOKUP(($F$16-$F$15)*2-1,AK$99:AO213,5,FALSE)))*EXP(-(LN(2)/$D$65+0.04)*AN213)*EXP(-(LN(2)/$D$65+0.1)*AO213),"-"))),"-")</f>
        <v>-</v>
      </c>
      <c r="AR214" s="271" t="str">
        <f>IFERROR(IF(AL214=1,AR$100*EXP(-(LN(2)/$D$65+0.04)*AN214)*EXP(-(LN(2)/$D$65+0.1)*AO214),IF(AL214=2,AR$100*EXP(-(LN(2)/$D$65+0.04)*(VLOOKUP(($F$16-$F$15)-1,AK$100:AO214,4,FALSE)))*EXP(-(LN(2)/$D$65+0.1)*(VLOOKUP(($F$16-$F$15)-1,AK$100:AO214,5,FALSE)))*EXP(-(LN(2)/$D$65+0.04)*AN214)*EXP(-(LN(2)/$D$65+0.1)*AO214),IF(AL214=3,AR$100*EXP(-(LN(2)/$D$65+0.04)*(VLOOKUP(($F$16-$F$15)-1,AK$100:AO214,4,FALSE)))*EXP(-(LN(2)/$D$65+0.1)*(VLOOKUP(($F$16-$F$15)-1,AK$100:AO214,5,FALSE)))*EXP(-(LN(2)/$D$65+0.04)*(VLOOKUP(($F$16-$F$15)*2-1,AK$100:AO214,4,FALSE)))*EXP(-(LN(2)/$D$65+0.1)*(VLOOKUP(($F$16-$F$15)*2-1,AK$100:AO214,5,FALSE)))*EXP(-(LN(2)/$D$65+0.04)*AN214)*EXP(-(LN(2)/$D$65+0.1)*AO214),"-"))),"-")</f>
        <v>-</v>
      </c>
      <c r="AS214" s="274">
        <f t="shared" si="114"/>
        <v>0</v>
      </c>
      <c r="AT214" s="274">
        <f t="shared" si="115"/>
        <v>0</v>
      </c>
      <c r="AU214" s="274">
        <f t="shared" si="116"/>
        <v>0</v>
      </c>
      <c r="AV214" s="190">
        <f>IF($B214&lt;$F$22,SUM($T$100:$T214),"")</f>
        <v>0</v>
      </c>
      <c r="AW214" s="190" t="str">
        <f t="shared" si="163"/>
        <v>-</v>
      </c>
      <c r="AX214" s="190" t="str">
        <f t="shared" si="142"/>
        <v/>
      </c>
      <c r="AY214"/>
      <c r="AZ214" s="190" t="str">
        <f ca="1">IF(ISNUMBER(OFFSET(AV214,-$F$21,0)),SUM(OFFSET($T$100,$F$21,0):$T214),"")</f>
        <v/>
      </c>
      <c r="BA214" s="190" t="str">
        <f t="shared" ca="1" si="164"/>
        <v/>
      </c>
      <c r="BB214" s="190" t="str">
        <f t="shared" ca="1" si="149"/>
        <v/>
      </c>
      <c r="BC214" s="190"/>
      <c r="BD214" s="190" t="str">
        <f ca="1">IFERROR(IF(AND($B214&gt;=($F$16-$F$15),$B214&lt;$F$22+($F$16-$F$15)),SUM(OFFSET($T$100,($F$16-$F$15),0):$T214),""),"")</f>
        <v/>
      </c>
      <c r="BE214" s="190" t="str">
        <f t="shared" ca="1" si="143"/>
        <v/>
      </c>
      <c r="BF214" s="190" t="str">
        <f t="shared" ca="1" si="144"/>
        <v/>
      </c>
      <c r="BG214"/>
      <c r="BH214" s="190" t="str">
        <f ca="1">IF(ISNUMBER(OFFSET(BD214,-$F$21,0)),SUM(OFFSET($T$100,($F$16-$F$15+$F$21),0):$T214),"")</f>
        <v/>
      </c>
      <c r="BI214" s="190" t="str">
        <f t="shared" ca="1" si="165"/>
        <v/>
      </c>
      <c r="BJ214" s="190" t="str">
        <f t="shared" ca="1" si="145"/>
        <v/>
      </c>
      <c r="BK214" s="190"/>
      <c r="BL214" s="190" t="str">
        <f ca="1">IFERROR(IF(AND($B214&gt;=($F$17-$F$15),$B214&lt;$F$22+($F$17-$F$15)),SUM(OFFSET($T$100,($F$17-$F$15),0):$T214),""),"")</f>
        <v/>
      </c>
      <c r="BM214" s="190" t="str">
        <f t="shared" ca="1" si="166"/>
        <v/>
      </c>
      <c r="BN214" s="190" t="str">
        <f t="shared" ca="1" si="146"/>
        <v/>
      </c>
      <c r="BO214"/>
      <c r="BP214" s="190" t="str">
        <f ca="1">IF(ISNUMBER(OFFSET(BL214,-$F$21,0)),SUM(OFFSET($T$100,($F$17-$F$15+$F$21),0):$T214),"")</f>
        <v/>
      </c>
      <c r="BQ214" s="190" t="str">
        <f t="shared" ca="1" si="167"/>
        <v/>
      </c>
      <c r="BR214" s="190" t="str">
        <f t="shared" ca="1" si="147"/>
        <v/>
      </c>
      <c r="BS214" s="190"/>
      <c r="BT214"/>
      <c r="BU214"/>
      <c r="BV214"/>
      <c r="BY214" s="99"/>
      <c r="BZ214" s="99"/>
      <c r="CA214" s="280" t="str">
        <f t="shared" si="168"/>
        <v/>
      </c>
      <c r="CB214" s="71" t="str">
        <f t="shared" si="123"/>
        <v>-</v>
      </c>
      <c r="CC214" s="33"/>
      <c r="CD214" s="261" t="str">
        <f t="shared" si="124"/>
        <v/>
      </c>
      <c r="CE214" s="280" t="str">
        <f t="shared" si="169"/>
        <v>-</v>
      </c>
      <c r="CF214" s="71" t="str">
        <f t="shared" ca="1" si="170"/>
        <v>-</v>
      </c>
      <c r="CG214" s="33" t="str">
        <f t="shared" si="127"/>
        <v>114-115</v>
      </c>
      <c r="CH214" s="261" t="str">
        <f t="shared" ca="1" si="128"/>
        <v/>
      </c>
    </row>
    <row r="215" spans="2:86" ht="13.5" customHeight="1" x14ac:dyDescent="0.2">
      <c r="B215" s="262">
        <v>115</v>
      </c>
      <c r="C215" s="237" t="str">
        <f t="shared" si="150"/>
        <v/>
      </c>
      <c r="D215" s="237" t="str">
        <f t="shared" si="148"/>
        <v>-</v>
      </c>
      <c r="E215" s="263" t="str">
        <f t="shared" si="129"/>
        <v/>
      </c>
      <c r="F215" s="264" t="str">
        <f t="shared" si="130"/>
        <v/>
      </c>
      <c r="G215" s="264" t="str">
        <f t="shared" si="131"/>
        <v/>
      </c>
      <c r="H215" s="240" t="str">
        <f t="shared" si="151"/>
        <v/>
      </c>
      <c r="I215" s="265" t="str">
        <f t="shared" si="152"/>
        <v/>
      </c>
      <c r="J215" s="265" t="str">
        <f t="shared" si="153"/>
        <v/>
      </c>
      <c r="K215" s="240" t="str">
        <f t="shared" si="154"/>
        <v/>
      </c>
      <c r="L215" s="265" t="str">
        <f t="shared" si="155"/>
        <v/>
      </c>
      <c r="M215" s="265" t="str">
        <f t="shared" si="156"/>
        <v/>
      </c>
      <c r="N215" s="240" t="str">
        <f t="shared" si="157"/>
        <v>-</v>
      </c>
      <c r="O215" s="265" t="str">
        <f t="shared" si="158"/>
        <v>-</v>
      </c>
      <c r="P215" s="265" t="str">
        <f t="shared" si="159"/>
        <v>-</v>
      </c>
      <c r="Q215" s="266" t="str">
        <f t="shared" si="160"/>
        <v>-</v>
      </c>
      <c r="R215" s="267" t="str">
        <f t="shared" si="161"/>
        <v>-</v>
      </c>
      <c r="S215" s="268" t="str">
        <f t="shared" si="162"/>
        <v>-</v>
      </c>
      <c r="T215" s="269" t="str">
        <f t="shared" si="105"/>
        <v/>
      </c>
      <c r="U215" s="221">
        <f t="shared" si="106"/>
        <v>115</v>
      </c>
      <c r="V215" s="220" t="str">
        <f t="shared" si="132"/>
        <v>-</v>
      </c>
      <c r="W215" s="221" t="str">
        <f t="shared" si="133"/>
        <v>-</v>
      </c>
      <c r="X215" s="221" t="str">
        <f t="shared" si="107"/>
        <v>-</v>
      </c>
      <c r="Y215" s="221" t="str">
        <f t="shared" si="108"/>
        <v>-</v>
      </c>
      <c r="Z215" s="270">
        <f t="shared" si="134"/>
        <v>0.1</v>
      </c>
      <c r="AA215" s="271" t="str">
        <f>IFERROR(IF(V214=1,AA$100*EXP(-(LN(2)/$D$65+0.04)*X214)*EXP(-(LN(2)/$D$65+0.1)*Y214),IF(V214=2,AA$100*EXP(-(LN(2)/$D$65+0.04)*(VLOOKUP(($F$16-$F$15)-1,U$99:Y214,4,FALSE)))*EXP(-(LN(2)/$D$65+0.1)*(VLOOKUP(($F$16-$F$15)-1,U$99:Y214,5,FALSE)))*EXP(-(LN(2)/$D$65+0.04)*X214)*EXP(-(LN(2)/$D$65+0.1)*Y214),IF(V214=3,AA$100*EXP(-(LN(2)/$D$65+0.04)*(VLOOKUP(($F$16-$F$15)-1,U$99:Y214,4,FALSE)))*EXP(-(LN(2)/$D$65+0.1)*(VLOOKUP(($F$16-$F$15)-1,U$99:Y214,5,FALSE)))*EXP(-(LN(2)/$D$65+0.04)*(VLOOKUP(($F$16-$F$15)*2-1,U$99:Y214,4,FALSE)))*EXP(-(LN(2)/$D$65+0.1)*(VLOOKUP(($F$16-$F$15)*2-1,U$99:Y214,5,FALSE)))*EXP(-(LN(2)/$D$65+0.04)*X214)*EXP(-(LN(2)/$D$65+0.1)*Y214),"-"))),"-")</f>
        <v>-</v>
      </c>
      <c r="AB215" s="271" t="str">
        <f>IFERROR(IF(V215=1,AB$100*EXP(-(LN(2)/$D$65+0.04)*X215)*EXP(-(LN(2)/$D$65+0.1)*Y215),IF(V215=2,AB$100*EXP(-(LN(2)/$D$65+0.04)*(VLOOKUP(($F$16-$F$15)-1,U$100:Y215,4,FALSE)))*EXP(-(LN(2)/$D$65+0.1)*(VLOOKUP(($F$16-$F$15)-1,U$100:Y215,5,FALSE)))*EXP(-(LN(2)/$D$65+0.04)*X215)*EXP(-(LN(2)/$D$65+0.1)*Y215),IF(V215=3,AB$100*EXP(-(LN(2)/$D$65+0.04)*(VLOOKUP(($F$16-$F$15)-1,U$100:Y215,4,FALSE)))*EXP(-(LN(2)/$D$65+0.1)*(VLOOKUP(($F$16-$F$15)-1,U$100:Y215,5,FALSE)))*EXP(-(LN(2)/$D$65+0.04)*(VLOOKUP(($F$16-$F$15)*2-1,U$100:Y215,4,FALSE)))*EXP(-(LN(2)/$D$65+0.1)*(VLOOKUP(($F$16-$F$15)*2-1,U$100:Y215,5,FALSE)))*EXP(-(LN(2)/$D$65+0.04)*X215)*EXP(-(LN(2)/$D$65+0.1)*Y215),"-"))),"-")</f>
        <v>-</v>
      </c>
      <c r="AC215" s="224">
        <f t="shared" si="135"/>
        <v>115</v>
      </c>
      <c r="AD215" s="223" t="str">
        <f t="shared" si="109"/>
        <v>-</v>
      </c>
      <c r="AE215" s="224" t="str">
        <f t="shared" si="136"/>
        <v>-</v>
      </c>
      <c r="AF215" s="224" t="str">
        <f t="shared" si="110"/>
        <v>-</v>
      </c>
      <c r="AG215" s="224" t="str">
        <f t="shared" si="111"/>
        <v>-</v>
      </c>
      <c r="AH215" s="272">
        <f t="shared" si="137"/>
        <v>0.1</v>
      </c>
      <c r="AI215" s="271" t="str">
        <f>IFERROR(IF(AD214=1,AI$100*EXP(-(LN(2)/$D$65+0.04)*AF214)*EXP(-(LN(2)/$D$65+0.1)*AG214),IF(AD214=2,AI$100*EXP(-(LN(2)/$D$65+0.04)*(VLOOKUP(($F$16-$F$15)-1,AC$99:AG214,4,FALSE)))*EXP(-(LN(2)/$D$65+0.1)*(VLOOKUP(($F$16-$F$15)-1,AC$99:AG214,5,FALSE)))*EXP(-(LN(2)/$D$65+0.04)*AF214)*EXP(-(LN(2)/$D$65+0.1)*AG214),IF(AD214=3,AI$100*EXP(-(LN(2)/$D$65+0.04)*(VLOOKUP(($F$16-$F$15)-1,AC$99:AG214,4,FALSE)))*EXP(-(LN(2)/$D$65+0.1)*(VLOOKUP(($F$16-$F$15)-1,AC$99:AG214,5,FALSE)))*EXP(-(LN(2)/$D$65+0.04)*(VLOOKUP(($F$16-$F$15)*2-1,AC$99:AG214,4,FALSE)))*EXP(-(LN(2)/$D$65+0.1)*(VLOOKUP(($F$16-$F$15)*2-1,AC$99:AG214,5,FALSE)))*EXP(-(LN(2)/$D$65+0.04)*AF214)*EXP(-(LN(2)/$D$65+0.1)*AG214),"-"))),"-")</f>
        <v>-</v>
      </c>
      <c r="AJ215" s="271" t="str">
        <f>IFERROR(IF(AD215=1,AJ$100*EXP(-(LN(2)/$D$65+0.04)*AF215)*EXP(-(LN(2)/$D$65+0.1)*AG215),IF(AD215=2,AJ$100*EXP(-(LN(2)/$D$65+0.04)*(VLOOKUP(($F$16-$F$15)-1,AC$100:AG215,4,FALSE)))*EXP(-(LN(2)/$D$65+0.1)*(VLOOKUP(($F$16-$F$15)-1,AC$100:AG215,5,FALSE)))*EXP(-(LN(2)/$D$65+0.04)*AF215)*EXP(-(LN(2)/$D$65+0.1)*AG215),IF(AD215=3,AJ$100*EXP(-(LN(2)/$D$65+0.04)*(VLOOKUP(($F$16-$F$15)-1,AC$100:AG215,4,FALSE)))*EXP(-(LN(2)/$D$65+0.1)*(VLOOKUP(($F$16-$F$15)-1,AC$100:AG215,5,FALSE)))*EXP(-(LN(2)/$D$65+0.04)*(VLOOKUP(($F$16-$F$15)*2-1,AC$100:AG215,4,FALSE)))*EXP(-(LN(2)/$D$65+0.1)*(VLOOKUP(($F$16-$F$15)*2-1,AC$100:AG215,5,FALSE)))*EXP(-(LN(2)/$D$65+0.04)*AF215)*EXP(-(LN(2)/$D$65+0.1)*AG215),"-"))),"-")</f>
        <v>-</v>
      </c>
      <c r="AK215" s="227">
        <f t="shared" si="138"/>
        <v>115</v>
      </c>
      <c r="AL215" s="226" t="str">
        <f t="shared" si="112"/>
        <v>-</v>
      </c>
      <c r="AM215" s="227" t="str">
        <f t="shared" si="139"/>
        <v>-</v>
      </c>
      <c r="AN215" s="227" t="str">
        <f t="shared" si="140"/>
        <v>-</v>
      </c>
      <c r="AO215" s="227" t="str">
        <f t="shared" si="113"/>
        <v>-</v>
      </c>
      <c r="AP215" s="273">
        <f t="shared" si="141"/>
        <v>0.1</v>
      </c>
      <c r="AQ215" s="271" t="str">
        <f>IFERROR(IF(AL214=1,AQ$100*EXP(-(LN(2)/$D$65+0.04)*AN214)*EXP(-(LN(2)/$D$65+0.1)*AO214),IF(AL214=2,AQ$100*EXP(-(LN(2)/$D$65+0.04)*(VLOOKUP(($F$16-$F$15)-1,AK$99:AO214,4,FALSE)))*EXP(-(LN(2)/$D$65+0.1)*(VLOOKUP(($F$16-$F$15)-1,AK$99:AO214,5,FALSE)))*EXP(-(LN(2)/$D$65+0.04)*AN214)*EXP(-(LN(2)/$D$65+0.1)*AO214),IF(AL214=3,AQ$100*EXP(-(LN(2)/$D$65+0.04)*(VLOOKUP(($F$16-$F$15)-1,AK$99:AO214,4,FALSE)))*EXP(-(LN(2)/$D$65+0.1)*(VLOOKUP(($F$16-$F$15)-1,AK$99:AO214,5,FALSE)))*EXP(-(LN(2)/$D$65+0.04)*(VLOOKUP(($F$16-$F$15)*2-1,AK$99:AO214,4,FALSE)))*EXP(-(LN(2)/$D$65+0.1)*(VLOOKUP(($F$16-$F$15)*2-1,AK$99:AO214,5,FALSE)))*EXP(-(LN(2)/$D$65+0.04)*AN214)*EXP(-(LN(2)/$D$65+0.1)*AO214),"-"))),"-")</f>
        <v>-</v>
      </c>
      <c r="AR215" s="271" t="str">
        <f>IFERROR(IF(AL215=1,AR$100*EXP(-(LN(2)/$D$65+0.04)*AN215)*EXP(-(LN(2)/$D$65+0.1)*AO215),IF(AL215=2,AR$100*EXP(-(LN(2)/$D$65+0.04)*(VLOOKUP(($F$16-$F$15)-1,AK$100:AO215,4,FALSE)))*EXP(-(LN(2)/$D$65+0.1)*(VLOOKUP(($F$16-$F$15)-1,AK$100:AO215,5,FALSE)))*EXP(-(LN(2)/$D$65+0.04)*AN215)*EXP(-(LN(2)/$D$65+0.1)*AO215),IF(AL215=3,AR$100*EXP(-(LN(2)/$D$65+0.04)*(VLOOKUP(($F$16-$F$15)-1,AK$100:AO215,4,FALSE)))*EXP(-(LN(2)/$D$65+0.1)*(VLOOKUP(($F$16-$F$15)-1,AK$100:AO215,5,FALSE)))*EXP(-(LN(2)/$D$65+0.04)*(VLOOKUP(($F$16-$F$15)*2-1,AK$100:AO215,4,FALSE)))*EXP(-(LN(2)/$D$65+0.1)*(VLOOKUP(($F$16-$F$15)*2-1,AK$100:AO215,5,FALSE)))*EXP(-(LN(2)/$D$65+0.04)*AN215)*EXP(-(LN(2)/$D$65+0.1)*AO215),"-"))),"-")</f>
        <v>-</v>
      </c>
      <c r="AS215" s="274">
        <f t="shared" si="114"/>
        <v>0</v>
      </c>
      <c r="AT215" s="274">
        <f t="shared" si="115"/>
        <v>0</v>
      </c>
      <c r="AU215" s="274">
        <f t="shared" si="116"/>
        <v>0</v>
      </c>
      <c r="AV215" s="190">
        <f>IF($B215&lt;$F$22,SUM($T$100:$T215),"")</f>
        <v>0</v>
      </c>
      <c r="AW215" s="190" t="str">
        <f t="shared" si="163"/>
        <v>-</v>
      </c>
      <c r="AX215" s="190" t="str">
        <f t="shared" si="142"/>
        <v/>
      </c>
      <c r="AY215"/>
      <c r="AZ215" s="190" t="str">
        <f ca="1">IF(ISNUMBER(OFFSET(AV215,-$F$21,0)),SUM(OFFSET($T$100,$F$21,0):$T215),"")</f>
        <v/>
      </c>
      <c r="BA215" s="190" t="str">
        <f t="shared" ca="1" si="164"/>
        <v/>
      </c>
      <c r="BB215" s="190" t="str">
        <f t="shared" ca="1" si="149"/>
        <v/>
      </c>
      <c r="BC215" s="190"/>
      <c r="BD215" s="190" t="str">
        <f ca="1">IFERROR(IF(AND($B215&gt;=($F$16-$F$15),$B215&lt;$F$22+($F$16-$F$15)),SUM(OFFSET($T$100,($F$16-$F$15),0):$T215),""),"")</f>
        <v/>
      </c>
      <c r="BE215" s="190" t="str">
        <f t="shared" ca="1" si="143"/>
        <v/>
      </c>
      <c r="BF215" s="190" t="str">
        <f t="shared" ca="1" si="144"/>
        <v/>
      </c>
      <c r="BG215"/>
      <c r="BH215" s="190" t="str">
        <f ca="1">IF(ISNUMBER(OFFSET(BD215,-$F$21,0)),SUM(OFFSET($T$100,($F$16-$F$15+$F$21),0):$T215),"")</f>
        <v/>
      </c>
      <c r="BI215" s="190" t="str">
        <f t="shared" ca="1" si="165"/>
        <v/>
      </c>
      <c r="BJ215" s="190" t="str">
        <f t="shared" ca="1" si="145"/>
        <v/>
      </c>
      <c r="BK215" s="190"/>
      <c r="BL215" s="190" t="str">
        <f ca="1">IFERROR(IF(AND($B215&gt;=($F$17-$F$15),$B215&lt;$F$22+($F$17-$F$15)),SUM(OFFSET($T$100,($F$17-$F$15),0):$T215),""),"")</f>
        <v/>
      </c>
      <c r="BM215" s="190" t="str">
        <f t="shared" ca="1" si="166"/>
        <v/>
      </c>
      <c r="BN215" s="190" t="str">
        <f t="shared" ca="1" si="146"/>
        <v/>
      </c>
      <c r="BO215"/>
      <c r="BP215" s="190" t="str">
        <f ca="1">IF(ISNUMBER(OFFSET(BL215,-$F$21,0)),SUM(OFFSET($T$100,($F$17-$F$15+$F$21),0):$T215),"")</f>
        <v/>
      </c>
      <c r="BQ215" s="190" t="str">
        <f t="shared" ca="1" si="167"/>
        <v/>
      </c>
      <c r="BR215" s="190" t="str">
        <f t="shared" ca="1" si="147"/>
        <v/>
      </c>
      <c r="BS215" s="190"/>
      <c r="BT215"/>
      <c r="BU215"/>
      <c r="BV215"/>
      <c r="BY215" s="99"/>
      <c r="BZ215" s="99"/>
      <c r="CA215" s="280" t="str">
        <f t="shared" si="168"/>
        <v/>
      </c>
      <c r="CB215" s="71" t="str">
        <f t="shared" si="123"/>
        <v>-</v>
      </c>
      <c r="CC215" s="33"/>
      <c r="CD215" s="261" t="str">
        <f t="shared" si="124"/>
        <v/>
      </c>
      <c r="CE215" s="280" t="str">
        <f t="shared" si="169"/>
        <v>-</v>
      </c>
      <c r="CF215" s="71" t="str">
        <f t="shared" ca="1" si="170"/>
        <v>-</v>
      </c>
      <c r="CG215" s="33" t="str">
        <f t="shared" si="127"/>
        <v>115-116</v>
      </c>
      <c r="CH215" s="261" t="str">
        <f t="shared" ca="1" si="128"/>
        <v/>
      </c>
    </row>
    <row r="216" spans="2:86" ht="13.5" customHeight="1" x14ac:dyDescent="0.2">
      <c r="B216" s="262">
        <v>116</v>
      </c>
      <c r="C216" s="237" t="str">
        <f t="shared" si="150"/>
        <v/>
      </c>
      <c r="D216" s="237" t="str">
        <f t="shared" si="148"/>
        <v>-</v>
      </c>
      <c r="E216" s="263" t="str">
        <f t="shared" si="129"/>
        <v/>
      </c>
      <c r="F216" s="264" t="str">
        <f t="shared" si="130"/>
        <v/>
      </c>
      <c r="G216" s="264" t="str">
        <f t="shared" si="131"/>
        <v/>
      </c>
      <c r="H216" s="240" t="str">
        <f t="shared" si="151"/>
        <v/>
      </c>
      <c r="I216" s="265" t="str">
        <f t="shared" si="152"/>
        <v/>
      </c>
      <c r="J216" s="265" t="str">
        <f t="shared" si="153"/>
        <v/>
      </c>
      <c r="K216" s="240" t="str">
        <f t="shared" si="154"/>
        <v/>
      </c>
      <c r="L216" s="265" t="str">
        <f t="shared" si="155"/>
        <v/>
      </c>
      <c r="M216" s="265" t="str">
        <f t="shared" si="156"/>
        <v/>
      </c>
      <c r="N216" s="240" t="str">
        <f t="shared" si="157"/>
        <v>-</v>
      </c>
      <c r="O216" s="265" t="str">
        <f t="shared" si="158"/>
        <v>-</v>
      </c>
      <c r="P216" s="265" t="str">
        <f t="shared" si="159"/>
        <v>-</v>
      </c>
      <c r="Q216" s="266" t="str">
        <f t="shared" si="160"/>
        <v>-</v>
      </c>
      <c r="R216" s="267" t="str">
        <f t="shared" si="161"/>
        <v>-</v>
      </c>
      <c r="S216" s="268" t="str">
        <f t="shared" si="162"/>
        <v>-</v>
      </c>
      <c r="T216" s="269" t="str">
        <f t="shared" si="105"/>
        <v/>
      </c>
      <c r="U216" s="221">
        <f t="shared" si="106"/>
        <v>116</v>
      </c>
      <c r="V216" s="220" t="str">
        <f t="shared" si="132"/>
        <v>-</v>
      </c>
      <c r="W216" s="221" t="str">
        <f t="shared" si="133"/>
        <v>-</v>
      </c>
      <c r="X216" s="221" t="str">
        <f t="shared" si="107"/>
        <v>-</v>
      </c>
      <c r="Y216" s="221" t="str">
        <f t="shared" si="108"/>
        <v>-</v>
      </c>
      <c r="Z216" s="270">
        <f t="shared" si="134"/>
        <v>0.1</v>
      </c>
      <c r="AA216" s="271" t="str">
        <f>IFERROR(IF(V215=1,AA$100*EXP(-(LN(2)/$D$65+0.04)*X215)*EXP(-(LN(2)/$D$65+0.1)*Y215),IF(V215=2,AA$100*EXP(-(LN(2)/$D$65+0.04)*(VLOOKUP(($F$16-$F$15)-1,U$99:Y215,4,FALSE)))*EXP(-(LN(2)/$D$65+0.1)*(VLOOKUP(($F$16-$F$15)-1,U$99:Y215,5,FALSE)))*EXP(-(LN(2)/$D$65+0.04)*X215)*EXP(-(LN(2)/$D$65+0.1)*Y215),IF(V215=3,AA$100*EXP(-(LN(2)/$D$65+0.04)*(VLOOKUP(($F$16-$F$15)-1,U$99:Y215,4,FALSE)))*EXP(-(LN(2)/$D$65+0.1)*(VLOOKUP(($F$16-$F$15)-1,U$99:Y215,5,FALSE)))*EXP(-(LN(2)/$D$65+0.04)*(VLOOKUP(($F$16-$F$15)*2-1,U$99:Y215,4,FALSE)))*EXP(-(LN(2)/$D$65+0.1)*(VLOOKUP(($F$16-$F$15)*2-1,U$99:Y215,5,FALSE)))*EXP(-(LN(2)/$D$65+0.04)*X215)*EXP(-(LN(2)/$D$65+0.1)*Y215),"-"))),"-")</f>
        <v>-</v>
      </c>
      <c r="AB216" s="271" t="str">
        <f>IFERROR(IF(V216=1,AB$100*EXP(-(LN(2)/$D$65+0.04)*X216)*EXP(-(LN(2)/$D$65+0.1)*Y216),IF(V216=2,AB$100*EXP(-(LN(2)/$D$65+0.04)*(VLOOKUP(($F$16-$F$15)-1,U$100:Y216,4,FALSE)))*EXP(-(LN(2)/$D$65+0.1)*(VLOOKUP(($F$16-$F$15)-1,U$100:Y216,5,FALSE)))*EXP(-(LN(2)/$D$65+0.04)*X216)*EXP(-(LN(2)/$D$65+0.1)*Y216),IF(V216=3,AB$100*EXP(-(LN(2)/$D$65+0.04)*(VLOOKUP(($F$16-$F$15)-1,U$100:Y216,4,FALSE)))*EXP(-(LN(2)/$D$65+0.1)*(VLOOKUP(($F$16-$F$15)-1,U$100:Y216,5,FALSE)))*EXP(-(LN(2)/$D$65+0.04)*(VLOOKUP(($F$16-$F$15)*2-1,U$100:Y216,4,FALSE)))*EXP(-(LN(2)/$D$65+0.1)*(VLOOKUP(($F$16-$F$15)*2-1,U$100:Y216,5,FALSE)))*EXP(-(LN(2)/$D$65+0.04)*X216)*EXP(-(LN(2)/$D$65+0.1)*Y216),"-"))),"-")</f>
        <v>-</v>
      </c>
      <c r="AC216" s="224">
        <f t="shared" si="135"/>
        <v>116</v>
      </c>
      <c r="AD216" s="223" t="str">
        <f t="shared" si="109"/>
        <v>-</v>
      </c>
      <c r="AE216" s="224" t="str">
        <f t="shared" si="136"/>
        <v>-</v>
      </c>
      <c r="AF216" s="224" t="str">
        <f t="shared" si="110"/>
        <v>-</v>
      </c>
      <c r="AG216" s="224" t="str">
        <f t="shared" si="111"/>
        <v>-</v>
      </c>
      <c r="AH216" s="272">
        <f t="shared" si="137"/>
        <v>0.1</v>
      </c>
      <c r="AI216" s="271" t="str">
        <f>IFERROR(IF(AD215=1,AI$100*EXP(-(LN(2)/$D$65+0.04)*AF215)*EXP(-(LN(2)/$D$65+0.1)*AG215),IF(AD215=2,AI$100*EXP(-(LN(2)/$D$65+0.04)*(VLOOKUP(($F$16-$F$15)-1,AC$99:AG215,4,FALSE)))*EXP(-(LN(2)/$D$65+0.1)*(VLOOKUP(($F$16-$F$15)-1,AC$99:AG215,5,FALSE)))*EXP(-(LN(2)/$D$65+0.04)*AF215)*EXP(-(LN(2)/$D$65+0.1)*AG215),IF(AD215=3,AI$100*EXP(-(LN(2)/$D$65+0.04)*(VLOOKUP(($F$16-$F$15)-1,AC$99:AG215,4,FALSE)))*EXP(-(LN(2)/$D$65+0.1)*(VLOOKUP(($F$16-$F$15)-1,AC$99:AG215,5,FALSE)))*EXP(-(LN(2)/$D$65+0.04)*(VLOOKUP(($F$16-$F$15)*2-1,AC$99:AG215,4,FALSE)))*EXP(-(LN(2)/$D$65+0.1)*(VLOOKUP(($F$16-$F$15)*2-1,AC$99:AG215,5,FALSE)))*EXP(-(LN(2)/$D$65+0.04)*AF215)*EXP(-(LN(2)/$D$65+0.1)*AG215),"-"))),"-")</f>
        <v>-</v>
      </c>
      <c r="AJ216" s="271" t="str">
        <f>IFERROR(IF(AD216=1,AJ$100*EXP(-(LN(2)/$D$65+0.04)*AF216)*EXP(-(LN(2)/$D$65+0.1)*AG216),IF(AD216=2,AJ$100*EXP(-(LN(2)/$D$65+0.04)*(VLOOKUP(($F$16-$F$15)-1,AC$100:AG216,4,FALSE)))*EXP(-(LN(2)/$D$65+0.1)*(VLOOKUP(($F$16-$F$15)-1,AC$100:AG216,5,FALSE)))*EXP(-(LN(2)/$D$65+0.04)*AF216)*EXP(-(LN(2)/$D$65+0.1)*AG216),IF(AD216=3,AJ$100*EXP(-(LN(2)/$D$65+0.04)*(VLOOKUP(($F$16-$F$15)-1,AC$100:AG216,4,FALSE)))*EXP(-(LN(2)/$D$65+0.1)*(VLOOKUP(($F$16-$F$15)-1,AC$100:AG216,5,FALSE)))*EXP(-(LN(2)/$D$65+0.04)*(VLOOKUP(($F$16-$F$15)*2-1,AC$100:AG216,4,FALSE)))*EXP(-(LN(2)/$D$65+0.1)*(VLOOKUP(($F$16-$F$15)*2-1,AC$100:AG216,5,FALSE)))*EXP(-(LN(2)/$D$65+0.04)*AF216)*EXP(-(LN(2)/$D$65+0.1)*AG216),"-"))),"-")</f>
        <v>-</v>
      </c>
      <c r="AK216" s="227">
        <f t="shared" si="138"/>
        <v>116</v>
      </c>
      <c r="AL216" s="226" t="str">
        <f t="shared" si="112"/>
        <v>-</v>
      </c>
      <c r="AM216" s="227" t="str">
        <f t="shared" si="139"/>
        <v>-</v>
      </c>
      <c r="AN216" s="227" t="str">
        <f t="shared" si="140"/>
        <v>-</v>
      </c>
      <c r="AO216" s="227" t="str">
        <f t="shared" si="113"/>
        <v>-</v>
      </c>
      <c r="AP216" s="273">
        <f t="shared" si="141"/>
        <v>0.1</v>
      </c>
      <c r="AQ216" s="271" t="str">
        <f>IFERROR(IF(AL215=1,AQ$100*EXP(-(LN(2)/$D$65+0.04)*AN215)*EXP(-(LN(2)/$D$65+0.1)*AO215),IF(AL215=2,AQ$100*EXP(-(LN(2)/$D$65+0.04)*(VLOOKUP(($F$16-$F$15)-1,AK$99:AO215,4,FALSE)))*EXP(-(LN(2)/$D$65+0.1)*(VLOOKUP(($F$16-$F$15)-1,AK$99:AO215,5,FALSE)))*EXP(-(LN(2)/$D$65+0.04)*AN215)*EXP(-(LN(2)/$D$65+0.1)*AO215),IF(AL215=3,AQ$100*EXP(-(LN(2)/$D$65+0.04)*(VLOOKUP(($F$16-$F$15)-1,AK$99:AO215,4,FALSE)))*EXP(-(LN(2)/$D$65+0.1)*(VLOOKUP(($F$16-$F$15)-1,AK$99:AO215,5,FALSE)))*EXP(-(LN(2)/$D$65+0.04)*(VLOOKUP(($F$16-$F$15)*2-1,AK$99:AO215,4,FALSE)))*EXP(-(LN(2)/$D$65+0.1)*(VLOOKUP(($F$16-$F$15)*2-1,AK$99:AO215,5,FALSE)))*EXP(-(LN(2)/$D$65+0.04)*AN215)*EXP(-(LN(2)/$D$65+0.1)*AO215),"-"))),"-")</f>
        <v>-</v>
      </c>
      <c r="AR216" s="271" t="str">
        <f>IFERROR(IF(AL216=1,AR$100*EXP(-(LN(2)/$D$65+0.04)*AN216)*EXP(-(LN(2)/$D$65+0.1)*AO216),IF(AL216=2,AR$100*EXP(-(LN(2)/$D$65+0.04)*(VLOOKUP(($F$16-$F$15)-1,AK$100:AO216,4,FALSE)))*EXP(-(LN(2)/$D$65+0.1)*(VLOOKUP(($F$16-$F$15)-1,AK$100:AO216,5,FALSE)))*EXP(-(LN(2)/$D$65+0.04)*AN216)*EXP(-(LN(2)/$D$65+0.1)*AO216),IF(AL216=3,AR$100*EXP(-(LN(2)/$D$65+0.04)*(VLOOKUP(($F$16-$F$15)-1,AK$100:AO216,4,FALSE)))*EXP(-(LN(2)/$D$65+0.1)*(VLOOKUP(($F$16-$F$15)-1,AK$100:AO216,5,FALSE)))*EXP(-(LN(2)/$D$65+0.04)*(VLOOKUP(($F$16-$F$15)*2-1,AK$100:AO216,4,FALSE)))*EXP(-(LN(2)/$D$65+0.1)*(VLOOKUP(($F$16-$F$15)*2-1,AK$100:AO216,5,FALSE)))*EXP(-(LN(2)/$D$65+0.04)*AN216)*EXP(-(LN(2)/$D$65+0.1)*AO216),"-"))),"-")</f>
        <v>-</v>
      </c>
      <c r="AS216" s="274">
        <f t="shared" si="114"/>
        <v>0</v>
      </c>
      <c r="AT216" s="274">
        <f t="shared" si="115"/>
        <v>0</v>
      </c>
      <c r="AU216" s="274">
        <f t="shared" si="116"/>
        <v>0</v>
      </c>
      <c r="AV216" s="190">
        <f>IF($B216&lt;$F$22,SUM($T$100:$T216),"")</f>
        <v>0</v>
      </c>
      <c r="AW216" s="190" t="str">
        <f t="shared" si="163"/>
        <v>-</v>
      </c>
      <c r="AX216" s="190" t="str">
        <f t="shared" si="142"/>
        <v/>
      </c>
      <c r="AY216"/>
      <c r="AZ216" s="190" t="str">
        <f ca="1">IF(ISNUMBER(OFFSET(AV216,-$F$21,0)),SUM(OFFSET($T$100,$F$21,0):$T216),"")</f>
        <v/>
      </c>
      <c r="BA216" s="190" t="str">
        <f t="shared" ca="1" si="164"/>
        <v/>
      </c>
      <c r="BB216" s="190" t="str">
        <f t="shared" ca="1" si="149"/>
        <v/>
      </c>
      <c r="BC216" s="190"/>
      <c r="BD216" s="190" t="str">
        <f ca="1">IFERROR(IF(AND($B216&gt;=($F$16-$F$15),$B216&lt;$F$22+($F$16-$F$15)),SUM(OFFSET($T$100,($F$16-$F$15),0):$T216),""),"")</f>
        <v/>
      </c>
      <c r="BE216" s="190" t="str">
        <f t="shared" ca="1" si="143"/>
        <v/>
      </c>
      <c r="BF216" s="190" t="str">
        <f t="shared" ca="1" si="144"/>
        <v/>
      </c>
      <c r="BG216"/>
      <c r="BH216" s="190" t="str">
        <f ca="1">IF(ISNUMBER(OFFSET(BD216,-$F$21,0)),SUM(OFFSET($T$100,($F$16-$F$15+$F$21),0):$T216),"")</f>
        <v/>
      </c>
      <c r="BI216" s="190" t="str">
        <f t="shared" ca="1" si="165"/>
        <v/>
      </c>
      <c r="BJ216" s="190" t="str">
        <f t="shared" ca="1" si="145"/>
        <v/>
      </c>
      <c r="BK216" s="190"/>
      <c r="BL216" s="190" t="str">
        <f ca="1">IFERROR(IF(AND($B216&gt;=($F$17-$F$15),$B216&lt;$F$22+($F$17-$F$15)),SUM(OFFSET($T$100,($F$17-$F$15),0):$T216),""),"")</f>
        <v/>
      </c>
      <c r="BM216" s="190" t="str">
        <f t="shared" ca="1" si="166"/>
        <v/>
      </c>
      <c r="BN216" s="190" t="str">
        <f t="shared" ca="1" si="146"/>
        <v/>
      </c>
      <c r="BO216"/>
      <c r="BP216" s="190" t="str">
        <f ca="1">IF(ISNUMBER(OFFSET(BL216,-$F$21,0)),SUM(OFFSET($T$100,($F$17-$F$15+$F$21),0):$T216),"")</f>
        <v/>
      </c>
      <c r="BQ216" s="190" t="str">
        <f t="shared" ca="1" si="167"/>
        <v/>
      </c>
      <c r="BR216" s="190" t="str">
        <f t="shared" ca="1" si="147"/>
        <v/>
      </c>
      <c r="BS216" s="190"/>
      <c r="BT216"/>
      <c r="BU216"/>
      <c r="BV216"/>
      <c r="BY216" s="99"/>
      <c r="BZ216" s="99"/>
      <c r="CA216" s="280" t="str">
        <f t="shared" si="168"/>
        <v/>
      </c>
      <c r="CB216" s="71" t="str">
        <f t="shared" si="123"/>
        <v>-</v>
      </c>
      <c r="CC216" s="33"/>
      <c r="CD216" s="261" t="str">
        <f t="shared" si="124"/>
        <v/>
      </c>
      <c r="CE216" s="280" t="str">
        <f t="shared" si="169"/>
        <v>-</v>
      </c>
      <c r="CF216" s="71" t="str">
        <f t="shared" ca="1" si="170"/>
        <v>-</v>
      </c>
      <c r="CG216" s="33" t="str">
        <f t="shared" si="127"/>
        <v>116-117</v>
      </c>
      <c r="CH216" s="261" t="str">
        <f t="shared" ca="1" si="128"/>
        <v/>
      </c>
    </row>
    <row r="217" spans="2:86" ht="13.5" customHeight="1" x14ac:dyDescent="0.2">
      <c r="B217" s="262">
        <v>117</v>
      </c>
      <c r="C217" s="237" t="str">
        <f t="shared" si="150"/>
        <v/>
      </c>
      <c r="D217" s="237" t="str">
        <f t="shared" si="148"/>
        <v>-</v>
      </c>
      <c r="E217" s="263" t="str">
        <f t="shared" si="129"/>
        <v/>
      </c>
      <c r="F217" s="264" t="str">
        <f t="shared" si="130"/>
        <v/>
      </c>
      <c r="G217" s="264" t="str">
        <f t="shared" si="131"/>
        <v/>
      </c>
      <c r="H217" s="240" t="str">
        <f t="shared" si="151"/>
        <v/>
      </c>
      <c r="I217" s="265" t="str">
        <f t="shared" si="152"/>
        <v/>
      </c>
      <c r="J217" s="265" t="str">
        <f t="shared" si="153"/>
        <v/>
      </c>
      <c r="K217" s="240" t="str">
        <f t="shared" si="154"/>
        <v/>
      </c>
      <c r="L217" s="265" t="str">
        <f t="shared" si="155"/>
        <v/>
      </c>
      <c r="M217" s="265" t="str">
        <f t="shared" si="156"/>
        <v/>
      </c>
      <c r="N217" s="240" t="str">
        <f t="shared" si="157"/>
        <v>-</v>
      </c>
      <c r="O217" s="265" t="str">
        <f t="shared" si="158"/>
        <v>-</v>
      </c>
      <c r="P217" s="265" t="str">
        <f t="shared" si="159"/>
        <v>-</v>
      </c>
      <c r="Q217" s="266" t="str">
        <f t="shared" si="160"/>
        <v>-</v>
      </c>
      <c r="R217" s="267" t="str">
        <f t="shared" si="161"/>
        <v>-</v>
      </c>
      <c r="S217" s="268" t="str">
        <f t="shared" si="162"/>
        <v>-</v>
      </c>
      <c r="T217" s="269" t="str">
        <f t="shared" si="105"/>
        <v/>
      </c>
      <c r="U217" s="221">
        <f t="shared" si="106"/>
        <v>117</v>
      </c>
      <c r="V217" s="220" t="str">
        <f t="shared" si="132"/>
        <v>-</v>
      </c>
      <c r="W217" s="221" t="str">
        <f t="shared" si="133"/>
        <v>-</v>
      </c>
      <c r="X217" s="221" t="str">
        <f t="shared" si="107"/>
        <v>-</v>
      </c>
      <c r="Y217" s="221" t="str">
        <f t="shared" si="108"/>
        <v>-</v>
      </c>
      <c r="Z217" s="270">
        <f t="shared" si="134"/>
        <v>0.1</v>
      </c>
      <c r="AA217" s="271" t="str">
        <f>IFERROR(IF(V216=1,AA$100*EXP(-(LN(2)/$D$65+0.04)*X216)*EXP(-(LN(2)/$D$65+0.1)*Y216),IF(V216=2,AA$100*EXP(-(LN(2)/$D$65+0.04)*(VLOOKUP(($F$16-$F$15)-1,U$99:Y216,4,FALSE)))*EXP(-(LN(2)/$D$65+0.1)*(VLOOKUP(($F$16-$F$15)-1,U$99:Y216,5,FALSE)))*EXP(-(LN(2)/$D$65+0.04)*X216)*EXP(-(LN(2)/$D$65+0.1)*Y216),IF(V216=3,AA$100*EXP(-(LN(2)/$D$65+0.04)*(VLOOKUP(($F$16-$F$15)-1,U$99:Y216,4,FALSE)))*EXP(-(LN(2)/$D$65+0.1)*(VLOOKUP(($F$16-$F$15)-1,U$99:Y216,5,FALSE)))*EXP(-(LN(2)/$D$65+0.04)*(VLOOKUP(($F$16-$F$15)*2-1,U$99:Y216,4,FALSE)))*EXP(-(LN(2)/$D$65+0.1)*(VLOOKUP(($F$16-$F$15)*2-1,U$99:Y216,5,FALSE)))*EXP(-(LN(2)/$D$65+0.04)*X216)*EXP(-(LN(2)/$D$65+0.1)*Y216),"-"))),"-")</f>
        <v>-</v>
      </c>
      <c r="AB217" s="271" t="str">
        <f>IFERROR(IF(V217=1,AB$100*EXP(-(LN(2)/$D$65+0.04)*X217)*EXP(-(LN(2)/$D$65+0.1)*Y217),IF(V217=2,AB$100*EXP(-(LN(2)/$D$65+0.04)*(VLOOKUP(($F$16-$F$15)-1,U$100:Y217,4,FALSE)))*EXP(-(LN(2)/$D$65+0.1)*(VLOOKUP(($F$16-$F$15)-1,U$100:Y217,5,FALSE)))*EXP(-(LN(2)/$D$65+0.04)*X217)*EXP(-(LN(2)/$D$65+0.1)*Y217),IF(V217=3,AB$100*EXP(-(LN(2)/$D$65+0.04)*(VLOOKUP(($F$16-$F$15)-1,U$100:Y217,4,FALSE)))*EXP(-(LN(2)/$D$65+0.1)*(VLOOKUP(($F$16-$F$15)-1,U$100:Y217,5,FALSE)))*EXP(-(LN(2)/$D$65+0.04)*(VLOOKUP(($F$16-$F$15)*2-1,U$100:Y217,4,FALSE)))*EXP(-(LN(2)/$D$65+0.1)*(VLOOKUP(($F$16-$F$15)*2-1,U$100:Y217,5,FALSE)))*EXP(-(LN(2)/$D$65+0.04)*X217)*EXP(-(LN(2)/$D$65+0.1)*Y217),"-"))),"-")</f>
        <v>-</v>
      </c>
      <c r="AC217" s="224">
        <f t="shared" si="135"/>
        <v>117</v>
      </c>
      <c r="AD217" s="223" t="str">
        <f t="shared" si="109"/>
        <v>-</v>
      </c>
      <c r="AE217" s="224" t="str">
        <f t="shared" si="136"/>
        <v>-</v>
      </c>
      <c r="AF217" s="224" t="str">
        <f t="shared" si="110"/>
        <v>-</v>
      </c>
      <c r="AG217" s="224" t="str">
        <f t="shared" si="111"/>
        <v>-</v>
      </c>
      <c r="AH217" s="272">
        <f t="shared" si="137"/>
        <v>0.1</v>
      </c>
      <c r="AI217" s="271" t="str">
        <f>IFERROR(IF(AD216=1,AI$100*EXP(-(LN(2)/$D$65+0.04)*AF216)*EXP(-(LN(2)/$D$65+0.1)*AG216),IF(AD216=2,AI$100*EXP(-(LN(2)/$D$65+0.04)*(VLOOKUP(($F$16-$F$15)-1,AC$99:AG216,4,FALSE)))*EXP(-(LN(2)/$D$65+0.1)*(VLOOKUP(($F$16-$F$15)-1,AC$99:AG216,5,FALSE)))*EXP(-(LN(2)/$D$65+0.04)*AF216)*EXP(-(LN(2)/$D$65+0.1)*AG216),IF(AD216=3,AI$100*EXP(-(LN(2)/$D$65+0.04)*(VLOOKUP(($F$16-$F$15)-1,AC$99:AG216,4,FALSE)))*EXP(-(LN(2)/$D$65+0.1)*(VLOOKUP(($F$16-$F$15)-1,AC$99:AG216,5,FALSE)))*EXP(-(LN(2)/$D$65+0.04)*(VLOOKUP(($F$16-$F$15)*2-1,AC$99:AG216,4,FALSE)))*EXP(-(LN(2)/$D$65+0.1)*(VLOOKUP(($F$16-$F$15)*2-1,AC$99:AG216,5,FALSE)))*EXP(-(LN(2)/$D$65+0.04)*AF216)*EXP(-(LN(2)/$D$65+0.1)*AG216),"-"))),"-")</f>
        <v>-</v>
      </c>
      <c r="AJ217" s="271" t="str">
        <f>IFERROR(IF(AD217=1,AJ$100*EXP(-(LN(2)/$D$65+0.04)*AF217)*EXP(-(LN(2)/$D$65+0.1)*AG217),IF(AD217=2,AJ$100*EXP(-(LN(2)/$D$65+0.04)*(VLOOKUP(($F$16-$F$15)-1,AC$100:AG217,4,FALSE)))*EXP(-(LN(2)/$D$65+0.1)*(VLOOKUP(($F$16-$F$15)-1,AC$100:AG217,5,FALSE)))*EXP(-(LN(2)/$D$65+0.04)*AF217)*EXP(-(LN(2)/$D$65+0.1)*AG217),IF(AD217=3,AJ$100*EXP(-(LN(2)/$D$65+0.04)*(VLOOKUP(($F$16-$F$15)-1,AC$100:AG217,4,FALSE)))*EXP(-(LN(2)/$D$65+0.1)*(VLOOKUP(($F$16-$F$15)-1,AC$100:AG217,5,FALSE)))*EXP(-(LN(2)/$D$65+0.04)*(VLOOKUP(($F$16-$F$15)*2-1,AC$100:AG217,4,FALSE)))*EXP(-(LN(2)/$D$65+0.1)*(VLOOKUP(($F$16-$F$15)*2-1,AC$100:AG217,5,FALSE)))*EXP(-(LN(2)/$D$65+0.04)*AF217)*EXP(-(LN(2)/$D$65+0.1)*AG217),"-"))),"-")</f>
        <v>-</v>
      </c>
      <c r="AK217" s="227">
        <f t="shared" si="138"/>
        <v>117</v>
      </c>
      <c r="AL217" s="226" t="str">
        <f t="shared" si="112"/>
        <v>-</v>
      </c>
      <c r="AM217" s="227" t="str">
        <f t="shared" si="139"/>
        <v>-</v>
      </c>
      <c r="AN217" s="227" t="str">
        <f t="shared" si="140"/>
        <v>-</v>
      </c>
      <c r="AO217" s="227" t="str">
        <f t="shared" si="113"/>
        <v>-</v>
      </c>
      <c r="AP217" s="273">
        <f t="shared" si="141"/>
        <v>0.1</v>
      </c>
      <c r="AQ217" s="271" t="str">
        <f>IFERROR(IF(AL216=1,AQ$100*EXP(-(LN(2)/$D$65+0.04)*AN216)*EXP(-(LN(2)/$D$65+0.1)*AO216),IF(AL216=2,AQ$100*EXP(-(LN(2)/$D$65+0.04)*(VLOOKUP(($F$16-$F$15)-1,AK$99:AO216,4,FALSE)))*EXP(-(LN(2)/$D$65+0.1)*(VLOOKUP(($F$16-$F$15)-1,AK$99:AO216,5,FALSE)))*EXP(-(LN(2)/$D$65+0.04)*AN216)*EXP(-(LN(2)/$D$65+0.1)*AO216),IF(AL216=3,AQ$100*EXP(-(LN(2)/$D$65+0.04)*(VLOOKUP(($F$16-$F$15)-1,AK$99:AO216,4,FALSE)))*EXP(-(LN(2)/$D$65+0.1)*(VLOOKUP(($F$16-$F$15)-1,AK$99:AO216,5,FALSE)))*EXP(-(LN(2)/$D$65+0.04)*(VLOOKUP(($F$16-$F$15)*2-1,AK$99:AO216,4,FALSE)))*EXP(-(LN(2)/$D$65+0.1)*(VLOOKUP(($F$16-$F$15)*2-1,AK$99:AO216,5,FALSE)))*EXP(-(LN(2)/$D$65+0.04)*AN216)*EXP(-(LN(2)/$D$65+0.1)*AO216),"-"))),"-")</f>
        <v>-</v>
      </c>
      <c r="AR217" s="271" t="str">
        <f>IFERROR(IF(AL217=1,AR$100*EXP(-(LN(2)/$D$65+0.04)*AN217)*EXP(-(LN(2)/$D$65+0.1)*AO217),IF(AL217=2,AR$100*EXP(-(LN(2)/$D$65+0.04)*(VLOOKUP(($F$16-$F$15)-1,AK$100:AO217,4,FALSE)))*EXP(-(LN(2)/$D$65+0.1)*(VLOOKUP(($F$16-$F$15)-1,AK$100:AO217,5,FALSE)))*EXP(-(LN(2)/$D$65+0.04)*AN217)*EXP(-(LN(2)/$D$65+0.1)*AO217),IF(AL217=3,AR$100*EXP(-(LN(2)/$D$65+0.04)*(VLOOKUP(($F$16-$F$15)-1,AK$100:AO217,4,FALSE)))*EXP(-(LN(2)/$D$65+0.1)*(VLOOKUP(($F$16-$F$15)-1,AK$100:AO217,5,FALSE)))*EXP(-(LN(2)/$D$65+0.04)*(VLOOKUP(($F$16-$F$15)*2-1,AK$100:AO217,4,FALSE)))*EXP(-(LN(2)/$D$65+0.1)*(VLOOKUP(($F$16-$F$15)*2-1,AK$100:AO217,5,FALSE)))*EXP(-(LN(2)/$D$65+0.04)*AN217)*EXP(-(LN(2)/$D$65+0.1)*AO217),"-"))),"-")</f>
        <v>-</v>
      </c>
      <c r="AS217" s="274">
        <f t="shared" si="114"/>
        <v>0</v>
      </c>
      <c r="AT217" s="274">
        <f t="shared" si="115"/>
        <v>0</v>
      </c>
      <c r="AU217" s="274">
        <f t="shared" si="116"/>
        <v>0</v>
      </c>
      <c r="AV217" s="190">
        <f>IF($B217&lt;$F$22,SUM($T$100:$T217),"")</f>
        <v>0</v>
      </c>
      <c r="AW217" s="190" t="str">
        <f t="shared" si="163"/>
        <v>-</v>
      </c>
      <c r="AX217" s="190" t="str">
        <f t="shared" si="142"/>
        <v/>
      </c>
      <c r="AY217"/>
      <c r="AZ217" s="190" t="str">
        <f ca="1">IF(ISNUMBER(OFFSET(AV217,-$F$21,0)),SUM(OFFSET($T$100,$F$21,0):$T217),"")</f>
        <v/>
      </c>
      <c r="BA217" s="190" t="str">
        <f t="shared" ca="1" si="164"/>
        <v/>
      </c>
      <c r="BB217" s="190" t="str">
        <f t="shared" ca="1" si="149"/>
        <v/>
      </c>
      <c r="BC217" s="190"/>
      <c r="BD217" s="190" t="str">
        <f ca="1">IFERROR(IF(AND($B217&gt;=($F$16-$F$15),$B217&lt;$F$22+($F$16-$F$15)),SUM(OFFSET($T$100,($F$16-$F$15),0):$T217),""),"")</f>
        <v/>
      </c>
      <c r="BE217" s="190" t="str">
        <f t="shared" ca="1" si="143"/>
        <v/>
      </c>
      <c r="BF217" s="190" t="str">
        <f t="shared" ca="1" si="144"/>
        <v/>
      </c>
      <c r="BG217"/>
      <c r="BH217" s="190" t="str">
        <f ca="1">IF(ISNUMBER(OFFSET(BD217,-$F$21,0)),SUM(OFFSET($T$100,($F$16-$F$15+$F$21),0):$T217),"")</f>
        <v/>
      </c>
      <c r="BI217" s="190" t="str">
        <f t="shared" ca="1" si="165"/>
        <v/>
      </c>
      <c r="BJ217" s="190" t="str">
        <f t="shared" ca="1" si="145"/>
        <v/>
      </c>
      <c r="BK217" s="190"/>
      <c r="BL217" s="190" t="str">
        <f ca="1">IFERROR(IF(AND($B217&gt;=($F$17-$F$15),$B217&lt;$F$22+($F$17-$F$15)),SUM(OFFSET($T$100,($F$17-$F$15),0):$T217),""),"")</f>
        <v/>
      </c>
      <c r="BM217" s="190" t="str">
        <f t="shared" ca="1" si="166"/>
        <v/>
      </c>
      <c r="BN217" s="190" t="str">
        <f t="shared" ca="1" si="146"/>
        <v/>
      </c>
      <c r="BO217"/>
      <c r="BP217" s="190" t="str">
        <f ca="1">IF(ISNUMBER(OFFSET(BL217,-$F$21,0)),SUM(OFFSET($T$100,($F$17-$F$15+$F$21),0):$T217),"")</f>
        <v/>
      </c>
      <c r="BQ217" s="190" t="str">
        <f t="shared" ca="1" si="167"/>
        <v/>
      </c>
      <c r="BR217" s="190" t="str">
        <f t="shared" ca="1" si="147"/>
        <v/>
      </c>
      <c r="BS217" s="190"/>
      <c r="BT217"/>
      <c r="BU217"/>
      <c r="BV217"/>
      <c r="BY217" s="99"/>
      <c r="BZ217" s="99"/>
      <c r="CA217" s="280" t="str">
        <f t="shared" si="168"/>
        <v/>
      </c>
      <c r="CB217" s="71" t="str">
        <f t="shared" si="123"/>
        <v>-</v>
      </c>
      <c r="CC217" s="33"/>
      <c r="CD217" s="261" t="str">
        <f t="shared" si="124"/>
        <v/>
      </c>
      <c r="CE217" s="280" t="str">
        <f t="shared" si="169"/>
        <v>-</v>
      </c>
      <c r="CF217" s="71" t="str">
        <f t="shared" ca="1" si="170"/>
        <v>-</v>
      </c>
      <c r="CG217" s="33" t="str">
        <f t="shared" si="127"/>
        <v>117-118</v>
      </c>
      <c r="CH217" s="261" t="str">
        <f t="shared" ca="1" si="128"/>
        <v/>
      </c>
    </row>
    <row r="218" spans="2:86" ht="13.5" customHeight="1" x14ac:dyDescent="0.2">
      <c r="B218" s="262">
        <v>118</v>
      </c>
      <c r="C218" s="237" t="str">
        <f t="shared" si="150"/>
        <v/>
      </c>
      <c r="D218" s="237" t="str">
        <f t="shared" si="148"/>
        <v>-</v>
      </c>
      <c r="E218" s="263" t="str">
        <f t="shared" si="129"/>
        <v/>
      </c>
      <c r="F218" s="264" t="str">
        <f t="shared" si="130"/>
        <v/>
      </c>
      <c r="G218" s="264" t="str">
        <f t="shared" si="131"/>
        <v/>
      </c>
      <c r="H218" s="240" t="str">
        <f t="shared" si="151"/>
        <v/>
      </c>
      <c r="I218" s="265" t="str">
        <f t="shared" si="152"/>
        <v/>
      </c>
      <c r="J218" s="265" t="str">
        <f t="shared" si="153"/>
        <v/>
      </c>
      <c r="K218" s="240" t="str">
        <f t="shared" si="154"/>
        <v/>
      </c>
      <c r="L218" s="265" t="str">
        <f t="shared" si="155"/>
        <v/>
      </c>
      <c r="M218" s="265" t="str">
        <f t="shared" si="156"/>
        <v/>
      </c>
      <c r="N218" s="240" t="str">
        <f t="shared" si="157"/>
        <v>-</v>
      </c>
      <c r="O218" s="265" t="str">
        <f t="shared" si="158"/>
        <v>-</v>
      </c>
      <c r="P218" s="265" t="str">
        <f t="shared" si="159"/>
        <v>-</v>
      </c>
      <c r="Q218" s="266" t="str">
        <f t="shared" si="160"/>
        <v>-</v>
      </c>
      <c r="R218" s="267" t="str">
        <f t="shared" si="161"/>
        <v>-</v>
      </c>
      <c r="S218" s="268" t="str">
        <f t="shared" si="162"/>
        <v>-</v>
      </c>
      <c r="T218" s="269" t="str">
        <f t="shared" si="105"/>
        <v/>
      </c>
      <c r="U218" s="221">
        <f t="shared" si="106"/>
        <v>118</v>
      </c>
      <c r="V218" s="220" t="str">
        <f t="shared" si="132"/>
        <v>-</v>
      </c>
      <c r="W218" s="221" t="str">
        <f t="shared" si="133"/>
        <v>-</v>
      </c>
      <c r="X218" s="221" t="str">
        <f t="shared" si="107"/>
        <v>-</v>
      </c>
      <c r="Y218" s="221" t="str">
        <f t="shared" si="108"/>
        <v>-</v>
      </c>
      <c r="Z218" s="270">
        <f t="shared" si="134"/>
        <v>0.1</v>
      </c>
      <c r="AA218" s="271" t="str">
        <f>IFERROR(IF(V217=1,AA$100*EXP(-(LN(2)/$D$65+0.04)*X217)*EXP(-(LN(2)/$D$65+0.1)*Y217),IF(V217=2,AA$100*EXP(-(LN(2)/$D$65+0.04)*(VLOOKUP(($F$16-$F$15)-1,U$99:Y217,4,FALSE)))*EXP(-(LN(2)/$D$65+0.1)*(VLOOKUP(($F$16-$F$15)-1,U$99:Y217,5,FALSE)))*EXP(-(LN(2)/$D$65+0.04)*X217)*EXP(-(LN(2)/$D$65+0.1)*Y217),IF(V217=3,AA$100*EXP(-(LN(2)/$D$65+0.04)*(VLOOKUP(($F$16-$F$15)-1,U$99:Y217,4,FALSE)))*EXP(-(LN(2)/$D$65+0.1)*(VLOOKUP(($F$16-$F$15)-1,U$99:Y217,5,FALSE)))*EXP(-(LN(2)/$D$65+0.04)*(VLOOKUP(($F$16-$F$15)*2-1,U$99:Y217,4,FALSE)))*EXP(-(LN(2)/$D$65+0.1)*(VLOOKUP(($F$16-$F$15)*2-1,U$99:Y217,5,FALSE)))*EXP(-(LN(2)/$D$65+0.04)*X217)*EXP(-(LN(2)/$D$65+0.1)*Y217),"-"))),"-")</f>
        <v>-</v>
      </c>
      <c r="AB218" s="271" t="str">
        <f>IFERROR(IF(V218=1,AB$100*EXP(-(LN(2)/$D$65+0.04)*X218)*EXP(-(LN(2)/$D$65+0.1)*Y218),IF(V218=2,AB$100*EXP(-(LN(2)/$D$65+0.04)*(VLOOKUP(($F$16-$F$15)-1,U$100:Y218,4,FALSE)))*EXP(-(LN(2)/$D$65+0.1)*(VLOOKUP(($F$16-$F$15)-1,U$100:Y218,5,FALSE)))*EXP(-(LN(2)/$D$65+0.04)*X218)*EXP(-(LN(2)/$D$65+0.1)*Y218),IF(V218=3,AB$100*EXP(-(LN(2)/$D$65+0.04)*(VLOOKUP(($F$16-$F$15)-1,U$100:Y218,4,FALSE)))*EXP(-(LN(2)/$D$65+0.1)*(VLOOKUP(($F$16-$F$15)-1,U$100:Y218,5,FALSE)))*EXP(-(LN(2)/$D$65+0.04)*(VLOOKUP(($F$16-$F$15)*2-1,U$100:Y218,4,FALSE)))*EXP(-(LN(2)/$D$65+0.1)*(VLOOKUP(($F$16-$F$15)*2-1,U$100:Y218,5,FALSE)))*EXP(-(LN(2)/$D$65+0.04)*X218)*EXP(-(LN(2)/$D$65+0.1)*Y218),"-"))),"-")</f>
        <v>-</v>
      </c>
      <c r="AC218" s="224">
        <f t="shared" si="135"/>
        <v>118</v>
      </c>
      <c r="AD218" s="223" t="str">
        <f t="shared" si="109"/>
        <v>-</v>
      </c>
      <c r="AE218" s="224" t="str">
        <f t="shared" si="136"/>
        <v>-</v>
      </c>
      <c r="AF218" s="224" t="str">
        <f t="shared" si="110"/>
        <v>-</v>
      </c>
      <c r="AG218" s="224" t="str">
        <f t="shared" si="111"/>
        <v>-</v>
      </c>
      <c r="AH218" s="272">
        <f t="shared" si="137"/>
        <v>0.1</v>
      </c>
      <c r="AI218" s="271" t="str">
        <f>IFERROR(IF(AD217=1,AI$100*EXP(-(LN(2)/$D$65+0.04)*AF217)*EXP(-(LN(2)/$D$65+0.1)*AG217),IF(AD217=2,AI$100*EXP(-(LN(2)/$D$65+0.04)*(VLOOKUP(($F$16-$F$15)-1,AC$99:AG217,4,FALSE)))*EXP(-(LN(2)/$D$65+0.1)*(VLOOKUP(($F$16-$F$15)-1,AC$99:AG217,5,FALSE)))*EXP(-(LN(2)/$D$65+0.04)*AF217)*EXP(-(LN(2)/$D$65+0.1)*AG217),IF(AD217=3,AI$100*EXP(-(LN(2)/$D$65+0.04)*(VLOOKUP(($F$16-$F$15)-1,AC$99:AG217,4,FALSE)))*EXP(-(LN(2)/$D$65+0.1)*(VLOOKUP(($F$16-$F$15)-1,AC$99:AG217,5,FALSE)))*EXP(-(LN(2)/$D$65+0.04)*(VLOOKUP(($F$16-$F$15)*2-1,AC$99:AG217,4,FALSE)))*EXP(-(LN(2)/$D$65+0.1)*(VLOOKUP(($F$16-$F$15)*2-1,AC$99:AG217,5,FALSE)))*EXP(-(LN(2)/$D$65+0.04)*AF217)*EXP(-(LN(2)/$D$65+0.1)*AG217),"-"))),"-")</f>
        <v>-</v>
      </c>
      <c r="AJ218" s="271" t="str">
        <f>IFERROR(IF(AD218=1,AJ$100*EXP(-(LN(2)/$D$65+0.04)*AF218)*EXP(-(LN(2)/$D$65+0.1)*AG218),IF(AD218=2,AJ$100*EXP(-(LN(2)/$D$65+0.04)*(VLOOKUP(($F$16-$F$15)-1,AC$100:AG218,4,FALSE)))*EXP(-(LN(2)/$D$65+0.1)*(VLOOKUP(($F$16-$F$15)-1,AC$100:AG218,5,FALSE)))*EXP(-(LN(2)/$D$65+0.04)*AF218)*EXP(-(LN(2)/$D$65+0.1)*AG218),IF(AD218=3,AJ$100*EXP(-(LN(2)/$D$65+0.04)*(VLOOKUP(($F$16-$F$15)-1,AC$100:AG218,4,FALSE)))*EXP(-(LN(2)/$D$65+0.1)*(VLOOKUP(($F$16-$F$15)-1,AC$100:AG218,5,FALSE)))*EXP(-(LN(2)/$D$65+0.04)*(VLOOKUP(($F$16-$F$15)*2-1,AC$100:AG218,4,FALSE)))*EXP(-(LN(2)/$D$65+0.1)*(VLOOKUP(($F$16-$F$15)*2-1,AC$100:AG218,5,FALSE)))*EXP(-(LN(2)/$D$65+0.04)*AF218)*EXP(-(LN(2)/$D$65+0.1)*AG218),"-"))),"-")</f>
        <v>-</v>
      </c>
      <c r="AK218" s="227">
        <f t="shared" si="138"/>
        <v>118</v>
      </c>
      <c r="AL218" s="226" t="str">
        <f t="shared" si="112"/>
        <v>-</v>
      </c>
      <c r="AM218" s="227" t="str">
        <f t="shared" si="139"/>
        <v>-</v>
      </c>
      <c r="AN218" s="227" t="str">
        <f t="shared" si="140"/>
        <v>-</v>
      </c>
      <c r="AO218" s="227" t="str">
        <f t="shared" si="113"/>
        <v>-</v>
      </c>
      <c r="AP218" s="273">
        <f t="shared" si="141"/>
        <v>0.1</v>
      </c>
      <c r="AQ218" s="271" t="str">
        <f>IFERROR(IF(AL217=1,AQ$100*EXP(-(LN(2)/$D$65+0.04)*AN217)*EXP(-(LN(2)/$D$65+0.1)*AO217),IF(AL217=2,AQ$100*EXP(-(LN(2)/$D$65+0.04)*(VLOOKUP(($F$16-$F$15)-1,AK$99:AO217,4,FALSE)))*EXP(-(LN(2)/$D$65+0.1)*(VLOOKUP(($F$16-$F$15)-1,AK$99:AO217,5,FALSE)))*EXP(-(LN(2)/$D$65+0.04)*AN217)*EXP(-(LN(2)/$D$65+0.1)*AO217),IF(AL217=3,AQ$100*EXP(-(LN(2)/$D$65+0.04)*(VLOOKUP(($F$16-$F$15)-1,AK$99:AO217,4,FALSE)))*EXP(-(LN(2)/$D$65+0.1)*(VLOOKUP(($F$16-$F$15)-1,AK$99:AO217,5,FALSE)))*EXP(-(LN(2)/$D$65+0.04)*(VLOOKUP(($F$16-$F$15)*2-1,AK$99:AO217,4,FALSE)))*EXP(-(LN(2)/$D$65+0.1)*(VLOOKUP(($F$16-$F$15)*2-1,AK$99:AO217,5,FALSE)))*EXP(-(LN(2)/$D$65+0.04)*AN217)*EXP(-(LN(2)/$D$65+0.1)*AO217),"-"))),"-")</f>
        <v>-</v>
      </c>
      <c r="AR218" s="271" t="str">
        <f>IFERROR(IF(AL218=1,AR$100*EXP(-(LN(2)/$D$65+0.04)*AN218)*EXP(-(LN(2)/$D$65+0.1)*AO218),IF(AL218=2,AR$100*EXP(-(LN(2)/$D$65+0.04)*(VLOOKUP(($F$16-$F$15)-1,AK$100:AO218,4,FALSE)))*EXP(-(LN(2)/$D$65+0.1)*(VLOOKUP(($F$16-$F$15)-1,AK$100:AO218,5,FALSE)))*EXP(-(LN(2)/$D$65+0.04)*AN218)*EXP(-(LN(2)/$D$65+0.1)*AO218),IF(AL218=3,AR$100*EXP(-(LN(2)/$D$65+0.04)*(VLOOKUP(($F$16-$F$15)-1,AK$100:AO218,4,FALSE)))*EXP(-(LN(2)/$D$65+0.1)*(VLOOKUP(($F$16-$F$15)-1,AK$100:AO218,5,FALSE)))*EXP(-(LN(2)/$D$65+0.04)*(VLOOKUP(($F$16-$F$15)*2-1,AK$100:AO218,4,FALSE)))*EXP(-(LN(2)/$D$65+0.1)*(VLOOKUP(($F$16-$F$15)*2-1,AK$100:AO218,5,FALSE)))*EXP(-(LN(2)/$D$65+0.04)*AN218)*EXP(-(LN(2)/$D$65+0.1)*AO218),"-"))),"-")</f>
        <v>-</v>
      </c>
      <c r="AS218" s="274">
        <f t="shared" si="114"/>
        <v>0</v>
      </c>
      <c r="AT218" s="274">
        <f t="shared" si="115"/>
        <v>0</v>
      </c>
      <c r="AU218" s="274">
        <f t="shared" si="116"/>
        <v>0</v>
      </c>
      <c r="AV218" s="190">
        <f>IF($B218&lt;$F$22,SUM($T$100:$T218),"")</f>
        <v>0</v>
      </c>
      <c r="AW218" s="190" t="str">
        <f t="shared" si="163"/>
        <v>-</v>
      </c>
      <c r="AX218" s="190" t="str">
        <f t="shared" si="142"/>
        <v/>
      </c>
      <c r="AY218"/>
      <c r="AZ218" s="190" t="str">
        <f ca="1">IF(ISNUMBER(OFFSET(AV218,-$F$21,0)),SUM(OFFSET($T$100,$F$21,0):$T218),"")</f>
        <v/>
      </c>
      <c r="BA218" s="190" t="str">
        <f t="shared" ca="1" si="164"/>
        <v/>
      </c>
      <c r="BB218" s="190" t="str">
        <f t="shared" ca="1" si="149"/>
        <v/>
      </c>
      <c r="BC218" s="190"/>
      <c r="BD218" s="190" t="str">
        <f ca="1">IFERROR(IF(AND($B218&gt;=($F$16-$F$15),$B218&lt;$F$22+($F$16-$F$15)),SUM(OFFSET($T$100,($F$16-$F$15),0):$T218),""),"")</f>
        <v/>
      </c>
      <c r="BE218" s="190" t="str">
        <f t="shared" ca="1" si="143"/>
        <v/>
      </c>
      <c r="BF218" s="190" t="str">
        <f t="shared" ca="1" si="144"/>
        <v/>
      </c>
      <c r="BG218"/>
      <c r="BH218" s="190" t="str">
        <f ca="1">IF(ISNUMBER(OFFSET(BD218,-$F$21,0)),SUM(OFFSET($T$100,($F$16-$F$15+$F$21),0):$T218),"")</f>
        <v/>
      </c>
      <c r="BI218" s="190" t="str">
        <f t="shared" ca="1" si="165"/>
        <v/>
      </c>
      <c r="BJ218" s="190" t="str">
        <f t="shared" ca="1" si="145"/>
        <v/>
      </c>
      <c r="BK218" s="190"/>
      <c r="BL218" s="190" t="str">
        <f ca="1">IFERROR(IF(AND($B218&gt;=($F$17-$F$15),$B218&lt;$F$22+($F$17-$F$15)),SUM(OFFSET($T$100,($F$17-$F$15),0):$T218),""),"")</f>
        <v/>
      </c>
      <c r="BM218" s="190" t="str">
        <f t="shared" ca="1" si="166"/>
        <v/>
      </c>
      <c r="BN218" s="190" t="str">
        <f t="shared" ca="1" si="146"/>
        <v/>
      </c>
      <c r="BO218"/>
      <c r="BP218" s="190" t="str">
        <f ca="1">IF(ISNUMBER(OFFSET(BL218,-$F$21,0)),SUM(OFFSET($T$100,($F$17-$F$15+$F$21),0):$T218),"")</f>
        <v/>
      </c>
      <c r="BQ218" s="190" t="str">
        <f t="shared" ca="1" si="167"/>
        <v/>
      </c>
      <c r="BR218" s="190" t="str">
        <f t="shared" ca="1" si="147"/>
        <v/>
      </c>
      <c r="BS218" s="190"/>
      <c r="BT218"/>
      <c r="BU218"/>
      <c r="BV218"/>
      <c r="BY218" s="99"/>
      <c r="BZ218" s="99"/>
      <c r="CA218" s="280" t="str">
        <f t="shared" si="168"/>
        <v/>
      </c>
      <c r="CB218" s="71" t="str">
        <f t="shared" si="123"/>
        <v>-</v>
      </c>
      <c r="CC218" s="33"/>
      <c r="CD218" s="261" t="str">
        <f t="shared" si="124"/>
        <v/>
      </c>
      <c r="CE218" s="280" t="str">
        <f t="shared" si="169"/>
        <v>-</v>
      </c>
      <c r="CF218" s="71" t="str">
        <f t="shared" ca="1" si="170"/>
        <v>-</v>
      </c>
      <c r="CG218" s="33" t="str">
        <f t="shared" si="127"/>
        <v>118-119</v>
      </c>
      <c r="CH218" s="261" t="str">
        <f t="shared" ca="1" si="128"/>
        <v/>
      </c>
    </row>
    <row r="219" spans="2:86" ht="13.5" customHeight="1" x14ac:dyDescent="0.2">
      <c r="B219" s="262">
        <v>119</v>
      </c>
      <c r="C219" s="237" t="str">
        <f t="shared" si="150"/>
        <v/>
      </c>
      <c r="D219" s="237" t="str">
        <f t="shared" si="148"/>
        <v>-</v>
      </c>
      <c r="E219" s="263" t="str">
        <f t="shared" si="129"/>
        <v/>
      </c>
      <c r="F219" s="264" t="str">
        <f t="shared" si="130"/>
        <v/>
      </c>
      <c r="G219" s="264" t="str">
        <f t="shared" si="131"/>
        <v/>
      </c>
      <c r="H219" s="240" t="str">
        <f t="shared" si="151"/>
        <v/>
      </c>
      <c r="I219" s="265" t="str">
        <f t="shared" si="152"/>
        <v/>
      </c>
      <c r="J219" s="265" t="str">
        <f t="shared" si="153"/>
        <v/>
      </c>
      <c r="K219" s="240" t="str">
        <f t="shared" si="154"/>
        <v/>
      </c>
      <c r="L219" s="265" t="str">
        <f t="shared" si="155"/>
        <v/>
      </c>
      <c r="M219" s="265" t="str">
        <f t="shared" si="156"/>
        <v/>
      </c>
      <c r="N219" s="240" t="str">
        <f t="shared" si="157"/>
        <v>-</v>
      </c>
      <c r="O219" s="265" t="str">
        <f t="shared" si="158"/>
        <v>-</v>
      </c>
      <c r="P219" s="265" t="str">
        <f t="shared" si="159"/>
        <v>-</v>
      </c>
      <c r="Q219" s="266" t="str">
        <f t="shared" si="160"/>
        <v>-</v>
      </c>
      <c r="R219" s="267" t="str">
        <f t="shared" si="161"/>
        <v>-</v>
      </c>
      <c r="S219" s="268" t="str">
        <f t="shared" si="162"/>
        <v>-</v>
      </c>
      <c r="T219" s="269" t="str">
        <f t="shared" si="105"/>
        <v/>
      </c>
      <c r="U219" s="221">
        <f t="shared" si="106"/>
        <v>119</v>
      </c>
      <c r="V219" s="220" t="str">
        <f t="shared" si="132"/>
        <v>-</v>
      </c>
      <c r="W219" s="221" t="str">
        <f t="shared" si="133"/>
        <v>-</v>
      </c>
      <c r="X219" s="221" t="str">
        <f t="shared" si="107"/>
        <v>-</v>
      </c>
      <c r="Y219" s="221" t="str">
        <f t="shared" si="108"/>
        <v>-</v>
      </c>
      <c r="Z219" s="270">
        <f t="shared" si="134"/>
        <v>0.1</v>
      </c>
      <c r="AA219" s="271" t="str">
        <f>IFERROR(IF(V218=1,AA$100*EXP(-(LN(2)/$D$65+0.04)*X218)*EXP(-(LN(2)/$D$65+0.1)*Y218),IF(V218=2,AA$100*EXP(-(LN(2)/$D$65+0.04)*(VLOOKUP(($F$16-$F$15)-1,U$99:Y218,4,FALSE)))*EXP(-(LN(2)/$D$65+0.1)*(VLOOKUP(($F$16-$F$15)-1,U$99:Y218,5,FALSE)))*EXP(-(LN(2)/$D$65+0.04)*X218)*EXP(-(LN(2)/$D$65+0.1)*Y218),IF(V218=3,AA$100*EXP(-(LN(2)/$D$65+0.04)*(VLOOKUP(($F$16-$F$15)-1,U$99:Y218,4,FALSE)))*EXP(-(LN(2)/$D$65+0.1)*(VLOOKUP(($F$16-$F$15)-1,U$99:Y218,5,FALSE)))*EXP(-(LN(2)/$D$65+0.04)*(VLOOKUP(($F$16-$F$15)*2-1,U$99:Y218,4,FALSE)))*EXP(-(LN(2)/$D$65+0.1)*(VLOOKUP(($F$16-$F$15)*2-1,U$99:Y218,5,FALSE)))*EXP(-(LN(2)/$D$65+0.04)*X218)*EXP(-(LN(2)/$D$65+0.1)*Y218),"-"))),"-")</f>
        <v>-</v>
      </c>
      <c r="AB219" s="271" t="str">
        <f>IFERROR(IF(V219=1,AB$100*EXP(-(LN(2)/$D$65+0.04)*X219)*EXP(-(LN(2)/$D$65+0.1)*Y219),IF(V219=2,AB$100*EXP(-(LN(2)/$D$65+0.04)*(VLOOKUP(($F$16-$F$15)-1,U$100:Y219,4,FALSE)))*EXP(-(LN(2)/$D$65+0.1)*(VLOOKUP(($F$16-$F$15)-1,U$100:Y219,5,FALSE)))*EXP(-(LN(2)/$D$65+0.04)*X219)*EXP(-(LN(2)/$D$65+0.1)*Y219),IF(V219=3,AB$100*EXP(-(LN(2)/$D$65+0.04)*(VLOOKUP(($F$16-$F$15)-1,U$100:Y219,4,FALSE)))*EXP(-(LN(2)/$D$65+0.1)*(VLOOKUP(($F$16-$F$15)-1,U$100:Y219,5,FALSE)))*EXP(-(LN(2)/$D$65+0.04)*(VLOOKUP(($F$16-$F$15)*2-1,U$100:Y219,4,FALSE)))*EXP(-(LN(2)/$D$65+0.1)*(VLOOKUP(($F$16-$F$15)*2-1,U$100:Y219,5,FALSE)))*EXP(-(LN(2)/$D$65+0.04)*X219)*EXP(-(LN(2)/$D$65+0.1)*Y219),"-"))),"-")</f>
        <v>-</v>
      </c>
      <c r="AC219" s="224">
        <f t="shared" si="135"/>
        <v>119</v>
      </c>
      <c r="AD219" s="223" t="str">
        <f t="shared" si="109"/>
        <v>-</v>
      </c>
      <c r="AE219" s="224" t="str">
        <f t="shared" si="136"/>
        <v>-</v>
      </c>
      <c r="AF219" s="224" t="str">
        <f t="shared" si="110"/>
        <v>-</v>
      </c>
      <c r="AG219" s="224" t="str">
        <f t="shared" si="111"/>
        <v>-</v>
      </c>
      <c r="AH219" s="272">
        <f t="shared" si="137"/>
        <v>0.1</v>
      </c>
      <c r="AI219" s="271" t="str">
        <f>IFERROR(IF(AD218=1,AI$100*EXP(-(LN(2)/$D$65+0.04)*AF218)*EXP(-(LN(2)/$D$65+0.1)*AG218),IF(AD218=2,AI$100*EXP(-(LN(2)/$D$65+0.04)*(VLOOKUP(($F$16-$F$15)-1,AC$99:AG218,4,FALSE)))*EXP(-(LN(2)/$D$65+0.1)*(VLOOKUP(($F$16-$F$15)-1,AC$99:AG218,5,FALSE)))*EXP(-(LN(2)/$D$65+0.04)*AF218)*EXP(-(LN(2)/$D$65+0.1)*AG218),IF(AD218=3,AI$100*EXP(-(LN(2)/$D$65+0.04)*(VLOOKUP(($F$16-$F$15)-1,AC$99:AG218,4,FALSE)))*EXP(-(LN(2)/$D$65+0.1)*(VLOOKUP(($F$16-$F$15)-1,AC$99:AG218,5,FALSE)))*EXP(-(LN(2)/$D$65+0.04)*(VLOOKUP(($F$16-$F$15)*2-1,AC$99:AG218,4,FALSE)))*EXP(-(LN(2)/$D$65+0.1)*(VLOOKUP(($F$16-$F$15)*2-1,AC$99:AG218,5,FALSE)))*EXP(-(LN(2)/$D$65+0.04)*AF218)*EXP(-(LN(2)/$D$65+0.1)*AG218),"-"))),"-")</f>
        <v>-</v>
      </c>
      <c r="AJ219" s="271" t="str">
        <f>IFERROR(IF(AD219=1,AJ$100*EXP(-(LN(2)/$D$65+0.04)*AF219)*EXP(-(LN(2)/$D$65+0.1)*AG219),IF(AD219=2,AJ$100*EXP(-(LN(2)/$D$65+0.04)*(VLOOKUP(($F$16-$F$15)-1,AC$100:AG219,4,FALSE)))*EXP(-(LN(2)/$D$65+0.1)*(VLOOKUP(($F$16-$F$15)-1,AC$100:AG219,5,FALSE)))*EXP(-(LN(2)/$D$65+0.04)*AF219)*EXP(-(LN(2)/$D$65+0.1)*AG219),IF(AD219=3,AJ$100*EXP(-(LN(2)/$D$65+0.04)*(VLOOKUP(($F$16-$F$15)-1,AC$100:AG219,4,FALSE)))*EXP(-(LN(2)/$D$65+0.1)*(VLOOKUP(($F$16-$F$15)-1,AC$100:AG219,5,FALSE)))*EXP(-(LN(2)/$D$65+0.04)*(VLOOKUP(($F$16-$F$15)*2-1,AC$100:AG219,4,FALSE)))*EXP(-(LN(2)/$D$65+0.1)*(VLOOKUP(($F$16-$F$15)*2-1,AC$100:AG219,5,FALSE)))*EXP(-(LN(2)/$D$65+0.04)*AF219)*EXP(-(LN(2)/$D$65+0.1)*AG219),"-"))),"-")</f>
        <v>-</v>
      </c>
      <c r="AK219" s="227">
        <f t="shared" si="138"/>
        <v>119</v>
      </c>
      <c r="AL219" s="226" t="str">
        <f t="shared" si="112"/>
        <v>-</v>
      </c>
      <c r="AM219" s="227" t="str">
        <f t="shared" si="139"/>
        <v>-</v>
      </c>
      <c r="AN219" s="227" t="str">
        <f t="shared" si="140"/>
        <v>-</v>
      </c>
      <c r="AO219" s="227" t="str">
        <f t="shared" si="113"/>
        <v>-</v>
      </c>
      <c r="AP219" s="273">
        <f t="shared" si="141"/>
        <v>0.1</v>
      </c>
      <c r="AQ219" s="271" t="str">
        <f>IFERROR(IF(AL218=1,AQ$100*EXP(-(LN(2)/$D$65+0.04)*AN218)*EXP(-(LN(2)/$D$65+0.1)*AO218),IF(AL218=2,AQ$100*EXP(-(LN(2)/$D$65+0.04)*(VLOOKUP(($F$16-$F$15)-1,AK$99:AO218,4,FALSE)))*EXP(-(LN(2)/$D$65+0.1)*(VLOOKUP(($F$16-$F$15)-1,AK$99:AO218,5,FALSE)))*EXP(-(LN(2)/$D$65+0.04)*AN218)*EXP(-(LN(2)/$D$65+0.1)*AO218),IF(AL218=3,AQ$100*EXP(-(LN(2)/$D$65+0.04)*(VLOOKUP(($F$16-$F$15)-1,AK$99:AO218,4,FALSE)))*EXP(-(LN(2)/$D$65+0.1)*(VLOOKUP(($F$16-$F$15)-1,AK$99:AO218,5,FALSE)))*EXP(-(LN(2)/$D$65+0.04)*(VLOOKUP(($F$16-$F$15)*2-1,AK$99:AO218,4,FALSE)))*EXP(-(LN(2)/$D$65+0.1)*(VLOOKUP(($F$16-$F$15)*2-1,AK$99:AO218,5,FALSE)))*EXP(-(LN(2)/$D$65+0.04)*AN218)*EXP(-(LN(2)/$D$65+0.1)*AO218),"-"))),"-")</f>
        <v>-</v>
      </c>
      <c r="AR219" s="271" t="str">
        <f>IFERROR(IF(AL219=1,AR$100*EXP(-(LN(2)/$D$65+0.04)*AN219)*EXP(-(LN(2)/$D$65+0.1)*AO219),IF(AL219=2,AR$100*EXP(-(LN(2)/$D$65+0.04)*(VLOOKUP(($F$16-$F$15)-1,AK$100:AO219,4,FALSE)))*EXP(-(LN(2)/$D$65+0.1)*(VLOOKUP(($F$16-$F$15)-1,AK$100:AO219,5,FALSE)))*EXP(-(LN(2)/$D$65+0.04)*AN219)*EXP(-(LN(2)/$D$65+0.1)*AO219),IF(AL219=3,AR$100*EXP(-(LN(2)/$D$65+0.04)*(VLOOKUP(($F$16-$F$15)-1,AK$100:AO219,4,FALSE)))*EXP(-(LN(2)/$D$65+0.1)*(VLOOKUP(($F$16-$F$15)-1,AK$100:AO219,5,FALSE)))*EXP(-(LN(2)/$D$65+0.04)*(VLOOKUP(($F$16-$F$15)*2-1,AK$100:AO219,4,FALSE)))*EXP(-(LN(2)/$D$65+0.1)*(VLOOKUP(($F$16-$F$15)*2-1,AK$100:AO219,5,FALSE)))*EXP(-(LN(2)/$D$65+0.04)*AN219)*EXP(-(LN(2)/$D$65+0.1)*AO219),"-"))),"-")</f>
        <v>-</v>
      </c>
      <c r="AS219" s="274">
        <f t="shared" si="114"/>
        <v>0</v>
      </c>
      <c r="AT219" s="274">
        <f t="shared" si="115"/>
        <v>0</v>
      </c>
      <c r="AU219" s="274">
        <f t="shared" si="116"/>
        <v>0</v>
      </c>
      <c r="AV219" s="190">
        <f>IF($B219&lt;$F$22,SUM($T$100:$T219),"")</f>
        <v>0</v>
      </c>
      <c r="AW219" s="190" t="str">
        <f t="shared" si="163"/>
        <v>-</v>
      </c>
      <c r="AX219" s="190" t="str">
        <f t="shared" si="142"/>
        <v/>
      </c>
      <c r="AY219"/>
      <c r="AZ219" s="190" t="str">
        <f ca="1">IF(ISNUMBER(OFFSET(AV219,-$F$21,0)),SUM(OFFSET($T$100,$F$21,0):$T219),"")</f>
        <v/>
      </c>
      <c r="BA219" s="190" t="str">
        <f t="shared" ca="1" si="164"/>
        <v/>
      </c>
      <c r="BB219" s="190" t="str">
        <f t="shared" ca="1" si="149"/>
        <v/>
      </c>
      <c r="BC219" s="190"/>
      <c r="BD219" s="190" t="str">
        <f ca="1">IFERROR(IF(AND($B219&gt;=($F$16-$F$15),$B219&lt;$F$22+($F$16-$F$15)),SUM(OFFSET($T$100,($F$16-$F$15),0):$T219),""),"")</f>
        <v/>
      </c>
      <c r="BE219" s="190" t="str">
        <f t="shared" ca="1" si="143"/>
        <v/>
      </c>
      <c r="BF219" s="190" t="str">
        <f t="shared" ca="1" si="144"/>
        <v/>
      </c>
      <c r="BG219"/>
      <c r="BH219" s="190" t="str">
        <f ca="1">IF(ISNUMBER(OFFSET(BD219,-$F$21,0)),SUM(OFFSET($T$100,($F$16-$F$15+$F$21),0):$T219),"")</f>
        <v/>
      </c>
      <c r="BI219" s="190" t="str">
        <f t="shared" ca="1" si="165"/>
        <v/>
      </c>
      <c r="BJ219" s="190" t="str">
        <f t="shared" ca="1" si="145"/>
        <v/>
      </c>
      <c r="BK219" s="190"/>
      <c r="BL219" s="190" t="str">
        <f ca="1">IFERROR(IF(AND($B219&gt;=($F$17-$F$15),$B219&lt;$F$22+($F$17-$F$15)),SUM(OFFSET($T$100,($F$17-$F$15),0):$T219),""),"")</f>
        <v/>
      </c>
      <c r="BM219" s="190" t="str">
        <f t="shared" ca="1" si="166"/>
        <v/>
      </c>
      <c r="BN219" s="190" t="str">
        <f t="shared" ca="1" si="146"/>
        <v/>
      </c>
      <c r="BO219"/>
      <c r="BP219" s="190" t="str">
        <f ca="1">IF(ISNUMBER(OFFSET(BL219,-$F$21,0)),SUM(OFFSET($T$100,($F$17-$F$15+$F$21),0):$T219),"")</f>
        <v/>
      </c>
      <c r="BQ219" s="190" t="str">
        <f t="shared" ca="1" si="167"/>
        <v/>
      </c>
      <c r="BR219" s="190" t="str">
        <f t="shared" ca="1" si="147"/>
        <v/>
      </c>
      <c r="BS219" s="190"/>
      <c r="BT219"/>
      <c r="BU219"/>
      <c r="BV219"/>
      <c r="BY219" s="99"/>
      <c r="BZ219" s="99"/>
      <c r="CA219" s="280" t="str">
        <f t="shared" si="168"/>
        <v/>
      </c>
      <c r="CB219" s="71" t="str">
        <f t="shared" si="123"/>
        <v>-</v>
      </c>
      <c r="CC219" s="33"/>
      <c r="CD219" s="261" t="str">
        <f t="shared" si="124"/>
        <v/>
      </c>
      <c r="CE219" s="280" t="str">
        <f t="shared" si="169"/>
        <v>-</v>
      </c>
      <c r="CF219" s="71" t="str">
        <f t="shared" ca="1" si="170"/>
        <v>-</v>
      </c>
      <c r="CG219" s="33" t="str">
        <f t="shared" si="127"/>
        <v>119-120</v>
      </c>
      <c r="CH219" s="261" t="str">
        <f t="shared" ca="1" si="128"/>
        <v/>
      </c>
    </row>
    <row r="220" spans="2:86" ht="13.5" customHeight="1" x14ac:dyDescent="0.2">
      <c r="B220" s="262">
        <v>120</v>
      </c>
      <c r="C220" s="237" t="str">
        <f t="shared" si="150"/>
        <v/>
      </c>
      <c r="D220" s="237" t="str">
        <f t="shared" si="148"/>
        <v>-</v>
      </c>
      <c r="E220" s="263" t="str">
        <f t="shared" si="129"/>
        <v/>
      </c>
      <c r="F220" s="264" t="str">
        <f t="shared" si="130"/>
        <v/>
      </c>
      <c r="G220" s="264" t="str">
        <f t="shared" si="131"/>
        <v/>
      </c>
      <c r="H220" s="240" t="str">
        <f t="shared" si="151"/>
        <v/>
      </c>
      <c r="I220" s="265" t="str">
        <f t="shared" si="152"/>
        <v/>
      </c>
      <c r="J220" s="265" t="str">
        <f t="shared" si="153"/>
        <v/>
      </c>
      <c r="K220" s="240" t="str">
        <f t="shared" si="154"/>
        <v/>
      </c>
      <c r="L220" s="265" t="str">
        <f t="shared" si="155"/>
        <v/>
      </c>
      <c r="M220" s="265" t="str">
        <f t="shared" si="156"/>
        <v/>
      </c>
      <c r="N220" s="240" t="str">
        <f t="shared" si="157"/>
        <v>-</v>
      </c>
      <c r="O220" s="265" t="str">
        <f t="shared" si="158"/>
        <v>-</v>
      </c>
      <c r="P220" s="265" t="str">
        <f t="shared" si="159"/>
        <v>-</v>
      </c>
      <c r="Q220" s="266" t="str">
        <f t="shared" si="160"/>
        <v>-</v>
      </c>
      <c r="R220" s="267" t="str">
        <f t="shared" si="161"/>
        <v>-</v>
      </c>
      <c r="S220" s="268" t="str">
        <f t="shared" si="162"/>
        <v>-</v>
      </c>
      <c r="T220" s="269" t="str">
        <f t="shared" si="105"/>
        <v/>
      </c>
      <c r="U220" s="221">
        <f t="shared" si="106"/>
        <v>120</v>
      </c>
      <c r="V220" s="220" t="str">
        <f t="shared" si="132"/>
        <v>-</v>
      </c>
      <c r="W220" s="221" t="str">
        <f t="shared" si="133"/>
        <v>-</v>
      </c>
      <c r="X220" s="221" t="str">
        <f t="shared" si="107"/>
        <v>-</v>
      </c>
      <c r="Y220" s="221" t="str">
        <f t="shared" si="108"/>
        <v>-</v>
      </c>
      <c r="Z220" s="270">
        <f t="shared" si="134"/>
        <v>0.1</v>
      </c>
      <c r="AA220" s="271" t="str">
        <f>IFERROR(IF(V219=1,AA$100*EXP(-(LN(2)/$D$65+0.04)*X219)*EXP(-(LN(2)/$D$65+0.1)*Y219),IF(V219=2,AA$100*EXP(-(LN(2)/$D$65+0.04)*(VLOOKUP(($F$16-$F$15)-1,U$99:Y219,4,FALSE)))*EXP(-(LN(2)/$D$65+0.1)*(VLOOKUP(($F$16-$F$15)-1,U$99:Y219,5,FALSE)))*EXP(-(LN(2)/$D$65+0.04)*X219)*EXP(-(LN(2)/$D$65+0.1)*Y219),IF(V219=3,AA$100*EXP(-(LN(2)/$D$65+0.04)*(VLOOKUP(($F$16-$F$15)-1,U$99:Y219,4,FALSE)))*EXP(-(LN(2)/$D$65+0.1)*(VLOOKUP(($F$16-$F$15)-1,U$99:Y219,5,FALSE)))*EXP(-(LN(2)/$D$65+0.04)*(VLOOKUP(($F$16-$F$15)*2-1,U$99:Y219,4,FALSE)))*EXP(-(LN(2)/$D$65+0.1)*(VLOOKUP(($F$16-$F$15)*2-1,U$99:Y219,5,FALSE)))*EXP(-(LN(2)/$D$65+0.04)*X219)*EXP(-(LN(2)/$D$65+0.1)*Y219),"-"))),"-")</f>
        <v>-</v>
      </c>
      <c r="AB220" s="271" t="str">
        <f>IFERROR(IF(V220=1,AB$100*EXP(-(LN(2)/$D$65+0.04)*X220)*EXP(-(LN(2)/$D$65+0.1)*Y220),IF(V220=2,AB$100*EXP(-(LN(2)/$D$65+0.04)*(VLOOKUP(($F$16-$F$15)-1,U$100:Y220,4,FALSE)))*EXP(-(LN(2)/$D$65+0.1)*(VLOOKUP(($F$16-$F$15)-1,U$100:Y220,5,FALSE)))*EXP(-(LN(2)/$D$65+0.04)*X220)*EXP(-(LN(2)/$D$65+0.1)*Y220),IF(V220=3,AB$100*EXP(-(LN(2)/$D$65+0.04)*(VLOOKUP(($F$16-$F$15)-1,U$100:Y220,4,FALSE)))*EXP(-(LN(2)/$D$65+0.1)*(VLOOKUP(($F$16-$F$15)-1,U$100:Y220,5,FALSE)))*EXP(-(LN(2)/$D$65+0.04)*(VLOOKUP(($F$16-$F$15)*2-1,U$100:Y220,4,FALSE)))*EXP(-(LN(2)/$D$65+0.1)*(VLOOKUP(($F$16-$F$15)*2-1,U$100:Y220,5,FALSE)))*EXP(-(LN(2)/$D$65+0.04)*X220)*EXP(-(LN(2)/$D$65+0.1)*Y220),"-"))),"-")</f>
        <v>-</v>
      </c>
      <c r="AC220" s="224">
        <f t="shared" si="135"/>
        <v>120</v>
      </c>
      <c r="AD220" s="223" t="str">
        <f t="shared" si="109"/>
        <v>-</v>
      </c>
      <c r="AE220" s="224" t="str">
        <f t="shared" si="136"/>
        <v>-</v>
      </c>
      <c r="AF220" s="224" t="str">
        <f t="shared" si="110"/>
        <v>-</v>
      </c>
      <c r="AG220" s="224" t="str">
        <f t="shared" si="111"/>
        <v>-</v>
      </c>
      <c r="AH220" s="272">
        <f t="shared" si="137"/>
        <v>0.1</v>
      </c>
      <c r="AI220" s="271" t="str">
        <f>IFERROR(IF(AD219=1,AI$100*EXP(-(LN(2)/$D$65+0.04)*AF219)*EXP(-(LN(2)/$D$65+0.1)*AG219),IF(AD219=2,AI$100*EXP(-(LN(2)/$D$65+0.04)*(VLOOKUP(($F$16-$F$15)-1,AC$99:AG219,4,FALSE)))*EXP(-(LN(2)/$D$65+0.1)*(VLOOKUP(($F$16-$F$15)-1,AC$99:AG219,5,FALSE)))*EXP(-(LN(2)/$D$65+0.04)*AF219)*EXP(-(LN(2)/$D$65+0.1)*AG219),IF(AD219=3,AI$100*EXP(-(LN(2)/$D$65+0.04)*(VLOOKUP(($F$16-$F$15)-1,AC$99:AG219,4,FALSE)))*EXP(-(LN(2)/$D$65+0.1)*(VLOOKUP(($F$16-$F$15)-1,AC$99:AG219,5,FALSE)))*EXP(-(LN(2)/$D$65+0.04)*(VLOOKUP(($F$16-$F$15)*2-1,AC$99:AG219,4,FALSE)))*EXP(-(LN(2)/$D$65+0.1)*(VLOOKUP(($F$16-$F$15)*2-1,AC$99:AG219,5,FALSE)))*EXP(-(LN(2)/$D$65+0.04)*AF219)*EXP(-(LN(2)/$D$65+0.1)*AG219),"-"))),"-")</f>
        <v>-</v>
      </c>
      <c r="AJ220" s="271" t="str">
        <f>IFERROR(IF(AD220=1,AJ$100*EXP(-(LN(2)/$D$65+0.04)*AF220)*EXP(-(LN(2)/$D$65+0.1)*AG220),IF(AD220=2,AJ$100*EXP(-(LN(2)/$D$65+0.04)*(VLOOKUP(($F$16-$F$15)-1,AC$100:AG220,4,FALSE)))*EXP(-(LN(2)/$D$65+0.1)*(VLOOKUP(($F$16-$F$15)-1,AC$100:AG220,5,FALSE)))*EXP(-(LN(2)/$D$65+0.04)*AF220)*EXP(-(LN(2)/$D$65+0.1)*AG220),IF(AD220=3,AJ$100*EXP(-(LN(2)/$D$65+0.04)*(VLOOKUP(($F$16-$F$15)-1,AC$100:AG220,4,FALSE)))*EXP(-(LN(2)/$D$65+0.1)*(VLOOKUP(($F$16-$F$15)-1,AC$100:AG220,5,FALSE)))*EXP(-(LN(2)/$D$65+0.04)*(VLOOKUP(($F$16-$F$15)*2-1,AC$100:AG220,4,FALSE)))*EXP(-(LN(2)/$D$65+0.1)*(VLOOKUP(($F$16-$F$15)*2-1,AC$100:AG220,5,FALSE)))*EXP(-(LN(2)/$D$65+0.04)*AF220)*EXP(-(LN(2)/$D$65+0.1)*AG220),"-"))),"-")</f>
        <v>-</v>
      </c>
      <c r="AK220" s="227">
        <f t="shared" si="138"/>
        <v>120</v>
      </c>
      <c r="AL220" s="226" t="str">
        <f t="shared" si="112"/>
        <v>-</v>
      </c>
      <c r="AM220" s="227" t="str">
        <f t="shared" si="139"/>
        <v>-</v>
      </c>
      <c r="AN220" s="227" t="str">
        <f t="shared" si="140"/>
        <v>-</v>
      </c>
      <c r="AO220" s="227" t="str">
        <f t="shared" si="113"/>
        <v>-</v>
      </c>
      <c r="AP220" s="273">
        <f t="shared" si="141"/>
        <v>0.1</v>
      </c>
      <c r="AQ220" s="271" t="str">
        <f>IFERROR(IF(AL219=1,AQ$100*EXP(-(LN(2)/$D$65+0.04)*AN219)*EXP(-(LN(2)/$D$65+0.1)*AO219),IF(AL219=2,AQ$100*EXP(-(LN(2)/$D$65+0.04)*(VLOOKUP(($F$16-$F$15)-1,AK$99:AO219,4,FALSE)))*EXP(-(LN(2)/$D$65+0.1)*(VLOOKUP(($F$16-$F$15)-1,AK$99:AO219,5,FALSE)))*EXP(-(LN(2)/$D$65+0.04)*AN219)*EXP(-(LN(2)/$D$65+0.1)*AO219),IF(AL219=3,AQ$100*EXP(-(LN(2)/$D$65+0.04)*(VLOOKUP(($F$16-$F$15)-1,AK$99:AO219,4,FALSE)))*EXP(-(LN(2)/$D$65+0.1)*(VLOOKUP(($F$16-$F$15)-1,AK$99:AO219,5,FALSE)))*EXP(-(LN(2)/$D$65+0.04)*(VLOOKUP(($F$16-$F$15)*2-1,AK$99:AO219,4,FALSE)))*EXP(-(LN(2)/$D$65+0.1)*(VLOOKUP(($F$16-$F$15)*2-1,AK$99:AO219,5,FALSE)))*EXP(-(LN(2)/$D$65+0.04)*AN219)*EXP(-(LN(2)/$D$65+0.1)*AO219),"-"))),"-")</f>
        <v>-</v>
      </c>
      <c r="AR220" s="271" t="str">
        <f>IFERROR(IF(AL220=1,AR$100*EXP(-(LN(2)/$D$65+0.04)*AN220)*EXP(-(LN(2)/$D$65+0.1)*AO220),IF(AL220=2,AR$100*EXP(-(LN(2)/$D$65+0.04)*(VLOOKUP(($F$16-$F$15)-1,AK$100:AO220,4,FALSE)))*EXP(-(LN(2)/$D$65+0.1)*(VLOOKUP(($F$16-$F$15)-1,AK$100:AO220,5,FALSE)))*EXP(-(LN(2)/$D$65+0.04)*AN220)*EXP(-(LN(2)/$D$65+0.1)*AO220),IF(AL220=3,AR$100*EXP(-(LN(2)/$D$65+0.04)*(VLOOKUP(($F$16-$F$15)-1,AK$100:AO220,4,FALSE)))*EXP(-(LN(2)/$D$65+0.1)*(VLOOKUP(($F$16-$F$15)-1,AK$100:AO220,5,FALSE)))*EXP(-(LN(2)/$D$65+0.04)*(VLOOKUP(($F$16-$F$15)*2-1,AK$100:AO220,4,FALSE)))*EXP(-(LN(2)/$D$65+0.1)*(VLOOKUP(($F$16-$F$15)*2-1,AK$100:AO220,5,FALSE)))*EXP(-(LN(2)/$D$65+0.04)*AN220)*EXP(-(LN(2)/$D$65+0.1)*AO220),"-"))),"-")</f>
        <v>-</v>
      </c>
      <c r="AS220" s="274">
        <f t="shared" si="114"/>
        <v>0</v>
      </c>
      <c r="AT220" s="274">
        <f t="shared" si="115"/>
        <v>0</v>
      </c>
      <c r="AU220" s="274">
        <f t="shared" si="116"/>
        <v>0</v>
      </c>
      <c r="AV220" s="190">
        <f>IF($B220&lt;$F$22,SUM($T$100:$T220),"")</f>
        <v>0</v>
      </c>
      <c r="AW220" s="190" t="str">
        <f t="shared" si="163"/>
        <v>-</v>
      </c>
      <c r="AX220" s="190" t="str">
        <f t="shared" si="142"/>
        <v/>
      </c>
      <c r="AY220"/>
      <c r="AZ220" s="190" t="str">
        <f ca="1">IF(ISNUMBER(OFFSET(AV220,-$F$21,0)),SUM(OFFSET($T$100,$F$21,0):$T220),"")</f>
        <v/>
      </c>
      <c r="BA220" s="190" t="str">
        <f t="shared" ca="1" si="164"/>
        <v/>
      </c>
      <c r="BB220" s="190" t="str">
        <f t="shared" ca="1" si="149"/>
        <v/>
      </c>
      <c r="BC220" s="190"/>
      <c r="BD220" s="190" t="str">
        <f ca="1">IFERROR(IF(AND($B220&gt;=($F$16-$F$15),$B220&lt;$F$22+($F$16-$F$15)),SUM(OFFSET($T$100,($F$16-$F$15),0):$T220),""),"")</f>
        <v/>
      </c>
      <c r="BE220" s="190" t="str">
        <f t="shared" ca="1" si="143"/>
        <v/>
      </c>
      <c r="BF220" s="190" t="str">
        <f t="shared" ca="1" si="144"/>
        <v/>
      </c>
      <c r="BG220"/>
      <c r="BH220" s="190" t="str">
        <f ca="1">IF(ISNUMBER(OFFSET(BD220,-$F$21,0)),SUM(OFFSET($T$100,($F$16-$F$15+$F$21),0):$T220),"")</f>
        <v/>
      </c>
      <c r="BI220" s="190" t="str">
        <f t="shared" ca="1" si="165"/>
        <v/>
      </c>
      <c r="BJ220" s="190" t="str">
        <f t="shared" ca="1" si="145"/>
        <v/>
      </c>
      <c r="BK220" s="190"/>
      <c r="BL220" s="190" t="str">
        <f ca="1">IFERROR(IF(AND($B220&gt;=($F$17-$F$15),$B220&lt;$F$22+($F$17-$F$15)),SUM(OFFSET($T$100,($F$17-$F$15),0):$T220),""),"")</f>
        <v/>
      </c>
      <c r="BM220" s="190" t="str">
        <f t="shared" ca="1" si="166"/>
        <v/>
      </c>
      <c r="BN220" s="190" t="str">
        <f t="shared" ca="1" si="146"/>
        <v/>
      </c>
      <c r="BO220"/>
      <c r="BP220" s="190" t="str">
        <f ca="1">IF(ISNUMBER(OFFSET(BL220,-$F$21,0)),SUM(OFFSET($T$100,($F$17-$F$15+$F$21),0):$T220),"")</f>
        <v/>
      </c>
      <c r="BQ220" s="190" t="str">
        <f t="shared" ca="1" si="167"/>
        <v/>
      </c>
      <c r="BR220" s="190" t="str">
        <f t="shared" ca="1" si="147"/>
        <v/>
      </c>
      <c r="BS220" s="190"/>
      <c r="BT220"/>
      <c r="BU220"/>
      <c r="BV220"/>
      <c r="BY220" s="99"/>
      <c r="BZ220" s="99"/>
      <c r="CA220" s="280" t="str">
        <f t="shared" si="168"/>
        <v/>
      </c>
      <c r="CB220" s="71" t="str">
        <f t="shared" si="123"/>
        <v>-</v>
      </c>
      <c r="CC220" s="33"/>
      <c r="CD220" s="261" t="str">
        <f t="shared" si="124"/>
        <v/>
      </c>
      <c r="CE220" s="280" t="str">
        <f t="shared" si="169"/>
        <v>-</v>
      </c>
      <c r="CF220" s="71" t="str">
        <f t="shared" ca="1" si="170"/>
        <v>-</v>
      </c>
      <c r="CG220" s="33" t="str">
        <f t="shared" si="127"/>
        <v>120-121</v>
      </c>
      <c r="CH220" s="261" t="str">
        <f t="shared" ca="1" si="128"/>
        <v/>
      </c>
    </row>
    <row r="221" spans="2:86" ht="13.5" customHeight="1" x14ac:dyDescent="0.2">
      <c r="B221" s="262">
        <v>121</v>
      </c>
      <c r="C221" s="237" t="str">
        <f t="shared" si="150"/>
        <v/>
      </c>
      <c r="D221" s="237" t="str">
        <f t="shared" si="148"/>
        <v>-</v>
      </c>
      <c r="E221" s="263" t="str">
        <f t="shared" si="129"/>
        <v/>
      </c>
      <c r="F221" s="264" t="str">
        <f t="shared" si="130"/>
        <v/>
      </c>
      <c r="G221" s="264" t="str">
        <f t="shared" si="131"/>
        <v/>
      </c>
      <c r="H221" s="240" t="str">
        <f t="shared" si="151"/>
        <v/>
      </c>
      <c r="I221" s="265" t="str">
        <f t="shared" si="152"/>
        <v/>
      </c>
      <c r="J221" s="265" t="str">
        <f t="shared" si="153"/>
        <v/>
      </c>
      <c r="K221" s="240" t="str">
        <f t="shared" si="154"/>
        <v/>
      </c>
      <c r="L221" s="265" t="str">
        <f t="shared" si="155"/>
        <v/>
      </c>
      <c r="M221" s="265" t="str">
        <f t="shared" si="156"/>
        <v/>
      </c>
      <c r="N221" s="240" t="str">
        <f t="shared" si="157"/>
        <v>-</v>
      </c>
      <c r="O221" s="265" t="str">
        <f t="shared" si="158"/>
        <v>-</v>
      </c>
      <c r="P221" s="265" t="str">
        <f t="shared" si="159"/>
        <v>-</v>
      </c>
      <c r="Q221" s="266" t="str">
        <f t="shared" si="160"/>
        <v>-</v>
      </c>
      <c r="R221" s="267" t="str">
        <f t="shared" si="161"/>
        <v>-</v>
      </c>
      <c r="S221" s="268" t="str">
        <f t="shared" si="162"/>
        <v>-</v>
      </c>
      <c r="T221" s="269" t="str">
        <f t="shared" si="105"/>
        <v/>
      </c>
      <c r="U221" s="221">
        <f t="shared" si="106"/>
        <v>121</v>
      </c>
      <c r="V221" s="220" t="str">
        <f t="shared" si="132"/>
        <v>-</v>
      </c>
      <c r="W221" s="221" t="str">
        <f t="shared" si="133"/>
        <v>-</v>
      </c>
      <c r="X221" s="221" t="str">
        <f t="shared" si="107"/>
        <v>-</v>
      </c>
      <c r="Y221" s="221" t="str">
        <f t="shared" si="108"/>
        <v>-</v>
      </c>
      <c r="Z221" s="270">
        <f t="shared" si="134"/>
        <v>0.1</v>
      </c>
      <c r="AA221" s="271" t="str">
        <f>IFERROR(IF(V220=1,AA$100*EXP(-(LN(2)/$D$65+0.04)*X220)*EXP(-(LN(2)/$D$65+0.1)*Y220),IF(V220=2,AA$100*EXP(-(LN(2)/$D$65+0.04)*(VLOOKUP(($F$16-$F$15)-1,U$99:Y220,4,FALSE)))*EXP(-(LN(2)/$D$65+0.1)*(VLOOKUP(($F$16-$F$15)-1,U$99:Y220,5,FALSE)))*EXP(-(LN(2)/$D$65+0.04)*X220)*EXP(-(LN(2)/$D$65+0.1)*Y220),IF(V220=3,AA$100*EXP(-(LN(2)/$D$65+0.04)*(VLOOKUP(($F$16-$F$15)-1,U$99:Y220,4,FALSE)))*EXP(-(LN(2)/$D$65+0.1)*(VLOOKUP(($F$16-$F$15)-1,U$99:Y220,5,FALSE)))*EXP(-(LN(2)/$D$65+0.04)*(VLOOKUP(($F$16-$F$15)*2-1,U$99:Y220,4,FALSE)))*EXP(-(LN(2)/$D$65+0.1)*(VLOOKUP(($F$16-$F$15)*2-1,U$99:Y220,5,FALSE)))*EXP(-(LN(2)/$D$65+0.04)*X220)*EXP(-(LN(2)/$D$65+0.1)*Y220),"-"))),"-")</f>
        <v>-</v>
      </c>
      <c r="AB221" s="271" t="str">
        <f>IFERROR(IF(V221=1,AB$100*EXP(-(LN(2)/$D$65+0.04)*X221)*EXP(-(LN(2)/$D$65+0.1)*Y221),IF(V221=2,AB$100*EXP(-(LN(2)/$D$65+0.04)*(VLOOKUP(($F$16-$F$15)-1,U$100:Y221,4,FALSE)))*EXP(-(LN(2)/$D$65+0.1)*(VLOOKUP(($F$16-$F$15)-1,U$100:Y221,5,FALSE)))*EXP(-(LN(2)/$D$65+0.04)*X221)*EXP(-(LN(2)/$D$65+0.1)*Y221),IF(V221=3,AB$100*EXP(-(LN(2)/$D$65+0.04)*(VLOOKUP(($F$16-$F$15)-1,U$100:Y221,4,FALSE)))*EXP(-(LN(2)/$D$65+0.1)*(VLOOKUP(($F$16-$F$15)-1,U$100:Y221,5,FALSE)))*EXP(-(LN(2)/$D$65+0.04)*(VLOOKUP(($F$16-$F$15)*2-1,U$100:Y221,4,FALSE)))*EXP(-(LN(2)/$D$65+0.1)*(VLOOKUP(($F$16-$F$15)*2-1,U$100:Y221,5,FALSE)))*EXP(-(LN(2)/$D$65+0.04)*X221)*EXP(-(LN(2)/$D$65+0.1)*Y221),"-"))),"-")</f>
        <v>-</v>
      </c>
      <c r="AC221" s="224">
        <f t="shared" si="135"/>
        <v>121</v>
      </c>
      <c r="AD221" s="223" t="str">
        <f t="shared" si="109"/>
        <v>-</v>
      </c>
      <c r="AE221" s="224" t="str">
        <f t="shared" si="136"/>
        <v>-</v>
      </c>
      <c r="AF221" s="224" t="str">
        <f t="shared" si="110"/>
        <v>-</v>
      </c>
      <c r="AG221" s="224" t="str">
        <f t="shared" si="111"/>
        <v>-</v>
      </c>
      <c r="AH221" s="272">
        <f t="shared" si="137"/>
        <v>0.1</v>
      </c>
      <c r="AI221" s="271" t="str">
        <f>IFERROR(IF(AD220=1,AI$100*EXP(-(LN(2)/$D$65+0.04)*AF220)*EXP(-(LN(2)/$D$65+0.1)*AG220),IF(AD220=2,AI$100*EXP(-(LN(2)/$D$65+0.04)*(VLOOKUP(($F$16-$F$15)-1,AC$99:AG220,4,FALSE)))*EXP(-(LN(2)/$D$65+0.1)*(VLOOKUP(($F$16-$F$15)-1,AC$99:AG220,5,FALSE)))*EXP(-(LN(2)/$D$65+0.04)*AF220)*EXP(-(LN(2)/$D$65+0.1)*AG220),IF(AD220=3,AI$100*EXP(-(LN(2)/$D$65+0.04)*(VLOOKUP(($F$16-$F$15)-1,AC$99:AG220,4,FALSE)))*EXP(-(LN(2)/$D$65+0.1)*(VLOOKUP(($F$16-$F$15)-1,AC$99:AG220,5,FALSE)))*EXP(-(LN(2)/$D$65+0.04)*(VLOOKUP(($F$16-$F$15)*2-1,AC$99:AG220,4,FALSE)))*EXP(-(LN(2)/$D$65+0.1)*(VLOOKUP(($F$16-$F$15)*2-1,AC$99:AG220,5,FALSE)))*EXP(-(LN(2)/$D$65+0.04)*AF220)*EXP(-(LN(2)/$D$65+0.1)*AG220),"-"))),"-")</f>
        <v>-</v>
      </c>
      <c r="AJ221" s="271" t="str">
        <f>IFERROR(IF(AD221=1,AJ$100*EXP(-(LN(2)/$D$65+0.04)*AF221)*EXP(-(LN(2)/$D$65+0.1)*AG221),IF(AD221=2,AJ$100*EXP(-(LN(2)/$D$65+0.04)*(VLOOKUP(($F$16-$F$15)-1,AC$100:AG221,4,FALSE)))*EXP(-(LN(2)/$D$65+0.1)*(VLOOKUP(($F$16-$F$15)-1,AC$100:AG221,5,FALSE)))*EXP(-(LN(2)/$D$65+0.04)*AF221)*EXP(-(LN(2)/$D$65+0.1)*AG221),IF(AD221=3,AJ$100*EXP(-(LN(2)/$D$65+0.04)*(VLOOKUP(($F$16-$F$15)-1,AC$100:AG221,4,FALSE)))*EXP(-(LN(2)/$D$65+0.1)*(VLOOKUP(($F$16-$F$15)-1,AC$100:AG221,5,FALSE)))*EXP(-(LN(2)/$D$65+0.04)*(VLOOKUP(($F$16-$F$15)*2-1,AC$100:AG221,4,FALSE)))*EXP(-(LN(2)/$D$65+0.1)*(VLOOKUP(($F$16-$F$15)*2-1,AC$100:AG221,5,FALSE)))*EXP(-(LN(2)/$D$65+0.04)*AF221)*EXP(-(LN(2)/$D$65+0.1)*AG221),"-"))),"-")</f>
        <v>-</v>
      </c>
      <c r="AK221" s="227">
        <f t="shared" si="138"/>
        <v>121</v>
      </c>
      <c r="AL221" s="226" t="str">
        <f t="shared" si="112"/>
        <v>-</v>
      </c>
      <c r="AM221" s="227" t="str">
        <f t="shared" si="139"/>
        <v>-</v>
      </c>
      <c r="AN221" s="227" t="str">
        <f t="shared" si="140"/>
        <v>-</v>
      </c>
      <c r="AO221" s="227" t="str">
        <f t="shared" si="113"/>
        <v>-</v>
      </c>
      <c r="AP221" s="273">
        <f t="shared" si="141"/>
        <v>0.1</v>
      </c>
      <c r="AQ221" s="271" t="str">
        <f>IFERROR(IF(AL220=1,AQ$100*EXP(-(LN(2)/$D$65+0.04)*AN220)*EXP(-(LN(2)/$D$65+0.1)*AO220),IF(AL220=2,AQ$100*EXP(-(LN(2)/$D$65+0.04)*(VLOOKUP(($F$16-$F$15)-1,AK$99:AO220,4,FALSE)))*EXP(-(LN(2)/$D$65+0.1)*(VLOOKUP(($F$16-$F$15)-1,AK$99:AO220,5,FALSE)))*EXP(-(LN(2)/$D$65+0.04)*AN220)*EXP(-(LN(2)/$D$65+0.1)*AO220),IF(AL220=3,AQ$100*EXP(-(LN(2)/$D$65+0.04)*(VLOOKUP(($F$16-$F$15)-1,AK$99:AO220,4,FALSE)))*EXP(-(LN(2)/$D$65+0.1)*(VLOOKUP(($F$16-$F$15)-1,AK$99:AO220,5,FALSE)))*EXP(-(LN(2)/$D$65+0.04)*(VLOOKUP(($F$16-$F$15)*2-1,AK$99:AO220,4,FALSE)))*EXP(-(LN(2)/$D$65+0.1)*(VLOOKUP(($F$16-$F$15)*2-1,AK$99:AO220,5,FALSE)))*EXP(-(LN(2)/$D$65+0.04)*AN220)*EXP(-(LN(2)/$D$65+0.1)*AO220),"-"))),"-")</f>
        <v>-</v>
      </c>
      <c r="AR221" s="271" t="str">
        <f>IFERROR(IF(AL221=1,AR$100*EXP(-(LN(2)/$D$65+0.04)*AN221)*EXP(-(LN(2)/$D$65+0.1)*AO221),IF(AL221=2,AR$100*EXP(-(LN(2)/$D$65+0.04)*(VLOOKUP(($F$16-$F$15)-1,AK$100:AO221,4,FALSE)))*EXP(-(LN(2)/$D$65+0.1)*(VLOOKUP(($F$16-$F$15)-1,AK$100:AO221,5,FALSE)))*EXP(-(LN(2)/$D$65+0.04)*AN221)*EXP(-(LN(2)/$D$65+0.1)*AO221),IF(AL221=3,AR$100*EXP(-(LN(2)/$D$65+0.04)*(VLOOKUP(($F$16-$F$15)-1,AK$100:AO221,4,FALSE)))*EXP(-(LN(2)/$D$65+0.1)*(VLOOKUP(($F$16-$F$15)-1,AK$100:AO221,5,FALSE)))*EXP(-(LN(2)/$D$65+0.04)*(VLOOKUP(($F$16-$F$15)*2-1,AK$100:AO221,4,FALSE)))*EXP(-(LN(2)/$D$65+0.1)*(VLOOKUP(($F$16-$F$15)*2-1,AK$100:AO221,5,FALSE)))*EXP(-(LN(2)/$D$65+0.04)*AN221)*EXP(-(LN(2)/$D$65+0.1)*AO221),"-"))),"-")</f>
        <v>-</v>
      </c>
      <c r="AS221" s="274">
        <f t="shared" si="114"/>
        <v>0</v>
      </c>
      <c r="AT221" s="274">
        <f t="shared" si="115"/>
        <v>0</v>
      </c>
      <c r="AU221" s="274">
        <f t="shared" si="116"/>
        <v>0</v>
      </c>
      <c r="AV221" s="190">
        <f>IF($B221&lt;$F$22,SUM($T$100:$T221),"")</f>
        <v>0</v>
      </c>
      <c r="AW221" s="190" t="str">
        <f t="shared" si="163"/>
        <v>-</v>
      </c>
      <c r="AX221" s="190" t="str">
        <f t="shared" si="142"/>
        <v/>
      </c>
      <c r="AY221"/>
      <c r="AZ221" s="190" t="str">
        <f ca="1">IF(ISNUMBER(OFFSET(AV221,-$F$21,0)),SUM(OFFSET($T$100,$F$21,0):$T221),"")</f>
        <v/>
      </c>
      <c r="BA221" s="190" t="str">
        <f t="shared" ca="1" si="164"/>
        <v/>
      </c>
      <c r="BB221" s="190" t="str">
        <f t="shared" ca="1" si="149"/>
        <v/>
      </c>
      <c r="BC221" s="190"/>
      <c r="BD221" s="190" t="str">
        <f ca="1">IFERROR(IF(AND($B221&gt;=($F$16-$F$15),$B221&lt;$F$22+($F$16-$F$15)),SUM(OFFSET($T$100,($F$16-$F$15),0):$T221),""),"")</f>
        <v/>
      </c>
      <c r="BE221" s="190" t="str">
        <f t="shared" ca="1" si="143"/>
        <v/>
      </c>
      <c r="BF221" s="190" t="str">
        <f t="shared" ca="1" si="144"/>
        <v/>
      </c>
      <c r="BG221"/>
      <c r="BH221" s="190" t="str">
        <f ca="1">IF(ISNUMBER(OFFSET(BD221,-$F$21,0)),SUM(OFFSET($T$100,($F$16-$F$15+$F$21),0):$T221),"")</f>
        <v/>
      </c>
      <c r="BI221" s="190" t="str">
        <f t="shared" ca="1" si="165"/>
        <v/>
      </c>
      <c r="BJ221" s="190" t="str">
        <f t="shared" ca="1" si="145"/>
        <v/>
      </c>
      <c r="BK221" s="190"/>
      <c r="BL221" s="190" t="str">
        <f ca="1">IFERROR(IF(AND($B221&gt;=($F$17-$F$15),$B221&lt;$F$22+($F$17-$F$15)),SUM(OFFSET($T$100,($F$17-$F$15),0):$T221),""),"")</f>
        <v/>
      </c>
      <c r="BM221" s="190" t="str">
        <f t="shared" ca="1" si="166"/>
        <v/>
      </c>
      <c r="BN221" s="190" t="str">
        <f t="shared" ca="1" si="146"/>
        <v/>
      </c>
      <c r="BO221"/>
      <c r="BP221" s="190" t="str">
        <f ca="1">IF(ISNUMBER(OFFSET(BL221,-$F$21,0)),SUM(OFFSET($T$100,($F$17-$F$15+$F$21),0):$T221),"")</f>
        <v/>
      </c>
      <c r="BQ221" s="190" t="str">
        <f t="shared" ca="1" si="167"/>
        <v/>
      </c>
      <c r="BR221" s="190" t="str">
        <f t="shared" ca="1" si="147"/>
        <v/>
      </c>
      <c r="BS221" s="190"/>
      <c r="BT221"/>
      <c r="BU221"/>
      <c r="BV221"/>
      <c r="BY221" s="99"/>
      <c r="BZ221" s="99"/>
      <c r="CA221" s="280" t="str">
        <f t="shared" si="168"/>
        <v/>
      </c>
      <c r="CB221" s="71" t="str">
        <f t="shared" si="123"/>
        <v>-</v>
      </c>
      <c r="CC221" s="33"/>
      <c r="CD221" s="261" t="str">
        <f t="shared" si="124"/>
        <v/>
      </c>
      <c r="CE221" s="280" t="str">
        <f t="shared" si="169"/>
        <v>-</v>
      </c>
      <c r="CF221" s="71" t="str">
        <f t="shared" ca="1" si="170"/>
        <v>-</v>
      </c>
      <c r="CG221" s="33" t="str">
        <f t="shared" si="127"/>
        <v>121-122</v>
      </c>
      <c r="CH221" s="261" t="str">
        <f t="shared" ca="1" si="128"/>
        <v/>
      </c>
    </row>
    <row r="222" spans="2:86" ht="13.5" customHeight="1" x14ac:dyDescent="0.2">
      <c r="B222" s="262">
        <v>122</v>
      </c>
      <c r="C222" s="237" t="str">
        <f t="shared" si="150"/>
        <v/>
      </c>
      <c r="D222" s="237" t="str">
        <f t="shared" si="148"/>
        <v>-</v>
      </c>
      <c r="E222" s="263" t="str">
        <f t="shared" si="129"/>
        <v/>
      </c>
      <c r="F222" s="264" t="str">
        <f t="shared" si="130"/>
        <v/>
      </c>
      <c r="G222" s="264" t="str">
        <f t="shared" si="131"/>
        <v/>
      </c>
      <c r="H222" s="240" t="str">
        <f t="shared" si="151"/>
        <v/>
      </c>
      <c r="I222" s="265" t="str">
        <f t="shared" si="152"/>
        <v/>
      </c>
      <c r="J222" s="265" t="str">
        <f t="shared" si="153"/>
        <v/>
      </c>
      <c r="K222" s="240" t="str">
        <f t="shared" si="154"/>
        <v/>
      </c>
      <c r="L222" s="265" t="str">
        <f t="shared" si="155"/>
        <v/>
      </c>
      <c r="M222" s="265" t="str">
        <f t="shared" si="156"/>
        <v/>
      </c>
      <c r="N222" s="240" t="str">
        <f t="shared" si="157"/>
        <v>-</v>
      </c>
      <c r="O222" s="265" t="str">
        <f t="shared" si="158"/>
        <v>-</v>
      </c>
      <c r="P222" s="265" t="str">
        <f t="shared" si="159"/>
        <v>-</v>
      </c>
      <c r="Q222" s="266" t="str">
        <f t="shared" si="160"/>
        <v>-</v>
      </c>
      <c r="R222" s="267" t="str">
        <f t="shared" si="161"/>
        <v>-</v>
      </c>
      <c r="S222" s="268" t="str">
        <f t="shared" si="162"/>
        <v>-</v>
      </c>
      <c r="T222" s="269" t="str">
        <f t="shared" si="105"/>
        <v/>
      </c>
      <c r="U222" s="221">
        <f t="shared" si="106"/>
        <v>122</v>
      </c>
      <c r="V222" s="220" t="str">
        <f t="shared" si="132"/>
        <v>-</v>
      </c>
      <c r="W222" s="221" t="str">
        <f t="shared" si="133"/>
        <v>-</v>
      </c>
      <c r="X222" s="221" t="str">
        <f t="shared" si="107"/>
        <v>-</v>
      </c>
      <c r="Y222" s="221" t="str">
        <f t="shared" si="108"/>
        <v>-</v>
      </c>
      <c r="Z222" s="270">
        <f t="shared" si="134"/>
        <v>0.1</v>
      </c>
      <c r="AA222" s="271" t="str">
        <f>IFERROR(IF(V221=1,AA$100*EXP(-(LN(2)/$D$65+0.04)*X221)*EXP(-(LN(2)/$D$65+0.1)*Y221),IF(V221=2,AA$100*EXP(-(LN(2)/$D$65+0.04)*(VLOOKUP(($F$16-$F$15)-1,U$99:Y221,4,FALSE)))*EXP(-(LN(2)/$D$65+0.1)*(VLOOKUP(($F$16-$F$15)-1,U$99:Y221,5,FALSE)))*EXP(-(LN(2)/$D$65+0.04)*X221)*EXP(-(LN(2)/$D$65+0.1)*Y221),IF(V221=3,AA$100*EXP(-(LN(2)/$D$65+0.04)*(VLOOKUP(($F$16-$F$15)-1,U$99:Y221,4,FALSE)))*EXP(-(LN(2)/$D$65+0.1)*(VLOOKUP(($F$16-$F$15)-1,U$99:Y221,5,FALSE)))*EXP(-(LN(2)/$D$65+0.04)*(VLOOKUP(($F$16-$F$15)*2-1,U$99:Y221,4,FALSE)))*EXP(-(LN(2)/$D$65+0.1)*(VLOOKUP(($F$16-$F$15)*2-1,U$99:Y221,5,FALSE)))*EXP(-(LN(2)/$D$65+0.04)*X221)*EXP(-(LN(2)/$D$65+0.1)*Y221),"-"))),"-")</f>
        <v>-</v>
      </c>
      <c r="AB222" s="271" t="str">
        <f>IFERROR(IF(V222=1,AB$100*EXP(-(LN(2)/$D$65+0.04)*X222)*EXP(-(LN(2)/$D$65+0.1)*Y222),IF(V222=2,AB$100*EXP(-(LN(2)/$D$65+0.04)*(VLOOKUP(($F$16-$F$15)-1,U$100:Y222,4,FALSE)))*EXP(-(LN(2)/$D$65+0.1)*(VLOOKUP(($F$16-$F$15)-1,U$100:Y222,5,FALSE)))*EXP(-(LN(2)/$D$65+0.04)*X222)*EXP(-(LN(2)/$D$65+0.1)*Y222),IF(V222=3,AB$100*EXP(-(LN(2)/$D$65+0.04)*(VLOOKUP(($F$16-$F$15)-1,U$100:Y222,4,FALSE)))*EXP(-(LN(2)/$D$65+0.1)*(VLOOKUP(($F$16-$F$15)-1,U$100:Y222,5,FALSE)))*EXP(-(LN(2)/$D$65+0.04)*(VLOOKUP(($F$16-$F$15)*2-1,U$100:Y222,4,FALSE)))*EXP(-(LN(2)/$D$65+0.1)*(VLOOKUP(($F$16-$F$15)*2-1,U$100:Y222,5,FALSE)))*EXP(-(LN(2)/$D$65+0.04)*X222)*EXP(-(LN(2)/$D$65+0.1)*Y222),"-"))),"-")</f>
        <v>-</v>
      </c>
      <c r="AC222" s="224">
        <f t="shared" si="135"/>
        <v>122</v>
      </c>
      <c r="AD222" s="223" t="str">
        <f t="shared" si="109"/>
        <v>-</v>
      </c>
      <c r="AE222" s="224" t="str">
        <f t="shared" si="136"/>
        <v>-</v>
      </c>
      <c r="AF222" s="224" t="str">
        <f t="shared" si="110"/>
        <v>-</v>
      </c>
      <c r="AG222" s="224" t="str">
        <f t="shared" si="111"/>
        <v>-</v>
      </c>
      <c r="AH222" s="272">
        <f t="shared" si="137"/>
        <v>0.1</v>
      </c>
      <c r="AI222" s="271" t="str">
        <f>IFERROR(IF(AD221=1,AI$100*EXP(-(LN(2)/$D$65+0.04)*AF221)*EXP(-(LN(2)/$D$65+0.1)*AG221),IF(AD221=2,AI$100*EXP(-(LN(2)/$D$65+0.04)*(VLOOKUP(($F$16-$F$15)-1,AC$99:AG221,4,FALSE)))*EXP(-(LN(2)/$D$65+0.1)*(VLOOKUP(($F$16-$F$15)-1,AC$99:AG221,5,FALSE)))*EXP(-(LN(2)/$D$65+0.04)*AF221)*EXP(-(LN(2)/$D$65+0.1)*AG221),IF(AD221=3,AI$100*EXP(-(LN(2)/$D$65+0.04)*(VLOOKUP(($F$16-$F$15)-1,AC$99:AG221,4,FALSE)))*EXP(-(LN(2)/$D$65+0.1)*(VLOOKUP(($F$16-$F$15)-1,AC$99:AG221,5,FALSE)))*EXP(-(LN(2)/$D$65+0.04)*(VLOOKUP(($F$16-$F$15)*2-1,AC$99:AG221,4,FALSE)))*EXP(-(LN(2)/$D$65+0.1)*(VLOOKUP(($F$16-$F$15)*2-1,AC$99:AG221,5,FALSE)))*EXP(-(LN(2)/$D$65+0.04)*AF221)*EXP(-(LN(2)/$D$65+0.1)*AG221),"-"))),"-")</f>
        <v>-</v>
      </c>
      <c r="AJ222" s="271" t="str">
        <f>IFERROR(IF(AD222=1,AJ$100*EXP(-(LN(2)/$D$65+0.04)*AF222)*EXP(-(LN(2)/$D$65+0.1)*AG222),IF(AD222=2,AJ$100*EXP(-(LN(2)/$D$65+0.04)*(VLOOKUP(($F$16-$F$15)-1,AC$100:AG222,4,FALSE)))*EXP(-(LN(2)/$D$65+0.1)*(VLOOKUP(($F$16-$F$15)-1,AC$100:AG222,5,FALSE)))*EXP(-(LN(2)/$D$65+0.04)*AF222)*EXP(-(LN(2)/$D$65+0.1)*AG222),IF(AD222=3,AJ$100*EXP(-(LN(2)/$D$65+0.04)*(VLOOKUP(($F$16-$F$15)-1,AC$100:AG222,4,FALSE)))*EXP(-(LN(2)/$D$65+0.1)*(VLOOKUP(($F$16-$F$15)-1,AC$100:AG222,5,FALSE)))*EXP(-(LN(2)/$D$65+0.04)*(VLOOKUP(($F$16-$F$15)*2-1,AC$100:AG222,4,FALSE)))*EXP(-(LN(2)/$D$65+0.1)*(VLOOKUP(($F$16-$F$15)*2-1,AC$100:AG222,5,FALSE)))*EXP(-(LN(2)/$D$65+0.04)*AF222)*EXP(-(LN(2)/$D$65+0.1)*AG222),"-"))),"-")</f>
        <v>-</v>
      </c>
      <c r="AK222" s="227">
        <f t="shared" si="138"/>
        <v>122</v>
      </c>
      <c r="AL222" s="226" t="str">
        <f t="shared" si="112"/>
        <v>-</v>
      </c>
      <c r="AM222" s="227" t="str">
        <f t="shared" si="139"/>
        <v>-</v>
      </c>
      <c r="AN222" s="227" t="str">
        <f t="shared" si="140"/>
        <v>-</v>
      </c>
      <c r="AO222" s="227" t="str">
        <f t="shared" si="113"/>
        <v>-</v>
      </c>
      <c r="AP222" s="273">
        <f t="shared" si="141"/>
        <v>0.1</v>
      </c>
      <c r="AQ222" s="271" t="str">
        <f>IFERROR(IF(AL221=1,AQ$100*EXP(-(LN(2)/$D$65+0.04)*AN221)*EXP(-(LN(2)/$D$65+0.1)*AO221),IF(AL221=2,AQ$100*EXP(-(LN(2)/$D$65+0.04)*(VLOOKUP(($F$16-$F$15)-1,AK$99:AO221,4,FALSE)))*EXP(-(LN(2)/$D$65+0.1)*(VLOOKUP(($F$16-$F$15)-1,AK$99:AO221,5,FALSE)))*EXP(-(LN(2)/$D$65+0.04)*AN221)*EXP(-(LN(2)/$D$65+0.1)*AO221),IF(AL221=3,AQ$100*EXP(-(LN(2)/$D$65+0.04)*(VLOOKUP(($F$16-$F$15)-1,AK$99:AO221,4,FALSE)))*EXP(-(LN(2)/$D$65+0.1)*(VLOOKUP(($F$16-$F$15)-1,AK$99:AO221,5,FALSE)))*EXP(-(LN(2)/$D$65+0.04)*(VLOOKUP(($F$16-$F$15)*2-1,AK$99:AO221,4,FALSE)))*EXP(-(LN(2)/$D$65+0.1)*(VLOOKUP(($F$16-$F$15)*2-1,AK$99:AO221,5,FALSE)))*EXP(-(LN(2)/$D$65+0.04)*AN221)*EXP(-(LN(2)/$D$65+0.1)*AO221),"-"))),"-")</f>
        <v>-</v>
      </c>
      <c r="AR222" s="271" t="str">
        <f>IFERROR(IF(AL222=1,AR$100*EXP(-(LN(2)/$D$65+0.04)*AN222)*EXP(-(LN(2)/$D$65+0.1)*AO222),IF(AL222=2,AR$100*EXP(-(LN(2)/$D$65+0.04)*(VLOOKUP(($F$16-$F$15)-1,AK$100:AO222,4,FALSE)))*EXP(-(LN(2)/$D$65+0.1)*(VLOOKUP(($F$16-$F$15)-1,AK$100:AO222,5,FALSE)))*EXP(-(LN(2)/$D$65+0.04)*AN222)*EXP(-(LN(2)/$D$65+0.1)*AO222),IF(AL222=3,AR$100*EXP(-(LN(2)/$D$65+0.04)*(VLOOKUP(($F$16-$F$15)-1,AK$100:AO222,4,FALSE)))*EXP(-(LN(2)/$D$65+0.1)*(VLOOKUP(($F$16-$F$15)-1,AK$100:AO222,5,FALSE)))*EXP(-(LN(2)/$D$65+0.04)*(VLOOKUP(($F$16-$F$15)*2-1,AK$100:AO222,4,FALSE)))*EXP(-(LN(2)/$D$65+0.1)*(VLOOKUP(($F$16-$F$15)*2-1,AK$100:AO222,5,FALSE)))*EXP(-(LN(2)/$D$65+0.04)*AN222)*EXP(-(LN(2)/$D$65+0.1)*AO222),"-"))),"-")</f>
        <v>-</v>
      </c>
      <c r="AS222" s="274">
        <f t="shared" si="114"/>
        <v>0</v>
      </c>
      <c r="AT222" s="274">
        <f t="shared" si="115"/>
        <v>0</v>
      </c>
      <c r="AU222" s="274">
        <f t="shared" si="116"/>
        <v>0</v>
      </c>
      <c r="AV222" s="190">
        <f>IF($B222&lt;$F$22,SUM($T$100:$T222),"")</f>
        <v>0</v>
      </c>
      <c r="AW222" s="190" t="str">
        <f t="shared" si="163"/>
        <v>-</v>
      </c>
      <c r="AX222" s="190" t="str">
        <f t="shared" si="142"/>
        <v/>
      </c>
      <c r="AY222"/>
      <c r="AZ222" s="190" t="str">
        <f ca="1">IF(ISNUMBER(OFFSET(AV222,-$F$21,0)),SUM(OFFSET($T$100,$F$21,0):$T222),"")</f>
        <v/>
      </c>
      <c r="BA222" s="190" t="str">
        <f t="shared" ca="1" si="164"/>
        <v/>
      </c>
      <c r="BB222" s="190" t="str">
        <f t="shared" ca="1" si="149"/>
        <v/>
      </c>
      <c r="BC222" s="190"/>
      <c r="BD222" s="190" t="str">
        <f ca="1">IFERROR(IF(AND($B222&gt;=($F$16-$F$15),$B222&lt;$F$22+($F$16-$F$15)),SUM(OFFSET($T$100,($F$16-$F$15),0):$T222),""),"")</f>
        <v/>
      </c>
      <c r="BE222" s="190" t="str">
        <f t="shared" ca="1" si="143"/>
        <v/>
      </c>
      <c r="BF222" s="190" t="str">
        <f t="shared" ca="1" si="144"/>
        <v/>
      </c>
      <c r="BG222"/>
      <c r="BH222" s="190" t="str">
        <f ca="1">IF(ISNUMBER(OFFSET(BD222,-$F$21,0)),SUM(OFFSET($T$100,($F$16-$F$15+$F$21),0):$T222),"")</f>
        <v/>
      </c>
      <c r="BI222" s="190" t="str">
        <f t="shared" ca="1" si="165"/>
        <v/>
      </c>
      <c r="BJ222" s="190" t="str">
        <f t="shared" ca="1" si="145"/>
        <v/>
      </c>
      <c r="BK222" s="190"/>
      <c r="BL222" s="190" t="str">
        <f ca="1">IFERROR(IF(AND($B222&gt;=($F$17-$F$15),$B222&lt;$F$22+($F$17-$F$15)),SUM(OFFSET($T$100,($F$17-$F$15),0):$T222),""),"")</f>
        <v/>
      </c>
      <c r="BM222" s="190" t="str">
        <f t="shared" ca="1" si="166"/>
        <v/>
      </c>
      <c r="BN222" s="190" t="str">
        <f t="shared" ca="1" si="146"/>
        <v/>
      </c>
      <c r="BO222"/>
      <c r="BP222" s="190" t="str">
        <f ca="1">IF(ISNUMBER(OFFSET(BL222,-$F$21,0)),SUM(OFFSET($T$100,($F$17-$F$15+$F$21),0):$T222),"")</f>
        <v/>
      </c>
      <c r="BQ222" s="190" t="str">
        <f t="shared" ca="1" si="167"/>
        <v/>
      </c>
      <c r="BR222" s="190" t="str">
        <f t="shared" ca="1" si="147"/>
        <v/>
      </c>
      <c r="BS222" s="190"/>
      <c r="BT222"/>
      <c r="BU222"/>
      <c r="BV222"/>
      <c r="BY222" s="99"/>
      <c r="BZ222" s="99"/>
      <c r="CA222" s="280" t="str">
        <f t="shared" si="168"/>
        <v/>
      </c>
      <c r="CB222" s="71" t="str">
        <f t="shared" si="123"/>
        <v>-</v>
      </c>
      <c r="CC222" s="33"/>
      <c r="CD222" s="261" t="str">
        <f t="shared" si="124"/>
        <v/>
      </c>
      <c r="CE222" s="280" t="str">
        <f t="shared" si="169"/>
        <v>-</v>
      </c>
      <c r="CF222" s="71" t="str">
        <f t="shared" ca="1" si="170"/>
        <v>-</v>
      </c>
      <c r="CG222" s="33" t="str">
        <f t="shared" si="127"/>
        <v>122-123</v>
      </c>
      <c r="CH222" s="261" t="str">
        <f t="shared" ca="1" si="128"/>
        <v/>
      </c>
    </row>
    <row r="223" spans="2:86" ht="13.5" customHeight="1" x14ac:dyDescent="0.2">
      <c r="B223" s="262">
        <v>123</v>
      </c>
      <c r="C223" s="237" t="str">
        <f t="shared" si="150"/>
        <v/>
      </c>
      <c r="D223" s="237" t="str">
        <f t="shared" si="148"/>
        <v>-</v>
      </c>
      <c r="E223" s="263" t="str">
        <f t="shared" si="129"/>
        <v/>
      </c>
      <c r="F223" s="264" t="str">
        <f t="shared" si="130"/>
        <v/>
      </c>
      <c r="G223" s="264" t="str">
        <f t="shared" si="131"/>
        <v/>
      </c>
      <c r="H223" s="240" t="str">
        <f t="shared" si="151"/>
        <v/>
      </c>
      <c r="I223" s="265" t="str">
        <f t="shared" si="152"/>
        <v/>
      </c>
      <c r="J223" s="265" t="str">
        <f t="shared" si="153"/>
        <v/>
      </c>
      <c r="K223" s="240" t="str">
        <f t="shared" si="154"/>
        <v/>
      </c>
      <c r="L223" s="265" t="str">
        <f t="shared" si="155"/>
        <v/>
      </c>
      <c r="M223" s="265" t="str">
        <f t="shared" si="156"/>
        <v/>
      </c>
      <c r="N223" s="240" t="str">
        <f t="shared" si="157"/>
        <v>-</v>
      </c>
      <c r="O223" s="265" t="str">
        <f t="shared" si="158"/>
        <v>-</v>
      </c>
      <c r="P223" s="265" t="str">
        <f t="shared" si="159"/>
        <v>-</v>
      </c>
      <c r="Q223" s="266" t="str">
        <f t="shared" si="160"/>
        <v>-</v>
      </c>
      <c r="R223" s="267" t="str">
        <f t="shared" si="161"/>
        <v>-</v>
      </c>
      <c r="S223" s="268" t="str">
        <f t="shared" si="162"/>
        <v>-</v>
      </c>
      <c r="T223" s="269" t="str">
        <f t="shared" si="105"/>
        <v/>
      </c>
      <c r="U223" s="221">
        <f t="shared" si="106"/>
        <v>123</v>
      </c>
      <c r="V223" s="220" t="str">
        <f t="shared" si="132"/>
        <v>-</v>
      </c>
      <c r="W223" s="221" t="str">
        <f t="shared" si="133"/>
        <v>-</v>
      </c>
      <c r="X223" s="221" t="str">
        <f t="shared" si="107"/>
        <v>-</v>
      </c>
      <c r="Y223" s="221" t="str">
        <f t="shared" si="108"/>
        <v>-</v>
      </c>
      <c r="Z223" s="270">
        <f t="shared" si="134"/>
        <v>0.1</v>
      </c>
      <c r="AA223" s="271" t="str">
        <f>IFERROR(IF(V222=1,AA$100*EXP(-(LN(2)/$D$65+0.04)*X222)*EXP(-(LN(2)/$D$65+0.1)*Y222),IF(V222=2,AA$100*EXP(-(LN(2)/$D$65+0.04)*(VLOOKUP(($F$16-$F$15)-1,U$99:Y222,4,FALSE)))*EXP(-(LN(2)/$D$65+0.1)*(VLOOKUP(($F$16-$F$15)-1,U$99:Y222,5,FALSE)))*EXP(-(LN(2)/$D$65+0.04)*X222)*EXP(-(LN(2)/$D$65+0.1)*Y222),IF(V222=3,AA$100*EXP(-(LN(2)/$D$65+0.04)*(VLOOKUP(($F$16-$F$15)-1,U$99:Y222,4,FALSE)))*EXP(-(LN(2)/$D$65+0.1)*(VLOOKUP(($F$16-$F$15)-1,U$99:Y222,5,FALSE)))*EXP(-(LN(2)/$D$65+0.04)*(VLOOKUP(($F$16-$F$15)*2-1,U$99:Y222,4,FALSE)))*EXP(-(LN(2)/$D$65+0.1)*(VLOOKUP(($F$16-$F$15)*2-1,U$99:Y222,5,FALSE)))*EXP(-(LN(2)/$D$65+0.04)*X222)*EXP(-(LN(2)/$D$65+0.1)*Y222),"-"))),"-")</f>
        <v>-</v>
      </c>
      <c r="AB223" s="271" t="str">
        <f>IFERROR(IF(V223=1,AB$100*EXP(-(LN(2)/$D$65+0.04)*X223)*EXP(-(LN(2)/$D$65+0.1)*Y223),IF(V223=2,AB$100*EXP(-(LN(2)/$D$65+0.04)*(VLOOKUP(($F$16-$F$15)-1,U$100:Y223,4,FALSE)))*EXP(-(LN(2)/$D$65+0.1)*(VLOOKUP(($F$16-$F$15)-1,U$100:Y223,5,FALSE)))*EXP(-(LN(2)/$D$65+0.04)*X223)*EXP(-(LN(2)/$D$65+0.1)*Y223),IF(V223=3,AB$100*EXP(-(LN(2)/$D$65+0.04)*(VLOOKUP(($F$16-$F$15)-1,U$100:Y223,4,FALSE)))*EXP(-(LN(2)/$D$65+0.1)*(VLOOKUP(($F$16-$F$15)-1,U$100:Y223,5,FALSE)))*EXP(-(LN(2)/$D$65+0.04)*(VLOOKUP(($F$16-$F$15)*2-1,U$100:Y223,4,FALSE)))*EXP(-(LN(2)/$D$65+0.1)*(VLOOKUP(($F$16-$F$15)*2-1,U$100:Y223,5,FALSE)))*EXP(-(LN(2)/$D$65+0.04)*X223)*EXP(-(LN(2)/$D$65+0.1)*Y223),"-"))),"-")</f>
        <v>-</v>
      </c>
      <c r="AC223" s="224">
        <f t="shared" si="135"/>
        <v>123</v>
      </c>
      <c r="AD223" s="223" t="str">
        <f t="shared" si="109"/>
        <v>-</v>
      </c>
      <c r="AE223" s="224" t="str">
        <f t="shared" si="136"/>
        <v>-</v>
      </c>
      <c r="AF223" s="224" t="str">
        <f t="shared" si="110"/>
        <v>-</v>
      </c>
      <c r="AG223" s="224" t="str">
        <f t="shared" si="111"/>
        <v>-</v>
      </c>
      <c r="AH223" s="272">
        <f t="shared" si="137"/>
        <v>0.1</v>
      </c>
      <c r="AI223" s="271" t="str">
        <f>IFERROR(IF(AD222=1,AI$100*EXP(-(LN(2)/$D$65+0.04)*AF222)*EXP(-(LN(2)/$D$65+0.1)*AG222),IF(AD222=2,AI$100*EXP(-(LN(2)/$D$65+0.04)*(VLOOKUP(($F$16-$F$15)-1,AC$99:AG222,4,FALSE)))*EXP(-(LN(2)/$D$65+0.1)*(VLOOKUP(($F$16-$F$15)-1,AC$99:AG222,5,FALSE)))*EXP(-(LN(2)/$D$65+0.04)*AF222)*EXP(-(LN(2)/$D$65+0.1)*AG222),IF(AD222=3,AI$100*EXP(-(LN(2)/$D$65+0.04)*(VLOOKUP(($F$16-$F$15)-1,AC$99:AG222,4,FALSE)))*EXP(-(LN(2)/$D$65+0.1)*(VLOOKUP(($F$16-$F$15)-1,AC$99:AG222,5,FALSE)))*EXP(-(LN(2)/$D$65+0.04)*(VLOOKUP(($F$16-$F$15)*2-1,AC$99:AG222,4,FALSE)))*EXP(-(LN(2)/$D$65+0.1)*(VLOOKUP(($F$16-$F$15)*2-1,AC$99:AG222,5,FALSE)))*EXP(-(LN(2)/$D$65+0.04)*AF222)*EXP(-(LN(2)/$D$65+0.1)*AG222),"-"))),"-")</f>
        <v>-</v>
      </c>
      <c r="AJ223" s="271" t="str">
        <f>IFERROR(IF(AD223=1,AJ$100*EXP(-(LN(2)/$D$65+0.04)*AF223)*EXP(-(LN(2)/$D$65+0.1)*AG223),IF(AD223=2,AJ$100*EXP(-(LN(2)/$D$65+0.04)*(VLOOKUP(($F$16-$F$15)-1,AC$100:AG223,4,FALSE)))*EXP(-(LN(2)/$D$65+0.1)*(VLOOKUP(($F$16-$F$15)-1,AC$100:AG223,5,FALSE)))*EXP(-(LN(2)/$D$65+0.04)*AF223)*EXP(-(LN(2)/$D$65+0.1)*AG223),IF(AD223=3,AJ$100*EXP(-(LN(2)/$D$65+0.04)*(VLOOKUP(($F$16-$F$15)-1,AC$100:AG223,4,FALSE)))*EXP(-(LN(2)/$D$65+0.1)*(VLOOKUP(($F$16-$F$15)-1,AC$100:AG223,5,FALSE)))*EXP(-(LN(2)/$D$65+0.04)*(VLOOKUP(($F$16-$F$15)*2-1,AC$100:AG223,4,FALSE)))*EXP(-(LN(2)/$D$65+0.1)*(VLOOKUP(($F$16-$F$15)*2-1,AC$100:AG223,5,FALSE)))*EXP(-(LN(2)/$D$65+0.04)*AF223)*EXP(-(LN(2)/$D$65+0.1)*AG223),"-"))),"-")</f>
        <v>-</v>
      </c>
      <c r="AK223" s="227">
        <f t="shared" si="138"/>
        <v>123</v>
      </c>
      <c r="AL223" s="226" t="str">
        <f t="shared" si="112"/>
        <v>-</v>
      </c>
      <c r="AM223" s="227" t="str">
        <f t="shared" si="139"/>
        <v>-</v>
      </c>
      <c r="AN223" s="227" t="str">
        <f t="shared" si="140"/>
        <v>-</v>
      </c>
      <c r="AO223" s="227" t="str">
        <f t="shared" si="113"/>
        <v>-</v>
      </c>
      <c r="AP223" s="273">
        <f t="shared" si="141"/>
        <v>0.1</v>
      </c>
      <c r="AQ223" s="271" t="str">
        <f>IFERROR(IF(AL222=1,AQ$100*EXP(-(LN(2)/$D$65+0.04)*AN222)*EXP(-(LN(2)/$D$65+0.1)*AO222),IF(AL222=2,AQ$100*EXP(-(LN(2)/$D$65+0.04)*(VLOOKUP(($F$16-$F$15)-1,AK$99:AO222,4,FALSE)))*EXP(-(LN(2)/$D$65+0.1)*(VLOOKUP(($F$16-$F$15)-1,AK$99:AO222,5,FALSE)))*EXP(-(LN(2)/$D$65+0.04)*AN222)*EXP(-(LN(2)/$D$65+0.1)*AO222),IF(AL222=3,AQ$100*EXP(-(LN(2)/$D$65+0.04)*(VLOOKUP(($F$16-$F$15)-1,AK$99:AO222,4,FALSE)))*EXP(-(LN(2)/$D$65+0.1)*(VLOOKUP(($F$16-$F$15)-1,AK$99:AO222,5,FALSE)))*EXP(-(LN(2)/$D$65+0.04)*(VLOOKUP(($F$16-$F$15)*2-1,AK$99:AO222,4,FALSE)))*EXP(-(LN(2)/$D$65+0.1)*(VLOOKUP(($F$16-$F$15)*2-1,AK$99:AO222,5,FALSE)))*EXP(-(LN(2)/$D$65+0.04)*AN222)*EXP(-(LN(2)/$D$65+0.1)*AO222),"-"))),"-")</f>
        <v>-</v>
      </c>
      <c r="AR223" s="271" t="str">
        <f>IFERROR(IF(AL223=1,AR$100*EXP(-(LN(2)/$D$65+0.04)*AN223)*EXP(-(LN(2)/$D$65+0.1)*AO223),IF(AL223=2,AR$100*EXP(-(LN(2)/$D$65+0.04)*(VLOOKUP(($F$16-$F$15)-1,AK$100:AO223,4,FALSE)))*EXP(-(LN(2)/$D$65+0.1)*(VLOOKUP(($F$16-$F$15)-1,AK$100:AO223,5,FALSE)))*EXP(-(LN(2)/$D$65+0.04)*AN223)*EXP(-(LN(2)/$D$65+0.1)*AO223),IF(AL223=3,AR$100*EXP(-(LN(2)/$D$65+0.04)*(VLOOKUP(($F$16-$F$15)-1,AK$100:AO223,4,FALSE)))*EXP(-(LN(2)/$D$65+0.1)*(VLOOKUP(($F$16-$F$15)-1,AK$100:AO223,5,FALSE)))*EXP(-(LN(2)/$D$65+0.04)*(VLOOKUP(($F$16-$F$15)*2-1,AK$100:AO223,4,FALSE)))*EXP(-(LN(2)/$D$65+0.1)*(VLOOKUP(($F$16-$F$15)*2-1,AK$100:AO223,5,FALSE)))*EXP(-(LN(2)/$D$65+0.04)*AN223)*EXP(-(LN(2)/$D$65+0.1)*AO223),"-"))),"-")</f>
        <v>-</v>
      </c>
      <c r="AS223" s="274">
        <f t="shared" si="114"/>
        <v>0</v>
      </c>
      <c r="AT223" s="274">
        <f t="shared" si="115"/>
        <v>0</v>
      </c>
      <c r="AU223" s="274">
        <f t="shared" si="116"/>
        <v>0</v>
      </c>
      <c r="AV223" s="190">
        <f>IF($B223&lt;$F$22,SUM($T$100:$T223),"")</f>
        <v>0</v>
      </c>
      <c r="AW223" s="190" t="str">
        <f t="shared" si="163"/>
        <v>-</v>
      </c>
      <c r="AX223" s="190" t="str">
        <f t="shared" si="142"/>
        <v/>
      </c>
      <c r="AY223"/>
      <c r="AZ223" s="190" t="str">
        <f ca="1">IF(ISNUMBER(OFFSET(AV223,-$F$21,0)),SUM(OFFSET($T$100,$F$21,0):$T223),"")</f>
        <v/>
      </c>
      <c r="BA223" s="190" t="str">
        <f t="shared" ca="1" si="164"/>
        <v/>
      </c>
      <c r="BB223" s="190" t="str">
        <f t="shared" ca="1" si="149"/>
        <v/>
      </c>
      <c r="BC223" s="190"/>
      <c r="BD223" s="190" t="str">
        <f ca="1">IFERROR(IF(AND($B223&gt;=($F$16-$F$15),$B223&lt;$F$22+($F$16-$F$15)),SUM(OFFSET($T$100,($F$16-$F$15),0):$T223),""),"")</f>
        <v/>
      </c>
      <c r="BE223" s="190" t="str">
        <f t="shared" ca="1" si="143"/>
        <v/>
      </c>
      <c r="BF223" s="190" t="str">
        <f t="shared" ca="1" si="144"/>
        <v/>
      </c>
      <c r="BG223"/>
      <c r="BH223" s="190" t="str">
        <f ca="1">IF(ISNUMBER(OFFSET(BD223,-$F$21,0)),SUM(OFFSET($T$100,($F$16-$F$15+$F$21),0):$T223),"")</f>
        <v/>
      </c>
      <c r="BI223" s="190" t="str">
        <f t="shared" ca="1" si="165"/>
        <v/>
      </c>
      <c r="BJ223" s="190" t="str">
        <f t="shared" ca="1" si="145"/>
        <v/>
      </c>
      <c r="BK223" s="190"/>
      <c r="BL223" s="190" t="str">
        <f ca="1">IFERROR(IF(AND($B223&gt;=($F$17-$F$15),$B223&lt;$F$22+($F$17-$F$15)),SUM(OFFSET($T$100,($F$17-$F$15),0):$T223),""),"")</f>
        <v/>
      </c>
      <c r="BM223" s="190" t="str">
        <f t="shared" ca="1" si="166"/>
        <v/>
      </c>
      <c r="BN223" s="190" t="str">
        <f t="shared" ca="1" si="146"/>
        <v/>
      </c>
      <c r="BO223"/>
      <c r="BP223" s="190" t="str">
        <f ca="1">IF(ISNUMBER(OFFSET(BL223,-$F$21,0)),SUM(OFFSET($T$100,($F$17-$F$15+$F$21),0):$T223),"")</f>
        <v/>
      </c>
      <c r="BQ223" s="190" t="str">
        <f t="shared" ca="1" si="167"/>
        <v/>
      </c>
      <c r="BR223" s="190" t="str">
        <f t="shared" ca="1" si="147"/>
        <v/>
      </c>
      <c r="BS223" s="190"/>
      <c r="BT223"/>
      <c r="BU223"/>
      <c r="BV223"/>
      <c r="BY223" s="99"/>
      <c r="BZ223" s="99"/>
      <c r="CA223" s="280" t="str">
        <f t="shared" si="168"/>
        <v/>
      </c>
      <c r="CB223" s="71" t="str">
        <f t="shared" si="123"/>
        <v>-</v>
      </c>
      <c r="CC223" s="33"/>
      <c r="CD223" s="261" t="str">
        <f t="shared" si="124"/>
        <v/>
      </c>
      <c r="CE223" s="280" t="str">
        <f t="shared" si="169"/>
        <v>-</v>
      </c>
      <c r="CF223" s="71" t="str">
        <f t="shared" ca="1" si="170"/>
        <v>-</v>
      </c>
      <c r="CG223" s="33" t="str">
        <f t="shared" si="127"/>
        <v>123-124</v>
      </c>
      <c r="CH223" s="261" t="str">
        <f t="shared" ca="1" si="128"/>
        <v/>
      </c>
    </row>
    <row r="224" spans="2:86" ht="13.5" customHeight="1" x14ac:dyDescent="0.2">
      <c r="B224" s="262">
        <v>124</v>
      </c>
      <c r="C224" s="237" t="str">
        <f t="shared" si="150"/>
        <v/>
      </c>
      <c r="D224" s="237" t="str">
        <f t="shared" si="148"/>
        <v>-</v>
      </c>
      <c r="E224" s="263" t="str">
        <f t="shared" si="129"/>
        <v/>
      </c>
      <c r="F224" s="264" t="str">
        <f t="shared" si="130"/>
        <v/>
      </c>
      <c r="G224" s="264" t="str">
        <f t="shared" si="131"/>
        <v/>
      </c>
      <c r="H224" s="240" t="str">
        <f t="shared" si="151"/>
        <v/>
      </c>
      <c r="I224" s="265" t="str">
        <f t="shared" si="152"/>
        <v/>
      </c>
      <c r="J224" s="265" t="str">
        <f t="shared" si="153"/>
        <v/>
      </c>
      <c r="K224" s="240" t="str">
        <f t="shared" si="154"/>
        <v/>
      </c>
      <c r="L224" s="265" t="str">
        <f t="shared" si="155"/>
        <v/>
      </c>
      <c r="M224" s="265" t="str">
        <f t="shared" si="156"/>
        <v/>
      </c>
      <c r="N224" s="240" t="str">
        <f t="shared" si="157"/>
        <v>-</v>
      </c>
      <c r="O224" s="265" t="str">
        <f t="shared" si="158"/>
        <v>-</v>
      </c>
      <c r="P224" s="265" t="str">
        <f t="shared" si="159"/>
        <v>-</v>
      </c>
      <c r="Q224" s="266" t="str">
        <f t="shared" si="160"/>
        <v>-</v>
      </c>
      <c r="R224" s="267" t="str">
        <f t="shared" si="161"/>
        <v>-</v>
      </c>
      <c r="S224" s="268" t="str">
        <f t="shared" si="162"/>
        <v>-</v>
      </c>
      <c r="T224" s="269" t="str">
        <f t="shared" si="105"/>
        <v/>
      </c>
      <c r="U224" s="221">
        <f t="shared" si="106"/>
        <v>124</v>
      </c>
      <c r="V224" s="220" t="str">
        <f t="shared" si="132"/>
        <v>-</v>
      </c>
      <c r="W224" s="221" t="str">
        <f t="shared" si="133"/>
        <v>-</v>
      </c>
      <c r="X224" s="221" t="str">
        <f t="shared" si="107"/>
        <v>-</v>
      </c>
      <c r="Y224" s="221" t="str">
        <f t="shared" si="108"/>
        <v>-</v>
      </c>
      <c r="Z224" s="270">
        <f t="shared" si="134"/>
        <v>0.1</v>
      </c>
      <c r="AA224" s="271" t="str">
        <f>IFERROR(IF(V223=1,AA$100*EXP(-(LN(2)/$D$65+0.04)*X223)*EXP(-(LN(2)/$D$65+0.1)*Y223),IF(V223=2,AA$100*EXP(-(LN(2)/$D$65+0.04)*(VLOOKUP(($F$16-$F$15)-1,U$99:Y223,4,FALSE)))*EXP(-(LN(2)/$D$65+0.1)*(VLOOKUP(($F$16-$F$15)-1,U$99:Y223,5,FALSE)))*EXP(-(LN(2)/$D$65+0.04)*X223)*EXP(-(LN(2)/$D$65+0.1)*Y223),IF(V223=3,AA$100*EXP(-(LN(2)/$D$65+0.04)*(VLOOKUP(($F$16-$F$15)-1,U$99:Y223,4,FALSE)))*EXP(-(LN(2)/$D$65+0.1)*(VLOOKUP(($F$16-$F$15)-1,U$99:Y223,5,FALSE)))*EXP(-(LN(2)/$D$65+0.04)*(VLOOKUP(($F$16-$F$15)*2-1,U$99:Y223,4,FALSE)))*EXP(-(LN(2)/$D$65+0.1)*(VLOOKUP(($F$16-$F$15)*2-1,U$99:Y223,5,FALSE)))*EXP(-(LN(2)/$D$65+0.04)*X223)*EXP(-(LN(2)/$D$65+0.1)*Y223),"-"))),"-")</f>
        <v>-</v>
      </c>
      <c r="AB224" s="271" t="str">
        <f>IFERROR(IF(V224=1,AB$100*EXP(-(LN(2)/$D$65+0.04)*X224)*EXP(-(LN(2)/$D$65+0.1)*Y224),IF(V224=2,AB$100*EXP(-(LN(2)/$D$65+0.04)*(VLOOKUP(($F$16-$F$15)-1,U$100:Y224,4,FALSE)))*EXP(-(LN(2)/$D$65+0.1)*(VLOOKUP(($F$16-$F$15)-1,U$100:Y224,5,FALSE)))*EXP(-(LN(2)/$D$65+0.04)*X224)*EXP(-(LN(2)/$D$65+0.1)*Y224),IF(V224=3,AB$100*EXP(-(LN(2)/$D$65+0.04)*(VLOOKUP(($F$16-$F$15)-1,U$100:Y224,4,FALSE)))*EXP(-(LN(2)/$D$65+0.1)*(VLOOKUP(($F$16-$F$15)-1,U$100:Y224,5,FALSE)))*EXP(-(LN(2)/$D$65+0.04)*(VLOOKUP(($F$16-$F$15)*2-1,U$100:Y224,4,FALSE)))*EXP(-(LN(2)/$D$65+0.1)*(VLOOKUP(($F$16-$F$15)*2-1,U$100:Y224,5,FALSE)))*EXP(-(LN(2)/$D$65+0.04)*X224)*EXP(-(LN(2)/$D$65+0.1)*Y224),"-"))),"-")</f>
        <v>-</v>
      </c>
      <c r="AC224" s="224">
        <f t="shared" si="135"/>
        <v>124</v>
      </c>
      <c r="AD224" s="223" t="str">
        <f t="shared" si="109"/>
        <v>-</v>
      </c>
      <c r="AE224" s="224" t="str">
        <f t="shared" si="136"/>
        <v>-</v>
      </c>
      <c r="AF224" s="224" t="str">
        <f t="shared" si="110"/>
        <v>-</v>
      </c>
      <c r="AG224" s="224" t="str">
        <f t="shared" si="111"/>
        <v>-</v>
      </c>
      <c r="AH224" s="272">
        <f t="shared" si="137"/>
        <v>0.1</v>
      </c>
      <c r="AI224" s="271" t="str">
        <f>IFERROR(IF(AD223=1,AI$100*EXP(-(LN(2)/$D$65+0.04)*AF223)*EXP(-(LN(2)/$D$65+0.1)*AG223),IF(AD223=2,AI$100*EXP(-(LN(2)/$D$65+0.04)*(VLOOKUP(($F$16-$F$15)-1,AC$99:AG223,4,FALSE)))*EXP(-(LN(2)/$D$65+0.1)*(VLOOKUP(($F$16-$F$15)-1,AC$99:AG223,5,FALSE)))*EXP(-(LN(2)/$D$65+0.04)*AF223)*EXP(-(LN(2)/$D$65+0.1)*AG223),IF(AD223=3,AI$100*EXP(-(LN(2)/$D$65+0.04)*(VLOOKUP(($F$16-$F$15)-1,AC$99:AG223,4,FALSE)))*EXP(-(LN(2)/$D$65+0.1)*(VLOOKUP(($F$16-$F$15)-1,AC$99:AG223,5,FALSE)))*EXP(-(LN(2)/$D$65+0.04)*(VLOOKUP(($F$16-$F$15)*2-1,AC$99:AG223,4,FALSE)))*EXP(-(LN(2)/$D$65+0.1)*(VLOOKUP(($F$16-$F$15)*2-1,AC$99:AG223,5,FALSE)))*EXP(-(LN(2)/$D$65+0.04)*AF223)*EXP(-(LN(2)/$D$65+0.1)*AG223),"-"))),"-")</f>
        <v>-</v>
      </c>
      <c r="AJ224" s="271" t="str">
        <f>IFERROR(IF(AD224=1,AJ$100*EXP(-(LN(2)/$D$65+0.04)*AF224)*EXP(-(LN(2)/$D$65+0.1)*AG224),IF(AD224=2,AJ$100*EXP(-(LN(2)/$D$65+0.04)*(VLOOKUP(($F$16-$F$15)-1,AC$100:AG224,4,FALSE)))*EXP(-(LN(2)/$D$65+0.1)*(VLOOKUP(($F$16-$F$15)-1,AC$100:AG224,5,FALSE)))*EXP(-(LN(2)/$D$65+0.04)*AF224)*EXP(-(LN(2)/$D$65+0.1)*AG224),IF(AD224=3,AJ$100*EXP(-(LN(2)/$D$65+0.04)*(VLOOKUP(($F$16-$F$15)-1,AC$100:AG224,4,FALSE)))*EXP(-(LN(2)/$D$65+0.1)*(VLOOKUP(($F$16-$F$15)-1,AC$100:AG224,5,FALSE)))*EXP(-(LN(2)/$D$65+0.04)*(VLOOKUP(($F$16-$F$15)*2-1,AC$100:AG224,4,FALSE)))*EXP(-(LN(2)/$D$65+0.1)*(VLOOKUP(($F$16-$F$15)*2-1,AC$100:AG224,5,FALSE)))*EXP(-(LN(2)/$D$65+0.04)*AF224)*EXP(-(LN(2)/$D$65+0.1)*AG224),"-"))),"-")</f>
        <v>-</v>
      </c>
      <c r="AK224" s="227">
        <f t="shared" si="138"/>
        <v>124</v>
      </c>
      <c r="AL224" s="226" t="str">
        <f t="shared" si="112"/>
        <v>-</v>
      </c>
      <c r="AM224" s="227" t="str">
        <f t="shared" si="139"/>
        <v>-</v>
      </c>
      <c r="AN224" s="227" t="str">
        <f t="shared" si="140"/>
        <v>-</v>
      </c>
      <c r="AO224" s="227" t="str">
        <f t="shared" si="113"/>
        <v>-</v>
      </c>
      <c r="AP224" s="273">
        <f t="shared" si="141"/>
        <v>0.1</v>
      </c>
      <c r="AQ224" s="271" t="str">
        <f>IFERROR(IF(AL223=1,AQ$100*EXP(-(LN(2)/$D$65+0.04)*AN223)*EXP(-(LN(2)/$D$65+0.1)*AO223),IF(AL223=2,AQ$100*EXP(-(LN(2)/$D$65+0.04)*(VLOOKUP(($F$16-$F$15)-1,AK$99:AO223,4,FALSE)))*EXP(-(LN(2)/$D$65+0.1)*(VLOOKUP(($F$16-$F$15)-1,AK$99:AO223,5,FALSE)))*EXP(-(LN(2)/$D$65+0.04)*AN223)*EXP(-(LN(2)/$D$65+0.1)*AO223),IF(AL223=3,AQ$100*EXP(-(LN(2)/$D$65+0.04)*(VLOOKUP(($F$16-$F$15)-1,AK$99:AO223,4,FALSE)))*EXP(-(LN(2)/$D$65+0.1)*(VLOOKUP(($F$16-$F$15)-1,AK$99:AO223,5,FALSE)))*EXP(-(LN(2)/$D$65+0.04)*(VLOOKUP(($F$16-$F$15)*2-1,AK$99:AO223,4,FALSE)))*EXP(-(LN(2)/$D$65+0.1)*(VLOOKUP(($F$16-$F$15)*2-1,AK$99:AO223,5,FALSE)))*EXP(-(LN(2)/$D$65+0.04)*AN223)*EXP(-(LN(2)/$D$65+0.1)*AO223),"-"))),"-")</f>
        <v>-</v>
      </c>
      <c r="AR224" s="271" t="str">
        <f>IFERROR(IF(AL224=1,AR$100*EXP(-(LN(2)/$D$65+0.04)*AN224)*EXP(-(LN(2)/$D$65+0.1)*AO224),IF(AL224=2,AR$100*EXP(-(LN(2)/$D$65+0.04)*(VLOOKUP(($F$16-$F$15)-1,AK$100:AO224,4,FALSE)))*EXP(-(LN(2)/$D$65+0.1)*(VLOOKUP(($F$16-$F$15)-1,AK$100:AO224,5,FALSE)))*EXP(-(LN(2)/$D$65+0.04)*AN224)*EXP(-(LN(2)/$D$65+0.1)*AO224),IF(AL224=3,AR$100*EXP(-(LN(2)/$D$65+0.04)*(VLOOKUP(($F$16-$F$15)-1,AK$100:AO224,4,FALSE)))*EXP(-(LN(2)/$D$65+0.1)*(VLOOKUP(($F$16-$F$15)-1,AK$100:AO224,5,FALSE)))*EXP(-(LN(2)/$D$65+0.04)*(VLOOKUP(($F$16-$F$15)*2-1,AK$100:AO224,4,FALSE)))*EXP(-(LN(2)/$D$65+0.1)*(VLOOKUP(($F$16-$F$15)*2-1,AK$100:AO224,5,FALSE)))*EXP(-(LN(2)/$D$65+0.04)*AN224)*EXP(-(LN(2)/$D$65+0.1)*AO224),"-"))),"-")</f>
        <v>-</v>
      </c>
      <c r="AS224" s="274">
        <f t="shared" si="114"/>
        <v>0</v>
      </c>
      <c r="AT224" s="274">
        <f t="shared" si="115"/>
        <v>0</v>
      </c>
      <c r="AU224" s="274">
        <f t="shared" si="116"/>
        <v>0</v>
      </c>
      <c r="AV224" s="190">
        <f>IF($B224&lt;$F$22,SUM($T$100:$T224),"")</f>
        <v>0</v>
      </c>
      <c r="AW224" s="190" t="str">
        <f t="shared" si="163"/>
        <v>-</v>
      </c>
      <c r="AX224" s="190" t="str">
        <f t="shared" si="142"/>
        <v/>
      </c>
      <c r="AY224"/>
      <c r="AZ224" s="190" t="str">
        <f ca="1">IF(ISNUMBER(OFFSET(AV224,-$F$21,0)),SUM(OFFSET($T$100,$F$21,0):$T224),"")</f>
        <v/>
      </c>
      <c r="BA224" s="190" t="str">
        <f t="shared" ca="1" si="164"/>
        <v/>
      </c>
      <c r="BB224" s="190" t="str">
        <f t="shared" ca="1" si="149"/>
        <v/>
      </c>
      <c r="BC224" s="190"/>
      <c r="BD224" s="190" t="str">
        <f ca="1">IFERROR(IF(AND($B224&gt;=($F$16-$F$15),$B224&lt;$F$22+($F$16-$F$15)),SUM(OFFSET($T$100,($F$16-$F$15),0):$T224),""),"")</f>
        <v/>
      </c>
      <c r="BE224" s="190" t="str">
        <f t="shared" ca="1" si="143"/>
        <v/>
      </c>
      <c r="BF224" s="190" t="str">
        <f t="shared" ca="1" si="144"/>
        <v/>
      </c>
      <c r="BG224"/>
      <c r="BH224" s="190" t="str">
        <f ca="1">IF(ISNUMBER(OFFSET(BD224,-$F$21,0)),SUM(OFFSET($T$100,($F$16-$F$15+$F$21),0):$T224),"")</f>
        <v/>
      </c>
      <c r="BI224" s="190" t="str">
        <f t="shared" ca="1" si="165"/>
        <v/>
      </c>
      <c r="BJ224" s="190" t="str">
        <f t="shared" ca="1" si="145"/>
        <v/>
      </c>
      <c r="BK224" s="190"/>
      <c r="BL224" s="190" t="str">
        <f ca="1">IFERROR(IF(AND($B224&gt;=($F$17-$F$15),$B224&lt;$F$22+($F$17-$F$15)),SUM(OFFSET($T$100,($F$17-$F$15),0):$T224),""),"")</f>
        <v/>
      </c>
      <c r="BM224" s="190" t="str">
        <f t="shared" ca="1" si="166"/>
        <v/>
      </c>
      <c r="BN224" s="190" t="str">
        <f t="shared" ca="1" si="146"/>
        <v/>
      </c>
      <c r="BO224"/>
      <c r="BP224" s="190" t="str">
        <f ca="1">IF(ISNUMBER(OFFSET(BL224,-$F$21,0)),SUM(OFFSET($T$100,($F$17-$F$15+$F$21),0):$T224),"")</f>
        <v/>
      </c>
      <c r="BQ224" s="190" t="str">
        <f t="shared" ca="1" si="167"/>
        <v/>
      </c>
      <c r="BR224" s="190" t="str">
        <f t="shared" ca="1" si="147"/>
        <v/>
      </c>
      <c r="BS224" s="190"/>
      <c r="BT224"/>
      <c r="BU224"/>
      <c r="BV224"/>
      <c r="BY224" s="99"/>
      <c r="BZ224" s="99"/>
      <c r="CA224" s="280" t="str">
        <f t="shared" si="168"/>
        <v/>
      </c>
      <c r="CB224" s="71" t="str">
        <f t="shared" si="123"/>
        <v>-</v>
      </c>
      <c r="CC224" s="33"/>
      <c r="CD224" s="261" t="str">
        <f t="shared" si="124"/>
        <v/>
      </c>
      <c r="CE224" s="280" t="str">
        <f t="shared" si="169"/>
        <v>-</v>
      </c>
      <c r="CF224" s="71" t="str">
        <f t="shared" ca="1" si="170"/>
        <v>-</v>
      </c>
      <c r="CG224" s="33" t="str">
        <f t="shared" si="127"/>
        <v>124-125</v>
      </c>
      <c r="CH224" s="261" t="str">
        <f t="shared" ca="1" si="128"/>
        <v/>
      </c>
    </row>
    <row r="225" spans="2:86" ht="13.5" customHeight="1" x14ac:dyDescent="0.2">
      <c r="B225" s="262">
        <v>125</v>
      </c>
      <c r="C225" s="237" t="str">
        <f t="shared" si="150"/>
        <v/>
      </c>
      <c r="D225" s="237" t="str">
        <f t="shared" si="148"/>
        <v>-</v>
      </c>
      <c r="E225" s="263" t="str">
        <f t="shared" si="129"/>
        <v/>
      </c>
      <c r="F225" s="264" t="str">
        <f t="shared" si="130"/>
        <v/>
      </c>
      <c r="G225" s="264" t="str">
        <f t="shared" si="131"/>
        <v/>
      </c>
      <c r="H225" s="240" t="str">
        <f t="shared" si="151"/>
        <v/>
      </c>
      <c r="I225" s="265" t="str">
        <f t="shared" si="152"/>
        <v/>
      </c>
      <c r="J225" s="265" t="str">
        <f t="shared" si="153"/>
        <v/>
      </c>
      <c r="K225" s="240" t="str">
        <f t="shared" si="154"/>
        <v/>
      </c>
      <c r="L225" s="265" t="str">
        <f t="shared" si="155"/>
        <v/>
      </c>
      <c r="M225" s="265" t="str">
        <f t="shared" si="156"/>
        <v/>
      </c>
      <c r="N225" s="240" t="str">
        <f t="shared" si="157"/>
        <v>-</v>
      </c>
      <c r="O225" s="265" t="str">
        <f t="shared" si="158"/>
        <v>-</v>
      </c>
      <c r="P225" s="265" t="str">
        <f t="shared" si="159"/>
        <v>-</v>
      </c>
      <c r="Q225" s="266" t="str">
        <f t="shared" si="160"/>
        <v>-</v>
      </c>
      <c r="R225" s="267" t="str">
        <f t="shared" si="161"/>
        <v>-</v>
      </c>
      <c r="S225" s="268" t="str">
        <f t="shared" si="162"/>
        <v>-</v>
      </c>
      <c r="T225" s="269" t="str">
        <f t="shared" si="105"/>
        <v/>
      </c>
      <c r="U225" s="221">
        <f t="shared" si="106"/>
        <v>125</v>
      </c>
      <c r="V225" s="220" t="str">
        <f t="shared" si="132"/>
        <v>-</v>
      </c>
      <c r="W225" s="221" t="str">
        <f t="shared" si="133"/>
        <v>-</v>
      </c>
      <c r="X225" s="221" t="str">
        <f t="shared" si="107"/>
        <v>-</v>
      </c>
      <c r="Y225" s="221" t="str">
        <f t="shared" si="108"/>
        <v>-</v>
      </c>
      <c r="Z225" s="270">
        <f t="shared" si="134"/>
        <v>0.1</v>
      </c>
      <c r="AA225" s="271" t="str">
        <f>IFERROR(IF(V224=1,AA$100*EXP(-(LN(2)/$D$65+0.04)*X224)*EXP(-(LN(2)/$D$65+0.1)*Y224),IF(V224=2,AA$100*EXP(-(LN(2)/$D$65+0.04)*(VLOOKUP(($F$16-$F$15)-1,U$99:Y224,4,FALSE)))*EXP(-(LN(2)/$D$65+0.1)*(VLOOKUP(($F$16-$F$15)-1,U$99:Y224,5,FALSE)))*EXP(-(LN(2)/$D$65+0.04)*X224)*EXP(-(LN(2)/$D$65+0.1)*Y224),IF(V224=3,AA$100*EXP(-(LN(2)/$D$65+0.04)*(VLOOKUP(($F$16-$F$15)-1,U$99:Y224,4,FALSE)))*EXP(-(LN(2)/$D$65+0.1)*(VLOOKUP(($F$16-$F$15)-1,U$99:Y224,5,FALSE)))*EXP(-(LN(2)/$D$65+0.04)*(VLOOKUP(($F$16-$F$15)*2-1,U$99:Y224,4,FALSE)))*EXP(-(LN(2)/$D$65+0.1)*(VLOOKUP(($F$16-$F$15)*2-1,U$99:Y224,5,FALSE)))*EXP(-(LN(2)/$D$65+0.04)*X224)*EXP(-(LN(2)/$D$65+0.1)*Y224),"-"))),"-")</f>
        <v>-</v>
      </c>
      <c r="AB225" s="271" t="str">
        <f>IFERROR(IF(V225=1,AB$100*EXP(-(LN(2)/$D$65+0.04)*X225)*EXP(-(LN(2)/$D$65+0.1)*Y225),IF(V225=2,AB$100*EXP(-(LN(2)/$D$65+0.04)*(VLOOKUP(($F$16-$F$15)-1,U$100:Y225,4,FALSE)))*EXP(-(LN(2)/$D$65+0.1)*(VLOOKUP(($F$16-$F$15)-1,U$100:Y225,5,FALSE)))*EXP(-(LN(2)/$D$65+0.04)*X225)*EXP(-(LN(2)/$D$65+0.1)*Y225),IF(V225=3,AB$100*EXP(-(LN(2)/$D$65+0.04)*(VLOOKUP(($F$16-$F$15)-1,U$100:Y225,4,FALSE)))*EXP(-(LN(2)/$D$65+0.1)*(VLOOKUP(($F$16-$F$15)-1,U$100:Y225,5,FALSE)))*EXP(-(LN(2)/$D$65+0.04)*(VLOOKUP(($F$16-$F$15)*2-1,U$100:Y225,4,FALSE)))*EXP(-(LN(2)/$D$65+0.1)*(VLOOKUP(($F$16-$F$15)*2-1,U$100:Y225,5,FALSE)))*EXP(-(LN(2)/$D$65+0.04)*X225)*EXP(-(LN(2)/$D$65+0.1)*Y225),"-"))),"-")</f>
        <v>-</v>
      </c>
      <c r="AC225" s="224">
        <f t="shared" si="135"/>
        <v>125</v>
      </c>
      <c r="AD225" s="223" t="str">
        <f t="shared" si="109"/>
        <v>-</v>
      </c>
      <c r="AE225" s="224" t="str">
        <f t="shared" si="136"/>
        <v>-</v>
      </c>
      <c r="AF225" s="224" t="str">
        <f t="shared" si="110"/>
        <v>-</v>
      </c>
      <c r="AG225" s="224" t="str">
        <f t="shared" si="111"/>
        <v>-</v>
      </c>
      <c r="AH225" s="272">
        <f t="shared" si="137"/>
        <v>0.1</v>
      </c>
      <c r="AI225" s="271" t="str">
        <f>IFERROR(IF(AD224=1,AI$100*EXP(-(LN(2)/$D$65+0.04)*AF224)*EXP(-(LN(2)/$D$65+0.1)*AG224),IF(AD224=2,AI$100*EXP(-(LN(2)/$D$65+0.04)*(VLOOKUP(($F$16-$F$15)-1,AC$99:AG224,4,FALSE)))*EXP(-(LN(2)/$D$65+0.1)*(VLOOKUP(($F$16-$F$15)-1,AC$99:AG224,5,FALSE)))*EXP(-(LN(2)/$D$65+0.04)*AF224)*EXP(-(LN(2)/$D$65+0.1)*AG224),IF(AD224=3,AI$100*EXP(-(LN(2)/$D$65+0.04)*(VLOOKUP(($F$16-$F$15)-1,AC$99:AG224,4,FALSE)))*EXP(-(LN(2)/$D$65+0.1)*(VLOOKUP(($F$16-$F$15)-1,AC$99:AG224,5,FALSE)))*EXP(-(LN(2)/$D$65+0.04)*(VLOOKUP(($F$16-$F$15)*2-1,AC$99:AG224,4,FALSE)))*EXP(-(LN(2)/$D$65+0.1)*(VLOOKUP(($F$16-$F$15)*2-1,AC$99:AG224,5,FALSE)))*EXP(-(LN(2)/$D$65+0.04)*AF224)*EXP(-(LN(2)/$D$65+0.1)*AG224),"-"))),"-")</f>
        <v>-</v>
      </c>
      <c r="AJ225" s="271" t="str">
        <f>IFERROR(IF(AD225=1,AJ$100*EXP(-(LN(2)/$D$65+0.04)*AF225)*EXP(-(LN(2)/$D$65+0.1)*AG225),IF(AD225=2,AJ$100*EXP(-(LN(2)/$D$65+0.04)*(VLOOKUP(($F$16-$F$15)-1,AC$100:AG225,4,FALSE)))*EXP(-(LN(2)/$D$65+0.1)*(VLOOKUP(($F$16-$F$15)-1,AC$100:AG225,5,FALSE)))*EXP(-(LN(2)/$D$65+0.04)*AF225)*EXP(-(LN(2)/$D$65+0.1)*AG225),IF(AD225=3,AJ$100*EXP(-(LN(2)/$D$65+0.04)*(VLOOKUP(($F$16-$F$15)-1,AC$100:AG225,4,FALSE)))*EXP(-(LN(2)/$D$65+0.1)*(VLOOKUP(($F$16-$F$15)-1,AC$100:AG225,5,FALSE)))*EXP(-(LN(2)/$D$65+0.04)*(VLOOKUP(($F$16-$F$15)*2-1,AC$100:AG225,4,FALSE)))*EXP(-(LN(2)/$D$65+0.1)*(VLOOKUP(($F$16-$F$15)*2-1,AC$100:AG225,5,FALSE)))*EXP(-(LN(2)/$D$65+0.04)*AF225)*EXP(-(LN(2)/$D$65+0.1)*AG225),"-"))),"-")</f>
        <v>-</v>
      </c>
      <c r="AK225" s="227">
        <f t="shared" si="138"/>
        <v>125</v>
      </c>
      <c r="AL225" s="226" t="str">
        <f t="shared" si="112"/>
        <v>-</v>
      </c>
      <c r="AM225" s="227" t="str">
        <f t="shared" si="139"/>
        <v>-</v>
      </c>
      <c r="AN225" s="227" t="str">
        <f t="shared" si="140"/>
        <v>-</v>
      </c>
      <c r="AO225" s="227" t="str">
        <f t="shared" si="113"/>
        <v>-</v>
      </c>
      <c r="AP225" s="273">
        <f t="shared" si="141"/>
        <v>0.1</v>
      </c>
      <c r="AQ225" s="271" t="str">
        <f>IFERROR(IF(AL224=1,AQ$100*EXP(-(LN(2)/$D$65+0.04)*AN224)*EXP(-(LN(2)/$D$65+0.1)*AO224),IF(AL224=2,AQ$100*EXP(-(LN(2)/$D$65+0.04)*(VLOOKUP(($F$16-$F$15)-1,AK$99:AO224,4,FALSE)))*EXP(-(LN(2)/$D$65+0.1)*(VLOOKUP(($F$16-$F$15)-1,AK$99:AO224,5,FALSE)))*EXP(-(LN(2)/$D$65+0.04)*AN224)*EXP(-(LN(2)/$D$65+0.1)*AO224),IF(AL224=3,AQ$100*EXP(-(LN(2)/$D$65+0.04)*(VLOOKUP(($F$16-$F$15)-1,AK$99:AO224,4,FALSE)))*EXP(-(LN(2)/$D$65+0.1)*(VLOOKUP(($F$16-$F$15)-1,AK$99:AO224,5,FALSE)))*EXP(-(LN(2)/$D$65+0.04)*(VLOOKUP(($F$16-$F$15)*2-1,AK$99:AO224,4,FALSE)))*EXP(-(LN(2)/$D$65+0.1)*(VLOOKUP(($F$16-$F$15)*2-1,AK$99:AO224,5,FALSE)))*EXP(-(LN(2)/$D$65+0.04)*AN224)*EXP(-(LN(2)/$D$65+0.1)*AO224),"-"))),"-")</f>
        <v>-</v>
      </c>
      <c r="AR225" s="271" t="str">
        <f>IFERROR(IF(AL225=1,AR$100*EXP(-(LN(2)/$D$65+0.04)*AN225)*EXP(-(LN(2)/$D$65+0.1)*AO225),IF(AL225=2,AR$100*EXP(-(LN(2)/$D$65+0.04)*(VLOOKUP(($F$16-$F$15)-1,AK$100:AO225,4,FALSE)))*EXP(-(LN(2)/$D$65+0.1)*(VLOOKUP(($F$16-$F$15)-1,AK$100:AO225,5,FALSE)))*EXP(-(LN(2)/$D$65+0.04)*AN225)*EXP(-(LN(2)/$D$65+0.1)*AO225),IF(AL225=3,AR$100*EXP(-(LN(2)/$D$65+0.04)*(VLOOKUP(($F$16-$F$15)-1,AK$100:AO225,4,FALSE)))*EXP(-(LN(2)/$D$65+0.1)*(VLOOKUP(($F$16-$F$15)-1,AK$100:AO225,5,FALSE)))*EXP(-(LN(2)/$D$65+0.04)*(VLOOKUP(($F$16-$F$15)*2-1,AK$100:AO225,4,FALSE)))*EXP(-(LN(2)/$D$65+0.1)*(VLOOKUP(($F$16-$F$15)*2-1,AK$100:AO225,5,FALSE)))*EXP(-(LN(2)/$D$65+0.04)*AN225)*EXP(-(LN(2)/$D$65+0.1)*AO225),"-"))),"-")</f>
        <v>-</v>
      </c>
      <c r="AS225" s="274">
        <f t="shared" si="114"/>
        <v>0</v>
      </c>
      <c r="AT225" s="274">
        <f t="shared" si="115"/>
        <v>0</v>
      </c>
      <c r="AU225" s="274">
        <f t="shared" si="116"/>
        <v>0</v>
      </c>
      <c r="AV225" s="190">
        <f>IF($B225&lt;$F$22,SUM($T$100:$T225),"")</f>
        <v>0</v>
      </c>
      <c r="AW225" s="190" t="str">
        <f t="shared" si="163"/>
        <v>-</v>
      </c>
      <c r="AX225" s="190" t="str">
        <f t="shared" si="142"/>
        <v/>
      </c>
      <c r="AY225"/>
      <c r="AZ225" s="190" t="str">
        <f ca="1">IF(ISNUMBER(OFFSET(AV225,-$F$21,0)),SUM(OFFSET($T$100,$F$21,0):$T225),"")</f>
        <v/>
      </c>
      <c r="BA225" s="190" t="str">
        <f t="shared" ca="1" si="164"/>
        <v/>
      </c>
      <c r="BB225" s="190" t="str">
        <f t="shared" ca="1" si="149"/>
        <v/>
      </c>
      <c r="BC225" s="190"/>
      <c r="BD225" s="190" t="str">
        <f ca="1">IFERROR(IF(AND($B225&gt;=($F$16-$F$15),$B225&lt;$F$22+($F$16-$F$15)),SUM(OFFSET($T$100,($F$16-$F$15),0):$T225),""),"")</f>
        <v/>
      </c>
      <c r="BE225" s="190" t="str">
        <f t="shared" ca="1" si="143"/>
        <v/>
      </c>
      <c r="BF225" s="190" t="str">
        <f t="shared" ca="1" si="144"/>
        <v/>
      </c>
      <c r="BG225"/>
      <c r="BH225" s="190" t="str">
        <f ca="1">IF(ISNUMBER(OFFSET(BD225,-$F$21,0)),SUM(OFFSET($T$100,($F$16-$F$15+$F$21),0):$T225),"")</f>
        <v/>
      </c>
      <c r="BI225" s="190" t="str">
        <f t="shared" ca="1" si="165"/>
        <v/>
      </c>
      <c r="BJ225" s="190" t="str">
        <f t="shared" ca="1" si="145"/>
        <v/>
      </c>
      <c r="BK225" s="190"/>
      <c r="BL225" s="190" t="str">
        <f ca="1">IFERROR(IF(AND($B225&gt;=($F$17-$F$15),$B225&lt;$F$22+($F$17-$F$15)),SUM(OFFSET($T$100,($F$17-$F$15),0):$T225),""),"")</f>
        <v/>
      </c>
      <c r="BM225" s="190" t="str">
        <f t="shared" ca="1" si="166"/>
        <v/>
      </c>
      <c r="BN225" s="190" t="str">
        <f t="shared" ca="1" si="146"/>
        <v/>
      </c>
      <c r="BO225"/>
      <c r="BP225" s="190" t="str">
        <f ca="1">IF(ISNUMBER(OFFSET(BL225,-$F$21,0)),SUM(OFFSET($T$100,($F$17-$F$15+$F$21),0):$T225),"")</f>
        <v/>
      </c>
      <c r="BQ225" s="190" t="str">
        <f t="shared" ca="1" si="167"/>
        <v/>
      </c>
      <c r="BR225" s="190" t="str">
        <f t="shared" ca="1" si="147"/>
        <v/>
      </c>
      <c r="BS225" s="190"/>
      <c r="BT225"/>
      <c r="BU225"/>
      <c r="BV225"/>
      <c r="BY225" s="99"/>
      <c r="BZ225" s="99"/>
      <c r="CA225" s="280" t="str">
        <f t="shared" si="168"/>
        <v/>
      </c>
      <c r="CB225" s="71" t="str">
        <f t="shared" si="123"/>
        <v>-</v>
      </c>
      <c r="CC225" s="33"/>
      <c r="CD225" s="261" t="str">
        <f t="shared" si="124"/>
        <v/>
      </c>
      <c r="CE225" s="280" t="str">
        <f t="shared" si="169"/>
        <v>-</v>
      </c>
      <c r="CF225" s="71" t="str">
        <f t="shared" ca="1" si="170"/>
        <v>-</v>
      </c>
      <c r="CG225" s="33" t="str">
        <f t="shared" si="127"/>
        <v>125-126</v>
      </c>
      <c r="CH225" s="261" t="str">
        <f t="shared" ca="1" si="128"/>
        <v/>
      </c>
    </row>
    <row r="226" spans="2:86" ht="13.5" customHeight="1" x14ac:dyDescent="0.2">
      <c r="B226" s="262">
        <v>126</v>
      </c>
      <c r="C226" s="237" t="str">
        <f t="shared" si="150"/>
        <v/>
      </c>
      <c r="D226" s="237" t="str">
        <f t="shared" si="148"/>
        <v>-</v>
      </c>
      <c r="E226" s="263" t="str">
        <f t="shared" si="129"/>
        <v/>
      </c>
      <c r="F226" s="264" t="str">
        <f t="shared" si="130"/>
        <v/>
      </c>
      <c r="G226" s="264" t="str">
        <f t="shared" si="131"/>
        <v/>
      </c>
      <c r="H226" s="240" t="str">
        <f t="shared" si="151"/>
        <v/>
      </c>
      <c r="I226" s="265" t="str">
        <f t="shared" si="152"/>
        <v/>
      </c>
      <c r="J226" s="265" t="str">
        <f t="shared" si="153"/>
        <v/>
      </c>
      <c r="K226" s="240" t="str">
        <f t="shared" si="154"/>
        <v/>
      </c>
      <c r="L226" s="265" t="str">
        <f t="shared" si="155"/>
        <v/>
      </c>
      <c r="M226" s="265" t="str">
        <f t="shared" si="156"/>
        <v/>
      </c>
      <c r="N226" s="240" t="str">
        <f t="shared" si="157"/>
        <v>-</v>
      </c>
      <c r="O226" s="265" t="str">
        <f t="shared" si="158"/>
        <v>-</v>
      </c>
      <c r="P226" s="265" t="str">
        <f t="shared" si="159"/>
        <v>-</v>
      </c>
      <c r="Q226" s="266" t="str">
        <f t="shared" si="160"/>
        <v>-</v>
      </c>
      <c r="R226" s="267" t="str">
        <f t="shared" si="161"/>
        <v>-</v>
      </c>
      <c r="S226" s="268" t="str">
        <f t="shared" si="162"/>
        <v>-</v>
      </c>
      <c r="T226" s="269" t="str">
        <f t="shared" si="105"/>
        <v/>
      </c>
      <c r="U226" s="221">
        <f t="shared" si="106"/>
        <v>126</v>
      </c>
      <c r="V226" s="220" t="str">
        <f t="shared" si="132"/>
        <v>-</v>
      </c>
      <c r="W226" s="221" t="str">
        <f t="shared" si="133"/>
        <v>-</v>
      </c>
      <c r="X226" s="221" t="str">
        <f t="shared" si="107"/>
        <v>-</v>
      </c>
      <c r="Y226" s="221" t="str">
        <f t="shared" si="108"/>
        <v>-</v>
      </c>
      <c r="Z226" s="270">
        <f t="shared" si="134"/>
        <v>0.1</v>
      </c>
      <c r="AA226" s="271" t="str">
        <f>IFERROR(IF(V225=1,AA$100*EXP(-(LN(2)/$D$65+0.04)*X225)*EXP(-(LN(2)/$D$65+0.1)*Y225),IF(V225=2,AA$100*EXP(-(LN(2)/$D$65+0.04)*(VLOOKUP(($F$16-$F$15)-1,U$99:Y225,4,FALSE)))*EXP(-(LN(2)/$D$65+0.1)*(VLOOKUP(($F$16-$F$15)-1,U$99:Y225,5,FALSE)))*EXP(-(LN(2)/$D$65+0.04)*X225)*EXP(-(LN(2)/$D$65+0.1)*Y225),IF(V225=3,AA$100*EXP(-(LN(2)/$D$65+0.04)*(VLOOKUP(($F$16-$F$15)-1,U$99:Y225,4,FALSE)))*EXP(-(LN(2)/$D$65+0.1)*(VLOOKUP(($F$16-$F$15)-1,U$99:Y225,5,FALSE)))*EXP(-(LN(2)/$D$65+0.04)*(VLOOKUP(($F$16-$F$15)*2-1,U$99:Y225,4,FALSE)))*EXP(-(LN(2)/$D$65+0.1)*(VLOOKUP(($F$16-$F$15)*2-1,U$99:Y225,5,FALSE)))*EXP(-(LN(2)/$D$65+0.04)*X225)*EXP(-(LN(2)/$D$65+0.1)*Y225),"-"))),"-")</f>
        <v>-</v>
      </c>
      <c r="AB226" s="271" t="str">
        <f>IFERROR(IF(V226=1,AB$100*EXP(-(LN(2)/$D$65+0.04)*X226)*EXP(-(LN(2)/$D$65+0.1)*Y226),IF(V226=2,AB$100*EXP(-(LN(2)/$D$65+0.04)*(VLOOKUP(($F$16-$F$15)-1,U$100:Y226,4,FALSE)))*EXP(-(LN(2)/$D$65+0.1)*(VLOOKUP(($F$16-$F$15)-1,U$100:Y226,5,FALSE)))*EXP(-(LN(2)/$D$65+0.04)*X226)*EXP(-(LN(2)/$D$65+0.1)*Y226),IF(V226=3,AB$100*EXP(-(LN(2)/$D$65+0.04)*(VLOOKUP(($F$16-$F$15)-1,U$100:Y226,4,FALSE)))*EXP(-(LN(2)/$D$65+0.1)*(VLOOKUP(($F$16-$F$15)-1,U$100:Y226,5,FALSE)))*EXP(-(LN(2)/$D$65+0.04)*(VLOOKUP(($F$16-$F$15)*2-1,U$100:Y226,4,FALSE)))*EXP(-(LN(2)/$D$65+0.1)*(VLOOKUP(($F$16-$F$15)*2-1,U$100:Y226,5,FALSE)))*EXP(-(LN(2)/$D$65+0.04)*X226)*EXP(-(LN(2)/$D$65+0.1)*Y226),"-"))),"-")</f>
        <v>-</v>
      </c>
      <c r="AC226" s="224">
        <f t="shared" si="135"/>
        <v>126</v>
      </c>
      <c r="AD226" s="223" t="str">
        <f t="shared" si="109"/>
        <v>-</v>
      </c>
      <c r="AE226" s="224" t="str">
        <f t="shared" si="136"/>
        <v>-</v>
      </c>
      <c r="AF226" s="224" t="str">
        <f t="shared" si="110"/>
        <v>-</v>
      </c>
      <c r="AG226" s="224" t="str">
        <f t="shared" si="111"/>
        <v>-</v>
      </c>
      <c r="AH226" s="272">
        <f t="shared" si="137"/>
        <v>0.1</v>
      </c>
      <c r="AI226" s="271" t="str">
        <f>IFERROR(IF(AD225=1,AI$100*EXP(-(LN(2)/$D$65+0.04)*AF225)*EXP(-(LN(2)/$D$65+0.1)*AG225),IF(AD225=2,AI$100*EXP(-(LN(2)/$D$65+0.04)*(VLOOKUP(($F$16-$F$15)-1,AC$99:AG225,4,FALSE)))*EXP(-(LN(2)/$D$65+0.1)*(VLOOKUP(($F$16-$F$15)-1,AC$99:AG225,5,FALSE)))*EXP(-(LN(2)/$D$65+0.04)*AF225)*EXP(-(LN(2)/$D$65+0.1)*AG225),IF(AD225=3,AI$100*EXP(-(LN(2)/$D$65+0.04)*(VLOOKUP(($F$16-$F$15)-1,AC$99:AG225,4,FALSE)))*EXP(-(LN(2)/$D$65+0.1)*(VLOOKUP(($F$16-$F$15)-1,AC$99:AG225,5,FALSE)))*EXP(-(LN(2)/$D$65+0.04)*(VLOOKUP(($F$16-$F$15)*2-1,AC$99:AG225,4,FALSE)))*EXP(-(LN(2)/$D$65+0.1)*(VLOOKUP(($F$16-$F$15)*2-1,AC$99:AG225,5,FALSE)))*EXP(-(LN(2)/$D$65+0.04)*AF225)*EXP(-(LN(2)/$D$65+0.1)*AG225),"-"))),"-")</f>
        <v>-</v>
      </c>
      <c r="AJ226" s="271" t="str">
        <f>IFERROR(IF(AD226=1,AJ$100*EXP(-(LN(2)/$D$65+0.04)*AF226)*EXP(-(LN(2)/$D$65+0.1)*AG226),IF(AD226=2,AJ$100*EXP(-(LN(2)/$D$65+0.04)*(VLOOKUP(($F$16-$F$15)-1,AC$100:AG226,4,FALSE)))*EXP(-(LN(2)/$D$65+0.1)*(VLOOKUP(($F$16-$F$15)-1,AC$100:AG226,5,FALSE)))*EXP(-(LN(2)/$D$65+0.04)*AF226)*EXP(-(LN(2)/$D$65+0.1)*AG226),IF(AD226=3,AJ$100*EXP(-(LN(2)/$D$65+0.04)*(VLOOKUP(($F$16-$F$15)-1,AC$100:AG226,4,FALSE)))*EXP(-(LN(2)/$D$65+0.1)*(VLOOKUP(($F$16-$F$15)-1,AC$100:AG226,5,FALSE)))*EXP(-(LN(2)/$D$65+0.04)*(VLOOKUP(($F$16-$F$15)*2-1,AC$100:AG226,4,FALSE)))*EXP(-(LN(2)/$D$65+0.1)*(VLOOKUP(($F$16-$F$15)*2-1,AC$100:AG226,5,FALSE)))*EXP(-(LN(2)/$D$65+0.04)*AF226)*EXP(-(LN(2)/$D$65+0.1)*AG226),"-"))),"-")</f>
        <v>-</v>
      </c>
      <c r="AK226" s="227">
        <f t="shared" si="138"/>
        <v>126</v>
      </c>
      <c r="AL226" s="226" t="str">
        <f t="shared" si="112"/>
        <v>-</v>
      </c>
      <c r="AM226" s="227" t="str">
        <f t="shared" si="139"/>
        <v>-</v>
      </c>
      <c r="AN226" s="227" t="str">
        <f t="shared" si="140"/>
        <v>-</v>
      </c>
      <c r="AO226" s="227" t="str">
        <f t="shared" si="113"/>
        <v>-</v>
      </c>
      <c r="AP226" s="273">
        <f t="shared" si="141"/>
        <v>0.1</v>
      </c>
      <c r="AQ226" s="271" t="str">
        <f>IFERROR(IF(AL225=1,AQ$100*EXP(-(LN(2)/$D$65+0.04)*AN225)*EXP(-(LN(2)/$D$65+0.1)*AO225),IF(AL225=2,AQ$100*EXP(-(LN(2)/$D$65+0.04)*(VLOOKUP(($F$16-$F$15)-1,AK$99:AO225,4,FALSE)))*EXP(-(LN(2)/$D$65+0.1)*(VLOOKUP(($F$16-$F$15)-1,AK$99:AO225,5,FALSE)))*EXP(-(LN(2)/$D$65+0.04)*AN225)*EXP(-(LN(2)/$D$65+0.1)*AO225),IF(AL225=3,AQ$100*EXP(-(LN(2)/$D$65+0.04)*(VLOOKUP(($F$16-$F$15)-1,AK$99:AO225,4,FALSE)))*EXP(-(LN(2)/$D$65+0.1)*(VLOOKUP(($F$16-$F$15)-1,AK$99:AO225,5,FALSE)))*EXP(-(LN(2)/$D$65+0.04)*(VLOOKUP(($F$16-$F$15)*2-1,AK$99:AO225,4,FALSE)))*EXP(-(LN(2)/$D$65+0.1)*(VLOOKUP(($F$16-$F$15)*2-1,AK$99:AO225,5,FALSE)))*EXP(-(LN(2)/$D$65+0.04)*AN225)*EXP(-(LN(2)/$D$65+0.1)*AO225),"-"))),"-")</f>
        <v>-</v>
      </c>
      <c r="AR226" s="271" t="str">
        <f>IFERROR(IF(AL226=1,AR$100*EXP(-(LN(2)/$D$65+0.04)*AN226)*EXP(-(LN(2)/$D$65+0.1)*AO226),IF(AL226=2,AR$100*EXP(-(LN(2)/$D$65+0.04)*(VLOOKUP(($F$16-$F$15)-1,AK$100:AO226,4,FALSE)))*EXP(-(LN(2)/$D$65+0.1)*(VLOOKUP(($F$16-$F$15)-1,AK$100:AO226,5,FALSE)))*EXP(-(LN(2)/$D$65+0.04)*AN226)*EXP(-(LN(2)/$D$65+0.1)*AO226),IF(AL226=3,AR$100*EXP(-(LN(2)/$D$65+0.04)*(VLOOKUP(($F$16-$F$15)-1,AK$100:AO226,4,FALSE)))*EXP(-(LN(2)/$D$65+0.1)*(VLOOKUP(($F$16-$F$15)-1,AK$100:AO226,5,FALSE)))*EXP(-(LN(2)/$D$65+0.04)*(VLOOKUP(($F$16-$F$15)*2-1,AK$100:AO226,4,FALSE)))*EXP(-(LN(2)/$D$65+0.1)*(VLOOKUP(($F$16-$F$15)*2-1,AK$100:AO226,5,FALSE)))*EXP(-(LN(2)/$D$65+0.04)*AN226)*EXP(-(LN(2)/$D$65+0.1)*AO226),"-"))),"-")</f>
        <v>-</v>
      </c>
      <c r="AS226" s="274">
        <f t="shared" si="114"/>
        <v>0</v>
      </c>
      <c r="AT226" s="274">
        <f t="shared" si="115"/>
        <v>0</v>
      </c>
      <c r="AU226" s="274">
        <f t="shared" si="116"/>
        <v>0</v>
      </c>
      <c r="AV226" s="190">
        <f>IF($B226&lt;$F$22,SUM($T$100:$T226),"")</f>
        <v>0</v>
      </c>
      <c r="AW226" s="190" t="str">
        <f t="shared" si="163"/>
        <v>-</v>
      </c>
      <c r="AX226" s="190" t="str">
        <f t="shared" si="142"/>
        <v/>
      </c>
      <c r="AY226"/>
      <c r="AZ226" s="190" t="str">
        <f ca="1">IF(ISNUMBER(OFFSET(AV226,-$F$21,0)),SUM(OFFSET($T$100,$F$21,0):$T226),"")</f>
        <v/>
      </c>
      <c r="BA226" s="190" t="str">
        <f t="shared" ca="1" si="164"/>
        <v/>
      </c>
      <c r="BB226" s="190" t="str">
        <f t="shared" ca="1" si="149"/>
        <v/>
      </c>
      <c r="BC226" s="190"/>
      <c r="BD226" s="190" t="str">
        <f ca="1">IFERROR(IF(AND($B226&gt;=($F$16-$F$15),$B226&lt;$F$22+($F$16-$F$15)),SUM(OFFSET($T$100,($F$16-$F$15),0):$T226),""),"")</f>
        <v/>
      </c>
      <c r="BE226" s="190" t="str">
        <f t="shared" ca="1" si="143"/>
        <v/>
      </c>
      <c r="BF226" s="190" t="str">
        <f t="shared" ca="1" si="144"/>
        <v/>
      </c>
      <c r="BG226"/>
      <c r="BH226" s="190" t="str">
        <f ca="1">IF(ISNUMBER(OFFSET(BD226,-$F$21,0)),SUM(OFFSET($T$100,($F$16-$F$15+$F$21),0):$T226),"")</f>
        <v/>
      </c>
      <c r="BI226" s="190" t="str">
        <f t="shared" ca="1" si="165"/>
        <v/>
      </c>
      <c r="BJ226" s="190" t="str">
        <f t="shared" ca="1" si="145"/>
        <v/>
      </c>
      <c r="BK226" s="190"/>
      <c r="BL226" s="190" t="str">
        <f ca="1">IFERROR(IF(AND($B226&gt;=($F$17-$F$15),$B226&lt;$F$22+($F$17-$F$15)),SUM(OFFSET($T$100,($F$17-$F$15),0):$T226),""),"")</f>
        <v/>
      </c>
      <c r="BM226" s="190" t="str">
        <f t="shared" ca="1" si="166"/>
        <v/>
      </c>
      <c r="BN226" s="190" t="str">
        <f t="shared" ca="1" si="146"/>
        <v/>
      </c>
      <c r="BO226"/>
      <c r="BP226" s="190" t="str">
        <f ca="1">IF(ISNUMBER(OFFSET(BL226,-$F$21,0)),SUM(OFFSET($T$100,($F$17-$F$15+$F$21),0):$T226),"")</f>
        <v/>
      </c>
      <c r="BQ226" s="190" t="str">
        <f t="shared" ca="1" si="167"/>
        <v/>
      </c>
      <c r="BR226" s="190" t="str">
        <f t="shared" ca="1" si="147"/>
        <v/>
      </c>
      <c r="BS226" s="190"/>
      <c r="BT226"/>
      <c r="BU226"/>
      <c r="BV226"/>
      <c r="BY226" s="99"/>
      <c r="BZ226" s="99"/>
      <c r="CA226" s="280" t="str">
        <f t="shared" si="168"/>
        <v/>
      </c>
      <c r="CB226" s="71" t="str">
        <f t="shared" si="123"/>
        <v>-</v>
      </c>
      <c r="CC226" s="33"/>
      <c r="CD226" s="261" t="str">
        <f t="shared" si="124"/>
        <v/>
      </c>
      <c r="CE226" s="280" t="str">
        <f t="shared" si="169"/>
        <v>-</v>
      </c>
      <c r="CF226" s="71" t="str">
        <f t="shared" ca="1" si="170"/>
        <v>-</v>
      </c>
      <c r="CG226" s="33" t="str">
        <f t="shared" si="127"/>
        <v>126-127</v>
      </c>
      <c r="CH226" s="261" t="str">
        <f t="shared" ca="1" si="128"/>
        <v/>
      </c>
    </row>
    <row r="227" spans="2:86" ht="13.5" customHeight="1" x14ac:dyDescent="0.2">
      <c r="B227" s="262">
        <v>127</v>
      </c>
      <c r="C227" s="237" t="str">
        <f t="shared" si="150"/>
        <v/>
      </c>
      <c r="D227" s="237" t="str">
        <f t="shared" si="148"/>
        <v>-</v>
      </c>
      <c r="E227" s="263" t="str">
        <f t="shared" si="129"/>
        <v/>
      </c>
      <c r="F227" s="264" t="str">
        <f t="shared" si="130"/>
        <v/>
      </c>
      <c r="G227" s="264" t="str">
        <f t="shared" si="131"/>
        <v/>
      </c>
      <c r="H227" s="240" t="str">
        <f t="shared" si="151"/>
        <v/>
      </c>
      <c r="I227" s="265" t="str">
        <f t="shared" si="152"/>
        <v/>
      </c>
      <c r="J227" s="265" t="str">
        <f t="shared" si="153"/>
        <v/>
      </c>
      <c r="K227" s="240" t="str">
        <f t="shared" si="154"/>
        <v/>
      </c>
      <c r="L227" s="265" t="str">
        <f t="shared" si="155"/>
        <v/>
      </c>
      <c r="M227" s="265" t="str">
        <f t="shared" si="156"/>
        <v/>
      </c>
      <c r="N227" s="240" t="str">
        <f t="shared" si="157"/>
        <v>-</v>
      </c>
      <c r="O227" s="265" t="str">
        <f t="shared" si="158"/>
        <v>-</v>
      </c>
      <c r="P227" s="265" t="str">
        <f t="shared" si="159"/>
        <v>-</v>
      </c>
      <c r="Q227" s="266" t="str">
        <f t="shared" si="160"/>
        <v>-</v>
      </c>
      <c r="R227" s="267" t="str">
        <f t="shared" si="161"/>
        <v>-</v>
      </c>
      <c r="S227" s="268" t="str">
        <f t="shared" si="162"/>
        <v>-</v>
      </c>
      <c r="T227" s="269" t="str">
        <f t="shared" si="105"/>
        <v/>
      </c>
      <c r="U227" s="221">
        <f t="shared" si="106"/>
        <v>127</v>
      </c>
      <c r="V227" s="220" t="str">
        <f t="shared" si="132"/>
        <v>-</v>
      </c>
      <c r="W227" s="221" t="str">
        <f t="shared" si="133"/>
        <v>-</v>
      </c>
      <c r="X227" s="221" t="str">
        <f t="shared" si="107"/>
        <v>-</v>
      </c>
      <c r="Y227" s="221" t="str">
        <f t="shared" si="108"/>
        <v>-</v>
      </c>
      <c r="Z227" s="270">
        <f t="shared" si="134"/>
        <v>0.1</v>
      </c>
      <c r="AA227" s="271" t="str">
        <f>IFERROR(IF(V226=1,AA$100*EXP(-(LN(2)/$D$65+0.04)*X226)*EXP(-(LN(2)/$D$65+0.1)*Y226),IF(V226=2,AA$100*EXP(-(LN(2)/$D$65+0.04)*(VLOOKUP(($F$16-$F$15)-1,U$99:Y226,4,FALSE)))*EXP(-(LN(2)/$D$65+0.1)*(VLOOKUP(($F$16-$F$15)-1,U$99:Y226,5,FALSE)))*EXP(-(LN(2)/$D$65+0.04)*X226)*EXP(-(LN(2)/$D$65+0.1)*Y226),IF(V226=3,AA$100*EXP(-(LN(2)/$D$65+0.04)*(VLOOKUP(($F$16-$F$15)-1,U$99:Y226,4,FALSE)))*EXP(-(LN(2)/$D$65+0.1)*(VLOOKUP(($F$16-$F$15)-1,U$99:Y226,5,FALSE)))*EXP(-(LN(2)/$D$65+0.04)*(VLOOKUP(($F$16-$F$15)*2-1,U$99:Y226,4,FALSE)))*EXP(-(LN(2)/$D$65+0.1)*(VLOOKUP(($F$16-$F$15)*2-1,U$99:Y226,5,FALSE)))*EXP(-(LN(2)/$D$65+0.04)*X226)*EXP(-(LN(2)/$D$65+0.1)*Y226),"-"))),"-")</f>
        <v>-</v>
      </c>
      <c r="AB227" s="271" t="str">
        <f>IFERROR(IF(V227=1,AB$100*EXP(-(LN(2)/$D$65+0.04)*X227)*EXP(-(LN(2)/$D$65+0.1)*Y227),IF(V227=2,AB$100*EXP(-(LN(2)/$D$65+0.04)*(VLOOKUP(($F$16-$F$15)-1,U$100:Y227,4,FALSE)))*EXP(-(LN(2)/$D$65+0.1)*(VLOOKUP(($F$16-$F$15)-1,U$100:Y227,5,FALSE)))*EXP(-(LN(2)/$D$65+0.04)*X227)*EXP(-(LN(2)/$D$65+0.1)*Y227),IF(V227=3,AB$100*EXP(-(LN(2)/$D$65+0.04)*(VLOOKUP(($F$16-$F$15)-1,U$100:Y227,4,FALSE)))*EXP(-(LN(2)/$D$65+0.1)*(VLOOKUP(($F$16-$F$15)-1,U$100:Y227,5,FALSE)))*EXP(-(LN(2)/$D$65+0.04)*(VLOOKUP(($F$16-$F$15)*2-1,U$100:Y227,4,FALSE)))*EXP(-(LN(2)/$D$65+0.1)*(VLOOKUP(($F$16-$F$15)*2-1,U$100:Y227,5,FALSE)))*EXP(-(LN(2)/$D$65+0.04)*X227)*EXP(-(LN(2)/$D$65+0.1)*Y227),"-"))),"-")</f>
        <v>-</v>
      </c>
      <c r="AC227" s="224">
        <f t="shared" si="135"/>
        <v>127</v>
      </c>
      <c r="AD227" s="223" t="str">
        <f t="shared" si="109"/>
        <v>-</v>
      </c>
      <c r="AE227" s="224" t="str">
        <f t="shared" si="136"/>
        <v>-</v>
      </c>
      <c r="AF227" s="224" t="str">
        <f t="shared" si="110"/>
        <v>-</v>
      </c>
      <c r="AG227" s="224" t="str">
        <f t="shared" si="111"/>
        <v>-</v>
      </c>
      <c r="AH227" s="272">
        <f t="shared" si="137"/>
        <v>0.1</v>
      </c>
      <c r="AI227" s="271" t="str">
        <f>IFERROR(IF(AD226=1,AI$100*EXP(-(LN(2)/$D$65+0.04)*AF226)*EXP(-(LN(2)/$D$65+0.1)*AG226),IF(AD226=2,AI$100*EXP(-(LN(2)/$D$65+0.04)*(VLOOKUP(($F$16-$F$15)-1,AC$99:AG226,4,FALSE)))*EXP(-(LN(2)/$D$65+0.1)*(VLOOKUP(($F$16-$F$15)-1,AC$99:AG226,5,FALSE)))*EXP(-(LN(2)/$D$65+0.04)*AF226)*EXP(-(LN(2)/$D$65+0.1)*AG226),IF(AD226=3,AI$100*EXP(-(LN(2)/$D$65+0.04)*(VLOOKUP(($F$16-$F$15)-1,AC$99:AG226,4,FALSE)))*EXP(-(LN(2)/$D$65+0.1)*(VLOOKUP(($F$16-$F$15)-1,AC$99:AG226,5,FALSE)))*EXP(-(LN(2)/$D$65+0.04)*(VLOOKUP(($F$16-$F$15)*2-1,AC$99:AG226,4,FALSE)))*EXP(-(LN(2)/$D$65+0.1)*(VLOOKUP(($F$16-$F$15)*2-1,AC$99:AG226,5,FALSE)))*EXP(-(LN(2)/$D$65+0.04)*AF226)*EXP(-(LN(2)/$D$65+0.1)*AG226),"-"))),"-")</f>
        <v>-</v>
      </c>
      <c r="AJ227" s="271" t="str">
        <f>IFERROR(IF(AD227=1,AJ$100*EXP(-(LN(2)/$D$65+0.04)*AF227)*EXP(-(LN(2)/$D$65+0.1)*AG227),IF(AD227=2,AJ$100*EXP(-(LN(2)/$D$65+0.04)*(VLOOKUP(($F$16-$F$15)-1,AC$100:AG227,4,FALSE)))*EXP(-(LN(2)/$D$65+0.1)*(VLOOKUP(($F$16-$F$15)-1,AC$100:AG227,5,FALSE)))*EXP(-(LN(2)/$D$65+0.04)*AF227)*EXP(-(LN(2)/$D$65+0.1)*AG227),IF(AD227=3,AJ$100*EXP(-(LN(2)/$D$65+0.04)*(VLOOKUP(($F$16-$F$15)-1,AC$100:AG227,4,FALSE)))*EXP(-(LN(2)/$D$65+0.1)*(VLOOKUP(($F$16-$F$15)-1,AC$100:AG227,5,FALSE)))*EXP(-(LN(2)/$D$65+0.04)*(VLOOKUP(($F$16-$F$15)*2-1,AC$100:AG227,4,FALSE)))*EXP(-(LN(2)/$D$65+0.1)*(VLOOKUP(($F$16-$F$15)*2-1,AC$100:AG227,5,FALSE)))*EXP(-(LN(2)/$D$65+0.04)*AF227)*EXP(-(LN(2)/$D$65+0.1)*AG227),"-"))),"-")</f>
        <v>-</v>
      </c>
      <c r="AK227" s="227">
        <f t="shared" si="138"/>
        <v>127</v>
      </c>
      <c r="AL227" s="226" t="str">
        <f t="shared" si="112"/>
        <v>-</v>
      </c>
      <c r="AM227" s="227" t="str">
        <f t="shared" si="139"/>
        <v>-</v>
      </c>
      <c r="AN227" s="227" t="str">
        <f t="shared" si="140"/>
        <v>-</v>
      </c>
      <c r="AO227" s="227" t="str">
        <f t="shared" si="113"/>
        <v>-</v>
      </c>
      <c r="AP227" s="273">
        <f t="shared" si="141"/>
        <v>0.1</v>
      </c>
      <c r="AQ227" s="271" t="str">
        <f>IFERROR(IF(AL226=1,AQ$100*EXP(-(LN(2)/$D$65+0.04)*AN226)*EXP(-(LN(2)/$D$65+0.1)*AO226),IF(AL226=2,AQ$100*EXP(-(LN(2)/$D$65+0.04)*(VLOOKUP(($F$16-$F$15)-1,AK$99:AO226,4,FALSE)))*EXP(-(LN(2)/$D$65+0.1)*(VLOOKUP(($F$16-$F$15)-1,AK$99:AO226,5,FALSE)))*EXP(-(LN(2)/$D$65+0.04)*AN226)*EXP(-(LN(2)/$D$65+0.1)*AO226),IF(AL226=3,AQ$100*EXP(-(LN(2)/$D$65+0.04)*(VLOOKUP(($F$16-$F$15)-1,AK$99:AO226,4,FALSE)))*EXP(-(LN(2)/$D$65+0.1)*(VLOOKUP(($F$16-$F$15)-1,AK$99:AO226,5,FALSE)))*EXP(-(LN(2)/$D$65+0.04)*(VLOOKUP(($F$16-$F$15)*2-1,AK$99:AO226,4,FALSE)))*EXP(-(LN(2)/$D$65+0.1)*(VLOOKUP(($F$16-$F$15)*2-1,AK$99:AO226,5,FALSE)))*EXP(-(LN(2)/$D$65+0.04)*AN226)*EXP(-(LN(2)/$D$65+0.1)*AO226),"-"))),"-")</f>
        <v>-</v>
      </c>
      <c r="AR227" s="271" t="str">
        <f>IFERROR(IF(AL227=1,AR$100*EXP(-(LN(2)/$D$65+0.04)*AN227)*EXP(-(LN(2)/$D$65+0.1)*AO227),IF(AL227=2,AR$100*EXP(-(LN(2)/$D$65+0.04)*(VLOOKUP(($F$16-$F$15)-1,AK$100:AO227,4,FALSE)))*EXP(-(LN(2)/$D$65+0.1)*(VLOOKUP(($F$16-$F$15)-1,AK$100:AO227,5,FALSE)))*EXP(-(LN(2)/$D$65+0.04)*AN227)*EXP(-(LN(2)/$D$65+0.1)*AO227),IF(AL227=3,AR$100*EXP(-(LN(2)/$D$65+0.04)*(VLOOKUP(($F$16-$F$15)-1,AK$100:AO227,4,FALSE)))*EXP(-(LN(2)/$D$65+0.1)*(VLOOKUP(($F$16-$F$15)-1,AK$100:AO227,5,FALSE)))*EXP(-(LN(2)/$D$65+0.04)*(VLOOKUP(($F$16-$F$15)*2-1,AK$100:AO227,4,FALSE)))*EXP(-(LN(2)/$D$65+0.1)*(VLOOKUP(($F$16-$F$15)*2-1,AK$100:AO227,5,FALSE)))*EXP(-(LN(2)/$D$65+0.04)*AN227)*EXP(-(LN(2)/$D$65+0.1)*AO227),"-"))),"-")</f>
        <v>-</v>
      </c>
      <c r="AS227" s="274">
        <f t="shared" si="114"/>
        <v>0</v>
      </c>
      <c r="AT227" s="274">
        <f t="shared" si="115"/>
        <v>0</v>
      </c>
      <c r="AU227" s="274">
        <f t="shared" si="116"/>
        <v>0</v>
      </c>
      <c r="AV227" s="190">
        <f>IF($B227&lt;$F$22,SUM($T$100:$T227),"")</f>
        <v>0</v>
      </c>
      <c r="AW227" s="190" t="str">
        <f t="shared" si="163"/>
        <v>-</v>
      </c>
      <c r="AX227" s="190" t="str">
        <f t="shared" si="142"/>
        <v/>
      </c>
      <c r="AY227"/>
      <c r="AZ227" s="190" t="str">
        <f ca="1">IF(ISNUMBER(OFFSET(AV227,-$F$21,0)),SUM(OFFSET($T$100,$F$21,0):$T227),"")</f>
        <v/>
      </c>
      <c r="BA227" s="190" t="str">
        <f t="shared" ca="1" si="164"/>
        <v/>
      </c>
      <c r="BB227" s="190" t="str">
        <f t="shared" ca="1" si="149"/>
        <v/>
      </c>
      <c r="BC227" s="190"/>
      <c r="BD227" s="190" t="str">
        <f ca="1">IFERROR(IF(AND($B227&gt;=($F$16-$F$15),$B227&lt;$F$22+($F$16-$F$15)),SUM(OFFSET($T$100,($F$16-$F$15),0):$T227),""),"")</f>
        <v/>
      </c>
      <c r="BE227" s="190" t="str">
        <f t="shared" ca="1" si="143"/>
        <v/>
      </c>
      <c r="BF227" s="190" t="str">
        <f t="shared" ca="1" si="144"/>
        <v/>
      </c>
      <c r="BG227"/>
      <c r="BH227" s="190" t="str">
        <f ca="1">IF(ISNUMBER(OFFSET(BD227,-$F$21,0)),SUM(OFFSET($T$100,($F$16-$F$15+$F$21),0):$T227),"")</f>
        <v/>
      </c>
      <c r="BI227" s="190" t="str">
        <f t="shared" ca="1" si="165"/>
        <v/>
      </c>
      <c r="BJ227" s="190" t="str">
        <f t="shared" ca="1" si="145"/>
        <v/>
      </c>
      <c r="BK227" s="190"/>
      <c r="BL227" s="190" t="str">
        <f ca="1">IFERROR(IF(AND($B227&gt;=($F$17-$F$15),$B227&lt;$F$22+($F$17-$F$15)),SUM(OFFSET($T$100,($F$17-$F$15),0):$T227),""),"")</f>
        <v/>
      </c>
      <c r="BM227" s="190" t="str">
        <f t="shared" ca="1" si="166"/>
        <v/>
      </c>
      <c r="BN227" s="190" t="str">
        <f t="shared" ca="1" si="146"/>
        <v/>
      </c>
      <c r="BO227"/>
      <c r="BP227" s="190" t="str">
        <f ca="1">IF(ISNUMBER(OFFSET(BL227,-$F$21,0)),SUM(OFFSET($T$100,($F$17-$F$15+$F$21),0):$T227),"")</f>
        <v/>
      </c>
      <c r="BQ227" s="190" t="str">
        <f t="shared" ca="1" si="167"/>
        <v/>
      </c>
      <c r="BR227" s="190" t="str">
        <f t="shared" ca="1" si="147"/>
        <v/>
      </c>
      <c r="BS227" s="190"/>
      <c r="BT227"/>
      <c r="BU227"/>
      <c r="BV227"/>
      <c r="BY227" s="99"/>
      <c r="BZ227" s="99"/>
      <c r="CA227" s="280" t="str">
        <f t="shared" si="168"/>
        <v/>
      </c>
      <c r="CB227" s="71" t="str">
        <f t="shared" si="123"/>
        <v>-</v>
      </c>
      <c r="CC227" s="33"/>
      <c r="CD227" s="261" t="str">
        <f t="shared" si="124"/>
        <v/>
      </c>
      <c r="CE227" s="280" t="str">
        <f t="shared" si="169"/>
        <v>-</v>
      </c>
      <c r="CF227" s="71" t="str">
        <f t="shared" ca="1" si="170"/>
        <v>-</v>
      </c>
      <c r="CG227" s="33" t="str">
        <f t="shared" si="127"/>
        <v>127-128</v>
      </c>
      <c r="CH227" s="261" t="str">
        <f t="shared" ca="1" si="128"/>
        <v/>
      </c>
    </row>
    <row r="228" spans="2:86" ht="13.5" customHeight="1" x14ac:dyDescent="0.2">
      <c r="B228" s="262">
        <v>128</v>
      </c>
      <c r="C228" s="237" t="str">
        <f t="shared" ref="C228:C250" si="171">IF(ISERROR(VLOOKUP(B228,$B$39:$C$73,2,0)),"",VLOOKUP(B228,$B$39:$C$73,2,0))</f>
        <v/>
      </c>
      <c r="D228" s="237" t="str">
        <f t="shared" si="148"/>
        <v>-</v>
      </c>
      <c r="E228" s="263" t="str">
        <f t="shared" si="129"/>
        <v/>
      </c>
      <c r="F228" s="264" t="str">
        <f t="shared" si="130"/>
        <v/>
      </c>
      <c r="G228" s="264" t="str">
        <f t="shared" si="131"/>
        <v/>
      </c>
      <c r="H228" s="240" t="str">
        <f t="shared" ref="H228:H250" si="172">IF(E228&lt;&gt;"",IF($B228&lt;$F$21,"",IF(ISNUMBER(F228),IF(ISNUMBER(I228),(E228*30*50*ffp),""),(E228*30*50*ffp))),"")</f>
        <v/>
      </c>
      <c r="I228" s="265" t="str">
        <f t="shared" ref="I228:I250" si="173">IFERROR(IF(F228&lt;&gt;"",IF($B228&lt;$F$21+$F$16,"",IF(ISNUMBER(G228),IF(ISNUMBER(J228),(F228*30*50*ffp),""),(F228*30*50*ffp))),""),"")</f>
        <v/>
      </c>
      <c r="J228" s="265" t="str">
        <f t="shared" ref="J228:J250" si="174">IFERROR(IF(G228&lt;&gt;"",IF($B228&lt;$F$21+$F$17,"",(G228*30*50*ffp)),""),"")</f>
        <v/>
      </c>
      <c r="K228" s="240" t="str">
        <f t="shared" ref="K228:K250" si="175">IF(E228&lt;&gt;"",((E228*20*50*ffp)/Klevee),"")</f>
        <v/>
      </c>
      <c r="L228" s="265" t="str">
        <f t="shared" ref="L228:L250" si="176">IF(ISNUMBER(F228),((F228*20*50*ffp)/Klevee),"")</f>
        <v/>
      </c>
      <c r="M228" s="265" t="str">
        <f t="shared" ref="M228:M250" si="177">IF(ISNUMBER(G228),((G228*20*50*ffp)/Klevee),"")</f>
        <v/>
      </c>
      <c r="N228" s="240" t="str">
        <f t="shared" ref="N228:N250" si="178">IF(AND(ISNUMBER(I),ISNUMBER($F$14),ISNUMBER($F$20)),IF($B228=0,I*($J$40/100)*$J$42*1,""),"-")</f>
        <v>-</v>
      </c>
      <c r="O228" s="265" t="str">
        <f t="shared" ref="O228:O250" si="179">IF(ISNUMBER($F$14),IF($F$14&gt;1,IF($B228=0+$F$16,I*($J$40/100)*$J$42*1,""),""),"-")</f>
        <v>-</v>
      </c>
      <c r="P228" s="265" t="str">
        <f t="shared" ref="P228:P250" si="180">IF(ISNUMBER($F$14),IF($F$14&gt;2,IF($B228=0+$F$17,I*($J$40/100)*$J$42*1,""),""),"-")</f>
        <v>-</v>
      </c>
      <c r="Q228" s="266" t="str">
        <f t="shared" ref="Q228:Q250" si="181">IF(AND(ISNUMBER(I),ISNUMBER($F$14),ISNUMBER($F$20)),IF($B228=0,I*(dt/100)*$J$45*1,""),"-")</f>
        <v>-</v>
      </c>
      <c r="R228" s="267" t="str">
        <f t="shared" ref="R228:R250" si="182">IF(ISNUMBER($F$14),IF($F$14&gt;1,IF($B228=0+$F$16,I*(dt/100)*$J$45*1,""),""),"-")</f>
        <v>-</v>
      </c>
      <c r="S228" s="268" t="str">
        <f t="shared" ref="S228:S250" si="183">IF(ISNUMBER($F$14),IF($F$14&gt;2,IF($B228=0+$F$17,I*(dt/100)*$J$45*1,""),""),"-")</f>
        <v>-</v>
      </c>
      <c r="T228" s="269" t="str">
        <f t="shared" ref="T228:T250" si="184">IF(SUM(H228:S228)=0,"",SUM(H228:S228))</f>
        <v/>
      </c>
      <c r="U228" s="221">
        <f t="shared" ref="U228:U250" si="185">B228</f>
        <v>128</v>
      </c>
      <c r="V228" s="220" t="str">
        <f t="shared" si="132"/>
        <v>-</v>
      </c>
      <c r="W228" s="221" t="str">
        <f t="shared" si="133"/>
        <v>-</v>
      </c>
      <c r="X228" s="221" t="str">
        <f t="shared" ref="X228:X250" si="186">IFERROR(IF($F$21=0,0,IF(V228=V227,IF(B228-(V228-1)*($F$16-$F$15)&lt;$F$21,X227+1,X227),1)),"-")</f>
        <v>-</v>
      </c>
      <c r="Y228" s="221" t="str">
        <f t="shared" ref="Y228:Y250" si="187">IFERROR(W228-X228,"-")</f>
        <v>-</v>
      </c>
      <c r="Z228" s="270">
        <f t="shared" si="134"/>
        <v>0.1</v>
      </c>
      <c r="AA228" s="271" t="str">
        <f>IFERROR(IF(V227=1,AA$100*EXP(-(LN(2)/$D$65+0.04)*X227)*EXP(-(LN(2)/$D$65+0.1)*Y227),IF(V227=2,AA$100*EXP(-(LN(2)/$D$65+0.04)*(VLOOKUP(($F$16-$F$15)-1,U$99:Y227,4,FALSE)))*EXP(-(LN(2)/$D$65+0.1)*(VLOOKUP(($F$16-$F$15)-1,U$99:Y227,5,FALSE)))*EXP(-(LN(2)/$D$65+0.04)*X227)*EXP(-(LN(2)/$D$65+0.1)*Y227),IF(V227=3,AA$100*EXP(-(LN(2)/$D$65+0.04)*(VLOOKUP(($F$16-$F$15)-1,U$99:Y227,4,FALSE)))*EXP(-(LN(2)/$D$65+0.1)*(VLOOKUP(($F$16-$F$15)-1,U$99:Y227,5,FALSE)))*EXP(-(LN(2)/$D$65+0.04)*(VLOOKUP(($F$16-$F$15)*2-1,U$99:Y227,4,FALSE)))*EXP(-(LN(2)/$D$65+0.1)*(VLOOKUP(($F$16-$F$15)*2-1,U$99:Y227,5,FALSE)))*EXP(-(LN(2)/$D$65+0.04)*X227)*EXP(-(LN(2)/$D$65+0.1)*Y227),"-"))),"-")</f>
        <v>-</v>
      </c>
      <c r="AB228" s="271" t="str">
        <f>IFERROR(IF(V228=1,AB$100*EXP(-(LN(2)/$D$65+0.04)*X228)*EXP(-(LN(2)/$D$65+0.1)*Y228),IF(V228=2,AB$100*EXP(-(LN(2)/$D$65+0.04)*(VLOOKUP(($F$16-$F$15)-1,U$100:Y228,4,FALSE)))*EXP(-(LN(2)/$D$65+0.1)*(VLOOKUP(($F$16-$F$15)-1,U$100:Y228,5,FALSE)))*EXP(-(LN(2)/$D$65+0.04)*X228)*EXP(-(LN(2)/$D$65+0.1)*Y228),IF(V228=3,AB$100*EXP(-(LN(2)/$D$65+0.04)*(VLOOKUP(($F$16-$F$15)-1,U$100:Y228,4,FALSE)))*EXP(-(LN(2)/$D$65+0.1)*(VLOOKUP(($F$16-$F$15)-1,U$100:Y228,5,FALSE)))*EXP(-(LN(2)/$D$65+0.04)*(VLOOKUP(($F$16-$F$15)*2-1,U$100:Y228,4,FALSE)))*EXP(-(LN(2)/$D$65+0.1)*(VLOOKUP(($F$16-$F$15)*2-1,U$100:Y228,5,FALSE)))*EXP(-(LN(2)/$D$65+0.04)*X228)*EXP(-(LN(2)/$D$65+0.1)*Y228),"-"))),"-")</f>
        <v>-</v>
      </c>
      <c r="AC228" s="224">
        <f t="shared" si="135"/>
        <v>128</v>
      </c>
      <c r="AD228" s="223" t="str">
        <f t="shared" ref="AD228:AD250" si="188">IFERROR(IF($F$14-1&gt;0,IF(B228&lt;($F$16-$F$15)*($F$14-1),INT(B228/($F$16-$F$15))+1,AD226),"-"),"-")</f>
        <v>-</v>
      </c>
      <c r="AE228" s="224" t="str">
        <f t="shared" si="136"/>
        <v>-</v>
      </c>
      <c r="AF228" s="224" t="str">
        <f t="shared" ref="AF228:AF250" si="189">IFERROR(IF($F$21=0,0,IF(AD228=AD227,IF(B228-(AD228-1)*($F$16-$F$15)&lt;$F$21,AF227+1,AF227),1)),"-")</f>
        <v>-</v>
      </c>
      <c r="AG228" s="224" t="str">
        <f t="shared" ref="AG228:AG250" si="190">IFERROR(AE228-AF228,"-")</f>
        <v>-</v>
      </c>
      <c r="AH228" s="272">
        <f t="shared" si="137"/>
        <v>0.1</v>
      </c>
      <c r="AI228" s="271" t="str">
        <f>IFERROR(IF(AD227=1,AI$100*EXP(-(LN(2)/$D$65+0.04)*AF227)*EXP(-(LN(2)/$D$65+0.1)*AG227),IF(AD227=2,AI$100*EXP(-(LN(2)/$D$65+0.04)*(VLOOKUP(($F$16-$F$15)-1,AC$99:AG227,4,FALSE)))*EXP(-(LN(2)/$D$65+0.1)*(VLOOKUP(($F$16-$F$15)-1,AC$99:AG227,5,FALSE)))*EXP(-(LN(2)/$D$65+0.04)*AF227)*EXP(-(LN(2)/$D$65+0.1)*AG227),IF(AD227=3,AI$100*EXP(-(LN(2)/$D$65+0.04)*(VLOOKUP(($F$16-$F$15)-1,AC$99:AG227,4,FALSE)))*EXP(-(LN(2)/$D$65+0.1)*(VLOOKUP(($F$16-$F$15)-1,AC$99:AG227,5,FALSE)))*EXP(-(LN(2)/$D$65+0.04)*(VLOOKUP(($F$16-$F$15)*2-1,AC$99:AG227,4,FALSE)))*EXP(-(LN(2)/$D$65+0.1)*(VLOOKUP(($F$16-$F$15)*2-1,AC$99:AG227,5,FALSE)))*EXP(-(LN(2)/$D$65+0.04)*AF227)*EXP(-(LN(2)/$D$65+0.1)*AG227),"-"))),"-")</f>
        <v>-</v>
      </c>
      <c r="AJ228" s="271" t="str">
        <f>IFERROR(IF(AD228=1,AJ$100*EXP(-(LN(2)/$D$65+0.04)*AF228)*EXP(-(LN(2)/$D$65+0.1)*AG228),IF(AD228=2,AJ$100*EXP(-(LN(2)/$D$65+0.04)*(VLOOKUP(($F$16-$F$15)-1,AC$100:AG228,4,FALSE)))*EXP(-(LN(2)/$D$65+0.1)*(VLOOKUP(($F$16-$F$15)-1,AC$100:AG228,5,FALSE)))*EXP(-(LN(2)/$D$65+0.04)*AF228)*EXP(-(LN(2)/$D$65+0.1)*AG228),IF(AD228=3,AJ$100*EXP(-(LN(2)/$D$65+0.04)*(VLOOKUP(($F$16-$F$15)-1,AC$100:AG228,4,FALSE)))*EXP(-(LN(2)/$D$65+0.1)*(VLOOKUP(($F$16-$F$15)-1,AC$100:AG228,5,FALSE)))*EXP(-(LN(2)/$D$65+0.04)*(VLOOKUP(($F$16-$F$15)*2-1,AC$100:AG228,4,FALSE)))*EXP(-(LN(2)/$D$65+0.1)*(VLOOKUP(($F$16-$F$15)*2-1,AC$100:AG228,5,FALSE)))*EXP(-(LN(2)/$D$65+0.04)*AF228)*EXP(-(LN(2)/$D$65+0.1)*AG228),"-"))),"-")</f>
        <v>-</v>
      </c>
      <c r="AK228" s="227">
        <f t="shared" si="138"/>
        <v>128</v>
      </c>
      <c r="AL228" s="226" t="str">
        <f t="shared" ref="AL228:AL250" si="191">IFERROR(IF($F$14-2&gt;0,IF(B228&lt;($F$16-$F$15)*($F$14-2),INT(B228/($F$16-$F$15))+1,AL226),"-"),"-")</f>
        <v>-</v>
      </c>
      <c r="AM228" s="227" t="str">
        <f t="shared" si="139"/>
        <v>-</v>
      </c>
      <c r="AN228" s="227" t="str">
        <f t="shared" si="140"/>
        <v>-</v>
      </c>
      <c r="AO228" s="227" t="str">
        <f t="shared" ref="AO228:AO250" si="192">IFERROR(AM228-AN228,"-")</f>
        <v>-</v>
      </c>
      <c r="AP228" s="273">
        <f t="shared" si="141"/>
        <v>0.1</v>
      </c>
      <c r="AQ228" s="271" t="str">
        <f>IFERROR(IF(AL227=1,AQ$100*EXP(-(LN(2)/$D$65+0.04)*AN227)*EXP(-(LN(2)/$D$65+0.1)*AO227),IF(AL227=2,AQ$100*EXP(-(LN(2)/$D$65+0.04)*(VLOOKUP(($F$16-$F$15)-1,AK$99:AO227,4,FALSE)))*EXP(-(LN(2)/$D$65+0.1)*(VLOOKUP(($F$16-$F$15)-1,AK$99:AO227,5,FALSE)))*EXP(-(LN(2)/$D$65+0.04)*AN227)*EXP(-(LN(2)/$D$65+0.1)*AO227),IF(AL227=3,AQ$100*EXP(-(LN(2)/$D$65+0.04)*(VLOOKUP(($F$16-$F$15)-1,AK$99:AO227,4,FALSE)))*EXP(-(LN(2)/$D$65+0.1)*(VLOOKUP(($F$16-$F$15)-1,AK$99:AO227,5,FALSE)))*EXP(-(LN(2)/$D$65+0.04)*(VLOOKUP(($F$16-$F$15)*2-1,AK$99:AO227,4,FALSE)))*EXP(-(LN(2)/$D$65+0.1)*(VLOOKUP(($F$16-$F$15)*2-1,AK$99:AO227,5,FALSE)))*EXP(-(LN(2)/$D$65+0.04)*AN227)*EXP(-(LN(2)/$D$65+0.1)*AO227),"-"))),"-")</f>
        <v>-</v>
      </c>
      <c r="AR228" s="271" t="str">
        <f>IFERROR(IF(AL228=1,AR$100*EXP(-(LN(2)/$D$65+0.04)*AN228)*EXP(-(LN(2)/$D$65+0.1)*AO228),IF(AL228=2,AR$100*EXP(-(LN(2)/$D$65+0.04)*(VLOOKUP(($F$16-$F$15)-1,AK$100:AO228,4,FALSE)))*EXP(-(LN(2)/$D$65+0.1)*(VLOOKUP(($F$16-$F$15)-1,AK$100:AO228,5,FALSE)))*EXP(-(LN(2)/$D$65+0.04)*AN228)*EXP(-(LN(2)/$D$65+0.1)*AO228),IF(AL228=3,AR$100*EXP(-(LN(2)/$D$65+0.04)*(VLOOKUP(($F$16-$F$15)-1,AK$100:AO228,4,FALSE)))*EXP(-(LN(2)/$D$65+0.1)*(VLOOKUP(($F$16-$F$15)-1,AK$100:AO228,5,FALSE)))*EXP(-(LN(2)/$D$65+0.04)*(VLOOKUP(($F$16-$F$15)*2-1,AK$100:AO228,4,FALSE)))*EXP(-(LN(2)/$D$65+0.1)*(VLOOKUP(($F$16-$F$15)*2-1,AK$100:AO228,5,FALSE)))*EXP(-(LN(2)/$D$65+0.04)*AN228)*EXP(-(LN(2)/$D$65+0.1)*AO228),"-"))),"-")</f>
        <v>-</v>
      </c>
      <c r="AS228" s="274">
        <f t="shared" ref="AS228:AS250" si="193">SUM(H228:J228)</f>
        <v>0</v>
      </c>
      <c r="AT228" s="274">
        <f t="shared" ref="AT228:AT250" si="194">SUM(K228:M228)</f>
        <v>0</v>
      </c>
      <c r="AU228" s="274">
        <f t="shared" ref="AU228:AU250" si="195">SUM(N228:S228)</f>
        <v>0</v>
      </c>
      <c r="AV228" s="190">
        <f>IF($B228&lt;$F$22,SUM($T$100:$T228),"")</f>
        <v>0</v>
      </c>
      <c r="AW228" s="190" t="str">
        <f t="shared" ref="AW228:AW250" si="196">IF(ISNUMBER(Koc),IF(ISNUMBER(AV228),AV228*(Koc*(Ocse/100)*Pse*Vse)/(Koc*(Ocse/100)*Pse*Vse+1*86400*($B228+1)),""),"-")</f>
        <v>-</v>
      </c>
      <c r="AX228" s="190" t="str">
        <f t="shared" si="142"/>
        <v/>
      </c>
      <c r="AY228"/>
      <c r="AZ228" s="190" t="str">
        <f ca="1">IF(ISNUMBER(OFFSET(AV228,-$F$21,0)),SUM(OFFSET($T$100,$F$21,0):$T228),"")</f>
        <v/>
      </c>
      <c r="BA228" s="190" t="str">
        <f t="shared" ref="BA228:BA250" ca="1" si="197">IF(ISNUMBER(OFFSET(AV228,-$F$21,0)),AZ228*(Koc*(Ocse/100)*Pse*Vse)/(Koc*(Ocse/100)*Pse*Vse+1*86400*($B228+1)),"")</f>
        <v/>
      </c>
      <c r="BB228" s="190" t="str">
        <f t="shared" ca="1" si="149"/>
        <v/>
      </c>
      <c r="BC228" s="190"/>
      <c r="BD228" s="190" t="str">
        <f ca="1">IFERROR(IF(AND($B228&gt;=($F$16-$F$15),$B228&lt;$F$22+($F$16-$F$15)),SUM(OFFSET($T$100,($F$16-$F$15),0):$T228),""),"")</f>
        <v/>
      </c>
      <c r="BE228" s="190" t="str">
        <f t="shared" ca="1" si="143"/>
        <v/>
      </c>
      <c r="BF228" s="190" t="str">
        <f t="shared" ca="1" si="144"/>
        <v/>
      </c>
      <c r="BG228"/>
      <c r="BH228" s="190" t="str">
        <f ca="1">IF(ISNUMBER(OFFSET(BD228,-$F$21,0)),SUM(OFFSET($T$100,($F$16-$F$15+$F$21),0):$T228),"")</f>
        <v/>
      </c>
      <c r="BI228" s="190" t="str">
        <f t="shared" ref="BI228:BI250" ca="1" si="198">IF(ISNUMBER(OFFSET(BD228,-$F$21,0)),BH228*(Koc*(Ocse/100)*Pse*Vse)/(Koc*(Ocse/100)*Pse*Vse+1*86400*($B228+1)),"")</f>
        <v/>
      </c>
      <c r="BJ228" s="190" t="str">
        <f t="shared" ca="1" si="145"/>
        <v/>
      </c>
      <c r="BK228" s="190"/>
      <c r="BL228" s="190" t="str">
        <f ca="1">IFERROR(IF(AND($B228&gt;=($F$17-$F$15),$B228&lt;$F$22+($F$17-$F$15)),SUM(OFFSET($T$100,($F$17-$F$15),0):$T228),""),"")</f>
        <v/>
      </c>
      <c r="BM228" s="190" t="str">
        <f t="shared" ref="BM228:BM250" ca="1" si="199">IF(ISNUMBER(BL228),BL228*(Koc*(Ocse/100)*Pse*Vse)/(Koc*(Ocse/100)*Pse*Vse+1*86400*($B228+1)),"")</f>
        <v/>
      </c>
      <c r="BN228" s="190" t="str">
        <f t="shared" ca="1" si="146"/>
        <v/>
      </c>
      <c r="BO228"/>
      <c r="BP228" s="190" t="str">
        <f ca="1">IF(ISNUMBER(OFFSET(BL228,-$F$21,0)),SUM(OFFSET($T$100,($F$17-$F$15+$F$21),0):$T228),"")</f>
        <v/>
      </c>
      <c r="BQ228" s="190" t="str">
        <f t="shared" ref="BQ228:BQ250" ca="1" si="200">IF(ISNUMBER(OFFSET(BL228,-$F$21,0)),BP228*(Koc*(Ocse/100)*Pse*Vse)/(Koc*(Ocse/100)*Pse*Vse+1*86400*($B228+1)),"")</f>
        <v/>
      </c>
      <c r="BR228" s="190" t="str">
        <f t="shared" ca="1" si="147"/>
        <v/>
      </c>
      <c r="BS228" s="190"/>
      <c r="BT228"/>
      <c r="BU228"/>
      <c r="BV228"/>
      <c r="BY228" s="99"/>
      <c r="BZ228" s="99"/>
      <c r="CA228" s="280" t="str">
        <f t="shared" ref="CA228:CA250" si="201">IFERROR(IF($B228&lt;$CA$94,T228*(Koc*(Ocse/100)*Pse*Vse)/(Koc*(Ocse/100)*Pse*Vse+1*86400*$CA$94),""),"-")</f>
        <v/>
      </c>
      <c r="CB228" s="71" t="str">
        <f t="shared" ref="CB228:CB250" si="202">IF(ISNUMBER(T228),IF($B228&lt;$CA$94,(T228-CA228)/(3*86400)*1000,""),"-")</f>
        <v>-</v>
      </c>
      <c r="CC228" s="33"/>
      <c r="CD228" s="261" t="str">
        <f t="shared" ref="CD228:CD250" si="203">IF(CC228=CA$96,CB$96,"")</f>
        <v/>
      </c>
      <c r="CE228" s="280" t="str">
        <f t="shared" ref="CE228:CE250" si="204">IFERROR(IF($B228&lt;$CE$94,T228*(Koc*(Ocse/100)*Pse*Vse)/(Koc*(Ocse/100)*Pse*Vse+1*86400*$CE$94),""),"-")</f>
        <v>-</v>
      </c>
      <c r="CF228" s="71" t="str">
        <f t="shared" ref="CF228:CF250" ca="1" si="205">IFERROR(IF($B228&lt;$CE$94,IF(NOT(ISNUMBER(ffp)),"-",IF($F$70=$AX$87,AX228,IF($F$70=$BB$87,OFFSET(BB228,$F$21,0),IF($F$70=$BF$87,OFFSET(BF228,$F$16,0),IF($F$70=$BJ$87,OFFSET(BJ228,$F$16+$F$21,0),IF($F$70=$BN$87,OFFSET(BN228,$F$17,0),OFFSET(BR228,$F$17+$F$21,0))))))),""),"-")</f>
        <v>-</v>
      </c>
      <c r="CG228" s="33" t="str">
        <f t="shared" ref="CG228:CG250" si="206">IF($B228&lt;$CE$94,$B228&amp;"-"&amp;$B228+1,"")</f>
        <v>128-129</v>
      </c>
      <c r="CH228" s="261" t="str">
        <f t="shared" ref="CH228:CH250" ca="1" si="207">IF(CG228=CE$96,CF$96,"")</f>
        <v/>
      </c>
    </row>
    <row r="229" spans="2:86" ht="13.5" customHeight="1" x14ac:dyDescent="0.2">
      <c r="B229" s="262">
        <v>129</v>
      </c>
      <c r="C229" s="237" t="str">
        <f t="shared" si="171"/>
        <v/>
      </c>
      <c r="D229" s="237" t="str">
        <f t="shared" si="148"/>
        <v>-</v>
      </c>
      <c r="E229" s="263" t="str">
        <f t="shared" ref="E229:E250" si="208">IF(ISNUMBER($F$14),IF(ISNUMBER(AA229),AA229,""),"")</f>
        <v/>
      </c>
      <c r="F229" s="264" t="str">
        <f t="shared" ref="F229:F250" si="209">IF(OR($F$14=2,$F$14=3),IF(($F$16-$F$15)&gt;B229," ",VLOOKUP((B229-($F$16-$F$15)),$AC$100:$AI$250,7,FALSE)),"")</f>
        <v/>
      </c>
      <c r="G229" s="264" t="str">
        <f t="shared" ref="G229:G250" si="210">IF($F$14=3,IF(($F$16-$F$15)*2&gt;B229," ",VLOOKUP((B229-($F$16-$F$15)*2),$AK$100:$AQ$250,7,FALSE)),"")</f>
        <v/>
      </c>
      <c r="H229" s="240" t="str">
        <f t="shared" si="172"/>
        <v/>
      </c>
      <c r="I229" s="265" t="str">
        <f t="shared" si="173"/>
        <v/>
      </c>
      <c r="J229" s="265" t="str">
        <f t="shared" si="174"/>
        <v/>
      </c>
      <c r="K229" s="240" t="str">
        <f t="shared" si="175"/>
        <v/>
      </c>
      <c r="L229" s="265" t="str">
        <f t="shared" si="176"/>
        <v/>
      </c>
      <c r="M229" s="265" t="str">
        <f t="shared" si="177"/>
        <v/>
      </c>
      <c r="N229" s="240" t="str">
        <f t="shared" si="178"/>
        <v>-</v>
      </c>
      <c r="O229" s="265" t="str">
        <f t="shared" si="179"/>
        <v>-</v>
      </c>
      <c r="P229" s="265" t="str">
        <f t="shared" si="180"/>
        <v>-</v>
      </c>
      <c r="Q229" s="266" t="str">
        <f t="shared" si="181"/>
        <v>-</v>
      </c>
      <c r="R229" s="267" t="str">
        <f t="shared" si="182"/>
        <v>-</v>
      </c>
      <c r="S229" s="268" t="str">
        <f t="shared" si="183"/>
        <v>-</v>
      </c>
      <c r="T229" s="269" t="str">
        <f t="shared" si="184"/>
        <v/>
      </c>
      <c r="U229" s="221">
        <f t="shared" si="185"/>
        <v>129</v>
      </c>
      <c r="V229" s="220" t="str">
        <f t="shared" ref="V229:V250" si="211">IF(ISNUMBER($F$14),IF(B229&lt;($F$16-$F$15)*$F$14,INT(B229/($F$16-$F$15))+1,V227),"-")</f>
        <v>-</v>
      </c>
      <c r="W229" s="221" t="str">
        <f t="shared" ref="W229:W250" si="212">IF(ISNUMBER($F$14),IF(B229&lt;$F$14*($F$16-$F$15),B229-INT(B229/($F$16-$F$15))*($F$16-$F$15)+1,W228+1),"-")</f>
        <v>-</v>
      </c>
      <c r="X229" s="221" t="str">
        <f t="shared" si="186"/>
        <v>-</v>
      </c>
      <c r="Y229" s="221" t="str">
        <f t="shared" si="187"/>
        <v>-</v>
      </c>
      <c r="Z229" s="270">
        <f t="shared" ref="Z229:Z250" si="213">IF(Y229&gt;0,0.1,0.04)</f>
        <v>0.1</v>
      </c>
      <c r="AA229" s="271" t="str">
        <f>IFERROR(IF(V228=1,AA$100*EXP(-(LN(2)/$D$65+0.04)*X228)*EXP(-(LN(2)/$D$65+0.1)*Y228),IF(V228=2,AA$100*EXP(-(LN(2)/$D$65+0.04)*(VLOOKUP(($F$16-$F$15)-1,U$99:Y228,4,FALSE)))*EXP(-(LN(2)/$D$65+0.1)*(VLOOKUP(($F$16-$F$15)-1,U$99:Y228,5,FALSE)))*EXP(-(LN(2)/$D$65+0.04)*X228)*EXP(-(LN(2)/$D$65+0.1)*Y228),IF(V228=3,AA$100*EXP(-(LN(2)/$D$65+0.04)*(VLOOKUP(($F$16-$F$15)-1,U$99:Y228,4,FALSE)))*EXP(-(LN(2)/$D$65+0.1)*(VLOOKUP(($F$16-$F$15)-1,U$99:Y228,5,FALSE)))*EXP(-(LN(2)/$D$65+0.04)*(VLOOKUP(($F$16-$F$15)*2-1,U$99:Y228,4,FALSE)))*EXP(-(LN(2)/$D$65+0.1)*(VLOOKUP(($F$16-$F$15)*2-1,U$99:Y228,5,FALSE)))*EXP(-(LN(2)/$D$65+0.04)*X228)*EXP(-(LN(2)/$D$65+0.1)*Y228),"-"))),"-")</f>
        <v>-</v>
      </c>
      <c r="AB229" s="271" t="str">
        <f>IFERROR(IF(V229=1,AB$100*EXP(-(LN(2)/$D$65+0.04)*X229)*EXP(-(LN(2)/$D$65+0.1)*Y229),IF(V229=2,AB$100*EXP(-(LN(2)/$D$65+0.04)*(VLOOKUP(($F$16-$F$15)-1,U$100:Y229,4,FALSE)))*EXP(-(LN(2)/$D$65+0.1)*(VLOOKUP(($F$16-$F$15)-1,U$100:Y229,5,FALSE)))*EXP(-(LN(2)/$D$65+0.04)*X229)*EXP(-(LN(2)/$D$65+0.1)*Y229),IF(V229=3,AB$100*EXP(-(LN(2)/$D$65+0.04)*(VLOOKUP(($F$16-$F$15)-1,U$100:Y229,4,FALSE)))*EXP(-(LN(2)/$D$65+0.1)*(VLOOKUP(($F$16-$F$15)-1,U$100:Y229,5,FALSE)))*EXP(-(LN(2)/$D$65+0.04)*(VLOOKUP(($F$16-$F$15)*2-1,U$100:Y229,4,FALSE)))*EXP(-(LN(2)/$D$65+0.1)*(VLOOKUP(($F$16-$F$15)*2-1,U$100:Y229,5,FALSE)))*EXP(-(LN(2)/$D$65+0.04)*X229)*EXP(-(LN(2)/$D$65+0.1)*Y229),"-"))),"-")</f>
        <v>-</v>
      </c>
      <c r="AC229" s="224">
        <f t="shared" ref="AC229:AC240" si="214">B229</f>
        <v>129</v>
      </c>
      <c r="AD229" s="223" t="str">
        <f t="shared" si="188"/>
        <v>-</v>
      </c>
      <c r="AE229" s="224" t="str">
        <f t="shared" ref="AE229:AE250" si="215">IFERROR(IF($F$14-1&gt;0,IF(B229&lt;($F$14-1)*($F$16-$F$15),B229-INT(B229/($F$16-$F$15))*($F$16-$F$15)+1,AE228+1),"-"),"-")</f>
        <v>-</v>
      </c>
      <c r="AF229" s="224" t="str">
        <f t="shared" si="189"/>
        <v>-</v>
      </c>
      <c r="AG229" s="224" t="str">
        <f t="shared" si="190"/>
        <v>-</v>
      </c>
      <c r="AH229" s="272">
        <f t="shared" ref="AH229:AH250" si="216">IF(AG229&gt;0,0.1,0.04)</f>
        <v>0.1</v>
      </c>
      <c r="AI229" s="271" t="str">
        <f>IFERROR(IF(AD228=1,AI$100*EXP(-(LN(2)/$D$65+0.04)*AF228)*EXP(-(LN(2)/$D$65+0.1)*AG228),IF(AD228=2,AI$100*EXP(-(LN(2)/$D$65+0.04)*(VLOOKUP(($F$16-$F$15)-1,AC$99:AG228,4,FALSE)))*EXP(-(LN(2)/$D$65+0.1)*(VLOOKUP(($F$16-$F$15)-1,AC$99:AG228,5,FALSE)))*EXP(-(LN(2)/$D$65+0.04)*AF228)*EXP(-(LN(2)/$D$65+0.1)*AG228),IF(AD228=3,AI$100*EXP(-(LN(2)/$D$65+0.04)*(VLOOKUP(($F$16-$F$15)-1,AC$99:AG228,4,FALSE)))*EXP(-(LN(2)/$D$65+0.1)*(VLOOKUP(($F$16-$F$15)-1,AC$99:AG228,5,FALSE)))*EXP(-(LN(2)/$D$65+0.04)*(VLOOKUP(($F$16-$F$15)*2-1,AC$99:AG228,4,FALSE)))*EXP(-(LN(2)/$D$65+0.1)*(VLOOKUP(($F$16-$F$15)*2-1,AC$99:AG228,5,FALSE)))*EXP(-(LN(2)/$D$65+0.04)*AF228)*EXP(-(LN(2)/$D$65+0.1)*AG228),"-"))),"-")</f>
        <v>-</v>
      </c>
      <c r="AJ229" s="271" t="str">
        <f>IFERROR(IF(AD229=1,AJ$100*EXP(-(LN(2)/$D$65+0.04)*AF229)*EXP(-(LN(2)/$D$65+0.1)*AG229),IF(AD229=2,AJ$100*EXP(-(LN(2)/$D$65+0.04)*(VLOOKUP(($F$16-$F$15)-1,AC$100:AG229,4,FALSE)))*EXP(-(LN(2)/$D$65+0.1)*(VLOOKUP(($F$16-$F$15)-1,AC$100:AG229,5,FALSE)))*EXP(-(LN(2)/$D$65+0.04)*AF229)*EXP(-(LN(2)/$D$65+0.1)*AG229),IF(AD229=3,AJ$100*EXP(-(LN(2)/$D$65+0.04)*(VLOOKUP(($F$16-$F$15)-1,AC$100:AG229,4,FALSE)))*EXP(-(LN(2)/$D$65+0.1)*(VLOOKUP(($F$16-$F$15)-1,AC$100:AG229,5,FALSE)))*EXP(-(LN(2)/$D$65+0.04)*(VLOOKUP(($F$16-$F$15)*2-1,AC$100:AG229,4,FALSE)))*EXP(-(LN(2)/$D$65+0.1)*(VLOOKUP(($F$16-$F$15)*2-1,AC$100:AG229,5,FALSE)))*EXP(-(LN(2)/$D$65+0.04)*AF229)*EXP(-(LN(2)/$D$65+0.1)*AG229),"-"))),"-")</f>
        <v>-</v>
      </c>
      <c r="AK229" s="227">
        <f t="shared" ref="AK229:AK250" si="217">B229</f>
        <v>129</v>
      </c>
      <c r="AL229" s="226" t="str">
        <f t="shared" si="191"/>
        <v>-</v>
      </c>
      <c r="AM229" s="227" t="str">
        <f t="shared" ref="AM229:AM250" si="218">IFERROR(IF($F$14-2&gt;0,IF(B229&lt;($F$14-2)*($F$16-$F$15),B229-INT(B229/($F$16-$F$15))*($F$16-$F$15)+1,AM228+1),"-"),"-")</f>
        <v>-</v>
      </c>
      <c r="AN229" s="227" t="str">
        <f t="shared" ref="AN229:AN250" si="219">IFERROR(IF($F$21=0,0,IF(AL229=AL228,IF(B229-(AL229-1)*($F$16-$F$15)&lt;$F$21,AN228+1,AN228),1)),"-")</f>
        <v>-</v>
      </c>
      <c r="AO229" s="227" t="str">
        <f t="shared" si="192"/>
        <v>-</v>
      </c>
      <c r="AP229" s="273">
        <f t="shared" ref="AP229:AP250" si="220">IF(AO229&gt;0,0.1,0.04)</f>
        <v>0.1</v>
      </c>
      <c r="AQ229" s="271" t="str">
        <f>IFERROR(IF(AL228=1,AQ$100*EXP(-(LN(2)/$D$65+0.04)*AN228)*EXP(-(LN(2)/$D$65+0.1)*AO228),IF(AL228=2,AQ$100*EXP(-(LN(2)/$D$65+0.04)*(VLOOKUP(($F$16-$F$15)-1,AK$99:AO228,4,FALSE)))*EXP(-(LN(2)/$D$65+0.1)*(VLOOKUP(($F$16-$F$15)-1,AK$99:AO228,5,FALSE)))*EXP(-(LN(2)/$D$65+0.04)*AN228)*EXP(-(LN(2)/$D$65+0.1)*AO228),IF(AL228=3,AQ$100*EXP(-(LN(2)/$D$65+0.04)*(VLOOKUP(($F$16-$F$15)-1,AK$99:AO228,4,FALSE)))*EXP(-(LN(2)/$D$65+0.1)*(VLOOKUP(($F$16-$F$15)-1,AK$99:AO228,5,FALSE)))*EXP(-(LN(2)/$D$65+0.04)*(VLOOKUP(($F$16-$F$15)*2-1,AK$99:AO228,4,FALSE)))*EXP(-(LN(2)/$D$65+0.1)*(VLOOKUP(($F$16-$F$15)*2-1,AK$99:AO228,5,FALSE)))*EXP(-(LN(2)/$D$65+0.04)*AN228)*EXP(-(LN(2)/$D$65+0.1)*AO228),"-"))),"-")</f>
        <v>-</v>
      </c>
      <c r="AR229" s="271" t="str">
        <f>IFERROR(IF(AL229=1,AR$100*EXP(-(LN(2)/$D$65+0.04)*AN229)*EXP(-(LN(2)/$D$65+0.1)*AO229),IF(AL229=2,AR$100*EXP(-(LN(2)/$D$65+0.04)*(VLOOKUP(($F$16-$F$15)-1,AK$100:AO229,4,FALSE)))*EXP(-(LN(2)/$D$65+0.1)*(VLOOKUP(($F$16-$F$15)-1,AK$100:AO229,5,FALSE)))*EXP(-(LN(2)/$D$65+0.04)*AN229)*EXP(-(LN(2)/$D$65+0.1)*AO229),IF(AL229=3,AR$100*EXP(-(LN(2)/$D$65+0.04)*(VLOOKUP(($F$16-$F$15)-1,AK$100:AO229,4,FALSE)))*EXP(-(LN(2)/$D$65+0.1)*(VLOOKUP(($F$16-$F$15)-1,AK$100:AO229,5,FALSE)))*EXP(-(LN(2)/$D$65+0.04)*(VLOOKUP(($F$16-$F$15)*2-1,AK$100:AO229,4,FALSE)))*EXP(-(LN(2)/$D$65+0.1)*(VLOOKUP(($F$16-$F$15)*2-1,AK$100:AO229,5,FALSE)))*EXP(-(LN(2)/$D$65+0.04)*AN229)*EXP(-(LN(2)/$D$65+0.1)*AO229),"-"))),"-")</f>
        <v>-</v>
      </c>
      <c r="AS229" s="274">
        <f t="shared" si="193"/>
        <v>0</v>
      </c>
      <c r="AT229" s="274">
        <f t="shared" si="194"/>
        <v>0</v>
      </c>
      <c r="AU229" s="274">
        <f t="shared" si="195"/>
        <v>0</v>
      </c>
      <c r="AV229" s="190">
        <f>IF($B229&lt;$F$22,SUM($T$100:$T229),"")</f>
        <v>0</v>
      </c>
      <c r="AW229" s="190" t="str">
        <f t="shared" si="196"/>
        <v>-</v>
      </c>
      <c r="AX229" s="190" t="str">
        <f t="shared" ref="AX229:AX250" si="221">IF(ISNUMBER(AW229),IF(ISNUMBER(AV229),(AV229-AW229)/(3*86400*($B229+1))*1000,""),"")</f>
        <v/>
      </c>
      <c r="AY229"/>
      <c r="AZ229" s="190" t="str">
        <f ca="1">IF(ISNUMBER(OFFSET(AV229,-$F$21,0)),SUM(OFFSET($T$100,$F$21,0):$T229),"")</f>
        <v/>
      </c>
      <c r="BA229" s="190" t="str">
        <f t="shared" ca="1" si="197"/>
        <v/>
      </c>
      <c r="BB229" s="190" t="str">
        <f t="shared" ca="1" si="149"/>
        <v/>
      </c>
      <c r="BC229" s="190"/>
      <c r="BD229" s="190" t="str">
        <f ca="1">IFERROR(IF(AND($B229&gt;=($F$16-$F$15),$B229&lt;$F$22+($F$16-$F$15)),SUM(OFFSET($T$100,($F$16-$F$15),0):$T229),""),"")</f>
        <v/>
      </c>
      <c r="BE229" s="190" t="str">
        <f t="shared" ref="BE229:BE250" ca="1" si="222">IF(ISNUMBER(BD229),BD229*(Koc*(Ocse/100)*Pse*Vse)/(Koc*(Ocse/100)*Pse*Vse+1*86400*($B229+1)),"")</f>
        <v/>
      </c>
      <c r="BF229" s="190" t="str">
        <f t="shared" ref="BF229:BF250" ca="1" si="223">IF(ISNUMBER(BD229),(BD229-BE229)/(3*86400*($B229-($F$16-$F$15)+1))*1000,"")</f>
        <v/>
      </c>
      <c r="BG229"/>
      <c r="BH229" s="190" t="str">
        <f ca="1">IF(ISNUMBER(OFFSET(BD229,-$F$21,0)),SUM(OFFSET($T$100,($F$16-$F$15+$F$21),0):$T229),"")</f>
        <v/>
      </c>
      <c r="BI229" s="190" t="str">
        <f t="shared" ca="1" si="198"/>
        <v/>
      </c>
      <c r="BJ229" s="190" t="str">
        <f t="shared" ref="BJ229:BJ250" ca="1" si="224">IF(ISNUMBER(BH229),(BH229-BI229)/(3*86400*((OFFSET($B229,-$F$21,0)-($F$16-$F$15)+1)))*1000,"")</f>
        <v/>
      </c>
      <c r="BK229" s="190"/>
      <c r="BL229" s="190" t="str">
        <f ca="1">IFERROR(IF(AND($B229&gt;=($F$17-$F$15),$B229&lt;$F$22+($F$17-$F$15)),SUM(OFFSET($T$100,($F$17-$F$15),0):$T229),""),"")</f>
        <v/>
      </c>
      <c r="BM229" s="190" t="str">
        <f t="shared" ca="1" si="199"/>
        <v/>
      </c>
      <c r="BN229" s="190" t="str">
        <f t="shared" ref="BN229:BN250" ca="1" si="225">IF(ISNUMBER(BL229),(BL229-BM229)/(3*86400*($B229-($F$17-$F$15)+1))*1000,"")</f>
        <v/>
      </c>
      <c r="BO229"/>
      <c r="BP229" s="190" t="str">
        <f ca="1">IF(ISNUMBER(OFFSET(BL229,-$F$21,0)),SUM(OFFSET($T$100,($F$17-$F$15+$F$21),0):$T229),"")</f>
        <v/>
      </c>
      <c r="BQ229" s="190" t="str">
        <f t="shared" ca="1" si="200"/>
        <v/>
      </c>
      <c r="BR229" s="190" t="str">
        <f t="shared" ref="BR229:BR250" ca="1" si="226">IF(ISNUMBER(BP229),(BP229-BQ229)/(3*86400*(OFFSET($B229,-$F$21,0)-($F$17-$F$15)+1))*1000,"")</f>
        <v/>
      </c>
      <c r="BS229" s="190"/>
      <c r="BT229"/>
      <c r="BU229"/>
      <c r="BV229"/>
      <c r="BY229" s="99"/>
      <c r="BZ229" s="99"/>
      <c r="CA229" s="280" t="str">
        <f t="shared" si="201"/>
        <v/>
      </c>
      <c r="CB229" s="71" t="str">
        <f t="shared" si="202"/>
        <v>-</v>
      </c>
      <c r="CC229" s="33"/>
      <c r="CD229" s="261" t="str">
        <f t="shared" si="203"/>
        <v/>
      </c>
      <c r="CE229" s="280" t="str">
        <f t="shared" si="204"/>
        <v>-</v>
      </c>
      <c r="CF229" s="71" t="str">
        <f t="shared" ca="1" si="205"/>
        <v>-</v>
      </c>
      <c r="CG229" s="33" t="str">
        <f t="shared" si="206"/>
        <v>129-130</v>
      </c>
      <c r="CH229" s="261" t="str">
        <f t="shared" ca="1" si="207"/>
        <v/>
      </c>
    </row>
    <row r="230" spans="2:86" ht="13.5" customHeight="1" x14ac:dyDescent="0.2">
      <c r="B230" s="262">
        <v>130</v>
      </c>
      <c r="C230" s="237" t="str">
        <f t="shared" si="171"/>
        <v/>
      </c>
      <c r="D230" s="237" t="str">
        <f t="shared" ref="D230:D250" si="227">IFERROR(IF(B230&lt;$F$22,IF(ISNUMBER($D$65),IF(MAX($BU$101:$BU$120)&lt;B230, "", IF(B230=VLOOKUP(B230, $BU$101:$BU$120,1,1), C230,D229-INDEX($BY$101:$BY$120, MATCH(VLOOKUP(B230, $BU$101:$BU$120,1,1), $BU$101:$BU$120)+1, 1))),D229-VLOOKUP(MAX($BU$101:$BU$120),$BU$101:$BY$120,5)),""),"-")</f>
        <v>-</v>
      </c>
      <c r="E230" s="263" t="str">
        <f t="shared" si="208"/>
        <v/>
      </c>
      <c r="F230" s="264" t="str">
        <f t="shared" si="209"/>
        <v/>
      </c>
      <c r="G230" s="264" t="str">
        <f t="shared" si="210"/>
        <v/>
      </c>
      <c r="H230" s="240" t="str">
        <f t="shared" si="172"/>
        <v/>
      </c>
      <c r="I230" s="265" t="str">
        <f t="shared" si="173"/>
        <v/>
      </c>
      <c r="J230" s="265" t="str">
        <f t="shared" si="174"/>
        <v/>
      </c>
      <c r="K230" s="240" t="str">
        <f t="shared" si="175"/>
        <v/>
      </c>
      <c r="L230" s="265" t="str">
        <f t="shared" si="176"/>
        <v/>
      </c>
      <c r="M230" s="265" t="str">
        <f t="shared" si="177"/>
        <v/>
      </c>
      <c r="N230" s="240" t="str">
        <f t="shared" si="178"/>
        <v>-</v>
      </c>
      <c r="O230" s="265" t="str">
        <f t="shared" si="179"/>
        <v>-</v>
      </c>
      <c r="P230" s="265" t="str">
        <f t="shared" si="180"/>
        <v>-</v>
      </c>
      <c r="Q230" s="266" t="str">
        <f t="shared" si="181"/>
        <v>-</v>
      </c>
      <c r="R230" s="267" t="str">
        <f t="shared" si="182"/>
        <v>-</v>
      </c>
      <c r="S230" s="268" t="str">
        <f t="shared" si="183"/>
        <v>-</v>
      </c>
      <c r="T230" s="269" t="str">
        <f t="shared" si="184"/>
        <v/>
      </c>
      <c r="U230" s="221">
        <f t="shared" si="185"/>
        <v>130</v>
      </c>
      <c r="V230" s="220" t="str">
        <f t="shared" si="211"/>
        <v>-</v>
      </c>
      <c r="W230" s="221" t="str">
        <f t="shared" si="212"/>
        <v>-</v>
      </c>
      <c r="X230" s="221" t="str">
        <f t="shared" si="186"/>
        <v>-</v>
      </c>
      <c r="Y230" s="221" t="str">
        <f t="shared" si="187"/>
        <v>-</v>
      </c>
      <c r="Z230" s="270">
        <f t="shared" si="213"/>
        <v>0.1</v>
      </c>
      <c r="AA230" s="271" t="str">
        <f>IFERROR(IF(V229=1,AA$100*EXP(-(LN(2)/$D$65+0.04)*X229)*EXP(-(LN(2)/$D$65+0.1)*Y229),IF(V229=2,AA$100*EXP(-(LN(2)/$D$65+0.04)*(VLOOKUP(($F$16-$F$15)-1,U$99:Y229,4,FALSE)))*EXP(-(LN(2)/$D$65+0.1)*(VLOOKUP(($F$16-$F$15)-1,U$99:Y229,5,FALSE)))*EXP(-(LN(2)/$D$65+0.04)*X229)*EXP(-(LN(2)/$D$65+0.1)*Y229),IF(V229=3,AA$100*EXP(-(LN(2)/$D$65+0.04)*(VLOOKUP(($F$16-$F$15)-1,U$99:Y229,4,FALSE)))*EXP(-(LN(2)/$D$65+0.1)*(VLOOKUP(($F$16-$F$15)-1,U$99:Y229,5,FALSE)))*EXP(-(LN(2)/$D$65+0.04)*(VLOOKUP(($F$16-$F$15)*2-1,U$99:Y229,4,FALSE)))*EXP(-(LN(2)/$D$65+0.1)*(VLOOKUP(($F$16-$F$15)*2-1,U$99:Y229,5,FALSE)))*EXP(-(LN(2)/$D$65+0.04)*X229)*EXP(-(LN(2)/$D$65+0.1)*Y229),"-"))),"-")</f>
        <v>-</v>
      </c>
      <c r="AB230" s="271" t="str">
        <f>IFERROR(IF(V230=1,AB$100*EXP(-(LN(2)/$D$65+0.04)*X230)*EXP(-(LN(2)/$D$65+0.1)*Y230),IF(V230=2,AB$100*EXP(-(LN(2)/$D$65+0.04)*(VLOOKUP(($F$16-$F$15)-1,U$100:Y230,4,FALSE)))*EXP(-(LN(2)/$D$65+0.1)*(VLOOKUP(($F$16-$F$15)-1,U$100:Y230,5,FALSE)))*EXP(-(LN(2)/$D$65+0.04)*X230)*EXP(-(LN(2)/$D$65+0.1)*Y230),IF(V230=3,AB$100*EXP(-(LN(2)/$D$65+0.04)*(VLOOKUP(($F$16-$F$15)-1,U$100:Y230,4,FALSE)))*EXP(-(LN(2)/$D$65+0.1)*(VLOOKUP(($F$16-$F$15)-1,U$100:Y230,5,FALSE)))*EXP(-(LN(2)/$D$65+0.04)*(VLOOKUP(($F$16-$F$15)*2-1,U$100:Y230,4,FALSE)))*EXP(-(LN(2)/$D$65+0.1)*(VLOOKUP(($F$16-$F$15)*2-1,U$100:Y230,5,FALSE)))*EXP(-(LN(2)/$D$65+0.04)*X230)*EXP(-(LN(2)/$D$65+0.1)*Y230),"-"))),"-")</f>
        <v>-</v>
      </c>
      <c r="AC230" s="224">
        <f t="shared" si="214"/>
        <v>130</v>
      </c>
      <c r="AD230" s="223" t="str">
        <f t="shared" si="188"/>
        <v>-</v>
      </c>
      <c r="AE230" s="224" t="str">
        <f t="shared" si="215"/>
        <v>-</v>
      </c>
      <c r="AF230" s="224" t="str">
        <f t="shared" si="189"/>
        <v>-</v>
      </c>
      <c r="AG230" s="224" t="str">
        <f t="shared" si="190"/>
        <v>-</v>
      </c>
      <c r="AH230" s="272">
        <f t="shared" si="216"/>
        <v>0.1</v>
      </c>
      <c r="AI230" s="271" t="str">
        <f>IFERROR(IF(AD229=1,AI$100*EXP(-(LN(2)/$D$65+0.04)*AF229)*EXP(-(LN(2)/$D$65+0.1)*AG229),IF(AD229=2,AI$100*EXP(-(LN(2)/$D$65+0.04)*(VLOOKUP(($F$16-$F$15)-1,AC$99:AG229,4,FALSE)))*EXP(-(LN(2)/$D$65+0.1)*(VLOOKUP(($F$16-$F$15)-1,AC$99:AG229,5,FALSE)))*EXP(-(LN(2)/$D$65+0.04)*AF229)*EXP(-(LN(2)/$D$65+0.1)*AG229),IF(AD229=3,AI$100*EXP(-(LN(2)/$D$65+0.04)*(VLOOKUP(($F$16-$F$15)-1,AC$99:AG229,4,FALSE)))*EXP(-(LN(2)/$D$65+0.1)*(VLOOKUP(($F$16-$F$15)-1,AC$99:AG229,5,FALSE)))*EXP(-(LN(2)/$D$65+0.04)*(VLOOKUP(($F$16-$F$15)*2-1,AC$99:AG229,4,FALSE)))*EXP(-(LN(2)/$D$65+0.1)*(VLOOKUP(($F$16-$F$15)*2-1,AC$99:AG229,5,FALSE)))*EXP(-(LN(2)/$D$65+0.04)*AF229)*EXP(-(LN(2)/$D$65+0.1)*AG229),"-"))),"-")</f>
        <v>-</v>
      </c>
      <c r="AJ230" s="271" t="str">
        <f>IFERROR(IF(AD230=1,AJ$100*EXP(-(LN(2)/$D$65+0.04)*AF230)*EXP(-(LN(2)/$D$65+0.1)*AG230),IF(AD230=2,AJ$100*EXP(-(LN(2)/$D$65+0.04)*(VLOOKUP(($F$16-$F$15)-1,AC$100:AG230,4,FALSE)))*EXP(-(LN(2)/$D$65+0.1)*(VLOOKUP(($F$16-$F$15)-1,AC$100:AG230,5,FALSE)))*EXP(-(LN(2)/$D$65+0.04)*AF230)*EXP(-(LN(2)/$D$65+0.1)*AG230),IF(AD230=3,AJ$100*EXP(-(LN(2)/$D$65+0.04)*(VLOOKUP(($F$16-$F$15)-1,AC$100:AG230,4,FALSE)))*EXP(-(LN(2)/$D$65+0.1)*(VLOOKUP(($F$16-$F$15)-1,AC$100:AG230,5,FALSE)))*EXP(-(LN(2)/$D$65+0.04)*(VLOOKUP(($F$16-$F$15)*2-1,AC$100:AG230,4,FALSE)))*EXP(-(LN(2)/$D$65+0.1)*(VLOOKUP(($F$16-$F$15)*2-1,AC$100:AG230,5,FALSE)))*EXP(-(LN(2)/$D$65+0.04)*AF230)*EXP(-(LN(2)/$D$65+0.1)*AG230),"-"))),"-")</f>
        <v>-</v>
      </c>
      <c r="AK230" s="227">
        <f t="shared" si="217"/>
        <v>130</v>
      </c>
      <c r="AL230" s="226" t="str">
        <f t="shared" si="191"/>
        <v>-</v>
      </c>
      <c r="AM230" s="227" t="str">
        <f t="shared" si="218"/>
        <v>-</v>
      </c>
      <c r="AN230" s="227" t="str">
        <f t="shared" si="219"/>
        <v>-</v>
      </c>
      <c r="AO230" s="227" t="str">
        <f t="shared" si="192"/>
        <v>-</v>
      </c>
      <c r="AP230" s="273">
        <f t="shared" si="220"/>
        <v>0.1</v>
      </c>
      <c r="AQ230" s="271" t="str">
        <f>IFERROR(IF(AL229=1,AQ$100*EXP(-(LN(2)/$D$65+0.04)*AN229)*EXP(-(LN(2)/$D$65+0.1)*AO229),IF(AL229=2,AQ$100*EXP(-(LN(2)/$D$65+0.04)*(VLOOKUP(($F$16-$F$15)-1,AK$99:AO229,4,FALSE)))*EXP(-(LN(2)/$D$65+0.1)*(VLOOKUP(($F$16-$F$15)-1,AK$99:AO229,5,FALSE)))*EXP(-(LN(2)/$D$65+0.04)*AN229)*EXP(-(LN(2)/$D$65+0.1)*AO229),IF(AL229=3,AQ$100*EXP(-(LN(2)/$D$65+0.04)*(VLOOKUP(($F$16-$F$15)-1,AK$99:AO229,4,FALSE)))*EXP(-(LN(2)/$D$65+0.1)*(VLOOKUP(($F$16-$F$15)-1,AK$99:AO229,5,FALSE)))*EXP(-(LN(2)/$D$65+0.04)*(VLOOKUP(($F$16-$F$15)*2-1,AK$99:AO229,4,FALSE)))*EXP(-(LN(2)/$D$65+0.1)*(VLOOKUP(($F$16-$F$15)*2-1,AK$99:AO229,5,FALSE)))*EXP(-(LN(2)/$D$65+0.04)*AN229)*EXP(-(LN(2)/$D$65+0.1)*AO229),"-"))),"-")</f>
        <v>-</v>
      </c>
      <c r="AR230" s="271" t="str">
        <f>IFERROR(IF(AL230=1,AR$100*EXP(-(LN(2)/$D$65+0.04)*AN230)*EXP(-(LN(2)/$D$65+0.1)*AO230),IF(AL230=2,AR$100*EXP(-(LN(2)/$D$65+0.04)*(VLOOKUP(($F$16-$F$15)-1,AK$100:AO230,4,FALSE)))*EXP(-(LN(2)/$D$65+0.1)*(VLOOKUP(($F$16-$F$15)-1,AK$100:AO230,5,FALSE)))*EXP(-(LN(2)/$D$65+0.04)*AN230)*EXP(-(LN(2)/$D$65+0.1)*AO230),IF(AL230=3,AR$100*EXP(-(LN(2)/$D$65+0.04)*(VLOOKUP(($F$16-$F$15)-1,AK$100:AO230,4,FALSE)))*EXP(-(LN(2)/$D$65+0.1)*(VLOOKUP(($F$16-$F$15)-1,AK$100:AO230,5,FALSE)))*EXP(-(LN(2)/$D$65+0.04)*(VLOOKUP(($F$16-$F$15)*2-1,AK$100:AO230,4,FALSE)))*EXP(-(LN(2)/$D$65+0.1)*(VLOOKUP(($F$16-$F$15)*2-1,AK$100:AO230,5,FALSE)))*EXP(-(LN(2)/$D$65+0.04)*AN230)*EXP(-(LN(2)/$D$65+0.1)*AO230),"-"))),"-")</f>
        <v>-</v>
      </c>
      <c r="AS230" s="274">
        <f t="shared" si="193"/>
        <v>0</v>
      </c>
      <c r="AT230" s="274">
        <f t="shared" si="194"/>
        <v>0</v>
      </c>
      <c r="AU230" s="274">
        <f t="shared" si="195"/>
        <v>0</v>
      </c>
      <c r="AV230" s="190">
        <f>IF($B230&lt;$F$22,SUM($T$100:$T230),"")</f>
        <v>0</v>
      </c>
      <c r="AW230" s="190" t="str">
        <f t="shared" si="196"/>
        <v>-</v>
      </c>
      <c r="AX230" s="190" t="str">
        <f t="shared" si="221"/>
        <v/>
      </c>
      <c r="AY230"/>
      <c r="AZ230" s="190" t="str">
        <f ca="1">IF(ISNUMBER(OFFSET(AV230,-$F$21,0)),SUM(OFFSET($T$100,$F$21,0):$T230),"")</f>
        <v/>
      </c>
      <c r="BA230" s="190" t="str">
        <f t="shared" ca="1" si="197"/>
        <v/>
      </c>
      <c r="BB230" s="190" t="str">
        <f t="shared" ca="1" si="149"/>
        <v/>
      </c>
      <c r="BC230" s="190"/>
      <c r="BD230" s="190" t="str">
        <f ca="1">IFERROR(IF(AND($B230&gt;=($F$16-$F$15),$B230&lt;$F$22+($F$16-$F$15)),SUM(OFFSET($T$100,($F$16-$F$15),0):$T230),""),"")</f>
        <v/>
      </c>
      <c r="BE230" s="190" t="str">
        <f t="shared" ca="1" si="222"/>
        <v/>
      </c>
      <c r="BF230" s="190" t="str">
        <f t="shared" ca="1" si="223"/>
        <v/>
      </c>
      <c r="BG230"/>
      <c r="BH230" s="190" t="str">
        <f ca="1">IF(ISNUMBER(OFFSET(BD230,-$F$21,0)),SUM(OFFSET($T$100,($F$16-$F$15+$F$21),0):$T230),"")</f>
        <v/>
      </c>
      <c r="BI230" s="190" t="str">
        <f t="shared" ca="1" si="198"/>
        <v/>
      </c>
      <c r="BJ230" s="190" t="str">
        <f t="shared" ca="1" si="224"/>
        <v/>
      </c>
      <c r="BK230" s="190"/>
      <c r="BL230" s="190" t="str">
        <f ca="1">IFERROR(IF(AND($B230&gt;=($F$17-$F$15),$B230&lt;$F$22+($F$17-$F$15)),SUM(OFFSET($T$100,($F$17-$F$15),0):$T230),""),"")</f>
        <v/>
      </c>
      <c r="BM230" s="190" t="str">
        <f t="shared" ca="1" si="199"/>
        <v/>
      </c>
      <c r="BN230" s="190" t="str">
        <f t="shared" ca="1" si="225"/>
        <v/>
      </c>
      <c r="BO230"/>
      <c r="BP230" s="190" t="str">
        <f ca="1">IF(ISNUMBER(OFFSET(BL230,-$F$21,0)),SUM(OFFSET($T$100,($F$17-$F$15+$F$21),0):$T230),"")</f>
        <v/>
      </c>
      <c r="BQ230" s="190" t="str">
        <f t="shared" ca="1" si="200"/>
        <v/>
      </c>
      <c r="BR230" s="190" t="str">
        <f t="shared" ca="1" si="226"/>
        <v/>
      </c>
      <c r="BS230" s="190"/>
      <c r="BT230"/>
      <c r="BU230"/>
      <c r="BV230"/>
      <c r="BY230" s="99"/>
      <c r="BZ230" s="99"/>
      <c r="CA230" s="280" t="str">
        <f t="shared" si="201"/>
        <v/>
      </c>
      <c r="CB230" s="71" t="str">
        <f t="shared" si="202"/>
        <v>-</v>
      </c>
      <c r="CC230" s="33"/>
      <c r="CD230" s="261" t="str">
        <f t="shared" si="203"/>
        <v/>
      </c>
      <c r="CE230" s="280" t="str">
        <f t="shared" si="204"/>
        <v>-</v>
      </c>
      <c r="CF230" s="71" t="str">
        <f t="shared" ca="1" si="205"/>
        <v>-</v>
      </c>
      <c r="CG230" s="33" t="str">
        <f t="shared" si="206"/>
        <v>130-131</v>
      </c>
      <c r="CH230" s="261" t="str">
        <f t="shared" ca="1" si="207"/>
        <v/>
      </c>
    </row>
    <row r="231" spans="2:86" ht="13.5" customHeight="1" x14ac:dyDescent="0.2">
      <c r="B231" s="262">
        <v>131</v>
      </c>
      <c r="C231" s="237" t="str">
        <f t="shared" si="171"/>
        <v/>
      </c>
      <c r="D231" s="237" t="str">
        <f t="shared" si="227"/>
        <v>-</v>
      </c>
      <c r="E231" s="263" t="str">
        <f t="shared" si="208"/>
        <v/>
      </c>
      <c r="F231" s="264" t="str">
        <f t="shared" si="209"/>
        <v/>
      </c>
      <c r="G231" s="264" t="str">
        <f t="shared" si="210"/>
        <v/>
      </c>
      <c r="H231" s="240" t="str">
        <f t="shared" si="172"/>
        <v/>
      </c>
      <c r="I231" s="265" t="str">
        <f t="shared" si="173"/>
        <v/>
      </c>
      <c r="J231" s="265" t="str">
        <f t="shared" si="174"/>
        <v/>
      </c>
      <c r="K231" s="240" t="str">
        <f t="shared" si="175"/>
        <v/>
      </c>
      <c r="L231" s="265" t="str">
        <f t="shared" si="176"/>
        <v/>
      </c>
      <c r="M231" s="265" t="str">
        <f t="shared" si="177"/>
        <v/>
      </c>
      <c r="N231" s="240" t="str">
        <f t="shared" si="178"/>
        <v>-</v>
      </c>
      <c r="O231" s="265" t="str">
        <f t="shared" si="179"/>
        <v>-</v>
      </c>
      <c r="P231" s="265" t="str">
        <f t="shared" si="180"/>
        <v>-</v>
      </c>
      <c r="Q231" s="266" t="str">
        <f t="shared" si="181"/>
        <v>-</v>
      </c>
      <c r="R231" s="267" t="str">
        <f t="shared" si="182"/>
        <v>-</v>
      </c>
      <c r="S231" s="268" t="str">
        <f t="shared" si="183"/>
        <v>-</v>
      </c>
      <c r="T231" s="269" t="str">
        <f t="shared" si="184"/>
        <v/>
      </c>
      <c r="U231" s="221">
        <f t="shared" si="185"/>
        <v>131</v>
      </c>
      <c r="V231" s="220" t="str">
        <f t="shared" si="211"/>
        <v>-</v>
      </c>
      <c r="W231" s="221" t="str">
        <f t="shared" si="212"/>
        <v>-</v>
      </c>
      <c r="X231" s="221" t="str">
        <f t="shared" si="186"/>
        <v>-</v>
      </c>
      <c r="Y231" s="221" t="str">
        <f t="shared" si="187"/>
        <v>-</v>
      </c>
      <c r="Z231" s="270">
        <f t="shared" si="213"/>
        <v>0.1</v>
      </c>
      <c r="AA231" s="271" t="str">
        <f>IFERROR(IF(V230=1,AA$100*EXP(-(LN(2)/$D$65+0.04)*X230)*EXP(-(LN(2)/$D$65+0.1)*Y230),IF(V230=2,AA$100*EXP(-(LN(2)/$D$65+0.04)*(VLOOKUP(($F$16-$F$15)-1,U$99:Y230,4,FALSE)))*EXP(-(LN(2)/$D$65+0.1)*(VLOOKUP(($F$16-$F$15)-1,U$99:Y230,5,FALSE)))*EXP(-(LN(2)/$D$65+0.04)*X230)*EXP(-(LN(2)/$D$65+0.1)*Y230),IF(V230=3,AA$100*EXP(-(LN(2)/$D$65+0.04)*(VLOOKUP(($F$16-$F$15)-1,U$99:Y230,4,FALSE)))*EXP(-(LN(2)/$D$65+0.1)*(VLOOKUP(($F$16-$F$15)-1,U$99:Y230,5,FALSE)))*EXP(-(LN(2)/$D$65+0.04)*(VLOOKUP(($F$16-$F$15)*2-1,U$99:Y230,4,FALSE)))*EXP(-(LN(2)/$D$65+0.1)*(VLOOKUP(($F$16-$F$15)*2-1,U$99:Y230,5,FALSE)))*EXP(-(LN(2)/$D$65+0.04)*X230)*EXP(-(LN(2)/$D$65+0.1)*Y230),"-"))),"-")</f>
        <v>-</v>
      </c>
      <c r="AB231" s="271" t="str">
        <f>IFERROR(IF(V231=1,AB$100*EXP(-(LN(2)/$D$65+0.04)*X231)*EXP(-(LN(2)/$D$65+0.1)*Y231),IF(V231=2,AB$100*EXP(-(LN(2)/$D$65+0.04)*(VLOOKUP(($F$16-$F$15)-1,U$100:Y231,4,FALSE)))*EXP(-(LN(2)/$D$65+0.1)*(VLOOKUP(($F$16-$F$15)-1,U$100:Y231,5,FALSE)))*EXP(-(LN(2)/$D$65+0.04)*X231)*EXP(-(LN(2)/$D$65+0.1)*Y231),IF(V231=3,AB$100*EXP(-(LN(2)/$D$65+0.04)*(VLOOKUP(($F$16-$F$15)-1,U$100:Y231,4,FALSE)))*EXP(-(LN(2)/$D$65+0.1)*(VLOOKUP(($F$16-$F$15)-1,U$100:Y231,5,FALSE)))*EXP(-(LN(2)/$D$65+0.04)*(VLOOKUP(($F$16-$F$15)*2-1,U$100:Y231,4,FALSE)))*EXP(-(LN(2)/$D$65+0.1)*(VLOOKUP(($F$16-$F$15)*2-1,U$100:Y231,5,FALSE)))*EXP(-(LN(2)/$D$65+0.04)*X231)*EXP(-(LN(2)/$D$65+0.1)*Y231),"-"))),"-")</f>
        <v>-</v>
      </c>
      <c r="AC231" s="224">
        <f t="shared" si="214"/>
        <v>131</v>
      </c>
      <c r="AD231" s="223" t="str">
        <f t="shared" si="188"/>
        <v>-</v>
      </c>
      <c r="AE231" s="224" t="str">
        <f t="shared" si="215"/>
        <v>-</v>
      </c>
      <c r="AF231" s="224" t="str">
        <f t="shared" si="189"/>
        <v>-</v>
      </c>
      <c r="AG231" s="224" t="str">
        <f t="shared" si="190"/>
        <v>-</v>
      </c>
      <c r="AH231" s="272">
        <f t="shared" si="216"/>
        <v>0.1</v>
      </c>
      <c r="AI231" s="271" t="str">
        <f>IFERROR(IF(AD230=1,AI$100*EXP(-(LN(2)/$D$65+0.04)*AF230)*EXP(-(LN(2)/$D$65+0.1)*AG230),IF(AD230=2,AI$100*EXP(-(LN(2)/$D$65+0.04)*(VLOOKUP(($F$16-$F$15)-1,AC$99:AG230,4,FALSE)))*EXP(-(LN(2)/$D$65+0.1)*(VLOOKUP(($F$16-$F$15)-1,AC$99:AG230,5,FALSE)))*EXP(-(LN(2)/$D$65+0.04)*AF230)*EXP(-(LN(2)/$D$65+0.1)*AG230),IF(AD230=3,AI$100*EXP(-(LN(2)/$D$65+0.04)*(VLOOKUP(($F$16-$F$15)-1,AC$99:AG230,4,FALSE)))*EXP(-(LN(2)/$D$65+0.1)*(VLOOKUP(($F$16-$F$15)-1,AC$99:AG230,5,FALSE)))*EXP(-(LN(2)/$D$65+0.04)*(VLOOKUP(($F$16-$F$15)*2-1,AC$99:AG230,4,FALSE)))*EXP(-(LN(2)/$D$65+0.1)*(VLOOKUP(($F$16-$F$15)*2-1,AC$99:AG230,5,FALSE)))*EXP(-(LN(2)/$D$65+0.04)*AF230)*EXP(-(LN(2)/$D$65+0.1)*AG230),"-"))),"-")</f>
        <v>-</v>
      </c>
      <c r="AJ231" s="271" t="str">
        <f>IFERROR(IF(AD231=1,AJ$100*EXP(-(LN(2)/$D$65+0.04)*AF231)*EXP(-(LN(2)/$D$65+0.1)*AG231),IF(AD231=2,AJ$100*EXP(-(LN(2)/$D$65+0.04)*(VLOOKUP(($F$16-$F$15)-1,AC$100:AG231,4,FALSE)))*EXP(-(LN(2)/$D$65+0.1)*(VLOOKUP(($F$16-$F$15)-1,AC$100:AG231,5,FALSE)))*EXP(-(LN(2)/$D$65+0.04)*AF231)*EXP(-(LN(2)/$D$65+0.1)*AG231),IF(AD231=3,AJ$100*EXP(-(LN(2)/$D$65+0.04)*(VLOOKUP(($F$16-$F$15)-1,AC$100:AG231,4,FALSE)))*EXP(-(LN(2)/$D$65+0.1)*(VLOOKUP(($F$16-$F$15)-1,AC$100:AG231,5,FALSE)))*EXP(-(LN(2)/$D$65+0.04)*(VLOOKUP(($F$16-$F$15)*2-1,AC$100:AG231,4,FALSE)))*EXP(-(LN(2)/$D$65+0.1)*(VLOOKUP(($F$16-$F$15)*2-1,AC$100:AG231,5,FALSE)))*EXP(-(LN(2)/$D$65+0.04)*AF231)*EXP(-(LN(2)/$D$65+0.1)*AG231),"-"))),"-")</f>
        <v>-</v>
      </c>
      <c r="AK231" s="227">
        <f t="shared" si="217"/>
        <v>131</v>
      </c>
      <c r="AL231" s="226" t="str">
        <f t="shared" si="191"/>
        <v>-</v>
      </c>
      <c r="AM231" s="227" t="str">
        <f t="shared" si="218"/>
        <v>-</v>
      </c>
      <c r="AN231" s="227" t="str">
        <f t="shared" si="219"/>
        <v>-</v>
      </c>
      <c r="AO231" s="227" t="str">
        <f t="shared" si="192"/>
        <v>-</v>
      </c>
      <c r="AP231" s="273">
        <f t="shared" si="220"/>
        <v>0.1</v>
      </c>
      <c r="AQ231" s="271" t="str">
        <f>IFERROR(IF(AL230=1,AQ$100*EXP(-(LN(2)/$D$65+0.04)*AN230)*EXP(-(LN(2)/$D$65+0.1)*AO230),IF(AL230=2,AQ$100*EXP(-(LN(2)/$D$65+0.04)*(VLOOKUP(($F$16-$F$15)-1,AK$99:AO230,4,FALSE)))*EXP(-(LN(2)/$D$65+0.1)*(VLOOKUP(($F$16-$F$15)-1,AK$99:AO230,5,FALSE)))*EXP(-(LN(2)/$D$65+0.04)*AN230)*EXP(-(LN(2)/$D$65+0.1)*AO230),IF(AL230=3,AQ$100*EXP(-(LN(2)/$D$65+0.04)*(VLOOKUP(($F$16-$F$15)-1,AK$99:AO230,4,FALSE)))*EXP(-(LN(2)/$D$65+0.1)*(VLOOKUP(($F$16-$F$15)-1,AK$99:AO230,5,FALSE)))*EXP(-(LN(2)/$D$65+0.04)*(VLOOKUP(($F$16-$F$15)*2-1,AK$99:AO230,4,FALSE)))*EXP(-(LN(2)/$D$65+0.1)*(VLOOKUP(($F$16-$F$15)*2-1,AK$99:AO230,5,FALSE)))*EXP(-(LN(2)/$D$65+0.04)*AN230)*EXP(-(LN(2)/$D$65+0.1)*AO230),"-"))),"-")</f>
        <v>-</v>
      </c>
      <c r="AR231" s="271" t="str">
        <f>IFERROR(IF(AL231=1,AR$100*EXP(-(LN(2)/$D$65+0.04)*AN231)*EXP(-(LN(2)/$D$65+0.1)*AO231),IF(AL231=2,AR$100*EXP(-(LN(2)/$D$65+0.04)*(VLOOKUP(($F$16-$F$15)-1,AK$100:AO231,4,FALSE)))*EXP(-(LN(2)/$D$65+0.1)*(VLOOKUP(($F$16-$F$15)-1,AK$100:AO231,5,FALSE)))*EXP(-(LN(2)/$D$65+0.04)*AN231)*EXP(-(LN(2)/$D$65+0.1)*AO231),IF(AL231=3,AR$100*EXP(-(LN(2)/$D$65+0.04)*(VLOOKUP(($F$16-$F$15)-1,AK$100:AO231,4,FALSE)))*EXP(-(LN(2)/$D$65+0.1)*(VLOOKUP(($F$16-$F$15)-1,AK$100:AO231,5,FALSE)))*EXP(-(LN(2)/$D$65+0.04)*(VLOOKUP(($F$16-$F$15)*2-1,AK$100:AO231,4,FALSE)))*EXP(-(LN(2)/$D$65+0.1)*(VLOOKUP(($F$16-$F$15)*2-1,AK$100:AO231,5,FALSE)))*EXP(-(LN(2)/$D$65+0.04)*AN231)*EXP(-(LN(2)/$D$65+0.1)*AO231),"-"))),"-")</f>
        <v>-</v>
      </c>
      <c r="AS231" s="274">
        <f t="shared" si="193"/>
        <v>0</v>
      </c>
      <c r="AT231" s="274">
        <f t="shared" si="194"/>
        <v>0</v>
      </c>
      <c r="AU231" s="274">
        <f t="shared" si="195"/>
        <v>0</v>
      </c>
      <c r="AV231" s="190">
        <f>IF($B231&lt;$F$22,SUM($T$100:$T231),"")</f>
        <v>0</v>
      </c>
      <c r="AW231" s="190" t="str">
        <f t="shared" si="196"/>
        <v>-</v>
      </c>
      <c r="AX231" s="190" t="str">
        <f t="shared" si="221"/>
        <v/>
      </c>
      <c r="AY231"/>
      <c r="AZ231" s="190" t="str">
        <f ca="1">IF(ISNUMBER(OFFSET(AV231,-$F$21,0)),SUM(OFFSET($T$100,$F$21,0):$T231),"")</f>
        <v/>
      </c>
      <c r="BA231" s="190" t="str">
        <f t="shared" ca="1" si="197"/>
        <v/>
      </c>
      <c r="BB231" s="190" t="str">
        <f t="shared" ca="1" si="149"/>
        <v/>
      </c>
      <c r="BC231" s="190"/>
      <c r="BD231" s="190" t="str">
        <f ca="1">IFERROR(IF(AND($B231&gt;=($F$16-$F$15),$B231&lt;$F$22+($F$16-$F$15)),SUM(OFFSET($T$100,($F$16-$F$15),0):$T231),""),"")</f>
        <v/>
      </c>
      <c r="BE231" s="190" t="str">
        <f t="shared" ca="1" si="222"/>
        <v/>
      </c>
      <c r="BF231" s="190" t="str">
        <f t="shared" ca="1" si="223"/>
        <v/>
      </c>
      <c r="BG231"/>
      <c r="BH231" s="190" t="str">
        <f ca="1">IF(ISNUMBER(OFFSET(BD231,-$F$21,0)),SUM(OFFSET($T$100,($F$16-$F$15+$F$21),0):$T231),"")</f>
        <v/>
      </c>
      <c r="BI231" s="190" t="str">
        <f t="shared" ca="1" si="198"/>
        <v/>
      </c>
      <c r="BJ231" s="190" t="str">
        <f t="shared" ca="1" si="224"/>
        <v/>
      </c>
      <c r="BK231" s="190"/>
      <c r="BL231" s="190" t="str">
        <f ca="1">IFERROR(IF(AND($B231&gt;=($F$17-$F$15),$B231&lt;$F$22+($F$17-$F$15)),SUM(OFFSET($T$100,($F$17-$F$15),0):$T231),""),"")</f>
        <v/>
      </c>
      <c r="BM231" s="190" t="str">
        <f t="shared" ca="1" si="199"/>
        <v/>
      </c>
      <c r="BN231" s="190" t="str">
        <f t="shared" ca="1" si="225"/>
        <v/>
      </c>
      <c r="BO231"/>
      <c r="BP231" s="190" t="str">
        <f ca="1">IF(ISNUMBER(OFFSET(BL231,-$F$21,0)),SUM(OFFSET($T$100,($F$17-$F$15+$F$21),0):$T231),"")</f>
        <v/>
      </c>
      <c r="BQ231" s="190" t="str">
        <f t="shared" ca="1" si="200"/>
        <v/>
      </c>
      <c r="BR231" s="190" t="str">
        <f t="shared" ca="1" si="226"/>
        <v/>
      </c>
      <c r="BS231" s="190"/>
      <c r="BT231"/>
      <c r="BU231"/>
      <c r="BV231"/>
      <c r="BY231" s="99"/>
      <c r="BZ231" s="99"/>
      <c r="CA231" s="280" t="str">
        <f t="shared" si="201"/>
        <v/>
      </c>
      <c r="CB231" s="71" t="str">
        <f t="shared" si="202"/>
        <v>-</v>
      </c>
      <c r="CC231" s="33"/>
      <c r="CD231" s="261" t="str">
        <f t="shared" si="203"/>
        <v/>
      </c>
      <c r="CE231" s="280" t="str">
        <f t="shared" si="204"/>
        <v>-</v>
      </c>
      <c r="CF231" s="71" t="str">
        <f t="shared" ca="1" si="205"/>
        <v>-</v>
      </c>
      <c r="CG231" s="33" t="str">
        <f t="shared" si="206"/>
        <v>131-132</v>
      </c>
      <c r="CH231" s="261" t="str">
        <f t="shared" ca="1" si="207"/>
        <v/>
      </c>
    </row>
    <row r="232" spans="2:86" ht="13.5" customHeight="1" x14ac:dyDescent="0.2">
      <c r="B232" s="262">
        <v>132</v>
      </c>
      <c r="C232" s="237" t="str">
        <f t="shared" si="171"/>
        <v/>
      </c>
      <c r="D232" s="237" t="str">
        <f t="shared" si="227"/>
        <v>-</v>
      </c>
      <c r="E232" s="263" t="str">
        <f t="shared" si="208"/>
        <v/>
      </c>
      <c r="F232" s="264" t="str">
        <f t="shared" si="209"/>
        <v/>
      </c>
      <c r="G232" s="264" t="str">
        <f t="shared" si="210"/>
        <v/>
      </c>
      <c r="H232" s="240" t="str">
        <f t="shared" si="172"/>
        <v/>
      </c>
      <c r="I232" s="265" t="str">
        <f t="shared" si="173"/>
        <v/>
      </c>
      <c r="J232" s="265" t="str">
        <f t="shared" si="174"/>
        <v/>
      </c>
      <c r="K232" s="240" t="str">
        <f t="shared" si="175"/>
        <v/>
      </c>
      <c r="L232" s="265" t="str">
        <f t="shared" si="176"/>
        <v/>
      </c>
      <c r="M232" s="265" t="str">
        <f t="shared" si="177"/>
        <v/>
      </c>
      <c r="N232" s="240" t="str">
        <f t="shared" si="178"/>
        <v>-</v>
      </c>
      <c r="O232" s="265" t="str">
        <f t="shared" si="179"/>
        <v>-</v>
      </c>
      <c r="P232" s="265" t="str">
        <f t="shared" si="180"/>
        <v>-</v>
      </c>
      <c r="Q232" s="266" t="str">
        <f t="shared" si="181"/>
        <v>-</v>
      </c>
      <c r="R232" s="267" t="str">
        <f t="shared" si="182"/>
        <v>-</v>
      </c>
      <c r="S232" s="268" t="str">
        <f t="shared" si="183"/>
        <v>-</v>
      </c>
      <c r="T232" s="269" t="str">
        <f t="shared" si="184"/>
        <v/>
      </c>
      <c r="U232" s="221">
        <f t="shared" si="185"/>
        <v>132</v>
      </c>
      <c r="V232" s="220" t="str">
        <f t="shared" si="211"/>
        <v>-</v>
      </c>
      <c r="W232" s="221" t="str">
        <f t="shared" si="212"/>
        <v>-</v>
      </c>
      <c r="X232" s="221" t="str">
        <f t="shared" si="186"/>
        <v>-</v>
      </c>
      <c r="Y232" s="221" t="str">
        <f t="shared" si="187"/>
        <v>-</v>
      </c>
      <c r="Z232" s="270">
        <f t="shared" si="213"/>
        <v>0.1</v>
      </c>
      <c r="AA232" s="271" t="str">
        <f>IFERROR(IF(V231=1,AA$100*EXP(-(LN(2)/$D$65+0.04)*X231)*EXP(-(LN(2)/$D$65+0.1)*Y231),IF(V231=2,AA$100*EXP(-(LN(2)/$D$65+0.04)*(VLOOKUP(($F$16-$F$15)-1,U$99:Y231,4,FALSE)))*EXP(-(LN(2)/$D$65+0.1)*(VLOOKUP(($F$16-$F$15)-1,U$99:Y231,5,FALSE)))*EXP(-(LN(2)/$D$65+0.04)*X231)*EXP(-(LN(2)/$D$65+0.1)*Y231),IF(V231=3,AA$100*EXP(-(LN(2)/$D$65+0.04)*(VLOOKUP(($F$16-$F$15)-1,U$99:Y231,4,FALSE)))*EXP(-(LN(2)/$D$65+0.1)*(VLOOKUP(($F$16-$F$15)-1,U$99:Y231,5,FALSE)))*EXP(-(LN(2)/$D$65+0.04)*(VLOOKUP(($F$16-$F$15)*2-1,U$99:Y231,4,FALSE)))*EXP(-(LN(2)/$D$65+0.1)*(VLOOKUP(($F$16-$F$15)*2-1,U$99:Y231,5,FALSE)))*EXP(-(LN(2)/$D$65+0.04)*X231)*EXP(-(LN(2)/$D$65+0.1)*Y231),"-"))),"-")</f>
        <v>-</v>
      </c>
      <c r="AB232" s="271" t="str">
        <f>IFERROR(IF(V232=1,AB$100*EXP(-(LN(2)/$D$65+0.04)*X232)*EXP(-(LN(2)/$D$65+0.1)*Y232),IF(V232=2,AB$100*EXP(-(LN(2)/$D$65+0.04)*(VLOOKUP(($F$16-$F$15)-1,U$100:Y232,4,FALSE)))*EXP(-(LN(2)/$D$65+0.1)*(VLOOKUP(($F$16-$F$15)-1,U$100:Y232,5,FALSE)))*EXP(-(LN(2)/$D$65+0.04)*X232)*EXP(-(LN(2)/$D$65+0.1)*Y232),IF(V232=3,AB$100*EXP(-(LN(2)/$D$65+0.04)*(VLOOKUP(($F$16-$F$15)-1,U$100:Y232,4,FALSE)))*EXP(-(LN(2)/$D$65+0.1)*(VLOOKUP(($F$16-$F$15)-1,U$100:Y232,5,FALSE)))*EXP(-(LN(2)/$D$65+0.04)*(VLOOKUP(($F$16-$F$15)*2-1,U$100:Y232,4,FALSE)))*EXP(-(LN(2)/$D$65+0.1)*(VLOOKUP(($F$16-$F$15)*2-1,U$100:Y232,5,FALSE)))*EXP(-(LN(2)/$D$65+0.04)*X232)*EXP(-(LN(2)/$D$65+0.1)*Y232),"-"))),"-")</f>
        <v>-</v>
      </c>
      <c r="AC232" s="224">
        <f t="shared" si="214"/>
        <v>132</v>
      </c>
      <c r="AD232" s="223" t="str">
        <f t="shared" si="188"/>
        <v>-</v>
      </c>
      <c r="AE232" s="224" t="str">
        <f t="shared" si="215"/>
        <v>-</v>
      </c>
      <c r="AF232" s="224" t="str">
        <f t="shared" si="189"/>
        <v>-</v>
      </c>
      <c r="AG232" s="224" t="str">
        <f t="shared" si="190"/>
        <v>-</v>
      </c>
      <c r="AH232" s="272">
        <f t="shared" si="216"/>
        <v>0.1</v>
      </c>
      <c r="AI232" s="271" t="str">
        <f>IFERROR(IF(AD231=1,AI$100*EXP(-(LN(2)/$D$65+0.04)*AF231)*EXP(-(LN(2)/$D$65+0.1)*AG231),IF(AD231=2,AI$100*EXP(-(LN(2)/$D$65+0.04)*(VLOOKUP(($F$16-$F$15)-1,AC$99:AG231,4,FALSE)))*EXP(-(LN(2)/$D$65+0.1)*(VLOOKUP(($F$16-$F$15)-1,AC$99:AG231,5,FALSE)))*EXP(-(LN(2)/$D$65+0.04)*AF231)*EXP(-(LN(2)/$D$65+0.1)*AG231),IF(AD231=3,AI$100*EXP(-(LN(2)/$D$65+0.04)*(VLOOKUP(($F$16-$F$15)-1,AC$99:AG231,4,FALSE)))*EXP(-(LN(2)/$D$65+0.1)*(VLOOKUP(($F$16-$F$15)-1,AC$99:AG231,5,FALSE)))*EXP(-(LN(2)/$D$65+0.04)*(VLOOKUP(($F$16-$F$15)*2-1,AC$99:AG231,4,FALSE)))*EXP(-(LN(2)/$D$65+0.1)*(VLOOKUP(($F$16-$F$15)*2-1,AC$99:AG231,5,FALSE)))*EXP(-(LN(2)/$D$65+0.04)*AF231)*EXP(-(LN(2)/$D$65+0.1)*AG231),"-"))),"-")</f>
        <v>-</v>
      </c>
      <c r="AJ232" s="271" t="str">
        <f>IFERROR(IF(AD232=1,AJ$100*EXP(-(LN(2)/$D$65+0.04)*AF232)*EXP(-(LN(2)/$D$65+0.1)*AG232),IF(AD232=2,AJ$100*EXP(-(LN(2)/$D$65+0.04)*(VLOOKUP(($F$16-$F$15)-1,AC$100:AG232,4,FALSE)))*EXP(-(LN(2)/$D$65+0.1)*(VLOOKUP(($F$16-$F$15)-1,AC$100:AG232,5,FALSE)))*EXP(-(LN(2)/$D$65+0.04)*AF232)*EXP(-(LN(2)/$D$65+0.1)*AG232),IF(AD232=3,AJ$100*EXP(-(LN(2)/$D$65+0.04)*(VLOOKUP(($F$16-$F$15)-1,AC$100:AG232,4,FALSE)))*EXP(-(LN(2)/$D$65+0.1)*(VLOOKUP(($F$16-$F$15)-1,AC$100:AG232,5,FALSE)))*EXP(-(LN(2)/$D$65+0.04)*(VLOOKUP(($F$16-$F$15)*2-1,AC$100:AG232,4,FALSE)))*EXP(-(LN(2)/$D$65+0.1)*(VLOOKUP(($F$16-$F$15)*2-1,AC$100:AG232,5,FALSE)))*EXP(-(LN(2)/$D$65+0.04)*AF232)*EXP(-(LN(2)/$D$65+0.1)*AG232),"-"))),"-")</f>
        <v>-</v>
      </c>
      <c r="AK232" s="227">
        <f t="shared" si="217"/>
        <v>132</v>
      </c>
      <c r="AL232" s="226" t="str">
        <f t="shared" si="191"/>
        <v>-</v>
      </c>
      <c r="AM232" s="227" t="str">
        <f t="shared" si="218"/>
        <v>-</v>
      </c>
      <c r="AN232" s="227" t="str">
        <f t="shared" si="219"/>
        <v>-</v>
      </c>
      <c r="AO232" s="227" t="str">
        <f t="shared" si="192"/>
        <v>-</v>
      </c>
      <c r="AP232" s="273">
        <f t="shared" si="220"/>
        <v>0.1</v>
      </c>
      <c r="AQ232" s="271" t="str">
        <f>IFERROR(IF(AL231=1,AQ$100*EXP(-(LN(2)/$D$65+0.04)*AN231)*EXP(-(LN(2)/$D$65+0.1)*AO231),IF(AL231=2,AQ$100*EXP(-(LN(2)/$D$65+0.04)*(VLOOKUP(($F$16-$F$15)-1,AK$99:AO231,4,FALSE)))*EXP(-(LN(2)/$D$65+0.1)*(VLOOKUP(($F$16-$F$15)-1,AK$99:AO231,5,FALSE)))*EXP(-(LN(2)/$D$65+0.04)*AN231)*EXP(-(LN(2)/$D$65+0.1)*AO231),IF(AL231=3,AQ$100*EXP(-(LN(2)/$D$65+0.04)*(VLOOKUP(($F$16-$F$15)-1,AK$99:AO231,4,FALSE)))*EXP(-(LN(2)/$D$65+0.1)*(VLOOKUP(($F$16-$F$15)-1,AK$99:AO231,5,FALSE)))*EXP(-(LN(2)/$D$65+0.04)*(VLOOKUP(($F$16-$F$15)*2-1,AK$99:AO231,4,FALSE)))*EXP(-(LN(2)/$D$65+0.1)*(VLOOKUP(($F$16-$F$15)*2-1,AK$99:AO231,5,FALSE)))*EXP(-(LN(2)/$D$65+0.04)*AN231)*EXP(-(LN(2)/$D$65+0.1)*AO231),"-"))),"-")</f>
        <v>-</v>
      </c>
      <c r="AR232" s="271" t="str">
        <f>IFERROR(IF(AL232=1,AR$100*EXP(-(LN(2)/$D$65+0.04)*AN232)*EXP(-(LN(2)/$D$65+0.1)*AO232),IF(AL232=2,AR$100*EXP(-(LN(2)/$D$65+0.04)*(VLOOKUP(($F$16-$F$15)-1,AK$100:AO232,4,FALSE)))*EXP(-(LN(2)/$D$65+0.1)*(VLOOKUP(($F$16-$F$15)-1,AK$100:AO232,5,FALSE)))*EXP(-(LN(2)/$D$65+0.04)*AN232)*EXP(-(LN(2)/$D$65+0.1)*AO232),IF(AL232=3,AR$100*EXP(-(LN(2)/$D$65+0.04)*(VLOOKUP(($F$16-$F$15)-1,AK$100:AO232,4,FALSE)))*EXP(-(LN(2)/$D$65+0.1)*(VLOOKUP(($F$16-$F$15)-1,AK$100:AO232,5,FALSE)))*EXP(-(LN(2)/$D$65+0.04)*(VLOOKUP(($F$16-$F$15)*2-1,AK$100:AO232,4,FALSE)))*EXP(-(LN(2)/$D$65+0.1)*(VLOOKUP(($F$16-$F$15)*2-1,AK$100:AO232,5,FALSE)))*EXP(-(LN(2)/$D$65+0.04)*AN232)*EXP(-(LN(2)/$D$65+0.1)*AO232),"-"))),"-")</f>
        <v>-</v>
      </c>
      <c r="AS232" s="274">
        <f t="shared" si="193"/>
        <v>0</v>
      </c>
      <c r="AT232" s="274">
        <f t="shared" si="194"/>
        <v>0</v>
      </c>
      <c r="AU232" s="274">
        <f t="shared" si="195"/>
        <v>0</v>
      </c>
      <c r="AV232" s="190">
        <f>IF($B232&lt;$F$22,SUM($T$100:$T232),"")</f>
        <v>0</v>
      </c>
      <c r="AW232" s="190" t="str">
        <f t="shared" si="196"/>
        <v>-</v>
      </c>
      <c r="AX232" s="190" t="str">
        <f t="shared" si="221"/>
        <v/>
      </c>
      <c r="AY232"/>
      <c r="AZ232" s="190" t="str">
        <f ca="1">IF(ISNUMBER(OFFSET(AV232,-$F$21,0)),SUM(OFFSET($T$100,$F$21,0):$T232),"")</f>
        <v/>
      </c>
      <c r="BA232" s="190" t="str">
        <f t="shared" ca="1" si="197"/>
        <v/>
      </c>
      <c r="BB232" s="190" t="str">
        <f t="shared" ca="1" si="149"/>
        <v/>
      </c>
      <c r="BC232" s="190"/>
      <c r="BD232" s="190" t="str">
        <f ca="1">IFERROR(IF(AND($B232&gt;=($F$16-$F$15),$B232&lt;$F$22+($F$16-$F$15)),SUM(OFFSET($T$100,($F$16-$F$15),0):$T232),""),"")</f>
        <v/>
      </c>
      <c r="BE232" s="190" t="str">
        <f t="shared" ca="1" si="222"/>
        <v/>
      </c>
      <c r="BF232" s="190" t="str">
        <f t="shared" ca="1" si="223"/>
        <v/>
      </c>
      <c r="BG232"/>
      <c r="BH232" s="190" t="str">
        <f ca="1">IF(ISNUMBER(OFFSET(BD232,-$F$21,0)),SUM(OFFSET($T$100,($F$16-$F$15+$F$21),0):$T232),"")</f>
        <v/>
      </c>
      <c r="BI232" s="190" t="str">
        <f t="shared" ca="1" si="198"/>
        <v/>
      </c>
      <c r="BJ232" s="190" t="str">
        <f t="shared" ca="1" si="224"/>
        <v/>
      </c>
      <c r="BK232" s="190"/>
      <c r="BL232" s="190" t="str">
        <f ca="1">IFERROR(IF(AND($B232&gt;=($F$17-$F$15),$B232&lt;$F$22+($F$17-$F$15)),SUM(OFFSET($T$100,($F$17-$F$15),0):$T232),""),"")</f>
        <v/>
      </c>
      <c r="BM232" s="190" t="str">
        <f t="shared" ca="1" si="199"/>
        <v/>
      </c>
      <c r="BN232" s="190" t="str">
        <f t="shared" ca="1" si="225"/>
        <v/>
      </c>
      <c r="BO232"/>
      <c r="BP232" s="190" t="str">
        <f ca="1">IF(ISNUMBER(OFFSET(BL232,-$F$21,0)),SUM(OFFSET($T$100,($F$17-$F$15+$F$21),0):$T232),"")</f>
        <v/>
      </c>
      <c r="BQ232" s="190" t="str">
        <f t="shared" ca="1" si="200"/>
        <v/>
      </c>
      <c r="BR232" s="190" t="str">
        <f t="shared" ca="1" si="226"/>
        <v/>
      </c>
      <c r="BS232" s="190"/>
      <c r="BT232"/>
      <c r="BU232"/>
      <c r="BV232"/>
      <c r="BY232" s="99"/>
      <c r="BZ232" s="99"/>
      <c r="CA232" s="280" t="str">
        <f t="shared" si="201"/>
        <v/>
      </c>
      <c r="CB232" s="71" t="str">
        <f t="shared" si="202"/>
        <v>-</v>
      </c>
      <c r="CC232" s="33"/>
      <c r="CD232" s="261" t="str">
        <f t="shared" si="203"/>
        <v/>
      </c>
      <c r="CE232" s="280" t="str">
        <f t="shared" si="204"/>
        <v>-</v>
      </c>
      <c r="CF232" s="71" t="str">
        <f t="shared" ca="1" si="205"/>
        <v>-</v>
      </c>
      <c r="CG232" s="33" t="str">
        <f t="shared" si="206"/>
        <v>132-133</v>
      </c>
      <c r="CH232" s="261" t="str">
        <f t="shared" ca="1" si="207"/>
        <v/>
      </c>
    </row>
    <row r="233" spans="2:86" ht="13.5" customHeight="1" x14ac:dyDescent="0.2">
      <c r="B233" s="262">
        <v>133</v>
      </c>
      <c r="C233" s="237" t="str">
        <f t="shared" si="171"/>
        <v/>
      </c>
      <c r="D233" s="237" t="str">
        <f t="shared" si="227"/>
        <v>-</v>
      </c>
      <c r="E233" s="263" t="str">
        <f t="shared" si="208"/>
        <v/>
      </c>
      <c r="F233" s="264" t="str">
        <f t="shared" si="209"/>
        <v/>
      </c>
      <c r="G233" s="264" t="str">
        <f t="shared" si="210"/>
        <v/>
      </c>
      <c r="H233" s="240" t="str">
        <f t="shared" si="172"/>
        <v/>
      </c>
      <c r="I233" s="265" t="str">
        <f t="shared" si="173"/>
        <v/>
      </c>
      <c r="J233" s="265" t="str">
        <f t="shared" si="174"/>
        <v/>
      </c>
      <c r="K233" s="240" t="str">
        <f t="shared" si="175"/>
        <v/>
      </c>
      <c r="L233" s="265" t="str">
        <f t="shared" si="176"/>
        <v/>
      </c>
      <c r="M233" s="265" t="str">
        <f t="shared" si="177"/>
        <v/>
      </c>
      <c r="N233" s="240" t="str">
        <f t="shared" si="178"/>
        <v>-</v>
      </c>
      <c r="O233" s="265" t="str">
        <f t="shared" si="179"/>
        <v>-</v>
      </c>
      <c r="P233" s="265" t="str">
        <f t="shared" si="180"/>
        <v>-</v>
      </c>
      <c r="Q233" s="266" t="str">
        <f t="shared" si="181"/>
        <v>-</v>
      </c>
      <c r="R233" s="267" t="str">
        <f t="shared" si="182"/>
        <v>-</v>
      </c>
      <c r="S233" s="268" t="str">
        <f t="shared" si="183"/>
        <v>-</v>
      </c>
      <c r="T233" s="269" t="str">
        <f t="shared" si="184"/>
        <v/>
      </c>
      <c r="U233" s="221">
        <f t="shared" si="185"/>
        <v>133</v>
      </c>
      <c r="V233" s="220" t="str">
        <f t="shared" si="211"/>
        <v>-</v>
      </c>
      <c r="W233" s="221" t="str">
        <f t="shared" si="212"/>
        <v>-</v>
      </c>
      <c r="X233" s="221" t="str">
        <f t="shared" si="186"/>
        <v>-</v>
      </c>
      <c r="Y233" s="221" t="str">
        <f t="shared" si="187"/>
        <v>-</v>
      </c>
      <c r="Z233" s="270">
        <f t="shared" si="213"/>
        <v>0.1</v>
      </c>
      <c r="AA233" s="271" t="str">
        <f>IFERROR(IF(V232=1,AA$100*EXP(-(LN(2)/$D$65+0.04)*X232)*EXP(-(LN(2)/$D$65+0.1)*Y232),IF(V232=2,AA$100*EXP(-(LN(2)/$D$65+0.04)*(VLOOKUP(($F$16-$F$15)-1,U$99:Y232,4,FALSE)))*EXP(-(LN(2)/$D$65+0.1)*(VLOOKUP(($F$16-$F$15)-1,U$99:Y232,5,FALSE)))*EXP(-(LN(2)/$D$65+0.04)*X232)*EXP(-(LN(2)/$D$65+0.1)*Y232),IF(V232=3,AA$100*EXP(-(LN(2)/$D$65+0.04)*(VLOOKUP(($F$16-$F$15)-1,U$99:Y232,4,FALSE)))*EXP(-(LN(2)/$D$65+0.1)*(VLOOKUP(($F$16-$F$15)-1,U$99:Y232,5,FALSE)))*EXP(-(LN(2)/$D$65+0.04)*(VLOOKUP(($F$16-$F$15)*2-1,U$99:Y232,4,FALSE)))*EXP(-(LN(2)/$D$65+0.1)*(VLOOKUP(($F$16-$F$15)*2-1,U$99:Y232,5,FALSE)))*EXP(-(LN(2)/$D$65+0.04)*X232)*EXP(-(LN(2)/$D$65+0.1)*Y232),"-"))),"-")</f>
        <v>-</v>
      </c>
      <c r="AB233" s="271" t="str">
        <f>IFERROR(IF(V233=1,AB$100*EXP(-(LN(2)/$D$65+0.04)*X233)*EXP(-(LN(2)/$D$65+0.1)*Y233),IF(V233=2,AB$100*EXP(-(LN(2)/$D$65+0.04)*(VLOOKUP(($F$16-$F$15)-1,U$100:Y233,4,FALSE)))*EXP(-(LN(2)/$D$65+0.1)*(VLOOKUP(($F$16-$F$15)-1,U$100:Y233,5,FALSE)))*EXP(-(LN(2)/$D$65+0.04)*X233)*EXP(-(LN(2)/$D$65+0.1)*Y233),IF(V233=3,AB$100*EXP(-(LN(2)/$D$65+0.04)*(VLOOKUP(($F$16-$F$15)-1,U$100:Y233,4,FALSE)))*EXP(-(LN(2)/$D$65+0.1)*(VLOOKUP(($F$16-$F$15)-1,U$100:Y233,5,FALSE)))*EXP(-(LN(2)/$D$65+0.04)*(VLOOKUP(($F$16-$F$15)*2-1,U$100:Y233,4,FALSE)))*EXP(-(LN(2)/$D$65+0.1)*(VLOOKUP(($F$16-$F$15)*2-1,U$100:Y233,5,FALSE)))*EXP(-(LN(2)/$D$65+0.04)*X233)*EXP(-(LN(2)/$D$65+0.1)*Y233),"-"))),"-")</f>
        <v>-</v>
      </c>
      <c r="AC233" s="224">
        <f t="shared" si="214"/>
        <v>133</v>
      </c>
      <c r="AD233" s="223" t="str">
        <f t="shared" si="188"/>
        <v>-</v>
      </c>
      <c r="AE233" s="224" t="str">
        <f t="shared" si="215"/>
        <v>-</v>
      </c>
      <c r="AF233" s="224" t="str">
        <f t="shared" si="189"/>
        <v>-</v>
      </c>
      <c r="AG233" s="224" t="str">
        <f t="shared" si="190"/>
        <v>-</v>
      </c>
      <c r="AH233" s="272">
        <f t="shared" si="216"/>
        <v>0.1</v>
      </c>
      <c r="AI233" s="271" t="str">
        <f>IFERROR(IF(AD232=1,AI$100*EXP(-(LN(2)/$D$65+0.04)*AF232)*EXP(-(LN(2)/$D$65+0.1)*AG232),IF(AD232=2,AI$100*EXP(-(LN(2)/$D$65+0.04)*(VLOOKUP(($F$16-$F$15)-1,AC$99:AG232,4,FALSE)))*EXP(-(LN(2)/$D$65+0.1)*(VLOOKUP(($F$16-$F$15)-1,AC$99:AG232,5,FALSE)))*EXP(-(LN(2)/$D$65+0.04)*AF232)*EXP(-(LN(2)/$D$65+0.1)*AG232),IF(AD232=3,AI$100*EXP(-(LN(2)/$D$65+0.04)*(VLOOKUP(($F$16-$F$15)-1,AC$99:AG232,4,FALSE)))*EXP(-(LN(2)/$D$65+0.1)*(VLOOKUP(($F$16-$F$15)-1,AC$99:AG232,5,FALSE)))*EXP(-(LN(2)/$D$65+0.04)*(VLOOKUP(($F$16-$F$15)*2-1,AC$99:AG232,4,FALSE)))*EXP(-(LN(2)/$D$65+0.1)*(VLOOKUP(($F$16-$F$15)*2-1,AC$99:AG232,5,FALSE)))*EXP(-(LN(2)/$D$65+0.04)*AF232)*EXP(-(LN(2)/$D$65+0.1)*AG232),"-"))),"-")</f>
        <v>-</v>
      </c>
      <c r="AJ233" s="271" t="str">
        <f>IFERROR(IF(AD233=1,AJ$100*EXP(-(LN(2)/$D$65+0.04)*AF233)*EXP(-(LN(2)/$D$65+0.1)*AG233),IF(AD233=2,AJ$100*EXP(-(LN(2)/$D$65+0.04)*(VLOOKUP(($F$16-$F$15)-1,AC$100:AG233,4,FALSE)))*EXP(-(LN(2)/$D$65+0.1)*(VLOOKUP(($F$16-$F$15)-1,AC$100:AG233,5,FALSE)))*EXP(-(LN(2)/$D$65+0.04)*AF233)*EXP(-(LN(2)/$D$65+0.1)*AG233),IF(AD233=3,AJ$100*EXP(-(LN(2)/$D$65+0.04)*(VLOOKUP(($F$16-$F$15)-1,AC$100:AG233,4,FALSE)))*EXP(-(LN(2)/$D$65+0.1)*(VLOOKUP(($F$16-$F$15)-1,AC$100:AG233,5,FALSE)))*EXP(-(LN(2)/$D$65+0.04)*(VLOOKUP(($F$16-$F$15)*2-1,AC$100:AG233,4,FALSE)))*EXP(-(LN(2)/$D$65+0.1)*(VLOOKUP(($F$16-$F$15)*2-1,AC$100:AG233,5,FALSE)))*EXP(-(LN(2)/$D$65+0.04)*AF233)*EXP(-(LN(2)/$D$65+0.1)*AG233),"-"))),"-")</f>
        <v>-</v>
      </c>
      <c r="AK233" s="227">
        <f t="shared" si="217"/>
        <v>133</v>
      </c>
      <c r="AL233" s="226" t="str">
        <f t="shared" si="191"/>
        <v>-</v>
      </c>
      <c r="AM233" s="227" t="str">
        <f t="shared" si="218"/>
        <v>-</v>
      </c>
      <c r="AN233" s="227" t="str">
        <f t="shared" si="219"/>
        <v>-</v>
      </c>
      <c r="AO233" s="227" t="str">
        <f t="shared" si="192"/>
        <v>-</v>
      </c>
      <c r="AP233" s="273">
        <f t="shared" si="220"/>
        <v>0.1</v>
      </c>
      <c r="AQ233" s="271" t="str">
        <f>IFERROR(IF(AL232=1,AQ$100*EXP(-(LN(2)/$D$65+0.04)*AN232)*EXP(-(LN(2)/$D$65+0.1)*AO232),IF(AL232=2,AQ$100*EXP(-(LN(2)/$D$65+0.04)*(VLOOKUP(($F$16-$F$15)-1,AK$99:AO232,4,FALSE)))*EXP(-(LN(2)/$D$65+0.1)*(VLOOKUP(($F$16-$F$15)-1,AK$99:AO232,5,FALSE)))*EXP(-(LN(2)/$D$65+0.04)*AN232)*EXP(-(LN(2)/$D$65+0.1)*AO232),IF(AL232=3,AQ$100*EXP(-(LN(2)/$D$65+0.04)*(VLOOKUP(($F$16-$F$15)-1,AK$99:AO232,4,FALSE)))*EXP(-(LN(2)/$D$65+0.1)*(VLOOKUP(($F$16-$F$15)-1,AK$99:AO232,5,FALSE)))*EXP(-(LN(2)/$D$65+0.04)*(VLOOKUP(($F$16-$F$15)*2-1,AK$99:AO232,4,FALSE)))*EXP(-(LN(2)/$D$65+0.1)*(VLOOKUP(($F$16-$F$15)*2-1,AK$99:AO232,5,FALSE)))*EXP(-(LN(2)/$D$65+0.04)*AN232)*EXP(-(LN(2)/$D$65+0.1)*AO232),"-"))),"-")</f>
        <v>-</v>
      </c>
      <c r="AR233" s="271" t="str">
        <f>IFERROR(IF(AL233=1,AR$100*EXP(-(LN(2)/$D$65+0.04)*AN233)*EXP(-(LN(2)/$D$65+0.1)*AO233),IF(AL233=2,AR$100*EXP(-(LN(2)/$D$65+0.04)*(VLOOKUP(($F$16-$F$15)-1,AK$100:AO233,4,FALSE)))*EXP(-(LN(2)/$D$65+0.1)*(VLOOKUP(($F$16-$F$15)-1,AK$100:AO233,5,FALSE)))*EXP(-(LN(2)/$D$65+0.04)*AN233)*EXP(-(LN(2)/$D$65+0.1)*AO233),IF(AL233=3,AR$100*EXP(-(LN(2)/$D$65+0.04)*(VLOOKUP(($F$16-$F$15)-1,AK$100:AO233,4,FALSE)))*EXP(-(LN(2)/$D$65+0.1)*(VLOOKUP(($F$16-$F$15)-1,AK$100:AO233,5,FALSE)))*EXP(-(LN(2)/$D$65+0.04)*(VLOOKUP(($F$16-$F$15)*2-1,AK$100:AO233,4,FALSE)))*EXP(-(LN(2)/$D$65+0.1)*(VLOOKUP(($F$16-$F$15)*2-1,AK$100:AO233,5,FALSE)))*EXP(-(LN(2)/$D$65+0.04)*AN233)*EXP(-(LN(2)/$D$65+0.1)*AO233),"-"))),"-")</f>
        <v>-</v>
      </c>
      <c r="AS233" s="274">
        <f t="shared" si="193"/>
        <v>0</v>
      </c>
      <c r="AT233" s="274">
        <f t="shared" si="194"/>
        <v>0</v>
      </c>
      <c r="AU233" s="274">
        <f t="shared" si="195"/>
        <v>0</v>
      </c>
      <c r="AV233" s="190">
        <f>IF($B233&lt;$F$22,SUM($T$100:$T233),"")</f>
        <v>0</v>
      </c>
      <c r="AW233" s="190" t="str">
        <f t="shared" si="196"/>
        <v>-</v>
      </c>
      <c r="AX233" s="190" t="str">
        <f t="shared" si="221"/>
        <v/>
      </c>
      <c r="AY233"/>
      <c r="AZ233" s="190" t="str">
        <f ca="1">IF(ISNUMBER(OFFSET(AV233,-$F$21,0)),SUM(OFFSET($T$100,$F$21,0):$T233),"")</f>
        <v/>
      </c>
      <c r="BA233" s="190" t="str">
        <f t="shared" ca="1" si="197"/>
        <v/>
      </c>
      <c r="BB233" s="190" t="str">
        <f t="shared" ca="1" si="149"/>
        <v/>
      </c>
      <c r="BC233" s="190"/>
      <c r="BD233" s="190" t="str">
        <f ca="1">IFERROR(IF(AND($B233&gt;=($F$16-$F$15),$B233&lt;$F$22+($F$16-$F$15)),SUM(OFFSET($T$100,($F$16-$F$15),0):$T233),""),"")</f>
        <v/>
      </c>
      <c r="BE233" s="190" t="str">
        <f t="shared" ca="1" si="222"/>
        <v/>
      </c>
      <c r="BF233" s="190" t="str">
        <f t="shared" ca="1" si="223"/>
        <v/>
      </c>
      <c r="BG233"/>
      <c r="BH233" s="190" t="str">
        <f ca="1">IF(ISNUMBER(OFFSET(BD233,-$F$21,0)),SUM(OFFSET($T$100,($F$16-$F$15+$F$21),0):$T233),"")</f>
        <v/>
      </c>
      <c r="BI233" s="190" t="str">
        <f t="shared" ca="1" si="198"/>
        <v/>
      </c>
      <c r="BJ233" s="190" t="str">
        <f t="shared" ca="1" si="224"/>
        <v/>
      </c>
      <c r="BK233" s="190"/>
      <c r="BL233" s="190" t="str">
        <f ca="1">IFERROR(IF(AND($B233&gt;=($F$17-$F$15),$B233&lt;$F$22+($F$17-$F$15)),SUM(OFFSET($T$100,($F$17-$F$15),0):$T233),""),"")</f>
        <v/>
      </c>
      <c r="BM233" s="190" t="str">
        <f t="shared" ca="1" si="199"/>
        <v/>
      </c>
      <c r="BN233" s="190" t="str">
        <f t="shared" ca="1" si="225"/>
        <v/>
      </c>
      <c r="BO233"/>
      <c r="BP233" s="190" t="str">
        <f ca="1">IF(ISNUMBER(OFFSET(BL233,-$F$21,0)),SUM(OFFSET($T$100,($F$17-$F$15+$F$21),0):$T233),"")</f>
        <v/>
      </c>
      <c r="BQ233" s="190" t="str">
        <f t="shared" ca="1" si="200"/>
        <v/>
      </c>
      <c r="BR233" s="190" t="str">
        <f t="shared" ca="1" si="226"/>
        <v/>
      </c>
      <c r="BS233" s="190"/>
      <c r="BT233"/>
      <c r="BU233"/>
      <c r="BV233"/>
      <c r="BY233" s="99"/>
      <c r="BZ233" s="99"/>
      <c r="CA233" s="280" t="str">
        <f t="shared" si="201"/>
        <v/>
      </c>
      <c r="CB233" s="71" t="str">
        <f t="shared" si="202"/>
        <v>-</v>
      </c>
      <c r="CC233" s="33"/>
      <c r="CD233" s="261" t="str">
        <f t="shared" si="203"/>
        <v/>
      </c>
      <c r="CE233" s="280" t="str">
        <f t="shared" si="204"/>
        <v>-</v>
      </c>
      <c r="CF233" s="71" t="str">
        <f t="shared" ca="1" si="205"/>
        <v>-</v>
      </c>
      <c r="CG233" s="33" t="str">
        <f t="shared" si="206"/>
        <v>133-134</v>
      </c>
      <c r="CH233" s="261" t="str">
        <f t="shared" ca="1" si="207"/>
        <v/>
      </c>
    </row>
    <row r="234" spans="2:86" ht="13.5" customHeight="1" x14ac:dyDescent="0.2">
      <c r="B234" s="262">
        <v>134</v>
      </c>
      <c r="C234" s="237" t="str">
        <f t="shared" si="171"/>
        <v/>
      </c>
      <c r="D234" s="237" t="str">
        <f t="shared" si="227"/>
        <v>-</v>
      </c>
      <c r="E234" s="263" t="str">
        <f t="shared" si="208"/>
        <v/>
      </c>
      <c r="F234" s="264" t="str">
        <f t="shared" si="209"/>
        <v/>
      </c>
      <c r="G234" s="264" t="str">
        <f t="shared" si="210"/>
        <v/>
      </c>
      <c r="H234" s="240" t="str">
        <f t="shared" si="172"/>
        <v/>
      </c>
      <c r="I234" s="265" t="str">
        <f t="shared" si="173"/>
        <v/>
      </c>
      <c r="J234" s="265" t="str">
        <f t="shared" si="174"/>
        <v/>
      </c>
      <c r="K234" s="240" t="str">
        <f t="shared" si="175"/>
        <v/>
      </c>
      <c r="L234" s="265" t="str">
        <f t="shared" si="176"/>
        <v/>
      </c>
      <c r="M234" s="265" t="str">
        <f t="shared" si="177"/>
        <v/>
      </c>
      <c r="N234" s="240" t="str">
        <f t="shared" si="178"/>
        <v>-</v>
      </c>
      <c r="O234" s="265" t="str">
        <f t="shared" si="179"/>
        <v>-</v>
      </c>
      <c r="P234" s="265" t="str">
        <f t="shared" si="180"/>
        <v>-</v>
      </c>
      <c r="Q234" s="266" t="str">
        <f t="shared" si="181"/>
        <v>-</v>
      </c>
      <c r="R234" s="267" t="str">
        <f t="shared" si="182"/>
        <v>-</v>
      </c>
      <c r="S234" s="268" t="str">
        <f t="shared" si="183"/>
        <v>-</v>
      </c>
      <c r="T234" s="269" t="str">
        <f t="shared" si="184"/>
        <v/>
      </c>
      <c r="U234" s="221">
        <f t="shared" si="185"/>
        <v>134</v>
      </c>
      <c r="V234" s="220" t="str">
        <f t="shared" si="211"/>
        <v>-</v>
      </c>
      <c r="W234" s="221" t="str">
        <f t="shared" si="212"/>
        <v>-</v>
      </c>
      <c r="X234" s="221" t="str">
        <f t="shared" si="186"/>
        <v>-</v>
      </c>
      <c r="Y234" s="221" t="str">
        <f t="shared" si="187"/>
        <v>-</v>
      </c>
      <c r="Z234" s="270">
        <f t="shared" si="213"/>
        <v>0.1</v>
      </c>
      <c r="AA234" s="271" t="str">
        <f>IFERROR(IF(V233=1,AA$100*EXP(-(LN(2)/$D$65+0.04)*X233)*EXP(-(LN(2)/$D$65+0.1)*Y233),IF(V233=2,AA$100*EXP(-(LN(2)/$D$65+0.04)*(VLOOKUP(($F$16-$F$15)-1,U$99:Y233,4,FALSE)))*EXP(-(LN(2)/$D$65+0.1)*(VLOOKUP(($F$16-$F$15)-1,U$99:Y233,5,FALSE)))*EXP(-(LN(2)/$D$65+0.04)*X233)*EXP(-(LN(2)/$D$65+0.1)*Y233),IF(V233=3,AA$100*EXP(-(LN(2)/$D$65+0.04)*(VLOOKUP(($F$16-$F$15)-1,U$99:Y233,4,FALSE)))*EXP(-(LN(2)/$D$65+0.1)*(VLOOKUP(($F$16-$F$15)-1,U$99:Y233,5,FALSE)))*EXP(-(LN(2)/$D$65+0.04)*(VLOOKUP(($F$16-$F$15)*2-1,U$99:Y233,4,FALSE)))*EXP(-(LN(2)/$D$65+0.1)*(VLOOKUP(($F$16-$F$15)*2-1,U$99:Y233,5,FALSE)))*EXP(-(LN(2)/$D$65+0.04)*X233)*EXP(-(LN(2)/$D$65+0.1)*Y233),"-"))),"-")</f>
        <v>-</v>
      </c>
      <c r="AB234" s="271" t="str">
        <f>IFERROR(IF(V234=1,AB$100*EXP(-(LN(2)/$D$65+0.04)*X234)*EXP(-(LN(2)/$D$65+0.1)*Y234),IF(V234=2,AB$100*EXP(-(LN(2)/$D$65+0.04)*(VLOOKUP(($F$16-$F$15)-1,U$100:Y234,4,FALSE)))*EXP(-(LN(2)/$D$65+0.1)*(VLOOKUP(($F$16-$F$15)-1,U$100:Y234,5,FALSE)))*EXP(-(LN(2)/$D$65+0.04)*X234)*EXP(-(LN(2)/$D$65+0.1)*Y234),IF(V234=3,AB$100*EXP(-(LN(2)/$D$65+0.04)*(VLOOKUP(($F$16-$F$15)-1,U$100:Y234,4,FALSE)))*EXP(-(LN(2)/$D$65+0.1)*(VLOOKUP(($F$16-$F$15)-1,U$100:Y234,5,FALSE)))*EXP(-(LN(2)/$D$65+0.04)*(VLOOKUP(($F$16-$F$15)*2-1,U$100:Y234,4,FALSE)))*EXP(-(LN(2)/$D$65+0.1)*(VLOOKUP(($F$16-$F$15)*2-1,U$100:Y234,5,FALSE)))*EXP(-(LN(2)/$D$65+0.04)*X234)*EXP(-(LN(2)/$D$65+0.1)*Y234),"-"))),"-")</f>
        <v>-</v>
      </c>
      <c r="AC234" s="224">
        <f t="shared" si="214"/>
        <v>134</v>
      </c>
      <c r="AD234" s="223" t="str">
        <f t="shared" si="188"/>
        <v>-</v>
      </c>
      <c r="AE234" s="224" t="str">
        <f t="shared" si="215"/>
        <v>-</v>
      </c>
      <c r="AF234" s="224" t="str">
        <f t="shared" si="189"/>
        <v>-</v>
      </c>
      <c r="AG234" s="224" t="str">
        <f t="shared" si="190"/>
        <v>-</v>
      </c>
      <c r="AH234" s="272">
        <f t="shared" si="216"/>
        <v>0.1</v>
      </c>
      <c r="AI234" s="271" t="str">
        <f>IFERROR(IF(AD233=1,AI$100*EXP(-(LN(2)/$D$65+0.04)*AF233)*EXP(-(LN(2)/$D$65+0.1)*AG233),IF(AD233=2,AI$100*EXP(-(LN(2)/$D$65+0.04)*(VLOOKUP(($F$16-$F$15)-1,AC$99:AG233,4,FALSE)))*EXP(-(LN(2)/$D$65+0.1)*(VLOOKUP(($F$16-$F$15)-1,AC$99:AG233,5,FALSE)))*EXP(-(LN(2)/$D$65+0.04)*AF233)*EXP(-(LN(2)/$D$65+0.1)*AG233),IF(AD233=3,AI$100*EXP(-(LN(2)/$D$65+0.04)*(VLOOKUP(($F$16-$F$15)-1,AC$99:AG233,4,FALSE)))*EXP(-(LN(2)/$D$65+0.1)*(VLOOKUP(($F$16-$F$15)-1,AC$99:AG233,5,FALSE)))*EXP(-(LN(2)/$D$65+0.04)*(VLOOKUP(($F$16-$F$15)*2-1,AC$99:AG233,4,FALSE)))*EXP(-(LN(2)/$D$65+0.1)*(VLOOKUP(($F$16-$F$15)*2-1,AC$99:AG233,5,FALSE)))*EXP(-(LN(2)/$D$65+0.04)*AF233)*EXP(-(LN(2)/$D$65+0.1)*AG233),"-"))),"-")</f>
        <v>-</v>
      </c>
      <c r="AJ234" s="271" t="str">
        <f>IFERROR(IF(AD234=1,AJ$100*EXP(-(LN(2)/$D$65+0.04)*AF234)*EXP(-(LN(2)/$D$65+0.1)*AG234),IF(AD234=2,AJ$100*EXP(-(LN(2)/$D$65+0.04)*(VLOOKUP(($F$16-$F$15)-1,AC$100:AG234,4,FALSE)))*EXP(-(LN(2)/$D$65+0.1)*(VLOOKUP(($F$16-$F$15)-1,AC$100:AG234,5,FALSE)))*EXP(-(LN(2)/$D$65+0.04)*AF234)*EXP(-(LN(2)/$D$65+0.1)*AG234),IF(AD234=3,AJ$100*EXP(-(LN(2)/$D$65+0.04)*(VLOOKUP(($F$16-$F$15)-1,AC$100:AG234,4,FALSE)))*EXP(-(LN(2)/$D$65+0.1)*(VLOOKUP(($F$16-$F$15)-1,AC$100:AG234,5,FALSE)))*EXP(-(LN(2)/$D$65+0.04)*(VLOOKUP(($F$16-$F$15)*2-1,AC$100:AG234,4,FALSE)))*EXP(-(LN(2)/$D$65+0.1)*(VLOOKUP(($F$16-$F$15)*2-1,AC$100:AG234,5,FALSE)))*EXP(-(LN(2)/$D$65+0.04)*AF234)*EXP(-(LN(2)/$D$65+0.1)*AG234),"-"))),"-")</f>
        <v>-</v>
      </c>
      <c r="AK234" s="227">
        <f t="shared" si="217"/>
        <v>134</v>
      </c>
      <c r="AL234" s="226" t="str">
        <f t="shared" si="191"/>
        <v>-</v>
      </c>
      <c r="AM234" s="227" t="str">
        <f t="shared" si="218"/>
        <v>-</v>
      </c>
      <c r="AN234" s="227" t="str">
        <f t="shared" si="219"/>
        <v>-</v>
      </c>
      <c r="AO234" s="227" t="str">
        <f t="shared" si="192"/>
        <v>-</v>
      </c>
      <c r="AP234" s="273">
        <f t="shared" si="220"/>
        <v>0.1</v>
      </c>
      <c r="AQ234" s="271" t="str">
        <f>IFERROR(IF(AL233=1,AQ$100*EXP(-(LN(2)/$D$65+0.04)*AN233)*EXP(-(LN(2)/$D$65+0.1)*AO233),IF(AL233=2,AQ$100*EXP(-(LN(2)/$D$65+0.04)*(VLOOKUP(($F$16-$F$15)-1,AK$99:AO233,4,FALSE)))*EXP(-(LN(2)/$D$65+0.1)*(VLOOKUP(($F$16-$F$15)-1,AK$99:AO233,5,FALSE)))*EXP(-(LN(2)/$D$65+0.04)*AN233)*EXP(-(LN(2)/$D$65+0.1)*AO233),IF(AL233=3,AQ$100*EXP(-(LN(2)/$D$65+0.04)*(VLOOKUP(($F$16-$F$15)-1,AK$99:AO233,4,FALSE)))*EXP(-(LN(2)/$D$65+0.1)*(VLOOKUP(($F$16-$F$15)-1,AK$99:AO233,5,FALSE)))*EXP(-(LN(2)/$D$65+0.04)*(VLOOKUP(($F$16-$F$15)*2-1,AK$99:AO233,4,FALSE)))*EXP(-(LN(2)/$D$65+0.1)*(VLOOKUP(($F$16-$F$15)*2-1,AK$99:AO233,5,FALSE)))*EXP(-(LN(2)/$D$65+0.04)*AN233)*EXP(-(LN(2)/$D$65+0.1)*AO233),"-"))),"-")</f>
        <v>-</v>
      </c>
      <c r="AR234" s="271" t="str">
        <f>IFERROR(IF(AL234=1,AR$100*EXP(-(LN(2)/$D$65+0.04)*AN234)*EXP(-(LN(2)/$D$65+0.1)*AO234),IF(AL234=2,AR$100*EXP(-(LN(2)/$D$65+0.04)*(VLOOKUP(($F$16-$F$15)-1,AK$100:AO234,4,FALSE)))*EXP(-(LN(2)/$D$65+0.1)*(VLOOKUP(($F$16-$F$15)-1,AK$100:AO234,5,FALSE)))*EXP(-(LN(2)/$D$65+0.04)*AN234)*EXP(-(LN(2)/$D$65+0.1)*AO234),IF(AL234=3,AR$100*EXP(-(LN(2)/$D$65+0.04)*(VLOOKUP(($F$16-$F$15)-1,AK$100:AO234,4,FALSE)))*EXP(-(LN(2)/$D$65+0.1)*(VLOOKUP(($F$16-$F$15)-1,AK$100:AO234,5,FALSE)))*EXP(-(LN(2)/$D$65+0.04)*(VLOOKUP(($F$16-$F$15)*2-1,AK$100:AO234,4,FALSE)))*EXP(-(LN(2)/$D$65+0.1)*(VLOOKUP(($F$16-$F$15)*2-1,AK$100:AO234,5,FALSE)))*EXP(-(LN(2)/$D$65+0.04)*AN234)*EXP(-(LN(2)/$D$65+0.1)*AO234),"-"))),"-")</f>
        <v>-</v>
      </c>
      <c r="AS234" s="274">
        <f t="shared" si="193"/>
        <v>0</v>
      </c>
      <c r="AT234" s="274">
        <f t="shared" si="194"/>
        <v>0</v>
      </c>
      <c r="AU234" s="274">
        <f t="shared" si="195"/>
        <v>0</v>
      </c>
      <c r="AV234" s="190">
        <f>IF($B234&lt;$F$22,SUM($T$100:$T234),"")</f>
        <v>0</v>
      </c>
      <c r="AW234" s="190" t="str">
        <f t="shared" si="196"/>
        <v>-</v>
      </c>
      <c r="AX234" s="190" t="str">
        <f t="shared" si="221"/>
        <v/>
      </c>
      <c r="AY234"/>
      <c r="AZ234" s="190" t="str">
        <f ca="1">IF(ISNUMBER(OFFSET(AV234,-$F$21,0)),SUM(OFFSET($T$100,$F$21,0):$T234),"")</f>
        <v/>
      </c>
      <c r="BA234" s="190" t="str">
        <f t="shared" ca="1" si="197"/>
        <v/>
      </c>
      <c r="BB234" s="190" t="str">
        <f t="shared" ca="1" si="149"/>
        <v/>
      </c>
      <c r="BC234" s="190"/>
      <c r="BD234" s="190" t="str">
        <f ca="1">IFERROR(IF(AND($B234&gt;=($F$16-$F$15),$B234&lt;$F$22+($F$16-$F$15)),SUM(OFFSET($T$100,($F$16-$F$15),0):$T234),""),"")</f>
        <v/>
      </c>
      <c r="BE234" s="190" t="str">
        <f t="shared" ca="1" si="222"/>
        <v/>
      </c>
      <c r="BF234" s="190" t="str">
        <f t="shared" ca="1" si="223"/>
        <v/>
      </c>
      <c r="BG234"/>
      <c r="BH234" s="190" t="str">
        <f ca="1">IF(ISNUMBER(OFFSET(BD234,-$F$21,0)),SUM(OFFSET($T$100,($F$16-$F$15+$F$21),0):$T234),"")</f>
        <v/>
      </c>
      <c r="BI234" s="190" t="str">
        <f t="shared" ca="1" si="198"/>
        <v/>
      </c>
      <c r="BJ234" s="190" t="str">
        <f t="shared" ca="1" si="224"/>
        <v/>
      </c>
      <c r="BK234" s="190"/>
      <c r="BL234" s="190" t="str">
        <f ca="1">IFERROR(IF(AND($B234&gt;=($F$17-$F$15),$B234&lt;$F$22+($F$17-$F$15)),SUM(OFFSET($T$100,($F$17-$F$15),0):$T234),""),"")</f>
        <v/>
      </c>
      <c r="BM234" s="190" t="str">
        <f t="shared" ca="1" si="199"/>
        <v/>
      </c>
      <c r="BN234" s="190" t="str">
        <f t="shared" ca="1" si="225"/>
        <v/>
      </c>
      <c r="BO234"/>
      <c r="BP234" s="190" t="str">
        <f ca="1">IF(ISNUMBER(OFFSET(BL234,-$F$21,0)),SUM(OFFSET($T$100,($F$17-$F$15+$F$21),0):$T234),"")</f>
        <v/>
      </c>
      <c r="BQ234" s="190" t="str">
        <f t="shared" ca="1" si="200"/>
        <v/>
      </c>
      <c r="BR234" s="190" t="str">
        <f t="shared" ca="1" si="226"/>
        <v/>
      </c>
      <c r="BS234" s="190"/>
      <c r="BT234"/>
      <c r="BU234"/>
      <c r="BV234"/>
      <c r="BY234" s="99"/>
      <c r="BZ234" s="99"/>
      <c r="CA234" s="280" t="str">
        <f t="shared" si="201"/>
        <v/>
      </c>
      <c r="CB234" s="71" t="str">
        <f t="shared" si="202"/>
        <v>-</v>
      </c>
      <c r="CC234" s="33"/>
      <c r="CD234" s="261" t="str">
        <f t="shared" si="203"/>
        <v/>
      </c>
      <c r="CE234" s="280" t="str">
        <f t="shared" si="204"/>
        <v>-</v>
      </c>
      <c r="CF234" s="71" t="str">
        <f t="shared" ca="1" si="205"/>
        <v>-</v>
      </c>
      <c r="CG234" s="33" t="str">
        <f t="shared" si="206"/>
        <v>134-135</v>
      </c>
      <c r="CH234" s="261" t="str">
        <f t="shared" ca="1" si="207"/>
        <v/>
      </c>
    </row>
    <row r="235" spans="2:86" ht="13.5" customHeight="1" x14ac:dyDescent="0.2">
      <c r="B235" s="262">
        <v>135</v>
      </c>
      <c r="C235" s="237" t="str">
        <f t="shared" si="171"/>
        <v/>
      </c>
      <c r="D235" s="237" t="str">
        <f t="shared" si="227"/>
        <v>-</v>
      </c>
      <c r="E235" s="263" t="str">
        <f t="shared" si="208"/>
        <v/>
      </c>
      <c r="F235" s="264" t="str">
        <f t="shared" si="209"/>
        <v/>
      </c>
      <c r="G235" s="264" t="str">
        <f t="shared" si="210"/>
        <v/>
      </c>
      <c r="H235" s="240" t="str">
        <f t="shared" si="172"/>
        <v/>
      </c>
      <c r="I235" s="265" t="str">
        <f t="shared" si="173"/>
        <v/>
      </c>
      <c r="J235" s="265" t="str">
        <f t="shared" si="174"/>
        <v/>
      </c>
      <c r="K235" s="240" t="str">
        <f t="shared" si="175"/>
        <v/>
      </c>
      <c r="L235" s="265" t="str">
        <f t="shared" si="176"/>
        <v/>
      </c>
      <c r="M235" s="265" t="str">
        <f t="shared" si="177"/>
        <v/>
      </c>
      <c r="N235" s="240" t="str">
        <f t="shared" si="178"/>
        <v>-</v>
      </c>
      <c r="O235" s="265" t="str">
        <f t="shared" si="179"/>
        <v>-</v>
      </c>
      <c r="P235" s="265" t="str">
        <f t="shared" si="180"/>
        <v>-</v>
      </c>
      <c r="Q235" s="266" t="str">
        <f t="shared" si="181"/>
        <v>-</v>
      </c>
      <c r="R235" s="267" t="str">
        <f t="shared" si="182"/>
        <v>-</v>
      </c>
      <c r="S235" s="268" t="str">
        <f t="shared" si="183"/>
        <v>-</v>
      </c>
      <c r="T235" s="269" t="str">
        <f t="shared" si="184"/>
        <v/>
      </c>
      <c r="U235" s="221">
        <f t="shared" si="185"/>
        <v>135</v>
      </c>
      <c r="V235" s="220" t="str">
        <f t="shared" si="211"/>
        <v>-</v>
      </c>
      <c r="W235" s="221" t="str">
        <f t="shared" si="212"/>
        <v>-</v>
      </c>
      <c r="X235" s="221" t="str">
        <f t="shared" si="186"/>
        <v>-</v>
      </c>
      <c r="Y235" s="221" t="str">
        <f t="shared" si="187"/>
        <v>-</v>
      </c>
      <c r="Z235" s="270">
        <f t="shared" si="213"/>
        <v>0.1</v>
      </c>
      <c r="AA235" s="271" t="str">
        <f>IFERROR(IF(V234=1,AA$100*EXP(-(LN(2)/$D$65+0.04)*X234)*EXP(-(LN(2)/$D$65+0.1)*Y234),IF(V234=2,AA$100*EXP(-(LN(2)/$D$65+0.04)*(VLOOKUP(($F$16-$F$15)-1,U$99:Y234,4,FALSE)))*EXP(-(LN(2)/$D$65+0.1)*(VLOOKUP(($F$16-$F$15)-1,U$99:Y234,5,FALSE)))*EXP(-(LN(2)/$D$65+0.04)*X234)*EXP(-(LN(2)/$D$65+0.1)*Y234),IF(V234=3,AA$100*EXP(-(LN(2)/$D$65+0.04)*(VLOOKUP(($F$16-$F$15)-1,U$99:Y234,4,FALSE)))*EXP(-(LN(2)/$D$65+0.1)*(VLOOKUP(($F$16-$F$15)-1,U$99:Y234,5,FALSE)))*EXP(-(LN(2)/$D$65+0.04)*(VLOOKUP(($F$16-$F$15)*2-1,U$99:Y234,4,FALSE)))*EXP(-(LN(2)/$D$65+0.1)*(VLOOKUP(($F$16-$F$15)*2-1,U$99:Y234,5,FALSE)))*EXP(-(LN(2)/$D$65+0.04)*X234)*EXP(-(LN(2)/$D$65+0.1)*Y234),"-"))),"-")</f>
        <v>-</v>
      </c>
      <c r="AB235" s="271" t="str">
        <f>IFERROR(IF(V235=1,AB$100*EXP(-(LN(2)/$D$65+0.04)*X235)*EXP(-(LN(2)/$D$65+0.1)*Y235),IF(V235=2,AB$100*EXP(-(LN(2)/$D$65+0.04)*(VLOOKUP(($F$16-$F$15)-1,U$100:Y235,4,FALSE)))*EXP(-(LN(2)/$D$65+0.1)*(VLOOKUP(($F$16-$F$15)-1,U$100:Y235,5,FALSE)))*EXP(-(LN(2)/$D$65+0.04)*X235)*EXP(-(LN(2)/$D$65+0.1)*Y235),IF(V235=3,AB$100*EXP(-(LN(2)/$D$65+0.04)*(VLOOKUP(($F$16-$F$15)-1,U$100:Y235,4,FALSE)))*EXP(-(LN(2)/$D$65+0.1)*(VLOOKUP(($F$16-$F$15)-1,U$100:Y235,5,FALSE)))*EXP(-(LN(2)/$D$65+0.04)*(VLOOKUP(($F$16-$F$15)*2-1,U$100:Y235,4,FALSE)))*EXP(-(LN(2)/$D$65+0.1)*(VLOOKUP(($F$16-$F$15)*2-1,U$100:Y235,5,FALSE)))*EXP(-(LN(2)/$D$65+0.04)*X235)*EXP(-(LN(2)/$D$65+0.1)*Y235),"-"))),"-")</f>
        <v>-</v>
      </c>
      <c r="AC235" s="224">
        <f t="shared" si="214"/>
        <v>135</v>
      </c>
      <c r="AD235" s="223" t="str">
        <f t="shared" si="188"/>
        <v>-</v>
      </c>
      <c r="AE235" s="224" t="str">
        <f t="shared" si="215"/>
        <v>-</v>
      </c>
      <c r="AF235" s="224" t="str">
        <f t="shared" si="189"/>
        <v>-</v>
      </c>
      <c r="AG235" s="224" t="str">
        <f t="shared" si="190"/>
        <v>-</v>
      </c>
      <c r="AH235" s="272">
        <f t="shared" si="216"/>
        <v>0.1</v>
      </c>
      <c r="AI235" s="271" t="str">
        <f>IFERROR(IF(AD234=1,AI$100*EXP(-(LN(2)/$D$65+0.04)*AF234)*EXP(-(LN(2)/$D$65+0.1)*AG234),IF(AD234=2,AI$100*EXP(-(LN(2)/$D$65+0.04)*(VLOOKUP(($F$16-$F$15)-1,AC$99:AG234,4,FALSE)))*EXP(-(LN(2)/$D$65+0.1)*(VLOOKUP(($F$16-$F$15)-1,AC$99:AG234,5,FALSE)))*EXP(-(LN(2)/$D$65+0.04)*AF234)*EXP(-(LN(2)/$D$65+0.1)*AG234),IF(AD234=3,AI$100*EXP(-(LN(2)/$D$65+0.04)*(VLOOKUP(($F$16-$F$15)-1,AC$99:AG234,4,FALSE)))*EXP(-(LN(2)/$D$65+0.1)*(VLOOKUP(($F$16-$F$15)-1,AC$99:AG234,5,FALSE)))*EXP(-(LN(2)/$D$65+0.04)*(VLOOKUP(($F$16-$F$15)*2-1,AC$99:AG234,4,FALSE)))*EXP(-(LN(2)/$D$65+0.1)*(VLOOKUP(($F$16-$F$15)*2-1,AC$99:AG234,5,FALSE)))*EXP(-(LN(2)/$D$65+0.04)*AF234)*EXP(-(LN(2)/$D$65+0.1)*AG234),"-"))),"-")</f>
        <v>-</v>
      </c>
      <c r="AJ235" s="271" t="str">
        <f>IFERROR(IF(AD235=1,AJ$100*EXP(-(LN(2)/$D$65+0.04)*AF235)*EXP(-(LN(2)/$D$65+0.1)*AG235),IF(AD235=2,AJ$100*EXP(-(LN(2)/$D$65+0.04)*(VLOOKUP(($F$16-$F$15)-1,AC$100:AG235,4,FALSE)))*EXP(-(LN(2)/$D$65+0.1)*(VLOOKUP(($F$16-$F$15)-1,AC$100:AG235,5,FALSE)))*EXP(-(LN(2)/$D$65+0.04)*AF235)*EXP(-(LN(2)/$D$65+0.1)*AG235),IF(AD235=3,AJ$100*EXP(-(LN(2)/$D$65+0.04)*(VLOOKUP(($F$16-$F$15)-1,AC$100:AG235,4,FALSE)))*EXP(-(LN(2)/$D$65+0.1)*(VLOOKUP(($F$16-$F$15)-1,AC$100:AG235,5,FALSE)))*EXP(-(LN(2)/$D$65+0.04)*(VLOOKUP(($F$16-$F$15)*2-1,AC$100:AG235,4,FALSE)))*EXP(-(LN(2)/$D$65+0.1)*(VLOOKUP(($F$16-$F$15)*2-1,AC$100:AG235,5,FALSE)))*EXP(-(LN(2)/$D$65+0.04)*AF235)*EXP(-(LN(2)/$D$65+0.1)*AG235),"-"))),"-")</f>
        <v>-</v>
      </c>
      <c r="AK235" s="227">
        <f t="shared" si="217"/>
        <v>135</v>
      </c>
      <c r="AL235" s="226" t="str">
        <f t="shared" si="191"/>
        <v>-</v>
      </c>
      <c r="AM235" s="227" t="str">
        <f t="shared" si="218"/>
        <v>-</v>
      </c>
      <c r="AN235" s="227" t="str">
        <f t="shared" si="219"/>
        <v>-</v>
      </c>
      <c r="AO235" s="227" t="str">
        <f t="shared" si="192"/>
        <v>-</v>
      </c>
      <c r="AP235" s="273">
        <f t="shared" si="220"/>
        <v>0.1</v>
      </c>
      <c r="AQ235" s="271" t="str">
        <f>IFERROR(IF(AL234=1,AQ$100*EXP(-(LN(2)/$D$65+0.04)*AN234)*EXP(-(LN(2)/$D$65+0.1)*AO234),IF(AL234=2,AQ$100*EXP(-(LN(2)/$D$65+0.04)*(VLOOKUP(($F$16-$F$15)-1,AK$99:AO234,4,FALSE)))*EXP(-(LN(2)/$D$65+0.1)*(VLOOKUP(($F$16-$F$15)-1,AK$99:AO234,5,FALSE)))*EXP(-(LN(2)/$D$65+0.04)*AN234)*EXP(-(LN(2)/$D$65+0.1)*AO234),IF(AL234=3,AQ$100*EXP(-(LN(2)/$D$65+0.04)*(VLOOKUP(($F$16-$F$15)-1,AK$99:AO234,4,FALSE)))*EXP(-(LN(2)/$D$65+0.1)*(VLOOKUP(($F$16-$F$15)-1,AK$99:AO234,5,FALSE)))*EXP(-(LN(2)/$D$65+0.04)*(VLOOKUP(($F$16-$F$15)*2-1,AK$99:AO234,4,FALSE)))*EXP(-(LN(2)/$D$65+0.1)*(VLOOKUP(($F$16-$F$15)*2-1,AK$99:AO234,5,FALSE)))*EXP(-(LN(2)/$D$65+0.04)*AN234)*EXP(-(LN(2)/$D$65+0.1)*AO234),"-"))),"-")</f>
        <v>-</v>
      </c>
      <c r="AR235" s="271" t="str">
        <f>IFERROR(IF(AL235=1,AR$100*EXP(-(LN(2)/$D$65+0.04)*AN235)*EXP(-(LN(2)/$D$65+0.1)*AO235),IF(AL235=2,AR$100*EXP(-(LN(2)/$D$65+0.04)*(VLOOKUP(($F$16-$F$15)-1,AK$100:AO235,4,FALSE)))*EXP(-(LN(2)/$D$65+0.1)*(VLOOKUP(($F$16-$F$15)-1,AK$100:AO235,5,FALSE)))*EXP(-(LN(2)/$D$65+0.04)*AN235)*EXP(-(LN(2)/$D$65+0.1)*AO235),IF(AL235=3,AR$100*EXP(-(LN(2)/$D$65+0.04)*(VLOOKUP(($F$16-$F$15)-1,AK$100:AO235,4,FALSE)))*EXP(-(LN(2)/$D$65+0.1)*(VLOOKUP(($F$16-$F$15)-1,AK$100:AO235,5,FALSE)))*EXP(-(LN(2)/$D$65+0.04)*(VLOOKUP(($F$16-$F$15)*2-1,AK$100:AO235,4,FALSE)))*EXP(-(LN(2)/$D$65+0.1)*(VLOOKUP(($F$16-$F$15)*2-1,AK$100:AO235,5,FALSE)))*EXP(-(LN(2)/$D$65+0.04)*AN235)*EXP(-(LN(2)/$D$65+0.1)*AO235),"-"))),"-")</f>
        <v>-</v>
      </c>
      <c r="AS235" s="274">
        <f t="shared" si="193"/>
        <v>0</v>
      </c>
      <c r="AT235" s="274">
        <f t="shared" si="194"/>
        <v>0</v>
      </c>
      <c r="AU235" s="274">
        <f t="shared" si="195"/>
        <v>0</v>
      </c>
      <c r="AV235" s="190">
        <f>IF($B235&lt;$F$22,SUM($T$100:$T235),"")</f>
        <v>0</v>
      </c>
      <c r="AW235" s="190" t="str">
        <f t="shared" si="196"/>
        <v>-</v>
      </c>
      <c r="AX235" s="190" t="str">
        <f t="shared" si="221"/>
        <v/>
      </c>
      <c r="AY235"/>
      <c r="AZ235" s="190" t="str">
        <f ca="1">IF(ISNUMBER(OFFSET(AV235,-$F$21,0)),SUM(OFFSET($T$100,$F$21,0):$T235),"")</f>
        <v/>
      </c>
      <c r="BA235" s="190" t="str">
        <f t="shared" ca="1" si="197"/>
        <v/>
      </c>
      <c r="BB235" s="190" t="str">
        <f t="shared" ca="1" si="149"/>
        <v/>
      </c>
      <c r="BC235" s="190"/>
      <c r="BD235" s="190" t="str">
        <f ca="1">IFERROR(IF(AND($B235&gt;=($F$16-$F$15),$B235&lt;$F$22+($F$16-$F$15)),SUM(OFFSET($T$100,($F$16-$F$15),0):$T235),""),"")</f>
        <v/>
      </c>
      <c r="BE235" s="190" t="str">
        <f t="shared" ca="1" si="222"/>
        <v/>
      </c>
      <c r="BF235" s="190" t="str">
        <f t="shared" ca="1" si="223"/>
        <v/>
      </c>
      <c r="BG235"/>
      <c r="BH235" s="190" t="str">
        <f ca="1">IF(ISNUMBER(OFFSET(BD235,-$F$21,0)),SUM(OFFSET($T$100,($F$16-$F$15+$F$21),0):$T235),"")</f>
        <v/>
      </c>
      <c r="BI235" s="190" t="str">
        <f t="shared" ca="1" si="198"/>
        <v/>
      </c>
      <c r="BJ235" s="190" t="str">
        <f t="shared" ca="1" si="224"/>
        <v/>
      </c>
      <c r="BK235" s="190"/>
      <c r="BL235" s="190" t="str">
        <f ca="1">IFERROR(IF(AND($B235&gt;=($F$17-$F$15),$B235&lt;$F$22+($F$17-$F$15)),SUM(OFFSET($T$100,($F$17-$F$15),0):$T235),""),"")</f>
        <v/>
      </c>
      <c r="BM235" s="190" t="str">
        <f t="shared" ca="1" si="199"/>
        <v/>
      </c>
      <c r="BN235" s="190" t="str">
        <f t="shared" ca="1" si="225"/>
        <v/>
      </c>
      <c r="BO235"/>
      <c r="BP235" s="190" t="str">
        <f ca="1">IF(ISNUMBER(OFFSET(BL235,-$F$21,0)),SUM(OFFSET($T$100,($F$17-$F$15+$F$21),0):$T235),"")</f>
        <v/>
      </c>
      <c r="BQ235" s="190" t="str">
        <f t="shared" ca="1" si="200"/>
        <v/>
      </c>
      <c r="BR235" s="190" t="str">
        <f t="shared" ca="1" si="226"/>
        <v/>
      </c>
      <c r="BS235" s="190"/>
      <c r="BT235"/>
      <c r="BU235"/>
      <c r="BV235"/>
      <c r="BY235" s="99"/>
      <c r="BZ235" s="99"/>
      <c r="CA235" s="280" t="str">
        <f t="shared" si="201"/>
        <v/>
      </c>
      <c r="CB235" s="71" t="str">
        <f t="shared" si="202"/>
        <v>-</v>
      </c>
      <c r="CC235" s="33"/>
      <c r="CD235" s="261" t="str">
        <f t="shared" si="203"/>
        <v/>
      </c>
      <c r="CE235" s="280" t="str">
        <f t="shared" si="204"/>
        <v>-</v>
      </c>
      <c r="CF235" s="71" t="str">
        <f t="shared" ca="1" si="205"/>
        <v>-</v>
      </c>
      <c r="CG235" s="33" t="str">
        <f t="shared" si="206"/>
        <v>135-136</v>
      </c>
      <c r="CH235" s="261" t="str">
        <f t="shared" ca="1" si="207"/>
        <v/>
      </c>
    </row>
    <row r="236" spans="2:86" ht="13.5" customHeight="1" x14ac:dyDescent="0.2">
      <c r="B236" s="262">
        <v>136</v>
      </c>
      <c r="C236" s="237" t="str">
        <f t="shared" si="171"/>
        <v/>
      </c>
      <c r="D236" s="237" t="str">
        <f t="shared" si="227"/>
        <v>-</v>
      </c>
      <c r="E236" s="263" t="str">
        <f t="shared" si="208"/>
        <v/>
      </c>
      <c r="F236" s="264" t="str">
        <f t="shared" si="209"/>
        <v/>
      </c>
      <c r="G236" s="264" t="str">
        <f t="shared" si="210"/>
        <v/>
      </c>
      <c r="H236" s="240" t="str">
        <f t="shared" si="172"/>
        <v/>
      </c>
      <c r="I236" s="265" t="str">
        <f t="shared" si="173"/>
        <v/>
      </c>
      <c r="J236" s="265" t="str">
        <f t="shared" si="174"/>
        <v/>
      </c>
      <c r="K236" s="240" t="str">
        <f t="shared" si="175"/>
        <v/>
      </c>
      <c r="L236" s="265" t="str">
        <f t="shared" si="176"/>
        <v/>
      </c>
      <c r="M236" s="265" t="str">
        <f t="shared" si="177"/>
        <v/>
      </c>
      <c r="N236" s="240" t="str">
        <f t="shared" si="178"/>
        <v>-</v>
      </c>
      <c r="O236" s="265" t="str">
        <f t="shared" si="179"/>
        <v>-</v>
      </c>
      <c r="P236" s="265" t="str">
        <f t="shared" si="180"/>
        <v>-</v>
      </c>
      <c r="Q236" s="266" t="str">
        <f t="shared" si="181"/>
        <v>-</v>
      </c>
      <c r="R236" s="267" t="str">
        <f t="shared" si="182"/>
        <v>-</v>
      </c>
      <c r="S236" s="268" t="str">
        <f t="shared" si="183"/>
        <v>-</v>
      </c>
      <c r="T236" s="269" t="str">
        <f t="shared" si="184"/>
        <v/>
      </c>
      <c r="U236" s="221">
        <f t="shared" si="185"/>
        <v>136</v>
      </c>
      <c r="V236" s="220" t="str">
        <f t="shared" si="211"/>
        <v>-</v>
      </c>
      <c r="W236" s="221" t="str">
        <f t="shared" si="212"/>
        <v>-</v>
      </c>
      <c r="X236" s="221" t="str">
        <f t="shared" si="186"/>
        <v>-</v>
      </c>
      <c r="Y236" s="221" t="str">
        <f t="shared" si="187"/>
        <v>-</v>
      </c>
      <c r="Z236" s="270">
        <f t="shared" si="213"/>
        <v>0.1</v>
      </c>
      <c r="AA236" s="271" t="str">
        <f>IFERROR(IF(V235=1,AA$100*EXP(-(LN(2)/$D$65+0.04)*X235)*EXP(-(LN(2)/$D$65+0.1)*Y235),IF(V235=2,AA$100*EXP(-(LN(2)/$D$65+0.04)*(VLOOKUP(($F$16-$F$15)-1,U$99:Y235,4,FALSE)))*EXP(-(LN(2)/$D$65+0.1)*(VLOOKUP(($F$16-$F$15)-1,U$99:Y235,5,FALSE)))*EXP(-(LN(2)/$D$65+0.04)*X235)*EXP(-(LN(2)/$D$65+0.1)*Y235),IF(V235=3,AA$100*EXP(-(LN(2)/$D$65+0.04)*(VLOOKUP(($F$16-$F$15)-1,U$99:Y235,4,FALSE)))*EXP(-(LN(2)/$D$65+0.1)*(VLOOKUP(($F$16-$F$15)-1,U$99:Y235,5,FALSE)))*EXP(-(LN(2)/$D$65+0.04)*(VLOOKUP(($F$16-$F$15)*2-1,U$99:Y235,4,FALSE)))*EXP(-(LN(2)/$D$65+0.1)*(VLOOKUP(($F$16-$F$15)*2-1,U$99:Y235,5,FALSE)))*EXP(-(LN(2)/$D$65+0.04)*X235)*EXP(-(LN(2)/$D$65+0.1)*Y235),"-"))),"-")</f>
        <v>-</v>
      </c>
      <c r="AB236" s="271" t="str">
        <f>IFERROR(IF(V236=1,AB$100*EXP(-(LN(2)/$D$65+0.04)*X236)*EXP(-(LN(2)/$D$65+0.1)*Y236),IF(V236=2,AB$100*EXP(-(LN(2)/$D$65+0.04)*(VLOOKUP(($F$16-$F$15)-1,U$100:Y236,4,FALSE)))*EXP(-(LN(2)/$D$65+0.1)*(VLOOKUP(($F$16-$F$15)-1,U$100:Y236,5,FALSE)))*EXP(-(LN(2)/$D$65+0.04)*X236)*EXP(-(LN(2)/$D$65+0.1)*Y236),IF(V236=3,AB$100*EXP(-(LN(2)/$D$65+0.04)*(VLOOKUP(($F$16-$F$15)-1,U$100:Y236,4,FALSE)))*EXP(-(LN(2)/$D$65+0.1)*(VLOOKUP(($F$16-$F$15)-1,U$100:Y236,5,FALSE)))*EXP(-(LN(2)/$D$65+0.04)*(VLOOKUP(($F$16-$F$15)*2-1,U$100:Y236,4,FALSE)))*EXP(-(LN(2)/$D$65+0.1)*(VLOOKUP(($F$16-$F$15)*2-1,U$100:Y236,5,FALSE)))*EXP(-(LN(2)/$D$65+0.04)*X236)*EXP(-(LN(2)/$D$65+0.1)*Y236),"-"))),"-")</f>
        <v>-</v>
      </c>
      <c r="AC236" s="224">
        <f t="shared" si="214"/>
        <v>136</v>
      </c>
      <c r="AD236" s="223" t="str">
        <f t="shared" si="188"/>
        <v>-</v>
      </c>
      <c r="AE236" s="224" t="str">
        <f t="shared" si="215"/>
        <v>-</v>
      </c>
      <c r="AF236" s="224" t="str">
        <f t="shared" si="189"/>
        <v>-</v>
      </c>
      <c r="AG236" s="224" t="str">
        <f t="shared" si="190"/>
        <v>-</v>
      </c>
      <c r="AH236" s="272">
        <f t="shared" si="216"/>
        <v>0.1</v>
      </c>
      <c r="AI236" s="271" t="str">
        <f>IFERROR(IF(AD235=1,AI$100*EXP(-(LN(2)/$D$65+0.04)*AF235)*EXP(-(LN(2)/$D$65+0.1)*AG235),IF(AD235=2,AI$100*EXP(-(LN(2)/$D$65+0.04)*(VLOOKUP(($F$16-$F$15)-1,AC$99:AG235,4,FALSE)))*EXP(-(LN(2)/$D$65+0.1)*(VLOOKUP(($F$16-$F$15)-1,AC$99:AG235,5,FALSE)))*EXP(-(LN(2)/$D$65+0.04)*AF235)*EXP(-(LN(2)/$D$65+0.1)*AG235),IF(AD235=3,AI$100*EXP(-(LN(2)/$D$65+0.04)*(VLOOKUP(($F$16-$F$15)-1,AC$99:AG235,4,FALSE)))*EXP(-(LN(2)/$D$65+0.1)*(VLOOKUP(($F$16-$F$15)-1,AC$99:AG235,5,FALSE)))*EXP(-(LN(2)/$D$65+0.04)*(VLOOKUP(($F$16-$F$15)*2-1,AC$99:AG235,4,FALSE)))*EXP(-(LN(2)/$D$65+0.1)*(VLOOKUP(($F$16-$F$15)*2-1,AC$99:AG235,5,FALSE)))*EXP(-(LN(2)/$D$65+0.04)*AF235)*EXP(-(LN(2)/$D$65+0.1)*AG235),"-"))),"-")</f>
        <v>-</v>
      </c>
      <c r="AJ236" s="271" t="str">
        <f>IFERROR(IF(AD236=1,AJ$100*EXP(-(LN(2)/$D$65+0.04)*AF236)*EXP(-(LN(2)/$D$65+0.1)*AG236),IF(AD236=2,AJ$100*EXP(-(LN(2)/$D$65+0.04)*(VLOOKUP(($F$16-$F$15)-1,AC$100:AG236,4,FALSE)))*EXP(-(LN(2)/$D$65+0.1)*(VLOOKUP(($F$16-$F$15)-1,AC$100:AG236,5,FALSE)))*EXP(-(LN(2)/$D$65+0.04)*AF236)*EXP(-(LN(2)/$D$65+0.1)*AG236),IF(AD236=3,AJ$100*EXP(-(LN(2)/$D$65+0.04)*(VLOOKUP(($F$16-$F$15)-1,AC$100:AG236,4,FALSE)))*EXP(-(LN(2)/$D$65+0.1)*(VLOOKUP(($F$16-$F$15)-1,AC$100:AG236,5,FALSE)))*EXP(-(LN(2)/$D$65+0.04)*(VLOOKUP(($F$16-$F$15)*2-1,AC$100:AG236,4,FALSE)))*EXP(-(LN(2)/$D$65+0.1)*(VLOOKUP(($F$16-$F$15)*2-1,AC$100:AG236,5,FALSE)))*EXP(-(LN(2)/$D$65+0.04)*AF236)*EXP(-(LN(2)/$D$65+0.1)*AG236),"-"))),"-")</f>
        <v>-</v>
      </c>
      <c r="AK236" s="227">
        <f t="shared" si="217"/>
        <v>136</v>
      </c>
      <c r="AL236" s="226" t="str">
        <f t="shared" si="191"/>
        <v>-</v>
      </c>
      <c r="AM236" s="227" t="str">
        <f t="shared" si="218"/>
        <v>-</v>
      </c>
      <c r="AN236" s="227" t="str">
        <f t="shared" si="219"/>
        <v>-</v>
      </c>
      <c r="AO236" s="227" t="str">
        <f t="shared" si="192"/>
        <v>-</v>
      </c>
      <c r="AP236" s="273">
        <f t="shared" si="220"/>
        <v>0.1</v>
      </c>
      <c r="AQ236" s="271" t="str">
        <f>IFERROR(IF(AL235=1,AQ$100*EXP(-(LN(2)/$D$65+0.04)*AN235)*EXP(-(LN(2)/$D$65+0.1)*AO235),IF(AL235=2,AQ$100*EXP(-(LN(2)/$D$65+0.04)*(VLOOKUP(($F$16-$F$15)-1,AK$99:AO235,4,FALSE)))*EXP(-(LN(2)/$D$65+0.1)*(VLOOKUP(($F$16-$F$15)-1,AK$99:AO235,5,FALSE)))*EXP(-(LN(2)/$D$65+0.04)*AN235)*EXP(-(LN(2)/$D$65+0.1)*AO235),IF(AL235=3,AQ$100*EXP(-(LN(2)/$D$65+0.04)*(VLOOKUP(($F$16-$F$15)-1,AK$99:AO235,4,FALSE)))*EXP(-(LN(2)/$D$65+0.1)*(VLOOKUP(($F$16-$F$15)-1,AK$99:AO235,5,FALSE)))*EXP(-(LN(2)/$D$65+0.04)*(VLOOKUP(($F$16-$F$15)*2-1,AK$99:AO235,4,FALSE)))*EXP(-(LN(2)/$D$65+0.1)*(VLOOKUP(($F$16-$F$15)*2-1,AK$99:AO235,5,FALSE)))*EXP(-(LN(2)/$D$65+0.04)*AN235)*EXP(-(LN(2)/$D$65+0.1)*AO235),"-"))),"-")</f>
        <v>-</v>
      </c>
      <c r="AR236" s="271" t="str">
        <f>IFERROR(IF(AL236=1,AR$100*EXP(-(LN(2)/$D$65+0.04)*AN236)*EXP(-(LN(2)/$D$65+0.1)*AO236),IF(AL236=2,AR$100*EXP(-(LN(2)/$D$65+0.04)*(VLOOKUP(($F$16-$F$15)-1,AK$100:AO236,4,FALSE)))*EXP(-(LN(2)/$D$65+0.1)*(VLOOKUP(($F$16-$F$15)-1,AK$100:AO236,5,FALSE)))*EXP(-(LN(2)/$D$65+0.04)*AN236)*EXP(-(LN(2)/$D$65+0.1)*AO236),IF(AL236=3,AR$100*EXP(-(LN(2)/$D$65+0.04)*(VLOOKUP(($F$16-$F$15)-1,AK$100:AO236,4,FALSE)))*EXP(-(LN(2)/$D$65+0.1)*(VLOOKUP(($F$16-$F$15)-1,AK$100:AO236,5,FALSE)))*EXP(-(LN(2)/$D$65+0.04)*(VLOOKUP(($F$16-$F$15)*2-1,AK$100:AO236,4,FALSE)))*EXP(-(LN(2)/$D$65+0.1)*(VLOOKUP(($F$16-$F$15)*2-1,AK$100:AO236,5,FALSE)))*EXP(-(LN(2)/$D$65+0.04)*AN236)*EXP(-(LN(2)/$D$65+0.1)*AO236),"-"))),"-")</f>
        <v>-</v>
      </c>
      <c r="AS236" s="274">
        <f t="shared" si="193"/>
        <v>0</v>
      </c>
      <c r="AT236" s="274">
        <f t="shared" si="194"/>
        <v>0</v>
      </c>
      <c r="AU236" s="274">
        <f t="shared" si="195"/>
        <v>0</v>
      </c>
      <c r="AV236" s="190">
        <f>IF($B236&lt;$F$22,SUM($T$100:$T236),"")</f>
        <v>0</v>
      </c>
      <c r="AW236" s="190" t="str">
        <f t="shared" si="196"/>
        <v>-</v>
      </c>
      <c r="AX236" s="190" t="str">
        <f t="shared" si="221"/>
        <v/>
      </c>
      <c r="AY236"/>
      <c r="AZ236" s="190" t="str">
        <f ca="1">IF(ISNUMBER(OFFSET(AV236,-$F$21,0)),SUM(OFFSET($T$100,$F$21,0):$T236),"")</f>
        <v/>
      </c>
      <c r="BA236" s="190" t="str">
        <f t="shared" ca="1" si="197"/>
        <v/>
      </c>
      <c r="BB236" s="190" t="str">
        <f t="shared" ca="1" si="149"/>
        <v/>
      </c>
      <c r="BC236" s="190"/>
      <c r="BD236" s="190" t="str">
        <f ca="1">IFERROR(IF(AND($B236&gt;=($F$16-$F$15),$B236&lt;$F$22+($F$16-$F$15)),SUM(OFFSET($T$100,($F$16-$F$15),0):$T236),""),"")</f>
        <v/>
      </c>
      <c r="BE236" s="190" t="str">
        <f t="shared" ca="1" si="222"/>
        <v/>
      </c>
      <c r="BF236" s="190" t="str">
        <f t="shared" ca="1" si="223"/>
        <v/>
      </c>
      <c r="BG236"/>
      <c r="BH236" s="190" t="str">
        <f ca="1">IF(ISNUMBER(OFFSET(BD236,-$F$21,0)),SUM(OFFSET($T$100,($F$16-$F$15+$F$21),0):$T236),"")</f>
        <v/>
      </c>
      <c r="BI236" s="190" t="str">
        <f t="shared" ca="1" si="198"/>
        <v/>
      </c>
      <c r="BJ236" s="190" t="str">
        <f t="shared" ca="1" si="224"/>
        <v/>
      </c>
      <c r="BK236" s="190"/>
      <c r="BL236" s="190" t="str">
        <f ca="1">IFERROR(IF(AND($B236&gt;=($F$17-$F$15),$B236&lt;$F$22+($F$17-$F$15)),SUM(OFFSET($T$100,($F$17-$F$15),0):$T236),""),"")</f>
        <v/>
      </c>
      <c r="BM236" s="190" t="str">
        <f t="shared" ca="1" si="199"/>
        <v/>
      </c>
      <c r="BN236" s="190" t="str">
        <f t="shared" ca="1" si="225"/>
        <v/>
      </c>
      <c r="BO236"/>
      <c r="BP236" s="190" t="str">
        <f ca="1">IF(ISNUMBER(OFFSET(BL236,-$F$21,0)),SUM(OFFSET($T$100,($F$17-$F$15+$F$21),0):$T236),"")</f>
        <v/>
      </c>
      <c r="BQ236" s="190" t="str">
        <f t="shared" ca="1" si="200"/>
        <v/>
      </c>
      <c r="BR236" s="190" t="str">
        <f t="shared" ca="1" si="226"/>
        <v/>
      </c>
      <c r="BS236" s="190"/>
      <c r="BT236"/>
      <c r="BU236"/>
      <c r="BV236"/>
      <c r="BY236" s="99"/>
      <c r="BZ236" s="99"/>
      <c r="CA236" s="280" t="str">
        <f t="shared" si="201"/>
        <v/>
      </c>
      <c r="CB236" s="71" t="str">
        <f t="shared" si="202"/>
        <v>-</v>
      </c>
      <c r="CC236" s="33"/>
      <c r="CD236" s="261" t="str">
        <f t="shared" si="203"/>
        <v/>
      </c>
      <c r="CE236" s="280" t="str">
        <f t="shared" si="204"/>
        <v>-</v>
      </c>
      <c r="CF236" s="71" t="str">
        <f t="shared" ca="1" si="205"/>
        <v>-</v>
      </c>
      <c r="CG236" s="33" t="str">
        <f t="shared" si="206"/>
        <v>136-137</v>
      </c>
      <c r="CH236" s="261" t="str">
        <f t="shared" ca="1" si="207"/>
        <v/>
      </c>
    </row>
    <row r="237" spans="2:86" ht="13.5" customHeight="1" x14ac:dyDescent="0.2">
      <c r="B237" s="262">
        <v>137</v>
      </c>
      <c r="C237" s="237" t="str">
        <f t="shared" si="171"/>
        <v/>
      </c>
      <c r="D237" s="237" t="str">
        <f t="shared" si="227"/>
        <v>-</v>
      </c>
      <c r="E237" s="263" t="str">
        <f t="shared" si="208"/>
        <v/>
      </c>
      <c r="F237" s="264" t="str">
        <f t="shared" si="209"/>
        <v/>
      </c>
      <c r="G237" s="264" t="str">
        <f t="shared" si="210"/>
        <v/>
      </c>
      <c r="H237" s="240" t="str">
        <f t="shared" si="172"/>
        <v/>
      </c>
      <c r="I237" s="265" t="str">
        <f t="shared" si="173"/>
        <v/>
      </c>
      <c r="J237" s="265" t="str">
        <f t="shared" si="174"/>
        <v/>
      </c>
      <c r="K237" s="240" t="str">
        <f t="shared" si="175"/>
        <v/>
      </c>
      <c r="L237" s="265" t="str">
        <f t="shared" si="176"/>
        <v/>
      </c>
      <c r="M237" s="265" t="str">
        <f t="shared" si="177"/>
        <v/>
      </c>
      <c r="N237" s="240" t="str">
        <f t="shared" si="178"/>
        <v>-</v>
      </c>
      <c r="O237" s="265" t="str">
        <f t="shared" si="179"/>
        <v>-</v>
      </c>
      <c r="P237" s="265" t="str">
        <f t="shared" si="180"/>
        <v>-</v>
      </c>
      <c r="Q237" s="266" t="str">
        <f t="shared" si="181"/>
        <v>-</v>
      </c>
      <c r="R237" s="267" t="str">
        <f t="shared" si="182"/>
        <v>-</v>
      </c>
      <c r="S237" s="268" t="str">
        <f t="shared" si="183"/>
        <v>-</v>
      </c>
      <c r="T237" s="269" t="str">
        <f t="shared" si="184"/>
        <v/>
      </c>
      <c r="U237" s="221">
        <f t="shared" si="185"/>
        <v>137</v>
      </c>
      <c r="V237" s="220" t="str">
        <f t="shared" si="211"/>
        <v>-</v>
      </c>
      <c r="W237" s="221" t="str">
        <f t="shared" si="212"/>
        <v>-</v>
      </c>
      <c r="X237" s="221" t="str">
        <f t="shared" si="186"/>
        <v>-</v>
      </c>
      <c r="Y237" s="221" t="str">
        <f t="shared" si="187"/>
        <v>-</v>
      </c>
      <c r="Z237" s="270">
        <f t="shared" si="213"/>
        <v>0.1</v>
      </c>
      <c r="AA237" s="271" t="str">
        <f>IFERROR(IF(V236=1,AA$100*EXP(-(LN(2)/$D$65+0.04)*X236)*EXP(-(LN(2)/$D$65+0.1)*Y236),IF(V236=2,AA$100*EXP(-(LN(2)/$D$65+0.04)*(VLOOKUP(($F$16-$F$15)-1,U$99:Y236,4,FALSE)))*EXP(-(LN(2)/$D$65+0.1)*(VLOOKUP(($F$16-$F$15)-1,U$99:Y236,5,FALSE)))*EXP(-(LN(2)/$D$65+0.04)*X236)*EXP(-(LN(2)/$D$65+0.1)*Y236),IF(V236=3,AA$100*EXP(-(LN(2)/$D$65+0.04)*(VLOOKUP(($F$16-$F$15)-1,U$99:Y236,4,FALSE)))*EXP(-(LN(2)/$D$65+0.1)*(VLOOKUP(($F$16-$F$15)-1,U$99:Y236,5,FALSE)))*EXP(-(LN(2)/$D$65+0.04)*(VLOOKUP(($F$16-$F$15)*2-1,U$99:Y236,4,FALSE)))*EXP(-(LN(2)/$D$65+0.1)*(VLOOKUP(($F$16-$F$15)*2-1,U$99:Y236,5,FALSE)))*EXP(-(LN(2)/$D$65+0.04)*X236)*EXP(-(LN(2)/$D$65+0.1)*Y236),"-"))),"-")</f>
        <v>-</v>
      </c>
      <c r="AB237" s="271" t="str">
        <f>IFERROR(IF(V237=1,AB$100*EXP(-(LN(2)/$D$65+0.04)*X237)*EXP(-(LN(2)/$D$65+0.1)*Y237),IF(V237=2,AB$100*EXP(-(LN(2)/$D$65+0.04)*(VLOOKUP(($F$16-$F$15)-1,U$100:Y237,4,FALSE)))*EXP(-(LN(2)/$D$65+0.1)*(VLOOKUP(($F$16-$F$15)-1,U$100:Y237,5,FALSE)))*EXP(-(LN(2)/$D$65+0.04)*X237)*EXP(-(LN(2)/$D$65+0.1)*Y237),IF(V237=3,AB$100*EXP(-(LN(2)/$D$65+0.04)*(VLOOKUP(($F$16-$F$15)-1,U$100:Y237,4,FALSE)))*EXP(-(LN(2)/$D$65+0.1)*(VLOOKUP(($F$16-$F$15)-1,U$100:Y237,5,FALSE)))*EXP(-(LN(2)/$D$65+0.04)*(VLOOKUP(($F$16-$F$15)*2-1,U$100:Y237,4,FALSE)))*EXP(-(LN(2)/$D$65+0.1)*(VLOOKUP(($F$16-$F$15)*2-1,U$100:Y237,5,FALSE)))*EXP(-(LN(2)/$D$65+0.04)*X237)*EXP(-(LN(2)/$D$65+0.1)*Y237),"-"))),"-")</f>
        <v>-</v>
      </c>
      <c r="AC237" s="224">
        <f t="shared" si="214"/>
        <v>137</v>
      </c>
      <c r="AD237" s="223" t="str">
        <f t="shared" si="188"/>
        <v>-</v>
      </c>
      <c r="AE237" s="224" t="str">
        <f t="shared" si="215"/>
        <v>-</v>
      </c>
      <c r="AF237" s="224" t="str">
        <f t="shared" si="189"/>
        <v>-</v>
      </c>
      <c r="AG237" s="224" t="str">
        <f t="shared" si="190"/>
        <v>-</v>
      </c>
      <c r="AH237" s="272">
        <f t="shared" si="216"/>
        <v>0.1</v>
      </c>
      <c r="AI237" s="271" t="str">
        <f>IFERROR(IF(AD236=1,AI$100*EXP(-(LN(2)/$D$65+0.04)*AF236)*EXP(-(LN(2)/$D$65+0.1)*AG236),IF(AD236=2,AI$100*EXP(-(LN(2)/$D$65+0.04)*(VLOOKUP(($F$16-$F$15)-1,AC$99:AG236,4,FALSE)))*EXP(-(LN(2)/$D$65+0.1)*(VLOOKUP(($F$16-$F$15)-1,AC$99:AG236,5,FALSE)))*EXP(-(LN(2)/$D$65+0.04)*AF236)*EXP(-(LN(2)/$D$65+0.1)*AG236),IF(AD236=3,AI$100*EXP(-(LN(2)/$D$65+0.04)*(VLOOKUP(($F$16-$F$15)-1,AC$99:AG236,4,FALSE)))*EXP(-(LN(2)/$D$65+0.1)*(VLOOKUP(($F$16-$F$15)-1,AC$99:AG236,5,FALSE)))*EXP(-(LN(2)/$D$65+0.04)*(VLOOKUP(($F$16-$F$15)*2-1,AC$99:AG236,4,FALSE)))*EXP(-(LN(2)/$D$65+0.1)*(VLOOKUP(($F$16-$F$15)*2-1,AC$99:AG236,5,FALSE)))*EXP(-(LN(2)/$D$65+0.04)*AF236)*EXP(-(LN(2)/$D$65+0.1)*AG236),"-"))),"-")</f>
        <v>-</v>
      </c>
      <c r="AJ237" s="271" t="str">
        <f>IFERROR(IF(AD237=1,AJ$100*EXP(-(LN(2)/$D$65+0.04)*AF237)*EXP(-(LN(2)/$D$65+0.1)*AG237),IF(AD237=2,AJ$100*EXP(-(LN(2)/$D$65+0.04)*(VLOOKUP(($F$16-$F$15)-1,AC$100:AG237,4,FALSE)))*EXP(-(LN(2)/$D$65+0.1)*(VLOOKUP(($F$16-$F$15)-1,AC$100:AG237,5,FALSE)))*EXP(-(LN(2)/$D$65+0.04)*AF237)*EXP(-(LN(2)/$D$65+0.1)*AG237),IF(AD237=3,AJ$100*EXP(-(LN(2)/$D$65+0.04)*(VLOOKUP(($F$16-$F$15)-1,AC$100:AG237,4,FALSE)))*EXP(-(LN(2)/$D$65+0.1)*(VLOOKUP(($F$16-$F$15)-1,AC$100:AG237,5,FALSE)))*EXP(-(LN(2)/$D$65+0.04)*(VLOOKUP(($F$16-$F$15)*2-1,AC$100:AG237,4,FALSE)))*EXP(-(LN(2)/$D$65+0.1)*(VLOOKUP(($F$16-$F$15)*2-1,AC$100:AG237,5,FALSE)))*EXP(-(LN(2)/$D$65+0.04)*AF237)*EXP(-(LN(2)/$D$65+0.1)*AG237),"-"))),"-")</f>
        <v>-</v>
      </c>
      <c r="AK237" s="227">
        <f t="shared" si="217"/>
        <v>137</v>
      </c>
      <c r="AL237" s="226" t="str">
        <f t="shared" si="191"/>
        <v>-</v>
      </c>
      <c r="AM237" s="227" t="str">
        <f t="shared" si="218"/>
        <v>-</v>
      </c>
      <c r="AN237" s="227" t="str">
        <f t="shared" si="219"/>
        <v>-</v>
      </c>
      <c r="AO237" s="227" t="str">
        <f t="shared" si="192"/>
        <v>-</v>
      </c>
      <c r="AP237" s="273">
        <f t="shared" si="220"/>
        <v>0.1</v>
      </c>
      <c r="AQ237" s="271" t="str">
        <f>IFERROR(IF(AL236=1,AQ$100*EXP(-(LN(2)/$D$65+0.04)*AN236)*EXP(-(LN(2)/$D$65+0.1)*AO236),IF(AL236=2,AQ$100*EXP(-(LN(2)/$D$65+0.04)*(VLOOKUP(($F$16-$F$15)-1,AK$99:AO236,4,FALSE)))*EXP(-(LN(2)/$D$65+0.1)*(VLOOKUP(($F$16-$F$15)-1,AK$99:AO236,5,FALSE)))*EXP(-(LN(2)/$D$65+0.04)*AN236)*EXP(-(LN(2)/$D$65+0.1)*AO236),IF(AL236=3,AQ$100*EXP(-(LN(2)/$D$65+0.04)*(VLOOKUP(($F$16-$F$15)-1,AK$99:AO236,4,FALSE)))*EXP(-(LN(2)/$D$65+0.1)*(VLOOKUP(($F$16-$F$15)-1,AK$99:AO236,5,FALSE)))*EXP(-(LN(2)/$D$65+0.04)*(VLOOKUP(($F$16-$F$15)*2-1,AK$99:AO236,4,FALSE)))*EXP(-(LN(2)/$D$65+0.1)*(VLOOKUP(($F$16-$F$15)*2-1,AK$99:AO236,5,FALSE)))*EXP(-(LN(2)/$D$65+0.04)*AN236)*EXP(-(LN(2)/$D$65+0.1)*AO236),"-"))),"-")</f>
        <v>-</v>
      </c>
      <c r="AR237" s="271" t="str">
        <f>IFERROR(IF(AL237=1,AR$100*EXP(-(LN(2)/$D$65+0.04)*AN237)*EXP(-(LN(2)/$D$65+0.1)*AO237),IF(AL237=2,AR$100*EXP(-(LN(2)/$D$65+0.04)*(VLOOKUP(($F$16-$F$15)-1,AK$100:AO237,4,FALSE)))*EXP(-(LN(2)/$D$65+0.1)*(VLOOKUP(($F$16-$F$15)-1,AK$100:AO237,5,FALSE)))*EXP(-(LN(2)/$D$65+0.04)*AN237)*EXP(-(LN(2)/$D$65+0.1)*AO237),IF(AL237=3,AR$100*EXP(-(LN(2)/$D$65+0.04)*(VLOOKUP(($F$16-$F$15)-1,AK$100:AO237,4,FALSE)))*EXP(-(LN(2)/$D$65+0.1)*(VLOOKUP(($F$16-$F$15)-1,AK$100:AO237,5,FALSE)))*EXP(-(LN(2)/$D$65+0.04)*(VLOOKUP(($F$16-$F$15)*2-1,AK$100:AO237,4,FALSE)))*EXP(-(LN(2)/$D$65+0.1)*(VLOOKUP(($F$16-$F$15)*2-1,AK$100:AO237,5,FALSE)))*EXP(-(LN(2)/$D$65+0.04)*AN237)*EXP(-(LN(2)/$D$65+0.1)*AO237),"-"))),"-")</f>
        <v>-</v>
      </c>
      <c r="AS237" s="274">
        <f t="shared" si="193"/>
        <v>0</v>
      </c>
      <c r="AT237" s="274">
        <f t="shared" si="194"/>
        <v>0</v>
      </c>
      <c r="AU237" s="274">
        <f t="shared" si="195"/>
        <v>0</v>
      </c>
      <c r="AV237" s="190">
        <f>IF($B237&lt;$F$22,SUM($T$100:$T237),"")</f>
        <v>0</v>
      </c>
      <c r="AW237" s="190" t="str">
        <f t="shared" si="196"/>
        <v>-</v>
      </c>
      <c r="AX237" s="190" t="str">
        <f t="shared" si="221"/>
        <v/>
      </c>
      <c r="AY237"/>
      <c r="AZ237" s="190" t="str">
        <f ca="1">IF(ISNUMBER(OFFSET(AV237,-$F$21,0)),SUM(OFFSET($T$100,$F$21,0):$T237),"")</f>
        <v/>
      </c>
      <c r="BA237" s="190" t="str">
        <f t="shared" ca="1" si="197"/>
        <v/>
      </c>
      <c r="BB237" s="190" t="str">
        <f t="shared" ca="1" si="149"/>
        <v/>
      </c>
      <c r="BC237" s="190"/>
      <c r="BD237" s="190" t="str">
        <f ca="1">IFERROR(IF(AND($B237&gt;=($F$16-$F$15),$B237&lt;$F$22+($F$16-$F$15)),SUM(OFFSET($T$100,($F$16-$F$15),0):$T237),""),"")</f>
        <v/>
      </c>
      <c r="BE237" s="190" t="str">
        <f t="shared" ca="1" si="222"/>
        <v/>
      </c>
      <c r="BF237" s="190" t="str">
        <f t="shared" ca="1" si="223"/>
        <v/>
      </c>
      <c r="BG237"/>
      <c r="BH237" s="190" t="str">
        <f ca="1">IF(ISNUMBER(OFFSET(BD237,-$F$21,0)),SUM(OFFSET($T$100,($F$16-$F$15+$F$21),0):$T237),"")</f>
        <v/>
      </c>
      <c r="BI237" s="190" t="str">
        <f t="shared" ca="1" si="198"/>
        <v/>
      </c>
      <c r="BJ237" s="190" t="str">
        <f t="shared" ca="1" si="224"/>
        <v/>
      </c>
      <c r="BK237" s="190"/>
      <c r="BL237" s="190" t="str">
        <f ca="1">IFERROR(IF(AND($B237&gt;=($F$17-$F$15),$B237&lt;$F$22+($F$17-$F$15)),SUM(OFFSET($T$100,($F$17-$F$15),0):$T237),""),"")</f>
        <v/>
      </c>
      <c r="BM237" s="190" t="str">
        <f t="shared" ca="1" si="199"/>
        <v/>
      </c>
      <c r="BN237" s="190" t="str">
        <f t="shared" ca="1" si="225"/>
        <v/>
      </c>
      <c r="BO237"/>
      <c r="BP237" s="190" t="str">
        <f ca="1">IF(ISNUMBER(OFFSET(BL237,-$F$21,0)),SUM(OFFSET($T$100,($F$17-$F$15+$F$21),0):$T237),"")</f>
        <v/>
      </c>
      <c r="BQ237" s="190" t="str">
        <f t="shared" ca="1" si="200"/>
        <v/>
      </c>
      <c r="BR237" s="190" t="str">
        <f t="shared" ca="1" si="226"/>
        <v/>
      </c>
      <c r="BS237" s="190"/>
      <c r="BT237"/>
      <c r="BU237"/>
      <c r="BV237"/>
      <c r="BY237" s="99"/>
      <c r="BZ237" s="99"/>
      <c r="CA237" s="280" t="str">
        <f t="shared" si="201"/>
        <v/>
      </c>
      <c r="CB237" s="71" t="str">
        <f t="shared" si="202"/>
        <v>-</v>
      </c>
      <c r="CC237" s="33"/>
      <c r="CD237" s="261" t="str">
        <f t="shared" si="203"/>
        <v/>
      </c>
      <c r="CE237" s="280" t="str">
        <f t="shared" si="204"/>
        <v>-</v>
      </c>
      <c r="CF237" s="71" t="str">
        <f t="shared" ca="1" si="205"/>
        <v>-</v>
      </c>
      <c r="CG237" s="33" t="str">
        <f t="shared" si="206"/>
        <v>137-138</v>
      </c>
      <c r="CH237" s="261" t="str">
        <f t="shared" ca="1" si="207"/>
        <v/>
      </c>
    </row>
    <row r="238" spans="2:86" ht="13.5" customHeight="1" x14ac:dyDescent="0.2">
      <c r="B238" s="262">
        <v>138</v>
      </c>
      <c r="C238" s="237" t="str">
        <f t="shared" si="171"/>
        <v/>
      </c>
      <c r="D238" s="237" t="str">
        <f t="shared" si="227"/>
        <v>-</v>
      </c>
      <c r="E238" s="263" t="str">
        <f t="shared" si="208"/>
        <v/>
      </c>
      <c r="F238" s="264" t="str">
        <f t="shared" si="209"/>
        <v/>
      </c>
      <c r="G238" s="264" t="str">
        <f t="shared" si="210"/>
        <v/>
      </c>
      <c r="H238" s="240" t="str">
        <f t="shared" si="172"/>
        <v/>
      </c>
      <c r="I238" s="265" t="str">
        <f t="shared" si="173"/>
        <v/>
      </c>
      <c r="J238" s="265" t="str">
        <f t="shared" si="174"/>
        <v/>
      </c>
      <c r="K238" s="240" t="str">
        <f t="shared" si="175"/>
        <v/>
      </c>
      <c r="L238" s="265" t="str">
        <f t="shared" si="176"/>
        <v/>
      </c>
      <c r="M238" s="265" t="str">
        <f t="shared" si="177"/>
        <v/>
      </c>
      <c r="N238" s="240" t="str">
        <f t="shared" si="178"/>
        <v>-</v>
      </c>
      <c r="O238" s="265" t="str">
        <f t="shared" si="179"/>
        <v>-</v>
      </c>
      <c r="P238" s="265" t="str">
        <f t="shared" si="180"/>
        <v>-</v>
      </c>
      <c r="Q238" s="266" t="str">
        <f t="shared" si="181"/>
        <v>-</v>
      </c>
      <c r="R238" s="267" t="str">
        <f t="shared" si="182"/>
        <v>-</v>
      </c>
      <c r="S238" s="268" t="str">
        <f t="shared" si="183"/>
        <v>-</v>
      </c>
      <c r="T238" s="269" t="str">
        <f t="shared" si="184"/>
        <v/>
      </c>
      <c r="U238" s="221">
        <f t="shared" si="185"/>
        <v>138</v>
      </c>
      <c r="V238" s="220" t="str">
        <f t="shared" si="211"/>
        <v>-</v>
      </c>
      <c r="W238" s="221" t="str">
        <f t="shared" si="212"/>
        <v>-</v>
      </c>
      <c r="X238" s="221" t="str">
        <f t="shared" si="186"/>
        <v>-</v>
      </c>
      <c r="Y238" s="221" t="str">
        <f t="shared" si="187"/>
        <v>-</v>
      </c>
      <c r="Z238" s="270">
        <f t="shared" si="213"/>
        <v>0.1</v>
      </c>
      <c r="AA238" s="271" t="str">
        <f>IFERROR(IF(V237=1,AA$100*EXP(-(LN(2)/$D$65+0.04)*X237)*EXP(-(LN(2)/$D$65+0.1)*Y237),IF(V237=2,AA$100*EXP(-(LN(2)/$D$65+0.04)*(VLOOKUP(($F$16-$F$15)-1,U$99:Y237,4,FALSE)))*EXP(-(LN(2)/$D$65+0.1)*(VLOOKUP(($F$16-$F$15)-1,U$99:Y237,5,FALSE)))*EXP(-(LN(2)/$D$65+0.04)*X237)*EXP(-(LN(2)/$D$65+0.1)*Y237),IF(V237=3,AA$100*EXP(-(LN(2)/$D$65+0.04)*(VLOOKUP(($F$16-$F$15)-1,U$99:Y237,4,FALSE)))*EXP(-(LN(2)/$D$65+0.1)*(VLOOKUP(($F$16-$F$15)-1,U$99:Y237,5,FALSE)))*EXP(-(LN(2)/$D$65+0.04)*(VLOOKUP(($F$16-$F$15)*2-1,U$99:Y237,4,FALSE)))*EXP(-(LN(2)/$D$65+0.1)*(VLOOKUP(($F$16-$F$15)*2-1,U$99:Y237,5,FALSE)))*EXP(-(LN(2)/$D$65+0.04)*X237)*EXP(-(LN(2)/$D$65+0.1)*Y237),"-"))),"-")</f>
        <v>-</v>
      </c>
      <c r="AB238" s="271" t="str">
        <f>IFERROR(IF(V238=1,AB$100*EXP(-(LN(2)/$D$65+0.04)*X238)*EXP(-(LN(2)/$D$65+0.1)*Y238),IF(V238=2,AB$100*EXP(-(LN(2)/$D$65+0.04)*(VLOOKUP(($F$16-$F$15)-1,U$100:Y238,4,FALSE)))*EXP(-(LN(2)/$D$65+0.1)*(VLOOKUP(($F$16-$F$15)-1,U$100:Y238,5,FALSE)))*EXP(-(LN(2)/$D$65+0.04)*X238)*EXP(-(LN(2)/$D$65+0.1)*Y238),IF(V238=3,AB$100*EXP(-(LN(2)/$D$65+0.04)*(VLOOKUP(($F$16-$F$15)-1,U$100:Y238,4,FALSE)))*EXP(-(LN(2)/$D$65+0.1)*(VLOOKUP(($F$16-$F$15)-1,U$100:Y238,5,FALSE)))*EXP(-(LN(2)/$D$65+0.04)*(VLOOKUP(($F$16-$F$15)*2-1,U$100:Y238,4,FALSE)))*EXP(-(LN(2)/$D$65+0.1)*(VLOOKUP(($F$16-$F$15)*2-1,U$100:Y238,5,FALSE)))*EXP(-(LN(2)/$D$65+0.04)*X238)*EXP(-(LN(2)/$D$65+0.1)*Y238),"-"))),"-")</f>
        <v>-</v>
      </c>
      <c r="AC238" s="224">
        <f t="shared" si="214"/>
        <v>138</v>
      </c>
      <c r="AD238" s="223" t="str">
        <f t="shared" si="188"/>
        <v>-</v>
      </c>
      <c r="AE238" s="224" t="str">
        <f t="shared" si="215"/>
        <v>-</v>
      </c>
      <c r="AF238" s="224" t="str">
        <f t="shared" si="189"/>
        <v>-</v>
      </c>
      <c r="AG238" s="224" t="str">
        <f t="shared" si="190"/>
        <v>-</v>
      </c>
      <c r="AH238" s="272">
        <f t="shared" si="216"/>
        <v>0.1</v>
      </c>
      <c r="AI238" s="271" t="str">
        <f>IFERROR(IF(AD237=1,AI$100*EXP(-(LN(2)/$D$65+0.04)*AF237)*EXP(-(LN(2)/$D$65+0.1)*AG237),IF(AD237=2,AI$100*EXP(-(LN(2)/$D$65+0.04)*(VLOOKUP(($F$16-$F$15)-1,AC$99:AG237,4,FALSE)))*EXP(-(LN(2)/$D$65+0.1)*(VLOOKUP(($F$16-$F$15)-1,AC$99:AG237,5,FALSE)))*EXP(-(LN(2)/$D$65+0.04)*AF237)*EXP(-(LN(2)/$D$65+0.1)*AG237),IF(AD237=3,AI$100*EXP(-(LN(2)/$D$65+0.04)*(VLOOKUP(($F$16-$F$15)-1,AC$99:AG237,4,FALSE)))*EXP(-(LN(2)/$D$65+0.1)*(VLOOKUP(($F$16-$F$15)-1,AC$99:AG237,5,FALSE)))*EXP(-(LN(2)/$D$65+0.04)*(VLOOKUP(($F$16-$F$15)*2-1,AC$99:AG237,4,FALSE)))*EXP(-(LN(2)/$D$65+0.1)*(VLOOKUP(($F$16-$F$15)*2-1,AC$99:AG237,5,FALSE)))*EXP(-(LN(2)/$D$65+0.04)*AF237)*EXP(-(LN(2)/$D$65+0.1)*AG237),"-"))),"-")</f>
        <v>-</v>
      </c>
      <c r="AJ238" s="271" t="str">
        <f>IFERROR(IF(AD238=1,AJ$100*EXP(-(LN(2)/$D$65+0.04)*AF238)*EXP(-(LN(2)/$D$65+0.1)*AG238),IF(AD238=2,AJ$100*EXP(-(LN(2)/$D$65+0.04)*(VLOOKUP(($F$16-$F$15)-1,AC$100:AG238,4,FALSE)))*EXP(-(LN(2)/$D$65+0.1)*(VLOOKUP(($F$16-$F$15)-1,AC$100:AG238,5,FALSE)))*EXP(-(LN(2)/$D$65+0.04)*AF238)*EXP(-(LN(2)/$D$65+0.1)*AG238),IF(AD238=3,AJ$100*EXP(-(LN(2)/$D$65+0.04)*(VLOOKUP(($F$16-$F$15)-1,AC$100:AG238,4,FALSE)))*EXP(-(LN(2)/$D$65+0.1)*(VLOOKUP(($F$16-$F$15)-1,AC$100:AG238,5,FALSE)))*EXP(-(LN(2)/$D$65+0.04)*(VLOOKUP(($F$16-$F$15)*2-1,AC$100:AG238,4,FALSE)))*EXP(-(LN(2)/$D$65+0.1)*(VLOOKUP(($F$16-$F$15)*2-1,AC$100:AG238,5,FALSE)))*EXP(-(LN(2)/$D$65+0.04)*AF238)*EXP(-(LN(2)/$D$65+0.1)*AG238),"-"))),"-")</f>
        <v>-</v>
      </c>
      <c r="AK238" s="227">
        <f t="shared" si="217"/>
        <v>138</v>
      </c>
      <c r="AL238" s="226" t="str">
        <f t="shared" si="191"/>
        <v>-</v>
      </c>
      <c r="AM238" s="227" t="str">
        <f t="shared" si="218"/>
        <v>-</v>
      </c>
      <c r="AN238" s="227" t="str">
        <f t="shared" si="219"/>
        <v>-</v>
      </c>
      <c r="AO238" s="227" t="str">
        <f t="shared" si="192"/>
        <v>-</v>
      </c>
      <c r="AP238" s="273">
        <f t="shared" si="220"/>
        <v>0.1</v>
      </c>
      <c r="AQ238" s="271" t="str">
        <f>IFERROR(IF(AL237=1,AQ$100*EXP(-(LN(2)/$D$65+0.04)*AN237)*EXP(-(LN(2)/$D$65+0.1)*AO237),IF(AL237=2,AQ$100*EXP(-(LN(2)/$D$65+0.04)*(VLOOKUP(($F$16-$F$15)-1,AK$99:AO237,4,FALSE)))*EXP(-(LN(2)/$D$65+0.1)*(VLOOKUP(($F$16-$F$15)-1,AK$99:AO237,5,FALSE)))*EXP(-(LN(2)/$D$65+0.04)*AN237)*EXP(-(LN(2)/$D$65+0.1)*AO237),IF(AL237=3,AQ$100*EXP(-(LN(2)/$D$65+0.04)*(VLOOKUP(($F$16-$F$15)-1,AK$99:AO237,4,FALSE)))*EXP(-(LN(2)/$D$65+0.1)*(VLOOKUP(($F$16-$F$15)-1,AK$99:AO237,5,FALSE)))*EXP(-(LN(2)/$D$65+0.04)*(VLOOKUP(($F$16-$F$15)*2-1,AK$99:AO237,4,FALSE)))*EXP(-(LN(2)/$D$65+0.1)*(VLOOKUP(($F$16-$F$15)*2-1,AK$99:AO237,5,FALSE)))*EXP(-(LN(2)/$D$65+0.04)*AN237)*EXP(-(LN(2)/$D$65+0.1)*AO237),"-"))),"-")</f>
        <v>-</v>
      </c>
      <c r="AR238" s="271" t="str">
        <f>IFERROR(IF(AL238=1,AR$100*EXP(-(LN(2)/$D$65+0.04)*AN238)*EXP(-(LN(2)/$D$65+0.1)*AO238),IF(AL238=2,AR$100*EXP(-(LN(2)/$D$65+0.04)*(VLOOKUP(($F$16-$F$15)-1,AK$100:AO238,4,FALSE)))*EXP(-(LN(2)/$D$65+0.1)*(VLOOKUP(($F$16-$F$15)-1,AK$100:AO238,5,FALSE)))*EXP(-(LN(2)/$D$65+0.04)*AN238)*EXP(-(LN(2)/$D$65+0.1)*AO238),IF(AL238=3,AR$100*EXP(-(LN(2)/$D$65+0.04)*(VLOOKUP(($F$16-$F$15)-1,AK$100:AO238,4,FALSE)))*EXP(-(LN(2)/$D$65+0.1)*(VLOOKUP(($F$16-$F$15)-1,AK$100:AO238,5,FALSE)))*EXP(-(LN(2)/$D$65+0.04)*(VLOOKUP(($F$16-$F$15)*2-1,AK$100:AO238,4,FALSE)))*EXP(-(LN(2)/$D$65+0.1)*(VLOOKUP(($F$16-$F$15)*2-1,AK$100:AO238,5,FALSE)))*EXP(-(LN(2)/$D$65+0.04)*AN238)*EXP(-(LN(2)/$D$65+0.1)*AO238),"-"))),"-")</f>
        <v>-</v>
      </c>
      <c r="AS238" s="274">
        <f t="shared" si="193"/>
        <v>0</v>
      </c>
      <c r="AT238" s="274">
        <f t="shared" si="194"/>
        <v>0</v>
      </c>
      <c r="AU238" s="274">
        <f t="shared" si="195"/>
        <v>0</v>
      </c>
      <c r="AV238" s="190">
        <f>IF($B238&lt;$F$22,SUM($T$100:$T238),"")</f>
        <v>0</v>
      </c>
      <c r="AW238" s="190" t="str">
        <f t="shared" si="196"/>
        <v>-</v>
      </c>
      <c r="AX238" s="190" t="str">
        <f t="shared" si="221"/>
        <v/>
      </c>
      <c r="AY238"/>
      <c r="AZ238" s="190" t="str">
        <f ca="1">IF(ISNUMBER(OFFSET(AV238,-$F$21,0)),SUM(OFFSET($T$100,$F$21,0):$T238),"")</f>
        <v/>
      </c>
      <c r="BA238" s="190" t="str">
        <f t="shared" ca="1" si="197"/>
        <v/>
      </c>
      <c r="BB238" s="190" t="str">
        <f t="shared" ca="1" si="149"/>
        <v/>
      </c>
      <c r="BC238" s="190"/>
      <c r="BD238" s="190" t="str">
        <f ca="1">IFERROR(IF(AND($B238&gt;=($F$16-$F$15),$B238&lt;$F$22+($F$16-$F$15)),SUM(OFFSET($T$100,($F$16-$F$15),0):$T238),""),"")</f>
        <v/>
      </c>
      <c r="BE238" s="190" t="str">
        <f t="shared" ca="1" si="222"/>
        <v/>
      </c>
      <c r="BF238" s="190" t="str">
        <f t="shared" ca="1" si="223"/>
        <v/>
      </c>
      <c r="BG238"/>
      <c r="BH238" s="190" t="str">
        <f ca="1">IF(ISNUMBER(OFFSET(BD238,-$F$21,0)),SUM(OFFSET($T$100,($F$16-$F$15+$F$21),0):$T238),"")</f>
        <v/>
      </c>
      <c r="BI238" s="190" t="str">
        <f t="shared" ca="1" si="198"/>
        <v/>
      </c>
      <c r="BJ238" s="190" t="str">
        <f t="shared" ca="1" si="224"/>
        <v/>
      </c>
      <c r="BK238" s="190"/>
      <c r="BL238" s="190" t="str">
        <f ca="1">IFERROR(IF(AND($B238&gt;=($F$17-$F$15),$B238&lt;$F$22+($F$17-$F$15)),SUM(OFFSET($T$100,($F$17-$F$15),0):$T238),""),"")</f>
        <v/>
      </c>
      <c r="BM238" s="190" t="str">
        <f t="shared" ca="1" si="199"/>
        <v/>
      </c>
      <c r="BN238" s="190" t="str">
        <f t="shared" ca="1" si="225"/>
        <v/>
      </c>
      <c r="BO238"/>
      <c r="BP238" s="190" t="str">
        <f ca="1">IF(ISNUMBER(OFFSET(BL238,-$F$21,0)),SUM(OFFSET($T$100,($F$17-$F$15+$F$21),0):$T238),"")</f>
        <v/>
      </c>
      <c r="BQ238" s="190" t="str">
        <f t="shared" ca="1" si="200"/>
        <v/>
      </c>
      <c r="BR238" s="190" t="str">
        <f t="shared" ca="1" si="226"/>
        <v/>
      </c>
      <c r="BS238" s="190"/>
      <c r="BT238"/>
      <c r="BU238"/>
      <c r="BV238"/>
      <c r="BY238" s="99"/>
      <c r="BZ238" s="99"/>
      <c r="CA238" s="280" t="str">
        <f t="shared" si="201"/>
        <v/>
      </c>
      <c r="CB238" s="71" t="str">
        <f t="shared" si="202"/>
        <v>-</v>
      </c>
      <c r="CC238" s="33"/>
      <c r="CD238" s="261" t="str">
        <f t="shared" si="203"/>
        <v/>
      </c>
      <c r="CE238" s="280" t="str">
        <f t="shared" si="204"/>
        <v>-</v>
      </c>
      <c r="CF238" s="71" t="str">
        <f t="shared" ca="1" si="205"/>
        <v>-</v>
      </c>
      <c r="CG238" s="33" t="str">
        <f t="shared" si="206"/>
        <v>138-139</v>
      </c>
      <c r="CH238" s="261" t="str">
        <f t="shared" ca="1" si="207"/>
        <v/>
      </c>
    </row>
    <row r="239" spans="2:86" ht="13.5" customHeight="1" x14ac:dyDescent="0.2">
      <c r="B239" s="262">
        <v>139</v>
      </c>
      <c r="C239" s="237" t="str">
        <f t="shared" si="171"/>
        <v/>
      </c>
      <c r="D239" s="237" t="str">
        <f t="shared" si="227"/>
        <v>-</v>
      </c>
      <c r="E239" s="263" t="str">
        <f t="shared" si="208"/>
        <v/>
      </c>
      <c r="F239" s="264" t="str">
        <f t="shared" si="209"/>
        <v/>
      </c>
      <c r="G239" s="264" t="str">
        <f t="shared" si="210"/>
        <v/>
      </c>
      <c r="H239" s="240" t="str">
        <f t="shared" si="172"/>
        <v/>
      </c>
      <c r="I239" s="265" t="str">
        <f t="shared" si="173"/>
        <v/>
      </c>
      <c r="J239" s="265" t="str">
        <f t="shared" si="174"/>
        <v/>
      </c>
      <c r="K239" s="240" t="str">
        <f t="shared" si="175"/>
        <v/>
      </c>
      <c r="L239" s="265" t="str">
        <f t="shared" si="176"/>
        <v/>
      </c>
      <c r="M239" s="265" t="str">
        <f t="shared" si="177"/>
        <v/>
      </c>
      <c r="N239" s="240" t="str">
        <f t="shared" si="178"/>
        <v>-</v>
      </c>
      <c r="O239" s="265" t="str">
        <f t="shared" si="179"/>
        <v>-</v>
      </c>
      <c r="P239" s="265" t="str">
        <f t="shared" si="180"/>
        <v>-</v>
      </c>
      <c r="Q239" s="266" t="str">
        <f t="shared" si="181"/>
        <v>-</v>
      </c>
      <c r="R239" s="267" t="str">
        <f t="shared" si="182"/>
        <v>-</v>
      </c>
      <c r="S239" s="268" t="str">
        <f t="shared" si="183"/>
        <v>-</v>
      </c>
      <c r="T239" s="269" t="str">
        <f t="shared" si="184"/>
        <v/>
      </c>
      <c r="U239" s="221">
        <f t="shared" si="185"/>
        <v>139</v>
      </c>
      <c r="V239" s="220" t="str">
        <f t="shared" si="211"/>
        <v>-</v>
      </c>
      <c r="W239" s="221" t="str">
        <f t="shared" si="212"/>
        <v>-</v>
      </c>
      <c r="X239" s="221" t="str">
        <f t="shared" si="186"/>
        <v>-</v>
      </c>
      <c r="Y239" s="221" t="str">
        <f t="shared" si="187"/>
        <v>-</v>
      </c>
      <c r="Z239" s="270">
        <f t="shared" si="213"/>
        <v>0.1</v>
      </c>
      <c r="AA239" s="271" t="str">
        <f>IFERROR(IF(V238=1,AA$100*EXP(-(LN(2)/$D$65+0.04)*X238)*EXP(-(LN(2)/$D$65+0.1)*Y238),IF(V238=2,AA$100*EXP(-(LN(2)/$D$65+0.04)*(VLOOKUP(($F$16-$F$15)-1,U$99:Y238,4,FALSE)))*EXP(-(LN(2)/$D$65+0.1)*(VLOOKUP(($F$16-$F$15)-1,U$99:Y238,5,FALSE)))*EXP(-(LN(2)/$D$65+0.04)*X238)*EXP(-(LN(2)/$D$65+0.1)*Y238),IF(V238=3,AA$100*EXP(-(LN(2)/$D$65+0.04)*(VLOOKUP(($F$16-$F$15)-1,U$99:Y238,4,FALSE)))*EXP(-(LN(2)/$D$65+0.1)*(VLOOKUP(($F$16-$F$15)-1,U$99:Y238,5,FALSE)))*EXP(-(LN(2)/$D$65+0.04)*(VLOOKUP(($F$16-$F$15)*2-1,U$99:Y238,4,FALSE)))*EXP(-(LN(2)/$D$65+0.1)*(VLOOKUP(($F$16-$F$15)*2-1,U$99:Y238,5,FALSE)))*EXP(-(LN(2)/$D$65+0.04)*X238)*EXP(-(LN(2)/$D$65+0.1)*Y238),"-"))),"-")</f>
        <v>-</v>
      </c>
      <c r="AB239" s="271" t="str">
        <f>IFERROR(IF(V239=1,AB$100*EXP(-(LN(2)/$D$65+0.04)*X239)*EXP(-(LN(2)/$D$65+0.1)*Y239),IF(V239=2,AB$100*EXP(-(LN(2)/$D$65+0.04)*(VLOOKUP(($F$16-$F$15)-1,U$100:Y239,4,FALSE)))*EXP(-(LN(2)/$D$65+0.1)*(VLOOKUP(($F$16-$F$15)-1,U$100:Y239,5,FALSE)))*EXP(-(LN(2)/$D$65+0.04)*X239)*EXP(-(LN(2)/$D$65+0.1)*Y239),IF(V239=3,AB$100*EXP(-(LN(2)/$D$65+0.04)*(VLOOKUP(($F$16-$F$15)-1,U$100:Y239,4,FALSE)))*EXP(-(LN(2)/$D$65+0.1)*(VLOOKUP(($F$16-$F$15)-1,U$100:Y239,5,FALSE)))*EXP(-(LN(2)/$D$65+0.04)*(VLOOKUP(($F$16-$F$15)*2-1,U$100:Y239,4,FALSE)))*EXP(-(LN(2)/$D$65+0.1)*(VLOOKUP(($F$16-$F$15)*2-1,U$100:Y239,5,FALSE)))*EXP(-(LN(2)/$D$65+0.04)*X239)*EXP(-(LN(2)/$D$65+0.1)*Y239),"-"))),"-")</f>
        <v>-</v>
      </c>
      <c r="AC239" s="224">
        <f t="shared" si="214"/>
        <v>139</v>
      </c>
      <c r="AD239" s="223" t="str">
        <f t="shared" si="188"/>
        <v>-</v>
      </c>
      <c r="AE239" s="224" t="str">
        <f t="shared" si="215"/>
        <v>-</v>
      </c>
      <c r="AF239" s="224" t="str">
        <f t="shared" si="189"/>
        <v>-</v>
      </c>
      <c r="AG239" s="224" t="str">
        <f t="shared" si="190"/>
        <v>-</v>
      </c>
      <c r="AH239" s="272">
        <f t="shared" si="216"/>
        <v>0.1</v>
      </c>
      <c r="AI239" s="271" t="str">
        <f>IFERROR(IF(AD238=1,AI$100*EXP(-(LN(2)/$D$65+0.04)*AF238)*EXP(-(LN(2)/$D$65+0.1)*AG238),IF(AD238=2,AI$100*EXP(-(LN(2)/$D$65+0.04)*(VLOOKUP(($F$16-$F$15)-1,AC$99:AG238,4,FALSE)))*EXP(-(LN(2)/$D$65+0.1)*(VLOOKUP(($F$16-$F$15)-1,AC$99:AG238,5,FALSE)))*EXP(-(LN(2)/$D$65+0.04)*AF238)*EXP(-(LN(2)/$D$65+0.1)*AG238),IF(AD238=3,AI$100*EXP(-(LN(2)/$D$65+0.04)*(VLOOKUP(($F$16-$F$15)-1,AC$99:AG238,4,FALSE)))*EXP(-(LN(2)/$D$65+0.1)*(VLOOKUP(($F$16-$F$15)-1,AC$99:AG238,5,FALSE)))*EXP(-(LN(2)/$D$65+0.04)*(VLOOKUP(($F$16-$F$15)*2-1,AC$99:AG238,4,FALSE)))*EXP(-(LN(2)/$D$65+0.1)*(VLOOKUP(($F$16-$F$15)*2-1,AC$99:AG238,5,FALSE)))*EXP(-(LN(2)/$D$65+0.04)*AF238)*EXP(-(LN(2)/$D$65+0.1)*AG238),"-"))),"-")</f>
        <v>-</v>
      </c>
      <c r="AJ239" s="271" t="str">
        <f>IFERROR(IF(AD239=1,AJ$100*EXP(-(LN(2)/$D$65+0.04)*AF239)*EXP(-(LN(2)/$D$65+0.1)*AG239),IF(AD239=2,AJ$100*EXP(-(LN(2)/$D$65+0.04)*(VLOOKUP(($F$16-$F$15)-1,AC$100:AG239,4,FALSE)))*EXP(-(LN(2)/$D$65+0.1)*(VLOOKUP(($F$16-$F$15)-1,AC$100:AG239,5,FALSE)))*EXP(-(LN(2)/$D$65+0.04)*AF239)*EXP(-(LN(2)/$D$65+0.1)*AG239),IF(AD239=3,AJ$100*EXP(-(LN(2)/$D$65+0.04)*(VLOOKUP(($F$16-$F$15)-1,AC$100:AG239,4,FALSE)))*EXP(-(LN(2)/$D$65+0.1)*(VLOOKUP(($F$16-$F$15)-1,AC$100:AG239,5,FALSE)))*EXP(-(LN(2)/$D$65+0.04)*(VLOOKUP(($F$16-$F$15)*2-1,AC$100:AG239,4,FALSE)))*EXP(-(LN(2)/$D$65+0.1)*(VLOOKUP(($F$16-$F$15)*2-1,AC$100:AG239,5,FALSE)))*EXP(-(LN(2)/$D$65+0.04)*AF239)*EXP(-(LN(2)/$D$65+0.1)*AG239),"-"))),"-")</f>
        <v>-</v>
      </c>
      <c r="AK239" s="227">
        <f t="shared" si="217"/>
        <v>139</v>
      </c>
      <c r="AL239" s="226" t="str">
        <f t="shared" si="191"/>
        <v>-</v>
      </c>
      <c r="AM239" s="227" t="str">
        <f t="shared" si="218"/>
        <v>-</v>
      </c>
      <c r="AN239" s="227" t="str">
        <f t="shared" si="219"/>
        <v>-</v>
      </c>
      <c r="AO239" s="227" t="str">
        <f t="shared" si="192"/>
        <v>-</v>
      </c>
      <c r="AP239" s="273">
        <f t="shared" si="220"/>
        <v>0.1</v>
      </c>
      <c r="AQ239" s="271" t="str">
        <f>IFERROR(IF(AL238=1,AQ$100*EXP(-(LN(2)/$D$65+0.04)*AN238)*EXP(-(LN(2)/$D$65+0.1)*AO238),IF(AL238=2,AQ$100*EXP(-(LN(2)/$D$65+0.04)*(VLOOKUP(($F$16-$F$15)-1,AK$99:AO238,4,FALSE)))*EXP(-(LN(2)/$D$65+0.1)*(VLOOKUP(($F$16-$F$15)-1,AK$99:AO238,5,FALSE)))*EXP(-(LN(2)/$D$65+0.04)*AN238)*EXP(-(LN(2)/$D$65+0.1)*AO238),IF(AL238=3,AQ$100*EXP(-(LN(2)/$D$65+0.04)*(VLOOKUP(($F$16-$F$15)-1,AK$99:AO238,4,FALSE)))*EXP(-(LN(2)/$D$65+0.1)*(VLOOKUP(($F$16-$F$15)-1,AK$99:AO238,5,FALSE)))*EXP(-(LN(2)/$D$65+0.04)*(VLOOKUP(($F$16-$F$15)*2-1,AK$99:AO238,4,FALSE)))*EXP(-(LN(2)/$D$65+0.1)*(VLOOKUP(($F$16-$F$15)*2-1,AK$99:AO238,5,FALSE)))*EXP(-(LN(2)/$D$65+0.04)*AN238)*EXP(-(LN(2)/$D$65+0.1)*AO238),"-"))),"-")</f>
        <v>-</v>
      </c>
      <c r="AR239" s="271" t="str">
        <f>IFERROR(IF(AL239=1,AR$100*EXP(-(LN(2)/$D$65+0.04)*AN239)*EXP(-(LN(2)/$D$65+0.1)*AO239),IF(AL239=2,AR$100*EXP(-(LN(2)/$D$65+0.04)*(VLOOKUP(($F$16-$F$15)-1,AK$100:AO239,4,FALSE)))*EXP(-(LN(2)/$D$65+0.1)*(VLOOKUP(($F$16-$F$15)-1,AK$100:AO239,5,FALSE)))*EXP(-(LN(2)/$D$65+0.04)*AN239)*EXP(-(LN(2)/$D$65+0.1)*AO239),IF(AL239=3,AR$100*EXP(-(LN(2)/$D$65+0.04)*(VLOOKUP(($F$16-$F$15)-1,AK$100:AO239,4,FALSE)))*EXP(-(LN(2)/$D$65+0.1)*(VLOOKUP(($F$16-$F$15)-1,AK$100:AO239,5,FALSE)))*EXP(-(LN(2)/$D$65+0.04)*(VLOOKUP(($F$16-$F$15)*2-1,AK$100:AO239,4,FALSE)))*EXP(-(LN(2)/$D$65+0.1)*(VLOOKUP(($F$16-$F$15)*2-1,AK$100:AO239,5,FALSE)))*EXP(-(LN(2)/$D$65+0.04)*AN239)*EXP(-(LN(2)/$D$65+0.1)*AO239),"-"))),"-")</f>
        <v>-</v>
      </c>
      <c r="AS239" s="274">
        <f t="shared" si="193"/>
        <v>0</v>
      </c>
      <c r="AT239" s="274">
        <f t="shared" si="194"/>
        <v>0</v>
      </c>
      <c r="AU239" s="274">
        <f t="shared" si="195"/>
        <v>0</v>
      </c>
      <c r="AV239" s="190">
        <f>IF($B239&lt;$F$22,SUM($T$100:$T239),"")</f>
        <v>0</v>
      </c>
      <c r="AW239" s="190" t="str">
        <f t="shared" si="196"/>
        <v>-</v>
      </c>
      <c r="AX239" s="190" t="str">
        <f t="shared" si="221"/>
        <v/>
      </c>
      <c r="AY239"/>
      <c r="AZ239" s="190" t="str">
        <f ca="1">IF(ISNUMBER(OFFSET(AV239,-$F$21,0)),SUM(OFFSET($T$100,$F$21,0):$T239),"")</f>
        <v/>
      </c>
      <c r="BA239" s="190" t="str">
        <f t="shared" ca="1" si="197"/>
        <v/>
      </c>
      <c r="BB239" s="190" t="str">
        <f t="shared" ca="1" si="149"/>
        <v/>
      </c>
      <c r="BC239" s="190"/>
      <c r="BD239" s="190" t="str">
        <f ca="1">IFERROR(IF(AND($B239&gt;=($F$16-$F$15),$B239&lt;$F$22+($F$16-$F$15)),SUM(OFFSET($T$100,($F$16-$F$15),0):$T239),""),"")</f>
        <v/>
      </c>
      <c r="BE239" s="190" t="str">
        <f t="shared" ca="1" si="222"/>
        <v/>
      </c>
      <c r="BF239" s="190" t="str">
        <f t="shared" ca="1" si="223"/>
        <v/>
      </c>
      <c r="BG239"/>
      <c r="BH239" s="190" t="str">
        <f ca="1">IF(ISNUMBER(OFFSET(BD239,-$F$21,0)),SUM(OFFSET($T$100,($F$16-$F$15+$F$21),0):$T239),"")</f>
        <v/>
      </c>
      <c r="BI239" s="190" t="str">
        <f t="shared" ca="1" si="198"/>
        <v/>
      </c>
      <c r="BJ239" s="190" t="str">
        <f t="shared" ca="1" si="224"/>
        <v/>
      </c>
      <c r="BK239" s="190"/>
      <c r="BL239" s="190" t="str">
        <f ca="1">IFERROR(IF(AND($B239&gt;=($F$17-$F$15),$B239&lt;$F$22+($F$17-$F$15)),SUM(OFFSET($T$100,($F$17-$F$15),0):$T239),""),"")</f>
        <v/>
      </c>
      <c r="BM239" s="190" t="str">
        <f t="shared" ca="1" si="199"/>
        <v/>
      </c>
      <c r="BN239" s="190" t="str">
        <f t="shared" ca="1" si="225"/>
        <v/>
      </c>
      <c r="BO239"/>
      <c r="BP239" s="190" t="str">
        <f ca="1">IF(ISNUMBER(OFFSET(BL239,-$F$21,0)),SUM(OFFSET($T$100,($F$17-$F$15+$F$21),0):$T239),"")</f>
        <v/>
      </c>
      <c r="BQ239" s="190" t="str">
        <f t="shared" ca="1" si="200"/>
        <v/>
      </c>
      <c r="BR239" s="190" t="str">
        <f t="shared" ca="1" si="226"/>
        <v/>
      </c>
      <c r="BS239" s="190"/>
      <c r="BT239"/>
      <c r="BU239"/>
      <c r="BV239"/>
      <c r="BY239" s="99"/>
      <c r="BZ239" s="99"/>
      <c r="CA239" s="280" t="str">
        <f t="shared" si="201"/>
        <v/>
      </c>
      <c r="CB239" s="71" t="str">
        <f t="shared" si="202"/>
        <v>-</v>
      </c>
      <c r="CC239" s="33"/>
      <c r="CD239" s="261" t="str">
        <f t="shared" si="203"/>
        <v/>
      </c>
      <c r="CE239" s="280" t="str">
        <f t="shared" si="204"/>
        <v>-</v>
      </c>
      <c r="CF239" s="71" t="str">
        <f t="shared" ca="1" si="205"/>
        <v>-</v>
      </c>
      <c r="CG239" s="33" t="str">
        <f t="shared" si="206"/>
        <v>139-140</v>
      </c>
      <c r="CH239" s="261" t="str">
        <f t="shared" ca="1" si="207"/>
        <v/>
      </c>
    </row>
    <row r="240" spans="2:86" ht="13.5" customHeight="1" x14ac:dyDescent="0.2">
      <c r="B240" s="262">
        <v>140</v>
      </c>
      <c r="C240" s="237" t="str">
        <f t="shared" si="171"/>
        <v/>
      </c>
      <c r="D240" s="237" t="str">
        <f t="shared" si="227"/>
        <v>-</v>
      </c>
      <c r="E240" s="263" t="str">
        <f t="shared" si="208"/>
        <v/>
      </c>
      <c r="F240" s="264" t="str">
        <f t="shared" si="209"/>
        <v/>
      </c>
      <c r="G240" s="264" t="str">
        <f t="shared" si="210"/>
        <v/>
      </c>
      <c r="H240" s="240" t="str">
        <f t="shared" si="172"/>
        <v/>
      </c>
      <c r="I240" s="265" t="str">
        <f t="shared" si="173"/>
        <v/>
      </c>
      <c r="J240" s="265" t="str">
        <f t="shared" si="174"/>
        <v/>
      </c>
      <c r="K240" s="240" t="str">
        <f t="shared" si="175"/>
        <v/>
      </c>
      <c r="L240" s="265" t="str">
        <f t="shared" si="176"/>
        <v/>
      </c>
      <c r="M240" s="265" t="str">
        <f t="shared" si="177"/>
        <v/>
      </c>
      <c r="N240" s="240" t="str">
        <f t="shared" si="178"/>
        <v>-</v>
      </c>
      <c r="O240" s="265" t="str">
        <f t="shared" si="179"/>
        <v>-</v>
      </c>
      <c r="P240" s="265" t="str">
        <f t="shared" si="180"/>
        <v>-</v>
      </c>
      <c r="Q240" s="266" t="str">
        <f t="shared" si="181"/>
        <v>-</v>
      </c>
      <c r="R240" s="267" t="str">
        <f t="shared" si="182"/>
        <v>-</v>
      </c>
      <c r="S240" s="268" t="str">
        <f t="shared" si="183"/>
        <v>-</v>
      </c>
      <c r="T240" s="269" t="str">
        <f t="shared" si="184"/>
        <v/>
      </c>
      <c r="U240" s="221">
        <f t="shared" si="185"/>
        <v>140</v>
      </c>
      <c r="V240" s="220" t="str">
        <f t="shared" si="211"/>
        <v>-</v>
      </c>
      <c r="W240" s="221" t="str">
        <f t="shared" si="212"/>
        <v>-</v>
      </c>
      <c r="X240" s="221" t="str">
        <f t="shared" si="186"/>
        <v>-</v>
      </c>
      <c r="Y240" s="221" t="str">
        <f t="shared" si="187"/>
        <v>-</v>
      </c>
      <c r="Z240" s="270">
        <f t="shared" si="213"/>
        <v>0.1</v>
      </c>
      <c r="AA240" s="271" t="str">
        <f>IFERROR(IF(V239=1,AA$100*EXP(-(LN(2)/$D$65+0.04)*X239)*EXP(-(LN(2)/$D$65+0.1)*Y239),IF(V239=2,AA$100*EXP(-(LN(2)/$D$65+0.04)*(VLOOKUP(($F$16-$F$15)-1,U$99:Y239,4,FALSE)))*EXP(-(LN(2)/$D$65+0.1)*(VLOOKUP(($F$16-$F$15)-1,U$99:Y239,5,FALSE)))*EXP(-(LN(2)/$D$65+0.04)*X239)*EXP(-(LN(2)/$D$65+0.1)*Y239),IF(V239=3,AA$100*EXP(-(LN(2)/$D$65+0.04)*(VLOOKUP(($F$16-$F$15)-1,U$99:Y239,4,FALSE)))*EXP(-(LN(2)/$D$65+0.1)*(VLOOKUP(($F$16-$F$15)-1,U$99:Y239,5,FALSE)))*EXP(-(LN(2)/$D$65+0.04)*(VLOOKUP(($F$16-$F$15)*2-1,U$99:Y239,4,FALSE)))*EXP(-(LN(2)/$D$65+0.1)*(VLOOKUP(($F$16-$F$15)*2-1,U$99:Y239,5,FALSE)))*EXP(-(LN(2)/$D$65+0.04)*X239)*EXP(-(LN(2)/$D$65+0.1)*Y239),"-"))),"-")</f>
        <v>-</v>
      </c>
      <c r="AB240" s="271" t="str">
        <f>IFERROR(IF(V240=1,AB$100*EXP(-(LN(2)/$D$65+0.04)*X240)*EXP(-(LN(2)/$D$65+0.1)*Y240),IF(V240=2,AB$100*EXP(-(LN(2)/$D$65+0.04)*(VLOOKUP(($F$16-$F$15)-1,U$100:Y240,4,FALSE)))*EXP(-(LN(2)/$D$65+0.1)*(VLOOKUP(($F$16-$F$15)-1,U$100:Y240,5,FALSE)))*EXP(-(LN(2)/$D$65+0.04)*X240)*EXP(-(LN(2)/$D$65+0.1)*Y240),IF(V240=3,AB$100*EXP(-(LN(2)/$D$65+0.04)*(VLOOKUP(($F$16-$F$15)-1,U$100:Y240,4,FALSE)))*EXP(-(LN(2)/$D$65+0.1)*(VLOOKUP(($F$16-$F$15)-1,U$100:Y240,5,FALSE)))*EXP(-(LN(2)/$D$65+0.04)*(VLOOKUP(($F$16-$F$15)*2-1,U$100:Y240,4,FALSE)))*EXP(-(LN(2)/$D$65+0.1)*(VLOOKUP(($F$16-$F$15)*2-1,U$100:Y240,5,FALSE)))*EXP(-(LN(2)/$D$65+0.04)*X240)*EXP(-(LN(2)/$D$65+0.1)*Y240),"-"))),"-")</f>
        <v>-</v>
      </c>
      <c r="AC240" s="224">
        <f t="shared" si="214"/>
        <v>140</v>
      </c>
      <c r="AD240" s="223" t="str">
        <f t="shared" si="188"/>
        <v>-</v>
      </c>
      <c r="AE240" s="224" t="str">
        <f t="shared" si="215"/>
        <v>-</v>
      </c>
      <c r="AF240" s="224" t="str">
        <f t="shared" si="189"/>
        <v>-</v>
      </c>
      <c r="AG240" s="224" t="str">
        <f t="shared" si="190"/>
        <v>-</v>
      </c>
      <c r="AH240" s="272">
        <f t="shared" si="216"/>
        <v>0.1</v>
      </c>
      <c r="AI240" s="271" t="str">
        <f>IFERROR(IF(AD239=1,AI$100*EXP(-(LN(2)/$D$65+0.04)*AF239)*EXP(-(LN(2)/$D$65+0.1)*AG239),IF(AD239=2,AI$100*EXP(-(LN(2)/$D$65+0.04)*(VLOOKUP(($F$16-$F$15)-1,AC$99:AG239,4,FALSE)))*EXP(-(LN(2)/$D$65+0.1)*(VLOOKUP(($F$16-$F$15)-1,AC$99:AG239,5,FALSE)))*EXP(-(LN(2)/$D$65+0.04)*AF239)*EXP(-(LN(2)/$D$65+0.1)*AG239),IF(AD239=3,AI$100*EXP(-(LN(2)/$D$65+0.04)*(VLOOKUP(($F$16-$F$15)-1,AC$99:AG239,4,FALSE)))*EXP(-(LN(2)/$D$65+0.1)*(VLOOKUP(($F$16-$F$15)-1,AC$99:AG239,5,FALSE)))*EXP(-(LN(2)/$D$65+0.04)*(VLOOKUP(($F$16-$F$15)*2-1,AC$99:AG239,4,FALSE)))*EXP(-(LN(2)/$D$65+0.1)*(VLOOKUP(($F$16-$F$15)*2-1,AC$99:AG239,5,FALSE)))*EXP(-(LN(2)/$D$65+0.04)*AF239)*EXP(-(LN(2)/$D$65+0.1)*AG239),"-"))),"-")</f>
        <v>-</v>
      </c>
      <c r="AJ240" s="271" t="str">
        <f>IFERROR(IF(AD240=1,AJ$100*EXP(-(LN(2)/$D$65+0.04)*AF240)*EXP(-(LN(2)/$D$65+0.1)*AG240),IF(AD240=2,AJ$100*EXP(-(LN(2)/$D$65+0.04)*(VLOOKUP(($F$16-$F$15)-1,AC$100:AG240,4,FALSE)))*EXP(-(LN(2)/$D$65+0.1)*(VLOOKUP(($F$16-$F$15)-1,AC$100:AG240,5,FALSE)))*EXP(-(LN(2)/$D$65+0.04)*AF240)*EXP(-(LN(2)/$D$65+0.1)*AG240),IF(AD240=3,AJ$100*EXP(-(LN(2)/$D$65+0.04)*(VLOOKUP(($F$16-$F$15)-1,AC$100:AG240,4,FALSE)))*EXP(-(LN(2)/$D$65+0.1)*(VLOOKUP(($F$16-$F$15)-1,AC$100:AG240,5,FALSE)))*EXP(-(LN(2)/$D$65+0.04)*(VLOOKUP(($F$16-$F$15)*2-1,AC$100:AG240,4,FALSE)))*EXP(-(LN(2)/$D$65+0.1)*(VLOOKUP(($F$16-$F$15)*2-1,AC$100:AG240,5,FALSE)))*EXP(-(LN(2)/$D$65+0.04)*AF240)*EXP(-(LN(2)/$D$65+0.1)*AG240),"-"))),"-")</f>
        <v>-</v>
      </c>
      <c r="AK240" s="227">
        <f t="shared" si="217"/>
        <v>140</v>
      </c>
      <c r="AL240" s="226" t="str">
        <f t="shared" si="191"/>
        <v>-</v>
      </c>
      <c r="AM240" s="227" t="str">
        <f t="shared" si="218"/>
        <v>-</v>
      </c>
      <c r="AN240" s="227" t="str">
        <f t="shared" si="219"/>
        <v>-</v>
      </c>
      <c r="AO240" s="227" t="str">
        <f t="shared" si="192"/>
        <v>-</v>
      </c>
      <c r="AP240" s="273">
        <f t="shared" si="220"/>
        <v>0.1</v>
      </c>
      <c r="AQ240" s="271" t="str">
        <f>IFERROR(IF(AL239=1,AQ$100*EXP(-(LN(2)/$D$65+0.04)*AN239)*EXP(-(LN(2)/$D$65+0.1)*AO239),IF(AL239=2,AQ$100*EXP(-(LN(2)/$D$65+0.04)*(VLOOKUP(($F$16-$F$15)-1,AK$99:AO239,4,FALSE)))*EXP(-(LN(2)/$D$65+0.1)*(VLOOKUP(($F$16-$F$15)-1,AK$99:AO239,5,FALSE)))*EXP(-(LN(2)/$D$65+0.04)*AN239)*EXP(-(LN(2)/$D$65+0.1)*AO239),IF(AL239=3,AQ$100*EXP(-(LN(2)/$D$65+0.04)*(VLOOKUP(($F$16-$F$15)-1,AK$99:AO239,4,FALSE)))*EXP(-(LN(2)/$D$65+0.1)*(VLOOKUP(($F$16-$F$15)-1,AK$99:AO239,5,FALSE)))*EXP(-(LN(2)/$D$65+0.04)*(VLOOKUP(($F$16-$F$15)*2-1,AK$99:AO239,4,FALSE)))*EXP(-(LN(2)/$D$65+0.1)*(VLOOKUP(($F$16-$F$15)*2-1,AK$99:AO239,5,FALSE)))*EXP(-(LN(2)/$D$65+0.04)*AN239)*EXP(-(LN(2)/$D$65+0.1)*AO239),"-"))),"-")</f>
        <v>-</v>
      </c>
      <c r="AR240" s="271" t="str">
        <f>IFERROR(IF(AL240=1,AR$100*EXP(-(LN(2)/$D$65+0.04)*AN240)*EXP(-(LN(2)/$D$65+0.1)*AO240),IF(AL240=2,AR$100*EXP(-(LN(2)/$D$65+0.04)*(VLOOKUP(($F$16-$F$15)-1,AK$100:AO240,4,FALSE)))*EXP(-(LN(2)/$D$65+0.1)*(VLOOKUP(($F$16-$F$15)-1,AK$100:AO240,5,FALSE)))*EXP(-(LN(2)/$D$65+0.04)*AN240)*EXP(-(LN(2)/$D$65+0.1)*AO240),IF(AL240=3,AR$100*EXP(-(LN(2)/$D$65+0.04)*(VLOOKUP(($F$16-$F$15)-1,AK$100:AO240,4,FALSE)))*EXP(-(LN(2)/$D$65+0.1)*(VLOOKUP(($F$16-$F$15)-1,AK$100:AO240,5,FALSE)))*EXP(-(LN(2)/$D$65+0.04)*(VLOOKUP(($F$16-$F$15)*2-1,AK$100:AO240,4,FALSE)))*EXP(-(LN(2)/$D$65+0.1)*(VLOOKUP(($F$16-$F$15)*2-1,AK$100:AO240,5,FALSE)))*EXP(-(LN(2)/$D$65+0.04)*AN240)*EXP(-(LN(2)/$D$65+0.1)*AO240),"-"))),"-")</f>
        <v>-</v>
      </c>
      <c r="AS240" s="274">
        <f t="shared" si="193"/>
        <v>0</v>
      </c>
      <c r="AT240" s="274">
        <f t="shared" si="194"/>
        <v>0</v>
      </c>
      <c r="AU240" s="274">
        <f t="shared" si="195"/>
        <v>0</v>
      </c>
      <c r="AV240" s="190">
        <f>IF($B240&lt;$F$22,SUM($T$100:$T240),"")</f>
        <v>0</v>
      </c>
      <c r="AW240" s="190" t="str">
        <f t="shared" si="196"/>
        <v>-</v>
      </c>
      <c r="AX240" s="190" t="str">
        <f t="shared" si="221"/>
        <v/>
      </c>
      <c r="AY240"/>
      <c r="AZ240" s="190" t="str">
        <f ca="1">IF(ISNUMBER(OFFSET(AV240,-$F$21,0)),SUM(OFFSET($T$100,$F$21,0):$T240),"")</f>
        <v/>
      </c>
      <c r="BA240" s="190" t="str">
        <f t="shared" ca="1" si="197"/>
        <v/>
      </c>
      <c r="BB240" s="190" t="str">
        <f t="shared" ca="1" si="149"/>
        <v/>
      </c>
      <c r="BC240" s="190"/>
      <c r="BD240" s="190" t="str">
        <f ca="1">IFERROR(IF(AND($B240&gt;=($F$16-$F$15),$B240&lt;$F$22+($F$16-$F$15)),SUM(OFFSET($T$100,($F$16-$F$15),0):$T240),""),"")</f>
        <v/>
      </c>
      <c r="BE240" s="190" t="str">
        <f t="shared" ca="1" si="222"/>
        <v/>
      </c>
      <c r="BF240" s="190" t="str">
        <f t="shared" ca="1" si="223"/>
        <v/>
      </c>
      <c r="BG240"/>
      <c r="BH240" s="190" t="str">
        <f ca="1">IF(ISNUMBER(OFFSET(BD240,-$F$21,0)),SUM(OFFSET($T$100,($F$16-$F$15+$F$21),0):$T240),"")</f>
        <v/>
      </c>
      <c r="BI240" s="190" t="str">
        <f t="shared" ca="1" si="198"/>
        <v/>
      </c>
      <c r="BJ240" s="190" t="str">
        <f t="shared" ca="1" si="224"/>
        <v/>
      </c>
      <c r="BK240" s="190"/>
      <c r="BL240" s="190" t="str">
        <f ca="1">IFERROR(IF(AND($B240&gt;=($F$17-$F$15),$B240&lt;$F$22+($F$17-$F$15)),SUM(OFFSET($T$100,($F$17-$F$15),0):$T240),""),"")</f>
        <v/>
      </c>
      <c r="BM240" s="190" t="str">
        <f t="shared" ca="1" si="199"/>
        <v/>
      </c>
      <c r="BN240" s="190" t="str">
        <f t="shared" ca="1" si="225"/>
        <v/>
      </c>
      <c r="BO240"/>
      <c r="BP240" s="190" t="str">
        <f ca="1">IF(ISNUMBER(OFFSET(BL240,-$F$21,0)),SUM(OFFSET($T$100,($F$17-$F$15+$F$21),0):$T240),"")</f>
        <v/>
      </c>
      <c r="BQ240" s="190" t="str">
        <f t="shared" ca="1" si="200"/>
        <v/>
      </c>
      <c r="BR240" s="190" t="str">
        <f t="shared" ca="1" si="226"/>
        <v/>
      </c>
      <c r="BS240" s="190"/>
      <c r="BT240"/>
      <c r="BU240"/>
      <c r="BV240"/>
      <c r="BY240" s="99"/>
      <c r="BZ240" s="99"/>
      <c r="CA240" s="280" t="str">
        <f t="shared" si="201"/>
        <v/>
      </c>
      <c r="CB240" s="71" t="str">
        <f t="shared" si="202"/>
        <v>-</v>
      </c>
      <c r="CC240" s="33"/>
      <c r="CD240" s="261" t="str">
        <f t="shared" si="203"/>
        <v/>
      </c>
      <c r="CE240" s="280" t="str">
        <f t="shared" si="204"/>
        <v>-</v>
      </c>
      <c r="CF240" s="71" t="str">
        <f t="shared" ca="1" si="205"/>
        <v>-</v>
      </c>
      <c r="CG240" s="33" t="str">
        <f t="shared" si="206"/>
        <v>140-141</v>
      </c>
      <c r="CH240" s="261" t="str">
        <f t="shared" ca="1" si="207"/>
        <v/>
      </c>
    </row>
    <row r="241" spans="2:86" ht="13.5" customHeight="1" x14ac:dyDescent="0.2">
      <c r="B241" s="262">
        <v>141</v>
      </c>
      <c r="C241" s="237" t="str">
        <f t="shared" si="171"/>
        <v/>
      </c>
      <c r="D241" s="237" t="str">
        <f t="shared" si="227"/>
        <v>-</v>
      </c>
      <c r="E241" s="263" t="str">
        <f t="shared" si="208"/>
        <v/>
      </c>
      <c r="F241" s="264" t="str">
        <f t="shared" si="209"/>
        <v/>
      </c>
      <c r="G241" s="264" t="str">
        <f t="shared" si="210"/>
        <v/>
      </c>
      <c r="H241" s="240" t="str">
        <f t="shared" si="172"/>
        <v/>
      </c>
      <c r="I241" s="265" t="str">
        <f t="shared" si="173"/>
        <v/>
      </c>
      <c r="J241" s="265" t="str">
        <f t="shared" si="174"/>
        <v/>
      </c>
      <c r="K241" s="240" t="str">
        <f t="shared" si="175"/>
        <v/>
      </c>
      <c r="L241" s="265" t="str">
        <f t="shared" si="176"/>
        <v/>
      </c>
      <c r="M241" s="265" t="str">
        <f t="shared" si="177"/>
        <v/>
      </c>
      <c r="N241" s="240" t="str">
        <f t="shared" si="178"/>
        <v>-</v>
      </c>
      <c r="O241" s="265" t="str">
        <f t="shared" si="179"/>
        <v>-</v>
      </c>
      <c r="P241" s="265" t="str">
        <f t="shared" si="180"/>
        <v>-</v>
      </c>
      <c r="Q241" s="266" t="str">
        <f t="shared" si="181"/>
        <v>-</v>
      </c>
      <c r="R241" s="267" t="str">
        <f t="shared" si="182"/>
        <v>-</v>
      </c>
      <c r="S241" s="268" t="str">
        <f t="shared" si="183"/>
        <v>-</v>
      </c>
      <c r="T241" s="269" t="str">
        <f t="shared" si="184"/>
        <v/>
      </c>
      <c r="U241" s="221">
        <f t="shared" si="185"/>
        <v>141</v>
      </c>
      <c r="V241" s="220" t="str">
        <f t="shared" si="211"/>
        <v>-</v>
      </c>
      <c r="W241" s="221" t="str">
        <f t="shared" si="212"/>
        <v>-</v>
      </c>
      <c r="X241" s="221" t="str">
        <f t="shared" si="186"/>
        <v>-</v>
      </c>
      <c r="Y241" s="221" t="str">
        <f t="shared" si="187"/>
        <v>-</v>
      </c>
      <c r="Z241" s="270">
        <f t="shared" si="213"/>
        <v>0.1</v>
      </c>
      <c r="AA241" s="271" t="str">
        <f>IFERROR(IF(V240=1,AA$100*EXP(-(LN(2)/$D$65+0.04)*X240)*EXP(-(LN(2)/$D$65+0.1)*Y240),IF(V240=2,AA$100*EXP(-(LN(2)/$D$65+0.04)*(VLOOKUP(($F$16-$F$15)-1,U$99:Y240,4,FALSE)))*EXP(-(LN(2)/$D$65+0.1)*(VLOOKUP(($F$16-$F$15)-1,U$99:Y240,5,FALSE)))*EXP(-(LN(2)/$D$65+0.04)*X240)*EXP(-(LN(2)/$D$65+0.1)*Y240),IF(V240=3,AA$100*EXP(-(LN(2)/$D$65+0.04)*(VLOOKUP(($F$16-$F$15)-1,U$99:Y240,4,FALSE)))*EXP(-(LN(2)/$D$65+0.1)*(VLOOKUP(($F$16-$F$15)-1,U$99:Y240,5,FALSE)))*EXP(-(LN(2)/$D$65+0.04)*(VLOOKUP(($F$16-$F$15)*2-1,U$99:Y240,4,FALSE)))*EXP(-(LN(2)/$D$65+0.1)*(VLOOKUP(($F$16-$F$15)*2-1,U$99:Y240,5,FALSE)))*EXP(-(LN(2)/$D$65+0.04)*X240)*EXP(-(LN(2)/$D$65+0.1)*Y240),"-"))),"-")</f>
        <v>-</v>
      </c>
      <c r="AB241" s="271" t="str">
        <f>IFERROR(IF(V241=1,AB$100*EXP(-(LN(2)/$D$65+0.04)*X241)*EXP(-(LN(2)/$D$65+0.1)*Y241),IF(V241=2,AB$100*EXP(-(LN(2)/$D$65+0.04)*(VLOOKUP(($F$16-$F$15)-1,U$100:Y241,4,FALSE)))*EXP(-(LN(2)/$D$65+0.1)*(VLOOKUP(($F$16-$F$15)-1,U$100:Y241,5,FALSE)))*EXP(-(LN(2)/$D$65+0.04)*X241)*EXP(-(LN(2)/$D$65+0.1)*Y241),IF(V241=3,AB$100*EXP(-(LN(2)/$D$65+0.04)*(VLOOKUP(($F$16-$F$15)-1,U$100:Y241,4,FALSE)))*EXP(-(LN(2)/$D$65+0.1)*(VLOOKUP(($F$16-$F$15)-1,U$100:Y241,5,FALSE)))*EXP(-(LN(2)/$D$65+0.04)*(VLOOKUP(($F$16-$F$15)*2-1,U$100:Y241,4,FALSE)))*EXP(-(LN(2)/$D$65+0.1)*(VLOOKUP(($F$16-$F$15)*2-1,U$100:Y241,5,FALSE)))*EXP(-(LN(2)/$D$65+0.04)*X241)*EXP(-(LN(2)/$D$65+0.1)*Y241),"-"))),"-")</f>
        <v>-</v>
      </c>
      <c r="AC241" s="224">
        <f>B241</f>
        <v>141</v>
      </c>
      <c r="AD241" s="223" t="str">
        <f t="shared" si="188"/>
        <v>-</v>
      </c>
      <c r="AE241" s="224" t="str">
        <f t="shared" si="215"/>
        <v>-</v>
      </c>
      <c r="AF241" s="224" t="str">
        <f t="shared" si="189"/>
        <v>-</v>
      </c>
      <c r="AG241" s="224" t="str">
        <f t="shared" si="190"/>
        <v>-</v>
      </c>
      <c r="AH241" s="272">
        <f t="shared" si="216"/>
        <v>0.1</v>
      </c>
      <c r="AI241" s="271" t="str">
        <f>IFERROR(IF(AD240=1,AI$100*EXP(-(LN(2)/$D$65+0.04)*AF240)*EXP(-(LN(2)/$D$65+0.1)*AG240),IF(AD240=2,AI$100*EXP(-(LN(2)/$D$65+0.04)*(VLOOKUP(($F$16-$F$15)-1,AC$99:AG240,4,FALSE)))*EXP(-(LN(2)/$D$65+0.1)*(VLOOKUP(($F$16-$F$15)-1,AC$99:AG240,5,FALSE)))*EXP(-(LN(2)/$D$65+0.04)*AF240)*EXP(-(LN(2)/$D$65+0.1)*AG240),IF(AD240=3,AI$100*EXP(-(LN(2)/$D$65+0.04)*(VLOOKUP(($F$16-$F$15)-1,AC$99:AG240,4,FALSE)))*EXP(-(LN(2)/$D$65+0.1)*(VLOOKUP(($F$16-$F$15)-1,AC$99:AG240,5,FALSE)))*EXP(-(LN(2)/$D$65+0.04)*(VLOOKUP(($F$16-$F$15)*2-1,AC$99:AG240,4,FALSE)))*EXP(-(LN(2)/$D$65+0.1)*(VLOOKUP(($F$16-$F$15)*2-1,AC$99:AG240,5,FALSE)))*EXP(-(LN(2)/$D$65+0.04)*AF240)*EXP(-(LN(2)/$D$65+0.1)*AG240),"-"))),"-")</f>
        <v>-</v>
      </c>
      <c r="AJ241" s="271" t="str">
        <f>IFERROR(IF(AD241=1,AJ$100*EXP(-(LN(2)/$D$65+0.04)*AF241)*EXP(-(LN(2)/$D$65+0.1)*AG241),IF(AD241=2,AJ$100*EXP(-(LN(2)/$D$65+0.04)*(VLOOKUP(($F$16-$F$15)-1,AC$100:AG241,4,FALSE)))*EXP(-(LN(2)/$D$65+0.1)*(VLOOKUP(($F$16-$F$15)-1,AC$100:AG241,5,FALSE)))*EXP(-(LN(2)/$D$65+0.04)*AF241)*EXP(-(LN(2)/$D$65+0.1)*AG241),IF(AD241=3,AJ$100*EXP(-(LN(2)/$D$65+0.04)*(VLOOKUP(($F$16-$F$15)-1,AC$100:AG241,4,FALSE)))*EXP(-(LN(2)/$D$65+0.1)*(VLOOKUP(($F$16-$F$15)-1,AC$100:AG241,5,FALSE)))*EXP(-(LN(2)/$D$65+0.04)*(VLOOKUP(($F$16-$F$15)*2-1,AC$100:AG241,4,FALSE)))*EXP(-(LN(2)/$D$65+0.1)*(VLOOKUP(($F$16-$F$15)*2-1,AC$100:AG241,5,FALSE)))*EXP(-(LN(2)/$D$65+0.04)*AF241)*EXP(-(LN(2)/$D$65+0.1)*AG241),"-"))),"-")</f>
        <v>-</v>
      </c>
      <c r="AK241" s="227">
        <f t="shared" si="217"/>
        <v>141</v>
      </c>
      <c r="AL241" s="226" t="str">
        <f t="shared" si="191"/>
        <v>-</v>
      </c>
      <c r="AM241" s="227" t="str">
        <f t="shared" si="218"/>
        <v>-</v>
      </c>
      <c r="AN241" s="227" t="str">
        <f t="shared" si="219"/>
        <v>-</v>
      </c>
      <c r="AO241" s="227" t="str">
        <f t="shared" si="192"/>
        <v>-</v>
      </c>
      <c r="AP241" s="273">
        <f t="shared" si="220"/>
        <v>0.1</v>
      </c>
      <c r="AQ241" s="271" t="str">
        <f>IFERROR(IF(AL240=1,AQ$100*EXP(-(LN(2)/$D$65+0.04)*AN240)*EXP(-(LN(2)/$D$65+0.1)*AO240),IF(AL240=2,AQ$100*EXP(-(LN(2)/$D$65+0.04)*(VLOOKUP(($F$16-$F$15)-1,AK$99:AO240,4,FALSE)))*EXP(-(LN(2)/$D$65+0.1)*(VLOOKUP(($F$16-$F$15)-1,AK$99:AO240,5,FALSE)))*EXP(-(LN(2)/$D$65+0.04)*AN240)*EXP(-(LN(2)/$D$65+0.1)*AO240),IF(AL240=3,AQ$100*EXP(-(LN(2)/$D$65+0.04)*(VLOOKUP(($F$16-$F$15)-1,AK$99:AO240,4,FALSE)))*EXP(-(LN(2)/$D$65+0.1)*(VLOOKUP(($F$16-$F$15)-1,AK$99:AO240,5,FALSE)))*EXP(-(LN(2)/$D$65+0.04)*(VLOOKUP(($F$16-$F$15)*2-1,AK$99:AO240,4,FALSE)))*EXP(-(LN(2)/$D$65+0.1)*(VLOOKUP(($F$16-$F$15)*2-1,AK$99:AO240,5,FALSE)))*EXP(-(LN(2)/$D$65+0.04)*AN240)*EXP(-(LN(2)/$D$65+0.1)*AO240),"-"))),"-")</f>
        <v>-</v>
      </c>
      <c r="AR241" s="271" t="str">
        <f>IFERROR(IF(AL241=1,AR$100*EXP(-(LN(2)/$D$65+0.04)*AN241)*EXP(-(LN(2)/$D$65+0.1)*AO241),IF(AL241=2,AR$100*EXP(-(LN(2)/$D$65+0.04)*(VLOOKUP(($F$16-$F$15)-1,AK$100:AO241,4,FALSE)))*EXP(-(LN(2)/$D$65+0.1)*(VLOOKUP(($F$16-$F$15)-1,AK$100:AO241,5,FALSE)))*EXP(-(LN(2)/$D$65+0.04)*AN241)*EXP(-(LN(2)/$D$65+0.1)*AO241),IF(AL241=3,AR$100*EXP(-(LN(2)/$D$65+0.04)*(VLOOKUP(($F$16-$F$15)-1,AK$100:AO241,4,FALSE)))*EXP(-(LN(2)/$D$65+0.1)*(VLOOKUP(($F$16-$F$15)-1,AK$100:AO241,5,FALSE)))*EXP(-(LN(2)/$D$65+0.04)*(VLOOKUP(($F$16-$F$15)*2-1,AK$100:AO241,4,FALSE)))*EXP(-(LN(2)/$D$65+0.1)*(VLOOKUP(($F$16-$F$15)*2-1,AK$100:AO241,5,FALSE)))*EXP(-(LN(2)/$D$65+0.04)*AN241)*EXP(-(LN(2)/$D$65+0.1)*AO241),"-"))),"-")</f>
        <v>-</v>
      </c>
      <c r="AS241" s="274">
        <f t="shared" si="193"/>
        <v>0</v>
      </c>
      <c r="AT241" s="274">
        <f t="shared" si="194"/>
        <v>0</v>
      </c>
      <c r="AU241" s="274">
        <f t="shared" si="195"/>
        <v>0</v>
      </c>
      <c r="AV241" s="190">
        <f>IF($B241&lt;$F$22,SUM($T$100:$T241),"")</f>
        <v>0</v>
      </c>
      <c r="AW241" s="190" t="str">
        <f t="shared" si="196"/>
        <v>-</v>
      </c>
      <c r="AX241" s="190" t="str">
        <f t="shared" si="221"/>
        <v/>
      </c>
      <c r="AY241"/>
      <c r="AZ241" s="190" t="str">
        <f ca="1">IF(ISNUMBER(OFFSET(AV241,-$F$21,0)),SUM(OFFSET($T$100,$F$21,0):$T241),"")</f>
        <v/>
      </c>
      <c r="BA241" s="190" t="str">
        <f t="shared" ca="1" si="197"/>
        <v/>
      </c>
      <c r="BB241" s="190" t="str">
        <f t="shared" ca="1" si="149"/>
        <v/>
      </c>
      <c r="BC241" s="190"/>
      <c r="BD241" s="190" t="str">
        <f ca="1">IFERROR(IF(AND($B241&gt;=($F$16-$F$15),$B241&lt;$F$22+($F$16-$F$15)),SUM(OFFSET($T$100,($F$16-$F$15),0):$T241),""),"")</f>
        <v/>
      </c>
      <c r="BE241" s="190" t="str">
        <f t="shared" ca="1" si="222"/>
        <v/>
      </c>
      <c r="BF241" s="190" t="str">
        <f t="shared" ca="1" si="223"/>
        <v/>
      </c>
      <c r="BG241"/>
      <c r="BH241" s="190" t="str">
        <f ca="1">IF(ISNUMBER(OFFSET(BD241,-$F$21,0)),SUM(OFFSET($T$100,($F$16-$F$15+$F$21),0):$T241),"")</f>
        <v/>
      </c>
      <c r="BI241" s="190" t="str">
        <f t="shared" ca="1" si="198"/>
        <v/>
      </c>
      <c r="BJ241" s="190" t="str">
        <f t="shared" ca="1" si="224"/>
        <v/>
      </c>
      <c r="BK241" s="190"/>
      <c r="BL241" s="190" t="str">
        <f ca="1">IFERROR(IF(AND($B241&gt;=($F$17-$F$15),$B241&lt;$F$22+($F$17-$F$15)),SUM(OFFSET($T$100,($F$17-$F$15),0):$T241),""),"")</f>
        <v/>
      </c>
      <c r="BM241" s="190" t="str">
        <f t="shared" ca="1" si="199"/>
        <v/>
      </c>
      <c r="BN241" s="190" t="str">
        <f t="shared" ca="1" si="225"/>
        <v/>
      </c>
      <c r="BO241"/>
      <c r="BP241" s="190" t="str">
        <f ca="1">IF(ISNUMBER(OFFSET(BL241,-$F$21,0)),SUM(OFFSET($T$100,($F$17-$F$15+$F$21),0):$T241),"")</f>
        <v/>
      </c>
      <c r="BQ241" s="190" t="str">
        <f t="shared" ca="1" si="200"/>
        <v/>
      </c>
      <c r="BR241" s="190" t="str">
        <f t="shared" ca="1" si="226"/>
        <v/>
      </c>
      <c r="BS241" s="190"/>
      <c r="BT241"/>
      <c r="BU241"/>
      <c r="BV241"/>
      <c r="BY241" s="99"/>
      <c r="BZ241" s="99"/>
      <c r="CA241" s="280" t="str">
        <f t="shared" si="201"/>
        <v/>
      </c>
      <c r="CB241" s="71" t="str">
        <f t="shared" si="202"/>
        <v>-</v>
      </c>
      <c r="CC241" s="33"/>
      <c r="CD241" s="261" t="str">
        <f t="shared" si="203"/>
        <v/>
      </c>
      <c r="CE241" s="280" t="str">
        <f t="shared" si="204"/>
        <v>-</v>
      </c>
      <c r="CF241" s="71" t="str">
        <f t="shared" ca="1" si="205"/>
        <v>-</v>
      </c>
      <c r="CG241" s="33" t="str">
        <f t="shared" si="206"/>
        <v>141-142</v>
      </c>
      <c r="CH241" s="261" t="str">
        <f t="shared" ca="1" si="207"/>
        <v/>
      </c>
    </row>
    <row r="242" spans="2:86" ht="13.5" customHeight="1" x14ac:dyDescent="0.2">
      <c r="B242" s="262">
        <v>142</v>
      </c>
      <c r="C242" s="237" t="str">
        <f t="shared" si="171"/>
        <v/>
      </c>
      <c r="D242" s="237" t="str">
        <f t="shared" si="227"/>
        <v>-</v>
      </c>
      <c r="E242" s="263" t="str">
        <f t="shared" si="208"/>
        <v/>
      </c>
      <c r="F242" s="264" t="str">
        <f t="shared" si="209"/>
        <v/>
      </c>
      <c r="G242" s="264" t="str">
        <f t="shared" si="210"/>
        <v/>
      </c>
      <c r="H242" s="240" t="str">
        <f t="shared" si="172"/>
        <v/>
      </c>
      <c r="I242" s="265" t="str">
        <f t="shared" si="173"/>
        <v/>
      </c>
      <c r="J242" s="265" t="str">
        <f t="shared" si="174"/>
        <v/>
      </c>
      <c r="K242" s="240" t="str">
        <f t="shared" si="175"/>
        <v/>
      </c>
      <c r="L242" s="265" t="str">
        <f t="shared" si="176"/>
        <v/>
      </c>
      <c r="M242" s="265" t="str">
        <f t="shared" si="177"/>
        <v/>
      </c>
      <c r="N242" s="240" t="str">
        <f t="shared" si="178"/>
        <v>-</v>
      </c>
      <c r="O242" s="265" t="str">
        <f t="shared" si="179"/>
        <v>-</v>
      </c>
      <c r="P242" s="265" t="str">
        <f t="shared" si="180"/>
        <v>-</v>
      </c>
      <c r="Q242" s="266" t="str">
        <f t="shared" si="181"/>
        <v>-</v>
      </c>
      <c r="R242" s="267" t="str">
        <f t="shared" si="182"/>
        <v>-</v>
      </c>
      <c r="S242" s="268" t="str">
        <f t="shared" si="183"/>
        <v>-</v>
      </c>
      <c r="T242" s="269" t="str">
        <f t="shared" si="184"/>
        <v/>
      </c>
      <c r="U242" s="221">
        <f t="shared" si="185"/>
        <v>142</v>
      </c>
      <c r="V242" s="220" t="str">
        <f t="shared" si="211"/>
        <v>-</v>
      </c>
      <c r="W242" s="221" t="str">
        <f t="shared" si="212"/>
        <v>-</v>
      </c>
      <c r="X242" s="221" t="str">
        <f t="shared" si="186"/>
        <v>-</v>
      </c>
      <c r="Y242" s="221" t="str">
        <f t="shared" si="187"/>
        <v>-</v>
      </c>
      <c r="Z242" s="270">
        <f t="shared" si="213"/>
        <v>0.1</v>
      </c>
      <c r="AA242" s="271" t="str">
        <f>IFERROR(IF(V241=1,AA$100*EXP(-(LN(2)/$D$65+0.04)*X241)*EXP(-(LN(2)/$D$65+0.1)*Y241),IF(V241=2,AA$100*EXP(-(LN(2)/$D$65+0.04)*(VLOOKUP(($F$16-$F$15)-1,U$99:Y241,4,FALSE)))*EXP(-(LN(2)/$D$65+0.1)*(VLOOKUP(($F$16-$F$15)-1,U$99:Y241,5,FALSE)))*EXP(-(LN(2)/$D$65+0.04)*X241)*EXP(-(LN(2)/$D$65+0.1)*Y241),IF(V241=3,AA$100*EXP(-(LN(2)/$D$65+0.04)*(VLOOKUP(($F$16-$F$15)-1,U$99:Y241,4,FALSE)))*EXP(-(LN(2)/$D$65+0.1)*(VLOOKUP(($F$16-$F$15)-1,U$99:Y241,5,FALSE)))*EXP(-(LN(2)/$D$65+0.04)*(VLOOKUP(($F$16-$F$15)*2-1,U$99:Y241,4,FALSE)))*EXP(-(LN(2)/$D$65+0.1)*(VLOOKUP(($F$16-$F$15)*2-1,U$99:Y241,5,FALSE)))*EXP(-(LN(2)/$D$65+0.04)*X241)*EXP(-(LN(2)/$D$65+0.1)*Y241),"-"))),"-")</f>
        <v>-</v>
      </c>
      <c r="AB242" s="271" t="str">
        <f>IFERROR(IF(V242=1,AB$100*EXP(-(LN(2)/$D$65+0.04)*X242)*EXP(-(LN(2)/$D$65+0.1)*Y242),IF(V242=2,AB$100*EXP(-(LN(2)/$D$65+0.04)*(VLOOKUP(($F$16-$F$15)-1,U$100:Y242,4,FALSE)))*EXP(-(LN(2)/$D$65+0.1)*(VLOOKUP(($F$16-$F$15)-1,U$100:Y242,5,FALSE)))*EXP(-(LN(2)/$D$65+0.04)*X242)*EXP(-(LN(2)/$D$65+0.1)*Y242),IF(V242=3,AB$100*EXP(-(LN(2)/$D$65+0.04)*(VLOOKUP(($F$16-$F$15)-1,U$100:Y242,4,FALSE)))*EXP(-(LN(2)/$D$65+0.1)*(VLOOKUP(($F$16-$F$15)-1,U$100:Y242,5,FALSE)))*EXP(-(LN(2)/$D$65+0.04)*(VLOOKUP(($F$16-$F$15)*2-1,U$100:Y242,4,FALSE)))*EXP(-(LN(2)/$D$65+0.1)*(VLOOKUP(($F$16-$F$15)*2-1,U$100:Y242,5,FALSE)))*EXP(-(LN(2)/$D$65+0.04)*X242)*EXP(-(LN(2)/$D$65+0.1)*Y242),"-"))),"-")</f>
        <v>-</v>
      </c>
      <c r="AC242" s="224">
        <f t="shared" ref="AC242:AC250" si="228">B242</f>
        <v>142</v>
      </c>
      <c r="AD242" s="223" t="str">
        <f t="shared" si="188"/>
        <v>-</v>
      </c>
      <c r="AE242" s="224" t="str">
        <f t="shared" si="215"/>
        <v>-</v>
      </c>
      <c r="AF242" s="224" t="str">
        <f t="shared" si="189"/>
        <v>-</v>
      </c>
      <c r="AG242" s="224" t="str">
        <f t="shared" si="190"/>
        <v>-</v>
      </c>
      <c r="AH242" s="272">
        <f t="shared" si="216"/>
        <v>0.1</v>
      </c>
      <c r="AI242" s="271" t="str">
        <f>IFERROR(IF(AD241=1,AI$100*EXP(-(LN(2)/$D$65+0.04)*AF241)*EXP(-(LN(2)/$D$65+0.1)*AG241),IF(AD241=2,AI$100*EXP(-(LN(2)/$D$65+0.04)*(VLOOKUP(($F$16-$F$15)-1,AC$99:AG241,4,FALSE)))*EXP(-(LN(2)/$D$65+0.1)*(VLOOKUP(($F$16-$F$15)-1,AC$99:AG241,5,FALSE)))*EXP(-(LN(2)/$D$65+0.04)*AF241)*EXP(-(LN(2)/$D$65+0.1)*AG241),IF(AD241=3,AI$100*EXP(-(LN(2)/$D$65+0.04)*(VLOOKUP(($F$16-$F$15)-1,AC$99:AG241,4,FALSE)))*EXP(-(LN(2)/$D$65+0.1)*(VLOOKUP(($F$16-$F$15)-1,AC$99:AG241,5,FALSE)))*EXP(-(LN(2)/$D$65+0.04)*(VLOOKUP(($F$16-$F$15)*2-1,AC$99:AG241,4,FALSE)))*EXP(-(LN(2)/$D$65+0.1)*(VLOOKUP(($F$16-$F$15)*2-1,AC$99:AG241,5,FALSE)))*EXP(-(LN(2)/$D$65+0.04)*AF241)*EXP(-(LN(2)/$D$65+0.1)*AG241),"-"))),"-")</f>
        <v>-</v>
      </c>
      <c r="AJ242" s="271" t="str">
        <f>IFERROR(IF(AD242=1,AJ$100*EXP(-(LN(2)/$D$65+0.04)*AF242)*EXP(-(LN(2)/$D$65+0.1)*AG242),IF(AD242=2,AJ$100*EXP(-(LN(2)/$D$65+0.04)*(VLOOKUP(($F$16-$F$15)-1,AC$100:AG242,4,FALSE)))*EXP(-(LN(2)/$D$65+0.1)*(VLOOKUP(($F$16-$F$15)-1,AC$100:AG242,5,FALSE)))*EXP(-(LN(2)/$D$65+0.04)*AF242)*EXP(-(LN(2)/$D$65+0.1)*AG242),IF(AD242=3,AJ$100*EXP(-(LN(2)/$D$65+0.04)*(VLOOKUP(($F$16-$F$15)-1,AC$100:AG242,4,FALSE)))*EXP(-(LN(2)/$D$65+0.1)*(VLOOKUP(($F$16-$F$15)-1,AC$100:AG242,5,FALSE)))*EXP(-(LN(2)/$D$65+0.04)*(VLOOKUP(($F$16-$F$15)*2-1,AC$100:AG242,4,FALSE)))*EXP(-(LN(2)/$D$65+0.1)*(VLOOKUP(($F$16-$F$15)*2-1,AC$100:AG242,5,FALSE)))*EXP(-(LN(2)/$D$65+0.04)*AF242)*EXP(-(LN(2)/$D$65+0.1)*AG242),"-"))),"-")</f>
        <v>-</v>
      </c>
      <c r="AK242" s="227">
        <f t="shared" si="217"/>
        <v>142</v>
      </c>
      <c r="AL242" s="226" t="str">
        <f t="shared" si="191"/>
        <v>-</v>
      </c>
      <c r="AM242" s="227" t="str">
        <f t="shared" si="218"/>
        <v>-</v>
      </c>
      <c r="AN242" s="227" t="str">
        <f t="shared" si="219"/>
        <v>-</v>
      </c>
      <c r="AO242" s="227" t="str">
        <f t="shared" si="192"/>
        <v>-</v>
      </c>
      <c r="AP242" s="273">
        <f t="shared" si="220"/>
        <v>0.1</v>
      </c>
      <c r="AQ242" s="271" t="str">
        <f>IFERROR(IF(AL241=1,AQ$100*EXP(-(LN(2)/$D$65+0.04)*AN241)*EXP(-(LN(2)/$D$65+0.1)*AO241),IF(AL241=2,AQ$100*EXP(-(LN(2)/$D$65+0.04)*(VLOOKUP(($F$16-$F$15)-1,AK$99:AO241,4,FALSE)))*EXP(-(LN(2)/$D$65+0.1)*(VLOOKUP(($F$16-$F$15)-1,AK$99:AO241,5,FALSE)))*EXP(-(LN(2)/$D$65+0.04)*AN241)*EXP(-(LN(2)/$D$65+0.1)*AO241),IF(AL241=3,AQ$100*EXP(-(LN(2)/$D$65+0.04)*(VLOOKUP(($F$16-$F$15)-1,AK$99:AO241,4,FALSE)))*EXP(-(LN(2)/$D$65+0.1)*(VLOOKUP(($F$16-$F$15)-1,AK$99:AO241,5,FALSE)))*EXP(-(LN(2)/$D$65+0.04)*(VLOOKUP(($F$16-$F$15)*2-1,AK$99:AO241,4,FALSE)))*EXP(-(LN(2)/$D$65+0.1)*(VLOOKUP(($F$16-$F$15)*2-1,AK$99:AO241,5,FALSE)))*EXP(-(LN(2)/$D$65+0.04)*AN241)*EXP(-(LN(2)/$D$65+0.1)*AO241),"-"))),"-")</f>
        <v>-</v>
      </c>
      <c r="AR242" s="271" t="str">
        <f>IFERROR(IF(AL242=1,AR$100*EXP(-(LN(2)/$D$65+0.04)*AN242)*EXP(-(LN(2)/$D$65+0.1)*AO242),IF(AL242=2,AR$100*EXP(-(LN(2)/$D$65+0.04)*(VLOOKUP(($F$16-$F$15)-1,AK$100:AO242,4,FALSE)))*EXP(-(LN(2)/$D$65+0.1)*(VLOOKUP(($F$16-$F$15)-1,AK$100:AO242,5,FALSE)))*EXP(-(LN(2)/$D$65+0.04)*AN242)*EXP(-(LN(2)/$D$65+0.1)*AO242),IF(AL242=3,AR$100*EXP(-(LN(2)/$D$65+0.04)*(VLOOKUP(($F$16-$F$15)-1,AK$100:AO242,4,FALSE)))*EXP(-(LN(2)/$D$65+0.1)*(VLOOKUP(($F$16-$F$15)-1,AK$100:AO242,5,FALSE)))*EXP(-(LN(2)/$D$65+0.04)*(VLOOKUP(($F$16-$F$15)*2-1,AK$100:AO242,4,FALSE)))*EXP(-(LN(2)/$D$65+0.1)*(VLOOKUP(($F$16-$F$15)*2-1,AK$100:AO242,5,FALSE)))*EXP(-(LN(2)/$D$65+0.04)*AN242)*EXP(-(LN(2)/$D$65+0.1)*AO242),"-"))),"-")</f>
        <v>-</v>
      </c>
      <c r="AS242" s="274">
        <f t="shared" si="193"/>
        <v>0</v>
      </c>
      <c r="AT242" s="274">
        <f t="shared" si="194"/>
        <v>0</v>
      </c>
      <c r="AU242" s="274">
        <f t="shared" si="195"/>
        <v>0</v>
      </c>
      <c r="AV242" s="190">
        <f>IF($B242&lt;$F$22,SUM($T$100:$T242),"")</f>
        <v>0</v>
      </c>
      <c r="AW242" s="190" t="str">
        <f t="shared" si="196"/>
        <v>-</v>
      </c>
      <c r="AX242" s="190" t="str">
        <f t="shared" si="221"/>
        <v/>
      </c>
      <c r="AY242"/>
      <c r="AZ242" s="190" t="str">
        <f ca="1">IF(ISNUMBER(OFFSET(AV242,-$F$21,0)),SUM(OFFSET($T$100,$F$21,0):$T242),"")</f>
        <v/>
      </c>
      <c r="BA242" s="190" t="str">
        <f t="shared" ca="1" si="197"/>
        <v/>
      </c>
      <c r="BB242" s="190" t="str">
        <f t="shared" ca="1" si="149"/>
        <v/>
      </c>
      <c r="BC242" s="190"/>
      <c r="BD242" s="190" t="str">
        <f ca="1">IFERROR(IF(AND($B242&gt;=($F$16-$F$15),$B242&lt;$F$22+($F$16-$F$15)),SUM(OFFSET($T$100,($F$16-$F$15),0):$T242),""),"")</f>
        <v/>
      </c>
      <c r="BE242" s="190" t="str">
        <f t="shared" ca="1" si="222"/>
        <v/>
      </c>
      <c r="BF242" s="190" t="str">
        <f t="shared" ca="1" si="223"/>
        <v/>
      </c>
      <c r="BG242"/>
      <c r="BH242" s="190" t="str">
        <f ca="1">IF(ISNUMBER(OFFSET(BD242,-$F$21,0)),SUM(OFFSET($T$100,($F$16-$F$15+$F$21),0):$T242),"")</f>
        <v/>
      </c>
      <c r="BI242" s="190" t="str">
        <f t="shared" ca="1" si="198"/>
        <v/>
      </c>
      <c r="BJ242" s="190" t="str">
        <f t="shared" ca="1" si="224"/>
        <v/>
      </c>
      <c r="BK242" s="190"/>
      <c r="BL242" s="190" t="str">
        <f ca="1">IFERROR(IF(AND($B242&gt;=($F$17-$F$15),$B242&lt;$F$22+($F$17-$F$15)),SUM(OFFSET($T$100,($F$17-$F$15),0):$T242),""),"")</f>
        <v/>
      </c>
      <c r="BM242" s="190" t="str">
        <f t="shared" ca="1" si="199"/>
        <v/>
      </c>
      <c r="BN242" s="190" t="str">
        <f t="shared" ca="1" si="225"/>
        <v/>
      </c>
      <c r="BO242"/>
      <c r="BP242" s="190" t="str">
        <f ca="1">IF(ISNUMBER(OFFSET(BL242,-$F$21,0)),SUM(OFFSET($T$100,($F$17-$F$15+$F$21),0):$T242),"")</f>
        <v/>
      </c>
      <c r="BQ242" s="190" t="str">
        <f t="shared" ca="1" si="200"/>
        <v/>
      </c>
      <c r="BR242" s="190" t="str">
        <f t="shared" ca="1" si="226"/>
        <v/>
      </c>
      <c r="BS242" s="190"/>
      <c r="BT242"/>
      <c r="BU242"/>
      <c r="BV242"/>
      <c r="BY242" s="99"/>
      <c r="BZ242" s="99"/>
      <c r="CA242" s="280" t="str">
        <f t="shared" si="201"/>
        <v/>
      </c>
      <c r="CB242" s="71" t="str">
        <f t="shared" si="202"/>
        <v>-</v>
      </c>
      <c r="CC242" s="33"/>
      <c r="CD242" s="261" t="str">
        <f t="shared" si="203"/>
        <v/>
      </c>
      <c r="CE242" s="280" t="str">
        <f t="shared" si="204"/>
        <v>-</v>
      </c>
      <c r="CF242" s="71" t="str">
        <f t="shared" ca="1" si="205"/>
        <v>-</v>
      </c>
      <c r="CG242" s="33" t="str">
        <f t="shared" si="206"/>
        <v>142-143</v>
      </c>
      <c r="CH242" s="261" t="str">
        <f t="shared" ca="1" si="207"/>
        <v/>
      </c>
    </row>
    <row r="243" spans="2:86" ht="13.5" customHeight="1" x14ac:dyDescent="0.2">
      <c r="B243" s="262">
        <v>143</v>
      </c>
      <c r="C243" s="237" t="str">
        <f t="shared" si="171"/>
        <v/>
      </c>
      <c r="D243" s="237" t="str">
        <f t="shared" si="227"/>
        <v>-</v>
      </c>
      <c r="E243" s="263" t="str">
        <f t="shared" si="208"/>
        <v/>
      </c>
      <c r="F243" s="264" t="str">
        <f t="shared" si="209"/>
        <v/>
      </c>
      <c r="G243" s="264" t="str">
        <f t="shared" si="210"/>
        <v/>
      </c>
      <c r="H243" s="240" t="str">
        <f t="shared" si="172"/>
        <v/>
      </c>
      <c r="I243" s="265" t="str">
        <f t="shared" si="173"/>
        <v/>
      </c>
      <c r="J243" s="265" t="str">
        <f t="shared" si="174"/>
        <v/>
      </c>
      <c r="K243" s="240" t="str">
        <f t="shared" si="175"/>
        <v/>
      </c>
      <c r="L243" s="265" t="str">
        <f t="shared" si="176"/>
        <v/>
      </c>
      <c r="M243" s="265" t="str">
        <f t="shared" si="177"/>
        <v/>
      </c>
      <c r="N243" s="240" t="str">
        <f t="shared" si="178"/>
        <v>-</v>
      </c>
      <c r="O243" s="265" t="str">
        <f t="shared" si="179"/>
        <v>-</v>
      </c>
      <c r="P243" s="265" t="str">
        <f t="shared" si="180"/>
        <v>-</v>
      </c>
      <c r="Q243" s="266" t="str">
        <f t="shared" si="181"/>
        <v>-</v>
      </c>
      <c r="R243" s="267" t="str">
        <f t="shared" si="182"/>
        <v>-</v>
      </c>
      <c r="S243" s="268" t="str">
        <f t="shared" si="183"/>
        <v>-</v>
      </c>
      <c r="T243" s="269" t="str">
        <f t="shared" si="184"/>
        <v/>
      </c>
      <c r="U243" s="221">
        <f t="shared" si="185"/>
        <v>143</v>
      </c>
      <c r="V243" s="220" t="str">
        <f t="shared" si="211"/>
        <v>-</v>
      </c>
      <c r="W243" s="221" t="str">
        <f t="shared" si="212"/>
        <v>-</v>
      </c>
      <c r="X243" s="221" t="str">
        <f t="shared" si="186"/>
        <v>-</v>
      </c>
      <c r="Y243" s="221" t="str">
        <f t="shared" si="187"/>
        <v>-</v>
      </c>
      <c r="Z243" s="270">
        <f t="shared" si="213"/>
        <v>0.1</v>
      </c>
      <c r="AA243" s="271" t="str">
        <f>IFERROR(IF(V242=1,AA$100*EXP(-(LN(2)/$D$65+0.04)*X242)*EXP(-(LN(2)/$D$65+0.1)*Y242),IF(V242=2,AA$100*EXP(-(LN(2)/$D$65+0.04)*(VLOOKUP(($F$16-$F$15)-1,U$99:Y242,4,FALSE)))*EXP(-(LN(2)/$D$65+0.1)*(VLOOKUP(($F$16-$F$15)-1,U$99:Y242,5,FALSE)))*EXP(-(LN(2)/$D$65+0.04)*X242)*EXP(-(LN(2)/$D$65+0.1)*Y242),IF(V242=3,AA$100*EXP(-(LN(2)/$D$65+0.04)*(VLOOKUP(($F$16-$F$15)-1,U$99:Y242,4,FALSE)))*EXP(-(LN(2)/$D$65+0.1)*(VLOOKUP(($F$16-$F$15)-1,U$99:Y242,5,FALSE)))*EXP(-(LN(2)/$D$65+0.04)*(VLOOKUP(($F$16-$F$15)*2-1,U$99:Y242,4,FALSE)))*EXP(-(LN(2)/$D$65+0.1)*(VLOOKUP(($F$16-$F$15)*2-1,U$99:Y242,5,FALSE)))*EXP(-(LN(2)/$D$65+0.04)*X242)*EXP(-(LN(2)/$D$65+0.1)*Y242),"-"))),"-")</f>
        <v>-</v>
      </c>
      <c r="AB243" s="271" t="str">
        <f>IFERROR(IF(V243=1,AB$100*EXP(-(LN(2)/$D$65+0.04)*X243)*EXP(-(LN(2)/$D$65+0.1)*Y243),IF(V243=2,AB$100*EXP(-(LN(2)/$D$65+0.04)*(VLOOKUP(($F$16-$F$15)-1,U$100:Y243,4,FALSE)))*EXP(-(LN(2)/$D$65+0.1)*(VLOOKUP(($F$16-$F$15)-1,U$100:Y243,5,FALSE)))*EXP(-(LN(2)/$D$65+0.04)*X243)*EXP(-(LN(2)/$D$65+0.1)*Y243),IF(V243=3,AB$100*EXP(-(LN(2)/$D$65+0.04)*(VLOOKUP(($F$16-$F$15)-1,U$100:Y243,4,FALSE)))*EXP(-(LN(2)/$D$65+0.1)*(VLOOKUP(($F$16-$F$15)-1,U$100:Y243,5,FALSE)))*EXP(-(LN(2)/$D$65+0.04)*(VLOOKUP(($F$16-$F$15)*2-1,U$100:Y243,4,FALSE)))*EXP(-(LN(2)/$D$65+0.1)*(VLOOKUP(($F$16-$F$15)*2-1,U$100:Y243,5,FALSE)))*EXP(-(LN(2)/$D$65+0.04)*X243)*EXP(-(LN(2)/$D$65+0.1)*Y243),"-"))),"-")</f>
        <v>-</v>
      </c>
      <c r="AC243" s="224">
        <f t="shared" si="228"/>
        <v>143</v>
      </c>
      <c r="AD243" s="223" t="str">
        <f t="shared" si="188"/>
        <v>-</v>
      </c>
      <c r="AE243" s="224" t="str">
        <f t="shared" si="215"/>
        <v>-</v>
      </c>
      <c r="AF243" s="224" t="str">
        <f t="shared" si="189"/>
        <v>-</v>
      </c>
      <c r="AG243" s="224" t="str">
        <f t="shared" si="190"/>
        <v>-</v>
      </c>
      <c r="AH243" s="272">
        <f t="shared" si="216"/>
        <v>0.1</v>
      </c>
      <c r="AI243" s="271" t="str">
        <f>IFERROR(IF(AD242=1,AI$100*EXP(-(LN(2)/$D$65+0.04)*AF242)*EXP(-(LN(2)/$D$65+0.1)*AG242),IF(AD242=2,AI$100*EXP(-(LN(2)/$D$65+0.04)*(VLOOKUP(($F$16-$F$15)-1,AC$99:AG242,4,FALSE)))*EXP(-(LN(2)/$D$65+0.1)*(VLOOKUP(($F$16-$F$15)-1,AC$99:AG242,5,FALSE)))*EXP(-(LN(2)/$D$65+0.04)*AF242)*EXP(-(LN(2)/$D$65+0.1)*AG242),IF(AD242=3,AI$100*EXP(-(LN(2)/$D$65+0.04)*(VLOOKUP(($F$16-$F$15)-1,AC$99:AG242,4,FALSE)))*EXP(-(LN(2)/$D$65+0.1)*(VLOOKUP(($F$16-$F$15)-1,AC$99:AG242,5,FALSE)))*EXP(-(LN(2)/$D$65+0.04)*(VLOOKUP(($F$16-$F$15)*2-1,AC$99:AG242,4,FALSE)))*EXP(-(LN(2)/$D$65+0.1)*(VLOOKUP(($F$16-$F$15)*2-1,AC$99:AG242,5,FALSE)))*EXP(-(LN(2)/$D$65+0.04)*AF242)*EXP(-(LN(2)/$D$65+0.1)*AG242),"-"))),"-")</f>
        <v>-</v>
      </c>
      <c r="AJ243" s="271" t="str">
        <f>IFERROR(IF(AD243=1,AJ$100*EXP(-(LN(2)/$D$65+0.04)*AF243)*EXP(-(LN(2)/$D$65+0.1)*AG243),IF(AD243=2,AJ$100*EXP(-(LN(2)/$D$65+0.04)*(VLOOKUP(($F$16-$F$15)-1,AC$100:AG243,4,FALSE)))*EXP(-(LN(2)/$D$65+0.1)*(VLOOKUP(($F$16-$F$15)-1,AC$100:AG243,5,FALSE)))*EXP(-(LN(2)/$D$65+0.04)*AF243)*EXP(-(LN(2)/$D$65+0.1)*AG243),IF(AD243=3,AJ$100*EXP(-(LN(2)/$D$65+0.04)*(VLOOKUP(($F$16-$F$15)-1,AC$100:AG243,4,FALSE)))*EXP(-(LN(2)/$D$65+0.1)*(VLOOKUP(($F$16-$F$15)-1,AC$100:AG243,5,FALSE)))*EXP(-(LN(2)/$D$65+0.04)*(VLOOKUP(($F$16-$F$15)*2-1,AC$100:AG243,4,FALSE)))*EXP(-(LN(2)/$D$65+0.1)*(VLOOKUP(($F$16-$F$15)*2-1,AC$100:AG243,5,FALSE)))*EXP(-(LN(2)/$D$65+0.04)*AF243)*EXP(-(LN(2)/$D$65+0.1)*AG243),"-"))),"-")</f>
        <v>-</v>
      </c>
      <c r="AK243" s="227">
        <f t="shared" si="217"/>
        <v>143</v>
      </c>
      <c r="AL243" s="226" t="str">
        <f t="shared" si="191"/>
        <v>-</v>
      </c>
      <c r="AM243" s="227" t="str">
        <f t="shared" si="218"/>
        <v>-</v>
      </c>
      <c r="AN243" s="227" t="str">
        <f t="shared" si="219"/>
        <v>-</v>
      </c>
      <c r="AO243" s="227" t="str">
        <f t="shared" si="192"/>
        <v>-</v>
      </c>
      <c r="AP243" s="273">
        <f t="shared" si="220"/>
        <v>0.1</v>
      </c>
      <c r="AQ243" s="271" t="str">
        <f>IFERROR(IF(AL242=1,AQ$100*EXP(-(LN(2)/$D$65+0.04)*AN242)*EXP(-(LN(2)/$D$65+0.1)*AO242),IF(AL242=2,AQ$100*EXP(-(LN(2)/$D$65+0.04)*(VLOOKUP(($F$16-$F$15)-1,AK$99:AO242,4,FALSE)))*EXP(-(LN(2)/$D$65+0.1)*(VLOOKUP(($F$16-$F$15)-1,AK$99:AO242,5,FALSE)))*EXP(-(LN(2)/$D$65+0.04)*AN242)*EXP(-(LN(2)/$D$65+0.1)*AO242),IF(AL242=3,AQ$100*EXP(-(LN(2)/$D$65+0.04)*(VLOOKUP(($F$16-$F$15)-1,AK$99:AO242,4,FALSE)))*EXP(-(LN(2)/$D$65+0.1)*(VLOOKUP(($F$16-$F$15)-1,AK$99:AO242,5,FALSE)))*EXP(-(LN(2)/$D$65+0.04)*(VLOOKUP(($F$16-$F$15)*2-1,AK$99:AO242,4,FALSE)))*EXP(-(LN(2)/$D$65+0.1)*(VLOOKUP(($F$16-$F$15)*2-1,AK$99:AO242,5,FALSE)))*EXP(-(LN(2)/$D$65+0.04)*AN242)*EXP(-(LN(2)/$D$65+0.1)*AO242),"-"))),"-")</f>
        <v>-</v>
      </c>
      <c r="AR243" s="271" t="str">
        <f>IFERROR(IF(AL243=1,AR$100*EXP(-(LN(2)/$D$65+0.04)*AN243)*EXP(-(LN(2)/$D$65+0.1)*AO243),IF(AL243=2,AR$100*EXP(-(LN(2)/$D$65+0.04)*(VLOOKUP(($F$16-$F$15)-1,AK$100:AO243,4,FALSE)))*EXP(-(LN(2)/$D$65+0.1)*(VLOOKUP(($F$16-$F$15)-1,AK$100:AO243,5,FALSE)))*EXP(-(LN(2)/$D$65+0.04)*AN243)*EXP(-(LN(2)/$D$65+0.1)*AO243),IF(AL243=3,AR$100*EXP(-(LN(2)/$D$65+0.04)*(VLOOKUP(($F$16-$F$15)-1,AK$100:AO243,4,FALSE)))*EXP(-(LN(2)/$D$65+0.1)*(VLOOKUP(($F$16-$F$15)-1,AK$100:AO243,5,FALSE)))*EXP(-(LN(2)/$D$65+0.04)*(VLOOKUP(($F$16-$F$15)*2-1,AK$100:AO243,4,FALSE)))*EXP(-(LN(2)/$D$65+0.1)*(VLOOKUP(($F$16-$F$15)*2-1,AK$100:AO243,5,FALSE)))*EXP(-(LN(2)/$D$65+0.04)*AN243)*EXP(-(LN(2)/$D$65+0.1)*AO243),"-"))),"-")</f>
        <v>-</v>
      </c>
      <c r="AS243" s="274">
        <f t="shared" si="193"/>
        <v>0</v>
      </c>
      <c r="AT243" s="274">
        <f t="shared" si="194"/>
        <v>0</v>
      </c>
      <c r="AU243" s="274">
        <f t="shared" si="195"/>
        <v>0</v>
      </c>
      <c r="AV243" s="190">
        <f>IF($B243&lt;$F$22,SUM($T$100:$T243),"")</f>
        <v>0</v>
      </c>
      <c r="AW243" s="190" t="str">
        <f t="shared" si="196"/>
        <v>-</v>
      </c>
      <c r="AX243" s="190" t="str">
        <f t="shared" si="221"/>
        <v/>
      </c>
      <c r="AY243"/>
      <c r="AZ243" s="190" t="str">
        <f ca="1">IF(ISNUMBER(OFFSET(AV243,-$F$21,0)),SUM(OFFSET($T$100,$F$21,0):$T243),"")</f>
        <v/>
      </c>
      <c r="BA243" s="190" t="str">
        <f t="shared" ca="1" si="197"/>
        <v/>
      </c>
      <c r="BB243" s="190" t="str">
        <f t="shared" ca="1" si="149"/>
        <v/>
      </c>
      <c r="BC243" s="190"/>
      <c r="BD243" s="190" t="str">
        <f ca="1">IFERROR(IF(AND($B243&gt;=($F$16-$F$15),$B243&lt;$F$22+($F$16-$F$15)),SUM(OFFSET($T$100,($F$16-$F$15),0):$T243),""),"")</f>
        <v/>
      </c>
      <c r="BE243" s="190" t="str">
        <f t="shared" ca="1" si="222"/>
        <v/>
      </c>
      <c r="BF243" s="190" t="str">
        <f t="shared" ca="1" si="223"/>
        <v/>
      </c>
      <c r="BG243"/>
      <c r="BH243" s="190" t="str">
        <f ca="1">IF(ISNUMBER(OFFSET(BD243,-$F$21,0)),SUM(OFFSET($T$100,($F$16-$F$15+$F$21),0):$T243),"")</f>
        <v/>
      </c>
      <c r="BI243" s="190" t="str">
        <f t="shared" ca="1" si="198"/>
        <v/>
      </c>
      <c r="BJ243" s="190" t="str">
        <f t="shared" ca="1" si="224"/>
        <v/>
      </c>
      <c r="BK243" s="190"/>
      <c r="BL243" s="190" t="str">
        <f ca="1">IFERROR(IF(AND($B243&gt;=($F$17-$F$15),$B243&lt;$F$22+($F$17-$F$15)),SUM(OFFSET($T$100,($F$17-$F$15),0):$T243),""),"")</f>
        <v/>
      </c>
      <c r="BM243" s="190" t="str">
        <f t="shared" ca="1" si="199"/>
        <v/>
      </c>
      <c r="BN243" s="190" t="str">
        <f t="shared" ca="1" si="225"/>
        <v/>
      </c>
      <c r="BO243"/>
      <c r="BP243" s="190" t="str">
        <f ca="1">IF(ISNUMBER(OFFSET(BL243,-$F$21,0)),SUM(OFFSET($T$100,($F$17-$F$15+$F$21),0):$T243),"")</f>
        <v/>
      </c>
      <c r="BQ243" s="190" t="str">
        <f t="shared" ca="1" si="200"/>
        <v/>
      </c>
      <c r="BR243" s="190" t="str">
        <f t="shared" ca="1" si="226"/>
        <v/>
      </c>
      <c r="BS243" s="190"/>
      <c r="BT243"/>
      <c r="BU243"/>
      <c r="BV243"/>
      <c r="BY243" s="99"/>
      <c r="BZ243" s="99"/>
      <c r="CA243" s="280" t="str">
        <f t="shared" si="201"/>
        <v/>
      </c>
      <c r="CB243" s="71" t="str">
        <f t="shared" si="202"/>
        <v>-</v>
      </c>
      <c r="CC243" s="33"/>
      <c r="CD243" s="261" t="str">
        <f t="shared" si="203"/>
        <v/>
      </c>
      <c r="CE243" s="280" t="str">
        <f t="shared" si="204"/>
        <v>-</v>
      </c>
      <c r="CF243" s="71" t="str">
        <f t="shared" ca="1" si="205"/>
        <v>-</v>
      </c>
      <c r="CG243" s="33" t="str">
        <f t="shared" si="206"/>
        <v>143-144</v>
      </c>
      <c r="CH243" s="261" t="str">
        <f t="shared" ca="1" si="207"/>
        <v/>
      </c>
    </row>
    <row r="244" spans="2:86" ht="13.5" customHeight="1" x14ac:dyDescent="0.2">
      <c r="B244" s="262">
        <v>144</v>
      </c>
      <c r="C244" s="237" t="str">
        <f t="shared" si="171"/>
        <v/>
      </c>
      <c r="D244" s="237" t="str">
        <f t="shared" si="227"/>
        <v>-</v>
      </c>
      <c r="E244" s="263" t="str">
        <f t="shared" si="208"/>
        <v/>
      </c>
      <c r="F244" s="264" t="str">
        <f t="shared" si="209"/>
        <v/>
      </c>
      <c r="G244" s="264" t="str">
        <f t="shared" si="210"/>
        <v/>
      </c>
      <c r="H244" s="240" t="str">
        <f t="shared" si="172"/>
        <v/>
      </c>
      <c r="I244" s="265" t="str">
        <f t="shared" si="173"/>
        <v/>
      </c>
      <c r="J244" s="265" t="str">
        <f t="shared" si="174"/>
        <v/>
      </c>
      <c r="K244" s="240" t="str">
        <f t="shared" si="175"/>
        <v/>
      </c>
      <c r="L244" s="265" t="str">
        <f t="shared" si="176"/>
        <v/>
      </c>
      <c r="M244" s="265" t="str">
        <f t="shared" si="177"/>
        <v/>
      </c>
      <c r="N244" s="240" t="str">
        <f t="shared" si="178"/>
        <v>-</v>
      </c>
      <c r="O244" s="265" t="str">
        <f t="shared" si="179"/>
        <v>-</v>
      </c>
      <c r="P244" s="265" t="str">
        <f t="shared" si="180"/>
        <v>-</v>
      </c>
      <c r="Q244" s="266" t="str">
        <f t="shared" si="181"/>
        <v>-</v>
      </c>
      <c r="R244" s="267" t="str">
        <f t="shared" si="182"/>
        <v>-</v>
      </c>
      <c r="S244" s="268" t="str">
        <f t="shared" si="183"/>
        <v>-</v>
      </c>
      <c r="T244" s="269" t="str">
        <f t="shared" si="184"/>
        <v/>
      </c>
      <c r="U244" s="221">
        <f t="shared" si="185"/>
        <v>144</v>
      </c>
      <c r="V244" s="220" t="str">
        <f t="shared" si="211"/>
        <v>-</v>
      </c>
      <c r="W244" s="221" t="str">
        <f t="shared" si="212"/>
        <v>-</v>
      </c>
      <c r="X244" s="221" t="str">
        <f t="shared" si="186"/>
        <v>-</v>
      </c>
      <c r="Y244" s="221" t="str">
        <f t="shared" si="187"/>
        <v>-</v>
      </c>
      <c r="Z244" s="270">
        <f t="shared" si="213"/>
        <v>0.1</v>
      </c>
      <c r="AA244" s="271" t="str">
        <f>IFERROR(IF(V243=1,AA$100*EXP(-(LN(2)/$D$65+0.04)*X243)*EXP(-(LN(2)/$D$65+0.1)*Y243),IF(V243=2,AA$100*EXP(-(LN(2)/$D$65+0.04)*(VLOOKUP(($F$16-$F$15)-1,U$99:Y243,4,FALSE)))*EXP(-(LN(2)/$D$65+0.1)*(VLOOKUP(($F$16-$F$15)-1,U$99:Y243,5,FALSE)))*EXP(-(LN(2)/$D$65+0.04)*X243)*EXP(-(LN(2)/$D$65+0.1)*Y243),IF(V243=3,AA$100*EXP(-(LN(2)/$D$65+0.04)*(VLOOKUP(($F$16-$F$15)-1,U$99:Y243,4,FALSE)))*EXP(-(LN(2)/$D$65+0.1)*(VLOOKUP(($F$16-$F$15)-1,U$99:Y243,5,FALSE)))*EXP(-(LN(2)/$D$65+0.04)*(VLOOKUP(($F$16-$F$15)*2-1,U$99:Y243,4,FALSE)))*EXP(-(LN(2)/$D$65+0.1)*(VLOOKUP(($F$16-$F$15)*2-1,U$99:Y243,5,FALSE)))*EXP(-(LN(2)/$D$65+0.04)*X243)*EXP(-(LN(2)/$D$65+0.1)*Y243),"-"))),"-")</f>
        <v>-</v>
      </c>
      <c r="AB244" s="271" t="str">
        <f>IFERROR(IF(V244=1,AB$100*EXP(-(LN(2)/$D$65+0.04)*X244)*EXP(-(LN(2)/$D$65+0.1)*Y244),IF(V244=2,AB$100*EXP(-(LN(2)/$D$65+0.04)*(VLOOKUP(($F$16-$F$15)-1,U$100:Y244,4,FALSE)))*EXP(-(LN(2)/$D$65+0.1)*(VLOOKUP(($F$16-$F$15)-1,U$100:Y244,5,FALSE)))*EXP(-(LN(2)/$D$65+0.04)*X244)*EXP(-(LN(2)/$D$65+0.1)*Y244),IF(V244=3,AB$100*EXP(-(LN(2)/$D$65+0.04)*(VLOOKUP(($F$16-$F$15)-1,U$100:Y244,4,FALSE)))*EXP(-(LN(2)/$D$65+0.1)*(VLOOKUP(($F$16-$F$15)-1,U$100:Y244,5,FALSE)))*EXP(-(LN(2)/$D$65+0.04)*(VLOOKUP(($F$16-$F$15)*2-1,U$100:Y244,4,FALSE)))*EXP(-(LN(2)/$D$65+0.1)*(VLOOKUP(($F$16-$F$15)*2-1,U$100:Y244,5,FALSE)))*EXP(-(LN(2)/$D$65+0.04)*X244)*EXP(-(LN(2)/$D$65+0.1)*Y244),"-"))),"-")</f>
        <v>-</v>
      </c>
      <c r="AC244" s="224">
        <f t="shared" si="228"/>
        <v>144</v>
      </c>
      <c r="AD244" s="223" t="str">
        <f t="shared" si="188"/>
        <v>-</v>
      </c>
      <c r="AE244" s="224" t="str">
        <f t="shared" si="215"/>
        <v>-</v>
      </c>
      <c r="AF244" s="224" t="str">
        <f t="shared" si="189"/>
        <v>-</v>
      </c>
      <c r="AG244" s="224" t="str">
        <f t="shared" si="190"/>
        <v>-</v>
      </c>
      <c r="AH244" s="272">
        <f t="shared" si="216"/>
        <v>0.1</v>
      </c>
      <c r="AI244" s="271" t="str">
        <f>IFERROR(IF(AD243=1,AI$100*EXP(-(LN(2)/$D$65+0.04)*AF243)*EXP(-(LN(2)/$D$65+0.1)*AG243),IF(AD243=2,AI$100*EXP(-(LN(2)/$D$65+0.04)*(VLOOKUP(($F$16-$F$15)-1,AC$99:AG243,4,FALSE)))*EXP(-(LN(2)/$D$65+0.1)*(VLOOKUP(($F$16-$F$15)-1,AC$99:AG243,5,FALSE)))*EXP(-(LN(2)/$D$65+0.04)*AF243)*EXP(-(LN(2)/$D$65+0.1)*AG243),IF(AD243=3,AI$100*EXP(-(LN(2)/$D$65+0.04)*(VLOOKUP(($F$16-$F$15)-1,AC$99:AG243,4,FALSE)))*EXP(-(LN(2)/$D$65+0.1)*(VLOOKUP(($F$16-$F$15)-1,AC$99:AG243,5,FALSE)))*EXP(-(LN(2)/$D$65+0.04)*(VLOOKUP(($F$16-$F$15)*2-1,AC$99:AG243,4,FALSE)))*EXP(-(LN(2)/$D$65+0.1)*(VLOOKUP(($F$16-$F$15)*2-1,AC$99:AG243,5,FALSE)))*EXP(-(LN(2)/$D$65+0.04)*AF243)*EXP(-(LN(2)/$D$65+0.1)*AG243),"-"))),"-")</f>
        <v>-</v>
      </c>
      <c r="AJ244" s="271" t="str">
        <f>IFERROR(IF(AD244=1,AJ$100*EXP(-(LN(2)/$D$65+0.04)*AF244)*EXP(-(LN(2)/$D$65+0.1)*AG244),IF(AD244=2,AJ$100*EXP(-(LN(2)/$D$65+0.04)*(VLOOKUP(($F$16-$F$15)-1,AC$100:AG244,4,FALSE)))*EXP(-(LN(2)/$D$65+0.1)*(VLOOKUP(($F$16-$F$15)-1,AC$100:AG244,5,FALSE)))*EXP(-(LN(2)/$D$65+0.04)*AF244)*EXP(-(LN(2)/$D$65+0.1)*AG244),IF(AD244=3,AJ$100*EXP(-(LN(2)/$D$65+0.04)*(VLOOKUP(($F$16-$F$15)-1,AC$100:AG244,4,FALSE)))*EXP(-(LN(2)/$D$65+0.1)*(VLOOKUP(($F$16-$F$15)-1,AC$100:AG244,5,FALSE)))*EXP(-(LN(2)/$D$65+0.04)*(VLOOKUP(($F$16-$F$15)*2-1,AC$100:AG244,4,FALSE)))*EXP(-(LN(2)/$D$65+0.1)*(VLOOKUP(($F$16-$F$15)*2-1,AC$100:AG244,5,FALSE)))*EXP(-(LN(2)/$D$65+0.04)*AF244)*EXP(-(LN(2)/$D$65+0.1)*AG244),"-"))),"-")</f>
        <v>-</v>
      </c>
      <c r="AK244" s="227">
        <f t="shared" si="217"/>
        <v>144</v>
      </c>
      <c r="AL244" s="226" t="str">
        <f t="shared" si="191"/>
        <v>-</v>
      </c>
      <c r="AM244" s="227" t="str">
        <f t="shared" si="218"/>
        <v>-</v>
      </c>
      <c r="AN244" s="227" t="str">
        <f t="shared" si="219"/>
        <v>-</v>
      </c>
      <c r="AO244" s="227" t="str">
        <f t="shared" si="192"/>
        <v>-</v>
      </c>
      <c r="AP244" s="273">
        <f t="shared" si="220"/>
        <v>0.1</v>
      </c>
      <c r="AQ244" s="271" t="str">
        <f>IFERROR(IF(AL243=1,AQ$100*EXP(-(LN(2)/$D$65+0.04)*AN243)*EXP(-(LN(2)/$D$65+0.1)*AO243),IF(AL243=2,AQ$100*EXP(-(LN(2)/$D$65+0.04)*(VLOOKUP(($F$16-$F$15)-1,AK$99:AO243,4,FALSE)))*EXP(-(LN(2)/$D$65+0.1)*(VLOOKUP(($F$16-$F$15)-1,AK$99:AO243,5,FALSE)))*EXP(-(LN(2)/$D$65+0.04)*AN243)*EXP(-(LN(2)/$D$65+0.1)*AO243),IF(AL243=3,AQ$100*EXP(-(LN(2)/$D$65+0.04)*(VLOOKUP(($F$16-$F$15)-1,AK$99:AO243,4,FALSE)))*EXP(-(LN(2)/$D$65+0.1)*(VLOOKUP(($F$16-$F$15)-1,AK$99:AO243,5,FALSE)))*EXP(-(LN(2)/$D$65+0.04)*(VLOOKUP(($F$16-$F$15)*2-1,AK$99:AO243,4,FALSE)))*EXP(-(LN(2)/$D$65+0.1)*(VLOOKUP(($F$16-$F$15)*2-1,AK$99:AO243,5,FALSE)))*EXP(-(LN(2)/$D$65+0.04)*AN243)*EXP(-(LN(2)/$D$65+0.1)*AO243),"-"))),"-")</f>
        <v>-</v>
      </c>
      <c r="AR244" s="271" t="str">
        <f>IFERROR(IF(AL244=1,AR$100*EXP(-(LN(2)/$D$65+0.04)*AN244)*EXP(-(LN(2)/$D$65+0.1)*AO244),IF(AL244=2,AR$100*EXP(-(LN(2)/$D$65+0.04)*(VLOOKUP(($F$16-$F$15)-1,AK$100:AO244,4,FALSE)))*EXP(-(LN(2)/$D$65+0.1)*(VLOOKUP(($F$16-$F$15)-1,AK$100:AO244,5,FALSE)))*EXP(-(LN(2)/$D$65+0.04)*AN244)*EXP(-(LN(2)/$D$65+0.1)*AO244),IF(AL244=3,AR$100*EXP(-(LN(2)/$D$65+0.04)*(VLOOKUP(($F$16-$F$15)-1,AK$100:AO244,4,FALSE)))*EXP(-(LN(2)/$D$65+0.1)*(VLOOKUP(($F$16-$F$15)-1,AK$100:AO244,5,FALSE)))*EXP(-(LN(2)/$D$65+0.04)*(VLOOKUP(($F$16-$F$15)*2-1,AK$100:AO244,4,FALSE)))*EXP(-(LN(2)/$D$65+0.1)*(VLOOKUP(($F$16-$F$15)*2-1,AK$100:AO244,5,FALSE)))*EXP(-(LN(2)/$D$65+0.04)*AN244)*EXP(-(LN(2)/$D$65+0.1)*AO244),"-"))),"-")</f>
        <v>-</v>
      </c>
      <c r="AS244" s="274">
        <f t="shared" si="193"/>
        <v>0</v>
      </c>
      <c r="AT244" s="274">
        <f t="shared" si="194"/>
        <v>0</v>
      </c>
      <c r="AU244" s="274">
        <f t="shared" si="195"/>
        <v>0</v>
      </c>
      <c r="AV244" s="190">
        <f>IF($B244&lt;$F$22,SUM($T$100:$T244),"")</f>
        <v>0</v>
      </c>
      <c r="AW244" s="190" t="str">
        <f t="shared" si="196"/>
        <v>-</v>
      </c>
      <c r="AX244" s="190" t="str">
        <f t="shared" si="221"/>
        <v/>
      </c>
      <c r="AY244"/>
      <c r="AZ244" s="190" t="str">
        <f ca="1">IF(ISNUMBER(OFFSET(AV244,-$F$21,0)),SUM(OFFSET($T$100,$F$21,0):$T244),"")</f>
        <v/>
      </c>
      <c r="BA244" s="190" t="str">
        <f t="shared" ca="1" si="197"/>
        <v/>
      </c>
      <c r="BB244" s="190" t="str">
        <f t="shared" ca="1" si="149"/>
        <v/>
      </c>
      <c r="BC244" s="190"/>
      <c r="BD244" s="190" t="str">
        <f ca="1">IFERROR(IF(AND($B244&gt;=($F$16-$F$15),$B244&lt;$F$22+($F$16-$F$15)),SUM(OFFSET($T$100,($F$16-$F$15),0):$T244),""),"")</f>
        <v/>
      </c>
      <c r="BE244" s="190" t="str">
        <f t="shared" ca="1" si="222"/>
        <v/>
      </c>
      <c r="BF244" s="190" t="str">
        <f t="shared" ca="1" si="223"/>
        <v/>
      </c>
      <c r="BG244"/>
      <c r="BH244" s="190" t="str">
        <f ca="1">IF(ISNUMBER(OFFSET(BD244,-$F$21,0)),SUM(OFFSET($T$100,($F$16-$F$15+$F$21),0):$T244),"")</f>
        <v/>
      </c>
      <c r="BI244" s="190" t="str">
        <f t="shared" ca="1" si="198"/>
        <v/>
      </c>
      <c r="BJ244" s="190" t="str">
        <f t="shared" ca="1" si="224"/>
        <v/>
      </c>
      <c r="BK244" s="190"/>
      <c r="BL244" s="190" t="str">
        <f ca="1">IFERROR(IF(AND($B244&gt;=($F$17-$F$15),$B244&lt;$F$22+($F$17-$F$15)),SUM(OFFSET($T$100,($F$17-$F$15),0):$T244),""),"")</f>
        <v/>
      </c>
      <c r="BM244" s="190" t="str">
        <f t="shared" ca="1" si="199"/>
        <v/>
      </c>
      <c r="BN244" s="190" t="str">
        <f t="shared" ca="1" si="225"/>
        <v/>
      </c>
      <c r="BO244"/>
      <c r="BP244" s="190" t="str">
        <f ca="1">IF(ISNUMBER(OFFSET(BL244,-$F$21,0)),SUM(OFFSET($T$100,($F$17-$F$15+$F$21),0):$T244),"")</f>
        <v/>
      </c>
      <c r="BQ244" s="190" t="str">
        <f t="shared" ca="1" si="200"/>
        <v/>
      </c>
      <c r="BR244" s="190" t="str">
        <f t="shared" ca="1" si="226"/>
        <v/>
      </c>
      <c r="BS244" s="190"/>
      <c r="BT244"/>
      <c r="BU244"/>
      <c r="BV244"/>
      <c r="BY244" s="99"/>
      <c r="BZ244" s="99"/>
      <c r="CA244" s="280" t="str">
        <f t="shared" si="201"/>
        <v/>
      </c>
      <c r="CB244" s="71" t="str">
        <f t="shared" si="202"/>
        <v>-</v>
      </c>
      <c r="CC244" s="33"/>
      <c r="CD244" s="261" t="str">
        <f t="shared" si="203"/>
        <v/>
      </c>
      <c r="CE244" s="280" t="str">
        <f t="shared" si="204"/>
        <v>-</v>
      </c>
      <c r="CF244" s="71" t="str">
        <f t="shared" ca="1" si="205"/>
        <v>-</v>
      </c>
      <c r="CG244" s="33" t="str">
        <f t="shared" si="206"/>
        <v>144-145</v>
      </c>
      <c r="CH244" s="261" t="str">
        <f t="shared" ca="1" si="207"/>
        <v/>
      </c>
    </row>
    <row r="245" spans="2:86" ht="13.5" customHeight="1" x14ac:dyDescent="0.2">
      <c r="B245" s="262">
        <v>145</v>
      </c>
      <c r="C245" s="237" t="str">
        <f t="shared" si="171"/>
        <v/>
      </c>
      <c r="D245" s="237" t="str">
        <f t="shared" si="227"/>
        <v>-</v>
      </c>
      <c r="E245" s="263" t="str">
        <f t="shared" si="208"/>
        <v/>
      </c>
      <c r="F245" s="264" t="str">
        <f t="shared" si="209"/>
        <v/>
      </c>
      <c r="G245" s="264" t="str">
        <f t="shared" si="210"/>
        <v/>
      </c>
      <c r="H245" s="240" t="str">
        <f t="shared" si="172"/>
        <v/>
      </c>
      <c r="I245" s="265" t="str">
        <f t="shared" si="173"/>
        <v/>
      </c>
      <c r="J245" s="265" t="str">
        <f t="shared" si="174"/>
        <v/>
      </c>
      <c r="K245" s="240" t="str">
        <f t="shared" si="175"/>
        <v/>
      </c>
      <c r="L245" s="265" t="str">
        <f t="shared" si="176"/>
        <v/>
      </c>
      <c r="M245" s="265" t="str">
        <f t="shared" si="177"/>
        <v/>
      </c>
      <c r="N245" s="240" t="str">
        <f t="shared" si="178"/>
        <v>-</v>
      </c>
      <c r="O245" s="265" t="str">
        <f t="shared" si="179"/>
        <v>-</v>
      </c>
      <c r="P245" s="265" t="str">
        <f t="shared" si="180"/>
        <v>-</v>
      </c>
      <c r="Q245" s="266" t="str">
        <f t="shared" si="181"/>
        <v>-</v>
      </c>
      <c r="R245" s="267" t="str">
        <f t="shared" si="182"/>
        <v>-</v>
      </c>
      <c r="S245" s="268" t="str">
        <f t="shared" si="183"/>
        <v>-</v>
      </c>
      <c r="T245" s="269" t="str">
        <f t="shared" si="184"/>
        <v/>
      </c>
      <c r="U245" s="221">
        <f t="shared" si="185"/>
        <v>145</v>
      </c>
      <c r="V245" s="220" t="str">
        <f t="shared" si="211"/>
        <v>-</v>
      </c>
      <c r="W245" s="221" t="str">
        <f t="shared" si="212"/>
        <v>-</v>
      </c>
      <c r="X245" s="221" t="str">
        <f t="shared" si="186"/>
        <v>-</v>
      </c>
      <c r="Y245" s="221" t="str">
        <f t="shared" si="187"/>
        <v>-</v>
      </c>
      <c r="Z245" s="270">
        <f t="shared" si="213"/>
        <v>0.1</v>
      </c>
      <c r="AA245" s="271" t="str">
        <f>IFERROR(IF(V244=1,AA$100*EXP(-(LN(2)/$D$65+0.04)*X244)*EXP(-(LN(2)/$D$65+0.1)*Y244),IF(V244=2,AA$100*EXP(-(LN(2)/$D$65+0.04)*(VLOOKUP(($F$16-$F$15)-1,U$99:Y244,4,FALSE)))*EXP(-(LN(2)/$D$65+0.1)*(VLOOKUP(($F$16-$F$15)-1,U$99:Y244,5,FALSE)))*EXP(-(LN(2)/$D$65+0.04)*X244)*EXP(-(LN(2)/$D$65+0.1)*Y244),IF(V244=3,AA$100*EXP(-(LN(2)/$D$65+0.04)*(VLOOKUP(($F$16-$F$15)-1,U$99:Y244,4,FALSE)))*EXP(-(LN(2)/$D$65+0.1)*(VLOOKUP(($F$16-$F$15)-1,U$99:Y244,5,FALSE)))*EXP(-(LN(2)/$D$65+0.04)*(VLOOKUP(($F$16-$F$15)*2-1,U$99:Y244,4,FALSE)))*EXP(-(LN(2)/$D$65+0.1)*(VLOOKUP(($F$16-$F$15)*2-1,U$99:Y244,5,FALSE)))*EXP(-(LN(2)/$D$65+0.04)*X244)*EXP(-(LN(2)/$D$65+0.1)*Y244),"-"))),"-")</f>
        <v>-</v>
      </c>
      <c r="AB245" s="271" t="str">
        <f>IFERROR(IF(V245=1,AB$100*EXP(-(LN(2)/$D$65+0.04)*X245)*EXP(-(LN(2)/$D$65+0.1)*Y245),IF(V245=2,AB$100*EXP(-(LN(2)/$D$65+0.04)*(VLOOKUP(($F$16-$F$15)-1,U$100:Y245,4,FALSE)))*EXP(-(LN(2)/$D$65+0.1)*(VLOOKUP(($F$16-$F$15)-1,U$100:Y245,5,FALSE)))*EXP(-(LN(2)/$D$65+0.04)*X245)*EXP(-(LN(2)/$D$65+0.1)*Y245),IF(V245=3,AB$100*EXP(-(LN(2)/$D$65+0.04)*(VLOOKUP(($F$16-$F$15)-1,U$100:Y245,4,FALSE)))*EXP(-(LN(2)/$D$65+0.1)*(VLOOKUP(($F$16-$F$15)-1,U$100:Y245,5,FALSE)))*EXP(-(LN(2)/$D$65+0.04)*(VLOOKUP(($F$16-$F$15)*2-1,U$100:Y245,4,FALSE)))*EXP(-(LN(2)/$D$65+0.1)*(VLOOKUP(($F$16-$F$15)*2-1,U$100:Y245,5,FALSE)))*EXP(-(LN(2)/$D$65+0.04)*X245)*EXP(-(LN(2)/$D$65+0.1)*Y245),"-"))),"-")</f>
        <v>-</v>
      </c>
      <c r="AC245" s="224">
        <f t="shared" si="228"/>
        <v>145</v>
      </c>
      <c r="AD245" s="223" t="str">
        <f t="shared" si="188"/>
        <v>-</v>
      </c>
      <c r="AE245" s="224" t="str">
        <f t="shared" si="215"/>
        <v>-</v>
      </c>
      <c r="AF245" s="224" t="str">
        <f t="shared" si="189"/>
        <v>-</v>
      </c>
      <c r="AG245" s="224" t="str">
        <f t="shared" si="190"/>
        <v>-</v>
      </c>
      <c r="AH245" s="272">
        <f t="shared" si="216"/>
        <v>0.1</v>
      </c>
      <c r="AI245" s="271" t="str">
        <f>IFERROR(IF(AD244=1,AI$100*EXP(-(LN(2)/$D$65+0.04)*AF244)*EXP(-(LN(2)/$D$65+0.1)*AG244),IF(AD244=2,AI$100*EXP(-(LN(2)/$D$65+0.04)*(VLOOKUP(($F$16-$F$15)-1,AC$99:AG244,4,FALSE)))*EXP(-(LN(2)/$D$65+0.1)*(VLOOKUP(($F$16-$F$15)-1,AC$99:AG244,5,FALSE)))*EXP(-(LN(2)/$D$65+0.04)*AF244)*EXP(-(LN(2)/$D$65+0.1)*AG244),IF(AD244=3,AI$100*EXP(-(LN(2)/$D$65+0.04)*(VLOOKUP(($F$16-$F$15)-1,AC$99:AG244,4,FALSE)))*EXP(-(LN(2)/$D$65+0.1)*(VLOOKUP(($F$16-$F$15)-1,AC$99:AG244,5,FALSE)))*EXP(-(LN(2)/$D$65+0.04)*(VLOOKUP(($F$16-$F$15)*2-1,AC$99:AG244,4,FALSE)))*EXP(-(LN(2)/$D$65+0.1)*(VLOOKUP(($F$16-$F$15)*2-1,AC$99:AG244,5,FALSE)))*EXP(-(LN(2)/$D$65+0.04)*AF244)*EXP(-(LN(2)/$D$65+0.1)*AG244),"-"))),"-")</f>
        <v>-</v>
      </c>
      <c r="AJ245" s="271" t="str">
        <f>IFERROR(IF(AD245=1,AJ$100*EXP(-(LN(2)/$D$65+0.04)*AF245)*EXP(-(LN(2)/$D$65+0.1)*AG245),IF(AD245=2,AJ$100*EXP(-(LN(2)/$D$65+0.04)*(VLOOKUP(($F$16-$F$15)-1,AC$100:AG245,4,FALSE)))*EXP(-(LN(2)/$D$65+0.1)*(VLOOKUP(($F$16-$F$15)-1,AC$100:AG245,5,FALSE)))*EXP(-(LN(2)/$D$65+0.04)*AF245)*EXP(-(LN(2)/$D$65+0.1)*AG245),IF(AD245=3,AJ$100*EXP(-(LN(2)/$D$65+0.04)*(VLOOKUP(($F$16-$F$15)-1,AC$100:AG245,4,FALSE)))*EXP(-(LN(2)/$D$65+0.1)*(VLOOKUP(($F$16-$F$15)-1,AC$100:AG245,5,FALSE)))*EXP(-(LN(2)/$D$65+0.04)*(VLOOKUP(($F$16-$F$15)*2-1,AC$100:AG245,4,FALSE)))*EXP(-(LN(2)/$D$65+0.1)*(VLOOKUP(($F$16-$F$15)*2-1,AC$100:AG245,5,FALSE)))*EXP(-(LN(2)/$D$65+0.04)*AF245)*EXP(-(LN(2)/$D$65+0.1)*AG245),"-"))),"-")</f>
        <v>-</v>
      </c>
      <c r="AK245" s="227">
        <f t="shared" si="217"/>
        <v>145</v>
      </c>
      <c r="AL245" s="226" t="str">
        <f t="shared" si="191"/>
        <v>-</v>
      </c>
      <c r="AM245" s="227" t="str">
        <f t="shared" si="218"/>
        <v>-</v>
      </c>
      <c r="AN245" s="227" t="str">
        <f t="shared" si="219"/>
        <v>-</v>
      </c>
      <c r="AO245" s="227" t="str">
        <f t="shared" si="192"/>
        <v>-</v>
      </c>
      <c r="AP245" s="273">
        <f t="shared" si="220"/>
        <v>0.1</v>
      </c>
      <c r="AQ245" s="271" t="str">
        <f>IFERROR(IF(AL244=1,AQ$100*EXP(-(LN(2)/$D$65+0.04)*AN244)*EXP(-(LN(2)/$D$65+0.1)*AO244),IF(AL244=2,AQ$100*EXP(-(LN(2)/$D$65+0.04)*(VLOOKUP(($F$16-$F$15)-1,AK$99:AO244,4,FALSE)))*EXP(-(LN(2)/$D$65+0.1)*(VLOOKUP(($F$16-$F$15)-1,AK$99:AO244,5,FALSE)))*EXP(-(LN(2)/$D$65+0.04)*AN244)*EXP(-(LN(2)/$D$65+0.1)*AO244),IF(AL244=3,AQ$100*EXP(-(LN(2)/$D$65+0.04)*(VLOOKUP(($F$16-$F$15)-1,AK$99:AO244,4,FALSE)))*EXP(-(LN(2)/$D$65+0.1)*(VLOOKUP(($F$16-$F$15)-1,AK$99:AO244,5,FALSE)))*EXP(-(LN(2)/$D$65+0.04)*(VLOOKUP(($F$16-$F$15)*2-1,AK$99:AO244,4,FALSE)))*EXP(-(LN(2)/$D$65+0.1)*(VLOOKUP(($F$16-$F$15)*2-1,AK$99:AO244,5,FALSE)))*EXP(-(LN(2)/$D$65+0.04)*AN244)*EXP(-(LN(2)/$D$65+0.1)*AO244),"-"))),"-")</f>
        <v>-</v>
      </c>
      <c r="AR245" s="271" t="str">
        <f>IFERROR(IF(AL245=1,AR$100*EXP(-(LN(2)/$D$65+0.04)*AN245)*EXP(-(LN(2)/$D$65+0.1)*AO245),IF(AL245=2,AR$100*EXP(-(LN(2)/$D$65+0.04)*(VLOOKUP(($F$16-$F$15)-1,AK$100:AO245,4,FALSE)))*EXP(-(LN(2)/$D$65+0.1)*(VLOOKUP(($F$16-$F$15)-1,AK$100:AO245,5,FALSE)))*EXP(-(LN(2)/$D$65+0.04)*AN245)*EXP(-(LN(2)/$D$65+0.1)*AO245),IF(AL245=3,AR$100*EXP(-(LN(2)/$D$65+0.04)*(VLOOKUP(($F$16-$F$15)-1,AK$100:AO245,4,FALSE)))*EXP(-(LN(2)/$D$65+0.1)*(VLOOKUP(($F$16-$F$15)-1,AK$100:AO245,5,FALSE)))*EXP(-(LN(2)/$D$65+0.04)*(VLOOKUP(($F$16-$F$15)*2-1,AK$100:AO245,4,FALSE)))*EXP(-(LN(2)/$D$65+0.1)*(VLOOKUP(($F$16-$F$15)*2-1,AK$100:AO245,5,FALSE)))*EXP(-(LN(2)/$D$65+0.04)*AN245)*EXP(-(LN(2)/$D$65+0.1)*AO245),"-"))),"-")</f>
        <v>-</v>
      </c>
      <c r="AS245" s="274">
        <f t="shared" si="193"/>
        <v>0</v>
      </c>
      <c r="AT245" s="274">
        <f t="shared" si="194"/>
        <v>0</v>
      </c>
      <c r="AU245" s="274">
        <f t="shared" si="195"/>
        <v>0</v>
      </c>
      <c r="AV245" s="190">
        <f>IF($B245&lt;$F$22,SUM($T$100:$T245),"")</f>
        <v>0</v>
      </c>
      <c r="AW245" s="190" t="str">
        <f t="shared" si="196"/>
        <v>-</v>
      </c>
      <c r="AX245" s="190" t="str">
        <f t="shared" si="221"/>
        <v/>
      </c>
      <c r="AY245"/>
      <c r="AZ245" s="190" t="str">
        <f ca="1">IF(ISNUMBER(OFFSET(AV245,-$F$21,0)),SUM(OFFSET($T$100,$F$21,0):$T245),"")</f>
        <v/>
      </c>
      <c r="BA245" s="190" t="str">
        <f t="shared" ca="1" si="197"/>
        <v/>
      </c>
      <c r="BB245" s="190" t="str">
        <f t="shared" ca="1" si="149"/>
        <v/>
      </c>
      <c r="BC245" s="190"/>
      <c r="BD245" s="190" t="str">
        <f ca="1">IFERROR(IF(AND($B245&gt;=($F$16-$F$15),$B245&lt;$F$22+($F$16-$F$15)),SUM(OFFSET($T$100,($F$16-$F$15),0):$T245),""),"")</f>
        <v/>
      </c>
      <c r="BE245" s="190" t="str">
        <f t="shared" ca="1" si="222"/>
        <v/>
      </c>
      <c r="BF245" s="190" t="str">
        <f t="shared" ca="1" si="223"/>
        <v/>
      </c>
      <c r="BG245"/>
      <c r="BH245" s="190" t="str">
        <f ca="1">IF(ISNUMBER(OFFSET(BD245,-$F$21,0)),SUM(OFFSET($T$100,($F$16-$F$15+$F$21),0):$T245),"")</f>
        <v/>
      </c>
      <c r="BI245" s="190" t="str">
        <f t="shared" ca="1" si="198"/>
        <v/>
      </c>
      <c r="BJ245" s="190" t="str">
        <f t="shared" ca="1" si="224"/>
        <v/>
      </c>
      <c r="BK245" s="190"/>
      <c r="BL245" s="190" t="str">
        <f ca="1">IFERROR(IF(AND($B245&gt;=($F$17-$F$15),$B245&lt;$F$22+($F$17-$F$15)),SUM(OFFSET($T$100,($F$17-$F$15),0):$T245),""),"")</f>
        <v/>
      </c>
      <c r="BM245" s="190" t="str">
        <f t="shared" ca="1" si="199"/>
        <v/>
      </c>
      <c r="BN245" s="190" t="str">
        <f t="shared" ca="1" si="225"/>
        <v/>
      </c>
      <c r="BO245"/>
      <c r="BP245" s="190" t="str">
        <f ca="1">IF(ISNUMBER(OFFSET(BL245,-$F$21,0)),SUM(OFFSET($T$100,($F$17-$F$15+$F$21),0):$T245),"")</f>
        <v/>
      </c>
      <c r="BQ245" s="190" t="str">
        <f t="shared" ca="1" si="200"/>
        <v/>
      </c>
      <c r="BR245" s="190" t="str">
        <f t="shared" ca="1" si="226"/>
        <v/>
      </c>
      <c r="BS245" s="190"/>
      <c r="BT245"/>
      <c r="BU245"/>
      <c r="BV245"/>
      <c r="BY245" s="99"/>
      <c r="BZ245" s="99"/>
      <c r="CA245" s="280" t="str">
        <f t="shared" si="201"/>
        <v/>
      </c>
      <c r="CB245" s="71" t="str">
        <f t="shared" si="202"/>
        <v>-</v>
      </c>
      <c r="CC245" s="33"/>
      <c r="CD245" s="261" t="str">
        <f t="shared" si="203"/>
        <v/>
      </c>
      <c r="CE245" s="280" t="str">
        <f t="shared" si="204"/>
        <v>-</v>
      </c>
      <c r="CF245" s="71" t="str">
        <f t="shared" ca="1" si="205"/>
        <v>-</v>
      </c>
      <c r="CG245" s="33" t="str">
        <f t="shared" si="206"/>
        <v>145-146</v>
      </c>
      <c r="CH245" s="261" t="str">
        <f t="shared" ca="1" si="207"/>
        <v/>
      </c>
    </row>
    <row r="246" spans="2:86" ht="13.5" customHeight="1" x14ac:dyDescent="0.2">
      <c r="B246" s="262">
        <v>146</v>
      </c>
      <c r="C246" s="237" t="str">
        <f t="shared" si="171"/>
        <v/>
      </c>
      <c r="D246" s="237" t="str">
        <f t="shared" si="227"/>
        <v>-</v>
      </c>
      <c r="E246" s="263" t="str">
        <f t="shared" si="208"/>
        <v/>
      </c>
      <c r="F246" s="264" t="str">
        <f t="shared" si="209"/>
        <v/>
      </c>
      <c r="G246" s="264" t="str">
        <f t="shared" si="210"/>
        <v/>
      </c>
      <c r="H246" s="240" t="str">
        <f t="shared" si="172"/>
        <v/>
      </c>
      <c r="I246" s="265" t="str">
        <f t="shared" si="173"/>
        <v/>
      </c>
      <c r="J246" s="265" t="str">
        <f t="shared" si="174"/>
        <v/>
      </c>
      <c r="K246" s="240" t="str">
        <f t="shared" si="175"/>
        <v/>
      </c>
      <c r="L246" s="265" t="str">
        <f t="shared" si="176"/>
        <v/>
      </c>
      <c r="M246" s="265" t="str">
        <f t="shared" si="177"/>
        <v/>
      </c>
      <c r="N246" s="240" t="str">
        <f t="shared" si="178"/>
        <v>-</v>
      </c>
      <c r="O246" s="265" t="str">
        <f t="shared" si="179"/>
        <v>-</v>
      </c>
      <c r="P246" s="265" t="str">
        <f t="shared" si="180"/>
        <v>-</v>
      </c>
      <c r="Q246" s="266" t="str">
        <f t="shared" si="181"/>
        <v>-</v>
      </c>
      <c r="R246" s="267" t="str">
        <f t="shared" si="182"/>
        <v>-</v>
      </c>
      <c r="S246" s="268" t="str">
        <f t="shared" si="183"/>
        <v>-</v>
      </c>
      <c r="T246" s="269" t="str">
        <f t="shared" si="184"/>
        <v/>
      </c>
      <c r="U246" s="221">
        <f t="shared" si="185"/>
        <v>146</v>
      </c>
      <c r="V246" s="220" t="str">
        <f t="shared" si="211"/>
        <v>-</v>
      </c>
      <c r="W246" s="221" t="str">
        <f t="shared" si="212"/>
        <v>-</v>
      </c>
      <c r="X246" s="221" t="str">
        <f t="shared" si="186"/>
        <v>-</v>
      </c>
      <c r="Y246" s="221" t="str">
        <f t="shared" si="187"/>
        <v>-</v>
      </c>
      <c r="Z246" s="270">
        <f t="shared" si="213"/>
        <v>0.1</v>
      </c>
      <c r="AA246" s="271" t="str">
        <f>IFERROR(IF(V245=1,AA$100*EXP(-(LN(2)/$D$65+0.04)*X245)*EXP(-(LN(2)/$D$65+0.1)*Y245),IF(V245=2,AA$100*EXP(-(LN(2)/$D$65+0.04)*(VLOOKUP(($F$16-$F$15)-1,U$99:Y245,4,FALSE)))*EXP(-(LN(2)/$D$65+0.1)*(VLOOKUP(($F$16-$F$15)-1,U$99:Y245,5,FALSE)))*EXP(-(LN(2)/$D$65+0.04)*X245)*EXP(-(LN(2)/$D$65+0.1)*Y245),IF(V245=3,AA$100*EXP(-(LN(2)/$D$65+0.04)*(VLOOKUP(($F$16-$F$15)-1,U$99:Y245,4,FALSE)))*EXP(-(LN(2)/$D$65+0.1)*(VLOOKUP(($F$16-$F$15)-1,U$99:Y245,5,FALSE)))*EXP(-(LN(2)/$D$65+0.04)*(VLOOKUP(($F$16-$F$15)*2-1,U$99:Y245,4,FALSE)))*EXP(-(LN(2)/$D$65+0.1)*(VLOOKUP(($F$16-$F$15)*2-1,U$99:Y245,5,FALSE)))*EXP(-(LN(2)/$D$65+0.04)*X245)*EXP(-(LN(2)/$D$65+0.1)*Y245),"-"))),"-")</f>
        <v>-</v>
      </c>
      <c r="AB246" s="271" t="str">
        <f>IFERROR(IF(V246=1,AB$100*EXP(-(LN(2)/$D$65+0.04)*X246)*EXP(-(LN(2)/$D$65+0.1)*Y246),IF(V246=2,AB$100*EXP(-(LN(2)/$D$65+0.04)*(VLOOKUP(($F$16-$F$15)-1,U$100:Y246,4,FALSE)))*EXP(-(LN(2)/$D$65+0.1)*(VLOOKUP(($F$16-$F$15)-1,U$100:Y246,5,FALSE)))*EXP(-(LN(2)/$D$65+0.04)*X246)*EXP(-(LN(2)/$D$65+0.1)*Y246),IF(V246=3,AB$100*EXP(-(LN(2)/$D$65+0.04)*(VLOOKUP(($F$16-$F$15)-1,U$100:Y246,4,FALSE)))*EXP(-(LN(2)/$D$65+0.1)*(VLOOKUP(($F$16-$F$15)-1,U$100:Y246,5,FALSE)))*EXP(-(LN(2)/$D$65+0.04)*(VLOOKUP(($F$16-$F$15)*2-1,U$100:Y246,4,FALSE)))*EXP(-(LN(2)/$D$65+0.1)*(VLOOKUP(($F$16-$F$15)*2-1,U$100:Y246,5,FALSE)))*EXP(-(LN(2)/$D$65+0.04)*X246)*EXP(-(LN(2)/$D$65+0.1)*Y246),"-"))),"-")</f>
        <v>-</v>
      </c>
      <c r="AC246" s="224">
        <f t="shared" si="228"/>
        <v>146</v>
      </c>
      <c r="AD246" s="223" t="str">
        <f t="shared" si="188"/>
        <v>-</v>
      </c>
      <c r="AE246" s="224" t="str">
        <f t="shared" si="215"/>
        <v>-</v>
      </c>
      <c r="AF246" s="224" t="str">
        <f t="shared" si="189"/>
        <v>-</v>
      </c>
      <c r="AG246" s="224" t="str">
        <f t="shared" si="190"/>
        <v>-</v>
      </c>
      <c r="AH246" s="272">
        <f t="shared" si="216"/>
        <v>0.1</v>
      </c>
      <c r="AI246" s="271" t="str">
        <f>IFERROR(IF(AD245=1,AI$100*EXP(-(LN(2)/$D$65+0.04)*AF245)*EXP(-(LN(2)/$D$65+0.1)*AG245),IF(AD245=2,AI$100*EXP(-(LN(2)/$D$65+0.04)*(VLOOKUP(($F$16-$F$15)-1,AC$99:AG245,4,FALSE)))*EXP(-(LN(2)/$D$65+0.1)*(VLOOKUP(($F$16-$F$15)-1,AC$99:AG245,5,FALSE)))*EXP(-(LN(2)/$D$65+0.04)*AF245)*EXP(-(LN(2)/$D$65+0.1)*AG245),IF(AD245=3,AI$100*EXP(-(LN(2)/$D$65+0.04)*(VLOOKUP(($F$16-$F$15)-1,AC$99:AG245,4,FALSE)))*EXP(-(LN(2)/$D$65+0.1)*(VLOOKUP(($F$16-$F$15)-1,AC$99:AG245,5,FALSE)))*EXP(-(LN(2)/$D$65+0.04)*(VLOOKUP(($F$16-$F$15)*2-1,AC$99:AG245,4,FALSE)))*EXP(-(LN(2)/$D$65+0.1)*(VLOOKUP(($F$16-$F$15)*2-1,AC$99:AG245,5,FALSE)))*EXP(-(LN(2)/$D$65+0.04)*AF245)*EXP(-(LN(2)/$D$65+0.1)*AG245),"-"))),"-")</f>
        <v>-</v>
      </c>
      <c r="AJ246" s="271" t="str">
        <f>IFERROR(IF(AD246=1,AJ$100*EXP(-(LN(2)/$D$65+0.04)*AF246)*EXP(-(LN(2)/$D$65+0.1)*AG246),IF(AD246=2,AJ$100*EXP(-(LN(2)/$D$65+0.04)*(VLOOKUP(($F$16-$F$15)-1,AC$100:AG246,4,FALSE)))*EXP(-(LN(2)/$D$65+0.1)*(VLOOKUP(($F$16-$F$15)-1,AC$100:AG246,5,FALSE)))*EXP(-(LN(2)/$D$65+0.04)*AF246)*EXP(-(LN(2)/$D$65+0.1)*AG246),IF(AD246=3,AJ$100*EXP(-(LN(2)/$D$65+0.04)*(VLOOKUP(($F$16-$F$15)-1,AC$100:AG246,4,FALSE)))*EXP(-(LN(2)/$D$65+0.1)*(VLOOKUP(($F$16-$F$15)-1,AC$100:AG246,5,FALSE)))*EXP(-(LN(2)/$D$65+0.04)*(VLOOKUP(($F$16-$F$15)*2-1,AC$100:AG246,4,FALSE)))*EXP(-(LN(2)/$D$65+0.1)*(VLOOKUP(($F$16-$F$15)*2-1,AC$100:AG246,5,FALSE)))*EXP(-(LN(2)/$D$65+0.04)*AF246)*EXP(-(LN(2)/$D$65+0.1)*AG246),"-"))),"-")</f>
        <v>-</v>
      </c>
      <c r="AK246" s="227">
        <f t="shared" si="217"/>
        <v>146</v>
      </c>
      <c r="AL246" s="226" t="str">
        <f t="shared" si="191"/>
        <v>-</v>
      </c>
      <c r="AM246" s="227" t="str">
        <f t="shared" si="218"/>
        <v>-</v>
      </c>
      <c r="AN246" s="227" t="str">
        <f t="shared" si="219"/>
        <v>-</v>
      </c>
      <c r="AO246" s="227" t="str">
        <f t="shared" si="192"/>
        <v>-</v>
      </c>
      <c r="AP246" s="273">
        <f t="shared" si="220"/>
        <v>0.1</v>
      </c>
      <c r="AQ246" s="271" t="str">
        <f>IFERROR(IF(AL245=1,AQ$100*EXP(-(LN(2)/$D$65+0.04)*AN245)*EXP(-(LN(2)/$D$65+0.1)*AO245),IF(AL245=2,AQ$100*EXP(-(LN(2)/$D$65+0.04)*(VLOOKUP(($F$16-$F$15)-1,AK$99:AO245,4,FALSE)))*EXP(-(LN(2)/$D$65+0.1)*(VLOOKUP(($F$16-$F$15)-1,AK$99:AO245,5,FALSE)))*EXP(-(LN(2)/$D$65+0.04)*AN245)*EXP(-(LN(2)/$D$65+0.1)*AO245),IF(AL245=3,AQ$100*EXP(-(LN(2)/$D$65+0.04)*(VLOOKUP(($F$16-$F$15)-1,AK$99:AO245,4,FALSE)))*EXP(-(LN(2)/$D$65+0.1)*(VLOOKUP(($F$16-$F$15)-1,AK$99:AO245,5,FALSE)))*EXP(-(LN(2)/$D$65+0.04)*(VLOOKUP(($F$16-$F$15)*2-1,AK$99:AO245,4,FALSE)))*EXP(-(LN(2)/$D$65+0.1)*(VLOOKUP(($F$16-$F$15)*2-1,AK$99:AO245,5,FALSE)))*EXP(-(LN(2)/$D$65+0.04)*AN245)*EXP(-(LN(2)/$D$65+0.1)*AO245),"-"))),"-")</f>
        <v>-</v>
      </c>
      <c r="AR246" s="271" t="str">
        <f>IFERROR(IF(AL246=1,AR$100*EXP(-(LN(2)/$D$65+0.04)*AN246)*EXP(-(LN(2)/$D$65+0.1)*AO246),IF(AL246=2,AR$100*EXP(-(LN(2)/$D$65+0.04)*(VLOOKUP(($F$16-$F$15)-1,AK$100:AO246,4,FALSE)))*EXP(-(LN(2)/$D$65+0.1)*(VLOOKUP(($F$16-$F$15)-1,AK$100:AO246,5,FALSE)))*EXP(-(LN(2)/$D$65+0.04)*AN246)*EXP(-(LN(2)/$D$65+0.1)*AO246),IF(AL246=3,AR$100*EXP(-(LN(2)/$D$65+0.04)*(VLOOKUP(($F$16-$F$15)-1,AK$100:AO246,4,FALSE)))*EXP(-(LN(2)/$D$65+0.1)*(VLOOKUP(($F$16-$F$15)-1,AK$100:AO246,5,FALSE)))*EXP(-(LN(2)/$D$65+0.04)*(VLOOKUP(($F$16-$F$15)*2-1,AK$100:AO246,4,FALSE)))*EXP(-(LN(2)/$D$65+0.1)*(VLOOKUP(($F$16-$F$15)*2-1,AK$100:AO246,5,FALSE)))*EXP(-(LN(2)/$D$65+0.04)*AN246)*EXP(-(LN(2)/$D$65+0.1)*AO246),"-"))),"-")</f>
        <v>-</v>
      </c>
      <c r="AS246" s="274">
        <f t="shared" si="193"/>
        <v>0</v>
      </c>
      <c r="AT246" s="274">
        <f t="shared" si="194"/>
        <v>0</v>
      </c>
      <c r="AU246" s="274">
        <f t="shared" si="195"/>
        <v>0</v>
      </c>
      <c r="AV246" s="190">
        <f>IF($B246&lt;$F$22,SUM($T$100:$T246),"")</f>
        <v>0</v>
      </c>
      <c r="AW246" s="190" t="str">
        <f t="shared" si="196"/>
        <v>-</v>
      </c>
      <c r="AX246" s="190" t="str">
        <f t="shared" si="221"/>
        <v/>
      </c>
      <c r="AY246"/>
      <c r="AZ246" s="190" t="str">
        <f ca="1">IF(ISNUMBER(OFFSET(AV246,-$F$21,0)),SUM(OFFSET($T$100,$F$21,0):$T246),"")</f>
        <v/>
      </c>
      <c r="BA246" s="190" t="str">
        <f t="shared" ca="1" si="197"/>
        <v/>
      </c>
      <c r="BB246" s="190" t="str">
        <f t="shared" ca="1" si="149"/>
        <v/>
      </c>
      <c r="BC246" s="190"/>
      <c r="BD246" s="190" t="str">
        <f ca="1">IFERROR(IF(AND($B246&gt;=($F$16-$F$15),$B246&lt;$F$22+($F$16-$F$15)),SUM(OFFSET($T$100,($F$16-$F$15),0):$T246),""),"")</f>
        <v/>
      </c>
      <c r="BE246" s="190" t="str">
        <f t="shared" ca="1" si="222"/>
        <v/>
      </c>
      <c r="BF246" s="190" t="str">
        <f t="shared" ca="1" si="223"/>
        <v/>
      </c>
      <c r="BG246"/>
      <c r="BH246" s="190" t="str">
        <f ca="1">IF(ISNUMBER(OFFSET(BD246,-$F$21,0)),SUM(OFFSET($T$100,($F$16-$F$15+$F$21),0):$T246),"")</f>
        <v/>
      </c>
      <c r="BI246" s="190" t="str">
        <f t="shared" ca="1" si="198"/>
        <v/>
      </c>
      <c r="BJ246" s="190" t="str">
        <f t="shared" ca="1" si="224"/>
        <v/>
      </c>
      <c r="BK246" s="190"/>
      <c r="BL246" s="190" t="str">
        <f ca="1">IFERROR(IF(AND($B246&gt;=($F$17-$F$15),$B246&lt;$F$22+($F$17-$F$15)),SUM(OFFSET($T$100,($F$17-$F$15),0):$T246),""),"")</f>
        <v/>
      </c>
      <c r="BM246" s="190" t="str">
        <f t="shared" ca="1" si="199"/>
        <v/>
      </c>
      <c r="BN246" s="190" t="str">
        <f t="shared" ca="1" si="225"/>
        <v/>
      </c>
      <c r="BO246"/>
      <c r="BP246" s="190" t="str">
        <f ca="1">IF(ISNUMBER(OFFSET(BL246,-$F$21,0)),SUM(OFFSET($T$100,($F$17-$F$15+$F$21),0):$T246),"")</f>
        <v/>
      </c>
      <c r="BQ246" s="190" t="str">
        <f t="shared" ca="1" si="200"/>
        <v/>
      </c>
      <c r="BR246" s="190" t="str">
        <f t="shared" ca="1" si="226"/>
        <v/>
      </c>
      <c r="BS246" s="190"/>
      <c r="BT246"/>
      <c r="BU246"/>
      <c r="BV246"/>
      <c r="BY246" s="99"/>
      <c r="BZ246" s="99"/>
      <c r="CA246" s="280" t="str">
        <f t="shared" si="201"/>
        <v/>
      </c>
      <c r="CB246" s="71" t="str">
        <f t="shared" si="202"/>
        <v>-</v>
      </c>
      <c r="CC246" s="33"/>
      <c r="CD246" s="261" t="str">
        <f t="shared" si="203"/>
        <v/>
      </c>
      <c r="CE246" s="280" t="str">
        <f t="shared" si="204"/>
        <v>-</v>
      </c>
      <c r="CF246" s="71" t="str">
        <f t="shared" ca="1" si="205"/>
        <v>-</v>
      </c>
      <c r="CG246" s="33" t="str">
        <f t="shared" si="206"/>
        <v>146-147</v>
      </c>
      <c r="CH246" s="261" t="str">
        <f t="shared" ca="1" si="207"/>
        <v/>
      </c>
    </row>
    <row r="247" spans="2:86" ht="13.5" customHeight="1" x14ac:dyDescent="0.2">
      <c r="B247" s="262">
        <v>147</v>
      </c>
      <c r="C247" s="237" t="str">
        <f t="shared" si="171"/>
        <v/>
      </c>
      <c r="D247" s="237" t="str">
        <f t="shared" si="227"/>
        <v>-</v>
      </c>
      <c r="E247" s="263" t="str">
        <f t="shared" si="208"/>
        <v/>
      </c>
      <c r="F247" s="264" t="str">
        <f t="shared" si="209"/>
        <v/>
      </c>
      <c r="G247" s="264" t="str">
        <f t="shared" si="210"/>
        <v/>
      </c>
      <c r="H247" s="240" t="str">
        <f t="shared" si="172"/>
        <v/>
      </c>
      <c r="I247" s="265" t="str">
        <f t="shared" si="173"/>
        <v/>
      </c>
      <c r="J247" s="265" t="str">
        <f t="shared" si="174"/>
        <v/>
      </c>
      <c r="K247" s="240" t="str">
        <f t="shared" si="175"/>
        <v/>
      </c>
      <c r="L247" s="265" t="str">
        <f t="shared" si="176"/>
        <v/>
      </c>
      <c r="M247" s="265" t="str">
        <f t="shared" si="177"/>
        <v/>
      </c>
      <c r="N247" s="240" t="str">
        <f t="shared" si="178"/>
        <v>-</v>
      </c>
      <c r="O247" s="265" t="str">
        <f t="shared" si="179"/>
        <v>-</v>
      </c>
      <c r="P247" s="265" t="str">
        <f t="shared" si="180"/>
        <v>-</v>
      </c>
      <c r="Q247" s="266" t="str">
        <f t="shared" si="181"/>
        <v>-</v>
      </c>
      <c r="R247" s="267" t="str">
        <f t="shared" si="182"/>
        <v>-</v>
      </c>
      <c r="S247" s="268" t="str">
        <f t="shared" si="183"/>
        <v>-</v>
      </c>
      <c r="T247" s="269" t="str">
        <f t="shared" si="184"/>
        <v/>
      </c>
      <c r="U247" s="221">
        <f t="shared" si="185"/>
        <v>147</v>
      </c>
      <c r="V247" s="220" t="str">
        <f t="shared" si="211"/>
        <v>-</v>
      </c>
      <c r="W247" s="221" t="str">
        <f t="shared" si="212"/>
        <v>-</v>
      </c>
      <c r="X247" s="221" t="str">
        <f t="shared" si="186"/>
        <v>-</v>
      </c>
      <c r="Y247" s="221" t="str">
        <f t="shared" si="187"/>
        <v>-</v>
      </c>
      <c r="Z247" s="270">
        <f t="shared" si="213"/>
        <v>0.1</v>
      </c>
      <c r="AA247" s="271" t="str">
        <f>IFERROR(IF(V246=1,AA$100*EXP(-(LN(2)/$D$65+0.04)*X246)*EXP(-(LN(2)/$D$65+0.1)*Y246),IF(V246=2,AA$100*EXP(-(LN(2)/$D$65+0.04)*(VLOOKUP(($F$16-$F$15)-1,U$99:Y246,4,FALSE)))*EXP(-(LN(2)/$D$65+0.1)*(VLOOKUP(($F$16-$F$15)-1,U$99:Y246,5,FALSE)))*EXP(-(LN(2)/$D$65+0.04)*X246)*EXP(-(LN(2)/$D$65+0.1)*Y246),IF(V246=3,AA$100*EXP(-(LN(2)/$D$65+0.04)*(VLOOKUP(($F$16-$F$15)-1,U$99:Y246,4,FALSE)))*EXP(-(LN(2)/$D$65+0.1)*(VLOOKUP(($F$16-$F$15)-1,U$99:Y246,5,FALSE)))*EXP(-(LN(2)/$D$65+0.04)*(VLOOKUP(($F$16-$F$15)*2-1,U$99:Y246,4,FALSE)))*EXP(-(LN(2)/$D$65+0.1)*(VLOOKUP(($F$16-$F$15)*2-1,U$99:Y246,5,FALSE)))*EXP(-(LN(2)/$D$65+0.04)*X246)*EXP(-(LN(2)/$D$65+0.1)*Y246),"-"))),"-")</f>
        <v>-</v>
      </c>
      <c r="AB247" s="271" t="str">
        <f>IFERROR(IF(V247=1,AB$100*EXP(-(LN(2)/$D$65+0.04)*X247)*EXP(-(LN(2)/$D$65+0.1)*Y247),IF(V247=2,AB$100*EXP(-(LN(2)/$D$65+0.04)*(VLOOKUP(($F$16-$F$15)-1,U$100:Y247,4,FALSE)))*EXP(-(LN(2)/$D$65+0.1)*(VLOOKUP(($F$16-$F$15)-1,U$100:Y247,5,FALSE)))*EXP(-(LN(2)/$D$65+0.04)*X247)*EXP(-(LN(2)/$D$65+0.1)*Y247),IF(V247=3,AB$100*EXP(-(LN(2)/$D$65+0.04)*(VLOOKUP(($F$16-$F$15)-1,U$100:Y247,4,FALSE)))*EXP(-(LN(2)/$D$65+0.1)*(VLOOKUP(($F$16-$F$15)-1,U$100:Y247,5,FALSE)))*EXP(-(LN(2)/$D$65+0.04)*(VLOOKUP(($F$16-$F$15)*2-1,U$100:Y247,4,FALSE)))*EXP(-(LN(2)/$D$65+0.1)*(VLOOKUP(($F$16-$F$15)*2-1,U$100:Y247,5,FALSE)))*EXP(-(LN(2)/$D$65+0.04)*X247)*EXP(-(LN(2)/$D$65+0.1)*Y247),"-"))),"-")</f>
        <v>-</v>
      </c>
      <c r="AC247" s="224">
        <f t="shared" si="228"/>
        <v>147</v>
      </c>
      <c r="AD247" s="223" t="str">
        <f t="shared" si="188"/>
        <v>-</v>
      </c>
      <c r="AE247" s="224" t="str">
        <f t="shared" si="215"/>
        <v>-</v>
      </c>
      <c r="AF247" s="224" t="str">
        <f t="shared" si="189"/>
        <v>-</v>
      </c>
      <c r="AG247" s="224" t="str">
        <f t="shared" si="190"/>
        <v>-</v>
      </c>
      <c r="AH247" s="272">
        <f t="shared" si="216"/>
        <v>0.1</v>
      </c>
      <c r="AI247" s="271" t="str">
        <f>IFERROR(IF(AD246=1,AI$100*EXP(-(LN(2)/$D$65+0.04)*AF246)*EXP(-(LN(2)/$D$65+0.1)*AG246),IF(AD246=2,AI$100*EXP(-(LN(2)/$D$65+0.04)*(VLOOKUP(($F$16-$F$15)-1,AC$99:AG246,4,FALSE)))*EXP(-(LN(2)/$D$65+0.1)*(VLOOKUP(($F$16-$F$15)-1,AC$99:AG246,5,FALSE)))*EXP(-(LN(2)/$D$65+0.04)*AF246)*EXP(-(LN(2)/$D$65+0.1)*AG246),IF(AD246=3,AI$100*EXP(-(LN(2)/$D$65+0.04)*(VLOOKUP(($F$16-$F$15)-1,AC$99:AG246,4,FALSE)))*EXP(-(LN(2)/$D$65+0.1)*(VLOOKUP(($F$16-$F$15)-1,AC$99:AG246,5,FALSE)))*EXP(-(LN(2)/$D$65+0.04)*(VLOOKUP(($F$16-$F$15)*2-1,AC$99:AG246,4,FALSE)))*EXP(-(LN(2)/$D$65+0.1)*(VLOOKUP(($F$16-$F$15)*2-1,AC$99:AG246,5,FALSE)))*EXP(-(LN(2)/$D$65+0.04)*AF246)*EXP(-(LN(2)/$D$65+0.1)*AG246),"-"))),"-")</f>
        <v>-</v>
      </c>
      <c r="AJ247" s="271" t="str">
        <f>IFERROR(IF(AD247=1,AJ$100*EXP(-(LN(2)/$D$65+0.04)*AF247)*EXP(-(LN(2)/$D$65+0.1)*AG247),IF(AD247=2,AJ$100*EXP(-(LN(2)/$D$65+0.04)*(VLOOKUP(($F$16-$F$15)-1,AC$100:AG247,4,FALSE)))*EXP(-(LN(2)/$D$65+0.1)*(VLOOKUP(($F$16-$F$15)-1,AC$100:AG247,5,FALSE)))*EXP(-(LN(2)/$D$65+0.04)*AF247)*EXP(-(LN(2)/$D$65+0.1)*AG247),IF(AD247=3,AJ$100*EXP(-(LN(2)/$D$65+0.04)*(VLOOKUP(($F$16-$F$15)-1,AC$100:AG247,4,FALSE)))*EXP(-(LN(2)/$D$65+0.1)*(VLOOKUP(($F$16-$F$15)-1,AC$100:AG247,5,FALSE)))*EXP(-(LN(2)/$D$65+0.04)*(VLOOKUP(($F$16-$F$15)*2-1,AC$100:AG247,4,FALSE)))*EXP(-(LN(2)/$D$65+0.1)*(VLOOKUP(($F$16-$F$15)*2-1,AC$100:AG247,5,FALSE)))*EXP(-(LN(2)/$D$65+0.04)*AF247)*EXP(-(LN(2)/$D$65+0.1)*AG247),"-"))),"-")</f>
        <v>-</v>
      </c>
      <c r="AK247" s="227">
        <f t="shared" si="217"/>
        <v>147</v>
      </c>
      <c r="AL247" s="226" t="str">
        <f t="shared" si="191"/>
        <v>-</v>
      </c>
      <c r="AM247" s="227" t="str">
        <f t="shared" si="218"/>
        <v>-</v>
      </c>
      <c r="AN247" s="227" t="str">
        <f t="shared" si="219"/>
        <v>-</v>
      </c>
      <c r="AO247" s="227" t="str">
        <f t="shared" si="192"/>
        <v>-</v>
      </c>
      <c r="AP247" s="273">
        <f t="shared" si="220"/>
        <v>0.1</v>
      </c>
      <c r="AQ247" s="271" t="str">
        <f>IFERROR(IF(AL246=1,AQ$100*EXP(-(LN(2)/$D$65+0.04)*AN246)*EXP(-(LN(2)/$D$65+0.1)*AO246),IF(AL246=2,AQ$100*EXP(-(LN(2)/$D$65+0.04)*(VLOOKUP(($F$16-$F$15)-1,AK$99:AO246,4,FALSE)))*EXP(-(LN(2)/$D$65+0.1)*(VLOOKUP(($F$16-$F$15)-1,AK$99:AO246,5,FALSE)))*EXP(-(LN(2)/$D$65+0.04)*AN246)*EXP(-(LN(2)/$D$65+0.1)*AO246),IF(AL246=3,AQ$100*EXP(-(LN(2)/$D$65+0.04)*(VLOOKUP(($F$16-$F$15)-1,AK$99:AO246,4,FALSE)))*EXP(-(LN(2)/$D$65+0.1)*(VLOOKUP(($F$16-$F$15)-1,AK$99:AO246,5,FALSE)))*EXP(-(LN(2)/$D$65+0.04)*(VLOOKUP(($F$16-$F$15)*2-1,AK$99:AO246,4,FALSE)))*EXP(-(LN(2)/$D$65+0.1)*(VLOOKUP(($F$16-$F$15)*2-1,AK$99:AO246,5,FALSE)))*EXP(-(LN(2)/$D$65+0.04)*AN246)*EXP(-(LN(2)/$D$65+0.1)*AO246),"-"))),"-")</f>
        <v>-</v>
      </c>
      <c r="AR247" s="271" t="str">
        <f>IFERROR(IF(AL247=1,AR$100*EXP(-(LN(2)/$D$65+0.04)*AN247)*EXP(-(LN(2)/$D$65+0.1)*AO247),IF(AL247=2,AR$100*EXP(-(LN(2)/$D$65+0.04)*(VLOOKUP(($F$16-$F$15)-1,AK$100:AO247,4,FALSE)))*EXP(-(LN(2)/$D$65+0.1)*(VLOOKUP(($F$16-$F$15)-1,AK$100:AO247,5,FALSE)))*EXP(-(LN(2)/$D$65+0.04)*AN247)*EXP(-(LN(2)/$D$65+0.1)*AO247),IF(AL247=3,AR$100*EXP(-(LN(2)/$D$65+0.04)*(VLOOKUP(($F$16-$F$15)-1,AK$100:AO247,4,FALSE)))*EXP(-(LN(2)/$D$65+0.1)*(VLOOKUP(($F$16-$F$15)-1,AK$100:AO247,5,FALSE)))*EXP(-(LN(2)/$D$65+0.04)*(VLOOKUP(($F$16-$F$15)*2-1,AK$100:AO247,4,FALSE)))*EXP(-(LN(2)/$D$65+0.1)*(VLOOKUP(($F$16-$F$15)*2-1,AK$100:AO247,5,FALSE)))*EXP(-(LN(2)/$D$65+0.04)*AN247)*EXP(-(LN(2)/$D$65+0.1)*AO247),"-"))),"-")</f>
        <v>-</v>
      </c>
      <c r="AS247" s="274">
        <f t="shared" si="193"/>
        <v>0</v>
      </c>
      <c r="AT247" s="274">
        <f t="shared" si="194"/>
        <v>0</v>
      </c>
      <c r="AU247" s="274">
        <f t="shared" si="195"/>
        <v>0</v>
      </c>
      <c r="AV247" s="190">
        <f>IF($B247&lt;$F$22,SUM($T$100:$T247),"")</f>
        <v>0</v>
      </c>
      <c r="AW247" s="190" t="str">
        <f t="shared" si="196"/>
        <v>-</v>
      </c>
      <c r="AX247" s="190" t="str">
        <f t="shared" si="221"/>
        <v/>
      </c>
      <c r="AY247"/>
      <c r="AZ247" s="190" t="str">
        <f ca="1">IF(ISNUMBER(OFFSET(AV247,-$F$21,0)),SUM(OFFSET($T$100,$F$21,0):$T247),"")</f>
        <v/>
      </c>
      <c r="BA247" s="190" t="str">
        <f t="shared" ca="1" si="197"/>
        <v/>
      </c>
      <c r="BB247" s="190" t="str">
        <f t="shared" ca="1" si="149"/>
        <v/>
      </c>
      <c r="BC247" s="190"/>
      <c r="BD247" s="190" t="str">
        <f ca="1">IFERROR(IF(AND($B247&gt;=($F$16-$F$15),$B247&lt;$F$22+($F$16-$F$15)),SUM(OFFSET($T$100,($F$16-$F$15),0):$T247),""),"")</f>
        <v/>
      </c>
      <c r="BE247" s="190" t="str">
        <f t="shared" ca="1" si="222"/>
        <v/>
      </c>
      <c r="BF247" s="190" t="str">
        <f t="shared" ca="1" si="223"/>
        <v/>
      </c>
      <c r="BG247"/>
      <c r="BH247" s="190" t="str">
        <f ca="1">IF(ISNUMBER(OFFSET(BD247,-$F$21,0)),SUM(OFFSET($T$100,($F$16-$F$15+$F$21),0):$T247),"")</f>
        <v/>
      </c>
      <c r="BI247" s="190" t="str">
        <f t="shared" ca="1" si="198"/>
        <v/>
      </c>
      <c r="BJ247" s="190" t="str">
        <f t="shared" ca="1" si="224"/>
        <v/>
      </c>
      <c r="BK247" s="190"/>
      <c r="BL247" s="190" t="str">
        <f ca="1">IFERROR(IF(AND($B247&gt;=($F$17-$F$15),$B247&lt;$F$22+($F$17-$F$15)),SUM(OFFSET($T$100,($F$17-$F$15),0):$T247),""),"")</f>
        <v/>
      </c>
      <c r="BM247" s="190" t="str">
        <f t="shared" ca="1" si="199"/>
        <v/>
      </c>
      <c r="BN247" s="190" t="str">
        <f t="shared" ca="1" si="225"/>
        <v/>
      </c>
      <c r="BO247"/>
      <c r="BP247" s="190" t="str">
        <f ca="1">IF(ISNUMBER(OFFSET(BL247,-$F$21,0)),SUM(OFFSET($T$100,($F$17-$F$15+$F$21),0):$T247),"")</f>
        <v/>
      </c>
      <c r="BQ247" s="190" t="str">
        <f t="shared" ca="1" si="200"/>
        <v/>
      </c>
      <c r="BR247" s="190" t="str">
        <f t="shared" ca="1" si="226"/>
        <v/>
      </c>
      <c r="BS247" s="190"/>
      <c r="BT247"/>
      <c r="BU247"/>
      <c r="BV247"/>
      <c r="BY247" s="99"/>
      <c r="BZ247" s="99"/>
      <c r="CA247" s="280" t="str">
        <f t="shared" si="201"/>
        <v/>
      </c>
      <c r="CB247" s="71" t="str">
        <f t="shared" si="202"/>
        <v>-</v>
      </c>
      <c r="CC247" s="33"/>
      <c r="CD247" s="261" t="str">
        <f t="shared" si="203"/>
        <v/>
      </c>
      <c r="CE247" s="280" t="str">
        <f t="shared" si="204"/>
        <v>-</v>
      </c>
      <c r="CF247" s="71" t="str">
        <f t="shared" ca="1" si="205"/>
        <v>-</v>
      </c>
      <c r="CG247" s="33" t="str">
        <f t="shared" si="206"/>
        <v>147-148</v>
      </c>
      <c r="CH247" s="261" t="str">
        <f t="shared" ca="1" si="207"/>
        <v/>
      </c>
    </row>
    <row r="248" spans="2:86" ht="13.5" customHeight="1" x14ac:dyDescent="0.2">
      <c r="B248" s="262">
        <v>148</v>
      </c>
      <c r="C248" s="237" t="str">
        <f t="shared" si="171"/>
        <v/>
      </c>
      <c r="D248" s="237" t="str">
        <f t="shared" si="227"/>
        <v>-</v>
      </c>
      <c r="E248" s="263" t="str">
        <f t="shared" si="208"/>
        <v/>
      </c>
      <c r="F248" s="264" t="str">
        <f t="shared" si="209"/>
        <v/>
      </c>
      <c r="G248" s="264" t="str">
        <f t="shared" si="210"/>
        <v/>
      </c>
      <c r="H248" s="240" t="str">
        <f t="shared" si="172"/>
        <v/>
      </c>
      <c r="I248" s="265" t="str">
        <f t="shared" si="173"/>
        <v/>
      </c>
      <c r="J248" s="265" t="str">
        <f t="shared" si="174"/>
        <v/>
      </c>
      <c r="K248" s="240" t="str">
        <f t="shared" si="175"/>
        <v/>
      </c>
      <c r="L248" s="265" t="str">
        <f t="shared" si="176"/>
        <v/>
      </c>
      <c r="M248" s="265" t="str">
        <f t="shared" si="177"/>
        <v/>
      </c>
      <c r="N248" s="240" t="str">
        <f t="shared" si="178"/>
        <v>-</v>
      </c>
      <c r="O248" s="265" t="str">
        <f t="shared" si="179"/>
        <v>-</v>
      </c>
      <c r="P248" s="265" t="str">
        <f t="shared" si="180"/>
        <v>-</v>
      </c>
      <c r="Q248" s="266" t="str">
        <f t="shared" si="181"/>
        <v>-</v>
      </c>
      <c r="R248" s="267" t="str">
        <f t="shared" si="182"/>
        <v>-</v>
      </c>
      <c r="S248" s="268" t="str">
        <f t="shared" si="183"/>
        <v>-</v>
      </c>
      <c r="T248" s="269" t="str">
        <f t="shared" si="184"/>
        <v/>
      </c>
      <c r="U248" s="221">
        <f t="shared" si="185"/>
        <v>148</v>
      </c>
      <c r="V248" s="220" t="str">
        <f t="shared" si="211"/>
        <v>-</v>
      </c>
      <c r="W248" s="221" t="str">
        <f t="shared" si="212"/>
        <v>-</v>
      </c>
      <c r="X248" s="221" t="str">
        <f t="shared" si="186"/>
        <v>-</v>
      </c>
      <c r="Y248" s="221" t="str">
        <f t="shared" si="187"/>
        <v>-</v>
      </c>
      <c r="Z248" s="270">
        <f t="shared" si="213"/>
        <v>0.1</v>
      </c>
      <c r="AA248" s="271" t="str">
        <f>IFERROR(IF(V247=1,AA$100*EXP(-(LN(2)/$D$65+0.04)*X247)*EXP(-(LN(2)/$D$65+0.1)*Y247),IF(V247=2,AA$100*EXP(-(LN(2)/$D$65+0.04)*(VLOOKUP(($F$16-$F$15)-1,U$99:Y247,4,FALSE)))*EXP(-(LN(2)/$D$65+0.1)*(VLOOKUP(($F$16-$F$15)-1,U$99:Y247,5,FALSE)))*EXP(-(LN(2)/$D$65+0.04)*X247)*EXP(-(LN(2)/$D$65+0.1)*Y247),IF(V247=3,AA$100*EXP(-(LN(2)/$D$65+0.04)*(VLOOKUP(($F$16-$F$15)-1,U$99:Y247,4,FALSE)))*EXP(-(LN(2)/$D$65+0.1)*(VLOOKUP(($F$16-$F$15)-1,U$99:Y247,5,FALSE)))*EXP(-(LN(2)/$D$65+0.04)*(VLOOKUP(($F$16-$F$15)*2-1,U$99:Y247,4,FALSE)))*EXP(-(LN(2)/$D$65+0.1)*(VLOOKUP(($F$16-$F$15)*2-1,U$99:Y247,5,FALSE)))*EXP(-(LN(2)/$D$65+0.04)*X247)*EXP(-(LN(2)/$D$65+0.1)*Y247),"-"))),"-")</f>
        <v>-</v>
      </c>
      <c r="AB248" s="271" t="str">
        <f>IFERROR(IF(V248=1,AB$100*EXP(-(LN(2)/$D$65+0.04)*X248)*EXP(-(LN(2)/$D$65+0.1)*Y248),IF(V248=2,AB$100*EXP(-(LN(2)/$D$65+0.04)*(VLOOKUP(($F$16-$F$15)-1,U$100:Y248,4,FALSE)))*EXP(-(LN(2)/$D$65+0.1)*(VLOOKUP(($F$16-$F$15)-1,U$100:Y248,5,FALSE)))*EXP(-(LN(2)/$D$65+0.04)*X248)*EXP(-(LN(2)/$D$65+0.1)*Y248),IF(V248=3,AB$100*EXP(-(LN(2)/$D$65+0.04)*(VLOOKUP(($F$16-$F$15)-1,U$100:Y248,4,FALSE)))*EXP(-(LN(2)/$D$65+0.1)*(VLOOKUP(($F$16-$F$15)-1,U$100:Y248,5,FALSE)))*EXP(-(LN(2)/$D$65+0.04)*(VLOOKUP(($F$16-$F$15)*2-1,U$100:Y248,4,FALSE)))*EXP(-(LN(2)/$D$65+0.1)*(VLOOKUP(($F$16-$F$15)*2-1,U$100:Y248,5,FALSE)))*EXP(-(LN(2)/$D$65+0.04)*X248)*EXP(-(LN(2)/$D$65+0.1)*Y248),"-"))),"-")</f>
        <v>-</v>
      </c>
      <c r="AC248" s="224">
        <f t="shared" si="228"/>
        <v>148</v>
      </c>
      <c r="AD248" s="223" t="str">
        <f t="shared" si="188"/>
        <v>-</v>
      </c>
      <c r="AE248" s="224" t="str">
        <f t="shared" si="215"/>
        <v>-</v>
      </c>
      <c r="AF248" s="224" t="str">
        <f t="shared" si="189"/>
        <v>-</v>
      </c>
      <c r="AG248" s="224" t="str">
        <f t="shared" si="190"/>
        <v>-</v>
      </c>
      <c r="AH248" s="272">
        <f t="shared" si="216"/>
        <v>0.1</v>
      </c>
      <c r="AI248" s="271" t="str">
        <f>IFERROR(IF(AD247=1,AI$100*EXP(-(LN(2)/$D$65+0.04)*AF247)*EXP(-(LN(2)/$D$65+0.1)*AG247),IF(AD247=2,AI$100*EXP(-(LN(2)/$D$65+0.04)*(VLOOKUP(($F$16-$F$15)-1,AC$99:AG247,4,FALSE)))*EXP(-(LN(2)/$D$65+0.1)*(VLOOKUP(($F$16-$F$15)-1,AC$99:AG247,5,FALSE)))*EXP(-(LN(2)/$D$65+0.04)*AF247)*EXP(-(LN(2)/$D$65+0.1)*AG247),IF(AD247=3,AI$100*EXP(-(LN(2)/$D$65+0.04)*(VLOOKUP(($F$16-$F$15)-1,AC$99:AG247,4,FALSE)))*EXP(-(LN(2)/$D$65+0.1)*(VLOOKUP(($F$16-$F$15)-1,AC$99:AG247,5,FALSE)))*EXP(-(LN(2)/$D$65+0.04)*(VLOOKUP(($F$16-$F$15)*2-1,AC$99:AG247,4,FALSE)))*EXP(-(LN(2)/$D$65+0.1)*(VLOOKUP(($F$16-$F$15)*2-1,AC$99:AG247,5,FALSE)))*EXP(-(LN(2)/$D$65+0.04)*AF247)*EXP(-(LN(2)/$D$65+0.1)*AG247),"-"))),"-")</f>
        <v>-</v>
      </c>
      <c r="AJ248" s="271" t="str">
        <f>IFERROR(IF(AD248=1,AJ$100*EXP(-(LN(2)/$D$65+0.04)*AF248)*EXP(-(LN(2)/$D$65+0.1)*AG248),IF(AD248=2,AJ$100*EXP(-(LN(2)/$D$65+0.04)*(VLOOKUP(($F$16-$F$15)-1,AC$100:AG248,4,FALSE)))*EXP(-(LN(2)/$D$65+0.1)*(VLOOKUP(($F$16-$F$15)-1,AC$100:AG248,5,FALSE)))*EXP(-(LN(2)/$D$65+0.04)*AF248)*EXP(-(LN(2)/$D$65+0.1)*AG248),IF(AD248=3,AJ$100*EXP(-(LN(2)/$D$65+0.04)*(VLOOKUP(($F$16-$F$15)-1,AC$100:AG248,4,FALSE)))*EXP(-(LN(2)/$D$65+0.1)*(VLOOKUP(($F$16-$F$15)-1,AC$100:AG248,5,FALSE)))*EXP(-(LN(2)/$D$65+0.04)*(VLOOKUP(($F$16-$F$15)*2-1,AC$100:AG248,4,FALSE)))*EXP(-(LN(2)/$D$65+0.1)*(VLOOKUP(($F$16-$F$15)*2-1,AC$100:AG248,5,FALSE)))*EXP(-(LN(2)/$D$65+0.04)*AF248)*EXP(-(LN(2)/$D$65+0.1)*AG248),"-"))),"-")</f>
        <v>-</v>
      </c>
      <c r="AK248" s="227">
        <f t="shared" si="217"/>
        <v>148</v>
      </c>
      <c r="AL248" s="226" t="str">
        <f t="shared" si="191"/>
        <v>-</v>
      </c>
      <c r="AM248" s="227" t="str">
        <f t="shared" si="218"/>
        <v>-</v>
      </c>
      <c r="AN248" s="227" t="str">
        <f t="shared" si="219"/>
        <v>-</v>
      </c>
      <c r="AO248" s="227" t="str">
        <f t="shared" si="192"/>
        <v>-</v>
      </c>
      <c r="AP248" s="273">
        <f t="shared" si="220"/>
        <v>0.1</v>
      </c>
      <c r="AQ248" s="271" t="str">
        <f>IFERROR(IF(AL247=1,AQ$100*EXP(-(LN(2)/$D$65+0.04)*AN247)*EXP(-(LN(2)/$D$65+0.1)*AO247),IF(AL247=2,AQ$100*EXP(-(LN(2)/$D$65+0.04)*(VLOOKUP(($F$16-$F$15)-1,AK$99:AO247,4,FALSE)))*EXP(-(LN(2)/$D$65+0.1)*(VLOOKUP(($F$16-$F$15)-1,AK$99:AO247,5,FALSE)))*EXP(-(LN(2)/$D$65+0.04)*AN247)*EXP(-(LN(2)/$D$65+0.1)*AO247),IF(AL247=3,AQ$100*EXP(-(LN(2)/$D$65+0.04)*(VLOOKUP(($F$16-$F$15)-1,AK$99:AO247,4,FALSE)))*EXP(-(LN(2)/$D$65+0.1)*(VLOOKUP(($F$16-$F$15)-1,AK$99:AO247,5,FALSE)))*EXP(-(LN(2)/$D$65+0.04)*(VLOOKUP(($F$16-$F$15)*2-1,AK$99:AO247,4,FALSE)))*EXP(-(LN(2)/$D$65+0.1)*(VLOOKUP(($F$16-$F$15)*2-1,AK$99:AO247,5,FALSE)))*EXP(-(LN(2)/$D$65+0.04)*AN247)*EXP(-(LN(2)/$D$65+0.1)*AO247),"-"))),"-")</f>
        <v>-</v>
      </c>
      <c r="AR248" s="271" t="str">
        <f>IFERROR(IF(AL248=1,AR$100*EXP(-(LN(2)/$D$65+0.04)*AN248)*EXP(-(LN(2)/$D$65+0.1)*AO248),IF(AL248=2,AR$100*EXP(-(LN(2)/$D$65+0.04)*(VLOOKUP(($F$16-$F$15)-1,AK$100:AO248,4,FALSE)))*EXP(-(LN(2)/$D$65+0.1)*(VLOOKUP(($F$16-$F$15)-1,AK$100:AO248,5,FALSE)))*EXP(-(LN(2)/$D$65+0.04)*AN248)*EXP(-(LN(2)/$D$65+0.1)*AO248),IF(AL248=3,AR$100*EXP(-(LN(2)/$D$65+0.04)*(VLOOKUP(($F$16-$F$15)-1,AK$100:AO248,4,FALSE)))*EXP(-(LN(2)/$D$65+0.1)*(VLOOKUP(($F$16-$F$15)-1,AK$100:AO248,5,FALSE)))*EXP(-(LN(2)/$D$65+0.04)*(VLOOKUP(($F$16-$F$15)*2-1,AK$100:AO248,4,FALSE)))*EXP(-(LN(2)/$D$65+0.1)*(VLOOKUP(($F$16-$F$15)*2-1,AK$100:AO248,5,FALSE)))*EXP(-(LN(2)/$D$65+0.04)*AN248)*EXP(-(LN(2)/$D$65+0.1)*AO248),"-"))),"-")</f>
        <v>-</v>
      </c>
      <c r="AS248" s="274">
        <f t="shared" si="193"/>
        <v>0</v>
      </c>
      <c r="AT248" s="274">
        <f t="shared" si="194"/>
        <v>0</v>
      </c>
      <c r="AU248" s="274">
        <f t="shared" si="195"/>
        <v>0</v>
      </c>
      <c r="AV248" s="190">
        <f>IF($B248&lt;$F$22,SUM($T$100:$T248),"")</f>
        <v>0</v>
      </c>
      <c r="AW248" s="190" t="str">
        <f t="shared" si="196"/>
        <v>-</v>
      </c>
      <c r="AX248" s="190" t="str">
        <f t="shared" si="221"/>
        <v/>
      </c>
      <c r="AY248"/>
      <c r="AZ248" s="190" t="str">
        <f ca="1">IF(ISNUMBER(OFFSET(AV248,-$F$21,0)),SUM(OFFSET($T$100,$F$21,0):$T248),"")</f>
        <v/>
      </c>
      <c r="BA248" s="190" t="str">
        <f t="shared" ca="1" si="197"/>
        <v/>
      </c>
      <c r="BB248" s="190" t="str">
        <f t="shared" ca="1" si="149"/>
        <v/>
      </c>
      <c r="BC248" s="190"/>
      <c r="BD248" s="190" t="str">
        <f ca="1">IFERROR(IF(AND($B248&gt;=($F$16-$F$15),$B248&lt;$F$22+($F$16-$F$15)),SUM(OFFSET($T$100,($F$16-$F$15),0):$T248),""),"")</f>
        <v/>
      </c>
      <c r="BE248" s="190" t="str">
        <f t="shared" ca="1" si="222"/>
        <v/>
      </c>
      <c r="BF248" s="190" t="str">
        <f t="shared" ca="1" si="223"/>
        <v/>
      </c>
      <c r="BG248"/>
      <c r="BH248" s="190" t="str">
        <f ca="1">IF(ISNUMBER(OFFSET(BD248,-$F$21,0)),SUM(OFFSET($T$100,($F$16-$F$15+$F$21),0):$T248),"")</f>
        <v/>
      </c>
      <c r="BI248" s="190" t="str">
        <f t="shared" ca="1" si="198"/>
        <v/>
      </c>
      <c r="BJ248" s="190" t="str">
        <f t="shared" ca="1" si="224"/>
        <v/>
      </c>
      <c r="BK248" s="190"/>
      <c r="BL248" s="190" t="str">
        <f ca="1">IFERROR(IF(AND($B248&gt;=($F$17-$F$15),$B248&lt;$F$22+($F$17-$F$15)),SUM(OFFSET($T$100,($F$17-$F$15),0):$T248),""),"")</f>
        <v/>
      </c>
      <c r="BM248" s="190" t="str">
        <f t="shared" ca="1" si="199"/>
        <v/>
      </c>
      <c r="BN248" s="190" t="str">
        <f t="shared" ca="1" si="225"/>
        <v/>
      </c>
      <c r="BO248"/>
      <c r="BP248" s="190" t="str">
        <f ca="1">IF(ISNUMBER(OFFSET(BL248,-$F$21,0)),SUM(OFFSET($T$100,($F$17-$F$15+$F$21),0):$T248),"")</f>
        <v/>
      </c>
      <c r="BQ248" s="190" t="str">
        <f t="shared" ca="1" si="200"/>
        <v/>
      </c>
      <c r="BR248" s="190" t="str">
        <f t="shared" ca="1" si="226"/>
        <v/>
      </c>
      <c r="BS248" s="190"/>
      <c r="BT248"/>
      <c r="BU248"/>
      <c r="BV248"/>
      <c r="BY248" s="99"/>
      <c r="BZ248" s="99"/>
      <c r="CA248" s="280" t="str">
        <f t="shared" si="201"/>
        <v/>
      </c>
      <c r="CB248" s="71" t="str">
        <f t="shared" si="202"/>
        <v>-</v>
      </c>
      <c r="CC248" s="33"/>
      <c r="CD248" s="261" t="str">
        <f t="shared" si="203"/>
        <v/>
      </c>
      <c r="CE248" s="280" t="str">
        <f t="shared" si="204"/>
        <v>-</v>
      </c>
      <c r="CF248" s="71" t="str">
        <f t="shared" ca="1" si="205"/>
        <v>-</v>
      </c>
      <c r="CG248" s="33" t="str">
        <f t="shared" si="206"/>
        <v>148-149</v>
      </c>
      <c r="CH248" s="261" t="str">
        <f t="shared" ca="1" si="207"/>
        <v/>
      </c>
    </row>
    <row r="249" spans="2:86" ht="13.5" customHeight="1" x14ac:dyDescent="0.2">
      <c r="B249" s="262">
        <v>149</v>
      </c>
      <c r="C249" s="237" t="str">
        <f t="shared" si="171"/>
        <v/>
      </c>
      <c r="D249" s="237" t="str">
        <f t="shared" si="227"/>
        <v>-</v>
      </c>
      <c r="E249" s="263" t="str">
        <f t="shared" si="208"/>
        <v/>
      </c>
      <c r="F249" s="264" t="str">
        <f t="shared" si="209"/>
        <v/>
      </c>
      <c r="G249" s="264" t="str">
        <f t="shared" si="210"/>
        <v/>
      </c>
      <c r="H249" s="240" t="str">
        <f t="shared" si="172"/>
        <v/>
      </c>
      <c r="I249" s="265" t="str">
        <f t="shared" si="173"/>
        <v/>
      </c>
      <c r="J249" s="265" t="str">
        <f t="shared" si="174"/>
        <v/>
      </c>
      <c r="K249" s="240" t="str">
        <f t="shared" si="175"/>
        <v/>
      </c>
      <c r="L249" s="265" t="str">
        <f t="shared" si="176"/>
        <v/>
      </c>
      <c r="M249" s="265" t="str">
        <f t="shared" si="177"/>
        <v/>
      </c>
      <c r="N249" s="240" t="str">
        <f t="shared" si="178"/>
        <v>-</v>
      </c>
      <c r="O249" s="265" t="str">
        <f t="shared" si="179"/>
        <v>-</v>
      </c>
      <c r="P249" s="265" t="str">
        <f t="shared" si="180"/>
        <v>-</v>
      </c>
      <c r="Q249" s="266" t="str">
        <f t="shared" si="181"/>
        <v>-</v>
      </c>
      <c r="R249" s="267" t="str">
        <f t="shared" si="182"/>
        <v>-</v>
      </c>
      <c r="S249" s="268" t="str">
        <f t="shared" si="183"/>
        <v>-</v>
      </c>
      <c r="T249" s="269" t="str">
        <f t="shared" si="184"/>
        <v/>
      </c>
      <c r="U249" s="221">
        <f t="shared" si="185"/>
        <v>149</v>
      </c>
      <c r="V249" s="220" t="str">
        <f t="shared" si="211"/>
        <v>-</v>
      </c>
      <c r="W249" s="221" t="str">
        <f t="shared" si="212"/>
        <v>-</v>
      </c>
      <c r="X249" s="221" t="str">
        <f t="shared" si="186"/>
        <v>-</v>
      </c>
      <c r="Y249" s="221" t="str">
        <f t="shared" si="187"/>
        <v>-</v>
      </c>
      <c r="Z249" s="270">
        <f t="shared" si="213"/>
        <v>0.1</v>
      </c>
      <c r="AA249" s="271" t="str">
        <f>IFERROR(IF(V248=1,AA$100*EXP(-(LN(2)/$D$65+0.04)*X248)*EXP(-(LN(2)/$D$65+0.1)*Y248),IF(V248=2,AA$100*EXP(-(LN(2)/$D$65+0.04)*(VLOOKUP(($F$16-$F$15)-1,U$99:Y248,4,FALSE)))*EXP(-(LN(2)/$D$65+0.1)*(VLOOKUP(($F$16-$F$15)-1,U$99:Y248,5,FALSE)))*EXP(-(LN(2)/$D$65+0.04)*X248)*EXP(-(LN(2)/$D$65+0.1)*Y248),IF(V248=3,AA$100*EXP(-(LN(2)/$D$65+0.04)*(VLOOKUP(($F$16-$F$15)-1,U$99:Y248,4,FALSE)))*EXP(-(LN(2)/$D$65+0.1)*(VLOOKUP(($F$16-$F$15)-1,U$99:Y248,5,FALSE)))*EXP(-(LN(2)/$D$65+0.04)*(VLOOKUP(($F$16-$F$15)*2-1,U$99:Y248,4,FALSE)))*EXP(-(LN(2)/$D$65+0.1)*(VLOOKUP(($F$16-$F$15)*2-1,U$99:Y248,5,FALSE)))*EXP(-(LN(2)/$D$65+0.04)*X248)*EXP(-(LN(2)/$D$65+0.1)*Y248),"-"))),"-")</f>
        <v>-</v>
      </c>
      <c r="AB249" s="271" t="str">
        <f>IFERROR(IF(V249=1,AB$100*EXP(-(LN(2)/$D$65+0.04)*X249)*EXP(-(LN(2)/$D$65+0.1)*Y249),IF(V249=2,AB$100*EXP(-(LN(2)/$D$65+0.04)*(VLOOKUP(($F$16-$F$15)-1,U$100:Y249,4,FALSE)))*EXP(-(LN(2)/$D$65+0.1)*(VLOOKUP(($F$16-$F$15)-1,U$100:Y249,5,FALSE)))*EXP(-(LN(2)/$D$65+0.04)*X249)*EXP(-(LN(2)/$D$65+0.1)*Y249),IF(V249=3,AB$100*EXP(-(LN(2)/$D$65+0.04)*(VLOOKUP(($F$16-$F$15)-1,U$100:Y249,4,FALSE)))*EXP(-(LN(2)/$D$65+0.1)*(VLOOKUP(($F$16-$F$15)-1,U$100:Y249,5,FALSE)))*EXP(-(LN(2)/$D$65+0.04)*(VLOOKUP(($F$16-$F$15)*2-1,U$100:Y249,4,FALSE)))*EXP(-(LN(2)/$D$65+0.1)*(VLOOKUP(($F$16-$F$15)*2-1,U$100:Y249,5,FALSE)))*EXP(-(LN(2)/$D$65+0.04)*X249)*EXP(-(LN(2)/$D$65+0.1)*Y249),"-"))),"-")</f>
        <v>-</v>
      </c>
      <c r="AC249" s="224">
        <f t="shared" si="228"/>
        <v>149</v>
      </c>
      <c r="AD249" s="223" t="str">
        <f t="shared" si="188"/>
        <v>-</v>
      </c>
      <c r="AE249" s="224" t="str">
        <f t="shared" si="215"/>
        <v>-</v>
      </c>
      <c r="AF249" s="224" t="str">
        <f t="shared" si="189"/>
        <v>-</v>
      </c>
      <c r="AG249" s="224" t="str">
        <f t="shared" si="190"/>
        <v>-</v>
      </c>
      <c r="AH249" s="272">
        <f t="shared" si="216"/>
        <v>0.1</v>
      </c>
      <c r="AI249" s="271" t="str">
        <f>IFERROR(IF(AD248=1,AI$100*EXP(-(LN(2)/$D$65+0.04)*AF248)*EXP(-(LN(2)/$D$65+0.1)*AG248),IF(AD248=2,AI$100*EXP(-(LN(2)/$D$65+0.04)*(VLOOKUP(($F$16-$F$15)-1,AC$99:AG248,4,FALSE)))*EXP(-(LN(2)/$D$65+0.1)*(VLOOKUP(($F$16-$F$15)-1,AC$99:AG248,5,FALSE)))*EXP(-(LN(2)/$D$65+0.04)*AF248)*EXP(-(LN(2)/$D$65+0.1)*AG248),IF(AD248=3,AI$100*EXP(-(LN(2)/$D$65+0.04)*(VLOOKUP(($F$16-$F$15)-1,AC$99:AG248,4,FALSE)))*EXP(-(LN(2)/$D$65+0.1)*(VLOOKUP(($F$16-$F$15)-1,AC$99:AG248,5,FALSE)))*EXP(-(LN(2)/$D$65+0.04)*(VLOOKUP(($F$16-$F$15)*2-1,AC$99:AG248,4,FALSE)))*EXP(-(LN(2)/$D$65+0.1)*(VLOOKUP(($F$16-$F$15)*2-1,AC$99:AG248,5,FALSE)))*EXP(-(LN(2)/$D$65+0.04)*AF248)*EXP(-(LN(2)/$D$65+0.1)*AG248),"-"))),"-")</f>
        <v>-</v>
      </c>
      <c r="AJ249" s="271" t="str">
        <f>IFERROR(IF(AD249=1,AJ$100*EXP(-(LN(2)/$D$65+0.04)*AF249)*EXP(-(LN(2)/$D$65+0.1)*AG249),IF(AD249=2,AJ$100*EXP(-(LN(2)/$D$65+0.04)*(VLOOKUP(($F$16-$F$15)-1,AC$100:AG249,4,FALSE)))*EXP(-(LN(2)/$D$65+0.1)*(VLOOKUP(($F$16-$F$15)-1,AC$100:AG249,5,FALSE)))*EXP(-(LN(2)/$D$65+0.04)*AF249)*EXP(-(LN(2)/$D$65+0.1)*AG249),IF(AD249=3,AJ$100*EXP(-(LN(2)/$D$65+0.04)*(VLOOKUP(($F$16-$F$15)-1,AC$100:AG249,4,FALSE)))*EXP(-(LN(2)/$D$65+0.1)*(VLOOKUP(($F$16-$F$15)-1,AC$100:AG249,5,FALSE)))*EXP(-(LN(2)/$D$65+0.04)*(VLOOKUP(($F$16-$F$15)*2-1,AC$100:AG249,4,FALSE)))*EXP(-(LN(2)/$D$65+0.1)*(VLOOKUP(($F$16-$F$15)*2-1,AC$100:AG249,5,FALSE)))*EXP(-(LN(2)/$D$65+0.04)*AF249)*EXP(-(LN(2)/$D$65+0.1)*AG249),"-"))),"-")</f>
        <v>-</v>
      </c>
      <c r="AK249" s="227">
        <f t="shared" si="217"/>
        <v>149</v>
      </c>
      <c r="AL249" s="226" t="str">
        <f t="shared" si="191"/>
        <v>-</v>
      </c>
      <c r="AM249" s="227" t="str">
        <f t="shared" si="218"/>
        <v>-</v>
      </c>
      <c r="AN249" s="227" t="str">
        <f t="shared" si="219"/>
        <v>-</v>
      </c>
      <c r="AO249" s="227" t="str">
        <f t="shared" si="192"/>
        <v>-</v>
      </c>
      <c r="AP249" s="273">
        <f t="shared" si="220"/>
        <v>0.1</v>
      </c>
      <c r="AQ249" s="271" t="str">
        <f>IFERROR(IF(AL248=1,AQ$100*EXP(-(LN(2)/$D$65+0.04)*AN248)*EXP(-(LN(2)/$D$65+0.1)*AO248),IF(AL248=2,AQ$100*EXP(-(LN(2)/$D$65+0.04)*(VLOOKUP(($F$16-$F$15)-1,AK$99:AO248,4,FALSE)))*EXP(-(LN(2)/$D$65+0.1)*(VLOOKUP(($F$16-$F$15)-1,AK$99:AO248,5,FALSE)))*EXP(-(LN(2)/$D$65+0.04)*AN248)*EXP(-(LN(2)/$D$65+0.1)*AO248),IF(AL248=3,AQ$100*EXP(-(LN(2)/$D$65+0.04)*(VLOOKUP(($F$16-$F$15)-1,AK$99:AO248,4,FALSE)))*EXP(-(LN(2)/$D$65+0.1)*(VLOOKUP(($F$16-$F$15)-1,AK$99:AO248,5,FALSE)))*EXP(-(LN(2)/$D$65+0.04)*(VLOOKUP(($F$16-$F$15)*2-1,AK$99:AO248,4,FALSE)))*EXP(-(LN(2)/$D$65+0.1)*(VLOOKUP(($F$16-$F$15)*2-1,AK$99:AO248,5,FALSE)))*EXP(-(LN(2)/$D$65+0.04)*AN248)*EXP(-(LN(2)/$D$65+0.1)*AO248),"-"))),"-")</f>
        <v>-</v>
      </c>
      <c r="AR249" s="271" t="str">
        <f>IFERROR(IF(AL249=1,AR$100*EXP(-(LN(2)/$D$65+0.04)*AN249)*EXP(-(LN(2)/$D$65+0.1)*AO249),IF(AL249=2,AR$100*EXP(-(LN(2)/$D$65+0.04)*(VLOOKUP(($F$16-$F$15)-1,AK$100:AO249,4,FALSE)))*EXP(-(LN(2)/$D$65+0.1)*(VLOOKUP(($F$16-$F$15)-1,AK$100:AO249,5,FALSE)))*EXP(-(LN(2)/$D$65+0.04)*AN249)*EXP(-(LN(2)/$D$65+0.1)*AO249),IF(AL249=3,AR$100*EXP(-(LN(2)/$D$65+0.04)*(VLOOKUP(($F$16-$F$15)-1,AK$100:AO249,4,FALSE)))*EXP(-(LN(2)/$D$65+0.1)*(VLOOKUP(($F$16-$F$15)-1,AK$100:AO249,5,FALSE)))*EXP(-(LN(2)/$D$65+0.04)*(VLOOKUP(($F$16-$F$15)*2-1,AK$100:AO249,4,FALSE)))*EXP(-(LN(2)/$D$65+0.1)*(VLOOKUP(($F$16-$F$15)*2-1,AK$100:AO249,5,FALSE)))*EXP(-(LN(2)/$D$65+0.04)*AN249)*EXP(-(LN(2)/$D$65+0.1)*AO249),"-"))),"-")</f>
        <v>-</v>
      </c>
      <c r="AS249" s="274">
        <f t="shared" si="193"/>
        <v>0</v>
      </c>
      <c r="AT249" s="274">
        <f t="shared" si="194"/>
        <v>0</v>
      </c>
      <c r="AU249" s="274">
        <f t="shared" si="195"/>
        <v>0</v>
      </c>
      <c r="AV249" s="190">
        <f>IF($B249&lt;$F$22,SUM($T$100:$T249),"")</f>
        <v>0</v>
      </c>
      <c r="AW249" s="190" t="str">
        <f t="shared" si="196"/>
        <v>-</v>
      </c>
      <c r="AX249" s="190" t="str">
        <f t="shared" si="221"/>
        <v/>
      </c>
      <c r="AY249"/>
      <c r="AZ249" s="190" t="str">
        <f ca="1">IF(ISNUMBER(OFFSET(AV249,-$F$21,0)),SUM(OFFSET($T$100,$F$21,0):$T249),"")</f>
        <v/>
      </c>
      <c r="BA249" s="190" t="str">
        <f t="shared" ca="1" si="197"/>
        <v/>
      </c>
      <c r="BB249" s="190" t="str">
        <f ca="1">IF(ISNUMBER(AZ249),(AZ249-BA249)/(3*86400*(OFFSET($B249,-$F$21,0)+1))*1000,"")</f>
        <v/>
      </c>
      <c r="BC249" s="190"/>
      <c r="BD249" s="190" t="str">
        <f ca="1">IFERROR(IF(AND($B249&gt;=($F$16-$F$15),$B249&lt;$F$22+($F$16-$F$15)),SUM(OFFSET($T$100,($F$16-$F$15),0):$T249),""),"")</f>
        <v/>
      </c>
      <c r="BE249" s="190" t="str">
        <f t="shared" ca="1" si="222"/>
        <v/>
      </c>
      <c r="BF249" s="190" t="str">
        <f t="shared" ca="1" si="223"/>
        <v/>
      </c>
      <c r="BG249"/>
      <c r="BH249" s="190" t="str">
        <f ca="1">IF(ISNUMBER(OFFSET(BD249,-$F$21,0)),SUM(OFFSET($T$100,($F$16-$F$15+$F$21),0):$T249),"")</f>
        <v/>
      </c>
      <c r="BI249" s="190" t="str">
        <f t="shared" ca="1" si="198"/>
        <v/>
      </c>
      <c r="BJ249" s="190" t="str">
        <f t="shared" ca="1" si="224"/>
        <v/>
      </c>
      <c r="BK249" s="190"/>
      <c r="BL249" s="190" t="str">
        <f ca="1">IFERROR(IF(AND($B249&gt;=($F$17-$F$15),$B249&lt;$F$22+($F$17-$F$15)),SUM(OFFSET($T$100,($F$17-$F$15),0):$T249),""),"")</f>
        <v/>
      </c>
      <c r="BM249" s="190" t="str">
        <f t="shared" ca="1" si="199"/>
        <v/>
      </c>
      <c r="BN249" s="190" t="str">
        <f t="shared" ca="1" si="225"/>
        <v/>
      </c>
      <c r="BO249"/>
      <c r="BP249" s="190" t="str">
        <f ca="1">IF(ISNUMBER(OFFSET(BL249,-$F$21,0)),SUM(OFFSET($T$100,($F$17-$F$15+$F$21),0):$T249),"")</f>
        <v/>
      </c>
      <c r="BQ249" s="190" t="str">
        <f t="shared" ca="1" si="200"/>
        <v/>
      </c>
      <c r="BR249" s="190" t="str">
        <f t="shared" ca="1" si="226"/>
        <v/>
      </c>
      <c r="BS249" s="190"/>
      <c r="BT249"/>
      <c r="BU249"/>
      <c r="BV249"/>
      <c r="BY249" s="99"/>
      <c r="BZ249" s="99"/>
      <c r="CA249" s="280" t="str">
        <f t="shared" si="201"/>
        <v/>
      </c>
      <c r="CB249" s="71" t="str">
        <f t="shared" si="202"/>
        <v>-</v>
      </c>
      <c r="CC249" s="33"/>
      <c r="CD249" s="261" t="str">
        <f t="shared" si="203"/>
        <v/>
      </c>
      <c r="CE249" s="280" t="str">
        <f t="shared" si="204"/>
        <v>-</v>
      </c>
      <c r="CF249" s="71" t="str">
        <f t="shared" ca="1" si="205"/>
        <v>-</v>
      </c>
      <c r="CG249" s="33" t="str">
        <f t="shared" si="206"/>
        <v>149-150</v>
      </c>
      <c r="CH249" s="261" t="str">
        <f t="shared" ca="1" si="207"/>
        <v/>
      </c>
    </row>
    <row r="250" spans="2:86" ht="13.5" customHeight="1" x14ac:dyDescent="0.2">
      <c r="B250" s="262">
        <v>150</v>
      </c>
      <c r="C250" s="237" t="str">
        <f t="shared" si="171"/>
        <v/>
      </c>
      <c r="D250" s="237" t="str">
        <f t="shared" si="227"/>
        <v>-</v>
      </c>
      <c r="E250" s="263" t="str">
        <f t="shared" si="208"/>
        <v/>
      </c>
      <c r="F250" s="264" t="str">
        <f t="shared" si="209"/>
        <v/>
      </c>
      <c r="G250" s="264" t="str">
        <f t="shared" si="210"/>
        <v/>
      </c>
      <c r="H250" s="240" t="str">
        <f t="shared" si="172"/>
        <v/>
      </c>
      <c r="I250" s="265" t="str">
        <f t="shared" si="173"/>
        <v/>
      </c>
      <c r="J250" s="265" t="str">
        <f t="shared" si="174"/>
        <v/>
      </c>
      <c r="K250" s="240" t="str">
        <f t="shared" si="175"/>
        <v/>
      </c>
      <c r="L250" s="265" t="str">
        <f t="shared" si="176"/>
        <v/>
      </c>
      <c r="M250" s="265" t="str">
        <f t="shared" si="177"/>
        <v/>
      </c>
      <c r="N250" s="240" t="str">
        <f t="shared" si="178"/>
        <v>-</v>
      </c>
      <c r="O250" s="265" t="str">
        <f t="shared" si="179"/>
        <v>-</v>
      </c>
      <c r="P250" s="265" t="str">
        <f t="shared" si="180"/>
        <v>-</v>
      </c>
      <c r="Q250" s="266" t="str">
        <f t="shared" si="181"/>
        <v>-</v>
      </c>
      <c r="R250" s="267" t="str">
        <f t="shared" si="182"/>
        <v>-</v>
      </c>
      <c r="S250" s="268" t="str">
        <f t="shared" si="183"/>
        <v>-</v>
      </c>
      <c r="T250" s="269" t="str">
        <f t="shared" si="184"/>
        <v/>
      </c>
      <c r="U250" s="221">
        <f t="shared" si="185"/>
        <v>150</v>
      </c>
      <c r="V250" s="220" t="str">
        <f t="shared" si="211"/>
        <v>-</v>
      </c>
      <c r="W250" s="221" t="str">
        <f t="shared" si="212"/>
        <v>-</v>
      </c>
      <c r="X250" s="221" t="str">
        <f t="shared" si="186"/>
        <v>-</v>
      </c>
      <c r="Y250" s="221" t="str">
        <f t="shared" si="187"/>
        <v>-</v>
      </c>
      <c r="Z250" s="270">
        <f t="shared" si="213"/>
        <v>0.1</v>
      </c>
      <c r="AA250" s="271" t="str">
        <f>IFERROR(IF(V249=1,AA$100*EXP(-(LN(2)/$D$65+0.04)*X249)*EXP(-(LN(2)/$D$65+0.1)*Y249),IF(V249=2,AA$100*EXP(-(LN(2)/$D$65+0.04)*(VLOOKUP(($F$16-$F$15)-1,U$99:Y249,4,FALSE)))*EXP(-(LN(2)/$D$65+0.1)*(VLOOKUP(($F$16-$F$15)-1,U$99:Y249,5,FALSE)))*EXP(-(LN(2)/$D$65+0.04)*X249)*EXP(-(LN(2)/$D$65+0.1)*Y249),IF(V249=3,AA$100*EXP(-(LN(2)/$D$65+0.04)*(VLOOKUP(($F$16-$F$15)-1,U$99:Y249,4,FALSE)))*EXP(-(LN(2)/$D$65+0.1)*(VLOOKUP(($F$16-$F$15)-1,U$99:Y249,5,FALSE)))*EXP(-(LN(2)/$D$65+0.04)*(VLOOKUP(($F$16-$F$15)*2-1,U$99:Y249,4,FALSE)))*EXP(-(LN(2)/$D$65+0.1)*(VLOOKUP(($F$16-$F$15)*2-1,U$99:Y249,5,FALSE)))*EXP(-(LN(2)/$D$65+0.04)*X249)*EXP(-(LN(2)/$D$65+0.1)*Y249),"-"))),"-")</f>
        <v>-</v>
      </c>
      <c r="AB250" s="271" t="str">
        <f>IFERROR(IF(V250=1,AB$100*EXP(-(LN(2)/$D$65+0.04)*X250)*EXP(-(LN(2)/$D$65+0.1)*Y250),IF(V250=2,AB$100*EXP(-(LN(2)/$D$65+0.04)*(VLOOKUP(($F$16-$F$15)-1,U$100:Y250,4,FALSE)))*EXP(-(LN(2)/$D$65+0.1)*(VLOOKUP(($F$16-$F$15)-1,U$100:Y250,5,FALSE)))*EXP(-(LN(2)/$D$65+0.04)*X250)*EXP(-(LN(2)/$D$65+0.1)*Y250),IF(V250=3,AB$100*EXP(-(LN(2)/$D$65+0.04)*(VLOOKUP(($F$16-$F$15)-1,U$100:Y250,4,FALSE)))*EXP(-(LN(2)/$D$65+0.1)*(VLOOKUP(($F$16-$F$15)-1,U$100:Y250,5,FALSE)))*EXP(-(LN(2)/$D$65+0.04)*(VLOOKUP(($F$16-$F$15)*2-1,U$100:Y250,4,FALSE)))*EXP(-(LN(2)/$D$65+0.1)*(VLOOKUP(($F$16-$F$15)*2-1,U$100:Y250,5,FALSE)))*EXP(-(LN(2)/$D$65+0.04)*X250)*EXP(-(LN(2)/$D$65+0.1)*Y250),"-"))),"-")</f>
        <v>-</v>
      </c>
      <c r="AC250" s="224">
        <f t="shared" si="228"/>
        <v>150</v>
      </c>
      <c r="AD250" s="223" t="str">
        <f t="shared" si="188"/>
        <v>-</v>
      </c>
      <c r="AE250" s="224" t="str">
        <f t="shared" si="215"/>
        <v>-</v>
      </c>
      <c r="AF250" s="224" t="str">
        <f t="shared" si="189"/>
        <v>-</v>
      </c>
      <c r="AG250" s="224" t="str">
        <f t="shared" si="190"/>
        <v>-</v>
      </c>
      <c r="AH250" s="272">
        <f t="shared" si="216"/>
        <v>0.1</v>
      </c>
      <c r="AI250" s="271" t="str">
        <f>IFERROR(IF(AD249=1,AI$100*EXP(-(LN(2)/$D$65+0.04)*AF249)*EXP(-(LN(2)/$D$65+0.1)*AG249),IF(AD249=2,AI$100*EXP(-(LN(2)/$D$65+0.04)*(VLOOKUP(($F$16-$F$15)-1,AC$99:AG249,4,FALSE)))*EXP(-(LN(2)/$D$65+0.1)*(VLOOKUP(($F$16-$F$15)-1,AC$99:AG249,5,FALSE)))*EXP(-(LN(2)/$D$65+0.04)*AF249)*EXP(-(LN(2)/$D$65+0.1)*AG249),IF(AD249=3,AI$100*EXP(-(LN(2)/$D$65+0.04)*(VLOOKUP(($F$16-$F$15)-1,AC$99:AG249,4,FALSE)))*EXP(-(LN(2)/$D$65+0.1)*(VLOOKUP(($F$16-$F$15)-1,AC$99:AG249,5,FALSE)))*EXP(-(LN(2)/$D$65+0.04)*(VLOOKUP(($F$16-$F$15)*2-1,AC$99:AG249,4,FALSE)))*EXP(-(LN(2)/$D$65+0.1)*(VLOOKUP(($F$16-$F$15)*2-1,AC$99:AG249,5,FALSE)))*EXP(-(LN(2)/$D$65+0.04)*AF249)*EXP(-(LN(2)/$D$65+0.1)*AG249),"-"))),"-")</f>
        <v>-</v>
      </c>
      <c r="AJ250" s="271" t="str">
        <f>IFERROR(IF(AD250=1,AJ$100*EXP(-(LN(2)/$D$65+0.04)*AF250)*EXP(-(LN(2)/$D$65+0.1)*AG250),IF(AD250=2,AJ$100*EXP(-(LN(2)/$D$65+0.04)*(VLOOKUP(($F$16-$F$15)-1,AC$100:AG250,4,FALSE)))*EXP(-(LN(2)/$D$65+0.1)*(VLOOKUP(($F$16-$F$15)-1,AC$100:AG250,5,FALSE)))*EXP(-(LN(2)/$D$65+0.04)*AF250)*EXP(-(LN(2)/$D$65+0.1)*AG250),IF(AD250=3,AJ$100*EXP(-(LN(2)/$D$65+0.04)*(VLOOKUP(($F$16-$F$15)-1,AC$100:AG250,4,FALSE)))*EXP(-(LN(2)/$D$65+0.1)*(VLOOKUP(($F$16-$F$15)-1,AC$100:AG250,5,FALSE)))*EXP(-(LN(2)/$D$65+0.04)*(VLOOKUP(($F$16-$F$15)*2-1,AC$100:AG250,4,FALSE)))*EXP(-(LN(2)/$D$65+0.1)*(VLOOKUP(($F$16-$F$15)*2-1,AC$100:AG250,5,FALSE)))*EXP(-(LN(2)/$D$65+0.04)*AF250)*EXP(-(LN(2)/$D$65+0.1)*AG250),"-"))),"-")</f>
        <v>-</v>
      </c>
      <c r="AK250" s="227">
        <f t="shared" si="217"/>
        <v>150</v>
      </c>
      <c r="AL250" s="226" t="str">
        <f t="shared" si="191"/>
        <v>-</v>
      </c>
      <c r="AM250" s="227" t="str">
        <f t="shared" si="218"/>
        <v>-</v>
      </c>
      <c r="AN250" s="227" t="str">
        <f t="shared" si="219"/>
        <v>-</v>
      </c>
      <c r="AO250" s="227" t="str">
        <f t="shared" si="192"/>
        <v>-</v>
      </c>
      <c r="AP250" s="273">
        <f t="shared" si="220"/>
        <v>0.1</v>
      </c>
      <c r="AQ250" s="271" t="str">
        <f>IFERROR(IF(AL249=1,AQ$100*EXP(-(LN(2)/$D$65+0.04)*AN249)*EXP(-(LN(2)/$D$65+0.1)*AO249),IF(AL249=2,AQ$100*EXP(-(LN(2)/$D$65+0.04)*(VLOOKUP(($F$16-$F$15)-1,AK$99:AO249,4,FALSE)))*EXP(-(LN(2)/$D$65+0.1)*(VLOOKUP(($F$16-$F$15)-1,AK$99:AO249,5,FALSE)))*EXP(-(LN(2)/$D$65+0.04)*AN249)*EXP(-(LN(2)/$D$65+0.1)*AO249),IF(AL249=3,AQ$100*EXP(-(LN(2)/$D$65+0.04)*(VLOOKUP(($F$16-$F$15)-1,AK$99:AO249,4,FALSE)))*EXP(-(LN(2)/$D$65+0.1)*(VLOOKUP(($F$16-$F$15)-1,AK$99:AO249,5,FALSE)))*EXP(-(LN(2)/$D$65+0.04)*(VLOOKUP(($F$16-$F$15)*2-1,AK$99:AO249,4,FALSE)))*EXP(-(LN(2)/$D$65+0.1)*(VLOOKUP(($F$16-$F$15)*2-1,AK$99:AO249,5,FALSE)))*EXP(-(LN(2)/$D$65+0.04)*AN249)*EXP(-(LN(2)/$D$65+0.1)*AO249),"-"))),"-")</f>
        <v>-</v>
      </c>
      <c r="AR250" s="271" t="str">
        <f>IFERROR(IF(AL250=1,AR$100*EXP(-(LN(2)/$D$65+0.04)*AN250)*EXP(-(LN(2)/$D$65+0.1)*AO250),IF(AL250=2,AR$100*EXP(-(LN(2)/$D$65+0.04)*(VLOOKUP(($F$16-$F$15)-1,AK$100:AO250,4,FALSE)))*EXP(-(LN(2)/$D$65+0.1)*(VLOOKUP(($F$16-$F$15)-1,AK$100:AO250,5,FALSE)))*EXP(-(LN(2)/$D$65+0.04)*AN250)*EXP(-(LN(2)/$D$65+0.1)*AO250),IF(AL250=3,AR$100*EXP(-(LN(2)/$D$65+0.04)*(VLOOKUP(($F$16-$F$15)-1,AK$100:AO250,4,FALSE)))*EXP(-(LN(2)/$D$65+0.1)*(VLOOKUP(($F$16-$F$15)-1,AK$100:AO250,5,FALSE)))*EXP(-(LN(2)/$D$65+0.04)*(VLOOKUP(($F$16-$F$15)*2-1,AK$100:AO250,4,FALSE)))*EXP(-(LN(2)/$D$65+0.1)*(VLOOKUP(($F$16-$F$15)*2-1,AK$100:AO250,5,FALSE)))*EXP(-(LN(2)/$D$65+0.04)*AN250)*EXP(-(LN(2)/$D$65+0.1)*AO250),"-"))),"-")</f>
        <v>-</v>
      </c>
      <c r="AS250" s="274">
        <f t="shared" si="193"/>
        <v>0</v>
      </c>
      <c r="AT250" s="274">
        <f t="shared" si="194"/>
        <v>0</v>
      </c>
      <c r="AU250" s="274">
        <f t="shared" si="195"/>
        <v>0</v>
      </c>
      <c r="AV250" s="253">
        <f>IF($B250&lt;$F$22,SUM($T$100:$T250),"")</f>
        <v>0</v>
      </c>
      <c r="AW250" s="253" t="str">
        <f t="shared" si="196"/>
        <v>-</v>
      </c>
      <c r="AX250" s="253" t="str">
        <f t="shared" si="221"/>
        <v/>
      </c>
      <c r="AY250" s="252"/>
      <c r="AZ250" s="253" t="str">
        <f ca="1">IF(ISNUMBER(OFFSET(AV250,-$F$21,0)),SUM(OFFSET($T$100,$F$21,0):$T250),"")</f>
        <v/>
      </c>
      <c r="BA250" s="253" t="str">
        <f t="shared" ca="1" si="197"/>
        <v/>
      </c>
      <c r="BB250" s="253" t="str">
        <f ca="1">IF(ISNUMBER(AZ250),(AZ250-BA250)/(3*86400*(OFFSET($B250,-$F$21,0)+1))*1000,"")</f>
        <v/>
      </c>
      <c r="BC250" s="253"/>
      <c r="BD250" s="253" t="str">
        <f ca="1">IFERROR(IF(AND($B250&gt;=($F$16-$F$15),$B250&lt;$F$22+($F$16-$F$15)),SUM(OFFSET($T$100,($F$16-$F$15),0):$T250),""),"")</f>
        <v/>
      </c>
      <c r="BE250" s="253" t="str">
        <f t="shared" ca="1" si="222"/>
        <v/>
      </c>
      <c r="BF250" s="253" t="str">
        <f t="shared" ca="1" si="223"/>
        <v/>
      </c>
      <c r="BG250" s="252"/>
      <c r="BH250" s="253" t="str">
        <f ca="1">IF(ISNUMBER(OFFSET(BD250,-$F$21,0)),SUM(OFFSET($T$100,($F$16-$F$15+$F$21),0):$T250),"")</f>
        <v/>
      </c>
      <c r="BI250" s="253" t="str">
        <f t="shared" ca="1" si="198"/>
        <v/>
      </c>
      <c r="BJ250" s="253" t="str">
        <f t="shared" ca="1" si="224"/>
        <v/>
      </c>
      <c r="BK250" s="253"/>
      <c r="BL250" s="253" t="str">
        <f ca="1">IFERROR(IF(AND($B250&gt;=($F$17-$F$15),$B250&lt;$F$22+($F$17-$F$15)),SUM(OFFSET($T$100,($F$17-$F$15),0):$T250),""),"")</f>
        <v/>
      </c>
      <c r="BM250" s="253" t="str">
        <f t="shared" ca="1" si="199"/>
        <v/>
      </c>
      <c r="BN250" s="253" t="str">
        <f t="shared" ca="1" si="225"/>
        <v/>
      </c>
      <c r="BO250" s="252"/>
      <c r="BP250" s="253" t="str">
        <f ca="1">IF(ISNUMBER(OFFSET(BL250,-$F$21,0)),SUM(OFFSET($T$100,($F$17-$F$15+$F$21),0):$T250),"")</f>
        <v/>
      </c>
      <c r="BQ250" s="253" t="str">
        <f t="shared" ca="1" si="200"/>
        <v/>
      </c>
      <c r="BR250" s="253" t="str">
        <f t="shared" ca="1" si="226"/>
        <v/>
      </c>
      <c r="BS250" s="253"/>
      <c r="BT250"/>
      <c r="BU250"/>
      <c r="BV250"/>
      <c r="BY250" s="99"/>
      <c r="BZ250" s="99"/>
      <c r="CA250" s="280" t="str">
        <f t="shared" si="201"/>
        <v/>
      </c>
      <c r="CB250" s="71" t="str">
        <f t="shared" si="202"/>
        <v>-</v>
      </c>
      <c r="CC250" s="33"/>
      <c r="CD250" s="261" t="str">
        <f t="shared" si="203"/>
        <v/>
      </c>
      <c r="CE250" s="280" t="str">
        <f t="shared" si="204"/>
        <v>-</v>
      </c>
      <c r="CF250" s="71" t="str">
        <f t="shared" ca="1" si="205"/>
        <v>-</v>
      </c>
      <c r="CG250" s="33" t="str">
        <f t="shared" si="206"/>
        <v>150-151</v>
      </c>
      <c r="CH250" s="261" t="str">
        <f t="shared" ca="1" si="207"/>
        <v/>
      </c>
    </row>
  </sheetData>
  <sheetProtection algorithmName="SHA-512" hashValue="JST67PAgr60jv9KmsP9gzaqE5EkhUCcwNX9Cu4K2bfy2UqlNyGOZm79Zxy2beczFUqHSR6dKxhSPoKsPX/DRDw==" saltValue="Jk8+npln+Vp5kiqNDhPMfw==" spinCount="100000" sheet="1" objects="1" scenarios="1" selectLockedCells="1"/>
  <mergeCells count="108">
    <mergeCell ref="BU94:BY94"/>
    <mergeCell ref="AW97:AW98"/>
    <mergeCell ref="BA97:BA98"/>
    <mergeCell ref="BE97:BE98"/>
    <mergeCell ref="BF97:BF98"/>
    <mergeCell ref="BH97:BH98"/>
    <mergeCell ref="BI97:BI98"/>
    <mergeCell ref="BJ97:BJ98"/>
    <mergeCell ref="BL97:BL98"/>
    <mergeCell ref="BM97:BM98"/>
    <mergeCell ref="BN97:BN98"/>
    <mergeCell ref="BP97:BP98"/>
    <mergeCell ref="BQ97:BQ98"/>
    <mergeCell ref="BR97:BR98"/>
    <mergeCell ref="B5:C5"/>
    <mergeCell ref="D5:J5"/>
    <mergeCell ref="B6:C6"/>
    <mergeCell ref="D6:J6"/>
    <mergeCell ref="C11:E11"/>
    <mergeCell ref="H11:J11"/>
    <mergeCell ref="C12:E12"/>
    <mergeCell ref="H12:J12"/>
    <mergeCell ref="B2:D3"/>
    <mergeCell ref="C13:E13"/>
    <mergeCell ref="H13:J13"/>
    <mergeCell ref="C14:E14"/>
    <mergeCell ref="H14:J14"/>
    <mergeCell ref="B15:B17"/>
    <mergeCell ref="C15:E17"/>
    <mergeCell ref="G15:G17"/>
    <mergeCell ref="H15:J17"/>
    <mergeCell ref="B18:B19"/>
    <mergeCell ref="C18:E19"/>
    <mergeCell ref="F18:F19"/>
    <mergeCell ref="G18:G19"/>
    <mergeCell ref="H18:J19"/>
    <mergeCell ref="C20:E20"/>
    <mergeCell ref="H20:J20"/>
    <mergeCell ref="C21:E21"/>
    <mergeCell ref="H21:J21"/>
    <mergeCell ref="C22:E22"/>
    <mergeCell ref="H22:J22"/>
    <mergeCell ref="C23:E23"/>
    <mergeCell ref="H23:J23"/>
    <mergeCell ref="H25:K34"/>
    <mergeCell ref="B26:C26"/>
    <mergeCell ref="B27:C27"/>
    <mergeCell ref="B31:C31"/>
    <mergeCell ref="B37:B38"/>
    <mergeCell ref="C37:C38"/>
    <mergeCell ref="D37:D38"/>
    <mergeCell ref="G38:I38"/>
    <mergeCell ref="G39:I39"/>
    <mergeCell ref="B36:D36"/>
    <mergeCell ref="F40:F41"/>
    <mergeCell ref="G40:I41"/>
    <mergeCell ref="G42:I42"/>
    <mergeCell ref="F43:F44"/>
    <mergeCell ref="G43:I44"/>
    <mergeCell ref="G45:I45"/>
    <mergeCell ref="F46:F47"/>
    <mergeCell ref="G46:I47"/>
    <mergeCell ref="F48:F49"/>
    <mergeCell ref="G48:J49"/>
    <mergeCell ref="G50:I50"/>
    <mergeCell ref="G51:I51"/>
    <mergeCell ref="B65:C65"/>
    <mergeCell ref="G66:H66"/>
    <mergeCell ref="C69:E69"/>
    <mergeCell ref="C70:E70"/>
    <mergeCell ref="C71:E71"/>
    <mergeCell ref="B93:C93"/>
    <mergeCell ref="G52:I52"/>
    <mergeCell ref="G53:I53"/>
    <mergeCell ref="G54:I54"/>
    <mergeCell ref="G55:I55"/>
    <mergeCell ref="G56:I56"/>
    <mergeCell ref="B61:E64"/>
    <mergeCell ref="B95:B99"/>
    <mergeCell ref="C95:C99"/>
    <mergeCell ref="D95:D99"/>
    <mergeCell ref="E95:E99"/>
    <mergeCell ref="F95:F99"/>
    <mergeCell ref="G95:G99"/>
    <mergeCell ref="H95:H99"/>
    <mergeCell ref="I95:I99"/>
    <mergeCell ref="B94:D94"/>
    <mergeCell ref="E94:G94"/>
    <mergeCell ref="H94:J94"/>
    <mergeCell ref="S95:S99"/>
    <mergeCell ref="T94:T99"/>
    <mergeCell ref="BD97:BD98"/>
    <mergeCell ref="AV97:AV98"/>
    <mergeCell ref="AX97:AX98"/>
    <mergeCell ref="AZ97:AZ98"/>
    <mergeCell ref="BB97:BB98"/>
    <mergeCell ref="J95:J99"/>
    <mergeCell ref="K95:K99"/>
    <mergeCell ref="L95:L99"/>
    <mergeCell ref="M95:M99"/>
    <mergeCell ref="N95:N99"/>
    <mergeCell ref="O95:O99"/>
    <mergeCell ref="P95:P99"/>
    <mergeCell ref="Q95:Q99"/>
    <mergeCell ref="R95:R99"/>
    <mergeCell ref="K94:M94"/>
    <mergeCell ref="N94:P94"/>
    <mergeCell ref="Q94:S94"/>
  </mergeCells>
  <phoneticPr fontId="3"/>
  <conditionalFormatting sqref="B100:B114">
    <cfRule type="expression" dxfId="863" priority="3478" stopIfTrue="1">
      <formula>MAX($BG$99:$BG$120)+14&lt;$B100</formula>
    </cfRule>
  </conditionalFormatting>
  <conditionalFormatting sqref="D65">
    <cfRule type="expression" dxfId="862" priority="350" stopIfTrue="1">
      <formula>$G$13=8</formula>
    </cfRule>
    <cfRule type="expression" dxfId="861" priority="349" stopIfTrue="1">
      <formula>$G$13=""</formula>
    </cfRule>
    <cfRule type="expression" dxfId="860" priority="369" stopIfTrue="1">
      <formula>AND(ISNUMBER(D65),MAX($C65:$C65)=D65,$G$13=8)</formula>
    </cfRule>
    <cfRule type="expression" dxfId="859" priority="368" stopIfTrue="1">
      <formula>AND(ISNUMBER(D65),MAX($C65:$C65)=D65,$G$13=7)</formula>
    </cfRule>
    <cfRule type="expression" dxfId="858" priority="367" stopIfTrue="1">
      <formula>AND(ISNUMBER(D65),MAX($C65:$C65)=D65,$G$13=6)</formula>
    </cfRule>
    <cfRule type="expression" dxfId="857" priority="366" stopIfTrue="1">
      <formula>AND(ISNUMBER(D65),MAX($C65:$C65)=D65,$G$13=5)</formula>
    </cfRule>
    <cfRule type="expression" dxfId="856" priority="365" stopIfTrue="1">
      <formula>AND(ISNUMBER(D65),MAX($C65:$C65)=D65,$G$13=4)</formula>
    </cfRule>
    <cfRule type="expression" dxfId="855" priority="364" stopIfTrue="1">
      <formula>AND(ISNUMBER(D65),MAX($C65:$C65)=D65,$G$13=3)</formula>
    </cfRule>
    <cfRule type="expression" dxfId="854" priority="363" stopIfTrue="1">
      <formula>AND(ISNUMBER(D65),MAX($C65:$C65)=D65,$G$13=2)</formula>
    </cfRule>
    <cfRule type="expression" dxfId="853" priority="362" stopIfTrue="1">
      <formula>AND(ISNUMBER(D65),MAX($C65:$C65)=D65,$G$13=1)</formula>
    </cfRule>
    <cfRule type="expression" dxfId="852" priority="361" stopIfTrue="1">
      <formula>AND(ISNUMBER(D65),MAX($C65:$C65)=D65,$G$13=0)</formula>
    </cfRule>
    <cfRule type="expression" dxfId="851" priority="360" stopIfTrue="1">
      <formula>AND(ISNUMBER(D65),MAX($C65:$C65)=D65,$G$13="")</formula>
    </cfRule>
    <cfRule type="expression" dxfId="850" priority="359" stopIfTrue="1">
      <formula>$G$13=0</formula>
    </cfRule>
    <cfRule type="expression" dxfId="849" priority="358" stopIfTrue="1">
      <formula>$G$13=1</formula>
    </cfRule>
    <cfRule type="expression" dxfId="848" priority="357" stopIfTrue="1">
      <formula>$G$13=2</formula>
    </cfRule>
    <cfRule type="expression" dxfId="847" priority="354" stopIfTrue="1">
      <formula>$G$13=5</formula>
    </cfRule>
    <cfRule type="expression" dxfId="846" priority="356" stopIfTrue="1">
      <formula>$G$13=3</formula>
    </cfRule>
    <cfRule type="expression" dxfId="845" priority="355" stopIfTrue="1">
      <formula>$G$13=4</formula>
    </cfRule>
    <cfRule type="expression" dxfId="844" priority="353" stopIfTrue="1">
      <formula>$G$13=6</formula>
    </cfRule>
    <cfRule type="expression" dxfId="843" priority="351" stopIfTrue="1">
      <formula>$G$13=7</formula>
    </cfRule>
  </conditionalFormatting>
  <conditionalFormatting sqref="F70">
    <cfRule type="expression" dxfId="842" priority="1" stopIfTrue="1">
      <formula>$G$13=""</formula>
    </cfRule>
    <cfRule type="expression" dxfId="841" priority="2" stopIfTrue="1">
      <formula>$G$13=8</formula>
    </cfRule>
    <cfRule type="expression" dxfId="840" priority="3" stopIfTrue="1">
      <formula>$G$13=7</formula>
    </cfRule>
    <cfRule type="expression" dxfId="839" priority="4" stopIfTrue="1">
      <formula>$G$13=6</formula>
    </cfRule>
    <cfRule type="expression" dxfId="838" priority="5" stopIfTrue="1">
      <formula>$G$13=5</formula>
    </cfRule>
    <cfRule type="expression" dxfId="837" priority="6" stopIfTrue="1">
      <formula>$G$13=4</formula>
    </cfRule>
    <cfRule type="expression" dxfId="836" priority="7" stopIfTrue="1">
      <formula>$G$13=3</formula>
    </cfRule>
    <cfRule type="expression" dxfId="835" priority="8" stopIfTrue="1">
      <formula>$G$13=2</formula>
    </cfRule>
    <cfRule type="expression" dxfId="834" priority="9" stopIfTrue="1">
      <formula>$G$13=1</formula>
    </cfRule>
    <cfRule type="expression" dxfId="833" priority="10" stopIfTrue="1">
      <formula>$G$13=0</formula>
    </cfRule>
    <cfRule type="expression" dxfId="832" priority="11" stopIfTrue="1">
      <formula>AND(ISNUMBER(F70),MAX($C70:$C70)=F70,$G$13="")</formula>
    </cfRule>
    <cfRule type="expression" dxfId="831" priority="12" stopIfTrue="1">
      <formula>AND(ISNUMBER(F70),MAX($C70:$C70)=F70,$G$13=0)</formula>
    </cfRule>
    <cfRule type="expression" dxfId="830" priority="13" stopIfTrue="1">
      <formula>AND(ISNUMBER(F70),MAX($C70:$C70)=F70,$G$13=1)</formula>
    </cfRule>
    <cfRule type="expression" dxfId="829" priority="14" stopIfTrue="1">
      <formula>AND(ISNUMBER(F70),MAX($C70:$C70)=F70,$G$13=2)</formula>
    </cfRule>
    <cfRule type="expression" dxfId="828" priority="15" stopIfTrue="1">
      <formula>AND(ISNUMBER(F70),MAX($C70:$C70)=F70,$G$13=3)</formula>
    </cfRule>
    <cfRule type="expression" dxfId="827" priority="16" stopIfTrue="1">
      <formula>AND(ISNUMBER(F70),MAX($C70:$C70)=F70,$G$13=4)</formula>
    </cfRule>
    <cfRule type="expression" dxfId="826" priority="18" stopIfTrue="1">
      <formula>AND(ISNUMBER(F70),MAX($C70:$C70)=F70,$G$13=6)</formula>
    </cfRule>
    <cfRule type="expression" dxfId="825" priority="19" stopIfTrue="1">
      <formula>AND(ISNUMBER(F70),MAX($C70:$C70)=F70,$G$13=7)</formula>
    </cfRule>
    <cfRule type="expression" dxfId="824" priority="20" stopIfTrue="1">
      <formula>AND(ISNUMBER(F70),MAX($C70:$C70)=F70,$G$13=8)</formula>
    </cfRule>
    <cfRule type="expression" dxfId="823" priority="17" stopIfTrue="1">
      <formula>AND(ISNUMBER(F70),MAX($C70:$C70)=F70,$G$13=5)</formula>
    </cfRule>
  </conditionalFormatting>
  <conditionalFormatting sqref="F71">
    <cfRule type="expression" dxfId="822" priority="21" stopIfTrue="1">
      <formula>$I$66=""</formula>
    </cfRule>
    <cfRule type="expression" dxfId="821" priority="22" stopIfTrue="1">
      <formula>$I$66=0</formula>
    </cfRule>
    <cfRule type="expression" dxfId="820" priority="23" stopIfTrue="1">
      <formula>$I$66=1</formula>
    </cfRule>
    <cfRule type="expression" dxfId="819" priority="24" stopIfTrue="1">
      <formula>$I$66=2</formula>
    </cfRule>
    <cfRule type="expression" dxfId="818" priority="25" stopIfTrue="1">
      <formula>$I$66=3</formula>
    </cfRule>
    <cfRule type="expression" dxfId="817" priority="26" stopIfTrue="1">
      <formula>$I$66=4</formula>
    </cfRule>
    <cfRule type="expression" dxfId="816" priority="27" stopIfTrue="1">
      <formula>$I$66=5</formula>
    </cfRule>
    <cfRule type="expression" dxfId="815" priority="28" stopIfTrue="1">
      <formula>$I$66=7</formula>
    </cfRule>
    <cfRule type="expression" dxfId="814" priority="29" stopIfTrue="1">
      <formula>$I$66=8</formula>
    </cfRule>
  </conditionalFormatting>
  <conditionalFormatting sqref="I3">
    <cfRule type="expression" dxfId="813" priority="336" stopIfTrue="1">
      <formula>$G$11=2</formula>
    </cfRule>
    <cfRule type="expression" dxfId="812" priority="335" stopIfTrue="1">
      <formula>$G$11=3</formula>
    </cfRule>
    <cfRule type="expression" dxfId="811" priority="337" stopIfTrue="1">
      <formula>$G$11=1</formula>
    </cfRule>
    <cfRule type="expression" dxfId="810" priority="334" stopIfTrue="1">
      <formula>$G$11=4</formula>
    </cfRule>
    <cfRule type="expression" dxfId="809" priority="333" stopIfTrue="1">
      <formula>$G$11=5</formula>
    </cfRule>
    <cfRule type="expression" dxfId="808" priority="332" stopIfTrue="1">
      <formula>$G$11=6</formula>
    </cfRule>
    <cfRule type="expression" dxfId="807" priority="330" stopIfTrue="1">
      <formula>$G$11=7</formula>
    </cfRule>
    <cfRule type="expression" dxfId="806" priority="329" stopIfTrue="1">
      <formula>$G$11=8</formula>
    </cfRule>
    <cfRule type="expression" dxfId="805" priority="328" stopIfTrue="1">
      <formula>$G$11=""</formula>
    </cfRule>
    <cfRule type="expression" dxfId="804" priority="348" stopIfTrue="1">
      <formula>AND(ISNUMBER(I3),MAX($C69:$C69)=I3,$G$11=8)</formula>
    </cfRule>
    <cfRule type="expression" dxfId="803" priority="347" stopIfTrue="1">
      <formula>AND(ISNUMBER(I3),MAX($C69:$C69)=I3,$G$11=7)</formula>
    </cfRule>
    <cfRule type="expression" dxfId="802" priority="346" stopIfTrue="1">
      <formula>AND(ISNUMBER(I3),MAX($C69:$C69)=I3,$G$11=6)</formula>
    </cfRule>
    <cfRule type="expression" dxfId="801" priority="345" stopIfTrue="1">
      <formula>AND(ISNUMBER(I3),MAX($C69:$C69)=I3,$G$11=5)</formula>
    </cfRule>
    <cfRule type="expression" dxfId="800" priority="344" stopIfTrue="1">
      <formula>AND(ISNUMBER(I3),MAX($C69:$C69)=I3,$G$11=4)</formula>
    </cfRule>
    <cfRule type="expression" dxfId="799" priority="343" stopIfTrue="1">
      <formula>AND(ISNUMBER(I3),MAX($C69:$C69)=I3,$G$11=3)</formula>
    </cfRule>
    <cfRule type="expression" dxfId="798" priority="342" stopIfTrue="1">
      <formula>AND(ISNUMBER(I3),MAX($C69:$C69)=I3,$G$11=2)</formula>
    </cfRule>
    <cfRule type="expression" dxfId="797" priority="341" stopIfTrue="1">
      <formula>AND(ISNUMBER(I3),MAX($C69:$C69)=I3,$G$11=1)</formula>
    </cfRule>
    <cfRule type="expression" dxfId="796" priority="340" stopIfTrue="1">
      <formula>AND(ISNUMBER(I3),MAX($C69:$C69)=I3,$G$11=0)</formula>
    </cfRule>
    <cfRule type="expression" dxfId="795" priority="339" stopIfTrue="1">
      <formula>AND(ISNUMBER(I3),MAX($C69:$C69)=I3,$G$11="")</formula>
    </cfRule>
    <cfRule type="expression" dxfId="794" priority="338" stopIfTrue="1">
      <formula>$G$11=0</formula>
    </cfRule>
  </conditionalFormatting>
  <conditionalFormatting sqref="Q100:Q114">
    <cfRule type="expression" dxfId="793" priority="48" stopIfTrue="1">
      <formula>MAX($BU$99:$BU$120)+14&lt;$B100</formula>
    </cfRule>
  </conditionalFormatting>
  <conditionalFormatting sqref="R100:T114">
    <cfRule type="expression" dxfId="792" priority="215" stopIfTrue="1">
      <formula>MAX($BG$99:$BG$120)+14&lt;$B100</formula>
    </cfRule>
  </conditionalFormatting>
  <conditionalFormatting sqref="T100:T114">
    <cfRule type="expression" dxfId="791" priority="216">
      <formula>MAX($BG$101:$BG$120)+4&lt;$B100</formula>
    </cfRule>
  </conditionalFormatting>
  <conditionalFormatting sqref="V99:V104">
    <cfRule type="expression" dxfId="790" priority="103" stopIfTrue="1">
      <formula>MAX($BU$99:$BU$120)+14&lt;$B99</formula>
    </cfRule>
    <cfRule type="expression" dxfId="789" priority="104">
      <formula>MAX($BU$101:$BU$120)+4&lt;$B99</formula>
    </cfRule>
  </conditionalFormatting>
  <conditionalFormatting sqref="AX88">
    <cfRule type="expression" dxfId="788" priority="49" stopIfTrue="1">
      <formula>$I$66=""</formula>
    </cfRule>
    <cfRule type="expression" dxfId="787" priority="51" stopIfTrue="1">
      <formula>$I$66=1</formula>
    </cfRule>
    <cfRule type="expression" dxfId="786" priority="52" stopIfTrue="1">
      <formula>$I$66=2</formula>
    </cfRule>
    <cfRule type="expression" dxfId="785" priority="53" stopIfTrue="1">
      <formula>$I$66=3</formula>
    </cfRule>
    <cfRule type="expression" dxfId="784" priority="54" stopIfTrue="1">
      <formula>$I$66=4</formula>
    </cfRule>
    <cfRule type="expression" dxfId="783" priority="55" stopIfTrue="1">
      <formula>$I$66=5</formula>
    </cfRule>
    <cfRule type="expression" dxfId="782" priority="56" stopIfTrue="1">
      <formula>$I$66=7</formula>
    </cfRule>
    <cfRule type="expression" dxfId="781" priority="57" stopIfTrue="1">
      <formula>$I$66=8</formula>
    </cfRule>
    <cfRule type="expression" dxfId="780" priority="50" stopIfTrue="1">
      <formula>$I$66=0</formula>
    </cfRule>
  </conditionalFormatting>
  <conditionalFormatting sqref="BB88">
    <cfRule type="expression" dxfId="779" priority="58" stopIfTrue="1">
      <formula>$I$66=""</formula>
    </cfRule>
    <cfRule type="expression" dxfId="778" priority="59" stopIfTrue="1">
      <formula>$I$66=0</formula>
    </cfRule>
    <cfRule type="expression" dxfId="777" priority="60" stopIfTrue="1">
      <formula>$I$66=1</formula>
    </cfRule>
    <cfRule type="expression" dxfId="776" priority="62" stopIfTrue="1">
      <formula>$I$66=3</formula>
    </cfRule>
    <cfRule type="expression" dxfId="775" priority="63" stopIfTrue="1">
      <formula>$I$66=4</formula>
    </cfRule>
    <cfRule type="expression" dxfId="774" priority="64" stopIfTrue="1">
      <formula>$I$66=5</formula>
    </cfRule>
    <cfRule type="expression" dxfId="773" priority="65" stopIfTrue="1">
      <formula>$I$66=7</formula>
    </cfRule>
    <cfRule type="expression" dxfId="772" priority="66" stopIfTrue="1">
      <formula>$I$66=8</formula>
    </cfRule>
    <cfRule type="expression" dxfId="771" priority="61" stopIfTrue="1">
      <formula>$I$66=2</formula>
    </cfRule>
  </conditionalFormatting>
  <conditionalFormatting sqref="BF88">
    <cfRule type="expression" dxfId="770" priority="75" stopIfTrue="1">
      <formula>$I$66=8</formula>
    </cfRule>
    <cfRule type="expression" dxfId="769" priority="67" stopIfTrue="1">
      <formula>$I$66=""</formula>
    </cfRule>
    <cfRule type="expression" dxfId="768" priority="73" stopIfTrue="1">
      <formula>$I$66=5</formula>
    </cfRule>
    <cfRule type="expression" dxfId="767" priority="68" stopIfTrue="1">
      <formula>$I$66=0</formula>
    </cfRule>
    <cfRule type="expression" dxfId="766" priority="69" stopIfTrue="1">
      <formula>$I$66=1</formula>
    </cfRule>
    <cfRule type="expression" dxfId="765" priority="70" stopIfTrue="1">
      <formula>$I$66=2</formula>
    </cfRule>
    <cfRule type="expression" dxfId="764" priority="71" stopIfTrue="1">
      <formula>$I$66=3</formula>
    </cfRule>
    <cfRule type="expression" dxfId="763" priority="72" stopIfTrue="1">
      <formula>$I$66=4</formula>
    </cfRule>
    <cfRule type="expression" dxfId="762" priority="74" stopIfTrue="1">
      <formula>$I$66=7</formula>
    </cfRule>
  </conditionalFormatting>
  <conditionalFormatting sqref="BJ88">
    <cfRule type="expression" dxfId="761" priority="77" stopIfTrue="1">
      <formula>$I$66=0</formula>
    </cfRule>
    <cfRule type="expression" dxfId="760" priority="76" stopIfTrue="1">
      <formula>$I$66=""</formula>
    </cfRule>
    <cfRule type="expression" dxfId="759" priority="82" stopIfTrue="1">
      <formula>$I$66=5</formula>
    </cfRule>
    <cfRule type="expression" dxfId="758" priority="84" stopIfTrue="1">
      <formula>$I$66=8</formula>
    </cfRule>
    <cfRule type="expression" dxfId="757" priority="78" stopIfTrue="1">
      <formula>$I$66=1</formula>
    </cfRule>
    <cfRule type="expression" dxfId="756" priority="81" stopIfTrue="1">
      <formula>$I$66=4</formula>
    </cfRule>
    <cfRule type="expression" dxfId="755" priority="80" stopIfTrue="1">
      <formula>$I$66=3</formula>
    </cfRule>
    <cfRule type="expression" dxfId="754" priority="79" stopIfTrue="1">
      <formula>$I$66=2</formula>
    </cfRule>
    <cfRule type="expression" dxfId="753" priority="83" stopIfTrue="1">
      <formula>$I$66=7</formula>
    </cfRule>
  </conditionalFormatting>
  <conditionalFormatting sqref="BN88">
    <cfRule type="expression" dxfId="752" priority="85" stopIfTrue="1">
      <formula>$I$66=""</formula>
    </cfRule>
    <cfRule type="expression" dxfId="751" priority="86" stopIfTrue="1">
      <formula>$I$66=0</formula>
    </cfRule>
    <cfRule type="expression" dxfId="750" priority="88" stopIfTrue="1">
      <formula>$I$66=2</formula>
    </cfRule>
    <cfRule type="expression" dxfId="749" priority="87" stopIfTrue="1">
      <formula>$I$66=1</formula>
    </cfRule>
    <cfRule type="expression" dxfId="748" priority="89" stopIfTrue="1">
      <formula>$I$66=3</formula>
    </cfRule>
    <cfRule type="expression" dxfId="747" priority="90" stopIfTrue="1">
      <formula>$I$66=4</formula>
    </cfRule>
    <cfRule type="expression" dxfId="746" priority="91" stopIfTrue="1">
      <formula>$I$66=5</formula>
    </cfRule>
    <cfRule type="expression" dxfId="745" priority="93" stopIfTrue="1">
      <formula>$I$66=8</formula>
    </cfRule>
    <cfRule type="expression" dxfId="744" priority="92" stopIfTrue="1">
      <formula>$I$66=7</formula>
    </cfRule>
  </conditionalFormatting>
  <conditionalFormatting sqref="BR88">
    <cfRule type="expression" dxfId="743" priority="102" stopIfTrue="1">
      <formula>$I$66=8</formula>
    </cfRule>
    <cfRule type="expression" dxfId="742" priority="101" stopIfTrue="1">
      <formula>$I$66=7</formula>
    </cfRule>
    <cfRule type="expression" dxfId="741" priority="100" stopIfTrue="1">
      <formula>$I$66=5</formula>
    </cfRule>
    <cfRule type="expression" dxfId="740" priority="99" stopIfTrue="1">
      <formula>$I$66=4</formula>
    </cfRule>
    <cfRule type="expression" dxfId="739" priority="94" stopIfTrue="1">
      <formula>$I$66=""</formula>
    </cfRule>
    <cfRule type="expression" dxfId="738" priority="95" stopIfTrue="1">
      <formula>$I$66=0</formula>
    </cfRule>
    <cfRule type="expression" dxfId="737" priority="96" stopIfTrue="1">
      <formula>$I$66=1</formula>
    </cfRule>
    <cfRule type="expression" dxfId="736" priority="97" stopIfTrue="1">
      <formula>$I$66=2</formula>
    </cfRule>
    <cfRule type="expression" dxfId="735" priority="98" stopIfTrue="1">
      <formula>$I$66=3</formula>
    </cfRule>
  </conditionalFormatting>
  <hyperlinks>
    <hyperlink ref="C72" location="入力及び計算結果!A1" display="「入力及び計算結果」に戻る" xr:uid="{00000000-0004-0000-0500-000000000000}"/>
  </hyperlinks>
  <pageMargins left="0.7" right="0.7" top="0.75" bottom="0.75" header="0.3" footer="0.3"/>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O250"/>
  <sheetViews>
    <sheetView topLeftCell="A11" zoomScale="90" zoomScaleNormal="90" workbookViewId="0">
      <selection activeCell="I66" sqref="I66"/>
    </sheetView>
  </sheetViews>
  <sheetFormatPr defaultRowHeight="13" x14ac:dyDescent="0.2"/>
  <cols>
    <col min="1" max="1" width="2.453125" style="91" customWidth="1"/>
    <col min="2" max="2" width="12.08984375" customWidth="1"/>
    <col min="3" max="3" width="24.08984375" customWidth="1"/>
    <col min="4" max="9" width="12.453125" customWidth="1"/>
    <col min="10" max="10" width="15.453125" customWidth="1"/>
    <col min="11" max="21" width="12.453125" customWidth="1"/>
    <col min="22" max="22" width="12.08984375" customWidth="1"/>
    <col min="23" max="23" width="11.90625" bestFit="1" customWidth="1"/>
    <col min="24" max="24" width="9.26953125" customWidth="1"/>
    <col min="25" max="25" width="19.7265625" customWidth="1"/>
    <col min="26" max="26" width="5.7265625" customWidth="1"/>
    <col min="27" max="28" width="13.90625" customWidth="1"/>
    <col min="29" max="29" width="12.453125" customWidth="1"/>
    <col min="30" max="30" width="12.08984375" customWidth="1"/>
    <col min="31" max="31" width="11.90625" bestFit="1" customWidth="1"/>
    <col min="32" max="32" width="9.26953125" customWidth="1"/>
    <col min="33" max="33" width="19.7265625" customWidth="1"/>
    <col min="34" max="34" width="5.7265625" customWidth="1"/>
    <col min="35" max="36" width="13.90625" customWidth="1"/>
    <col min="37" max="37" width="12.453125" customWidth="1"/>
    <col min="38" max="38" width="12.08984375" customWidth="1"/>
    <col min="39" max="39" width="11.90625" bestFit="1" customWidth="1"/>
    <col min="40" max="40" width="9.26953125" customWidth="1"/>
    <col min="41" max="41" width="19.7265625" customWidth="1"/>
    <col min="42" max="42" width="5.7265625" customWidth="1"/>
    <col min="43" max="47" width="13.90625" customWidth="1"/>
    <col min="48" max="48" width="11.453125" customWidth="1"/>
    <col min="49" max="50" width="13.453125" customWidth="1"/>
    <col min="51" max="51" width="11.90625" style="99" customWidth="1"/>
    <col min="52" max="52" width="12.453125" style="99" customWidth="1"/>
    <col min="53" max="53" width="13.7265625" style="143" customWidth="1"/>
    <col min="54" max="54" width="14.453125" style="99" customWidth="1"/>
    <col min="55" max="55" width="12.453125" style="143" customWidth="1"/>
    <col min="56" max="56" width="16.08984375" style="143" customWidth="1"/>
    <col min="57" max="57" width="13.26953125" style="143" customWidth="1"/>
    <col min="58" max="58" width="14.453125" style="143" customWidth="1"/>
    <col min="59" max="59" width="11.90625" style="99" customWidth="1"/>
    <col min="60" max="60" width="12.453125" style="99" customWidth="1"/>
    <col min="61" max="61" width="13.453125" style="143" customWidth="1"/>
    <col min="62" max="62" width="14.453125" style="99" customWidth="1"/>
    <col min="63" max="63" width="12.7265625" style="143" customWidth="1"/>
    <col min="64" max="64" width="16.08984375" style="143" customWidth="1"/>
    <col min="65" max="65" width="13.26953125" style="143" customWidth="1"/>
    <col min="66" max="66" width="14.453125" style="143" customWidth="1"/>
    <col min="67" max="67" width="11.90625" style="99" customWidth="1"/>
    <col min="68" max="68" width="12.453125" style="99" customWidth="1"/>
    <col min="69" max="69" width="14.08984375" style="143" customWidth="1"/>
    <col min="70" max="70" width="14.90625" style="99" customWidth="1"/>
    <col min="71" max="71" width="16.08984375" style="143" customWidth="1"/>
    <col min="72" max="72" width="8.7265625" style="143" customWidth="1"/>
    <col min="73" max="73" width="10.7265625" style="80" customWidth="1"/>
    <col min="74" max="74" width="14.08984375" style="143" customWidth="1"/>
    <col min="75" max="75" width="14.08984375" style="99" customWidth="1"/>
    <col min="76" max="76" width="9.08984375" style="99" customWidth="1"/>
    <col min="77" max="77" width="9.08984375" style="80" customWidth="1"/>
    <col min="78" max="78" width="13.08984375" style="80" customWidth="1"/>
    <col min="79" max="81" width="9.08984375" style="80" customWidth="1"/>
    <col min="82" max="82" width="13.08984375" style="80" customWidth="1"/>
    <col min="83" max="84" width="9.08984375" style="80" customWidth="1"/>
    <col min="85" max="86" width="9.08984375" style="99" customWidth="1"/>
    <col min="87" max="87" width="5.08984375" customWidth="1"/>
    <col min="89" max="89" width="11.453125" bestFit="1" customWidth="1"/>
    <col min="90" max="90" width="5.08984375" customWidth="1"/>
    <col min="92" max="92" width="11.453125" bestFit="1" customWidth="1"/>
    <col min="93" max="93" width="5.08984375" customWidth="1"/>
    <col min="95" max="95" width="11.453125" bestFit="1" customWidth="1"/>
    <col min="96" max="96" width="5.08984375" customWidth="1"/>
  </cols>
  <sheetData>
    <row r="1" spans="2:84" ht="15" customHeight="1" x14ac:dyDescent="0.2">
      <c r="B1" s="17" t="str">
        <f>入力及び計算結果!B1</f>
        <v>ver.1.0（2026/07/01）</v>
      </c>
      <c r="C1" s="39"/>
      <c r="D1" s="39"/>
    </row>
    <row r="2" spans="2:84" ht="15" customHeight="1" x14ac:dyDescent="0.2">
      <c r="B2" s="606" t="s">
        <v>297</v>
      </c>
      <c r="C2" s="606"/>
      <c r="D2" s="606"/>
      <c r="F2" s="89"/>
      <c r="G2" s="21" t="s">
        <v>96</v>
      </c>
      <c r="AW2" s="99"/>
      <c r="AX2" s="99"/>
      <c r="AY2" s="143"/>
      <c r="BB2" s="143"/>
      <c r="BE2" s="99"/>
      <c r="BF2" s="99"/>
      <c r="BG2" s="143"/>
      <c r="BJ2" s="143"/>
      <c r="BM2" s="99"/>
      <c r="BN2" s="99"/>
      <c r="BO2" s="143"/>
      <c r="BR2" s="143"/>
      <c r="BS2" s="80"/>
      <c r="BU2" s="99"/>
      <c r="BV2" s="99"/>
      <c r="BW2" s="80"/>
      <c r="BX2" s="80"/>
      <c r="CE2" s="99"/>
      <c r="CF2" s="99"/>
    </row>
    <row r="3" spans="2:84" ht="15" customHeight="1" x14ac:dyDescent="0.2">
      <c r="B3" s="606"/>
      <c r="C3" s="606"/>
      <c r="D3" s="606"/>
      <c r="F3" s="22"/>
      <c r="G3" t="s">
        <v>97</v>
      </c>
      <c r="I3" s="23"/>
      <c r="J3" s="21" t="s">
        <v>98</v>
      </c>
      <c r="W3" s="99"/>
      <c r="X3" s="99"/>
      <c r="Y3" s="99"/>
      <c r="Z3" s="99"/>
      <c r="AA3" s="99"/>
      <c r="AB3" s="99"/>
      <c r="AE3" s="99"/>
      <c r="AF3" s="99"/>
      <c r="AG3" s="99"/>
      <c r="AH3" s="99"/>
      <c r="AI3" s="99"/>
      <c r="AJ3" s="99"/>
      <c r="AM3" s="99"/>
      <c r="AN3" s="99"/>
      <c r="AO3" s="99"/>
      <c r="AP3" s="99"/>
      <c r="AQ3" s="99"/>
      <c r="AR3" s="99"/>
      <c r="AS3" s="99"/>
      <c r="AT3" s="99"/>
      <c r="AU3" s="99"/>
      <c r="AV3" s="99"/>
      <c r="AW3" s="99"/>
      <c r="AX3" s="99"/>
      <c r="BA3" s="144"/>
      <c r="BB3" s="80"/>
      <c r="BC3" s="144"/>
      <c r="BD3" s="144"/>
      <c r="BE3" s="144"/>
      <c r="BF3" s="144"/>
      <c r="BI3" s="144"/>
      <c r="BJ3" s="80"/>
      <c r="BK3" s="144"/>
      <c r="BL3" s="144"/>
      <c r="BM3" s="144"/>
      <c r="BN3" s="144"/>
      <c r="BQ3" s="144"/>
      <c r="BR3" s="80"/>
      <c r="BS3" s="144"/>
      <c r="BT3" s="144"/>
      <c r="BV3" s="144"/>
      <c r="BW3" s="80"/>
      <c r="BX3" s="80"/>
    </row>
    <row r="4" spans="2:84" ht="13.5" customHeight="1" thickBot="1" x14ac:dyDescent="0.25">
      <c r="F4" s="90"/>
      <c r="W4" s="99"/>
      <c r="X4" s="99"/>
      <c r="Y4" s="99"/>
      <c r="Z4" s="99"/>
      <c r="AA4" s="99"/>
      <c r="AB4" s="99"/>
      <c r="AE4" s="99"/>
      <c r="AF4" s="99"/>
      <c r="AG4" s="99"/>
      <c r="AH4" s="99"/>
      <c r="AI4" s="99"/>
      <c r="AJ4" s="99"/>
      <c r="AM4" s="99"/>
      <c r="AN4" s="99"/>
      <c r="AO4" s="99"/>
      <c r="AP4" s="99"/>
      <c r="AQ4" s="99"/>
      <c r="AR4" s="99"/>
      <c r="AS4" s="99"/>
      <c r="AT4" s="99"/>
      <c r="AU4" s="99"/>
      <c r="AV4" s="99"/>
      <c r="AW4" s="99"/>
      <c r="AX4" s="99"/>
      <c r="BA4" s="144"/>
      <c r="BB4" s="80"/>
      <c r="BC4" s="144"/>
      <c r="BD4" s="144"/>
      <c r="BE4" s="144"/>
      <c r="BF4" s="144"/>
      <c r="BI4" s="144"/>
      <c r="BJ4" s="80"/>
      <c r="BK4" s="144"/>
      <c r="BL4" s="144"/>
      <c r="BM4" s="144"/>
      <c r="BN4" s="144"/>
      <c r="BQ4" s="144"/>
      <c r="BR4" s="80"/>
      <c r="BS4" s="144"/>
      <c r="BT4" s="144"/>
      <c r="BV4" s="144"/>
      <c r="BW4" s="80"/>
      <c r="BX4" s="80"/>
    </row>
    <row r="5" spans="2:84" ht="13.5" customHeight="1" thickTop="1" thickBot="1" x14ac:dyDescent="0.25">
      <c r="B5" s="531" t="s">
        <v>155</v>
      </c>
      <c r="C5" s="532"/>
      <c r="D5" s="533" t="str">
        <f>IF(ISBLANK(入力及び計算結果!C6),"",IF(ISBLANK(入力及び計算結果!F7),"",IF(AND(OR(入力及び計算結果!F7=0,入力及び計算結果!F7=2),入力及び計算結果!F9=1),入力及び計算結果!C6,"")))</f>
        <v/>
      </c>
      <c r="E5" s="534"/>
      <c r="F5" s="534"/>
      <c r="G5" s="534"/>
      <c r="H5" s="534"/>
      <c r="I5" s="534"/>
      <c r="J5" s="535"/>
    </row>
    <row r="6" spans="2:84" ht="27" customHeight="1" thickTop="1" thickBot="1" x14ac:dyDescent="0.25">
      <c r="B6" s="536" t="s">
        <v>156</v>
      </c>
      <c r="C6" s="532"/>
      <c r="D6" s="533" t="str">
        <f>IF(ISBLANK(入力及び計算結果!E60),"",入力及び計算結果!E60)</f>
        <v/>
      </c>
      <c r="E6" s="534"/>
      <c r="F6" s="534"/>
      <c r="G6" s="534"/>
      <c r="H6" s="534"/>
      <c r="I6" s="534"/>
      <c r="J6" s="535"/>
    </row>
    <row r="7" spans="2:84" ht="13.5" customHeight="1" thickTop="1" x14ac:dyDescent="0.2">
      <c r="B7" s="145" t="s">
        <v>157</v>
      </c>
      <c r="C7" s="145"/>
      <c r="D7" s="145"/>
      <c r="E7" s="145"/>
      <c r="F7" s="145"/>
      <c r="G7" s="145"/>
      <c r="H7" s="145"/>
      <c r="I7" s="145"/>
    </row>
    <row r="8" spans="2:84" ht="13.5" customHeight="1" x14ac:dyDescent="0.2">
      <c r="B8" s="145"/>
      <c r="C8" s="145"/>
      <c r="D8" s="145"/>
      <c r="E8" s="145"/>
      <c r="F8" s="145"/>
      <c r="G8" s="145"/>
      <c r="H8" s="145"/>
      <c r="I8" s="145"/>
    </row>
    <row r="9" spans="2:84" ht="13.5" customHeight="1" x14ac:dyDescent="0.2">
      <c r="B9" s="91"/>
    </row>
    <row r="10" spans="2:84" ht="13.5" customHeight="1" x14ac:dyDescent="0.2">
      <c r="B10" s="40" t="s">
        <v>158</v>
      </c>
    </row>
    <row r="11" spans="2:84" ht="13.5" customHeight="1" x14ac:dyDescent="0.2">
      <c r="B11" s="95" t="s">
        <v>159</v>
      </c>
      <c r="C11" s="537" t="s">
        <v>160</v>
      </c>
      <c r="D11" s="537"/>
      <c r="E11" s="537"/>
      <c r="F11" s="95" t="s">
        <v>161</v>
      </c>
      <c r="G11" s="95" t="s">
        <v>162</v>
      </c>
      <c r="H11" s="537" t="s">
        <v>163</v>
      </c>
      <c r="I11" s="537"/>
      <c r="J11" s="537"/>
    </row>
    <row r="12" spans="2:84" ht="13.5" customHeight="1" thickBot="1" x14ac:dyDescent="0.25">
      <c r="B12" s="43" t="s">
        <v>164</v>
      </c>
      <c r="C12" s="380" t="s">
        <v>103</v>
      </c>
      <c r="D12" s="452"/>
      <c r="E12" s="453"/>
      <c r="F12" s="146">
        <v>50</v>
      </c>
      <c r="G12" s="43" t="s">
        <v>165</v>
      </c>
      <c r="H12" s="438"/>
      <c r="I12" s="439"/>
      <c r="J12" s="440"/>
    </row>
    <row r="13" spans="2:84" ht="13.5" customHeight="1" thickTop="1" thickBot="1" x14ac:dyDescent="0.25">
      <c r="B13" s="87" t="s">
        <v>166</v>
      </c>
      <c r="C13" s="375" t="s">
        <v>167</v>
      </c>
      <c r="D13" s="375"/>
      <c r="E13" s="401"/>
      <c r="F13" s="147" t="str">
        <f>IF(ISBLANK(入力及び計算結果!E49),"",入力及び計算結果!E49)</f>
        <v/>
      </c>
      <c r="G13" s="69" t="s">
        <v>168</v>
      </c>
      <c r="H13" s="545" t="s">
        <v>169</v>
      </c>
      <c r="I13" s="545"/>
      <c r="J13" s="545"/>
    </row>
    <row r="14" spans="2:84" ht="13.5" customHeight="1" thickTop="1" thickBot="1" x14ac:dyDescent="0.25">
      <c r="B14" s="149" t="s">
        <v>170</v>
      </c>
      <c r="C14" s="401" t="s">
        <v>171</v>
      </c>
      <c r="D14" s="402"/>
      <c r="E14" s="403"/>
      <c r="F14" s="147" t="str">
        <f>IF(ISBLANK(入力及び計算結果!E50),"",入力及び計算結果!E50)</f>
        <v/>
      </c>
      <c r="G14" s="75"/>
      <c r="H14" s="528" t="s">
        <v>172</v>
      </c>
      <c r="I14" s="529"/>
      <c r="J14" s="530"/>
    </row>
    <row r="15" spans="2:84" ht="13.5" customHeight="1" thickTop="1" x14ac:dyDescent="0.2">
      <c r="B15" s="526" t="s">
        <v>173</v>
      </c>
      <c r="C15" s="547" t="s">
        <v>174</v>
      </c>
      <c r="D15" s="539"/>
      <c r="E15" s="539"/>
      <c r="F15" s="151">
        <v>0</v>
      </c>
      <c r="G15" s="526" t="s">
        <v>146</v>
      </c>
      <c r="H15" s="550"/>
      <c r="I15" s="551"/>
      <c r="J15" s="552"/>
    </row>
    <row r="16" spans="2:84" ht="13.5" customHeight="1" x14ac:dyDescent="0.2">
      <c r="B16" s="546"/>
      <c r="C16" s="548"/>
      <c r="D16" s="549"/>
      <c r="E16" s="549"/>
      <c r="F16" s="152">
        <v>14</v>
      </c>
      <c r="G16" s="546"/>
      <c r="H16" s="553"/>
      <c r="I16" s="554"/>
      <c r="J16" s="555"/>
    </row>
    <row r="17" spans="2:76" ht="13.5" customHeight="1" thickBot="1" x14ac:dyDescent="0.25">
      <c r="B17" s="546"/>
      <c r="C17" s="548"/>
      <c r="D17" s="549"/>
      <c r="E17" s="549"/>
      <c r="F17" s="153">
        <v>28</v>
      </c>
      <c r="G17" s="546"/>
      <c r="H17" s="553"/>
      <c r="I17" s="554"/>
      <c r="J17" s="555"/>
    </row>
    <row r="18" spans="2:76" ht="27" customHeight="1" thickTop="1" thickBot="1" x14ac:dyDescent="0.25">
      <c r="B18" s="526" t="s">
        <v>124</v>
      </c>
      <c r="C18" s="538" t="s">
        <v>292</v>
      </c>
      <c r="D18" s="539"/>
      <c r="E18" s="539"/>
      <c r="F18" s="542" t="str">
        <f>IF(ISBLANK(入力及び計算結果!E52),"",入力及び計算結果!E52)</f>
        <v/>
      </c>
      <c r="G18" s="543"/>
      <c r="H18" s="476" t="s">
        <v>54</v>
      </c>
      <c r="I18" s="476"/>
      <c r="J18" s="476"/>
    </row>
    <row r="19" spans="2:76" ht="27" customHeight="1" thickTop="1" thickBot="1" x14ac:dyDescent="0.25">
      <c r="B19" s="527"/>
      <c r="C19" s="540"/>
      <c r="D19" s="541"/>
      <c r="E19" s="541"/>
      <c r="F19" s="542"/>
      <c r="G19" s="544"/>
      <c r="H19" s="476"/>
      <c r="I19" s="476"/>
      <c r="J19" s="476"/>
    </row>
    <row r="20" spans="2:76" ht="27" customHeight="1" thickTop="1" thickBot="1" x14ac:dyDescent="0.25">
      <c r="B20" s="148" t="s">
        <v>176</v>
      </c>
      <c r="C20" s="401" t="s">
        <v>177</v>
      </c>
      <c r="D20" s="402"/>
      <c r="E20" s="402"/>
      <c r="F20" s="156">
        <v>1</v>
      </c>
      <c r="G20" s="69"/>
      <c r="H20" s="373" t="s">
        <v>293</v>
      </c>
      <c r="I20" s="436"/>
      <c r="J20" s="437"/>
    </row>
    <row r="21" spans="2:76" ht="13.5" customHeight="1" thickTop="1" thickBot="1" x14ac:dyDescent="0.25">
      <c r="B21" s="87" t="s">
        <v>178</v>
      </c>
      <c r="C21" s="375" t="s">
        <v>179</v>
      </c>
      <c r="D21" s="375"/>
      <c r="E21" s="401"/>
      <c r="F21" s="147" t="str">
        <f>IF(ISBLANK(入力及び計算結果!E54),"",入力及び計算結果!E54)</f>
        <v/>
      </c>
      <c r="G21" s="69" t="s">
        <v>146</v>
      </c>
      <c r="H21" s="398" t="s">
        <v>180</v>
      </c>
      <c r="I21" s="399"/>
      <c r="J21" s="400"/>
    </row>
    <row r="22" spans="2:76" ht="13.5" customHeight="1" thickTop="1" thickBot="1" x14ac:dyDescent="0.25">
      <c r="B22" s="87" t="s">
        <v>181</v>
      </c>
      <c r="C22" s="401" t="s">
        <v>105</v>
      </c>
      <c r="D22" s="402"/>
      <c r="E22" s="410"/>
      <c r="F22" s="147" t="str">
        <f>IF(ISBLANK(入力及び計算結果!E55),"",入力及び計算結果!E55)</f>
        <v/>
      </c>
      <c r="G22" s="69" t="s">
        <v>146</v>
      </c>
      <c r="H22" s="401" t="s">
        <v>59</v>
      </c>
      <c r="I22" s="402"/>
      <c r="J22" s="410"/>
    </row>
    <row r="23" spans="2:76" ht="13.5" customHeight="1" thickTop="1" thickBot="1" x14ac:dyDescent="0.25">
      <c r="B23" s="87" t="s">
        <v>182</v>
      </c>
      <c r="C23" s="375" t="s">
        <v>183</v>
      </c>
      <c r="D23" s="375"/>
      <c r="E23" s="401"/>
      <c r="F23" s="147" t="str">
        <f>IF(ISBLANK(入力及び計算結果!E56),"",入力及び計算結果!E56)</f>
        <v/>
      </c>
      <c r="G23" s="69" t="s">
        <v>184</v>
      </c>
      <c r="H23" s="398"/>
      <c r="I23" s="399"/>
      <c r="J23" s="400"/>
    </row>
    <row r="24" spans="2:76" ht="13.5" customHeight="1" thickTop="1" x14ac:dyDescent="0.2">
      <c r="B24" s="91"/>
      <c r="H24" s="67"/>
      <c r="I24" s="67"/>
      <c r="W24" s="99"/>
      <c r="X24" s="99"/>
      <c r="Y24" s="99"/>
      <c r="Z24" s="99"/>
      <c r="AA24" s="99"/>
      <c r="AB24" s="99"/>
      <c r="AE24" s="99"/>
      <c r="AF24" s="99"/>
      <c r="AG24" s="99"/>
      <c r="AH24" s="99"/>
      <c r="AI24" s="99"/>
      <c r="AJ24" s="99"/>
      <c r="AM24" s="99"/>
      <c r="AN24" s="99"/>
      <c r="AO24" s="99"/>
      <c r="AP24" s="99"/>
      <c r="AQ24" s="99"/>
      <c r="AR24" s="99"/>
      <c r="AS24" s="99"/>
      <c r="AT24" s="99"/>
      <c r="AU24" s="99"/>
      <c r="AV24" s="99"/>
      <c r="AW24" s="99"/>
      <c r="AX24" s="99"/>
      <c r="BX24" s="80"/>
    </row>
    <row r="25" spans="2:76" ht="13.5" customHeight="1" thickBot="1" x14ac:dyDescent="0.25">
      <c r="B25" s="40" t="s">
        <v>185</v>
      </c>
      <c r="H25" s="570" t="s">
        <v>186</v>
      </c>
      <c r="I25" s="570"/>
      <c r="J25" s="570"/>
      <c r="K25" s="570"/>
      <c r="W25" s="99"/>
      <c r="X25" s="99"/>
      <c r="Y25" s="99"/>
      <c r="Z25" s="99"/>
      <c r="AA25" s="99"/>
      <c r="AB25" s="99"/>
      <c r="AE25" s="99"/>
      <c r="AF25" s="99"/>
      <c r="AG25" s="99"/>
      <c r="AH25" s="99"/>
      <c r="AI25" s="99"/>
      <c r="AJ25" s="99"/>
      <c r="AM25" s="99"/>
      <c r="AN25" s="99"/>
      <c r="AO25" s="99"/>
      <c r="AP25" s="99"/>
      <c r="AQ25" s="99"/>
      <c r="AR25" s="99"/>
      <c r="AS25" s="99"/>
      <c r="AT25" s="99"/>
      <c r="AU25" s="99"/>
      <c r="AV25" s="99"/>
      <c r="AW25" s="99"/>
      <c r="AX25" s="99"/>
      <c r="BX25" s="80"/>
    </row>
    <row r="26" spans="2:76" ht="13.5" customHeight="1" thickTop="1" thickBot="1" x14ac:dyDescent="0.25">
      <c r="B26" s="556" t="s">
        <v>187</v>
      </c>
      <c r="C26" s="557"/>
      <c r="D26" s="103" t="str">
        <f>IF(ISBLANK(No.5!D26),"",No.5!D26)</f>
        <v/>
      </c>
      <c r="E26" s="104" t="s">
        <v>146</v>
      </c>
      <c r="G26" s="100"/>
      <c r="H26" s="570"/>
      <c r="I26" s="570"/>
      <c r="J26" s="570"/>
      <c r="K26" s="570"/>
      <c r="W26" s="99"/>
      <c r="X26" s="99"/>
      <c r="Y26" s="99"/>
      <c r="Z26" s="99"/>
      <c r="AA26" s="99"/>
      <c r="AB26" s="99"/>
      <c r="AE26" s="99"/>
      <c r="AF26" s="99"/>
      <c r="AG26" s="99"/>
      <c r="AH26" s="99"/>
      <c r="AI26" s="99"/>
      <c r="AJ26" s="99"/>
      <c r="AM26" s="99"/>
      <c r="AN26" s="99"/>
      <c r="AO26" s="99"/>
      <c r="AP26" s="99"/>
      <c r="AQ26" s="99"/>
      <c r="AR26" s="99"/>
      <c r="AS26" s="99"/>
      <c r="AT26" s="99"/>
      <c r="AU26" s="99"/>
      <c r="AV26" s="99"/>
      <c r="AW26" s="99"/>
      <c r="AX26" s="99"/>
      <c r="BX26" s="80"/>
    </row>
    <row r="27" spans="2:76" ht="13.5" customHeight="1" thickTop="1" thickBot="1" x14ac:dyDescent="0.25">
      <c r="B27" s="380" t="s">
        <v>188</v>
      </c>
      <c r="C27" s="506"/>
      <c r="D27" s="103" t="str">
        <f>IF(ISBLANK(No.5!D27),"",No.5!D27)</f>
        <v/>
      </c>
      <c r="E27" s="104" t="s">
        <v>146</v>
      </c>
      <c r="G27" s="100"/>
      <c r="H27" s="570"/>
      <c r="I27" s="570"/>
      <c r="J27" s="570"/>
      <c r="K27" s="570"/>
      <c r="W27" s="99"/>
      <c r="X27" s="99"/>
      <c r="Y27" s="99"/>
      <c r="Z27" s="99"/>
      <c r="AA27" s="99"/>
      <c r="AB27" s="99"/>
      <c r="AE27" s="99"/>
      <c r="AF27" s="99"/>
      <c r="AG27" s="99"/>
      <c r="AH27" s="99"/>
      <c r="AI27" s="99"/>
      <c r="AJ27" s="99"/>
      <c r="AM27" s="99"/>
      <c r="AN27" s="99"/>
      <c r="AO27" s="99"/>
      <c r="AP27" s="99"/>
      <c r="AQ27" s="99"/>
      <c r="AR27" s="99"/>
      <c r="AS27" s="99"/>
      <c r="AT27" s="99"/>
      <c r="AU27" s="99"/>
      <c r="AV27" s="99"/>
      <c r="AW27" s="99"/>
      <c r="AX27" s="99"/>
      <c r="BX27" s="80"/>
    </row>
    <row r="28" spans="2:76" ht="13.5" customHeight="1" thickTop="1" x14ac:dyDescent="0.2">
      <c r="B28" s="91"/>
      <c r="C28" s="116" t="s">
        <v>189</v>
      </c>
      <c r="D28" s="158">
        <f>IF(ISBLANK(No.5!D28),"",No.5!D28)</f>
        <v>0</v>
      </c>
      <c r="G28" s="100"/>
      <c r="H28" s="570"/>
      <c r="I28" s="570"/>
      <c r="J28" s="570"/>
      <c r="K28" s="570"/>
      <c r="W28" s="99"/>
      <c r="X28" s="99"/>
      <c r="Y28" s="99"/>
      <c r="Z28" s="99"/>
      <c r="AA28" s="99"/>
      <c r="AB28" s="99"/>
      <c r="AE28" s="99"/>
      <c r="AF28" s="99"/>
      <c r="AG28" s="99"/>
      <c r="AH28" s="99"/>
      <c r="AI28" s="99"/>
      <c r="AJ28" s="99"/>
      <c r="AM28" s="99"/>
      <c r="AN28" s="99"/>
      <c r="AO28" s="99"/>
      <c r="AP28" s="99"/>
      <c r="AQ28" s="99"/>
      <c r="AR28" s="99"/>
      <c r="AS28" s="99"/>
      <c r="AT28" s="99"/>
      <c r="AU28" s="99"/>
      <c r="AV28" s="99"/>
      <c r="AW28" s="99"/>
      <c r="AX28" s="99"/>
      <c r="BX28" s="80"/>
    </row>
    <row r="29" spans="2:76" ht="13.5" customHeight="1" x14ac:dyDescent="0.2">
      <c r="B29" s="91"/>
      <c r="C29" s="116" t="s">
        <v>190</v>
      </c>
      <c r="D29" s="159">
        <f>IF(ISBLANK(No.5!D29),"",No.5!D29)</f>
        <v>0</v>
      </c>
      <c r="G29" s="100"/>
      <c r="H29" s="570"/>
      <c r="I29" s="570"/>
      <c r="J29" s="570"/>
      <c r="K29" s="570"/>
      <c r="W29" s="99"/>
      <c r="X29" s="99"/>
      <c r="Y29" s="99"/>
      <c r="Z29" s="99"/>
      <c r="AA29" s="99"/>
      <c r="AB29" s="99"/>
      <c r="AE29" s="99"/>
      <c r="AF29" s="99"/>
      <c r="AG29" s="99"/>
      <c r="AH29" s="99"/>
      <c r="AI29" s="99"/>
      <c r="AJ29" s="99"/>
      <c r="AM29" s="99"/>
      <c r="AN29" s="99"/>
      <c r="AO29" s="99"/>
      <c r="AP29" s="99"/>
      <c r="AQ29" s="99"/>
      <c r="AR29" s="99"/>
      <c r="AS29" s="99"/>
      <c r="AT29" s="99"/>
      <c r="AU29" s="99"/>
      <c r="AV29" s="99"/>
      <c r="AW29" s="99"/>
      <c r="AX29" s="99"/>
      <c r="BX29" s="80"/>
    </row>
    <row r="30" spans="2:76" ht="13.5" customHeight="1" thickBot="1" x14ac:dyDescent="0.25">
      <c r="B30" t="s">
        <v>191</v>
      </c>
      <c r="G30" s="100"/>
      <c r="H30" s="570"/>
      <c r="I30" s="570"/>
      <c r="J30" s="570"/>
      <c r="K30" s="570"/>
      <c r="W30" s="99"/>
      <c r="X30" s="99"/>
      <c r="Y30" s="99"/>
      <c r="Z30" s="99"/>
      <c r="AA30" s="99"/>
      <c r="AB30" s="99"/>
      <c r="AE30" s="99"/>
      <c r="AF30" s="99"/>
      <c r="AG30" s="99"/>
      <c r="AH30" s="99"/>
      <c r="AI30" s="99"/>
      <c r="AJ30" s="99"/>
      <c r="AM30" s="99"/>
      <c r="AN30" s="99"/>
      <c r="AO30" s="99"/>
      <c r="AP30" s="99"/>
      <c r="AQ30" s="99"/>
      <c r="AR30" s="99"/>
      <c r="AS30" s="99"/>
      <c r="AT30" s="99"/>
      <c r="AU30" s="99"/>
      <c r="AV30" s="99"/>
      <c r="AW30" s="99"/>
      <c r="AX30" s="99"/>
      <c r="BX30" s="80"/>
    </row>
    <row r="31" spans="2:76" ht="13.5" customHeight="1" thickTop="1" thickBot="1" x14ac:dyDescent="0.25">
      <c r="B31" s="380" t="s">
        <v>192</v>
      </c>
      <c r="C31" s="506"/>
      <c r="D31" s="103" t="str">
        <f>IF(ISBLANK(No.5!D31),"",No.5!D31)</f>
        <v/>
      </c>
      <c r="E31" s="104" t="s">
        <v>146</v>
      </c>
      <c r="G31" s="100"/>
      <c r="H31" s="570"/>
      <c r="I31" s="570"/>
      <c r="J31" s="570"/>
      <c r="K31" s="570"/>
      <c r="W31" s="99"/>
      <c r="X31" s="99"/>
      <c r="Y31" s="99"/>
      <c r="Z31" s="99"/>
      <c r="AA31" s="99"/>
      <c r="AB31" s="99"/>
      <c r="AE31" s="99"/>
      <c r="AF31" s="99"/>
      <c r="AG31" s="99"/>
      <c r="AH31" s="99"/>
      <c r="AI31" s="99"/>
      <c r="AJ31" s="99"/>
      <c r="AM31" s="99"/>
      <c r="AN31" s="99"/>
      <c r="AO31" s="99"/>
      <c r="AP31" s="99"/>
      <c r="AQ31" s="99"/>
      <c r="AR31" s="99"/>
      <c r="AS31" s="99"/>
      <c r="AT31" s="99"/>
      <c r="AU31" s="99"/>
      <c r="AV31" s="99"/>
      <c r="AW31" s="99"/>
      <c r="AX31" s="99"/>
      <c r="BX31" s="80"/>
    </row>
    <row r="32" spans="2:76" ht="13.5" customHeight="1" thickTop="1" x14ac:dyDescent="0.2">
      <c r="B32" s="91"/>
      <c r="C32" s="117" t="s">
        <v>193</v>
      </c>
      <c r="D32" s="159">
        <f>IF(ISBLANK(No.5!D32),"",No.5!D32)</f>
        <v>0</v>
      </c>
      <c r="G32" s="100"/>
      <c r="H32" s="570"/>
      <c r="I32" s="570"/>
      <c r="J32" s="570"/>
      <c r="K32" s="570"/>
      <c r="W32" s="99"/>
      <c r="X32" s="99"/>
      <c r="Y32" s="99"/>
      <c r="Z32" s="99"/>
      <c r="AA32" s="99"/>
      <c r="AB32" s="99"/>
      <c r="AE32" s="99"/>
      <c r="AF32" s="99"/>
      <c r="AG32" s="99"/>
      <c r="AH32" s="99"/>
      <c r="AI32" s="99"/>
      <c r="AJ32" s="99"/>
      <c r="AM32" s="99"/>
      <c r="AN32" s="99"/>
      <c r="AO32" s="99"/>
      <c r="AP32" s="99"/>
      <c r="AQ32" s="99"/>
      <c r="AR32" s="99"/>
      <c r="AS32" s="99"/>
      <c r="AT32" s="99"/>
      <c r="AU32" s="99"/>
      <c r="AV32" s="99"/>
      <c r="AW32" s="99"/>
      <c r="AX32" s="99"/>
      <c r="BX32" s="80"/>
    </row>
    <row r="33" spans="2:76" ht="13.5" customHeight="1" x14ac:dyDescent="0.2">
      <c r="B33" s="91"/>
      <c r="C33" s="117"/>
      <c r="G33" s="100"/>
      <c r="H33" s="570"/>
      <c r="I33" s="570"/>
      <c r="J33" s="570"/>
      <c r="K33" s="570"/>
      <c r="W33" s="99"/>
      <c r="X33" s="99"/>
      <c r="Y33" s="99"/>
      <c r="Z33" s="99"/>
      <c r="AA33" s="99"/>
      <c r="AB33" s="99"/>
      <c r="AE33" s="99"/>
      <c r="AF33" s="99"/>
      <c r="AG33" s="99"/>
      <c r="AH33" s="99"/>
      <c r="AI33" s="99"/>
      <c r="AJ33" s="99"/>
      <c r="AM33" s="99"/>
      <c r="AN33" s="99"/>
      <c r="AO33" s="99"/>
      <c r="AP33" s="99"/>
      <c r="AQ33" s="99"/>
      <c r="AR33" s="99"/>
      <c r="AS33" s="99"/>
      <c r="AT33" s="99"/>
      <c r="AU33" s="99"/>
      <c r="AV33" s="99"/>
      <c r="AW33" s="99"/>
      <c r="AX33" s="99"/>
      <c r="BX33" s="80"/>
    </row>
    <row r="34" spans="2:76" ht="13.5" customHeight="1" x14ac:dyDescent="0.2">
      <c r="B34" s="91"/>
      <c r="C34" s="116" t="s">
        <v>194</v>
      </c>
      <c r="D34" s="159">
        <f>IF(ISBLANK(No.5!D34),"",No.5!D34)</f>
        <v>0</v>
      </c>
      <c r="G34" s="100"/>
      <c r="H34" s="570"/>
      <c r="I34" s="570"/>
      <c r="J34" s="570"/>
      <c r="K34" s="570"/>
      <c r="W34" s="99"/>
      <c r="X34" s="99"/>
      <c r="Y34" s="99"/>
      <c r="Z34" s="99"/>
      <c r="AA34" s="99"/>
      <c r="AB34" s="99"/>
      <c r="AE34" s="99"/>
      <c r="AF34" s="99"/>
      <c r="AG34" s="99"/>
      <c r="AH34" s="99"/>
      <c r="AI34" s="99"/>
      <c r="AJ34" s="99"/>
      <c r="AM34" s="99"/>
      <c r="AN34" s="99"/>
      <c r="AO34" s="99"/>
      <c r="AP34" s="99"/>
      <c r="AQ34" s="99"/>
      <c r="AR34" s="99"/>
      <c r="AS34" s="99"/>
      <c r="AT34" s="99"/>
      <c r="AU34" s="99"/>
      <c r="AV34" s="99"/>
      <c r="AW34" s="99"/>
      <c r="AX34" s="99"/>
      <c r="BX34" s="80"/>
    </row>
    <row r="35" spans="2:76" ht="13.5" customHeight="1" x14ac:dyDescent="0.2">
      <c r="B35" s="91"/>
      <c r="G35" s="100"/>
      <c r="H35" s="100"/>
      <c r="I35" s="100"/>
      <c r="J35" s="100"/>
      <c r="W35" s="99"/>
      <c r="X35" s="99"/>
      <c r="Y35" s="99"/>
      <c r="Z35" s="99"/>
      <c r="AA35" s="99"/>
      <c r="AB35" s="99"/>
      <c r="AE35" s="99"/>
      <c r="AF35" s="99"/>
      <c r="AG35" s="99"/>
      <c r="AH35" s="99"/>
      <c r="AI35" s="99"/>
      <c r="AJ35" s="99"/>
      <c r="AM35" s="99"/>
      <c r="AN35" s="99"/>
      <c r="AO35" s="99"/>
      <c r="AP35" s="99"/>
      <c r="AQ35" s="99"/>
      <c r="AR35" s="99"/>
      <c r="AS35" s="99"/>
      <c r="AT35" s="99"/>
      <c r="AU35" s="99"/>
      <c r="AV35" s="99"/>
      <c r="AW35" s="99"/>
      <c r="AX35" s="99"/>
      <c r="BX35" s="80"/>
    </row>
    <row r="36" spans="2:76" ht="13.5" customHeight="1" thickBot="1" x14ac:dyDescent="0.25">
      <c r="B36" s="569" t="s">
        <v>195</v>
      </c>
      <c r="C36" s="569"/>
      <c r="D36" s="569"/>
      <c r="F36" s="160" t="s">
        <v>196</v>
      </c>
      <c r="W36" s="99"/>
      <c r="X36" s="99"/>
      <c r="Y36" s="99"/>
      <c r="Z36" s="99"/>
      <c r="AA36" s="99"/>
      <c r="AB36" s="99"/>
      <c r="AE36" s="99"/>
      <c r="AF36" s="99"/>
      <c r="AG36" s="99"/>
      <c r="AH36" s="99"/>
      <c r="AI36" s="99"/>
      <c r="AJ36" s="99"/>
      <c r="AM36" s="99"/>
      <c r="AN36" s="99"/>
      <c r="AO36" s="99"/>
      <c r="AP36" s="99"/>
      <c r="AQ36" s="99"/>
      <c r="AR36" s="99"/>
      <c r="AS36" s="99"/>
      <c r="AT36" s="99"/>
      <c r="AU36" s="99"/>
      <c r="AV36" s="99"/>
      <c r="AW36" s="99"/>
      <c r="AX36" s="99"/>
      <c r="BX36" s="80"/>
    </row>
    <row r="37" spans="2:76" ht="13.5" customHeight="1" thickTop="1" x14ac:dyDescent="0.2">
      <c r="B37" s="567" t="s">
        <v>197</v>
      </c>
      <c r="C37" s="567" t="s">
        <v>198</v>
      </c>
      <c r="D37" s="505" t="s">
        <v>199</v>
      </c>
      <c r="F37" s="71" t="s">
        <v>159</v>
      </c>
      <c r="G37" s="45" t="s">
        <v>160</v>
      </c>
      <c r="H37" s="161"/>
      <c r="I37" s="162"/>
      <c r="J37" s="71" t="s">
        <v>161</v>
      </c>
      <c r="K37" s="71" t="s">
        <v>162</v>
      </c>
      <c r="W37" s="99"/>
      <c r="X37" s="99"/>
      <c r="Y37" s="99"/>
      <c r="Z37" s="99"/>
      <c r="AA37" s="99"/>
      <c r="AB37" s="99"/>
      <c r="AE37" s="99"/>
      <c r="AF37" s="99"/>
      <c r="AG37" s="99"/>
      <c r="AH37" s="99"/>
      <c r="AI37" s="99"/>
      <c r="AJ37" s="99"/>
      <c r="AM37" s="99"/>
      <c r="AN37" s="99"/>
      <c r="AO37" s="99"/>
      <c r="AP37" s="99"/>
      <c r="AQ37" s="99"/>
      <c r="AR37" s="99"/>
      <c r="AS37" s="99"/>
      <c r="AT37" s="99"/>
      <c r="AU37" s="99"/>
      <c r="AV37" s="99"/>
      <c r="AW37" s="99"/>
      <c r="AX37" s="99"/>
      <c r="BX37" s="80"/>
    </row>
    <row r="38" spans="2:76" ht="13.5" customHeight="1" x14ac:dyDescent="0.2">
      <c r="B38" s="568"/>
      <c r="C38" s="568"/>
      <c r="D38" s="505"/>
      <c r="F38" s="46" t="s">
        <v>200</v>
      </c>
      <c r="G38" s="401" t="s">
        <v>201</v>
      </c>
      <c r="H38" s="402"/>
      <c r="I38" s="410"/>
      <c r="J38" s="163">
        <v>30</v>
      </c>
      <c r="K38" s="87" t="s">
        <v>202</v>
      </c>
      <c r="W38" s="99"/>
      <c r="X38" s="99"/>
      <c r="Y38" s="99"/>
      <c r="Z38" s="99"/>
      <c r="AA38" s="99"/>
      <c r="AB38" s="99"/>
      <c r="AE38" s="99"/>
      <c r="AF38" s="99"/>
      <c r="AG38" s="99"/>
      <c r="AH38" s="99"/>
      <c r="AI38" s="99"/>
      <c r="AJ38" s="99"/>
      <c r="AM38" s="99"/>
      <c r="AN38" s="99"/>
      <c r="AO38" s="99"/>
      <c r="AP38" s="99"/>
      <c r="AQ38" s="99"/>
      <c r="AR38" s="99"/>
      <c r="AS38" s="99"/>
      <c r="AT38" s="99"/>
      <c r="AU38" s="99"/>
      <c r="AV38" s="99"/>
      <c r="AW38" s="99"/>
      <c r="AX38" s="99"/>
      <c r="BX38" s="80"/>
    </row>
    <row r="39" spans="2:76" ht="13.5" customHeight="1" x14ac:dyDescent="0.2">
      <c r="B39" s="164" t="str">
        <f>IF(ISBLANK(入力及び計算結果!E61),"",入力及び計算結果!E61)</f>
        <v/>
      </c>
      <c r="C39" s="164" t="str">
        <f>IF(ISBLANK(入力及び計算結果!E62),"",入力及び計算結果!E62)</f>
        <v/>
      </c>
      <c r="D39" s="165" t="str">
        <f>IF(ISNUMBER(C39),LN(C39/C$39),"")</f>
        <v/>
      </c>
      <c r="F39" s="46" t="s">
        <v>203</v>
      </c>
      <c r="G39" s="401" t="s">
        <v>204</v>
      </c>
      <c r="H39" s="402"/>
      <c r="I39" s="410"/>
      <c r="J39" s="163">
        <v>20</v>
      </c>
      <c r="K39" s="46" t="s">
        <v>202</v>
      </c>
      <c r="W39" s="99"/>
      <c r="X39" s="99"/>
      <c r="Y39" s="99"/>
      <c r="Z39" s="99"/>
      <c r="AA39" s="99"/>
      <c r="AB39" s="99"/>
      <c r="AE39" s="99"/>
      <c r="AF39" s="99"/>
      <c r="AG39" s="99"/>
      <c r="AH39" s="99"/>
      <c r="AI39" s="99"/>
      <c r="AJ39" s="99"/>
      <c r="AM39" s="99"/>
      <c r="AN39" s="99"/>
      <c r="AO39" s="99"/>
      <c r="AP39" s="99"/>
      <c r="AQ39" s="99"/>
      <c r="AR39" s="99"/>
      <c r="AS39" s="99"/>
      <c r="AT39" s="99"/>
      <c r="AU39" s="99"/>
      <c r="AV39" s="99"/>
      <c r="AW39" s="99"/>
      <c r="AX39" s="99"/>
      <c r="BX39" s="80"/>
    </row>
    <row r="40" spans="2:76" ht="13.5" customHeight="1" x14ac:dyDescent="0.2">
      <c r="B40" s="164" t="str">
        <f>IF(ISBLANK(入力及び計算結果!F61),"",入力及び計算結果!F61)</f>
        <v/>
      </c>
      <c r="C40" s="164" t="str">
        <f>IF(ISBLANK(入力及び計算結果!F62),"",入力及び計算結果!F62)</f>
        <v/>
      </c>
      <c r="D40" s="165" t="str">
        <f>IF(ISNUMBER(C40),LN(C40/C$39),"")</f>
        <v/>
      </c>
      <c r="F40" s="526" t="s">
        <v>77</v>
      </c>
      <c r="G40" s="538" t="s">
        <v>294</v>
      </c>
      <c r="H40" s="482"/>
      <c r="I40" s="564"/>
      <c r="J40" s="166">
        <v>1.9</v>
      </c>
      <c r="K40" s="150" t="s">
        <v>206</v>
      </c>
      <c r="W40" s="99"/>
      <c r="X40" s="99"/>
      <c r="Y40" s="99"/>
      <c r="Z40" s="99"/>
      <c r="AA40" s="99"/>
      <c r="AB40" s="99"/>
      <c r="AE40" s="99"/>
      <c r="AF40" s="99"/>
      <c r="AG40" s="99"/>
      <c r="AH40" s="99"/>
      <c r="AI40" s="99"/>
      <c r="AJ40" s="99"/>
      <c r="AM40" s="99"/>
      <c r="AN40" s="99"/>
      <c r="AO40" s="99"/>
      <c r="AP40" s="99"/>
      <c r="AQ40" s="99"/>
      <c r="AR40" s="99"/>
      <c r="AS40" s="99"/>
      <c r="AT40" s="99"/>
      <c r="AU40" s="99"/>
      <c r="AV40" s="99"/>
      <c r="AW40" s="99"/>
      <c r="AX40" s="99"/>
      <c r="BX40" s="80"/>
    </row>
    <row r="41" spans="2:76" ht="13.5" customHeight="1" x14ac:dyDescent="0.2">
      <c r="B41" s="164" t="str">
        <f>IF(ISBLANK(入力及び計算結果!G61),"",入力及び計算結果!G61)</f>
        <v/>
      </c>
      <c r="C41" s="164" t="str">
        <f>IF(ISBLANK(入力及び計算結果!G62),"",入力及び計算結果!G62)</f>
        <v/>
      </c>
      <c r="D41" s="165" t="str">
        <f>IF(ISNUMBER(C41),LN(C41/C$39),"")</f>
        <v/>
      </c>
      <c r="F41" s="527"/>
      <c r="G41" s="565"/>
      <c r="H41" s="489"/>
      <c r="I41" s="566"/>
      <c r="J41" s="167"/>
      <c r="K41" s="155"/>
      <c r="W41" s="99"/>
      <c r="X41" s="99"/>
      <c r="Y41" s="99"/>
      <c r="Z41" s="99"/>
      <c r="AA41" s="99"/>
      <c r="AB41" s="99"/>
      <c r="AE41" s="99"/>
      <c r="AF41" s="99"/>
      <c r="AG41" s="99"/>
      <c r="AH41" s="99"/>
      <c r="AI41" s="99"/>
      <c r="AJ41" s="99"/>
      <c r="AM41" s="99"/>
      <c r="AN41" s="99"/>
      <c r="AO41" s="99"/>
      <c r="AP41" s="99"/>
      <c r="AQ41" s="99"/>
      <c r="AR41" s="99"/>
      <c r="AS41" s="99"/>
      <c r="AT41" s="99"/>
      <c r="AU41" s="99"/>
      <c r="AV41" s="99"/>
      <c r="AW41" s="99"/>
      <c r="AX41" s="99"/>
      <c r="BX41" s="80"/>
    </row>
    <row r="42" spans="2:76" ht="13.5" customHeight="1" x14ac:dyDescent="0.2">
      <c r="B42" s="164" t="str">
        <f>IF(ISBLANK(入力及び計算結果!H61),"",入力及び計算結果!H61)</f>
        <v/>
      </c>
      <c r="C42" s="164" t="str">
        <f>IF(ISBLANK(入力及び計算結果!H62),"",入力及び計算結果!H62)</f>
        <v/>
      </c>
      <c r="D42" s="165" t="str">
        <f>IF(ISNUMBER(C42),LN(C42/C$39),"")</f>
        <v/>
      </c>
      <c r="F42" s="46" t="s">
        <v>207</v>
      </c>
      <c r="G42" s="401" t="s">
        <v>208</v>
      </c>
      <c r="H42" s="402"/>
      <c r="I42" s="410"/>
      <c r="J42" s="163">
        <v>0.8</v>
      </c>
      <c r="K42" s="46" t="s">
        <v>209</v>
      </c>
      <c r="W42" s="99"/>
      <c r="X42" s="99"/>
      <c r="Y42" s="99"/>
      <c r="Z42" s="99"/>
      <c r="AA42" s="99"/>
      <c r="AB42" s="99"/>
      <c r="AE42" s="99"/>
      <c r="AF42" s="99"/>
      <c r="AG42" s="99"/>
      <c r="AH42" s="99"/>
      <c r="AI42" s="99"/>
      <c r="AJ42" s="99"/>
      <c r="AM42" s="99"/>
      <c r="AN42" s="99"/>
      <c r="AO42" s="99"/>
      <c r="AP42" s="99"/>
      <c r="AQ42" s="99"/>
      <c r="AR42" s="99"/>
      <c r="AS42" s="99"/>
      <c r="AT42" s="99"/>
      <c r="AU42" s="99"/>
      <c r="AV42" s="99"/>
      <c r="AW42" s="99"/>
      <c r="AX42" s="99"/>
      <c r="BX42" s="80"/>
    </row>
    <row r="43" spans="2:76" ht="13.5" customHeight="1" x14ac:dyDescent="0.2">
      <c r="B43" s="164" t="str">
        <f>IF(ISBLANK(入力及び計算結果!I61),"",入力及び計算結果!I61)</f>
        <v/>
      </c>
      <c r="C43" s="164" t="str">
        <f>IF(ISBLANK(入力及び計算結果!I62),"",入力及び計算結果!I62)</f>
        <v/>
      </c>
      <c r="D43" s="165" t="str">
        <f>IF(ISNUMBER(C43),LN(C43/C$39),"")</f>
        <v/>
      </c>
      <c r="F43" s="526" t="s">
        <v>210</v>
      </c>
      <c r="G43" s="547" t="s">
        <v>295</v>
      </c>
      <c r="H43" s="539"/>
      <c r="I43" s="571"/>
      <c r="J43" s="166">
        <v>100</v>
      </c>
      <c r="K43" s="150" t="s">
        <v>206</v>
      </c>
      <c r="W43" s="99"/>
      <c r="X43" s="99"/>
      <c r="Y43" s="99"/>
      <c r="Z43" s="99"/>
      <c r="AA43" s="99"/>
      <c r="AB43" s="99"/>
      <c r="AE43" s="99"/>
      <c r="AF43" s="99"/>
      <c r="AG43" s="99"/>
      <c r="AH43" s="99"/>
      <c r="AI43" s="99"/>
      <c r="AJ43" s="99"/>
      <c r="AM43" s="99"/>
      <c r="AN43" s="99"/>
      <c r="AO43" s="99"/>
      <c r="AP43" s="99"/>
      <c r="AQ43" s="99"/>
      <c r="AR43" s="99"/>
      <c r="AS43" s="99"/>
      <c r="AT43" s="99"/>
      <c r="AU43" s="99"/>
      <c r="AV43" s="99"/>
      <c r="AW43" s="99"/>
      <c r="AX43" s="99"/>
      <c r="BX43" s="80"/>
    </row>
    <row r="44" spans="2:76" ht="13.5" customHeight="1" x14ac:dyDescent="0.2">
      <c r="B44" s="164" t="str">
        <f>IF(ISBLANK(入力及び計算結果!J61),"",入力及び計算結果!J61)</f>
        <v/>
      </c>
      <c r="C44" s="164" t="str">
        <f>IF(ISBLANK(入力及び計算結果!J62),"",入力及び計算結果!J62)</f>
        <v/>
      </c>
      <c r="D44" s="165" t="str">
        <f t="shared" ref="D44:D59" si="0">IF(ISNUMBER(C44),LN(C44/C$39),"")</f>
        <v/>
      </c>
      <c r="F44" s="527"/>
      <c r="G44" s="540"/>
      <c r="H44" s="541"/>
      <c r="I44" s="572"/>
      <c r="J44" s="167"/>
      <c r="K44" s="155"/>
      <c r="W44" s="99"/>
      <c r="X44" s="99"/>
      <c r="Y44" s="99"/>
      <c r="Z44" s="99"/>
      <c r="AA44" s="99"/>
      <c r="AB44" s="99"/>
      <c r="AE44" s="99"/>
      <c r="AF44" s="99"/>
      <c r="AG44" s="99"/>
      <c r="AH44" s="99"/>
      <c r="AI44" s="99"/>
      <c r="AJ44" s="99"/>
      <c r="AM44" s="99"/>
      <c r="AN44" s="99"/>
      <c r="AO44" s="99"/>
      <c r="AP44" s="99"/>
      <c r="AQ44" s="99"/>
      <c r="AR44" s="99"/>
      <c r="AS44" s="99"/>
      <c r="AT44" s="99"/>
      <c r="AU44" s="99"/>
      <c r="AV44" s="99"/>
      <c r="AW44" s="99"/>
      <c r="AX44" s="99"/>
      <c r="BX44" s="80"/>
    </row>
    <row r="45" spans="2:76" ht="13.5" customHeight="1" x14ac:dyDescent="0.2">
      <c r="B45" s="164" t="str">
        <f>IF(ISBLANK(入力及び計算結果!K61),"",入力及び計算結果!K61)</f>
        <v/>
      </c>
      <c r="C45" s="164" t="str">
        <f>IF(ISBLANK(入力及び計算結果!K62),"",入力及び計算結果!K62)</f>
        <v/>
      </c>
      <c r="D45" s="165" t="str">
        <f t="shared" si="0"/>
        <v/>
      </c>
      <c r="F45" s="46" t="s">
        <v>212</v>
      </c>
      <c r="G45" s="401" t="s">
        <v>213</v>
      </c>
      <c r="H45" s="402"/>
      <c r="I45" s="410"/>
      <c r="J45" s="163">
        <v>0.33</v>
      </c>
      <c r="K45" s="46" t="s">
        <v>209</v>
      </c>
      <c r="W45" s="99"/>
      <c r="X45" s="99"/>
      <c r="Y45" s="99"/>
      <c r="Z45" s="99"/>
      <c r="AA45" s="99"/>
      <c r="AB45" s="99"/>
      <c r="AE45" s="99"/>
      <c r="AF45" s="99"/>
      <c r="AG45" s="99"/>
      <c r="AH45" s="99"/>
      <c r="AI45" s="99"/>
      <c r="AJ45" s="99"/>
      <c r="AM45" s="99"/>
      <c r="AN45" s="99"/>
      <c r="AO45" s="99"/>
      <c r="AP45" s="99"/>
      <c r="AQ45" s="99"/>
      <c r="AR45" s="99"/>
      <c r="AS45" s="99"/>
      <c r="AT45" s="99"/>
      <c r="AU45" s="99"/>
      <c r="AV45" s="99"/>
      <c r="AW45" s="99"/>
      <c r="AX45" s="99"/>
      <c r="BX45" s="80"/>
    </row>
    <row r="46" spans="2:76" ht="13.5" customHeight="1" x14ac:dyDescent="0.2">
      <c r="B46" s="164" t="str">
        <f>IF(ISBLANK(入力及び計算結果!L61),"",入力及び計算結果!L61)</f>
        <v/>
      </c>
      <c r="C46" s="164" t="str">
        <f>IF(ISBLANK(入力及び計算結果!L62),"",入力及び計算結果!L62)</f>
        <v/>
      </c>
      <c r="D46" s="165" t="str">
        <f t="shared" si="0"/>
        <v/>
      </c>
      <c r="F46" s="526" t="s">
        <v>214</v>
      </c>
      <c r="G46" s="547" t="s">
        <v>215</v>
      </c>
      <c r="H46" s="539"/>
      <c r="I46" s="571"/>
      <c r="J46" s="166">
        <v>1</v>
      </c>
      <c r="K46" s="150" t="s">
        <v>146</v>
      </c>
      <c r="W46" s="99"/>
      <c r="X46" s="99"/>
      <c r="Y46" s="99"/>
      <c r="Z46" s="99"/>
      <c r="AA46" s="99"/>
      <c r="AB46" s="99"/>
      <c r="AE46" s="99"/>
      <c r="AF46" s="99"/>
      <c r="AG46" s="99"/>
      <c r="AH46" s="99"/>
      <c r="AI46" s="99"/>
      <c r="AJ46" s="99"/>
      <c r="AM46" s="99"/>
      <c r="AN46" s="99"/>
      <c r="AO46" s="99"/>
      <c r="AP46" s="99"/>
      <c r="AQ46" s="99"/>
      <c r="AR46" s="99"/>
      <c r="AS46" s="99"/>
      <c r="AT46" s="99"/>
      <c r="AU46" s="99"/>
      <c r="AV46" s="99"/>
      <c r="AW46" s="99"/>
      <c r="AX46" s="99"/>
      <c r="BX46" s="80"/>
    </row>
    <row r="47" spans="2:76" ht="13.5" customHeight="1" x14ac:dyDescent="0.2">
      <c r="B47" s="164" t="str">
        <f>IF(ISBLANK(入力及び計算結果!M61),"",入力及び計算結果!M61)</f>
        <v/>
      </c>
      <c r="C47" s="164" t="str">
        <f>IF(ISBLANK(入力及び計算結果!M62),"",入力及び計算結果!M62)</f>
        <v/>
      </c>
      <c r="D47" s="165" t="str">
        <f t="shared" si="0"/>
        <v/>
      </c>
      <c r="F47" s="527"/>
      <c r="G47" s="540"/>
      <c r="H47" s="541"/>
      <c r="I47" s="572"/>
      <c r="J47" s="167"/>
      <c r="K47" s="155"/>
      <c r="W47" s="99"/>
      <c r="X47" s="99"/>
      <c r="Y47" s="99"/>
      <c r="Z47" s="99"/>
      <c r="AA47" s="99"/>
      <c r="AB47" s="99"/>
      <c r="AE47" s="99"/>
      <c r="AF47" s="99"/>
      <c r="AG47" s="99"/>
      <c r="AH47" s="99"/>
      <c r="AI47" s="99"/>
      <c r="AJ47" s="99"/>
      <c r="AM47" s="99"/>
      <c r="AN47" s="99"/>
      <c r="AO47" s="99"/>
      <c r="AP47" s="99"/>
      <c r="AQ47" s="99"/>
      <c r="AR47" s="99"/>
      <c r="AS47" s="99"/>
      <c r="AT47" s="99"/>
      <c r="AU47" s="99"/>
      <c r="AV47" s="99"/>
      <c r="AW47" s="99"/>
      <c r="AX47" s="99"/>
      <c r="BX47" s="80"/>
    </row>
    <row r="48" spans="2:76" ht="13.5" customHeight="1" x14ac:dyDescent="0.2">
      <c r="B48" s="164" t="str">
        <f>IF(ISBLANK(入力及び計算結果!N61),"",入力及び計算結果!N61)</f>
        <v/>
      </c>
      <c r="C48" s="164" t="str">
        <f>IF(ISBLANK(入力及び計算結果!N62),"",入力及び計算結果!N62)</f>
        <v/>
      </c>
      <c r="D48" s="165" t="str">
        <f t="shared" si="0"/>
        <v/>
      </c>
      <c r="F48" s="526" t="s">
        <v>216</v>
      </c>
      <c r="G48" s="538" t="s">
        <v>217</v>
      </c>
      <c r="H48" s="539"/>
      <c r="I48" s="539"/>
      <c r="J48" s="571"/>
      <c r="K48" s="150" t="s">
        <v>218</v>
      </c>
      <c r="W48" s="99"/>
      <c r="X48" s="99"/>
      <c r="Y48" s="99"/>
      <c r="Z48" s="99"/>
      <c r="AA48" s="99"/>
      <c r="AB48" s="99"/>
      <c r="AE48" s="99"/>
      <c r="AF48" s="99"/>
      <c r="AG48" s="99"/>
      <c r="AH48" s="99"/>
      <c r="AI48" s="99"/>
      <c r="AJ48" s="99"/>
      <c r="AM48" s="99"/>
      <c r="AN48" s="99"/>
      <c r="AO48" s="99"/>
      <c r="AP48" s="99"/>
      <c r="AQ48" s="99"/>
      <c r="AR48" s="99"/>
      <c r="AS48" s="99"/>
      <c r="AT48" s="99"/>
      <c r="AU48" s="99"/>
      <c r="AV48" s="99"/>
      <c r="AW48" s="99"/>
      <c r="AX48" s="99"/>
      <c r="BX48" s="80"/>
    </row>
    <row r="49" spans="1:86" ht="13.5" customHeight="1" x14ac:dyDescent="0.2">
      <c r="B49" s="4"/>
      <c r="C49" s="4"/>
      <c r="D49" s="165" t="str">
        <f t="shared" si="0"/>
        <v/>
      </c>
      <c r="F49" s="527"/>
      <c r="G49" s="540"/>
      <c r="H49" s="541"/>
      <c r="I49" s="541"/>
      <c r="J49" s="572"/>
      <c r="K49" s="155"/>
      <c r="W49" s="99"/>
      <c r="X49" s="99"/>
      <c r="Y49" s="99"/>
      <c r="Z49" s="99"/>
      <c r="AA49" s="99"/>
      <c r="AB49" s="99"/>
      <c r="AE49" s="99"/>
      <c r="AF49" s="99"/>
      <c r="AG49" s="99"/>
      <c r="AH49" s="99"/>
      <c r="AI49" s="99"/>
      <c r="AJ49" s="99"/>
      <c r="AM49" s="99"/>
      <c r="AN49" s="99"/>
      <c r="AO49" s="99"/>
      <c r="AP49" s="99"/>
      <c r="AQ49" s="99"/>
      <c r="AR49" s="99"/>
      <c r="AS49" s="99"/>
      <c r="AT49" s="99"/>
      <c r="AU49" s="99"/>
      <c r="AV49" s="99"/>
      <c r="AW49" s="99"/>
      <c r="AX49" s="99"/>
      <c r="BX49" s="80"/>
    </row>
    <row r="50" spans="1:86" ht="13.5" customHeight="1" x14ac:dyDescent="0.2">
      <c r="B50" s="4"/>
      <c r="C50" s="4"/>
      <c r="D50" s="165" t="str">
        <f t="shared" si="0"/>
        <v/>
      </c>
      <c r="F50" s="43" t="s">
        <v>219</v>
      </c>
      <c r="G50" s="380" t="s">
        <v>220</v>
      </c>
      <c r="H50" s="452"/>
      <c r="I50" s="453"/>
      <c r="J50" s="168">
        <v>2000</v>
      </c>
      <c r="K50" s="87" t="s">
        <v>218</v>
      </c>
      <c r="W50" s="99"/>
      <c r="X50" s="99"/>
      <c r="Y50" s="99"/>
      <c r="Z50" s="99"/>
      <c r="AA50" s="99"/>
      <c r="AB50" s="99"/>
      <c r="AE50" s="99"/>
      <c r="AF50" s="99"/>
      <c r="AG50" s="99"/>
      <c r="AH50" s="99"/>
      <c r="AI50" s="99"/>
      <c r="AJ50" s="99"/>
      <c r="AM50" s="99"/>
      <c r="AN50" s="99"/>
      <c r="AO50" s="99"/>
      <c r="AP50" s="99"/>
      <c r="AQ50" s="99"/>
      <c r="AR50" s="99"/>
      <c r="AS50" s="99"/>
      <c r="AT50" s="99"/>
      <c r="AU50" s="99"/>
      <c r="AV50" s="99"/>
      <c r="AW50" s="99"/>
      <c r="AX50" s="99"/>
      <c r="BX50" s="80"/>
    </row>
    <row r="51" spans="1:86" ht="13.5" customHeight="1" x14ac:dyDescent="0.2">
      <c r="B51" s="4"/>
      <c r="C51" s="4"/>
      <c r="D51" s="165" t="str">
        <f t="shared" si="0"/>
        <v/>
      </c>
      <c r="F51" s="27" t="s">
        <v>221</v>
      </c>
      <c r="G51" s="380" t="s">
        <v>222</v>
      </c>
      <c r="H51" s="452"/>
      <c r="I51" s="453"/>
      <c r="J51" s="168">
        <v>1</v>
      </c>
      <c r="K51" s="87" t="s">
        <v>223</v>
      </c>
      <c r="W51" s="99"/>
      <c r="X51" s="99"/>
      <c r="Y51" s="99"/>
      <c r="Z51" s="99"/>
      <c r="AA51" s="99"/>
      <c r="AB51" s="99"/>
      <c r="AE51" s="99"/>
      <c r="AF51" s="99"/>
      <c r="AG51" s="99"/>
      <c r="AH51" s="99"/>
      <c r="AI51" s="99"/>
      <c r="AJ51" s="99"/>
      <c r="AM51" s="99"/>
      <c r="AN51" s="99"/>
      <c r="AO51" s="99"/>
      <c r="AP51" s="99"/>
      <c r="AQ51" s="99"/>
      <c r="AR51" s="99"/>
      <c r="AS51" s="99"/>
      <c r="AT51" s="99"/>
      <c r="AU51" s="99"/>
      <c r="AV51" s="99"/>
      <c r="AW51" s="99"/>
      <c r="AX51" s="99"/>
      <c r="BX51" s="80"/>
    </row>
    <row r="52" spans="1:86" ht="13.5" customHeight="1" x14ac:dyDescent="0.2">
      <c r="B52" s="4"/>
      <c r="C52" s="4"/>
      <c r="D52" s="165" t="str">
        <f t="shared" si="0"/>
        <v/>
      </c>
      <c r="F52" s="27" t="s">
        <v>224</v>
      </c>
      <c r="G52" s="380" t="s">
        <v>296</v>
      </c>
      <c r="H52" s="452"/>
      <c r="I52" s="453"/>
      <c r="J52" s="168">
        <v>1.2</v>
      </c>
      <c r="K52" s="87" t="s">
        <v>206</v>
      </c>
      <c r="W52" s="99"/>
      <c r="X52" s="99"/>
      <c r="Y52" s="99"/>
      <c r="Z52" s="99"/>
      <c r="AA52" s="99"/>
      <c r="AB52" s="99"/>
      <c r="AE52" s="99"/>
      <c r="AF52" s="99"/>
      <c r="AG52" s="99"/>
      <c r="AH52" s="99"/>
      <c r="AI52" s="99"/>
      <c r="AJ52" s="99"/>
      <c r="AM52" s="99"/>
      <c r="AN52" s="99"/>
      <c r="AO52" s="99"/>
      <c r="AP52" s="99"/>
      <c r="AQ52" s="99"/>
      <c r="AR52" s="99"/>
      <c r="AS52" s="99"/>
      <c r="AT52" s="99"/>
      <c r="AU52" s="99"/>
      <c r="AV52" s="99"/>
      <c r="AW52" s="99"/>
      <c r="AX52" s="99"/>
      <c r="BX52" s="80"/>
    </row>
    <row r="53" spans="1:86" ht="13.5" customHeight="1" x14ac:dyDescent="0.2">
      <c r="B53" s="4"/>
      <c r="C53" s="4"/>
      <c r="D53" s="165" t="str">
        <f t="shared" si="0"/>
        <v/>
      </c>
      <c r="F53" s="27" t="s">
        <v>226</v>
      </c>
      <c r="G53" s="380" t="s">
        <v>227</v>
      </c>
      <c r="H53" s="452"/>
      <c r="I53" s="453"/>
      <c r="J53" s="168">
        <v>1</v>
      </c>
      <c r="K53" s="87" t="s">
        <v>223</v>
      </c>
      <c r="W53" s="99"/>
      <c r="X53" s="99"/>
      <c r="Y53" s="99"/>
      <c r="Z53" s="99"/>
      <c r="AA53" s="99"/>
      <c r="AB53" s="99"/>
      <c r="AE53" s="99"/>
      <c r="AF53" s="99"/>
      <c r="AG53" s="99"/>
      <c r="AH53" s="99"/>
      <c r="AI53" s="99"/>
      <c r="AJ53" s="99"/>
      <c r="AM53" s="99"/>
      <c r="AN53" s="99"/>
      <c r="AO53" s="99"/>
      <c r="AP53" s="99"/>
      <c r="AQ53" s="99"/>
      <c r="AR53" s="99"/>
      <c r="AS53" s="99"/>
      <c r="AT53" s="99"/>
      <c r="AU53" s="99"/>
      <c r="AV53" s="99"/>
      <c r="AW53" s="99"/>
      <c r="AX53" s="99"/>
      <c r="BX53" s="80"/>
    </row>
    <row r="54" spans="1:86" ht="13.5" customHeight="1" x14ac:dyDescent="0.2">
      <c r="B54" s="4"/>
      <c r="C54" s="5"/>
      <c r="D54" s="165" t="str">
        <f t="shared" si="0"/>
        <v/>
      </c>
      <c r="F54" s="27" t="s">
        <v>228</v>
      </c>
      <c r="G54" s="576" t="s">
        <v>229</v>
      </c>
      <c r="H54" s="577"/>
      <c r="I54" s="578"/>
      <c r="J54" s="168">
        <v>2.4</v>
      </c>
      <c r="K54" s="87" t="s">
        <v>230</v>
      </c>
      <c r="W54" s="99"/>
      <c r="X54" s="99"/>
      <c r="Y54" s="99"/>
      <c r="Z54" s="99"/>
      <c r="AA54" s="99"/>
      <c r="AB54" s="99"/>
      <c r="AE54" s="99"/>
      <c r="AF54" s="99"/>
      <c r="AG54" s="99"/>
      <c r="AH54" s="99"/>
      <c r="AI54" s="99"/>
      <c r="AJ54" s="99"/>
      <c r="AM54" s="99"/>
      <c r="AN54" s="99"/>
      <c r="AO54" s="99"/>
      <c r="AP54" s="99"/>
      <c r="AQ54" s="99"/>
      <c r="AR54" s="99"/>
      <c r="AS54" s="99"/>
      <c r="AT54" s="99"/>
      <c r="AU54" s="99"/>
      <c r="AV54" s="99"/>
      <c r="AW54" s="99"/>
      <c r="AX54" s="99"/>
      <c r="BX54" s="80"/>
    </row>
    <row r="55" spans="1:86" ht="13.5" customHeight="1" x14ac:dyDescent="0.2">
      <c r="B55" s="4"/>
      <c r="C55" s="4"/>
      <c r="D55" s="165" t="str">
        <f t="shared" si="0"/>
        <v/>
      </c>
      <c r="F55" s="27" t="s">
        <v>231</v>
      </c>
      <c r="G55" s="380" t="s">
        <v>232</v>
      </c>
      <c r="H55" s="452"/>
      <c r="I55" s="453"/>
      <c r="J55" s="168">
        <v>2.9</v>
      </c>
      <c r="K55" s="87" t="s">
        <v>206</v>
      </c>
      <c r="W55" s="99"/>
      <c r="X55" s="99"/>
      <c r="Y55" s="99"/>
      <c r="Z55" s="99"/>
      <c r="AA55" s="99"/>
      <c r="AB55" s="99"/>
      <c r="AE55" s="99"/>
      <c r="AF55" s="99"/>
      <c r="AG55" s="99"/>
      <c r="AH55" s="99"/>
      <c r="AI55" s="99"/>
      <c r="AJ55" s="99"/>
      <c r="AM55" s="99"/>
      <c r="AN55" s="99"/>
      <c r="AO55" s="99"/>
      <c r="AP55" s="99"/>
      <c r="AQ55" s="99"/>
      <c r="AR55" s="99"/>
      <c r="AS55" s="99"/>
      <c r="AT55" s="99"/>
      <c r="AU55" s="99"/>
      <c r="AV55" s="99"/>
      <c r="AW55" s="99"/>
      <c r="AX55" s="99"/>
      <c r="BX55" s="80"/>
    </row>
    <row r="56" spans="1:86" ht="13.5" customHeight="1" x14ac:dyDescent="0.2">
      <c r="B56" s="4"/>
      <c r="C56" s="4"/>
      <c r="D56" s="165" t="str">
        <f t="shared" si="0"/>
        <v/>
      </c>
      <c r="F56" s="27" t="s">
        <v>233</v>
      </c>
      <c r="G56" s="380" t="s">
        <v>234</v>
      </c>
      <c r="H56" s="452"/>
      <c r="I56" s="453"/>
      <c r="J56" s="169" t="str">
        <f>IF(ISNUMBER(Koc),(Plevee/rws)*Koc*(Oclevee/100)+1,"-")</f>
        <v>-</v>
      </c>
      <c r="K56" s="170" t="s">
        <v>230</v>
      </c>
      <c r="W56" s="99"/>
      <c r="X56" s="99"/>
      <c r="Y56" s="99"/>
      <c r="Z56" s="99"/>
      <c r="AA56" s="99"/>
      <c r="AB56" s="99"/>
      <c r="AE56" s="99"/>
      <c r="AF56" s="99"/>
      <c r="AG56" s="99"/>
      <c r="AH56" s="99"/>
      <c r="AI56" s="99"/>
      <c r="AJ56" s="99"/>
      <c r="AM56" s="99"/>
      <c r="AN56" s="99"/>
      <c r="AO56" s="99"/>
      <c r="AP56" s="99"/>
      <c r="AQ56" s="99"/>
      <c r="AR56" s="99"/>
      <c r="AS56" s="99"/>
      <c r="AT56" s="99"/>
      <c r="AU56" s="99"/>
      <c r="AV56" s="99"/>
      <c r="AW56" s="99"/>
      <c r="AX56" s="99"/>
      <c r="BX56" s="80"/>
    </row>
    <row r="57" spans="1:86" ht="13.5" customHeight="1" x14ac:dyDescent="0.2">
      <c r="B57" s="4"/>
      <c r="C57" s="4"/>
      <c r="D57" s="165" t="str">
        <f t="shared" si="0"/>
        <v/>
      </c>
      <c r="F57" s="171"/>
      <c r="H57" s="67"/>
      <c r="I57" s="67"/>
      <c r="J57" s="172"/>
      <c r="W57" s="99"/>
      <c r="X57" s="99"/>
      <c r="Y57" s="99"/>
      <c r="Z57" s="99"/>
      <c r="AA57" s="99"/>
      <c r="AB57" s="99"/>
      <c r="AE57" s="99"/>
      <c r="AF57" s="99"/>
      <c r="AG57" s="99"/>
      <c r="AH57" s="99"/>
      <c r="AI57" s="99"/>
      <c r="AJ57" s="99"/>
      <c r="AM57" s="99"/>
      <c r="AN57" s="99"/>
      <c r="AO57" s="99"/>
      <c r="AP57" s="99"/>
      <c r="AQ57" s="99"/>
      <c r="AR57" s="99"/>
      <c r="AS57" s="99"/>
      <c r="AT57" s="99"/>
      <c r="AU57" s="99"/>
      <c r="AV57" s="99"/>
      <c r="AW57" s="99"/>
      <c r="AX57" s="99"/>
      <c r="BX57" s="80"/>
    </row>
    <row r="58" spans="1:86" ht="13.5" customHeight="1" x14ac:dyDescent="0.2">
      <c r="B58" s="4"/>
      <c r="C58" s="4"/>
      <c r="D58" s="165" t="str">
        <f t="shared" si="0"/>
        <v/>
      </c>
      <c r="F58" s="123"/>
      <c r="H58" s="67"/>
      <c r="I58" s="67"/>
      <c r="W58" s="99"/>
      <c r="X58" s="99"/>
      <c r="Y58" s="99"/>
      <c r="Z58" s="99"/>
      <c r="AA58" s="99"/>
      <c r="AB58" s="99"/>
      <c r="AE58" s="99"/>
      <c r="AF58" s="99"/>
      <c r="AG58" s="99"/>
      <c r="AH58" s="99"/>
      <c r="AI58" s="99"/>
      <c r="AJ58" s="99"/>
      <c r="AM58" s="99"/>
      <c r="AN58" s="99"/>
      <c r="AO58" s="99"/>
      <c r="AP58" s="99"/>
      <c r="AQ58" s="99"/>
      <c r="AR58" s="99"/>
      <c r="AS58" s="99"/>
      <c r="AT58" s="99"/>
      <c r="AU58" s="99"/>
      <c r="AV58" s="99"/>
      <c r="AW58" s="99"/>
      <c r="AX58" s="99"/>
      <c r="BX58" s="80"/>
    </row>
    <row r="59" spans="1:86" ht="13.5" customHeight="1" thickBot="1" x14ac:dyDescent="0.25">
      <c r="B59" s="6"/>
      <c r="C59" s="6"/>
      <c r="D59" s="165" t="str">
        <f t="shared" si="0"/>
        <v/>
      </c>
      <c r="H59" s="67"/>
      <c r="I59" s="67"/>
      <c r="W59" s="99"/>
      <c r="X59" s="99"/>
      <c r="Y59" s="99"/>
      <c r="Z59" s="99"/>
      <c r="AA59" s="99"/>
      <c r="AB59" s="99"/>
      <c r="AE59" s="99"/>
      <c r="AF59" s="99"/>
      <c r="AG59" s="99"/>
      <c r="AH59" s="99"/>
      <c r="AI59" s="99"/>
      <c r="AJ59" s="99"/>
      <c r="AM59" s="99"/>
      <c r="AN59" s="99"/>
      <c r="AO59" s="99"/>
      <c r="AP59" s="99"/>
      <c r="AQ59" s="99"/>
      <c r="AR59" s="99"/>
      <c r="AS59" s="99"/>
      <c r="AT59" s="99"/>
      <c r="AU59" s="99"/>
      <c r="AV59" s="99"/>
      <c r="AW59" s="99"/>
      <c r="AX59" s="99"/>
      <c r="BX59" s="80"/>
    </row>
    <row r="60" spans="1:86" ht="13.5" customHeight="1" thickTop="1" x14ac:dyDescent="0.2">
      <c r="B60" s="91"/>
      <c r="H60" s="67"/>
      <c r="I60" s="67"/>
      <c r="W60" s="99"/>
      <c r="X60" s="99"/>
      <c r="Y60" s="99"/>
      <c r="Z60" s="99"/>
      <c r="AA60" s="99"/>
      <c r="AB60" s="99"/>
      <c r="AE60" s="99"/>
      <c r="AF60" s="99"/>
      <c r="AG60" s="99"/>
      <c r="AH60" s="99"/>
      <c r="AI60" s="99"/>
      <c r="AJ60" s="99"/>
      <c r="AM60" s="99"/>
      <c r="AN60" s="99"/>
      <c r="AO60" s="99"/>
      <c r="AP60" s="99"/>
      <c r="AQ60" s="99"/>
      <c r="AR60" s="99"/>
      <c r="AS60" s="99"/>
      <c r="AT60" s="99"/>
      <c r="AU60" s="99"/>
      <c r="AV60" s="99"/>
      <c r="AW60" s="99"/>
      <c r="AX60" s="99"/>
      <c r="BX60" s="80"/>
    </row>
    <row r="61" spans="1:86" ht="13.5" customHeight="1" x14ac:dyDescent="0.2">
      <c r="A61"/>
      <c r="B61" s="579" t="s">
        <v>235</v>
      </c>
      <c r="C61" s="522"/>
      <c r="D61" s="522"/>
      <c r="E61" s="522"/>
      <c r="V61" s="67"/>
      <c r="W61" s="67"/>
      <c r="X61" s="67"/>
      <c r="Y61" s="67"/>
      <c r="Z61" s="67"/>
      <c r="AA61" s="67"/>
      <c r="AB61" s="67"/>
      <c r="AD61" s="67"/>
      <c r="AE61" s="67"/>
      <c r="AF61" s="67"/>
      <c r="AG61" s="67"/>
      <c r="AH61" s="67"/>
      <c r="AI61" s="67"/>
      <c r="AJ61" s="67"/>
      <c r="AL61" s="67"/>
      <c r="AM61" s="67"/>
      <c r="AN61" s="67"/>
      <c r="AO61" s="67"/>
      <c r="AP61" s="67"/>
      <c r="AQ61" s="67"/>
      <c r="AR61" s="67"/>
      <c r="AS61" s="67"/>
      <c r="AT61" s="67"/>
      <c r="AU61" s="67"/>
      <c r="AV61" s="67"/>
      <c r="AW61" s="67"/>
      <c r="AX61" s="67"/>
      <c r="AY61" s="67"/>
      <c r="AZ61" s="80"/>
      <c r="BA61" s="144"/>
      <c r="BB61" s="80"/>
      <c r="BC61" s="144"/>
      <c r="BD61" s="144"/>
      <c r="BE61" s="144"/>
      <c r="BF61" s="144"/>
      <c r="BG61" s="67"/>
      <c r="BH61" s="80"/>
      <c r="BI61" s="144"/>
      <c r="BJ61" s="80"/>
      <c r="BK61" s="144"/>
      <c r="BL61" s="144"/>
      <c r="BM61" s="144"/>
      <c r="BN61" s="144"/>
      <c r="BO61" s="67"/>
      <c r="BP61" s="80"/>
      <c r="BQ61" s="144"/>
      <c r="BR61" s="80"/>
      <c r="BS61" s="144"/>
      <c r="BT61" s="144"/>
      <c r="BV61" s="144"/>
      <c r="BW61" s="80"/>
      <c r="BX61" s="67"/>
      <c r="BY61" s="67"/>
      <c r="CB61"/>
      <c r="CC61"/>
      <c r="CD61"/>
      <c r="CE61"/>
      <c r="CF61"/>
      <c r="CG61"/>
      <c r="CH61"/>
    </row>
    <row r="62" spans="1:86" ht="13.5" customHeight="1" x14ac:dyDescent="0.2">
      <c r="A62"/>
      <c r="B62" s="522"/>
      <c r="C62" s="522"/>
      <c r="D62" s="522"/>
      <c r="E62" s="522"/>
      <c r="V62" s="67"/>
      <c r="W62" s="67"/>
      <c r="X62" s="67"/>
      <c r="Y62" s="67"/>
      <c r="Z62" s="67"/>
      <c r="AA62" s="67"/>
      <c r="AB62" s="67"/>
      <c r="AD62" s="67"/>
      <c r="AE62" s="67"/>
      <c r="AF62" s="67"/>
      <c r="AG62" s="67"/>
      <c r="AH62" s="67"/>
      <c r="AI62" s="67"/>
      <c r="AJ62" s="67"/>
      <c r="AL62" s="67"/>
      <c r="AM62" s="67"/>
      <c r="AN62" s="67"/>
      <c r="AO62" s="67"/>
      <c r="AP62" s="67"/>
      <c r="AQ62" s="67"/>
      <c r="AR62" s="67"/>
      <c r="AS62" s="67"/>
      <c r="AT62" s="67"/>
      <c r="AU62" s="67"/>
      <c r="AV62" s="67"/>
      <c r="AW62" s="67"/>
      <c r="AX62" s="67"/>
      <c r="AY62" s="67"/>
      <c r="AZ62" s="80"/>
      <c r="BA62" s="144"/>
      <c r="BB62" s="80"/>
      <c r="BC62" s="144"/>
      <c r="BD62" s="144"/>
      <c r="BE62" s="144"/>
      <c r="BF62" s="144"/>
      <c r="BG62" s="67"/>
      <c r="BH62" s="80"/>
      <c r="BI62" s="144"/>
      <c r="BJ62" s="80"/>
      <c r="BK62" s="144"/>
      <c r="BL62" s="144"/>
      <c r="BM62" s="144"/>
      <c r="BN62" s="144"/>
      <c r="BO62" s="67"/>
      <c r="BP62" s="80"/>
      <c r="BQ62" s="144"/>
      <c r="BR62" s="80"/>
      <c r="BS62" s="144"/>
      <c r="BT62" s="144"/>
      <c r="BV62" s="144"/>
      <c r="BW62" s="80"/>
      <c r="BX62" s="67"/>
      <c r="BY62" s="67"/>
      <c r="CB62"/>
      <c r="CC62"/>
      <c r="CD62"/>
      <c r="CE62"/>
      <c r="CF62"/>
      <c r="CG62"/>
      <c r="CH62"/>
    </row>
    <row r="63" spans="1:86" ht="13.5" customHeight="1" x14ac:dyDescent="0.2">
      <c r="A63"/>
      <c r="B63" s="522"/>
      <c r="C63" s="522"/>
      <c r="D63" s="522"/>
      <c r="E63" s="522"/>
      <c r="V63" s="67"/>
      <c r="W63" s="67"/>
      <c r="X63" s="67"/>
      <c r="Y63" s="67"/>
      <c r="Z63" s="67"/>
      <c r="AA63" s="67"/>
      <c r="AB63" s="67"/>
      <c r="AD63" s="67"/>
      <c r="AE63" s="67"/>
      <c r="AF63" s="67"/>
      <c r="AG63" s="67"/>
      <c r="AH63" s="67"/>
      <c r="AI63" s="67"/>
      <c r="AJ63" s="67"/>
      <c r="AL63" s="67"/>
      <c r="AM63" s="67"/>
      <c r="AN63" s="67"/>
      <c r="AO63" s="67"/>
      <c r="AP63" s="67"/>
      <c r="AQ63" s="67"/>
      <c r="AR63" s="67"/>
      <c r="AS63" s="67"/>
      <c r="AT63" s="67"/>
      <c r="AU63" s="67"/>
      <c r="AV63" s="67"/>
      <c r="AW63" s="67"/>
      <c r="AX63" s="67"/>
      <c r="AY63" s="67"/>
      <c r="AZ63" s="80"/>
      <c r="BA63" s="144"/>
      <c r="BB63" s="80"/>
      <c r="BC63" s="144"/>
      <c r="BD63" s="144"/>
      <c r="BE63" s="144"/>
      <c r="BF63" s="144"/>
      <c r="BG63" s="67"/>
      <c r="BH63" s="80"/>
      <c r="BI63" s="144"/>
      <c r="BJ63" s="80"/>
      <c r="BK63" s="144"/>
      <c r="BL63" s="144"/>
      <c r="BM63" s="144"/>
      <c r="BN63" s="144"/>
      <c r="BO63" s="67"/>
      <c r="BP63" s="80"/>
      <c r="BQ63" s="144"/>
      <c r="BR63" s="80"/>
      <c r="BS63" s="144"/>
      <c r="BT63" s="144"/>
      <c r="BV63" s="144"/>
      <c r="BW63" s="80"/>
      <c r="BX63" s="67"/>
      <c r="BY63" s="67"/>
      <c r="CB63"/>
      <c r="CC63"/>
      <c r="CD63"/>
      <c r="CE63"/>
      <c r="CF63"/>
      <c r="CG63"/>
      <c r="CH63"/>
    </row>
    <row r="64" spans="1:86" ht="13.5" customHeight="1" x14ac:dyDescent="0.2">
      <c r="A64"/>
      <c r="B64" s="522"/>
      <c r="C64" s="522"/>
      <c r="D64" s="522"/>
      <c r="E64" s="522"/>
      <c r="V64" s="67"/>
      <c r="W64" s="67"/>
      <c r="X64" s="67"/>
      <c r="Y64" s="67"/>
      <c r="Z64" s="67"/>
      <c r="AA64" s="67"/>
      <c r="AB64" s="67"/>
      <c r="AD64" s="67"/>
      <c r="AE64" s="67"/>
      <c r="AF64" s="67"/>
      <c r="AG64" s="67"/>
      <c r="AH64" s="67"/>
      <c r="AI64" s="67"/>
      <c r="AJ64" s="67"/>
      <c r="AL64" s="67"/>
      <c r="AM64" s="67"/>
      <c r="AN64" s="67"/>
      <c r="AO64" s="67"/>
      <c r="AP64" s="67"/>
      <c r="AQ64" s="67"/>
      <c r="AR64" s="67"/>
      <c r="AS64" s="67"/>
      <c r="AT64" s="67"/>
      <c r="AU64" s="67"/>
      <c r="AV64" s="67"/>
      <c r="AW64" s="67"/>
      <c r="AX64" s="67"/>
      <c r="AY64" s="67"/>
      <c r="AZ64" s="80"/>
      <c r="BA64" s="144"/>
      <c r="BB64" s="80"/>
      <c r="BC64" s="144"/>
      <c r="BD64" s="144"/>
      <c r="BE64" s="144"/>
      <c r="BF64" s="144"/>
      <c r="BG64" s="67"/>
      <c r="BH64" s="80"/>
      <c r="BI64" s="144"/>
      <c r="BJ64" s="80"/>
      <c r="BK64" s="144"/>
      <c r="BL64" s="144"/>
      <c r="BM64" s="144"/>
      <c r="BN64" s="144"/>
      <c r="BO64" s="67"/>
      <c r="BP64" s="80"/>
      <c r="BQ64" s="144"/>
      <c r="BR64" s="80"/>
      <c r="BS64" s="144"/>
      <c r="BT64" s="144"/>
      <c r="BV64" s="144"/>
      <c r="BW64" s="80"/>
      <c r="BX64" s="67"/>
      <c r="BY64" s="67"/>
      <c r="CB64"/>
      <c r="CC64"/>
      <c r="CD64"/>
      <c r="CE64"/>
      <c r="CF64"/>
      <c r="CG64"/>
      <c r="CH64"/>
    </row>
    <row r="65" spans="1:91" ht="13.5" customHeight="1" thickBot="1" x14ac:dyDescent="0.25">
      <c r="B65" s="380" t="s">
        <v>236</v>
      </c>
      <c r="C65" s="452"/>
      <c r="D65" s="23" t="str">
        <f>IF(ISERR(LN(2)/(-SLOPE(D39:D59,B39:B59))),"",(LN(2)/(-SLOPE(D39:D59,B39:B59))))</f>
        <v/>
      </c>
      <c r="E65" s="104" t="s">
        <v>146</v>
      </c>
      <c r="H65" s="67"/>
      <c r="I65" s="67"/>
      <c r="W65" s="99"/>
      <c r="X65" s="99"/>
      <c r="Y65" s="99"/>
      <c r="Z65" s="67"/>
      <c r="AA65" s="99"/>
      <c r="AB65" s="99"/>
      <c r="AE65" s="99"/>
      <c r="AF65" s="99"/>
      <c r="AG65" s="99"/>
      <c r="AH65" s="67"/>
      <c r="AI65" s="99"/>
      <c r="AJ65" s="99"/>
      <c r="AM65" s="99"/>
      <c r="AN65" s="99"/>
      <c r="AO65" s="99"/>
      <c r="AP65" s="67"/>
      <c r="AQ65" s="99"/>
      <c r="AR65" s="99"/>
      <c r="AS65" s="99"/>
      <c r="AT65" s="99"/>
      <c r="AU65" s="99"/>
      <c r="AV65" s="99"/>
      <c r="AW65" s="99"/>
      <c r="AX65" s="99"/>
      <c r="BX65" s="80"/>
    </row>
    <row r="66" spans="1:91" ht="13.5" customHeight="1" thickTop="1" thickBot="1" x14ac:dyDescent="0.25">
      <c r="B66" s="91"/>
      <c r="C66" s="173"/>
      <c r="G66" s="507" t="s">
        <v>117</v>
      </c>
      <c r="H66" s="580"/>
      <c r="I66" s="2"/>
      <c r="W66" s="99"/>
      <c r="X66" s="99"/>
      <c r="Y66" s="99"/>
      <c r="Z66" s="67"/>
      <c r="AA66" s="99"/>
      <c r="AB66" s="99"/>
      <c r="AE66" s="99"/>
      <c r="AF66" s="99"/>
      <c r="AG66" s="99"/>
      <c r="AH66" s="67"/>
      <c r="AI66" s="99"/>
      <c r="AJ66" s="99"/>
      <c r="AM66" s="99"/>
      <c r="AN66" s="99"/>
      <c r="AO66" s="99"/>
      <c r="AP66" s="67"/>
      <c r="AQ66" s="99"/>
      <c r="AR66" s="99"/>
      <c r="AS66" s="99"/>
      <c r="AT66" s="99"/>
      <c r="AU66" s="99"/>
      <c r="AV66" s="99"/>
      <c r="AW66" s="99"/>
      <c r="AX66" s="99"/>
      <c r="BX66" s="80"/>
    </row>
    <row r="67" spans="1:91" ht="13.5" customHeight="1" thickTop="1" x14ac:dyDescent="0.2">
      <c r="B67" s="91"/>
      <c r="C67" s="123"/>
      <c r="G67" s="79" t="s">
        <v>120</v>
      </c>
      <c r="H67" s="115"/>
      <c r="I67" s="115"/>
      <c r="Q67" s="99"/>
      <c r="R67" s="99"/>
      <c r="S67" s="99"/>
      <c r="T67" s="99"/>
      <c r="U67" s="67"/>
      <c r="V67" s="67"/>
      <c r="W67" s="99"/>
      <c r="X67" s="99"/>
      <c r="Y67" s="99"/>
      <c r="Z67" s="99"/>
      <c r="AA67" s="99"/>
      <c r="AB67" s="99"/>
      <c r="AC67" s="67"/>
      <c r="AD67" s="67"/>
      <c r="AE67" s="99"/>
      <c r="AF67" s="99"/>
      <c r="AG67" s="99"/>
      <c r="AH67" s="99"/>
      <c r="AI67" s="99"/>
      <c r="AJ67" s="99"/>
      <c r="AK67" s="67"/>
      <c r="AL67" s="67"/>
      <c r="AM67" s="99"/>
      <c r="AN67" s="99"/>
      <c r="AO67" s="99"/>
      <c r="AP67" s="99"/>
      <c r="AQ67" s="99"/>
      <c r="AR67" s="99"/>
      <c r="AS67" s="99"/>
      <c r="AT67" s="99"/>
      <c r="AU67" s="143"/>
      <c r="AV67" s="99"/>
      <c r="AW67" s="143"/>
      <c r="AX67" s="143"/>
      <c r="AY67" s="143"/>
      <c r="AZ67" s="143"/>
      <c r="BA67" s="99"/>
      <c r="BD67" s="99"/>
      <c r="BG67" s="143"/>
      <c r="BH67" s="143"/>
      <c r="BI67" s="99"/>
      <c r="BL67" s="99"/>
      <c r="BO67" s="143"/>
      <c r="BP67" s="143"/>
      <c r="BR67" s="143"/>
      <c r="BT67" s="80"/>
      <c r="BV67" s="80"/>
      <c r="BW67" s="80"/>
      <c r="BX67" s="80"/>
      <c r="CA67" s="99"/>
      <c r="CB67" s="99"/>
      <c r="CC67" s="99"/>
      <c r="CD67" s="99"/>
      <c r="CE67" s="99"/>
      <c r="CF67" s="99"/>
    </row>
    <row r="68" spans="1:91" ht="13.5" customHeight="1" thickBot="1" x14ac:dyDescent="0.25">
      <c r="B68" s="91"/>
      <c r="C68" s="40" t="s">
        <v>237</v>
      </c>
      <c r="Q68" s="99"/>
      <c r="R68" s="99"/>
      <c r="S68" s="99"/>
      <c r="T68" s="99"/>
      <c r="U68" s="67"/>
      <c r="V68" s="67"/>
      <c r="W68" s="99"/>
      <c r="X68" s="99"/>
      <c r="Y68" s="99"/>
      <c r="Z68" s="99"/>
      <c r="AA68" s="99"/>
      <c r="AB68" s="99"/>
      <c r="AC68" s="67"/>
      <c r="AD68" s="67"/>
      <c r="AE68" s="99"/>
      <c r="AF68" s="99"/>
      <c r="AG68" s="99"/>
      <c r="AH68" s="99"/>
      <c r="AI68" s="99"/>
      <c r="AJ68" s="99"/>
      <c r="AK68" s="67"/>
      <c r="AL68" s="67"/>
      <c r="AM68" s="99"/>
      <c r="AN68" s="99"/>
      <c r="AO68" s="99"/>
      <c r="AP68" s="99"/>
      <c r="AQ68" s="99"/>
      <c r="AR68" s="99"/>
      <c r="AS68" s="99"/>
      <c r="AT68" s="99"/>
      <c r="AU68" s="143"/>
      <c r="AV68" s="99"/>
      <c r="AW68" s="143"/>
      <c r="AX68" s="143"/>
      <c r="AY68" s="143"/>
      <c r="AZ68" s="143"/>
      <c r="BA68" s="99"/>
      <c r="BD68" s="99"/>
      <c r="BG68" s="143"/>
      <c r="BH68" s="143"/>
      <c r="BI68" s="99"/>
      <c r="BL68" s="99"/>
      <c r="BO68" s="143"/>
      <c r="BP68" s="143"/>
      <c r="BR68" s="143"/>
      <c r="BT68" s="80"/>
      <c r="BV68" s="80"/>
      <c r="BW68" s="80"/>
      <c r="BX68" s="80"/>
      <c r="CA68" s="99"/>
      <c r="CB68" s="99"/>
      <c r="CC68" s="99"/>
      <c r="CD68" s="99"/>
      <c r="CE68" s="99"/>
      <c r="CF68" s="99"/>
    </row>
    <row r="69" spans="1:91" ht="103.5" customHeight="1" thickTop="1" thickBot="1" x14ac:dyDescent="0.25">
      <c r="B69" s="91"/>
      <c r="C69" s="607" t="s">
        <v>238</v>
      </c>
      <c r="D69" s="608"/>
      <c r="E69" s="609"/>
      <c r="F69" s="174" t="str">
        <f>IF(NOT(ISNUMBER(ffp)),"-",IF(F70=AJ87,AH84,IF(F70=AN87,AL84,IF(F70=AR87,AP84,IF(F70=AV87,AT84,IF(F70=AZ87,AX84,"-"))))))</f>
        <v>-</v>
      </c>
      <c r="Q69" s="99"/>
      <c r="R69" s="99"/>
      <c r="S69" s="99"/>
      <c r="T69" s="99"/>
      <c r="U69" s="67"/>
      <c r="V69" s="67"/>
      <c r="W69" s="99"/>
      <c r="X69" s="99"/>
      <c r="Y69" s="99"/>
      <c r="Z69" s="99"/>
      <c r="AA69" s="99"/>
      <c r="AB69" s="99"/>
      <c r="AC69" s="67"/>
      <c r="AD69" s="67"/>
      <c r="AE69" s="99"/>
      <c r="AF69" s="99"/>
      <c r="AG69" s="99"/>
      <c r="AH69" s="99"/>
      <c r="AI69" s="99"/>
      <c r="AJ69" s="99"/>
      <c r="AK69" s="67"/>
      <c r="AL69" s="67"/>
      <c r="AM69" s="99"/>
      <c r="AN69" s="99"/>
      <c r="AO69" s="99"/>
      <c r="AP69" s="99"/>
      <c r="AQ69" s="99"/>
      <c r="AR69" s="99"/>
      <c r="AS69" s="80"/>
      <c r="AT69" s="80"/>
      <c r="AU69" s="144"/>
      <c r="AV69" s="80"/>
      <c r="AW69" s="144"/>
      <c r="AX69" s="144"/>
      <c r="AY69" s="144"/>
      <c r="AZ69" s="144"/>
      <c r="BA69" s="80"/>
      <c r="BB69" s="80"/>
      <c r="BC69" s="144"/>
      <c r="BD69" s="80"/>
      <c r="BE69" s="144"/>
      <c r="BF69" s="144"/>
      <c r="BG69" s="144"/>
      <c r="BH69" s="144"/>
      <c r="BI69" s="80"/>
      <c r="BJ69" s="80"/>
      <c r="BK69" s="144"/>
      <c r="BL69" s="80"/>
      <c r="BM69" s="144"/>
      <c r="BN69" s="144"/>
      <c r="BO69" s="144"/>
      <c r="BP69" s="144"/>
      <c r="BQ69" s="144"/>
      <c r="BR69" s="144"/>
      <c r="BS69" s="144"/>
      <c r="BT69" s="80"/>
      <c r="BV69" s="80"/>
      <c r="BW69" s="80"/>
      <c r="BX69" s="80"/>
      <c r="CA69" s="99"/>
      <c r="CB69" s="99"/>
      <c r="CC69" s="99"/>
      <c r="CD69" s="99"/>
      <c r="CE69" s="99"/>
      <c r="CF69"/>
      <c r="CG69"/>
      <c r="CH69"/>
    </row>
    <row r="70" spans="1:91" ht="13.5" customHeight="1" thickTop="1" x14ac:dyDescent="0.2">
      <c r="C70" s="610" t="s">
        <v>152</v>
      </c>
      <c r="D70" s="611"/>
      <c r="E70" s="612"/>
      <c r="F70" s="175" t="str">
        <f>IF(NOT(AND(ISNUMBER(ffp),ISNUMBER(F14),ISNUMBER(F13))),"-",IF(MAX(AX87,BB87,BF87,BJ87,BN87,BR87)&gt;0,MAX(AX87,BB87,BF87,BJ87,BN87,BR87),"-"))</f>
        <v>-</v>
      </c>
      <c r="Q70" s="99"/>
      <c r="R70" s="99"/>
      <c r="S70" s="99"/>
      <c r="T70" s="99"/>
      <c r="U70" s="67"/>
      <c r="V70" s="67"/>
      <c r="W70" s="99"/>
      <c r="X70" s="99"/>
      <c r="Y70" s="99"/>
      <c r="Z70" s="99"/>
      <c r="AA70" s="99"/>
      <c r="AB70" s="99"/>
      <c r="AC70" s="67"/>
      <c r="AD70" s="67"/>
      <c r="AE70" s="99"/>
      <c r="AF70" s="99"/>
      <c r="AG70" s="99"/>
      <c r="AH70" s="99"/>
      <c r="AI70" s="99"/>
      <c r="AJ70" s="99"/>
      <c r="AK70" s="67"/>
      <c r="AL70" s="67"/>
      <c r="AM70" s="99"/>
      <c r="AN70" s="99"/>
      <c r="AO70" s="99"/>
      <c r="AP70" s="99"/>
      <c r="AQ70" s="99"/>
      <c r="AR70" s="99"/>
      <c r="AS70" s="80"/>
      <c r="AT70" s="80"/>
      <c r="AU70" s="144"/>
      <c r="AV70" s="80"/>
      <c r="AW70" s="144"/>
      <c r="AX70" s="144"/>
      <c r="AY70" s="144"/>
      <c r="AZ70" s="144"/>
      <c r="BA70" s="80"/>
      <c r="BB70" s="80"/>
      <c r="BC70" s="144"/>
      <c r="BD70" s="80"/>
      <c r="BE70" s="144"/>
      <c r="BF70" s="144"/>
      <c r="BG70" s="144"/>
      <c r="BH70" s="144"/>
      <c r="BI70" s="80"/>
      <c r="BJ70" s="80"/>
      <c r="BK70" s="144"/>
      <c r="BL70" s="80"/>
      <c r="BM70" s="144"/>
      <c r="BN70" s="144"/>
      <c r="BO70" s="144"/>
      <c r="BP70" s="144"/>
      <c r="BQ70" s="144"/>
      <c r="BR70" s="144"/>
      <c r="BS70" s="144"/>
      <c r="BT70" s="80"/>
      <c r="BV70" s="80"/>
      <c r="BW70" s="80"/>
      <c r="BX70" s="80"/>
      <c r="CA70" s="99"/>
      <c r="CB70" s="99"/>
      <c r="CC70" s="99"/>
      <c r="CD70" s="99"/>
      <c r="CE70" s="99"/>
      <c r="CF70"/>
      <c r="CG70"/>
      <c r="CH70"/>
    </row>
    <row r="71" spans="1:91" ht="13.5" customHeight="1" thickBot="1" x14ac:dyDescent="0.25">
      <c r="C71" s="573" t="s">
        <v>239</v>
      </c>
      <c r="D71" s="574"/>
      <c r="E71" s="575"/>
      <c r="F71" s="176" t="str">
        <f>IF(NOT(ISNUMBER(ffp)),"-",IF(F70=AX87,AX88,IF(F70=BB87,BB88,IF(F70=BF87,BF88,IF(F70=BJ87,BJ88,IF(F70=BN87,BN88,BR88))))))</f>
        <v>-</v>
      </c>
      <c r="O71" s="99"/>
      <c r="P71" s="99"/>
      <c r="Q71" s="99"/>
      <c r="R71" s="99"/>
      <c r="S71" s="67"/>
      <c r="T71" s="67"/>
      <c r="U71" s="67"/>
      <c r="V71" s="67"/>
      <c r="W71" s="99"/>
      <c r="X71" s="99"/>
      <c r="Y71" s="99"/>
      <c r="Z71" s="99"/>
      <c r="AA71" s="99"/>
      <c r="AB71" s="99"/>
      <c r="AC71" s="67"/>
      <c r="AD71" s="67"/>
      <c r="AE71" s="99"/>
      <c r="AF71" s="99"/>
      <c r="AG71" s="99"/>
      <c r="AH71" s="99"/>
      <c r="AI71" s="99"/>
      <c r="AJ71" s="99"/>
      <c r="AK71" s="67"/>
      <c r="AL71" s="67"/>
      <c r="AM71" s="99"/>
      <c r="AN71" s="99"/>
      <c r="AO71" s="99"/>
      <c r="AP71" s="99"/>
      <c r="AQ71" s="99"/>
      <c r="AR71" s="99"/>
      <c r="AS71" s="80"/>
      <c r="AT71" s="80"/>
      <c r="AU71" s="144"/>
      <c r="AV71" s="80"/>
      <c r="AW71" s="144"/>
      <c r="AX71" s="144"/>
      <c r="AY71" s="144"/>
      <c r="AZ71" s="144"/>
      <c r="BA71" s="80"/>
      <c r="BB71" s="80"/>
      <c r="BC71" s="144"/>
      <c r="BD71" s="80"/>
      <c r="BE71" s="144"/>
      <c r="BF71" s="144"/>
      <c r="BG71" s="144"/>
      <c r="BH71" s="144"/>
      <c r="BI71" s="80"/>
      <c r="BJ71" s="80"/>
      <c r="BK71" s="144"/>
      <c r="BL71" s="80"/>
      <c r="BM71" s="144"/>
      <c r="BN71" s="144"/>
      <c r="BO71" s="144"/>
      <c r="BP71" s="144"/>
      <c r="BQ71" s="144"/>
      <c r="BR71" s="144"/>
      <c r="BS71" s="144"/>
      <c r="BT71" s="80"/>
      <c r="BV71" s="80"/>
      <c r="BW71" s="80"/>
      <c r="BX71" s="80"/>
      <c r="CA71" s="99"/>
      <c r="CB71" s="99"/>
      <c r="CC71" s="99"/>
      <c r="CD71" s="99"/>
      <c r="CE71" s="99"/>
      <c r="CF71"/>
      <c r="CG71"/>
      <c r="CH71"/>
    </row>
    <row r="72" spans="1:91" ht="13.5" customHeight="1" thickTop="1" x14ac:dyDescent="0.2">
      <c r="C72" s="10" t="s">
        <v>129</v>
      </c>
      <c r="D72" s="177"/>
      <c r="E72" s="177"/>
      <c r="F72" s="177"/>
      <c r="G72" s="177"/>
      <c r="H72" s="178"/>
      <c r="I72" s="179"/>
      <c r="Q72" s="99"/>
      <c r="R72" s="99"/>
      <c r="S72" s="99"/>
      <c r="T72" s="99"/>
      <c r="U72" s="67"/>
      <c r="V72" s="67"/>
      <c r="W72" s="99"/>
      <c r="X72" s="99"/>
      <c r="Y72" s="99"/>
      <c r="Z72" s="99"/>
      <c r="AA72" s="99"/>
      <c r="AB72" s="99"/>
      <c r="AC72" s="67"/>
      <c r="AD72" s="67"/>
      <c r="AE72" s="99"/>
      <c r="AF72" s="99"/>
      <c r="AG72" s="99"/>
      <c r="AH72" s="99"/>
      <c r="AI72" s="99"/>
      <c r="AJ72" s="99"/>
      <c r="AK72" s="67"/>
      <c r="AL72" s="67"/>
      <c r="AM72" s="99"/>
      <c r="AN72" s="99"/>
      <c r="AO72" s="99"/>
      <c r="AP72" s="99"/>
      <c r="AQ72" s="99"/>
      <c r="AR72" s="99"/>
      <c r="AS72" s="99"/>
      <c r="AT72" s="99"/>
      <c r="AU72" s="143"/>
      <c r="AV72" s="99"/>
      <c r="AW72" s="143"/>
      <c r="AX72" s="143"/>
      <c r="AY72" s="143"/>
      <c r="AZ72" s="143"/>
      <c r="BA72" s="99"/>
      <c r="BD72" s="99"/>
      <c r="BG72" s="143"/>
      <c r="BH72" s="143"/>
      <c r="BI72" s="99"/>
      <c r="BL72" s="99"/>
      <c r="BO72" s="143"/>
      <c r="BP72" s="143"/>
      <c r="BR72" s="143"/>
      <c r="BT72" s="80"/>
      <c r="BV72" s="80"/>
      <c r="BW72" s="80"/>
      <c r="BX72" s="80"/>
      <c r="CA72" s="99"/>
      <c r="CB72" s="99"/>
      <c r="CC72" s="99"/>
      <c r="CD72" s="99"/>
      <c r="CE72" s="99"/>
      <c r="CF72" s="99"/>
    </row>
    <row r="73" spans="1:91" ht="13.5" customHeight="1" x14ac:dyDescent="0.2">
      <c r="H73" s="67"/>
      <c r="I73" s="67"/>
      <c r="W73" s="99"/>
      <c r="X73" s="99"/>
      <c r="Y73" s="99"/>
      <c r="Z73" s="67"/>
      <c r="AA73" s="99"/>
      <c r="AB73" s="99"/>
      <c r="AE73" s="99"/>
      <c r="AF73" s="99"/>
      <c r="AG73" s="99"/>
      <c r="AH73" s="67"/>
      <c r="AI73" s="99"/>
      <c r="AJ73" s="99"/>
      <c r="AM73" s="99"/>
      <c r="AN73" s="99"/>
      <c r="AO73" s="99"/>
      <c r="AP73" s="67"/>
      <c r="AQ73" s="99"/>
      <c r="AR73" s="99"/>
      <c r="AS73" s="99"/>
      <c r="AT73" s="99"/>
      <c r="AU73" s="99"/>
      <c r="AV73" s="99"/>
      <c r="AW73" s="99"/>
      <c r="AX73" s="99"/>
      <c r="BX73" s="80"/>
    </row>
    <row r="74" spans="1:91" s="67" customFormat="1" ht="27" customHeight="1" x14ac:dyDescent="0.2">
      <c r="A74" s="180"/>
      <c r="B74" s="181" t="s">
        <v>240</v>
      </c>
      <c r="C74" s="182"/>
      <c r="D74" s="182"/>
      <c r="E74" s="182"/>
      <c r="F74" s="182"/>
      <c r="G74" s="182"/>
      <c r="H74" s="182"/>
      <c r="I74" s="182"/>
      <c r="J74" s="182"/>
      <c r="K74" s="182"/>
      <c r="T74" s="183"/>
      <c r="U74" s="183"/>
      <c r="V74" s="99"/>
      <c r="W74"/>
      <c r="X74"/>
      <c r="Y74"/>
      <c r="AA74"/>
      <c r="AB74"/>
      <c r="AC74" s="183"/>
      <c r="AD74" s="99"/>
      <c r="AE74"/>
      <c r="AF74"/>
      <c r="AG74"/>
      <c r="AI74"/>
      <c r="AJ74"/>
      <c r="AK74" s="183"/>
      <c r="AL74" s="99"/>
      <c r="AM74"/>
      <c r="AN74"/>
      <c r="AO74"/>
      <c r="AQ74"/>
      <c r="AR74"/>
      <c r="AS74"/>
      <c r="AT74"/>
      <c r="AU74"/>
      <c r="AV74"/>
      <c r="AW74"/>
      <c r="AX74"/>
      <c r="AY74" s="99"/>
      <c r="AZ74" s="99"/>
      <c r="BA74" s="143"/>
      <c r="BB74" s="99"/>
      <c r="BC74" s="143"/>
      <c r="BD74" s="143"/>
      <c r="BE74" s="143"/>
      <c r="BF74" s="143"/>
      <c r="BG74" s="99"/>
      <c r="BH74" s="99"/>
      <c r="BI74" s="143"/>
      <c r="BJ74" s="99"/>
      <c r="BK74" s="143"/>
      <c r="BL74" s="143"/>
      <c r="BM74" s="143"/>
      <c r="BN74" s="143"/>
      <c r="BO74" s="99"/>
      <c r="BP74" s="99"/>
      <c r="BQ74" s="143"/>
      <c r="BR74" s="99"/>
      <c r="BS74" s="143"/>
      <c r="BT74" s="143"/>
      <c r="BU74" s="80"/>
      <c r="BV74" s="143"/>
      <c r="BW74" s="99"/>
      <c r="BX74" s="99"/>
      <c r="BY74" s="80"/>
      <c r="BZ74" s="80"/>
      <c r="CA74" s="80"/>
      <c r="CB74" s="80"/>
      <c r="CC74" s="80"/>
      <c r="CD74" s="80"/>
      <c r="CE74" s="80"/>
      <c r="CF74" s="80"/>
      <c r="CI74" s="99"/>
      <c r="CJ74" s="99"/>
      <c r="CK74" s="99"/>
      <c r="CL74" s="99"/>
      <c r="CM74" s="99"/>
    </row>
    <row r="75" spans="1:91" x14ac:dyDescent="0.2">
      <c r="B75" s="100"/>
      <c r="C75" s="100"/>
      <c r="T75" s="184"/>
      <c r="U75" s="184"/>
      <c r="V75" s="99"/>
      <c r="Z75" s="67"/>
      <c r="AC75" s="184"/>
      <c r="AD75" s="99"/>
      <c r="AH75" s="67"/>
      <c r="AK75" s="184"/>
      <c r="AL75" s="99"/>
      <c r="AP75" s="67"/>
      <c r="CG75"/>
      <c r="CH75"/>
      <c r="CI75" s="99"/>
      <c r="CJ75" s="99"/>
      <c r="CK75" s="99"/>
      <c r="CL75" s="99"/>
      <c r="CM75" s="99"/>
    </row>
    <row r="76" spans="1:91" x14ac:dyDescent="0.2">
      <c r="B76" s="92"/>
      <c r="C76" s="92"/>
      <c r="T76" s="177"/>
      <c r="U76" s="177"/>
      <c r="V76" s="99"/>
      <c r="Z76" s="67"/>
      <c r="AC76" s="177"/>
      <c r="AD76" s="99"/>
      <c r="AH76" s="67"/>
      <c r="AK76" s="177"/>
      <c r="AL76" s="99"/>
      <c r="AP76" s="67"/>
      <c r="CG76"/>
      <c r="CH76"/>
      <c r="CI76" s="99"/>
      <c r="CJ76" s="99"/>
      <c r="CK76" s="99"/>
      <c r="CL76" s="99"/>
      <c r="CM76" s="99"/>
    </row>
    <row r="77" spans="1:91" x14ac:dyDescent="0.2">
      <c r="B77" s="92"/>
      <c r="C77" s="92"/>
      <c r="D77" s="92"/>
      <c r="E77" s="92"/>
      <c r="F77" s="92"/>
      <c r="V77" s="99"/>
      <c r="Z77" s="67"/>
      <c r="AD77" s="99"/>
      <c r="AH77" s="67"/>
      <c r="AL77" s="99"/>
      <c r="AP77" s="67"/>
      <c r="CG77"/>
      <c r="CH77"/>
      <c r="CI77" s="99"/>
      <c r="CJ77" s="99"/>
      <c r="CK77" s="99"/>
      <c r="CL77" s="99"/>
      <c r="CM77" s="99"/>
    </row>
    <row r="78" spans="1:91" x14ac:dyDescent="0.2">
      <c r="D78" s="92"/>
      <c r="E78" s="92"/>
      <c r="F78" s="92"/>
      <c r="V78" s="99"/>
      <c r="AD78" s="99"/>
      <c r="AL78" s="99"/>
      <c r="CG78"/>
      <c r="CH78"/>
      <c r="CI78" s="99"/>
      <c r="CJ78" s="99"/>
      <c r="CK78" s="99"/>
      <c r="CL78" s="99"/>
      <c r="CM78" s="99"/>
    </row>
    <row r="79" spans="1:91" x14ac:dyDescent="0.2">
      <c r="V79" s="99"/>
      <c r="AD79" s="99"/>
      <c r="AL79" s="99"/>
      <c r="CG79"/>
      <c r="CH79"/>
      <c r="CI79" s="99"/>
      <c r="CJ79" s="99"/>
      <c r="CK79" s="99"/>
      <c r="CL79" s="99"/>
      <c r="CM79" s="99"/>
    </row>
    <row r="80" spans="1:91" x14ac:dyDescent="0.2">
      <c r="V80" s="99"/>
      <c r="AD80" s="99"/>
      <c r="AL80" s="99"/>
      <c r="CG80"/>
      <c r="CH80"/>
      <c r="CI80" s="99"/>
      <c r="CJ80" s="99"/>
      <c r="CK80" s="99"/>
      <c r="CL80" s="99"/>
      <c r="CM80" s="99"/>
    </row>
    <row r="81" spans="2:93" x14ac:dyDescent="0.2">
      <c r="V81" s="99"/>
      <c r="AD81" s="99"/>
      <c r="AL81" s="99"/>
      <c r="CH81"/>
      <c r="CI81" s="99"/>
      <c r="CJ81" s="99"/>
      <c r="CK81" s="99"/>
      <c r="CL81" s="99"/>
      <c r="CM81" s="99"/>
    </row>
    <row r="82" spans="2:93" x14ac:dyDescent="0.2">
      <c r="V82" s="185"/>
      <c r="AD82" s="185"/>
      <c r="AL82" s="185"/>
      <c r="CI82" s="99"/>
      <c r="CJ82" s="99"/>
      <c r="CK82" s="99"/>
      <c r="CL82" s="99"/>
      <c r="CM82" s="99"/>
    </row>
    <row r="83" spans="2:93" x14ac:dyDescent="0.2">
      <c r="CI83" s="99"/>
      <c r="CJ83" s="99"/>
      <c r="CK83" s="99"/>
      <c r="CL83" s="99"/>
      <c r="CM83" s="99"/>
    </row>
    <row r="84" spans="2:93" x14ac:dyDescent="0.2">
      <c r="AV84" s="79" t="str">
        <f>_xlfn.CONCAT("1回目散布から",F22,"日")</f>
        <v>1回目散布から日</v>
      </c>
      <c r="AZ84" s="79" t="str">
        <f>_xlfn.CONCAT("1回目散布の止水期間終了から",F22,"日")</f>
        <v>1回目散布の止水期間終了から日</v>
      </c>
      <c r="BD84" s="79" t="str">
        <f>_xlfn.CONCAT("2回目散布から",F22,"日")</f>
        <v>2回目散布から日</v>
      </c>
      <c r="BH84" s="79" t="str">
        <f>_xlfn.CONCAT("2回目散布の止水期間終了から",F22,"日")</f>
        <v>2回目散布の止水期間終了から日</v>
      </c>
      <c r="BL84" s="79" t="str">
        <f>_xlfn.CONCAT("3回目散布から",F22,"日")</f>
        <v>3回目散布から日</v>
      </c>
      <c r="BP84" s="79" t="str">
        <f>_xlfn.CONCAT("3回目散布の止水期間終了から",F22,"日")</f>
        <v>3回目散布の止水期間終了から日</v>
      </c>
      <c r="CI84" s="99"/>
      <c r="CJ84" s="99"/>
      <c r="CK84" s="99"/>
      <c r="CL84" s="99"/>
      <c r="CM84" s="99"/>
    </row>
    <row r="85" spans="2:93" x14ac:dyDescent="0.2">
      <c r="AT85" s="186"/>
      <c r="AV85" s="44" t="s">
        <v>241</v>
      </c>
      <c r="AW85" s="87" t="s">
        <v>242</v>
      </c>
      <c r="AX85" s="187" t="str">
        <f>IF(ISNUMBER($F$22),VLOOKUP($F$22-1,$U$100:$AX$250,28),"-")</f>
        <v>-</v>
      </c>
      <c r="AZ85" s="44" t="s">
        <v>241</v>
      </c>
      <c r="BA85" s="87" t="s">
        <v>242</v>
      </c>
      <c r="BB85" s="187" t="str">
        <f>IFERROR(VLOOKUP($F$22+$F$21-1,$U$100:$BB$250,32),"-")</f>
        <v>-</v>
      </c>
      <c r="BD85" s="44" t="s">
        <v>241</v>
      </c>
      <c r="BE85" s="87" t="s">
        <v>242</v>
      </c>
      <c r="BF85" s="187" t="str">
        <f>IF(ISNUMBER($F$22),VLOOKUP($F$22-1+$F$16,$U$100:$BF$250,36),"-")</f>
        <v>-</v>
      </c>
      <c r="BH85" s="44" t="s">
        <v>241</v>
      </c>
      <c r="BI85" s="87" t="s">
        <v>242</v>
      </c>
      <c r="BJ85" s="187" t="str">
        <f>IFERROR(VLOOKUP($F$22+$F$21-1+$F$16,$U$100:$BJ$250,40),"-")</f>
        <v>-</v>
      </c>
      <c r="BL85" s="44" t="s">
        <v>241</v>
      </c>
      <c r="BM85" s="87" t="s">
        <v>242</v>
      </c>
      <c r="BN85" s="187" t="str">
        <f>IF(ISNUMBER($F$22),VLOOKUP($F$22-1+$F$17,$U$100:$BN$250,44),"-")</f>
        <v>-</v>
      </c>
      <c r="BP85" s="44" t="s">
        <v>241</v>
      </c>
      <c r="BQ85" s="87" t="s">
        <v>242</v>
      </c>
      <c r="BR85" s="187" t="str">
        <f>IFERROR(VLOOKUP($F$22+$F$21-1+$F$17,$U$100:$BR$250,48),"-")</f>
        <v>-</v>
      </c>
      <c r="CI85" s="99"/>
      <c r="CJ85" s="99"/>
      <c r="CK85" s="99"/>
      <c r="CL85" s="99"/>
      <c r="CM85" s="99"/>
    </row>
    <row r="86" spans="2:93" x14ac:dyDescent="0.2">
      <c r="AV86" s="44" t="s">
        <v>243</v>
      </c>
      <c r="AW86" s="188" t="s">
        <v>244</v>
      </c>
      <c r="AX86" s="187" t="str">
        <f xml:space="preserve"> IF(ISNUMBER($F$22),VLOOKUP($F$22-1,$U$100:$AX$250,29),"-")</f>
        <v>-</v>
      </c>
      <c r="AZ86" s="44" t="s">
        <v>243</v>
      </c>
      <c r="BA86" s="188" t="s">
        <v>244</v>
      </c>
      <c r="BB86" s="187" t="str">
        <f>IFERROR(VLOOKUP($F$22+$F$21-1,$U$100:$BB$250,33),"-")</f>
        <v>-</v>
      </c>
      <c r="BD86" s="44" t="s">
        <v>243</v>
      </c>
      <c r="BE86" s="188" t="s">
        <v>244</v>
      </c>
      <c r="BF86" s="187" t="str">
        <f>IF(ISNUMBER($F$22),VLOOKUP($F$22-1+$F$16,$U$100:$BF$250,37),"-")</f>
        <v>-</v>
      </c>
      <c r="BH86" s="44" t="s">
        <v>243</v>
      </c>
      <c r="BI86" s="188" t="s">
        <v>244</v>
      </c>
      <c r="BJ86" s="187" t="str">
        <f>IFERROR(VLOOKUP($F$22+$F$21-1+$F$16,$U$100:$BJ$250,41),"-")</f>
        <v>-</v>
      </c>
      <c r="BL86" s="44" t="s">
        <v>243</v>
      </c>
      <c r="BM86" s="188" t="s">
        <v>244</v>
      </c>
      <c r="BN86" s="187" t="str">
        <f>IF(ISNUMBER($F$22),VLOOKUP($F$22-1+$F$17,$U$100:$BN$250,45),"-")</f>
        <v>-</v>
      </c>
      <c r="BP86" s="44" t="s">
        <v>243</v>
      </c>
      <c r="BQ86" s="188" t="s">
        <v>244</v>
      </c>
      <c r="BR86" s="187" t="str">
        <f>IFERROR(VLOOKUP($F$22+$F$21-1+$F$17,$U$100:$BR$250,49),"-")</f>
        <v>-</v>
      </c>
      <c r="CI86" s="99"/>
      <c r="CJ86" s="99"/>
      <c r="CK86" s="99"/>
      <c r="CL86" s="99"/>
      <c r="CM86" s="99"/>
    </row>
    <row r="87" spans="2:93" x14ac:dyDescent="0.2">
      <c r="AV87" s="27" t="s">
        <v>152</v>
      </c>
      <c r="AW87" s="27"/>
      <c r="AX87" s="189" t="str">
        <f>IF(ISNUMBER($F$22),VLOOKUP($F$22-1,$U$100:$AX$250,30),"-")</f>
        <v>-</v>
      </c>
      <c r="AZ87" s="27" t="s">
        <v>152</v>
      </c>
      <c r="BA87" s="27"/>
      <c r="BB87" s="189" t="str">
        <f>IFERROR(VLOOKUP($F$22+$F$21-1,$U$100:$BB$250,34),"-")</f>
        <v>-</v>
      </c>
      <c r="BD87" s="27" t="s">
        <v>152</v>
      </c>
      <c r="BE87" s="27"/>
      <c r="BF87" s="189" t="str">
        <f>IF(ISNUMBER($F$22),VLOOKUP($F$22-1+$F$16,$U$100:$BF$250,38),"-")</f>
        <v>-</v>
      </c>
      <c r="BH87" s="27" t="s">
        <v>152</v>
      </c>
      <c r="BI87" s="27"/>
      <c r="BJ87" s="189" t="str">
        <f>IFERROR(VLOOKUP($F$22+$F$21-1+$F$16,$U$100:$BJ$250,42),"-")</f>
        <v>-</v>
      </c>
      <c r="BL87" s="27" t="s">
        <v>152</v>
      </c>
      <c r="BM87" s="27"/>
      <c r="BN87" s="189" t="str">
        <f>IF(ISNUMBER($F$22),VLOOKUP($F$22-1+$F$17,$U$100:$BN$250,46),"-")</f>
        <v>-</v>
      </c>
      <c r="BP87" s="27" t="s">
        <v>152</v>
      </c>
      <c r="BQ87" s="27"/>
      <c r="BR87" s="189" t="str">
        <f>IFERROR(VLOOKUP($F$22+$F$21-1+$F$17,$U$100:$BR$250,50),"-")</f>
        <v>-</v>
      </c>
      <c r="CI87" s="99"/>
      <c r="CJ87" s="99"/>
      <c r="CK87" s="99"/>
      <c r="CL87" s="99"/>
      <c r="CM87" s="99"/>
    </row>
    <row r="88" spans="2:93" x14ac:dyDescent="0.2">
      <c r="AV88" s="27" t="s">
        <v>245</v>
      </c>
      <c r="AW88" s="27"/>
      <c r="AX88" s="23" t="str">
        <f>IF(ISNUMBER(AX87),IF(ISBLANK(ffp),"-",IF(k=0,"分解を考慮せず",AX87*EXP(-0.17*k))),"-")</f>
        <v>-</v>
      </c>
      <c r="AZ88" s="27" t="s">
        <v>245</v>
      </c>
      <c r="BA88" s="27"/>
      <c r="BB88" s="23" t="str">
        <f>IFERROR(IF(ISBLANK(ffp),"-",IF(k=0,"分解を考慮せず",BB87*EXP(-0.17*k))),"-")</f>
        <v>分解を考慮せず</v>
      </c>
      <c r="BD88" s="27" t="s">
        <v>245</v>
      </c>
      <c r="BE88" s="27"/>
      <c r="BF88" s="23" t="str">
        <f>IF(ISNUMBER(BF87),IF(ISBLANK(ffp),"-",IF(k=0,"分解を考慮せず",BF87*EXP(-0.17*k))),"-")</f>
        <v>-</v>
      </c>
      <c r="BH88" s="27" t="s">
        <v>245</v>
      </c>
      <c r="BI88" s="27"/>
      <c r="BJ88" s="23" t="str">
        <f>IF(ISNUMBER(BJ87),IF(ISBLANK(ffp),"-",IF(k=0,"分解を考慮せず",BJ87*EXP(-0.17*k))),"-")</f>
        <v>-</v>
      </c>
      <c r="BL88" s="27" t="s">
        <v>245</v>
      </c>
      <c r="BM88" s="27"/>
      <c r="BN88" s="23" t="str">
        <f>IF(ISNUMBER(BN87),IF(ISBLANK(ffp),"-",IF(k=0,"分解を考慮せず",BN87*EXP(-0.17*k))),"-")</f>
        <v>-</v>
      </c>
      <c r="BP88" s="27" t="s">
        <v>245</v>
      </c>
      <c r="BQ88" s="27"/>
      <c r="BR88" s="23" t="str">
        <f>IF(ISNUMBER(BR87),IF(ISBLANK(ffp),"-",IF(k=0,"分解を考慮せず",BR87*EXP(-0.17*k))),"-")</f>
        <v>-</v>
      </c>
      <c r="CI88" s="99"/>
      <c r="CJ88" s="99"/>
      <c r="CK88" s="99"/>
      <c r="CL88" s="99"/>
      <c r="CM88" s="99"/>
    </row>
    <row r="89" spans="2:93" x14ac:dyDescent="0.2">
      <c r="AV89" s="79"/>
      <c r="AW89" s="99"/>
      <c r="AX89" s="143"/>
      <c r="AZ89" s="79"/>
      <c r="BB89" s="143"/>
      <c r="BD89" s="79"/>
      <c r="BE89" s="99"/>
      <c r="BH89" s="79"/>
      <c r="BJ89" s="143"/>
      <c r="BL89" s="79"/>
      <c r="BM89" s="99"/>
      <c r="BP89" s="79"/>
      <c r="BR89" s="143"/>
      <c r="BT89" s="99"/>
      <c r="BU89" s="99"/>
      <c r="BV89" s="80"/>
      <c r="BW89" s="80"/>
      <c r="BX89" s="80"/>
      <c r="CD89" s="99"/>
      <c r="CE89" s="99"/>
      <c r="CF89" s="99"/>
      <c r="CI89" s="99"/>
      <c r="CJ89" s="99"/>
    </row>
    <row r="90" spans="2:93" x14ac:dyDescent="0.2">
      <c r="AV90" s="99"/>
      <c r="AW90" s="99"/>
      <c r="AX90" s="143"/>
      <c r="BB90" s="143"/>
      <c r="BD90" s="99"/>
      <c r="BE90" s="99"/>
      <c r="BJ90" s="143"/>
      <c r="BL90" s="99"/>
      <c r="BM90" s="99"/>
      <c r="BR90" s="143"/>
      <c r="BT90" s="99"/>
      <c r="BU90" s="99"/>
      <c r="BV90" s="80"/>
      <c r="BW90" s="80"/>
      <c r="BX90" s="80"/>
      <c r="CD90" s="99"/>
      <c r="CE90" s="99"/>
      <c r="CF90" s="99"/>
      <c r="CI90" s="99"/>
      <c r="CJ90" s="99"/>
    </row>
    <row r="91" spans="2:93" x14ac:dyDescent="0.2">
      <c r="AV91" s="21"/>
      <c r="AX91" s="190"/>
      <c r="AY91"/>
      <c r="AZ91" s="21"/>
      <c r="BB91" s="190"/>
      <c r="BD91" s="21"/>
      <c r="BF91" s="190"/>
      <c r="BG91"/>
      <c r="BH91" s="21"/>
      <c r="BJ91" s="190"/>
      <c r="BL91" s="21"/>
      <c r="BN91" s="190"/>
      <c r="BO91"/>
      <c r="BP91" s="21"/>
      <c r="BR91" s="190"/>
      <c r="BT91" s="99"/>
      <c r="BU91" s="99"/>
      <c r="BV91" s="80"/>
      <c r="BW91" s="80"/>
      <c r="BX91" s="80"/>
      <c r="CD91" s="99"/>
      <c r="CE91" s="99"/>
      <c r="CF91" s="99"/>
      <c r="CI91" s="99"/>
      <c r="CJ91" s="99"/>
    </row>
    <row r="92" spans="2:93" x14ac:dyDescent="0.2">
      <c r="AV92" s="21"/>
      <c r="AX92" s="191"/>
      <c r="AY92"/>
      <c r="AZ92" s="21"/>
      <c r="BB92" s="191"/>
      <c r="BD92" s="21"/>
      <c r="BF92" s="191"/>
      <c r="BG92"/>
      <c r="BH92" s="21"/>
      <c r="BJ92" s="191"/>
      <c r="BL92" s="21"/>
      <c r="BN92" s="191"/>
      <c r="BO92"/>
      <c r="BP92" s="21"/>
      <c r="BR92" s="191"/>
      <c r="BT92" s="99"/>
      <c r="BU92" s="99"/>
      <c r="BV92" s="80"/>
      <c r="BW92" s="80"/>
      <c r="BX92" s="80"/>
      <c r="CD92" s="99"/>
      <c r="CE92" s="99"/>
      <c r="CF92" s="99"/>
      <c r="CI92" s="99"/>
      <c r="CJ92" s="99"/>
    </row>
    <row r="93" spans="2:93" ht="13.5" thickBot="1" x14ac:dyDescent="0.25">
      <c r="B93" s="605"/>
      <c r="C93" s="605"/>
      <c r="D93" s="192"/>
      <c r="E93" s="99"/>
      <c r="F93" s="99"/>
      <c r="G93" s="99"/>
      <c r="H93" s="99"/>
      <c r="I93" s="99"/>
      <c r="J93" s="99"/>
      <c r="K93" s="99"/>
      <c r="L93" s="99"/>
      <c r="M93" s="99"/>
      <c r="N93" s="99"/>
      <c r="O93" s="99"/>
      <c r="P93" s="99"/>
      <c r="Q93" s="99"/>
      <c r="R93" s="99"/>
      <c r="S93" s="99"/>
      <c r="T93" s="99"/>
      <c r="AV93" s="21"/>
      <c r="AX93" s="190"/>
      <c r="AY93"/>
      <c r="AZ93" s="193"/>
      <c r="BB93" s="190"/>
      <c r="BC93" s="190"/>
      <c r="BD93" s="21"/>
      <c r="BF93" s="190"/>
      <c r="BG93"/>
      <c r="BH93" s="193"/>
      <c r="BJ93" s="190"/>
      <c r="BK93" s="190"/>
      <c r="BL93" s="21"/>
      <c r="BN93" s="190"/>
      <c r="BO93"/>
      <c r="BP93" s="193"/>
      <c r="BR93" s="190"/>
      <c r="BS93" s="190"/>
      <c r="BT93"/>
      <c r="BU93"/>
      <c r="BV93" s="80"/>
      <c r="BW93" s="80" t="s">
        <v>246</v>
      </c>
      <c r="BX93" s="80"/>
      <c r="CD93" s="99"/>
      <c r="CE93" s="99"/>
      <c r="CF93" s="99"/>
      <c r="CI93" s="99"/>
      <c r="CJ93" s="99"/>
    </row>
    <row r="94" spans="2:93" ht="27" customHeight="1" thickTop="1" x14ac:dyDescent="0.2">
      <c r="B94" s="599"/>
      <c r="C94" s="600"/>
      <c r="D94" s="601"/>
      <c r="E94" s="599" t="s">
        <v>247</v>
      </c>
      <c r="F94" s="600"/>
      <c r="G94" s="600"/>
      <c r="H94" s="599" t="s">
        <v>248</v>
      </c>
      <c r="I94" s="600"/>
      <c r="J94" s="600"/>
      <c r="K94" s="599" t="s">
        <v>249</v>
      </c>
      <c r="L94" s="600"/>
      <c r="M94" s="600"/>
      <c r="N94" s="599" t="s">
        <v>250</v>
      </c>
      <c r="O94" s="600"/>
      <c r="P94" s="600"/>
      <c r="Q94" s="599" t="s">
        <v>251</v>
      </c>
      <c r="R94" s="600"/>
      <c r="S94" s="600"/>
      <c r="T94" s="602" t="s">
        <v>252</v>
      </c>
      <c r="U94" s="194"/>
      <c r="V94" s="194"/>
      <c r="W94" s="194"/>
      <c r="X94" s="194"/>
      <c r="Y94" s="194"/>
      <c r="Z94" s="194"/>
      <c r="AA94" s="194"/>
      <c r="AB94" s="194"/>
      <c r="AC94" s="194"/>
      <c r="AD94" s="194"/>
      <c r="AE94" s="194"/>
      <c r="AF94" s="194"/>
      <c r="AG94" s="194"/>
      <c r="AH94" s="194"/>
      <c r="AI94" s="194"/>
      <c r="AJ94" s="194"/>
      <c r="AK94" s="194"/>
      <c r="AL94" s="194"/>
      <c r="AM94" s="194"/>
      <c r="AN94" s="194"/>
      <c r="AO94" s="194"/>
      <c r="AP94" s="194"/>
      <c r="AQ94" s="194"/>
      <c r="AR94" s="194"/>
      <c r="AS94" s="194"/>
      <c r="AT94" s="194"/>
      <c r="AU94" s="194"/>
      <c r="AV94" s="145"/>
      <c r="AX94" s="195"/>
      <c r="AY94"/>
      <c r="AZ94" s="196"/>
      <c r="BB94" s="195"/>
      <c r="BC94" s="190"/>
      <c r="BD94" s="145"/>
      <c r="BF94" s="195"/>
      <c r="BG94"/>
      <c r="BH94" s="196"/>
      <c r="BJ94" s="195"/>
      <c r="BK94" s="190"/>
      <c r="BL94" s="145"/>
      <c r="BN94" s="195"/>
      <c r="BO94"/>
      <c r="BP94" s="196"/>
      <c r="BR94" s="195"/>
      <c r="BS94" s="190"/>
      <c r="BT94"/>
      <c r="BU94" s="581" t="s">
        <v>253</v>
      </c>
      <c r="BV94" s="582"/>
      <c r="BW94" s="582"/>
      <c r="BX94" s="582"/>
      <c r="BY94" s="583"/>
      <c r="BZ94"/>
      <c r="CA94" s="199">
        <v>21</v>
      </c>
      <c r="CB94" s="200"/>
      <c r="CC94" s="201"/>
      <c r="CD94" s="197"/>
      <c r="CE94" s="199" t="str">
        <f>F22</f>
        <v/>
      </c>
      <c r="CF94" s="200"/>
      <c r="CG94" s="201"/>
      <c r="CH94" s="198"/>
      <c r="CI94" s="99"/>
      <c r="CJ94" s="99"/>
      <c r="CK94" s="99"/>
      <c r="CL94" s="99"/>
      <c r="CM94" s="99"/>
      <c r="CN94" s="99"/>
      <c r="CO94" s="99"/>
    </row>
    <row r="95" spans="2:93" ht="13.5" customHeight="1" x14ac:dyDescent="0.2">
      <c r="B95" s="584" t="s">
        <v>254</v>
      </c>
      <c r="C95" s="587" t="s">
        <v>255</v>
      </c>
      <c r="D95" s="590" t="s">
        <v>256</v>
      </c>
      <c r="E95" s="593" t="s">
        <v>257</v>
      </c>
      <c r="F95" s="596" t="s">
        <v>258</v>
      </c>
      <c r="G95" s="596" t="s">
        <v>259</v>
      </c>
      <c r="H95" s="593" t="s">
        <v>257</v>
      </c>
      <c r="I95" s="596" t="s">
        <v>258</v>
      </c>
      <c r="J95" s="596" t="s">
        <v>259</v>
      </c>
      <c r="K95" s="593" t="s">
        <v>257</v>
      </c>
      <c r="L95" s="596" t="s">
        <v>258</v>
      </c>
      <c r="M95" s="596" t="s">
        <v>259</v>
      </c>
      <c r="N95" s="593" t="s">
        <v>257</v>
      </c>
      <c r="O95" s="596" t="s">
        <v>258</v>
      </c>
      <c r="P95" s="596" t="s">
        <v>259</v>
      </c>
      <c r="Q95" s="593" t="s">
        <v>257</v>
      </c>
      <c r="R95" s="596" t="s">
        <v>258</v>
      </c>
      <c r="S95" s="613" t="s">
        <v>259</v>
      </c>
      <c r="T95" s="603"/>
      <c r="U95" s="194"/>
      <c r="V95" s="194"/>
      <c r="W95" s="194"/>
      <c r="X95" s="194"/>
      <c r="Y95" s="194"/>
      <c r="Z95" s="194"/>
      <c r="AA95" s="194"/>
      <c r="AB95" s="194"/>
      <c r="AC95" s="194"/>
      <c r="AD95" s="194"/>
      <c r="AE95" s="194"/>
      <c r="AF95" s="194"/>
      <c r="AG95" s="194"/>
      <c r="AH95" s="194"/>
      <c r="AI95" s="194"/>
      <c r="AJ95" s="194"/>
      <c r="AK95" s="194"/>
      <c r="AL95" s="194"/>
      <c r="AM95" s="194"/>
      <c r="AN95" s="194"/>
      <c r="AO95" s="194"/>
      <c r="AP95" s="194"/>
      <c r="AQ95" s="194"/>
      <c r="AR95" s="194"/>
      <c r="AS95" s="194"/>
      <c r="AT95" s="194"/>
      <c r="AU95" s="194"/>
      <c r="AV95" s="99"/>
      <c r="AW95" s="99"/>
      <c r="AX95" s="143"/>
      <c r="AZ95" s="143"/>
      <c r="BB95" s="143"/>
      <c r="BC95" s="190"/>
      <c r="BD95" s="99"/>
      <c r="BE95" s="99"/>
      <c r="BH95" s="143"/>
      <c r="BJ95" s="143"/>
      <c r="BK95" s="190"/>
      <c r="BL95" s="99"/>
      <c r="BM95" s="99"/>
      <c r="BP95" s="143"/>
      <c r="BR95" s="143"/>
      <c r="BS95" s="190"/>
      <c r="BT95"/>
      <c r="BU95" s="204" t="s">
        <v>260</v>
      </c>
      <c r="BV95" s="203" t="s">
        <v>261</v>
      </c>
      <c r="BW95" s="31" t="s">
        <v>262</v>
      </c>
      <c r="BX95" s="31" t="s">
        <v>263</v>
      </c>
      <c r="BY95" s="205" t="s">
        <v>264</v>
      </c>
      <c r="BZ95"/>
      <c r="CA95" s="206" t="s">
        <v>265</v>
      </c>
      <c r="CB95" s="71" t="s">
        <v>266</v>
      </c>
      <c r="CC95" s="71"/>
      <c r="CD95" s="207"/>
      <c r="CE95" s="206" t="s">
        <v>265</v>
      </c>
      <c r="CF95" s="71" t="s">
        <v>266</v>
      </c>
      <c r="CG95" s="71"/>
      <c r="CH95" s="207"/>
      <c r="CI95" s="99"/>
      <c r="CJ95" s="99"/>
      <c r="CK95" s="99"/>
      <c r="CL95" s="99"/>
      <c r="CM95" s="99"/>
      <c r="CN95" s="99"/>
      <c r="CO95" s="99"/>
    </row>
    <row r="96" spans="2:93" ht="13.5" customHeight="1" x14ac:dyDescent="0.2">
      <c r="B96" s="585"/>
      <c r="C96" s="588"/>
      <c r="D96" s="591"/>
      <c r="E96" s="594"/>
      <c r="F96" s="597"/>
      <c r="G96" s="597"/>
      <c r="H96" s="594"/>
      <c r="I96" s="597"/>
      <c r="J96" s="597"/>
      <c r="K96" s="594"/>
      <c r="L96" s="597"/>
      <c r="M96" s="597"/>
      <c r="N96" s="594"/>
      <c r="O96" s="597"/>
      <c r="P96" s="597"/>
      <c r="Q96" s="594"/>
      <c r="R96" s="597"/>
      <c r="S96" s="614"/>
      <c r="T96" s="603"/>
      <c r="U96" s="194"/>
      <c r="V96" s="194"/>
      <c r="W96" s="194"/>
      <c r="X96" s="194"/>
      <c r="Y96" s="194"/>
      <c r="Z96" s="194"/>
      <c r="AA96" s="194"/>
      <c r="AB96" s="194"/>
      <c r="AC96" s="194"/>
      <c r="AD96" s="194"/>
      <c r="AE96" s="194"/>
      <c r="AF96" s="194"/>
      <c r="AG96" s="194"/>
      <c r="AH96" s="194"/>
      <c r="AI96" s="194"/>
      <c r="AJ96" s="194"/>
      <c r="AK96" s="194"/>
      <c r="AL96" s="194"/>
      <c r="AM96" s="194"/>
      <c r="AN96" s="194"/>
      <c r="AO96" s="194"/>
      <c r="AP96" s="194"/>
      <c r="AQ96" s="194"/>
      <c r="AR96" s="194"/>
      <c r="AS96" s="194"/>
      <c r="AT96" s="194"/>
      <c r="AU96" s="194"/>
      <c r="AV96" s="99"/>
      <c r="AW96" s="99"/>
      <c r="AX96" s="143"/>
      <c r="AZ96" s="143"/>
      <c r="BB96" s="143"/>
      <c r="BC96" s="191"/>
      <c r="BD96" s="99"/>
      <c r="BE96" s="99"/>
      <c r="BH96" s="143"/>
      <c r="BJ96" s="143"/>
      <c r="BK96" s="191"/>
      <c r="BL96" s="99"/>
      <c r="BM96" s="99"/>
      <c r="BP96" s="143"/>
      <c r="BR96" s="143"/>
      <c r="BS96" s="191"/>
      <c r="BT96"/>
      <c r="BU96" s="210"/>
      <c r="BV96" s="208"/>
      <c r="BW96" s="24"/>
      <c r="BX96" s="24"/>
      <c r="BY96" s="209"/>
      <c r="BZ96"/>
      <c r="CA96" s="206" t="str">
        <f>IF(CB96&gt;0,VLOOKUP(CB96,CB100:CC250,2,FALSE),"-")</f>
        <v>-</v>
      </c>
      <c r="CB96" s="71">
        <f>MAX(CB100:CB250)</f>
        <v>0</v>
      </c>
      <c r="CC96" s="71"/>
      <c r="CD96" s="207"/>
      <c r="CE96" s="206" t="str">
        <f ca="1">IF(CF96&gt;0,VLOOKUP(CF96,CF100:CG250,2,FALSE),"-")</f>
        <v>-</v>
      </c>
      <c r="CF96" s="71">
        <f ca="1">MAX(CF100:CF250)</f>
        <v>0</v>
      </c>
      <c r="CG96" s="71"/>
      <c r="CH96" s="207"/>
      <c r="CI96" s="99"/>
      <c r="CJ96" s="99"/>
      <c r="CK96" s="99"/>
      <c r="CL96" s="99"/>
      <c r="CM96" s="99"/>
      <c r="CN96" s="99"/>
      <c r="CO96" s="99"/>
    </row>
    <row r="97" spans="2:93" ht="13.5" customHeight="1" x14ac:dyDescent="0.2">
      <c r="B97" s="585"/>
      <c r="C97" s="588"/>
      <c r="D97" s="591"/>
      <c r="E97" s="594"/>
      <c r="F97" s="597"/>
      <c r="G97" s="597"/>
      <c r="H97" s="594"/>
      <c r="I97" s="597"/>
      <c r="J97" s="597"/>
      <c r="K97" s="594"/>
      <c r="L97" s="597"/>
      <c r="M97" s="597"/>
      <c r="N97" s="594"/>
      <c r="O97" s="597"/>
      <c r="P97" s="597"/>
      <c r="Q97" s="594"/>
      <c r="R97" s="597"/>
      <c r="S97" s="614"/>
      <c r="T97" s="603"/>
      <c r="U97" s="194"/>
      <c r="V97" s="194"/>
      <c r="W97" s="194"/>
      <c r="X97" s="194"/>
      <c r="Y97" s="194"/>
      <c r="Z97" s="194"/>
      <c r="AA97" s="194" t="s">
        <v>267</v>
      </c>
      <c r="AB97" s="194" t="s">
        <v>268</v>
      </c>
      <c r="AC97" s="194"/>
      <c r="AD97" s="194"/>
      <c r="AE97" s="194"/>
      <c r="AF97" s="194"/>
      <c r="AG97" s="194"/>
      <c r="AH97" s="194"/>
      <c r="AI97" s="194" t="s">
        <v>267</v>
      </c>
      <c r="AJ97" s="194" t="s">
        <v>268</v>
      </c>
      <c r="AK97" s="194"/>
      <c r="AL97" s="194"/>
      <c r="AM97" s="194"/>
      <c r="AN97" s="194"/>
      <c r="AO97" s="194"/>
      <c r="AP97" s="194"/>
      <c r="AQ97" s="194" t="s">
        <v>267</v>
      </c>
      <c r="AR97" s="194" t="s">
        <v>268</v>
      </c>
      <c r="AS97" s="194"/>
      <c r="AT97" s="194"/>
      <c r="AU97" s="194"/>
      <c r="AV97" s="605" t="s">
        <v>269</v>
      </c>
      <c r="AW97" s="605" t="s">
        <v>270</v>
      </c>
      <c r="AX97" s="605" t="s">
        <v>271</v>
      </c>
      <c r="AY97"/>
      <c r="AZ97" s="605" t="s">
        <v>272</v>
      </c>
      <c r="BA97" s="605" t="s">
        <v>273</v>
      </c>
      <c r="BB97" s="605" t="s">
        <v>274</v>
      </c>
      <c r="BC97" s="190"/>
      <c r="BD97" s="605" t="s">
        <v>269</v>
      </c>
      <c r="BE97" s="605" t="s">
        <v>270</v>
      </c>
      <c r="BF97" s="605" t="s">
        <v>271</v>
      </c>
      <c r="BG97"/>
      <c r="BH97" s="605" t="s">
        <v>272</v>
      </c>
      <c r="BI97" s="605" t="s">
        <v>273</v>
      </c>
      <c r="BJ97" s="605" t="s">
        <v>274</v>
      </c>
      <c r="BK97" s="190"/>
      <c r="BL97" s="605" t="s">
        <v>269</v>
      </c>
      <c r="BM97" s="605" t="s">
        <v>270</v>
      </c>
      <c r="BN97" s="605" t="s">
        <v>271</v>
      </c>
      <c r="BO97"/>
      <c r="BP97" s="605" t="s">
        <v>272</v>
      </c>
      <c r="BQ97" s="605" t="s">
        <v>273</v>
      </c>
      <c r="BR97" s="605" t="s">
        <v>274</v>
      </c>
      <c r="BS97" s="190"/>
      <c r="BT97"/>
      <c r="BU97" s="210"/>
      <c r="BV97" s="208"/>
      <c r="BW97" s="24"/>
      <c r="BX97" s="24"/>
      <c r="BY97" s="209"/>
      <c r="BZ97"/>
      <c r="CA97" s="211" t="str">
        <f>CA96</f>
        <v>-</v>
      </c>
      <c r="CB97" s="212">
        <f>IF(ISNUMBER(CB96),ROUND(CB96,IF($I$66="",4,$I$66)),"-")</f>
        <v>0</v>
      </c>
      <c r="CC97" s="212"/>
      <c r="CD97" s="213"/>
      <c r="CE97" s="211" t="str">
        <f ca="1">CE96</f>
        <v>-</v>
      </c>
      <c r="CF97" s="212">
        <f ca="1">IF(ISNUMBER(CF96),ROUND(CF96,IF($I$66="",4,$I$66)),"-")</f>
        <v>0</v>
      </c>
      <c r="CG97" s="212"/>
      <c r="CH97" s="213"/>
      <c r="CI97" s="99"/>
      <c r="CJ97" s="99"/>
      <c r="CK97" s="99"/>
      <c r="CL97" s="99"/>
      <c r="CM97" s="99"/>
      <c r="CN97" s="99"/>
      <c r="CO97" s="99"/>
    </row>
    <row r="98" spans="2:93" ht="13.5" customHeight="1" x14ac:dyDescent="0.2">
      <c r="B98" s="585"/>
      <c r="C98" s="588"/>
      <c r="D98" s="591"/>
      <c r="E98" s="594"/>
      <c r="F98" s="597"/>
      <c r="G98" s="597"/>
      <c r="H98" s="594"/>
      <c r="I98" s="597"/>
      <c r="J98" s="597"/>
      <c r="K98" s="594"/>
      <c r="L98" s="597"/>
      <c r="M98" s="597"/>
      <c r="N98" s="594"/>
      <c r="O98" s="597"/>
      <c r="P98" s="597"/>
      <c r="Q98" s="594"/>
      <c r="R98" s="597"/>
      <c r="S98" s="614"/>
      <c r="T98" s="603"/>
      <c r="U98" s="214" t="s">
        <v>275</v>
      </c>
      <c r="V98" s="214" t="s">
        <v>276</v>
      </c>
      <c r="W98" s="214" t="s">
        <v>277</v>
      </c>
      <c r="X98" s="214" t="s">
        <v>278</v>
      </c>
      <c r="Y98" s="214" t="s">
        <v>279</v>
      </c>
      <c r="Z98" s="214" t="s">
        <v>280</v>
      </c>
      <c r="AA98" s="214" t="s">
        <v>281</v>
      </c>
      <c r="AB98" s="214" t="s">
        <v>281</v>
      </c>
      <c r="AC98" s="215" t="s">
        <v>275</v>
      </c>
      <c r="AD98" s="215" t="s">
        <v>276</v>
      </c>
      <c r="AE98" s="215" t="s">
        <v>277</v>
      </c>
      <c r="AF98" s="215" t="s">
        <v>278</v>
      </c>
      <c r="AG98" s="215" t="s">
        <v>279</v>
      </c>
      <c r="AH98" s="215" t="s">
        <v>280</v>
      </c>
      <c r="AI98" s="215" t="s">
        <v>281</v>
      </c>
      <c r="AJ98" s="215" t="s">
        <v>281</v>
      </c>
      <c r="AK98" s="216" t="s">
        <v>275</v>
      </c>
      <c r="AL98" s="216" t="s">
        <v>276</v>
      </c>
      <c r="AM98" s="216" t="s">
        <v>277</v>
      </c>
      <c r="AN98" s="216" t="s">
        <v>278</v>
      </c>
      <c r="AO98" s="216" t="s">
        <v>279</v>
      </c>
      <c r="AP98" s="216" t="s">
        <v>280</v>
      </c>
      <c r="AQ98" s="216" t="s">
        <v>281</v>
      </c>
      <c r="AR98" s="216" t="s">
        <v>281</v>
      </c>
      <c r="AS98" s="194" t="s">
        <v>282</v>
      </c>
      <c r="AT98" s="194" t="s">
        <v>283</v>
      </c>
      <c r="AU98" s="194" t="s">
        <v>284</v>
      </c>
      <c r="AV98" s="605"/>
      <c r="AW98" s="605"/>
      <c r="AX98" s="605"/>
      <c r="AY98"/>
      <c r="AZ98" s="605"/>
      <c r="BA98" s="605"/>
      <c r="BB98" s="605"/>
      <c r="BC98" s="190"/>
      <c r="BD98" s="605"/>
      <c r="BE98" s="605"/>
      <c r="BF98" s="605"/>
      <c r="BG98"/>
      <c r="BH98" s="605"/>
      <c r="BI98" s="605"/>
      <c r="BJ98" s="605"/>
      <c r="BK98" s="190"/>
      <c r="BL98" s="605"/>
      <c r="BM98" s="605"/>
      <c r="BN98" s="605"/>
      <c r="BO98"/>
      <c r="BP98" s="605"/>
      <c r="BQ98" s="605"/>
      <c r="BR98" s="605"/>
      <c r="BS98" s="190"/>
      <c r="BT98"/>
      <c r="BU98" s="210"/>
      <c r="BV98" s="208"/>
      <c r="BW98" s="24"/>
      <c r="BX98" s="24"/>
      <c r="BY98" s="209"/>
      <c r="BZ98"/>
      <c r="CA98" s="206"/>
      <c r="CB98" s="71"/>
      <c r="CC98" s="71"/>
      <c r="CD98" s="207"/>
      <c r="CE98" s="206"/>
      <c r="CF98" s="71"/>
      <c r="CG98" s="71"/>
      <c r="CH98" s="207"/>
      <c r="CI98" s="99"/>
      <c r="CJ98" s="99"/>
      <c r="CK98" s="99"/>
      <c r="CL98" s="99"/>
      <c r="CM98" s="99"/>
      <c r="CN98" s="99"/>
      <c r="CO98" s="99"/>
    </row>
    <row r="99" spans="2:93" ht="13.5" customHeight="1" thickBot="1" x14ac:dyDescent="0.25">
      <c r="B99" s="586"/>
      <c r="C99" s="589"/>
      <c r="D99" s="592"/>
      <c r="E99" s="595"/>
      <c r="F99" s="598"/>
      <c r="G99" s="598"/>
      <c r="H99" s="595"/>
      <c r="I99" s="598"/>
      <c r="J99" s="598"/>
      <c r="K99" s="595"/>
      <c r="L99" s="598"/>
      <c r="M99" s="598"/>
      <c r="N99" s="595"/>
      <c r="O99" s="598"/>
      <c r="P99" s="598"/>
      <c r="Q99" s="595"/>
      <c r="R99" s="598"/>
      <c r="S99" s="615"/>
      <c r="T99" s="604"/>
      <c r="U99" s="219"/>
      <c r="V99" s="220" t="str">
        <f>IF(ISNUMBER($F$14),IF(B99&lt;($F$16-$F$15)*$F$14,INT(B99/($F$16-$F$15))+1,V97),"-")</f>
        <v>-</v>
      </c>
      <c r="W99" s="221">
        <v>0</v>
      </c>
      <c r="X99" s="221">
        <v>0</v>
      </c>
      <c r="Y99" s="221">
        <f>W99-X99</f>
        <v>0</v>
      </c>
      <c r="Z99" s="219"/>
      <c r="AA99" s="219"/>
      <c r="AB99" s="219"/>
      <c r="AC99" s="222"/>
      <c r="AD99" s="223" t="str">
        <f>IFERROR(IF($F$14-1&gt;0,IF(B99&lt;($F$16-$F$15)*($F$14-1),INT(B99/($F$16-$F$15))+1,AD97),"-"),"-")</f>
        <v>-</v>
      </c>
      <c r="AE99" s="224">
        <v>0</v>
      </c>
      <c r="AF99" s="224">
        <v>0</v>
      </c>
      <c r="AG99" s="224">
        <f>AE99-AF99</f>
        <v>0</v>
      </c>
      <c r="AH99" s="222"/>
      <c r="AI99" s="222"/>
      <c r="AJ99" s="222"/>
      <c r="AK99" s="225"/>
      <c r="AL99" s="226" t="str">
        <f>IFERROR(IF($F$14-2&gt;0,IF(B99&lt;($F$16-$F$15)*($F$14-2),INT(B99/($F$16-$F$15))+1,AL97),"-"),"-")</f>
        <v>-</v>
      </c>
      <c r="AM99" s="227">
        <v>0</v>
      </c>
      <c r="AN99" s="227">
        <v>0</v>
      </c>
      <c r="AO99" s="227">
        <f>AM99-AN99</f>
        <v>0</v>
      </c>
      <c r="AP99" s="225"/>
      <c r="AQ99" s="225"/>
      <c r="AR99" s="225"/>
      <c r="AV99" s="228"/>
      <c r="AX99" s="190"/>
      <c r="AY99"/>
      <c r="AZ99" s="190"/>
      <c r="BA99" s="190"/>
      <c r="BB99" s="190"/>
      <c r="BC99" s="190"/>
      <c r="BD99" s="228"/>
      <c r="BE99"/>
      <c r="BF99" s="190"/>
      <c r="BG99"/>
      <c r="BH99" s="190"/>
      <c r="BI99" s="190"/>
      <c r="BJ99" s="190"/>
      <c r="BK99" s="190"/>
      <c r="BL99" s="228"/>
      <c r="BM99"/>
      <c r="BN99" s="190"/>
      <c r="BO99"/>
      <c r="BP99" s="190"/>
      <c r="BQ99" s="190"/>
      <c r="BR99" s="190"/>
      <c r="BS99" s="190"/>
      <c r="BT99"/>
      <c r="BU99" s="229"/>
      <c r="BV99" s="217"/>
      <c r="BW99" s="230"/>
      <c r="BX99" s="230"/>
      <c r="BY99" s="218"/>
      <c r="BZ99"/>
      <c r="CA99" s="231" t="s">
        <v>285</v>
      </c>
      <c r="CB99" s="232" t="s">
        <v>286</v>
      </c>
      <c r="CC99" s="233" t="s">
        <v>287</v>
      </c>
      <c r="CD99" s="234" t="s">
        <v>288</v>
      </c>
      <c r="CE99" s="231" t="s">
        <v>285</v>
      </c>
      <c r="CF99" s="232" t="s">
        <v>286</v>
      </c>
      <c r="CG99" s="233" t="s">
        <v>287</v>
      </c>
      <c r="CH99" s="234" t="s">
        <v>288</v>
      </c>
      <c r="CI99" s="99"/>
      <c r="CJ99" s="99"/>
      <c r="CK99" s="99"/>
      <c r="CL99" s="99"/>
      <c r="CM99" s="99"/>
      <c r="CN99" s="99"/>
      <c r="CO99" s="99"/>
    </row>
    <row r="100" spans="2:93" ht="13.5" customHeight="1" thickTop="1" x14ac:dyDescent="0.2">
      <c r="B100" s="235">
        <v>0</v>
      </c>
      <c r="C100" s="236" t="str">
        <f t="shared" ref="C100:C163" si="1">IF(ISERROR(VLOOKUP(B100,$B$39:$C$73,2,0)),"",VLOOKUP(B100,$B$39:$C$73,2,0))</f>
        <v/>
      </c>
      <c r="D100" s="237" t="str">
        <f>IF(ISNUMBER(C100),C100,"-")</f>
        <v>-</v>
      </c>
      <c r="E100" s="238" t="str">
        <f>IF(ISNUMBER($F$14),IF(ISNUMBER(AA100),AA100,""),"")</f>
        <v/>
      </c>
      <c r="F100" s="239" t="str">
        <f>IF(OR($F$14=2,$F$14=3),IF(($F$16-$F$15)&gt;B100," ",VLOOKUP((B100-($F$16-$F$15)),$AC$100:$AI$250,7,FALSE)),"")</f>
        <v/>
      </c>
      <c r="G100" s="239" t="str">
        <f>IF($F$14=3,IF(($F$16-$F$15)*2&gt;B100," ",VLOOKUP((B100-($F$16-$F$15)*2),$AK$100:$AQ$250,7,FALSE)),"")</f>
        <v/>
      </c>
      <c r="H100" s="240" t="str">
        <f>IF(E100&lt;&gt;"",IF($B100&lt;$F$21,"",IF(ISNUMBER(F100),IF(ISNUMBER(I100),(E100*30*50*ffp),""),(E100*30*50*ffp))),"")</f>
        <v/>
      </c>
      <c r="I100" s="241" t="str">
        <f t="shared" ref="I100:I131" si="2">IFERROR(IF(F100&lt;&gt;"",IF($B100&lt;$F$21+$F$16,"",IF(ISNUMBER(G100),IF(ISNUMBER(J100),(F100*30*50*ffp),""),(F100*30*50*ffp))),""),"")</f>
        <v/>
      </c>
      <c r="J100" s="241" t="str">
        <f t="shared" ref="J100:J131" si="3">IFERROR(IF(G100&lt;&gt;"",IF($B100&lt;$F$21+$F$17,"",(G100*30*50*ffp)),""),"")</f>
        <v/>
      </c>
      <c r="K100" s="242" t="str">
        <f t="shared" ref="K100:K131" si="4">IF(E100&lt;&gt;"",((E100*20*50*ffp)/Klevee),"")</f>
        <v/>
      </c>
      <c r="L100" s="241" t="str">
        <f t="shared" ref="L100:L131" si="5">IF(ISNUMBER(F100),((F100*20*50*ffp)/Klevee),"")</f>
        <v/>
      </c>
      <c r="M100" s="241" t="str">
        <f t="shared" ref="M100:M131" si="6">IF(ISNUMBER(G100),((G100*20*50*ffp)/Klevee),"")</f>
        <v/>
      </c>
      <c r="N100" s="242" t="str">
        <f t="shared" ref="N100:N131" si="7">IF(AND(ISNUMBER(I),ISNUMBER($F$14),ISNUMBER($F$20)),IF($B100=0,I*($J$40/100)*$J$42*1,""),"-")</f>
        <v>-</v>
      </c>
      <c r="O100" s="241" t="str">
        <f t="shared" ref="O100:O131" si="8">IF(ISNUMBER($F$14),IF($F$14&gt;1,IF($B100=0+$F$16,I*($J$40/100)*$J$42*1,""),""),"-")</f>
        <v>-</v>
      </c>
      <c r="P100" s="241" t="str">
        <f t="shared" ref="P100:P131" si="9">IF(ISNUMBER($F$14),IF($F$14&gt;2,IF($B100=0+$F$17,I*($J$40/100)*$J$42*1,""),""),"-")</f>
        <v>-</v>
      </c>
      <c r="Q100" s="243" t="str">
        <f t="shared" ref="Q100:Q131" si="10">IF(AND(ISNUMBER(I),ISNUMBER($F$14),ISNUMBER($F$20)),IF($B100=0,I*(dt/100)*$J$45*1,""),"-")</f>
        <v>-</v>
      </c>
      <c r="R100" s="244" t="str">
        <f t="shared" ref="R100:R131" si="11">IF(ISNUMBER($F$14),IF($F$14&gt;1,IF($B100=0+$F$16,I*(dt/100)*$J$45*1,""),""),"-")</f>
        <v>-</v>
      </c>
      <c r="S100" s="245" t="str">
        <f t="shared" ref="S100:S131" si="12">IF(ISNUMBER($F$14),IF($F$14&gt;2,IF($B100=0+$F$17,I*(dt/100)*$J$45*1,""),""),"-")</f>
        <v>-</v>
      </c>
      <c r="T100" s="246" t="str">
        <f t="shared" ref="T100:T163" si="13">IF(SUM(H100:S100)=0,"",SUM(H100:S100))</f>
        <v/>
      </c>
      <c r="U100" s="247">
        <f t="shared" ref="U100:U163" si="14">B100</f>
        <v>0</v>
      </c>
      <c r="V100" s="248" t="str">
        <f>IF(ISNUMBER($F$14),IF(B100&lt;($F$16-$F$15)*$F$14,INT(B100/($F$16-$F$15))+1,V98),"-")</f>
        <v>-</v>
      </c>
      <c r="W100" s="247" t="str">
        <f>IF(ISNUMBER($F$14),IF(B100&lt;$F$14*($F$16-$F$15),B100-INT(B100/($F$16-$F$15))*($F$16-$F$15)+1,W99+1),"-")</f>
        <v>-</v>
      </c>
      <c r="X100" s="247" t="str">
        <f t="shared" ref="X100:X163" si="15">IFERROR(IF($F$21=0,0,IF(V100=V99,IF(B100-(V100-1)*($F$16-$F$15)&lt;$F$21,X99+1,X99),1)),"-")</f>
        <v>-</v>
      </c>
      <c r="Y100" s="247" t="str">
        <f t="shared" ref="Y100:Y163" si="16">IFERROR(W100-X100,"-")</f>
        <v>-</v>
      </c>
      <c r="Z100" s="249">
        <f>IF(Y100&gt;0,0.1,0.04)</f>
        <v>0.1</v>
      </c>
      <c r="AA100" s="250" t="str">
        <f>IFERROR(IF(V99=1,D100*EXP(-(0.04*X99+0.1*Y99)),IF(V99=2,D100*EXP(-(0.04*($F$21+X99)+0.1*(($F$16-$F$15)-$F$21+Y99))),D100*EXP(-(0.04*($F$21*2+X99)+0.1*((($F$16-$F$15)-$F$21)*2-Y99))))),"-")</f>
        <v>-</v>
      </c>
      <c r="AB100" s="250" t="str">
        <f t="shared" ref="AB100:AB114" si="17">IFERROR(IF(V100=1,D100*EXP(-(0.04*X100+0.1*Y100)),IF(V100=2,D100*EXP(-(0.04*($F$21+X100)+0.1*(($F$16-$F$15)-$F$21+Y100))),D100*EXP(-(0.04*($F$21*2+X100)+0.1*((($F$16-$F$15)-$F$21)*2-Y100))))),"-")</f>
        <v>-</v>
      </c>
      <c r="AC100" s="247">
        <f>B100</f>
        <v>0</v>
      </c>
      <c r="AD100" s="248" t="str">
        <f t="shared" ref="AD100:AD163" si="18">IFERROR(IF($F$14-1&gt;0,IF(B100&lt;($F$16-$F$15)*($F$14-1),INT(B100/($F$16-$F$15))+1,AD98),"-"),"-")</f>
        <v>-</v>
      </c>
      <c r="AE100" s="247" t="str">
        <f>IFERROR(IF($F$14-1&gt;0,IF(B100&lt;($F$14-1)*($F$16-$F$15),B100-INT(B100/($F$16-$F$15))*($F$16-$F$15)+1,AE99+1),"-"),"-")</f>
        <v>-</v>
      </c>
      <c r="AF100" s="247" t="str">
        <f t="shared" ref="AF100:AF163" si="19">IFERROR(IF($F$21=0,0,IF(AD100=AD99,IF(B100-(AD100-1)*($F$16-$F$15)&lt;$F$21,AF99+1,AF99),1)),"-")</f>
        <v>-</v>
      </c>
      <c r="AG100" s="247" t="str">
        <f t="shared" ref="AG100:AG163" si="20">IFERROR(AE100-AF100,"-")</f>
        <v>-</v>
      </c>
      <c r="AH100" s="249">
        <f>IF(AG100&gt;0,0.1,0.04)</f>
        <v>0.1</v>
      </c>
      <c r="AI100" s="250" t="str">
        <f t="shared" ref="AI100:AI114" si="21">IFERROR(IF(AD99=1,D100*EXP(-(0.04*AF99+0.1*AG99)),IF(AD99=2,D100*EXP(-(0.04*($F$21+AF99)+0.1*(($F$16-$F$15)-$F$21+AG99))),D100*EXP(-(0.04*($F$21*2+AF99)+0.1*((($F$16-$F$15)-$F$21)*2-AG99))))),"-")</f>
        <v>-</v>
      </c>
      <c r="AJ100" s="250" t="str">
        <f>IFERROR(IF(AD100=1,D100*EXP(-(0.04*AF100+0.1*AG100)),IF(AD100=2,D100*EXP(-(0.04*($F$21+AF100)+0.1*(($F$16-$F$15)-$F$21+AG100))),D100*EXP(-(0.04*($F$21*2+AF100)+0.1*((($F$16-$F$15)-$F$21)*2-AG100))))),"-")</f>
        <v>-</v>
      </c>
      <c r="AK100" s="247">
        <f>B100</f>
        <v>0</v>
      </c>
      <c r="AL100" s="248" t="str">
        <f t="shared" ref="AL100:AL163" si="22">IFERROR(IF($F$14-2&gt;0,IF(B100&lt;($F$16-$F$15)*($F$14-2),INT(B100/($F$16-$F$15))+1,AL98),"-"),"-")</f>
        <v>-</v>
      </c>
      <c r="AM100" s="247" t="str">
        <f>IFERROR(IF($F$14-2&gt;0,IF(B100&lt;($F$14-2)*($F$16-$F$15),B100-INT(B100/($F$16-$F$15))*($F$16-$F$15)+1,AM99+1),"-"),"-")</f>
        <v>-</v>
      </c>
      <c r="AN100" s="247" t="str">
        <f>IFERROR(IF($F$21=0,0,IF(AL100=AL99,IF(B100-(AL100-1)*($F$16-$F$15)&lt;$F$21,AN99+1,AN99),1)),"-")</f>
        <v>-</v>
      </c>
      <c r="AO100" s="247" t="str">
        <f t="shared" ref="AO100:AO163" si="23">IFERROR(AM100-AN100,"-")</f>
        <v>-</v>
      </c>
      <c r="AP100" s="249">
        <f>IF(AO100&gt;0,0.1,0.04)</f>
        <v>0.1</v>
      </c>
      <c r="AQ100" s="250" t="str">
        <f>IFERROR(IF(AL99=1,D100*EXP(-(0.04*AN99+0.1*AO99)),IF(AL99=2,D100*EXP(-(0.04*($F$21+AN99)+0.1*(($F$16-$F$15)-$F$21+AO99))),D100*EXP(-(0.04*($F$21*2+AN99)+0.1*((($F$16-$F$15)-$F$21)*2-AO99))))),"-")</f>
        <v>-</v>
      </c>
      <c r="AR100" s="250" t="str">
        <f>IFERROR(IF(AL100=1,D100*EXP(-(0.04*AN100+0.1*AO100)),IF(AL100=2,D100*EXP(-(0.04*($F$21+AN100)+0.1*(($F$16-$F$15)-$F$21+AO100))),D100*EXP(-(0.04*($F$21*2+AN100)+0.1*((($F$16-$F$15)-$F$21)*2-AO100))))),"-")</f>
        <v>-</v>
      </c>
      <c r="AS100" s="250">
        <f t="shared" ref="AS100:AS163" si="24">SUM(H100:J100)</f>
        <v>0</v>
      </c>
      <c r="AT100" s="250">
        <f t="shared" ref="AT100:AT163" si="25">SUM(K100:M100)</f>
        <v>0</v>
      </c>
      <c r="AU100" s="250">
        <f t="shared" ref="AU100:AU163" si="26">SUM(N100:S100)</f>
        <v>0</v>
      </c>
      <c r="AV100" s="251">
        <f>IF($B100&lt;$F$22,SUM($T$100:$T100),"")</f>
        <v>0</v>
      </c>
      <c r="AW100" s="251" t="str">
        <f>IF(ISNUMBER(Koc),IF(ISNUMBER(AV100),AV100*(Koc*(Ocse/100)*Pse*Vse)/(Koc*(Ocse/100)*Pse*Vse+1*86400*($B100+1)),""),"-")</f>
        <v>-</v>
      </c>
      <c r="AX100" s="251" t="str">
        <f>IF(ISNUMBER(AW100),IF(ISNUMBER(AV100),(AV100-AW100)/(3*86400*($B100+1))*1000,""),"")</f>
        <v/>
      </c>
      <c r="AY100" s="252"/>
      <c r="AZ100" s="251" t="str">
        <f ca="1">IF(ISNUMBER(OFFSET(AV100,-$F$21,0)),SUM(OFFSET($T$100,$F$21,0):$T100),"")</f>
        <v/>
      </c>
      <c r="BA100" s="251" t="str">
        <f t="shared" ref="BA100:BA131" ca="1" si="27">IF(ISNUMBER(OFFSET(AV100,-$F$21,0)),AZ100*(Koc*(Ocse/100)*Pse*Vse)/(Koc*(Ocse/100)*Pse*Vse+1*86400*($B100+1)),"")</f>
        <v/>
      </c>
      <c r="BB100" s="251" t="str">
        <f ca="1">IF(ISNUMBER(AZ100),(AZ100-BA100)/(3*86400*(OFFSET($B100,-$F$21,0)+1))*1000,"")</f>
        <v/>
      </c>
      <c r="BC100" s="253"/>
      <c r="BD100" s="251" t="str">
        <f ca="1">IFERROR(IF(AND($B100&gt;=($F$16-$F$15),$B100&lt;$F$22+($F$16-$F$15)),SUM(OFFSET($T$100,($F$16-$F$15),0):$T100),""),"")</f>
        <v/>
      </c>
      <c r="BE100" s="251" t="str">
        <f ca="1">IF(ISNUMBER(BD100),BD100*(Koc*(Ocse/100)*Pse*Vse)/(Koc*(Ocse/100)*Pse*Vse+1*86400*($B100+1)),"")</f>
        <v/>
      </c>
      <c r="BF100" s="251" t="str">
        <f ca="1">IF(ISNUMBER(BD100),(BD100-BE100)/(3*86400*($B100-($F$16-$F$15)+1))*1000,"")</f>
        <v/>
      </c>
      <c r="BG100" s="252"/>
      <c r="BH100" s="253" t="str">
        <f ca="1">IF(ISNUMBER(OFFSET(BD100,-$F$21,0)),SUM(OFFSET($T$100,($F$16-$F$15+$F$21),0):$T100),"")</f>
        <v/>
      </c>
      <c r="BI100" s="253" t="str">
        <f t="shared" ref="BI100:BI131" ca="1" si="28">IF(ISNUMBER(OFFSET(BD100,-$F$21,0)),BH100*(Koc*(Ocse/100)*Pse*Vse)/(Koc*(Ocse/100)*Pse*Vse+1*86400*($B100+1)),"")</f>
        <v/>
      </c>
      <c r="BJ100" s="253" t="str">
        <f ca="1">IF(ISNUMBER(BH100),(BH100-BI100)/(3*86400*((OFFSET($B100,-$F$21,0)-($F$16-$F$15)+1)))*1000,"")</f>
        <v/>
      </c>
      <c r="BK100" s="253"/>
      <c r="BL100" s="251" t="str">
        <f ca="1">IFERROR(IF(AND($B100&gt;=($F$17-$F$15),$B100&lt;$F$22+($F$17-$F$15)),SUM(OFFSET($T$100,($F$17-$F$15),0):$T100),""),"")</f>
        <v/>
      </c>
      <c r="BM100" s="251" t="str">
        <f t="shared" ref="BM100:BM131" ca="1" si="29">IF(ISNUMBER(BL100),BL100*(Koc*(Ocse/100)*Pse*Vse)/(Koc*(Ocse/100)*Pse*Vse+1*86400*($B100+1)),"")</f>
        <v/>
      </c>
      <c r="BN100" s="251" t="str">
        <f ca="1">IF(ISNUMBER(BL100),(BL100-BM100)/(3*86400*($B100-($F$17-$F$15)+1))*1000,"")</f>
        <v/>
      </c>
      <c r="BO100" s="252"/>
      <c r="BP100" s="251" t="str">
        <f ca="1">IF(ISNUMBER(OFFSET(BL100,-$F$21,0)),SUM(OFFSET($T$100,($F$17-$F$15+$F$21),0):$T100),"")</f>
        <v/>
      </c>
      <c r="BQ100" s="251" t="str">
        <f ca="1">IF(ISNUMBER(OFFSET(BL100,-$F$21,0)),BP100*(Koc*(Ocse/100)*Pse*Vse)/(Koc*(Ocse/100)*Pse*Vse+1*86400*($B100+1)),"")</f>
        <v/>
      </c>
      <c r="BR100" s="251" t="str">
        <f ca="1">IF(ISNUMBER(BP100),(BP100-BQ100)/(3*86400*(OFFSET($B100,-$F$21,0)-($F$17-$F$15)+1))*1000,"")</f>
        <v/>
      </c>
      <c r="BS100" s="253"/>
      <c r="BT100"/>
      <c r="BU100" s="254" t="str">
        <f>IF(B39&lt;&gt;"",B39,"")</f>
        <v/>
      </c>
      <c r="BV100" s="255">
        <v>0</v>
      </c>
      <c r="BW100" s="256"/>
      <c r="BX100" s="256"/>
      <c r="BY100" s="257"/>
      <c r="BZ100"/>
      <c r="CA100" s="258" t="str">
        <f t="shared" ref="CA100:CA131" si="30">IFERROR(IF($B100&lt;$CA$94,T100*(Koc*(Ocse/100)*Pse*Vse)/(Koc*(Ocse/100)*Pse*Vse+1*86400*$CA$94),""),"-")</f>
        <v>-</v>
      </c>
      <c r="CB100" s="33" t="str">
        <f t="shared" ref="CB100:CB163" si="31">IF(ISNUMBER(T100),IF($B100&lt;$CA$94,(T100-CA100)/(3*86400)*1000,""),"-")</f>
        <v>-</v>
      </c>
      <c r="CC100" s="33" t="str">
        <f t="shared" ref="CC100:CC120" si="32">$B100&amp;"-"&amp;$B100+1</f>
        <v>0-1</v>
      </c>
      <c r="CD100" s="259" t="str">
        <f t="shared" ref="CD100:CD163" si="33">IF(CC100=CA$96,CB$96,"")</f>
        <v/>
      </c>
      <c r="CE100" s="260" t="str">
        <f t="shared" ref="CE100:CE131" si="34">IFERROR(IF($B100&lt;$CE$94,T100*(Koc*(Ocse/100)*Pse*Vse)/(Koc*(Ocse/100)*Pse*Vse+1*86400*$CE$94),""),"-")</f>
        <v>-</v>
      </c>
      <c r="CF100" s="33" t="str">
        <f t="shared" ref="CF100:CF131" ca="1" si="35">IFERROR(IF($B100&lt;$CE$94,IF(NOT(ISNUMBER(ffp)),"-",IF($F$70=$AX$87,AX100,IF($F$70=$BB$87,OFFSET(BB100,$F$21,0),IF($F$70=$BF$87,OFFSET(BF100,$F$16,0),IF($F$70=$BJ$87,OFFSET(BJ100,$F$16+$F$21,0),IF($F$70=$BN$87,OFFSET(BN100,$F$17,0),OFFSET(BR100,$F$17+$F$21,0))))))),""),"-")</f>
        <v>-</v>
      </c>
      <c r="CG100" s="33" t="str">
        <f t="shared" ref="CG100:CG163" si="36">IF($B100&lt;$CE$94,$B100&amp;"-"&amp;$B100+1,"")</f>
        <v>0-1</v>
      </c>
      <c r="CH100" s="261" t="str">
        <f t="shared" ref="CH100:CH163" ca="1" si="37">IF(CG100=CE$96,CF$96,"")</f>
        <v/>
      </c>
      <c r="CI100" s="99"/>
      <c r="CJ100" s="99"/>
      <c r="CK100" s="99"/>
      <c r="CL100" s="99"/>
      <c r="CM100" s="99"/>
      <c r="CN100" s="99"/>
      <c r="CO100" s="99"/>
    </row>
    <row r="101" spans="2:93" ht="13.5" customHeight="1" x14ac:dyDescent="0.2">
      <c r="B101" s="262">
        <v>1</v>
      </c>
      <c r="C101" s="236" t="str">
        <f t="shared" si="1"/>
        <v/>
      </c>
      <c r="D101" s="237" t="str">
        <f>IFERROR(IF(B101&lt;$F$22,IF(ISNUMBER($D$65),IF(MAX($BU$101:$BU$120)&lt;B101, "", IF(B101=VLOOKUP(B101, $BU$101:$BU$120,1,1), C101,D100-INDEX($BY$101:$BY$120, MATCH(VLOOKUP(B101, $BU$101:$BU$120,1,1), $BU$101:$BU$120)+1, 1))),D100-VLOOKUP(MAX($BU$101:$BU$120),$BU$101:$BY$120,5)),""),"-")</f>
        <v>-</v>
      </c>
      <c r="E101" s="263" t="str">
        <f t="shared" ref="E101:E164" si="38">IF(ISNUMBER($F$14),IF(ISNUMBER(AA101),AA101,""),"")</f>
        <v/>
      </c>
      <c r="F101" s="264" t="str">
        <f t="shared" ref="F101:F164" si="39">IF(OR($F$14=2,$F$14=3),IF(($F$16-$F$15)&gt;B101," ",VLOOKUP((B101-($F$16-$F$15)),$AC$100:$AI$250,7,FALSE)),"")</f>
        <v/>
      </c>
      <c r="G101" s="264" t="str">
        <f t="shared" ref="G101:G164" si="40">IF($F$14=3,IF(($F$16-$F$15)*2&gt;B101," ",VLOOKUP((B101-($F$16-$F$15)*2),$AK$100:$AQ$250,7,FALSE)),"")</f>
        <v/>
      </c>
      <c r="H101" s="240" t="str">
        <f t="shared" ref="H101:H131" si="41">IF(E101&lt;&gt;"",IF($B101&lt;$F$21,"",IF(ISNUMBER(F101),IF(ISNUMBER(I101),(E101*30*50*ffp),""),(E101*30*50*ffp))),"")</f>
        <v/>
      </c>
      <c r="I101" s="265" t="str">
        <f t="shared" si="2"/>
        <v/>
      </c>
      <c r="J101" s="265" t="str">
        <f t="shared" si="3"/>
        <v/>
      </c>
      <c r="K101" s="240" t="str">
        <f t="shared" si="4"/>
        <v/>
      </c>
      <c r="L101" s="265" t="str">
        <f t="shared" si="5"/>
        <v/>
      </c>
      <c r="M101" s="265" t="str">
        <f t="shared" si="6"/>
        <v/>
      </c>
      <c r="N101" s="240" t="str">
        <f t="shared" si="7"/>
        <v>-</v>
      </c>
      <c r="O101" s="265" t="str">
        <f t="shared" si="8"/>
        <v>-</v>
      </c>
      <c r="P101" s="265" t="str">
        <f t="shared" si="9"/>
        <v>-</v>
      </c>
      <c r="Q101" s="266" t="str">
        <f t="shared" si="10"/>
        <v>-</v>
      </c>
      <c r="R101" s="267" t="str">
        <f t="shared" si="11"/>
        <v>-</v>
      </c>
      <c r="S101" s="268" t="str">
        <f t="shared" si="12"/>
        <v>-</v>
      </c>
      <c r="T101" s="269" t="str">
        <f t="shared" si="13"/>
        <v/>
      </c>
      <c r="U101" s="221">
        <f t="shared" si="14"/>
        <v>1</v>
      </c>
      <c r="V101" s="220" t="str">
        <f t="shared" ref="V101:V164" si="42">IF(ISNUMBER($F$14),IF(B101&lt;($F$16-$F$15)*$F$14,INT(B101/($F$16-$F$15))+1,V99),"-")</f>
        <v>-</v>
      </c>
      <c r="W101" s="221" t="str">
        <f t="shared" ref="W101:W164" si="43">IF(ISNUMBER($F$14),IF(B101&lt;$F$14*($F$16-$F$15),B101-INT(B101/($F$16-$F$15))*($F$16-$F$15)+1,W100+1),"-")</f>
        <v>-</v>
      </c>
      <c r="X101" s="221" t="str">
        <f t="shared" si="15"/>
        <v>-</v>
      </c>
      <c r="Y101" s="221" t="str">
        <f t="shared" si="16"/>
        <v>-</v>
      </c>
      <c r="Z101" s="270">
        <f t="shared" ref="Z101:Z164" si="44">IF(Y101&gt;0,0.1,0.04)</f>
        <v>0.1</v>
      </c>
      <c r="AA101" s="271" t="str">
        <f t="shared" ref="AA101:AA114" si="45">IFERROR(IF(V100=1,D101*EXP(-(0.04*X100+0.1*Y100)),IF(V100=2,D101*EXP(-(0.04*($F$21+X100)+0.1*(($F$16-$F$15)-$F$21+Y100))),D101*EXP(-(0.04*($F$21*2+X100)+0.1*((($F$16-$F$15)-$F$21)*2-Y100))))),"-")</f>
        <v>-</v>
      </c>
      <c r="AB101" s="271" t="str">
        <f t="shared" si="17"/>
        <v>-</v>
      </c>
      <c r="AC101" s="224">
        <f t="shared" ref="AC101:AC164" si="46">B101</f>
        <v>1</v>
      </c>
      <c r="AD101" s="223" t="str">
        <f t="shared" si="18"/>
        <v>-</v>
      </c>
      <c r="AE101" s="224" t="str">
        <f t="shared" ref="AE101:AE164" si="47">IFERROR(IF($F$14-1&gt;0,IF(B101&lt;($F$14-1)*($F$16-$F$15),B101-INT(B101/($F$16-$F$15))*($F$16-$F$15)+1,AE100+1),"-"),"-")</f>
        <v>-</v>
      </c>
      <c r="AF101" s="224" t="str">
        <f t="shared" si="19"/>
        <v>-</v>
      </c>
      <c r="AG101" s="224" t="str">
        <f t="shared" si="20"/>
        <v>-</v>
      </c>
      <c r="AH101" s="272">
        <f t="shared" ref="AH101:AH164" si="48">IF(AG101&gt;0,0.1,0.04)</f>
        <v>0.1</v>
      </c>
      <c r="AI101" s="271" t="str">
        <f t="shared" si="21"/>
        <v>-</v>
      </c>
      <c r="AJ101" s="271" t="str">
        <f t="shared" ref="AJ101:AJ112" si="49">IFERROR(IF(AD101=1,D101*EXP(-(0.04*AF101+0.1*AG101)),IF(AD101=2,D101*EXP(-(0.04*($F$21+AF101)+0.1*(($F$16-$F$15)-$F$21+AG101))),D101*EXP(-(0.04*($F$21*2+AF101)+0.1*((($F$16-$F$15)-$F$21)*2-AG101))))),"-")</f>
        <v>-</v>
      </c>
      <c r="AK101" s="227">
        <f t="shared" ref="AK101:AK164" si="50">B101</f>
        <v>1</v>
      </c>
      <c r="AL101" s="226" t="str">
        <f t="shared" si="22"/>
        <v>-</v>
      </c>
      <c r="AM101" s="227" t="str">
        <f t="shared" ref="AM101:AM164" si="51">IFERROR(IF($F$14-2&gt;0,IF(B101&lt;($F$14-2)*($F$16-$F$15),B101-INT(B101/($F$16-$F$15))*($F$16-$F$15)+1,AM100+1),"-"),"-")</f>
        <v>-</v>
      </c>
      <c r="AN101" s="227" t="str">
        <f t="shared" ref="AN101:AN164" si="52">IFERROR(IF($F$21=0,0,IF(AL101=AL100,IF(B101-(AL101-1)*($F$16-$F$15)&lt;$F$21,AN100+1,AN100),1)),"-")</f>
        <v>-</v>
      </c>
      <c r="AO101" s="227" t="str">
        <f t="shared" si="23"/>
        <v>-</v>
      </c>
      <c r="AP101" s="273">
        <f t="shared" ref="AP101:AP164" si="53">IF(AO101&gt;0,0.1,0.04)</f>
        <v>0.1</v>
      </c>
      <c r="AQ101" s="271" t="str">
        <f t="shared" ref="AQ101:AQ113" si="54">IFERROR(IF(AL100=1,D101*EXP(-(0.04*AN100+0.1*AO100)),IF(AL100=2,D101*EXP(-(0.04*($F$21+AN100)+0.1*(($F$16-$F$15)-$F$21+AO100))),D101*EXP(-(0.04*($F$21*2+AN100)+0.1*((($F$16-$F$15)-$F$21)*2-AO100))))),"-")</f>
        <v>-</v>
      </c>
      <c r="AR101" s="271" t="str">
        <f t="shared" ref="AR101:AR113" si="55">IFERROR(IF(AL101=1,D101*EXP(-(0.04*AN101+0.1*AO101)),IF(AL101=2,D101*EXP(-(0.04*($F$21+AN101)+0.1*(($F$16-$F$15)-$F$21+AO101))),D101*EXP(-(0.04*($F$21*2+AN101)+0.1*((($F$16-$F$15)-$F$21)*2-AO101))))),"-")</f>
        <v>-</v>
      </c>
      <c r="AS101" s="274">
        <f t="shared" si="24"/>
        <v>0</v>
      </c>
      <c r="AT101" s="274">
        <f t="shared" si="25"/>
        <v>0</v>
      </c>
      <c r="AU101" s="274">
        <f t="shared" si="26"/>
        <v>0</v>
      </c>
      <c r="AV101" s="275">
        <f>IF($B101&lt;$F$22,SUM($T$100:$T101),"")</f>
        <v>0</v>
      </c>
      <c r="AW101" s="275" t="str">
        <f t="shared" ref="AW101:AW131" si="56">IF(ISNUMBER(Koc),IF(ISNUMBER(AV101),AV101*(Koc*(Ocse/100)*Pse*Vse)/(Koc*(Ocse/100)*Pse*Vse+1*86400*($B101+1)),""),"-")</f>
        <v>-</v>
      </c>
      <c r="AX101" s="275" t="str">
        <f t="shared" ref="AX101:AX164" si="57">IF(ISNUMBER(AW101),IF(ISNUMBER(AV101),(AV101-AW101)/(3*86400*($B101+1))*1000,""),"")</f>
        <v/>
      </c>
      <c r="AY101"/>
      <c r="AZ101" s="275" t="str">
        <f ca="1">IF(ISNUMBER(OFFSET(AV101,-$F$21,0)),SUM(OFFSET($T$100,$F$21,0):$T101),"")</f>
        <v/>
      </c>
      <c r="BA101" s="275" t="str">
        <f t="shared" ca="1" si="27"/>
        <v/>
      </c>
      <c r="BB101" s="275" t="str">
        <f t="shared" ref="BB101:BB119" ca="1" si="58">IF(ISNUMBER(AZ101),(AZ101-BA101)/(3*86400*(OFFSET($B101,-$F$21,0)+1))*1000,"")</f>
        <v/>
      </c>
      <c r="BC101" s="190"/>
      <c r="BD101" s="275" t="str">
        <f ca="1">IFERROR(IF(AND($B101&gt;=($F$16-$F$15),$B101&lt;$F$22+($F$16-$F$15)),SUM(OFFSET($T$100,($F$16-$F$15),0):$T101),""),"")</f>
        <v/>
      </c>
      <c r="BE101" s="275" t="str">
        <f t="shared" ref="BE101:BE164" ca="1" si="59">IF(ISNUMBER(BD101),BD101*(Koc*(Ocse/100)*Pse*Vse)/(Koc*(Ocse/100)*Pse*Vse+1*86400*($B101+1)),"")</f>
        <v/>
      </c>
      <c r="BF101" s="275" t="str">
        <f t="shared" ref="BF101:BF164" ca="1" si="60">IF(ISNUMBER(BD101),(BD101-BE101)/(3*86400*($B101-($F$16-$F$15)+1))*1000,"")</f>
        <v/>
      </c>
      <c r="BG101"/>
      <c r="BH101" s="190" t="str">
        <f ca="1">IF(ISNUMBER(OFFSET(BD101,-$F$21,0)),SUM(OFFSET($T$100,($F$16-$F$15+$F$21),0):$T101),"")</f>
        <v/>
      </c>
      <c r="BI101" s="190" t="str">
        <f t="shared" ca="1" si="28"/>
        <v/>
      </c>
      <c r="BJ101" s="190" t="str">
        <f t="shared" ref="BJ101:BJ164" ca="1" si="61">IF(ISNUMBER(BH101),(BH101-BI101)/(3*86400*((OFFSET($B101,-$F$21,0)-($F$16-$F$15)+1)))*1000,"")</f>
        <v/>
      </c>
      <c r="BK101" s="190"/>
      <c r="BL101" s="275" t="str">
        <f ca="1">IFERROR(IF(AND($B101&gt;=($F$17-$F$15),$B101&lt;$F$22+($F$17-$F$15)),SUM(OFFSET($T$100,($F$17-$F$15),0):$T101),""),"")</f>
        <v/>
      </c>
      <c r="BM101" s="275" t="str">
        <f t="shared" ca="1" si="29"/>
        <v/>
      </c>
      <c r="BN101" s="275" t="str">
        <f t="shared" ref="BN101:BN164" ca="1" si="62">IF(ISNUMBER(BL101),(BL101-BM101)/(3*86400*($B101-($F$17-$F$15)+1))*1000,"")</f>
        <v/>
      </c>
      <c r="BO101"/>
      <c r="BP101" s="275" t="str">
        <f ca="1">IF(ISNUMBER(OFFSET(BL101,-$F$21,0)),SUM(OFFSET($T$100,($F$17-$F$15+$F$21),0):$T101),"")</f>
        <v/>
      </c>
      <c r="BQ101" s="275" t="str">
        <f t="shared" ref="BQ101:BQ131" ca="1" si="63">IF(ISNUMBER(OFFSET(BL101,-$F$21,0)),BP101*(Koc*(Ocse/100)*Pse*Vse)/(Koc*(Ocse/100)*Pse*Vse+1*86400*($B101+1)),"")</f>
        <v/>
      </c>
      <c r="BR101" s="275" t="str">
        <f t="shared" ref="BR101:BR164" ca="1" si="64">IF(ISNUMBER(BP101),(BP101-BQ101)/(3*86400*(OFFSET($B101,-$F$21,0)-($F$17-$F$15)+1))*1000,"")</f>
        <v/>
      </c>
      <c r="BS101" s="190"/>
      <c r="BT101"/>
      <c r="BU101" s="276" t="str">
        <f t="shared" ref="BU101:BU120" si="65">IF(B40&lt;&gt;"",B40,"end")</f>
        <v>end</v>
      </c>
      <c r="BV101" s="277">
        <v>1</v>
      </c>
      <c r="BW101" s="278">
        <f>IF(BU101&lt;&gt;"",MIN(BU100:BU101),"")</f>
        <v>0</v>
      </c>
      <c r="BX101" s="278">
        <f>IF(BU101&lt;&gt;"",MAX(BU100:BU101),"")</f>
        <v>0</v>
      </c>
      <c r="BY101" s="279" t="str">
        <f t="shared" ref="BY101:BY120" si="66">IF(B40&lt;&gt;"",(C39-C40)/(B40-B39),"")</f>
        <v/>
      </c>
      <c r="BZ101"/>
      <c r="CA101" s="280" t="str">
        <f t="shared" si="30"/>
        <v>-</v>
      </c>
      <c r="CB101" s="71" t="str">
        <f t="shared" si="31"/>
        <v>-</v>
      </c>
      <c r="CC101" s="33" t="str">
        <f t="shared" si="32"/>
        <v>1-2</v>
      </c>
      <c r="CD101" s="259" t="str">
        <f t="shared" si="33"/>
        <v/>
      </c>
      <c r="CE101" s="280" t="str">
        <f t="shared" si="34"/>
        <v>-</v>
      </c>
      <c r="CF101" s="71" t="str">
        <f t="shared" ca="1" si="35"/>
        <v>-</v>
      </c>
      <c r="CG101" s="33" t="str">
        <f t="shared" si="36"/>
        <v>1-2</v>
      </c>
      <c r="CH101" s="261" t="str">
        <f t="shared" ca="1" si="37"/>
        <v/>
      </c>
      <c r="CI101" s="99"/>
      <c r="CJ101" s="99"/>
      <c r="CK101" s="99"/>
      <c r="CL101" s="99"/>
      <c r="CM101" s="99"/>
      <c r="CN101" s="99"/>
      <c r="CO101" s="99"/>
    </row>
    <row r="102" spans="2:93" ht="13.5" customHeight="1" x14ac:dyDescent="0.2">
      <c r="B102" s="262">
        <v>2</v>
      </c>
      <c r="C102" s="237" t="str">
        <f t="shared" si="1"/>
        <v/>
      </c>
      <c r="D102" s="237" t="str">
        <f t="shared" ref="D102:D165" si="67">IFERROR(IF(B102&lt;$F$22,IF(ISNUMBER($D$65),IF(MAX($BU$101:$BU$120)&lt;B102, "", IF(B102=VLOOKUP(B102, $BU$101:$BU$120,1,1), C102,D101-INDEX($BY$101:$BY$120, MATCH(VLOOKUP(B102, $BU$101:$BU$120,1,1), $BU$101:$BU$120)+1, 1))),D101-VLOOKUP(MAX($BU$101:$BU$120),$BU$101:$BY$120,5)),""),"-")</f>
        <v>-</v>
      </c>
      <c r="E102" s="263" t="str">
        <f t="shared" si="38"/>
        <v/>
      </c>
      <c r="F102" s="264" t="str">
        <f t="shared" si="39"/>
        <v/>
      </c>
      <c r="G102" s="264" t="str">
        <f t="shared" si="40"/>
        <v/>
      </c>
      <c r="H102" s="240" t="str">
        <f t="shared" si="41"/>
        <v/>
      </c>
      <c r="I102" s="265" t="str">
        <f t="shared" si="2"/>
        <v/>
      </c>
      <c r="J102" s="265" t="str">
        <f t="shared" si="3"/>
        <v/>
      </c>
      <c r="K102" s="240" t="str">
        <f t="shared" si="4"/>
        <v/>
      </c>
      <c r="L102" s="265" t="str">
        <f t="shared" si="5"/>
        <v/>
      </c>
      <c r="M102" s="265" t="str">
        <f t="shared" si="6"/>
        <v/>
      </c>
      <c r="N102" s="240" t="str">
        <f t="shared" si="7"/>
        <v>-</v>
      </c>
      <c r="O102" s="265" t="str">
        <f t="shared" si="8"/>
        <v>-</v>
      </c>
      <c r="P102" s="265" t="str">
        <f t="shared" si="9"/>
        <v>-</v>
      </c>
      <c r="Q102" s="266" t="str">
        <f t="shared" si="10"/>
        <v>-</v>
      </c>
      <c r="R102" s="267" t="str">
        <f t="shared" si="11"/>
        <v>-</v>
      </c>
      <c r="S102" s="268" t="str">
        <f t="shared" si="12"/>
        <v>-</v>
      </c>
      <c r="T102" s="269" t="str">
        <f t="shared" si="13"/>
        <v/>
      </c>
      <c r="U102" s="221">
        <f t="shared" si="14"/>
        <v>2</v>
      </c>
      <c r="V102" s="220" t="str">
        <f t="shared" si="42"/>
        <v>-</v>
      </c>
      <c r="W102" s="221" t="str">
        <f t="shared" si="43"/>
        <v>-</v>
      </c>
      <c r="X102" s="221" t="str">
        <f t="shared" si="15"/>
        <v>-</v>
      </c>
      <c r="Y102" s="221" t="str">
        <f t="shared" si="16"/>
        <v>-</v>
      </c>
      <c r="Z102" s="270">
        <f t="shared" si="44"/>
        <v>0.1</v>
      </c>
      <c r="AA102" s="271" t="str">
        <f t="shared" si="45"/>
        <v>-</v>
      </c>
      <c r="AB102" s="271" t="str">
        <f t="shared" si="17"/>
        <v>-</v>
      </c>
      <c r="AC102" s="224">
        <f t="shared" si="46"/>
        <v>2</v>
      </c>
      <c r="AD102" s="223" t="str">
        <f t="shared" si="18"/>
        <v>-</v>
      </c>
      <c r="AE102" s="224" t="str">
        <f t="shared" si="47"/>
        <v>-</v>
      </c>
      <c r="AF102" s="224" t="str">
        <f t="shared" si="19"/>
        <v>-</v>
      </c>
      <c r="AG102" s="224" t="str">
        <f t="shared" si="20"/>
        <v>-</v>
      </c>
      <c r="AH102" s="272">
        <f t="shared" si="48"/>
        <v>0.1</v>
      </c>
      <c r="AI102" s="271" t="str">
        <f t="shared" si="21"/>
        <v>-</v>
      </c>
      <c r="AJ102" s="271" t="str">
        <f t="shared" si="49"/>
        <v>-</v>
      </c>
      <c r="AK102" s="227">
        <f t="shared" si="50"/>
        <v>2</v>
      </c>
      <c r="AL102" s="226" t="str">
        <f t="shared" si="22"/>
        <v>-</v>
      </c>
      <c r="AM102" s="227" t="str">
        <f t="shared" si="51"/>
        <v>-</v>
      </c>
      <c r="AN102" s="227" t="str">
        <f t="shared" si="52"/>
        <v>-</v>
      </c>
      <c r="AO102" s="227" t="str">
        <f t="shared" si="23"/>
        <v>-</v>
      </c>
      <c r="AP102" s="273">
        <f t="shared" si="53"/>
        <v>0.1</v>
      </c>
      <c r="AQ102" s="271" t="str">
        <f t="shared" si="54"/>
        <v>-</v>
      </c>
      <c r="AR102" s="271" t="str">
        <f t="shared" si="55"/>
        <v>-</v>
      </c>
      <c r="AS102" s="274">
        <f t="shared" si="24"/>
        <v>0</v>
      </c>
      <c r="AT102" s="274">
        <f t="shared" si="25"/>
        <v>0</v>
      </c>
      <c r="AU102" s="274">
        <f t="shared" si="26"/>
        <v>0</v>
      </c>
      <c r="AV102" s="275">
        <f>IF($B102&lt;$F$22,SUM($T$100:$T102),"")</f>
        <v>0</v>
      </c>
      <c r="AW102" s="275" t="str">
        <f t="shared" si="56"/>
        <v>-</v>
      </c>
      <c r="AX102" s="275" t="str">
        <f t="shared" si="57"/>
        <v/>
      </c>
      <c r="AY102"/>
      <c r="AZ102" s="275" t="str">
        <f ca="1">IF(ISNUMBER(OFFSET(AV102,-$F$21,0)),SUM(OFFSET($T$100,$F$21,0):$T102),"")</f>
        <v/>
      </c>
      <c r="BA102" s="275" t="str">
        <f t="shared" ca="1" si="27"/>
        <v/>
      </c>
      <c r="BB102" s="275" t="str">
        <f t="shared" ca="1" si="58"/>
        <v/>
      </c>
      <c r="BC102" s="190"/>
      <c r="BD102" s="275" t="str">
        <f ca="1">IFERROR(IF(AND($B102&gt;=($F$16-$F$15),$B102&lt;$F$22+($F$16-$F$15)),SUM(OFFSET($T$100,($F$16-$F$15),0):$T102),""),"")</f>
        <v/>
      </c>
      <c r="BE102" s="275" t="str">
        <f t="shared" ca="1" si="59"/>
        <v/>
      </c>
      <c r="BF102" s="275" t="str">
        <f t="shared" ca="1" si="60"/>
        <v/>
      </c>
      <c r="BG102"/>
      <c r="BH102" s="190" t="str">
        <f ca="1">IF(ISNUMBER(OFFSET(BD102,-$F$21,0)),SUM(OFFSET($T$100,($F$16-$F$15+$F$21),0):$T102),"")</f>
        <v/>
      </c>
      <c r="BI102" s="190" t="str">
        <f t="shared" ca="1" si="28"/>
        <v/>
      </c>
      <c r="BJ102" s="190" t="str">
        <f t="shared" ca="1" si="61"/>
        <v/>
      </c>
      <c r="BK102" s="190"/>
      <c r="BL102" s="275" t="str">
        <f ca="1">IFERROR(IF(AND($B102&gt;=($F$17-$F$15),$B102&lt;$F$22+($F$17-$F$15)),SUM(OFFSET($T$100,($F$17-$F$15),0):$T102),""),"")</f>
        <v/>
      </c>
      <c r="BM102" s="275" t="str">
        <f t="shared" ca="1" si="29"/>
        <v/>
      </c>
      <c r="BN102" s="275" t="str">
        <f t="shared" ca="1" si="62"/>
        <v/>
      </c>
      <c r="BO102"/>
      <c r="BP102" s="275" t="str">
        <f ca="1">IF(ISNUMBER(OFFSET(BL102,-$F$21,0)),SUM(OFFSET($T$100,($F$17-$F$15+$F$21),0):$T102),"")</f>
        <v/>
      </c>
      <c r="BQ102" s="275" t="str">
        <f t="shared" ca="1" si="63"/>
        <v/>
      </c>
      <c r="BR102" s="275" t="str">
        <f t="shared" ca="1" si="64"/>
        <v/>
      </c>
      <c r="BS102" s="190"/>
      <c r="BT102"/>
      <c r="BU102" s="276" t="str">
        <f t="shared" si="65"/>
        <v>end</v>
      </c>
      <c r="BV102" s="277">
        <v>2</v>
      </c>
      <c r="BW102" s="278">
        <f>IF(BU102&lt;&gt;"",MIN(BU101:BU102),"")</f>
        <v>0</v>
      </c>
      <c r="BX102" s="278">
        <f>IF(BU102&lt;&gt;"",MAX(BU101:BU102),"")</f>
        <v>0</v>
      </c>
      <c r="BY102" s="279" t="str">
        <f t="shared" si="66"/>
        <v/>
      </c>
      <c r="BZ102"/>
      <c r="CA102" s="280" t="str">
        <f t="shared" si="30"/>
        <v>-</v>
      </c>
      <c r="CB102" s="71" t="str">
        <f t="shared" si="31"/>
        <v>-</v>
      </c>
      <c r="CC102" s="33" t="str">
        <f t="shared" si="32"/>
        <v>2-3</v>
      </c>
      <c r="CD102" s="259" t="str">
        <f t="shared" si="33"/>
        <v/>
      </c>
      <c r="CE102" s="280" t="str">
        <f t="shared" si="34"/>
        <v>-</v>
      </c>
      <c r="CF102" s="71" t="str">
        <f t="shared" ca="1" si="35"/>
        <v>-</v>
      </c>
      <c r="CG102" s="33" t="str">
        <f t="shared" si="36"/>
        <v>2-3</v>
      </c>
      <c r="CH102" s="261" t="str">
        <f t="shared" ca="1" si="37"/>
        <v/>
      </c>
      <c r="CI102" s="99"/>
      <c r="CJ102" s="99"/>
      <c r="CK102" s="99"/>
      <c r="CL102" s="99"/>
      <c r="CM102" s="99"/>
      <c r="CN102" s="99"/>
      <c r="CO102" s="99"/>
    </row>
    <row r="103" spans="2:93" ht="13.5" customHeight="1" x14ac:dyDescent="0.2">
      <c r="B103" s="262">
        <v>3</v>
      </c>
      <c r="C103" s="236" t="str">
        <f t="shared" si="1"/>
        <v/>
      </c>
      <c r="D103" s="237" t="str">
        <f t="shared" si="67"/>
        <v>-</v>
      </c>
      <c r="E103" s="263" t="str">
        <f t="shared" si="38"/>
        <v/>
      </c>
      <c r="F103" s="264" t="str">
        <f t="shared" si="39"/>
        <v/>
      </c>
      <c r="G103" s="264" t="str">
        <f t="shared" si="40"/>
        <v/>
      </c>
      <c r="H103" s="240" t="str">
        <f t="shared" si="41"/>
        <v/>
      </c>
      <c r="I103" s="265" t="str">
        <f t="shared" si="2"/>
        <v/>
      </c>
      <c r="J103" s="265" t="str">
        <f t="shared" si="3"/>
        <v/>
      </c>
      <c r="K103" s="240" t="str">
        <f t="shared" si="4"/>
        <v/>
      </c>
      <c r="L103" s="265" t="str">
        <f t="shared" si="5"/>
        <v/>
      </c>
      <c r="M103" s="265" t="str">
        <f t="shared" si="6"/>
        <v/>
      </c>
      <c r="N103" s="240" t="str">
        <f t="shared" si="7"/>
        <v>-</v>
      </c>
      <c r="O103" s="265" t="str">
        <f t="shared" si="8"/>
        <v>-</v>
      </c>
      <c r="P103" s="265" t="str">
        <f t="shared" si="9"/>
        <v>-</v>
      </c>
      <c r="Q103" s="266" t="str">
        <f t="shared" si="10"/>
        <v>-</v>
      </c>
      <c r="R103" s="267" t="str">
        <f t="shared" si="11"/>
        <v>-</v>
      </c>
      <c r="S103" s="268" t="str">
        <f t="shared" si="12"/>
        <v>-</v>
      </c>
      <c r="T103" s="269" t="str">
        <f t="shared" si="13"/>
        <v/>
      </c>
      <c r="U103" s="221">
        <f t="shared" si="14"/>
        <v>3</v>
      </c>
      <c r="V103" s="220" t="str">
        <f t="shared" si="42"/>
        <v>-</v>
      </c>
      <c r="W103" s="221" t="str">
        <f t="shared" si="43"/>
        <v>-</v>
      </c>
      <c r="X103" s="221" t="str">
        <f t="shared" si="15"/>
        <v>-</v>
      </c>
      <c r="Y103" s="221" t="str">
        <f t="shared" si="16"/>
        <v>-</v>
      </c>
      <c r="Z103" s="270">
        <f t="shared" si="44"/>
        <v>0.1</v>
      </c>
      <c r="AA103" s="271" t="str">
        <f t="shared" si="45"/>
        <v>-</v>
      </c>
      <c r="AB103" s="271" t="str">
        <f t="shared" si="17"/>
        <v>-</v>
      </c>
      <c r="AC103" s="224">
        <f t="shared" si="46"/>
        <v>3</v>
      </c>
      <c r="AD103" s="223" t="str">
        <f t="shared" si="18"/>
        <v>-</v>
      </c>
      <c r="AE103" s="224" t="str">
        <f t="shared" si="47"/>
        <v>-</v>
      </c>
      <c r="AF103" s="224" t="str">
        <f t="shared" si="19"/>
        <v>-</v>
      </c>
      <c r="AG103" s="224" t="str">
        <f t="shared" si="20"/>
        <v>-</v>
      </c>
      <c r="AH103" s="272">
        <f t="shared" si="48"/>
        <v>0.1</v>
      </c>
      <c r="AI103" s="271" t="str">
        <f t="shared" si="21"/>
        <v>-</v>
      </c>
      <c r="AJ103" s="271" t="str">
        <f t="shared" si="49"/>
        <v>-</v>
      </c>
      <c r="AK103" s="227">
        <f t="shared" si="50"/>
        <v>3</v>
      </c>
      <c r="AL103" s="226" t="str">
        <f t="shared" si="22"/>
        <v>-</v>
      </c>
      <c r="AM103" s="227" t="str">
        <f t="shared" si="51"/>
        <v>-</v>
      </c>
      <c r="AN103" s="227" t="str">
        <f t="shared" si="52"/>
        <v>-</v>
      </c>
      <c r="AO103" s="227" t="str">
        <f t="shared" si="23"/>
        <v>-</v>
      </c>
      <c r="AP103" s="273">
        <f t="shared" si="53"/>
        <v>0.1</v>
      </c>
      <c r="AQ103" s="271" t="str">
        <f t="shared" si="54"/>
        <v>-</v>
      </c>
      <c r="AR103" s="271" t="str">
        <f t="shared" si="55"/>
        <v>-</v>
      </c>
      <c r="AS103" s="274">
        <f t="shared" si="24"/>
        <v>0</v>
      </c>
      <c r="AT103" s="274">
        <f t="shared" si="25"/>
        <v>0</v>
      </c>
      <c r="AU103" s="274">
        <f t="shared" si="26"/>
        <v>0</v>
      </c>
      <c r="AV103" s="275">
        <f>IF($B103&lt;$F$22,SUM($T$100:$T103),"")</f>
        <v>0</v>
      </c>
      <c r="AW103" s="275" t="str">
        <f t="shared" si="56"/>
        <v>-</v>
      </c>
      <c r="AX103" s="275" t="str">
        <f t="shared" si="57"/>
        <v/>
      </c>
      <c r="AY103"/>
      <c r="AZ103" s="275" t="str">
        <f ca="1">IF(ISNUMBER(OFFSET(AV103,-$F$21,0)),SUM(OFFSET($T$100,$F$21,0):$T103),"")</f>
        <v/>
      </c>
      <c r="BA103" s="275" t="str">
        <f t="shared" ca="1" si="27"/>
        <v/>
      </c>
      <c r="BB103" s="275" t="str">
        <f t="shared" ca="1" si="58"/>
        <v/>
      </c>
      <c r="BC103" s="190"/>
      <c r="BD103" s="275" t="str">
        <f ca="1">IFERROR(IF(AND($B103&gt;=($F$16-$F$15),$B103&lt;$F$22+($F$16-$F$15)),SUM(OFFSET($T$100,($F$16-$F$15),0):$T103),""),"")</f>
        <v/>
      </c>
      <c r="BE103" s="275" t="str">
        <f t="shared" ca="1" si="59"/>
        <v/>
      </c>
      <c r="BF103" s="275" t="str">
        <f t="shared" ca="1" si="60"/>
        <v/>
      </c>
      <c r="BG103"/>
      <c r="BH103" s="190" t="str">
        <f ca="1">IF(ISNUMBER(OFFSET(BD103,-$F$21,0)),SUM(OFFSET($T$100,($F$16-$F$15+$F$21),0):$T103),"")</f>
        <v/>
      </c>
      <c r="BI103" s="190" t="str">
        <f t="shared" ca="1" si="28"/>
        <v/>
      </c>
      <c r="BJ103" s="190" t="str">
        <f t="shared" ca="1" si="61"/>
        <v/>
      </c>
      <c r="BK103" s="190"/>
      <c r="BL103" s="275" t="str">
        <f ca="1">IFERROR(IF(AND($B103&gt;=($F$17-$F$15),$B103&lt;$F$22+($F$17-$F$15)),SUM(OFFSET($T$100,($F$17-$F$15),0):$T103),""),"")</f>
        <v/>
      </c>
      <c r="BM103" s="275" t="str">
        <f t="shared" ca="1" si="29"/>
        <v/>
      </c>
      <c r="BN103" s="275" t="str">
        <f t="shared" ca="1" si="62"/>
        <v/>
      </c>
      <c r="BO103"/>
      <c r="BP103" s="275" t="str">
        <f ca="1">IF(ISNUMBER(OFFSET(BL103,-$F$21,0)),SUM(OFFSET($T$100,($F$17-$F$15+$F$21),0):$T103),"")</f>
        <v/>
      </c>
      <c r="BQ103" s="275" t="str">
        <f t="shared" ca="1" si="63"/>
        <v/>
      </c>
      <c r="BR103" s="275" t="str">
        <f t="shared" ca="1" si="64"/>
        <v/>
      </c>
      <c r="BS103" s="190"/>
      <c r="BT103"/>
      <c r="BU103" s="276" t="str">
        <f t="shared" si="65"/>
        <v>end</v>
      </c>
      <c r="BV103" s="277">
        <v>3</v>
      </c>
      <c r="BW103" s="278">
        <f>IF(BU103&lt;&gt;"",MIN(BU102:BU103),"")</f>
        <v>0</v>
      </c>
      <c r="BX103" s="278">
        <f>IF(BU103&lt;&gt;"",MAX(BU102:BU103),"")</f>
        <v>0</v>
      </c>
      <c r="BY103" s="279" t="str">
        <f t="shared" si="66"/>
        <v/>
      </c>
      <c r="BZ103"/>
      <c r="CA103" s="280" t="str">
        <f t="shared" si="30"/>
        <v>-</v>
      </c>
      <c r="CB103" s="71" t="str">
        <f t="shared" si="31"/>
        <v>-</v>
      </c>
      <c r="CC103" s="33" t="str">
        <f t="shared" si="32"/>
        <v>3-4</v>
      </c>
      <c r="CD103" s="259" t="str">
        <f t="shared" si="33"/>
        <v/>
      </c>
      <c r="CE103" s="280" t="str">
        <f t="shared" si="34"/>
        <v>-</v>
      </c>
      <c r="CF103" s="71" t="str">
        <f t="shared" ca="1" si="35"/>
        <v>-</v>
      </c>
      <c r="CG103" s="33" t="str">
        <f t="shared" si="36"/>
        <v>3-4</v>
      </c>
      <c r="CH103" s="261" t="str">
        <f t="shared" ca="1" si="37"/>
        <v/>
      </c>
      <c r="CI103" s="99"/>
      <c r="CJ103" s="99"/>
      <c r="CK103" s="99"/>
      <c r="CL103" s="99"/>
      <c r="CM103" s="99"/>
      <c r="CN103" s="99"/>
      <c r="CO103" s="99"/>
    </row>
    <row r="104" spans="2:93" ht="13.5" customHeight="1" x14ac:dyDescent="0.2">
      <c r="B104" s="262">
        <v>4</v>
      </c>
      <c r="C104" s="237" t="str">
        <f t="shared" si="1"/>
        <v/>
      </c>
      <c r="D104" s="237" t="str">
        <f t="shared" si="67"/>
        <v>-</v>
      </c>
      <c r="E104" s="263" t="str">
        <f t="shared" si="38"/>
        <v/>
      </c>
      <c r="F104" s="264" t="str">
        <f t="shared" si="39"/>
        <v/>
      </c>
      <c r="G104" s="264" t="str">
        <f t="shared" si="40"/>
        <v/>
      </c>
      <c r="H104" s="240" t="str">
        <f t="shared" si="41"/>
        <v/>
      </c>
      <c r="I104" s="265" t="str">
        <f t="shared" si="2"/>
        <v/>
      </c>
      <c r="J104" s="265" t="str">
        <f t="shared" si="3"/>
        <v/>
      </c>
      <c r="K104" s="240" t="str">
        <f t="shared" si="4"/>
        <v/>
      </c>
      <c r="L104" s="265" t="str">
        <f t="shared" si="5"/>
        <v/>
      </c>
      <c r="M104" s="265" t="str">
        <f t="shared" si="6"/>
        <v/>
      </c>
      <c r="N104" s="240" t="str">
        <f t="shared" si="7"/>
        <v>-</v>
      </c>
      <c r="O104" s="265" t="str">
        <f t="shared" si="8"/>
        <v>-</v>
      </c>
      <c r="P104" s="265" t="str">
        <f t="shared" si="9"/>
        <v>-</v>
      </c>
      <c r="Q104" s="266" t="str">
        <f t="shared" si="10"/>
        <v>-</v>
      </c>
      <c r="R104" s="267" t="str">
        <f t="shared" si="11"/>
        <v>-</v>
      </c>
      <c r="S104" s="268" t="str">
        <f t="shared" si="12"/>
        <v>-</v>
      </c>
      <c r="T104" s="269" t="str">
        <f t="shared" si="13"/>
        <v/>
      </c>
      <c r="U104" s="221">
        <f t="shared" si="14"/>
        <v>4</v>
      </c>
      <c r="V104" s="220" t="str">
        <f t="shared" si="42"/>
        <v>-</v>
      </c>
      <c r="W104" s="221" t="str">
        <f t="shared" si="43"/>
        <v>-</v>
      </c>
      <c r="X104" s="221" t="str">
        <f t="shared" si="15"/>
        <v>-</v>
      </c>
      <c r="Y104" s="221" t="str">
        <f t="shared" si="16"/>
        <v>-</v>
      </c>
      <c r="Z104" s="270">
        <f t="shared" si="44"/>
        <v>0.1</v>
      </c>
      <c r="AA104" s="271" t="str">
        <f t="shared" si="45"/>
        <v>-</v>
      </c>
      <c r="AB104" s="271" t="str">
        <f t="shared" si="17"/>
        <v>-</v>
      </c>
      <c r="AC104" s="224">
        <f t="shared" si="46"/>
        <v>4</v>
      </c>
      <c r="AD104" s="223" t="str">
        <f t="shared" si="18"/>
        <v>-</v>
      </c>
      <c r="AE104" s="224" t="str">
        <f t="shared" si="47"/>
        <v>-</v>
      </c>
      <c r="AF104" s="224" t="str">
        <f t="shared" si="19"/>
        <v>-</v>
      </c>
      <c r="AG104" s="224" t="str">
        <f t="shared" si="20"/>
        <v>-</v>
      </c>
      <c r="AH104" s="272">
        <f t="shared" si="48"/>
        <v>0.1</v>
      </c>
      <c r="AI104" s="271" t="str">
        <f t="shared" si="21"/>
        <v>-</v>
      </c>
      <c r="AJ104" s="271" t="str">
        <f t="shared" si="49"/>
        <v>-</v>
      </c>
      <c r="AK104" s="227">
        <f t="shared" si="50"/>
        <v>4</v>
      </c>
      <c r="AL104" s="226" t="str">
        <f t="shared" si="22"/>
        <v>-</v>
      </c>
      <c r="AM104" s="227" t="str">
        <f t="shared" si="51"/>
        <v>-</v>
      </c>
      <c r="AN104" s="227" t="str">
        <f t="shared" si="52"/>
        <v>-</v>
      </c>
      <c r="AO104" s="227" t="str">
        <f t="shared" si="23"/>
        <v>-</v>
      </c>
      <c r="AP104" s="273">
        <f t="shared" si="53"/>
        <v>0.1</v>
      </c>
      <c r="AQ104" s="271" t="str">
        <f t="shared" si="54"/>
        <v>-</v>
      </c>
      <c r="AR104" s="271" t="str">
        <f t="shared" si="55"/>
        <v>-</v>
      </c>
      <c r="AS104" s="274">
        <f t="shared" si="24"/>
        <v>0</v>
      </c>
      <c r="AT104" s="274">
        <f t="shared" si="25"/>
        <v>0</v>
      </c>
      <c r="AU104" s="274">
        <f t="shared" si="26"/>
        <v>0</v>
      </c>
      <c r="AV104" s="275">
        <f>IF($B104&lt;$F$22,SUM($T$100:$T104),"")</f>
        <v>0</v>
      </c>
      <c r="AW104" s="275" t="str">
        <f t="shared" si="56"/>
        <v>-</v>
      </c>
      <c r="AX104" s="275" t="str">
        <f t="shared" si="57"/>
        <v/>
      </c>
      <c r="AY104"/>
      <c r="AZ104" s="275" t="str">
        <f ca="1">IF(ISNUMBER(OFFSET(AV104,-$F$21,0)),SUM(OFFSET($T$100,$F$21,0):$T104),"")</f>
        <v/>
      </c>
      <c r="BA104" s="275" t="str">
        <f t="shared" ca="1" si="27"/>
        <v/>
      </c>
      <c r="BB104" s="275" t="str">
        <f t="shared" ca="1" si="58"/>
        <v/>
      </c>
      <c r="BC104" s="190"/>
      <c r="BD104" s="275" t="str">
        <f ca="1">IFERROR(IF(AND($B104&gt;=($F$16-$F$15),$B104&lt;$F$22+($F$16-$F$15)),SUM(OFFSET($T$100,($F$16-$F$15),0):$T104),""),"")</f>
        <v/>
      </c>
      <c r="BE104" s="275" t="str">
        <f t="shared" ca="1" si="59"/>
        <v/>
      </c>
      <c r="BF104" s="275" t="str">
        <f t="shared" ca="1" si="60"/>
        <v/>
      </c>
      <c r="BG104"/>
      <c r="BH104" s="190" t="str">
        <f ca="1">IF(ISNUMBER(OFFSET(BD104,-$F$21,0)),SUM(OFFSET($T$100,($F$16-$F$15+$F$21),0):$T104),"")</f>
        <v/>
      </c>
      <c r="BI104" s="190" t="str">
        <f t="shared" ca="1" si="28"/>
        <v/>
      </c>
      <c r="BJ104" s="190" t="str">
        <f t="shared" ca="1" si="61"/>
        <v/>
      </c>
      <c r="BK104" s="190"/>
      <c r="BL104" s="275" t="str">
        <f ca="1">IFERROR(IF(AND($B104&gt;=($F$17-$F$15),$B104&lt;$F$22+($F$17-$F$15)),SUM(OFFSET($T$100,($F$17-$F$15),0):$T104),""),"")</f>
        <v/>
      </c>
      <c r="BM104" s="275" t="str">
        <f t="shared" ca="1" si="29"/>
        <v/>
      </c>
      <c r="BN104" s="275" t="str">
        <f t="shared" ca="1" si="62"/>
        <v/>
      </c>
      <c r="BO104"/>
      <c r="BP104" s="275" t="str">
        <f ca="1">IF(ISNUMBER(OFFSET(BL104,-$F$21,0)),SUM(OFFSET($T$100,($F$17-$F$15+$F$21),0):$T104),"")</f>
        <v/>
      </c>
      <c r="BQ104" s="275" t="str">
        <f t="shared" ca="1" si="63"/>
        <v/>
      </c>
      <c r="BR104" s="275" t="str">
        <f t="shared" ca="1" si="64"/>
        <v/>
      </c>
      <c r="BS104" s="190"/>
      <c r="BT104"/>
      <c r="BU104" s="276" t="str">
        <f t="shared" si="65"/>
        <v>end</v>
      </c>
      <c r="BV104" s="277">
        <v>4</v>
      </c>
      <c r="BW104" s="278">
        <f>IF(BU104&lt;&gt;"",MIN(BU103:BU104),"")</f>
        <v>0</v>
      </c>
      <c r="BX104" s="278">
        <f>IF(BU104&lt;&gt;"",MAX(BU103:BU104),"")</f>
        <v>0</v>
      </c>
      <c r="BY104" s="279" t="str">
        <f t="shared" si="66"/>
        <v/>
      </c>
      <c r="BZ104"/>
      <c r="CA104" s="281" t="str">
        <f t="shared" si="30"/>
        <v>-</v>
      </c>
      <c r="CB104" s="31" t="str">
        <f t="shared" si="31"/>
        <v>-</v>
      </c>
      <c r="CC104" s="24" t="str">
        <f t="shared" si="32"/>
        <v>4-5</v>
      </c>
      <c r="CD104" s="282" t="str">
        <f t="shared" si="33"/>
        <v/>
      </c>
      <c r="CE104" s="281" t="str">
        <f t="shared" si="34"/>
        <v>-</v>
      </c>
      <c r="CF104" s="31" t="str">
        <f t="shared" ca="1" si="35"/>
        <v>-</v>
      </c>
      <c r="CG104" s="24" t="str">
        <f t="shared" si="36"/>
        <v>4-5</v>
      </c>
      <c r="CH104" s="283" t="str">
        <f t="shared" ca="1" si="37"/>
        <v/>
      </c>
      <c r="CI104" s="99"/>
      <c r="CJ104" s="99"/>
      <c r="CK104" s="99"/>
      <c r="CL104" s="99"/>
      <c r="CM104" s="99"/>
      <c r="CN104" s="99"/>
      <c r="CO104" s="99"/>
    </row>
    <row r="105" spans="2:93" ht="13.5" customHeight="1" x14ac:dyDescent="0.2">
      <c r="B105" s="262">
        <v>5</v>
      </c>
      <c r="C105" s="237" t="str">
        <f t="shared" si="1"/>
        <v/>
      </c>
      <c r="D105" s="237" t="str">
        <f t="shared" si="67"/>
        <v>-</v>
      </c>
      <c r="E105" s="263" t="str">
        <f t="shared" si="38"/>
        <v/>
      </c>
      <c r="F105" s="264" t="str">
        <f t="shared" si="39"/>
        <v/>
      </c>
      <c r="G105" s="264" t="str">
        <f t="shared" si="40"/>
        <v/>
      </c>
      <c r="H105" s="240" t="str">
        <f t="shared" si="41"/>
        <v/>
      </c>
      <c r="I105" s="265" t="str">
        <f t="shared" si="2"/>
        <v/>
      </c>
      <c r="J105" s="265" t="str">
        <f t="shared" si="3"/>
        <v/>
      </c>
      <c r="K105" s="240" t="str">
        <f t="shared" si="4"/>
        <v/>
      </c>
      <c r="L105" s="265" t="str">
        <f t="shared" si="5"/>
        <v/>
      </c>
      <c r="M105" s="265" t="str">
        <f t="shared" si="6"/>
        <v/>
      </c>
      <c r="N105" s="240" t="str">
        <f t="shared" si="7"/>
        <v>-</v>
      </c>
      <c r="O105" s="265" t="str">
        <f t="shared" si="8"/>
        <v>-</v>
      </c>
      <c r="P105" s="265" t="str">
        <f t="shared" si="9"/>
        <v>-</v>
      </c>
      <c r="Q105" s="266" t="str">
        <f t="shared" si="10"/>
        <v>-</v>
      </c>
      <c r="R105" s="267" t="str">
        <f t="shared" si="11"/>
        <v>-</v>
      </c>
      <c r="S105" s="268" t="str">
        <f t="shared" si="12"/>
        <v>-</v>
      </c>
      <c r="T105" s="269" t="str">
        <f t="shared" si="13"/>
        <v/>
      </c>
      <c r="U105" s="221">
        <f t="shared" si="14"/>
        <v>5</v>
      </c>
      <c r="V105" s="220" t="str">
        <f t="shared" si="42"/>
        <v>-</v>
      </c>
      <c r="W105" s="221" t="str">
        <f t="shared" si="43"/>
        <v>-</v>
      </c>
      <c r="X105" s="221" t="str">
        <f t="shared" si="15"/>
        <v>-</v>
      </c>
      <c r="Y105" s="221" t="str">
        <f t="shared" si="16"/>
        <v>-</v>
      </c>
      <c r="Z105" s="270">
        <f t="shared" si="44"/>
        <v>0.1</v>
      </c>
      <c r="AA105" s="271" t="str">
        <f t="shared" si="45"/>
        <v>-</v>
      </c>
      <c r="AB105" s="271" t="str">
        <f t="shared" si="17"/>
        <v>-</v>
      </c>
      <c r="AC105" s="224">
        <f t="shared" si="46"/>
        <v>5</v>
      </c>
      <c r="AD105" s="223" t="str">
        <f t="shared" si="18"/>
        <v>-</v>
      </c>
      <c r="AE105" s="224" t="str">
        <f t="shared" si="47"/>
        <v>-</v>
      </c>
      <c r="AF105" s="224" t="str">
        <f t="shared" si="19"/>
        <v>-</v>
      </c>
      <c r="AG105" s="224" t="str">
        <f t="shared" si="20"/>
        <v>-</v>
      </c>
      <c r="AH105" s="272">
        <f t="shared" si="48"/>
        <v>0.1</v>
      </c>
      <c r="AI105" s="271" t="str">
        <f t="shared" si="21"/>
        <v>-</v>
      </c>
      <c r="AJ105" s="271" t="str">
        <f t="shared" si="49"/>
        <v>-</v>
      </c>
      <c r="AK105" s="227">
        <f t="shared" si="50"/>
        <v>5</v>
      </c>
      <c r="AL105" s="226" t="str">
        <f t="shared" si="22"/>
        <v>-</v>
      </c>
      <c r="AM105" s="227" t="str">
        <f t="shared" si="51"/>
        <v>-</v>
      </c>
      <c r="AN105" s="227" t="str">
        <f t="shared" si="52"/>
        <v>-</v>
      </c>
      <c r="AO105" s="227" t="str">
        <f t="shared" si="23"/>
        <v>-</v>
      </c>
      <c r="AP105" s="273">
        <f t="shared" si="53"/>
        <v>0.1</v>
      </c>
      <c r="AQ105" s="271" t="str">
        <f t="shared" si="54"/>
        <v>-</v>
      </c>
      <c r="AR105" s="271" t="str">
        <f t="shared" si="55"/>
        <v>-</v>
      </c>
      <c r="AS105" s="274">
        <f t="shared" si="24"/>
        <v>0</v>
      </c>
      <c r="AT105" s="274">
        <f t="shared" si="25"/>
        <v>0</v>
      </c>
      <c r="AU105" s="274">
        <f t="shared" si="26"/>
        <v>0</v>
      </c>
      <c r="AV105" s="275">
        <f>IF($B105&lt;$F$22,SUM($T$100:$T105),"")</f>
        <v>0</v>
      </c>
      <c r="AW105" s="275" t="str">
        <f t="shared" si="56"/>
        <v>-</v>
      </c>
      <c r="AX105" s="275" t="str">
        <f t="shared" si="57"/>
        <v/>
      </c>
      <c r="AY105"/>
      <c r="AZ105" s="275" t="str">
        <f ca="1">IF(ISNUMBER(OFFSET(AV105,-$F$21,0)),SUM(OFFSET($T$100,$F$21,0):$T105),"")</f>
        <v/>
      </c>
      <c r="BA105" s="275" t="str">
        <f t="shared" ca="1" si="27"/>
        <v/>
      </c>
      <c r="BB105" s="275" t="str">
        <f t="shared" ca="1" si="58"/>
        <v/>
      </c>
      <c r="BC105" s="190"/>
      <c r="BD105" s="275" t="str">
        <f ca="1">IFERROR(IF(AND($B105&gt;=($F$16-$F$15),$B105&lt;$F$22+($F$16-$F$15)),SUM(OFFSET($T$100,($F$16-$F$15),0):$T105),""),"")</f>
        <v/>
      </c>
      <c r="BE105" s="275" t="str">
        <f t="shared" ca="1" si="59"/>
        <v/>
      </c>
      <c r="BF105" s="275" t="str">
        <f t="shared" ca="1" si="60"/>
        <v/>
      </c>
      <c r="BG105"/>
      <c r="BH105" s="190" t="str">
        <f ca="1">IF(ISNUMBER(OFFSET(BD105,-$F$21,0)),SUM(OFFSET($T$100,($F$16-$F$15+$F$21),0):$T105),"")</f>
        <v/>
      </c>
      <c r="BI105" s="190" t="str">
        <f t="shared" ca="1" si="28"/>
        <v/>
      </c>
      <c r="BJ105" s="190" t="str">
        <f t="shared" ca="1" si="61"/>
        <v/>
      </c>
      <c r="BK105" s="190"/>
      <c r="BL105" s="275" t="str">
        <f ca="1">IFERROR(IF(AND($B105&gt;=($F$17-$F$15),$B105&lt;$F$22+($F$17-$F$15)),SUM(OFFSET($T$100,($F$17-$F$15),0):$T105),""),"")</f>
        <v/>
      </c>
      <c r="BM105" s="275" t="str">
        <f t="shared" ca="1" si="29"/>
        <v/>
      </c>
      <c r="BN105" s="275" t="str">
        <f t="shared" ca="1" si="62"/>
        <v/>
      </c>
      <c r="BO105"/>
      <c r="BP105" s="275" t="str">
        <f ca="1">IF(ISNUMBER(OFFSET(BL105,-$F$21,0)),SUM(OFFSET($T$100,($F$17-$F$15+$F$21),0):$T105),"")</f>
        <v/>
      </c>
      <c r="BQ105" s="275" t="str">
        <f t="shared" ca="1" si="63"/>
        <v/>
      </c>
      <c r="BR105" s="275" t="str">
        <f t="shared" ca="1" si="64"/>
        <v/>
      </c>
      <c r="BS105" s="190"/>
      <c r="BT105"/>
      <c r="BU105" s="276" t="str">
        <f t="shared" si="65"/>
        <v>end</v>
      </c>
      <c r="BV105" s="277">
        <v>5</v>
      </c>
      <c r="BW105" s="278">
        <f>IF(BU105&lt;&gt;"",MIN(BU104:BU105),"")</f>
        <v>0</v>
      </c>
      <c r="BX105" s="278">
        <f>IF(BU105&lt;&gt;"",MAX(BU104:BU105),"")</f>
        <v>0</v>
      </c>
      <c r="BY105" s="279" t="str">
        <f t="shared" si="66"/>
        <v/>
      </c>
      <c r="BZ105"/>
      <c r="CA105" s="284" t="str">
        <f t="shared" si="30"/>
        <v>-</v>
      </c>
      <c r="CB105" s="285" t="str">
        <f t="shared" si="31"/>
        <v>-</v>
      </c>
      <c r="CC105" s="285" t="str">
        <f t="shared" si="32"/>
        <v>5-6</v>
      </c>
      <c r="CD105" s="286" t="str">
        <f t="shared" si="33"/>
        <v/>
      </c>
      <c r="CE105" s="287" t="str">
        <f t="shared" si="34"/>
        <v>-</v>
      </c>
      <c r="CF105" s="285" t="str">
        <f t="shared" ca="1" si="35"/>
        <v>-</v>
      </c>
      <c r="CG105" s="285" t="str">
        <f t="shared" si="36"/>
        <v>5-6</v>
      </c>
      <c r="CH105" s="288" t="str">
        <f t="shared" ca="1" si="37"/>
        <v/>
      </c>
      <c r="CI105" s="99"/>
      <c r="CJ105" s="99"/>
      <c r="CK105" s="99"/>
      <c r="CL105" s="99"/>
      <c r="CM105" s="99"/>
      <c r="CN105" s="99"/>
      <c r="CO105" s="99"/>
    </row>
    <row r="106" spans="2:93" ht="13.5" customHeight="1" x14ac:dyDescent="0.2">
      <c r="B106" s="262">
        <v>6</v>
      </c>
      <c r="C106" s="237" t="str">
        <f t="shared" si="1"/>
        <v/>
      </c>
      <c r="D106" s="237" t="str">
        <f t="shared" si="67"/>
        <v>-</v>
      </c>
      <c r="E106" s="263" t="str">
        <f t="shared" si="38"/>
        <v/>
      </c>
      <c r="F106" s="264" t="str">
        <f t="shared" si="39"/>
        <v/>
      </c>
      <c r="G106" s="264" t="str">
        <f t="shared" si="40"/>
        <v/>
      </c>
      <c r="H106" s="240" t="str">
        <f t="shared" si="41"/>
        <v/>
      </c>
      <c r="I106" s="265" t="str">
        <f t="shared" si="2"/>
        <v/>
      </c>
      <c r="J106" s="265" t="str">
        <f t="shared" si="3"/>
        <v/>
      </c>
      <c r="K106" s="240" t="str">
        <f t="shared" si="4"/>
        <v/>
      </c>
      <c r="L106" s="265" t="str">
        <f t="shared" si="5"/>
        <v/>
      </c>
      <c r="M106" s="265" t="str">
        <f t="shared" si="6"/>
        <v/>
      </c>
      <c r="N106" s="240" t="str">
        <f t="shared" si="7"/>
        <v>-</v>
      </c>
      <c r="O106" s="265" t="str">
        <f t="shared" si="8"/>
        <v>-</v>
      </c>
      <c r="P106" s="265" t="str">
        <f t="shared" si="9"/>
        <v>-</v>
      </c>
      <c r="Q106" s="266" t="str">
        <f t="shared" si="10"/>
        <v>-</v>
      </c>
      <c r="R106" s="267" t="str">
        <f t="shared" si="11"/>
        <v>-</v>
      </c>
      <c r="S106" s="268" t="str">
        <f t="shared" si="12"/>
        <v>-</v>
      </c>
      <c r="T106" s="269" t="str">
        <f t="shared" si="13"/>
        <v/>
      </c>
      <c r="U106" s="221">
        <f t="shared" si="14"/>
        <v>6</v>
      </c>
      <c r="V106" s="220" t="str">
        <f t="shared" si="42"/>
        <v>-</v>
      </c>
      <c r="W106" s="221" t="str">
        <f t="shared" si="43"/>
        <v>-</v>
      </c>
      <c r="X106" s="221" t="str">
        <f t="shared" si="15"/>
        <v>-</v>
      </c>
      <c r="Y106" s="221" t="str">
        <f t="shared" si="16"/>
        <v>-</v>
      </c>
      <c r="Z106" s="270">
        <f t="shared" si="44"/>
        <v>0.1</v>
      </c>
      <c r="AA106" s="271" t="str">
        <f t="shared" si="45"/>
        <v>-</v>
      </c>
      <c r="AB106" s="271" t="str">
        <f t="shared" si="17"/>
        <v>-</v>
      </c>
      <c r="AC106" s="224">
        <f t="shared" si="46"/>
        <v>6</v>
      </c>
      <c r="AD106" s="223" t="str">
        <f t="shared" si="18"/>
        <v>-</v>
      </c>
      <c r="AE106" s="224" t="str">
        <f t="shared" si="47"/>
        <v>-</v>
      </c>
      <c r="AF106" s="224" t="str">
        <f t="shared" si="19"/>
        <v>-</v>
      </c>
      <c r="AG106" s="224" t="str">
        <f t="shared" si="20"/>
        <v>-</v>
      </c>
      <c r="AH106" s="272">
        <f t="shared" si="48"/>
        <v>0.1</v>
      </c>
      <c r="AI106" s="271" t="str">
        <f t="shared" si="21"/>
        <v>-</v>
      </c>
      <c r="AJ106" s="271" t="str">
        <f t="shared" si="49"/>
        <v>-</v>
      </c>
      <c r="AK106" s="227">
        <f t="shared" si="50"/>
        <v>6</v>
      </c>
      <c r="AL106" s="226" t="str">
        <f t="shared" si="22"/>
        <v>-</v>
      </c>
      <c r="AM106" s="227" t="str">
        <f t="shared" si="51"/>
        <v>-</v>
      </c>
      <c r="AN106" s="227" t="str">
        <f t="shared" si="52"/>
        <v>-</v>
      </c>
      <c r="AO106" s="227" t="str">
        <f t="shared" si="23"/>
        <v>-</v>
      </c>
      <c r="AP106" s="273">
        <f t="shared" si="53"/>
        <v>0.1</v>
      </c>
      <c r="AQ106" s="271" t="str">
        <f t="shared" si="54"/>
        <v>-</v>
      </c>
      <c r="AR106" s="271" t="str">
        <f t="shared" si="55"/>
        <v>-</v>
      </c>
      <c r="AS106" s="274">
        <f t="shared" si="24"/>
        <v>0</v>
      </c>
      <c r="AT106" s="274">
        <f t="shared" si="25"/>
        <v>0</v>
      </c>
      <c r="AU106" s="274">
        <f t="shared" si="26"/>
        <v>0</v>
      </c>
      <c r="AV106" s="275">
        <f>IF($B106&lt;$F$22,SUM($T$100:$T106),"")</f>
        <v>0</v>
      </c>
      <c r="AW106" s="275" t="str">
        <f t="shared" si="56"/>
        <v>-</v>
      </c>
      <c r="AX106" s="275" t="str">
        <f t="shared" si="57"/>
        <v/>
      </c>
      <c r="AY106"/>
      <c r="AZ106" s="275" t="str">
        <f ca="1">IF(ISNUMBER(OFFSET(AV106,-$F$21,0)),SUM(OFFSET($T$100,$F$21,0):$T106),"")</f>
        <v/>
      </c>
      <c r="BA106" s="275" t="str">
        <f t="shared" ca="1" si="27"/>
        <v/>
      </c>
      <c r="BB106" s="275" t="str">
        <f t="shared" ca="1" si="58"/>
        <v/>
      </c>
      <c r="BC106" s="190"/>
      <c r="BD106" s="275" t="str">
        <f ca="1">IFERROR(IF(AND($B106&gt;=($F$16-$F$15),$B106&lt;$F$22+($F$16-$F$15)),SUM(OFFSET($T$100,($F$16-$F$15),0):$T106),""),"")</f>
        <v/>
      </c>
      <c r="BE106" s="275" t="str">
        <f t="shared" ca="1" si="59"/>
        <v/>
      </c>
      <c r="BF106" s="275" t="str">
        <f t="shared" ca="1" si="60"/>
        <v/>
      </c>
      <c r="BG106"/>
      <c r="BH106" s="190" t="str">
        <f ca="1">IF(ISNUMBER(OFFSET(BD106,-$F$21,0)),SUM(OFFSET($T$100,($F$16-$F$15+$F$21),0):$T106),"")</f>
        <v/>
      </c>
      <c r="BI106" s="190" t="str">
        <f t="shared" ca="1" si="28"/>
        <v/>
      </c>
      <c r="BJ106" s="190" t="str">
        <f t="shared" ca="1" si="61"/>
        <v/>
      </c>
      <c r="BK106" s="190"/>
      <c r="BL106" s="275" t="str">
        <f ca="1">IFERROR(IF(AND($B106&gt;=($F$17-$F$15),$B106&lt;$F$22+($F$17-$F$15)),SUM(OFFSET($T$100,($F$17-$F$15),0):$T106),""),"")</f>
        <v/>
      </c>
      <c r="BM106" s="275" t="str">
        <f t="shared" ca="1" si="29"/>
        <v/>
      </c>
      <c r="BN106" s="275" t="str">
        <f t="shared" ca="1" si="62"/>
        <v/>
      </c>
      <c r="BO106"/>
      <c r="BP106" s="275" t="str">
        <f ca="1">IF(ISNUMBER(OFFSET(BL106,-$F$21,0)),SUM(OFFSET($T$100,($F$17-$F$15+$F$21),0):$T106),"")</f>
        <v/>
      </c>
      <c r="BQ106" s="275" t="str">
        <f t="shared" ca="1" si="63"/>
        <v/>
      </c>
      <c r="BR106" s="275" t="str">
        <f t="shared" ca="1" si="64"/>
        <v/>
      </c>
      <c r="BS106" s="190"/>
      <c r="BT106"/>
      <c r="BU106" s="276" t="str">
        <f t="shared" si="65"/>
        <v>end</v>
      </c>
      <c r="BV106" s="277">
        <v>6</v>
      </c>
      <c r="BW106" s="278" t="str">
        <f>IF(AND(BU106="end",BU105="end"), "", IF(BU106&lt;&gt;"",MIN(BU105:BU106),""))</f>
        <v/>
      </c>
      <c r="BX106" s="278" t="str">
        <f>IF(AND(BU106="end",BU105="end"), "", IF(BU106&lt;&gt;"",MAX(BU105:BU106),""))</f>
        <v/>
      </c>
      <c r="BY106" s="279" t="str">
        <f t="shared" si="66"/>
        <v/>
      </c>
      <c r="BZ106"/>
      <c r="CA106" s="284" t="str">
        <f t="shared" si="30"/>
        <v>-</v>
      </c>
      <c r="CB106" s="285" t="str">
        <f t="shared" si="31"/>
        <v>-</v>
      </c>
      <c r="CC106" s="285" t="str">
        <f t="shared" si="32"/>
        <v>6-7</v>
      </c>
      <c r="CD106" s="286" t="str">
        <f t="shared" si="33"/>
        <v/>
      </c>
      <c r="CE106" s="287" t="str">
        <f t="shared" si="34"/>
        <v>-</v>
      </c>
      <c r="CF106" s="285" t="str">
        <f t="shared" ca="1" si="35"/>
        <v>-</v>
      </c>
      <c r="CG106" s="285" t="str">
        <f t="shared" si="36"/>
        <v>6-7</v>
      </c>
      <c r="CH106" s="288" t="str">
        <f t="shared" ca="1" si="37"/>
        <v/>
      </c>
      <c r="CI106" s="99"/>
      <c r="CJ106" s="99"/>
      <c r="CK106" s="99"/>
      <c r="CL106" s="99"/>
      <c r="CM106" s="99"/>
      <c r="CN106" s="99"/>
      <c r="CO106" s="99"/>
    </row>
    <row r="107" spans="2:93" ht="13.5" customHeight="1" x14ac:dyDescent="0.2">
      <c r="B107" s="262">
        <v>7</v>
      </c>
      <c r="C107" s="236" t="str">
        <f t="shared" si="1"/>
        <v/>
      </c>
      <c r="D107" s="237" t="str">
        <f t="shared" si="67"/>
        <v>-</v>
      </c>
      <c r="E107" s="263" t="str">
        <f t="shared" si="38"/>
        <v/>
      </c>
      <c r="F107" s="264" t="str">
        <f t="shared" si="39"/>
        <v/>
      </c>
      <c r="G107" s="264" t="str">
        <f t="shared" si="40"/>
        <v/>
      </c>
      <c r="H107" s="240" t="str">
        <f t="shared" si="41"/>
        <v/>
      </c>
      <c r="I107" s="265" t="str">
        <f t="shared" si="2"/>
        <v/>
      </c>
      <c r="J107" s="265" t="str">
        <f t="shared" si="3"/>
        <v/>
      </c>
      <c r="K107" s="240" t="str">
        <f t="shared" si="4"/>
        <v/>
      </c>
      <c r="L107" s="265" t="str">
        <f t="shared" si="5"/>
        <v/>
      </c>
      <c r="M107" s="265" t="str">
        <f t="shared" si="6"/>
        <v/>
      </c>
      <c r="N107" s="240" t="str">
        <f t="shared" si="7"/>
        <v>-</v>
      </c>
      <c r="O107" s="265" t="str">
        <f t="shared" si="8"/>
        <v>-</v>
      </c>
      <c r="P107" s="265" t="str">
        <f t="shared" si="9"/>
        <v>-</v>
      </c>
      <c r="Q107" s="266" t="str">
        <f t="shared" si="10"/>
        <v>-</v>
      </c>
      <c r="R107" s="267" t="str">
        <f t="shared" si="11"/>
        <v>-</v>
      </c>
      <c r="S107" s="268" t="str">
        <f t="shared" si="12"/>
        <v>-</v>
      </c>
      <c r="T107" s="269" t="str">
        <f t="shared" si="13"/>
        <v/>
      </c>
      <c r="U107" s="221">
        <f t="shared" si="14"/>
        <v>7</v>
      </c>
      <c r="V107" s="220" t="str">
        <f t="shared" si="42"/>
        <v>-</v>
      </c>
      <c r="W107" s="221" t="str">
        <f t="shared" si="43"/>
        <v>-</v>
      </c>
      <c r="X107" s="221" t="str">
        <f t="shared" si="15"/>
        <v>-</v>
      </c>
      <c r="Y107" s="221" t="str">
        <f t="shared" si="16"/>
        <v>-</v>
      </c>
      <c r="Z107" s="270">
        <f t="shared" si="44"/>
        <v>0.1</v>
      </c>
      <c r="AA107" s="271" t="str">
        <f t="shared" si="45"/>
        <v>-</v>
      </c>
      <c r="AB107" s="271" t="str">
        <f t="shared" si="17"/>
        <v>-</v>
      </c>
      <c r="AC107" s="224">
        <f t="shared" si="46"/>
        <v>7</v>
      </c>
      <c r="AD107" s="223" t="str">
        <f t="shared" si="18"/>
        <v>-</v>
      </c>
      <c r="AE107" s="224" t="str">
        <f t="shared" si="47"/>
        <v>-</v>
      </c>
      <c r="AF107" s="224" t="str">
        <f t="shared" si="19"/>
        <v>-</v>
      </c>
      <c r="AG107" s="224" t="str">
        <f t="shared" si="20"/>
        <v>-</v>
      </c>
      <c r="AH107" s="272">
        <f t="shared" si="48"/>
        <v>0.1</v>
      </c>
      <c r="AI107" s="271" t="str">
        <f t="shared" si="21"/>
        <v>-</v>
      </c>
      <c r="AJ107" s="271" t="str">
        <f t="shared" si="49"/>
        <v>-</v>
      </c>
      <c r="AK107" s="227">
        <f t="shared" si="50"/>
        <v>7</v>
      </c>
      <c r="AL107" s="226" t="str">
        <f t="shared" si="22"/>
        <v>-</v>
      </c>
      <c r="AM107" s="227" t="str">
        <f t="shared" si="51"/>
        <v>-</v>
      </c>
      <c r="AN107" s="227" t="str">
        <f t="shared" si="52"/>
        <v>-</v>
      </c>
      <c r="AO107" s="227" t="str">
        <f t="shared" si="23"/>
        <v>-</v>
      </c>
      <c r="AP107" s="273">
        <f t="shared" si="53"/>
        <v>0.1</v>
      </c>
      <c r="AQ107" s="271" t="str">
        <f t="shared" si="54"/>
        <v>-</v>
      </c>
      <c r="AR107" s="271" t="str">
        <f t="shared" si="55"/>
        <v>-</v>
      </c>
      <c r="AS107" s="274">
        <f t="shared" si="24"/>
        <v>0</v>
      </c>
      <c r="AT107" s="274">
        <f t="shared" si="25"/>
        <v>0</v>
      </c>
      <c r="AU107" s="274">
        <f t="shared" si="26"/>
        <v>0</v>
      </c>
      <c r="AV107" s="275">
        <f>IF($B107&lt;$F$22,SUM($T$100:$T107),"")</f>
        <v>0</v>
      </c>
      <c r="AW107" s="275" t="str">
        <f t="shared" si="56"/>
        <v>-</v>
      </c>
      <c r="AX107" s="275" t="str">
        <f t="shared" si="57"/>
        <v/>
      </c>
      <c r="AY107"/>
      <c r="AZ107" s="275" t="str">
        <f ca="1">IF(ISNUMBER(OFFSET(AV107,-$F$21,0)),SUM(OFFSET($T$100,$F$21,0):$T107),"")</f>
        <v/>
      </c>
      <c r="BA107" s="275" t="str">
        <f t="shared" ca="1" si="27"/>
        <v/>
      </c>
      <c r="BB107" s="275" t="str">
        <f t="shared" ca="1" si="58"/>
        <v/>
      </c>
      <c r="BC107" s="190"/>
      <c r="BD107" s="275" t="str">
        <f ca="1">IFERROR(IF(AND($B107&gt;=($F$16-$F$15),$B107&lt;$F$22+($F$16-$F$15)),SUM(OFFSET($T$100,($F$16-$F$15),0):$T107),""),"")</f>
        <v/>
      </c>
      <c r="BE107" s="275" t="str">
        <f t="shared" ca="1" si="59"/>
        <v/>
      </c>
      <c r="BF107" s="275" t="str">
        <f t="shared" ca="1" si="60"/>
        <v/>
      </c>
      <c r="BG107"/>
      <c r="BH107" s="190" t="str">
        <f ca="1">IF(ISNUMBER(OFFSET(BD107,-$F$21,0)),SUM(OFFSET($T$100,($F$16-$F$15+$F$21),0):$T107),"")</f>
        <v/>
      </c>
      <c r="BI107" s="190" t="str">
        <f t="shared" ca="1" si="28"/>
        <v/>
      </c>
      <c r="BJ107" s="190" t="str">
        <f t="shared" ca="1" si="61"/>
        <v/>
      </c>
      <c r="BK107" s="190"/>
      <c r="BL107" s="275" t="str">
        <f ca="1">IFERROR(IF(AND($B107&gt;=($F$17-$F$15),$B107&lt;$F$22+($F$17-$F$15)),SUM(OFFSET($T$100,($F$17-$F$15),0):$T107),""),"")</f>
        <v/>
      </c>
      <c r="BM107" s="275" t="str">
        <f t="shared" ca="1" si="29"/>
        <v/>
      </c>
      <c r="BN107" s="275" t="str">
        <f t="shared" ca="1" si="62"/>
        <v/>
      </c>
      <c r="BO107"/>
      <c r="BP107" s="275" t="str">
        <f ca="1">IF(ISNUMBER(OFFSET(BL107,-$F$21,0)),SUM(OFFSET($T$100,($F$17-$F$15+$F$21),0):$T107),"")</f>
        <v/>
      </c>
      <c r="BQ107" s="275" t="str">
        <f t="shared" ca="1" si="63"/>
        <v/>
      </c>
      <c r="BR107" s="275" t="str">
        <f t="shared" ca="1" si="64"/>
        <v/>
      </c>
      <c r="BS107" s="190"/>
      <c r="BT107"/>
      <c r="BU107" s="276" t="str">
        <f t="shared" si="65"/>
        <v>end</v>
      </c>
      <c r="BV107" s="277">
        <v>7</v>
      </c>
      <c r="BW107" s="278" t="str">
        <f>IF(AND(BU107="end",BU106="end"), "", IF(BU107&lt;&gt;"",MIN(BU106:BU107),""))</f>
        <v/>
      </c>
      <c r="BX107" s="278" t="str">
        <f t="shared" ref="BX107:BX120" si="68">IF(AND(BU107="end",BU106="end"), "", IF(BU107&lt;&gt;"",MAX(BU106:BU107),""))</f>
        <v/>
      </c>
      <c r="BY107" s="279" t="str">
        <f t="shared" si="66"/>
        <v/>
      </c>
      <c r="BZ107"/>
      <c r="CA107" s="284" t="str">
        <f t="shared" si="30"/>
        <v>-</v>
      </c>
      <c r="CB107" s="285" t="str">
        <f t="shared" si="31"/>
        <v>-</v>
      </c>
      <c r="CC107" s="285" t="str">
        <f t="shared" si="32"/>
        <v>7-8</v>
      </c>
      <c r="CD107" s="286" t="str">
        <f t="shared" si="33"/>
        <v/>
      </c>
      <c r="CE107" s="287" t="str">
        <f t="shared" si="34"/>
        <v>-</v>
      </c>
      <c r="CF107" s="285" t="str">
        <f t="shared" ca="1" si="35"/>
        <v>-</v>
      </c>
      <c r="CG107" s="285" t="str">
        <f t="shared" si="36"/>
        <v>7-8</v>
      </c>
      <c r="CH107" s="288" t="str">
        <f t="shared" ca="1" si="37"/>
        <v/>
      </c>
      <c r="CI107" s="99"/>
      <c r="CJ107" s="99"/>
      <c r="CK107" s="99"/>
      <c r="CL107" s="99"/>
      <c r="CM107" s="99"/>
      <c r="CN107" s="99"/>
      <c r="CO107" s="99"/>
    </row>
    <row r="108" spans="2:93" ht="13.5" customHeight="1" x14ac:dyDescent="0.2">
      <c r="B108" s="262">
        <v>8</v>
      </c>
      <c r="C108" s="237" t="str">
        <f t="shared" si="1"/>
        <v/>
      </c>
      <c r="D108" s="237" t="str">
        <f t="shared" si="67"/>
        <v>-</v>
      </c>
      <c r="E108" s="263" t="str">
        <f t="shared" si="38"/>
        <v/>
      </c>
      <c r="F108" s="264" t="str">
        <f t="shared" si="39"/>
        <v/>
      </c>
      <c r="G108" s="264" t="str">
        <f t="shared" si="40"/>
        <v/>
      </c>
      <c r="H108" s="240" t="str">
        <f t="shared" si="41"/>
        <v/>
      </c>
      <c r="I108" s="265" t="str">
        <f t="shared" si="2"/>
        <v/>
      </c>
      <c r="J108" s="265" t="str">
        <f t="shared" si="3"/>
        <v/>
      </c>
      <c r="K108" s="240" t="str">
        <f t="shared" si="4"/>
        <v/>
      </c>
      <c r="L108" s="265" t="str">
        <f t="shared" si="5"/>
        <v/>
      </c>
      <c r="M108" s="265" t="str">
        <f t="shared" si="6"/>
        <v/>
      </c>
      <c r="N108" s="240" t="str">
        <f t="shared" si="7"/>
        <v>-</v>
      </c>
      <c r="O108" s="265" t="str">
        <f t="shared" si="8"/>
        <v>-</v>
      </c>
      <c r="P108" s="265" t="str">
        <f t="shared" si="9"/>
        <v>-</v>
      </c>
      <c r="Q108" s="266" t="str">
        <f t="shared" si="10"/>
        <v>-</v>
      </c>
      <c r="R108" s="267" t="str">
        <f t="shared" si="11"/>
        <v>-</v>
      </c>
      <c r="S108" s="268" t="str">
        <f t="shared" si="12"/>
        <v>-</v>
      </c>
      <c r="T108" s="269" t="str">
        <f t="shared" si="13"/>
        <v/>
      </c>
      <c r="U108" s="221">
        <f t="shared" si="14"/>
        <v>8</v>
      </c>
      <c r="V108" s="220" t="str">
        <f t="shared" si="42"/>
        <v>-</v>
      </c>
      <c r="W108" s="221" t="str">
        <f t="shared" si="43"/>
        <v>-</v>
      </c>
      <c r="X108" s="221" t="str">
        <f t="shared" si="15"/>
        <v>-</v>
      </c>
      <c r="Y108" s="221" t="str">
        <f t="shared" si="16"/>
        <v>-</v>
      </c>
      <c r="Z108" s="270">
        <f t="shared" si="44"/>
        <v>0.1</v>
      </c>
      <c r="AA108" s="271" t="str">
        <f t="shared" si="45"/>
        <v>-</v>
      </c>
      <c r="AB108" s="271" t="str">
        <f t="shared" si="17"/>
        <v>-</v>
      </c>
      <c r="AC108" s="224">
        <f t="shared" si="46"/>
        <v>8</v>
      </c>
      <c r="AD108" s="223" t="str">
        <f t="shared" si="18"/>
        <v>-</v>
      </c>
      <c r="AE108" s="224" t="str">
        <f t="shared" si="47"/>
        <v>-</v>
      </c>
      <c r="AF108" s="224" t="str">
        <f t="shared" si="19"/>
        <v>-</v>
      </c>
      <c r="AG108" s="224" t="str">
        <f t="shared" si="20"/>
        <v>-</v>
      </c>
      <c r="AH108" s="272">
        <f t="shared" si="48"/>
        <v>0.1</v>
      </c>
      <c r="AI108" s="271" t="str">
        <f t="shared" si="21"/>
        <v>-</v>
      </c>
      <c r="AJ108" s="271" t="str">
        <f t="shared" si="49"/>
        <v>-</v>
      </c>
      <c r="AK108" s="227">
        <f t="shared" si="50"/>
        <v>8</v>
      </c>
      <c r="AL108" s="226" t="str">
        <f t="shared" si="22"/>
        <v>-</v>
      </c>
      <c r="AM108" s="227" t="str">
        <f t="shared" si="51"/>
        <v>-</v>
      </c>
      <c r="AN108" s="227" t="str">
        <f t="shared" si="52"/>
        <v>-</v>
      </c>
      <c r="AO108" s="227" t="str">
        <f t="shared" si="23"/>
        <v>-</v>
      </c>
      <c r="AP108" s="273">
        <f t="shared" si="53"/>
        <v>0.1</v>
      </c>
      <c r="AQ108" s="271" t="str">
        <f t="shared" si="54"/>
        <v>-</v>
      </c>
      <c r="AR108" s="271" t="str">
        <f t="shared" si="55"/>
        <v>-</v>
      </c>
      <c r="AS108" s="274">
        <f t="shared" si="24"/>
        <v>0</v>
      </c>
      <c r="AT108" s="274">
        <f t="shared" si="25"/>
        <v>0</v>
      </c>
      <c r="AU108" s="274">
        <f t="shared" si="26"/>
        <v>0</v>
      </c>
      <c r="AV108" s="275">
        <f>IF($B108&lt;$F$22,SUM($T$100:$T108),"")</f>
        <v>0</v>
      </c>
      <c r="AW108" s="275" t="str">
        <f t="shared" si="56"/>
        <v>-</v>
      </c>
      <c r="AX108" s="275" t="str">
        <f t="shared" si="57"/>
        <v/>
      </c>
      <c r="AY108"/>
      <c r="AZ108" s="275" t="str">
        <f ca="1">IF(ISNUMBER(OFFSET(AV108,-$F$21,0)),SUM(OFFSET($T$100,$F$21,0):$T108),"")</f>
        <v/>
      </c>
      <c r="BA108" s="275" t="str">
        <f t="shared" ca="1" si="27"/>
        <v/>
      </c>
      <c r="BB108" s="275" t="str">
        <f t="shared" ca="1" si="58"/>
        <v/>
      </c>
      <c r="BC108" s="190"/>
      <c r="BD108" s="275" t="str">
        <f ca="1">IFERROR(IF(AND($B108&gt;=($F$16-$F$15),$B108&lt;$F$22+($F$16-$F$15)),SUM(OFFSET($T$100,($F$16-$F$15),0):$T108),""),"")</f>
        <v/>
      </c>
      <c r="BE108" s="275" t="str">
        <f t="shared" ca="1" si="59"/>
        <v/>
      </c>
      <c r="BF108" s="275" t="str">
        <f t="shared" ca="1" si="60"/>
        <v/>
      </c>
      <c r="BG108"/>
      <c r="BH108" s="190" t="str">
        <f ca="1">IF(ISNUMBER(OFFSET(BD108,-$F$21,0)),SUM(OFFSET($T$100,($F$16-$F$15+$F$21),0):$T108),"")</f>
        <v/>
      </c>
      <c r="BI108" s="190" t="str">
        <f t="shared" ca="1" si="28"/>
        <v/>
      </c>
      <c r="BJ108" s="190" t="str">
        <f t="shared" ca="1" si="61"/>
        <v/>
      </c>
      <c r="BK108" s="190"/>
      <c r="BL108" s="275" t="str">
        <f ca="1">IFERROR(IF(AND($B108&gt;=($F$17-$F$15),$B108&lt;$F$22+($F$17-$F$15)),SUM(OFFSET($T$100,($F$17-$F$15),0):$T108),""),"")</f>
        <v/>
      </c>
      <c r="BM108" s="275" t="str">
        <f t="shared" ca="1" si="29"/>
        <v/>
      </c>
      <c r="BN108" s="275" t="str">
        <f t="shared" ca="1" si="62"/>
        <v/>
      </c>
      <c r="BO108"/>
      <c r="BP108" s="275" t="str">
        <f ca="1">IF(ISNUMBER(OFFSET(BL108,-$F$21,0)),SUM(OFFSET($T$100,($F$17-$F$15+$F$21),0):$T108),"")</f>
        <v/>
      </c>
      <c r="BQ108" s="275" t="str">
        <f t="shared" ca="1" si="63"/>
        <v/>
      </c>
      <c r="BR108" s="275" t="str">
        <f t="shared" ca="1" si="64"/>
        <v/>
      </c>
      <c r="BS108" s="190"/>
      <c r="BT108"/>
      <c r="BU108" s="276" t="str">
        <f t="shared" si="65"/>
        <v>end</v>
      </c>
      <c r="BV108" s="277">
        <v>8</v>
      </c>
      <c r="BW108" s="278" t="str">
        <f t="shared" ref="BW108:BW120" si="69">IF(AND(BU108="end",BU107="end"), "", IF(BU108&lt;&gt;"",MIN(BU107:BU108),""))</f>
        <v/>
      </c>
      <c r="BX108" s="278" t="str">
        <f t="shared" si="68"/>
        <v/>
      </c>
      <c r="BY108" s="279" t="str">
        <f t="shared" si="66"/>
        <v/>
      </c>
      <c r="BZ108"/>
      <c r="CA108" s="284" t="str">
        <f t="shared" si="30"/>
        <v>-</v>
      </c>
      <c r="CB108" s="285" t="str">
        <f t="shared" si="31"/>
        <v>-</v>
      </c>
      <c r="CC108" s="285" t="str">
        <f t="shared" si="32"/>
        <v>8-9</v>
      </c>
      <c r="CD108" s="286" t="str">
        <f t="shared" si="33"/>
        <v/>
      </c>
      <c r="CE108" s="287" t="str">
        <f t="shared" si="34"/>
        <v>-</v>
      </c>
      <c r="CF108" s="285" t="str">
        <f t="shared" ca="1" si="35"/>
        <v>-</v>
      </c>
      <c r="CG108" s="285" t="str">
        <f t="shared" si="36"/>
        <v>8-9</v>
      </c>
      <c r="CH108" s="288" t="str">
        <f t="shared" ca="1" si="37"/>
        <v/>
      </c>
      <c r="CI108" s="99"/>
      <c r="CJ108" s="99"/>
      <c r="CK108" s="99"/>
      <c r="CL108" s="99"/>
      <c r="CM108" s="99"/>
      <c r="CN108" s="99"/>
      <c r="CO108" s="99"/>
    </row>
    <row r="109" spans="2:93" ht="13.5" customHeight="1" x14ac:dyDescent="0.2">
      <c r="B109" s="262">
        <v>9</v>
      </c>
      <c r="C109" s="237" t="str">
        <f t="shared" si="1"/>
        <v/>
      </c>
      <c r="D109" s="237" t="str">
        <f t="shared" si="67"/>
        <v>-</v>
      </c>
      <c r="E109" s="263" t="str">
        <f t="shared" si="38"/>
        <v/>
      </c>
      <c r="F109" s="264" t="str">
        <f t="shared" si="39"/>
        <v/>
      </c>
      <c r="G109" s="264" t="str">
        <f t="shared" si="40"/>
        <v/>
      </c>
      <c r="H109" s="240" t="str">
        <f t="shared" si="41"/>
        <v/>
      </c>
      <c r="I109" s="265" t="str">
        <f t="shared" si="2"/>
        <v/>
      </c>
      <c r="J109" s="265" t="str">
        <f t="shared" si="3"/>
        <v/>
      </c>
      <c r="K109" s="240" t="str">
        <f t="shared" si="4"/>
        <v/>
      </c>
      <c r="L109" s="265" t="str">
        <f t="shared" si="5"/>
        <v/>
      </c>
      <c r="M109" s="265" t="str">
        <f t="shared" si="6"/>
        <v/>
      </c>
      <c r="N109" s="240" t="str">
        <f t="shared" si="7"/>
        <v>-</v>
      </c>
      <c r="O109" s="265" t="str">
        <f t="shared" si="8"/>
        <v>-</v>
      </c>
      <c r="P109" s="265" t="str">
        <f t="shared" si="9"/>
        <v>-</v>
      </c>
      <c r="Q109" s="266" t="str">
        <f t="shared" si="10"/>
        <v>-</v>
      </c>
      <c r="R109" s="267" t="str">
        <f t="shared" si="11"/>
        <v>-</v>
      </c>
      <c r="S109" s="268" t="str">
        <f t="shared" si="12"/>
        <v>-</v>
      </c>
      <c r="T109" s="269" t="str">
        <f t="shared" si="13"/>
        <v/>
      </c>
      <c r="U109" s="221">
        <f t="shared" si="14"/>
        <v>9</v>
      </c>
      <c r="V109" s="220" t="str">
        <f t="shared" si="42"/>
        <v>-</v>
      </c>
      <c r="W109" s="221" t="str">
        <f t="shared" si="43"/>
        <v>-</v>
      </c>
      <c r="X109" s="221" t="str">
        <f t="shared" si="15"/>
        <v>-</v>
      </c>
      <c r="Y109" s="221" t="str">
        <f t="shared" si="16"/>
        <v>-</v>
      </c>
      <c r="Z109" s="270">
        <f t="shared" si="44"/>
        <v>0.1</v>
      </c>
      <c r="AA109" s="271" t="str">
        <f t="shared" si="45"/>
        <v>-</v>
      </c>
      <c r="AB109" s="271" t="str">
        <f t="shared" si="17"/>
        <v>-</v>
      </c>
      <c r="AC109" s="224">
        <f t="shared" si="46"/>
        <v>9</v>
      </c>
      <c r="AD109" s="223" t="str">
        <f t="shared" si="18"/>
        <v>-</v>
      </c>
      <c r="AE109" s="224" t="str">
        <f t="shared" si="47"/>
        <v>-</v>
      </c>
      <c r="AF109" s="224" t="str">
        <f t="shared" si="19"/>
        <v>-</v>
      </c>
      <c r="AG109" s="224" t="str">
        <f t="shared" si="20"/>
        <v>-</v>
      </c>
      <c r="AH109" s="272">
        <f t="shared" si="48"/>
        <v>0.1</v>
      </c>
      <c r="AI109" s="271" t="str">
        <f t="shared" si="21"/>
        <v>-</v>
      </c>
      <c r="AJ109" s="271" t="str">
        <f t="shared" si="49"/>
        <v>-</v>
      </c>
      <c r="AK109" s="227">
        <f t="shared" si="50"/>
        <v>9</v>
      </c>
      <c r="AL109" s="226" t="str">
        <f t="shared" si="22"/>
        <v>-</v>
      </c>
      <c r="AM109" s="227" t="str">
        <f t="shared" si="51"/>
        <v>-</v>
      </c>
      <c r="AN109" s="227" t="str">
        <f t="shared" si="52"/>
        <v>-</v>
      </c>
      <c r="AO109" s="227" t="str">
        <f t="shared" si="23"/>
        <v>-</v>
      </c>
      <c r="AP109" s="273">
        <f t="shared" si="53"/>
        <v>0.1</v>
      </c>
      <c r="AQ109" s="271" t="str">
        <f t="shared" si="54"/>
        <v>-</v>
      </c>
      <c r="AR109" s="271" t="str">
        <f t="shared" si="55"/>
        <v>-</v>
      </c>
      <c r="AS109" s="274">
        <f t="shared" si="24"/>
        <v>0</v>
      </c>
      <c r="AT109" s="274">
        <f t="shared" si="25"/>
        <v>0</v>
      </c>
      <c r="AU109" s="274">
        <f t="shared" si="26"/>
        <v>0</v>
      </c>
      <c r="AV109" s="275">
        <f>IF($B109&lt;$F$22,SUM($T$100:$T109),"")</f>
        <v>0</v>
      </c>
      <c r="AW109" s="275" t="str">
        <f t="shared" si="56"/>
        <v>-</v>
      </c>
      <c r="AX109" s="275" t="str">
        <f t="shared" si="57"/>
        <v/>
      </c>
      <c r="AY109"/>
      <c r="AZ109" s="275" t="str">
        <f ca="1">IF(ISNUMBER(OFFSET(AV109,-$F$21,0)),SUM(OFFSET($T$100,$F$21,0):$T109),"")</f>
        <v/>
      </c>
      <c r="BA109" s="275" t="str">
        <f t="shared" ca="1" si="27"/>
        <v/>
      </c>
      <c r="BB109" s="275" t="str">
        <f t="shared" ca="1" si="58"/>
        <v/>
      </c>
      <c r="BC109" s="190"/>
      <c r="BD109" s="275" t="str">
        <f ca="1">IFERROR(IF(AND($B109&gt;=($F$16-$F$15),$B109&lt;$F$22+($F$16-$F$15)),SUM(OFFSET($T$100,($F$16-$F$15),0):$T109),""),"")</f>
        <v/>
      </c>
      <c r="BE109" s="275" t="str">
        <f t="shared" ca="1" si="59"/>
        <v/>
      </c>
      <c r="BF109" s="275" t="str">
        <f t="shared" ca="1" si="60"/>
        <v/>
      </c>
      <c r="BG109"/>
      <c r="BH109" s="190" t="str">
        <f ca="1">IF(ISNUMBER(OFFSET(BD109,-$F$21,0)),SUM(OFFSET($T$100,($F$16-$F$15+$F$21),0):$T109),"")</f>
        <v/>
      </c>
      <c r="BI109" s="190" t="str">
        <f t="shared" ca="1" si="28"/>
        <v/>
      </c>
      <c r="BJ109" s="190" t="str">
        <f t="shared" ca="1" si="61"/>
        <v/>
      </c>
      <c r="BK109" s="190"/>
      <c r="BL109" s="275" t="str">
        <f ca="1">IFERROR(IF(AND($B109&gt;=($F$17-$F$15),$B109&lt;$F$22+($F$17-$F$15)),SUM(OFFSET($T$100,($F$17-$F$15),0):$T109),""),"")</f>
        <v/>
      </c>
      <c r="BM109" s="275" t="str">
        <f t="shared" ca="1" si="29"/>
        <v/>
      </c>
      <c r="BN109" s="275" t="str">
        <f t="shared" ca="1" si="62"/>
        <v/>
      </c>
      <c r="BO109"/>
      <c r="BP109" s="275" t="str">
        <f ca="1">IF(ISNUMBER(OFFSET(BL109,-$F$21,0)),SUM(OFFSET($T$100,($F$17-$F$15+$F$21),0):$T109),"")</f>
        <v/>
      </c>
      <c r="BQ109" s="275" t="str">
        <f t="shared" ca="1" si="63"/>
        <v/>
      </c>
      <c r="BR109" s="275" t="str">
        <f t="shared" ca="1" si="64"/>
        <v/>
      </c>
      <c r="BS109" s="190"/>
      <c r="BT109"/>
      <c r="BU109" s="276" t="str">
        <f t="shared" si="65"/>
        <v>end</v>
      </c>
      <c r="BV109" s="277">
        <v>9</v>
      </c>
      <c r="BW109" s="278" t="str">
        <f t="shared" si="69"/>
        <v/>
      </c>
      <c r="BX109" s="278" t="str">
        <f t="shared" si="68"/>
        <v/>
      </c>
      <c r="BY109" s="279" t="str">
        <f t="shared" si="66"/>
        <v/>
      </c>
      <c r="BZ109"/>
      <c r="CA109" s="284" t="str">
        <f t="shared" si="30"/>
        <v>-</v>
      </c>
      <c r="CB109" s="285" t="str">
        <f t="shared" si="31"/>
        <v>-</v>
      </c>
      <c r="CC109" s="285" t="str">
        <f t="shared" si="32"/>
        <v>9-10</v>
      </c>
      <c r="CD109" s="286" t="str">
        <f t="shared" si="33"/>
        <v/>
      </c>
      <c r="CE109" s="287" t="str">
        <f t="shared" si="34"/>
        <v>-</v>
      </c>
      <c r="CF109" s="285" t="str">
        <f t="shared" ca="1" si="35"/>
        <v>-</v>
      </c>
      <c r="CG109" s="285" t="str">
        <f t="shared" si="36"/>
        <v>9-10</v>
      </c>
      <c r="CH109" s="288" t="str">
        <f t="shared" ca="1" si="37"/>
        <v/>
      </c>
      <c r="CI109" s="99"/>
      <c r="CJ109" s="99"/>
      <c r="CK109" s="99"/>
      <c r="CL109" s="99"/>
      <c r="CM109" s="99"/>
      <c r="CN109" s="99"/>
      <c r="CO109" s="99"/>
    </row>
    <row r="110" spans="2:93" ht="13.5" customHeight="1" x14ac:dyDescent="0.2">
      <c r="B110" s="262">
        <v>10</v>
      </c>
      <c r="C110" s="237" t="str">
        <f t="shared" si="1"/>
        <v/>
      </c>
      <c r="D110" s="237" t="str">
        <f t="shared" si="67"/>
        <v>-</v>
      </c>
      <c r="E110" s="263" t="str">
        <f t="shared" si="38"/>
        <v/>
      </c>
      <c r="F110" s="264" t="str">
        <f t="shared" si="39"/>
        <v/>
      </c>
      <c r="G110" s="264" t="str">
        <f t="shared" si="40"/>
        <v/>
      </c>
      <c r="H110" s="240" t="str">
        <f t="shared" si="41"/>
        <v/>
      </c>
      <c r="I110" s="265" t="str">
        <f t="shared" si="2"/>
        <v/>
      </c>
      <c r="J110" s="265" t="str">
        <f t="shared" si="3"/>
        <v/>
      </c>
      <c r="K110" s="240" t="str">
        <f t="shared" si="4"/>
        <v/>
      </c>
      <c r="L110" s="265" t="str">
        <f t="shared" si="5"/>
        <v/>
      </c>
      <c r="M110" s="265" t="str">
        <f t="shared" si="6"/>
        <v/>
      </c>
      <c r="N110" s="240" t="str">
        <f t="shared" si="7"/>
        <v>-</v>
      </c>
      <c r="O110" s="265" t="str">
        <f t="shared" si="8"/>
        <v>-</v>
      </c>
      <c r="P110" s="265" t="str">
        <f t="shared" si="9"/>
        <v>-</v>
      </c>
      <c r="Q110" s="266" t="str">
        <f t="shared" si="10"/>
        <v>-</v>
      </c>
      <c r="R110" s="267" t="str">
        <f t="shared" si="11"/>
        <v>-</v>
      </c>
      <c r="S110" s="268" t="str">
        <f t="shared" si="12"/>
        <v>-</v>
      </c>
      <c r="T110" s="269" t="str">
        <f t="shared" si="13"/>
        <v/>
      </c>
      <c r="U110" s="221">
        <f t="shared" si="14"/>
        <v>10</v>
      </c>
      <c r="V110" s="220" t="str">
        <f t="shared" si="42"/>
        <v>-</v>
      </c>
      <c r="W110" s="221" t="str">
        <f t="shared" si="43"/>
        <v>-</v>
      </c>
      <c r="X110" s="221" t="str">
        <f t="shared" si="15"/>
        <v>-</v>
      </c>
      <c r="Y110" s="221" t="str">
        <f t="shared" si="16"/>
        <v>-</v>
      </c>
      <c r="Z110" s="270">
        <f t="shared" si="44"/>
        <v>0.1</v>
      </c>
      <c r="AA110" s="271" t="str">
        <f t="shared" si="45"/>
        <v>-</v>
      </c>
      <c r="AB110" s="271" t="str">
        <f t="shared" si="17"/>
        <v>-</v>
      </c>
      <c r="AC110" s="224">
        <f t="shared" si="46"/>
        <v>10</v>
      </c>
      <c r="AD110" s="223" t="str">
        <f t="shared" si="18"/>
        <v>-</v>
      </c>
      <c r="AE110" s="224" t="str">
        <f t="shared" si="47"/>
        <v>-</v>
      </c>
      <c r="AF110" s="224" t="str">
        <f t="shared" si="19"/>
        <v>-</v>
      </c>
      <c r="AG110" s="224" t="str">
        <f t="shared" si="20"/>
        <v>-</v>
      </c>
      <c r="AH110" s="272">
        <f t="shared" si="48"/>
        <v>0.1</v>
      </c>
      <c r="AI110" s="271" t="str">
        <f t="shared" si="21"/>
        <v>-</v>
      </c>
      <c r="AJ110" s="271" t="str">
        <f t="shared" si="49"/>
        <v>-</v>
      </c>
      <c r="AK110" s="227">
        <f t="shared" si="50"/>
        <v>10</v>
      </c>
      <c r="AL110" s="226" t="str">
        <f t="shared" si="22"/>
        <v>-</v>
      </c>
      <c r="AM110" s="227" t="str">
        <f t="shared" si="51"/>
        <v>-</v>
      </c>
      <c r="AN110" s="227" t="str">
        <f t="shared" si="52"/>
        <v>-</v>
      </c>
      <c r="AO110" s="227" t="str">
        <f t="shared" si="23"/>
        <v>-</v>
      </c>
      <c r="AP110" s="273">
        <f t="shared" si="53"/>
        <v>0.1</v>
      </c>
      <c r="AQ110" s="271" t="str">
        <f t="shared" si="54"/>
        <v>-</v>
      </c>
      <c r="AR110" s="271" t="str">
        <f t="shared" si="55"/>
        <v>-</v>
      </c>
      <c r="AS110" s="274">
        <f t="shared" si="24"/>
        <v>0</v>
      </c>
      <c r="AT110" s="274">
        <f t="shared" si="25"/>
        <v>0</v>
      </c>
      <c r="AU110" s="274">
        <f t="shared" si="26"/>
        <v>0</v>
      </c>
      <c r="AV110" s="275">
        <f>IF($B110&lt;$F$22,SUM($T$100:$T110),"")</f>
        <v>0</v>
      </c>
      <c r="AW110" s="275" t="str">
        <f t="shared" si="56"/>
        <v>-</v>
      </c>
      <c r="AX110" s="275" t="str">
        <f t="shared" si="57"/>
        <v/>
      </c>
      <c r="AY110"/>
      <c r="AZ110" s="275" t="str">
        <f ca="1">IF(ISNUMBER(OFFSET(AV110,-$F$21,0)),SUM(OFFSET($T$100,$F$21,0):$T110),"")</f>
        <v/>
      </c>
      <c r="BA110" s="275" t="str">
        <f t="shared" ca="1" si="27"/>
        <v/>
      </c>
      <c r="BB110" s="275" t="str">
        <f t="shared" ca="1" si="58"/>
        <v/>
      </c>
      <c r="BC110" s="190"/>
      <c r="BD110" s="275" t="str">
        <f ca="1">IFERROR(IF(AND($B110&gt;=($F$16-$F$15),$B110&lt;$F$22+($F$16-$F$15)),SUM(OFFSET($T$100,($F$16-$F$15),0):$T110),""),"")</f>
        <v/>
      </c>
      <c r="BE110" s="275" t="str">
        <f t="shared" ca="1" si="59"/>
        <v/>
      </c>
      <c r="BF110" s="275" t="str">
        <f t="shared" ca="1" si="60"/>
        <v/>
      </c>
      <c r="BG110"/>
      <c r="BH110" s="190" t="str">
        <f ca="1">IF(ISNUMBER(OFFSET(BD110,-$F$21,0)),SUM(OFFSET($T$100,($F$16-$F$15+$F$21),0):$T110),"")</f>
        <v/>
      </c>
      <c r="BI110" s="190" t="str">
        <f t="shared" ca="1" si="28"/>
        <v/>
      </c>
      <c r="BJ110" s="190" t="str">
        <f t="shared" ca="1" si="61"/>
        <v/>
      </c>
      <c r="BK110" s="190"/>
      <c r="BL110" s="275" t="str">
        <f ca="1">IFERROR(IF(AND($B110&gt;=($F$17-$F$15),$B110&lt;$F$22+($F$17-$F$15)),SUM(OFFSET($T$100,($F$17-$F$15),0):$T110),""),"")</f>
        <v/>
      </c>
      <c r="BM110" s="275" t="str">
        <f t="shared" ca="1" si="29"/>
        <v/>
      </c>
      <c r="BN110" s="275" t="str">
        <f t="shared" ca="1" si="62"/>
        <v/>
      </c>
      <c r="BO110"/>
      <c r="BP110" s="275" t="str">
        <f ca="1">IF(ISNUMBER(OFFSET(BL110,-$F$21,0)),SUM(OFFSET($T$100,($F$17-$F$15+$F$21),0):$T110),"")</f>
        <v/>
      </c>
      <c r="BQ110" s="275" t="str">
        <f t="shared" ca="1" si="63"/>
        <v/>
      </c>
      <c r="BR110" s="275" t="str">
        <f t="shared" ca="1" si="64"/>
        <v/>
      </c>
      <c r="BS110" s="190"/>
      <c r="BT110"/>
      <c r="BU110" s="276" t="str">
        <f t="shared" si="65"/>
        <v>end</v>
      </c>
      <c r="BV110" s="277">
        <v>10</v>
      </c>
      <c r="BW110" s="278" t="str">
        <f t="shared" si="69"/>
        <v/>
      </c>
      <c r="BX110" s="278" t="str">
        <f t="shared" si="68"/>
        <v/>
      </c>
      <c r="BY110" s="279" t="str">
        <f t="shared" si="66"/>
        <v/>
      </c>
      <c r="BZ110"/>
      <c r="CA110" s="284" t="str">
        <f t="shared" si="30"/>
        <v>-</v>
      </c>
      <c r="CB110" s="285" t="str">
        <f t="shared" si="31"/>
        <v>-</v>
      </c>
      <c r="CC110" s="285" t="str">
        <f t="shared" si="32"/>
        <v>10-11</v>
      </c>
      <c r="CD110" s="286" t="str">
        <f t="shared" si="33"/>
        <v/>
      </c>
      <c r="CE110" s="287" t="str">
        <f t="shared" si="34"/>
        <v>-</v>
      </c>
      <c r="CF110" s="285" t="str">
        <f t="shared" ca="1" si="35"/>
        <v>-</v>
      </c>
      <c r="CG110" s="285" t="str">
        <f t="shared" si="36"/>
        <v>10-11</v>
      </c>
      <c r="CH110" s="288" t="str">
        <f t="shared" ca="1" si="37"/>
        <v/>
      </c>
      <c r="CI110" s="99"/>
      <c r="CJ110" s="99"/>
      <c r="CK110" s="99"/>
      <c r="CL110" s="99"/>
      <c r="CM110" s="99"/>
      <c r="CN110" s="99"/>
      <c r="CO110" s="99"/>
    </row>
    <row r="111" spans="2:93" ht="13.5" customHeight="1" x14ac:dyDescent="0.2">
      <c r="B111" s="262">
        <v>11</v>
      </c>
      <c r="C111" s="237" t="str">
        <f t="shared" si="1"/>
        <v/>
      </c>
      <c r="D111" s="237" t="str">
        <f t="shared" si="67"/>
        <v>-</v>
      </c>
      <c r="E111" s="263" t="str">
        <f t="shared" si="38"/>
        <v/>
      </c>
      <c r="F111" s="264" t="str">
        <f t="shared" si="39"/>
        <v/>
      </c>
      <c r="G111" s="264" t="str">
        <f t="shared" si="40"/>
        <v/>
      </c>
      <c r="H111" s="240" t="str">
        <f t="shared" si="41"/>
        <v/>
      </c>
      <c r="I111" s="265" t="str">
        <f t="shared" si="2"/>
        <v/>
      </c>
      <c r="J111" s="265" t="str">
        <f t="shared" si="3"/>
        <v/>
      </c>
      <c r="K111" s="240" t="str">
        <f t="shared" si="4"/>
        <v/>
      </c>
      <c r="L111" s="265" t="str">
        <f t="shared" si="5"/>
        <v/>
      </c>
      <c r="M111" s="265" t="str">
        <f t="shared" si="6"/>
        <v/>
      </c>
      <c r="N111" s="240" t="str">
        <f t="shared" si="7"/>
        <v>-</v>
      </c>
      <c r="O111" s="265" t="str">
        <f t="shared" si="8"/>
        <v>-</v>
      </c>
      <c r="P111" s="265" t="str">
        <f t="shared" si="9"/>
        <v>-</v>
      </c>
      <c r="Q111" s="266" t="str">
        <f t="shared" si="10"/>
        <v>-</v>
      </c>
      <c r="R111" s="267" t="str">
        <f t="shared" si="11"/>
        <v>-</v>
      </c>
      <c r="S111" s="268" t="str">
        <f t="shared" si="12"/>
        <v>-</v>
      </c>
      <c r="T111" s="269" t="str">
        <f t="shared" si="13"/>
        <v/>
      </c>
      <c r="U111" s="221">
        <f t="shared" si="14"/>
        <v>11</v>
      </c>
      <c r="V111" s="220" t="str">
        <f t="shared" si="42"/>
        <v>-</v>
      </c>
      <c r="W111" s="221" t="str">
        <f t="shared" si="43"/>
        <v>-</v>
      </c>
      <c r="X111" s="221" t="str">
        <f t="shared" si="15"/>
        <v>-</v>
      </c>
      <c r="Y111" s="221" t="str">
        <f t="shared" si="16"/>
        <v>-</v>
      </c>
      <c r="Z111" s="270">
        <f t="shared" si="44"/>
        <v>0.1</v>
      </c>
      <c r="AA111" s="271" t="str">
        <f t="shared" si="45"/>
        <v>-</v>
      </c>
      <c r="AB111" s="271" t="str">
        <f t="shared" si="17"/>
        <v>-</v>
      </c>
      <c r="AC111" s="224">
        <f t="shared" si="46"/>
        <v>11</v>
      </c>
      <c r="AD111" s="223" t="str">
        <f t="shared" si="18"/>
        <v>-</v>
      </c>
      <c r="AE111" s="224" t="str">
        <f t="shared" si="47"/>
        <v>-</v>
      </c>
      <c r="AF111" s="224" t="str">
        <f t="shared" si="19"/>
        <v>-</v>
      </c>
      <c r="AG111" s="224" t="str">
        <f t="shared" si="20"/>
        <v>-</v>
      </c>
      <c r="AH111" s="272">
        <f t="shared" si="48"/>
        <v>0.1</v>
      </c>
      <c r="AI111" s="271" t="str">
        <f t="shared" si="21"/>
        <v>-</v>
      </c>
      <c r="AJ111" s="271" t="str">
        <f t="shared" si="49"/>
        <v>-</v>
      </c>
      <c r="AK111" s="227">
        <f t="shared" si="50"/>
        <v>11</v>
      </c>
      <c r="AL111" s="226" t="str">
        <f t="shared" si="22"/>
        <v>-</v>
      </c>
      <c r="AM111" s="227" t="str">
        <f t="shared" si="51"/>
        <v>-</v>
      </c>
      <c r="AN111" s="227" t="str">
        <f t="shared" si="52"/>
        <v>-</v>
      </c>
      <c r="AO111" s="227" t="str">
        <f t="shared" si="23"/>
        <v>-</v>
      </c>
      <c r="AP111" s="273">
        <f t="shared" si="53"/>
        <v>0.1</v>
      </c>
      <c r="AQ111" s="271" t="str">
        <f t="shared" si="54"/>
        <v>-</v>
      </c>
      <c r="AR111" s="271" t="str">
        <f t="shared" si="55"/>
        <v>-</v>
      </c>
      <c r="AS111" s="274">
        <f t="shared" si="24"/>
        <v>0</v>
      </c>
      <c r="AT111" s="274">
        <f t="shared" si="25"/>
        <v>0</v>
      </c>
      <c r="AU111" s="274">
        <f t="shared" si="26"/>
        <v>0</v>
      </c>
      <c r="AV111" s="275">
        <f>IF($B111&lt;$F$22,SUM($T$100:$T111),"")</f>
        <v>0</v>
      </c>
      <c r="AW111" s="275" t="str">
        <f t="shared" si="56"/>
        <v>-</v>
      </c>
      <c r="AX111" s="275" t="str">
        <f t="shared" si="57"/>
        <v/>
      </c>
      <c r="AY111"/>
      <c r="AZ111" s="275" t="str">
        <f ca="1">IF(ISNUMBER(OFFSET(AV111,-$F$21,0)),SUM(OFFSET($T$100,$F$21,0):$T111),"")</f>
        <v/>
      </c>
      <c r="BA111" s="275" t="str">
        <f t="shared" ca="1" si="27"/>
        <v/>
      </c>
      <c r="BB111" s="275" t="str">
        <f t="shared" ca="1" si="58"/>
        <v/>
      </c>
      <c r="BC111" s="190"/>
      <c r="BD111" s="275" t="str">
        <f ca="1">IFERROR(IF(AND($B111&gt;=($F$16-$F$15),$B111&lt;$F$22+($F$16-$F$15)),SUM(OFFSET($T$100,($F$16-$F$15),0):$T111),""),"")</f>
        <v/>
      </c>
      <c r="BE111" s="275" t="str">
        <f t="shared" ca="1" si="59"/>
        <v/>
      </c>
      <c r="BF111" s="275" t="str">
        <f t="shared" ca="1" si="60"/>
        <v/>
      </c>
      <c r="BG111"/>
      <c r="BH111" s="190" t="str">
        <f ca="1">IF(ISNUMBER(OFFSET(BD111,-$F$21,0)),SUM(OFFSET($T$100,($F$16-$F$15+$F$21),0):$T111),"")</f>
        <v/>
      </c>
      <c r="BI111" s="190" t="str">
        <f t="shared" ca="1" si="28"/>
        <v/>
      </c>
      <c r="BJ111" s="190" t="str">
        <f t="shared" ca="1" si="61"/>
        <v/>
      </c>
      <c r="BK111" s="190"/>
      <c r="BL111" s="275" t="str">
        <f ca="1">IFERROR(IF(AND($B111&gt;=($F$17-$F$15),$B111&lt;$F$22+($F$17-$F$15)),SUM(OFFSET($T$100,($F$17-$F$15),0):$T111),""),"")</f>
        <v/>
      </c>
      <c r="BM111" s="275" t="str">
        <f t="shared" ca="1" si="29"/>
        <v/>
      </c>
      <c r="BN111" s="275" t="str">
        <f t="shared" ca="1" si="62"/>
        <v/>
      </c>
      <c r="BO111"/>
      <c r="BP111" s="275" t="str">
        <f ca="1">IF(ISNUMBER(OFFSET(BL111,-$F$21,0)),SUM(OFFSET($T$100,($F$17-$F$15+$F$21),0):$T111),"")</f>
        <v/>
      </c>
      <c r="BQ111" s="275" t="str">
        <f t="shared" ca="1" si="63"/>
        <v/>
      </c>
      <c r="BR111" s="275" t="str">
        <f t="shared" ca="1" si="64"/>
        <v/>
      </c>
      <c r="BS111" s="190"/>
      <c r="BT111"/>
      <c r="BU111" s="276" t="str">
        <f t="shared" si="65"/>
        <v>end</v>
      </c>
      <c r="BV111" s="277">
        <v>11</v>
      </c>
      <c r="BW111" s="278" t="str">
        <f t="shared" si="69"/>
        <v/>
      </c>
      <c r="BX111" s="278" t="str">
        <f t="shared" si="68"/>
        <v/>
      </c>
      <c r="BY111" s="279" t="str">
        <f t="shared" si="66"/>
        <v/>
      </c>
      <c r="BZ111"/>
      <c r="CA111" s="284" t="str">
        <f t="shared" si="30"/>
        <v>-</v>
      </c>
      <c r="CB111" s="285" t="str">
        <f t="shared" si="31"/>
        <v>-</v>
      </c>
      <c r="CC111" s="285" t="str">
        <f t="shared" si="32"/>
        <v>11-12</v>
      </c>
      <c r="CD111" s="286" t="str">
        <f t="shared" si="33"/>
        <v/>
      </c>
      <c r="CE111" s="287" t="str">
        <f t="shared" si="34"/>
        <v>-</v>
      </c>
      <c r="CF111" s="285" t="str">
        <f t="shared" ca="1" si="35"/>
        <v>-</v>
      </c>
      <c r="CG111" s="285" t="str">
        <f t="shared" si="36"/>
        <v>11-12</v>
      </c>
      <c r="CH111" s="288" t="str">
        <f t="shared" ca="1" si="37"/>
        <v/>
      </c>
      <c r="CI111" s="99"/>
      <c r="CJ111" s="99"/>
      <c r="CK111" s="99"/>
      <c r="CL111" s="99"/>
      <c r="CM111" s="99"/>
      <c r="CN111" s="99"/>
      <c r="CO111" s="99"/>
    </row>
    <row r="112" spans="2:93" ht="13.5" customHeight="1" x14ac:dyDescent="0.2">
      <c r="B112" s="262">
        <v>12</v>
      </c>
      <c r="C112" s="237" t="str">
        <f t="shared" si="1"/>
        <v/>
      </c>
      <c r="D112" s="237" t="str">
        <f t="shared" si="67"/>
        <v>-</v>
      </c>
      <c r="E112" s="263" t="str">
        <f t="shared" si="38"/>
        <v/>
      </c>
      <c r="F112" s="264" t="str">
        <f t="shared" si="39"/>
        <v/>
      </c>
      <c r="G112" s="264" t="str">
        <f t="shared" si="40"/>
        <v/>
      </c>
      <c r="H112" s="240" t="str">
        <f t="shared" si="41"/>
        <v/>
      </c>
      <c r="I112" s="265" t="str">
        <f t="shared" si="2"/>
        <v/>
      </c>
      <c r="J112" s="265" t="str">
        <f t="shared" si="3"/>
        <v/>
      </c>
      <c r="K112" s="240" t="str">
        <f t="shared" si="4"/>
        <v/>
      </c>
      <c r="L112" s="265" t="str">
        <f t="shared" si="5"/>
        <v/>
      </c>
      <c r="M112" s="265" t="str">
        <f t="shared" si="6"/>
        <v/>
      </c>
      <c r="N112" s="240" t="str">
        <f t="shared" si="7"/>
        <v>-</v>
      </c>
      <c r="O112" s="265" t="str">
        <f t="shared" si="8"/>
        <v>-</v>
      </c>
      <c r="P112" s="265" t="str">
        <f t="shared" si="9"/>
        <v>-</v>
      </c>
      <c r="Q112" s="266" t="str">
        <f t="shared" si="10"/>
        <v>-</v>
      </c>
      <c r="R112" s="267" t="str">
        <f t="shared" si="11"/>
        <v>-</v>
      </c>
      <c r="S112" s="268" t="str">
        <f t="shared" si="12"/>
        <v>-</v>
      </c>
      <c r="T112" s="269" t="str">
        <f t="shared" si="13"/>
        <v/>
      </c>
      <c r="U112" s="221">
        <f t="shared" si="14"/>
        <v>12</v>
      </c>
      <c r="V112" s="220" t="str">
        <f t="shared" si="42"/>
        <v>-</v>
      </c>
      <c r="W112" s="221" t="str">
        <f t="shared" si="43"/>
        <v>-</v>
      </c>
      <c r="X112" s="221" t="str">
        <f t="shared" si="15"/>
        <v>-</v>
      </c>
      <c r="Y112" s="221" t="str">
        <f t="shared" si="16"/>
        <v>-</v>
      </c>
      <c r="Z112" s="270">
        <f t="shared" si="44"/>
        <v>0.1</v>
      </c>
      <c r="AA112" s="271" t="str">
        <f t="shared" si="45"/>
        <v>-</v>
      </c>
      <c r="AB112" s="271" t="str">
        <f t="shared" si="17"/>
        <v>-</v>
      </c>
      <c r="AC112" s="224">
        <f t="shared" si="46"/>
        <v>12</v>
      </c>
      <c r="AD112" s="223" t="str">
        <f t="shared" si="18"/>
        <v>-</v>
      </c>
      <c r="AE112" s="224" t="str">
        <f t="shared" si="47"/>
        <v>-</v>
      </c>
      <c r="AF112" s="224" t="str">
        <f t="shared" si="19"/>
        <v>-</v>
      </c>
      <c r="AG112" s="224" t="str">
        <f t="shared" si="20"/>
        <v>-</v>
      </c>
      <c r="AH112" s="272">
        <f t="shared" si="48"/>
        <v>0.1</v>
      </c>
      <c r="AI112" s="271" t="str">
        <f t="shared" si="21"/>
        <v>-</v>
      </c>
      <c r="AJ112" s="271" t="str">
        <f t="shared" si="49"/>
        <v>-</v>
      </c>
      <c r="AK112" s="227">
        <f t="shared" si="50"/>
        <v>12</v>
      </c>
      <c r="AL112" s="226" t="str">
        <f t="shared" si="22"/>
        <v>-</v>
      </c>
      <c r="AM112" s="227" t="str">
        <f t="shared" si="51"/>
        <v>-</v>
      </c>
      <c r="AN112" s="227" t="str">
        <f t="shared" si="52"/>
        <v>-</v>
      </c>
      <c r="AO112" s="227" t="str">
        <f t="shared" si="23"/>
        <v>-</v>
      </c>
      <c r="AP112" s="273">
        <f t="shared" si="53"/>
        <v>0.1</v>
      </c>
      <c r="AQ112" s="271" t="str">
        <f t="shared" si="54"/>
        <v>-</v>
      </c>
      <c r="AR112" s="271" t="str">
        <f t="shared" si="55"/>
        <v>-</v>
      </c>
      <c r="AS112" s="274">
        <f t="shared" si="24"/>
        <v>0</v>
      </c>
      <c r="AT112" s="274">
        <f t="shared" si="25"/>
        <v>0</v>
      </c>
      <c r="AU112" s="274">
        <f t="shared" si="26"/>
        <v>0</v>
      </c>
      <c r="AV112" s="275">
        <f>IF($B112&lt;$F$22,SUM($T$100:$T112),"")</f>
        <v>0</v>
      </c>
      <c r="AW112" s="275" t="str">
        <f t="shared" si="56"/>
        <v>-</v>
      </c>
      <c r="AX112" s="275" t="str">
        <f t="shared" si="57"/>
        <v/>
      </c>
      <c r="AY112"/>
      <c r="AZ112" s="275" t="str">
        <f ca="1">IF(ISNUMBER(OFFSET(AV112,-$F$21,0)),SUM(OFFSET($T$100,$F$21,0):$T112),"")</f>
        <v/>
      </c>
      <c r="BA112" s="275" t="str">
        <f t="shared" ca="1" si="27"/>
        <v/>
      </c>
      <c r="BB112" s="275" t="str">
        <f t="shared" ca="1" si="58"/>
        <v/>
      </c>
      <c r="BC112" s="190"/>
      <c r="BD112" s="275" t="str">
        <f ca="1">IFERROR(IF(AND($B112&gt;=($F$16-$F$15),$B112&lt;$F$22+($F$16-$F$15)),SUM(OFFSET($T$100,($F$16-$F$15),0):$T112),""),"")</f>
        <v/>
      </c>
      <c r="BE112" s="275" t="str">
        <f t="shared" ca="1" si="59"/>
        <v/>
      </c>
      <c r="BF112" s="275" t="str">
        <f t="shared" ca="1" si="60"/>
        <v/>
      </c>
      <c r="BG112"/>
      <c r="BH112" s="190" t="str">
        <f ca="1">IF(ISNUMBER(OFFSET(BD112,-$F$21,0)),SUM(OFFSET($T$100,($F$16-$F$15+$F$21),0):$T112),"")</f>
        <v/>
      </c>
      <c r="BI112" s="190" t="str">
        <f t="shared" ca="1" si="28"/>
        <v/>
      </c>
      <c r="BJ112" s="190" t="str">
        <f t="shared" ca="1" si="61"/>
        <v/>
      </c>
      <c r="BK112" s="190"/>
      <c r="BL112" s="275" t="str">
        <f ca="1">IFERROR(IF(AND($B112&gt;=($F$17-$F$15),$B112&lt;$F$22+($F$17-$F$15)),SUM(OFFSET($T$100,($F$17-$F$15),0):$T112),""),"")</f>
        <v/>
      </c>
      <c r="BM112" s="275" t="str">
        <f t="shared" ca="1" si="29"/>
        <v/>
      </c>
      <c r="BN112" s="275" t="str">
        <f t="shared" ca="1" si="62"/>
        <v/>
      </c>
      <c r="BO112"/>
      <c r="BP112" s="275" t="str">
        <f ca="1">IF(ISNUMBER(OFFSET(BL112,-$F$21,0)),SUM(OFFSET($T$100,($F$17-$F$15+$F$21),0):$T112),"")</f>
        <v/>
      </c>
      <c r="BQ112" s="275" t="str">
        <f t="shared" ca="1" si="63"/>
        <v/>
      </c>
      <c r="BR112" s="275" t="str">
        <f t="shared" ca="1" si="64"/>
        <v/>
      </c>
      <c r="BS112" s="190"/>
      <c r="BT112"/>
      <c r="BU112" s="276" t="str">
        <f t="shared" si="65"/>
        <v>end</v>
      </c>
      <c r="BV112" s="277">
        <v>12</v>
      </c>
      <c r="BW112" s="278" t="str">
        <f t="shared" si="69"/>
        <v/>
      </c>
      <c r="BX112" s="278" t="str">
        <f t="shared" si="68"/>
        <v/>
      </c>
      <c r="BY112" s="279" t="str">
        <f t="shared" si="66"/>
        <v/>
      </c>
      <c r="BZ112"/>
      <c r="CA112" s="284" t="str">
        <f t="shared" si="30"/>
        <v>-</v>
      </c>
      <c r="CB112" s="285" t="str">
        <f t="shared" si="31"/>
        <v>-</v>
      </c>
      <c r="CC112" s="285" t="str">
        <f t="shared" si="32"/>
        <v>12-13</v>
      </c>
      <c r="CD112" s="286" t="str">
        <f t="shared" si="33"/>
        <v/>
      </c>
      <c r="CE112" s="287" t="str">
        <f t="shared" si="34"/>
        <v>-</v>
      </c>
      <c r="CF112" s="285" t="str">
        <f t="shared" ca="1" si="35"/>
        <v>-</v>
      </c>
      <c r="CG112" s="285" t="str">
        <f t="shared" si="36"/>
        <v>12-13</v>
      </c>
      <c r="CH112" s="288" t="str">
        <f t="shared" ca="1" si="37"/>
        <v/>
      </c>
      <c r="CI112" s="99"/>
      <c r="CJ112" s="99"/>
      <c r="CK112" s="99"/>
      <c r="CL112" s="99"/>
      <c r="CM112" s="99"/>
      <c r="CN112" s="99"/>
      <c r="CO112" s="99"/>
    </row>
    <row r="113" spans="2:93" ht="13.5" customHeight="1" x14ac:dyDescent="0.2">
      <c r="B113" s="262">
        <v>13</v>
      </c>
      <c r="C113" s="237" t="str">
        <f t="shared" si="1"/>
        <v/>
      </c>
      <c r="D113" s="237" t="str">
        <f t="shared" si="67"/>
        <v>-</v>
      </c>
      <c r="E113" s="263" t="str">
        <f t="shared" si="38"/>
        <v/>
      </c>
      <c r="F113" s="289" t="str">
        <f t="shared" si="39"/>
        <v/>
      </c>
      <c r="G113" s="264" t="str">
        <f t="shared" si="40"/>
        <v/>
      </c>
      <c r="H113" s="240" t="str">
        <f>IF(E113&lt;&gt;"",IF($B113&lt;$F$21,"",IF(ISNUMBER(F113),IF(ISNUMBER(I113),(E113*30*50*ffp),""),(E113*30*50*ffp))),"")</f>
        <v/>
      </c>
      <c r="I113" s="265" t="str">
        <f t="shared" si="2"/>
        <v/>
      </c>
      <c r="J113" s="265" t="str">
        <f t="shared" si="3"/>
        <v/>
      </c>
      <c r="K113" s="240" t="str">
        <f t="shared" si="4"/>
        <v/>
      </c>
      <c r="L113" s="265" t="str">
        <f t="shared" si="5"/>
        <v/>
      </c>
      <c r="M113" s="265" t="str">
        <f t="shared" si="6"/>
        <v/>
      </c>
      <c r="N113" s="240" t="str">
        <f t="shared" si="7"/>
        <v>-</v>
      </c>
      <c r="O113" s="265" t="str">
        <f t="shared" si="8"/>
        <v>-</v>
      </c>
      <c r="P113" s="265" t="str">
        <f t="shared" si="9"/>
        <v>-</v>
      </c>
      <c r="Q113" s="266" t="str">
        <f t="shared" si="10"/>
        <v>-</v>
      </c>
      <c r="R113" s="267" t="str">
        <f t="shared" si="11"/>
        <v>-</v>
      </c>
      <c r="S113" s="268" t="str">
        <f t="shared" si="12"/>
        <v>-</v>
      </c>
      <c r="T113" s="269" t="str">
        <f t="shared" si="13"/>
        <v/>
      </c>
      <c r="U113" s="221">
        <f t="shared" si="14"/>
        <v>13</v>
      </c>
      <c r="V113" s="220" t="str">
        <f t="shared" si="42"/>
        <v>-</v>
      </c>
      <c r="W113" s="221" t="str">
        <f t="shared" si="43"/>
        <v>-</v>
      </c>
      <c r="X113" s="221" t="str">
        <f t="shared" si="15"/>
        <v>-</v>
      </c>
      <c r="Y113" s="221" t="str">
        <f t="shared" si="16"/>
        <v>-</v>
      </c>
      <c r="Z113" s="270">
        <f t="shared" si="44"/>
        <v>0.1</v>
      </c>
      <c r="AA113" s="271" t="str">
        <f t="shared" si="45"/>
        <v>-</v>
      </c>
      <c r="AB113" s="271" t="str">
        <f t="shared" si="17"/>
        <v>-</v>
      </c>
      <c r="AC113" s="224">
        <f t="shared" si="46"/>
        <v>13</v>
      </c>
      <c r="AD113" s="223" t="str">
        <f t="shared" si="18"/>
        <v>-</v>
      </c>
      <c r="AE113" s="224" t="str">
        <f t="shared" si="47"/>
        <v>-</v>
      </c>
      <c r="AF113" s="224" t="str">
        <f t="shared" si="19"/>
        <v>-</v>
      </c>
      <c r="AG113" s="224" t="str">
        <f t="shared" si="20"/>
        <v>-</v>
      </c>
      <c r="AH113" s="272">
        <f t="shared" si="48"/>
        <v>0.1</v>
      </c>
      <c r="AI113" s="271" t="str">
        <f t="shared" si="21"/>
        <v>-</v>
      </c>
      <c r="AJ113" s="271" t="str">
        <f>IFERROR(IF(AD113=1,D113*EXP(-(0.04*AF113+0.1*AG113)),IF(AD113=2,D113*EXP(-(0.04*($F$21+AF113)+0.1*(($F$16-$F$15)-$F$21+AG113))),D113*EXP(-(0.04*($F$21*2+AF113)+0.1*((($F$16-$F$15)-$F$21)*2-AG113))))),"-")</f>
        <v>-</v>
      </c>
      <c r="AK113" s="227">
        <f t="shared" si="50"/>
        <v>13</v>
      </c>
      <c r="AL113" s="226" t="str">
        <f t="shared" si="22"/>
        <v>-</v>
      </c>
      <c r="AM113" s="227" t="str">
        <f t="shared" si="51"/>
        <v>-</v>
      </c>
      <c r="AN113" s="227" t="str">
        <f t="shared" si="52"/>
        <v>-</v>
      </c>
      <c r="AO113" s="227" t="str">
        <f t="shared" si="23"/>
        <v>-</v>
      </c>
      <c r="AP113" s="273">
        <f t="shared" si="53"/>
        <v>0.1</v>
      </c>
      <c r="AQ113" s="271" t="str">
        <f t="shared" si="54"/>
        <v>-</v>
      </c>
      <c r="AR113" s="271" t="str">
        <f t="shared" si="55"/>
        <v>-</v>
      </c>
      <c r="AS113" s="274">
        <f t="shared" si="24"/>
        <v>0</v>
      </c>
      <c r="AT113" s="274">
        <f t="shared" si="25"/>
        <v>0</v>
      </c>
      <c r="AU113" s="274">
        <f t="shared" si="26"/>
        <v>0</v>
      </c>
      <c r="AV113" s="275">
        <f>IF($B113&lt;$F$22,SUM($T$100:$T113),"")</f>
        <v>0</v>
      </c>
      <c r="AW113" s="275" t="str">
        <f t="shared" si="56"/>
        <v>-</v>
      </c>
      <c r="AX113" s="275" t="str">
        <f t="shared" si="57"/>
        <v/>
      </c>
      <c r="AY113"/>
      <c r="AZ113" s="275" t="str">
        <f ca="1">IF(ISNUMBER(OFFSET(AV113,-$F$21,0)),SUM(OFFSET($T$100,$F$21,0):$T113),"")</f>
        <v/>
      </c>
      <c r="BA113" s="275" t="str">
        <f t="shared" ca="1" si="27"/>
        <v/>
      </c>
      <c r="BB113" s="275" t="str">
        <f t="shared" ca="1" si="58"/>
        <v/>
      </c>
      <c r="BC113" s="190"/>
      <c r="BD113" s="275" t="str">
        <f ca="1">IFERROR(IF(AND($B113&gt;=($F$16-$F$15),$B113&lt;$F$22+($F$16-$F$15)),SUM(OFFSET($T$100,($F$16-$F$15),0):$T113),""),"")</f>
        <v/>
      </c>
      <c r="BE113" s="275" t="str">
        <f t="shared" ca="1" si="59"/>
        <v/>
      </c>
      <c r="BF113" s="275" t="str">
        <f t="shared" ca="1" si="60"/>
        <v/>
      </c>
      <c r="BG113"/>
      <c r="BH113" s="190" t="str">
        <f ca="1">IF(ISNUMBER(OFFSET(BD113,-$F$21,0)),SUM(OFFSET($T$100,($F$16-$F$15+$F$21),0):$T113),"")</f>
        <v/>
      </c>
      <c r="BI113" s="190" t="str">
        <f t="shared" ca="1" si="28"/>
        <v/>
      </c>
      <c r="BJ113" s="190" t="str">
        <f t="shared" ca="1" si="61"/>
        <v/>
      </c>
      <c r="BK113" s="190"/>
      <c r="BL113" s="275" t="str">
        <f ca="1">IFERROR(IF(AND($B113&gt;=($F$17-$F$15),$B113&lt;$F$22+($F$17-$F$15)),SUM(OFFSET($T$100,($F$17-$F$15),0):$T113),""),"")</f>
        <v/>
      </c>
      <c r="BM113" s="275" t="str">
        <f t="shared" ca="1" si="29"/>
        <v/>
      </c>
      <c r="BN113" s="275" t="str">
        <f t="shared" ca="1" si="62"/>
        <v/>
      </c>
      <c r="BO113"/>
      <c r="BP113" s="275" t="str">
        <f ca="1">IF(ISNUMBER(OFFSET(BL113,-$F$21,0)),SUM(OFFSET($T$100,($F$17-$F$15+$F$21),0):$T113),"")</f>
        <v/>
      </c>
      <c r="BQ113" s="275" t="str">
        <f t="shared" ca="1" si="63"/>
        <v/>
      </c>
      <c r="BR113" s="275" t="str">
        <f t="shared" ca="1" si="64"/>
        <v/>
      </c>
      <c r="BS113" s="190"/>
      <c r="BT113"/>
      <c r="BU113" s="276" t="str">
        <f t="shared" si="65"/>
        <v>end</v>
      </c>
      <c r="BV113" s="277">
        <v>13</v>
      </c>
      <c r="BW113" s="278" t="str">
        <f t="shared" si="69"/>
        <v/>
      </c>
      <c r="BX113" s="278" t="str">
        <f t="shared" si="68"/>
        <v/>
      </c>
      <c r="BY113" s="279" t="str">
        <f t="shared" si="66"/>
        <v/>
      </c>
      <c r="BZ113"/>
      <c r="CA113" s="284" t="str">
        <f t="shared" si="30"/>
        <v>-</v>
      </c>
      <c r="CB113" s="285" t="str">
        <f t="shared" si="31"/>
        <v>-</v>
      </c>
      <c r="CC113" s="285" t="str">
        <f t="shared" si="32"/>
        <v>13-14</v>
      </c>
      <c r="CD113" s="286" t="str">
        <f t="shared" si="33"/>
        <v/>
      </c>
      <c r="CE113" s="287" t="str">
        <f t="shared" si="34"/>
        <v>-</v>
      </c>
      <c r="CF113" s="285" t="str">
        <f t="shared" ca="1" si="35"/>
        <v>-</v>
      </c>
      <c r="CG113" s="285" t="str">
        <f t="shared" si="36"/>
        <v>13-14</v>
      </c>
      <c r="CH113" s="288" t="str">
        <f t="shared" ca="1" si="37"/>
        <v/>
      </c>
      <c r="CI113" s="99"/>
      <c r="CJ113" s="99"/>
      <c r="CK113" s="99"/>
      <c r="CL113" s="99"/>
      <c r="CM113" s="99"/>
      <c r="CN113" s="99"/>
      <c r="CO113" s="99"/>
    </row>
    <row r="114" spans="2:93" ht="13.5" customHeight="1" x14ac:dyDescent="0.2">
      <c r="B114" s="262">
        <v>14</v>
      </c>
      <c r="C114" s="236" t="str">
        <f t="shared" si="1"/>
        <v/>
      </c>
      <c r="D114" s="237" t="str">
        <f t="shared" si="67"/>
        <v>-</v>
      </c>
      <c r="E114" s="290" t="str">
        <f t="shared" si="38"/>
        <v/>
      </c>
      <c r="F114" s="264" t="str">
        <f t="shared" si="39"/>
        <v/>
      </c>
      <c r="G114" s="291" t="str">
        <f t="shared" si="40"/>
        <v/>
      </c>
      <c r="H114" s="240" t="str">
        <f>IF(E114&lt;&gt;"",IF($B114&lt;$F$21,"",IF(ISNUMBER(F114),IF(ISNUMBER(I114),(E114*30*50*ffp),""),(E114*30*50*ffp))),"")</f>
        <v/>
      </c>
      <c r="I114" s="265" t="str">
        <f t="shared" si="2"/>
        <v/>
      </c>
      <c r="J114" s="265" t="str">
        <f t="shared" si="3"/>
        <v/>
      </c>
      <c r="K114" s="240" t="str">
        <f t="shared" si="4"/>
        <v/>
      </c>
      <c r="L114" s="265" t="str">
        <f t="shared" si="5"/>
        <v/>
      </c>
      <c r="M114" s="265" t="str">
        <f t="shared" si="6"/>
        <v/>
      </c>
      <c r="N114" s="240" t="str">
        <f t="shared" si="7"/>
        <v>-</v>
      </c>
      <c r="O114" s="265" t="str">
        <f t="shared" si="8"/>
        <v>-</v>
      </c>
      <c r="P114" s="265" t="str">
        <f t="shared" si="9"/>
        <v>-</v>
      </c>
      <c r="Q114" s="266" t="str">
        <f t="shared" si="10"/>
        <v>-</v>
      </c>
      <c r="R114" s="267" t="str">
        <f t="shared" si="11"/>
        <v>-</v>
      </c>
      <c r="S114" s="268" t="str">
        <f t="shared" si="12"/>
        <v>-</v>
      </c>
      <c r="T114" s="269" t="str">
        <f t="shared" si="13"/>
        <v/>
      </c>
      <c r="U114" s="221">
        <f t="shared" si="14"/>
        <v>14</v>
      </c>
      <c r="V114" s="220" t="str">
        <f t="shared" si="42"/>
        <v>-</v>
      </c>
      <c r="W114" s="221" t="str">
        <f t="shared" si="43"/>
        <v>-</v>
      </c>
      <c r="X114" s="221" t="str">
        <f t="shared" si="15"/>
        <v>-</v>
      </c>
      <c r="Y114" s="221" t="str">
        <f t="shared" si="16"/>
        <v>-</v>
      </c>
      <c r="Z114" s="270">
        <f t="shared" si="44"/>
        <v>0.1</v>
      </c>
      <c r="AA114" s="271" t="str">
        <f t="shared" si="45"/>
        <v>-</v>
      </c>
      <c r="AB114" s="292" t="str">
        <f t="shared" si="17"/>
        <v>-</v>
      </c>
      <c r="AC114" s="224">
        <f t="shared" si="46"/>
        <v>14</v>
      </c>
      <c r="AD114" s="223" t="str">
        <f t="shared" si="18"/>
        <v>-</v>
      </c>
      <c r="AE114" s="224" t="str">
        <f t="shared" si="47"/>
        <v>-</v>
      </c>
      <c r="AF114" s="224" t="str">
        <f t="shared" si="19"/>
        <v>-</v>
      </c>
      <c r="AG114" s="224" t="str">
        <f t="shared" si="20"/>
        <v>-</v>
      </c>
      <c r="AH114" s="272">
        <f t="shared" si="48"/>
        <v>0.1</v>
      </c>
      <c r="AI114" s="271" t="str">
        <f t="shared" si="21"/>
        <v>-</v>
      </c>
      <c r="AJ114" s="292" t="str">
        <f>IFERROR(IF(AD114=1,D114*EXP(-(0.04*AF114+0.1*AG114)),IF(AD114=2,D114*EXP(-(0.04*($F$21+AF114)+0.1*(($F$16-$F$15)-$F$21+AG114))),D114*EXP(-(0.04*($F$21*2+AF114)+0.1*((($F$16-$F$15)-$F$21)*2-AG114))))),"-")</f>
        <v>-</v>
      </c>
      <c r="AK114" s="227">
        <f t="shared" si="50"/>
        <v>14</v>
      </c>
      <c r="AL114" s="226" t="str">
        <f t="shared" si="22"/>
        <v>-</v>
      </c>
      <c r="AM114" s="227" t="str">
        <f t="shared" si="51"/>
        <v>-</v>
      </c>
      <c r="AN114" s="227" t="str">
        <f t="shared" si="52"/>
        <v>-</v>
      </c>
      <c r="AO114" s="227" t="str">
        <f t="shared" si="23"/>
        <v>-</v>
      </c>
      <c r="AP114" s="273">
        <f t="shared" si="53"/>
        <v>0.1</v>
      </c>
      <c r="AQ114" s="271" t="str">
        <f>IFERROR(IF(AL113=1,D114*EXP(-(0.04*AN113+0.1*AO113)),IF(AL113=2,D114*EXP(-(0.04*($F$21+AN113)+0.1*(($F$16-$F$15)-$F$21+AO113))),D114*EXP(-(0.04*($F$21*2+AN113)+0.1*((($F$16-$F$15)-$F$21)*2-AO113))))),"-")</f>
        <v>-</v>
      </c>
      <c r="AR114" s="292" t="str">
        <f>IFERROR(IF(AL114=1,D114*EXP(-(0.04*AN114+0.1*AO114)),IF(AL114=2,D114*EXP(-(0.04*($F$21+AN114)+0.1*(($F$16-$F$15)-$F$21+AO114))),D114*EXP(-(0.04*($F$21*2+AN114)+0.1*((($F$16-$F$15)-$F$21)*2-AO114))))),"-")</f>
        <v>-</v>
      </c>
      <c r="AS114" s="274">
        <f t="shared" si="24"/>
        <v>0</v>
      </c>
      <c r="AT114" s="274">
        <f t="shared" si="25"/>
        <v>0</v>
      </c>
      <c r="AU114" s="274">
        <f t="shared" si="26"/>
        <v>0</v>
      </c>
      <c r="AV114" s="275">
        <f>IF($B114&lt;$F$22,SUM($T$100:$T114),"")</f>
        <v>0</v>
      </c>
      <c r="AW114" s="275" t="str">
        <f t="shared" si="56"/>
        <v>-</v>
      </c>
      <c r="AX114" s="275" t="str">
        <f t="shared" si="57"/>
        <v/>
      </c>
      <c r="AY114"/>
      <c r="AZ114" s="275" t="str">
        <f ca="1">IF(ISNUMBER(OFFSET(AV114,-$F$21,0)),SUM(OFFSET($T$100,$F$21,0):$T114),"")</f>
        <v/>
      </c>
      <c r="BA114" s="275" t="str">
        <f t="shared" ca="1" si="27"/>
        <v/>
      </c>
      <c r="BB114" s="275" t="str">
        <f t="shared" ca="1" si="58"/>
        <v/>
      </c>
      <c r="BC114" s="190"/>
      <c r="BD114" s="275" t="str">
        <f ca="1">IFERROR(IF(AND($B114&gt;=($F$16-$F$15),$B114&lt;$F$22+($F$16-$F$15)),SUM(OFFSET($T$100,($F$16-$F$15),0):$T114),""),"")</f>
        <v/>
      </c>
      <c r="BE114" s="275" t="str">
        <f t="shared" ca="1" si="59"/>
        <v/>
      </c>
      <c r="BF114" s="275" t="str">
        <f ca="1">IF(ISNUMBER(BD114),(BD114-BE114)/(3*86400*($B114-($F$16-$F$15)+1))*1000,"")</f>
        <v/>
      </c>
      <c r="BG114"/>
      <c r="BH114" s="190" t="str">
        <f ca="1">IF(ISNUMBER(OFFSET(BD114,-$F$21,0)),SUM(OFFSET($T$100,($F$16-$F$15+$F$21),0):$T114),"")</f>
        <v/>
      </c>
      <c r="BI114" s="190" t="str">
        <f t="shared" ca="1" si="28"/>
        <v/>
      </c>
      <c r="BJ114" s="190" t="str">
        <f t="shared" ca="1" si="61"/>
        <v/>
      </c>
      <c r="BK114" s="190"/>
      <c r="BL114" s="275" t="str">
        <f ca="1">IFERROR(IF(AND($B114&gt;=($F$17-$F$15),$B114&lt;$F$22+($F$17-$F$15)),SUM(OFFSET($T$100,($F$17-$F$15),0):$T114),""),"")</f>
        <v/>
      </c>
      <c r="BM114" s="275" t="str">
        <f t="shared" ca="1" si="29"/>
        <v/>
      </c>
      <c r="BN114" s="275" t="str">
        <f t="shared" ca="1" si="62"/>
        <v/>
      </c>
      <c r="BO114"/>
      <c r="BP114" s="275" t="str">
        <f ca="1">IF(ISNUMBER(OFFSET(BL114,-$F$21,0)),SUM(OFFSET($T$100,($F$17-$F$15+$F$21),0):$T114),"")</f>
        <v/>
      </c>
      <c r="BQ114" s="275" t="str">
        <f t="shared" ca="1" si="63"/>
        <v/>
      </c>
      <c r="BR114" s="275" t="str">
        <f t="shared" ca="1" si="64"/>
        <v/>
      </c>
      <c r="BS114" s="190"/>
      <c r="BT114"/>
      <c r="BU114" s="276" t="str">
        <f t="shared" si="65"/>
        <v>end</v>
      </c>
      <c r="BV114" s="277">
        <v>14</v>
      </c>
      <c r="BW114" s="278" t="str">
        <f t="shared" si="69"/>
        <v/>
      </c>
      <c r="BX114" s="278" t="str">
        <f t="shared" si="68"/>
        <v/>
      </c>
      <c r="BY114" s="279" t="str">
        <f t="shared" si="66"/>
        <v/>
      </c>
      <c r="BZ114"/>
      <c r="CA114" s="284" t="str">
        <f t="shared" si="30"/>
        <v>-</v>
      </c>
      <c r="CB114" s="285" t="str">
        <f t="shared" si="31"/>
        <v>-</v>
      </c>
      <c r="CC114" s="285" t="str">
        <f t="shared" si="32"/>
        <v>14-15</v>
      </c>
      <c r="CD114" s="286" t="str">
        <f t="shared" si="33"/>
        <v/>
      </c>
      <c r="CE114" s="287" t="str">
        <f t="shared" si="34"/>
        <v>-</v>
      </c>
      <c r="CF114" s="285" t="str">
        <f t="shared" ca="1" si="35"/>
        <v>-</v>
      </c>
      <c r="CG114" s="285" t="str">
        <f t="shared" si="36"/>
        <v>14-15</v>
      </c>
      <c r="CH114" s="288" t="str">
        <f t="shared" ca="1" si="37"/>
        <v/>
      </c>
      <c r="CI114" s="99"/>
      <c r="CJ114" s="99"/>
      <c r="CK114" s="99"/>
      <c r="CL114" s="99"/>
      <c r="CM114" s="99"/>
      <c r="CN114" s="99"/>
      <c r="CO114" s="99"/>
    </row>
    <row r="115" spans="2:93" ht="13.5" customHeight="1" x14ac:dyDescent="0.2">
      <c r="B115" s="293">
        <v>15</v>
      </c>
      <c r="C115" s="237" t="str">
        <f t="shared" si="1"/>
        <v/>
      </c>
      <c r="D115" s="237" t="str">
        <f t="shared" si="67"/>
        <v>-</v>
      </c>
      <c r="E115" s="290" t="str">
        <f t="shared" si="38"/>
        <v/>
      </c>
      <c r="F115" s="264" t="str">
        <f t="shared" si="39"/>
        <v/>
      </c>
      <c r="G115" s="291" t="str">
        <f t="shared" si="40"/>
        <v/>
      </c>
      <c r="H115" s="240" t="str">
        <f t="shared" si="41"/>
        <v/>
      </c>
      <c r="I115" s="265" t="str">
        <f t="shared" si="2"/>
        <v/>
      </c>
      <c r="J115" s="265" t="str">
        <f t="shared" si="3"/>
        <v/>
      </c>
      <c r="K115" s="240" t="str">
        <f t="shared" si="4"/>
        <v/>
      </c>
      <c r="L115" s="265" t="str">
        <f t="shared" si="5"/>
        <v/>
      </c>
      <c r="M115" s="265" t="str">
        <f t="shared" si="6"/>
        <v/>
      </c>
      <c r="N115" s="240" t="str">
        <f t="shared" si="7"/>
        <v>-</v>
      </c>
      <c r="O115" s="265" t="str">
        <f t="shared" si="8"/>
        <v>-</v>
      </c>
      <c r="P115" s="265" t="str">
        <f t="shared" si="9"/>
        <v>-</v>
      </c>
      <c r="Q115" s="266" t="str">
        <f t="shared" si="10"/>
        <v>-</v>
      </c>
      <c r="R115" s="267" t="str">
        <f t="shared" si="11"/>
        <v>-</v>
      </c>
      <c r="S115" s="268" t="str">
        <f t="shared" si="12"/>
        <v>-</v>
      </c>
      <c r="T115" s="269" t="str">
        <f t="shared" si="13"/>
        <v/>
      </c>
      <c r="U115" s="221">
        <f t="shared" si="14"/>
        <v>15</v>
      </c>
      <c r="V115" s="220" t="str">
        <f t="shared" si="42"/>
        <v>-</v>
      </c>
      <c r="W115" s="221" t="str">
        <f t="shared" si="43"/>
        <v>-</v>
      </c>
      <c r="X115" s="221" t="str">
        <f t="shared" si="15"/>
        <v>-</v>
      </c>
      <c r="Y115" s="221" t="str">
        <f t="shared" si="16"/>
        <v>-</v>
      </c>
      <c r="Z115" s="270">
        <f t="shared" si="44"/>
        <v>0.1</v>
      </c>
      <c r="AA115" s="292" t="str">
        <f>IFERROR(IF(V114=1,AA100*EXP(-(LN(2)/$D$65+0.04)*X114)*EXP(-(LN(2)/$D$65+0.1)*Y114),IF(V114=2,AA100*EXP(-(LN(2)/$D$65+0.04)*(VLOOKUP(($F$16-$F$15)-1,U99:Y114,4,FALSE)))*EXP(-(LN(2)/$D$65+0.1)*(VLOOKUP(($F$16-$F$15)-1,U99:Y114,5,FALSE)))*EXP(-(LN(2)/$D$65+0.04)*X114)*EXP(-(LN(2)/$D$65+0.1)*Y114),AA100*EXP(-(LN(2)/$D$65+0.04)*(VLOOKUP(($F$16-$F$15)-1,U99:Y114,4,FALSE)))*EXP(-(LN(2)/$D$65+0.1)*(VLOOKUP(($F$16-$F$15)-1,U99:Y114,5,FALSE)))*EXP(-(LN(2)/$D$65+0.04)*(VLOOKUP(($F$16-$F$15)*2-1,U99:Y114,4,FALSE)))*EXP(-(LN(2)/$D$65+0.1)*(VLOOKUP(($F$16-$F$15)*2-1,U99:Y114,5,FALSE)))*EXP(-(LN(2)/$D$65+0.04)*X114)*EXP(-(LN(2)/$D$65+0.1)*Y114))),"-")</f>
        <v>-</v>
      </c>
      <c r="AB115" s="271" t="str">
        <f>IFERROR(IF(V115=1,AB$100*EXP(-(LN(2)/$D$65+0.04)*X115)*EXP(-(LN(2)/$D$65+0.1)*Y115),IF(V115=2,AB$100*EXP(-(LN(2)/$D$65+0.04)*(VLOOKUP(($F$16-$F$15)-1,U$100:Y115,4,FALSE)))*EXP(-(LN(2)/$D$65+0.1)*(VLOOKUP(($F$16-$F$15)-1,U$100:Y115,5,FALSE)))*EXP(-(LN(2)/$D$65+0.04)*X115)*EXP(-(LN(2)/$D$65+0.1)*Y115),IF(V115=3,AB$100*EXP(-(LN(2)/$D$65+0.04)*(VLOOKUP(($F$16-$F$15)-1,U$100:Y115,4,FALSE)))*EXP(-(LN(2)/$D$65+0.1)*(VLOOKUP(($F$16-$F$15)-1,U$100:Y115,5,FALSE)))*EXP(-(LN(2)/$D$65+0.04)*(VLOOKUP(($F$16-$F$15)*2-1,U$100:Y115,4,FALSE)))*EXP(-(LN(2)/$D$65+0.1)*(VLOOKUP(($F$16-$F$15)*2-1,U$100:Y115,5,FALSE)))*EXP(-(LN(2)/$D$65+0.04)*X115)*EXP(-(LN(2)/$D$65+0.1)*Y115),"-"))),"-")</f>
        <v>-</v>
      </c>
      <c r="AC115" s="224">
        <f t="shared" si="46"/>
        <v>15</v>
      </c>
      <c r="AD115" s="223" t="str">
        <f t="shared" si="18"/>
        <v>-</v>
      </c>
      <c r="AE115" s="224" t="str">
        <f t="shared" si="47"/>
        <v>-</v>
      </c>
      <c r="AF115" s="224" t="str">
        <f t="shared" si="19"/>
        <v>-</v>
      </c>
      <c r="AG115" s="224" t="str">
        <f t="shared" si="20"/>
        <v>-</v>
      </c>
      <c r="AH115" s="272">
        <f t="shared" si="48"/>
        <v>0.1</v>
      </c>
      <c r="AI115" s="292" t="str">
        <f>IFERROR(IF(AD114=1,AI100*EXP(-(LN(2)/$D$65+0.04)*AF114)*EXP(-(LN(2)/$D$65+0.1)*AG114),IF(AD114=2,AI100*EXP(-(LN(2)/$D$65+0.04)*(VLOOKUP(($F$16-$F$15)-1,AC99:AG114,4,FALSE)))*EXP(-(LN(2)/$D$65+0.1)*(VLOOKUP(($F$16-$F$15)-1,AC99:AG114,5,FALSE)))*EXP(-(LN(2)/$D$65+0.04)*AF114)*EXP(-(LN(2)/$D$65+0.1)*AG114),AI100*EXP(-(LN(2)/$D$65+0.04)*(VLOOKUP(($F$16-$F$15)-1,AC99:AG114,4,FALSE)))*EXP(-(LN(2)/$D$65+0.1)*(VLOOKUP(($F$16-$F$15)-1,AC99:AG114,5,FALSE)))*EXP(-(LN(2)/$D$65+0.04)*(VLOOKUP(($F$16-$F$15)*2-1,AC99:AG114,4,FALSE)))*EXP(-(LN(2)/$D$65+0.1)*(VLOOKUP(($F$16-$F$15)*2-1,AC99:AG114,5,FALSE)))*EXP(-(LN(2)/$D$65+0.04)*AF114)*EXP(-(LN(2)/$D$65+0.1)*AG114))),"-")</f>
        <v>-</v>
      </c>
      <c r="AJ115" s="271" t="str">
        <f>IFERROR(IF(AD115=1,AJ$100*EXP(-(LN(2)/$D$65+0.04)*AF115)*EXP(-(LN(2)/$D$65+0.1)*AG115),IF(AD115=2,AJ$100*EXP(-(LN(2)/$D$65+0.04)*(VLOOKUP(($F$16-$F$15)-1,AC$100:AG115,4,FALSE)))*EXP(-(LN(2)/$D$65+0.1)*(VLOOKUP(($F$16-$F$15)-1,AC$100:AG115,5,FALSE)))*EXP(-(LN(2)/$D$65+0.04)*AF115)*EXP(-(LN(2)/$D$65+0.1)*AG115),IF(AD115=3,AJ$100*EXP(-(LN(2)/$D$65+0.04)*(VLOOKUP(($F$16-$F$15)-1,AC$100:AG115,4,FALSE)))*EXP(-(LN(2)/$D$65+0.1)*(VLOOKUP(($F$16-$F$15)-1,AC$100:AG115,5,FALSE)))*EXP(-(LN(2)/$D$65+0.04)*(VLOOKUP(($F$16-$F$15)*2-1,AC$100:AG115,4,FALSE)))*EXP(-(LN(2)/$D$65+0.1)*(VLOOKUP(($F$16-$F$15)*2-1,AC$100:AG115,5,FALSE)))*EXP(-(LN(2)/$D$65+0.04)*AF115)*EXP(-(LN(2)/$D$65+0.1)*AG115),"-"))),"-")</f>
        <v>-</v>
      </c>
      <c r="AK115" s="227">
        <f t="shared" si="50"/>
        <v>15</v>
      </c>
      <c r="AL115" s="226" t="str">
        <f t="shared" si="22"/>
        <v>-</v>
      </c>
      <c r="AM115" s="227" t="str">
        <f t="shared" si="51"/>
        <v>-</v>
      </c>
      <c r="AN115" s="227" t="str">
        <f t="shared" si="52"/>
        <v>-</v>
      </c>
      <c r="AO115" s="227" t="str">
        <f t="shared" si="23"/>
        <v>-</v>
      </c>
      <c r="AP115" s="273">
        <f t="shared" si="53"/>
        <v>0.1</v>
      </c>
      <c r="AQ115" s="292" t="str">
        <f>IFERROR(IF(AL114=1,AQ100*EXP(-(LN(2)/$D$65+0.04)*AN114)*EXP(-(LN(2)/$D$65+0.1)*AO114),IF(AL114=2,AQ100*EXP(-(LN(2)/$D$65+0.04)*(VLOOKUP(($F$16-$F$15)-1,AK99:AO114,4,FALSE)))*EXP(-(LN(2)/$D$65+0.1)*(VLOOKUP(($F$16-$F$15)-1,AK99:AO114,5,FALSE)))*EXP(-(LN(2)/$D$65+0.04)*AN114)*EXP(-(LN(2)/$D$65+0.1)*AO114),AQ100*EXP(-(LN(2)/$D$65+0.04)*(VLOOKUP(($F$16-$F$15)-1,AK99:AO114,4,FALSE)))*EXP(-(LN(2)/$D$65+0.1)*(VLOOKUP(($F$16-$F$15)-1,AK99:AO114,5,FALSE)))*EXP(-(LN(2)/$D$65+0.04)*(VLOOKUP(($F$16-$F$15)*2-1,AK99:AO114,4,FALSE)))*EXP(-(LN(2)/$D$65+0.1)*(VLOOKUP(($F$16-$F$15)*2-1,AK99:AO114,5,FALSE)))*EXP(-(LN(2)/$D$65+0.04)*AN114)*EXP(-(LN(2)/$D$65+0.1)*AO114))),"-")</f>
        <v>-</v>
      </c>
      <c r="AR115" s="271" t="str">
        <f>IFERROR(IF(AL115=1,AR$100*EXP(-(LN(2)/$D$65+0.04)*AN115)*EXP(-(LN(2)/$D$65+0.1)*AO115),IF(AL115=2,AR$100*EXP(-(LN(2)/$D$65+0.04)*(VLOOKUP(($F$16-$F$15)-1,AK$100:AO115,4,FALSE)))*EXP(-(LN(2)/$D$65+0.1)*(VLOOKUP(($F$16-$F$15)-1,AK$100:AO115,5,FALSE)))*EXP(-(LN(2)/$D$65+0.04)*AN115)*EXP(-(LN(2)/$D$65+0.1)*AO115),IF(AL115=3,AR$100*EXP(-(LN(2)/$D$65+0.04)*(VLOOKUP(($F$16-$F$15)-1,AK$100:AO115,4,FALSE)))*EXP(-(LN(2)/$D$65+0.1)*(VLOOKUP(($F$16-$F$15)-1,AK$100:AO115,5,FALSE)))*EXP(-(LN(2)/$D$65+0.04)*(VLOOKUP(($F$16-$F$15)*2-1,AK$100:AO115,4,FALSE)))*EXP(-(LN(2)/$D$65+0.1)*(VLOOKUP(($F$16-$F$15)*2-1,AK$100:AO115,5,FALSE)))*EXP(-(LN(2)/$D$65+0.04)*AN115)*EXP(-(LN(2)/$D$65+0.1)*AO115),"-"))),"-")</f>
        <v>-</v>
      </c>
      <c r="AS115" s="294">
        <f t="shared" si="24"/>
        <v>0</v>
      </c>
      <c r="AT115" s="294">
        <f t="shared" si="25"/>
        <v>0</v>
      </c>
      <c r="AU115" s="294">
        <f t="shared" si="26"/>
        <v>0</v>
      </c>
      <c r="AV115" s="275">
        <f>IF($B115&lt;$F$22,SUM($T$100:$T115),"")</f>
        <v>0</v>
      </c>
      <c r="AW115" s="275" t="str">
        <f t="shared" si="56"/>
        <v>-</v>
      </c>
      <c r="AX115" s="275" t="str">
        <f t="shared" si="57"/>
        <v/>
      </c>
      <c r="AY115"/>
      <c r="AZ115" s="275" t="str">
        <f ca="1">IF(ISNUMBER(OFFSET(AV115,-$F$21,0)),SUM(OFFSET($T$100,$F$21,0):$T115),"")</f>
        <v/>
      </c>
      <c r="BA115" s="275" t="str">
        <f t="shared" ca="1" si="27"/>
        <v/>
      </c>
      <c r="BB115" s="275" t="str">
        <f t="shared" ca="1" si="58"/>
        <v/>
      </c>
      <c r="BC115" s="190"/>
      <c r="BD115" s="275" t="str">
        <f ca="1">IFERROR(IF(AND($B115&gt;=($F$16-$F$15),$B115&lt;$F$22+($F$16-$F$15)),SUM(OFFSET($T$100,($F$16-$F$15),0):$T115),""),"")</f>
        <v/>
      </c>
      <c r="BE115" s="275" t="str">
        <f t="shared" ca="1" si="59"/>
        <v/>
      </c>
      <c r="BF115" s="275" t="str">
        <f t="shared" ca="1" si="60"/>
        <v/>
      </c>
      <c r="BG115"/>
      <c r="BH115" s="190" t="str">
        <f ca="1">IF(ISNUMBER(OFFSET(BD115,-$F$21,0)),SUM(OFFSET($T$100,($F$16-$F$15+$F$21),0):$T115),"")</f>
        <v/>
      </c>
      <c r="BI115" s="190" t="str">
        <f t="shared" ca="1" si="28"/>
        <v/>
      </c>
      <c r="BJ115" s="190" t="str">
        <f t="shared" ca="1" si="61"/>
        <v/>
      </c>
      <c r="BK115" s="190"/>
      <c r="BL115" s="275" t="str">
        <f ca="1">IFERROR(IF(AND($B115&gt;=($F$17-$F$15),$B115&lt;$F$22+($F$17-$F$15)),SUM(OFFSET($T$100,($F$17-$F$15),0):$T115),""),"")</f>
        <v/>
      </c>
      <c r="BM115" s="275" t="str">
        <f t="shared" ca="1" si="29"/>
        <v/>
      </c>
      <c r="BN115" s="275" t="str">
        <f t="shared" ca="1" si="62"/>
        <v/>
      </c>
      <c r="BO115"/>
      <c r="BP115" s="275" t="str">
        <f ca="1">IF(ISNUMBER(OFFSET(BL115,-$F$21,0)),SUM(OFFSET($T$100,($F$17-$F$15+$F$21),0):$T115),"")</f>
        <v/>
      </c>
      <c r="BQ115" s="275" t="str">
        <f t="shared" ca="1" si="63"/>
        <v/>
      </c>
      <c r="BR115" s="275" t="str">
        <f t="shared" ca="1" si="64"/>
        <v/>
      </c>
      <c r="BS115" s="190"/>
      <c r="BT115"/>
      <c r="BU115" s="276" t="str">
        <f t="shared" si="65"/>
        <v>end</v>
      </c>
      <c r="BV115" s="277">
        <v>15</v>
      </c>
      <c r="BW115" s="278" t="str">
        <f>IF(AND(BU115="end",BU114="end"), "", IF(BU115&lt;&gt;"",MIN(BU114:BU115),""))</f>
        <v/>
      </c>
      <c r="BX115" s="278" t="str">
        <f>IF(AND(BU115="end",BU114="end"), "", IF(BU115&lt;&gt;"",MAX(BU114:BU115),""))</f>
        <v/>
      </c>
      <c r="BY115" s="279" t="str">
        <f t="shared" si="66"/>
        <v/>
      </c>
      <c r="BZ115"/>
      <c r="CA115" s="258" t="str">
        <f t="shared" si="30"/>
        <v>-</v>
      </c>
      <c r="CB115" s="33" t="str">
        <f t="shared" si="31"/>
        <v>-</v>
      </c>
      <c r="CC115" s="33" t="str">
        <f t="shared" si="32"/>
        <v>15-16</v>
      </c>
      <c r="CD115" s="261" t="str">
        <f t="shared" si="33"/>
        <v/>
      </c>
      <c r="CE115" s="258" t="str">
        <f t="shared" si="34"/>
        <v>-</v>
      </c>
      <c r="CF115" s="33" t="str">
        <f t="shared" ca="1" si="35"/>
        <v>-</v>
      </c>
      <c r="CG115" s="33" t="str">
        <f t="shared" si="36"/>
        <v>15-16</v>
      </c>
      <c r="CH115" s="261" t="str">
        <f t="shared" ca="1" si="37"/>
        <v/>
      </c>
      <c r="CI115" s="99"/>
      <c r="CJ115" s="99"/>
      <c r="CK115" s="99"/>
      <c r="CL115" s="99"/>
      <c r="CM115" s="99"/>
      <c r="CN115" s="99"/>
      <c r="CO115" s="99"/>
    </row>
    <row r="116" spans="2:93" ht="13.5" customHeight="1" x14ac:dyDescent="0.2">
      <c r="B116" s="262">
        <v>16</v>
      </c>
      <c r="C116" s="237" t="str">
        <f t="shared" si="1"/>
        <v/>
      </c>
      <c r="D116" s="237" t="str">
        <f t="shared" si="67"/>
        <v>-</v>
      </c>
      <c r="E116" s="290" t="str">
        <f t="shared" si="38"/>
        <v/>
      </c>
      <c r="F116" s="264" t="str">
        <f t="shared" si="39"/>
        <v/>
      </c>
      <c r="G116" s="291" t="str">
        <f t="shared" si="40"/>
        <v/>
      </c>
      <c r="H116" s="240" t="str">
        <f t="shared" si="41"/>
        <v/>
      </c>
      <c r="I116" s="265" t="str">
        <f t="shared" si="2"/>
        <v/>
      </c>
      <c r="J116" s="265" t="str">
        <f t="shared" si="3"/>
        <v/>
      </c>
      <c r="K116" s="240" t="str">
        <f t="shared" si="4"/>
        <v/>
      </c>
      <c r="L116" s="265" t="str">
        <f t="shared" si="5"/>
        <v/>
      </c>
      <c r="M116" s="265" t="str">
        <f t="shared" si="6"/>
        <v/>
      </c>
      <c r="N116" s="240" t="str">
        <f t="shared" si="7"/>
        <v>-</v>
      </c>
      <c r="O116" s="265" t="str">
        <f t="shared" si="8"/>
        <v>-</v>
      </c>
      <c r="P116" s="265" t="str">
        <f t="shared" si="9"/>
        <v>-</v>
      </c>
      <c r="Q116" s="266" t="str">
        <f t="shared" si="10"/>
        <v>-</v>
      </c>
      <c r="R116" s="267" t="str">
        <f t="shared" si="11"/>
        <v>-</v>
      </c>
      <c r="S116" s="268" t="str">
        <f t="shared" si="12"/>
        <v>-</v>
      </c>
      <c r="T116" s="269" t="str">
        <f t="shared" si="13"/>
        <v/>
      </c>
      <c r="U116" s="221">
        <f t="shared" si="14"/>
        <v>16</v>
      </c>
      <c r="V116" s="220" t="str">
        <f t="shared" si="42"/>
        <v>-</v>
      </c>
      <c r="W116" s="221" t="str">
        <f t="shared" si="43"/>
        <v>-</v>
      </c>
      <c r="X116" s="221" t="str">
        <f t="shared" si="15"/>
        <v>-</v>
      </c>
      <c r="Y116" s="221" t="str">
        <f t="shared" si="16"/>
        <v>-</v>
      </c>
      <c r="Z116" s="270">
        <f t="shared" si="44"/>
        <v>0.1</v>
      </c>
      <c r="AA116" s="271" t="str">
        <f>IFERROR(IF(V115=1,AA$100*EXP(-(LN(2)/$D$65+0.04)*X115)*EXP(-(LN(2)/$D$65+0.1)*Y115),IF(V115=2,AA$100*EXP(-(LN(2)/$D$65+0.04)*(VLOOKUP(($F$16-$F$15)-1,U$99:Y115,4,FALSE)))*EXP(-(LN(2)/$D$65+0.1)*(VLOOKUP(($F$16-$F$15)-1,U$99:Y115,5,FALSE)))*EXP(-(LN(2)/$D$65+0.04)*X115)*EXP(-(LN(2)/$D$65+0.1)*Y115),IF(V115=3,AA$100*EXP(-(LN(2)/$D$65+0.04)*(VLOOKUP(($F$16-$F$15)-1,U$99:Y115,4,FALSE)))*EXP(-(LN(2)/$D$65+0.1)*(VLOOKUP(($F$16-$F$15)-1,U$99:Y115,5,FALSE)))*EXP(-(LN(2)/$D$65+0.04)*(VLOOKUP(($F$16-$F$15)*2-1,U$99:Y115,4,FALSE)))*EXP(-(LN(2)/$D$65+0.1)*(VLOOKUP(($F$16-$F$15)*2-1,U$99:Y115,5,FALSE)))*EXP(-(LN(2)/$D$65+0.04)*X115)*EXP(-(LN(2)/$D$65+0.1)*Y115),"-"))),"-")</f>
        <v>-</v>
      </c>
      <c r="AB116" s="271" t="str">
        <f>IFERROR(IF(V116=1,AB$100*EXP(-(LN(2)/$D$65+0.04)*X116)*EXP(-(LN(2)/$D$65+0.1)*Y116),IF(V116=2,AB$100*EXP(-(LN(2)/$D$65+0.04)*(VLOOKUP(($F$16-$F$15)-1,U$100:Y116,4,FALSE)))*EXP(-(LN(2)/$D$65+0.1)*(VLOOKUP(($F$16-$F$15)-1,U$100:Y116,5,FALSE)))*EXP(-(LN(2)/$D$65+0.04)*X116)*EXP(-(LN(2)/$D$65+0.1)*Y116),IF(V116=3,AB$100*EXP(-(LN(2)/$D$65+0.04)*(VLOOKUP(($F$16-$F$15)-1,U$100:Y116,4,FALSE)))*EXP(-(LN(2)/$D$65+0.1)*(VLOOKUP(($F$16-$F$15)-1,U$100:Y116,5,FALSE)))*EXP(-(LN(2)/$D$65+0.04)*(VLOOKUP(($F$16-$F$15)*2-1,U$100:Y116,4,FALSE)))*EXP(-(LN(2)/$D$65+0.1)*(VLOOKUP(($F$16-$F$15)*2-1,U$100:Y116,5,FALSE)))*EXP(-(LN(2)/$D$65+0.04)*X116)*EXP(-(LN(2)/$D$65+0.1)*Y116),"-"))),"-")</f>
        <v>-</v>
      </c>
      <c r="AC116" s="224">
        <f t="shared" si="46"/>
        <v>16</v>
      </c>
      <c r="AD116" s="223" t="str">
        <f t="shared" si="18"/>
        <v>-</v>
      </c>
      <c r="AE116" s="224" t="str">
        <f t="shared" si="47"/>
        <v>-</v>
      </c>
      <c r="AF116" s="224" t="str">
        <f t="shared" si="19"/>
        <v>-</v>
      </c>
      <c r="AG116" s="224" t="str">
        <f t="shared" si="20"/>
        <v>-</v>
      </c>
      <c r="AH116" s="272">
        <f t="shared" si="48"/>
        <v>0.1</v>
      </c>
      <c r="AI116" s="271" t="str">
        <f>IFERROR(IF(AD115=1,AI$100*EXP(-(LN(2)/$D$65+0.04)*AF115)*EXP(-(LN(2)/$D$65+0.1)*AG115),IF(AD115=2,AI$100*EXP(-(LN(2)/$D$65+0.04)*(VLOOKUP(($F$16-$F$15)-1,AC$99:AG115,4,FALSE)))*EXP(-(LN(2)/$D$65+0.1)*(VLOOKUP(($F$16-$F$15)-1,AC$99:AG115,5,FALSE)))*EXP(-(LN(2)/$D$65+0.04)*AF115)*EXP(-(LN(2)/$D$65+0.1)*AG115),IF(AD115=3,AI$100*EXP(-(LN(2)/$D$65+0.04)*(VLOOKUP(($F$16-$F$15)-1,AC$99:AG115,4,FALSE)))*EXP(-(LN(2)/$D$65+0.1)*(VLOOKUP(($F$16-$F$15)-1,AC$99:AG115,5,FALSE)))*EXP(-(LN(2)/$D$65+0.04)*(VLOOKUP(($F$16-$F$15)*2-1,AC$99:AG115,4,FALSE)))*EXP(-(LN(2)/$D$65+0.1)*(VLOOKUP(($F$16-$F$15)*2-1,AC$99:AG115,5,FALSE)))*EXP(-(LN(2)/$D$65+0.04)*AF115)*EXP(-(LN(2)/$D$65+0.1)*AG115),"-"))),"-")</f>
        <v>-</v>
      </c>
      <c r="AJ116" s="271" t="str">
        <f>IFERROR(IF(AD116=1,AJ$100*EXP(-(LN(2)/$D$65+0.04)*AF116)*EXP(-(LN(2)/$D$65+0.1)*AG116),IF(AD116=2,AJ$100*EXP(-(LN(2)/$D$65+0.04)*(VLOOKUP(($F$16-$F$15)-1,AC$100:AG116,4,FALSE)))*EXP(-(LN(2)/$D$65+0.1)*(VLOOKUP(($F$16-$F$15)-1,AC$100:AG116,5,FALSE)))*EXP(-(LN(2)/$D$65+0.04)*AF116)*EXP(-(LN(2)/$D$65+0.1)*AG116),IF(AD116=3,AJ$100*EXP(-(LN(2)/$D$65+0.04)*(VLOOKUP(($F$16-$F$15)-1,AC$100:AG116,4,FALSE)))*EXP(-(LN(2)/$D$65+0.1)*(VLOOKUP(($F$16-$F$15)-1,AC$100:AG116,5,FALSE)))*EXP(-(LN(2)/$D$65+0.04)*(VLOOKUP(($F$16-$F$15)*2-1,AC$100:AG116,4,FALSE)))*EXP(-(LN(2)/$D$65+0.1)*(VLOOKUP(($F$16-$F$15)*2-1,AC$100:AG116,5,FALSE)))*EXP(-(LN(2)/$D$65+0.04)*AF116)*EXP(-(LN(2)/$D$65+0.1)*AG116),"-"))),"-")</f>
        <v>-</v>
      </c>
      <c r="AK116" s="227">
        <f t="shared" si="50"/>
        <v>16</v>
      </c>
      <c r="AL116" s="226" t="str">
        <f t="shared" si="22"/>
        <v>-</v>
      </c>
      <c r="AM116" s="227" t="str">
        <f t="shared" si="51"/>
        <v>-</v>
      </c>
      <c r="AN116" s="227" t="str">
        <f t="shared" si="52"/>
        <v>-</v>
      </c>
      <c r="AO116" s="227" t="str">
        <f t="shared" si="23"/>
        <v>-</v>
      </c>
      <c r="AP116" s="273">
        <f t="shared" si="53"/>
        <v>0.1</v>
      </c>
      <c r="AQ116" s="271" t="str">
        <f>IFERROR(IF(AL115=1,AQ$100*EXP(-(LN(2)/$D$65+0.04)*AN115)*EXP(-(LN(2)/$D$65+0.1)*AO115),IF(AL115=2,AQ$100*EXP(-(LN(2)/$D$65+0.04)*(VLOOKUP(($F$16-$F$15)-1,AK$99:AO115,4,FALSE)))*EXP(-(LN(2)/$D$65+0.1)*(VLOOKUP(($F$16-$F$15)-1,AK$99:AO115,5,FALSE)))*EXP(-(LN(2)/$D$65+0.04)*AN115)*EXP(-(LN(2)/$D$65+0.1)*AO115),IF(AL115=3,AQ$100*EXP(-(LN(2)/$D$65+0.04)*(VLOOKUP(($F$16-$F$15)-1,AK$99:AO115,4,FALSE)))*EXP(-(LN(2)/$D$65+0.1)*(VLOOKUP(($F$16-$F$15)-1,AK$99:AO115,5,FALSE)))*EXP(-(LN(2)/$D$65+0.04)*(VLOOKUP(($F$16-$F$15)*2-1,AK$99:AO115,4,FALSE)))*EXP(-(LN(2)/$D$65+0.1)*(VLOOKUP(($F$16-$F$15)*2-1,AK$99:AO115,5,FALSE)))*EXP(-(LN(2)/$D$65+0.04)*AN115)*EXP(-(LN(2)/$D$65+0.1)*AO115),"-"))),"-")</f>
        <v>-</v>
      </c>
      <c r="AR116" s="271" t="str">
        <f>IFERROR(IF(AL116=1,AR$100*EXP(-(LN(2)/$D$65+0.04)*AN116)*EXP(-(LN(2)/$D$65+0.1)*AO116),IF(AL116=2,AR$100*EXP(-(LN(2)/$D$65+0.04)*(VLOOKUP(($F$16-$F$15)-1,AK$100:AO116,4,FALSE)))*EXP(-(LN(2)/$D$65+0.1)*(VLOOKUP(($F$16-$F$15)-1,AK$100:AO116,5,FALSE)))*EXP(-(LN(2)/$D$65+0.04)*AN116)*EXP(-(LN(2)/$D$65+0.1)*AO116),IF(AL116=3,AR$100*EXP(-(LN(2)/$D$65+0.04)*(VLOOKUP(($F$16-$F$15)-1,AK$100:AO116,4,FALSE)))*EXP(-(LN(2)/$D$65+0.1)*(VLOOKUP(($F$16-$F$15)-1,AK$100:AO116,5,FALSE)))*EXP(-(LN(2)/$D$65+0.04)*(VLOOKUP(($F$16-$F$15)*2-1,AK$100:AO116,4,FALSE)))*EXP(-(LN(2)/$D$65+0.1)*(VLOOKUP(($F$16-$F$15)*2-1,AK$100:AO116,5,FALSE)))*EXP(-(LN(2)/$D$65+0.04)*AN116)*EXP(-(LN(2)/$D$65+0.1)*AO116),"-"))),"-")</f>
        <v>-</v>
      </c>
      <c r="AS116" s="274">
        <f t="shared" si="24"/>
        <v>0</v>
      </c>
      <c r="AT116" s="274">
        <f t="shared" si="25"/>
        <v>0</v>
      </c>
      <c r="AU116" s="274">
        <f t="shared" si="26"/>
        <v>0</v>
      </c>
      <c r="AV116" s="275">
        <f>IF($B116&lt;$F$22,SUM($T$100:$T116),"")</f>
        <v>0</v>
      </c>
      <c r="AW116" s="275" t="str">
        <f t="shared" si="56"/>
        <v>-</v>
      </c>
      <c r="AX116" s="275" t="str">
        <f t="shared" si="57"/>
        <v/>
      </c>
      <c r="AY116"/>
      <c r="AZ116" s="275" t="str">
        <f ca="1">IF(ISNUMBER(OFFSET(AV116,-$F$21,0)),SUM(OFFSET($T$100,$F$21,0):$T116),"")</f>
        <v/>
      </c>
      <c r="BA116" s="275" t="str">
        <f t="shared" ca="1" si="27"/>
        <v/>
      </c>
      <c r="BB116" s="275" t="str">
        <f t="shared" ca="1" si="58"/>
        <v/>
      </c>
      <c r="BC116" s="190"/>
      <c r="BD116" s="275" t="str">
        <f ca="1">IFERROR(IF(AND($B116&gt;=($F$16-$F$15),$B116&lt;$F$22+($F$16-$F$15)),SUM(OFFSET($T$100,($F$16-$F$15),0):$T116),""),"")</f>
        <v/>
      </c>
      <c r="BE116" s="275" t="str">
        <f t="shared" ca="1" si="59"/>
        <v/>
      </c>
      <c r="BF116" s="275" t="str">
        <f t="shared" ca="1" si="60"/>
        <v/>
      </c>
      <c r="BG116"/>
      <c r="BH116" s="190" t="str">
        <f ca="1">IF(ISNUMBER(OFFSET(BD116,-$F$21,0)),SUM(OFFSET($T$100,($F$16-$F$15+$F$21),0):$T116),"")</f>
        <v/>
      </c>
      <c r="BI116" s="190" t="str">
        <f t="shared" ca="1" si="28"/>
        <v/>
      </c>
      <c r="BJ116" s="190" t="str">
        <f t="shared" ca="1" si="61"/>
        <v/>
      </c>
      <c r="BK116" s="190"/>
      <c r="BL116" s="275" t="str">
        <f ca="1">IFERROR(IF(AND($B116&gt;=($F$17-$F$15),$B116&lt;$F$22+($F$17-$F$15)),SUM(OFFSET($T$100,($F$17-$F$15),0):$T116),""),"")</f>
        <v/>
      </c>
      <c r="BM116" s="275" t="str">
        <f t="shared" ca="1" si="29"/>
        <v/>
      </c>
      <c r="BN116" s="275" t="str">
        <f t="shared" ca="1" si="62"/>
        <v/>
      </c>
      <c r="BO116"/>
      <c r="BP116" s="275" t="str">
        <f ca="1">IF(ISNUMBER(OFFSET(BL116,-$F$21,0)),SUM(OFFSET($T$100,($F$17-$F$15+$F$21),0):$T116),"")</f>
        <v/>
      </c>
      <c r="BQ116" s="275" t="str">
        <f t="shared" ca="1" si="63"/>
        <v/>
      </c>
      <c r="BR116" s="275" t="str">
        <f t="shared" ca="1" si="64"/>
        <v/>
      </c>
      <c r="BS116" s="190"/>
      <c r="BT116"/>
      <c r="BU116" s="276" t="str">
        <f t="shared" si="65"/>
        <v>end</v>
      </c>
      <c r="BV116" s="277">
        <v>16</v>
      </c>
      <c r="BW116" s="278" t="str">
        <f t="shared" si="69"/>
        <v/>
      </c>
      <c r="BX116" s="278" t="str">
        <f t="shared" si="68"/>
        <v/>
      </c>
      <c r="BY116" s="279" t="str">
        <f t="shared" si="66"/>
        <v/>
      </c>
      <c r="BZ116"/>
      <c r="CA116" s="280" t="str">
        <f t="shared" si="30"/>
        <v>-</v>
      </c>
      <c r="CB116" s="71" t="str">
        <f t="shared" si="31"/>
        <v>-</v>
      </c>
      <c r="CC116" s="33" t="str">
        <f t="shared" si="32"/>
        <v>16-17</v>
      </c>
      <c r="CD116" s="261" t="str">
        <f t="shared" si="33"/>
        <v/>
      </c>
      <c r="CE116" s="280" t="str">
        <f t="shared" si="34"/>
        <v>-</v>
      </c>
      <c r="CF116" s="71" t="str">
        <f t="shared" ca="1" si="35"/>
        <v>-</v>
      </c>
      <c r="CG116" s="33" t="str">
        <f t="shared" si="36"/>
        <v>16-17</v>
      </c>
      <c r="CH116" s="261" t="str">
        <f t="shared" ca="1" si="37"/>
        <v/>
      </c>
      <c r="CI116" s="99"/>
      <c r="CJ116" s="99"/>
      <c r="CK116" s="99"/>
      <c r="CL116" s="99"/>
      <c r="CM116" s="99"/>
      <c r="CN116" s="99"/>
      <c r="CO116" s="99"/>
    </row>
    <row r="117" spans="2:93" ht="13.5" customHeight="1" x14ac:dyDescent="0.2">
      <c r="B117" s="262">
        <v>17</v>
      </c>
      <c r="C117" s="237" t="str">
        <f t="shared" si="1"/>
        <v/>
      </c>
      <c r="D117" s="237" t="str">
        <f t="shared" si="67"/>
        <v>-</v>
      </c>
      <c r="E117" s="290" t="str">
        <f t="shared" si="38"/>
        <v/>
      </c>
      <c r="F117" s="264" t="str">
        <f t="shared" si="39"/>
        <v/>
      </c>
      <c r="G117" s="291" t="str">
        <f t="shared" si="40"/>
        <v/>
      </c>
      <c r="H117" s="240" t="str">
        <f t="shared" si="41"/>
        <v/>
      </c>
      <c r="I117" s="265" t="str">
        <f t="shared" si="2"/>
        <v/>
      </c>
      <c r="J117" s="265" t="str">
        <f t="shared" si="3"/>
        <v/>
      </c>
      <c r="K117" s="240" t="str">
        <f t="shared" si="4"/>
        <v/>
      </c>
      <c r="L117" s="265" t="str">
        <f t="shared" si="5"/>
        <v/>
      </c>
      <c r="M117" s="265" t="str">
        <f t="shared" si="6"/>
        <v/>
      </c>
      <c r="N117" s="240" t="str">
        <f t="shared" si="7"/>
        <v>-</v>
      </c>
      <c r="O117" s="265" t="str">
        <f t="shared" si="8"/>
        <v>-</v>
      </c>
      <c r="P117" s="265" t="str">
        <f t="shared" si="9"/>
        <v>-</v>
      </c>
      <c r="Q117" s="266" t="str">
        <f t="shared" si="10"/>
        <v>-</v>
      </c>
      <c r="R117" s="267" t="str">
        <f t="shared" si="11"/>
        <v>-</v>
      </c>
      <c r="S117" s="268" t="str">
        <f t="shared" si="12"/>
        <v>-</v>
      </c>
      <c r="T117" s="269" t="str">
        <f t="shared" si="13"/>
        <v/>
      </c>
      <c r="U117" s="221">
        <f t="shared" si="14"/>
        <v>17</v>
      </c>
      <c r="V117" s="220" t="str">
        <f t="shared" si="42"/>
        <v>-</v>
      </c>
      <c r="W117" s="221" t="str">
        <f t="shared" si="43"/>
        <v>-</v>
      </c>
      <c r="X117" s="221" t="str">
        <f t="shared" si="15"/>
        <v>-</v>
      </c>
      <c r="Y117" s="221" t="str">
        <f t="shared" si="16"/>
        <v>-</v>
      </c>
      <c r="Z117" s="270">
        <f t="shared" si="44"/>
        <v>0.1</v>
      </c>
      <c r="AA117" s="271" t="str">
        <f>IFERROR(IF(V116=1,AA$100*EXP(-(LN(2)/$D$65+0.04)*X116)*EXP(-(LN(2)/$D$65+0.1)*Y116),IF(V116=2,AA$100*EXP(-(LN(2)/$D$65+0.04)*(VLOOKUP(($F$16-$F$15)-1,U$99:Y116,4,FALSE)))*EXP(-(LN(2)/$D$65+0.1)*(VLOOKUP(($F$16-$F$15)-1,U$99:Y116,5,FALSE)))*EXP(-(LN(2)/$D$65+0.04)*X116)*EXP(-(LN(2)/$D$65+0.1)*Y116),IF(V116=3,AA$100*EXP(-(LN(2)/$D$65+0.04)*(VLOOKUP(($F$16-$F$15)-1,U$99:Y116,4,FALSE)))*EXP(-(LN(2)/$D$65+0.1)*(VLOOKUP(($F$16-$F$15)-1,U$99:Y116,5,FALSE)))*EXP(-(LN(2)/$D$65+0.04)*(VLOOKUP(($F$16-$F$15)*2-1,U$99:Y116,4,FALSE)))*EXP(-(LN(2)/$D$65+0.1)*(VLOOKUP(($F$16-$F$15)*2-1,U$99:Y116,5,FALSE)))*EXP(-(LN(2)/$D$65+0.04)*X116)*EXP(-(LN(2)/$D$65+0.1)*Y116),"-"))),"-")</f>
        <v>-</v>
      </c>
      <c r="AB117" s="271" t="str">
        <f>IFERROR(IF(V117=1,AB$100*EXP(-(LN(2)/$D$65+0.04)*X117)*EXP(-(LN(2)/$D$65+0.1)*Y117),IF(V117=2,AB$100*EXP(-(LN(2)/$D$65+0.04)*(VLOOKUP(($F$16-$F$15)-1,U$100:Y117,4,FALSE)))*EXP(-(LN(2)/$D$65+0.1)*(VLOOKUP(($F$16-$F$15)-1,U$100:Y117,5,FALSE)))*EXP(-(LN(2)/$D$65+0.04)*X117)*EXP(-(LN(2)/$D$65+0.1)*Y117),IF(V117=3,AB$100*EXP(-(LN(2)/$D$65+0.04)*(VLOOKUP(($F$16-$F$15)-1,U$100:Y117,4,FALSE)))*EXP(-(LN(2)/$D$65+0.1)*(VLOOKUP(($F$16-$F$15)-1,U$100:Y117,5,FALSE)))*EXP(-(LN(2)/$D$65+0.04)*(VLOOKUP(($F$16-$F$15)*2-1,U$100:Y117,4,FALSE)))*EXP(-(LN(2)/$D$65+0.1)*(VLOOKUP(($F$16-$F$15)*2-1,U$100:Y117,5,FALSE)))*EXP(-(LN(2)/$D$65+0.04)*X117)*EXP(-(LN(2)/$D$65+0.1)*Y117),"-"))),"-")</f>
        <v>-</v>
      </c>
      <c r="AC117" s="224">
        <f t="shared" si="46"/>
        <v>17</v>
      </c>
      <c r="AD117" s="223" t="str">
        <f t="shared" si="18"/>
        <v>-</v>
      </c>
      <c r="AE117" s="224" t="str">
        <f t="shared" si="47"/>
        <v>-</v>
      </c>
      <c r="AF117" s="224" t="str">
        <f t="shared" si="19"/>
        <v>-</v>
      </c>
      <c r="AG117" s="224" t="str">
        <f t="shared" si="20"/>
        <v>-</v>
      </c>
      <c r="AH117" s="272">
        <f t="shared" si="48"/>
        <v>0.1</v>
      </c>
      <c r="AI117" s="271" t="str">
        <f>IFERROR(IF(AD116=1,AI$100*EXP(-(LN(2)/$D$65+0.04)*AF116)*EXP(-(LN(2)/$D$65+0.1)*AG116),IF(AD116=2,AI$100*EXP(-(LN(2)/$D$65+0.04)*(VLOOKUP(($F$16-$F$15)-1,AC$99:AG116,4,FALSE)))*EXP(-(LN(2)/$D$65+0.1)*(VLOOKUP(($F$16-$F$15)-1,AC$99:AG116,5,FALSE)))*EXP(-(LN(2)/$D$65+0.04)*AF116)*EXP(-(LN(2)/$D$65+0.1)*AG116),IF(AD116=3,AI$100*EXP(-(LN(2)/$D$65+0.04)*(VLOOKUP(($F$16-$F$15)-1,AC$99:AG116,4,FALSE)))*EXP(-(LN(2)/$D$65+0.1)*(VLOOKUP(($F$16-$F$15)-1,AC$99:AG116,5,FALSE)))*EXP(-(LN(2)/$D$65+0.04)*(VLOOKUP(($F$16-$F$15)*2-1,AC$99:AG116,4,FALSE)))*EXP(-(LN(2)/$D$65+0.1)*(VLOOKUP(($F$16-$F$15)*2-1,AC$99:AG116,5,FALSE)))*EXP(-(LN(2)/$D$65+0.04)*AF116)*EXP(-(LN(2)/$D$65+0.1)*AG116),"-"))),"-")</f>
        <v>-</v>
      </c>
      <c r="AJ117" s="271" t="str">
        <f>IFERROR(IF(AD117=1,AJ$100*EXP(-(LN(2)/$D$65+0.04)*AF117)*EXP(-(LN(2)/$D$65+0.1)*AG117),IF(AD117=2,AJ$100*EXP(-(LN(2)/$D$65+0.04)*(VLOOKUP(($F$16-$F$15)-1,AC$100:AG117,4,FALSE)))*EXP(-(LN(2)/$D$65+0.1)*(VLOOKUP(($F$16-$F$15)-1,AC$100:AG117,5,FALSE)))*EXP(-(LN(2)/$D$65+0.04)*AF117)*EXP(-(LN(2)/$D$65+0.1)*AG117),IF(AD117=3,AJ$100*EXP(-(LN(2)/$D$65+0.04)*(VLOOKUP(($F$16-$F$15)-1,AC$100:AG117,4,FALSE)))*EXP(-(LN(2)/$D$65+0.1)*(VLOOKUP(($F$16-$F$15)-1,AC$100:AG117,5,FALSE)))*EXP(-(LN(2)/$D$65+0.04)*(VLOOKUP(($F$16-$F$15)*2-1,AC$100:AG117,4,FALSE)))*EXP(-(LN(2)/$D$65+0.1)*(VLOOKUP(($F$16-$F$15)*2-1,AC$100:AG117,5,FALSE)))*EXP(-(LN(2)/$D$65+0.04)*AF117)*EXP(-(LN(2)/$D$65+0.1)*AG117),"-"))),"-")</f>
        <v>-</v>
      </c>
      <c r="AK117" s="227">
        <f t="shared" si="50"/>
        <v>17</v>
      </c>
      <c r="AL117" s="226" t="str">
        <f t="shared" si="22"/>
        <v>-</v>
      </c>
      <c r="AM117" s="227" t="str">
        <f t="shared" si="51"/>
        <v>-</v>
      </c>
      <c r="AN117" s="227" t="str">
        <f t="shared" si="52"/>
        <v>-</v>
      </c>
      <c r="AO117" s="227" t="str">
        <f t="shared" si="23"/>
        <v>-</v>
      </c>
      <c r="AP117" s="273">
        <f t="shared" si="53"/>
        <v>0.1</v>
      </c>
      <c r="AQ117" s="271" t="str">
        <f>IFERROR(IF(AL116=1,AQ$100*EXP(-(LN(2)/$D$65+0.04)*AN116)*EXP(-(LN(2)/$D$65+0.1)*AO116),IF(AL116=2,AQ$100*EXP(-(LN(2)/$D$65+0.04)*(VLOOKUP(($F$16-$F$15)-1,AK$99:AO116,4,FALSE)))*EXP(-(LN(2)/$D$65+0.1)*(VLOOKUP(($F$16-$F$15)-1,AK$99:AO116,5,FALSE)))*EXP(-(LN(2)/$D$65+0.04)*AN116)*EXP(-(LN(2)/$D$65+0.1)*AO116),IF(AL116=3,AQ$100*EXP(-(LN(2)/$D$65+0.04)*(VLOOKUP(($F$16-$F$15)-1,AK$99:AO116,4,FALSE)))*EXP(-(LN(2)/$D$65+0.1)*(VLOOKUP(($F$16-$F$15)-1,AK$99:AO116,5,FALSE)))*EXP(-(LN(2)/$D$65+0.04)*(VLOOKUP(($F$16-$F$15)*2-1,AK$99:AO116,4,FALSE)))*EXP(-(LN(2)/$D$65+0.1)*(VLOOKUP(($F$16-$F$15)*2-1,AK$99:AO116,5,FALSE)))*EXP(-(LN(2)/$D$65+0.04)*AN116)*EXP(-(LN(2)/$D$65+0.1)*AO116),"-"))),"-")</f>
        <v>-</v>
      </c>
      <c r="AR117" s="271" t="str">
        <f>IFERROR(IF(AL117=1,AR$100*EXP(-(LN(2)/$D$65+0.04)*AN117)*EXP(-(LN(2)/$D$65+0.1)*AO117),IF(AL117=2,AR$100*EXP(-(LN(2)/$D$65+0.04)*(VLOOKUP(($F$16-$F$15)-1,AK$100:AO117,4,FALSE)))*EXP(-(LN(2)/$D$65+0.1)*(VLOOKUP(($F$16-$F$15)-1,AK$100:AO117,5,FALSE)))*EXP(-(LN(2)/$D$65+0.04)*AN117)*EXP(-(LN(2)/$D$65+0.1)*AO117),IF(AL117=3,AR$100*EXP(-(LN(2)/$D$65+0.04)*(VLOOKUP(($F$16-$F$15)-1,AK$100:AO117,4,FALSE)))*EXP(-(LN(2)/$D$65+0.1)*(VLOOKUP(($F$16-$F$15)-1,AK$100:AO117,5,FALSE)))*EXP(-(LN(2)/$D$65+0.04)*(VLOOKUP(($F$16-$F$15)*2-1,AK$100:AO117,4,FALSE)))*EXP(-(LN(2)/$D$65+0.1)*(VLOOKUP(($F$16-$F$15)*2-1,AK$100:AO117,5,FALSE)))*EXP(-(LN(2)/$D$65+0.04)*AN117)*EXP(-(LN(2)/$D$65+0.1)*AO117),"-"))),"-")</f>
        <v>-</v>
      </c>
      <c r="AS117" s="274">
        <f t="shared" si="24"/>
        <v>0</v>
      </c>
      <c r="AT117" s="274">
        <f t="shared" si="25"/>
        <v>0</v>
      </c>
      <c r="AU117" s="274">
        <f t="shared" si="26"/>
        <v>0</v>
      </c>
      <c r="AV117" s="275">
        <f>IF($B117&lt;$F$22,SUM($T$100:$T117),"")</f>
        <v>0</v>
      </c>
      <c r="AW117" s="275" t="str">
        <f t="shared" si="56"/>
        <v>-</v>
      </c>
      <c r="AX117" s="275" t="str">
        <f t="shared" si="57"/>
        <v/>
      </c>
      <c r="AY117"/>
      <c r="AZ117" s="275" t="str">
        <f ca="1">IF(ISNUMBER(OFFSET(AV117,-$F$21,0)),SUM(OFFSET($T$100,$F$21,0):$T117),"")</f>
        <v/>
      </c>
      <c r="BA117" s="275" t="str">
        <f t="shared" ca="1" si="27"/>
        <v/>
      </c>
      <c r="BB117" s="275" t="str">
        <f t="shared" ca="1" si="58"/>
        <v/>
      </c>
      <c r="BC117" s="190"/>
      <c r="BD117" s="275" t="str">
        <f ca="1">IFERROR(IF(AND($B117&gt;=($F$16-$F$15),$B117&lt;$F$22+($F$16-$F$15)),SUM(OFFSET($T$100,($F$16-$F$15),0):$T117),""),"")</f>
        <v/>
      </c>
      <c r="BE117" s="275" t="str">
        <f t="shared" ca="1" si="59"/>
        <v/>
      </c>
      <c r="BF117" s="275" t="str">
        <f t="shared" ca="1" si="60"/>
        <v/>
      </c>
      <c r="BG117"/>
      <c r="BH117" s="190" t="str">
        <f ca="1">IF(ISNUMBER(OFFSET(BD117,-$F$21,0)),SUM(OFFSET($T$100,($F$16-$F$15+$F$21),0):$T117),"")</f>
        <v/>
      </c>
      <c r="BI117" s="190" t="str">
        <f t="shared" ca="1" si="28"/>
        <v/>
      </c>
      <c r="BJ117" s="190" t="str">
        <f t="shared" ca="1" si="61"/>
        <v/>
      </c>
      <c r="BK117" s="190"/>
      <c r="BL117" s="275" t="str">
        <f ca="1">IFERROR(IF(AND($B117&gt;=($F$17-$F$15),$B117&lt;$F$22+($F$17-$F$15)),SUM(OFFSET($T$100,($F$17-$F$15),0):$T117),""),"")</f>
        <v/>
      </c>
      <c r="BM117" s="275" t="str">
        <f t="shared" ca="1" si="29"/>
        <v/>
      </c>
      <c r="BN117" s="275" t="str">
        <f t="shared" ca="1" si="62"/>
        <v/>
      </c>
      <c r="BO117"/>
      <c r="BP117" s="275" t="str">
        <f ca="1">IF(ISNUMBER(OFFSET(BL117,-$F$21,0)),SUM(OFFSET($T$100,($F$17-$F$15+$F$21),0):$T117),"")</f>
        <v/>
      </c>
      <c r="BQ117" s="275" t="str">
        <f t="shared" ca="1" si="63"/>
        <v/>
      </c>
      <c r="BR117" s="275" t="str">
        <f t="shared" ca="1" si="64"/>
        <v/>
      </c>
      <c r="BS117" s="190"/>
      <c r="BT117"/>
      <c r="BU117" s="276" t="str">
        <f t="shared" si="65"/>
        <v>end</v>
      </c>
      <c r="BV117" s="277">
        <v>17</v>
      </c>
      <c r="BW117" s="278" t="str">
        <f t="shared" si="69"/>
        <v/>
      </c>
      <c r="BX117" s="278" t="str">
        <f t="shared" si="68"/>
        <v/>
      </c>
      <c r="BY117" s="279" t="str">
        <f t="shared" si="66"/>
        <v/>
      </c>
      <c r="BZ117"/>
      <c r="CA117" s="280" t="str">
        <f t="shared" si="30"/>
        <v>-</v>
      </c>
      <c r="CB117" s="71" t="str">
        <f t="shared" si="31"/>
        <v>-</v>
      </c>
      <c r="CC117" s="33" t="str">
        <f t="shared" si="32"/>
        <v>17-18</v>
      </c>
      <c r="CD117" s="261" t="str">
        <f t="shared" si="33"/>
        <v/>
      </c>
      <c r="CE117" s="280" t="str">
        <f t="shared" si="34"/>
        <v>-</v>
      </c>
      <c r="CF117" s="71" t="str">
        <f t="shared" ca="1" si="35"/>
        <v>-</v>
      </c>
      <c r="CG117" s="33" t="str">
        <f t="shared" si="36"/>
        <v>17-18</v>
      </c>
      <c r="CH117" s="261" t="str">
        <f t="shared" ca="1" si="37"/>
        <v/>
      </c>
      <c r="CI117" s="99"/>
      <c r="CJ117" s="99"/>
      <c r="CK117" s="99"/>
      <c r="CL117" s="99"/>
      <c r="CM117" s="99"/>
      <c r="CN117" s="99"/>
      <c r="CO117" s="99"/>
    </row>
    <row r="118" spans="2:93" ht="13.5" customHeight="1" x14ac:dyDescent="0.2">
      <c r="B118" s="262">
        <v>18</v>
      </c>
      <c r="C118" s="237" t="str">
        <f t="shared" si="1"/>
        <v/>
      </c>
      <c r="D118" s="237" t="str">
        <f t="shared" si="67"/>
        <v>-</v>
      </c>
      <c r="E118" s="290" t="str">
        <f t="shared" si="38"/>
        <v/>
      </c>
      <c r="F118" s="264" t="str">
        <f t="shared" si="39"/>
        <v/>
      </c>
      <c r="G118" s="291" t="str">
        <f t="shared" si="40"/>
        <v/>
      </c>
      <c r="H118" s="240" t="str">
        <f t="shared" si="41"/>
        <v/>
      </c>
      <c r="I118" s="265" t="str">
        <f t="shared" si="2"/>
        <v/>
      </c>
      <c r="J118" s="265" t="str">
        <f t="shared" si="3"/>
        <v/>
      </c>
      <c r="K118" s="240" t="str">
        <f t="shared" si="4"/>
        <v/>
      </c>
      <c r="L118" s="265" t="str">
        <f t="shared" si="5"/>
        <v/>
      </c>
      <c r="M118" s="265" t="str">
        <f t="shared" si="6"/>
        <v/>
      </c>
      <c r="N118" s="240" t="str">
        <f t="shared" si="7"/>
        <v>-</v>
      </c>
      <c r="O118" s="265" t="str">
        <f t="shared" si="8"/>
        <v>-</v>
      </c>
      <c r="P118" s="265" t="str">
        <f t="shared" si="9"/>
        <v>-</v>
      </c>
      <c r="Q118" s="266" t="str">
        <f t="shared" si="10"/>
        <v>-</v>
      </c>
      <c r="R118" s="267" t="str">
        <f t="shared" si="11"/>
        <v>-</v>
      </c>
      <c r="S118" s="268" t="str">
        <f t="shared" si="12"/>
        <v>-</v>
      </c>
      <c r="T118" s="269" t="str">
        <f t="shared" si="13"/>
        <v/>
      </c>
      <c r="U118" s="221">
        <f t="shared" si="14"/>
        <v>18</v>
      </c>
      <c r="V118" s="220" t="str">
        <f t="shared" si="42"/>
        <v>-</v>
      </c>
      <c r="W118" s="221" t="str">
        <f t="shared" si="43"/>
        <v>-</v>
      </c>
      <c r="X118" s="221" t="str">
        <f t="shared" si="15"/>
        <v>-</v>
      </c>
      <c r="Y118" s="221" t="str">
        <f t="shared" si="16"/>
        <v>-</v>
      </c>
      <c r="Z118" s="270">
        <f t="shared" si="44"/>
        <v>0.1</v>
      </c>
      <c r="AA118" s="271" t="str">
        <f>IFERROR(IF(V117=1,AA$100*EXP(-(LN(2)/$D$65+0.04)*X117)*EXP(-(LN(2)/$D$65+0.1)*Y117),IF(V117=2,AA$100*EXP(-(LN(2)/$D$65+0.04)*(VLOOKUP(($F$16-$F$15)-1,U$99:Y117,4,FALSE)))*EXP(-(LN(2)/$D$65+0.1)*(VLOOKUP(($F$16-$F$15)-1,U$99:Y117,5,FALSE)))*EXP(-(LN(2)/$D$65+0.04)*X117)*EXP(-(LN(2)/$D$65+0.1)*Y117),IF(V117=3,AA$100*EXP(-(LN(2)/$D$65+0.04)*(VLOOKUP(($F$16-$F$15)-1,U$99:Y117,4,FALSE)))*EXP(-(LN(2)/$D$65+0.1)*(VLOOKUP(($F$16-$F$15)-1,U$99:Y117,5,FALSE)))*EXP(-(LN(2)/$D$65+0.04)*(VLOOKUP(($F$16-$F$15)*2-1,U$99:Y117,4,FALSE)))*EXP(-(LN(2)/$D$65+0.1)*(VLOOKUP(($F$16-$F$15)*2-1,U$99:Y117,5,FALSE)))*EXP(-(LN(2)/$D$65+0.04)*X117)*EXP(-(LN(2)/$D$65+0.1)*Y117),"-"))),"-")</f>
        <v>-</v>
      </c>
      <c r="AB118" s="271" t="str">
        <f>IFERROR(IF(V118=1,AB$100*EXP(-(LN(2)/$D$65+0.04)*X118)*EXP(-(LN(2)/$D$65+0.1)*Y118),IF(V118=2,AB$100*EXP(-(LN(2)/$D$65+0.04)*(VLOOKUP(($F$16-$F$15)-1,U$100:Y118,4,FALSE)))*EXP(-(LN(2)/$D$65+0.1)*(VLOOKUP(($F$16-$F$15)-1,U$100:Y118,5,FALSE)))*EXP(-(LN(2)/$D$65+0.04)*X118)*EXP(-(LN(2)/$D$65+0.1)*Y118),IF(V118=3,AB$100*EXP(-(LN(2)/$D$65+0.04)*(VLOOKUP(($F$16-$F$15)-1,U$100:Y118,4,FALSE)))*EXP(-(LN(2)/$D$65+0.1)*(VLOOKUP(($F$16-$F$15)-1,U$100:Y118,5,FALSE)))*EXP(-(LN(2)/$D$65+0.04)*(VLOOKUP(($F$16-$F$15)*2-1,U$100:Y118,4,FALSE)))*EXP(-(LN(2)/$D$65+0.1)*(VLOOKUP(($F$16-$F$15)*2-1,U$100:Y118,5,FALSE)))*EXP(-(LN(2)/$D$65+0.04)*X118)*EXP(-(LN(2)/$D$65+0.1)*Y118),"-"))),"-")</f>
        <v>-</v>
      </c>
      <c r="AC118" s="224">
        <f t="shared" si="46"/>
        <v>18</v>
      </c>
      <c r="AD118" s="223" t="str">
        <f t="shared" si="18"/>
        <v>-</v>
      </c>
      <c r="AE118" s="224" t="str">
        <f t="shared" si="47"/>
        <v>-</v>
      </c>
      <c r="AF118" s="224" t="str">
        <f t="shared" si="19"/>
        <v>-</v>
      </c>
      <c r="AG118" s="224" t="str">
        <f t="shared" si="20"/>
        <v>-</v>
      </c>
      <c r="AH118" s="272">
        <f t="shared" si="48"/>
        <v>0.1</v>
      </c>
      <c r="AI118" s="271" t="str">
        <f>IFERROR(IF(AD117=1,AI$100*EXP(-(LN(2)/$D$65+0.04)*AF117)*EXP(-(LN(2)/$D$65+0.1)*AG117),IF(AD117=2,AI$100*EXP(-(LN(2)/$D$65+0.04)*(VLOOKUP(($F$16-$F$15)-1,AC$99:AG117,4,FALSE)))*EXP(-(LN(2)/$D$65+0.1)*(VLOOKUP(($F$16-$F$15)-1,AC$99:AG117,5,FALSE)))*EXP(-(LN(2)/$D$65+0.04)*AF117)*EXP(-(LN(2)/$D$65+0.1)*AG117),IF(AD117=3,AI$100*EXP(-(LN(2)/$D$65+0.04)*(VLOOKUP(($F$16-$F$15)-1,AC$99:AG117,4,FALSE)))*EXP(-(LN(2)/$D$65+0.1)*(VLOOKUP(($F$16-$F$15)-1,AC$99:AG117,5,FALSE)))*EXP(-(LN(2)/$D$65+0.04)*(VLOOKUP(($F$16-$F$15)*2-1,AC$99:AG117,4,FALSE)))*EXP(-(LN(2)/$D$65+0.1)*(VLOOKUP(($F$16-$F$15)*2-1,AC$99:AG117,5,FALSE)))*EXP(-(LN(2)/$D$65+0.04)*AF117)*EXP(-(LN(2)/$D$65+0.1)*AG117),"-"))),"-")</f>
        <v>-</v>
      </c>
      <c r="AJ118" s="271" t="str">
        <f>IFERROR(IF(AD118=1,AJ$100*EXP(-(LN(2)/$D$65+0.04)*AF118)*EXP(-(LN(2)/$D$65+0.1)*AG118),IF(AD118=2,AJ$100*EXP(-(LN(2)/$D$65+0.04)*(VLOOKUP(($F$16-$F$15)-1,AC$100:AG118,4,FALSE)))*EXP(-(LN(2)/$D$65+0.1)*(VLOOKUP(($F$16-$F$15)-1,AC$100:AG118,5,FALSE)))*EXP(-(LN(2)/$D$65+0.04)*AF118)*EXP(-(LN(2)/$D$65+0.1)*AG118),IF(AD118=3,AJ$100*EXP(-(LN(2)/$D$65+0.04)*(VLOOKUP(($F$16-$F$15)-1,AC$100:AG118,4,FALSE)))*EXP(-(LN(2)/$D$65+0.1)*(VLOOKUP(($F$16-$F$15)-1,AC$100:AG118,5,FALSE)))*EXP(-(LN(2)/$D$65+0.04)*(VLOOKUP(($F$16-$F$15)*2-1,AC$100:AG118,4,FALSE)))*EXP(-(LN(2)/$D$65+0.1)*(VLOOKUP(($F$16-$F$15)*2-1,AC$100:AG118,5,FALSE)))*EXP(-(LN(2)/$D$65+0.04)*AF118)*EXP(-(LN(2)/$D$65+0.1)*AG118),"-"))),"-")</f>
        <v>-</v>
      </c>
      <c r="AK118" s="227">
        <f t="shared" si="50"/>
        <v>18</v>
      </c>
      <c r="AL118" s="226" t="str">
        <f t="shared" si="22"/>
        <v>-</v>
      </c>
      <c r="AM118" s="227" t="str">
        <f t="shared" si="51"/>
        <v>-</v>
      </c>
      <c r="AN118" s="227" t="str">
        <f t="shared" si="52"/>
        <v>-</v>
      </c>
      <c r="AO118" s="227" t="str">
        <f t="shared" si="23"/>
        <v>-</v>
      </c>
      <c r="AP118" s="273">
        <f t="shared" si="53"/>
        <v>0.1</v>
      </c>
      <c r="AQ118" s="271" t="str">
        <f>IFERROR(IF(AL117=1,AQ$100*EXP(-(LN(2)/$D$65+0.04)*AN117)*EXP(-(LN(2)/$D$65+0.1)*AO117),IF(AL117=2,AQ$100*EXP(-(LN(2)/$D$65+0.04)*(VLOOKUP(($F$16-$F$15)-1,AK$99:AO117,4,FALSE)))*EXP(-(LN(2)/$D$65+0.1)*(VLOOKUP(($F$16-$F$15)-1,AK$99:AO117,5,FALSE)))*EXP(-(LN(2)/$D$65+0.04)*AN117)*EXP(-(LN(2)/$D$65+0.1)*AO117),IF(AL117=3,AQ$100*EXP(-(LN(2)/$D$65+0.04)*(VLOOKUP(($F$16-$F$15)-1,AK$99:AO117,4,FALSE)))*EXP(-(LN(2)/$D$65+0.1)*(VLOOKUP(($F$16-$F$15)-1,AK$99:AO117,5,FALSE)))*EXP(-(LN(2)/$D$65+0.04)*(VLOOKUP(($F$16-$F$15)*2-1,AK$99:AO117,4,FALSE)))*EXP(-(LN(2)/$D$65+0.1)*(VLOOKUP(($F$16-$F$15)*2-1,AK$99:AO117,5,FALSE)))*EXP(-(LN(2)/$D$65+0.04)*AN117)*EXP(-(LN(2)/$D$65+0.1)*AO117),"-"))),"-")</f>
        <v>-</v>
      </c>
      <c r="AR118" s="271" t="str">
        <f>IFERROR(IF(AL118=1,AR$100*EXP(-(LN(2)/$D$65+0.04)*AN118)*EXP(-(LN(2)/$D$65+0.1)*AO118),IF(AL118=2,AR$100*EXP(-(LN(2)/$D$65+0.04)*(VLOOKUP(($F$16-$F$15)-1,AK$100:AO118,4,FALSE)))*EXP(-(LN(2)/$D$65+0.1)*(VLOOKUP(($F$16-$F$15)-1,AK$100:AO118,5,FALSE)))*EXP(-(LN(2)/$D$65+0.04)*AN118)*EXP(-(LN(2)/$D$65+0.1)*AO118),IF(AL118=3,AR$100*EXP(-(LN(2)/$D$65+0.04)*(VLOOKUP(($F$16-$F$15)-1,AK$100:AO118,4,FALSE)))*EXP(-(LN(2)/$D$65+0.1)*(VLOOKUP(($F$16-$F$15)-1,AK$100:AO118,5,FALSE)))*EXP(-(LN(2)/$D$65+0.04)*(VLOOKUP(($F$16-$F$15)*2-1,AK$100:AO118,4,FALSE)))*EXP(-(LN(2)/$D$65+0.1)*(VLOOKUP(($F$16-$F$15)*2-1,AK$100:AO118,5,FALSE)))*EXP(-(LN(2)/$D$65+0.04)*AN118)*EXP(-(LN(2)/$D$65+0.1)*AO118),"-"))),"-")</f>
        <v>-</v>
      </c>
      <c r="AS118" s="274">
        <f t="shared" si="24"/>
        <v>0</v>
      </c>
      <c r="AT118" s="274">
        <f t="shared" si="25"/>
        <v>0</v>
      </c>
      <c r="AU118" s="274">
        <f t="shared" si="26"/>
        <v>0</v>
      </c>
      <c r="AV118" s="275">
        <f>IF($B118&lt;$F$22,SUM($T$100:$T118),"")</f>
        <v>0</v>
      </c>
      <c r="AW118" s="275" t="str">
        <f t="shared" si="56"/>
        <v>-</v>
      </c>
      <c r="AX118" s="275" t="str">
        <f t="shared" si="57"/>
        <v/>
      </c>
      <c r="AY118"/>
      <c r="AZ118" s="275" t="str">
        <f ca="1">IF(ISNUMBER(OFFSET(AV118,-$F$21,0)),SUM(OFFSET($T$100,$F$21,0):$T118),"")</f>
        <v/>
      </c>
      <c r="BA118" s="275" t="str">
        <f t="shared" ca="1" si="27"/>
        <v/>
      </c>
      <c r="BB118" s="275" t="str">
        <f t="shared" ca="1" si="58"/>
        <v/>
      </c>
      <c r="BC118" s="190"/>
      <c r="BD118" s="275" t="str">
        <f ca="1">IFERROR(IF(AND($B118&gt;=($F$16-$F$15),$B118&lt;$F$22+($F$16-$F$15)),SUM(OFFSET($T$100,($F$16-$F$15),0):$T118),""),"")</f>
        <v/>
      </c>
      <c r="BE118" s="275" t="str">
        <f t="shared" ca="1" si="59"/>
        <v/>
      </c>
      <c r="BF118" s="275" t="str">
        <f t="shared" ca="1" si="60"/>
        <v/>
      </c>
      <c r="BG118"/>
      <c r="BH118" s="190" t="str">
        <f ca="1">IF(ISNUMBER(OFFSET(BD118,-$F$21,0)),SUM(OFFSET($T$100,($F$16-$F$15+$F$21),0):$T118),"")</f>
        <v/>
      </c>
      <c r="BI118" s="190" t="str">
        <f t="shared" ca="1" si="28"/>
        <v/>
      </c>
      <c r="BJ118" s="190" t="str">
        <f t="shared" ca="1" si="61"/>
        <v/>
      </c>
      <c r="BK118" s="190"/>
      <c r="BL118" s="275" t="str">
        <f ca="1">IFERROR(IF(AND($B118&gt;=($F$17-$F$15),$B118&lt;$F$22+($F$17-$F$15)),SUM(OFFSET($T$100,($F$17-$F$15),0):$T118),""),"")</f>
        <v/>
      </c>
      <c r="BM118" s="275" t="str">
        <f t="shared" ca="1" si="29"/>
        <v/>
      </c>
      <c r="BN118" s="275" t="str">
        <f t="shared" ca="1" si="62"/>
        <v/>
      </c>
      <c r="BO118"/>
      <c r="BP118" s="275" t="str">
        <f ca="1">IF(ISNUMBER(OFFSET(BL118,-$F$21,0)),SUM(OFFSET($T$100,($F$17-$F$15+$F$21),0):$T118),"")</f>
        <v/>
      </c>
      <c r="BQ118" s="275" t="str">
        <f t="shared" ca="1" si="63"/>
        <v/>
      </c>
      <c r="BR118" s="275" t="str">
        <f t="shared" ca="1" si="64"/>
        <v/>
      </c>
      <c r="BS118" s="190"/>
      <c r="BT118"/>
      <c r="BU118" s="276" t="str">
        <f t="shared" si="65"/>
        <v>end</v>
      </c>
      <c r="BV118" s="277">
        <v>18</v>
      </c>
      <c r="BW118" s="278" t="str">
        <f t="shared" si="69"/>
        <v/>
      </c>
      <c r="BX118" s="278" t="str">
        <f t="shared" si="68"/>
        <v/>
      </c>
      <c r="BY118" s="279" t="str">
        <f t="shared" si="66"/>
        <v/>
      </c>
      <c r="BZ118"/>
      <c r="CA118" s="280" t="str">
        <f t="shared" si="30"/>
        <v>-</v>
      </c>
      <c r="CB118" s="71" t="str">
        <f t="shared" si="31"/>
        <v>-</v>
      </c>
      <c r="CC118" s="33" t="str">
        <f t="shared" si="32"/>
        <v>18-19</v>
      </c>
      <c r="CD118" s="261" t="str">
        <f t="shared" si="33"/>
        <v/>
      </c>
      <c r="CE118" s="280" t="str">
        <f t="shared" si="34"/>
        <v>-</v>
      </c>
      <c r="CF118" s="71" t="str">
        <f t="shared" ca="1" si="35"/>
        <v>-</v>
      </c>
      <c r="CG118" s="33" t="str">
        <f t="shared" si="36"/>
        <v>18-19</v>
      </c>
      <c r="CH118" s="261" t="str">
        <f t="shared" ca="1" si="37"/>
        <v/>
      </c>
      <c r="CI118" s="99"/>
      <c r="CJ118" s="99"/>
      <c r="CK118" s="99"/>
      <c r="CL118" s="99"/>
      <c r="CM118" s="99"/>
      <c r="CN118" s="99"/>
      <c r="CO118" s="99"/>
    </row>
    <row r="119" spans="2:93" ht="13.5" customHeight="1" x14ac:dyDescent="0.2">
      <c r="B119" s="262">
        <v>19</v>
      </c>
      <c r="C119" s="237" t="str">
        <f t="shared" si="1"/>
        <v/>
      </c>
      <c r="D119" s="237" t="str">
        <f t="shared" si="67"/>
        <v>-</v>
      </c>
      <c r="E119" s="290" t="str">
        <f t="shared" si="38"/>
        <v/>
      </c>
      <c r="F119" s="264" t="str">
        <f t="shared" si="39"/>
        <v/>
      </c>
      <c r="G119" s="291" t="str">
        <f t="shared" si="40"/>
        <v/>
      </c>
      <c r="H119" s="240" t="str">
        <f t="shared" si="41"/>
        <v/>
      </c>
      <c r="I119" s="265" t="str">
        <f t="shared" si="2"/>
        <v/>
      </c>
      <c r="J119" s="265" t="str">
        <f t="shared" si="3"/>
        <v/>
      </c>
      <c r="K119" s="240" t="str">
        <f t="shared" si="4"/>
        <v/>
      </c>
      <c r="L119" s="265" t="str">
        <f t="shared" si="5"/>
        <v/>
      </c>
      <c r="M119" s="265" t="str">
        <f t="shared" si="6"/>
        <v/>
      </c>
      <c r="N119" s="240" t="str">
        <f t="shared" si="7"/>
        <v>-</v>
      </c>
      <c r="O119" s="265" t="str">
        <f t="shared" si="8"/>
        <v>-</v>
      </c>
      <c r="P119" s="265" t="str">
        <f t="shared" si="9"/>
        <v>-</v>
      </c>
      <c r="Q119" s="266" t="str">
        <f t="shared" si="10"/>
        <v>-</v>
      </c>
      <c r="R119" s="267" t="str">
        <f t="shared" si="11"/>
        <v>-</v>
      </c>
      <c r="S119" s="268" t="str">
        <f t="shared" si="12"/>
        <v>-</v>
      </c>
      <c r="T119" s="269" t="str">
        <f t="shared" si="13"/>
        <v/>
      </c>
      <c r="U119" s="221">
        <f t="shared" si="14"/>
        <v>19</v>
      </c>
      <c r="V119" s="220" t="str">
        <f t="shared" si="42"/>
        <v>-</v>
      </c>
      <c r="W119" s="221" t="str">
        <f t="shared" si="43"/>
        <v>-</v>
      </c>
      <c r="X119" s="221" t="str">
        <f t="shared" si="15"/>
        <v>-</v>
      </c>
      <c r="Y119" s="221" t="str">
        <f t="shared" si="16"/>
        <v>-</v>
      </c>
      <c r="Z119" s="270">
        <f t="shared" si="44"/>
        <v>0.1</v>
      </c>
      <c r="AA119" s="271" t="str">
        <f>IFERROR(IF(V118=1,AA$100*EXP(-(LN(2)/$D$65+0.04)*X118)*EXP(-(LN(2)/$D$65+0.1)*Y118),IF(V118=2,AA$100*EXP(-(LN(2)/$D$65+0.04)*(VLOOKUP(($F$16-$F$15)-1,U$99:Y118,4,FALSE)))*EXP(-(LN(2)/$D$65+0.1)*(VLOOKUP(($F$16-$F$15)-1,U$99:Y118,5,FALSE)))*EXP(-(LN(2)/$D$65+0.04)*X118)*EXP(-(LN(2)/$D$65+0.1)*Y118),IF(V118=3,AA$100*EXP(-(LN(2)/$D$65+0.04)*(VLOOKUP(($F$16-$F$15)-1,U$99:Y118,4,FALSE)))*EXP(-(LN(2)/$D$65+0.1)*(VLOOKUP(($F$16-$F$15)-1,U$99:Y118,5,FALSE)))*EXP(-(LN(2)/$D$65+0.04)*(VLOOKUP(($F$16-$F$15)*2-1,U$99:Y118,4,FALSE)))*EXP(-(LN(2)/$D$65+0.1)*(VLOOKUP(($F$16-$F$15)*2-1,U$99:Y118,5,FALSE)))*EXP(-(LN(2)/$D$65+0.04)*X118)*EXP(-(LN(2)/$D$65+0.1)*Y118),"-"))),"-")</f>
        <v>-</v>
      </c>
      <c r="AB119" s="271" t="str">
        <f>IFERROR(IF(V119=1,AB$100*EXP(-(LN(2)/$D$65+0.04)*X119)*EXP(-(LN(2)/$D$65+0.1)*Y119),IF(V119=2,AB$100*EXP(-(LN(2)/$D$65+0.04)*(VLOOKUP(($F$16-$F$15)-1,U$100:Y119,4,FALSE)))*EXP(-(LN(2)/$D$65+0.1)*(VLOOKUP(($F$16-$F$15)-1,U$100:Y119,5,FALSE)))*EXP(-(LN(2)/$D$65+0.04)*X119)*EXP(-(LN(2)/$D$65+0.1)*Y119),IF(V119=3,AB$100*EXP(-(LN(2)/$D$65+0.04)*(VLOOKUP(($F$16-$F$15)-1,U$100:Y119,4,FALSE)))*EXP(-(LN(2)/$D$65+0.1)*(VLOOKUP(($F$16-$F$15)-1,U$100:Y119,5,FALSE)))*EXP(-(LN(2)/$D$65+0.04)*(VLOOKUP(($F$16-$F$15)*2-1,U$100:Y119,4,FALSE)))*EXP(-(LN(2)/$D$65+0.1)*(VLOOKUP(($F$16-$F$15)*2-1,U$100:Y119,5,FALSE)))*EXP(-(LN(2)/$D$65+0.04)*X119)*EXP(-(LN(2)/$D$65+0.1)*Y119),"-"))),"-")</f>
        <v>-</v>
      </c>
      <c r="AC119" s="224">
        <f t="shared" si="46"/>
        <v>19</v>
      </c>
      <c r="AD119" s="223" t="str">
        <f t="shared" si="18"/>
        <v>-</v>
      </c>
      <c r="AE119" s="224" t="str">
        <f t="shared" si="47"/>
        <v>-</v>
      </c>
      <c r="AF119" s="224" t="str">
        <f t="shared" si="19"/>
        <v>-</v>
      </c>
      <c r="AG119" s="224" t="str">
        <f t="shared" si="20"/>
        <v>-</v>
      </c>
      <c r="AH119" s="272">
        <f t="shared" si="48"/>
        <v>0.1</v>
      </c>
      <c r="AI119" s="271" t="str">
        <f>IFERROR(IF(AD118=1,AI$100*EXP(-(LN(2)/$D$65+0.04)*AF118)*EXP(-(LN(2)/$D$65+0.1)*AG118),IF(AD118=2,AI$100*EXP(-(LN(2)/$D$65+0.04)*(VLOOKUP(($F$16-$F$15)-1,AC$99:AG118,4,FALSE)))*EXP(-(LN(2)/$D$65+0.1)*(VLOOKUP(($F$16-$F$15)-1,AC$99:AG118,5,FALSE)))*EXP(-(LN(2)/$D$65+0.04)*AF118)*EXP(-(LN(2)/$D$65+0.1)*AG118),IF(AD118=3,AI$100*EXP(-(LN(2)/$D$65+0.04)*(VLOOKUP(($F$16-$F$15)-1,AC$99:AG118,4,FALSE)))*EXP(-(LN(2)/$D$65+0.1)*(VLOOKUP(($F$16-$F$15)-1,AC$99:AG118,5,FALSE)))*EXP(-(LN(2)/$D$65+0.04)*(VLOOKUP(($F$16-$F$15)*2-1,AC$99:AG118,4,FALSE)))*EXP(-(LN(2)/$D$65+0.1)*(VLOOKUP(($F$16-$F$15)*2-1,AC$99:AG118,5,FALSE)))*EXP(-(LN(2)/$D$65+0.04)*AF118)*EXP(-(LN(2)/$D$65+0.1)*AG118),"-"))),"-")</f>
        <v>-</v>
      </c>
      <c r="AJ119" s="271" t="str">
        <f>IFERROR(IF(AD119=1,AJ$100*EXP(-(LN(2)/$D$65+0.04)*AF119)*EXP(-(LN(2)/$D$65+0.1)*AG119),IF(AD119=2,AJ$100*EXP(-(LN(2)/$D$65+0.04)*(VLOOKUP(($F$16-$F$15)-1,AC$100:AG119,4,FALSE)))*EXP(-(LN(2)/$D$65+0.1)*(VLOOKUP(($F$16-$F$15)-1,AC$100:AG119,5,FALSE)))*EXP(-(LN(2)/$D$65+0.04)*AF119)*EXP(-(LN(2)/$D$65+0.1)*AG119),IF(AD119=3,AJ$100*EXP(-(LN(2)/$D$65+0.04)*(VLOOKUP(($F$16-$F$15)-1,AC$100:AG119,4,FALSE)))*EXP(-(LN(2)/$D$65+0.1)*(VLOOKUP(($F$16-$F$15)-1,AC$100:AG119,5,FALSE)))*EXP(-(LN(2)/$D$65+0.04)*(VLOOKUP(($F$16-$F$15)*2-1,AC$100:AG119,4,FALSE)))*EXP(-(LN(2)/$D$65+0.1)*(VLOOKUP(($F$16-$F$15)*2-1,AC$100:AG119,5,FALSE)))*EXP(-(LN(2)/$D$65+0.04)*AF119)*EXP(-(LN(2)/$D$65+0.1)*AG119),"-"))),"-")</f>
        <v>-</v>
      </c>
      <c r="AK119" s="227">
        <f t="shared" si="50"/>
        <v>19</v>
      </c>
      <c r="AL119" s="226" t="str">
        <f t="shared" si="22"/>
        <v>-</v>
      </c>
      <c r="AM119" s="227" t="str">
        <f t="shared" si="51"/>
        <v>-</v>
      </c>
      <c r="AN119" s="227" t="str">
        <f t="shared" si="52"/>
        <v>-</v>
      </c>
      <c r="AO119" s="227" t="str">
        <f t="shared" si="23"/>
        <v>-</v>
      </c>
      <c r="AP119" s="273">
        <f t="shared" si="53"/>
        <v>0.1</v>
      </c>
      <c r="AQ119" s="271" t="str">
        <f>IFERROR(IF(AL118=1,AQ$100*EXP(-(LN(2)/$D$65+0.04)*AN118)*EXP(-(LN(2)/$D$65+0.1)*AO118),IF(AL118=2,AQ$100*EXP(-(LN(2)/$D$65+0.04)*(VLOOKUP(($F$16-$F$15)-1,AK$99:AO118,4,FALSE)))*EXP(-(LN(2)/$D$65+0.1)*(VLOOKUP(($F$16-$F$15)-1,AK$99:AO118,5,FALSE)))*EXP(-(LN(2)/$D$65+0.04)*AN118)*EXP(-(LN(2)/$D$65+0.1)*AO118),IF(AL118=3,AQ$100*EXP(-(LN(2)/$D$65+0.04)*(VLOOKUP(($F$16-$F$15)-1,AK$99:AO118,4,FALSE)))*EXP(-(LN(2)/$D$65+0.1)*(VLOOKUP(($F$16-$F$15)-1,AK$99:AO118,5,FALSE)))*EXP(-(LN(2)/$D$65+0.04)*(VLOOKUP(($F$16-$F$15)*2-1,AK$99:AO118,4,FALSE)))*EXP(-(LN(2)/$D$65+0.1)*(VLOOKUP(($F$16-$F$15)*2-1,AK$99:AO118,5,FALSE)))*EXP(-(LN(2)/$D$65+0.04)*AN118)*EXP(-(LN(2)/$D$65+0.1)*AO118),"-"))),"-")</f>
        <v>-</v>
      </c>
      <c r="AR119" s="271" t="str">
        <f>IFERROR(IF(AL119=1,AR$100*EXP(-(LN(2)/$D$65+0.04)*AN119)*EXP(-(LN(2)/$D$65+0.1)*AO119),IF(AL119=2,AR$100*EXP(-(LN(2)/$D$65+0.04)*(VLOOKUP(($F$16-$F$15)-1,AK$100:AO119,4,FALSE)))*EXP(-(LN(2)/$D$65+0.1)*(VLOOKUP(($F$16-$F$15)-1,AK$100:AO119,5,FALSE)))*EXP(-(LN(2)/$D$65+0.04)*AN119)*EXP(-(LN(2)/$D$65+0.1)*AO119),IF(AL119=3,AR$100*EXP(-(LN(2)/$D$65+0.04)*(VLOOKUP(($F$16-$F$15)-1,AK$100:AO119,4,FALSE)))*EXP(-(LN(2)/$D$65+0.1)*(VLOOKUP(($F$16-$F$15)-1,AK$100:AO119,5,FALSE)))*EXP(-(LN(2)/$D$65+0.04)*(VLOOKUP(($F$16-$F$15)*2-1,AK$100:AO119,4,FALSE)))*EXP(-(LN(2)/$D$65+0.1)*(VLOOKUP(($F$16-$F$15)*2-1,AK$100:AO119,5,FALSE)))*EXP(-(LN(2)/$D$65+0.04)*AN119)*EXP(-(LN(2)/$D$65+0.1)*AO119),"-"))),"-")</f>
        <v>-</v>
      </c>
      <c r="AS119" s="274">
        <f t="shared" si="24"/>
        <v>0</v>
      </c>
      <c r="AT119" s="274">
        <f t="shared" si="25"/>
        <v>0</v>
      </c>
      <c r="AU119" s="274">
        <f t="shared" si="26"/>
        <v>0</v>
      </c>
      <c r="AV119" s="275">
        <f>IF($B119&lt;$F$22,SUM($T$100:$T119),"")</f>
        <v>0</v>
      </c>
      <c r="AW119" s="275" t="str">
        <f t="shared" si="56"/>
        <v>-</v>
      </c>
      <c r="AX119" s="275" t="str">
        <f t="shared" si="57"/>
        <v/>
      </c>
      <c r="AY119"/>
      <c r="AZ119" s="275" t="str">
        <f ca="1">IF(ISNUMBER(OFFSET(AV119,-$F$21,0)),SUM(OFFSET($T$100,$F$21,0):$T119),"")</f>
        <v/>
      </c>
      <c r="BA119" s="275" t="str">
        <f t="shared" ca="1" si="27"/>
        <v/>
      </c>
      <c r="BB119" s="275" t="str">
        <f t="shared" ca="1" si="58"/>
        <v/>
      </c>
      <c r="BC119" s="190"/>
      <c r="BD119" s="275" t="str">
        <f ca="1">IFERROR(IF(AND($B119&gt;=($F$16-$F$15),$B119&lt;$F$22+($F$16-$F$15)),SUM(OFFSET($T$100,($F$16-$F$15),0):$T119),""),"")</f>
        <v/>
      </c>
      <c r="BE119" s="275" t="str">
        <f t="shared" ca="1" si="59"/>
        <v/>
      </c>
      <c r="BF119" s="275" t="str">
        <f t="shared" ca="1" si="60"/>
        <v/>
      </c>
      <c r="BG119"/>
      <c r="BH119" s="190" t="str">
        <f ca="1">IF(ISNUMBER(OFFSET(BD119,-$F$21,0)),SUM(OFFSET($T$100,($F$16-$F$15+$F$21),0):$T119),"")</f>
        <v/>
      </c>
      <c r="BI119" s="190" t="str">
        <f t="shared" ca="1" si="28"/>
        <v/>
      </c>
      <c r="BJ119" s="190" t="str">
        <f t="shared" ca="1" si="61"/>
        <v/>
      </c>
      <c r="BK119" s="190"/>
      <c r="BL119" s="275" t="str">
        <f ca="1">IFERROR(IF(AND($B119&gt;=($F$17-$F$15),$B119&lt;$F$22+($F$17-$F$15)),SUM(OFFSET($T$100,($F$17-$F$15),0):$T119),""),"")</f>
        <v/>
      </c>
      <c r="BM119" s="275" t="str">
        <f t="shared" ca="1" si="29"/>
        <v/>
      </c>
      <c r="BN119" s="275" t="str">
        <f t="shared" ca="1" si="62"/>
        <v/>
      </c>
      <c r="BO119"/>
      <c r="BP119" s="275" t="str">
        <f ca="1">IF(ISNUMBER(OFFSET(BL119,-$F$21,0)),SUM(OFFSET($T$100,($F$17-$F$15+$F$21),0):$T119),"")</f>
        <v/>
      </c>
      <c r="BQ119" s="275" t="str">
        <f t="shared" ca="1" si="63"/>
        <v/>
      </c>
      <c r="BR119" s="275" t="str">
        <f t="shared" ca="1" si="64"/>
        <v/>
      </c>
      <c r="BS119" s="190"/>
      <c r="BT119"/>
      <c r="BU119" s="276" t="str">
        <f t="shared" si="65"/>
        <v>end</v>
      </c>
      <c r="BV119" s="277">
        <v>19</v>
      </c>
      <c r="BW119" s="278" t="str">
        <f t="shared" si="69"/>
        <v/>
      </c>
      <c r="BX119" s="278" t="str">
        <f t="shared" si="68"/>
        <v/>
      </c>
      <c r="BY119" s="279" t="str">
        <f t="shared" si="66"/>
        <v/>
      </c>
      <c r="BZ119"/>
      <c r="CA119" s="280" t="str">
        <f t="shared" si="30"/>
        <v>-</v>
      </c>
      <c r="CB119" s="71" t="str">
        <f t="shared" si="31"/>
        <v>-</v>
      </c>
      <c r="CC119" s="33" t="str">
        <f t="shared" si="32"/>
        <v>19-20</v>
      </c>
      <c r="CD119" s="261" t="str">
        <f t="shared" si="33"/>
        <v/>
      </c>
      <c r="CE119" s="280" t="str">
        <f t="shared" si="34"/>
        <v>-</v>
      </c>
      <c r="CF119" s="71" t="str">
        <f t="shared" ca="1" si="35"/>
        <v>-</v>
      </c>
      <c r="CG119" s="33" t="str">
        <f t="shared" si="36"/>
        <v>19-20</v>
      </c>
      <c r="CH119" s="261" t="str">
        <f t="shared" ca="1" si="37"/>
        <v/>
      </c>
      <c r="CI119" s="99"/>
      <c r="CJ119" s="99"/>
      <c r="CK119" s="99"/>
      <c r="CL119" s="99"/>
      <c r="CM119" s="99"/>
      <c r="CN119" s="99"/>
      <c r="CO119" s="99"/>
    </row>
    <row r="120" spans="2:93" ht="13.5" customHeight="1" x14ac:dyDescent="0.2">
      <c r="B120" s="262">
        <v>20</v>
      </c>
      <c r="C120" s="237" t="str">
        <f t="shared" si="1"/>
        <v/>
      </c>
      <c r="D120" s="237" t="str">
        <f t="shared" si="67"/>
        <v>-</v>
      </c>
      <c r="E120" s="290" t="str">
        <f t="shared" si="38"/>
        <v/>
      </c>
      <c r="F120" s="264" t="str">
        <f t="shared" si="39"/>
        <v/>
      </c>
      <c r="G120" s="291" t="str">
        <f t="shared" si="40"/>
        <v/>
      </c>
      <c r="H120" s="240" t="str">
        <f t="shared" si="41"/>
        <v/>
      </c>
      <c r="I120" s="265" t="str">
        <f t="shared" si="2"/>
        <v/>
      </c>
      <c r="J120" s="265" t="str">
        <f t="shared" si="3"/>
        <v/>
      </c>
      <c r="K120" s="240" t="str">
        <f t="shared" si="4"/>
        <v/>
      </c>
      <c r="L120" s="265" t="str">
        <f t="shared" si="5"/>
        <v/>
      </c>
      <c r="M120" s="265" t="str">
        <f t="shared" si="6"/>
        <v/>
      </c>
      <c r="N120" s="240" t="str">
        <f t="shared" si="7"/>
        <v>-</v>
      </c>
      <c r="O120" s="265" t="str">
        <f t="shared" si="8"/>
        <v>-</v>
      </c>
      <c r="P120" s="265" t="str">
        <f t="shared" si="9"/>
        <v>-</v>
      </c>
      <c r="Q120" s="266" t="str">
        <f t="shared" si="10"/>
        <v>-</v>
      </c>
      <c r="R120" s="267" t="str">
        <f t="shared" si="11"/>
        <v>-</v>
      </c>
      <c r="S120" s="268" t="str">
        <f t="shared" si="12"/>
        <v>-</v>
      </c>
      <c r="T120" s="269" t="str">
        <f t="shared" si="13"/>
        <v/>
      </c>
      <c r="U120" s="221">
        <f t="shared" si="14"/>
        <v>20</v>
      </c>
      <c r="V120" s="220" t="str">
        <f t="shared" si="42"/>
        <v>-</v>
      </c>
      <c r="W120" s="221" t="str">
        <f t="shared" si="43"/>
        <v>-</v>
      </c>
      <c r="X120" s="221" t="str">
        <f t="shared" si="15"/>
        <v>-</v>
      </c>
      <c r="Y120" s="221" t="str">
        <f t="shared" si="16"/>
        <v>-</v>
      </c>
      <c r="Z120" s="270">
        <f t="shared" si="44"/>
        <v>0.1</v>
      </c>
      <c r="AA120" s="271" t="str">
        <f>IFERROR(IF(V119=1,AA$100*EXP(-(LN(2)/$D$65+0.04)*X119)*EXP(-(LN(2)/$D$65+0.1)*Y119),IF(V119=2,AA$100*EXP(-(LN(2)/$D$65+0.04)*(VLOOKUP(($F$16-$F$15)-1,U$99:Y119,4,FALSE)))*EXP(-(LN(2)/$D$65+0.1)*(VLOOKUP(($F$16-$F$15)-1,U$99:Y119,5,FALSE)))*EXP(-(LN(2)/$D$65+0.04)*X119)*EXP(-(LN(2)/$D$65+0.1)*Y119),IF(V119=3,AA$100*EXP(-(LN(2)/$D$65+0.04)*(VLOOKUP(($F$16-$F$15)-1,U$99:Y119,4,FALSE)))*EXP(-(LN(2)/$D$65+0.1)*(VLOOKUP(($F$16-$F$15)-1,U$99:Y119,5,FALSE)))*EXP(-(LN(2)/$D$65+0.04)*(VLOOKUP(($F$16-$F$15)*2-1,U$99:Y119,4,FALSE)))*EXP(-(LN(2)/$D$65+0.1)*(VLOOKUP(($F$16-$F$15)*2-1,U$99:Y119,5,FALSE)))*EXP(-(LN(2)/$D$65+0.04)*X119)*EXP(-(LN(2)/$D$65+0.1)*Y119),"-"))),"-")</f>
        <v>-</v>
      </c>
      <c r="AB120" s="271" t="str">
        <f>IFERROR(IF(V120=1,AB$100*EXP(-(LN(2)/$D$65+0.04)*X120)*EXP(-(LN(2)/$D$65+0.1)*Y120),IF(V120=2,AB$100*EXP(-(LN(2)/$D$65+0.04)*(VLOOKUP(($F$16-$F$15)-1,U$100:Y120,4,FALSE)))*EXP(-(LN(2)/$D$65+0.1)*(VLOOKUP(($F$16-$F$15)-1,U$100:Y120,5,FALSE)))*EXP(-(LN(2)/$D$65+0.04)*X120)*EXP(-(LN(2)/$D$65+0.1)*Y120),IF(V120=3,AB$100*EXP(-(LN(2)/$D$65+0.04)*(VLOOKUP(($F$16-$F$15)-1,U$100:Y120,4,FALSE)))*EXP(-(LN(2)/$D$65+0.1)*(VLOOKUP(($F$16-$F$15)-1,U$100:Y120,5,FALSE)))*EXP(-(LN(2)/$D$65+0.04)*(VLOOKUP(($F$16-$F$15)*2-1,U$100:Y120,4,FALSE)))*EXP(-(LN(2)/$D$65+0.1)*(VLOOKUP(($F$16-$F$15)*2-1,U$100:Y120,5,FALSE)))*EXP(-(LN(2)/$D$65+0.04)*X120)*EXP(-(LN(2)/$D$65+0.1)*Y120),"-"))),"-")</f>
        <v>-</v>
      </c>
      <c r="AC120" s="224">
        <f t="shared" si="46"/>
        <v>20</v>
      </c>
      <c r="AD120" s="223" t="str">
        <f t="shared" si="18"/>
        <v>-</v>
      </c>
      <c r="AE120" s="224" t="str">
        <f t="shared" si="47"/>
        <v>-</v>
      </c>
      <c r="AF120" s="224" t="str">
        <f t="shared" si="19"/>
        <v>-</v>
      </c>
      <c r="AG120" s="224" t="str">
        <f t="shared" si="20"/>
        <v>-</v>
      </c>
      <c r="AH120" s="272">
        <f t="shared" si="48"/>
        <v>0.1</v>
      </c>
      <c r="AI120" s="271" t="str">
        <f>IFERROR(IF(AD119=1,AI$100*EXP(-(LN(2)/$D$65+0.04)*AF119)*EXP(-(LN(2)/$D$65+0.1)*AG119),IF(AD119=2,AI$100*EXP(-(LN(2)/$D$65+0.04)*(VLOOKUP(($F$16-$F$15)-1,AC$99:AG119,4,FALSE)))*EXP(-(LN(2)/$D$65+0.1)*(VLOOKUP(($F$16-$F$15)-1,AC$99:AG119,5,FALSE)))*EXP(-(LN(2)/$D$65+0.04)*AF119)*EXP(-(LN(2)/$D$65+0.1)*AG119),IF(AD119=3,AI$100*EXP(-(LN(2)/$D$65+0.04)*(VLOOKUP(($F$16-$F$15)-1,AC$99:AG119,4,FALSE)))*EXP(-(LN(2)/$D$65+0.1)*(VLOOKUP(($F$16-$F$15)-1,AC$99:AG119,5,FALSE)))*EXP(-(LN(2)/$D$65+0.04)*(VLOOKUP(($F$16-$F$15)*2-1,AC$99:AG119,4,FALSE)))*EXP(-(LN(2)/$D$65+0.1)*(VLOOKUP(($F$16-$F$15)*2-1,AC$99:AG119,5,FALSE)))*EXP(-(LN(2)/$D$65+0.04)*AF119)*EXP(-(LN(2)/$D$65+0.1)*AG119),"-"))),"-")</f>
        <v>-</v>
      </c>
      <c r="AJ120" s="271" t="str">
        <f>IFERROR(IF(AD120=1,AJ$100*EXP(-(LN(2)/$D$65+0.04)*AF120)*EXP(-(LN(2)/$D$65+0.1)*AG120),IF(AD120=2,AJ$100*EXP(-(LN(2)/$D$65+0.04)*(VLOOKUP(($F$16-$F$15)-1,AC$100:AG120,4,FALSE)))*EXP(-(LN(2)/$D$65+0.1)*(VLOOKUP(($F$16-$F$15)-1,AC$100:AG120,5,FALSE)))*EXP(-(LN(2)/$D$65+0.04)*AF120)*EXP(-(LN(2)/$D$65+0.1)*AG120),IF(AD120=3,AJ$100*EXP(-(LN(2)/$D$65+0.04)*(VLOOKUP(($F$16-$F$15)-1,AC$100:AG120,4,FALSE)))*EXP(-(LN(2)/$D$65+0.1)*(VLOOKUP(($F$16-$F$15)-1,AC$100:AG120,5,FALSE)))*EXP(-(LN(2)/$D$65+0.04)*(VLOOKUP(($F$16-$F$15)*2-1,AC$100:AG120,4,FALSE)))*EXP(-(LN(2)/$D$65+0.1)*(VLOOKUP(($F$16-$F$15)*2-1,AC$100:AG120,5,FALSE)))*EXP(-(LN(2)/$D$65+0.04)*AF120)*EXP(-(LN(2)/$D$65+0.1)*AG120),"-"))),"-")</f>
        <v>-</v>
      </c>
      <c r="AK120" s="227">
        <f t="shared" si="50"/>
        <v>20</v>
      </c>
      <c r="AL120" s="226" t="str">
        <f t="shared" si="22"/>
        <v>-</v>
      </c>
      <c r="AM120" s="227" t="str">
        <f t="shared" si="51"/>
        <v>-</v>
      </c>
      <c r="AN120" s="227" t="str">
        <f t="shared" si="52"/>
        <v>-</v>
      </c>
      <c r="AO120" s="227" t="str">
        <f t="shared" si="23"/>
        <v>-</v>
      </c>
      <c r="AP120" s="273">
        <f t="shared" si="53"/>
        <v>0.1</v>
      </c>
      <c r="AQ120" s="271" t="str">
        <f>IFERROR(IF(AL119=1,AQ$100*EXP(-(LN(2)/$D$65+0.04)*AN119)*EXP(-(LN(2)/$D$65+0.1)*AO119),IF(AL119=2,AQ$100*EXP(-(LN(2)/$D$65+0.04)*(VLOOKUP(($F$16-$F$15)-1,AK$99:AO119,4,FALSE)))*EXP(-(LN(2)/$D$65+0.1)*(VLOOKUP(($F$16-$F$15)-1,AK$99:AO119,5,FALSE)))*EXP(-(LN(2)/$D$65+0.04)*AN119)*EXP(-(LN(2)/$D$65+0.1)*AO119),IF(AL119=3,AQ$100*EXP(-(LN(2)/$D$65+0.04)*(VLOOKUP(($F$16-$F$15)-1,AK$99:AO119,4,FALSE)))*EXP(-(LN(2)/$D$65+0.1)*(VLOOKUP(($F$16-$F$15)-1,AK$99:AO119,5,FALSE)))*EXP(-(LN(2)/$D$65+0.04)*(VLOOKUP(($F$16-$F$15)*2-1,AK$99:AO119,4,FALSE)))*EXP(-(LN(2)/$D$65+0.1)*(VLOOKUP(($F$16-$F$15)*2-1,AK$99:AO119,5,FALSE)))*EXP(-(LN(2)/$D$65+0.04)*AN119)*EXP(-(LN(2)/$D$65+0.1)*AO119),"-"))),"-")</f>
        <v>-</v>
      </c>
      <c r="AR120" s="271" t="str">
        <f>IFERROR(IF(AL120=1,AR$100*EXP(-(LN(2)/$D$65+0.04)*AN120)*EXP(-(LN(2)/$D$65+0.1)*AO120),IF(AL120=2,AR$100*EXP(-(LN(2)/$D$65+0.04)*(VLOOKUP(($F$16-$F$15)-1,AK$100:AO120,4,FALSE)))*EXP(-(LN(2)/$D$65+0.1)*(VLOOKUP(($F$16-$F$15)-1,AK$100:AO120,5,FALSE)))*EXP(-(LN(2)/$D$65+0.04)*AN120)*EXP(-(LN(2)/$D$65+0.1)*AO120),IF(AL120=3,AR$100*EXP(-(LN(2)/$D$65+0.04)*(VLOOKUP(($F$16-$F$15)-1,AK$100:AO120,4,FALSE)))*EXP(-(LN(2)/$D$65+0.1)*(VLOOKUP(($F$16-$F$15)-1,AK$100:AO120,5,FALSE)))*EXP(-(LN(2)/$D$65+0.04)*(VLOOKUP(($F$16-$F$15)*2-1,AK$100:AO120,4,FALSE)))*EXP(-(LN(2)/$D$65+0.1)*(VLOOKUP(($F$16-$F$15)*2-1,AK$100:AO120,5,FALSE)))*EXP(-(LN(2)/$D$65+0.04)*AN120)*EXP(-(LN(2)/$D$65+0.1)*AO120),"-"))),"-")</f>
        <v>-</v>
      </c>
      <c r="AS120" s="274">
        <f t="shared" si="24"/>
        <v>0</v>
      </c>
      <c r="AT120" s="274">
        <f t="shared" si="25"/>
        <v>0</v>
      </c>
      <c r="AU120" s="274">
        <f t="shared" si="26"/>
        <v>0</v>
      </c>
      <c r="AV120" s="253">
        <f>IF($B120&lt;$F$22,SUM($T$100:$T120),"")</f>
        <v>0</v>
      </c>
      <c r="AW120" s="253" t="str">
        <f t="shared" si="56"/>
        <v>-</v>
      </c>
      <c r="AX120" s="253" t="str">
        <f t="shared" si="57"/>
        <v/>
      </c>
      <c r="AY120" s="295"/>
      <c r="AZ120" s="253" t="str">
        <f ca="1">IF(ISNUMBER(OFFSET(AV120,-$F$21,0)),SUM(OFFSET($T$100,$F$21,0):$T120),"")</f>
        <v/>
      </c>
      <c r="BA120" s="253" t="str">
        <f t="shared" ca="1" si="27"/>
        <v/>
      </c>
      <c r="BB120" s="253" t="str">
        <f ca="1">IF(ISNUMBER(AZ120),(AZ120-BA120)/(3*86400*(OFFSET($B120,-$F$21,0)+1))*1000,"")</f>
        <v/>
      </c>
      <c r="BC120" s="253"/>
      <c r="BD120" s="253" t="str">
        <f ca="1">IFERROR(IF(AND($B120&gt;=($F$16-$F$15),$B120&lt;$F$22+($F$16-$F$15)),SUM(OFFSET($T$100,($F$16-$F$15),0):$T120),""),"")</f>
        <v/>
      </c>
      <c r="BE120" s="253" t="str">
        <f t="shared" ca="1" si="59"/>
        <v/>
      </c>
      <c r="BF120" s="253" t="str">
        <f t="shared" ca="1" si="60"/>
        <v/>
      </c>
      <c r="BG120" s="295"/>
      <c r="BH120" s="253" t="str">
        <f ca="1">IF(ISNUMBER(OFFSET(BD120,-$F$21,0)),SUM(OFFSET($T$100,($F$16-$F$15+$F$21),0):$T120),"")</f>
        <v/>
      </c>
      <c r="BI120" s="253" t="str">
        <f t="shared" ca="1" si="28"/>
        <v/>
      </c>
      <c r="BJ120" s="253" t="str">
        <f t="shared" ca="1" si="61"/>
        <v/>
      </c>
      <c r="BK120" s="253"/>
      <c r="BL120" s="253" t="str">
        <f ca="1">IFERROR(IF(AND($B120&gt;=($F$17-$F$15),$B120&lt;$F$22+($F$17-$F$15)),SUM(OFFSET($T$100,($F$17-$F$15),0):$T120),""),"")</f>
        <v/>
      </c>
      <c r="BM120" s="253" t="str">
        <f t="shared" ca="1" si="29"/>
        <v/>
      </c>
      <c r="BN120" s="253" t="str">
        <f t="shared" ca="1" si="62"/>
        <v/>
      </c>
      <c r="BO120" s="295"/>
      <c r="BP120" s="253" t="str">
        <f ca="1">IF(ISNUMBER(OFFSET(BL120,-$F$21,0)),SUM(OFFSET($T$100,($F$17-$F$15+$F$21),0):$T120),"")</f>
        <v/>
      </c>
      <c r="BQ120" s="253" t="str">
        <f t="shared" ca="1" si="63"/>
        <v/>
      </c>
      <c r="BR120" s="253" t="str">
        <f t="shared" ca="1" si="64"/>
        <v/>
      </c>
      <c r="BS120" s="253"/>
      <c r="BT120" s="296"/>
      <c r="BU120" s="297" t="str">
        <f t="shared" si="65"/>
        <v>end</v>
      </c>
      <c r="BV120" s="277">
        <v>20</v>
      </c>
      <c r="BW120" s="298" t="str">
        <f t="shared" si="69"/>
        <v/>
      </c>
      <c r="BX120" s="298" t="str">
        <f t="shared" si="68"/>
        <v/>
      </c>
      <c r="BY120" s="299" t="str">
        <f t="shared" si="66"/>
        <v/>
      </c>
      <c r="BZ120" s="67"/>
      <c r="CA120" s="280" t="str">
        <f t="shared" si="30"/>
        <v>-</v>
      </c>
      <c r="CB120" s="71" t="str">
        <f t="shared" si="31"/>
        <v>-</v>
      </c>
      <c r="CC120" s="33" t="str">
        <f t="shared" si="32"/>
        <v>20-21</v>
      </c>
      <c r="CD120" s="261" t="str">
        <f t="shared" si="33"/>
        <v/>
      </c>
      <c r="CE120" s="280" t="str">
        <f t="shared" si="34"/>
        <v>-</v>
      </c>
      <c r="CF120" s="71" t="str">
        <f t="shared" ca="1" si="35"/>
        <v>-</v>
      </c>
      <c r="CG120" s="33" t="str">
        <f t="shared" si="36"/>
        <v>20-21</v>
      </c>
      <c r="CH120" s="261" t="str">
        <f t="shared" ca="1" si="37"/>
        <v/>
      </c>
      <c r="CI120" s="99"/>
      <c r="CJ120" s="99"/>
      <c r="CK120" s="99"/>
      <c r="CL120" s="99"/>
      <c r="CM120" s="99"/>
      <c r="CN120" s="99"/>
      <c r="CO120" s="99"/>
    </row>
    <row r="121" spans="2:93" ht="13.5" customHeight="1" x14ac:dyDescent="0.2">
      <c r="B121" s="262">
        <v>21</v>
      </c>
      <c r="C121" s="237" t="str">
        <f t="shared" si="1"/>
        <v/>
      </c>
      <c r="D121" s="237" t="str">
        <f t="shared" si="67"/>
        <v>-</v>
      </c>
      <c r="E121" s="290" t="str">
        <f t="shared" si="38"/>
        <v/>
      </c>
      <c r="F121" s="264" t="str">
        <f t="shared" si="39"/>
        <v/>
      </c>
      <c r="G121" s="291" t="str">
        <f t="shared" si="40"/>
        <v/>
      </c>
      <c r="H121" s="240" t="str">
        <f t="shared" si="41"/>
        <v/>
      </c>
      <c r="I121" s="265" t="str">
        <f t="shared" si="2"/>
        <v/>
      </c>
      <c r="J121" s="265" t="str">
        <f t="shared" si="3"/>
        <v/>
      </c>
      <c r="K121" s="240" t="str">
        <f t="shared" si="4"/>
        <v/>
      </c>
      <c r="L121" s="265" t="str">
        <f t="shared" si="5"/>
        <v/>
      </c>
      <c r="M121" s="265" t="str">
        <f t="shared" si="6"/>
        <v/>
      </c>
      <c r="N121" s="240" t="str">
        <f t="shared" si="7"/>
        <v>-</v>
      </c>
      <c r="O121" s="265" t="str">
        <f t="shared" si="8"/>
        <v>-</v>
      </c>
      <c r="P121" s="265" t="str">
        <f t="shared" si="9"/>
        <v>-</v>
      </c>
      <c r="Q121" s="266" t="str">
        <f t="shared" si="10"/>
        <v>-</v>
      </c>
      <c r="R121" s="267" t="str">
        <f t="shared" si="11"/>
        <v>-</v>
      </c>
      <c r="S121" s="268" t="str">
        <f t="shared" si="12"/>
        <v>-</v>
      </c>
      <c r="T121" s="269" t="str">
        <f t="shared" si="13"/>
        <v/>
      </c>
      <c r="U121" s="221">
        <f t="shared" si="14"/>
        <v>21</v>
      </c>
      <c r="V121" s="220" t="str">
        <f t="shared" si="42"/>
        <v>-</v>
      </c>
      <c r="W121" s="221" t="str">
        <f t="shared" si="43"/>
        <v>-</v>
      </c>
      <c r="X121" s="221" t="str">
        <f t="shared" si="15"/>
        <v>-</v>
      </c>
      <c r="Y121" s="221" t="str">
        <f t="shared" si="16"/>
        <v>-</v>
      </c>
      <c r="Z121" s="270">
        <f t="shared" si="44"/>
        <v>0.1</v>
      </c>
      <c r="AA121" s="271" t="str">
        <f>IFERROR(IF(V120=1,AA$100*EXP(-(LN(2)/$D$65+0.04)*X120)*EXP(-(LN(2)/$D$65+0.1)*Y120),IF(V120=2,AA$100*EXP(-(LN(2)/$D$65+0.04)*(VLOOKUP(($F$16-$F$15)-1,U$99:Y120,4,FALSE)))*EXP(-(LN(2)/$D$65+0.1)*(VLOOKUP(($F$16-$F$15)-1,U$99:Y120,5,FALSE)))*EXP(-(LN(2)/$D$65+0.04)*X120)*EXP(-(LN(2)/$D$65+0.1)*Y120),IF(V120=3,AA$100*EXP(-(LN(2)/$D$65+0.04)*(VLOOKUP(($F$16-$F$15)-1,U$99:Y120,4,FALSE)))*EXP(-(LN(2)/$D$65+0.1)*(VLOOKUP(($F$16-$F$15)-1,U$99:Y120,5,FALSE)))*EXP(-(LN(2)/$D$65+0.04)*(VLOOKUP(($F$16-$F$15)*2-1,U$99:Y120,4,FALSE)))*EXP(-(LN(2)/$D$65+0.1)*(VLOOKUP(($F$16-$F$15)*2-1,U$99:Y120,5,FALSE)))*EXP(-(LN(2)/$D$65+0.04)*X120)*EXP(-(LN(2)/$D$65+0.1)*Y120),"-"))),"-")</f>
        <v>-</v>
      </c>
      <c r="AB121" s="271" t="str">
        <f>IFERROR(IF(V121=1,AB$100*EXP(-(LN(2)/$D$65+0.04)*X121)*EXP(-(LN(2)/$D$65+0.1)*Y121),IF(V121=2,AB$100*EXP(-(LN(2)/$D$65+0.04)*(VLOOKUP(($F$16-$F$15)-1,U$100:Y121,4,FALSE)))*EXP(-(LN(2)/$D$65+0.1)*(VLOOKUP(($F$16-$F$15)-1,U$100:Y121,5,FALSE)))*EXP(-(LN(2)/$D$65+0.04)*X121)*EXP(-(LN(2)/$D$65+0.1)*Y121),IF(V121=3,AB$100*EXP(-(LN(2)/$D$65+0.04)*(VLOOKUP(($F$16-$F$15)-1,U$100:Y121,4,FALSE)))*EXP(-(LN(2)/$D$65+0.1)*(VLOOKUP(($F$16-$F$15)-1,U$100:Y121,5,FALSE)))*EXP(-(LN(2)/$D$65+0.04)*(VLOOKUP(($F$16-$F$15)*2-1,U$100:Y121,4,FALSE)))*EXP(-(LN(2)/$D$65+0.1)*(VLOOKUP(($F$16-$F$15)*2-1,U$100:Y121,5,FALSE)))*EXP(-(LN(2)/$D$65+0.04)*X121)*EXP(-(LN(2)/$D$65+0.1)*Y121),"-"))),"-")</f>
        <v>-</v>
      </c>
      <c r="AC121" s="224">
        <f t="shared" si="46"/>
        <v>21</v>
      </c>
      <c r="AD121" s="223" t="str">
        <f t="shared" si="18"/>
        <v>-</v>
      </c>
      <c r="AE121" s="224" t="str">
        <f t="shared" si="47"/>
        <v>-</v>
      </c>
      <c r="AF121" s="224" t="str">
        <f t="shared" si="19"/>
        <v>-</v>
      </c>
      <c r="AG121" s="224" t="str">
        <f t="shared" si="20"/>
        <v>-</v>
      </c>
      <c r="AH121" s="272">
        <f t="shared" si="48"/>
        <v>0.1</v>
      </c>
      <c r="AI121" s="271" t="str">
        <f>IFERROR(IF(AD120=1,AI$100*EXP(-(LN(2)/$D$65+0.04)*AF120)*EXP(-(LN(2)/$D$65+0.1)*AG120),IF(AD120=2,AI$100*EXP(-(LN(2)/$D$65+0.04)*(VLOOKUP(($F$16-$F$15)-1,AC$99:AG120,4,FALSE)))*EXP(-(LN(2)/$D$65+0.1)*(VLOOKUP(($F$16-$F$15)-1,AC$99:AG120,5,FALSE)))*EXP(-(LN(2)/$D$65+0.04)*AF120)*EXP(-(LN(2)/$D$65+0.1)*AG120),IF(AD120=3,AI$100*EXP(-(LN(2)/$D$65+0.04)*(VLOOKUP(($F$16-$F$15)-1,AC$99:AG120,4,FALSE)))*EXP(-(LN(2)/$D$65+0.1)*(VLOOKUP(($F$16-$F$15)-1,AC$99:AG120,5,FALSE)))*EXP(-(LN(2)/$D$65+0.04)*(VLOOKUP(($F$16-$F$15)*2-1,AC$99:AG120,4,FALSE)))*EXP(-(LN(2)/$D$65+0.1)*(VLOOKUP(($F$16-$F$15)*2-1,AC$99:AG120,5,FALSE)))*EXP(-(LN(2)/$D$65+0.04)*AF120)*EXP(-(LN(2)/$D$65+0.1)*AG120),"-"))),"-")</f>
        <v>-</v>
      </c>
      <c r="AJ121" s="271" t="str">
        <f>IFERROR(IF(AD121=1,AJ$100*EXP(-(LN(2)/$D$65+0.04)*AF121)*EXP(-(LN(2)/$D$65+0.1)*AG121),IF(AD121=2,AJ$100*EXP(-(LN(2)/$D$65+0.04)*(VLOOKUP(($F$16-$F$15)-1,AC$100:AG121,4,FALSE)))*EXP(-(LN(2)/$D$65+0.1)*(VLOOKUP(($F$16-$F$15)-1,AC$100:AG121,5,FALSE)))*EXP(-(LN(2)/$D$65+0.04)*AF121)*EXP(-(LN(2)/$D$65+0.1)*AG121),IF(AD121=3,AJ$100*EXP(-(LN(2)/$D$65+0.04)*(VLOOKUP(($F$16-$F$15)-1,AC$100:AG121,4,FALSE)))*EXP(-(LN(2)/$D$65+0.1)*(VLOOKUP(($F$16-$F$15)-1,AC$100:AG121,5,FALSE)))*EXP(-(LN(2)/$D$65+0.04)*(VLOOKUP(($F$16-$F$15)*2-1,AC$100:AG121,4,FALSE)))*EXP(-(LN(2)/$D$65+0.1)*(VLOOKUP(($F$16-$F$15)*2-1,AC$100:AG121,5,FALSE)))*EXP(-(LN(2)/$D$65+0.04)*AF121)*EXP(-(LN(2)/$D$65+0.1)*AG121),"-"))),"-")</f>
        <v>-</v>
      </c>
      <c r="AK121" s="227">
        <f t="shared" si="50"/>
        <v>21</v>
      </c>
      <c r="AL121" s="226" t="str">
        <f t="shared" si="22"/>
        <v>-</v>
      </c>
      <c r="AM121" s="227" t="str">
        <f t="shared" si="51"/>
        <v>-</v>
      </c>
      <c r="AN121" s="227" t="str">
        <f t="shared" si="52"/>
        <v>-</v>
      </c>
      <c r="AO121" s="227" t="str">
        <f t="shared" si="23"/>
        <v>-</v>
      </c>
      <c r="AP121" s="273">
        <f t="shared" si="53"/>
        <v>0.1</v>
      </c>
      <c r="AQ121" s="271" t="str">
        <f>IFERROR(IF(AL120=1,AQ$100*EXP(-(LN(2)/$D$65+0.04)*AN120)*EXP(-(LN(2)/$D$65+0.1)*AO120),IF(AL120=2,AQ$100*EXP(-(LN(2)/$D$65+0.04)*(VLOOKUP(($F$16-$F$15)-1,AK$99:AO120,4,FALSE)))*EXP(-(LN(2)/$D$65+0.1)*(VLOOKUP(($F$16-$F$15)-1,AK$99:AO120,5,FALSE)))*EXP(-(LN(2)/$D$65+0.04)*AN120)*EXP(-(LN(2)/$D$65+0.1)*AO120),IF(AL120=3,AQ$100*EXP(-(LN(2)/$D$65+0.04)*(VLOOKUP(($F$16-$F$15)-1,AK$99:AO120,4,FALSE)))*EXP(-(LN(2)/$D$65+0.1)*(VLOOKUP(($F$16-$F$15)-1,AK$99:AO120,5,FALSE)))*EXP(-(LN(2)/$D$65+0.04)*(VLOOKUP(($F$16-$F$15)*2-1,AK$99:AO120,4,FALSE)))*EXP(-(LN(2)/$D$65+0.1)*(VLOOKUP(($F$16-$F$15)*2-1,AK$99:AO120,5,FALSE)))*EXP(-(LN(2)/$D$65+0.04)*AN120)*EXP(-(LN(2)/$D$65+0.1)*AO120),"-"))),"-")</f>
        <v>-</v>
      </c>
      <c r="AR121" s="271" t="str">
        <f>IFERROR(IF(AL121=1,AR$100*EXP(-(LN(2)/$D$65+0.04)*AN121)*EXP(-(LN(2)/$D$65+0.1)*AO121),IF(AL121=2,AR$100*EXP(-(LN(2)/$D$65+0.04)*(VLOOKUP(($F$16-$F$15)-1,AK$100:AO121,4,FALSE)))*EXP(-(LN(2)/$D$65+0.1)*(VLOOKUP(($F$16-$F$15)-1,AK$100:AO121,5,FALSE)))*EXP(-(LN(2)/$D$65+0.04)*AN121)*EXP(-(LN(2)/$D$65+0.1)*AO121),IF(AL121=3,AR$100*EXP(-(LN(2)/$D$65+0.04)*(VLOOKUP(($F$16-$F$15)-1,AK$100:AO121,4,FALSE)))*EXP(-(LN(2)/$D$65+0.1)*(VLOOKUP(($F$16-$F$15)-1,AK$100:AO121,5,FALSE)))*EXP(-(LN(2)/$D$65+0.04)*(VLOOKUP(($F$16-$F$15)*2-1,AK$100:AO121,4,FALSE)))*EXP(-(LN(2)/$D$65+0.1)*(VLOOKUP(($F$16-$F$15)*2-1,AK$100:AO121,5,FALSE)))*EXP(-(LN(2)/$D$65+0.04)*AN121)*EXP(-(LN(2)/$D$65+0.1)*AO121),"-"))),"-")</f>
        <v>-</v>
      </c>
      <c r="AS121" s="274">
        <f t="shared" si="24"/>
        <v>0</v>
      </c>
      <c r="AT121" s="274">
        <f t="shared" si="25"/>
        <v>0</v>
      </c>
      <c r="AU121" s="274">
        <f t="shared" si="26"/>
        <v>0</v>
      </c>
      <c r="AV121" s="190">
        <f>IF($B121&lt;$F$22,SUM($T$100:$T121),"")</f>
        <v>0</v>
      </c>
      <c r="AW121" s="190" t="str">
        <f t="shared" si="56"/>
        <v>-</v>
      </c>
      <c r="AX121" s="190" t="str">
        <f t="shared" si="57"/>
        <v/>
      </c>
      <c r="AY121"/>
      <c r="AZ121" s="190" t="str">
        <f ca="1">IF(ISNUMBER(OFFSET(AV121,-$F$21,0)),SUM(OFFSET($T$100,$F$21,0):$T121),"")</f>
        <v/>
      </c>
      <c r="BA121" s="190" t="str">
        <f t="shared" ca="1" si="27"/>
        <v/>
      </c>
      <c r="BB121" s="190" t="str">
        <f t="shared" ref="BB121:BB184" ca="1" si="70">IF(ISNUMBER(AZ121),(AZ121-BA121)/(3*86400*(OFFSET($B121,-$F$21,0)+1))*1000,"")</f>
        <v/>
      </c>
      <c r="BC121" s="190"/>
      <c r="BD121" s="190" t="str">
        <f ca="1">IFERROR(IF(AND($B121&gt;=($F$16-$F$15),$B121&lt;$F$22+($F$16-$F$15)),SUM(OFFSET($T$100,($F$16-$F$15),0):$T121),""),"")</f>
        <v/>
      </c>
      <c r="BE121" s="190" t="str">
        <f t="shared" ca="1" si="59"/>
        <v/>
      </c>
      <c r="BF121" s="190" t="str">
        <f t="shared" ca="1" si="60"/>
        <v/>
      </c>
      <c r="BG121"/>
      <c r="BH121" s="190" t="str">
        <f ca="1">IF(ISNUMBER(OFFSET(BD121,-$F$21,0)),SUM(OFFSET($T$100,($F$16-$F$15+$F$21),0):$T121),"")</f>
        <v/>
      </c>
      <c r="BI121" s="190" t="str">
        <f t="shared" ca="1" si="28"/>
        <v/>
      </c>
      <c r="BJ121" s="190" t="str">
        <f t="shared" ca="1" si="61"/>
        <v/>
      </c>
      <c r="BK121" s="190"/>
      <c r="BL121" s="190" t="str">
        <f ca="1">IFERROR(IF(AND($B121&gt;=($F$17-$F$15),$B121&lt;$F$22+($F$17-$F$15)),SUM(OFFSET($T$100,($F$17-$F$15),0):$T121),""),"")</f>
        <v/>
      </c>
      <c r="BM121" s="190" t="str">
        <f t="shared" ca="1" si="29"/>
        <v/>
      </c>
      <c r="BN121" s="190" t="str">
        <f t="shared" ca="1" si="62"/>
        <v/>
      </c>
      <c r="BO121"/>
      <c r="BP121" s="190" t="str">
        <f ca="1">IF(ISNUMBER(OFFSET(BL121,-$F$21,0)),SUM(OFFSET($T$100,($F$17-$F$15+$F$21),0):$T121),"")</f>
        <v/>
      </c>
      <c r="BQ121" s="190" t="str">
        <f t="shared" ca="1" si="63"/>
        <v/>
      </c>
      <c r="BR121" s="190" t="str">
        <f t="shared" ca="1" si="64"/>
        <v/>
      </c>
      <c r="BS121" s="190"/>
      <c r="BT121"/>
      <c r="BU121" s="300" t="s">
        <v>289</v>
      </c>
      <c r="BV121" s="301"/>
      <c r="BW121" s="300"/>
      <c r="BX121" s="300"/>
      <c r="BY121" s="300"/>
      <c r="BZ121" s="302"/>
      <c r="CA121" s="280" t="str">
        <f t="shared" si="30"/>
        <v/>
      </c>
      <c r="CB121" s="71" t="str">
        <f t="shared" si="31"/>
        <v>-</v>
      </c>
      <c r="CC121" s="33"/>
      <c r="CD121" s="261" t="str">
        <f t="shared" si="33"/>
        <v/>
      </c>
      <c r="CE121" s="280" t="str">
        <f t="shared" si="34"/>
        <v>-</v>
      </c>
      <c r="CF121" s="71" t="str">
        <f t="shared" ca="1" si="35"/>
        <v>-</v>
      </c>
      <c r="CG121" s="33" t="str">
        <f t="shared" si="36"/>
        <v>21-22</v>
      </c>
      <c r="CH121" s="261" t="str">
        <f t="shared" ca="1" si="37"/>
        <v/>
      </c>
      <c r="CI121" s="99"/>
      <c r="CJ121" s="99"/>
      <c r="CK121" s="99"/>
      <c r="CL121" s="99"/>
      <c r="CM121" s="99"/>
      <c r="CN121" s="99"/>
      <c r="CO121" s="99"/>
    </row>
    <row r="122" spans="2:93" ht="13.5" customHeight="1" x14ac:dyDescent="0.2">
      <c r="B122" s="262">
        <v>22</v>
      </c>
      <c r="C122" s="237" t="str">
        <f t="shared" si="1"/>
        <v/>
      </c>
      <c r="D122" s="237" t="str">
        <f t="shared" si="67"/>
        <v>-</v>
      </c>
      <c r="E122" s="290" t="str">
        <f t="shared" si="38"/>
        <v/>
      </c>
      <c r="F122" s="264" t="str">
        <f t="shared" si="39"/>
        <v/>
      </c>
      <c r="G122" s="291" t="str">
        <f t="shared" si="40"/>
        <v/>
      </c>
      <c r="H122" s="240" t="str">
        <f t="shared" si="41"/>
        <v/>
      </c>
      <c r="I122" s="265" t="str">
        <f t="shared" si="2"/>
        <v/>
      </c>
      <c r="J122" s="265" t="str">
        <f t="shared" si="3"/>
        <v/>
      </c>
      <c r="K122" s="240" t="str">
        <f t="shared" si="4"/>
        <v/>
      </c>
      <c r="L122" s="265" t="str">
        <f t="shared" si="5"/>
        <v/>
      </c>
      <c r="M122" s="265" t="str">
        <f t="shared" si="6"/>
        <v/>
      </c>
      <c r="N122" s="240" t="str">
        <f t="shared" si="7"/>
        <v>-</v>
      </c>
      <c r="O122" s="265" t="str">
        <f t="shared" si="8"/>
        <v>-</v>
      </c>
      <c r="P122" s="265" t="str">
        <f t="shared" si="9"/>
        <v>-</v>
      </c>
      <c r="Q122" s="266" t="str">
        <f t="shared" si="10"/>
        <v>-</v>
      </c>
      <c r="R122" s="267" t="str">
        <f t="shared" si="11"/>
        <v>-</v>
      </c>
      <c r="S122" s="268" t="str">
        <f t="shared" si="12"/>
        <v>-</v>
      </c>
      <c r="T122" s="269" t="str">
        <f t="shared" si="13"/>
        <v/>
      </c>
      <c r="U122" s="221">
        <f t="shared" si="14"/>
        <v>22</v>
      </c>
      <c r="V122" s="220" t="str">
        <f t="shared" si="42"/>
        <v>-</v>
      </c>
      <c r="W122" s="221" t="str">
        <f t="shared" si="43"/>
        <v>-</v>
      </c>
      <c r="X122" s="221" t="str">
        <f t="shared" si="15"/>
        <v>-</v>
      </c>
      <c r="Y122" s="221" t="str">
        <f t="shared" si="16"/>
        <v>-</v>
      </c>
      <c r="Z122" s="270">
        <f t="shared" si="44"/>
        <v>0.1</v>
      </c>
      <c r="AA122" s="271" t="str">
        <f>IFERROR(IF(V121=1,AA$100*EXP(-(LN(2)/$D$65+0.04)*X121)*EXP(-(LN(2)/$D$65+0.1)*Y121),IF(V121=2,AA$100*EXP(-(LN(2)/$D$65+0.04)*(VLOOKUP(($F$16-$F$15)-1,U$99:Y121,4,FALSE)))*EXP(-(LN(2)/$D$65+0.1)*(VLOOKUP(($F$16-$F$15)-1,U$99:Y121,5,FALSE)))*EXP(-(LN(2)/$D$65+0.04)*X121)*EXP(-(LN(2)/$D$65+0.1)*Y121),IF(V121=3,AA$100*EXP(-(LN(2)/$D$65+0.04)*(VLOOKUP(($F$16-$F$15)-1,U$99:Y121,4,FALSE)))*EXP(-(LN(2)/$D$65+0.1)*(VLOOKUP(($F$16-$F$15)-1,U$99:Y121,5,FALSE)))*EXP(-(LN(2)/$D$65+0.04)*(VLOOKUP(($F$16-$F$15)*2-1,U$99:Y121,4,FALSE)))*EXP(-(LN(2)/$D$65+0.1)*(VLOOKUP(($F$16-$F$15)*2-1,U$99:Y121,5,FALSE)))*EXP(-(LN(2)/$D$65+0.04)*X121)*EXP(-(LN(2)/$D$65+0.1)*Y121),"-"))),"-")</f>
        <v>-</v>
      </c>
      <c r="AB122" s="271" t="str">
        <f>IFERROR(IF(V122=1,AB$100*EXP(-(LN(2)/$D$65+0.04)*X122)*EXP(-(LN(2)/$D$65+0.1)*Y122),IF(V122=2,AB$100*EXP(-(LN(2)/$D$65+0.04)*(VLOOKUP(($F$16-$F$15)-1,U$100:Y122,4,FALSE)))*EXP(-(LN(2)/$D$65+0.1)*(VLOOKUP(($F$16-$F$15)-1,U$100:Y122,5,FALSE)))*EXP(-(LN(2)/$D$65+0.04)*X122)*EXP(-(LN(2)/$D$65+0.1)*Y122),IF(V122=3,AB$100*EXP(-(LN(2)/$D$65+0.04)*(VLOOKUP(($F$16-$F$15)-1,U$100:Y122,4,FALSE)))*EXP(-(LN(2)/$D$65+0.1)*(VLOOKUP(($F$16-$F$15)-1,U$100:Y122,5,FALSE)))*EXP(-(LN(2)/$D$65+0.04)*(VLOOKUP(($F$16-$F$15)*2-1,U$100:Y122,4,FALSE)))*EXP(-(LN(2)/$D$65+0.1)*(VLOOKUP(($F$16-$F$15)*2-1,U$100:Y122,5,FALSE)))*EXP(-(LN(2)/$D$65+0.04)*X122)*EXP(-(LN(2)/$D$65+0.1)*Y122),"-"))),"-")</f>
        <v>-</v>
      </c>
      <c r="AC122" s="224">
        <f t="shared" si="46"/>
        <v>22</v>
      </c>
      <c r="AD122" s="223" t="str">
        <f t="shared" si="18"/>
        <v>-</v>
      </c>
      <c r="AE122" s="224" t="str">
        <f t="shared" si="47"/>
        <v>-</v>
      </c>
      <c r="AF122" s="224" t="str">
        <f t="shared" si="19"/>
        <v>-</v>
      </c>
      <c r="AG122" s="224" t="str">
        <f t="shared" si="20"/>
        <v>-</v>
      </c>
      <c r="AH122" s="272">
        <f t="shared" si="48"/>
        <v>0.1</v>
      </c>
      <c r="AI122" s="271" t="str">
        <f>IFERROR(IF(AD121=1,AI$100*EXP(-(LN(2)/$D$65+0.04)*AF121)*EXP(-(LN(2)/$D$65+0.1)*AG121),IF(AD121=2,AI$100*EXP(-(LN(2)/$D$65+0.04)*(VLOOKUP(($F$16-$F$15)-1,AC$99:AG121,4,FALSE)))*EXP(-(LN(2)/$D$65+0.1)*(VLOOKUP(($F$16-$F$15)-1,AC$99:AG121,5,FALSE)))*EXP(-(LN(2)/$D$65+0.04)*AF121)*EXP(-(LN(2)/$D$65+0.1)*AG121),IF(AD121=3,AI$100*EXP(-(LN(2)/$D$65+0.04)*(VLOOKUP(($F$16-$F$15)-1,AC$99:AG121,4,FALSE)))*EXP(-(LN(2)/$D$65+0.1)*(VLOOKUP(($F$16-$F$15)-1,AC$99:AG121,5,FALSE)))*EXP(-(LN(2)/$D$65+0.04)*(VLOOKUP(($F$16-$F$15)*2-1,AC$99:AG121,4,FALSE)))*EXP(-(LN(2)/$D$65+0.1)*(VLOOKUP(($F$16-$F$15)*2-1,AC$99:AG121,5,FALSE)))*EXP(-(LN(2)/$D$65+0.04)*AF121)*EXP(-(LN(2)/$D$65+0.1)*AG121),"-"))),"-")</f>
        <v>-</v>
      </c>
      <c r="AJ122" s="271" t="str">
        <f>IFERROR(IF(AD122=1,AJ$100*EXP(-(LN(2)/$D$65+0.04)*AF122)*EXP(-(LN(2)/$D$65+0.1)*AG122),IF(AD122=2,AJ$100*EXP(-(LN(2)/$D$65+0.04)*(VLOOKUP(($F$16-$F$15)-1,AC$100:AG122,4,FALSE)))*EXP(-(LN(2)/$D$65+0.1)*(VLOOKUP(($F$16-$F$15)-1,AC$100:AG122,5,FALSE)))*EXP(-(LN(2)/$D$65+0.04)*AF122)*EXP(-(LN(2)/$D$65+0.1)*AG122),IF(AD122=3,AJ$100*EXP(-(LN(2)/$D$65+0.04)*(VLOOKUP(($F$16-$F$15)-1,AC$100:AG122,4,FALSE)))*EXP(-(LN(2)/$D$65+0.1)*(VLOOKUP(($F$16-$F$15)-1,AC$100:AG122,5,FALSE)))*EXP(-(LN(2)/$D$65+0.04)*(VLOOKUP(($F$16-$F$15)*2-1,AC$100:AG122,4,FALSE)))*EXP(-(LN(2)/$D$65+0.1)*(VLOOKUP(($F$16-$F$15)*2-1,AC$100:AG122,5,FALSE)))*EXP(-(LN(2)/$D$65+0.04)*AF122)*EXP(-(LN(2)/$D$65+0.1)*AG122),"-"))),"-")</f>
        <v>-</v>
      </c>
      <c r="AK122" s="227">
        <f t="shared" si="50"/>
        <v>22</v>
      </c>
      <c r="AL122" s="226" t="str">
        <f t="shared" si="22"/>
        <v>-</v>
      </c>
      <c r="AM122" s="227" t="str">
        <f t="shared" si="51"/>
        <v>-</v>
      </c>
      <c r="AN122" s="227" t="str">
        <f t="shared" si="52"/>
        <v>-</v>
      </c>
      <c r="AO122" s="227" t="str">
        <f t="shared" si="23"/>
        <v>-</v>
      </c>
      <c r="AP122" s="273">
        <f t="shared" si="53"/>
        <v>0.1</v>
      </c>
      <c r="AQ122" s="271" t="str">
        <f>IFERROR(IF(AL121=1,AQ$100*EXP(-(LN(2)/$D$65+0.04)*AN121)*EXP(-(LN(2)/$D$65+0.1)*AO121),IF(AL121=2,AQ$100*EXP(-(LN(2)/$D$65+0.04)*(VLOOKUP(($F$16-$F$15)-1,AK$99:AO121,4,FALSE)))*EXP(-(LN(2)/$D$65+0.1)*(VLOOKUP(($F$16-$F$15)-1,AK$99:AO121,5,FALSE)))*EXP(-(LN(2)/$D$65+0.04)*AN121)*EXP(-(LN(2)/$D$65+0.1)*AO121),IF(AL121=3,AQ$100*EXP(-(LN(2)/$D$65+0.04)*(VLOOKUP(($F$16-$F$15)-1,AK$99:AO121,4,FALSE)))*EXP(-(LN(2)/$D$65+0.1)*(VLOOKUP(($F$16-$F$15)-1,AK$99:AO121,5,FALSE)))*EXP(-(LN(2)/$D$65+0.04)*(VLOOKUP(($F$16-$F$15)*2-1,AK$99:AO121,4,FALSE)))*EXP(-(LN(2)/$D$65+0.1)*(VLOOKUP(($F$16-$F$15)*2-1,AK$99:AO121,5,FALSE)))*EXP(-(LN(2)/$D$65+0.04)*AN121)*EXP(-(LN(2)/$D$65+0.1)*AO121),"-"))),"-")</f>
        <v>-</v>
      </c>
      <c r="AR122" s="271" t="str">
        <f>IFERROR(IF(AL122=1,AR$100*EXP(-(LN(2)/$D$65+0.04)*AN122)*EXP(-(LN(2)/$D$65+0.1)*AO122),IF(AL122=2,AR$100*EXP(-(LN(2)/$D$65+0.04)*(VLOOKUP(($F$16-$F$15)-1,AK$100:AO122,4,FALSE)))*EXP(-(LN(2)/$D$65+0.1)*(VLOOKUP(($F$16-$F$15)-1,AK$100:AO122,5,FALSE)))*EXP(-(LN(2)/$D$65+0.04)*AN122)*EXP(-(LN(2)/$D$65+0.1)*AO122),IF(AL122=3,AR$100*EXP(-(LN(2)/$D$65+0.04)*(VLOOKUP(($F$16-$F$15)-1,AK$100:AO122,4,FALSE)))*EXP(-(LN(2)/$D$65+0.1)*(VLOOKUP(($F$16-$F$15)-1,AK$100:AO122,5,FALSE)))*EXP(-(LN(2)/$D$65+0.04)*(VLOOKUP(($F$16-$F$15)*2-1,AK$100:AO122,4,FALSE)))*EXP(-(LN(2)/$D$65+0.1)*(VLOOKUP(($F$16-$F$15)*2-1,AK$100:AO122,5,FALSE)))*EXP(-(LN(2)/$D$65+0.04)*AN122)*EXP(-(LN(2)/$D$65+0.1)*AO122),"-"))),"-")</f>
        <v>-</v>
      </c>
      <c r="AS122" s="274">
        <f t="shared" si="24"/>
        <v>0</v>
      </c>
      <c r="AT122" s="274">
        <f t="shared" si="25"/>
        <v>0</v>
      </c>
      <c r="AU122" s="274">
        <f t="shared" si="26"/>
        <v>0</v>
      </c>
      <c r="AV122" s="190">
        <f>IF($B122&lt;$F$22,SUM($T$100:$T122),"")</f>
        <v>0</v>
      </c>
      <c r="AW122" s="190" t="str">
        <f t="shared" si="56"/>
        <v>-</v>
      </c>
      <c r="AX122" s="190" t="str">
        <f t="shared" si="57"/>
        <v/>
      </c>
      <c r="AY122"/>
      <c r="AZ122" s="190" t="str">
        <f ca="1">IF(ISNUMBER(OFFSET(AV122,-$F$21,0)),SUM(OFFSET($T$100,$F$21,0):$T122),"")</f>
        <v/>
      </c>
      <c r="BA122" s="190" t="str">
        <f t="shared" ca="1" si="27"/>
        <v/>
      </c>
      <c r="BB122" s="190" t="str">
        <f t="shared" ca="1" si="70"/>
        <v/>
      </c>
      <c r="BC122" s="190"/>
      <c r="BD122" s="190" t="str">
        <f ca="1">IFERROR(IF(AND($B122&gt;=($F$16-$F$15),$B122&lt;$F$22+($F$16-$F$15)),SUM(OFFSET($T$100,($F$16-$F$15),0):$T122),""),"")</f>
        <v/>
      </c>
      <c r="BE122" s="190" t="str">
        <f t="shared" ca="1" si="59"/>
        <v/>
      </c>
      <c r="BF122" s="190" t="str">
        <f t="shared" ca="1" si="60"/>
        <v/>
      </c>
      <c r="BG122"/>
      <c r="BH122" s="190" t="str">
        <f ca="1">IF(ISNUMBER(OFFSET(BD122,-$F$21,0)),SUM(OFFSET($T$100,($F$16-$F$15+$F$21),0):$T122),"")</f>
        <v/>
      </c>
      <c r="BI122" s="190" t="str">
        <f t="shared" ca="1" si="28"/>
        <v/>
      </c>
      <c r="BJ122" s="190" t="str">
        <f t="shared" ca="1" si="61"/>
        <v/>
      </c>
      <c r="BK122" s="190"/>
      <c r="BL122" s="190" t="str">
        <f ca="1">IFERROR(IF(AND($B122&gt;=($F$17-$F$15),$B122&lt;$F$22+($F$17-$F$15)),SUM(OFFSET($T$100,($F$17-$F$15),0):$T122),""),"")</f>
        <v/>
      </c>
      <c r="BM122" s="190" t="str">
        <f t="shared" ca="1" si="29"/>
        <v/>
      </c>
      <c r="BN122" s="190" t="str">
        <f t="shared" ca="1" si="62"/>
        <v/>
      </c>
      <c r="BO122"/>
      <c r="BP122" s="190" t="str">
        <f ca="1">IF(ISNUMBER(OFFSET(BL122,-$F$21,0)),SUM(OFFSET($T$100,($F$17-$F$15+$F$21),0):$T122),"")</f>
        <v/>
      </c>
      <c r="BQ122" s="190" t="str">
        <f t="shared" ca="1" si="63"/>
        <v/>
      </c>
      <c r="BR122" s="190" t="str">
        <f t="shared" ca="1" si="64"/>
        <v/>
      </c>
      <c r="BS122" s="190"/>
      <c r="BT122"/>
      <c r="BU122" s="185"/>
      <c r="BV122" s="303"/>
      <c r="BW122" s="185"/>
      <c r="BX122" s="185"/>
      <c r="BY122" s="185"/>
      <c r="BZ122" s="302"/>
      <c r="CA122" s="280" t="str">
        <f t="shared" si="30"/>
        <v/>
      </c>
      <c r="CB122" s="71" t="str">
        <f t="shared" si="31"/>
        <v>-</v>
      </c>
      <c r="CC122" s="33"/>
      <c r="CD122" s="261" t="str">
        <f t="shared" si="33"/>
        <v/>
      </c>
      <c r="CE122" s="280" t="str">
        <f t="shared" si="34"/>
        <v>-</v>
      </c>
      <c r="CF122" s="71" t="str">
        <f t="shared" ca="1" si="35"/>
        <v>-</v>
      </c>
      <c r="CG122" s="33" t="str">
        <f t="shared" si="36"/>
        <v>22-23</v>
      </c>
      <c r="CH122" s="261" t="str">
        <f t="shared" ca="1" si="37"/>
        <v/>
      </c>
      <c r="CI122" s="99"/>
      <c r="CJ122" s="99"/>
      <c r="CK122" s="99"/>
      <c r="CL122" s="99"/>
      <c r="CM122" s="99"/>
      <c r="CN122" s="99"/>
      <c r="CO122" s="99"/>
    </row>
    <row r="123" spans="2:93" ht="13.5" customHeight="1" x14ac:dyDescent="0.2">
      <c r="B123" s="262">
        <v>23</v>
      </c>
      <c r="C123" s="237" t="str">
        <f t="shared" si="1"/>
        <v/>
      </c>
      <c r="D123" s="237" t="str">
        <f t="shared" si="67"/>
        <v>-</v>
      </c>
      <c r="E123" s="290" t="str">
        <f t="shared" si="38"/>
        <v/>
      </c>
      <c r="F123" s="264" t="str">
        <f t="shared" si="39"/>
        <v/>
      </c>
      <c r="G123" s="291" t="str">
        <f t="shared" si="40"/>
        <v/>
      </c>
      <c r="H123" s="240" t="str">
        <f t="shared" si="41"/>
        <v/>
      </c>
      <c r="I123" s="265" t="str">
        <f t="shared" si="2"/>
        <v/>
      </c>
      <c r="J123" s="265" t="str">
        <f t="shared" si="3"/>
        <v/>
      </c>
      <c r="K123" s="240" t="str">
        <f t="shared" si="4"/>
        <v/>
      </c>
      <c r="L123" s="265" t="str">
        <f t="shared" si="5"/>
        <v/>
      </c>
      <c r="M123" s="265" t="str">
        <f t="shared" si="6"/>
        <v/>
      </c>
      <c r="N123" s="240" t="str">
        <f t="shared" si="7"/>
        <v>-</v>
      </c>
      <c r="O123" s="265" t="str">
        <f t="shared" si="8"/>
        <v>-</v>
      </c>
      <c r="P123" s="265" t="str">
        <f t="shared" si="9"/>
        <v>-</v>
      </c>
      <c r="Q123" s="266" t="str">
        <f t="shared" si="10"/>
        <v>-</v>
      </c>
      <c r="R123" s="267" t="str">
        <f t="shared" si="11"/>
        <v>-</v>
      </c>
      <c r="S123" s="268" t="str">
        <f t="shared" si="12"/>
        <v>-</v>
      </c>
      <c r="T123" s="269" t="str">
        <f t="shared" si="13"/>
        <v/>
      </c>
      <c r="U123" s="221">
        <f t="shared" si="14"/>
        <v>23</v>
      </c>
      <c r="V123" s="220" t="str">
        <f t="shared" si="42"/>
        <v>-</v>
      </c>
      <c r="W123" s="221" t="str">
        <f t="shared" si="43"/>
        <v>-</v>
      </c>
      <c r="X123" s="221" t="str">
        <f t="shared" si="15"/>
        <v>-</v>
      </c>
      <c r="Y123" s="221" t="str">
        <f t="shared" si="16"/>
        <v>-</v>
      </c>
      <c r="Z123" s="270">
        <f t="shared" si="44"/>
        <v>0.1</v>
      </c>
      <c r="AA123" s="271" t="str">
        <f>IFERROR(IF(V122=1,AA$100*EXP(-(LN(2)/$D$65+0.04)*X122)*EXP(-(LN(2)/$D$65+0.1)*Y122),IF(V122=2,AA$100*EXP(-(LN(2)/$D$65+0.04)*(VLOOKUP(($F$16-$F$15)-1,U$99:Y122,4,FALSE)))*EXP(-(LN(2)/$D$65+0.1)*(VLOOKUP(($F$16-$F$15)-1,U$99:Y122,5,FALSE)))*EXP(-(LN(2)/$D$65+0.04)*X122)*EXP(-(LN(2)/$D$65+0.1)*Y122),IF(V122=3,AA$100*EXP(-(LN(2)/$D$65+0.04)*(VLOOKUP(($F$16-$F$15)-1,U$99:Y122,4,FALSE)))*EXP(-(LN(2)/$D$65+0.1)*(VLOOKUP(($F$16-$F$15)-1,U$99:Y122,5,FALSE)))*EXP(-(LN(2)/$D$65+0.04)*(VLOOKUP(($F$16-$F$15)*2-1,U$99:Y122,4,FALSE)))*EXP(-(LN(2)/$D$65+0.1)*(VLOOKUP(($F$16-$F$15)*2-1,U$99:Y122,5,FALSE)))*EXP(-(LN(2)/$D$65+0.04)*X122)*EXP(-(LN(2)/$D$65+0.1)*Y122),"-"))),"-")</f>
        <v>-</v>
      </c>
      <c r="AB123" s="271" t="str">
        <f>IFERROR(IF(V123=1,AB$100*EXP(-(LN(2)/$D$65+0.04)*X123)*EXP(-(LN(2)/$D$65+0.1)*Y123),IF(V123=2,AB$100*EXP(-(LN(2)/$D$65+0.04)*(VLOOKUP(($F$16-$F$15)-1,U$100:Y123,4,FALSE)))*EXP(-(LN(2)/$D$65+0.1)*(VLOOKUP(($F$16-$F$15)-1,U$100:Y123,5,FALSE)))*EXP(-(LN(2)/$D$65+0.04)*X123)*EXP(-(LN(2)/$D$65+0.1)*Y123),IF(V123=3,AB$100*EXP(-(LN(2)/$D$65+0.04)*(VLOOKUP(($F$16-$F$15)-1,U$100:Y123,4,FALSE)))*EXP(-(LN(2)/$D$65+0.1)*(VLOOKUP(($F$16-$F$15)-1,U$100:Y123,5,FALSE)))*EXP(-(LN(2)/$D$65+0.04)*(VLOOKUP(($F$16-$F$15)*2-1,U$100:Y123,4,FALSE)))*EXP(-(LN(2)/$D$65+0.1)*(VLOOKUP(($F$16-$F$15)*2-1,U$100:Y123,5,FALSE)))*EXP(-(LN(2)/$D$65+0.04)*X123)*EXP(-(LN(2)/$D$65+0.1)*Y123),"-"))),"-")</f>
        <v>-</v>
      </c>
      <c r="AC123" s="224">
        <f t="shared" si="46"/>
        <v>23</v>
      </c>
      <c r="AD123" s="223" t="str">
        <f t="shared" si="18"/>
        <v>-</v>
      </c>
      <c r="AE123" s="224" t="str">
        <f t="shared" si="47"/>
        <v>-</v>
      </c>
      <c r="AF123" s="224" t="str">
        <f t="shared" si="19"/>
        <v>-</v>
      </c>
      <c r="AG123" s="224" t="str">
        <f t="shared" si="20"/>
        <v>-</v>
      </c>
      <c r="AH123" s="272">
        <f t="shared" si="48"/>
        <v>0.1</v>
      </c>
      <c r="AI123" s="271" t="str">
        <f>IFERROR(IF(AD122=1,AI$100*EXP(-(LN(2)/$D$65+0.04)*AF122)*EXP(-(LN(2)/$D$65+0.1)*AG122),IF(AD122=2,AI$100*EXP(-(LN(2)/$D$65+0.04)*(VLOOKUP(($F$16-$F$15)-1,AC$99:AG122,4,FALSE)))*EXP(-(LN(2)/$D$65+0.1)*(VLOOKUP(($F$16-$F$15)-1,AC$99:AG122,5,FALSE)))*EXP(-(LN(2)/$D$65+0.04)*AF122)*EXP(-(LN(2)/$D$65+0.1)*AG122),IF(AD122=3,AI$100*EXP(-(LN(2)/$D$65+0.04)*(VLOOKUP(($F$16-$F$15)-1,AC$99:AG122,4,FALSE)))*EXP(-(LN(2)/$D$65+0.1)*(VLOOKUP(($F$16-$F$15)-1,AC$99:AG122,5,FALSE)))*EXP(-(LN(2)/$D$65+0.04)*(VLOOKUP(($F$16-$F$15)*2-1,AC$99:AG122,4,FALSE)))*EXP(-(LN(2)/$D$65+0.1)*(VLOOKUP(($F$16-$F$15)*2-1,AC$99:AG122,5,FALSE)))*EXP(-(LN(2)/$D$65+0.04)*AF122)*EXP(-(LN(2)/$D$65+0.1)*AG122),"-"))),"-")</f>
        <v>-</v>
      </c>
      <c r="AJ123" s="271" t="str">
        <f>IFERROR(IF(AD123=1,AJ$100*EXP(-(LN(2)/$D$65+0.04)*AF123)*EXP(-(LN(2)/$D$65+0.1)*AG123),IF(AD123=2,AJ$100*EXP(-(LN(2)/$D$65+0.04)*(VLOOKUP(($F$16-$F$15)-1,AC$100:AG123,4,FALSE)))*EXP(-(LN(2)/$D$65+0.1)*(VLOOKUP(($F$16-$F$15)-1,AC$100:AG123,5,FALSE)))*EXP(-(LN(2)/$D$65+0.04)*AF123)*EXP(-(LN(2)/$D$65+0.1)*AG123),IF(AD123=3,AJ$100*EXP(-(LN(2)/$D$65+0.04)*(VLOOKUP(($F$16-$F$15)-1,AC$100:AG123,4,FALSE)))*EXP(-(LN(2)/$D$65+0.1)*(VLOOKUP(($F$16-$F$15)-1,AC$100:AG123,5,FALSE)))*EXP(-(LN(2)/$D$65+0.04)*(VLOOKUP(($F$16-$F$15)*2-1,AC$100:AG123,4,FALSE)))*EXP(-(LN(2)/$D$65+0.1)*(VLOOKUP(($F$16-$F$15)*2-1,AC$100:AG123,5,FALSE)))*EXP(-(LN(2)/$D$65+0.04)*AF123)*EXP(-(LN(2)/$D$65+0.1)*AG123),"-"))),"-")</f>
        <v>-</v>
      </c>
      <c r="AK123" s="227">
        <f t="shared" si="50"/>
        <v>23</v>
      </c>
      <c r="AL123" s="226" t="str">
        <f t="shared" si="22"/>
        <v>-</v>
      </c>
      <c r="AM123" s="227" t="str">
        <f t="shared" si="51"/>
        <v>-</v>
      </c>
      <c r="AN123" s="227" t="str">
        <f t="shared" si="52"/>
        <v>-</v>
      </c>
      <c r="AO123" s="227" t="str">
        <f t="shared" si="23"/>
        <v>-</v>
      </c>
      <c r="AP123" s="273">
        <f t="shared" si="53"/>
        <v>0.1</v>
      </c>
      <c r="AQ123" s="271" t="str">
        <f>IFERROR(IF(AL122=1,AQ$100*EXP(-(LN(2)/$D$65+0.04)*AN122)*EXP(-(LN(2)/$D$65+0.1)*AO122),IF(AL122=2,AQ$100*EXP(-(LN(2)/$D$65+0.04)*(VLOOKUP(($F$16-$F$15)-1,AK$99:AO122,4,FALSE)))*EXP(-(LN(2)/$D$65+0.1)*(VLOOKUP(($F$16-$F$15)-1,AK$99:AO122,5,FALSE)))*EXP(-(LN(2)/$D$65+0.04)*AN122)*EXP(-(LN(2)/$D$65+0.1)*AO122),IF(AL122=3,AQ$100*EXP(-(LN(2)/$D$65+0.04)*(VLOOKUP(($F$16-$F$15)-1,AK$99:AO122,4,FALSE)))*EXP(-(LN(2)/$D$65+0.1)*(VLOOKUP(($F$16-$F$15)-1,AK$99:AO122,5,FALSE)))*EXP(-(LN(2)/$D$65+0.04)*(VLOOKUP(($F$16-$F$15)*2-1,AK$99:AO122,4,FALSE)))*EXP(-(LN(2)/$D$65+0.1)*(VLOOKUP(($F$16-$F$15)*2-1,AK$99:AO122,5,FALSE)))*EXP(-(LN(2)/$D$65+0.04)*AN122)*EXP(-(LN(2)/$D$65+0.1)*AO122),"-"))),"-")</f>
        <v>-</v>
      </c>
      <c r="AR123" s="271" t="str">
        <f>IFERROR(IF(AL123=1,AR$100*EXP(-(LN(2)/$D$65+0.04)*AN123)*EXP(-(LN(2)/$D$65+0.1)*AO123),IF(AL123=2,AR$100*EXP(-(LN(2)/$D$65+0.04)*(VLOOKUP(($F$16-$F$15)-1,AK$100:AO123,4,FALSE)))*EXP(-(LN(2)/$D$65+0.1)*(VLOOKUP(($F$16-$F$15)-1,AK$100:AO123,5,FALSE)))*EXP(-(LN(2)/$D$65+0.04)*AN123)*EXP(-(LN(2)/$D$65+0.1)*AO123),IF(AL123=3,AR$100*EXP(-(LN(2)/$D$65+0.04)*(VLOOKUP(($F$16-$F$15)-1,AK$100:AO123,4,FALSE)))*EXP(-(LN(2)/$D$65+0.1)*(VLOOKUP(($F$16-$F$15)-1,AK$100:AO123,5,FALSE)))*EXP(-(LN(2)/$D$65+0.04)*(VLOOKUP(($F$16-$F$15)*2-1,AK$100:AO123,4,FALSE)))*EXP(-(LN(2)/$D$65+0.1)*(VLOOKUP(($F$16-$F$15)*2-1,AK$100:AO123,5,FALSE)))*EXP(-(LN(2)/$D$65+0.04)*AN123)*EXP(-(LN(2)/$D$65+0.1)*AO123),"-"))),"-")</f>
        <v>-</v>
      </c>
      <c r="AS123" s="274">
        <f t="shared" si="24"/>
        <v>0</v>
      </c>
      <c r="AT123" s="274">
        <f t="shared" si="25"/>
        <v>0</v>
      </c>
      <c r="AU123" s="274">
        <f t="shared" si="26"/>
        <v>0</v>
      </c>
      <c r="AV123" s="190">
        <f>IF($B123&lt;$F$22,SUM($T$100:$T123),"")</f>
        <v>0</v>
      </c>
      <c r="AW123" s="190" t="str">
        <f t="shared" si="56"/>
        <v>-</v>
      </c>
      <c r="AX123" s="190" t="str">
        <f t="shared" si="57"/>
        <v/>
      </c>
      <c r="AY123"/>
      <c r="AZ123" s="190" t="str">
        <f ca="1">IF(ISNUMBER(OFFSET(AV123,-$F$21,0)),SUM(OFFSET($T$100,$F$21,0):$T123),"")</f>
        <v/>
      </c>
      <c r="BA123" s="190" t="str">
        <f t="shared" ca="1" si="27"/>
        <v/>
      </c>
      <c r="BB123" s="190" t="str">
        <f t="shared" ca="1" si="70"/>
        <v/>
      </c>
      <c r="BC123" s="190"/>
      <c r="BD123" s="190" t="str">
        <f ca="1">IFERROR(IF(AND($B123&gt;=($F$16-$F$15),$B123&lt;$F$22+($F$16-$F$15)),SUM(OFFSET($T$100,($F$16-$F$15),0):$T123),""),"")</f>
        <v/>
      </c>
      <c r="BE123" s="190" t="str">
        <f t="shared" ca="1" si="59"/>
        <v/>
      </c>
      <c r="BF123" s="190" t="str">
        <f t="shared" ca="1" si="60"/>
        <v/>
      </c>
      <c r="BG123"/>
      <c r="BH123" s="190" t="str">
        <f ca="1">IF(ISNUMBER(OFFSET(BD123,-$F$21,0)),SUM(OFFSET($T$100,($F$16-$F$15+$F$21),0):$T123),"")</f>
        <v/>
      </c>
      <c r="BI123" s="190" t="str">
        <f t="shared" ca="1" si="28"/>
        <v/>
      </c>
      <c r="BJ123" s="190" t="str">
        <f t="shared" ca="1" si="61"/>
        <v/>
      </c>
      <c r="BK123" s="190"/>
      <c r="BL123" s="190" t="str">
        <f ca="1">IFERROR(IF(AND($B123&gt;=($F$17-$F$15),$B123&lt;$F$22+($F$17-$F$15)),SUM(OFFSET($T$100,($F$17-$F$15),0):$T123),""),"")</f>
        <v/>
      </c>
      <c r="BM123" s="190" t="str">
        <f t="shared" ca="1" si="29"/>
        <v/>
      </c>
      <c r="BN123" s="190" t="str">
        <f t="shared" ca="1" si="62"/>
        <v/>
      </c>
      <c r="BO123"/>
      <c r="BP123" s="190" t="str">
        <f ca="1">IF(ISNUMBER(OFFSET(BL123,-$F$21,0)),SUM(OFFSET($T$100,($F$17-$F$15+$F$21),0):$T123),"")</f>
        <v/>
      </c>
      <c r="BQ123" s="190" t="str">
        <f t="shared" ca="1" si="63"/>
        <v/>
      </c>
      <c r="BR123" s="190" t="str">
        <f t="shared" ca="1" si="64"/>
        <v/>
      </c>
      <c r="BS123" s="190"/>
      <c r="BT123"/>
      <c r="BU123" s="185"/>
      <c r="BV123" s="304"/>
      <c r="BW123" s="185"/>
      <c r="BX123" s="185"/>
      <c r="BY123" s="185"/>
      <c r="BZ123"/>
      <c r="CA123" s="280" t="str">
        <f t="shared" si="30"/>
        <v/>
      </c>
      <c r="CB123" s="71" t="str">
        <f t="shared" si="31"/>
        <v>-</v>
      </c>
      <c r="CC123" s="33"/>
      <c r="CD123" s="261" t="str">
        <f t="shared" si="33"/>
        <v/>
      </c>
      <c r="CE123" s="280" t="str">
        <f t="shared" si="34"/>
        <v>-</v>
      </c>
      <c r="CF123" s="71" t="str">
        <f t="shared" ca="1" si="35"/>
        <v>-</v>
      </c>
      <c r="CG123" s="33" t="str">
        <f t="shared" si="36"/>
        <v>23-24</v>
      </c>
      <c r="CH123" s="261" t="str">
        <f t="shared" ca="1" si="37"/>
        <v/>
      </c>
      <c r="CI123" s="99"/>
      <c r="CJ123" s="99"/>
      <c r="CK123" s="99"/>
      <c r="CL123" s="99"/>
      <c r="CM123" s="99"/>
      <c r="CN123" s="99"/>
      <c r="CO123" s="99"/>
    </row>
    <row r="124" spans="2:93" ht="13.5" customHeight="1" x14ac:dyDescent="0.2">
      <c r="B124" s="262">
        <v>24</v>
      </c>
      <c r="C124" s="237" t="str">
        <f t="shared" si="1"/>
        <v/>
      </c>
      <c r="D124" s="237" t="str">
        <f t="shared" si="67"/>
        <v>-</v>
      </c>
      <c r="E124" s="290" t="str">
        <f t="shared" si="38"/>
        <v/>
      </c>
      <c r="F124" s="264" t="str">
        <f t="shared" si="39"/>
        <v/>
      </c>
      <c r="G124" s="291" t="str">
        <f t="shared" si="40"/>
        <v/>
      </c>
      <c r="H124" s="240" t="str">
        <f t="shared" si="41"/>
        <v/>
      </c>
      <c r="I124" s="265" t="str">
        <f t="shared" si="2"/>
        <v/>
      </c>
      <c r="J124" s="265" t="str">
        <f t="shared" si="3"/>
        <v/>
      </c>
      <c r="K124" s="240" t="str">
        <f t="shared" si="4"/>
        <v/>
      </c>
      <c r="L124" s="265" t="str">
        <f t="shared" si="5"/>
        <v/>
      </c>
      <c r="M124" s="265" t="str">
        <f t="shared" si="6"/>
        <v/>
      </c>
      <c r="N124" s="240" t="str">
        <f t="shared" si="7"/>
        <v>-</v>
      </c>
      <c r="O124" s="265" t="str">
        <f t="shared" si="8"/>
        <v>-</v>
      </c>
      <c r="P124" s="265" t="str">
        <f t="shared" si="9"/>
        <v>-</v>
      </c>
      <c r="Q124" s="266" t="str">
        <f t="shared" si="10"/>
        <v>-</v>
      </c>
      <c r="R124" s="267" t="str">
        <f t="shared" si="11"/>
        <v>-</v>
      </c>
      <c r="S124" s="268" t="str">
        <f t="shared" si="12"/>
        <v>-</v>
      </c>
      <c r="T124" s="269" t="str">
        <f t="shared" si="13"/>
        <v/>
      </c>
      <c r="U124" s="221">
        <f t="shared" si="14"/>
        <v>24</v>
      </c>
      <c r="V124" s="220" t="str">
        <f t="shared" si="42"/>
        <v>-</v>
      </c>
      <c r="W124" s="221" t="str">
        <f t="shared" si="43"/>
        <v>-</v>
      </c>
      <c r="X124" s="221" t="str">
        <f t="shared" si="15"/>
        <v>-</v>
      </c>
      <c r="Y124" s="221" t="str">
        <f t="shared" si="16"/>
        <v>-</v>
      </c>
      <c r="Z124" s="270">
        <f t="shared" si="44"/>
        <v>0.1</v>
      </c>
      <c r="AA124" s="271" t="str">
        <f>IFERROR(IF(V123=1,AA$100*EXP(-(LN(2)/$D$65+0.04)*X123)*EXP(-(LN(2)/$D$65+0.1)*Y123),IF(V123=2,AA$100*EXP(-(LN(2)/$D$65+0.04)*(VLOOKUP(($F$16-$F$15)-1,U$99:Y123,4,FALSE)))*EXP(-(LN(2)/$D$65+0.1)*(VLOOKUP(($F$16-$F$15)-1,U$99:Y123,5,FALSE)))*EXP(-(LN(2)/$D$65+0.04)*X123)*EXP(-(LN(2)/$D$65+0.1)*Y123),IF(V123=3,AA$100*EXP(-(LN(2)/$D$65+0.04)*(VLOOKUP(($F$16-$F$15)-1,U$99:Y123,4,FALSE)))*EXP(-(LN(2)/$D$65+0.1)*(VLOOKUP(($F$16-$F$15)-1,U$99:Y123,5,FALSE)))*EXP(-(LN(2)/$D$65+0.04)*(VLOOKUP(($F$16-$F$15)*2-1,U$99:Y123,4,FALSE)))*EXP(-(LN(2)/$D$65+0.1)*(VLOOKUP(($F$16-$F$15)*2-1,U$99:Y123,5,FALSE)))*EXP(-(LN(2)/$D$65+0.04)*X123)*EXP(-(LN(2)/$D$65+0.1)*Y123),"-"))),"-")</f>
        <v>-</v>
      </c>
      <c r="AB124" s="271" t="str">
        <f>IFERROR(IF(V124=1,AB$100*EXP(-(LN(2)/$D$65+0.04)*X124)*EXP(-(LN(2)/$D$65+0.1)*Y124),IF(V124=2,AB$100*EXP(-(LN(2)/$D$65+0.04)*(VLOOKUP(($F$16-$F$15)-1,U$100:Y124,4,FALSE)))*EXP(-(LN(2)/$D$65+0.1)*(VLOOKUP(($F$16-$F$15)-1,U$100:Y124,5,FALSE)))*EXP(-(LN(2)/$D$65+0.04)*X124)*EXP(-(LN(2)/$D$65+0.1)*Y124),IF(V124=3,AB$100*EXP(-(LN(2)/$D$65+0.04)*(VLOOKUP(($F$16-$F$15)-1,U$100:Y124,4,FALSE)))*EXP(-(LN(2)/$D$65+0.1)*(VLOOKUP(($F$16-$F$15)-1,U$100:Y124,5,FALSE)))*EXP(-(LN(2)/$D$65+0.04)*(VLOOKUP(($F$16-$F$15)*2-1,U$100:Y124,4,FALSE)))*EXP(-(LN(2)/$D$65+0.1)*(VLOOKUP(($F$16-$F$15)*2-1,U$100:Y124,5,FALSE)))*EXP(-(LN(2)/$D$65+0.04)*X124)*EXP(-(LN(2)/$D$65+0.1)*Y124),"-"))),"-")</f>
        <v>-</v>
      </c>
      <c r="AC124" s="224">
        <f t="shared" si="46"/>
        <v>24</v>
      </c>
      <c r="AD124" s="223" t="str">
        <f t="shared" si="18"/>
        <v>-</v>
      </c>
      <c r="AE124" s="224" t="str">
        <f t="shared" si="47"/>
        <v>-</v>
      </c>
      <c r="AF124" s="224" t="str">
        <f t="shared" si="19"/>
        <v>-</v>
      </c>
      <c r="AG124" s="224" t="str">
        <f t="shared" si="20"/>
        <v>-</v>
      </c>
      <c r="AH124" s="272">
        <f t="shared" si="48"/>
        <v>0.1</v>
      </c>
      <c r="AI124" s="271" t="str">
        <f>IFERROR(IF(AD123=1,AI$100*EXP(-(LN(2)/$D$65+0.04)*AF123)*EXP(-(LN(2)/$D$65+0.1)*AG123),IF(AD123=2,AI$100*EXP(-(LN(2)/$D$65+0.04)*(VLOOKUP(($F$16-$F$15)-1,AC$99:AG123,4,FALSE)))*EXP(-(LN(2)/$D$65+0.1)*(VLOOKUP(($F$16-$F$15)-1,AC$99:AG123,5,FALSE)))*EXP(-(LN(2)/$D$65+0.04)*AF123)*EXP(-(LN(2)/$D$65+0.1)*AG123),IF(AD123=3,AI$100*EXP(-(LN(2)/$D$65+0.04)*(VLOOKUP(($F$16-$F$15)-1,AC$99:AG123,4,FALSE)))*EXP(-(LN(2)/$D$65+0.1)*(VLOOKUP(($F$16-$F$15)-1,AC$99:AG123,5,FALSE)))*EXP(-(LN(2)/$D$65+0.04)*(VLOOKUP(($F$16-$F$15)*2-1,AC$99:AG123,4,FALSE)))*EXP(-(LN(2)/$D$65+0.1)*(VLOOKUP(($F$16-$F$15)*2-1,AC$99:AG123,5,FALSE)))*EXP(-(LN(2)/$D$65+0.04)*AF123)*EXP(-(LN(2)/$D$65+0.1)*AG123),"-"))),"-")</f>
        <v>-</v>
      </c>
      <c r="AJ124" s="271" t="str">
        <f>IFERROR(IF(AD124=1,AJ$100*EXP(-(LN(2)/$D$65+0.04)*AF124)*EXP(-(LN(2)/$D$65+0.1)*AG124),IF(AD124=2,AJ$100*EXP(-(LN(2)/$D$65+0.04)*(VLOOKUP(($F$16-$F$15)-1,AC$100:AG124,4,FALSE)))*EXP(-(LN(2)/$D$65+0.1)*(VLOOKUP(($F$16-$F$15)-1,AC$100:AG124,5,FALSE)))*EXP(-(LN(2)/$D$65+0.04)*AF124)*EXP(-(LN(2)/$D$65+0.1)*AG124),IF(AD124=3,AJ$100*EXP(-(LN(2)/$D$65+0.04)*(VLOOKUP(($F$16-$F$15)-1,AC$100:AG124,4,FALSE)))*EXP(-(LN(2)/$D$65+0.1)*(VLOOKUP(($F$16-$F$15)-1,AC$100:AG124,5,FALSE)))*EXP(-(LN(2)/$D$65+0.04)*(VLOOKUP(($F$16-$F$15)*2-1,AC$100:AG124,4,FALSE)))*EXP(-(LN(2)/$D$65+0.1)*(VLOOKUP(($F$16-$F$15)*2-1,AC$100:AG124,5,FALSE)))*EXP(-(LN(2)/$D$65+0.04)*AF124)*EXP(-(LN(2)/$D$65+0.1)*AG124),"-"))),"-")</f>
        <v>-</v>
      </c>
      <c r="AK124" s="227">
        <f t="shared" si="50"/>
        <v>24</v>
      </c>
      <c r="AL124" s="226" t="str">
        <f t="shared" si="22"/>
        <v>-</v>
      </c>
      <c r="AM124" s="227" t="str">
        <f t="shared" si="51"/>
        <v>-</v>
      </c>
      <c r="AN124" s="227" t="str">
        <f t="shared" si="52"/>
        <v>-</v>
      </c>
      <c r="AO124" s="227" t="str">
        <f t="shared" si="23"/>
        <v>-</v>
      </c>
      <c r="AP124" s="273">
        <f t="shared" si="53"/>
        <v>0.1</v>
      </c>
      <c r="AQ124" s="271" t="str">
        <f>IFERROR(IF(AL123=1,AQ$100*EXP(-(LN(2)/$D$65+0.04)*AN123)*EXP(-(LN(2)/$D$65+0.1)*AO123),IF(AL123=2,AQ$100*EXP(-(LN(2)/$D$65+0.04)*(VLOOKUP(($F$16-$F$15)-1,AK$99:AO123,4,FALSE)))*EXP(-(LN(2)/$D$65+0.1)*(VLOOKUP(($F$16-$F$15)-1,AK$99:AO123,5,FALSE)))*EXP(-(LN(2)/$D$65+0.04)*AN123)*EXP(-(LN(2)/$D$65+0.1)*AO123),IF(AL123=3,AQ$100*EXP(-(LN(2)/$D$65+0.04)*(VLOOKUP(($F$16-$F$15)-1,AK$99:AO123,4,FALSE)))*EXP(-(LN(2)/$D$65+0.1)*(VLOOKUP(($F$16-$F$15)-1,AK$99:AO123,5,FALSE)))*EXP(-(LN(2)/$D$65+0.04)*(VLOOKUP(($F$16-$F$15)*2-1,AK$99:AO123,4,FALSE)))*EXP(-(LN(2)/$D$65+0.1)*(VLOOKUP(($F$16-$F$15)*2-1,AK$99:AO123,5,FALSE)))*EXP(-(LN(2)/$D$65+0.04)*AN123)*EXP(-(LN(2)/$D$65+0.1)*AO123),"-"))),"-")</f>
        <v>-</v>
      </c>
      <c r="AR124" s="271" t="str">
        <f>IFERROR(IF(AL124=1,AR$100*EXP(-(LN(2)/$D$65+0.04)*AN124)*EXP(-(LN(2)/$D$65+0.1)*AO124),IF(AL124=2,AR$100*EXP(-(LN(2)/$D$65+0.04)*(VLOOKUP(($F$16-$F$15)-1,AK$100:AO124,4,FALSE)))*EXP(-(LN(2)/$D$65+0.1)*(VLOOKUP(($F$16-$F$15)-1,AK$100:AO124,5,FALSE)))*EXP(-(LN(2)/$D$65+0.04)*AN124)*EXP(-(LN(2)/$D$65+0.1)*AO124),IF(AL124=3,AR$100*EXP(-(LN(2)/$D$65+0.04)*(VLOOKUP(($F$16-$F$15)-1,AK$100:AO124,4,FALSE)))*EXP(-(LN(2)/$D$65+0.1)*(VLOOKUP(($F$16-$F$15)-1,AK$100:AO124,5,FALSE)))*EXP(-(LN(2)/$D$65+0.04)*(VLOOKUP(($F$16-$F$15)*2-1,AK$100:AO124,4,FALSE)))*EXP(-(LN(2)/$D$65+0.1)*(VLOOKUP(($F$16-$F$15)*2-1,AK$100:AO124,5,FALSE)))*EXP(-(LN(2)/$D$65+0.04)*AN124)*EXP(-(LN(2)/$D$65+0.1)*AO124),"-"))),"-")</f>
        <v>-</v>
      </c>
      <c r="AS124" s="274">
        <f t="shared" si="24"/>
        <v>0</v>
      </c>
      <c r="AT124" s="274">
        <f t="shared" si="25"/>
        <v>0</v>
      </c>
      <c r="AU124" s="274">
        <f t="shared" si="26"/>
        <v>0</v>
      </c>
      <c r="AV124" s="190">
        <f>IF($B124&lt;$F$22,SUM($T$100:$T124),"")</f>
        <v>0</v>
      </c>
      <c r="AW124" s="190" t="str">
        <f t="shared" si="56"/>
        <v>-</v>
      </c>
      <c r="AX124" s="190" t="str">
        <f t="shared" si="57"/>
        <v/>
      </c>
      <c r="AY124"/>
      <c r="AZ124" s="190" t="str">
        <f ca="1">IF(ISNUMBER(OFFSET(AV124,-$F$21,0)),SUM(OFFSET($T$100,$F$21,0):$T124),"")</f>
        <v/>
      </c>
      <c r="BA124" s="190" t="str">
        <f t="shared" ca="1" si="27"/>
        <v/>
      </c>
      <c r="BB124" s="190" t="str">
        <f t="shared" ca="1" si="70"/>
        <v/>
      </c>
      <c r="BC124" s="190"/>
      <c r="BD124" s="190" t="str">
        <f ca="1">IFERROR(IF(AND($B124&gt;=($F$16-$F$15),$B124&lt;$F$22+($F$16-$F$15)),SUM(OFFSET($T$100,($F$16-$F$15),0):$T124),""),"")</f>
        <v/>
      </c>
      <c r="BE124" s="190" t="str">
        <f t="shared" ca="1" si="59"/>
        <v/>
      </c>
      <c r="BF124" s="190" t="str">
        <f t="shared" ca="1" si="60"/>
        <v/>
      </c>
      <c r="BG124"/>
      <c r="BH124" s="190" t="str">
        <f ca="1">IF(ISNUMBER(OFFSET(BD124,-$F$21,0)),SUM(OFFSET($T$100,($F$16-$F$15+$F$21),0):$T124),"")</f>
        <v/>
      </c>
      <c r="BI124" s="190" t="str">
        <f t="shared" ca="1" si="28"/>
        <v/>
      </c>
      <c r="BJ124" s="190" t="str">
        <f t="shared" ca="1" si="61"/>
        <v/>
      </c>
      <c r="BK124" s="190"/>
      <c r="BL124" s="190" t="str">
        <f ca="1">IFERROR(IF(AND($B124&gt;=($F$17-$F$15),$B124&lt;$F$22+($F$17-$F$15)),SUM(OFFSET($T$100,($F$17-$F$15),0):$T124),""),"")</f>
        <v/>
      </c>
      <c r="BM124" s="190" t="str">
        <f t="shared" ca="1" si="29"/>
        <v/>
      </c>
      <c r="BN124" s="190" t="str">
        <f t="shared" ca="1" si="62"/>
        <v/>
      </c>
      <c r="BO124"/>
      <c r="BP124" s="190" t="str">
        <f ca="1">IF(ISNUMBER(OFFSET(BL124,-$F$21,0)),SUM(OFFSET($T$100,($F$17-$F$15+$F$21),0):$T124),"")</f>
        <v/>
      </c>
      <c r="BQ124" s="190" t="str">
        <f t="shared" ca="1" si="63"/>
        <v/>
      </c>
      <c r="BR124" s="190" t="str">
        <f t="shared" ca="1" si="64"/>
        <v/>
      </c>
      <c r="BS124" s="190"/>
      <c r="BT124"/>
      <c r="BU124" s="185"/>
      <c r="BV124" s="184"/>
      <c r="BW124" s="185"/>
      <c r="BX124" s="185"/>
      <c r="BY124" s="185"/>
      <c r="BZ124"/>
      <c r="CA124" s="280" t="str">
        <f t="shared" si="30"/>
        <v/>
      </c>
      <c r="CB124" s="71" t="str">
        <f t="shared" si="31"/>
        <v>-</v>
      </c>
      <c r="CC124" s="33"/>
      <c r="CD124" s="261" t="str">
        <f t="shared" si="33"/>
        <v/>
      </c>
      <c r="CE124" s="280" t="str">
        <f t="shared" si="34"/>
        <v>-</v>
      </c>
      <c r="CF124" s="71" t="str">
        <f t="shared" ca="1" si="35"/>
        <v>-</v>
      </c>
      <c r="CG124" s="33" t="str">
        <f t="shared" si="36"/>
        <v>24-25</v>
      </c>
      <c r="CH124" s="261" t="str">
        <f t="shared" ca="1" si="37"/>
        <v/>
      </c>
      <c r="CI124" s="99"/>
      <c r="CJ124" s="99"/>
      <c r="CK124" s="99"/>
      <c r="CL124" s="99"/>
      <c r="CM124" s="99"/>
      <c r="CN124" s="99"/>
      <c r="CO124" s="99"/>
    </row>
    <row r="125" spans="2:93" ht="13.5" customHeight="1" x14ac:dyDescent="0.2">
      <c r="B125" s="262">
        <v>25</v>
      </c>
      <c r="C125" s="237" t="str">
        <f t="shared" si="1"/>
        <v/>
      </c>
      <c r="D125" s="237" t="str">
        <f t="shared" si="67"/>
        <v>-</v>
      </c>
      <c r="E125" s="290" t="str">
        <f t="shared" si="38"/>
        <v/>
      </c>
      <c r="F125" s="264" t="str">
        <f t="shared" si="39"/>
        <v/>
      </c>
      <c r="G125" s="291" t="str">
        <f t="shared" si="40"/>
        <v/>
      </c>
      <c r="H125" s="240" t="str">
        <f t="shared" si="41"/>
        <v/>
      </c>
      <c r="I125" s="265" t="str">
        <f t="shared" si="2"/>
        <v/>
      </c>
      <c r="J125" s="265" t="str">
        <f t="shared" si="3"/>
        <v/>
      </c>
      <c r="K125" s="240" t="str">
        <f t="shared" si="4"/>
        <v/>
      </c>
      <c r="L125" s="265" t="str">
        <f t="shared" si="5"/>
        <v/>
      </c>
      <c r="M125" s="265" t="str">
        <f t="shared" si="6"/>
        <v/>
      </c>
      <c r="N125" s="240" t="str">
        <f t="shared" si="7"/>
        <v>-</v>
      </c>
      <c r="O125" s="265" t="str">
        <f t="shared" si="8"/>
        <v>-</v>
      </c>
      <c r="P125" s="265" t="str">
        <f t="shared" si="9"/>
        <v>-</v>
      </c>
      <c r="Q125" s="266" t="str">
        <f t="shared" si="10"/>
        <v>-</v>
      </c>
      <c r="R125" s="267" t="str">
        <f t="shared" si="11"/>
        <v>-</v>
      </c>
      <c r="S125" s="268" t="str">
        <f t="shared" si="12"/>
        <v>-</v>
      </c>
      <c r="T125" s="269" t="str">
        <f t="shared" si="13"/>
        <v/>
      </c>
      <c r="U125" s="221">
        <f t="shared" si="14"/>
        <v>25</v>
      </c>
      <c r="V125" s="220" t="str">
        <f t="shared" si="42"/>
        <v>-</v>
      </c>
      <c r="W125" s="221" t="str">
        <f t="shared" si="43"/>
        <v>-</v>
      </c>
      <c r="X125" s="221" t="str">
        <f t="shared" si="15"/>
        <v>-</v>
      </c>
      <c r="Y125" s="221" t="str">
        <f t="shared" si="16"/>
        <v>-</v>
      </c>
      <c r="Z125" s="270">
        <f t="shared" si="44"/>
        <v>0.1</v>
      </c>
      <c r="AA125" s="271" t="str">
        <f>IFERROR(IF(V124=1,AA$100*EXP(-(LN(2)/$D$65+0.04)*X124)*EXP(-(LN(2)/$D$65+0.1)*Y124),IF(V124=2,AA$100*EXP(-(LN(2)/$D$65+0.04)*(VLOOKUP(($F$16-$F$15)-1,U$99:Y124,4,FALSE)))*EXP(-(LN(2)/$D$65+0.1)*(VLOOKUP(($F$16-$F$15)-1,U$99:Y124,5,FALSE)))*EXP(-(LN(2)/$D$65+0.04)*X124)*EXP(-(LN(2)/$D$65+0.1)*Y124),IF(V124=3,AA$100*EXP(-(LN(2)/$D$65+0.04)*(VLOOKUP(($F$16-$F$15)-1,U$99:Y124,4,FALSE)))*EXP(-(LN(2)/$D$65+0.1)*(VLOOKUP(($F$16-$F$15)-1,U$99:Y124,5,FALSE)))*EXP(-(LN(2)/$D$65+0.04)*(VLOOKUP(($F$16-$F$15)*2-1,U$99:Y124,4,FALSE)))*EXP(-(LN(2)/$D$65+0.1)*(VLOOKUP(($F$16-$F$15)*2-1,U$99:Y124,5,FALSE)))*EXP(-(LN(2)/$D$65+0.04)*X124)*EXP(-(LN(2)/$D$65+0.1)*Y124),"-"))),"-")</f>
        <v>-</v>
      </c>
      <c r="AB125" s="271" t="str">
        <f>IFERROR(IF(V125=1,AB$100*EXP(-(LN(2)/$D$65+0.04)*X125)*EXP(-(LN(2)/$D$65+0.1)*Y125),IF(V125=2,AB$100*EXP(-(LN(2)/$D$65+0.04)*(VLOOKUP(($F$16-$F$15)-1,U$100:Y125,4,FALSE)))*EXP(-(LN(2)/$D$65+0.1)*(VLOOKUP(($F$16-$F$15)-1,U$100:Y125,5,FALSE)))*EXP(-(LN(2)/$D$65+0.04)*X125)*EXP(-(LN(2)/$D$65+0.1)*Y125),IF(V125=3,AB$100*EXP(-(LN(2)/$D$65+0.04)*(VLOOKUP(($F$16-$F$15)-1,U$100:Y125,4,FALSE)))*EXP(-(LN(2)/$D$65+0.1)*(VLOOKUP(($F$16-$F$15)-1,U$100:Y125,5,FALSE)))*EXP(-(LN(2)/$D$65+0.04)*(VLOOKUP(($F$16-$F$15)*2-1,U$100:Y125,4,FALSE)))*EXP(-(LN(2)/$D$65+0.1)*(VLOOKUP(($F$16-$F$15)*2-1,U$100:Y125,5,FALSE)))*EXP(-(LN(2)/$D$65+0.04)*X125)*EXP(-(LN(2)/$D$65+0.1)*Y125),"-"))),"-")</f>
        <v>-</v>
      </c>
      <c r="AC125" s="224">
        <f t="shared" si="46"/>
        <v>25</v>
      </c>
      <c r="AD125" s="223" t="str">
        <f t="shared" si="18"/>
        <v>-</v>
      </c>
      <c r="AE125" s="224" t="str">
        <f t="shared" si="47"/>
        <v>-</v>
      </c>
      <c r="AF125" s="224" t="str">
        <f t="shared" si="19"/>
        <v>-</v>
      </c>
      <c r="AG125" s="224" t="str">
        <f t="shared" si="20"/>
        <v>-</v>
      </c>
      <c r="AH125" s="272">
        <f t="shared" si="48"/>
        <v>0.1</v>
      </c>
      <c r="AI125" s="271" t="str">
        <f>IFERROR(IF(AD124=1,AI$100*EXP(-(LN(2)/$D$65+0.04)*AF124)*EXP(-(LN(2)/$D$65+0.1)*AG124),IF(AD124=2,AI$100*EXP(-(LN(2)/$D$65+0.04)*(VLOOKUP(($F$16-$F$15)-1,AC$99:AG124,4,FALSE)))*EXP(-(LN(2)/$D$65+0.1)*(VLOOKUP(($F$16-$F$15)-1,AC$99:AG124,5,FALSE)))*EXP(-(LN(2)/$D$65+0.04)*AF124)*EXP(-(LN(2)/$D$65+0.1)*AG124),IF(AD124=3,AI$100*EXP(-(LN(2)/$D$65+0.04)*(VLOOKUP(($F$16-$F$15)-1,AC$99:AG124,4,FALSE)))*EXP(-(LN(2)/$D$65+0.1)*(VLOOKUP(($F$16-$F$15)-1,AC$99:AG124,5,FALSE)))*EXP(-(LN(2)/$D$65+0.04)*(VLOOKUP(($F$16-$F$15)*2-1,AC$99:AG124,4,FALSE)))*EXP(-(LN(2)/$D$65+0.1)*(VLOOKUP(($F$16-$F$15)*2-1,AC$99:AG124,5,FALSE)))*EXP(-(LN(2)/$D$65+0.04)*AF124)*EXP(-(LN(2)/$D$65+0.1)*AG124),"-"))),"-")</f>
        <v>-</v>
      </c>
      <c r="AJ125" s="271" t="str">
        <f>IFERROR(IF(AD125=1,AJ$100*EXP(-(LN(2)/$D$65+0.04)*AF125)*EXP(-(LN(2)/$D$65+0.1)*AG125),IF(AD125=2,AJ$100*EXP(-(LN(2)/$D$65+0.04)*(VLOOKUP(($F$16-$F$15)-1,AC$100:AG125,4,FALSE)))*EXP(-(LN(2)/$D$65+0.1)*(VLOOKUP(($F$16-$F$15)-1,AC$100:AG125,5,FALSE)))*EXP(-(LN(2)/$D$65+0.04)*AF125)*EXP(-(LN(2)/$D$65+0.1)*AG125),IF(AD125=3,AJ$100*EXP(-(LN(2)/$D$65+0.04)*(VLOOKUP(($F$16-$F$15)-1,AC$100:AG125,4,FALSE)))*EXP(-(LN(2)/$D$65+0.1)*(VLOOKUP(($F$16-$F$15)-1,AC$100:AG125,5,FALSE)))*EXP(-(LN(2)/$D$65+0.04)*(VLOOKUP(($F$16-$F$15)*2-1,AC$100:AG125,4,FALSE)))*EXP(-(LN(2)/$D$65+0.1)*(VLOOKUP(($F$16-$F$15)*2-1,AC$100:AG125,5,FALSE)))*EXP(-(LN(2)/$D$65+0.04)*AF125)*EXP(-(LN(2)/$D$65+0.1)*AG125),"-"))),"-")</f>
        <v>-</v>
      </c>
      <c r="AK125" s="227">
        <f t="shared" si="50"/>
        <v>25</v>
      </c>
      <c r="AL125" s="226" t="str">
        <f t="shared" si="22"/>
        <v>-</v>
      </c>
      <c r="AM125" s="227" t="str">
        <f t="shared" si="51"/>
        <v>-</v>
      </c>
      <c r="AN125" s="227" t="str">
        <f t="shared" si="52"/>
        <v>-</v>
      </c>
      <c r="AO125" s="227" t="str">
        <f t="shared" si="23"/>
        <v>-</v>
      </c>
      <c r="AP125" s="273">
        <f t="shared" si="53"/>
        <v>0.1</v>
      </c>
      <c r="AQ125" s="271" t="str">
        <f>IFERROR(IF(AL124=1,AQ$100*EXP(-(LN(2)/$D$65+0.04)*AN124)*EXP(-(LN(2)/$D$65+0.1)*AO124),IF(AL124=2,AQ$100*EXP(-(LN(2)/$D$65+0.04)*(VLOOKUP(($F$16-$F$15)-1,AK$99:AO124,4,FALSE)))*EXP(-(LN(2)/$D$65+0.1)*(VLOOKUP(($F$16-$F$15)-1,AK$99:AO124,5,FALSE)))*EXP(-(LN(2)/$D$65+0.04)*AN124)*EXP(-(LN(2)/$D$65+0.1)*AO124),IF(AL124=3,AQ$100*EXP(-(LN(2)/$D$65+0.04)*(VLOOKUP(($F$16-$F$15)-1,AK$99:AO124,4,FALSE)))*EXP(-(LN(2)/$D$65+0.1)*(VLOOKUP(($F$16-$F$15)-1,AK$99:AO124,5,FALSE)))*EXP(-(LN(2)/$D$65+0.04)*(VLOOKUP(($F$16-$F$15)*2-1,AK$99:AO124,4,FALSE)))*EXP(-(LN(2)/$D$65+0.1)*(VLOOKUP(($F$16-$F$15)*2-1,AK$99:AO124,5,FALSE)))*EXP(-(LN(2)/$D$65+0.04)*AN124)*EXP(-(LN(2)/$D$65+0.1)*AO124),"-"))),"-")</f>
        <v>-</v>
      </c>
      <c r="AR125" s="271" t="str">
        <f>IFERROR(IF(AL125=1,AR$100*EXP(-(LN(2)/$D$65+0.04)*AN125)*EXP(-(LN(2)/$D$65+0.1)*AO125),IF(AL125=2,AR$100*EXP(-(LN(2)/$D$65+0.04)*(VLOOKUP(($F$16-$F$15)-1,AK$100:AO125,4,FALSE)))*EXP(-(LN(2)/$D$65+0.1)*(VLOOKUP(($F$16-$F$15)-1,AK$100:AO125,5,FALSE)))*EXP(-(LN(2)/$D$65+0.04)*AN125)*EXP(-(LN(2)/$D$65+0.1)*AO125),IF(AL125=3,AR$100*EXP(-(LN(2)/$D$65+0.04)*(VLOOKUP(($F$16-$F$15)-1,AK$100:AO125,4,FALSE)))*EXP(-(LN(2)/$D$65+0.1)*(VLOOKUP(($F$16-$F$15)-1,AK$100:AO125,5,FALSE)))*EXP(-(LN(2)/$D$65+0.04)*(VLOOKUP(($F$16-$F$15)*2-1,AK$100:AO125,4,FALSE)))*EXP(-(LN(2)/$D$65+0.1)*(VLOOKUP(($F$16-$F$15)*2-1,AK$100:AO125,5,FALSE)))*EXP(-(LN(2)/$D$65+0.04)*AN125)*EXP(-(LN(2)/$D$65+0.1)*AO125),"-"))),"-")</f>
        <v>-</v>
      </c>
      <c r="AS125" s="274">
        <f t="shared" si="24"/>
        <v>0</v>
      </c>
      <c r="AT125" s="274">
        <f t="shared" si="25"/>
        <v>0</v>
      </c>
      <c r="AU125" s="274">
        <f t="shared" si="26"/>
        <v>0</v>
      </c>
      <c r="AV125" s="190">
        <f>IF($B125&lt;$F$22,SUM($T$100:$T125),"")</f>
        <v>0</v>
      </c>
      <c r="AW125" s="190" t="str">
        <f t="shared" si="56"/>
        <v>-</v>
      </c>
      <c r="AX125" s="190" t="str">
        <f t="shared" si="57"/>
        <v/>
      </c>
      <c r="AY125"/>
      <c r="AZ125" s="190" t="str">
        <f ca="1">IF(ISNUMBER(OFFSET(AV125,-$F$21,0)),SUM(OFFSET($T$100,$F$21,0):$T125),"")</f>
        <v/>
      </c>
      <c r="BA125" s="190" t="str">
        <f t="shared" ca="1" si="27"/>
        <v/>
      </c>
      <c r="BB125" s="190" t="str">
        <f t="shared" ca="1" si="70"/>
        <v/>
      </c>
      <c r="BC125" s="190"/>
      <c r="BD125" s="190" t="str">
        <f ca="1">IFERROR(IF(AND($B125&gt;=($F$16-$F$15),$B125&lt;$F$22+($F$16-$F$15)),SUM(OFFSET($T$100,($F$16-$F$15),0):$T125),""),"")</f>
        <v/>
      </c>
      <c r="BE125" s="190" t="str">
        <f t="shared" ca="1" si="59"/>
        <v/>
      </c>
      <c r="BF125" s="190" t="str">
        <f t="shared" ca="1" si="60"/>
        <v/>
      </c>
      <c r="BG125"/>
      <c r="BH125" s="190" t="str">
        <f ca="1">IF(ISNUMBER(OFFSET(BD125,-$F$21,0)),SUM(OFFSET($T$100,($F$16-$F$15+$F$21),0):$T125),"")</f>
        <v/>
      </c>
      <c r="BI125" s="190" t="str">
        <f t="shared" ca="1" si="28"/>
        <v/>
      </c>
      <c r="BJ125" s="190" t="str">
        <f t="shared" ca="1" si="61"/>
        <v/>
      </c>
      <c r="BK125" s="190"/>
      <c r="BL125" s="190" t="str">
        <f ca="1">IFERROR(IF(AND($B125&gt;=($F$17-$F$15),$B125&lt;$F$22+($F$17-$F$15)),SUM(OFFSET($T$100,($F$17-$F$15),0):$T125),""),"")</f>
        <v/>
      </c>
      <c r="BM125" s="190" t="str">
        <f t="shared" ca="1" si="29"/>
        <v/>
      </c>
      <c r="BN125" s="190" t="str">
        <f t="shared" ca="1" si="62"/>
        <v/>
      </c>
      <c r="BO125"/>
      <c r="BP125" s="190" t="str">
        <f ca="1">IF(ISNUMBER(OFFSET(BL125,-$F$21,0)),SUM(OFFSET($T$100,($F$17-$F$15+$F$21),0):$T125),"")</f>
        <v/>
      </c>
      <c r="BQ125" s="190" t="str">
        <f t="shared" ca="1" si="63"/>
        <v/>
      </c>
      <c r="BR125" s="190" t="str">
        <f t="shared" ca="1" si="64"/>
        <v/>
      </c>
      <c r="BS125" s="190"/>
      <c r="BT125"/>
      <c r="BU125" s="185"/>
      <c r="BV125" s="177"/>
      <c r="BW125" s="185"/>
      <c r="BX125" s="185"/>
      <c r="BY125" s="185"/>
      <c r="BZ125"/>
      <c r="CA125" s="280" t="str">
        <f t="shared" si="30"/>
        <v/>
      </c>
      <c r="CB125" s="71" t="str">
        <f t="shared" si="31"/>
        <v>-</v>
      </c>
      <c r="CC125" s="33"/>
      <c r="CD125" s="261" t="str">
        <f t="shared" si="33"/>
        <v/>
      </c>
      <c r="CE125" s="280" t="str">
        <f t="shared" si="34"/>
        <v>-</v>
      </c>
      <c r="CF125" s="71" t="str">
        <f t="shared" ca="1" si="35"/>
        <v>-</v>
      </c>
      <c r="CG125" s="33" t="str">
        <f t="shared" si="36"/>
        <v>25-26</v>
      </c>
      <c r="CH125" s="261" t="str">
        <f t="shared" ca="1" si="37"/>
        <v/>
      </c>
      <c r="CI125" s="99"/>
      <c r="CJ125" s="99"/>
      <c r="CK125" s="99"/>
      <c r="CL125" s="99"/>
      <c r="CM125" s="99"/>
      <c r="CN125" s="99"/>
      <c r="CO125" s="99"/>
    </row>
    <row r="126" spans="2:93" ht="13.5" customHeight="1" x14ac:dyDescent="0.2">
      <c r="B126" s="262">
        <v>26</v>
      </c>
      <c r="C126" s="237" t="str">
        <f t="shared" si="1"/>
        <v/>
      </c>
      <c r="D126" s="237" t="str">
        <f t="shared" si="67"/>
        <v>-</v>
      </c>
      <c r="E126" s="290" t="str">
        <f t="shared" si="38"/>
        <v/>
      </c>
      <c r="F126" s="264" t="str">
        <f t="shared" si="39"/>
        <v/>
      </c>
      <c r="G126" s="291" t="str">
        <f t="shared" si="40"/>
        <v/>
      </c>
      <c r="H126" s="240" t="str">
        <f t="shared" si="41"/>
        <v/>
      </c>
      <c r="I126" s="265" t="str">
        <f t="shared" si="2"/>
        <v/>
      </c>
      <c r="J126" s="265" t="str">
        <f t="shared" si="3"/>
        <v/>
      </c>
      <c r="K126" s="240" t="str">
        <f t="shared" si="4"/>
        <v/>
      </c>
      <c r="L126" s="265" t="str">
        <f t="shared" si="5"/>
        <v/>
      </c>
      <c r="M126" s="265" t="str">
        <f t="shared" si="6"/>
        <v/>
      </c>
      <c r="N126" s="240" t="str">
        <f t="shared" si="7"/>
        <v>-</v>
      </c>
      <c r="O126" s="265" t="str">
        <f t="shared" si="8"/>
        <v>-</v>
      </c>
      <c r="P126" s="265" t="str">
        <f t="shared" si="9"/>
        <v>-</v>
      </c>
      <c r="Q126" s="266" t="str">
        <f t="shared" si="10"/>
        <v>-</v>
      </c>
      <c r="R126" s="267" t="str">
        <f t="shared" si="11"/>
        <v>-</v>
      </c>
      <c r="S126" s="268" t="str">
        <f t="shared" si="12"/>
        <v>-</v>
      </c>
      <c r="T126" s="269" t="str">
        <f t="shared" si="13"/>
        <v/>
      </c>
      <c r="U126" s="221">
        <f t="shared" si="14"/>
        <v>26</v>
      </c>
      <c r="V126" s="220" t="str">
        <f t="shared" si="42"/>
        <v>-</v>
      </c>
      <c r="W126" s="221" t="str">
        <f t="shared" si="43"/>
        <v>-</v>
      </c>
      <c r="X126" s="221" t="str">
        <f t="shared" si="15"/>
        <v>-</v>
      </c>
      <c r="Y126" s="221" t="str">
        <f t="shared" si="16"/>
        <v>-</v>
      </c>
      <c r="Z126" s="270">
        <f t="shared" si="44"/>
        <v>0.1</v>
      </c>
      <c r="AA126" s="271" t="str">
        <f>IFERROR(IF(V125=1,AA$100*EXP(-(LN(2)/$D$65+0.04)*X125)*EXP(-(LN(2)/$D$65+0.1)*Y125),IF(V125=2,AA$100*EXP(-(LN(2)/$D$65+0.04)*(VLOOKUP(($F$16-$F$15)-1,U$99:Y125,4,FALSE)))*EXP(-(LN(2)/$D$65+0.1)*(VLOOKUP(($F$16-$F$15)-1,U$99:Y125,5,FALSE)))*EXP(-(LN(2)/$D$65+0.04)*X125)*EXP(-(LN(2)/$D$65+0.1)*Y125),IF(V125=3,AA$100*EXP(-(LN(2)/$D$65+0.04)*(VLOOKUP(($F$16-$F$15)-1,U$99:Y125,4,FALSE)))*EXP(-(LN(2)/$D$65+0.1)*(VLOOKUP(($F$16-$F$15)-1,U$99:Y125,5,FALSE)))*EXP(-(LN(2)/$D$65+0.04)*(VLOOKUP(($F$16-$F$15)*2-1,U$99:Y125,4,FALSE)))*EXP(-(LN(2)/$D$65+0.1)*(VLOOKUP(($F$16-$F$15)*2-1,U$99:Y125,5,FALSE)))*EXP(-(LN(2)/$D$65+0.04)*X125)*EXP(-(LN(2)/$D$65+0.1)*Y125),"-"))),"-")</f>
        <v>-</v>
      </c>
      <c r="AB126" s="271" t="str">
        <f>IFERROR(IF(V126=1,AB$100*EXP(-(LN(2)/$D$65+0.04)*X126)*EXP(-(LN(2)/$D$65+0.1)*Y126),IF(V126=2,AB$100*EXP(-(LN(2)/$D$65+0.04)*(VLOOKUP(($F$16-$F$15)-1,U$100:Y126,4,FALSE)))*EXP(-(LN(2)/$D$65+0.1)*(VLOOKUP(($F$16-$F$15)-1,U$100:Y126,5,FALSE)))*EXP(-(LN(2)/$D$65+0.04)*X126)*EXP(-(LN(2)/$D$65+0.1)*Y126),IF(V126=3,AB$100*EXP(-(LN(2)/$D$65+0.04)*(VLOOKUP(($F$16-$F$15)-1,U$100:Y126,4,FALSE)))*EXP(-(LN(2)/$D$65+0.1)*(VLOOKUP(($F$16-$F$15)-1,U$100:Y126,5,FALSE)))*EXP(-(LN(2)/$D$65+0.04)*(VLOOKUP(($F$16-$F$15)*2-1,U$100:Y126,4,FALSE)))*EXP(-(LN(2)/$D$65+0.1)*(VLOOKUP(($F$16-$F$15)*2-1,U$100:Y126,5,FALSE)))*EXP(-(LN(2)/$D$65+0.04)*X126)*EXP(-(LN(2)/$D$65+0.1)*Y126),"-"))),"-")</f>
        <v>-</v>
      </c>
      <c r="AC126" s="224">
        <f t="shared" si="46"/>
        <v>26</v>
      </c>
      <c r="AD126" s="223" t="str">
        <f t="shared" si="18"/>
        <v>-</v>
      </c>
      <c r="AE126" s="224" t="str">
        <f t="shared" si="47"/>
        <v>-</v>
      </c>
      <c r="AF126" s="224" t="str">
        <f t="shared" si="19"/>
        <v>-</v>
      </c>
      <c r="AG126" s="224" t="str">
        <f t="shared" si="20"/>
        <v>-</v>
      </c>
      <c r="AH126" s="272">
        <f t="shared" si="48"/>
        <v>0.1</v>
      </c>
      <c r="AI126" s="271" t="str">
        <f>IFERROR(IF(AD125=1,AI$100*EXP(-(LN(2)/$D$65+0.04)*AF125)*EXP(-(LN(2)/$D$65+0.1)*AG125),IF(AD125=2,AI$100*EXP(-(LN(2)/$D$65+0.04)*(VLOOKUP(($F$16-$F$15)-1,AC$99:AG125,4,FALSE)))*EXP(-(LN(2)/$D$65+0.1)*(VLOOKUP(($F$16-$F$15)-1,AC$99:AG125,5,FALSE)))*EXP(-(LN(2)/$D$65+0.04)*AF125)*EXP(-(LN(2)/$D$65+0.1)*AG125),IF(AD125=3,AI$100*EXP(-(LN(2)/$D$65+0.04)*(VLOOKUP(($F$16-$F$15)-1,AC$99:AG125,4,FALSE)))*EXP(-(LN(2)/$D$65+0.1)*(VLOOKUP(($F$16-$F$15)-1,AC$99:AG125,5,FALSE)))*EXP(-(LN(2)/$D$65+0.04)*(VLOOKUP(($F$16-$F$15)*2-1,AC$99:AG125,4,FALSE)))*EXP(-(LN(2)/$D$65+0.1)*(VLOOKUP(($F$16-$F$15)*2-1,AC$99:AG125,5,FALSE)))*EXP(-(LN(2)/$D$65+0.04)*AF125)*EXP(-(LN(2)/$D$65+0.1)*AG125),"-"))),"-")</f>
        <v>-</v>
      </c>
      <c r="AJ126" s="271" t="str">
        <f>IFERROR(IF(AD126=1,AJ$100*EXP(-(LN(2)/$D$65+0.04)*AF126)*EXP(-(LN(2)/$D$65+0.1)*AG126),IF(AD126=2,AJ$100*EXP(-(LN(2)/$D$65+0.04)*(VLOOKUP(($F$16-$F$15)-1,AC$100:AG126,4,FALSE)))*EXP(-(LN(2)/$D$65+0.1)*(VLOOKUP(($F$16-$F$15)-1,AC$100:AG126,5,FALSE)))*EXP(-(LN(2)/$D$65+0.04)*AF126)*EXP(-(LN(2)/$D$65+0.1)*AG126),IF(AD126=3,AJ$100*EXP(-(LN(2)/$D$65+0.04)*(VLOOKUP(($F$16-$F$15)-1,AC$100:AG126,4,FALSE)))*EXP(-(LN(2)/$D$65+0.1)*(VLOOKUP(($F$16-$F$15)-1,AC$100:AG126,5,FALSE)))*EXP(-(LN(2)/$D$65+0.04)*(VLOOKUP(($F$16-$F$15)*2-1,AC$100:AG126,4,FALSE)))*EXP(-(LN(2)/$D$65+0.1)*(VLOOKUP(($F$16-$F$15)*2-1,AC$100:AG126,5,FALSE)))*EXP(-(LN(2)/$D$65+0.04)*AF126)*EXP(-(LN(2)/$D$65+0.1)*AG126),"-"))),"-")</f>
        <v>-</v>
      </c>
      <c r="AK126" s="227">
        <f t="shared" si="50"/>
        <v>26</v>
      </c>
      <c r="AL126" s="226" t="str">
        <f t="shared" si="22"/>
        <v>-</v>
      </c>
      <c r="AM126" s="227" t="str">
        <f t="shared" si="51"/>
        <v>-</v>
      </c>
      <c r="AN126" s="227" t="str">
        <f t="shared" si="52"/>
        <v>-</v>
      </c>
      <c r="AO126" s="227" t="str">
        <f t="shared" si="23"/>
        <v>-</v>
      </c>
      <c r="AP126" s="273">
        <f t="shared" si="53"/>
        <v>0.1</v>
      </c>
      <c r="AQ126" s="271" t="str">
        <f>IFERROR(IF(AL125=1,AQ$100*EXP(-(LN(2)/$D$65+0.04)*AN125)*EXP(-(LN(2)/$D$65+0.1)*AO125),IF(AL125=2,AQ$100*EXP(-(LN(2)/$D$65+0.04)*(VLOOKUP(($F$16-$F$15)-1,AK$99:AO125,4,FALSE)))*EXP(-(LN(2)/$D$65+0.1)*(VLOOKUP(($F$16-$F$15)-1,AK$99:AO125,5,FALSE)))*EXP(-(LN(2)/$D$65+0.04)*AN125)*EXP(-(LN(2)/$D$65+0.1)*AO125),IF(AL125=3,AQ$100*EXP(-(LN(2)/$D$65+0.04)*(VLOOKUP(($F$16-$F$15)-1,AK$99:AO125,4,FALSE)))*EXP(-(LN(2)/$D$65+0.1)*(VLOOKUP(($F$16-$F$15)-1,AK$99:AO125,5,FALSE)))*EXP(-(LN(2)/$D$65+0.04)*(VLOOKUP(($F$16-$F$15)*2-1,AK$99:AO125,4,FALSE)))*EXP(-(LN(2)/$D$65+0.1)*(VLOOKUP(($F$16-$F$15)*2-1,AK$99:AO125,5,FALSE)))*EXP(-(LN(2)/$D$65+0.04)*AN125)*EXP(-(LN(2)/$D$65+0.1)*AO125),"-"))),"-")</f>
        <v>-</v>
      </c>
      <c r="AR126" s="271" t="str">
        <f>IFERROR(IF(AL126=1,AR$100*EXP(-(LN(2)/$D$65+0.04)*AN126)*EXP(-(LN(2)/$D$65+0.1)*AO126),IF(AL126=2,AR$100*EXP(-(LN(2)/$D$65+0.04)*(VLOOKUP(($F$16-$F$15)-1,AK$100:AO126,4,FALSE)))*EXP(-(LN(2)/$D$65+0.1)*(VLOOKUP(($F$16-$F$15)-1,AK$100:AO126,5,FALSE)))*EXP(-(LN(2)/$D$65+0.04)*AN126)*EXP(-(LN(2)/$D$65+0.1)*AO126),IF(AL126=3,AR$100*EXP(-(LN(2)/$D$65+0.04)*(VLOOKUP(($F$16-$F$15)-1,AK$100:AO126,4,FALSE)))*EXP(-(LN(2)/$D$65+0.1)*(VLOOKUP(($F$16-$F$15)-1,AK$100:AO126,5,FALSE)))*EXP(-(LN(2)/$D$65+0.04)*(VLOOKUP(($F$16-$F$15)*2-1,AK$100:AO126,4,FALSE)))*EXP(-(LN(2)/$D$65+0.1)*(VLOOKUP(($F$16-$F$15)*2-1,AK$100:AO126,5,FALSE)))*EXP(-(LN(2)/$D$65+0.04)*AN126)*EXP(-(LN(2)/$D$65+0.1)*AO126),"-"))),"-")</f>
        <v>-</v>
      </c>
      <c r="AS126" s="274">
        <f t="shared" si="24"/>
        <v>0</v>
      </c>
      <c r="AT126" s="274">
        <f t="shared" si="25"/>
        <v>0</v>
      </c>
      <c r="AU126" s="274">
        <f t="shared" si="26"/>
        <v>0</v>
      </c>
      <c r="AV126" s="190">
        <f>IF($B126&lt;$F$22,SUM($T$100:$T126),"")</f>
        <v>0</v>
      </c>
      <c r="AW126" s="190" t="str">
        <f t="shared" si="56"/>
        <v>-</v>
      </c>
      <c r="AX126" s="190" t="str">
        <f t="shared" si="57"/>
        <v/>
      </c>
      <c r="AY126"/>
      <c r="AZ126" s="190" t="str">
        <f ca="1">IF(ISNUMBER(OFFSET(AV126,-$F$21,0)),SUM(OFFSET($T$100,$F$21,0):$T126),"")</f>
        <v/>
      </c>
      <c r="BA126" s="190" t="str">
        <f t="shared" ca="1" si="27"/>
        <v/>
      </c>
      <c r="BB126" s="190" t="str">
        <f t="shared" ca="1" si="70"/>
        <v/>
      </c>
      <c r="BC126" s="190"/>
      <c r="BD126" s="190" t="str">
        <f ca="1">IFERROR(IF(AND($B126&gt;=($F$16-$F$15),$B126&lt;$F$22+($F$16-$F$15)),SUM(OFFSET($T$100,($F$16-$F$15),0):$T126),""),"")</f>
        <v/>
      </c>
      <c r="BE126" s="190" t="str">
        <f t="shared" ca="1" si="59"/>
        <v/>
      </c>
      <c r="BF126" s="190" t="str">
        <f t="shared" ca="1" si="60"/>
        <v/>
      </c>
      <c r="BG126"/>
      <c r="BH126" s="190" t="str">
        <f ca="1">IF(ISNUMBER(OFFSET(BD126,-$F$21,0)),SUM(OFFSET($T$100,($F$16-$F$15+$F$21),0):$T126),"")</f>
        <v/>
      </c>
      <c r="BI126" s="190" t="str">
        <f t="shared" ca="1" si="28"/>
        <v/>
      </c>
      <c r="BJ126" s="190" t="str">
        <f t="shared" ca="1" si="61"/>
        <v/>
      </c>
      <c r="BK126" s="190"/>
      <c r="BL126" s="190" t="str">
        <f ca="1">IFERROR(IF(AND($B126&gt;=($F$17-$F$15),$B126&lt;$F$22+($F$17-$F$15)),SUM(OFFSET($T$100,($F$17-$F$15),0):$T126),""),"")</f>
        <v/>
      </c>
      <c r="BM126" s="190" t="str">
        <f t="shared" ca="1" si="29"/>
        <v/>
      </c>
      <c r="BN126" s="190" t="str">
        <f t="shared" ca="1" si="62"/>
        <v/>
      </c>
      <c r="BO126"/>
      <c r="BP126" s="190" t="str">
        <f ca="1">IF(ISNUMBER(OFFSET(BL126,-$F$21,0)),SUM(OFFSET($T$100,($F$17-$F$15+$F$21),0):$T126),"")</f>
        <v/>
      </c>
      <c r="BQ126" s="190" t="str">
        <f t="shared" ca="1" si="63"/>
        <v/>
      </c>
      <c r="BR126" s="190" t="str">
        <f t="shared" ca="1" si="64"/>
        <v/>
      </c>
      <c r="BS126" s="190"/>
      <c r="BT126"/>
      <c r="BU126" s="185"/>
      <c r="BV126"/>
      <c r="BW126" s="185" t="str">
        <f>IF(BU126&lt;&gt;"",MIN(BU125:BU126),"")</f>
        <v/>
      </c>
      <c r="BX126" s="185" t="str">
        <f>IF(BU126&lt;&gt;"",MAX(BU125:BU126),"")</f>
        <v/>
      </c>
      <c r="BY126" s="185" t="str">
        <f>IF(B76&lt;&gt;"",(C75-C76)/(B76-B75),"")</f>
        <v/>
      </c>
      <c r="BZ126"/>
      <c r="CA126" s="280" t="str">
        <f t="shared" si="30"/>
        <v/>
      </c>
      <c r="CB126" s="71" t="str">
        <f t="shared" si="31"/>
        <v>-</v>
      </c>
      <c r="CC126" s="33"/>
      <c r="CD126" s="261" t="str">
        <f t="shared" si="33"/>
        <v/>
      </c>
      <c r="CE126" s="280" t="str">
        <f t="shared" si="34"/>
        <v>-</v>
      </c>
      <c r="CF126" s="71" t="str">
        <f t="shared" ca="1" si="35"/>
        <v>-</v>
      </c>
      <c r="CG126" s="33" t="str">
        <f t="shared" si="36"/>
        <v>26-27</v>
      </c>
      <c r="CH126" s="261" t="str">
        <f t="shared" ca="1" si="37"/>
        <v/>
      </c>
      <c r="CI126" s="99"/>
      <c r="CJ126" s="99"/>
      <c r="CK126" s="99"/>
      <c r="CL126" s="99"/>
      <c r="CM126" s="99"/>
      <c r="CN126" s="99"/>
      <c r="CO126" s="99"/>
    </row>
    <row r="127" spans="2:93" ht="13.5" customHeight="1" x14ac:dyDescent="0.2">
      <c r="B127" s="262">
        <v>27</v>
      </c>
      <c r="C127" s="237" t="str">
        <f t="shared" si="1"/>
        <v/>
      </c>
      <c r="D127" s="237" t="str">
        <f t="shared" si="67"/>
        <v>-</v>
      </c>
      <c r="E127" s="290" t="str">
        <f t="shared" si="38"/>
        <v/>
      </c>
      <c r="F127" s="264" t="str">
        <f t="shared" si="39"/>
        <v/>
      </c>
      <c r="G127" s="305" t="str">
        <f t="shared" si="40"/>
        <v/>
      </c>
      <c r="H127" s="240" t="str">
        <f t="shared" si="41"/>
        <v/>
      </c>
      <c r="I127" s="265" t="str">
        <f t="shared" si="2"/>
        <v/>
      </c>
      <c r="J127" s="265" t="str">
        <f t="shared" si="3"/>
        <v/>
      </c>
      <c r="K127" s="240" t="str">
        <f t="shared" si="4"/>
        <v/>
      </c>
      <c r="L127" s="265" t="str">
        <f t="shared" si="5"/>
        <v/>
      </c>
      <c r="M127" s="265" t="str">
        <f t="shared" si="6"/>
        <v/>
      </c>
      <c r="N127" s="240" t="str">
        <f t="shared" si="7"/>
        <v>-</v>
      </c>
      <c r="O127" s="265" t="str">
        <f t="shared" si="8"/>
        <v>-</v>
      </c>
      <c r="P127" s="265" t="str">
        <f t="shared" si="9"/>
        <v>-</v>
      </c>
      <c r="Q127" s="266" t="str">
        <f t="shared" si="10"/>
        <v>-</v>
      </c>
      <c r="R127" s="267" t="str">
        <f t="shared" si="11"/>
        <v>-</v>
      </c>
      <c r="S127" s="268" t="str">
        <f t="shared" si="12"/>
        <v>-</v>
      </c>
      <c r="T127" s="269" t="str">
        <f t="shared" si="13"/>
        <v/>
      </c>
      <c r="U127" s="221">
        <f t="shared" si="14"/>
        <v>27</v>
      </c>
      <c r="V127" s="220" t="str">
        <f t="shared" si="42"/>
        <v>-</v>
      </c>
      <c r="W127" s="221" t="str">
        <f t="shared" si="43"/>
        <v>-</v>
      </c>
      <c r="X127" s="221" t="str">
        <f t="shared" si="15"/>
        <v>-</v>
      </c>
      <c r="Y127" s="221" t="str">
        <f t="shared" si="16"/>
        <v>-</v>
      </c>
      <c r="Z127" s="270">
        <f t="shared" si="44"/>
        <v>0.1</v>
      </c>
      <c r="AA127" s="271" t="str">
        <f>IFERROR(IF(V126=1,AA$100*EXP(-(LN(2)/$D$65+0.04)*X126)*EXP(-(LN(2)/$D$65+0.1)*Y126),IF(V126=2,AA$100*EXP(-(LN(2)/$D$65+0.04)*(VLOOKUP(($F$16-$F$15)-1,U$99:Y126,4,FALSE)))*EXP(-(LN(2)/$D$65+0.1)*(VLOOKUP(($F$16-$F$15)-1,U$99:Y126,5,FALSE)))*EXP(-(LN(2)/$D$65+0.04)*X126)*EXP(-(LN(2)/$D$65+0.1)*Y126),IF(V126=3,AA$100*EXP(-(LN(2)/$D$65+0.04)*(VLOOKUP(($F$16-$F$15)-1,U$99:Y126,4,FALSE)))*EXP(-(LN(2)/$D$65+0.1)*(VLOOKUP(($F$16-$F$15)-1,U$99:Y126,5,FALSE)))*EXP(-(LN(2)/$D$65+0.04)*(VLOOKUP(($F$16-$F$15)*2-1,U$99:Y126,4,FALSE)))*EXP(-(LN(2)/$D$65+0.1)*(VLOOKUP(($F$16-$F$15)*2-1,U$99:Y126,5,FALSE)))*EXP(-(LN(2)/$D$65+0.04)*X126)*EXP(-(LN(2)/$D$65+0.1)*Y126),"-"))),"-")</f>
        <v>-</v>
      </c>
      <c r="AB127" s="271" t="str">
        <f>IFERROR(IF(V127=1,AB$100*EXP(-(LN(2)/$D$65+0.04)*X127)*EXP(-(LN(2)/$D$65+0.1)*Y127),IF(V127=2,AB$100*EXP(-(LN(2)/$D$65+0.04)*(VLOOKUP(($F$16-$F$15)-1,U$100:Y127,4,FALSE)))*EXP(-(LN(2)/$D$65+0.1)*(VLOOKUP(($F$16-$F$15)-1,U$100:Y127,5,FALSE)))*EXP(-(LN(2)/$D$65+0.04)*X127)*EXP(-(LN(2)/$D$65+0.1)*Y127),IF(V127=3,AB$100*EXP(-(LN(2)/$D$65+0.04)*(VLOOKUP(($F$16-$F$15)-1,U$100:Y127,4,FALSE)))*EXP(-(LN(2)/$D$65+0.1)*(VLOOKUP(($F$16-$F$15)-1,U$100:Y127,5,FALSE)))*EXP(-(LN(2)/$D$65+0.04)*(VLOOKUP(($F$16-$F$15)*2-1,U$100:Y127,4,FALSE)))*EXP(-(LN(2)/$D$65+0.1)*(VLOOKUP(($F$16-$F$15)*2-1,U$100:Y127,5,FALSE)))*EXP(-(LN(2)/$D$65+0.04)*X127)*EXP(-(LN(2)/$D$65+0.1)*Y127),"-"))),"-")</f>
        <v>-</v>
      </c>
      <c r="AC127" s="224">
        <f t="shared" si="46"/>
        <v>27</v>
      </c>
      <c r="AD127" s="223" t="str">
        <f t="shared" si="18"/>
        <v>-</v>
      </c>
      <c r="AE127" s="224" t="str">
        <f t="shared" si="47"/>
        <v>-</v>
      </c>
      <c r="AF127" s="224" t="str">
        <f t="shared" si="19"/>
        <v>-</v>
      </c>
      <c r="AG127" s="224" t="str">
        <f t="shared" si="20"/>
        <v>-</v>
      </c>
      <c r="AH127" s="272">
        <f t="shared" si="48"/>
        <v>0.1</v>
      </c>
      <c r="AI127" s="271" t="str">
        <f>IFERROR(IF(AD126=1,AI$100*EXP(-(LN(2)/$D$65+0.04)*AF126)*EXP(-(LN(2)/$D$65+0.1)*AG126),IF(AD126=2,AI$100*EXP(-(LN(2)/$D$65+0.04)*(VLOOKUP(($F$16-$F$15)-1,AC$99:AG126,4,FALSE)))*EXP(-(LN(2)/$D$65+0.1)*(VLOOKUP(($F$16-$F$15)-1,AC$99:AG126,5,FALSE)))*EXP(-(LN(2)/$D$65+0.04)*AF126)*EXP(-(LN(2)/$D$65+0.1)*AG126),IF(AD126=3,AI$100*EXP(-(LN(2)/$D$65+0.04)*(VLOOKUP(($F$16-$F$15)-1,AC$99:AG126,4,FALSE)))*EXP(-(LN(2)/$D$65+0.1)*(VLOOKUP(($F$16-$F$15)-1,AC$99:AG126,5,FALSE)))*EXP(-(LN(2)/$D$65+0.04)*(VLOOKUP(($F$16-$F$15)*2-1,AC$99:AG126,4,FALSE)))*EXP(-(LN(2)/$D$65+0.1)*(VLOOKUP(($F$16-$F$15)*2-1,AC$99:AG126,5,FALSE)))*EXP(-(LN(2)/$D$65+0.04)*AF126)*EXP(-(LN(2)/$D$65+0.1)*AG126),"-"))),"-")</f>
        <v>-</v>
      </c>
      <c r="AJ127" s="271" t="str">
        <f>IFERROR(IF(AD127=1,AJ$100*EXP(-(LN(2)/$D$65+0.04)*AF127)*EXP(-(LN(2)/$D$65+0.1)*AG127),IF(AD127=2,AJ$100*EXP(-(LN(2)/$D$65+0.04)*(VLOOKUP(($F$16-$F$15)-1,AC$100:AG127,4,FALSE)))*EXP(-(LN(2)/$D$65+0.1)*(VLOOKUP(($F$16-$F$15)-1,AC$100:AG127,5,FALSE)))*EXP(-(LN(2)/$D$65+0.04)*AF127)*EXP(-(LN(2)/$D$65+0.1)*AG127),IF(AD127=3,AJ$100*EXP(-(LN(2)/$D$65+0.04)*(VLOOKUP(($F$16-$F$15)-1,AC$100:AG127,4,FALSE)))*EXP(-(LN(2)/$D$65+0.1)*(VLOOKUP(($F$16-$F$15)-1,AC$100:AG127,5,FALSE)))*EXP(-(LN(2)/$D$65+0.04)*(VLOOKUP(($F$16-$F$15)*2-1,AC$100:AG127,4,FALSE)))*EXP(-(LN(2)/$D$65+0.1)*(VLOOKUP(($F$16-$F$15)*2-1,AC$100:AG127,5,FALSE)))*EXP(-(LN(2)/$D$65+0.04)*AF127)*EXP(-(LN(2)/$D$65+0.1)*AG127),"-"))),"-")</f>
        <v>-</v>
      </c>
      <c r="AK127" s="227">
        <f t="shared" si="50"/>
        <v>27</v>
      </c>
      <c r="AL127" s="226" t="str">
        <f t="shared" si="22"/>
        <v>-</v>
      </c>
      <c r="AM127" s="227" t="str">
        <f t="shared" si="51"/>
        <v>-</v>
      </c>
      <c r="AN127" s="227" t="str">
        <f t="shared" si="52"/>
        <v>-</v>
      </c>
      <c r="AO127" s="227" t="str">
        <f t="shared" si="23"/>
        <v>-</v>
      </c>
      <c r="AP127" s="273">
        <f t="shared" si="53"/>
        <v>0.1</v>
      </c>
      <c r="AQ127" s="271" t="str">
        <f>IFERROR(IF(AL126=1,AQ$100*EXP(-(LN(2)/$D$65+0.04)*AN126)*EXP(-(LN(2)/$D$65+0.1)*AO126),IF(AL126=2,AQ$100*EXP(-(LN(2)/$D$65+0.04)*(VLOOKUP(($F$16-$F$15)-1,AK$99:AO126,4,FALSE)))*EXP(-(LN(2)/$D$65+0.1)*(VLOOKUP(($F$16-$F$15)-1,AK$99:AO126,5,FALSE)))*EXP(-(LN(2)/$D$65+0.04)*AN126)*EXP(-(LN(2)/$D$65+0.1)*AO126),IF(AL126=3,AQ$100*EXP(-(LN(2)/$D$65+0.04)*(VLOOKUP(($F$16-$F$15)-1,AK$99:AO126,4,FALSE)))*EXP(-(LN(2)/$D$65+0.1)*(VLOOKUP(($F$16-$F$15)-1,AK$99:AO126,5,FALSE)))*EXP(-(LN(2)/$D$65+0.04)*(VLOOKUP(($F$16-$F$15)*2-1,AK$99:AO126,4,FALSE)))*EXP(-(LN(2)/$D$65+0.1)*(VLOOKUP(($F$16-$F$15)*2-1,AK$99:AO126,5,FALSE)))*EXP(-(LN(2)/$D$65+0.04)*AN126)*EXP(-(LN(2)/$D$65+0.1)*AO126),"-"))),"-")</f>
        <v>-</v>
      </c>
      <c r="AR127" s="271" t="str">
        <f>IFERROR(IF(AL127=1,AR$100*EXP(-(LN(2)/$D$65+0.04)*AN127)*EXP(-(LN(2)/$D$65+0.1)*AO127),IF(AL127=2,AR$100*EXP(-(LN(2)/$D$65+0.04)*(VLOOKUP(($F$16-$F$15)-1,AK$100:AO127,4,FALSE)))*EXP(-(LN(2)/$D$65+0.1)*(VLOOKUP(($F$16-$F$15)-1,AK$100:AO127,5,FALSE)))*EXP(-(LN(2)/$D$65+0.04)*AN127)*EXP(-(LN(2)/$D$65+0.1)*AO127),IF(AL127=3,AR$100*EXP(-(LN(2)/$D$65+0.04)*(VLOOKUP(($F$16-$F$15)-1,AK$100:AO127,4,FALSE)))*EXP(-(LN(2)/$D$65+0.1)*(VLOOKUP(($F$16-$F$15)-1,AK$100:AO127,5,FALSE)))*EXP(-(LN(2)/$D$65+0.04)*(VLOOKUP(($F$16-$F$15)*2-1,AK$100:AO127,4,FALSE)))*EXP(-(LN(2)/$D$65+0.1)*(VLOOKUP(($F$16-$F$15)*2-1,AK$100:AO127,5,FALSE)))*EXP(-(LN(2)/$D$65+0.04)*AN127)*EXP(-(LN(2)/$D$65+0.1)*AO127),"-"))),"-")</f>
        <v>-</v>
      </c>
      <c r="AS127" s="274">
        <f t="shared" si="24"/>
        <v>0</v>
      </c>
      <c r="AT127" s="274">
        <f t="shared" si="25"/>
        <v>0</v>
      </c>
      <c r="AU127" s="274">
        <f t="shared" si="26"/>
        <v>0</v>
      </c>
      <c r="AV127" s="190">
        <f>IF($B127&lt;$F$22,SUM($T$100:$T127),"")</f>
        <v>0</v>
      </c>
      <c r="AW127" s="190" t="str">
        <f t="shared" si="56"/>
        <v>-</v>
      </c>
      <c r="AX127" s="190" t="str">
        <f t="shared" si="57"/>
        <v/>
      </c>
      <c r="AY127"/>
      <c r="AZ127" s="190" t="str">
        <f ca="1">IF(ISNUMBER(OFFSET(AV127,-$F$21,0)),SUM(OFFSET($T$100,$F$21,0):$T127),"")</f>
        <v/>
      </c>
      <c r="BA127" s="190" t="str">
        <f t="shared" ca="1" si="27"/>
        <v/>
      </c>
      <c r="BB127" s="190" t="str">
        <f t="shared" ca="1" si="70"/>
        <v/>
      </c>
      <c r="BC127" s="190"/>
      <c r="BD127" s="190" t="str">
        <f ca="1">IFERROR(IF(AND($B127&gt;=($F$16-$F$15),$B127&lt;$F$22+($F$16-$F$15)),SUM(OFFSET($T$100,($F$16-$F$15),0):$T127),""),"")</f>
        <v/>
      </c>
      <c r="BE127" s="190" t="str">
        <f t="shared" ca="1" si="59"/>
        <v/>
      </c>
      <c r="BF127" s="190" t="str">
        <f t="shared" ca="1" si="60"/>
        <v/>
      </c>
      <c r="BG127"/>
      <c r="BH127" s="190" t="str">
        <f ca="1">IF(ISNUMBER(OFFSET(BD127,-$F$21,0)),SUM(OFFSET($T$100,($F$16-$F$15+$F$21),0):$T127),"")</f>
        <v/>
      </c>
      <c r="BI127" s="190" t="str">
        <f t="shared" ca="1" si="28"/>
        <v/>
      </c>
      <c r="BJ127" s="190" t="str">
        <f t="shared" ca="1" si="61"/>
        <v/>
      </c>
      <c r="BK127" s="190"/>
      <c r="BL127" s="190" t="str">
        <f ca="1">IFERROR(IF(AND($B127&gt;=($F$17-$F$15),$B127&lt;$F$22+($F$17-$F$15)),SUM(OFFSET($T$100,($F$17-$F$15),0):$T127),""),"")</f>
        <v/>
      </c>
      <c r="BM127" s="190" t="str">
        <f t="shared" ca="1" si="29"/>
        <v/>
      </c>
      <c r="BN127" s="190" t="str">
        <f t="shared" ca="1" si="62"/>
        <v/>
      </c>
      <c r="BO127"/>
      <c r="BP127" s="190" t="str">
        <f ca="1">IF(ISNUMBER(OFFSET(BL127,-$F$21,0)),SUM(OFFSET($T$100,($F$17-$F$15+$F$21),0):$T127),"")</f>
        <v/>
      </c>
      <c r="BQ127" s="190" t="str">
        <f t="shared" ca="1" si="63"/>
        <v/>
      </c>
      <c r="BR127" s="190" t="str">
        <f t="shared" ca="1" si="64"/>
        <v/>
      </c>
      <c r="BS127" s="190"/>
      <c r="BT127"/>
      <c r="BU127"/>
      <c r="BV127"/>
      <c r="BY127" s="99"/>
      <c r="BZ127" s="99"/>
      <c r="CA127" s="280" t="str">
        <f t="shared" si="30"/>
        <v/>
      </c>
      <c r="CB127" s="71" t="str">
        <f t="shared" si="31"/>
        <v>-</v>
      </c>
      <c r="CC127" s="33"/>
      <c r="CD127" s="261" t="str">
        <f t="shared" si="33"/>
        <v/>
      </c>
      <c r="CE127" s="280" t="str">
        <f t="shared" si="34"/>
        <v>-</v>
      </c>
      <c r="CF127" s="71" t="str">
        <f t="shared" ca="1" si="35"/>
        <v>-</v>
      </c>
      <c r="CG127" s="33" t="str">
        <f t="shared" si="36"/>
        <v>27-28</v>
      </c>
      <c r="CH127" s="261" t="str">
        <f t="shared" ca="1" si="37"/>
        <v/>
      </c>
      <c r="CI127" s="99"/>
      <c r="CJ127" s="99"/>
      <c r="CK127" s="99"/>
      <c r="CL127" s="99"/>
      <c r="CM127" s="99"/>
      <c r="CN127" s="99"/>
      <c r="CO127" s="99"/>
    </row>
    <row r="128" spans="2:93" ht="13.5" customHeight="1" x14ac:dyDescent="0.2">
      <c r="B128" s="262">
        <v>28</v>
      </c>
      <c r="C128" s="237" t="str">
        <f t="shared" si="1"/>
        <v/>
      </c>
      <c r="D128" s="237" t="str">
        <f t="shared" si="67"/>
        <v>-</v>
      </c>
      <c r="E128" s="290" t="str">
        <f t="shared" si="38"/>
        <v/>
      </c>
      <c r="F128" s="264" t="str">
        <f t="shared" si="39"/>
        <v/>
      </c>
      <c r="G128" s="306" t="str">
        <f t="shared" si="40"/>
        <v/>
      </c>
      <c r="H128" s="240" t="str">
        <f t="shared" si="41"/>
        <v/>
      </c>
      <c r="I128" s="265" t="str">
        <f t="shared" si="2"/>
        <v/>
      </c>
      <c r="J128" s="265" t="str">
        <f t="shared" si="3"/>
        <v/>
      </c>
      <c r="K128" s="240" t="str">
        <f t="shared" si="4"/>
        <v/>
      </c>
      <c r="L128" s="265" t="str">
        <f t="shared" si="5"/>
        <v/>
      </c>
      <c r="M128" s="265" t="str">
        <f t="shared" si="6"/>
        <v/>
      </c>
      <c r="N128" s="240" t="str">
        <f t="shared" si="7"/>
        <v>-</v>
      </c>
      <c r="O128" s="265" t="str">
        <f t="shared" si="8"/>
        <v>-</v>
      </c>
      <c r="P128" s="265" t="str">
        <f t="shared" si="9"/>
        <v>-</v>
      </c>
      <c r="Q128" s="266" t="str">
        <f t="shared" si="10"/>
        <v>-</v>
      </c>
      <c r="R128" s="267" t="str">
        <f t="shared" si="11"/>
        <v>-</v>
      </c>
      <c r="S128" s="268" t="str">
        <f t="shared" si="12"/>
        <v>-</v>
      </c>
      <c r="T128" s="269" t="str">
        <f t="shared" si="13"/>
        <v/>
      </c>
      <c r="U128" s="221">
        <f t="shared" si="14"/>
        <v>28</v>
      </c>
      <c r="V128" s="220" t="str">
        <f t="shared" si="42"/>
        <v>-</v>
      </c>
      <c r="W128" s="221" t="str">
        <f t="shared" si="43"/>
        <v>-</v>
      </c>
      <c r="X128" s="221" t="str">
        <f t="shared" si="15"/>
        <v>-</v>
      </c>
      <c r="Y128" s="221" t="str">
        <f t="shared" si="16"/>
        <v>-</v>
      </c>
      <c r="Z128" s="270">
        <f t="shared" si="44"/>
        <v>0.1</v>
      </c>
      <c r="AA128" s="271" t="str">
        <f>IFERROR(IF(V127=1,AA$100*EXP(-(LN(2)/$D$65+0.04)*X127)*EXP(-(LN(2)/$D$65+0.1)*Y127),IF(V127=2,AA$100*EXP(-(LN(2)/$D$65+0.04)*(VLOOKUP(($F$16-$F$15)-1,U$99:Y127,4,FALSE)))*EXP(-(LN(2)/$D$65+0.1)*(VLOOKUP(($F$16-$F$15)-1,U$99:Y127,5,FALSE)))*EXP(-(LN(2)/$D$65+0.04)*X127)*EXP(-(LN(2)/$D$65+0.1)*Y127),IF(V127=3,AA$100*EXP(-(LN(2)/$D$65+0.04)*(VLOOKUP(($F$16-$F$15)-1,U$99:Y127,4,FALSE)))*EXP(-(LN(2)/$D$65+0.1)*(VLOOKUP(($F$16-$F$15)-1,U$99:Y127,5,FALSE)))*EXP(-(LN(2)/$D$65+0.04)*(VLOOKUP(($F$16-$F$15)*2-1,U$99:Y127,4,FALSE)))*EXP(-(LN(2)/$D$65+0.1)*(VLOOKUP(($F$16-$F$15)*2-1,U$99:Y127,5,FALSE)))*EXP(-(LN(2)/$D$65+0.04)*X127)*EXP(-(LN(2)/$D$65+0.1)*Y127),"-"))),"-")</f>
        <v>-</v>
      </c>
      <c r="AB128" s="271" t="str">
        <f>IFERROR(IF(V128=1,AB$100*EXP(-(LN(2)/$D$65+0.04)*X128)*EXP(-(LN(2)/$D$65+0.1)*Y128),IF(V128=2,AB$100*EXP(-(LN(2)/$D$65+0.04)*(VLOOKUP(($F$16-$F$15)-1,U$100:Y128,4,FALSE)))*EXP(-(LN(2)/$D$65+0.1)*(VLOOKUP(($F$16-$F$15)-1,U$100:Y128,5,FALSE)))*EXP(-(LN(2)/$D$65+0.04)*X128)*EXP(-(LN(2)/$D$65+0.1)*Y128),IF(V128=3,AB$100*EXP(-(LN(2)/$D$65+0.04)*(VLOOKUP(($F$16-$F$15)-1,U$100:Y128,4,FALSE)))*EXP(-(LN(2)/$D$65+0.1)*(VLOOKUP(($F$16-$F$15)-1,U$100:Y128,5,FALSE)))*EXP(-(LN(2)/$D$65+0.04)*(VLOOKUP(($F$16-$F$15)*2-1,U$100:Y128,4,FALSE)))*EXP(-(LN(2)/$D$65+0.1)*(VLOOKUP(($F$16-$F$15)*2-1,U$100:Y128,5,FALSE)))*EXP(-(LN(2)/$D$65+0.04)*X128)*EXP(-(LN(2)/$D$65+0.1)*Y128),"-"))),"-")</f>
        <v>-</v>
      </c>
      <c r="AC128" s="224">
        <f t="shared" si="46"/>
        <v>28</v>
      </c>
      <c r="AD128" s="223" t="str">
        <f t="shared" si="18"/>
        <v>-</v>
      </c>
      <c r="AE128" s="224" t="str">
        <f t="shared" si="47"/>
        <v>-</v>
      </c>
      <c r="AF128" s="224" t="str">
        <f t="shared" si="19"/>
        <v>-</v>
      </c>
      <c r="AG128" s="224" t="str">
        <f t="shared" si="20"/>
        <v>-</v>
      </c>
      <c r="AH128" s="272">
        <f t="shared" si="48"/>
        <v>0.1</v>
      </c>
      <c r="AI128" s="271" t="str">
        <f>IFERROR(IF(AD127=1,AI$100*EXP(-(LN(2)/$D$65+0.04)*AF127)*EXP(-(LN(2)/$D$65+0.1)*AG127),IF(AD127=2,AI$100*EXP(-(LN(2)/$D$65+0.04)*(VLOOKUP(($F$16-$F$15)-1,AC$99:AG127,4,FALSE)))*EXP(-(LN(2)/$D$65+0.1)*(VLOOKUP(($F$16-$F$15)-1,AC$99:AG127,5,FALSE)))*EXP(-(LN(2)/$D$65+0.04)*AF127)*EXP(-(LN(2)/$D$65+0.1)*AG127),IF(AD127=3,AI$100*EXP(-(LN(2)/$D$65+0.04)*(VLOOKUP(($F$16-$F$15)-1,AC$99:AG127,4,FALSE)))*EXP(-(LN(2)/$D$65+0.1)*(VLOOKUP(($F$16-$F$15)-1,AC$99:AG127,5,FALSE)))*EXP(-(LN(2)/$D$65+0.04)*(VLOOKUP(($F$16-$F$15)*2-1,AC$99:AG127,4,FALSE)))*EXP(-(LN(2)/$D$65+0.1)*(VLOOKUP(($F$16-$F$15)*2-1,AC$99:AG127,5,FALSE)))*EXP(-(LN(2)/$D$65+0.04)*AF127)*EXP(-(LN(2)/$D$65+0.1)*AG127),"-"))),"-")</f>
        <v>-</v>
      </c>
      <c r="AJ128" s="271" t="str">
        <f>IFERROR(IF(AD128=1,AJ$100*EXP(-(LN(2)/$D$65+0.04)*AF128)*EXP(-(LN(2)/$D$65+0.1)*AG128),IF(AD128=2,AJ$100*EXP(-(LN(2)/$D$65+0.04)*(VLOOKUP(($F$16-$F$15)-1,AC$100:AG128,4,FALSE)))*EXP(-(LN(2)/$D$65+0.1)*(VLOOKUP(($F$16-$F$15)-1,AC$100:AG128,5,FALSE)))*EXP(-(LN(2)/$D$65+0.04)*AF128)*EXP(-(LN(2)/$D$65+0.1)*AG128),IF(AD128=3,AJ$100*EXP(-(LN(2)/$D$65+0.04)*(VLOOKUP(($F$16-$F$15)-1,AC$100:AG128,4,FALSE)))*EXP(-(LN(2)/$D$65+0.1)*(VLOOKUP(($F$16-$F$15)-1,AC$100:AG128,5,FALSE)))*EXP(-(LN(2)/$D$65+0.04)*(VLOOKUP(($F$16-$F$15)*2-1,AC$100:AG128,4,FALSE)))*EXP(-(LN(2)/$D$65+0.1)*(VLOOKUP(($F$16-$F$15)*2-1,AC$100:AG128,5,FALSE)))*EXP(-(LN(2)/$D$65+0.04)*AF128)*EXP(-(LN(2)/$D$65+0.1)*AG128),"-"))),"-")</f>
        <v>-</v>
      </c>
      <c r="AK128" s="227">
        <f t="shared" si="50"/>
        <v>28</v>
      </c>
      <c r="AL128" s="226" t="str">
        <f t="shared" si="22"/>
        <v>-</v>
      </c>
      <c r="AM128" s="227" t="str">
        <f t="shared" si="51"/>
        <v>-</v>
      </c>
      <c r="AN128" s="227" t="str">
        <f t="shared" si="52"/>
        <v>-</v>
      </c>
      <c r="AO128" s="227" t="str">
        <f t="shared" si="23"/>
        <v>-</v>
      </c>
      <c r="AP128" s="273">
        <f t="shared" si="53"/>
        <v>0.1</v>
      </c>
      <c r="AQ128" s="271" t="str">
        <f>IFERROR(IF(AL127=1,AQ$100*EXP(-(LN(2)/$D$65+0.04)*AN127)*EXP(-(LN(2)/$D$65+0.1)*AO127),IF(AL127=2,AQ$100*EXP(-(LN(2)/$D$65+0.04)*(VLOOKUP(($F$16-$F$15)-1,AK$99:AO127,4,FALSE)))*EXP(-(LN(2)/$D$65+0.1)*(VLOOKUP(($F$16-$F$15)-1,AK$99:AO127,5,FALSE)))*EXP(-(LN(2)/$D$65+0.04)*AN127)*EXP(-(LN(2)/$D$65+0.1)*AO127),IF(AL127=3,AQ$100*EXP(-(LN(2)/$D$65+0.04)*(VLOOKUP(($F$16-$F$15)-1,AK$99:AO127,4,FALSE)))*EXP(-(LN(2)/$D$65+0.1)*(VLOOKUP(($F$16-$F$15)-1,AK$99:AO127,5,FALSE)))*EXP(-(LN(2)/$D$65+0.04)*(VLOOKUP(($F$16-$F$15)*2-1,AK$99:AO127,4,FALSE)))*EXP(-(LN(2)/$D$65+0.1)*(VLOOKUP(($F$16-$F$15)*2-1,AK$99:AO127,5,FALSE)))*EXP(-(LN(2)/$D$65+0.04)*AN127)*EXP(-(LN(2)/$D$65+0.1)*AO127),"-"))),"-")</f>
        <v>-</v>
      </c>
      <c r="AR128" s="271" t="str">
        <f>IFERROR(IF(AL128=1,AR$100*EXP(-(LN(2)/$D$65+0.04)*AN128)*EXP(-(LN(2)/$D$65+0.1)*AO128),IF(AL128=2,AR$100*EXP(-(LN(2)/$D$65+0.04)*(VLOOKUP(($F$16-$F$15)-1,AK$100:AO128,4,FALSE)))*EXP(-(LN(2)/$D$65+0.1)*(VLOOKUP(($F$16-$F$15)-1,AK$100:AO128,5,FALSE)))*EXP(-(LN(2)/$D$65+0.04)*AN128)*EXP(-(LN(2)/$D$65+0.1)*AO128),IF(AL128=3,AR$100*EXP(-(LN(2)/$D$65+0.04)*(VLOOKUP(($F$16-$F$15)-1,AK$100:AO128,4,FALSE)))*EXP(-(LN(2)/$D$65+0.1)*(VLOOKUP(($F$16-$F$15)-1,AK$100:AO128,5,FALSE)))*EXP(-(LN(2)/$D$65+0.04)*(VLOOKUP(($F$16-$F$15)*2-1,AK$100:AO128,4,FALSE)))*EXP(-(LN(2)/$D$65+0.1)*(VLOOKUP(($F$16-$F$15)*2-1,AK$100:AO128,5,FALSE)))*EXP(-(LN(2)/$D$65+0.04)*AN128)*EXP(-(LN(2)/$D$65+0.1)*AO128),"-"))),"-")</f>
        <v>-</v>
      </c>
      <c r="AS128" s="274">
        <f t="shared" si="24"/>
        <v>0</v>
      </c>
      <c r="AT128" s="274">
        <f t="shared" si="25"/>
        <v>0</v>
      </c>
      <c r="AU128" s="274">
        <f t="shared" si="26"/>
        <v>0</v>
      </c>
      <c r="AV128" s="190">
        <f>IF($B128&lt;$F$22,SUM($T$100:$T128),"")</f>
        <v>0</v>
      </c>
      <c r="AW128" s="190" t="str">
        <f t="shared" si="56"/>
        <v>-</v>
      </c>
      <c r="AX128" s="190" t="str">
        <f t="shared" si="57"/>
        <v/>
      </c>
      <c r="AY128"/>
      <c r="AZ128" s="190" t="str">
        <f ca="1">IF(ISNUMBER(OFFSET(AV128,-$F$21,0)),SUM(OFFSET($T$100,$F$21,0):$T128),"")</f>
        <v/>
      </c>
      <c r="BA128" s="190" t="str">
        <f t="shared" ca="1" si="27"/>
        <v/>
      </c>
      <c r="BB128" s="190" t="str">
        <f t="shared" ca="1" si="70"/>
        <v/>
      </c>
      <c r="BC128" s="190"/>
      <c r="BD128" s="190" t="str">
        <f ca="1">IFERROR(IF(AND($B128&gt;=($F$16-$F$15),$B128&lt;$F$22+($F$16-$F$15)),SUM(OFFSET($T$100,($F$16-$F$15),0):$T128),""),"")</f>
        <v/>
      </c>
      <c r="BE128" s="190" t="str">
        <f t="shared" ca="1" si="59"/>
        <v/>
      </c>
      <c r="BF128" s="190" t="str">
        <f t="shared" ca="1" si="60"/>
        <v/>
      </c>
      <c r="BG128"/>
      <c r="BH128" s="190" t="str">
        <f ca="1">IF(ISNUMBER(OFFSET(BD128,-$F$21,0)),SUM(OFFSET($T$100,($F$16-$F$15+$F$21),0):$T128),"")</f>
        <v/>
      </c>
      <c r="BI128" s="190" t="str">
        <f t="shared" ca="1" si="28"/>
        <v/>
      </c>
      <c r="BJ128" s="190" t="str">
        <f t="shared" ca="1" si="61"/>
        <v/>
      </c>
      <c r="BK128" s="190"/>
      <c r="BL128" s="190" t="str">
        <f ca="1">IFERROR(IF(AND($B128&gt;=($F$17-$F$15),$B128&lt;$F$22+($F$17-$F$15)),SUM(OFFSET($T$100,($F$17-$F$15),0):$T128),""),"")</f>
        <v/>
      </c>
      <c r="BM128" s="190" t="str">
        <f t="shared" ca="1" si="29"/>
        <v/>
      </c>
      <c r="BN128" s="190" t="str">
        <f t="shared" ca="1" si="62"/>
        <v/>
      </c>
      <c r="BO128"/>
      <c r="BP128" s="190" t="str">
        <f ca="1">IF(ISNUMBER(OFFSET(BL128,-$F$21,0)),SUM(OFFSET($T$100,($F$17-$F$15+$F$21),0):$T128),"")</f>
        <v/>
      </c>
      <c r="BQ128" s="190" t="str">
        <f t="shared" ca="1" si="63"/>
        <v/>
      </c>
      <c r="BR128" s="190" t="str">
        <f t="shared" ca="1" si="64"/>
        <v/>
      </c>
      <c r="BS128" s="190"/>
      <c r="BT128"/>
      <c r="BU128"/>
      <c r="BV128"/>
      <c r="BY128" s="99"/>
      <c r="BZ128" s="99"/>
      <c r="CA128" s="280" t="str">
        <f t="shared" si="30"/>
        <v/>
      </c>
      <c r="CB128" s="71" t="str">
        <f t="shared" si="31"/>
        <v>-</v>
      </c>
      <c r="CC128" s="33"/>
      <c r="CD128" s="261" t="str">
        <f t="shared" si="33"/>
        <v/>
      </c>
      <c r="CE128" s="280" t="str">
        <f t="shared" si="34"/>
        <v>-</v>
      </c>
      <c r="CF128" s="71" t="str">
        <f t="shared" ca="1" si="35"/>
        <v>-</v>
      </c>
      <c r="CG128" s="33" t="str">
        <f t="shared" si="36"/>
        <v>28-29</v>
      </c>
      <c r="CH128" s="261" t="str">
        <f t="shared" ca="1" si="37"/>
        <v/>
      </c>
      <c r="CI128" s="99"/>
      <c r="CJ128" s="99"/>
      <c r="CK128" s="99"/>
      <c r="CL128" s="99"/>
      <c r="CM128" s="99"/>
      <c r="CN128" s="99"/>
      <c r="CO128" s="99"/>
    </row>
    <row r="129" spans="2:93" ht="13.5" customHeight="1" x14ac:dyDescent="0.2">
      <c r="B129" s="262">
        <v>29</v>
      </c>
      <c r="C129" s="237" t="str">
        <f t="shared" si="1"/>
        <v/>
      </c>
      <c r="D129" s="237" t="str">
        <f t="shared" si="67"/>
        <v>-</v>
      </c>
      <c r="E129" s="290" t="str">
        <f t="shared" si="38"/>
        <v/>
      </c>
      <c r="F129" s="264" t="str">
        <f t="shared" si="39"/>
        <v/>
      </c>
      <c r="G129" s="291" t="str">
        <f t="shared" si="40"/>
        <v/>
      </c>
      <c r="H129" s="240" t="str">
        <f t="shared" si="41"/>
        <v/>
      </c>
      <c r="I129" s="265" t="str">
        <f t="shared" si="2"/>
        <v/>
      </c>
      <c r="J129" s="265" t="str">
        <f t="shared" si="3"/>
        <v/>
      </c>
      <c r="K129" s="240" t="str">
        <f t="shared" si="4"/>
        <v/>
      </c>
      <c r="L129" s="265" t="str">
        <f t="shared" si="5"/>
        <v/>
      </c>
      <c r="M129" s="265" t="str">
        <f t="shared" si="6"/>
        <v/>
      </c>
      <c r="N129" s="240" t="str">
        <f t="shared" si="7"/>
        <v>-</v>
      </c>
      <c r="O129" s="265" t="str">
        <f t="shared" si="8"/>
        <v>-</v>
      </c>
      <c r="P129" s="265" t="str">
        <f t="shared" si="9"/>
        <v>-</v>
      </c>
      <c r="Q129" s="266" t="str">
        <f t="shared" si="10"/>
        <v>-</v>
      </c>
      <c r="R129" s="267" t="str">
        <f t="shared" si="11"/>
        <v>-</v>
      </c>
      <c r="S129" s="268" t="str">
        <f t="shared" si="12"/>
        <v>-</v>
      </c>
      <c r="T129" s="269" t="str">
        <f t="shared" si="13"/>
        <v/>
      </c>
      <c r="U129" s="221">
        <f t="shared" si="14"/>
        <v>29</v>
      </c>
      <c r="V129" s="220" t="str">
        <f t="shared" si="42"/>
        <v>-</v>
      </c>
      <c r="W129" s="221" t="str">
        <f t="shared" si="43"/>
        <v>-</v>
      </c>
      <c r="X129" s="221" t="str">
        <f t="shared" si="15"/>
        <v>-</v>
      </c>
      <c r="Y129" s="221" t="str">
        <f t="shared" si="16"/>
        <v>-</v>
      </c>
      <c r="Z129" s="270">
        <f t="shared" si="44"/>
        <v>0.1</v>
      </c>
      <c r="AA129" s="271" t="str">
        <f>IFERROR(IF(V128=1,AA$100*EXP(-(LN(2)/$D$65+0.04)*X128)*EXP(-(LN(2)/$D$65+0.1)*Y128),IF(V128=2,AA$100*EXP(-(LN(2)/$D$65+0.04)*(VLOOKUP(($F$16-$F$15)-1,U$99:Y128,4,FALSE)))*EXP(-(LN(2)/$D$65+0.1)*(VLOOKUP(($F$16-$F$15)-1,U$99:Y128,5,FALSE)))*EXP(-(LN(2)/$D$65+0.04)*X128)*EXP(-(LN(2)/$D$65+0.1)*Y128),IF(V128=3,AA$100*EXP(-(LN(2)/$D$65+0.04)*(VLOOKUP(($F$16-$F$15)-1,U$99:Y128,4,FALSE)))*EXP(-(LN(2)/$D$65+0.1)*(VLOOKUP(($F$16-$F$15)-1,U$99:Y128,5,FALSE)))*EXP(-(LN(2)/$D$65+0.04)*(VLOOKUP(($F$16-$F$15)*2-1,U$99:Y128,4,FALSE)))*EXP(-(LN(2)/$D$65+0.1)*(VLOOKUP(($F$16-$F$15)*2-1,U$99:Y128,5,FALSE)))*EXP(-(LN(2)/$D$65+0.04)*X128)*EXP(-(LN(2)/$D$65+0.1)*Y128),"-"))),"-")</f>
        <v>-</v>
      </c>
      <c r="AB129" s="271" t="str">
        <f>IFERROR(IF(V129=1,AB$100*EXP(-(LN(2)/$D$65+0.04)*X129)*EXP(-(LN(2)/$D$65+0.1)*Y129),IF(V129=2,AB$100*EXP(-(LN(2)/$D$65+0.04)*(VLOOKUP(($F$16-$F$15)-1,U$100:Y129,4,FALSE)))*EXP(-(LN(2)/$D$65+0.1)*(VLOOKUP(($F$16-$F$15)-1,U$100:Y129,5,FALSE)))*EXP(-(LN(2)/$D$65+0.04)*X129)*EXP(-(LN(2)/$D$65+0.1)*Y129),IF(V129=3,AB$100*EXP(-(LN(2)/$D$65+0.04)*(VLOOKUP(($F$16-$F$15)-1,U$100:Y129,4,FALSE)))*EXP(-(LN(2)/$D$65+0.1)*(VLOOKUP(($F$16-$F$15)-1,U$100:Y129,5,FALSE)))*EXP(-(LN(2)/$D$65+0.04)*(VLOOKUP(($F$16-$F$15)*2-1,U$100:Y129,4,FALSE)))*EXP(-(LN(2)/$D$65+0.1)*(VLOOKUP(($F$16-$F$15)*2-1,U$100:Y129,5,FALSE)))*EXP(-(LN(2)/$D$65+0.04)*X129)*EXP(-(LN(2)/$D$65+0.1)*Y129),"-"))),"-")</f>
        <v>-</v>
      </c>
      <c r="AC129" s="224">
        <f t="shared" si="46"/>
        <v>29</v>
      </c>
      <c r="AD129" s="223" t="str">
        <f t="shared" si="18"/>
        <v>-</v>
      </c>
      <c r="AE129" s="224" t="str">
        <f t="shared" si="47"/>
        <v>-</v>
      </c>
      <c r="AF129" s="224" t="str">
        <f t="shared" si="19"/>
        <v>-</v>
      </c>
      <c r="AG129" s="224" t="str">
        <f t="shared" si="20"/>
        <v>-</v>
      </c>
      <c r="AH129" s="272">
        <f t="shared" si="48"/>
        <v>0.1</v>
      </c>
      <c r="AI129" s="271" t="str">
        <f>IFERROR(IF(AD128=1,AI$100*EXP(-(LN(2)/$D$65+0.04)*AF128)*EXP(-(LN(2)/$D$65+0.1)*AG128),IF(AD128=2,AI$100*EXP(-(LN(2)/$D$65+0.04)*(VLOOKUP(($F$16-$F$15)-1,AC$99:AG128,4,FALSE)))*EXP(-(LN(2)/$D$65+0.1)*(VLOOKUP(($F$16-$F$15)-1,AC$99:AG128,5,FALSE)))*EXP(-(LN(2)/$D$65+0.04)*AF128)*EXP(-(LN(2)/$D$65+0.1)*AG128),IF(AD128=3,AI$100*EXP(-(LN(2)/$D$65+0.04)*(VLOOKUP(($F$16-$F$15)-1,AC$99:AG128,4,FALSE)))*EXP(-(LN(2)/$D$65+0.1)*(VLOOKUP(($F$16-$F$15)-1,AC$99:AG128,5,FALSE)))*EXP(-(LN(2)/$D$65+0.04)*(VLOOKUP(($F$16-$F$15)*2-1,AC$99:AG128,4,FALSE)))*EXP(-(LN(2)/$D$65+0.1)*(VLOOKUP(($F$16-$F$15)*2-1,AC$99:AG128,5,FALSE)))*EXP(-(LN(2)/$D$65+0.04)*AF128)*EXP(-(LN(2)/$D$65+0.1)*AG128),"-"))),"-")</f>
        <v>-</v>
      </c>
      <c r="AJ129" s="271" t="str">
        <f>IFERROR(IF(AD129=1,AJ$100*EXP(-(LN(2)/$D$65+0.04)*AF129)*EXP(-(LN(2)/$D$65+0.1)*AG129),IF(AD129=2,AJ$100*EXP(-(LN(2)/$D$65+0.04)*(VLOOKUP(($F$16-$F$15)-1,AC$100:AG129,4,FALSE)))*EXP(-(LN(2)/$D$65+0.1)*(VLOOKUP(($F$16-$F$15)-1,AC$100:AG129,5,FALSE)))*EXP(-(LN(2)/$D$65+0.04)*AF129)*EXP(-(LN(2)/$D$65+0.1)*AG129),IF(AD129=3,AJ$100*EXP(-(LN(2)/$D$65+0.04)*(VLOOKUP(($F$16-$F$15)-1,AC$100:AG129,4,FALSE)))*EXP(-(LN(2)/$D$65+0.1)*(VLOOKUP(($F$16-$F$15)-1,AC$100:AG129,5,FALSE)))*EXP(-(LN(2)/$D$65+0.04)*(VLOOKUP(($F$16-$F$15)*2-1,AC$100:AG129,4,FALSE)))*EXP(-(LN(2)/$D$65+0.1)*(VLOOKUP(($F$16-$F$15)*2-1,AC$100:AG129,5,FALSE)))*EXP(-(LN(2)/$D$65+0.04)*AF129)*EXP(-(LN(2)/$D$65+0.1)*AG129),"-"))),"-")</f>
        <v>-</v>
      </c>
      <c r="AK129" s="227">
        <f t="shared" si="50"/>
        <v>29</v>
      </c>
      <c r="AL129" s="226" t="str">
        <f t="shared" si="22"/>
        <v>-</v>
      </c>
      <c r="AM129" s="227" t="str">
        <f t="shared" si="51"/>
        <v>-</v>
      </c>
      <c r="AN129" s="227" t="str">
        <f t="shared" si="52"/>
        <v>-</v>
      </c>
      <c r="AO129" s="227" t="str">
        <f t="shared" si="23"/>
        <v>-</v>
      </c>
      <c r="AP129" s="273">
        <f t="shared" si="53"/>
        <v>0.1</v>
      </c>
      <c r="AQ129" s="271" t="str">
        <f>IFERROR(IF(AL128=1,AQ$100*EXP(-(LN(2)/$D$65+0.04)*AN128)*EXP(-(LN(2)/$D$65+0.1)*AO128),IF(AL128=2,AQ$100*EXP(-(LN(2)/$D$65+0.04)*(VLOOKUP(($F$16-$F$15)-1,AK$99:AO128,4,FALSE)))*EXP(-(LN(2)/$D$65+0.1)*(VLOOKUP(($F$16-$F$15)-1,AK$99:AO128,5,FALSE)))*EXP(-(LN(2)/$D$65+0.04)*AN128)*EXP(-(LN(2)/$D$65+0.1)*AO128),IF(AL128=3,AQ$100*EXP(-(LN(2)/$D$65+0.04)*(VLOOKUP(($F$16-$F$15)-1,AK$99:AO128,4,FALSE)))*EXP(-(LN(2)/$D$65+0.1)*(VLOOKUP(($F$16-$F$15)-1,AK$99:AO128,5,FALSE)))*EXP(-(LN(2)/$D$65+0.04)*(VLOOKUP(($F$16-$F$15)*2-1,AK$99:AO128,4,FALSE)))*EXP(-(LN(2)/$D$65+0.1)*(VLOOKUP(($F$16-$F$15)*2-1,AK$99:AO128,5,FALSE)))*EXP(-(LN(2)/$D$65+0.04)*AN128)*EXP(-(LN(2)/$D$65+0.1)*AO128),"-"))),"-")</f>
        <v>-</v>
      </c>
      <c r="AR129" s="271" t="str">
        <f>IFERROR(IF(AL129=1,AR$100*EXP(-(LN(2)/$D$65+0.04)*AN129)*EXP(-(LN(2)/$D$65+0.1)*AO129),IF(AL129=2,AR$100*EXP(-(LN(2)/$D$65+0.04)*(VLOOKUP(($F$16-$F$15)-1,AK$100:AO129,4,FALSE)))*EXP(-(LN(2)/$D$65+0.1)*(VLOOKUP(($F$16-$F$15)-1,AK$100:AO129,5,FALSE)))*EXP(-(LN(2)/$D$65+0.04)*AN129)*EXP(-(LN(2)/$D$65+0.1)*AO129),IF(AL129=3,AR$100*EXP(-(LN(2)/$D$65+0.04)*(VLOOKUP(($F$16-$F$15)-1,AK$100:AO129,4,FALSE)))*EXP(-(LN(2)/$D$65+0.1)*(VLOOKUP(($F$16-$F$15)-1,AK$100:AO129,5,FALSE)))*EXP(-(LN(2)/$D$65+0.04)*(VLOOKUP(($F$16-$F$15)*2-1,AK$100:AO129,4,FALSE)))*EXP(-(LN(2)/$D$65+0.1)*(VLOOKUP(($F$16-$F$15)*2-1,AK$100:AO129,5,FALSE)))*EXP(-(LN(2)/$D$65+0.04)*AN129)*EXP(-(LN(2)/$D$65+0.1)*AO129),"-"))),"-")</f>
        <v>-</v>
      </c>
      <c r="AS129" s="274">
        <f t="shared" si="24"/>
        <v>0</v>
      </c>
      <c r="AT129" s="274">
        <f t="shared" si="25"/>
        <v>0</v>
      </c>
      <c r="AU129" s="274">
        <f t="shared" si="26"/>
        <v>0</v>
      </c>
      <c r="AV129" s="190">
        <f>IF($B129&lt;$F$22,SUM($T$100:$T129),"")</f>
        <v>0</v>
      </c>
      <c r="AW129" s="190" t="str">
        <f t="shared" si="56"/>
        <v>-</v>
      </c>
      <c r="AX129" s="190" t="str">
        <f t="shared" si="57"/>
        <v/>
      </c>
      <c r="AY129"/>
      <c r="AZ129" s="190" t="str">
        <f ca="1">IF(ISNUMBER(OFFSET(AV129,-$F$21,0)),SUM(OFFSET($T$100,$F$21,0):$T129),"")</f>
        <v/>
      </c>
      <c r="BA129" s="190" t="str">
        <f t="shared" ca="1" si="27"/>
        <v/>
      </c>
      <c r="BB129" s="190" t="str">
        <f t="shared" ca="1" si="70"/>
        <v/>
      </c>
      <c r="BC129" s="190"/>
      <c r="BD129" s="190" t="str">
        <f ca="1">IFERROR(IF(AND($B129&gt;=($F$16-$F$15),$B129&lt;$F$22+($F$16-$F$15)),SUM(OFFSET($T$100,($F$16-$F$15),0):$T129),""),"")</f>
        <v/>
      </c>
      <c r="BE129" s="190" t="str">
        <f t="shared" ca="1" si="59"/>
        <v/>
      </c>
      <c r="BF129" s="190" t="str">
        <f t="shared" ca="1" si="60"/>
        <v/>
      </c>
      <c r="BG129"/>
      <c r="BH129" s="190" t="str">
        <f ca="1">IF(ISNUMBER(OFFSET(BD129,-$F$21,0)),SUM(OFFSET($T$100,($F$16-$F$15+$F$21),0):$T129),"")</f>
        <v/>
      </c>
      <c r="BI129" s="190" t="str">
        <f t="shared" ca="1" si="28"/>
        <v/>
      </c>
      <c r="BJ129" s="190" t="str">
        <f t="shared" ca="1" si="61"/>
        <v/>
      </c>
      <c r="BK129" s="190"/>
      <c r="BL129" s="190" t="str">
        <f ca="1">IFERROR(IF(AND($B129&gt;=($F$17-$F$15),$B129&lt;$F$22+($F$17-$F$15)),SUM(OFFSET($T$100,($F$17-$F$15),0):$T129),""),"")</f>
        <v/>
      </c>
      <c r="BM129" s="190" t="str">
        <f t="shared" ca="1" si="29"/>
        <v/>
      </c>
      <c r="BN129" s="190" t="str">
        <f t="shared" ca="1" si="62"/>
        <v/>
      </c>
      <c r="BO129"/>
      <c r="BP129" s="190" t="str">
        <f ca="1">IF(ISNUMBER(OFFSET(BL129,-$F$21,0)),SUM(OFFSET($T$100,($F$17-$F$15+$F$21),0):$T129),"")</f>
        <v/>
      </c>
      <c r="BQ129" s="190" t="str">
        <f t="shared" ca="1" si="63"/>
        <v/>
      </c>
      <c r="BR129" s="190" t="str">
        <f t="shared" ca="1" si="64"/>
        <v/>
      </c>
      <c r="BS129" s="190"/>
      <c r="BT129"/>
      <c r="BU129"/>
      <c r="BV129"/>
      <c r="BY129" s="99"/>
      <c r="BZ129" s="99"/>
      <c r="CA129" s="280" t="str">
        <f t="shared" si="30"/>
        <v/>
      </c>
      <c r="CB129" s="71" t="str">
        <f t="shared" si="31"/>
        <v>-</v>
      </c>
      <c r="CC129" s="33"/>
      <c r="CD129" s="261" t="str">
        <f t="shared" si="33"/>
        <v/>
      </c>
      <c r="CE129" s="280" t="str">
        <f t="shared" si="34"/>
        <v>-</v>
      </c>
      <c r="CF129" s="71" t="str">
        <f t="shared" ca="1" si="35"/>
        <v>-</v>
      </c>
      <c r="CG129" s="33" t="str">
        <f t="shared" si="36"/>
        <v>29-30</v>
      </c>
      <c r="CH129" s="261" t="str">
        <f t="shared" ca="1" si="37"/>
        <v/>
      </c>
      <c r="CI129" s="99"/>
      <c r="CJ129" s="99"/>
      <c r="CK129" s="99"/>
      <c r="CL129" s="99"/>
      <c r="CM129" s="99"/>
      <c r="CN129" s="99"/>
      <c r="CO129" s="99"/>
    </row>
    <row r="130" spans="2:93" ht="13.5" customHeight="1" x14ac:dyDescent="0.2">
      <c r="B130" s="262">
        <v>30</v>
      </c>
      <c r="C130" s="237" t="str">
        <f t="shared" si="1"/>
        <v/>
      </c>
      <c r="D130" s="237" t="str">
        <f t="shared" si="67"/>
        <v>-</v>
      </c>
      <c r="E130" s="290" t="str">
        <f t="shared" si="38"/>
        <v/>
      </c>
      <c r="F130" s="264" t="str">
        <f t="shared" si="39"/>
        <v/>
      </c>
      <c r="G130" s="291" t="str">
        <f t="shared" si="40"/>
        <v/>
      </c>
      <c r="H130" s="240" t="str">
        <f t="shared" si="41"/>
        <v/>
      </c>
      <c r="I130" s="265" t="str">
        <f t="shared" si="2"/>
        <v/>
      </c>
      <c r="J130" s="265" t="str">
        <f t="shared" si="3"/>
        <v/>
      </c>
      <c r="K130" s="240" t="str">
        <f t="shared" si="4"/>
        <v/>
      </c>
      <c r="L130" s="265" t="str">
        <f t="shared" si="5"/>
        <v/>
      </c>
      <c r="M130" s="265" t="str">
        <f t="shared" si="6"/>
        <v/>
      </c>
      <c r="N130" s="240" t="str">
        <f t="shared" si="7"/>
        <v>-</v>
      </c>
      <c r="O130" s="265" t="str">
        <f t="shared" si="8"/>
        <v>-</v>
      </c>
      <c r="P130" s="265" t="str">
        <f t="shared" si="9"/>
        <v>-</v>
      </c>
      <c r="Q130" s="266" t="str">
        <f t="shared" si="10"/>
        <v>-</v>
      </c>
      <c r="R130" s="267" t="str">
        <f t="shared" si="11"/>
        <v>-</v>
      </c>
      <c r="S130" s="268" t="str">
        <f t="shared" si="12"/>
        <v>-</v>
      </c>
      <c r="T130" s="269" t="str">
        <f t="shared" si="13"/>
        <v/>
      </c>
      <c r="U130" s="221">
        <f t="shared" si="14"/>
        <v>30</v>
      </c>
      <c r="V130" s="220" t="str">
        <f t="shared" si="42"/>
        <v>-</v>
      </c>
      <c r="W130" s="221" t="str">
        <f t="shared" si="43"/>
        <v>-</v>
      </c>
      <c r="X130" s="221" t="str">
        <f t="shared" si="15"/>
        <v>-</v>
      </c>
      <c r="Y130" s="221" t="str">
        <f t="shared" si="16"/>
        <v>-</v>
      </c>
      <c r="Z130" s="270">
        <f t="shared" si="44"/>
        <v>0.1</v>
      </c>
      <c r="AA130" s="271" t="str">
        <f>IFERROR(IF(V129=1,AA$100*EXP(-(LN(2)/$D$65+0.04)*X129)*EXP(-(LN(2)/$D$65+0.1)*Y129),IF(V129=2,AA$100*EXP(-(LN(2)/$D$65+0.04)*(VLOOKUP(($F$16-$F$15)-1,U$99:Y129,4,FALSE)))*EXP(-(LN(2)/$D$65+0.1)*(VLOOKUP(($F$16-$F$15)-1,U$99:Y129,5,FALSE)))*EXP(-(LN(2)/$D$65+0.04)*X129)*EXP(-(LN(2)/$D$65+0.1)*Y129),IF(V129=3,AA$100*EXP(-(LN(2)/$D$65+0.04)*(VLOOKUP(($F$16-$F$15)-1,U$99:Y129,4,FALSE)))*EXP(-(LN(2)/$D$65+0.1)*(VLOOKUP(($F$16-$F$15)-1,U$99:Y129,5,FALSE)))*EXP(-(LN(2)/$D$65+0.04)*(VLOOKUP(($F$16-$F$15)*2-1,U$99:Y129,4,FALSE)))*EXP(-(LN(2)/$D$65+0.1)*(VLOOKUP(($F$16-$F$15)*2-1,U$99:Y129,5,FALSE)))*EXP(-(LN(2)/$D$65+0.04)*X129)*EXP(-(LN(2)/$D$65+0.1)*Y129),"-"))),"-")</f>
        <v>-</v>
      </c>
      <c r="AB130" s="271" t="str">
        <f>IFERROR(IF(V130=1,AB$100*EXP(-(LN(2)/$D$65+0.04)*X130)*EXP(-(LN(2)/$D$65+0.1)*Y130),IF(V130=2,AB$100*EXP(-(LN(2)/$D$65+0.04)*(VLOOKUP(($F$16-$F$15)-1,U$100:Y130,4,FALSE)))*EXP(-(LN(2)/$D$65+0.1)*(VLOOKUP(($F$16-$F$15)-1,U$100:Y130,5,FALSE)))*EXP(-(LN(2)/$D$65+0.04)*X130)*EXP(-(LN(2)/$D$65+0.1)*Y130),IF(V130=3,AB$100*EXP(-(LN(2)/$D$65+0.04)*(VLOOKUP(($F$16-$F$15)-1,U$100:Y130,4,FALSE)))*EXP(-(LN(2)/$D$65+0.1)*(VLOOKUP(($F$16-$F$15)-1,U$100:Y130,5,FALSE)))*EXP(-(LN(2)/$D$65+0.04)*(VLOOKUP(($F$16-$F$15)*2-1,U$100:Y130,4,FALSE)))*EXP(-(LN(2)/$D$65+0.1)*(VLOOKUP(($F$16-$F$15)*2-1,U$100:Y130,5,FALSE)))*EXP(-(LN(2)/$D$65+0.04)*X130)*EXP(-(LN(2)/$D$65+0.1)*Y130),"-"))),"-")</f>
        <v>-</v>
      </c>
      <c r="AC130" s="224">
        <f t="shared" si="46"/>
        <v>30</v>
      </c>
      <c r="AD130" s="223" t="str">
        <f t="shared" si="18"/>
        <v>-</v>
      </c>
      <c r="AE130" s="224" t="str">
        <f t="shared" si="47"/>
        <v>-</v>
      </c>
      <c r="AF130" s="224" t="str">
        <f t="shared" si="19"/>
        <v>-</v>
      </c>
      <c r="AG130" s="224" t="str">
        <f t="shared" si="20"/>
        <v>-</v>
      </c>
      <c r="AH130" s="272">
        <f t="shared" si="48"/>
        <v>0.1</v>
      </c>
      <c r="AI130" s="271" t="str">
        <f>IFERROR(IF(AD129=1,AI$100*EXP(-(LN(2)/$D$65+0.04)*AF129)*EXP(-(LN(2)/$D$65+0.1)*AG129),IF(AD129=2,AI$100*EXP(-(LN(2)/$D$65+0.04)*(VLOOKUP(($F$16-$F$15)-1,AC$99:AG129,4,FALSE)))*EXP(-(LN(2)/$D$65+0.1)*(VLOOKUP(($F$16-$F$15)-1,AC$99:AG129,5,FALSE)))*EXP(-(LN(2)/$D$65+0.04)*AF129)*EXP(-(LN(2)/$D$65+0.1)*AG129),IF(AD129=3,AI$100*EXP(-(LN(2)/$D$65+0.04)*(VLOOKUP(($F$16-$F$15)-1,AC$99:AG129,4,FALSE)))*EXP(-(LN(2)/$D$65+0.1)*(VLOOKUP(($F$16-$F$15)-1,AC$99:AG129,5,FALSE)))*EXP(-(LN(2)/$D$65+0.04)*(VLOOKUP(($F$16-$F$15)*2-1,AC$99:AG129,4,FALSE)))*EXP(-(LN(2)/$D$65+0.1)*(VLOOKUP(($F$16-$F$15)*2-1,AC$99:AG129,5,FALSE)))*EXP(-(LN(2)/$D$65+0.04)*AF129)*EXP(-(LN(2)/$D$65+0.1)*AG129),"-"))),"-")</f>
        <v>-</v>
      </c>
      <c r="AJ130" s="271" t="str">
        <f>IFERROR(IF(AD130=1,AJ$100*EXP(-(LN(2)/$D$65+0.04)*AF130)*EXP(-(LN(2)/$D$65+0.1)*AG130),IF(AD130=2,AJ$100*EXP(-(LN(2)/$D$65+0.04)*(VLOOKUP(($F$16-$F$15)-1,AC$100:AG130,4,FALSE)))*EXP(-(LN(2)/$D$65+0.1)*(VLOOKUP(($F$16-$F$15)-1,AC$100:AG130,5,FALSE)))*EXP(-(LN(2)/$D$65+0.04)*AF130)*EXP(-(LN(2)/$D$65+0.1)*AG130),IF(AD130=3,AJ$100*EXP(-(LN(2)/$D$65+0.04)*(VLOOKUP(($F$16-$F$15)-1,AC$100:AG130,4,FALSE)))*EXP(-(LN(2)/$D$65+0.1)*(VLOOKUP(($F$16-$F$15)-1,AC$100:AG130,5,FALSE)))*EXP(-(LN(2)/$D$65+0.04)*(VLOOKUP(($F$16-$F$15)*2-1,AC$100:AG130,4,FALSE)))*EXP(-(LN(2)/$D$65+0.1)*(VLOOKUP(($F$16-$F$15)*2-1,AC$100:AG130,5,FALSE)))*EXP(-(LN(2)/$D$65+0.04)*AF130)*EXP(-(LN(2)/$D$65+0.1)*AG130),"-"))),"-")</f>
        <v>-</v>
      </c>
      <c r="AK130" s="227">
        <f t="shared" si="50"/>
        <v>30</v>
      </c>
      <c r="AL130" s="226" t="str">
        <f t="shared" si="22"/>
        <v>-</v>
      </c>
      <c r="AM130" s="227" t="str">
        <f t="shared" si="51"/>
        <v>-</v>
      </c>
      <c r="AN130" s="227" t="str">
        <f t="shared" si="52"/>
        <v>-</v>
      </c>
      <c r="AO130" s="227" t="str">
        <f t="shared" si="23"/>
        <v>-</v>
      </c>
      <c r="AP130" s="273">
        <f t="shared" si="53"/>
        <v>0.1</v>
      </c>
      <c r="AQ130" s="271" t="str">
        <f>IFERROR(IF(AL129=1,AQ$100*EXP(-(LN(2)/$D$65+0.04)*AN129)*EXP(-(LN(2)/$D$65+0.1)*AO129),IF(AL129=2,AQ$100*EXP(-(LN(2)/$D$65+0.04)*(VLOOKUP(($F$16-$F$15)-1,AK$99:AO129,4,FALSE)))*EXP(-(LN(2)/$D$65+0.1)*(VLOOKUP(($F$16-$F$15)-1,AK$99:AO129,5,FALSE)))*EXP(-(LN(2)/$D$65+0.04)*AN129)*EXP(-(LN(2)/$D$65+0.1)*AO129),IF(AL129=3,AQ$100*EXP(-(LN(2)/$D$65+0.04)*(VLOOKUP(($F$16-$F$15)-1,AK$99:AO129,4,FALSE)))*EXP(-(LN(2)/$D$65+0.1)*(VLOOKUP(($F$16-$F$15)-1,AK$99:AO129,5,FALSE)))*EXP(-(LN(2)/$D$65+0.04)*(VLOOKUP(($F$16-$F$15)*2-1,AK$99:AO129,4,FALSE)))*EXP(-(LN(2)/$D$65+0.1)*(VLOOKUP(($F$16-$F$15)*2-1,AK$99:AO129,5,FALSE)))*EXP(-(LN(2)/$D$65+0.04)*AN129)*EXP(-(LN(2)/$D$65+0.1)*AO129),"-"))),"-")</f>
        <v>-</v>
      </c>
      <c r="AR130" s="271" t="str">
        <f>IFERROR(IF(AL130=1,AR$100*EXP(-(LN(2)/$D$65+0.04)*AN130)*EXP(-(LN(2)/$D$65+0.1)*AO130),IF(AL130=2,AR$100*EXP(-(LN(2)/$D$65+0.04)*(VLOOKUP(($F$16-$F$15)-1,AK$100:AO130,4,FALSE)))*EXP(-(LN(2)/$D$65+0.1)*(VLOOKUP(($F$16-$F$15)-1,AK$100:AO130,5,FALSE)))*EXP(-(LN(2)/$D$65+0.04)*AN130)*EXP(-(LN(2)/$D$65+0.1)*AO130),IF(AL130=3,AR$100*EXP(-(LN(2)/$D$65+0.04)*(VLOOKUP(($F$16-$F$15)-1,AK$100:AO130,4,FALSE)))*EXP(-(LN(2)/$D$65+0.1)*(VLOOKUP(($F$16-$F$15)-1,AK$100:AO130,5,FALSE)))*EXP(-(LN(2)/$D$65+0.04)*(VLOOKUP(($F$16-$F$15)*2-1,AK$100:AO130,4,FALSE)))*EXP(-(LN(2)/$D$65+0.1)*(VLOOKUP(($F$16-$F$15)*2-1,AK$100:AO130,5,FALSE)))*EXP(-(LN(2)/$D$65+0.04)*AN130)*EXP(-(LN(2)/$D$65+0.1)*AO130),"-"))),"-")</f>
        <v>-</v>
      </c>
      <c r="AS130" s="274">
        <f t="shared" si="24"/>
        <v>0</v>
      </c>
      <c r="AT130" s="274">
        <f t="shared" si="25"/>
        <v>0</v>
      </c>
      <c r="AU130" s="274">
        <f t="shared" si="26"/>
        <v>0</v>
      </c>
      <c r="AV130" s="190">
        <f>IF($B130&lt;$F$22,SUM($T$100:$T130),"")</f>
        <v>0</v>
      </c>
      <c r="AW130" s="190" t="str">
        <f t="shared" si="56"/>
        <v>-</v>
      </c>
      <c r="AX130" s="190" t="str">
        <f t="shared" si="57"/>
        <v/>
      </c>
      <c r="AY130"/>
      <c r="AZ130" s="190" t="str">
        <f ca="1">IF(ISNUMBER(OFFSET(AV130,-$F$21,0)),SUM(OFFSET($T$100,$F$21,0):$T130),"")</f>
        <v/>
      </c>
      <c r="BA130" s="190" t="str">
        <f t="shared" ca="1" si="27"/>
        <v/>
      </c>
      <c r="BB130" s="190" t="str">
        <f t="shared" ca="1" si="70"/>
        <v/>
      </c>
      <c r="BC130" s="190"/>
      <c r="BD130" s="190" t="str">
        <f ca="1">IFERROR(IF(AND($B130&gt;=($F$16-$F$15),$B130&lt;$F$22+($F$16-$F$15)),SUM(OFFSET($T$100,($F$16-$F$15),0):$T130),""),"")</f>
        <v/>
      </c>
      <c r="BE130" s="190" t="str">
        <f t="shared" ca="1" si="59"/>
        <v/>
      </c>
      <c r="BF130" s="190" t="str">
        <f t="shared" ca="1" si="60"/>
        <v/>
      </c>
      <c r="BG130"/>
      <c r="BH130" s="190" t="str">
        <f ca="1">IF(ISNUMBER(OFFSET(BD130,-$F$21,0)),SUM(OFFSET($T$100,($F$16-$F$15+$F$21),0):$T130),"")</f>
        <v/>
      </c>
      <c r="BI130" s="190" t="str">
        <f t="shared" ca="1" si="28"/>
        <v/>
      </c>
      <c r="BJ130" s="190" t="str">
        <f t="shared" ca="1" si="61"/>
        <v/>
      </c>
      <c r="BK130" s="190"/>
      <c r="BL130" s="190" t="str">
        <f ca="1">IFERROR(IF(AND($B130&gt;=($F$17-$F$15),$B130&lt;$F$22+($F$17-$F$15)),SUM(OFFSET($T$100,($F$17-$F$15),0):$T130),""),"")</f>
        <v/>
      </c>
      <c r="BM130" s="190" t="str">
        <f t="shared" ca="1" si="29"/>
        <v/>
      </c>
      <c r="BN130" s="190" t="str">
        <f t="shared" ca="1" si="62"/>
        <v/>
      </c>
      <c r="BO130"/>
      <c r="BP130" s="190" t="str">
        <f ca="1">IF(ISNUMBER(OFFSET(BL130,-$F$21,0)),SUM(OFFSET($T$100,($F$17-$F$15+$F$21),0):$T130),"")</f>
        <v/>
      </c>
      <c r="BQ130" s="190" t="str">
        <f t="shared" ca="1" si="63"/>
        <v/>
      </c>
      <c r="BR130" s="190" t="str">
        <f t="shared" ca="1" si="64"/>
        <v/>
      </c>
      <c r="BS130" s="190"/>
      <c r="BT130"/>
      <c r="BU130"/>
      <c r="BV130"/>
      <c r="BY130" s="99"/>
      <c r="BZ130" s="99"/>
      <c r="CA130" s="280" t="str">
        <f t="shared" si="30"/>
        <v/>
      </c>
      <c r="CB130" s="71" t="str">
        <f t="shared" si="31"/>
        <v>-</v>
      </c>
      <c r="CC130" s="33"/>
      <c r="CD130" s="261" t="str">
        <f t="shared" si="33"/>
        <v/>
      </c>
      <c r="CE130" s="280" t="str">
        <f t="shared" si="34"/>
        <v>-</v>
      </c>
      <c r="CF130" s="71" t="str">
        <f t="shared" ca="1" si="35"/>
        <v>-</v>
      </c>
      <c r="CG130" s="33" t="str">
        <f t="shared" si="36"/>
        <v>30-31</v>
      </c>
      <c r="CH130" s="261" t="str">
        <f t="shared" ca="1" si="37"/>
        <v/>
      </c>
      <c r="CI130" s="99"/>
      <c r="CJ130" s="99"/>
      <c r="CK130" s="99"/>
      <c r="CL130" s="99"/>
      <c r="CM130" s="99"/>
      <c r="CN130" s="99"/>
      <c r="CO130" s="99"/>
    </row>
    <row r="131" spans="2:93" ht="13.5" customHeight="1" x14ac:dyDescent="0.2">
      <c r="B131" s="262">
        <v>31</v>
      </c>
      <c r="C131" s="237" t="str">
        <f t="shared" si="1"/>
        <v/>
      </c>
      <c r="D131" s="237" t="str">
        <f t="shared" si="67"/>
        <v>-</v>
      </c>
      <c r="E131" s="290" t="str">
        <f t="shared" si="38"/>
        <v/>
      </c>
      <c r="F131" s="264" t="str">
        <f t="shared" si="39"/>
        <v/>
      </c>
      <c r="G131" s="291" t="str">
        <f t="shared" si="40"/>
        <v/>
      </c>
      <c r="H131" s="240" t="str">
        <f t="shared" si="41"/>
        <v/>
      </c>
      <c r="I131" s="265" t="str">
        <f t="shared" si="2"/>
        <v/>
      </c>
      <c r="J131" s="265" t="str">
        <f t="shared" si="3"/>
        <v/>
      </c>
      <c r="K131" s="240" t="str">
        <f t="shared" si="4"/>
        <v/>
      </c>
      <c r="L131" s="265" t="str">
        <f t="shared" si="5"/>
        <v/>
      </c>
      <c r="M131" s="265" t="str">
        <f t="shared" si="6"/>
        <v/>
      </c>
      <c r="N131" s="240" t="str">
        <f t="shared" si="7"/>
        <v>-</v>
      </c>
      <c r="O131" s="265" t="str">
        <f t="shared" si="8"/>
        <v>-</v>
      </c>
      <c r="P131" s="265" t="str">
        <f t="shared" si="9"/>
        <v>-</v>
      </c>
      <c r="Q131" s="266" t="str">
        <f t="shared" si="10"/>
        <v>-</v>
      </c>
      <c r="R131" s="267" t="str">
        <f t="shared" si="11"/>
        <v>-</v>
      </c>
      <c r="S131" s="268" t="str">
        <f t="shared" si="12"/>
        <v>-</v>
      </c>
      <c r="T131" s="269" t="str">
        <f t="shared" si="13"/>
        <v/>
      </c>
      <c r="U131" s="221">
        <f t="shared" si="14"/>
        <v>31</v>
      </c>
      <c r="V131" s="220" t="str">
        <f t="shared" si="42"/>
        <v>-</v>
      </c>
      <c r="W131" s="221" t="str">
        <f t="shared" si="43"/>
        <v>-</v>
      </c>
      <c r="X131" s="221" t="str">
        <f t="shared" si="15"/>
        <v>-</v>
      </c>
      <c r="Y131" s="221" t="str">
        <f t="shared" si="16"/>
        <v>-</v>
      </c>
      <c r="Z131" s="270">
        <f t="shared" si="44"/>
        <v>0.1</v>
      </c>
      <c r="AA131" s="271" t="str">
        <f>IFERROR(IF(V130=1,AA$100*EXP(-(LN(2)/$D$65+0.04)*X130)*EXP(-(LN(2)/$D$65+0.1)*Y130),IF(V130=2,AA$100*EXP(-(LN(2)/$D$65+0.04)*(VLOOKUP(($F$16-$F$15)-1,U$99:Y130,4,FALSE)))*EXP(-(LN(2)/$D$65+0.1)*(VLOOKUP(($F$16-$F$15)-1,U$99:Y130,5,FALSE)))*EXP(-(LN(2)/$D$65+0.04)*X130)*EXP(-(LN(2)/$D$65+0.1)*Y130),IF(V130=3,AA$100*EXP(-(LN(2)/$D$65+0.04)*(VLOOKUP(($F$16-$F$15)-1,U$99:Y130,4,FALSE)))*EXP(-(LN(2)/$D$65+0.1)*(VLOOKUP(($F$16-$F$15)-1,U$99:Y130,5,FALSE)))*EXP(-(LN(2)/$D$65+0.04)*(VLOOKUP(($F$16-$F$15)*2-1,U$99:Y130,4,FALSE)))*EXP(-(LN(2)/$D$65+0.1)*(VLOOKUP(($F$16-$F$15)*2-1,U$99:Y130,5,FALSE)))*EXP(-(LN(2)/$D$65+0.04)*X130)*EXP(-(LN(2)/$D$65+0.1)*Y130),"-"))),"-")</f>
        <v>-</v>
      </c>
      <c r="AB131" s="271" t="str">
        <f>IFERROR(IF(V131=1,AB$100*EXP(-(LN(2)/$D$65+0.04)*X131)*EXP(-(LN(2)/$D$65+0.1)*Y131),IF(V131=2,AB$100*EXP(-(LN(2)/$D$65+0.04)*(VLOOKUP(($F$16-$F$15)-1,U$100:Y131,4,FALSE)))*EXP(-(LN(2)/$D$65+0.1)*(VLOOKUP(($F$16-$F$15)-1,U$100:Y131,5,FALSE)))*EXP(-(LN(2)/$D$65+0.04)*X131)*EXP(-(LN(2)/$D$65+0.1)*Y131),IF(V131=3,AB$100*EXP(-(LN(2)/$D$65+0.04)*(VLOOKUP(($F$16-$F$15)-1,U$100:Y131,4,FALSE)))*EXP(-(LN(2)/$D$65+0.1)*(VLOOKUP(($F$16-$F$15)-1,U$100:Y131,5,FALSE)))*EXP(-(LN(2)/$D$65+0.04)*(VLOOKUP(($F$16-$F$15)*2-1,U$100:Y131,4,FALSE)))*EXP(-(LN(2)/$D$65+0.1)*(VLOOKUP(($F$16-$F$15)*2-1,U$100:Y131,5,FALSE)))*EXP(-(LN(2)/$D$65+0.04)*X131)*EXP(-(LN(2)/$D$65+0.1)*Y131),"-"))),"-")</f>
        <v>-</v>
      </c>
      <c r="AC131" s="224">
        <f t="shared" si="46"/>
        <v>31</v>
      </c>
      <c r="AD131" s="223" t="str">
        <f t="shared" si="18"/>
        <v>-</v>
      </c>
      <c r="AE131" s="224" t="str">
        <f t="shared" si="47"/>
        <v>-</v>
      </c>
      <c r="AF131" s="224" t="str">
        <f t="shared" si="19"/>
        <v>-</v>
      </c>
      <c r="AG131" s="224" t="str">
        <f t="shared" si="20"/>
        <v>-</v>
      </c>
      <c r="AH131" s="272">
        <f t="shared" si="48"/>
        <v>0.1</v>
      </c>
      <c r="AI131" s="271" t="str">
        <f>IFERROR(IF(AD130=1,AI$100*EXP(-(LN(2)/$D$65+0.04)*AF130)*EXP(-(LN(2)/$D$65+0.1)*AG130),IF(AD130=2,AI$100*EXP(-(LN(2)/$D$65+0.04)*(VLOOKUP(($F$16-$F$15)-1,AC$99:AG130,4,FALSE)))*EXP(-(LN(2)/$D$65+0.1)*(VLOOKUP(($F$16-$F$15)-1,AC$99:AG130,5,FALSE)))*EXP(-(LN(2)/$D$65+0.04)*AF130)*EXP(-(LN(2)/$D$65+0.1)*AG130),IF(AD130=3,AI$100*EXP(-(LN(2)/$D$65+0.04)*(VLOOKUP(($F$16-$F$15)-1,AC$99:AG130,4,FALSE)))*EXP(-(LN(2)/$D$65+0.1)*(VLOOKUP(($F$16-$F$15)-1,AC$99:AG130,5,FALSE)))*EXP(-(LN(2)/$D$65+0.04)*(VLOOKUP(($F$16-$F$15)*2-1,AC$99:AG130,4,FALSE)))*EXP(-(LN(2)/$D$65+0.1)*(VLOOKUP(($F$16-$F$15)*2-1,AC$99:AG130,5,FALSE)))*EXP(-(LN(2)/$D$65+0.04)*AF130)*EXP(-(LN(2)/$D$65+0.1)*AG130),"-"))),"-")</f>
        <v>-</v>
      </c>
      <c r="AJ131" s="271" t="str">
        <f>IFERROR(IF(AD131=1,AJ$100*EXP(-(LN(2)/$D$65+0.04)*AF131)*EXP(-(LN(2)/$D$65+0.1)*AG131),IF(AD131=2,AJ$100*EXP(-(LN(2)/$D$65+0.04)*(VLOOKUP(($F$16-$F$15)-1,AC$100:AG131,4,FALSE)))*EXP(-(LN(2)/$D$65+0.1)*(VLOOKUP(($F$16-$F$15)-1,AC$100:AG131,5,FALSE)))*EXP(-(LN(2)/$D$65+0.04)*AF131)*EXP(-(LN(2)/$D$65+0.1)*AG131),IF(AD131=3,AJ$100*EXP(-(LN(2)/$D$65+0.04)*(VLOOKUP(($F$16-$F$15)-1,AC$100:AG131,4,FALSE)))*EXP(-(LN(2)/$D$65+0.1)*(VLOOKUP(($F$16-$F$15)-1,AC$100:AG131,5,FALSE)))*EXP(-(LN(2)/$D$65+0.04)*(VLOOKUP(($F$16-$F$15)*2-1,AC$100:AG131,4,FALSE)))*EXP(-(LN(2)/$D$65+0.1)*(VLOOKUP(($F$16-$F$15)*2-1,AC$100:AG131,5,FALSE)))*EXP(-(LN(2)/$D$65+0.04)*AF131)*EXP(-(LN(2)/$D$65+0.1)*AG131),"-"))),"-")</f>
        <v>-</v>
      </c>
      <c r="AK131" s="227">
        <f t="shared" si="50"/>
        <v>31</v>
      </c>
      <c r="AL131" s="226" t="str">
        <f t="shared" si="22"/>
        <v>-</v>
      </c>
      <c r="AM131" s="227" t="str">
        <f t="shared" si="51"/>
        <v>-</v>
      </c>
      <c r="AN131" s="227" t="str">
        <f t="shared" si="52"/>
        <v>-</v>
      </c>
      <c r="AO131" s="227" t="str">
        <f t="shared" si="23"/>
        <v>-</v>
      </c>
      <c r="AP131" s="273">
        <f t="shared" si="53"/>
        <v>0.1</v>
      </c>
      <c r="AQ131" s="271" t="str">
        <f>IFERROR(IF(AL130=1,AQ$100*EXP(-(LN(2)/$D$65+0.04)*AN130)*EXP(-(LN(2)/$D$65+0.1)*AO130),IF(AL130=2,AQ$100*EXP(-(LN(2)/$D$65+0.04)*(VLOOKUP(($F$16-$F$15)-1,AK$99:AO130,4,FALSE)))*EXP(-(LN(2)/$D$65+0.1)*(VLOOKUP(($F$16-$F$15)-1,AK$99:AO130,5,FALSE)))*EXP(-(LN(2)/$D$65+0.04)*AN130)*EXP(-(LN(2)/$D$65+0.1)*AO130),IF(AL130=3,AQ$100*EXP(-(LN(2)/$D$65+0.04)*(VLOOKUP(($F$16-$F$15)-1,AK$99:AO130,4,FALSE)))*EXP(-(LN(2)/$D$65+0.1)*(VLOOKUP(($F$16-$F$15)-1,AK$99:AO130,5,FALSE)))*EXP(-(LN(2)/$D$65+0.04)*(VLOOKUP(($F$16-$F$15)*2-1,AK$99:AO130,4,FALSE)))*EXP(-(LN(2)/$D$65+0.1)*(VLOOKUP(($F$16-$F$15)*2-1,AK$99:AO130,5,FALSE)))*EXP(-(LN(2)/$D$65+0.04)*AN130)*EXP(-(LN(2)/$D$65+0.1)*AO130),"-"))),"-")</f>
        <v>-</v>
      </c>
      <c r="AR131" s="271" t="str">
        <f>IFERROR(IF(AL131=1,AR$100*EXP(-(LN(2)/$D$65+0.04)*AN131)*EXP(-(LN(2)/$D$65+0.1)*AO131),IF(AL131=2,AR$100*EXP(-(LN(2)/$D$65+0.04)*(VLOOKUP(($F$16-$F$15)-1,AK$100:AO131,4,FALSE)))*EXP(-(LN(2)/$D$65+0.1)*(VLOOKUP(($F$16-$F$15)-1,AK$100:AO131,5,FALSE)))*EXP(-(LN(2)/$D$65+0.04)*AN131)*EXP(-(LN(2)/$D$65+0.1)*AO131),IF(AL131=3,AR$100*EXP(-(LN(2)/$D$65+0.04)*(VLOOKUP(($F$16-$F$15)-1,AK$100:AO131,4,FALSE)))*EXP(-(LN(2)/$D$65+0.1)*(VLOOKUP(($F$16-$F$15)-1,AK$100:AO131,5,FALSE)))*EXP(-(LN(2)/$D$65+0.04)*(VLOOKUP(($F$16-$F$15)*2-1,AK$100:AO131,4,FALSE)))*EXP(-(LN(2)/$D$65+0.1)*(VLOOKUP(($F$16-$F$15)*2-1,AK$100:AO131,5,FALSE)))*EXP(-(LN(2)/$D$65+0.04)*AN131)*EXP(-(LN(2)/$D$65+0.1)*AO131),"-"))),"-")</f>
        <v>-</v>
      </c>
      <c r="AS131" s="274">
        <f t="shared" si="24"/>
        <v>0</v>
      </c>
      <c r="AT131" s="274">
        <f t="shared" si="25"/>
        <v>0</v>
      </c>
      <c r="AU131" s="274">
        <f t="shared" si="26"/>
        <v>0</v>
      </c>
      <c r="AV131" s="190">
        <f>IF($B131&lt;$F$22,SUM($T$100:$T131),"")</f>
        <v>0</v>
      </c>
      <c r="AW131" s="190" t="str">
        <f t="shared" si="56"/>
        <v>-</v>
      </c>
      <c r="AX131" s="190" t="str">
        <f t="shared" si="57"/>
        <v/>
      </c>
      <c r="AY131"/>
      <c r="AZ131" s="190" t="str">
        <f ca="1">IF(ISNUMBER(OFFSET(AV131,-$F$21,0)),SUM(OFFSET($T$100,$F$21,0):$T131),"")</f>
        <v/>
      </c>
      <c r="BA131" s="190" t="str">
        <f t="shared" ca="1" si="27"/>
        <v/>
      </c>
      <c r="BB131" s="190" t="str">
        <f t="shared" ca="1" si="70"/>
        <v/>
      </c>
      <c r="BC131" s="190"/>
      <c r="BD131" s="190" t="str">
        <f ca="1">IFERROR(IF(AND($B131&gt;=($F$16-$F$15),$B131&lt;$F$22+($F$16-$F$15)),SUM(OFFSET($T$100,($F$16-$F$15),0):$T131),""),"")</f>
        <v/>
      </c>
      <c r="BE131" s="190" t="str">
        <f t="shared" ca="1" si="59"/>
        <v/>
      </c>
      <c r="BF131" s="190" t="str">
        <f t="shared" ca="1" si="60"/>
        <v/>
      </c>
      <c r="BG131"/>
      <c r="BH131" s="190" t="str">
        <f ca="1">IF(ISNUMBER(OFFSET(BD131,-$F$21,0)),SUM(OFFSET($T$100,($F$16-$F$15+$F$21),0):$T131),"")</f>
        <v/>
      </c>
      <c r="BI131" s="190" t="str">
        <f t="shared" ca="1" si="28"/>
        <v/>
      </c>
      <c r="BJ131" s="190" t="str">
        <f t="shared" ca="1" si="61"/>
        <v/>
      </c>
      <c r="BK131" s="190"/>
      <c r="BL131" s="190" t="str">
        <f ca="1">IFERROR(IF(AND($B131&gt;=($F$17-$F$15),$B131&lt;$F$22+($F$17-$F$15)),SUM(OFFSET($T$100,($F$17-$F$15),0):$T131),""),"")</f>
        <v/>
      </c>
      <c r="BM131" s="190" t="str">
        <f t="shared" ca="1" si="29"/>
        <v/>
      </c>
      <c r="BN131" s="190" t="str">
        <f t="shared" ca="1" si="62"/>
        <v/>
      </c>
      <c r="BO131"/>
      <c r="BP131" s="190" t="str">
        <f ca="1">IF(ISNUMBER(OFFSET(BL131,-$F$21,0)),SUM(OFFSET($T$100,($F$17-$F$15+$F$21),0):$T131),"")</f>
        <v/>
      </c>
      <c r="BQ131" s="190" t="str">
        <f t="shared" ca="1" si="63"/>
        <v/>
      </c>
      <c r="BR131" s="190" t="str">
        <f t="shared" ca="1" si="64"/>
        <v/>
      </c>
      <c r="BS131" s="190"/>
      <c r="BT131"/>
      <c r="BU131"/>
      <c r="BV131"/>
      <c r="BY131" s="99"/>
      <c r="BZ131" s="99"/>
      <c r="CA131" s="280" t="str">
        <f t="shared" si="30"/>
        <v/>
      </c>
      <c r="CB131" s="71" t="str">
        <f t="shared" si="31"/>
        <v>-</v>
      </c>
      <c r="CC131" s="33"/>
      <c r="CD131" s="261" t="str">
        <f t="shared" si="33"/>
        <v/>
      </c>
      <c r="CE131" s="280" t="str">
        <f t="shared" si="34"/>
        <v>-</v>
      </c>
      <c r="CF131" s="71" t="str">
        <f t="shared" ca="1" si="35"/>
        <v>-</v>
      </c>
      <c r="CG131" s="33" t="str">
        <f t="shared" si="36"/>
        <v>31-32</v>
      </c>
      <c r="CH131" s="261" t="str">
        <f t="shared" ca="1" si="37"/>
        <v/>
      </c>
      <c r="CI131" s="99"/>
      <c r="CJ131" s="99"/>
      <c r="CK131" s="99"/>
      <c r="CL131" s="99"/>
      <c r="CM131" s="99"/>
      <c r="CN131" s="99"/>
      <c r="CO131" s="99"/>
    </row>
    <row r="132" spans="2:93" ht="13.5" customHeight="1" x14ac:dyDescent="0.2">
      <c r="B132" s="262">
        <v>32</v>
      </c>
      <c r="C132" s="237" t="str">
        <f t="shared" si="1"/>
        <v/>
      </c>
      <c r="D132" s="237" t="str">
        <f t="shared" si="67"/>
        <v>-</v>
      </c>
      <c r="E132" s="290" t="str">
        <f t="shared" si="38"/>
        <v/>
      </c>
      <c r="F132" s="264" t="str">
        <f t="shared" si="39"/>
        <v/>
      </c>
      <c r="G132" s="291" t="str">
        <f t="shared" si="40"/>
        <v/>
      </c>
      <c r="H132" s="240" t="str">
        <f t="shared" ref="H132:H163" si="71">IF(E132&lt;&gt;"",IF($B132&lt;$F$21,"",IF(ISNUMBER(F132),IF(ISNUMBER(I132),(E132*30*50*ffp),""),(E132*30*50*ffp))),"")</f>
        <v/>
      </c>
      <c r="I132" s="265" t="str">
        <f t="shared" ref="I132:I163" si="72">IFERROR(IF(F132&lt;&gt;"",IF($B132&lt;$F$21+$F$16,"",IF(ISNUMBER(G132),IF(ISNUMBER(J132),(F132*30*50*ffp),""),(F132*30*50*ffp))),""),"")</f>
        <v/>
      </c>
      <c r="J132" s="265" t="str">
        <f t="shared" ref="J132:J163" si="73">IFERROR(IF(G132&lt;&gt;"",IF($B132&lt;$F$21+$F$17,"",(G132*30*50*ffp)),""),"")</f>
        <v/>
      </c>
      <c r="K132" s="240" t="str">
        <f t="shared" ref="K132:K163" si="74">IF(E132&lt;&gt;"",((E132*20*50*ffp)/Klevee),"")</f>
        <v/>
      </c>
      <c r="L132" s="265" t="str">
        <f t="shared" ref="L132:L163" si="75">IF(ISNUMBER(F132),((F132*20*50*ffp)/Klevee),"")</f>
        <v/>
      </c>
      <c r="M132" s="265" t="str">
        <f t="shared" ref="M132:M163" si="76">IF(ISNUMBER(G132),((G132*20*50*ffp)/Klevee),"")</f>
        <v/>
      </c>
      <c r="N132" s="240" t="str">
        <f t="shared" ref="N132:N163" si="77">IF(AND(ISNUMBER(I),ISNUMBER($F$14),ISNUMBER($F$20)),IF($B132=0,I*($J$40/100)*$J$42*1,""),"-")</f>
        <v>-</v>
      </c>
      <c r="O132" s="265" t="str">
        <f t="shared" ref="O132:O163" si="78">IF(ISNUMBER($F$14),IF($F$14&gt;1,IF($B132=0+$F$16,I*($J$40/100)*$J$42*1,""),""),"-")</f>
        <v>-</v>
      </c>
      <c r="P132" s="265" t="str">
        <f t="shared" ref="P132:P163" si="79">IF(ISNUMBER($F$14),IF($F$14&gt;2,IF($B132=0+$F$17,I*($J$40/100)*$J$42*1,""),""),"-")</f>
        <v>-</v>
      </c>
      <c r="Q132" s="266" t="str">
        <f t="shared" ref="Q132:Q163" si="80">IF(AND(ISNUMBER(I),ISNUMBER($F$14),ISNUMBER($F$20)),IF($B132=0,I*(dt/100)*$J$45*1,""),"-")</f>
        <v>-</v>
      </c>
      <c r="R132" s="267" t="str">
        <f t="shared" ref="R132:R163" si="81">IF(ISNUMBER($F$14),IF($F$14&gt;1,IF($B132=0+$F$16,I*(dt/100)*$J$45*1,""),""),"-")</f>
        <v>-</v>
      </c>
      <c r="S132" s="268" t="str">
        <f t="shared" ref="S132:S163" si="82">IF(ISNUMBER($F$14),IF($F$14&gt;2,IF($B132=0+$F$17,I*(dt/100)*$J$45*1,""),""),"-")</f>
        <v>-</v>
      </c>
      <c r="T132" s="269" t="str">
        <f t="shared" si="13"/>
        <v/>
      </c>
      <c r="U132" s="221">
        <f t="shared" si="14"/>
        <v>32</v>
      </c>
      <c r="V132" s="220" t="str">
        <f t="shared" si="42"/>
        <v>-</v>
      </c>
      <c r="W132" s="221" t="str">
        <f t="shared" si="43"/>
        <v>-</v>
      </c>
      <c r="X132" s="221" t="str">
        <f t="shared" si="15"/>
        <v>-</v>
      </c>
      <c r="Y132" s="221" t="str">
        <f t="shared" si="16"/>
        <v>-</v>
      </c>
      <c r="Z132" s="270">
        <f t="shared" si="44"/>
        <v>0.1</v>
      </c>
      <c r="AA132" s="271" t="str">
        <f>IFERROR(IF(V131=1,AA$100*EXP(-(LN(2)/$D$65+0.04)*X131)*EXP(-(LN(2)/$D$65+0.1)*Y131),IF(V131=2,AA$100*EXP(-(LN(2)/$D$65+0.04)*(VLOOKUP(($F$16-$F$15)-1,U$99:Y131,4,FALSE)))*EXP(-(LN(2)/$D$65+0.1)*(VLOOKUP(($F$16-$F$15)-1,U$99:Y131,5,FALSE)))*EXP(-(LN(2)/$D$65+0.04)*X131)*EXP(-(LN(2)/$D$65+0.1)*Y131),IF(V131=3,AA$100*EXP(-(LN(2)/$D$65+0.04)*(VLOOKUP(($F$16-$F$15)-1,U$99:Y131,4,FALSE)))*EXP(-(LN(2)/$D$65+0.1)*(VLOOKUP(($F$16-$F$15)-1,U$99:Y131,5,FALSE)))*EXP(-(LN(2)/$D$65+0.04)*(VLOOKUP(($F$16-$F$15)*2-1,U$99:Y131,4,FALSE)))*EXP(-(LN(2)/$D$65+0.1)*(VLOOKUP(($F$16-$F$15)*2-1,U$99:Y131,5,FALSE)))*EXP(-(LN(2)/$D$65+0.04)*X131)*EXP(-(LN(2)/$D$65+0.1)*Y131),"-"))),"-")</f>
        <v>-</v>
      </c>
      <c r="AB132" s="271" t="str">
        <f>IFERROR(IF(V132=1,AB$100*EXP(-(LN(2)/$D$65+0.04)*X132)*EXP(-(LN(2)/$D$65+0.1)*Y132),IF(V132=2,AB$100*EXP(-(LN(2)/$D$65+0.04)*(VLOOKUP(($F$16-$F$15)-1,U$100:Y132,4,FALSE)))*EXP(-(LN(2)/$D$65+0.1)*(VLOOKUP(($F$16-$F$15)-1,U$100:Y132,5,FALSE)))*EXP(-(LN(2)/$D$65+0.04)*X132)*EXP(-(LN(2)/$D$65+0.1)*Y132),IF(V132=3,AB$100*EXP(-(LN(2)/$D$65+0.04)*(VLOOKUP(($F$16-$F$15)-1,U$100:Y132,4,FALSE)))*EXP(-(LN(2)/$D$65+0.1)*(VLOOKUP(($F$16-$F$15)-1,U$100:Y132,5,FALSE)))*EXP(-(LN(2)/$D$65+0.04)*(VLOOKUP(($F$16-$F$15)*2-1,U$100:Y132,4,FALSE)))*EXP(-(LN(2)/$D$65+0.1)*(VLOOKUP(($F$16-$F$15)*2-1,U$100:Y132,5,FALSE)))*EXP(-(LN(2)/$D$65+0.04)*X132)*EXP(-(LN(2)/$D$65+0.1)*Y132),"-"))),"-")</f>
        <v>-</v>
      </c>
      <c r="AC132" s="224">
        <f t="shared" si="46"/>
        <v>32</v>
      </c>
      <c r="AD132" s="223" t="str">
        <f t="shared" si="18"/>
        <v>-</v>
      </c>
      <c r="AE132" s="224" t="str">
        <f t="shared" si="47"/>
        <v>-</v>
      </c>
      <c r="AF132" s="224" t="str">
        <f t="shared" si="19"/>
        <v>-</v>
      </c>
      <c r="AG132" s="224" t="str">
        <f t="shared" si="20"/>
        <v>-</v>
      </c>
      <c r="AH132" s="272">
        <f t="shared" si="48"/>
        <v>0.1</v>
      </c>
      <c r="AI132" s="271" t="str">
        <f>IFERROR(IF(AD131=1,AI$100*EXP(-(LN(2)/$D$65+0.04)*AF131)*EXP(-(LN(2)/$D$65+0.1)*AG131),IF(AD131=2,AI$100*EXP(-(LN(2)/$D$65+0.04)*(VLOOKUP(($F$16-$F$15)-1,AC$99:AG131,4,FALSE)))*EXP(-(LN(2)/$D$65+0.1)*(VLOOKUP(($F$16-$F$15)-1,AC$99:AG131,5,FALSE)))*EXP(-(LN(2)/$D$65+0.04)*AF131)*EXP(-(LN(2)/$D$65+0.1)*AG131),IF(AD131=3,AI$100*EXP(-(LN(2)/$D$65+0.04)*(VLOOKUP(($F$16-$F$15)-1,AC$99:AG131,4,FALSE)))*EXP(-(LN(2)/$D$65+0.1)*(VLOOKUP(($F$16-$F$15)-1,AC$99:AG131,5,FALSE)))*EXP(-(LN(2)/$D$65+0.04)*(VLOOKUP(($F$16-$F$15)*2-1,AC$99:AG131,4,FALSE)))*EXP(-(LN(2)/$D$65+0.1)*(VLOOKUP(($F$16-$F$15)*2-1,AC$99:AG131,5,FALSE)))*EXP(-(LN(2)/$D$65+0.04)*AF131)*EXP(-(LN(2)/$D$65+0.1)*AG131),"-"))),"-")</f>
        <v>-</v>
      </c>
      <c r="AJ132" s="271" t="str">
        <f>IFERROR(IF(AD132=1,AJ$100*EXP(-(LN(2)/$D$65+0.04)*AF132)*EXP(-(LN(2)/$D$65+0.1)*AG132),IF(AD132=2,AJ$100*EXP(-(LN(2)/$D$65+0.04)*(VLOOKUP(($F$16-$F$15)-1,AC$100:AG132,4,FALSE)))*EXP(-(LN(2)/$D$65+0.1)*(VLOOKUP(($F$16-$F$15)-1,AC$100:AG132,5,FALSE)))*EXP(-(LN(2)/$D$65+0.04)*AF132)*EXP(-(LN(2)/$D$65+0.1)*AG132),IF(AD132=3,AJ$100*EXP(-(LN(2)/$D$65+0.04)*(VLOOKUP(($F$16-$F$15)-1,AC$100:AG132,4,FALSE)))*EXP(-(LN(2)/$D$65+0.1)*(VLOOKUP(($F$16-$F$15)-1,AC$100:AG132,5,FALSE)))*EXP(-(LN(2)/$D$65+0.04)*(VLOOKUP(($F$16-$F$15)*2-1,AC$100:AG132,4,FALSE)))*EXP(-(LN(2)/$D$65+0.1)*(VLOOKUP(($F$16-$F$15)*2-1,AC$100:AG132,5,FALSE)))*EXP(-(LN(2)/$D$65+0.04)*AF132)*EXP(-(LN(2)/$D$65+0.1)*AG132),"-"))),"-")</f>
        <v>-</v>
      </c>
      <c r="AK132" s="227">
        <f t="shared" si="50"/>
        <v>32</v>
      </c>
      <c r="AL132" s="226" t="str">
        <f t="shared" si="22"/>
        <v>-</v>
      </c>
      <c r="AM132" s="227" t="str">
        <f t="shared" si="51"/>
        <v>-</v>
      </c>
      <c r="AN132" s="227" t="str">
        <f t="shared" si="52"/>
        <v>-</v>
      </c>
      <c r="AO132" s="227" t="str">
        <f t="shared" si="23"/>
        <v>-</v>
      </c>
      <c r="AP132" s="273">
        <f t="shared" si="53"/>
        <v>0.1</v>
      </c>
      <c r="AQ132" s="271" t="str">
        <f>IFERROR(IF(AL131=1,AQ$100*EXP(-(LN(2)/$D$65+0.04)*AN131)*EXP(-(LN(2)/$D$65+0.1)*AO131),IF(AL131=2,AQ$100*EXP(-(LN(2)/$D$65+0.04)*(VLOOKUP(($F$16-$F$15)-1,AK$99:AO131,4,FALSE)))*EXP(-(LN(2)/$D$65+0.1)*(VLOOKUP(($F$16-$F$15)-1,AK$99:AO131,5,FALSE)))*EXP(-(LN(2)/$D$65+0.04)*AN131)*EXP(-(LN(2)/$D$65+0.1)*AO131),IF(AL131=3,AQ$100*EXP(-(LN(2)/$D$65+0.04)*(VLOOKUP(($F$16-$F$15)-1,AK$99:AO131,4,FALSE)))*EXP(-(LN(2)/$D$65+0.1)*(VLOOKUP(($F$16-$F$15)-1,AK$99:AO131,5,FALSE)))*EXP(-(LN(2)/$D$65+0.04)*(VLOOKUP(($F$16-$F$15)*2-1,AK$99:AO131,4,FALSE)))*EXP(-(LN(2)/$D$65+0.1)*(VLOOKUP(($F$16-$F$15)*2-1,AK$99:AO131,5,FALSE)))*EXP(-(LN(2)/$D$65+0.04)*AN131)*EXP(-(LN(2)/$D$65+0.1)*AO131),"-"))),"-")</f>
        <v>-</v>
      </c>
      <c r="AR132" s="271" t="str">
        <f>IFERROR(IF(AL132=1,AR$100*EXP(-(LN(2)/$D$65+0.04)*AN132)*EXP(-(LN(2)/$D$65+0.1)*AO132),IF(AL132=2,AR$100*EXP(-(LN(2)/$D$65+0.04)*(VLOOKUP(($F$16-$F$15)-1,AK$100:AO132,4,FALSE)))*EXP(-(LN(2)/$D$65+0.1)*(VLOOKUP(($F$16-$F$15)-1,AK$100:AO132,5,FALSE)))*EXP(-(LN(2)/$D$65+0.04)*AN132)*EXP(-(LN(2)/$D$65+0.1)*AO132),IF(AL132=3,AR$100*EXP(-(LN(2)/$D$65+0.04)*(VLOOKUP(($F$16-$F$15)-1,AK$100:AO132,4,FALSE)))*EXP(-(LN(2)/$D$65+0.1)*(VLOOKUP(($F$16-$F$15)-1,AK$100:AO132,5,FALSE)))*EXP(-(LN(2)/$D$65+0.04)*(VLOOKUP(($F$16-$F$15)*2-1,AK$100:AO132,4,FALSE)))*EXP(-(LN(2)/$D$65+0.1)*(VLOOKUP(($F$16-$F$15)*2-1,AK$100:AO132,5,FALSE)))*EXP(-(LN(2)/$D$65+0.04)*AN132)*EXP(-(LN(2)/$D$65+0.1)*AO132),"-"))),"-")</f>
        <v>-</v>
      </c>
      <c r="AS132" s="274">
        <f t="shared" si="24"/>
        <v>0</v>
      </c>
      <c r="AT132" s="274">
        <f t="shared" si="25"/>
        <v>0</v>
      </c>
      <c r="AU132" s="274">
        <f t="shared" si="26"/>
        <v>0</v>
      </c>
      <c r="AV132" s="190">
        <f>IF($B132&lt;$F$22,SUM($T$100:$T132),"")</f>
        <v>0</v>
      </c>
      <c r="AW132" s="190" t="str">
        <f t="shared" ref="AW132:AW163" si="83">IF(ISNUMBER(Koc),IF(ISNUMBER(AV132),AV132*(Koc*(Ocse/100)*Pse*Vse)/(Koc*(Ocse/100)*Pse*Vse+1*86400*($B132+1)),""),"-")</f>
        <v>-</v>
      </c>
      <c r="AX132" s="190" t="str">
        <f t="shared" si="57"/>
        <v/>
      </c>
      <c r="AY132"/>
      <c r="AZ132" s="190" t="str">
        <f ca="1">IF(ISNUMBER(OFFSET(AV132,-$F$21,0)),SUM(OFFSET($T$100,$F$21,0):$T132),"")</f>
        <v/>
      </c>
      <c r="BA132" s="190" t="str">
        <f t="shared" ref="BA132:BA163" ca="1" si="84">IF(ISNUMBER(OFFSET(AV132,-$F$21,0)),AZ132*(Koc*(Ocse/100)*Pse*Vse)/(Koc*(Ocse/100)*Pse*Vse+1*86400*($B132+1)),"")</f>
        <v/>
      </c>
      <c r="BB132" s="190" t="str">
        <f t="shared" ca="1" si="70"/>
        <v/>
      </c>
      <c r="BC132" s="190"/>
      <c r="BD132" s="190" t="str">
        <f ca="1">IFERROR(IF(AND($B132&gt;=($F$16-$F$15),$B132&lt;$F$22+($F$16-$F$15)),SUM(OFFSET($T$100,($F$16-$F$15),0):$T132),""),"")</f>
        <v/>
      </c>
      <c r="BE132" s="190" t="str">
        <f t="shared" ca="1" si="59"/>
        <v/>
      </c>
      <c r="BF132" s="190" t="str">
        <f t="shared" ca="1" si="60"/>
        <v/>
      </c>
      <c r="BG132"/>
      <c r="BH132" s="190" t="str">
        <f ca="1">IF(ISNUMBER(OFFSET(BD132,-$F$21,0)),SUM(OFFSET($T$100,($F$16-$F$15+$F$21),0):$T132),"")</f>
        <v/>
      </c>
      <c r="BI132" s="190" t="str">
        <f t="shared" ref="BI132:BI163" ca="1" si="85">IF(ISNUMBER(OFFSET(BD132,-$F$21,0)),BH132*(Koc*(Ocse/100)*Pse*Vse)/(Koc*(Ocse/100)*Pse*Vse+1*86400*($B132+1)),"")</f>
        <v/>
      </c>
      <c r="BJ132" s="190" t="str">
        <f t="shared" ca="1" si="61"/>
        <v/>
      </c>
      <c r="BK132" s="190"/>
      <c r="BL132" s="190" t="str">
        <f ca="1">IFERROR(IF(AND($B132&gt;=($F$17-$F$15),$B132&lt;$F$22+($F$17-$F$15)),SUM(OFFSET($T$100,($F$17-$F$15),0):$T132),""),"")</f>
        <v/>
      </c>
      <c r="BM132" s="190" t="str">
        <f t="shared" ref="BM132:BM163" ca="1" si="86">IF(ISNUMBER(BL132),BL132*(Koc*(Ocse/100)*Pse*Vse)/(Koc*(Ocse/100)*Pse*Vse+1*86400*($B132+1)),"")</f>
        <v/>
      </c>
      <c r="BN132" s="190" t="str">
        <f t="shared" ca="1" si="62"/>
        <v/>
      </c>
      <c r="BO132"/>
      <c r="BP132" s="190" t="str">
        <f ca="1">IF(ISNUMBER(OFFSET(BL132,-$F$21,0)),SUM(OFFSET($T$100,($F$17-$F$15+$F$21),0):$T132),"")</f>
        <v/>
      </c>
      <c r="BQ132" s="190" t="str">
        <f t="shared" ref="BQ132:BQ163" ca="1" si="87">IF(ISNUMBER(OFFSET(BL132,-$F$21,0)),BP132*(Koc*(Ocse/100)*Pse*Vse)/(Koc*(Ocse/100)*Pse*Vse+1*86400*($B132+1)),"")</f>
        <v/>
      </c>
      <c r="BR132" s="190" t="str">
        <f t="shared" ca="1" si="64"/>
        <v/>
      </c>
      <c r="BS132" s="190"/>
      <c r="BT132"/>
      <c r="BU132"/>
      <c r="BV132"/>
      <c r="BY132" s="99"/>
      <c r="BZ132" s="99"/>
      <c r="CA132" s="280" t="str">
        <f t="shared" ref="CA132:CA163" si="88">IFERROR(IF($B132&lt;$CA$94,T132*(Koc*(Ocse/100)*Pse*Vse)/(Koc*(Ocse/100)*Pse*Vse+1*86400*$CA$94),""),"-")</f>
        <v/>
      </c>
      <c r="CB132" s="71" t="str">
        <f t="shared" si="31"/>
        <v>-</v>
      </c>
      <c r="CC132" s="33"/>
      <c r="CD132" s="261" t="str">
        <f t="shared" si="33"/>
        <v/>
      </c>
      <c r="CE132" s="280" t="str">
        <f t="shared" ref="CE132:CE163" si="89">IFERROR(IF($B132&lt;$CE$94,T132*(Koc*(Ocse/100)*Pse*Vse)/(Koc*(Ocse/100)*Pse*Vse+1*86400*$CE$94),""),"-")</f>
        <v>-</v>
      </c>
      <c r="CF132" s="71" t="str">
        <f t="shared" ref="CF132:CF163" ca="1" si="90">IFERROR(IF($B132&lt;$CE$94,IF(NOT(ISNUMBER(ffp)),"-",IF($F$70=$AX$87,AX132,IF($F$70=$BB$87,OFFSET(BB132,$F$21,0),IF($F$70=$BF$87,OFFSET(BF132,$F$16,0),IF($F$70=$BJ$87,OFFSET(BJ132,$F$16+$F$21,0),IF($F$70=$BN$87,OFFSET(BN132,$F$17,0),OFFSET(BR132,$F$17+$F$21,0))))))),""),"-")</f>
        <v>-</v>
      </c>
      <c r="CG132" s="33" t="str">
        <f t="shared" si="36"/>
        <v>32-33</v>
      </c>
      <c r="CH132" s="261" t="str">
        <f t="shared" ca="1" si="37"/>
        <v/>
      </c>
      <c r="CI132" s="99"/>
      <c r="CJ132" s="99"/>
      <c r="CK132" s="99"/>
      <c r="CL132" s="99"/>
      <c r="CM132" s="99"/>
      <c r="CN132" s="99"/>
      <c r="CO132" s="99"/>
    </row>
    <row r="133" spans="2:93" ht="13.5" customHeight="1" x14ac:dyDescent="0.2">
      <c r="B133" s="262">
        <v>33</v>
      </c>
      <c r="C133" s="237" t="str">
        <f t="shared" si="1"/>
        <v/>
      </c>
      <c r="D133" s="237" t="str">
        <f t="shared" si="67"/>
        <v>-</v>
      </c>
      <c r="E133" s="290" t="str">
        <f t="shared" si="38"/>
        <v/>
      </c>
      <c r="F133" s="264" t="str">
        <f t="shared" si="39"/>
        <v/>
      </c>
      <c r="G133" s="291" t="str">
        <f t="shared" si="40"/>
        <v/>
      </c>
      <c r="H133" s="240" t="str">
        <f t="shared" si="71"/>
        <v/>
      </c>
      <c r="I133" s="265" t="str">
        <f t="shared" si="72"/>
        <v/>
      </c>
      <c r="J133" s="265" t="str">
        <f t="shared" si="73"/>
        <v/>
      </c>
      <c r="K133" s="240" t="str">
        <f t="shared" si="74"/>
        <v/>
      </c>
      <c r="L133" s="265" t="str">
        <f t="shared" si="75"/>
        <v/>
      </c>
      <c r="M133" s="265" t="str">
        <f t="shared" si="76"/>
        <v/>
      </c>
      <c r="N133" s="240" t="str">
        <f t="shared" si="77"/>
        <v>-</v>
      </c>
      <c r="O133" s="265" t="str">
        <f t="shared" si="78"/>
        <v>-</v>
      </c>
      <c r="P133" s="265" t="str">
        <f t="shared" si="79"/>
        <v>-</v>
      </c>
      <c r="Q133" s="266" t="str">
        <f t="shared" si="80"/>
        <v>-</v>
      </c>
      <c r="R133" s="267" t="str">
        <f t="shared" si="81"/>
        <v>-</v>
      </c>
      <c r="S133" s="268" t="str">
        <f t="shared" si="82"/>
        <v>-</v>
      </c>
      <c r="T133" s="269" t="str">
        <f t="shared" si="13"/>
        <v/>
      </c>
      <c r="U133" s="221">
        <f t="shared" si="14"/>
        <v>33</v>
      </c>
      <c r="V133" s="220" t="str">
        <f t="shared" si="42"/>
        <v>-</v>
      </c>
      <c r="W133" s="221" t="str">
        <f t="shared" si="43"/>
        <v>-</v>
      </c>
      <c r="X133" s="221" t="str">
        <f t="shared" si="15"/>
        <v>-</v>
      </c>
      <c r="Y133" s="221" t="str">
        <f t="shared" si="16"/>
        <v>-</v>
      </c>
      <c r="Z133" s="270">
        <f t="shared" si="44"/>
        <v>0.1</v>
      </c>
      <c r="AA133" s="271" t="str">
        <f>IFERROR(IF(V132=1,AA$100*EXP(-(LN(2)/$D$65+0.04)*X132)*EXP(-(LN(2)/$D$65+0.1)*Y132),IF(V132=2,AA$100*EXP(-(LN(2)/$D$65+0.04)*(VLOOKUP(($F$16-$F$15)-1,U$99:Y132,4,FALSE)))*EXP(-(LN(2)/$D$65+0.1)*(VLOOKUP(($F$16-$F$15)-1,U$99:Y132,5,FALSE)))*EXP(-(LN(2)/$D$65+0.04)*X132)*EXP(-(LN(2)/$D$65+0.1)*Y132),IF(V132=3,AA$100*EXP(-(LN(2)/$D$65+0.04)*(VLOOKUP(($F$16-$F$15)-1,U$99:Y132,4,FALSE)))*EXP(-(LN(2)/$D$65+0.1)*(VLOOKUP(($F$16-$F$15)-1,U$99:Y132,5,FALSE)))*EXP(-(LN(2)/$D$65+0.04)*(VLOOKUP(($F$16-$F$15)*2-1,U$99:Y132,4,FALSE)))*EXP(-(LN(2)/$D$65+0.1)*(VLOOKUP(($F$16-$F$15)*2-1,U$99:Y132,5,FALSE)))*EXP(-(LN(2)/$D$65+0.04)*X132)*EXP(-(LN(2)/$D$65+0.1)*Y132),"-"))),"-")</f>
        <v>-</v>
      </c>
      <c r="AB133" s="271" t="str">
        <f>IFERROR(IF(V133=1,AB$100*EXP(-(LN(2)/$D$65+0.04)*X133)*EXP(-(LN(2)/$D$65+0.1)*Y133),IF(V133=2,AB$100*EXP(-(LN(2)/$D$65+0.04)*(VLOOKUP(($F$16-$F$15)-1,U$100:Y133,4,FALSE)))*EXP(-(LN(2)/$D$65+0.1)*(VLOOKUP(($F$16-$F$15)-1,U$100:Y133,5,FALSE)))*EXP(-(LN(2)/$D$65+0.04)*X133)*EXP(-(LN(2)/$D$65+0.1)*Y133),IF(V133=3,AB$100*EXP(-(LN(2)/$D$65+0.04)*(VLOOKUP(($F$16-$F$15)-1,U$100:Y133,4,FALSE)))*EXP(-(LN(2)/$D$65+0.1)*(VLOOKUP(($F$16-$F$15)-1,U$100:Y133,5,FALSE)))*EXP(-(LN(2)/$D$65+0.04)*(VLOOKUP(($F$16-$F$15)*2-1,U$100:Y133,4,FALSE)))*EXP(-(LN(2)/$D$65+0.1)*(VLOOKUP(($F$16-$F$15)*2-1,U$100:Y133,5,FALSE)))*EXP(-(LN(2)/$D$65+0.04)*X133)*EXP(-(LN(2)/$D$65+0.1)*Y133),"-"))),"-")</f>
        <v>-</v>
      </c>
      <c r="AC133" s="224">
        <f t="shared" si="46"/>
        <v>33</v>
      </c>
      <c r="AD133" s="223" t="str">
        <f t="shared" si="18"/>
        <v>-</v>
      </c>
      <c r="AE133" s="224" t="str">
        <f t="shared" si="47"/>
        <v>-</v>
      </c>
      <c r="AF133" s="224" t="str">
        <f t="shared" si="19"/>
        <v>-</v>
      </c>
      <c r="AG133" s="224" t="str">
        <f t="shared" si="20"/>
        <v>-</v>
      </c>
      <c r="AH133" s="272">
        <f t="shared" si="48"/>
        <v>0.1</v>
      </c>
      <c r="AI133" s="271" t="str">
        <f>IFERROR(IF(AD132=1,AI$100*EXP(-(LN(2)/$D$65+0.04)*AF132)*EXP(-(LN(2)/$D$65+0.1)*AG132),IF(AD132=2,AI$100*EXP(-(LN(2)/$D$65+0.04)*(VLOOKUP(($F$16-$F$15)-1,AC$99:AG132,4,FALSE)))*EXP(-(LN(2)/$D$65+0.1)*(VLOOKUP(($F$16-$F$15)-1,AC$99:AG132,5,FALSE)))*EXP(-(LN(2)/$D$65+0.04)*AF132)*EXP(-(LN(2)/$D$65+0.1)*AG132),IF(AD132=3,AI$100*EXP(-(LN(2)/$D$65+0.04)*(VLOOKUP(($F$16-$F$15)-1,AC$99:AG132,4,FALSE)))*EXP(-(LN(2)/$D$65+0.1)*(VLOOKUP(($F$16-$F$15)-1,AC$99:AG132,5,FALSE)))*EXP(-(LN(2)/$D$65+0.04)*(VLOOKUP(($F$16-$F$15)*2-1,AC$99:AG132,4,FALSE)))*EXP(-(LN(2)/$D$65+0.1)*(VLOOKUP(($F$16-$F$15)*2-1,AC$99:AG132,5,FALSE)))*EXP(-(LN(2)/$D$65+0.04)*AF132)*EXP(-(LN(2)/$D$65+0.1)*AG132),"-"))),"-")</f>
        <v>-</v>
      </c>
      <c r="AJ133" s="271" t="str">
        <f>IFERROR(IF(AD133=1,AJ$100*EXP(-(LN(2)/$D$65+0.04)*AF133)*EXP(-(LN(2)/$D$65+0.1)*AG133),IF(AD133=2,AJ$100*EXP(-(LN(2)/$D$65+0.04)*(VLOOKUP(($F$16-$F$15)-1,AC$100:AG133,4,FALSE)))*EXP(-(LN(2)/$D$65+0.1)*(VLOOKUP(($F$16-$F$15)-1,AC$100:AG133,5,FALSE)))*EXP(-(LN(2)/$D$65+0.04)*AF133)*EXP(-(LN(2)/$D$65+0.1)*AG133),IF(AD133=3,AJ$100*EXP(-(LN(2)/$D$65+0.04)*(VLOOKUP(($F$16-$F$15)-1,AC$100:AG133,4,FALSE)))*EXP(-(LN(2)/$D$65+0.1)*(VLOOKUP(($F$16-$F$15)-1,AC$100:AG133,5,FALSE)))*EXP(-(LN(2)/$D$65+0.04)*(VLOOKUP(($F$16-$F$15)*2-1,AC$100:AG133,4,FALSE)))*EXP(-(LN(2)/$D$65+0.1)*(VLOOKUP(($F$16-$F$15)*2-1,AC$100:AG133,5,FALSE)))*EXP(-(LN(2)/$D$65+0.04)*AF133)*EXP(-(LN(2)/$D$65+0.1)*AG133),"-"))),"-")</f>
        <v>-</v>
      </c>
      <c r="AK133" s="227">
        <f t="shared" si="50"/>
        <v>33</v>
      </c>
      <c r="AL133" s="226" t="str">
        <f t="shared" si="22"/>
        <v>-</v>
      </c>
      <c r="AM133" s="227" t="str">
        <f t="shared" si="51"/>
        <v>-</v>
      </c>
      <c r="AN133" s="227" t="str">
        <f t="shared" si="52"/>
        <v>-</v>
      </c>
      <c r="AO133" s="227" t="str">
        <f t="shared" si="23"/>
        <v>-</v>
      </c>
      <c r="AP133" s="273">
        <f t="shared" si="53"/>
        <v>0.1</v>
      </c>
      <c r="AQ133" s="271" t="str">
        <f>IFERROR(IF(AL132=1,AQ$100*EXP(-(LN(2)/$D$65+0.04)*AN132)*EXP(-(LN(2)/$D$65+0.1)*AO132),IF(AL132=2,AQ$100*EXP(-(LN(2)/$D$65+0.04)*(VLOOKUP(($F$16-$F$15)-1,AK$99:AO132,4,FALSE)))*EXP(-(LN(2)/$D$65+0.1)*(VLOOKUP(($F$16-$F$15)-1,AK$99:AO132,5,FALSE)))*EXP(-(LN(2)/$D$65+0.04)*AN132)*EXP(-(LN(2)/$D$65+0.1)*AO132),IF(AL132=3,AQ$100*EXP(-(LN(2)/$D$65+0.04)*(VLOOKUP(($F$16-$F$15)-1,AK$99:AO132,4,FALSE)))*EXP(-(LN(2)/$D$65+0.1)*(VLOOKUP(($F$16-$F$15)-1,AK$99:AO132,5,FALSE)))*EXP(-(LN(2)/$D$65+0.04)*(VLOOKUP(($F$16-$F$15)*2-1,AK$99:AO132,4,FALSE)))*EXP(-(LN(2)/$D$65+0.1)*(VLOOKUP(($F$16-$F$15)*2-1,AK$99:AO132,5,FALSE)))*EXP(-(LN(2)/$D$65+0.04)*AN132)*EXP(-(LN(2)/$D$65+0.1)*AO132),"-"))),"-")</f>
        <v>-</v>
      </c>
      <c r="AR133" s="271" t="str">
        <f>IFERROR(IF(AL133=1,AR$100*EXP(-(LN(2)/$D$65+0.04)*AN133)*EXP(-(LN(2)/$D$65+0.1)*AO133),IF(AL133=2,AR$100*EXP(-(LN(2)/$D$65+0.04)*(VLOOKUP(($F$16-$F$15)-1,AK$100:AO133,4,FALSE)))*EXP(-(LN(2)/$D$65+0.1)*(VLOOKUP(($F$16-$F$15)-1,AK$100:AO133,5,FALSE)))*EXP(-(LN(2)/$D$65+0.04)*AN133)*EXP(-(LN(2)/$D$65+0.1)*AO133),IF(AL133=3,AR$100*EXP(-(LN(2)/$D$65+0.04)*(VLOOKUP(($F$16-$F$15)-1,AK$100:AO133,4,FALSE)))*EXP(-(LN(2)/$D$65+0.1)*(VLOOKUP(($F$16-$F$15)-1,AK$100:AO133,5,FALSE)))*EXP(-(LN(2)/$D$65+0.04)*(VLOOKUP(($F$16-$F$15)*2-1,AK$100:AO133,4,FALSE)))*EXP(-(LN(2)/$D$65+0.1)*(VLOOKUP(($F$16-$F$15)*2-1,AK$100:AO133,5,FALSE)))*EXP(-(LN(2)/$D$65+0.04)*AN133)*EXP(-(LN(2)/$D$65+0.1)*AO133),"-"))),"-")</f>
        <v>-</v>
      </c>
      <c r="AS133" s="274">
        <f t="shared" si="24"/>
        <v>0</v>
      </c>
      <c r="AT133" s="274">
        <f t="shared" si="25"/>
        <v>0</v>
      </c>
      <c r="AU133" s="274">
        <f t="shared" si="26"/>
        <v>0</v>
      </c>
      <c r="AV133" s="190">
        <f>IF($B133&lt;$F$22,SUM($T$100:$T133),"")</f>
        <v>0</v>
      </c>
      <c r="AW133" s="190" t="str">
        <f t="shared" si="83"/>
        <v>-</v>
      </c>
      <c r="AX133" s="190" t="str">
        <f t="shared" si="57"/>
        <v/>
      </c>
      <c r="AY133"/>
      <c r="AZ133" s="190" t="str">
        <f ca="1">IF(ISNUMBER(OFFSET(AV133,-$F$21,0)),SUM(OFFSET($T$100,$F$21,0):$T133),"")</f>
        <v/>
      </c>
      <c r="BA133" s="190" t="str">
        <f t="shared" ca="1" si="84"/>
        <v/>
      </c>
      <c r="BB133" s="190" t="str">
        <f t="shared" ca="1" si="70"/>
        <v/>
      </c>
      <c r="BC133" s="190"/>
      <c r="BD133" s="190" t="str">
        <f ca="1">IFERROR(IF(AND($B133&gt;=($F$16-$F$15),$B133&lt;$F$22+($F$16-$F$15)),SUM(OFFSET($T$100,($F$16-$F$15),0):$T133),""),"")</f>
        <v/>
      </c>
      <c r="BE133" s="190" t="str">
        <f t="shared" ca="1" si="59"/>
        <v/>
      </c>
      <c r="BF133" s="190" t="str">
        <f t="shared" ca="1" si="60"/>
        <v/>
      </c>
      <c r="BG133"/>
      <c r="BH133" s="190" t="str">
        <f ca="1">IF(ISNUMBER(OFFSET(BD133,-$F$21,0)),SUM(OFFSET($T$100,($F$16-$F$15+$F$21),0):$T133),"")</f>
        <v/>
      </c>
      <c r="BI133" s="190" t="str">
        <f t="shared" ca="1" si="85"/>
        <v/>
      </c>
      <c r="BJ133" s="190" t="str">
        <f t="shared" ca="1" si="61"/>
        <v/>
      </c>
      <c r="BK133" s="190"/>
      <c r="BL133" s="190" t="str">
        <f ca="1">IFERROR(IF(AND($B133&gt;=($F$17-$F$15),$B133&lt;$F$22+($F$17-$F$15)),SUM(OFFSET($T$100,($F$17-$F$15),0):$T133),""),"")</f>
        <v/>
      </c>
      <c r="BM133" s="190" t="str">
        <f t="shared" ca="1" si="86"/>
        <v/>
      </c>
      <c r="BN133" s="190" t="str">
        <f t="shared" ca="1" si="62"/>
        <v/>
      </c>
      <c r="BO133"/>
      <c r="BP133" s="190" t="str">
        <f ca="1">IF(ISNUMBER(OFFSET(BL133,-$F$21,0)),SUM(OFFSET($T$100,($F$17-$F$15+$F$21),0):$T133),"")</f>
        <v/>
      </c>
      <c r="BQ133" s="190" t="str">
        <f t="shared" ca="1" si="87"/>
        <v/>
      </c>
      <c r="BR133" s="190" t="str">
        <f t="shared" ca="1" si="64"/>
        <v/>
      </c>
      <c r="BS133" s="190"/>
      <c r="BT133"/>
      <c r="BU133"/>
      <c r="BV133"/>
      <c r="BY133" s="99"/>
      <c r="BZ133" s="99"/>
      <c r="CA133" s="280" t="str">
        <f t="shared" si="88"/>
        <v/>
      </c>
      <c r="CB133" s="71" t="str">
        <f t="shared" si="31"/>
        <v>-</v>
      </c>
      <c r="CC133" s="33"/>
      <c r="CD133" s="261" t="str">
        <f t="shared" si="33"/>
        <v/>
      </c>
      <c r="CE133" s="280" t="str">
        <f t="shared" si="89"/>
        <v>-</v>
      </c>
      <c r="CF133" s="71" t="str">
        <f t="shared" ca="1" si="90"/>
        <v>-</v>
      </c>
      <c r="CG133" s="33" t="str">
        <f t="shared" si="36"/>
        <v>33-34</v>
      </c>
      <c r="CH133" s="261" t="str">
        <f t="shared" ca="1" si="37"/>
        <v/>
      </c>
      <c r="CI133" s="99"/>
      <c r="CJ133" s="99"/>
      <c r="CK133" s="99"/>
      <c r="CL133" s="99"/>
      <c r="CM133" s="99"/>
      <c r="CN133" s="99"/>
      <c r="CO133" s="99"/>
    </row>
    <row r="134" spans="2:93" ht="13.5" customHeight="1" x14ac:dyDescent="0.2">
      <c r="B134" s="262">
        <v>34</v>
      </c>
      <c r="C134" s="237" t="str">
        <f t="shared" si="1"/>
        <v/>
      </c>
      <c r="D134" s="237" t="str">
        <f t="shared" si="67"/>
        <v>-</v>
      </c>
      <c r="E134" s="290" t="str">
        <f t="shared" si="38"/>
        <v/>
      </c>
      <c r="F134" s="264" t="str">
        <f t="shared" si="39"/>
        <v/>
      </c>
      <c r="G134" s="291" t="str">
        <f t="shared" si="40"/>
        <v/>
      </c>
      <c r="H134" s="240" t="str">
        <f t="shared" si="71"/>
        <v/>
      </c>
      <c r="I134" s="265" t="str">
        <f t="shared" si="72"/>
        <v/>
      </c>
      <c r="J134" s="265" t="str">
        <f t="shared" si="73"/>
        <v/>
      </c>
      <c r="K134" s="240" t="str">
        <f t="shared" si="74"/>
        <v/>
      </c>
      <c r="L134" s="265" t="str">
        <f t="shared" si="75"/>
        <v/>
      </c>
      <c r="M134" s="265" t="str">
        <f t="shared" si="76"/>
        <v/>
      </c>
      <c r="N134" s="240" t="str">
        <f t="shared" si="77"/>
        <v>-</v>
      </c>
      <c r="O134" s="265" t="str">
        <f t="shared" si="78"/>
        <v>-</v>
      </c>
      <c r="P134" s="265" t="str">
        <f t="shared" si="79"/>
        <v>-</v>
      </c>
      <c r="Q134" s="266" t="str">
        <f t="shared" si="80"/>
        <v>-</v>
      </c>
      <c r="R134" s="267" t="str">
        <f t="shared" si="81"/>
        <v>-</v>
      </c>
      <c r="S134" s="268" t="str">
        <f t="shared" si="82"/>
        <v>-</v>
      </c>
      <c r="T134" s="269" t="str">
        <f t="shared" si="13"/>
        <v/>
      </c>
      <c r="U134" s="221">
        <f t="shared" si="14"/>
        <v>34</v>
      </c>
      <c r="V134" s="220" t="str">
        <f t="shared" si="42"/>
        <v>-</v>
      </c>
      <c r="W134" s="221" t="str">
        <f t="shared" si="43"/>
        <v>-</v>
      </c>
      <c r="X134" s="221" t="str">
        <f t="shared" si="15"/>
        <v>-</v>
      </c>
      <c r="Y134" s="221" t="str">
        <f t="shared" si="16"/>
        <v>-</v>
      </c>
      <c r="Z134" s="270">
        <f t="shared" si="44"/>
        <v>0.1</v>
      </c>
      <c r="AA134" s="271" t="str">
        <f>IFERROR(IF(V133=1,AA$100*EXP(-(LN(2)/$D$65+0.04)*X133)*EXP(-(LN(2)/$D$65+0.1)*Y133),IF(V133=2,AA$100*EXP(-(LN(2)/$D$65+0.04)*(VLOOKUP(($F$16-$F$15)-1,U$99:Y133,4,FALSE)))*EXP(-(LN(2)/$D$65+0.1)*(VLOOKUP(($F$16-$F$15)-1,U$99:Y133,5,FALSE)))*EXP(-(LN(2)/$D$65+0.04)*X133)*EXP(-(LN(2)/$D$65+0.1)*Y133),IF(V133=3,AA$100*EXP(-(LN(2)/$D$65+0.04)*(VLOOKUP(($F$16-$F$15)-1,U$99:Y133,4,FALSE)))*EXP(-(LN(2)/$D$65+0.1)*(VLOOKUP(($F$16-$F$15)-1,U$99:Y133,5,FALSE)))*EXP(-(LN(2)/$D$65+0.04)*(VLOOKUP(($F$16-$F$15)*2-1,U$99:Y133,4,FALSE)))*EXP(-(LN(2)/$D$65+0.1)*(VLOOKUP(($F$16-$F$15)*2-1,U$99:Y133,5,FALSE)))*EXP(-(LN(2)/$D$65+0.04)*X133)*EXP(-(LN(2)/$D$65+0.1)*Y133),"-"))),"-")</f>
        <v>-</v>
      </c>
      <c r="AB134" s="271" t="str">
        <f>IFERROR(IF(V134=1,AB$100*EXP(-(LN(2)/$D$65+0.04)*X134)*EXP(-(LN(2)/$D$65+0.1)*Y134),IF(V134=2,AB$100*EXP(-(LN(2)/$D$65+0.04)*(VLOOKUP(($F$16-$F$15)-1,U$100:Y134,4,FALSE)))*EXP(-(LN(2)/$D$65+0.1)*(VLOOKUP(($F$16-$F$15)-1,U$100:Y134,5,FALSE)))*EXP(-(LN(2)/$D$65+0.04)*X134)*EXP(-(LN(2)/$D$65+0.1)*Y134),IF(V134=3,AB$100*EXP(-(LN(2)/$D$65+0.04)*(VLOOKUP(($F$16-$F$15)-1,U$100:Y134,4,FALSE)))*EXP(-(LN(2)/$D$65+0.1)*(VLOOKUP(($F$16-$F$15)-1,U$100:Y134,5,FALSE)))*EXP(-(LN(2)/$D$65+0.04)*(VLOOKUP(($F$16-$F$15)*2-1,U$100:Y134,4,FALSE)))*EXP(-(LN(2)/$D$65+0.1)*(VLOOKUP(($F$16-$F$15)*2-1,U$100:Y134,5,FALSE)))*EXP(-(LN(2)/$D$65+0.04)*X134)*EXP(-(LN(2)/$D$65+0.1)*Y134),"-"))),"-")</f>
        <v>-</v>
      </c>
      <c r="AC134" s="224">
        <f t="shared" si="46"/>
        <v>34</v>
      </c>
      <c r="AD134" s="223" t="str">
        <f t="shared" si="18"/>
        <v>-</v>
      </c>
      <c r="AE134" s="224" t="str">
        <f t="shared" si="47"/>
        <v>-</v>
      </c>
      <c r="AF134" s="224" t="str">
        <f t="shared" si="19"/>
        <v>-</v>
      </c>
      <c r="AG134" s="224" t="str">
        <f t="shared" si="20"/>
        <v>-</v>
      </c>
      <c r="AH134" s="272">
        <f t="shared" si="48"/>
        <v>0.1</v>
      </c>
      <c r="AI134" s="271" t="str">
        <f>IFERROR(IF(AD133=1,AI$100*EXP(-(LN(2)/$D$65+0.04)*AF133)*EXP(-(LN(2)/$D$65+0.1)*AG133),IF(AD133=2,AI$100*EXP(-(LN(2)/$D$65+0.04)*(VLOOKUP(($F$16-$F$15)-1,AC$99:AG133,4,FALSE)))*EXP(-(LN(2)/$D$65+0.1)*(VLOOKUP(($F$16-$F$15)-1,AC$99:AG133,5,FALSE)))*EXP(-(LN(2)/$D$65+0.04)*AF133)*EXP(-(LN(2)/$D$65+0.1)*AG133),IF(AD133=3,AI$100*EXP(-(LN(2)/$D$65+0.04)*(VLOOKUP(($F$16-$F$15)-1,AC$99:AG133,4,FALSE)))*EXP(-(LN(2)/$D$65+0.1)*(VLOOKUP(($F$16-$F$15)-1,AC$99:AG133,5,FALSE)))*EXP(-(LN(2)/$D$65+0.04)*(VLOOKUP(($F$16-$F$15)*2-1,AC$99:AG133,4,FALSE)))*EXP(-(LN(2)/$D$65+0.1)*(VLOOKUP(($F$16-$F$15)*2-1,AC$99:AG133,5,FALSE)))*EXP(-(LN(2)/$D$65+0.04)*AF133)*EXP(-(LN(2)/$D$65+0.1)*AG133),"-"))),"-")</f>
        <v>-</v>
      </c>
      <c r="AJ134" s="271" t="str">
        <f>IFERROR(IF(AD134=1,AJ$100*EXP(-(LN(2)/$D$65+0.04)*AF134)*EXP(-(LN(2)/$D$65+0.1)*AG134),IF(AD134=2,AJ$100*EXP(-(LN(2)/$D$65+0.04)*(VLOOKUP(($F$16-$F$15)-1,AC$100:AG134,4,FALSE)))*EXP(-(LN(2)/$D$65+0.1)*(VLOOKUP(($F$16-$F$15)-1,AC$100:AG134,5,FALSE)))*EXP(-(LN(2)/$D$65+0.04)*AF134)*EXP(-(LN(2)/$D$65+0.1)*AG134),IF(AD134=3,AJ$100*EXP(-(LN(2)/$D$65+0.04)*(VLOOKUP(($F$16-$F$15)-1,AC$100:AG134,4,FALSE)))*EXP(-(LN(2)/$D$65+0.1)*(VLOOKUP(($F$16-$F$15)-1,AC$100:AG134,5,FALSE)))*EXP(-(LN(2)/$D$65+0.04)*(VLOOKUP(($F$16-$F$15)*2-1,AC$100:AG134,4,FALSE)))*EXP(-(LN(2)/$D$65+0.1)*(VLOOKUP(($F$16-$F$15)*2-1,AC$100:AG134,5,FALSE)))*EXP(-(LN(2)/$D$65+0.04)*AF134)*EXP(-(LN(2)/$D$65+0.1)*AG134),"-"))),"-")</f>
        <v>-</v>
      </c>
      <c r="AK134" s="227">
        <f t="shared" si="50"/>
        <v>34</v>
      </c>
      <c r="AL134" s="226" t="str">
        <f t="shared" si="22"/>
        <v>-</v>
      </c>
      <c r="AM134" s="227" t="str">
        <f t="shared" si="51"/>
        <v>-</v>
      </c>
      <c r="AN134" s="227" t="str">
        <f t="shared" si="52"/>
        <v>-</v>
      </c>
      <c r="AO134" s="227" t="str">
        <f t="shared" si="23"/>
        <v>-</v>
      </c>
      <c r="AP134" s="273">
        <f t="shared" si="53"/>
        <v>0.1</v>
      </c>
      <c r="AQ134" s="271" t="str">
        <f>IFERROR(IF(AL133=1,AQ$100*EXP(-(LN(2)/$D$65+0.04)*AN133)*EXP(-(LN(2)/$D$65+0.1)*AO133),IF(AL133=2,AQ$100*EXP(-(LN(2)/$D$65+0.04)*(VLOOKUP(($F$16-$F$15)-1,AK$99:AO133,4,FALSE)))*EXP(-(LN(2)/$D$65+0.1)*(VLOOKUP(($F$16-$F$15)-1,AK$99:AO133,5,FALSE)))*EXP(-(LN(2)/$D$65+0.04)*AN133)*EXP(-(LN(2)/$D$65+0.1)*AO133),IF(AL133=3,AQ$100*EXP(-(LN(2)/$D$65+0.04)*(VLOOKUP(($F$16-$F$15)-1,AK$99:AO133,4,FALSE)))*EXP(-(LN(2)/$D$65+0.1)*(VLOOKUP(($F$16-$F$15)-1,AK$99:AO133,5,FALSE)))*EXP(-(LN(2)/$D$65+0.04)*(VLOOKUP(($F$16-$F$15)*2-1,AK$99:AO133,4,FALSE)))*EXP(-(LN(2)/$D$65+0.1)*(VLOOKUP(($F$16-$F$15)*2-1,AK$99:AO133,5,FALSE)))*EXP(-(LN(2)/$D$65+0.04)*AN133)*EXP(-(LN(2)/$D$65+0.1)*AO133),"-"))),"-")</f>
        <v>-</v>
      </c>
      <c r="AR134" s="271" t="str">
        <f>IFERROR(IF(AL134=1,AR$100*EXP(-(LN(2)/$D$65+0.04)*AN134)*EXP(-(LN(2)/$D$65+0.1)*AO134),IF(AL134=2,AR$100*EXP(-(LN(2)/$D$65+0.04)*(VLOOKUP(($F$16-$F$15)-1,AK$100:AO134,4,FALSE)))*EXP(-(LN(2)/$D$65+0.1)*(VLOOKUP(($F$16-$F$15)-1,AK$100:AO134,5,FALSE)))*EXP(-(LN(2)/$D$65+0.04)*AN134)*EXP(-(LN(2)/$D$65+0.1)*AO134),IF(AL134=3,AR$100*EXP(-(LN(2)/$D$65+0.04)*(VLOOKUP(($F$16-$F$15)-1,AK$100:AO134,4,FALSE)))*EXP(-(LN(2)/$D$65+0.1)*(VLOOKUP(($F$16-$F$15)-1,AK$100:AO134,5,FALSE)))*EXP(-(LN(2)/$D$65+0.04)*(VLOOKUP(($F$16-$F$15)*2-1,AK$100:AO134,4,FALSE)))*EXP(-(LN(2)/$D$65+0.1)*(VLOOKUP(($F$16-$F$15)*2-1,AK$100:AO134,5,FALSE)))*EXP(-(LN(2)/$D$65+0.04)*AN134)*EXP(-(LN(2)/$D$65+0.1)*AO134),"-"))),"-")</f>
        <v>-</v>
      </c>
      <c r="AS134" s="274">
        <f t="shared" si="24"/>
        <v>0</v>
      </c>
      <c r="AT134" s="274">
        <f t="shared" si="25"/>
        <v>0</v>
      </c>
      <c r="AU134" s="274">
        <f t="shared" si="26"/>
        <v>0</v>
      </c>
      <c r="AV134" s="190">
        <f>IF($B134&lt;$F$22,SUM($T$100:$T134),"")</f>
        <v>0</v>
      </c>
      <c r="AW134" s="190" t="str">
        <f t="shared" si="83"/>
        <v>-</v>
      </c>
      <c r="AX134" s="190" t="str">
        <f t="shared" si="57"/>
        <v/>
      </c>
      <c r="AY134"/>
      <c r="AZ134" s="190" t="str">
        <f ca="1">IF(ISNUMBER(OFFSET(AV134,-$F$21,0)),SUM(OFFSET($T$100,$F$21,0):$T134),"")</f>
        <v/>
      </c>
      <c r="BA134" s="190" t="str">
        <f t="shared" ca="1" si="84"/>
        <v/>
      </c>
      <c r="BB134" s="190" t="str">
        <f t="shared" ca="1" si="70"/>
        <v/>
      </c>
      <c r="BC134" s="190"/>
      <c r="BD134" s="190" t="str">
        <f ca="1">IFERROR(IF(AND($B134&gt;=($F$16-$F$15),$B134&lt;$F$22+($F$16-$F$15)),SUM(OFFSET($T$100,($F$16-$F$15),0):$T134),""),"")</f>
        <v/>
      </c>
      <c r="BE134" s="190" t="str">
        <f t="shared" ca="1" si="59"/>
        <v/>
      </c>
      <c r="BF134" s="190" t="str">
        <f t="shared" ca="1" si="60"/>
        <v/>
      </c>
      <c r="BG134"/>
      <c r="BH134" s="190" t="str">
        <f ca="1">IF(ISNUMBER(OFFSET(BD134,-$F$21,0)),SUM(OFFSET($T$100,($F$16-$F$15+$F$21),0):$T134),"")</f>
        <v/>
      </c>
      <c r="BI134" s="190" t="str">
        <f t="shared" ca="1" si="85"/>
        <v/>
      </c>
      <c r="BJ134" s="190" t="str">
        <f t="shared" ca="1" si="61"/>
        <v/>
      </c>
      <c r="BK134" s="190"/>
      <c r="BL134" s="190" t="str">
        <f ca="1">IFERROR(IF(AND($B134&gt;=($F$17-$F$15),$B134&lt;$F$22+($F$17-$F$15)),SUM(OFFSET($T$100,($F$17-$F$15),0):$T134),""),"")</f>
        <v/>
      </c>
      <c r="BM134" s="190" t="str">
        <f t="shared" ca="1" si="86"/>
        <v/>
      </c>
      <c r="BN134" s="190" t="str">
        <f t="shared" ca="1" si="62"/>
        <v/>
      </c>
      <c r="BO134"/>
      <c r="BP134" s="190" t="str">
        <f ca="1">IF(ISNUMBER(OFFSET(BL134,-$F$21,0)),SUM(OFFSET($T$100,($F$17-$F$15+$F$21),0):$T134),"")</f>
        <v/>
      </c>
      <c r="BQ134" s="190" t="str">
        <f t="shared" ca="1" si="87"/>
        <v/>
      </c>
      <c r="BR134" s="190" t="str">
        <f t="shared" ca="1" si="64"/>
        <v/>
      </c>
      <c r="BS134" s="190"/>
      <c r="BT134"/>
      <c r="BU134"/>
      <c r="BV134"/>
      <c r="BY134" s="99"/>
      <c r="BZ134" s="99"/>
      <c r="CA134" s="280" t="str">
        <f t="shared" si="88"/>
        <v/>
      </c>
      <c r="CB134" s="71" t="str">
        <f t="shared" si="31"/>
        <v>-</v>
      </c>
      <c r="CC134" s="33"/>
      <c r="CD134" s="261" t="str">
        <f t="shared" si="33"/>
        <v/>
      </c>
      <c r="CE134" s="280" t="str">
        <f t="shared" si="89"/>
        <v>-</v>
      </c>
      <c r="CF134" s="71" t="str">
        <f t="shared" ca="1" si="90"/>
        <v>-</v>
      </c>
      <c r="CG134" s="33" t="str">
        <f t="shared" si="36"/>
        <v>34-35</v>
      </c>
      <c r="CH134" s="261" t="str">
        <f t="shared" ca="1" si="37"/>
        <v/>
      </c>
      <c r="CI134" s="99"/>
      <c r="CJ134" s="99"/>
      <c r="CK134" s="99"/>
      <c r="CL134" s="99"/>
      <c r="CM134" s="99"/>
      <c r="CN134" s="99"/>
      <c r="CO134" s="99"/>
    </row>
    <row r="135" spans="2:93" ht="13.5" customHeight="1" x14ac:dyDescent="0.2">
      <c r="B135" s="262">
        <v>35</v>
      </c>
      <c r="C135" s="237" t="str">
        <f t="shared" si="1"/>
        <v/>
      </c>
      <c r="D135" s="237" t="str">
        <f t="shared" si="67"/>
        <v>-</v>
      </c>
      <c r="E135" s="290" t="str">
        <f t="shared" si="38"/>
        <v/>
      </c>
      <c r="F135" s="264" t="str">
        <f t="shared" si="39"/>
        <v/>
      </c>
      <c r="G135" s="291" t="str">
        <f t="shared" si="40"/>
        <v/>
      </c>
      <c r="H135" s="240" t="str">
        <f t="shared" si="71"/>
        <v/>
      </c>
      <c r="I135" s="265" t="str">
        <f t="shared" si="72"/>
        <v/>
      </c>
      <c r="J135" s="265" t="str">
        <f t="shared" si="73"/>
        <v/>
      </c>
      <c r="K135" s="240" t="str">
        <f t="shared" si="74"/>
        <v/>
      </c>
      <c r="L135" s="265" t="str">
        <f t="shared" si="75"/>
        <v/>
      </c>
      <c r="M135" s="265" t="str">
        <f t="shared" si="76"/>
        <v/>
      </c>
      <c r="N135" s="240" t="str">
        <f t="shared" si="77"/>
        <v>-</v>
      </c>
      <c r="O135" s="265" t="str">
        <f t="shared" si="78"/>
        <v>-</v>
      </c>
      <c r="P135" s="265" t="str">
        <f t="shared" si="79"/>
        <v>-</v>
      </c>
      <c r="Q135" s="266" t="str">
        <f t="shared" si="80"/>
        <v>-</v>
      </c>
      <c r="R135" s="267" t="str">
        <f t="shared" si="81"/>
        <v>-</v>
      </c>
      <c r="S135" s="268" t="str">
        <f t="shared" si="82"/>
        <v>-</v>
      </c>
      <c r="T135" s="269" t="str">
        <f t="shared" si="13"/>
        <v/>
      </c>
      <c r="U135" s="221">
        <f t="shared" si="14"/>
        <v>35</v>
      </c>
      <c r="V135" s="220" t="str">
        <f t="shared" si="42"/>
        <v>-</v>
      </c>
      <c r="W135" s="221" t="str">
        <f t="shared" si="43"/>
        <v>-</v>
      </c>
      <c r="X135" s="221" t="str">
        <f t="shared" si="15"/>
        <v>-</v>
      </c>
      <c r="Y135" s="221" t="str">
        <f t="shared" si="16"/>
        <v>-</v>
      </c>
      <c r="Z135" s="270">
        <f t="shared" si="44"/>
        <v>0.1</v>
      </c>
      <c r="AA135" s="271" t="str">
        <f>IFERROR(IF(V134=1,AA$100*EXP(-(LN(2)/$D$65+0.04)*X134)*EXP(-(LN(2)/$D$65+0.1)*Y134),IF(V134=2,AA$100*EXP(-(LN(2)/$D$65+0.04)*(VLOOKUP(($F$16-$F$15)-1,U$99:Y134,4,FALSE)))*EXP(-(LN(2)/$D$65+0.1)*(VLOOKUP(($F$16-$F$15)-1,U$99:Y134,5,FALSE)))*EXP(-(LN(2)/$D$65+0.04)*X134)*EXP(-(LN(2)/$D$65+0.1)*Y134),IF(V134=3,AA$100*EXP(-(LN(2)/$D$65+0.04)*(VLOOKUP(($F$16-$F$15)-1,U$99:Y134,4,FALSE)))*EXP(-(LN(2)/$D$65+0.1)*(VLOOKUP(($F$16-$F$15)-1,U$99:Y134,5,FALSE)))*EXP(-(LN(2)/$D$65+0.04)*(VLOOKUP(($F$16-$F$15)*2-1,U$99:Y134,4,FALSE)))*EXP(-(LN(2)/$D$65+0.1)*(VLOOKUP(($F$16-$F$15)*2-1,U$99:Y134,5,FALSE)))*EXP(-(LN(2)/$D$65+0.04)*X134)*EXP(-(LN(2)/$D$65+0.1)*Y134),"-"))),"-")</f>
        <v>-</v>
      </c>
      <c r="AB135" s="271" t="str">
        <f>IFERROR(IF(V135=1,AB$100*EXP(-(LN(2)/$D$65+0.04)*X135)*EXP(-(LN(2)/$D$65+0.1)*Y135),IF(V135=2,AB$100*EXP(-(LN(2)/$D$65+0.04)*(VLOOKUP(($F$16-$F$15)-1,U$100:Y135,4,FALSE)))*EXP(-(LN(2)/$D$65+0.1)*(VLOOKUP(($F$16-$F$15)-1,U$100:Y135,5,FALSE)))*EXP(-(LN(2)/$D$65+0.04)*X135)*EXP(-(LN(2)/$D$65+0.1)*Y135),IF(V135=3,AB$100*EXP(-(LN(2)/$D$65+0.04)*(VLOOKUP(($F$16-$F$15)-1,U$100:Y135,4,FALSE)))*EXP(-(LN(2)/$D$65+0.1)*(VLOOKUP(($F$16-$F$15)-1,U$100:Y135,5,FALSE)))*EXP(-(LN(2)/$D$65+0.04)*(VLOOKUP(($F$16-$F$15)*2-1,U$100:Y135,4,FALSE)))*EXP(-(LN(2)/$D$65+0.1)*(VLOOKUP(($F$16-$F$15)*2-1,U$100:Y135,5,FALSE)))*EXP(-(LN(2)/$D$65+0.04)*X135)*EXP(-(LN(2)/$D$65+0.1)*Y135),"-"))),"-")</f>
        <v>-</v>
      </c>
      <c r="AC135" s="224">
        <f t="shared" si="46"/>
        <v>35</v>
      </c>
      <c r="AD135" s="223" t="str">
        <f t="shared" si="18"/>
        <v>-</v>
      </c>
      <c r="AE135" s="224" t="str">
        <f t="shared" si="47"/>
        <v>-</v>
      </c>
      <c r="AF135" s="224" t="str">
        <f t="shared" si="19"/>
        <v>-</v>
      </c>
      <c r="AG135" s="224" t="str">
        <f t="shared" si="20"/>
        <v>-</v>
      </c>
      <c r="AH135" s="272">
        <f t="shared" si="48"/>
        <v>0.1</v>
      </c>
      <c r="AI135" s="271" t="str">
        <f>IFERROR(IF(AD134=1,AI$100*EXP(-(LN(2)/$D$65+0.04)*AF134)*EXP(-(LN(2)/$D$65+0.1)*AG134),IF(AD134=2,AI$100*EXP(-(LN(2)/$D$65+0.04)*(VLOOKUP(($F$16-$F$15)-1,AC$99:AG134,4,FALSE)))*EXP(-(LN(2)/$D$65+0.1)*(VLOOKUP(($F$16-$F$15)-1,AC$99:AG134,5,FALSE)))*EXP(-(LN(2)/$D$65+0.04)*AF134)*EXP(-(LN(2)/$D$65+0.1)*AG134),IF(AD134=3,AI$100*EXP(-(LN(2)/$D$65+0.04)*(VLOOKUP(($F$16-$F$15)-1,AC$99:AG134,4,FALSE)))*EXP(-(LN(2)/$D$65+0.1)*(VLOOKUP(($F$16-$F$15)-1,AC$99:AG134,5,FALSE)))*EXP(-(LN(2)/$D$65+0.04)*(VLOOKUP(($F$16-$F$15)*2-1,AC$99:AG134,4,FALSE)))*EXP(-(LN(2)/$D$65+0.1)*(VLOOKUP(($F$16-$F$15)*2-1,AC$99:AG134,5,FALSE)))*EXP(-(LN(2)/$D$65+0.04)*AF134)*EXP(-(LN(2)/$D$65+0.1)*AG134),"-"))),"-")</f>
        <v>-</v>
      </c>
      <c r="AJ135" s="271" t="str">
        <f>IFERROR(IF(AD135=1,AJ$100*EXP(-(LN(2)/$D$65+0.04)*AF135)*EXP(-(LN(2)/$D$65+0.1)*AG135),IF(AD135=2,AJ$100*EXP(-(LN(2)/$D$65+0.04)*(VLOOKUP(($F$16-$F$15)-1,AC$100:AG135,4,FALSE)))*EXP(-(LN(2)/$D$65+0.1)*(VLOOKUP(($F$16-$F$15)-1,AC$100:AG135,5,FALSE)))*EXP(-(LN(2)/$D$65+0.04)*AF135)*EXP(-(LN(2)/$D$65+0.1)*AG135),IF(AD135=3,AJ$100*EXP(-(LN(2)/$D$65+0.04)*(VLOOKUP(($F$16-$F$15)-1,AC$100:AG135,4,FALSE)))*EXP(-(LN(2)/$D$65+0.1)*(VLOOKUP(($F$16-$F$15)-1,AC$100:AG135,5,FALSE)))*EXP(-(LN(2)/$D$65+0.04)*(VLOOKUP(($F$16-$F$15)*2-1,AC$100:AG135,4,FALSE)))*EXP(-(LN(2)/$D$65+0.1)*(VLOOKUP(($F$16-$F$15)*2-1,AC$100:AG135,5,FALSE)))*EXP(-(LN(2)/$D$65+0.04)*AF135)*EXP(-(LN(2)/$D$65+0.1)*AG135),"-"))),"-")</f>
        <v>-</v>
      </c>
      <c r="AK135" s="227">
        <f t="shared" si="50"/>
        <v>35</v>
      </c>
      <c r="AL135" s="226" t="str">
        <f t="shared" si="22"/>
        <v>-</v>
      </c>
      <c r="AM135" s="227" t="str">
        <f t="shared" si="51"/>
        <v>-</v>
      </c>
      <c r="AN135" s="227" t="str">
        <f t="shared" si="52"/>
        <v>-</v>
      </c>
      <c r="AO135" s="227" t="str">
        <f t="shared" si="23"/>
        <v>-</v>
      </c>
      <c r="AP135" s="273">
        <f t="shared" si="53"/>
        <v>0.1</v>
      </c>
      <c r="AQ135" s="271" t="str">
        <f>IFERROR(IF(AL134=1,AQ$100*EXP(-(LN(2)/$D$65+0.04)*AN134)*EXP(-(LN(2)/$D$65+0.1)*AO134),IF(AL134=2,AQ$100*EXP(-(LN(2)/$D$65+0.04)*(VLOOKUP(($F$16-$F$15)-1,AK$99:AO134,4,FALSE)))*EXP(-(LN(2)/$D$65+0.1)*(VLOOKUP(($F$16-$F$15)-1,AK$99:AO134,5,FALSE)))*EXP(-(LN(2)/$D$65+0.04)*AN134)*EXP(-(LN(2)/$D$65+0.1)*AO134),IF(AL134=3,AQ$100*EXP(-(LN(2)/$D$65+0.04)*(VLOOKUP(($F$16-$F$15)-1,AK$99:AO134,4,FALSE)))*EXP(-(LN(2)/$D$65+0.1)*(VLOOKUP(($F$16-$F$15)-1,AK$99:AO134,5,FALSE)))*EXP(-(LN(2)/$D$65+0.04)*(VLOOKUP(($F$16-$F$15)*2-1,AK$99:AO134,4,FALSE)))*EXP(-(LN(2)/$D$65+0.1)*(VLOOKUP(($F$16-$F$15)*2-1,AK$99:AO134,5,FALSE)))*EXP(-(LN(2)/$D$65+0.04)*AN134)*EXP(-(LN(2)/$D$65+0.1)*AO134),"-"))),"-")</f>
        <v>-</v>
      </c>
      <c r="AR135" s="271" t="str">
        <f>IFERROR(IF(AL135=1,AR$100*EXP(-(LN(2)/$D$65+0.04)*AN135)*EXP(-(LN(2)/$D$65+0.1)*AO135),IF(AL135=2,AR$100*EXP(-(LN(2)/$D$65+0.04)*(VLOOKUP(($F$16-$F$15)-1,AK$100:AO135,4,FALSE)))*EXP(-(LN(2)/$D$65+0.1)*(VLOOKUP(($F$16-$F$15)-1,AK$100:AO135,5,FALSE)))*EXP(-(LN(2)/$D$65+0.04)*AN135)*EXP(-(LN(2)/$D$65+0.1)*AO135),IF(AL135=3,AR$100*EXP(-(LN(2)/$D$65+0.04)*(VLOOKUP(($F$16-$F$15)-1,AK$100:AO135,4,FALSE)))*EXP(-(LN(2)/$D$65+0.1)*(VLOOKUP(($F$16-$F$15)-1,AK$100:AO135,5,FALSE)))*EXP(-(LN(2)/$D$65+0.04)*(VLOOKUP(($F$16-$F$15)*2-1,AK$100:AO135,4,FALSE)))*EXP(-(LN(2)/$D$65+0.1)*(VLOOKUP(($F$16-$F$15)*2-1,AK$100:AO135,5,FALSE)))*EXP(-(LN(2)/$D$65+0.04)*AN135)*EXP(-(LN(2)/$D$65+0.1)*AO135),"-"))),"-")</f>
        <v>-</v>
      </c>
      <c r="AS135" s="274">
        <f t="shared" si="24"/>
        <v>0</v>
      </c>
      <c r="AT135" s="274">
        <f t="shared" si="25"/>
        <v>0</v>
      </c>
      <c r="AU135" s="274">
        <f t="shared" si="26"/>
        <v>0</v>
      </c>
      <c r="AV135" s="190">
        <f>IF($B135&lt;$F$22,SUM($T$100:$T135),"")</f>
        <v>0</v>
      </c>
      <c r="AW135" s="190" t="str">
        <f t="shared" si="83"/>
        <v>-</v>
      </c>
      <c r="AX135" s="190" t="str">
        <f t="shared" si="57"/>
        <v/>
      </c>
      <c r="AY135"/>
      <c r="AZ135" s="190" t="str">
        <f ca="1">IF(ISNUMBER(OFFSET(AV135,-$F$21,0)),SUM(OFFSET($T$100,$F$21,0):$T135),"")</f>
        <v/>
      </c>
      <c r="BA135" s="190" t="str">
        <f t="shared" ca="1" si="84"/>
        <v/>
      </c>
      <c r="BB135" s="190" t="str">
        <f t="shared" ca="1" si="70"/>
        <v/>
      </c>
      <c r="BC135" s="190"/>
      <c r="BD135" s="190" t="str">
        <f ca="1">IFERROR(IF(AND($B135&gt;=($F$16-$F$15),$B135&lt;$F$22+($F$16-$F$15)),SUM(OFFSET($T$100,($F$16-$F$15),0):$T135),""),"")</f>
        <v/>
      </c>
      <c r="BE135" s="190" t="str">
        <f t="shared" ca="1" si="59"/>
        <v/>
      </c>
      <c r="BF135" s="190" t="str">
        <f t="shared" ca="1" si="60"/>
        <v/>
      </c>
      <c r="BG135"/>
      <c r="BH135" s="190" t="str">
        <f ca="1">IF(ISNUMBER(OFFSET(BD135,-$F$21,0)),SUM(OFFSET($T$100,($F$16-$F$15+$F$21),0):$T135),"")</f>
        <v/>
      </c>
      <c r="BI135" s="190" t="str">
        <f t="shared" ca="1" si="85"/>
        <v/>
      </c>
      <c r="BJ135" s="190" t="str">
        <f t="shared" ca="1" si="61"/>
        <v/>
      </c>
      <c r="BK135" s="190"/>
      <c r="BL135" s="190" t="str">
        <f ca="1">IFERROR(IF(AND($B135&gt;=($F$17-$F$15),$B135&lt;$F$22+($F$17-$F$15)),SUM(OFFSET($T$100,($F$17-$F$15),0):$T135),""),"")</f>
        <v/>
      </c>
      <c r="BM135" s="190" t="str">
        <f t="shared" ca="1" si="86"/>
        <v/>
      </c>
      <c r="BN135" s="190" t="str">
        <f t="shared" ca="1" si="62"/>
        <v/>
      </c>
      <c r="BO135"/>
      <c r="BP135" s="190" t="str">
        <f ca="1">IF(ISNUMBER(OFFSET(BL135,-$F$21,0)),SUM(OFFSET($T$100,($F$17-$F$15+$F$21),0):$T135),"")</f>
        <v/>
      </c>
      <c r="BQ135" s="190" t="str">
        <f t="shared" ca="1" si="87"/>
        <v/>
      </c>
      <c r="BR135" s="190" t="str">
        <f t="shared" ca="1" si="64"/>
        <v/>
      </c>
      <c r="BS135" s="190"/>
      <c r="BT135"/>
      <c r="BU135"/>
      <c r="BV135"/>
      <c r="BY135" s="99"/>
      <c r="BZ135" s="99"/>
      <c r="CA135" s="280" t="str">
        <f t="shared" si="88"/>
        <v/>
      </c>
      <c r="CB135" s="71" t="str">
        <f t="shared" si="31"/>
        <v>-</v>
      </c>
      <c r="CC135" s="33"/>
      <c r="CD135" s="261" t="str">
        <f t="shared" si="33"/>
        <v/>
      </c>
      <c r="CE135" s="280" t="str">
        <f t="shared" si="89"/>
        <v>-</v>
      </c>
      <c r="CF135" s="71" t="str">
        <f t="shared" ca="1" si="90"/>
        <v>-</v>
      </c>
      <c r="CG135" s="33" t="str">
        <f t="shared" si="36"/>
        <v>35-36</v>
      </c>
      <c r="CH135" s="261" t="str">
        <f t="shared" ca="1" si="37"/>
        <v/>
      </c>
      <c r="CI135" s="99"/>
      <c r="CJ135" s="99"/>
      <c r="CK135" s="99"/>
      <c r="CL135" s="99"/>
      <c r="CM135" s="99"/>
      <c r="CN135" s="99"/>
      <c r="CO135" s="99"/>
    </row>
    <row r="136" spans="2:93" ht="13.5" customHeight="1" x14ac:dyDescent="0.2">
      <c r="B136" s="262">
        <v>36</v>
      </c>
      <c r="C136" s="237" t="str">
        <f t="shared" si="1"/>
        <v/>
      </c>
      <c r="D136" s="237" t="str">
        <f t="shared" si="67"/>
        <v>-</v>
      </c>
      <c r="E136" s="290" t="str">
        <f t="shared" si="38"/>
        <v/>
      </c>
      <c r="F136" s="264" t="str">
        <f t="shared" si="39"/>
        <v/>
      </c>
      <c r="G136" s="291" t="str">
        <f t="shared" si="40"/>
        <v/>
      </c>
      <c r="H136" s="240" t="str">
        <f t="shared" si="71"/>
        <v/>
      </c>
      <c r="I136" s="265" t="str">
        <f t="shared" si="72"/>
        <v/>
      </c>
      <c r="J136" s="265" t="str">
        <f t="shared" si="73"/>
        <v/>
      </c>
      <c r="K136" s="240" t="str">
        <f t="shared" si="74"/>
        <v/>
      </c>
      <c r="L136" s="265" t="str">
        <f t="shared" si="75"/>
        <v/>
      </c>
      <c r="M136" s="265" t="str">
        <f t="shared" si="76"/>
        <v/>
      </c>
      <c r="N136" s="240" t="str">
        <f t="shared" si="77"/>
        <v>-</v>
      </c>
      <c r="O136" s="265" t="str">
        <f t="shared" si="78"/>
        <v>-</v>
      </c>
      <c r="P136" s="265" t="str">
        <f t="shared" si="79"/>
        <v>-</v>
      </c>
      <c r="Q136" s="266" t="str">
        <f t="shared" si="80"/>
        <v>-</v>
      </c>
      <c r="R136" s="267" t="str">
        <f t="shared" si="81"/>
        <v>-</v>
      </c>
      <c r="S136" s="268" t="str">
        <f t="shared" si="82"/>
        <v>-</v>
      </c>
      <c r="T136" s="269" t="str">
        <f t="shared" si="13"/>
        <v/>
      </c>
      <c r="U136" s="221">
        <f t="shared" si="14"/>
        <v>36</v>
      </c>
      <c r="V136" s="220" t="str">
        <f t="shared" si="42"/>
        <v>-</v>
      </c>
      <c r="W136" s="221" t="str">
        <f t="shared" si="43"/>
        <v>-</v>
      </c>
      <c r="X136" s="221" t="str">
        <f t="shared" si="15"/>
        <v>-</v>
      </c>
      <c r="Y136" s="221" t="str">
        <f t="shared" si="16"/>
        <v>-</v>
      </c>
      <c r="Z136" s="270">
        <f t="shared" si="44"/>
        <v>0.1</v>
      </c>
      <c r="AA136" s="271" t="str">
        <f>IFERROR(IF(V135=1,AA$100*EXP(-(LN(2)/$D$65+0.04)*X135)*EXP(-(LN(2)/$D$65+0.1)*Y135),IF(V135=2,AA$100*EXP(-(LN(2)/$D$65+0.04)*(VLOOKUP(($F$16-$F$15)-1,U$99:Y135,4,FALSE)))*EXP(-(LN(2)/$D$65+0.1)*(VLOOKUP(($F$16-$F$15)-1,U$99:Y135,5,FALSE)))*EXP(-(LN(2)/$D$65+0.04)*X135)*EXP(-(LN(2)/$D$65+0.1)*Y135),IF(V135=3,AA$100*EXP(-(LN(2)/$D$65+0.04)*(VLOOKUP(($F$16-$F$15)-1,U$99:Y135,4,FALSE)))*EXP(-(LN(2)/$D$65+0.1)*(VLOOKUP(($F$16-$F$15)-1,U$99:Y135,5,FALSE)))*EXP(-(LN(2)/$D$65+0.04)*(VLOOKUP(($F$16-$F$15)*2-1,U$99:Y135,4,FALSE)))*EXP(-(LN(2)/$D$65+0.1)*(VLOOKUP(($F$16-$F$15)*2-1,U$99:Y135,5,FALSE)))*EXP(-(LN(2)/$D$65+0.04)*X135)*EXP(-(LN(2)/$D$65+0.1)*Y135),"-"))),"-")</f>
        <v>-</v>
      </c>
      <c r="AB136" s="271" t="str">
        <f>IFERROR(IF(V136=1,AB$100*EXP(-(LN(2)/$D$65+0.04)*X136)*EXP(-(LN(2)/$D$65+0.1)*Y136),IF(V136=2,AB$100*EXP(-(LN(2)/$D$65+0.04)*(VLOOKUP(($F$16-$F$15)-1,U$100:Y136,4,FALSE)))*EXP(-(LN(2)/$D$65+0.1)*(VLOOKUP(($F$16-$F$15)-1,U$100:Y136,5,FALSE)))*EXP(-(LN(2)/$D$65+0.04)*X136)*EXP(-(LN(2)/$D$65+0.1)*Y136),IF(V136=3,AB$100*EXP(-(LN(2)/$D$65+0.04)*(VLOOKUP(($F$16-$F$15)-1,U$100:Y136,4,FALSE)))*EXP(-(LN(2)/$D$65+0.1)*(VLOOKUP(($F$16-$F$15)-1,U$100:Y136,5,FALSE)))*EXP(-(LN(2)/$D$65+0.04)*(VLOOKUP(($F$16-$F$15)*2-1,U$100:Y136,4,FALSE)))*EXP(-(LN(2)/$D$65+0.1)*(VLOOKUP(($F$16-$F$15)*2-1,U$100:Y136,5,FALSE)))*EXP(-(LN(2)/$D$65+0.04)*X136)*EXP(-(LN(2)/$D$65+0.1)*Y136),"-"))),"-")</f>
        <v>-</v>
      </c>
      <c r="AC136" s="224">
        <f t="shared" si="46"/>
        <v>36</v>
      </c>
      <c r="AD136" s="223" t="str">
        <f t="shared" si="18"/>
        <v>-</v>
      </c>
      <c r="AE136" s="224" t="str">
        <f t="shared" si="47"/>
        <v>-</v>
      </c>
      <c r="AF136" s="224" t="str">
        <f t="shared" si="19"/>
        <v>-</v>
      </c>
      <c r="AG136" s="224" t="str">
        <f t="shared" si="20"/>
        <v>-</v>
      </c>
      <c r="AH136" s="272">
        <f t="shared" si="48"/>
        <v>0.1</v>
      </c>
      <c r="AI136" s="271" t="str">
        <f>IFERROR(IF(AD135=1,AI$100*EXP(-(LN(2)/$D$65+0.04)*AF135)*EXP(-(LN(2)/$D$65+0.1)*AG135),IF(AD135=2,AI$100*EXP(-(LN(2)/$D$65+0.04)*(VLOOKUP(($F$16-$F$15)-1,AC$99:AG135,4,FALSE)))*EXP(-(LN(2)/$D$65+0.1)*(VLOOKUP(($F$16-$F$15)-1,AC$99:AG135,5,FALSE)))*EXP(-(LN(2)/$D$65+0.04)*AF135)*EXP(-(LN(2)/$D$65+0.1)*AG135),IF(AD135=3,AI$100*EXP(-(LN(2)/$D$65+0.04)*(VLOOKUP(($F$16-$F$15)-1,AC$99:AG135,4,FALSE)))*EXP(-(LN(2)/$D$65+0.1)*(VLOOKUP(($F$16-$F$15)-1,AC$99:AG135,5,FALSE)))*EXP(-(LN(2)/$D$65+0.04)*(VLOOKUP(($F$16-$F$15)*2-1,AC$99:AG135,4,FALSE)))*EXP(-(LN(2)/$D$65+0.1)*(VLOOKUP(($F$16-$F$15)*2-1,AC$99:AG135,5,FALSE)))*EXP(-(LN(2)/$D$65+0.04)*AF135)*EXP(-(LN(2)/$D$65+0.1)*AG135),"-"))),"-")</f>
        <v>-</v>
      </c>
      <c r="AJ136" s="271" t="str">
        <f>IFERROR(IF(AD136=1,AJ$100*EXP(-(LN(2)/$D$65+0.04)*AF136)*EXP(-(LN(2)/$D$65+0.1)*AG136),IF(AD136=2,AJ$100*EXP(-(LN(2)/$D$65+0.04)*(VLOOKUP(($F$16-$F$15)-1,AC$100:AG136,4,FALSE)))*EXP(-(LN(2)/$D$65+0.1)*(VLOOKUP(($F$16-$F$15)-1,AC$100:AG136,5,FALSE)))*EXP(-(LN(2)/$D$65+0.04)*AF136)*EXP(-(LN(2)/$D$65+0.1)*AG136),IF(AD136=3,AJ$100*EXP(-(LN(2)/$D$65+0.04)*(VLOOKUP(($F$16-$F$15)-1,AC$100:AG136,4,FALSE)))*EXP(-(LN(2)/$D$65+0.1)*(VLOOKUP(($F$16-$F$15)-1,AC$100:AG136,5,FALSE)))*EXP(-(LN(2)/$D$65+0.04)*(VLOOKUP(($F$16-$F$15)*2-1,AC$100:AG136,4,FALSE)))*EXP(-(LN(2)/$D$65+0.1)*(VLOOKUP(($F$16-$F$15)*2-1,AC$100:AG136,5,FALSE)))*EXP(-(LN(2)/$D$65+0.04)*AF136)*EXP(-(LN(2)/$D$65+0.1)*AG136),"-"))),"-")</f>
        <v>-</v>
      </c>
      <c r="AK136" s="227">
        <f t="shared" si="50"/>
        <v>36</v>
      </c>
      <c r="AL136" s="226" t="str">
        <f t="shared" si="22"/>
        <v>-</v>
      </c>
      <c r="AM136" s="227" t="str">
        <f t="shared" si="51"/>
        <v>-</v>
      </c>
      <c r="AN136" s="227" t="str">
        <f t="shared" si="52"/>
        <v>-</v>
      </c>
      <c r="AO136" s="227" t="str">
        <f t="shared" si="23"/>
        <v>-</v>
      </c>
      <c r="AP136" s="273">
        <f t="shared" si="53"/>
        <v>0.1</v>
      </c>
      <c r="AQ136" s="271" t="str">
        <f>IFERROR(IF(AL135=1,AQ$100*EXP(-(LN(2)/$D$65+0.04)*AN135)*EXP(-(LN(2)/$D$65+0.1)*AO135),IF(AL135=2,AQ$100*EXP(-(LN(2)/$D$65+0.04)*(VLOOKUP(($F$16-$F$15)-1,AK$99:AO135,4,FALSE)))*EXP(-(LN(2)/$D$65+0.1)*(VLOOKUP(($F$16-$F$15)-1,AK$99:AO135,5,FALSE)))*EXP(-(LN(2)/$D$65+0.04)*AN135)*EXP(-(LN(2)/$D$65+0.1)*AO135),IF(AL135=3,AQ$100*EXP(-(LN(2)/$D$65+0.04)*(VLOOKUP(($F$16-$F$15)-1,AK$99:AO135,4,FALSE)))*EXP(-(LN(2)/$D$65+0.1)*(VLOOKUP(($F$16-$F$15)-1,AK$99:AO135,5,FALSE)))*EXP(-(LN(2)/$D$65+0.04)*(VLOOKUP(($F$16-$F$15)*2-1,AK$99:AO135,4,FALSE)))*EXP(-(LN(2)/$D$65+0.1)*(VLOOKUP(($F$16-$F$15)*2-1,AK$99:AO135,5,FALSE)))*EXP(-(LN(2)/$D$65+0.04)*AN135)*EXP(-(LN(2)/$D$65+0.1)*AO135),"-"))),"-")</f>
        <v>-</v>
      </c>
      <c r="AR136" s="271" t="str">
        <f>IFERROR(IF(AL136=1,AR$100*EXP(-(LN(2)/$D$65+0.04)*AN136)*EXP(-(LN(2)/$D$65+0.1)*AO136),IF(AL136=2,AR$100*EXP(-(LN(2)/$D$65+0.04)*(VLOOKUP(($F$16-$F$15)-1,AK$100:AO136,4,FALSE)))*EXP(-(LN(2)/$D$65+0.1)*(VLOOKUP(($F$16-$F$15)-1,AK$100:AO136,5,FALSE)))*EXP(-(LN(2)/$D$65+0.04)*AN136)*EXP(-(LN(2)/$D$65+0.1)*AO136),IF(AL136=3,AR$100*EXP(-(LN(2)/$D$65+0.04)*(VLOOKUP(($F$16-$F$15)-1,AK$100:AO136,4,FALSE)))*EXP(-(LN(2)/$D$65+0.1)*(VLOOKUP(($F$16-$F$15)-1,AK$100:AO136,5,FALSE)))*EXP(-(LN(2)/$D$65+0.04)*(VLOOKUP(($F$16-$F$15)*2-1,AK$100:AO136,4,FALSE)))*EXP(-(LN(2)/$D$65+0.1)*(VLOOKUP(($F$16-$F$15)*2-1,AK$100:AO136,5,FALSE)))*EXP(-(LN(2)/$D$65+0.04)*AN136)*EXP(-(LN(2)/$D$65+0.1)*AO136),"-"))),"-")</f>
        <v>-</v>
      </c>
      <c r="AS136" s="274">
        <f t="shared" si="24"/>
        <v>0</v>
      </c>
      <c r="AT136" s="274">
        <f t="shared" si="25"/>
        <v>0</v>
      </c>
      <c r="AU136" s="274">
        <f t="shared" si="26"/>
        <v>0</v>
      </c>
      <c r="AV136" s="190">
        <f>IF($B136&lt;$F$22,SUM($T$100:$T136),"")</f>
        <v>0</v>
      </c>
      <c r="AW136" s="190" t="str">
        <f t="shared" si="83"/>
        <v>-</v>
      </c>
      <c r="AX136" s="190" t="str">
        <f t="shared" si="57"/>
        <v/>
      </c>
      <c r="AY136"/>
      <c r="AZ136" s="190" t="str">
        <f ca="1">IF(ISNUMBER(OFFSET(AV136,-$F$21,0)),SUM(OFFSET($T$100,$F$21,0):$T136),"")</f>
        <v/>
      </c>
      <c r="BA136" s="190" t="str">
        <f t="shared" ca="1" si="84"/>
        <v/>
      </c>
      <c r="BB136" s="190" t="str">
        <f t="shared" ca="1" si="70"/>
        <v/>
      </c>
      <c r="BC136" s="190"/>
      <c r="BD136" s="190" t="str">
        <f ca="1">IFERROR(IF(AND($B136&gt;=($F$16-$F$15),$B136&lt;$F$22+($F$16-$F$15)),SUM(OFFSET($T$100,($F$16-$F$15),0):$T136),""),"")</f>
        <v/>
      </c>
      <c r="BE136" s="190" t="str">
        <f t="shared" ca="1" si="59"/>
        <v/>
      </c>
      <c r="BF136" s="190" t="str">
        <f t="shared" ca="1" si="60"/>
        <v/>
      </c>
      <c r="BG136"/>
      <c r="BH136" s="190" t="str">
        <f ca="1">IF(ISNUMBER(OFFSET(BD136,-$F$21,0)),SUM(OFFSET($T$100,($F$16-$F$15+$F$21),0):$T136),"")</f>
        <v/>
      </c>
      <c r="BI136" s="190" t="str">
        <f t="shared" ca="1" si="85"/>
        <v/>
      </c>
      <c r="BJ136" s="190" t="str">
        <f t="shared" ca="1" si="61"/>
        <v/>
      </c>
      <c r="BK136" s="190"/>
      <c r="BL136" s="190" t="str">
        <f ca="1">IFERROR(IF(AND($B136&gt;=($F$17-$F$15),$B136&lt;$F$22+($F$17-$F$15)),SUM(OFFSET($T$100,($F$17-$F$15),0):$T136),""),"")</f>
        <v/>
      </c>
      <c r="BM136" s="190" t="str">
        <f t="shared" ca="1" si="86"/>
        <v/>
      </c>
      <c r="BN136" s="190" t="str">
        <f t="shared" ca="1" si="62"/>
        <v/>
      </c>
      <c r="BO136"/>
      <c r="BP136" s="190" t="str">
        <f ca="1">IF(ISNUMBER(OFFSET(BL136,-$F$21,0)),SUM(OFFSET($T$100,($F$17-$F$15+$F$21),0):$T136),"")</f>
        <v/>
      </c>
      <c r="BQ136" s="190" t="str">
        <f t="shared" ca="1" si="87"/>
        <v/>
      </c>
      <c r="BR136" s="190" t="str">
        <f t="shared" ca="1" si="64"/>
        <v/>
      </c>
      <c r="BS136" s="190"/>
      <c r="BT136"/>
      <c r="BU136"/>
      <c r="BV136"/>
      <c r="BY136" s="99"/>
      <c r="BZ136" s="99"/>
      <c r="CA136" s="280" t="str">
        <f t="shared" si="88"/>
        <v/>
      </c>
      <c r="CB136" s="71" t="str">
        <f t="shared" si="31"/>
        <v>-</v>
      </c>
      <c r="CC136" s="33"/>
      <c r="CD136" s="261" t="str">
        <f t="shared" si="33"/>
        <v/>
      </c>
      <c r="CE136" s="280" t="str">
        <f t="shared" si="89"/>
        <v>-</v>
      </c>
      <c r="CF136" s="71" t="str">
        <f t="shared" ca="1" si="90"/>
        <v>-</v>
      </c>
      <c r="CG136" s="33" t="str">
        <f t="shared" si="36"/>
        <v>36-37</v>
      </c>
      <c r="CH136" s="261" t="str">
        <f t="shared" ca="1" si="37"/>
        <v/>
      </c>
      <c r="CI136" s="99"/>
      <c r="CJ136" s="99"/>
      <c r="CK136" s="99"/>
      <c r="CL136" s="99"/>
      <c r="CM136" s="99"/>
      <c r="CN136" s="99"/>
      <c r="CO136" s="99"/>
    </row>
    <row r="137" spans="2:93" ht="13.5" customHeight="1" x14ac:dyDescent="0.2">
      <c r="B137" s="262">
        <v>37</v>
      </c>
      <c r="C137" s="237" t="str">
        <f t="shared" si="1"/>
        <v/>
      </c>
      <c r="D137" s="237" t="str">
        <f t="shared" si="67"/>
        <v>-</v>
      </c>
      <c r="E137" s="290" t="str">
        <f t="shared" si="38"/>
        <v/>
      </c>
      <c r="F137" s="264" t="str">
        <f t="shared" si="39"/>
        <v/>
      </c>
      <c r="G137" s="291" t="str">
        <f t="shared" si="40"/>
        <v/>
      </c>
      <c r="H137" s="240" t="str">
        <f t="shared" si="71"/>
        <v/>
      </c>
      <c r="I137" s="265" t="str">
        <f t="shared" si="72"/>
        <v/>
      </c>
      <c r="J137" s="265" t="str">
        <f t="shared" si="73"/>
        <v/>
      </c>
      <c r="K137" s="240" t="str">
        <f t="shared" si="74"/>
        <v/>
      </c>
      <c r="L137" s="265" t="str">
        <f t="shared" si="75"/>
        <v/>
      </c>
      <c r="M137" s="265" t="str">
        <f t="shared" si="76"/>
        <v/>
      </c>
      <c r="N137" s="240" t="str">
        <f t="shared" si="77"/>
        <v>-</v>
      </c>
      <c r="O137" s="265" t="str">
        <f t="shared" si="78"/>
        <v>-</v>
      </c>
      <c r="P137" s="265" t="str">
        <f t="shared" si="79"/>
        <v>-</v>
      </c>
      <c r="Q137" s="266" t="str">
        <f t="shared" si="80"/>
        <v>-</v>
      </c>
      <c r="R137" s="267" t="str">
        <f t="shared" si="81"/>
        <v>-</v>
      </c>
      <c r="S137" s="268" t="str">
        <f t="shared" si="82"/>
        <v>-</v>
      </c>
      <c r="T137" s="269" t="str">
        <f t="shared" si="13"/>
        <v/>
      </c>
      <c r="U137" s="221">
        <f t="shared" si="14"/>
        <v>37</v>
      </c>
      <c r="V137" s="220" t="str">
        <f t="shared" si="42"/>
        <v>-</v>
      </c>
      <c r="W137" s="221" t="str">
        <f t="shared" si="43"/>
        <v>-</v>
      </c>
      <c r="X137" s="221" t="str">
        <f t="shared" si="15"/>
        <v>-</v>
      </c>
      <c r="Y137" s="221" t="str">
        <f t="shared" si="16"/>
        <v>-</v>
      </c>
      <c r="Z137" s="270">
        <f t="shared" si="44"/>
        <v>0.1</v>
      </c>
      <c r="AA137" s="271" t="str">
        <f>IFERROR(IF(V136=1,AA$100*EXP(-(LN(2)/$D$65+0.04)*X136)*EXP(-(LN(2)/$D$65+0.1)*Y136),IF(V136=2,AA$100*EXP(-(LN(2)/$D$65+0.04)*(VLOOKUP(($F$16-$F$15)-1,U$99:Y136,4,FALSE)))*EXP(-(LN(2)/$D$65+0.1)*(VLOOKUP(($F$16-$F$15)-1,U$99:Y136,5,FALSE)))*EXP(-(LN(2)/$D$65+0.04)*X136)*EXP(-(LN(2)/$D$65+0.1)*Y136),IF(V136=3,AA$100*EXP(-(LN(2)/$D$65+0.04)*(VLOOKUP(($F$16-$F$15)-1,U$99:Y136,4,FALSE)))*EXP(-(LN(2)/$D$65+0.1)*(VLOOKUP(($F$16-$F$15)-1,U$99:Y136,5,FALSE)))*EXP(-(LN(2)/$D$65+0.04)*(VLOOKUP(($F$16-$F$15)*2-1,U$99:Y136,4,FALSE)))*EXP(-(LN(2)/$D$65+0.1)*(VLOOKUP(($F$16-$F$15)*2-1,U$99:Y136,5,FALSE)))*EXP(-(LN(2)/$D$65+0.04)*X136)*EXP(-(LN(2)/$D$65+0.1)*Y136),"-"))),"-")</f>
        <v>-</v>
      </c>
      <c r="AB137" s="271" t="str">
        <f>IFERROR(IF(V137=1,AB$100*EXP(-(LN(2)/$D$65+0.04)*X137)*EXP(-(LN(2)/$D$65+0.1)*Y137),IF(V137=2,AB$100*EXP(-(LN(2)/$D$65+0.04)*(VLOOKUP(($F$16-$F$15)-1,U$100:Y137,4,FALSE)))*EXP(-(LN(2)/$D$65+0.1)*(VLOOKUP(($F$16-$F$15)-1,U$100:Y137,5,FALSE)))*EXP(-(LN(2)/$D$65+0.04)*X137)*EXP(-(LN(2)/$D$65+0.1)*Y137),IF(V137=3,AB$100*EXP(-(LN(2)/$D$65+0.04)*(VLOOKUP(($F$16-$F$15)-1,U$100:Y137,4,FALSE)))*EXP(-(LN(2)/$D$65+0.1)*(VLOOKUP(($F$16-$F$15)-1,U$100:Y137,5,FALSE)))*EXP(-(LN(2)/$D$65+0.04)*(VLOOKUP(($F$16-$F$15)*2-1,U$100:Y137,4,FALSE)))*EXP(-(LN(2)/$D$65+0.1)*(VLOOKUP(($F$16-$F$15)*2-1,U$100:Y137,5,FALSE)))*EXP(-(LN(2)/$D$65+0.04)*X137)*EXP(-(LN(2)/$D$65+0.1)*Y137),"-"))),"-")</f>
        <v>-</v>
      </c>
      <c r="AC137" s="224">
        <f t="shared" si="46"/>
        <v>37</v>
      </c>
      <c r="AD137" s="223" t="str">
        <f t="shared" si="18"/>
        <v>-</v>
      </c>
      <c r="AE137" s="224" t="str">
        <f t="shared" si="47"/>
        <v>-</v>
      </c>
      <c r="AF137" s="224" t="str">
        <f t="shared" si="19"/>
        <v>-</v>
      </c>
      <c r="AG137" s="224" t="str">
        <f t="shared" si="20"/>
        <v>-</v>
      </c>
      <c r="AH137" s="272">
        <f t="shared" si="48"/>
        <v>0.1</v>
      </c>
      <c r="AI137" s="271" t="str">
        <f>IFERROR(IF(AD136=1,AI$100*EXP(-(LN(2)/$D$65+0.04)*AF136)*EXP(-(LN(2)/$D$65+0.1)*AG136),IF(AD136=2,AI$100*EXP(-(LN(2)/$D$65+0.04)*(VLOOKUP(($F$16-$F$15)-1,AC$99:AG136,4,FALSE)))*EXP(-(LN(2)/$D$65+0.1)*(VLOOKUP(($F$16-$F$15)-1,AC$99:AG136,5,FALSE)))*EXP(-(LN(2)/$D$65+0.04)*AF136)*EXP(-(LN(2)/$D$65+0.1)*AG136),IF(AD136=3,AI$100*EXP(-(LN(2)/$D$65+0.04)*(VLOOKUP(($F$16-$F$15)-1,AC$99:AG136,4,FALSE)))*EXP(-(LN(2)/$D$65+0.1)*(VLOOKUP(($F$16-$F$15)-1,AC$99:AG136,5,FALSE)))*EXP(-(LN(2)/$D$65+0.04)*(VLOOKUP(($F$16-$F$15)*2-1,AC$99:AG136,4,FALSE)))*EXP(-(LN(2)/$D$65+0.1)*(VLOOKUP(($F$16-$F$15)*2-1,AC$99:AG136,5,FALSE)))*EXP(-(LN(2)/$D$65+0.04)*AF136)*EXP(-(LN(2)/$D$65+0.1)*AG136),"-"))),"-")</f>
        <v>-</v>
      </c>
      <c r="AJ137" s="271" t="str">
        <f>IFERROR(IF(AD137=1,AJ$100*EXP(-(LN(2)/$D$65+0.04)*AF137)*EXP(-(LN(2)/$D$65+0.1)*AG137),IF(AD137=2,AJ$100*EXP(-(LN(2)/$D$65+0.04)*(VLOOKUP(($F$16-$F$15)-1,AC$100:AG137,4,FALSE)))*EXP(-(LN(2)/$D$65+0.1)*(VLOOKUP(($F$16-$F$15)-1,AC$100:AG137,5,FALSE)))*EXP(-(LN(2)/$D$65+0.04)*AF137)*EXP(-(LN(2)/$D$65+0.1)*AG137),IF(AD137=3,AJ$100*EXP(-(LN(2)/$D$65+0.04)*(VLOOKUP(($F$16-$F$15)-1,AC$100:AG137,4,FALSE)))*EXP(-(LN(2)/$D$65+0.1)*(VLOOKUP(($F$16-$F$15)-1,AC$100:AG137,5,FALSE)))*EXP(-(LN(2)/$D$65+0.04)*(VLOOKUP(($F$16-$F$15)*2-1,AC$100:AG137,4,FALSE)))*EXP(-(LN(2)/$D$65+0.1)*(VLOOKUP(($F$16-$F$15)*2-1,AC$100:AG137,5,FALSE)))*EXP(-(LN(2)/$D$65+0.04)*AF137)*EXP(-(LN(2)/$D$65+0.1)*AG137),"-"))),"-")</f>
        <v>-</v>
      </c>
      <c r="AK137" s="227">
        <f t="shared" si="50"/>
        <v>37</v>
      </c>
      <c r="AL137" s="226" t="str">
        <f t="shared" si="22"/>
        <v>-</v>
      </c>
      <c r="AM137" s="227" t="str">
        <f t="shared" si="51"/>
        <v>-</v>
      </c>
      <c r="AN137" s="227" t="str">
        <f t="shared" si="52"/>
        <v>-</v>
      </c>
      <c r="AO137" s="227" t="str">
        <f t="shared" si="23"/>
        <v>-</v>
      </c>
      <c r="AP137" s="273">
        <f t="shared" si="53"/>
        <v>0.1</v>
      </c>
      <c r="AQ137" s="271" t="str">
        <f>IFERROR(IF(AL136=1,AQ$100*EXP(-(LN(2)/$D$65+0.04)*AN136)*EXP(-(LN(2)/$D$65+0.1)*AO136),IF(AL136=2,AQ$100*EXP(-(LN(2)/$D$65+0.04)*(VLOOKUP(($F$16-$F$15)-1,AK$99:AO136,4,FALSE)))*EXP(-(LN(2)/$D$65+0.1)*(VLOOKUP(($F$16-$F$15)-1,AK$99:AO136,5,FALSE)))*EXP(-(LN(2)/$D$65+0.04)*AN136)*EXP(-(LN(2)/$D$65+0.1)*AO136),IF(AL136=3,AQ$100*EXP(-(LN(2)/$D$65+0.04)*(VLOOKUP(($F$16-$F$15)-1,AK$99:AO136,4,FALSE)))*EXP(-(LN(2)/$D$65+0.1)*(VLOOKUP(($F$16-$F$15)-1,AK$99:AO136,5,FALSE)))*EXP(-(LN(2)/$D$65+0.04)*(VLOOKUP(($F$16-$F$15)*2-1,AK$99:AO136,4,FALSE)))*EXP(-(LN(2)/$D$65+0.1)*(VLOOKUP(($F$16-$F$15)*2-1,AK$99:AO136,5,FALSE)))*EXP(-(LN(2)/$D$65+0.04)*AN136)*EXP(-(LN(2)/$D$65+0.1)*AO136),"-"))),"-")</f>
        <v>-</v>
      </c>
      <c r="AR137" s="271" t="str">
        <f>IFERROR(IF(AL137=1,AR$100*EXP(-(LN(2)/$D$65+0.04)*AN137)*EXP(-(LN(2)/$D$65+0.1)*AO137),IF(AL137=2,AR$100*EXP(-(LN(2)/$D$65+0.04)*(VLOOKUP(($F$16-$F$15)-1,AK$100:AO137,4,FALSE)))*EXP(-(LN(2)/$D$65+0.1)*(VLOOKUP(($F$16-$F$15)-1,AK$100:AO137,5,FALSE)))*EXP(-(LN(2)/$D$65+0.04)*AN137)*EXP(-(LN(2)/$D$65+0.1)*AO137),IF(AL137=3,AR$100*EXP(-(LN(2)/$D$65+0.04)*(VLOOKUP(($F$16-$F$15)-1,AK$100:AO137,4,FALSE)))*EXP(-(LN(2)/$D$65+0.1)*(VLOOKUP(($F$16-$F$15)-1,AK$100:AO137,5,FALSE)))*EXP(-(LN(2)/$D$65+0.04)*(VLOOKUP(($F$16-$F$15)*2-1,AK$100:AO137,4,FALSE)))*EXP(-(LN(2)/$D$65+0.1)*(VLOOKUP(($F$16-$F$15)*2-1,AK$100:AO137,5,FALSE)))*EXP(-(LN(2)/$D$65+0.04)*AN137)*EXP(-(LN(2)/$D$65+0.1)*AO137),"-"))),"-")</f>
        <v>-</v>
      </c>
      <c r="AS137" s="274">
        <f t="shared" si="24"/>
        <v>0</v>
      </c>
      <c r="AT137" s="274">
        <f t="shared" si="25"/>
        <v>0</v>
      </c>
      <c r="AU137" s="274">
        <f t="shared" si="26"/>
        <v>0</v>
      </c>
      <c r="AV137" s="190">
        <f>IF($B137&lt;$F$22,SUM($T$100:$T137),"")</f>
        <v>0</v>
      </c>
      <c r="AW137" s="190" t="str">
        <f t="shared" si="83"/>
        <v>-</v>
      </c>
      <c r="AX137" s="190" t="str">
        <f t="shared" si="57"/>
        <v/>
      </c>
      <c r="AY137"/>
      <c r="AZ137" s="190" t="str">
        <f ca="1">IF(ISNUMBER(OFFSET(AV137,-$F$21,0)),SUM(OFFSET($T$100,$F$21,0):$T137),"")</f>
        <v/>
      </c>
      <c r="BA137" s="190" t="str">
        <f t="shared" ca="1" si="84"/>
        <v/>
      </c>
      <c r="BB137" s="190" t="str">
        <f t="shared" ca="1" si="70"/>
        <v/>
      </c>
      <c r="BC137" s="190"/>
      <c r="BD137" s="190" t="str">
        <f ca="1">IFERROR(IF(AND($B137&gt;=($F$16-$F$15),$B137&lt;$F$22+($F$16-$F$15)),SUM(OFFSET($T$100,($F$16-$F$15),0):$T137),""),"")</f>
        <v/>
      </c>
      <c r="BE137" s="190" t="str">
        <f t="shared" ca="1" si="59"/>
        <v/>
      </c>
      <c r="BF137" s="190" t="str">
        <f t="shared" ca="1" si="60"/>
        <v/>
      </c>
      <c r="BG137"/>
      <c r="BH137" s="190" t="str">
        <f ca="1">IF(ISNUMBER(OFFSET(BD137,-$F$21,0)),SUM(OFFSET($T$100,($F$16-$F$15+$F$21),0):$T137),"")</f>
        <v/>
      </c>
      <c r="BI137" s="190" t="str">
        <f t="shared" ca="1" si="85"/>
        <v/>
      </c>
      <c r="BJ137" s="190" t="str">
        <f t="shared" ca="1" si="61"/>
        <v/>
      </c>
      <c r="BK137" s="190"/>
      <c r="BL137" s="190" t="str">
        <f ca="1">IFERROR(IF(AND($B137&gt;=($F$17-$F$15),$B137&lt;$F$22+($F$17-$F$15)),SUM(OFFSET($T$100,($F$17-$F$15),0):$T137),""),"")</f>
        <v/>
      </c>
      <c r="BM137" s="190" t="str">
        <f t="shared" ca="1" si="86"/>
        <v/>
      </c>
      <c r="BN137" s="190" t="str">
        <f t="shared" ca="1" si="62"/>
        <v/>
      </c>
      <c r="BO137"/>
      <c r="BP137" s="190" t="str">
        <f ca="1">IF(ISNUMBER(OFFSET(BL137,-$F$21,0)),SUM(OFFSET($T$100,($F$17-$F$15+$F$21),0):$T137),"")</f>
        <v/>
      </c>
      <c r="BQ137" s="190" t="str">
        <f t="shared" ca="1" si="87"/>
        <v/>
      </c>
      <c r="BR137" s="190" t="str">
        <f t="shared" ca="1" si="64"/>
        <v/>
      </c>
      <c r="BS137" s="190"/>
      <c r="BT137"/>
      <c r="BU137"/>
      <c r="BV137"/>
      <c r="BY137" s="99"/>
      <c r="BZ137" s="99"/>
      <c r="CA137" s="280" t="str">
        <f t="shared" si="88"/>
        <v/>
      </c>
      <c r="CB137" s="71" t="str">
        <f t="shared" si="31"/>
        <v>-</v>
      </c>
      <c r="CC137" s="33"/>
      <c r="CD137" s="261" t="str">
        <f t="shared" si="33"/>
        <v/>
      </c>
      <c r="CE137" s="280" t="str">
        <f t="shared" si="89"/>
        <v>-</v>
      </c>
      <c r="CF137" s="71" t="str">
        <f t="shared" ca="1" si="90"/>
        <v>-</v>
      </c>
      <c r="CG137" s="33" t="str">
        <f t="shared" si="36"/>
        <v>37-38</v>
      </c>
      <c r="CH137" s="261" t="str">
        <f t="shared" ca="1" si="37"/>
        <v/>
      </c>
      <c r="CI137" s="99"/>
      <c r="CJ137" s="99"/>
      <c r="CK137" s="99"/>
      <c r="CL137" s="99"/>
      <c r="CM137" s="99"/>
      <c r="CN137" s="99"/>
      <c r="CO137" s="99"/>
    </row>
    <row r="138" spans="2:93" ht="13.5" customHeight="1" x14ac:dyDescent="0.2">
      <c r="B138" s="262">
        <v>38</v>
      </c>
      <c r="C138" s="237" t="str">
        <f t="shared" si="1"/>
        <v/>
      </c>
      <c r="D138" s="237" t="str">
        <f t="shared" si="67"/>
        <v>-</v>
      </c>
      <c r="E138" s="290" t="str">
        <f t="shared" si="38"/>
        <v/>
      </c>
      <c r="F138" s="264" t="str">
        <f t="shared" si="39"/>
        <v/>
      </c>
      <c r="G138" s="291" t="str">
        <f t="shared" si="40"/>
        <v/>
      </c>
      <c r="H138" s="240" t="str">
        <f t="shared" si="71"/>
        <v/>
      </c>
      <c r="I138" s="265" t="str">
        <f t="shared" si="72"/>
        <v/>
      </c>
      <c r="J138" s="265" t="str">
        <f t="shared" si="73"/>
        <v/>
      </c>
      <c r="K138" s="240" t="str">
        <f t="shared" si="74"/>
        <v/>
      </c>
      <c r="L138" s="265" t="str">
        <f t="shared" si="75"/>
        <v/>
      </c>
      <c r="M138" s="265" t="str">
        <f t="shared" si="76"/>
        <v/>
      </c>
      <c r="N138" s="240" t="str">
        <f t="shared" si="77"/>
        <v>-</v>
      </c>
      <c r="O138" s="265" t="str">
        <f t="shared" si="78"/>
        <v>-</v>
      </c>
      <c r="P138" s="265" t="str">
        <f t="shared" si="79"/>
        <v>-</v>
      </c>
      <c r="Q138" s="266" t="str">
        <f t="shared" si="80"/>
        <v>-</v>
      </c>
      <c r="R138" s="267" t="str">
        <f t="shared" si="81"/>
        <v>-</v>
      </c>
      <c r="S138" s="268" t="str">
        <f t="shared" si="82"/>
        <v>-</v>
      </c>
      <c r="T138" s="269" t="str">
        <f t="shared" si="13"/>
        <v/>
      </c>
      <c r="U138" s="221">
        <f t="shared" si="14"/>
        <v>38</v>
      </c>
      <c r="V138" s="220" t="str">
        <f t="shared" si="42"/>
        <v>-</v>
      </c>
      <c r="W138" s="221" t="str">
        <f t="shared" si="43"/>
        <v>-</v>
      </c>
      <c r="X138" s="221" t="str">
        <f t="shared" si="15"/>
        <v>-</v>
      </c>
      <c r="Y138" s="221" t="str">
        <f t="shared" si="16"/>
        <v>-</v>
      </c>
      <c r="Z138" s="270">
        <f t="shared" si="44"/>
        <v>0.1</v>
      </c>
      <c r="AA138" s="271" t="str">
        <f>IFERROR(IF(V137=1,AA$100*EXP(-(LN(2)/$D$65+0.04)*X137)*EXP(-(LN(2)/$D$65+0.1)*Y137),IF(V137=2,AA$100*EXP(-(LN(2)/$D$65+0.04)*(VLOOKUP(($F$16-$F$15)-1,U$99:Y137,4,FALSE)))*EXP(-(LN(2)/$D$65+0.1)*(VLOOKUP(($F$16-$F$15)-1,U$99:Y137,5,FALSE)))*EXP(-(LN(2)/$D$65+0.04)*X137)*EXP(-(LN(2)/$D$65+0.1)*Y137),IF(V137=3,AA$100*EXP(-(LN(2)/$D$65+0.04)*(VLOOKUP(($F$16-$F$15)-1,U$99:Y137,4,FALSE)))*EXP(-(LN(2)/$D$65+0.1)*(VLOOKUP(($F$16-$F$15)-1,U$99:Y137,5,FALSE)))*EXP(-(LN(2)/$D$65+0.04)*(VLOOKUP(($F$16-$F$15)*2-1,U$99:Y137,4,FALSE)))*EXP(-(LN(2)/$D$65+0.1)*(VLOOKUP(($F$16-$F$15)*2-1,U$99:Y137,5,FALSE)))*EXP(-(LN(2)/$D$65+0.04)*X137)*EXP(-(LN(2)/$D$65+0.1)*Y137),"-"))),"-")</f>
        <v>-</v>
      </c>
      <c r="AB138" s="271" t="str">
        <f>IFERROR(IF(V138=1,AB$100*EXP(-(LN(2)/$D$65+0.04)*X138)*EXP(-(LN(2)/$D$65+0.1)*Y138),IF(V138=2,AB$100*EXP(-(LN(2)/$D$65+0.04)*(VLOOKUP(($F$16-$F$15)-1,U$100:Y138,4,FALSE)))*EXP(-(LN(2)/$D$65+0.1)*(VLOOKUP(($F$16-$F$15)-1,U$100:Y138,5,FALSE)))*EXP(-(LN(2)/$D$65+0.04)*X138)*EXP(-(LN(2)/$D$65+0.1)*Y138),IF(V138=3,AB$100*EXP(-(LN(2)/$D$65+0.04)*(VLOOKUP(($F$16-$F$15)-1,U$100:Y138,4,FALSE)))*EXP(-(LN(2)/$D$65+0.1)*(VLOOKUP(($F$16-$F$15)-1,U$100:Y138,5,FALSE)))*EXP(-(LN(2)/$D$65+0.04)*(VLOOKUP(($F$16-$F$15)*2-1,U$100:Y138,4,FALSE)))*EXP(-(LN(2)/$D$65+0.1)*(VLOOKUP(($F$16-$F$15)*2-1,U$100:Y138,5,FALSE)))*EXP(-(LN(2)/$D$65+0.04)*X138)*EXP(-(LN(2)/$D$65+0.1)*Y138),"-"))),"-")</f>
        <v>-</v>
      </c>
      <c r="AC138" s="224">
        <f t="shared" si="46"/>
        <v>38</v>
      </c>
      <c r="AD138" s="223" t="str">
        <f t="shared" si="18"/>
        <v>-</v>
      </c>
      <c r="AE138" s="224" t="str">
        <f t="shared" si="47"/>
        <v>-</v>
      </c>
      <c r="AF138" s="224" t="str">
        <f t="shared" si="19"/>
        <v>-</v>
      </c>
      <c r="AG138" s="224" t="str">
        <f t="shared" si="20"/>
        <v>-</v>
      </c>
      <c r="AH138" s="272">
        <f t="shared" si="48"/>
        <v>0.1</v>
      </c>
      <c r="AI138" s="271" t="str">
        <f>IFERROR(IF(AD137=1,AI$100*EXP(-(LN(2)/$D$65+0.04)*AF137)*EXP(-(LN(2)/$D$65+0.1)*AG137),IF(AD137=2,AI$100*EXP(-(LN(2)/$D$65+0.04)*(VLOOKUP(($F$16-$F$15)-1,AC$99:AG137,4,FALSE)))*EXP(-(LN(2)/$D$65+0.1)*(VLOOKUP(($F$16-$F$15)-1,AC$99:AG137,5,FALSE)))*EXP(-(LN(2)/$D$65+0.04)*AF137)*EXP(-(LN(2)/$D$65+0.1)*AG137),IF(AD137=3,AI$100*EXP(-(LN(2)/$D$65+0.04)*(VLOOKUP(($F$16-$F$15)-1,AC$99:AG137,4,FALSE)))*EXP(-(LN(2)/$D$65+0.1)*(VLOOKUP(($F$16-$F$15)-1,AC$99:AG137,5,FALSE)))*EXP(-(LN(2)/$D$65+0.04)*(VLOOKUP(($F$16-$F$15)*2-1,AC$99:AG137,4,FALSE)))*EXP(-(LN(2)/$D$65+0.1)*(VLOOKUP(($F$16-$F$15)*2-1,AC$99:AG137,5,FALSE)))*EXP(-(LN(2)/$D$65+0.04)*AF137)*EXP(-(LN(2)/$D$65+0.1)*AG137),"-"))),"-")</f>
        <v>-</v>
      </c>
      <c r="AJ138" s="271" t="str">
        <f>IFERROR(IF(AD138=1,AJ$100*EXP(-(LN(2)/$D$65+0.04)*AF138)*EXP(-(LN(2)/$D$65+0.1)*AG138),IF(AD138=2,AJ$100*EXP(-(LN(2)/$D$65+0.04)*(VLOOKUP(($F$16-$F$15)-1,AC$100:AG138,4,FALSE)))*EXP(-(LN(2)/$D$65+0.1)*(VLOOKUP(($F$16-$F$15)-1,AC$100:AG138,5,FALSE)))*EXP(-(LN(2)/$D$65+0.04)*AF138)*EXP(-(LN(2)/$D$65+0.1)*AG138),IF(AD138=3,AJ$100*EXP(-(LN(2)/$D$65+0.04)*(VLOOKUP(($F$16-$F$15)-1,AC$100:AG138,4,FALSE)))*EXP(-(LN(2)/$D$65+0.1)*(VLOOKUP(($F$16-$F$15)-1,AC$100:AG138,5,FALSE)))*EXP(-(LN(2)/$D$65+0.04)*(VLOOKUP(($F$16-$F$15)*2-1,AC$100:AG138,4,FALSE)))*EXP(-(LN(2)/$D$65+0.1)*(VLOOKUP(($F$16-$F$15)*2-1,AC$100:AG138,5,FALSE)))*EXP(-(LN(2)/$D$65+0.04)*AF138)*EXP(-(LN(2)/$D$65+0.1)*AG138),"-"))),"-")</f>
        <v>-</v>
      </c>
      <c r="AK138" s="227">
        <f t="shared" si="50"/>
        <v>38</v>
      </c>
      <c r="AL138" s="226" t="str">
        <f t="shared" si="22"/>
        <v>-</v>
      </c>
      <c r="AM138" s="227" t="str">
        <f t="shared" si="51"/>
        <v>-</v>
      </c>
      <c r="AN138" s="227" t="str">
        <f t="shared" si="52"/>
        <v>-</v>
      </c>
      <c r="AO138" s="227" t="str">
        <f t="shared" si="23"/>
        <v>-</v>
      </c>
      <c r="AP138" s="273">
        <f t="shared" si="53"/>
        <v>0.1</v>
      </c>
      <c r="AQ138" s="271" t="str">
        <f>IFERROR(IF(AL137=1,AQ$100*EXP(-(LN(2)/$D$65+0.04)*AN137)*EXP(-(LN(2)/$D$65+0.1)*AO137),IF(AL137=2,AQ$100*EXP(-(LN(2)/$D$65+0.04)*(VLOOKUP(($F$16-$F$15)-1,AK$99:AO137,4,FALSE)))*EXP(-(LN(2)/$D$65+0.1)*(VLOOKUP(($F$16-$F$15)-1,AK$99:AO137,5,FALSE)))*EXP(-(LN(2)/$D$65+0.04)*AN137)*EXP(-(LN(2)/$D$65+0.1)*AO137),IF(AL137=3,AQ$100*EXP(-(LN(2)/$D$65+0.04)*(VLOOKUP(($F$16-$F$15)-1,AK$99:AO137,4,FALSE)))*EXP(-(LN(2)/$D$65+0.1)*(VLOOKUP(($F$16-$F$15)-1,AK$99:AO137,5,FALSE)))*EXP(-(LN(2)/$D$65+0.04)*(VLOOKUP(($F$16-$F$15)*2-1,AK$99:AO137,4,FALSE)))*EXP(-(LN(2)/$D$65+0.1)*(VLOOKUP(($F$16-$F$15)*2-1,AK$99:AO137,5,FALSE)))*EXP(-(LN(2)/$D$65+0.04)*AN137)*EXP(-(LN(2)/$D$65+0.1)*AO137),"-"))),"-")</f>
        <v>-</v>
      </c>
      <c r="AR138" s="271" t="str">
        <f>IFERROR(IF(AL138=1,AR$100*EXP(-(LN(2)/$D$65+0.04)*AN138)*EXP(-(LN(2)/$D$65+0.1)*AO138),IF(AL138=2,AR$100*EXP(-(LN(2)/$D$65+0.04)*(VLOOKUP(($F$16-$F$15)-1,AK$100:AO138,4,FALSE)))*EXP(-(LN(2)/$D$65+0.1)*(VLOOKUP(($F$16-$F$15)-1,AK$100:AO138,5,FALSE)))*EXP(-(LN(2)/$D$65+0.04)*AN138)*EXP(-(LN(2)/$D$65+0.1)*AO138),IF(AL138=3,AR$100*EXP(-(LN(2)/$D$65+0.04)*(VLOOKUP(($F$16-$F$15)-1,AK$100:AO138,4,FALSE)))*EXP(-(LN(2)/$D$65+0.1)*(VLOOKUP(($F$16-$F$15)-1,AK$100:AO138,5,FALSE)))*EXP(-(LN(2)/$D$65+0.04)*(VLOOKUP(($F$16-$F$15)*2-1,AK$100:AO138,4,FALSE)))*EXP(-(LN(2)/$D$65+0.1)*(VLOOKUP(($F$16-$F$15)*2-1,AK$100:AO138,5,FALSE)))*EXP(-(LN(2)/$D$65+0.04)*AN138)*EXP(-(LN(2)/$D$65+0.1)*AO138),"-"))),"-")</f>
        <v>-</v>
      </c>
      <c r="AS138" s="274">
        <f t="shared" si="24"/>
        <v>0</v>
      </c>
      <c r="AT138" s="274">
        <f t="shared" si="25"/>
        <v>0</v>
      </c>
      <c r="AU138" s="274">
        <f t="shared" si="26"/>
        <v>0</v>
      </c>
      <c r="AV138" s="190">
        <f>IF($B138&lt;$F$22,SUM($T$100:$T138),"")</f>
        <v>0</v>
      </c>
      <c r="AW138" s="190" t="str">
        <f t="shared" si="83"/>
        <v>-</v>
      </c>
      <c r="AX138" s="190" t="str">
        <f t="shared" si="57"/>
        <v/>
      </c>
      <c r="AY138"/>
      <c r="AZ138" s="190" t="str">
        <f ca="1">IF(ISNUMBER(OFFSET(AV138,-$F$21,0)),SUM(OFFSET($T$100,$F$21,0):$T138),"")</f>
        <v/>
      </c>
      <c r="BA138" s="190" t="str">
        <f t="shared" ca="1" si="84"/>
        <v/>
      </c>
      <c r="BB138" s="190" t="str">
        <f t="shared" ca="1" si="70"/>
        <v/>
      </c>
      <c r="BC138" s="190"/>
      <c r="BD138" s="190" t="str">
        <f ca="1">IFERROR(IF(AND($B138&gt;=($F$16-$F$15),$B138&lt;$F$22+($F$16-$F$15)),SUM(OFFSET($T$100,($F$16-$F$15),0):$T138),""),"")</f>
        <v/>
      </c>
      <c r="BE138" s="190" t="str">
        <f t="shared" ca="1" si="59"/>
        <v/>
      </c>
      <c r="BF138" s="190" t="str">
        <f t="shared" ca="1" si="60"/>
        <v/>
      </c>
      <c r="BG138"/>
      <c r="BH138" s="190" t="str">
        <f ca="1">IF(ISNUMBER(OFFSET(BD138,-$F$21,0)),SUM(OFFSET($T$100,($F$16-$F$15+$F$21),0):$T138),"")</f>
        <v/>
      </c>
      <c r="BI138" s="190" t="str">
        <f t="shared" ca="1" si="85"/>
        <v/>
      </c>
      <c r="BJ138" s="190" t="str">
        <f t="shared" ca="1" si="61"/>
        <v/>
      </c>
      <c r="BK138" s="190"/>
      <c r="BL138" s="190" t="str">
        <f ca="1">IFERROR(IF(AND($B138&gt;=($F$17-$F$15),$B138&lt;$F$22+($F$17-$F$15)),SUM(OFFSET($T$100,($F$17-$F$15),0):$T138),""),"")</f>
        <v/>
      </c>
      <c r="BM138" s="190" t="str">
        <f t="shared" ca="1" si="86"/>
        <v/>
      </c>
      <c r="BN138" s="190" t="str">
        <f t="shared" ca="1" si="62"/>
        <v/>
      </c>
      <c r="BO138"/>
      <c r="BP138" s="190" t="str">
        <f ca="1">IF(ISNUMBER(OFFSET(BL138,-$F$21,0)),SUM(OFFSET($T$100,($F$17-$F$15+$F$21),0):$T138),"")</f>
        <v/>
      </c>
      <c r="BQ138" s="190" t="str">
        <f t="shared" ca="1" si="87"/>
        <v/>
      </c>
      <c r="BR138" s="190" t="str">
        <f t="shared" ca="1" si="64"/>
        <v/>
      </c>
      <c r="BS138" s="190"/>
      <c r="BT138"/>
      <c r="BU138"/>
      <c r="BV138"/>
      <c r="BY138" s="99"/>
      <c r="BZ138" s="99"/>
      <c r="CA138" s="280" t="str">
        <f t="shared" si="88"/>
        <v/>
      </c>
      <c r="CB138" s="71" t="str">
        <f t="shared" si="31"/>
        <v>-</v>
      </c>
      <c r="CC138" s="33"/>
      <c r="CD138" s="261" t="str">
        <f t="shared" si="33"/>
        <v/>
      </c>
      <c r="CE138" s="280" t="str">
        <f t="shared" si="89"/>
        <v>-</v>
      </c>
      <c r="CF138" s="71" t="str">
        <f t="shared" ca="1" si="90"/>
        <v>-</v>
      </c>
      <c r="CG138" s="33" t="str">
        <f t="shared" si="36"/>
        <v>38-39</v>
      </c>
      <c r="CH138" s="261" t="str">
        <f t="shared" ca="1" si="37"/>
        <v/>
      </c>
      <c r="CI138" s="99"/>
      <c r="CJ138" s="99"/>
      <c r="CK138" s="99"/>
      <c r="CL138" s="99"/>
      <c r="CM138" s="99"/>
      <c r="CN138" s="99"/>
      <c r="CO138" s="99"/>
    </row>
    <row r="139" spans="2:93" ht="13.5" customHeight="1" x14ac:dyDescent="0.2">
      <c r="B139" s="262">
        <v>39</v>
      </c>
      <c r="C139" s="237" t="str">
        <f t="shared" si="1"/>
        <v/>
      </c>
      <c r="D139" s="237" t="str">
        <f t="shared" si="67"/>
        <v>-</v>
      </c>
      <c r="E139" s="290" t="str">
        <f t="shared" si="38"/>
        <v/>
      </c>
      <c r="F139" s="264" t="str">
        <f t="shared" si="39"/>
        <v/>
      </c>
      <c r="G139" s="291" t="str">
        <f t="shared" si="40"/>
        <v/>
      </c>
      <c r="H139" s="240" t="str">
        <f t="shared" si="71"/>
        <v/>
      </c>
      <c r="I139" s="265" t="str">
        <f t="shared" si="72"/>
        <v/>
      </c>
      <c r="J139" s="265" t="str">
        <f t="shared" si="73"/>
        <v/>
      </c>
      <c r="K139" s="240" t="str">
        <f t="shared" si="74"/>
        <v/>
      </c>
      <c r="L139" s="265" t="str">
        <f t="shared" si="75"/>
        <v/>
      </c>
      <c r="M139" s="265" t="str">
        <f t="shared" si="76"/>
        <v/>
      </c>
      <c r="N139" s="240" t="str">
        <f t="shared" si="77"/>
        <v>-</v>
      </c>
      <c r="O139" s="265" t="str">
        <f t="shared" si="78"/>
        <v>-</v>
      </c>
      <c r="P139" s="265" t="str">
        <f t="shared" si="79"/>
        <v>-</v>
      </c>
      <c r="Q139" s="266" t="str">
        <f t="shared" si="80"/>
        <v>-</v>
      </c>
      <c r="R139" s="267" t="str">
        <f t="shared" si="81"/>
        <v>-</v>
      </c>
      <c r="S139" s="268" t="str">
        <f t="shared" si="82"/>
        <v>-</v>
      </c>
      <c r="T139" s="269" t="str">
        <f t="shared" si="13"/>
        <v/>
      </c>
      <c r="U139" s="221">
        <f t="shared" si="14"/>
        <v>39</v>
      </c>
      <c r="V139" s="220" t="str">
        <f t="shared" si="42"/>
        <v>-</v>
      </c>
      <c r="W139" s="221" t="str">
        <f t="shared" si="43"/>
        <v>-</v>
      </c>
      <c r="X139" s="221" t="str">
        <f t="shared" si="15"/>
        <v>-</v>
      </c>
      <c r="Y139" s="221" t="str">
        <f t="shared" si="16"/>
        <v>-</v>
      </c>
      <c r="Z139" s="270">
        <f t="shared" si="44"/>
        <v>0.1</v>
      </c>
      <c r="AA139" s="271" t="str">
        <f>IFERROR(IF(V138=1,AA$100*EXP(-(LN(2)/$D$65+0.04)*X138)*EXP(-(LN(2)/$D$65+0.1)*Y138),IF(V138=2,AA$100*EXP(-(LN(2)/$D$65+0.04)*(VLOOKUP(($F$16-$F$15)-1,U$99:Y138,4,FALSE)))*EXP(-(LN(2)/$D$65+0.1)*(VLOOKUP(($F$16-$F$15)-1,U$99:Y138,5,FALSE)))*EXP(-(LN(2)/$D$65+0.04)*X138)*EXP(-(LN(2)/$D$65+0.1)*Y138),IF(V138=3,AA$100*EXP(-(LN(2)/$D$65+0.04)*(VLOOKUP(($F$16-$F$15)-1,U$99:Y138,4,FALSE)))*EXP(-(LN(2)/$D$65+0.1)*(VLOOKUP(($F$16-$F$15)-1,U$99:Y138,5,FALSE)))*EXP(-(LN(2)/$D$65+0.04)*(VLOOKUP(($F$16-$F$15)*2-1,U$99:Y138,4,FALSE)))*EXP(-(LN(2)/$D$65+0.1)*(VLOOKUP(($F$16-$F$15)*2-1,U$99:Y138,5,FALSE)))*EXP(-(LN(2)/$D$65+0.04)*X138)*EXP(-(LN(2)/$D$65+0.1)*Y138),"-"))),"-")</f>
        <v>-</v>
      </c>
      <c r="AB139" s="271" t="str">
        <f>IFERROR(IF(V139=1,AB$100*EXP(-(LN(2)/$D$65+0.04)*X139)*EXP(-(LN(2)/$D$65+0.1)*Y139),IF(V139=2,AB$100*EXP(-(LN(2)/$D$65+0.04)*(VLOOKUP(($F$16-$F$15)-1,U$100:Y139,4,FALSE)))*EXP(-(LN(2)/$D$65+0.1)*(VLOOKUP(($F$16-$F$15)-1,U$100:Y139,5,FALSE)))*EXP(-(LN(2)/$D$65+0.04)*X139)*EXP(-(LN(2)/$D$65+0.1)*Y139),IF(V139=3,AB$100*EXP(-(LN(2)/$D$65+0.04)*(VLOOKUP(($F$16-$F$15)-1,U$100:Y139,4,FALSE)))*EXP(-(LN(2)/$D$65+0.1)*(VLOOKUP(($F$16-$F$15)-1,U$100:Y139,5,FALSE)))*EXP(-(LN(2)/$D$65+0.04)*(VLOOKUP(($F$16-$F$15)*2-1,U$100:Y139,4,FALSE)))*EXP(-(LN(2)/$D$65+0.1)*(VLOOKUP(($F$16-$F$15)*2-1,U$100:Y139,5,FALSE)))*EXP(-(LN(2)/$D$65+0.04)*X139)*EXP(-(LN(2)/$D$65+0.1)*Y139),"-"))),"-")</f>
        <v>-</v>
      </c>
      <c r="AC139" s="224">
        <f t="shared" si="46"/>
        <v>39</v>
      </c>
      <c r="AD139" s="223" t="str">
        <f t="shared" si="18"/>
        <v>-</v>
      </c>
      <c r="AE139" s="224" t="str">
        <f t="shared" si="47"/>
        <v>-</v>
      </c>
      <c r="AF139" s="224" t="str">
        <f t="shared" si="19"/>
        <v>-</v>
      </c>
      <c r="AG139" s="224" t="str">
        <f t="shared" si="20"/>
        <v>-</v>
      </c>
      <c r="AH139" s="272">
        <f t="shared" si="48"/>
        <v>0.1</v>
      </c>
      <c r="AI139" s="271" t="str">
        <f>IFERROR(IF(AD138=1,AI$100*EXP(-(LN(2)/$D$65+0.04)*AF138)*EXP(-(LN(2)/$D$65+0.1)*AG138),IF(AD138=2,AI$100*EXP(-(LN(2)/$D$65+0.04)*(VLOOKUP(($F$16-$F$15)-1,AC$99:AG138,4,FALSE)))*EXP(-(LN(2)/$D$65+0.1)*(VLOOKUP(($F$16-$F$15)-1,AC$99:AG138,5,FALSE)))*EXP(-(LN(2)/$D$65+0.04)*AF138)*EXP(-(LN(2)/$D$65+0.1)*AG138),IF(AD138=3,AI$100*EXP(-(LN(2)/$D$65+0.04)*(VLOOKUP(($F$16-$F$15)-1,AC$99:AG138,4,FALSE)))*EXP(-(LN(2)/$D$65+0.1)*(VLOOKUP(($F$16-$F$15)-1,AC$99:AG138,5,FALSE)))*EXP(-(LN(2)/$D$65+0.04)*(VLOOKUP(($F$16-$F$15)*2-1,AC$99:AG138,4,FALSE)))*EXP(-(LN(2)/$D$65+0.1)*(VLOOKUP(($F$16-$F$15)*2-1,AC$99:AG138,5,FALSE)))*EXP(-(LN(2)/$D$65+0.04)*AF138)*EXP(-(LN(2)/$D$65+0.1)*AG138),"-"))),"-")</f>
        <v>-</v>
      </c>
      <c r="AJ139" s="271" t="str">
        <f>IFERROR(IF(AD139=1,AJ$100*EXP(-(LN(2)/$D$65+0.04)*AF139)*EXP(-(LN(2)/$D$65+0.1)*AG139),IF(AD139=2,AJ$100*EXP(-(LN(2)/$D$65+0.04)*(VLOOKUP(($F$16-$F$15)-1,AC$100:AG139,4,FALSE)))*EXP(-(LN(2)/$D$65+0.1)*(VLOOKUP(($F$16-$F$15)-1,AC$100:AG139,5,FALSE)))*EXP(-(LN(2)/$D$65+0.04)*AF139)*EXP(-(LN(2)/$D$65+0.1)*AG139),IF(AD139=3,AJ$100*EXP(-(LN(2)/$D$65+0.04)*(VLOOKUP(($F$16-$F$15)-1,AC$100:AG139,4,FALSE)))*EXP(-(LN(2)/$D$65+0.1)*(VLOOKUP(($F$16-$F$15)-1,AC$100:AG139,5,FALSE)))*EXP(-(LN(2)/$D$65+0.04)*(VLOOKUP(($F$16-$F$15)*2-1,AC$100:AG139,4,FALSE)))*EXP(-(LN(2)/$D$65+0.1)*(VLOOKUP(($F$16-$F$15)*2-1,AC$100:AG139,5,FALSE)))*EXP(-(LN(2)/$D$65+0.04)*AF139)*EXP(-(LN(2)/$D$65+0.1)*AG139),"-"))),"-")</f>
        <v>-</v>
      </c>
      <c r="AK139" s="227">
        <f t="shared" si="50"/>
        <v>39</v>
      </c>
      <c r="AL139" s="226" t="str">
        <f t="shared" si="22"/>
        <v>-</v>
      </c>
      <c r="AM139" s="227" t="str">
        <f t="shared" si="51"/>
        <v>-</v>
      </c>
      <c r="AN139" s="227" t="str">
        <f t="shared" si="52"/>
        <v>-</v>
      </c>
      <c r="AO139" s="227" t="str">
        <f t="shared" si="23"/>
        <v>-</v>
      </c>
      <c r="AP139" s="273">
        <f t="shared" si="53"/>
        <v>0.1</v>
      </c>
      <c r="AQ139" s="271" t="str">
        <f>IFERROR(IF(AL138=1,AQ$100*EXP(-(LN(2)/$D$65+0.04)*AN138)*EXP(-(LN(2)/$D$65+0.1)*AO138),IF(AL138=2,AQ$100*EXP(-(LN(2)/$D$65+0.04)*(VLOOKUP(($F$16-$F$15)-1,AK$99:AO138,4,FALSE)))*EXP(-(LN(2)/$D$65+0.1)*(VLOOKUP(($F$16-$F$15)-1,AK$99:AO138,5,FALSE)))*EXP(-(LN(2)/$D$65+0.04)*AN138)*EXP(-(LN(2)/$D$65+0.1)*AO138),IF(AL138=3,AQ$100*EXP(-(LN(2)/$D$65+0.04)*(VLOOKUP(($F$16-$F$15)-1,AK$99:AO138,4,FALSE)))*EXP(-(LN(2)/$D$65+0.1)*(VLOOKUP(($F$16-$F$15)-1,AK$99:AO138,5,FALSE)))*EXP(-(LN(2)/$D$65+0.04)*(VLOOKUP(($F$16-$F$15)*2-1,AK$99:AO138,4,FALSE)))*EXP(-(LN(2)/$D$65+0.1)*(VLOOKUP(($F$16-$F$15)*2-1,AK$99:AO138,5,FALSE)))*EXP(-(LN(2)/$D$65+0.04)*AN138)*EXP(-(LN(2)/$D$65+0.1)*AO138),"-"))),"-")</f>
        <v>-</v>
      </c>
      <c r="AR139" s="271" t="str">
        <f>IFERROR(IF(AL139=1,AR$100*EXP(-(LN(2)/$D$65+0.04)*AN139)*EXP(-(LN(2)/$D$65+0.1)*AO139),IF(AL139=2,AR$100*EXP(-(LN(2)/$D$65+0.04)*(VLOOKUP(($F$16-$F$15)-1,AK$100:AO139,4,FALSE)))*EXP(-(LN(2)/$D$65+0.1)*(VLOOKUP(($F$16-$F$15)-1,AK$100:AO139,5,FALSE)))*EXP(-(LN(2)/$D$65+0.04)*AN139)*EXP(-(LN(2)/$D$65+0.1)*AO139),IF(AL139=3,AR$100*EXP(-(LN(2)/$D$65+0.04)*(VLOOKUP(($F$16-$F$15)-1,AK$100:AO139,4,FALSE)))*EXP(-(LN(2)/$D$65+0.1)*(VLOOKUP(($F$16-$F$15)-1,AK$100:AO139,5,FALSE)))*EXP(-(LN(2)/$D$65+0.04)*(VLOOKUP(($F$16-$F$15)*2-1,AK$100:AO139,4,FALSE)))*EXP(-(LN(2)/$D$65+0.1)*(VLOOKUP(($F$16-$F$15)*2-1,AK$100:AO139,5,FALSE)))*EXP(-(LN(2)/$D$65+0.04)*AN139)*EXP(-(LN(2)/$D$65+0.1)*AO139),"-"))),"-")</f>
        <v>-</v>
      </c>
      <c r="AS139" s="274">
        <f t="shared" si="24"/>
        <v>0</v>
      </c>
      <c r="AT139" s="274">
        <f t="shared" si="25"/>
        <v>0</v>
      </c>
      <c r="AU139" s="274">
        <f t="shared" si="26"/>
        <v>0</v>
      </c>
      <c r="AV139" s="190">
        <f>IF($B139&lt;$F$22,SUM($T$100:$T139),"")</f>
        <v>0</v>
      </c>
      <c r="AW139" s="190" t="str">
        <f t="shared" si="83"/>
        <v>-</v>
      </c>
      <c r="AX139" s="190" t="str">
        <f t="shared" si="57"/>
        <v/>
      </c>
      <c r="AY139"/>
      <c r="AZ139" s="190" t="str">
        <f ca="1">IF(ISNUMBER(OFFSET(AV139,-$F$21,0)),SUM(OFFSET($T$100,$F$21,0):$T139),"")</f>
        <v/>
      </c>
      <c r="BA139" s="190" t="str">
        <f t="shared" ca="1" si="84"/>
        <v/>
      </c>
      <c r="BB139" s="190" t="str">
        <f t="shared" ca="1" si="70"/>
        <v/>
      </c>
      <c r="BC139" s="190"/>
      <c r="BD139" s="190" t="str">
        <f ca="1">IFERROR(IF(AND($B139&gt;=($F$16-$F$15),$B139&lt;$F$22+($F$16-$F$15)),SUM(OFFSET($T$100,($F$16-$F$15),0):$T139),""),"")</f>
        <v/>
      </c>
      <c r="BE139" s="190" t="str">
        <f t="shared" ca="1" si="59"/>
        <v/>
      </c>
      <c r="BF139" s="190" t="str">
        <f t="shared" ca="1" si="60"/>
        <v/>
      </c>
      <c r="BG139"/>
      <c r="BH139" s="190" t="str">
        <f ca="1">IF(ISNUMBER(OFFSET(BD139,-$F$21,0)),SUM(OFFSET($T$100,($F$16-$F$15+$F$21),0):$T139),"")</f>
        <v/>
      </c>
      <c r="BI139" s="190" t="str">
        <f t="shared" ca="1" si="85"/>
        <v/>
      </c>
      <c r="BJ139" s="190" t="str">
        <f t="shared" ca="1" si="61"/>
        <v/>
      </c>
      <c r="BK139" s="190"/>
      <c r="BL139" s="190" t="str">
        <f ca="1">IFERROR(IF(AND($B139&gt;=($F$17-$F$15),$B139&lt;$F$22+($F$17-$F$15)),SUM(OFFSET($T$100,($F$17-$F$15),0):$T139),""),"")</f>
        <v/>
      </c>
      <c r="BM139" s="190" t="str">
        <f t="shared" ca="1" si="86"/>
        <v/>
      </c>
      <c r="BN139" s="190" t="str">
        <f t="shared" ca="1" si="62"/>
        <v/>
      </c>
      <c r="BO139"/>
      <c r="BP139" s="190" t="str">
        <f ca="1">IF(ISNUMBER(OFFSET(BL139,-$F$21,0)),SUM(OFFSET($T$100,($F$17-$F$15+$F$21),0):$T139),"")</f>
        <v/>
      </c>
      <c r="BQ139" s="190" t="str">
        <f t="shared" ca="1" si="87"/>
        <v/>
      </c>
      <c r="BR139" s="190" t="str">
        <f t="shared" ca="1" si="64"/>
        <v/>
      </c>
      <c r="BS139" s="190"/>
      <c r="BT139"/>
      <c r="BU139"/>
      <c r="BV139"/>
      <c r="BY139" s="99"/>
      <c r="BZ139" s="99"/>
      <c r="CA139" s="280" t="str">
        <f t="shared" si="88"/>
        <v/>
      </c>
      <c r="CB139" s="71" t="str">
        <f t="shared" si="31"/>
        <v>-</v>
      </c>
      <c r="CC139" s="33"/>
      <c r="CD139" s="261" t="str">
        <f t="shared" si="33"/>
        <v/>
      </c>
      <c r="CE139" s="280" t="str">
        <f t="shared" si="89"/>
        <v>-</v>
      </c>
      <c r="CF139" s="71" t="str">
        <f t="shared" ca="1" si="90"/>
        <v>-</v>
      </c>
      <c r="CG139" s="33" t="str">
        <f t="shared" si="36"/>
        <v>39-40</v>
      </c>
      <c r="CH139" s="261" t="str">
        <f t="shared" ca="1" si="37"/>
        <v/>
      </c>
      <c r="CI139" s="99"/>
      <c r="CJ139" s="99"/>
      <c r="CK139" s="99"/>
      <c r="CL139" s="99"/>
      <c r="CM139" s="99"/>
      <c r="CN139" s="99"/>
      <c r="CO139" s="99"/>
    </row>
    <row r="140" spans="2:93" ht="13.5" customHeight="1" x14ac:dyDescent="0.2">
      <c r="B140" s="262">
        <v>40</v>
      </c>
      <c r="C140" s="237" t="str">
        <f t="shared" si="1"/>
        <v/>
      </c>
      <c r="D140" s="237" t="str">
        <f t="shared" si="67"/>
        <v>-</v>
      </c>
      <c r="E140" s="290" t="str">
        <f t="shared" si="38"/>
        <v/>
      </c>
      <c r="F140" s="264" t="str">
        <f t="shared" si="39"/>
        <v/>
      </c>
      <c r="G140" s="291" t="str">
        <f t="shared" si="40"/>
        <v/>
      </c>
      <c r="H140" s="240" t="str">
        <f t="shared" si="71"/>
        <v/>
      </c>
      <c r="I140" s="265" t="str">
        <f t="shared" si="72"/>
        <v/>
      </c>
      <c r="J140" s="265" t="str">
        <f t="shared" si="73"/>
        <v/>
      </c>
      <c r="K140" s="240" t="str">
        <f t="shared" si="74"/>
        <v/>
      </c>
      <c r="L140" s="265" t="str">
        <f t="shared" si="75"/>
        <v/>
      </c>
      <c r="M140" s="265" t="str">
        <f t="shared" si="76"/>
        <v/>
      </c>
      <c r="N140" s="240" t="str">
        <f t="shared" si="77"/>
        <v>-</v>
      </c>
      <c r="O140" s="265" t="str">
        <f t="shared" si="78"/>
        <v>-</v>
      </c>
      <c r="P140" s="265" t="str">
        <f t="shared" si="79"/>
        <v>-</v>
      </c>
      <c r="Q140" s="266" t="str">
        <f t="shared" si="80"/>
        <v>-</v>
      </c>
      <c r="R140" s="267" t="str">
        <f t="shared" si="81"/>
        <v>-</v>
      </c>
      <c r="S140" s="268" t="str">
        <f t="shared" si="82"/>
        <v>-</v>
      </c>
      <c r="T140" s="269" t="str">
        <f t="shared" si="13"/>
        <v/>
      </c>
      <c r="U140" s="221">
        <f t="shared" si="14"/>
        <v>40</v>
      </c>
      <c r="V140" s="220" t="str">
        <f t="shared" si="42"/>
        <v>-</v>
      </c>
      <c r="W140" s="221" t="str">
        <f t="shared" si="43"/>
        <v>-</v>
      </c>
      <c r="X140" s="221" t="str">
        <f t="shared" si="15"/>
        <v>-</v>
      </c>
      <c r="Y140" s="221" t="str">
        <f t="shared" si="16"/>
        <v>-</v>
      </c>
      <c r="Z140" s="270">
        <f t="shared" si="44"/>
        <v>0.1</v>
      </c>
      <c r="AA140" s="271" t="str">
        <f>IFERROR(IF(V139=1,AA$100*EXP(-(LN(2)/$D$65+0.04)*X139)*EXP(-(LN(2)/$D$65+0.1)*Y139),IF(V139=2,AA$100*EXP(-(LN(2)/$D$65+0.04)*(VLOOKUP(($F$16-$F$15)-1,U$99:Y139,4,FALSE)))*EXP(-(LN(2)/$D$65+0.1)*(VLOOKUP(($F$16-$F$15)-1,U$99:Y139,5,FALSE)))*EXP(-(LN(2)/$D$65+0.04)*X139)*EXP(-(LN(2)/$D$65+0.1)*Y139),IF(V139=3,AA$100*EXP(-(LN(2)/$D$65+0.04)*(VLOOKUP(($F$16-$F$15)-1,U$99:Y139,4,FALSE)))*EXP(-(LN(2)/$D$65+0.1)*(VLOOKUP(($F$16-$F$15)-1,U$99:Y139,5,FALSE)))*EXP(-(LN(2)/$D$65+0.04)*(VLOOKUP(($F$16-$F$15)*2-1,U$99:Y139,4,FALSE)))*EXP(-(LN(2)/$D$65+0.1)*(VLOOKUP(($F$16-$F$15)*2-1,U$99:Y139,5,FALSE)))*EXP(-(LN(2)/$D$65+0.04)*X139)*EXP(-(LN(2)/$D$65+0.1)*Y139),"-"))),"-")</f>
        <v>-</v>
      </c>
      <c r="AB140" s="271" t="str">
        <f>IFERROR(IF(V140=1,AB$100*EXP(-(LN(2)/$D$65+0.04)*X140)*EXP(-(LN(2)/$D$65+0.1)*Y140),IF(V140=2,AB$100*EXP(-(LN(2)/$D$65+0.04)*(VLOOKUP(($F$16-$F$15)-1,U$100:Y140,4,FALSE)))*EXP(-(LN(2)/$D$65+0.1)*(VLOOKUP(($F$16-$F$15)-1,U$100:Y140,5,FALSE)))*EXP(-(LN(2)/$D$65+0.04)*X140)*EXP(-(LN(2)/$D$65+0.1)*Y140),IF(V140=3,AB$100*EXP(-(LN(2)/$D$65+0.04)*(VLOOKUP(($F$16-$F$15)-1,U$100:Y140,4,FALSE)))*EXP(-(LN(2)/$D$65+0.1)*(VLOOKUP(($F$16-$F$15)-1,U$100:Y140,5,FALSE)))*EXP(-(LN(2)/$D$65+0.04)*(VLOOKUP(($F$16-$F$15)*2-1,U$100:Y140,4,FALSE)))*EXP(-(LN(2)/$D$65+0.1)*(VLOOKUP(($F$16-$F$15)*2-1,U$100:Y140,5,FALSE)))*EXP(-(LN(2)/$D$65+0.04)*X140)*EXP(-(LN(2)/$D$65+0.1)*Y140),"-"))),"-")</f>
        <v>-</v>
      </c>
      <c r="AC140" s="224">
        <f t="shared" si="46"/>
        <v>40</v>
      </c>
      <c r="AD140" s="223" t="str">
        <f t="shared" si="18"/>
        <v>-</v>
      </c>
      <c r="AE140" s="224" t="str">
        <f t="shared" si="47"/>
        <v>-</v>
      </c>
      <c r="AF140" s="224" t="str">
        <f t="shared" si="19"/>
        <v>-</v>
      </c>
      <c r="AG140" s="224" t="str">
        <f t="shared" si="20"/>
        <v>-</v>
      </c>
      <c r="AH140" s="272">
        <f t="shared" si="48"/>
        <v>0.1</v>
      </c>
      <c r="AI140" s="271" t="str">
        <f>IFERROR(IF(AD139=1,AI$100*EXP(-(LN(2)/$D$65+0.04)*AF139)*EXP(-(LN(2)/$D$65+0.1)*AG139),IF(AD139=2,AI$100*EXP(-(LN(2)/$D$65+0.04)*(VLOOKUP(($F$16-$F$15)-1,AC$99:AG139,4,FALSE)))*EXP(-(LN(2)/$D$65+0.1)*(VLOOKUP(($F$16-$F$15)-1,AC$99:AG139,5,FALSE)))*EXP(-(LN(2)/$D$65+0.04)*AF139)*EXP(-(LN(2)/$D$65+0.1)*AG139),IF(AD139=3,AI$100*EXP(-(LN(2)/$D$65+0.04)*(VLOOKUP(($F$16-$F$15)-1,AC$99:AG139,4,FALSE)))*EXP(-(LN(2)/$D$65+0.1)*(VLOOKUP(($F$16-$F$15)-1,AC$99:AG139,5,FALSE)))*EXP(-(LN(2)/$D$65+0.04)*(VLOOKUP(($F$16-$F$15)*2-1,AC$99:AG139,4,FALSE)))*EXP(-(LN(2)/$D$65+0.1)*(VLOOKUP(($F$16-$F$15)*2-1,AC$99:AG139,5,FALSE)))*EXP(-(LN(2)/$D$65+0.04)*AF139)*EXP(-(LN(2)/$D$65+0.1)*AG139),"-"))),"-")</f>
        <v>-</v>
      </c>
      <c r="AJ140" s="271" t="str">
        <f>IFERROR(IF(AD140=1,AJ$100*EXP(-(LN(2)/$D$65+0.04)*AF140)*EXP(-(LN(2)/$D$65+0.1)*AG140),IF(AD140=2,AJ$100*EXP(-(LN(2)/$D$65+0.04)*(VLOOKUP(($F$16-$F$15)-1,AC$100:AG140,4,FALSE)))*EXP(-(LN(2)/$D$65+0.1)*(VLOOKUP(($F$16-$F$15)-1,AC$100:AG140,5,FALSE)))*EXP(-(LN(2)/$D$65+0.04)*AF140)*EXP(-(LN(2)/$D$65+0.1)*AG140),IF(AD140=3,AJ$100*EXP(-(LN(2)/$D$65+0.04)*(VLOOKUP(($F$16-$F$15)-1,AC$100:AG140,4,FALSE)))*EXP(-(LN(2)/$D$65+0.1)*(VLOOKUP(($F$16-$F$15)-1,AC$100:AG140,5,FALSE)))*EXP(-(LN(2)/$D$65+0.04)*(VLOOKUP(($F$16-$F$15)*2-1,AC$100:AG140,4,FALSE)))*EXP(-(LN(2)/$D$65+0.1)*(VLOOKUP(($F$16-$F$15)*2-1,AC$100:AG140,5,FALSE)))*EXP(-(LN(2)/$D$65+0.04)*AF140)*EXP(-(LN(2)/$D$65+0.1)*AG140),"-"))),"-")</f>
        <v>-</v>
      </c>
      <c r="AK140" s="227">
        <f t="shared" si="50"/>
        <v>40</v>
      </c>
      <c r="AL140" s="226" t="str">
        <f t="shared" si="22"/>
        <v>-</v>
      </c>
      <c r="AM140" s="227" t="str">
        <f t="shared" si="51"/>
        <v>-</v>
      </c>
      <c r="AN140" s="227" t="str">
        <f t="shared" si="52"/>
        <v>-</v>
      </c>
      <c r="AO140" s="227" t="str">
        <f t="shared" si="23"/>
        <v>-</v>
      </c>
      <c r="AP140" s="273">
        <f t="shared" si="53"/>
        <v>0.1</v>
      </c>
      <c r="AQ140" s="271" t="str">
        <f>IFERROR(IF(AL139=1,AQ$100*EXP(-(LN(2)/$D$65+0.04)*AN139)*EXP(-(LN(2)/$D$65+0.1)*AO139),IF(AL139=2,AQ$100*EXP(-(LN(2)/$D$65+0.04)*(VLOOKUP(($F$16-$F$15)-1,AK$99:AO139,4,FALSE)))*EXP(-(LN(2)/$D$65+0.1)*(VLOOKUP(($F$16-$F$15)-1,AK$99:AO139,5,FALSE)))*EXP(-(LN(2)/$D$65+0.04)*AN139)*EXP(-(LN(2)/$D$65+0.1)*AO139),IF(AL139=3,AQ$100*EXP(-(LN(2)/$D$65+0.04)*(VLOOKUP(($F$16-$F$15)-1,AK$99:AO139,4,FALSE)))*EXP(-(LN(2)/$D$65+0.1)*(VLOOKUP(($F$16-$F$15)-1,AK$99:AO139,5,FALSE)))*EXP(-(LN(2)/$D$65+0.04)*(VLOOKUP(($F$16-$F$15)*2-1,AK$99:AO139,4,FALSE)))*EXP(-(LN(2)/$D$65+0.1)*(VLOOKUP(($F$16-$F$15)*2-1,AK$99:AO139,5,FALSE)))*EXP(-(LN(2)/$D$65+0.04)*AN139)*EXP(-(LN(2)/$D$65+0.1)*AO139),"-"))),"-")</f>
        <v>-</v>
      </c>
      <c r="AR140" s="271" t="str">
        <f>IFERROR(IF(AL140=1,AR$100*EXP(-(LN(2)/$D$65+0.04)*AN140)*EXP(-(LN(2)/$D$65+0.1)*AO140),IF(AL140=2,AR$100*EXP(-(LN(2)/$D$65+0.04)*(VLOOKUP(($F$16-$F$15)-1,AK$100:AO140,4,FALSE)))*EXP(-(LN(2)/$D$65+0.1)*(VLOOKUP(($F$16-$F$15)-1,AK$100:AO140,5,FALSE)))*EXP(-(LN(2)/$D$65+0.04)*AN140)*EXP(-(LN(2)/$D$65+0.1)*AO140),IF(AL140=3,AR$100*EXP(-(LN(2)/$D$65+0.04)*(VLOOKUP(($F$16-$F$15)-1,AK$100:AO140,4,FALSE)))*EXP(-(LN(2)/$D$65+0.1)*(VLOOKUP(($F$16-$F$15)-1,AK$100:AO140,5,FALSE)))*EXP(-(LN(2)/$D$65+0.04)*(VLOOKUP(($F$16-$F$15)*2-1,AK$100:AO140,4,FALSE)))*EXP(-(LN(2)/$D$65+0.1)*(VLOOKUP(($F$16-$F$15)*2-1,AK$100:AO140,5,FALSE)))*EXP(-(LN(2)/$D$65+0.04)*AN140)*EXP(-(LN(2)/$D$65+0.1)*AO140),"-"))),"-")</f>
        <v>-</v>
      </c>
      <c r="AS140" s="274">
        <f t="shared" si="24"/>
        <v>0</v>
      </c>
      <c r="AT140" s="274">
        <f t="shared" si="25"/>
        <v>0</v>
      </c>
      <c r="AU140" s="274">
        <f t="shared" si="26"/>
        <v>0</v>
      </c>
      <c r="AV140" s="190">
        <f>IF($B140&lt;$F$22,SUM($T$100:$T140),"")</f>
        <v>0</v>
      </c>
      <c r="AW140" s="190" t="str">
        <f t="shared" si="83"/>
        <v>-</v>
      </c>
      <c r="AX140" s="190" t="str">
        <f t="shared" si="57"/>
        <v/>
      </c>
      <c r="AY140"/>
      <c r="AZ140" s="190" t="str">
        <f ca="1">IF(ISNUMBER(OFFSET(AV140,-$F$21,0)),SUM(OFFSET($T$100,$F$21,0):$T140),"")</f>
        <v/>
      </c>
      <c r="BA140" s="190" t="str">
        <f t="shared" ca="1" si="84"/>
        <v/>
      </c>
      <c r="BB140" s="190" t="str">
        <f t="shared" ca="1" si="70"/>
        <v/>
      </c>
      <c r="BC140" s="190"/>
      <c r="BD140" s="190" t="str">
        <f ca="1">IFERROR(IF(AND($B140&gt;=($F$16-$F$15),$B140&lt;$F$22+($F$16-$F$15)),SUM(OFFSET($T$100,($F$16-$F$15),0):$T140),""),"")</f>
        <v/>
      </c>
      <c r="BE140" s="190" t="str">
        <f t="shared" ca="1" si="59"/>
        <v/>
      </c>
      <c r="BF140" s="190" t="str">
        <f t="shared" ca="1" si="60"/>
        <v/>
      </c>
      <c r="BG140"/>
      <c r="BH140" s="190" t="str">
        <f ca="1">IF(ISNUMBER(OFFSET(BD140,-$F$21,0)),SUM(OFFSET($T$100,($F$16-$F$15+$F$21),0):$T140),"")</f>
        <v/>
      </c>
      <c r="BI140" s="190" t="str">
        <f t="shared" ca="1" si="85"/>
        <v/>
      </c>
      <c r="BJ140" s="190" t="str">
        <f t="shared" ca="1" si="61"/>
        <v/>
      </c>
      <c r="BK140" s="190"/>
      <c r="BL140" s="190" t="str">
        <f ca="1">IFERROR(IF(AND($B140&gt;=($F$17-$F$15),$B140&lt;$F$22+($F$17-$F$15)),SUM(OFFSET($T$100,($F$17-$F$15),0):$T140),""),"")</f>
        <v/>
      </c>
      <c r="BM140" s="190" t="str">
        <f t="shared" ca="1" si="86"/>
        <v/>
      </c>
      <c r="BN140" s="190" t="str">
        <f t="shared" ca="1" si="62"/>
        <v/>
      </c>
      <c r="BO140"/>
      <c r="BP140" s="190" t="str">
        <f ca="1">IF(ISNUMBER(OFFSET(BL140,-$F$21,0)),SUM(OFFSET($T$100,($F$17-$F$15+$F$21),0):$T140),"")</f>
        <v/>
      </c>
      <c r="BQ140" s="190" t="str">
        <f t="shared" ca="1" si="87"/>
        <v/>
      </c>
      <c r="BR140" s="190" t="str">
        <f t="shared" ca="1" si="64"/>
        <v/>
      </c>
      <c r="BS140" s="190"/>
      <c r="BT140"/>
      <c r="BU140"/>
      <c r="BV140"/>
      <c r="BY140" s="99"/>
      <c r="BZ140" s="99"/>
      <c r="CA140" s="280" t="str">
        <f t="shared" si="88"/>
        <v/>
      </c>
      <c r="CB140" s="71" t="str">
        <f t="shared" si="31"/>
        <v>-</v>
      </c>
      <c r="CC140" s="33"/>
      <c r="CD140" s="261" t="str">
        <f t="shared" si="33"/>
        <v/>
      </c>
      <c r="CE140" s="280" t="str">
        <f t="shared" si="89"/>
        <v>-</v>
      </c>
      <c r="CF140" s="71" t="str">
        <f t="shared" ca="1" si="90"/>
        <v>-</v>
      </c>
      <c r="CG140" s="33" t="str">
        <f t="shared" si="36"/>
        <v>40-41</v>
      </c>
      <c r="CH140" s="261" t="str">
        <f t="shared" ca="1" si="37"/>
        <v/>
      </c>
      <c r="CI140" s="99"/>
      <c r="CJ140" s="99"/>
      <c r="CK140" s="99"/>
      <c r="CL140" s="99"/>
      <c r="CM140" s="99"/>
      <c r="CN140" s="99"/>
      <c r="CO140" s="99"/>
    </row>
    <row r="141" spans="2:93" ht="13.5" customHeight="1" x14ac:dyDescent="0.2">
      <c r="B141" s="262">
        <v>41</v>
      </c>
      <c r="C141" s="237" t="str">
        <f t="shared" si="1"/>
        <v/>
      </c>
      <c r="D141" s="237" t="str">
        <f t="shared" si="67"/>
        <v>-</v>
      </c>
      <c r="E141" s="290" t="str">
        <f t="shared" si="38"/>
        <v/>
      </c>
      <c r="F141" s="264" t="str">
        <f t="shared" si="39"/>
        <v/>
      </c>
      <c r="G141" s="291" t="str">
        <f t="shared" si="40"/>
        <v/>
      </c>
      <c r="H141" s="240" t="str">
        <f t="shared" si="71"/>
        <v/>
      </c>
      <c r="I141" s="265" t="str">
        <f t="shared" si="72"/>
        <v/>
      </c>
      <c r="J141" s="265" t="str">
        <f t="shared" si="73"/>
        <v/>
      </c>
      <c r="K141" s="240" t="str">
        <f t="shared" si="74"/>
        <v/>
      </c>
      <c r="L141" s="265" t="str">
        <f t="shared" si="75"/>
        <v/>
      </c>
      <c r="M141" s="265" t="str">
        <f t="shared" si="76"/>
        <v/>
      </c>
      <c r="N141" s="240" t="str">
        <f t="shared" si="77"/>
        <v>-</v>
      </c>
      <c r="O141" s="265" t="str">
        <f t="shared" si="78"/>
        <v>-</v>
      </c>
      <c r="P141" s="265" t="str">
        <f t="shared" si="79"/>
        <v>-</v>
      </c>
      <c r="Q141" s="266" t="str">
        <f t="shared" si="80"/>
        <v>-</v>
      </c>
      <c r="R141" s="267" t="str">
        <f t="shared" si="81"/>
        <v>-</v>
      </c>
      <c r="S141" s="268" t="str">
        <f t="shared" si="82"/>
        <v>-</v>
      </c>
      <c r="T141" s="269" t="str">
        <f t="shared" si="13"/>
        <v/>
      </c>
      <c r="U141" s="221">
        <f t="shared" si="14"/>
        <v>41</v>
      </c>
      <c r="V141" s="220" t="str">
        <f t="shared" si="42"/>
        <v>-</v>
      </c>
      <c r="W141" s="221" t="str">
        <f t="shared" si="43"/>
        <v>-</v>
      </c>
      <c r="X141" s="221" t="str">
        <f t="shared" si="15"/>
        <v>-</v>
      </c>
      <c r="Y141" s="221" t="str">
        <f t="shared" si="16"/>
        <v>-</v>
      </c>
      <c r="Z141" s="270">
        <f t="shared" si="44"/>
        <v>0.1</v>
      </c>
      <c r="AA141" s="271" t="str">
        <f>IFERROR(IF(V140=1,AA$100*EXP(-(LN(2)/$D$65+0.04)*X140)*EXP(-(LN(2)/$D$65+0.1)*Y140),IF(V140=2,AA$100*EXP(-(LN(2)/$D$65+0.04)*(VLOOKUP(($F$16-$F$15)-1,U$99:Y140,4,FALSE)))*EXP(-(LN(2)/$D$65+0.1)*(VLOOKUP(($F$16-$F$15)-1,U$99:Y140,5,FALSE)))*EXP(-(LN(2)/$D$65+0.04)*X140)*EXP(-(LN(2)/$D$65+0.1)*Y140),IF(V140=3,AA$100*EXP(-(LN(2)/$D$65+0.04)*(VLOOKUP(($F$16-$F$15)-1,U$99:Y140,4,FALSE)))*EXP(-(LN(2)/$D$65+0.1)*(VLOOKUP(($F$16-$F$15)-1,U$99:Y140,5,FALSE)))*EXP(-(LN(2)/$D$65+0.04)*(VLOOKUP(($F$16-$F$15)*2-1,U$99:Y140,4,FALSE)))*EXP(-(LN(2)/$D$65+0.1)*(VLOOKUP(($F$16-$F$15)*2-1,U$99:Y140,5,FALSE)))*EXP(-(LN(2)/$D$65+0.04)*X140)*EXP(-(LN(2)/$D$65+0.1)*Y140),"-"))),"-")</f>
        <v>-</v>
      </c>
      <c r="AB141" s="271" t="str">
        <f>IFERROR(IF(V141=1,AB$100*EXP(-(LN(2)/$D$65+0.04)*X141)*EXP(-(LN(2)/$D$65+0.1)*Y141),IF(V141=2,AB$100*EXP(-(LN(2)/$D$65+0.04)*(VLOOKUP(($F$16-$F$15)-1,U$100:Y141,4,FALSE)))*EXP(-(LN(2)/$D$65+0.1)*(VLOOKUP(($F$16-$F$15)-1,U$100:Y141,5,FALSE)))*EXP(-(LN(2)/$D$65+0.04)*X141)*EXP(-(LN(2)/$D$65+0.1)*Y141),IF(V141=3,AB$100*EXP(-(LN(2)/$D$65+0.04)*(VLOOKUP(($F$16-$F$15)-1,U$100:Y141,4,FALSE)))*EXP(-(LN(2)/$D$65+0.1)*(VLOOKUP(($F$16-$F$15)-1,U$100:Y141,5,FALSE)))*EXP(-(LN(2)/$D$65+0.04)*(VLOOKUP(($F$16-$F$15)*2-1,U$100:Y141,4,FALSE)))*EXP(-(LN(2)/$D$65+0.1)*(VLOOKUP(($F$16-$F$15)*2-1,U$100:Y141,5,FALSE)))*EXP(-(LN(2)/$D$65+0.04)*X141)*EXP(-(LN(2)/$D$65+0.1)*Y141),"-"))),"-")</f>
        <v>-</v>
      </c>
      <c r="AC141" s="224">
        <f t="shared" si="46"/>
        <v>41</v>
      </c>
      <c r="AD141" s="223" t="str">
        <f t="shared" si="18"/>
        <v>-</v>
      </c>
      <c r="AE141" s="224" t="str">
        <f t="shared" si="47"/>
        <v>-</v>
      </c>
      <c r="AF141" s="224" t="str">
        <f t="shared" si="19"/>
        <v>-</v>
      </c>
      <c r="AG141" s="224" t="str">
        <f t="shared" si="20"/>
        <v>-</v>
      </c>
      <c r="AH141" s="272">
        <f t="shared" si="48"/>
        <v>0.1</v>
      </c>
      <c r="AI141" s="271" t="str">
        <f>IFERROR(IF(AD140=1,AI$100*EXP(-(LN(2)/$D$65+0.04)*AF140)*EXP(-(LN(2)/$D$65+0.1)*AG140),IF(AD140=2,AI$100*EXP(-(LN(2)/$D$65+0.04)*(VLOOKUP(($F$16-$F$15)-1,AC$99:AG140,4,FALSE)))*EXP(-(LN(2)/$D$65+0.1)*(VLOOKUP(($F$16-$F$15)-1,AC$99:AG140,5,FALSE)))*EXP(-(LN(2)/$D$65+0.04)*AF140)*EXP(-(LN(2)/$D$65+0.1)*AG140),IF(AD140=3,AI$100*EXP(-(LN(2)/$D$65+0.04)*(VLOOKUP(($F$16-$F$15)-1,AC$99:AG140,4,FALSE)))*EXP(-(LN(2)/$D$65+0.1)*(VLOOKUP(($F$16-$F$15)-1,AC$99:AG140,5,FALSE)))*EXP(-(LN(2)/$D$65+0.04)*(VLOOKUP(($F$16-$F$15)*2-1,AC$99:AG140,4,FALSE)))*EXP(-(LN(2)/$D$65+0.1)*(VLOOKUP(($F$16-$F$15)*2-1,AC$99:AG140,5,FALSE)))*EXP(-(LN(2)/$D$65+0.04)*AF140)*EXP(-(LN(2)/$D$65+0.1)*AG140),"-"))),"-")</f>
        <v>-</v>
      </c>
      <c r="AJ141" s="271" t="str">
        <f>IFERROR(IF(AD141=1,AJ$100*EXP(-(LN(2)/$D$65+0.04)*AF141)*EXP(-(LN(2)/$D$65+0.1)*AG141),IF(AD141=2,AJ$100*EXP(-(LN(2)/$D$65+0.04)*(VLOOKUP(($F$16-$F$15)-1,AC$100:AG141,4,FALSE)))*EXP(-(LN(2)/$D$65+0.1)*(VLOOKUP(($F$16-$F$15)-1,AC$100:AG141,5,FALSE)))*EXP(-(LN(2)/$D$65+0.04)*AF141)*EXP(-(LN(2)/$D$65+0.1)*AG141),IF(AD141=3,AJ$100*EXP(-(LN(2)/$D$65+0.04)*(VLOOKUP(($F$16-$F$15)-1,AC$100:AG141,4,FALSE)))*EXP(-(LN(2)/$D$65+0.1)*(VLOOKUP(($F$16-$F$15)-1,AC$100:AG141,5,FALSE)))*EXP(-(LN(2)/$D$65+0.04)*(VLOOKUP(($F$16-$F$15)*2-1,AC$100:AG141,4,FALSE)))*EXP(-(LN(2)/$D$65+0.1)*(VLOOKUP(($F$16-$F$15)*2-1,AC$100:AG141,5,FALSE)))*EXP(-(LN(2)/$D$65+0.04)*AF141)*EXP(-(LN(2)/$D$65+0.1)*AG141),"-"))),"-")</f>
        <v>-</v>
      </c>
      <c r="AK141" s="227">
        <f t="shared" si="50"/>
        <v>41</v>
      </c>
      <c r="AL141" s="226" t="str">
        <f t="shared" si="22"/>
        <v>-</v>
      </c>
      <c r="AM141" s="227" t="str">
        <f t="shared" si="51"/>
        <v>-</v>
      </c>
      <c r="AN141" s="227" t="str">
        <f t="shared" si="52"/>
        <v>-</v>
      </c>
      <c r="AO141" s="227" t="str">
        <f t="shared" si="23"/>
        <v>-</v>
      </c>
      <c r="AP141" s="273">
        <f t="shared" si="53"/>
        <v>0.1</v>
      </c>
      <c r="AQ141" s="271" t="str">
        <f>IFERROR(IF(AL140=1,AQ$100*EXP(-(LN(2)/$D$65+0.04)*AN140)*EXP(-(LN(2)/$D$65+0.1)*AO140),IF(AL140=2,AQ$100*EXP(-(LN(2)/$D$65+0.04)*(VLOOKUP(($F$16-$F$15)-1,AK$99:AO140,4,FALSE)))*EXP(-(LN(2)/$D$65+0.1)*(VLOOKUP(($F$16-$F$15)-1,AK$99:AO140,5,FALSE)))*EXP(-(LN(2)/$D$65+0.04)*AN140)*EXP(-(LN(2)/$D$65+0.1)*AO140),IF(AL140=3,AQ$100*EXP(-(LN(2)/$D$65+0.04)*(VLOOKUP(($F$16-$F$15)-1,AK$99:AO140,4,FALSE)))*EXP(-(LN(2)/$D$65+0.1)*(VLOOKUP(($F$16-$F$15)-1,AK$99:AO140,5,FALSE)))*EXP(-(LN(2)/$D$65+0.04)*(VLOOKUP(($F$16-$F$15)*2-1,AK$99:AO140,4,FALSE)))*EXP(-(LN(2)/$D$65+0.1)*(VLOOKUP(($F$16-$F$15)*2-1,AK$99:AO140,5,FALSE)))*EXP(-(LN(2)/$D$65+0.04)*AN140)*EXP(-(LN(2)/$D$65+0.1)*AO140),"-"))),"-")</f>
        <v>-</v>
      </c>
      <c r="AR141" s="271" t="str">
        <f>IFERROR(IF(AL141=1,AR$100*EXP(-(LN(2)/$D$65+0.04)*AN141)*EXP(-(LN(2)/$D$65+0.1)*AO141),IF(AL141=2,AR$100*EXP(-(LN(2)/$D$65+0.04)*(VLOOKUP(($F$16-$F$15)-1,AK$100:AO141,4,FALSE)))*EXP(-(LN(2)/$D$65+0.1)*(VLOOKUP(($F$16-$F$15)-1,AK$100:AO141,5,FALSE)))*EXP(-(LN(2)/$D$65+0.04)*AN141)*EXP(-(LN(2)/$D$65+0.1)*AO141),IF(AL141=3,AR$100*EXP(-(LN(2)/$D$65+0.04)*(VLOOKUP(($F$16-$F$15)-1,AK$100:AO141,4,FALSE)))*EXP(-(LN(2)/$D$65+0.1)*(VLOOKUP(($F$16-$F$15)-1,AK$100:AO141,5,FALSE)))*EXP(-(LN(2)/$D$65+0.04)*(VLOOKUP(($F$16-$F$15)*2-1,AK$100:AO141,4,FALSE)))*EXP(-(LN(2)/$D$65+0.1)*(VLOOKUP(($F$16-$F$15)*2-1,AK$100:AO141,5,FALSE)))*EXP(-(LN(2)/$D$65+0.04)*AN141)*EXP(-(LN(2)/$D$65+0.1)*AO141),"-"))),"-")</f>
        <v>-</v>
      </c>
      <c r="AS141" s="274">
        <f t="shared" si="24"/>
        <v>0</v>
      </c>
      <c r="AT141" s="274">
        <f t="shared" si="25"/>
        <v>0</v>
      </c>
      <c r="AU141" s="274">
        <f t="shared" si="26"/>
        <v>0</v>
      </c>
      <c r="AV141" s="190">
        <f>IF($B141&lt;$F$22,SUM($T$100:$T141),"")</f>
        <v>0</v>
      </c>
      <c r="AW141" s="190" t="str">
        <f t="shared" si="83"/>
        <v>-</v>
      </c>
      <c r="AX141" s="190" t="str">
        <f t="shared" si="57"/>
        <v/>
      </c>
      <c r="AY141"/>
      <c r="AZ141" s="190" t="str">
        <f ca="1">IF(ISNUMBER(OFFSET(AV141,-$F$21,0)),SUM(OFFSET($T$100,$F$21,0):$T141),"")</f>
        <v/>
      </c>
      <c r="BA141" s="190" t="str">
        <f t="shared" ca="1" si="84"/>
        <v/>
      </c>
      <c r="BB141" s="190" t="str">
        <f t="shared" ca="1" si="70"/>
        <v/>
      </c>
      <c r="BC141" s="190"/>
      <c r="BD141" s="190" t="str">
        <f ca="1">IFERROR(IF(AND($B141&gt;=($F$16-$F$15),$B141&lt;$F$22+($F$16-$F$15)),SUM(OFFSET($T$100,($F$16-$F$15),0):$T141),""),"")</f>
        <v/>
      </c>
      <c r="BE141" s="190" t="str">
        <f t="shared" ca="1" si="59"/>
        <v/>
      </c>
      <c r="BF141" s="190" t="str">
        <f t="shared" ca="1" si="60"/>
        <v/>
      </c>
      <c r="BG141"/>
      <c r="BH141" s="190" t="str">
        <f ca="1">IF(ISNUMBER(OFFSET(BD141,-$F$21,0)),SUM(OFFSET($T$100,($F$16-$F$15+$F$21),0):$T141),"")</f>
        <v/>
      </c>
      <c r="BI141" s="190" t="str">
        <f t="shared" ca="1" si="85"/>
        <v/>
      </c>
      <c r="BJ141" s="190" t="str">
        <f t="shared" ca="1" si="61"/>
        <v/>
      </c>
      <c r="BK141" s="190"/>
      <c r="BL141" s="190" t="str">
        <f ca="1">IFERROR(IF(AND($B141&gt;=($F$17-$F$15),$B141&lt;$F$22+($F$17-$F$15)),SUM(OFFSET($T$100,($F$17-$F$15),0):$T141),""),"")</f>
        <v/>
      </c>
      <c r="BM141" s="190" t="str">
        <f t="shared" ca="1" si="86"/>
        <v/>
      </c>
      <c r="BN141" s="190" t="str">
        <f t="shared" ca="1" si="62"/>
        <v/>
      </c>
      <c r="BO141"/>
      <c r="BP141" s="190" t="str">
        <f ca="1">IF(ISNUMBER(OFFSET(BL141,-$F$21,0)),SUM(OFFSET($T$100,($F$17-$F$15+$F$21),0):$T141),"")</f>
        <v/>
      </c>
      <c r="BQ141" s="190" t="str">
        <f t="shared" ca="1" si="87"/>
        <v/>
      </c>
      <c r="BR141" s="190" t="str">
        <f t="shared" ca="1" si="64"/>
        <v/>
      </c>
      <c r="BS141" s="190"/>
      <c r="BT141"/>
      <c r="BU141"/>
      <c r="BV141"/>
      <c r="BY141" s="99"/>
      <c r="BZ141" s="99"/>
      <c r="CA141" s="280" t="str">
        <f t="shared" si="88"/>
        <v/>
      </c>
      <c r="CB141" s="71" t="str">
        <f t="shared" si="31"/>
        <v>-</v>
      </c>
      <c r="CC141" s="33"/>
      <c r="CD141" s="261" t="str">
        <f t="shared" si="33"/>
        <v/>
      </c>
      <c r="CE141" s="280" t="str">
        <f t="shared" si="89"/>
        <v>-</v>
      </c>
      <c r="CF141" s="71" t="str">
        <f t="shared" ca="1" si="90"/>
        <v>-</v>
      </c>
      <c r="CG141" s="33" t="str">
        <f t="shared" si="36"/>
        <v>41-42</v>
      </c>
      <c r="CH141" s="261" t="str">
        <f t="shared" ca="1" si="37"/>
        <v/>
      </c>
      <c r="CI141" s="99"/>
      <c r="CJ141" s="99"/>
      <c r="CK141" s="99"/>
      <c r="CL141" s="99"/>
      <c r="CM141" s="99"/>
      <c r="CN141" s="99"/>
      <c r="CO141" s="99"/>
    </row>
    <row r="142" spans="2:93" ht="13.5" customHeight="1" x14ac:dyDescent="0.2">
      <c r="B142" s="262">
        <v>42</v>
      </c>
      <c r="C142" s="237" t="str">
        <f t="shared" si="1"/>
        <v/>
      </c>
      <c r="D142" s="237" t="str">
        <f t="shared" si="67"/>
        <v>-</v>
      </c>
      <c r="E142" s="290" t="str">
        <f t="shared" si="38"/>
        <v/>
      </c>
      <c r="F142" s="264" t="str">
        <f t="shared" si="39"/>
        <v/>
      </c>
      <c r="G142" s="291" t="str">
        <f t="shared" si="40"/>
        <v/>
      </c>
      <c r="H142" s="240" t="str">
        <f t="shared" si="71"/>
        <v/>
      </c>
      <c r="I142" s="265" t="str">
        <f t="shared" si="72"/>
        <v/>
      </c>
      <c r="J142" s="265" t="str">
        <f t="shared" si="73"/>
        <v/>
      </c>
      <c r="K142" s="240" t="str">
        <f t="shared" si="74"/>
        <v/>
      </c>
      <c r="L142" s="265" t="str">
        <f t="shared" si="75"/>
        <v/>
      </c>
      <c r="M142" s="265" t="str">
        <f t="shared" si="76"/>
        <v/>
      </c>
      <c r="N142" s="240" t="str">
        <f t="shared" si="77"/>
        <v>-</v>
      </c>
      <c r="O142" s="265" t="str">
        <f t="shared" si="78"/>
        <v>-</v>
      </c>
      <c r="P142" s="265" t="str">
        <f t="shared" si="79"/>
        <v>-</v>
      </c>
      <c r="Q142" s="266" t="str">
        <f t="shared" si="80"/>
        <v>-</v>
      </c>
      <c r="R142" s="267" t="str">
        <f t="shared" si="81"/>
        <v>-</v>
      </c>
      <c r="S142" s="268" t="str">
        <f t="shared" si="82"/>
        <v>-</v>
      </c>
      <c r="T142" s="269" t="str">
        <f t="shared" si="13"/>
        <v/>
      </c>
      <c r="U142" s="221">
        <f t="shared" si="14"/>
        <v>42</v>
      </c>
      <c r="V142" s="220" t="str">
        <f t="shared" si="42"/>
        <v>-</v>
      </c>
      <c r="W142" s="221" t="str">
        <f t="shared" si="43"/>
        <v>-</v>
      </c>
      <c r="X142" s="221" t="str">
        <f t="shared" si="15"/>
        <v>-</v>
      </c>
      <c r="Y142" s="221" t="str">
        <f t="shared" si="16"/>
        <v>-</v>
      </c>
      <c r="Z142" s="270">
        <f t="shared" si="44"/>
        <v>0.1</v>
      </c>
      <c r="AA142" s="271" t="str">
        <f>IFERROR(IF(V141=1,AA$100*EXP(-(LN(2)/$D$65+0.04)*X141)*EXP(-(LN(2)/$D$65+0.1)*Y141),IF(V141=2,AA$100*EXP(-(LN(2)/$D$65+0.04)*(VLOOKUP(($F$16-$F$15)-1,U$99:Y141,4,FALSE)))*EXP(-(LN(2)/$D$65+0.1)*(VLOOKUP(($F$16-$F$15)-1,U$99:Y141,5,FALSE)))*EXP(-(LN(2)/$D$65+0.04)*X141)*EXP(-(LN(2)/$D$65+0.1)*Y141),IF(V141=3,AA$100*EXP(-(LN(2)/$D$65+0.04)*(VLOOKUP(($F$16-$F$15)-1,U$99:Y141,4,FALSE)))*EXP(-(LN(2)/$D$65+0.1)*(VLOOKUP(($F$16-$F$15)-1,U$99:Y141,5,FALSE)))*EXP(-(LN(2)/$D$65+0.04)*(VLOOKUP(($F$16-$F$15)*2-1,U$99:Y141,4,FALSE)))*EXP(-(LN(2)/$D$65+0.1)*(VLOOKUP(($F$16-$F$15)*2-1,U$99:Y141,5,FALSE)))*EXP(-(LN(2)/$D$65+0.04)*X141)*EXP(-(LN(2)/$D$65+0.1)*Y141),"-"))),"-")</f>
        <v>-</v>
      </c>
      <c r="AB142" s="271" t="str">
        <f>IFERROR(IF(V142=1,AB$100*EXP(-(LN(2)/$D$65+0.04)*X142)*EXP(-(LN(2)/$D$65+0.1)*Y142),IF(V142=2,AB$100*EXP(-(LN(2)/$D$65+0.04)*(VLOOKUP(($F$16-$F$15)-1,U$100:Y142,4,FALSE)))*EXP(-(LN(2)/$D$65+0.1)*(VLOOKUP(($F$16-$F$15)-1,U$100:Y142,5,FALSE)))*EXP(-(LN(2)/$D$65+0.04)*X142)*EXP(-(LN(2)/$D$65+0.1)*Y142),IF(V142=3,AB$100*EXP(-(LN(2)/$D$65+0.04)*(VLOOKUP(($F$16-$F$15)-1,U$100:Y142,4,FALSE)))*EXP(-(LN(2)/$D$65+0.1)*(VLOOKUP(($F$16-$F$15)-1,U$100:Y142,5,FALSE)))*EXP(-(LN(2)/$D$65+0.04)*(VLOOKUP(($F$16-$F$15)*2-1,U$100:Y142,4,FALSE)))*EXP(-(LN(2)/$D$65+0.1)*(VLOOKUP(($F$16-$F$15)*2-1,U$100:Y142,5,FALSE)))*EXP(-(LN(2)/$D$65+0.04)*X142)*EXP(-(LN(2)/$D$65+0.1)*Y142),"-"))),"-")</f>
        <v>-</v>
      </c>
      <c r="AC142" s="224">
        <f t="shared" si="46"/>
        <v>42</v>
      </c>
      <c r="AD142" s="223" t="str">
        <f t="shared" si="18"/>
        <v>-</v>
      </c>
      <c r="AE142" s="224" t="str">
        <f t="shared" si="47"/>
        <v>-</v>
      </c>
      <c r="AF142" s="224" t="str">
        <f t="shared" si="19"/>
        <v>-</v>
      </c>
      <c r="AG142" s="224" t="str">
        <f t="shared" si="20"/>
        <v>-</v>
      </c>
      <c r="AH142" s="272">
        <f t="shared" si="48"/>
        <v>0.1</v>
      </c>
      <c r="AI142" s="271" t="str">
        <f>IFERROR(IF(AD141=1,AI$100*EXP(-(LN(2)/$D$65+0.04)*AF141)*EXP(-(LN(2)/$D$65+0.1)*AG141),IF(AD141=2,AI$100*EXP(-(LN(2)/$D$65+0.04)*(VLOOKUP(($F$16-$F$15)-1,AC$99:AG141,4,FALSE)))*EXP(-(LN(2)/$D$65+0.1)*(VLOOKUP(($F$16-$F$15)-1,AC$99:AG141,5,FALSE)))*EXP(-(LN(2)/$D$65+0.04)*AF141)*EXP(-(LN(2)/$D$65+0.1)*AG141),IF(AD141=3,AI$100*EXP(-(LN(2)/$D$65+0.04)*(VLOOKUP(($F$16-$F$15)-1,AC$99:AG141,4,FALSE)))*EXP(-(LN(2)/$D$65+0.1)*(VLOOKUP(($F$16-$F$15)-1,AC$99:AG141,5,FALSE)))*EXP(-(LN(2)/$D$65+0.04)*(VLOOKUP(($F$16-$F$15)*2-1,AC$99:AG141,4,FALSE)))*EXP(-(LN(2)/$D$65+0.1)*(VLOOKUP(($F$16-$F$15)*2-1,AC$99:AG141,5,FALSE)))*EXP(-(LN(2)/$D$65+0.04)*AF141)*EXP(-(LN(2)/$D$65+0.1)*AG141),"-"))),"-")</f>
        <v>-</v>
      </c>
      <c r="AJ142" s="271" t="str">
        <f>IFERROR(IF(AD142=1,AJ$100*EXP(-(LN(2)/$D$65+0.04)*AF142)*EXP(-(LN(2)/$D$65+0.1)*AG142),IF(AD142=2,AJ$100*EXP(-(LN(2)/$D$65+0.04)*(VLOOKUP(($F$16-$F$15)-1,AC$100:AG142,4,FALSE)))*EXP(-(LN(2)/$D$65+0.1)*(VLOOKUP(($F$16-$F$15)-1,AC$100:AG142,5,FALSE)))*EXP(-(LN(2)/$D$65+0.04)*AF142)*EXP(-(LN(2)/$D$65+0.1)*AG142),IF(AD142=3,AJ$100*EXP(-(LN(2)/$D$65+0.04)*(VLOOKUP(($F$16-$F$15)-1,AC$100:AG142,4,FALSE)))*EXP(-(LN(2)/$D$65+0.1)*(VLOOKUP(($F$16-$F$15)-1,AC$100:AG142,5,FALSE)))*EXP(-(LN(2)/$D$65+0.04)*(VLOOKUP(($F$16-$F$15)*2-1,AC$100:AG142,4,FALSE)))*EXP(-(LN(2)/$D$65+0.1)*(VLOOKUP(($F$16-$F$15)*2-1,AC$100:AG142,5,FALSE)))*EXP(-(LN(2)/$D$65+0.04)*AF142)*EXP(-(LN(2)/$D$65+0.1)*AG142),"-"))),"-")</f>
        <v>-</v>
      </c>
      <c r="AK142" s="227">
        <f t="shared" si="50"/>
        <v>42</v>
      </c>
      <c r="AL142" s="226" t="str">
        <f t="shared" si="22"/>
        <v>-</v>
      </c>
      <c r="AM142" s="227" t="str">
        <f t="shared" si="51"/>
        <v>-</v>
      </c>
      <c r="AN142" s="227" t="str">
        <f t="shared" si="52"/>
        <v>-</v>
      </c>
      <c r="AO142" s="227" t="str">
        <f t="shared" si="23"/>
        <v>-</v>
      </c>
      <c r="AP142" s="273">
        <f t="shared" si="53"/>
        <v>0.1</v>
      </c>
      <c r="AQ142" s="271" t="str">
        <f>IFERROR(IF(AL141=1,AQ$100*EXP(-(LN(2)/$D$65+0.04)*AN141)*EXP(-(LN(2)/$D$65+0.1)*AO141),IF(AL141=2,AQ$100*EXP(-(LN(2)/$D$65+0.04)*(VLOOKUP(($F$16-$F$15)-1,AK$99:AO141,4,FALSE)))*EXP(-(LN(2)/$D$65+0.1)*(VLOOKUP(($F$16-$F$15)-1,AK$99:AO141,5,FALSE)))*EXP(-(LN(2)/$D$65+0.04)*AN141)*EXP(-(LN(2)/$D$65+0.1)*AO141),IF(AL141=3,AQ$100*EXP(-(LN(2)/$D$65+0.04)*(VLOOKUP(($F$16-$F$15)-1,AK$99:AO141,4,FALSE)))*EXP(-(LN(2)/$D$65+0.1)*(VLOOKUP(($F$16-$F$15)-1,AK$99:AO141,5,FALSE)))*EXP(-(LN(2)/$D$65+0.04)*(VLOOKUP(($F$16-$F$15)*2-1,AK$99:AO141,4,FALSE)))*EXP(-(LN(2)/$D$65+0.1)*(VLOOKUP(($F$16-$F$15)*2-1,AK$99:AO141,5,FALSE)))*EXP(-(LN(2)/$D$65+0.04)*AN141)*EXP(-(LN(2)/$D$65+0.1)*AO141),"-"))),"-")</f>
        <v>-</v>
      </c>
      <c r="AR142" s="271" t="str">
        <f>IFERROR(IF(AL142=1,AR$100*EXP(-(LN(2)/$D$65+0.04)*AN142)*EXP(-(LN(2)/$D$65+0.1)*AO142),IF(AL142=2,AR$100*EXP(-(LN(2)/$D$65+0.04)*(VLOOKUP(($F$16-$F$15)-1,AK$100:AO142,4,FALSE)))*EXP(-(LN(2)/$D$65+0.1)*(VLOOKUP(($F$16-$F$15)-1,AK$100:AO142,5,FALSE)))*EXP(-(LN(2)/$D$65+0.04)*AN142)*EXP(-(LN(2)/$D$65+0.1)*AO142),IF(AL142=3,AR$100*EXP(-(LN(2)/$D$65+0.04)*(VLOOKUP(($F$16-$F$15)-1,AK$100:AO142,4,FALSE)))*EXP(-(LN(2)/$D$65+0.1)*(VLOOKUP(($F$16-$F$15)-1,AK$100:AO142,5,FALSE)))*EXP(-(LN(2)/$D$65+0.04)*(VLOOKUP(($F$16-$F$15)*2-1,AK$100:AO142,4,FALSE)))*EXP(-(LN(2)/$D$65+0.1)*(VLOOKUP(($F$16-$F$15)*2-1,AK$100:AO142,5,FALSE)))*EXP(-(LN(2)/$D$65+0.04)*AN142)*EXP(-(LN(2)/$D$65+0.1)*AO142),"-"))),"-")</f>
        <v>-</v>
      </c>
      <c r="AS142" s="274">
        <f t="shared" si="24"/>
        <v>0</v>
      </c>
      <c r="AT142" s="274">
        <f t="shared" si="25"/>
        <v>0</v>
      </c>
      <c r="AU142" s="274">
        <f t="shared" si="26"/>
        <v>0</v>
      </c>
      <c r="AV142" s="190">
        <f>IF($B142&lt;$F$22,SUM($T$100:$T142),"")</f>
        <v>0</v>
      </c>
      <c r="AW142" s="190" t="str">
        <f t="shared" si="83"/>
        <v>-</v>
      </c>
      <c r="AX142" s="190" t="str">
        <f t="shared" si="57"/>
        <v/>
      </c>
      <c r="AY142"/>
      <c r="AZ142" s="190" t="str">
        <f ca="1">IF(ISNUMBER(OFFSET(AV142,-$F$21,0)),SUM(OFFSET($T$100,$F$21,0):$T142),"")</f>
        <v/>
      </c>
      <c r="BA142" s="190" t="str">
        <f t="shared" ca="1" si="84"/>
        <v/>
      </c>
      <c r="BB142" s="190" t="str">
        <f t="shared" ca="1" si="70"/>
        <v/>
      </c>
      <c r="BC142" s="190"/>
      <c r="BD142" s="190" t="str">
        <f ca="1">IFERROR(IF(AND($B142&gt;=($F$16-$F$15),$B142&lt;$F$22+($F$16-$F$15)),SUM(OFFSET($T$100,($F$16-$F$15),0):$T142),""),"")</f>
        <v/>
      </c>
      <c r="BE142" s="190" t="str">
        <f t="shared" ca="1" si="59"/>
        <v/>
      </c>
      <c r="BF142" s="190" t="str">
        <f t="shared" ca="1" si="60"/>
        <v/>
      </c>
      <c r="BG142"/>
      <c r="BH142" s="190" t="str">
        <f ca="1">IF(ISNUMBER(OFFSET(BD142,-$F$21,0)),SUM(OFFSET($T$100,($F$16-$F$15+$F$21),0):$T142),"")</f>
        <v/>
      </c>
      <c r="BI142" s="190" t="str">
        <f t="shared" ca="1" si="85"/>
        <v/>
      </c>
      <c r="BJ142" s="190" t="str">
        <f t="shared" ca="1" si="61"/>
        <v/>
      </c>
      <c r="BK142" s="190"/>
      <c r="BL142" s="190" t="str">
        <f ca="1">IFERROR(IF(AND($B142&gt;=($F$17-$F$15),$B142&lt;$F$22+($F$17-$F$15)),SUM(OFFSET($T$100,($F$17-$F$15),0):$T142),""),"")</f>
        <v/>
      </c>
      <c r="BM142" s="190" t="str">
        <f t="shared" ca="1" si="86"/>
        <v/>
      </c>
      <c r="BN142" s="190" t="str">
        <f t="shared" ca="1" si="62"/>
        <v/>
      </c>
      <c r="BO142"/>
      <c r="BP142" s="190" t="str">
        <f ca="1">IF(ISNUMBER(OFFSET(BL142,-$F$21,0)),SUM(OFFSET($T$100,($F$17-$F$15+$F$21),0):$T142),"")</f>
        <v/>
      </c>
      <c r="BQ142" s="190" t="str">
        <f t="shared" ca="1" si="87"/>
        <v/>
      </c>
      <c r="BR142" s="190" t="str">
        <f t="shared" ca="1" si="64"/>
        <v/>
      </c>
      <c r="BS142" s="190"/>
      <c r="BT142"/>
      <c r="BU142"/>
      <c r="BV142"/>
      <c r="BY142" s="99"/>
      <c r="BZ142" s="99"/>
      <c r="CA142" s="280" t="str">
        <f t="shared" si="88"/>
        <v/>
      </c>
      <c r="CB142" s="71" t="str">
        <f t="shared" si="31"/>
        <v>-</v>
      </c>
      <c r="CC142" s="33"/>
      <c r="CD142" s="261" t="str">
        <f t="shared" si="33"/>
        <v/>
      </c>
      <c r="CE142" s="280" t="str">
        <f t="shared" si="89"/>
        <v>-</v>
      </c>
      <c r="CF142" s="71" t="str">
        <f t="shared" ca="1" si="90"/>
        <v>-</v>
      </c>
      <c r="CG142" s="33" t="str">
        <f t="shared" si="36"/>
        <v>42-43</v>
      </c>
      <c r="CH142" s="261" t="str">
        <f t="shared" ca="1" si="37"/>
        <v/>
      </c>
      <c r="CI142" s="99"/>
      <c r="CJ142" s="99"/>
      <c r="CK142" s="99"/>
      <c r="CL142" s="99"/>
      <c r="CM142" s="99"/>
      <c r="CN142" s="99"/>
      <c r="CO142" s="99"/>
    </row>
    <row r="143" spans="2:93" ht="13.5" customHeight="1" x14ac:dyDescent="0.2">
      <c r="B143" s="262">
        <v>43</v>
      </c>
      <c r="C143" s="237" t="str">
        <f t="shared" si="1"/>
        <v/>
      </c>
      <c r="D143" s="237" t="str">
        <f t="shared" si="67"/>
        <v>-</v>
      </c>
      <c r="E143" s="290" t="str">
        <f t="shared" si="38"/>
        <v/>
      </c>
      <c r="F143" s="264" t="str">
        <f t="shared" si="39"/>
        <v/>
      </c>
      <c r="G143" s="291" t="str">
        <f t="shared" si="40"/>
        <v/>
      </c>
      <c r="H143" s="240" t="str">
        <f t="shared" si="71"/>
        <v/>
      </c>
      <c r="I143" s="265" t="str">
        <f t="shared" si="72"/>
        <v/>
      </c>
      <c r="J143" s="265" t="str">
        <f t="shared" si="73"/>
        <v/>
      </c>
      <c r="K143" s="240" t="str">
        <f t="shared" si="74"/>
        <v/>
      </c>
      <c r="L143" s="265" t="str">
        <f t="shared" si="75"/>
        <v/>
      </c>
      <c r="M143" s="265" t="str">
        <f t="shared" si="76"/>
        <v/>
      </c>
      <c r="N143" s="240" t="str">
        <f t="shared" si="77"/>
        <v>-</v>
      </c>
      <c r="O143" s="265" t="str">
        <f t="shared" si="78"/>
        <v>-</v>
      </c>
      <c r="P143" s="265" t="str">
        <f t="shared" si="79"/>
        <v>-</v>
      </c>
      <c r="Q143" s="266" t="str">
        <f t="shared" si="80"/>
        <v>-</v>
      </c>
      <c r="R143" s="267" t="str">
        <f t="shared" si="81"/>
        <v>-</v>
      </c>
      <c r="S143" s="268" t="str">
        <f t="shared" si="82"/>
        <v>-</v>
      </c>
      <c r="T143" s="269" t="str">
        <f t="shared" si="13"/>
        <v/>
      </c>
      <c r="U143" s="221">
        <f t="shared" si="14"/>
        <v>43</v>
      </c>
      <c r="V143" s="220" t="str">
        <f t="shared" si="42"/>
        <v>-</v>
      </c>
      <c r="W143" s="221" t="str">
        <f t="shared" si="43"/>
        <v>-</v>
      </c>
      <c r="X143" s="221" t="str">
        <f t="shared" si="15"/>
        <v>-</v>
      </c>
      <c r="Y143" s="221" t="str">
        <f t="shared" si="16"/>
        <v>-</v>
      </c>
      <c r="Z143" s="270">
        <f t="shared" si="44"/>
        <v>0.1</v>
      </c>
      <c r="AA143" s="271" t="str">
        <f>IFERROR(IF(V142=1,AA$100*EXP(-(LN(2)/$D$65+0.04)*X142)*EXP(-(LN(2)/$D$65+0.1)*Y142),IF(V142=2,AA$100*EXP(-(LN(2)/$D$65+0.04)*(VLOOKUP(($F$16-$F$15)-1,U$99:Y142,4,FALSE)))*EXP(-(LN(2)/$D$65+0.1)*(VLOOKUP(($F$16-$F$15)-1,U$99:Y142,5,FALSE)))*EXP(-(LN(2)/$D$65+0.04)*X142)*EXP(-(LN(2)/$D$65+0.1)*Y142),IF(V142=3,AA$100*EXP(-(LN(2)/$D$65+0.04)*(VLOOKUP(($F$16-$F$15)-1,U$99:Y142,4,FALSE)))*EXP(-(LN(2)/$D$65+0.1)*(VLOOKUP(($F$16-$F$15)-1,U$99:Y142,5,FALSE)))*EXP(-(LN(2)/$D$65+0.04)*(VLOOKUP(($F$16-$F$15)*2-1,U$99:Y142,4,FALSE)))*EXP(-(LN(2)/$D$65+0.1)*(VLOOKUP(($F$16-$F$15)*2-1,U$99:Y142,5,FALSE)))*EXP(-(LN(2)/$D$65+0.04)*X142)*EXP(-(LN(2)/$D$65+0.1)*Y142),"-"))),"-")</f>
        <v>-</v>
      </c>
      <c r="AB143" s="271" t="str">
        <f>IFERROR(IF(V143=1,AB$100*EXP(-(LN(2)/$D$65+0.04)*X143)*EXP(-(LN(2)/$D$65+0.1)*Y143),IF(V143=2,AB$100*EXP(-(LN(2)/$D$65+0.04)*(VLOOKUP(($F$16-$F$15)-1,U$100:Y143,4,FALSE)))*EXP(-(LN(2)/$D$65+0.1)*(VLOOKUP(($F$16-$F$15)-1,U$100:Y143,5,FALSE)))*EXP(-(LN(2)/$D$65+0.04)*X143)*EXP(-(LN(2)/$D$65+0.1)*Y143),IF(V143=3,AB$100*EXP(-(LN(2)/$D$65+0.04)*(VLOOKUP(($F$16-$F$15)-1,U$100:Y143,4,FALSE)))*EXP(-(LN(2)/$D$65+0.1)*(VLOOKUP(($F$16-$F$15)-1,U$100:Y143,5,FALSE)))*EXP(-(LN(2)/$D$65+0.04)*(VLOOKUP(($F$16-$F$15)*2-1,U$100:Y143,4,FALSE)))*EXP(-(LN(2)/$D$65+0.1)*(VLOOKUP(($F$16-$F$15)*2-1,U$100:Y143,5,FALSE)))*EXP(-(LN(2)/$D$65+0.04)*X143)*EXP(-(LN(2)/$D$65+0.1)*Y143),"-"))),"-")</f>
        <v>-</v>
      </c>
      <c r="AC143" s="224">
        <f t="shared" si="46"/>
        <v>43</v>
      </c>
      <c r="AD143" s="223" t="str">
        <f t="shared" si="18"/>
        <v>-</v>
      </c>
      <c r="AE143" s="224" t="str">
        <f t="shared" si="47"/>
        <v>-</v>
      </c>
      <c r="AF143" s="224" t="str">
        <f t="shared" si="19"/>
        <v>-</v>
      </c>
      <c r="AG143" s="224" t="str">
        <f t="shared" si="20"/>
        <v>-</v>
      </c>
      <c r="AH143" s="272">
        <f t="shared" si="48"/>
        <v>0.1</v>
      </c>
      <c r="AI143" s="271" t="str">
        <f>IFERROR(IF(AD142=1,AI$100*EXP(-(LN(2)/$D$65+0.04)*AF142)*EXP(-(LN(2)/$D$65+0.1)*AG142),IF(AD142=2,AI$100*EXP(-(LN(2)/$D$65+0.04)*(VLOOKUP(($F$16-$F$15)-1,AC$99:AG142,4,FALSE)))*EXP(-(LN(2)/$D$65+0.1)*(VLOOKUP(($F$16-$F$15)-1,AC$99:AG142,5,FALSE)))*EXP(-(LN(2)/$D$65+0.04)*AF142)*EXP(-(LN(2)/$D$65+0.1)*AG142),IF(AD142=3,AI$100*EXP(-(LN(2)/$D$65+0.04)*(VLOOKUP(($F$16-$F$15)-1,AC$99:AG142,4,FALSE)))*EXP(-(LN(2)/$D$65+0.1)*(VLOOKUP(($F$16-$F$15)-1,AC$99:AG142,5,FALSE)))*EXP(-(LN(2)/$D$65+0.04)*(VLOOKUP(($F$16-$F$15)*2-1,AC$99:AG142,4,FALSE)))*EXP(-(LN(2)/$D$65+0.1)*(VLOOKUP(($F$16-$F$15)*2-1,AC$99:AG142,5,FALSE)))*EXP(-(LN(2)/$D$65+0.04)*AF142)*EXP(-(LN(2)/$D$65+0.1)*AG142),"-"))),"-")</f>
        <v>-</v>
      </c>
      <c r="AJ143" s="271" t="str">
        <f>IFERROR(IF(AD143=1,AJ$100*EXP(-(LN(2)/$D$65+0.04)*AF143)*EXP(-(LN(2)/$D$65+0.1)*AG143),IF(AD143=2,AJ$100*EXP(-(LN(2)/$D$65+0.04)*(VLOOKUP(($F$16-$F$15)-1,AC$100:AG143,4,FALSE)))*EXP(-(LN(2)/$D$65+0.1)*(VLOOKUP(($F$16-$F$15)-1,AC$100:AG143,5,FALSE)))*EXP(-(LN(2)/$D$65+0.04)*AF143)*EXP(-(LN(2)/$D$65+0.1)*AG143),IF(AD143=3,AJ$100*EXP(-(LN(2)/$D$65+0.04)*(VLOOKUP(($F$16-$F$15)-1,AC$100:AG143,4,FALSE)))*EXP(-(LN(2)/$D$65+0.1)*(VLOOKUP(($F$16-$F$15)-1,AC$100:AG143,5,FALSE)))*EXP(-(LN(2)/$D$65+0.04)*(VLOOKUP(($F$16-$F$15)*2-1,AC$100:AG143,4,FALSE)))*EXP(-(LN(2)/$D$65+0.1)*(VLOOKUP(($F$16-$F$15)*2-1,AC$100:AG143,5,FALSE)))*EXP(-(LN(2)/$D$65+0.04)*AF143)*EXP(-(LN(2)/$D$65+0.1)*AG143),"-"))),"-")</f>
        <v>-</v>
      </c>
      <c r="AK143" s="227">
        <f t="shared" si="50"/>
        <v>43</v>
      </c>
      <c r="AL143" s="226" t="str">
        <f t="shared" si="22"/>
        <v>-</v>
      </c>
      <c r="AM143" s="227" t="str">
        <f t="shared" si="51"/>
        <v>-</v>
      </c>
      <c r="AN143" s="227" t="str">
        <f t="shared" si="52"/>
        <v>-</v>
      </c>
      <c r="AO143" s="227" t="str">
        <f t="shared" si="23"/>
        <v>-</v>
      </c>
      <c r="AP143" s="273">
        <f t="shared" si="53"/>
        <v>0.1</v>
      </c>
      <c r="AQ143" s="271" t="str">
        <f>IFERROR(IF(AL142=1,AQ$100*EXP(-(LN(2)/$D$65+0.04)*AN142)*EXP(-(LN(2)/$D$65+0.1)*AO142),IF(AL142=2,AQ$100*EXP(-(LN(2)/$D$65+0.04)*(VLOOKUP(($F$16-$F$15)-1,AK$99:AO142,4,FALSE)))*EXP(-(LN(2)/$D$65+0.1)*(VLOOKUP(($F$16-$F$15)-1,AK$99:AO142,5,FALSE)))*EXP(-(LN(2)/$D$65+0.04)*AN142)*EXP(-(LN(2)/$D$65+0.1)*AO142),IF(AL142=3,AQ$100*EXP(-(LN(2)/$D$65+0.04)*(VLOOKUP(($F$16-$F$15)-1,AK$99:AO142,4,FALSE)))*EXP(-(LN(2)/$D$65+0.1)*(VLOOKUP(($F$16-$F$15)-1,AK$99:AO142,5,FALSE)))*EXP(-(LN(2)/$D$65+0.04)*(VLOOKUP(($F$16-$F$15)*2-1,AK$99:AO142,4,FALSE)))*EXP(-(LN(2)/$D$65+0.1)*(VLOOKUP(($F$16-$F$15)*2-1,AK$99:AO142,5,FALSE)))*EXP(-(LN(2)/$D$65+0.04)*AN142)*EXP(-(LN(2)/$D$65+0.1)*AO142),"-"))),"-")</f>
        <v>-</v>
      </c>
      <c r="AR143" s="271" t="str">
        <f>IFERROR(IF(AL143=1,AR$100*EXP(-(LN(2)/$D$65+0.04)*AN143)*EXP(-(LN(2)/$D$65+0.1)*AO143),IF(AL143=2,AR$100*EXP(-(LN(2)/$D$65+0.04)*(VLOOKUP(($F$16-$F$15)-1,AK$100:AO143,4,FALSE)))*EXP(-(LN(2)/$D$65+0.1)*(VLOOKUP(($F$16-$F$15)-1,AK$100:AO143,5,FALSE)))*EXP(-(LN(2)/$D$65+0.04)*AN143)*EXP(-(LN(2)/$D$65+0.1)*AO143),IF(AL143=3,AR$100*EXP(-(LN(2)/$D$65+0.04)*(VLOOKUP(($F$16-$F$15)-1,AK$100:AO143,4,FALSE)))*EXP(-(LN(2)/$D$65+0.1)*(VLOOKUP(($F$16-$F$15)-1,AK$100:AO143,5,FALSE)))*EXP(-(LN(2)/$D$65+0.04)*(VLOOKUP(($F$16-$F$15)*2-1,AK$100:AO143,4,FALSE)))*EXP(-(LN(2)/$D$65+0.1)*(VLOOKUP(($F$16-$F$15)*2-1,AK$100:AO143,5,FALSE)))*EXP(-(LN(2)/$D$65+0.04)*AN143)*EXP(-(LN(2)/$D$65+0.1)*AO143),"-"))),"-")</f>
        <v>-</v>
      </c>
      <c r="AS143" s="274">
        <f t="shared" si="24"/>
        <v>0</v>
      </c>
      <c r="AT143" s="274">
        <f t="shared" si="25"/>
        <v>0</v>
      </c>
      <c r="AU143" s="274">
        <f t="shared" si="26"/>
        <v>0</v>
      </c>
      <c r="AV143" s="190">
        <f>IF($B143&lt;$F$22,SUM($T$100:$T143),"")</f>
        <v>0</v>
      </c>
      <c r="AW143" s="190" t="str">
        <f t="shared" si="83"/>
        <v>-</v>
      </c>
      <c r="AX143" s="190" t="str">
        <f t="shared" si="57"/>
        <v/>
      </c>
      <c r="AY143"/>
      <c r="AZ143" s="190" t="str">
        <f ca="1">IF(ISNUMBER(OFFSET(AV143,-$F$21,0)),SUM(OFFSET($T$100,$F$21,0):$T143),"")</f>
        <v/>
      </c>
      <c r="BA143" s="190" t="str">
        <f t="shared" ca="1" si="84"/>
        <v/>
      </c>
      <c r="BB143" s="190" t="str">
        <f t="shared" ca="1" si="70"/>
        <v/>
      </c>
      <c r="BC143" s="190"/>
      <c r="BD143" s="190" t="str">
        <f ca="1">IFERROR(IF(AND($B143&gt;=($F$16-$F$15),$B143&lt;$F$22+($F$16-$F$15)),SUM(OFFSET($T$100,($F$16-$F$15),0):$T143),""),"")</f>
        <v/>
      </c>
      <c r="BE143" s="190" t="str">
        <f t="shared" ca="1" si="59"/>
        <v/>
      </c>
      <c r="BF143" s="190" t="str">
        <f t="shared" ca="1" si="60"/>
        <v/>
      </c>
      <c r="BG143"/>
      <c r="BH143" s="190" t="str">
        <f ca="1">IF(ISNUMBER(OFFSET(BD143,-$F$21,0)),SUM(OFFSET($T$100,($F$16-$F$15+$F$21),0):$T143),"")</f>
        <v/>
      </c>
      <c r="BI143" s="190" t="str">
        <f t="shared" ca="1" si="85"/>
        <v/>
      </c>
      <c r="BJ143" s="190" t="str">
        <f t="shared" ca="1" si="61"/>
        <v/>
      </c>
      <c r="BK143" s="190"/>
      <c r="BL143" s="190" t="str">
        <f ca="1">IFERROR(IF(AND($B143&gt;=($F$17-$F$15),$B143&lt;$F$22+($F$17-$F$15)),SUM(OFFSET($T$100,($F$17-$F$15),0):$T143),""),"")</f>
        <v/>
      </c>
      <c r="BM143" s="190" t="str">
        <f t="shared" ca="1" si="86"/>
        <v/>
      </c>
      <c r="BN143" s="190" t="str">
        <f t="shared" ca="1" si="62"/>
        <v/>
      </c>
      <c r="BO143"/>
      <c r="BP143" s="190" t="str">
        <f ca="1">IF(ISNUMBER(OFFSET(BL143,-$F$21,0)),SUM(OFFSET($T$100,($F$17-$F$15+$F$21),0):$T143),"")</f>
        <v/>
      </c>
      <c r="BQ143" s="190" t="str">
        <f t="shared" ca="1" si="87"/>
        <v/>
      </c>
      <c r="BR143" s="190" t="str">
        <f t="shared" ca="1" si="64"/>
        <v/>
      </c>
      <c r="BS143" s="190"/>
      <c r="BT143"/>
      <c r="BU143"/>
      <c r="BV143"/>
      <c r="BY143" s="99"/>
      <c r="BZ143" s="99"/>
      <c r="CA143" s="280" t="str">
        <f t="shared" si="88"/>
        <v/>
      </c>
      <c r="CB143" s="71" t="str">
        <f t="shared" si="31"/>
        <v>-</v>
      </c>
      <c r="CC143" s="33"/>
      <c r="CD143" s="261" t="str">
        <f t="shared" si="33"/>
        <v/>
      </c>
      <c r="CE143" s="280" t="str">
        <f t="shared" si="89"/>
        <v>-</v>
      </c>
      <c r="CF143" s="71" t="str">
        <f t="shared" ca="1" si="90"/>
        <v>-</v>
      </c>
      <c r="CG143" s="33" t="str">
        <f t="shared" si="36"/>
        <v>43-44</v>
      </c>
      <c r="CH143" s="261" t="str">
        <f t="shared" ca="1" si="37"/>
        <v/>
      </c>
      <c r="CI143" s="99"/>
      <c r="CJ143" s="99"/>
      <c r="CK143" s="99"/>
      <c r="CL143" s="99"/>
      <c r="CM143" s="99"/>
      <c r="CN143" s="99"/>
      <c r="CO143" s="99"/>
    </row>
    <row r="144" spans="2:93" ht="13.5" customHeight="1" x14ac:dyDescent="0.2">
      <c r="B144" s="262">
        <v>44</v>
      </c>
      <c r="C144" s="237" t="str">
        <f t="shared" si="1"/>
        <v/>
      </c>
      <c r="D144" s="237" t="str">
        <f t="shared" si="67"/>
        <v>-</v>
      </c>
      <c r="E144" s="290" t="str">
        <f t="shared" si="38"/>
        <v/>
      </c>
      <c r="F144" s="264" t="str">
        <f t="shared" si="39"/>
        <v/>
      </c>
      <c r="G144" s="291" t="str">
        <f t="shared" si="40"/>
        <v/>
      </c>
      <c r="H144" s="240" t="str">
        <f t="shared" si="71"/>
        <v/>
      </c>
      <c r="I144" s="265" t="str">
        <f t="shared" si="72"/>
        <v/>
      </c>
      <c r="J144" s="265" t="str">
        <f t="shared" si="73"/>
        <v/>
      </c>
      <c r="K144" s="240" t="str">
        <f t="shared" si="74"/>
        <v/>
      </c>
      <c r="L144" s="265" t="str">
        <f t="shared" si="75"/>
        <v/>
      </c>
      <c r="M144" s="265" t="str">
        <f t="shared" si="76"/>
        <v/>
      </c>
      <c r="N144" s="240" t="str">
        <f t="shared" si="77"/>
        <v>-</v>
      </c>
      <c r="O144" s="265" t="str">
        <f t="shared" si="78"/>
        <v>-</v>
      </c>
      <c r="P144" s="265" t="str">
        <f t="shared" si="79"/>
        <v>-</v>
      </c>
      <c r="Q144" s="266" t="str">
        <f t="shared" si="80"/>
        <v>-</v>
      </c>
      <c r="R144" s="267" t="str">
        <f t="shared" si="81"/>
        <v>-</v>
      </c>
      <c r="S144" s="268" t="str">
        <f t="shared" si="82"/>
        <v>-</v>
      </c>
      <c r="T144" s="269" t="str">
        <f t="shared" si="13"/>
        <v/>
      </c>
      <c r="U144" s="221">
        <f t="shared" si="14"/>
        <v>44</v>
      </c>
      <c r="V144" s="220" t="str">
        <f t="shared" si="42"/>
        <v>-</v>
      </c>
      <c r="W144" s="221" t="str">
        <f t="shared" si="43"/>
        <v>-</v>
      </c>
      <c r="X144" s="221" t="str">
        <f t="shared" si="15"/>
        <v>-</v>
      </c>
      <c r="Y144" s="221" t="str">
        <f t="shared" si="16"/>
        <v>-</v>
      </c>
      <c r="Z144" s="270">
        <f t="shared" si="44"/>
        <v>0.1</v>
      </c>
      <c r="AA144" s="271" t="str">
        <f>IFERROR(IF(V143=1,AA$100*EXP(-(LN(2)/$D$65+0.04)*X143)*EXP(-(LN(2)/$D$65+0.1)*Y143),IF(V143=2,AA$100*EXP(-(LN(2)/$D$65+0.04)*(VLOOKUP(($F$16-$F$15)-1,U$99:Y143,4,FALSE)))*EXP(-(LN(2)/$D$65+0.1)*(VLOOKUP(($F$16-$F$15)-1,U$99:Y143,5,FALSE)))*EXP(-(LN(2)/$D$65+0.04)*X143)*EXP(-(LN(2)/$D$65+0.1)*Y143),IF(V143=3,AA$100*EXP(-(LN(2)/$D$65+0.04)*(VLOOKUP(($F$16-$F$15)-1,U$99:Y143,4,FALSE)))*EXP(-(LN(2)/$D$65+0.1)*(VLOOKUP(($F$16-$F$15)-1,U$99:Y143,5,FALSE)))*EXP(-(LN(2)/$D$65+0.04)*(VLOOKUP(($F$16-$F$15)*2-1,U$99:Y143,4,FALSE)))*EXP(-(LN(2)/$D$65+0.1)*(VLOOKUP(($F$16-$F$15)*2-1,U$99:Y143,5,FALSE)))*EXP(-(LN(2)/$D$65+0.04)*X143)*EXP(-(LN(2)/$D$65+0.1)*Y143),"-"))),"-")</f>
        <v>-</v>
      </c>
      <c r="AB144" s="271" t="str">
        <f>IFERROR(IF(V144=1,AB$100*EXP(-(LN(2)/$D$65+0.04)*X144)*EXP(-(LN(2)/$D$65+0.1)*Y144),IF(V144=2,AB$100*EXP(-(LN(2)/$D$65+0.04)*(VLOOKUP(($F$16-$F$15)-1,U$100:Y144,4,FALSE)))*EXP(-(LN(2)/$D$65+0.1)*(VLOOKUP(($F$16-$F$15)-1,U$100:Y144,5,FALSE)))*EXP(-(LN(2)/$D$65+0.04)*X144)*EXP(-(LN(2)/$D$65+0.1)*Y144),IF(V144=3,AB$100*EXP(-(LN(2)/$D$65+0.04)*(VLOOKUP(($F$16-$F$15)-1,U$100:Y144,4,FALSE)))*EXP(-(LN(2)/$D$65+0.1)*(VLOOKUP(($F$16-$F$15)-1,U$100:Y144,5,FALSE)))*EXP(-(LN(2)/$D$65+0.04)*(VLOOKUP(($F$16-$F$15)*2-1,U$100:Y144,4,FALSE)))*EXP(-(LN(2)/$D$65+0.1)*(VLOOKUP(($F$16-$F$15)*2-1,U$100:Y144,5,FALSE)))*EXP(-(LN(2)/$D$65+0.04)*X144)*EXP(-(LN(2)/$D$65+0.1)*Y144),"-"))),"-")</f>
        <v>-</v>
      </c>
      <c r="AC144" s="224">
        <f t="shared" si="46"/>
        <v>44</v>
      </c>
      <c r="AD144" s="223" t="str">
        <f t="shared" si="18"/>
        <v>-</v>
      </c>
      <c r="AE144" s="224" t="str">
        <f t="shared" si="47"/>
        <v>-</v>
      </c>
      <c r="AF144" s="224" t="str">
        <f t="shared" si="19"/>
        <v>-</v>
      </c>
      <c r="AG144" s="224" t="str">
        <f t="shared" si="20"/>
        <v>-</v>
      </c>
      <c r="AH144" s="272">
        <f t="shared" si="48"/>
        <v>0.1</v>
      </c>
      <c r="AI144" s="271" t="str">
        <f>IFERROR(IF(AD143=1,AI$100*EXP(-(LN(2)/$D$65+0.04)*AF143)*EXP(-(LN(2)/$D$65+0.1)*AG143),IF(AD143=2,AI$100*EXP(-(LN(2)/$D$65+0.04)*(VLOOKUP(($F$16-$F$15)-1,AC$99:AG143,4,FALSE)))*EXP(-(LN(2)/$D$65+0.1)*(VLOOKUP(($F$16-$F$15)-1,AC$99:AG143,5,FALSE)))*EXP(-(LN(2)/$D$65+0.04)*AF143)*EXP(-(LN(2)/$D$65+0.1)*AG143),IF(AD143=3,AI$100*EXP(-(LN(2)/$D$65+0.04)*(VLOOKUP(($F$16-$F$15)-1,AC$99:AG143,4,FALSE)))*EXP(-(LN(2)/$D$65+0.1)*(VLOOKUP(($F$16-$F$15)-1,AC$99:AG143,5,FALSE)))*EXP(-(LN(2)/$D$65+0.04)*(VLOOKUP(($F$16-$F$15)*2-1,AC$99:AG143,4,FALSE)))*EXP(-(LN(2)/$D$65+0.1)*(VLOOKUP(($F$16-$F$15)*2-1,AC$99:AG143,5,FALSE)))*EXP(-(LN(2)/$D$65+0.04)*AF143)*EXP(-(LN(2)/$D$65+0.1)*AG143),"-"))),"-")</f>
        <v>-</v>
      </c>
      <c r="AJ144" s="271" t="str">
        <f>IFERROR(IF(AD144=1,AJ$100*EXP(-(LN(2)/$D$65+0.04)*AF144)*EXP(-(LN(2)/$D$65+0.1)*AG144),IF(AD144=2,AJ$100*EXP(-(LN(2)/$D$65+0.04)*(VLOOKUP(($F$16-$F$15)-1,AC$100:AG144,4,FALSE)))*EXP(-(LN(2)/$D$65+0.1)*(VLOOKUP(($F$16-$F$15)-1,AC$100:AG144,5,FALSE)))*EXP(-(LN(2)/$D$65+0.04)*AF144)*EXP(-(LN(2)/$D$65+0.1)*AG144),IF(AD144=3,AJ$100*EXP(-(LN(2)/$D$65+0.04)*(VLOOKUP(($F$16-$F$15)-1,AC$100:AG144,4,FALSE)))*EXP(-(LN(2)/$D$65+0.1)*(VLOOKUP(($F$16-$F$15)-1,AC$100:AG144,5,FALSE)))*EXP(-(LN(2)/$D$65+0.04)*(VLOOKUP(($F$16-$F$15)*2-1,AC$100:AG144,4,FALSE)))*EXP(-(LN(2)/$D$65+0.1)*(VLOOKUP(($F$16-$F$15)*2-1,AC$100:AG144,5,FALSE)))*EXP(-(LN(2)/$D$65+0.04)*AF144)*EXP(-(LN(2)/$D$65+0.1)*AG144),"-"))),"-")</f>
        <v>-</v>
      </c>
      <c r="AK144" s="227">
        <f t="shared" si="50"/>
        <v>44</v>
      </c>
      <c r="AL144" s="226" t="str">
        <f t="shared" si="22"/>
        <v>-</v>
      </c>
      <c r="AM144" s="227" t="str">
        <f t="shared" si="51"/>
        <v>-</v>
      </c>
      <c r="AN144" s="227" t="str">
        <f t="shared" si="52"/>
        <v>-</v>
      </c>
      <c r="AO144" s="227" t="str">
        <f t="shared" si="23"/>
        <v>-</v>
      </c>
      <c r="AP144" s="273">
        <f t="shared" si="53"/>
        <v>0.1</v>
      </c>
      <c r="AQ144" s="271" t="str">
        <f>IFERROR(IF(AL143=1,AQ$100*EXP(-(LN(2)/$D$65+0.04)*AN143)*EXP(-(LN(2)/$D$65+0.1)*AO143),IF(AL143=2,AQ$100*EXP(-(LN(2)/$D$65+0.04)*(VLOOKUP(($F$16-$F$15)-1,AK$99:AO143,4,FALSE)))*EXP(-(LN(2)/$D$65+0.1)*(VLOOKUP(($F$16-$F$15)-1,AK$99:AO143,5,FALSE)))*EXP(-(LN(2)/$D$65+0.04)*AN143)*EXP(-(LN(2)/$D$65+0.1)*AO143),IF(AL143=3,AQ$100*EXP(-(LN(2)/$D$65+0.04)*(VLOOKUP(($F$16-$F$15)-1,AK$99:AO143,4,FALSE)))*EXP(-(LN(2)/$D$65+0.1)*(VLOOKUP(($F$16-$F$15)-1,AK$99:AO143,5,FALSE)))*EXP(-(LN(2)/$D$65+0.04)*(VLOOKUP(($F$16-$F$15)*2-1,AK$99:AO143,4,FALSE)))*EXP(-(LN(2)/$D$65+0.1)*(VLOOKUP(($F$16-$F$15)*2-1,AK$99:AO143,5,FALSE)))*EXP(-(LN(2)/$D$65+0.04)*AN143)*EXP(-(LN(2)/$D$65+0.1)*AO143),"-"))),"-")</f>
        <v>-</v>
      </c>
      <c r="AR144" s="271" t="str">
        <f>IFERROR(IF(AL144=1,AR$100*EXP(-(LN(2)/$D$65+0.04)*AN144)*EXP(-(LN(2)/$D$65+0.1)*AO144),IF(AL144=2,AR$100*EXP(-(LN(2)/$D$65+0.04)*(VLOOKUP(($F$16-$F$15)-1,AK$100:AO144,4,FALSE)))*EXP(-(LN(2)/$D$65+0.1)*(VLOOKUP(($F$16-$F$15)-1,AK$100:AO144,5,FALSE)))*EXP(-(LN(2)/$D$65+0.04)*AN144)*EXP(-(LN(2)/$D$65+0.1)*AO144),IF(AL144=3,AR$100*EXP(-(LN(2)/$D$65+0.04)*(VLOOKUP(($F$16-$F$15)-1,AK$100:AO144,4,FALSE)))*EXP(-(LN(2)/$D$65+0.1)*(VLOOKUP(($F$16-$F$15)-1,AK$100:AO144,5,FALSE)))*EXP(-(LN(2)/$D$65+0.04)*(VLOOKUP(($F$16-$F$15)*2-1,AK$100:AO144,4,FALSE)))*EXP(-(LN(2)/$D$65+0.1)*(VLOOKUP(($F$16-$F$15)*2-1,AK$100:AO144,5,FALSE)))*EXP(-(LN(2)/$D$65+0.04)*AN144)*EXP(-(LN(2)/$D$65+0.1)*AO144),"-"))),"-")</f>
        <v>-</v>
      </c>
      <c r="AS144" s="274">
        <f t="shared" si="24"/>
        <v>0</v>
      </c>
      <c r="AT144" s="274">
        <f t="shared" si="25"/>
        <v>0</v>
      </c>
      <c r="AU144" s="274">
        <f t="shared" si="26"/>
        <v>0</v>
      </c>
      <c r="AV144" s="190">
        <f>IF($B144&lt;$F$22,SUM($T$100:$T144),"")</f>
        <v>0</v>
      </c>
      <c r="AW144" s="190" t="str">
        <f t="shared" si="83"/>
        <v>-</v>
      </c>
      <c r="AX144" s="190" t="str">
        <f t="shared" si="57"/>
        <v/>
      </c>
      <c r="AY144"/>
      <c r="AZ144" s="190" t="str">
        <f ca="1">IF(ISNUMBER(OFFSET(AV144,-$F$21,0)),SUM(OFFSET($T$100,$F$21,0):$T144),"")</f>
        <v/>
      </c>
      <c r="BA144" s="190" t="str">
        <f t="shared" ca="1" si="84"/>
        <v/>
      </c>
      <c r="BB144" s="190" t="str">
        <f t="shared" ca="1" si="70"/>
        <v/>
      </c>
      <c r="BC144" s="190"/>
      <c r="BD144" s="190" t="str">
        <f ca="1">IFERROR(IF(AND($B144&gt;=($F$16-$F$15),$B144&lt;$F$22+($F$16-$F$15)),SUM(OFFSET($T$100,($F$16-$F$15),0):$T144),""),"")</f>
        <v/>
      </c>
      <c r="BE144" s="190" t="str">
        <f t="shared" ca="1" si="59"/>
        <v/>
      </c>
      <c r="BF144" s="190" t="str">
        <f t="shared" ca="1" si="60"/>
        <v/>
      </c>
      <c r="BG144"/>
      <c r="BH144" s="190" t="str">
        <f ca="1">IF(ISNUMBER(OFFSET(BD144,-$F$21,0)),SUM(OFFSET($T$100,($F$16-$F$15+$F$21),0):$T144),"")</f>
        <v/>
      </c>
      <c r="BI144" s="190" t="str">
        <f t="shared" ca="1" si="85"/>
        <v/>
      </c>
      <c r="BJ144" s="190" t="str">
        <f t="shared" ca="1" si="61"/>
        <v/>
      </c>
      <c r="BK144" s="190"/>
      <c r="BL144" s="190" t="str">
        <f ca="1">IFERROR(IF(AND($B144&gt;=($F$17-$F$15),$B144&lt;$F$22+($F$17-$F$15)),SUM(OFFSET($T$100,($F$17-$F$15),0):$T144),""),"")</f>
        <v/>
      </c>
      <c r="BM144" s="190" t="str">
        <f t="shared" ca="1" si="86"/>
        <v/>
      </c>
      <c r="BN144" s="190" t="str">
        <f t="shared" ca="1" si="62"/>
        <v/>
      </c>
      <c r="BO144"/>
      <c r="BP144" s="190" t="str">
        <f ca="1">IF(ISNUMBER(OFFSET(BL144,-$F$21,0)),SUM(OFFSET($T$100,($F$17-$F$15+$F$21),0):$T144),"")</f>
        <v/>
      </c>
      <c r="BQ144" s="190" t="str">
        <f t="shared" ca="1" si="87"/>
        <v/>
      </c>
      <c r="BR144" s="190" t="str">
        <f t="shared" ca="1" si="64"/>
        <v/>
      </c>
      <c r="BS144" s="190"/>
      <c r="BT144"/>
      <c r="BU144"/>
      <c r="BV144"/>
      <c r="BY144" s="99"/>
      <c r="BZ144" s="99"/>
      <c r="CA144" s="280" t="str">
        <f t="shared" si="88"/>
        <v/>
      </c>
      <c r="CB144" s="71" t="str">
        <f t="shared" si="31"/>
        <v>-</v>
      </c>
      <c r="CC144" s="33"/>
      <c r="CD144" s="261" t="str">
        <f t="shared" si="33"/>
        <v/>
      </c>
      <c r="CE144" s="280" t="str">
        <f t="shared" si="89"/>
        <v>-</v>
      </c>
      <c r="CF144" s="71" t="str">
        <f t="shared" ca="1" si="90"/>
        <v>-</v>
      </c>
      <c r="CG144" s="33" t="str">
        <f t="shared" si="36"/>
        <v>44-45</v>
      </c>
      <c r="CH144" s="261" t="str">
        <f t="shared" ca="1" si="37"/>
        <v/>
      </c>
      <c r="CI144" s="99"/>
      <c r="CJ144" s="99"/>
      <c r="CK144" s="99"/>
      <c r="CL144" s="99"/>
      <c r="CM144" s="99"/>
      <c r="CN144" s="99"/>
      <c r="CO144" s="99"/>
    </row>
    <row r="145" spans="2:93" ht="13.5" customHeight="1" x14ac:dyDescent="0.2">
      <c r="B145" s="262">
        <v>45</v>
      </c>
      <c r="C145" s="237" t="str">
        <f t="shared" si="1"/>
        <v/>
      </c>
      <c r="D145" s="237" t="str">
        <f t="shared" si="67"/>
        <v>-</v>
      </c>
      <c r="E145" s="290" t="str">
        <f t="shared" si="38"/>
        <v/>
      </c>
      <c r="F145" s="264" t="str">
        <f t="shared" si="39"/>
        <v/>
      </c>
      <c r="G145" s="291" t="str">
        <f t="shared" si="40"/>
        <v/>
      </c>
      <c r="H145" s="240" t="str">
        <f t="shared" si="71"/>
        <v/>
      </c>
      <c r="I145" s="265" t="str">
        <f t="shared" si="72"/>
        <v/>
      </c>
      <c r="J145" s="265" t="str">
        <f t="shared" si="73"/>
        <v/>
      </c>
      <c r="K145" s="240" t="str">
        <f t="shared" si="74"/>
        <v/>
      </c>
      <c r="L145" s="265" t="str">
        <f t="shared" si="75"/>
        <v/>
      </c>
      <c r="M145" s="265" t="str">
        <f t="shared" si="76"/>
        <v/>
      </c>
      <c r="N145" s="240" t="str">
        <f t="shared" si="77"/>
        <v>-</v>
      </c>
      <c r="O145" s="265" t="str">
        <f t="shared" si="78"/>
        <v>-</v>
      </c>
      <c r="P145" s="265" t="str">
        <f t="shared" si="79"/>
        <v>-</v>
      </c>
      <c r="Q145" s="266" t="str">
        <f t="shared" si="80"/>
        <v>-</v>
      </c>
      <c r="R145" s="267" t="str">
        <f t="shared" si="81"/>
        <v>-</v>
      </c>
      <c r="S145" s="268" t="str">
        <f t="shared" si="82"/>
        <v>-</v>
      </c>
      <c r="T145" s="269" t="str">
        <f t="shared" si="13"/>
        <v/>
      </c>
      <c r="U145" s="221">
        <f t="shared" si="14"/>
        <v>45</v>
      </c>
      <c r="V145" s="220" t="str">
        <f t="shared" si="42"/>
        <v>-</v>
      </c>
      <c r="W145" s="221" t="str">
        <f t="shared" si="43"/>
        <v>-</v>
      </c>
      <c r="X145" s="221" t="str">
        <f t="shared" si="15"/>
        <v>-</v>
      </c>
      <c r="Y145" s="221" t="str">
        <f t="shared" si="16"/>
        <v>-</v>
      </c>
      <c r="Z145" s="270">
        <f t="shared" si="44"/>
        <v>0.1</v>
      </c>
      <c r="AA145" s="271" t="str">
        <f>IFERROR(IF(V144=1,AA$100*EXP(-(LN(2)/$D$65+0.04)*X144)*EXP(-(LN(2)/$D$65+0.1)*Y144),IF(V144=2,AA$100*EXP(-(LN(2)/$D$65+0.04)*(VLOOKUP(($F$16-$F$15)-1,U$99:Y144,4,FALSE)))*EXP(-(LN(2)/$D$65+0.1)*(VLOOKUP(($F$16-$F$15)-1,U$99:Y144,5,FALSE)))*EXP(-(LN(2)/$D$65+0.04)*X144)*EXP(-(LN(2)/$D$65+0.1)*Y144),IF(V144=3,AA$100*EXP(-(LN(2)/$D$65+0.04)*(VLOOKUP(($F$16-$F$15)-1,U$99:Y144,4,FALSE)))*EXP(-(LN(2)/$D$65+0.1)*(VLOOKUP(($F$16-$F$15)-1,U$99:Y144,5,FALSE)))*EXP(-(LN(2)/$D$65+0.04)*(VLOOKUP(($F$16-$F$15)*2-1,U$99:Y144,4,FALSE)))*EXP(-(LN(2)/$D$65+0.1)*(VLOOKUP(($F$16-$F$15)*2-1,U$99:Y144,5,FALSE)))*EXP(-(LN(2)/$D$65+0.04)*X144)*EXP(-(LN(2)/$D$65+0.1)*Y144),"-"))),"-")</f>
        <v>-</v>
      </c>
      <c r="AB145" s="271" t="str">
        <f>IFERROR(IF(V145=1,AB$100*EXP(-(LN(2)/$D$65+0.04)*X145)*EXP(-(LN(2)/$D$65+0.1)*Y145),IF(V145=2,AB$100*EXP(-(LN(2)/$D$65+0.04)*(VLOOKUP(($F$16-$F$15)-1,U$100:Y145,4,FALSE)))*EXP(-(LN(2)/$D$65+0.1)*(VLOOKUP(($F$16-$F$15)-1,U$100:Y145,5,FALSE)))*EXP(-(LN(2)/$D$65+0.04)*X145)*EXP(-(LN(2)/$D$65+0.1)*Y145),IF(V145=3,AB$100*EXP(-(LN(2)/$D$65+0.04)*(VLOOKUP(($F$16-$F$15)-1,U$100:Y145,4,FALSE)))*EXP(-(LN(2)/$D$65+0.1)*(VLOOKUP(($F$16-$F$15)-1,U$100:Y145,5,FALSE)))*EXP(-(LN(2)/$D$65+0.04)*(VLOOKUP(($F$16-$F$15)*2-1,U$100:Y145,4,FALSE)))*EXP(-(LN(2)/$D$65+0.1)*(VLOOKUP(($F$16-$F$15)*2-1,U$100:Y145,5,FALSE)))*EXP(-(LN(2)/$D$65+0.04)*X145)*EXP(-(LN(2)/$D$65+0.1)*Y145),"-"))),"-")</f>
        <v>-</v>
      </c>
      <c r="AC145" s="224">
        <f t="shared" si="46"/>
        <v>45</v>
      </c>
      <c r="AD145" s="223" t="str">
        <f t="shared" si="18"/>
        <v>-</v>
      </c>
      <c r="AE145" s="224" t="str">
        <f t="shared" si="47"/>
        <v>-</v>
      </c>
      <c r="AF145" s="224" t="str">
        <f t="shared" si="19"/>
        <v>-</v>
      </c>
      <c r="AG145" s="224" t="str">
        <f t="shared" si="20"/>
        <v>-</v>
      </c>
      <c r="AH145" s="272">
        <f t="shared" si="48"/>
        <v>0.1</v>
      </c>
      <c r="AI145" s="271" t="str">
        <f>IFERROR(IF(AD144=1,AI$100*EXP(-(LN(2)/$D$65+0.04)*AF144)*EXP(-(LN(2)/$D$65+0.1)*AG144),IF(AD144=2,AI$100*EXP(-(LN(2)/$D$65+0.04)*(VLOOKUP(($F$16-$F$15)-1,AC$99:AG144,4,FALSE)))*EXP(-(LN(2)/$D$65+0.1)*(VLOOKUP(($F$16-$F$15)-1,AC$99:AG144,5,FALSE)))*EXP(-(LN(2)/$D$65+0.04)*AF144)*EXP(-(LN(2)/$D$65+0.1)*AG144),IF(AD144=3,AI$100*EXP(-(LN(2)/$D$65+0.04)*(VLOOKUP(($F$16-$F$15)-1,AC$99:AG144,4,FALSE)))*EXP(-(LN(2)/$D$65+0.1)*(VLOOKUP(($F$16-$F$15)-1,AC$99:AG144,5,FALSE)))*EXP(-(LN(2)/$D$65+0.04)*(VLOOKUP(($F$16-$F$15)*2-1,AC$99:AG144,4,FALSE)))*EXP(-(LN(2)/$D$65+0.1)*(VLOOKUP(($F$16-$F$15)*2-1,AC$99:AG144,5,FALSE)))*EXP(-(LN(2)/$D$65+0.04)*AF144)*EXP(-(LN(2)/$D$65+0.1)*AG144),"-"))),"-")</f>
        <v>-</v>
      </c>
      <c r="AJ145" s="271" t="str">
        <f>IFERROR(IF(AD145=1,AJ$100*EXP(-(LN(2)/$D$65+0.04)*AF145)*EXP(-(LN(2)/$D$65+0.1)*AG145),IF(AD145=2,AJ$100*EXP(-(LN(2)/$D$65+0.04)*(VLOOKUP(($F$16-$F$15)-1,AC$100:AG145,4,FALSE)))*EXP(-(LN(2)/$D$65+0.1)*(VLOOKUP(($F$16-$F$15)-1,AC$100:AG145,5,FALSE)))*EXP(-(LN(2)/$D$65+0.04)*AF145)*EXP(-(LN(2)/$D$65+0.1)*AG145),IF(AD145=3,AJ$100*EXP(-(LN(2)/$D$65+0.04)*(VLOOKUP(($F$16-$F$15)-1,AC$100:AG145,4,FALSE)))*EXP(-(LN(2)/$D$65+0.1)*(VLOOKUP(($F$16-$F$15)-1,AC$100:AG145,5,FALSE)))*EXP(-(LN(2)/$D$65+0.04)*(VLOOKUP(($F$16-$F$15)*2-1,AC$100:AG145,4,FALSE)))*EXP(-(LN(2)/$D$65+0.1)*(VLOOKUP(($F$16-$F$15)*2-1,AC$100:AG145,5,FALSE)))*EXP(-(LN(2)/$D$65+0.04)*AF145)*EXP(-(LN(2)/$D$65+0.1)*AG145),"-"))),"-")</f>
        <v>-</v>
      </c>
      <c r="AK145" s="227">
        <f t="shared" si="50"/>
        <v>45</v>
      </c>
      <c r="AL145" s="226" t="str">
        <f t="shared" si="22"/>
        <v>-</v>
      </c>
      <c r="AM145" s="227" t="str">
        <f t="shared" si="51"/>
        <v>-</v>
      </c>
      <c r="AN145" s="227" t="str">
        <f t="shared" si="52"/>
        <v>-</v>
      </c>
      <c r="AO145" s="227" t="str">
        <f t="shared" si="23"/>
        <v>-</v>
      </c>
      <c r="AP145" s="273">
        <f t="shared" si="53"/>
        <v>0.1</v>
      </c>
      <c r="AQ145" s="271" t="str">
        <f>IFERROR(IF(AL144=1,AQ$100*EXP(-(LN(2)/$D$65+0.04)*AN144)*EXP(-(LN(2)/$D$65+0.1)*AO144),IF(AL144=2,AQ$100*EXP(-(LN(2)/$D$65+0.04)*(VLOOKUP(($F$16-$F$15)-1,AK$99:AO144,4,FALSE)))*EXP(-(LN(2)/$D$65+0.1)*(VLOOKUP(($F$16-$F$15)-1,AK$99:AO144,5,FALSE)))*EXP(-(LN(2)/$D$65+0.04)*AN144)*EXP(-(LN(2)/$D$65+0.1)*AO144),IF(AL144=3,AQ$100*EXP(-(LN(2)/$D$65+0.04)*(VLOOKUP(($F$16-$F$15)-1,AK$99:AO144,4,FALSE)))*EXP(-(LN(2)/$D$65+0.1)*(VLOOKUP(($F$16-$F$15)-1,AK$99:AO144,5,FALSE)))*EXP(-(LN(2)/$D$65+0.04)*(VLOOKUP(($F$16-$F$15)*2-1,AK$99:AO144,4,FALSE)))*EXP(-(LN(2)/$D$65+0.1)*(VLOOKUP(($F$16-$F$15)*2-1,AK$99:AO144,5,FALSE)))*EXP(-(LN(2)/$D$65+0.04)*AN144)*EXP(-(LN(2)/$D$65+0.1)*AO144),"-"))),"-")</f>
        <v>-</v>
      </c>
      <c r="AR145" s="271" t="str">
        <f>IFERROR(IF(AL145=1,AR$100*EXP(-(LN(2)/$D$65+0.04)*AN145)*EXP(-(LN(2)/$D$65+0.1)*AO145),IF(AL145=2,AR$100*EXP(-(LN(2)/$D$65+0.04)*(VLOOKUP(($F$16-$F$15)-1,AK$100:AO145,4,FALSE)))*EXP(-(LN(2)/$D$65+0.1)*(VLOOKUP(($F$16-$F$15)-1,AK$100:AO145,5,FALSE)))*EXP(-(LN(2)/$D$65+0.04)*AN145)*EXP(-(LN(2)/$D$65+0.1)*AO145),IF(AL145=3,AR$100*EXP(-(LN(2)/$D$65+0.04)*(VLOOKUP(($F$16-$F$15)-1,AK$100:AO145,4,FALSE)))*EXP(-(LN(2)/$D$65+0.1)*(VLOOKUP(($F$16-$F$15)-1,AK$100:AO145,5,FALSE)))*EXP(-(LN(2)/$D$65+0.04)*(VLOOKUP(($F$16-$F$15)*2-1,AK$100:AO145,4,FALSE)))*EXP(-(LN(2)/$D$65+0.1)*(VLOOKUP(($F$16-$F$15)*2-1,AK$100:AO145,5,FALSE)))*EXP(-(LN(2)/$D$65+0.04)*AN145)*EXP(-(LN(2)/$D$65+0.1)*AO145),"-"))),"-")</f>
        <v>-</v>
      </c>
      <c r="AS145" s="274">
        <f t="shared" si="24"/>
        <v>0</v>
      </c>
      <c r="AT145" s="274">
        <f t="shared" si="25"/>
        <v>0</v>
      </c>
      <c r="AU145" s="274">
        <f t="shared" si="26"/>
        <v>0</v>
      </c>
      <c r="AV145" s="190">
        <f>IF($B145&lt;$F$22,SUM($T$100:$T145),"")</f>
        <v>0</v>
      </c>
      <c r="AW145" s="190" t="str">
        <f t="shared" si="83"/>
        <v>-</v>
      </c>
      <c r="AX145" s="190" t="str">
        <f t="shared" si="57"/>
        <v/>
      </c>
      <c r="AY145"/>
      <c r="AZ145" s="190" t="str">
        <f ca="1">IF(ISNUMBER(OFFSET(AV145,-$F$21,0)),SUM(OFFSET($T$100,$F$21,0):$T145),"")</f>
        <v/>
      </c>
      <c r="BA145" s="190" t="str">
        <f t="shared" ca="1" si="84"/>
        <v/>
      </c>
      <c r="BB145" s="190" t="str">
        <f t="shared" ca="1" si="70"/>
        <v/>
      </c>
      <c r="BC145" s="190"/>
      <c r="BD145" s="190" t="str">
        <f ca="1">IFERROR(IF(AND($B145&gt;=($F$16-$F$15),$B145&lt;$F$22+($F$16-$F$15)),SUM(OFFSET($T$100,($F$16-$F$15),0):$T145),""),"")</f>
        <v/>
      </c>
      <c r="BE145" s="190" t="str">
        <f t="shared" ca="1" si="59"/>
        <v/>
      </c>
      <c r="BF145" s="190" t="str">
        <f t="shared" ca="1" si="60"/>
        <v/>
      </c>
      <c r="BG145"/>
      <c r="BH145" s="190" t="str">
        <f ca="1">IF(ISNUMBER(OFFSET(BD145,-$F$21,0)),SUM(OFFSET($T$100,($F$16-$F$15+$F$21),0):$T145),"")</f>
        <v/>
      </c>
      <c r="BI145" s="190" t="str">
        <f t="shared" ca="1" si="85"/>
        <v/>
      </c>
      <c r="BJ145" s="190" t="str">
        <f t="shared" ca="1" si="61"/>
        <v/>
      </c>
      <c r="BK145" s="190"/>
      <c r="BL145" s="190" t="str">
        <f ca="1">IFERROR(IF(AND($B145&gt;=($F$17-$F$15),$B145&lt;$F$22+($F$17-$F$15)),SUM(OFFSET($T$100,($F$17-$F$15),0):$T145),""),"")</f>
        <v/>
      </c>
      <c r="BM145" s="190" t="str">
        <f t="shared" ca="1" si="86"/>
        <v/>
      </c>
      <c r="BN145" s="190" t="str">
        <f t="shared" ca="1" si="62"/>
        <v/>
      </c>
      <c r="BO145"/>
      <c r="BP145" s="190" t="str">
        <f ca="1">IF(ISNUMBER(OFFSET(BL145,-$F$21,0)),SUM(OFFSET($T$100,($F$17-$F$15+$F$21),0):$T145),"")</f>
        <v/>
      </c>
      <c r="BQ145" s="190" t="str">
        <f t="shared" ca="1" si="87"/>
        <v/>
      </c>
      <c r="BR145" s="190" t="str">
        <f t="shared" ca="1" si="64"/>
        <v/>
      </c>
      <c r="BS145" s="190"/>
      <c r="BT145"/>
      <c r="BU145"/>
      <c r="BV145"/>
      <c r="BY145" s="99"/>
      <c r="BZ145" s="99"/>
      <c r="CA145" s="280" t="str">
        <f t="shared" si="88"/>
        <v/>
      </c>
      <c r="CB145" s="71" t="str">
        <f t="shared" si="31"/>
        <v>-</v>
      </c>
      <c r="CC145" s="33"/>
      <c r="CD145" s="261" t="str">
        <f t="shared" si="33"/>
        <v/>
      </c>
      <c r="CE145" s="280" t="str">
        <f t="shared" si="89"/>
        <v>-</v>
      </c>
      <c r="CF145" s="71" t="str">
        <f t="shared" ca="1" si="90"/>
        <v>-</v>
      </c>
      <c r="CG145" s="33" t="str">
        <f t="shared" si="36"/>
        <v>45-46</v>
      </c>
      <c r="CH145" s="261" t="str">
        <f t="shared" ca="1" si="37"/>
        <v/>
      </c>
      <c r="CI145" s="99"/>
      <c r="CJ145" s="99"/>
      <c r="CK145" s="99"/>
      <c r="CL145" s="99"/>
      <c r="CM145" s="99"/>
      <c r="CN145" s="99"/>
      <c r="CO145" s="99"/>
    </row>
    <row r="146" spans="2:93" ht="13.5" customHeight="1" x14ac:dyDescent="0.2">
      <c r="B146" s="262">
        <v>46</v>
      </c>
      <c r="C146" s="237" t="str">
        <f t="shared" si="1"/>
        <v/>
      </c>
      <c r="D146" s="237" t="str">
        <f t="shared" si="67"/>
        <v>-</v>
      </c>
      <c r="E146" s="290" t="str">
        <f t="shared" si="38"/>
        <v/>
      </c>
      <c r="F146" s="264" t="str">
        <f t="shared" si="39"/>
        <v/>
      </c>
      <c r="G146" s="291" t="str">
        <f t="shared" si="40"/>
        <v/>
      </c>
      <c r="H146" s="240" t="str">
        <f t="shared" si="71"/>
        <v/>
      </c>
      <c r="I146" s="265" t="str">
        <f t="shared" si="72"/>
        <v/>
      </c>
      <c r="J146" s="265" t="str">
        <f t="shared" si="73"/>
        <v/>
      </c>
      <c r="K146" s="240" t="str">
        <f t="shared" si="74"/>
        <v/>
      </c>
      <c r="L146" s="265" t="str">
        <f t="shared" si="75"/>
        <v/>
      </c>
      <c r="M146" s="265" t="str">
        <f t="shared" si="76"/>
        <v/>
      </c>
      <c r="N146" s="240" t="str">
        <f t="shared" si="77"/>
        <v>-</v>
      </c>
      <c r="O146" s="265" t="str">
        <f t="shared" si="78"/>
        <v>-</v>
      </c>
      <c r="P146" s="265" t="str">
        <f t="shared" si="79"/>
        <v>-</v>
      </c>
      <c r="Q146" s="266" t="str">
        <f t="shared" si="80"/>
        <v>-</v>
      </c>
      <c r="R146" s="267" t="str">
        <f t="shared" si="81"/>
        <v>-</v>
      </c>
      <c r="S146" s="268" t="str">
        <f t="shared" si="82"/>
        <v>-</v>
      </c>
      <c r="T146" s="269" t="str">
        <f t="shared" si="13"/>
        <v/>
      </c>
      <c r="U146" s="221">
        <f t="shared" si="14"/>
        <v>46</v>
      </c>
      <c r="V146" s="220" t="str">
        <f t="shared" si="42"/>
        <v>-</v>
      </c>
      <c r="W146" s="221" t="str">
        <f t="shared" si="43"/>
        <v>-</v>
      </c>
      <c r="X146" s="221" t="str">
        <f t="shared" si="15"/>
        <v>-</v>
      </c>
      <c r="Y146" s="221" t="str">
        <f t="shared" si="16"/>
        <v>-</v>
      </c>
      <c r="Z146" s="270">
        <f t="shared" si="44"/>
        <v>0.1</v>
      </c>
      <c r="AA146" s="271" t="str">
        <f>IFERROR(IF(V145=1,AA$100*EXP(-(LN(2)/$D$65+0.04)*X145)*EXP(-(LN(2)/$D$65+0.1)*Y145),IF(V145=2,AA$100*EXP(-(LN(2)/$D$65+0.04)*(VLOOKUP(($F$16-$F$15)-1,U$99:Y145,4,FALSE)))*EXP(-(LN(2)/$D$65+0.1)*(VLOOKUP(($F$16-$F$15)-1,U$99:Y145,5,FALSE)))*EXP(-(LN(2)/$D$65+0.04)*X145)*EXP(-(LN(2)/$D$65+0.1)*Y145),IF(V145=3,AA$100*EXP(-(LN(2)/$D$65+0.04)*(VLOOKUP(($F$16-$F$15)-1,U$99:Y145,4,FALSE)))*EXP(-(LN(2)/$D$65+0.1)*(VLOOKUP(($F$16-$F$15)-1,U$99:Y145,5,FALSE)))*EXP(-(LN(2)/$D$65+0.04)*(VLOOKUP(($F$16-$F$15)*2-1,U$99:Y145,4,FALSE)))*EXP(-(LN(2)/$D$65+0.1)*(VLOOKUP(($F$16-$F$15)*2-1,U$99:Y145,5,FALSE)))*EXP(-(LN(2)/$D$65+0.04)*X145)*EXP(-(LN(2)/$D$65+0.1)*Y145),"-"))),"-")</f>
        <v>-</v>
      </c>
      <c r="AB146" s="271" t="str">
        <f>IFERROR(IF(V146=1,AB$100*EXP(-(LN(2)/$D$65+0.04)*X146)*EXP(-(LN(2)/$D$65+0.1)*Y146),IF(V146=2,AB$100*EXP(-(LN(2)/$D$65+0.04)*(VLOOKUP(($F$16-$F$15)-1,U$100:Y146,4,FALSE)))*EXP(-(LN(2)/$D$65+0.1)*(VLOOKUP(($F$16-$F$15)-1,U$100:Y146,5,FALSE)))*EXP(-(LN(2)/$D$65+0.04)*X146)*EXP(-(LN(2)/$D$65+0.1)*Y146),IF(V146=3,AB$100*EXP(-(LN(2)/$D$65+0.04)*(VLOOKUP(($F$16-$F$15)-1,U$100:Y146,4,FALSE)))*EXP(-(LN(2)/$D$65+0.1)*(VLOOKUP(($F$16-$F$15)-1,U$100:Y146,5,FALSE)))*EXP(-(LN(2)/$D$65+0.04)*(VLOOKUP(($F$16-$F$15)*2-1,U$100:Y146,4,FALSE)))*EXP(-(LN(2)/$D$65+0.1)*(VLOOKUP(($F$16-$F$15)*2-1,U$100:Y146,5,FALSE)))*EXP(-(LN(2)/$D$65+0.04)*X146)*EXP(-(LN(2)/$D$65+0.1)*Y146),"-"))),"-")</f>
        <v>-</v>
      </c>
      <c r="AC146" s="224">
        <f t="shared" si="46"/>
        <v>46</v>
      </c>
      <c r="AD146" s="223" t="str">
        <f t="shared" si="18"/>
        <v>-</v>
      </c>
      <c r="AE146" s="224" t="str">
        <f t="shared" si="47"/>
        <v>-</v>
      </c>
      <c r="AF146" s="224" t="str">
        <f t="shared" si="19"/>
        <v>-</v>
      </c>
      <c r="AG146" s="224" t="str">
        <f t="shared" si="20"/>
        <v>-</v>
      </c>
      <c r="AH146" s="272">
        <f t="shared" si="48"/>
        <v>0.1</v>
      </c>
      <c r="AI146" s="271" t="str">
        <f>IFERROR(IF(AD145=1,AI$100*EXP(-(LN(2)/$D$65+0.04)*AF145)*EXP(-(LN(2)/$D$65+0.1)*AG145),IF(AD145=2,AI$100*EXP(-(LN(2)/$D$65+0.04)*(VLOOKUP(($F$16-$F$15)-1,AC$99:AG145,4,FALSE)))*EXP(-(LN(2)/$D$65+0.1)*(VLOOKUP(($F$16-$F$15)-1,AC$99:AG145,5,FALSE)))*EXP(-(LN(2)/$D$65+0.04)*AF145)*EXP(-(LN(2)/$D$65+0.1)*AG145),IF(AD145=3,AI$100*EXP(-(LN(2)/$D$65+0.04)*(VLOOKUP(($F$16-$F$15)-1,AC$99:AG145,4,FALSE)))*EXP(-(LN(2)/$D$65+0.1)*(VLOOKUP(($F$16-$F$15)-1,AC$99:AG145,5,FALSE)))*EXP(-(LN(2)/$D$65+0.04)*(VLOOKUP(($F$16-$F$15)*2-1,AC$99:AG145,4,FALSE)))*EXP(-(LN(2)/$D$65+0.1)*(VLOOKUP(($F$16-$F$15)*2-1,AC$99:AG145,5,FALSE)))*EXP(-(LN(2)/$D$65+0.04)*AF145)*EXP(-(LN(2)/$D$65+0.1)*AG145),"-"))),"-")</f>
        <v>-</v>
      </c>
      <c r="AJ146" s="271" t="str">
        <f>IFERROR(IF(AD146=1,AJ$100*EXP(-(LN(2)/$D$65+0.04)*AF146)*EXP(-(LN(2)/$D$65+0.1)*AG146),IF(AD146=2,AJ$100*EXP(-(LN(2)/$D$65+0.04)*(VLOOKUP(($F$16-$F$15)-1,AC$100:AG146,4,FALSE)))*EXP(-(LN(2)/$D$65+0.1)*(VLOOKUP(($F$16-$F$15)-1,AC$100:AG146,5,FALSE)))*EXP(-(LN(2)/$D$65+0.04)*AF146)*EXP(-(LN(2)/$D$65+0.1)*AG146),IF(AD146=3,AJ$100*EXP(-(LN(2)/$D$65+0.04)*(VLOOKUP(($F$16-$F$15)-1,AC$100:AG146,4,FALSE)))*EXP(-(LN(2)/$D$65+0.1)*(VLOOKUP(($F$16-$F$15)-1,AC$100:AG146,5,FALSE)))*EXP(-(LN(2)/$D$65+0.04)*(VLOOKUP(($F$16-$F$15)*2-1,AC$100:AG146,4,FALSE)))*EXP(-(LN(2)/$D$65+0.1)*(VLOOKUP(($F$16-$F$15)*2-1,AC$100:AG146,5,FALSE)))*EXP(-(LN(2)/$D$65+0.04)*AF146)*EXP(-(LN(2)/$D$65+0.1)*AG146),"-"))),"-")</f>
        <v>-</v>
      </c>
      <c r="AK146" s="227">
        <f t="shared" si="50"/>
        <v>46</v>
      </c>
      <c r="AL146" s="226" t="str">
        <f t="shared" si="22"/>
        <v>-</v>
      </c>
      <c r="AM146" s="227" t="str">
        <f t="shared" si="51"/>
        <v>-</v>
      </c>
      <c r="AN146" s="227" t="str">
        <f t="shared" si="52"/>
        <v>-</v>
      </c>
      <c r="AO146" s="227" t="str">
        <f t="shared" si="23"/>
        <v>-</v>
      </c>
      <c r="AP146" s="273">
        <f t="shared" si="53"/>
        <v>0.1</v>
      </c>
      <c r="AQ146" s="271" t="str">
        <f>IFERROR(IF(AL145=1,AQ$100*EXP(-(LN(2)/$D$65+0.04)*AN145)*EXP(-(LN(2)/$D$65+0.1)*AO145),IF(AL145=2,AQ$100*EXP(-(LN(2)/$D$65+0.04)*(VLOOKUP(($F$16-$F$15)-1,AK$99:AO145,4,FALSE)))*EXP(-(LN(2)/$D$65+0.1)*(VLOOKUP(($F$16-$F$15)-1,AK$99:AO145,5,FALSE)))*EXP(-(LN(2)/$D$65+0.04)*AN145)*EXP(-(LN(2)/$D$65+0.1)*AO145),IF(AL145=3,AQ$100*EXP(-(LN(2)/$D$65+0.04)*(VLOOKUP(($F$16-$F$15)-1,AK$99:AO145,4,FALSE)))*EXP(-(LN(2)/$D$65+0.1)*(VLOOKUP(($F$16-$F$15)-1,AK$99:AO145,5,FALSE)))*EXP(-(LN(2)/$D$65+0.04)*(VLOOKUP(($F$16-$F$15)*2-1,AK$99:AO145,4,FALSE)))*EXP(-(LN(2)/$D$65+0.1)*(VLOOKUP(($F$16-$F$15)*2-1,AK$99:AO145,5,FALSE)))*EXP(-(LN(2)/$D$65+0.04)*AN145)*EXP(-(LN(2)/$D$65+0.1)*AO145),"-"))),"-")</f>
        <v>-</v>
      </c>
      <c r="AR146" s="271" t="str">
        <f>IFERROR(IF(AL146=1,AR$100*EXP(-(LN(2)/$D$65+0.04)*AN146)*EXP(-(LN(2)/$D$65+0.1)*AO146),IF(AL146=2,AR$100*EXP(-(LN(2)/$D$65+0.04)*(VLOOKUP(($F$16-$F$15)-1,AK$100:AO146,4,FALSE)))*EXP(-(LN(2)/$D$65+0.1)*(VLOOKUP(($F$16-$F$15)-1,AK$100:AO146,5,FALSE)))*EXP(-(LN(2)/$D$65+0.04)*AN146)*EXP(-(LN(2)/$D$65+0.1)*AO146),IF(AL146=3,AR$100*EXP(-(LN(2)/$D$65+0.04)*(VLOOKUP(($F$16-$F$15)-1,AK$100:AO146,4,FALSE)))*EXP(-(LN(2)/$D$65+0.1)*(VLOOKUP(($F$16-$F$15)-1,AK$100:AO146,5,FALSE)))*EXP(-(LN(2)/$D$65+0.04)*(VLOOKUP(($F$16-$F$15)*2-1,AK$100:AO146,4,FALSE)))*EXP(-(LN(2)/$D$65+0.1)*(VLOOKUP(($F$16-$F$15)*2-1,AK$100:AO146,5,FALSE)))*EXP(-(LN(2)/$D$65+0.04)*AN146)*EXP(-(LN(2)/$D$65+0.1)*AO146),"-"))),"-")</f>
        <v>-</v>
      </c>
      <c r="AS146" s="274">
        <f t="shared" si="24"/>
        <v>0</v>
      </c>
      <c r="AT146" s="274">
        <f t="shared" si="25"/>
        <v>0</v>
      </c>
      <c r="AU146" s="274">
        <f t="shared" si="26"/>
        <v>0</v>
      </c>
      <c r="AV146" s="190">
        <f>IF($B146&lt;$F$22,SUM($T$100:$T146),"")</f>
        <v>0</v>
      </c>
      <c r="AW146" s="190" t="str">
        <f t="shared" si="83"/>
        <v>-</v>
      </c>
      <c r="AX146" s="190" t="str">
        <f t="shared" si="57"/>
        <v/>
      </c>
      <c r="AY146"/>
      <c r="AZ146" s="190" t="str">
        <f ca="1">IF(ISNUMBER(OFFSET(AV146,-$F$21,0)),SUM(OFFSET($T$100,$F$21,0):$T146),"")</f>
        <v/>
      </c>
      <c r="BA146" s="190" t="str">
        <f t="shared" ca="1" si="84"/>
        <v/>
      </c>
      <c r="BB146" s="190" t="str">
        <f t="shared" ca="1" si="70"/>
        <v/>
      </c>
      <c r="BC146" s="190"/>
      <c r="BD146" s="190" t="str">
        <f ca="1">IFERROR(IF(AND($B146&gt;=($F$16-$F$15),$B146&lt;$F$22+($F$16-$F$15)),SUM(OFFSET($T$100,($F$16-$F$15),0):$T146),""),"")</f>
        <v/>
      </c>
      <c r="BE146" s="190" t="str">
        <f t="shared" ca="1" si="59"/>
        <v/>
      </c>
      <c r="BF146" s="190" t="str">
        <f t="shared" ca="1" si="60"/>
        <v/>
      </c>
      <c r="BG146"/>
      <c r="BH146" s="190" t="str">
        <f ca="1">IF(ISNUMBER(OFFSET(BD146,-$F$21,0)),SUM(OFFSET($T$100,($F$16-$F$15+$F$21),0):$T146),"")</f>
        <v/>
      </c>
      <c r="BI146" s="190" t="str">
        <f t="shared" ca="1" si="85"/>
        <v/>
      </c>
      <c r="BJ146" s="190" t="str">
        <f t="shared" ca="1" si="61"/>
        <v/>
      </c>
      <c r="BK146" s="190"/>
      <c r="BL146" s="190" t="str">
        <f ca="1">IFERROR(IF(AND($B146&gt;=($F$17-$F$15),$B146&lt;$F$22+($F$17-$F$15)),SUM(OFFSET($T$100,($F$17-$F$15),0):$T146),""),"")</f>
        <v/>
      </c>
      <c r="BM146" s="190" t="str">
        <f t="shared" ca="1" si="86"/>
        <v/>
      </c>
      <c r="BN146" s="190" t="str">
        <f t="shared" ca="1" si="62"/>
        <v/>
      </c>
      <c r="BO146"/>
      <c r="BP146" s="190" t="str">
        <f ca="1">IF(ISNUMBER(OFFSET(BL146,-$F$21,0)),SUM(OFFSET($T$100,($F$17-$F$15+$F$21),0):$T146),"")</f>
        <v/>
      </c>
      <c r="BQ146" s="190" t="str">
        <f t="shared" ca="1" si="87"/>
        <v/>
      </c>
      <c r="BR146" s="190" t="str">
        <f t="shared" ca="1" si="64"/>
        <v/>
      </c>
      <c r="BS146" s="190"/>
      <c r="BT146"/>
      <c r="BU146"/>
      <c r="BV146"/>
      <c r="BY146" s="99"/>
      <c r="BZ146" s="99"/>
      <c r="CA146" s="280" t="str">
        <f t="shared" si="88"/>
        <v/>
      </c>
      <c r="CB146" s="71" t="str">
        <f t="shared" si="31"/>
        <v>-</v>
      </c>
      <c r="CC146" s="33"/>
      <c r="CD146" s="261" t="str">
        <f t="shared" si="33"/>
        <v/>
      </c>
      <c r="CE146" s="280" t="str">
        <f t="shared" si="89"/>
        <v>-</v>
      </c>
      <c r="CF146" s="71" t="str">
        <f t="shared" ca="1" si="90"/>
        <v>-</v>
      </c>
      <c r="CG146" s="33" t="str">
        <f t="shared" si="36"/>
        <v>46-47</v>
      </c>
      <c r="CH146" s="261" t="str">
        <f t="shared" ca="1" si="37"/>
        <v/>
      </c>
      <c r="CI146" s="99"/>
      <c r="CJ146" s="99"/>
      <c r="CK146" s="99"/>
      <c r="CL146" s="99"/>
      <c r="CM146" s="99"/>
      <c r="CN146" s="99"/>
      <c r="CO146" s="99"/>
    </row>
    <row r="147" spans="2:93" ht="13.5" customHeight="1" x14ac:dyDescent="0.2">
      <c r="B147" s="262">
        <v>47</v>
      </c>
      <c r="C147" s="237" t="str">
        <f t="shared" si="1"/>
        <v/>
      </c>
      <c r="D147" s="237" t="str">
        <f t="shared" si="67"/>
        <v>-</v>
      </c>
      <c r="E147" s="290" t="str">
        <f t="shared" si="38"/>
        <v/>
      </c>
      <c r="F147" s="264" t="str">
        <f t="shared" si="39"/>
        <v/>
      </c>
      <c r="G147" s="291" t="str">
        <f t="shared" si="40"/>
        <v/>
      </c>
      <c r="H147" s="240" t="str">
        <f t="shared" si="71"/>
        <v/>
      </c>
      <c r="I147" s="265" t="str">
        <f t="shared" si="72"/>
        <v/>
      </c>
      <c r="J147" s="265" t="str">
        <f t="shared" si="73"/>
        <v/>
      </c>
      <c r="K147" s="240" t="str">
        <f t="shared" si="74"/>
        <v/>
      </c>
      <c r="L147" s="265" t="str">
        <f t="shared" si="75"/>
        <v/>
      </c>
      <c r="M147" s="265" t="str">
        <f t="shared" si="76"/>
        <v/>
      </c>
      <c r="N147" s="240" t="str">
        <f t="shared" si="77"/>
        <v>-</v>
      </c>
      <c r="O147" s="265" t="str">
        <f t="shared" si="78"/>
        <v>-</v>
      </c>
      <c r="P147" s="265" t="str">
        <f t="shared" si="79"/>
        <v>-</v>
      </c>
      <c r="Q147" s="266" t="str">
        <f t="shared" si="80"/>
        <v>-</v>
      </c>
      <c r="R147" s="267" t="str">
        <f t="shared" si="81"/>
        <v>-</v>
      </c>
      <c r="S147" s="268" t="str">
        <f t="shared" si="82"/>
        <v>-</v>
      </c>
      <c r="T147" s="269" t="str">
        <f t="shared" si="13"/>
        <v/>
      </c>
      <c r="U147" s="221">
        <f t="shared" si="14"/>
        <v>47</v>
      </c>
      <c r="V147" s="220" t="str">
        <f t="shared" si="42"/>
        <v>-</v>
      </c>
      <c r="W147" s="221" t="str">
        <f t="shared" si="43"/>
        <v>-</v>
      </c>
      <c r="X147" s="221" t="str">
        <f t="shared" si="15"/>
        <v>-</v>
      </c>
      <c r="Y147" s="221" t="str">
        <f t="shared" si="16"/>
        <v>-</v>
      </c>
      <c r="Z147" s="270">
        <f t="shared" si="44"/>
        <v>0.1</v>
      </c>
      <c r="AA147" s="271" t="str">
        <f>IFERROR(IF(V146=1,AA$100*EXP(-(LN(2)/$D$65+0.04)*X146)*EXP(-(LN(2)/$D$65+0.1)*Y146),IF(V146=2,AA$100*EXP(-(LN(2)/$D$65+0.04)*(VLOOKUP(($F$16-$F$15)-1,U$99:Y146,4,FALSE)))*EXP(-(LN(2)/$D$65+0.1)*(VLOOKUP(($F$16-$F$15)-1,U$99:Y146,5,FALSE)))*EXP(-(LN(2)/$D$65+0.04)*X146)*EXP(-(LN(2)/$D$65+0.1)*Y146),IF(V146=3,AA$100*EXP(-(LN(2)/$D$65+0.04)*(VLOOKUP(($F$16-$F$15)-1,U$99:Y146,4,FALSE)))*EXP(-(LN(2)/$D$65+0.1)*(VLOOKUP(($F$16-$F$15)-1,U$99:Y146,5,FALSE)))*EXP(-(LN(2)/$D$65+0.04)*(VLOOKUP(($F$16-$F$15)*2-1,U$99:Y146,4,FALSE)))*EXP(-(LN(2)/$D$65+0.1)*(VLOOKUP(($F$16-$F$15)*2-1,U$99:Y146,5,FALSE)))*EXP(-(LN(2)/$D$65+0.04)*X146)*EXP(-(LN(2)/$D$65+0.1)*Y146),"-"))),"-")</f>
        <v>-</v>
      </c>
      <c r="AB147" s="271" t="str">
        <f>IFERROR(IF(V147=1,AB$100*EXP(-(LN(2)/$D$65+0.04)*X147)*EXP(-(LN(2)/$D$65+0.1)*Y147),IF(V147=2,AB$100*EXP(-(LN(2)/$D$65+0.04)*(VLOOKUP(($F$16-$F$15)-1,U$100:Y147,4,FALSE)))*EXP(-(LN(2)/$D$65+0.1)*(VLOOKUP(($F$16-$F$15)-1,U$100:Y147,5,FALSE)))*EXP(-(LN(2)/$D$65+0.04)*X147)*EXP(-(LN(2)/$D$65+0.1)*Y147),IF(V147=3,AB$100*EXP(-(LN(2)/$D$65+0.04)*(VLOOKUP(($F$16-$F$15)-1,U$100:Y147,4,FALSE)))*EXP(-(LN(2)/$D$65+0.1)*(VLOOKUP(($F$16-$F$15)-1,U$100:Y147,5,FALSE)))*EXP(-(LN(2)/$D$65+0.04)*(VLOOKUP(($F$16-$F$15)*2-1,U$100:Y147,4,FALSE)))*EXP(-(LN(2)/$D$65+0.1)*(VLOOKUP(($F$16-$F$15)*2-1,U$100:Y147,5,FALSE)))*EXP(-(LN(2)/$D$65+0.04)*X147)*EXP(-(LN(2)/$D$65+0.1)*Y147),"-"))),"-")</f>
        <v>-</v>
      </c>
      <c r="AC147" s="224">
        <f t="shared" si="46"/>
        <v>47</v>
      </c>
      <c r="AD147" s="223" t="str">
        <f t="shared" si="18"/>
        <v>-</v>
      </c>
      <c r="AE147" s="224" t="str">
        <f t="shared" si="47"/>
        <v>-</v>
      </c>
      <c r="AF147" s="224" t="str">
        <f t="shared" si="19"/>
        <v>-</v>
      </c>
      <c r="AG147" s="224" t="str">
        <f t="shared" si="20"/>
        <v>-</v>
      </c>
      <c r="AH147" s="272">
        <f t="shared" si="48"/>
        <v>0.1</v>
      </c>
      <c r="AI147" s="271" t="str">
        <f>IFERROR(IF(AD146=1,AI$100*EXP(-(LN(2)/$D$65+0.04)*AF146)*EXP(-(LN(2)/$D$65+0.1)*AG146),IF(AD146=2,AI$100*EXP(-(LN(2)/$D$65+0.04)*(VLOOKUP(($F$16-$F$15)-1,AC$99:AG146,4,FALSE)))*EXP(-(LN(2)/$D$65+0.1)*(VLOOKUP(($F$16-$F$15)-1,AC$99:AG146,5,FALSE)))*EXP(-(LN(2)/$D$65+0.04)*AF146)*EXP(-(LN(2)/$D$65+0.1)*AG146),IF(AD146=3,AI$100*EXP(-(LN(2)/$D$65+0.04)*(VLOOKUP(($F$16-$F$15)-1,AC$99:AG146,4,FALSE)))*EXP(-(LN(2)/$D$65+0.1)*(VLOOKUP(($F$16-$F$15)-1,AC$99:AG146,5,FALSE)))*EXP(-(LN(2)/$D$65+0.04)*(VLOOKUP(($F$16-$F$15)*2-1,AC$99:AG146,4,FALSE)))*EXP(-(LN(2)/$D$65+0.1)*(VLOOKUP(($F$16-$F$15)*2-1,AC$99:AG146,5,FALSE)))*EXP(-(LN(2)/$D$65+0.04)*AF146)*EXP(-(LN(2)/$D$65+0.1)*AG146),"-"))),"-")</f>
        <v>-</v>
      </c>
      <c r="AJ147" s="271" t="str">
        <f>IFERROR(IF(AD147=1,AJ$100*EXP(-(LN(2)/$D$65+0.04)*AF147)*EXP(-(LN(2)/$D$65+0.1)*AG147),IF(AD147=2,AJ$100*EXP(-(LN(2)/$D$65+0.04)*(VLOOKUP(($F$16-$F$15)-1,AC$100:AG147,4,FALSE)))*EXP(-(LN(2)/$D$65+0.1)*(VLOOKUP(($F$16-$F$15)-1,AC$100:AG147,5,FALSE)))*EXP(-(LN(2)/$D$65+0.04)*AF147)*EXP(-(LN(2)/$D$65+0.1)*AG147),IF(AD147=3,AJ$100*EXP(-(LN(2)/$D$65+0.04)*(VLOOKUP(($F$16-$F$15)-1,AC$100:AG147,4,FALSE)))*EXP(-(LN(2)/$D$65+0.1)*(VLOOKUP(($F$16-$F$15)-1,AC$100:AG147,5,FALSE)))*EXP(-(LN(2)/$D$65+0.04)*(VLOOKUP(($F$16-$F$15)*2-1,AC$100:AG147,4,FALSE)))*EXP(-(LN(2)/$D$65+0.1)*(VLOOKUP(($F$16-$F$15)*2-1,AC$100:AG147,5,FALSE)))*EXP(-(LN(2)/$D$65+0.04)*AF147)*EXP(-(LN(2)/$D$65+0.1)*AG147),"-"))),"-")</f>
        <v>-</v>
      </c>
      <c r="AK147" s="227">
        <f t="shared" si="50"/>
        <v>47</v>
      </c>
      <c r="AL147" s="226" t="str">
        <f t="shared" si="22"/>
        <v>-</v>
      </c>
      <c r="AM147" s="227" t="str">
        <f t="shared" si="51"/>
        <v>-</v>
      </c>
      <c r="AN147" s="227" t="str">
        <f t="shared" si="52"/>
        <v>-</v>
      </c>
      <c r="AO147" s="227" t="str">
        <f t="shared" si="23"/>
        <v>-</v>
      </c>
      <c r="AP147" s="273">
        <f t="shared" si="53"/>
        <v>0.1</v>
      </c>
      <c r="AQ147" s="271" t="str">
        <f>IFERROR(IF(AL146=1,AQ$100*EXP(-(LN(2)/$D$65+0.04)*AN146)*EXP(-(LN(2)/$D$65+0.1)*AO146),IF(AL146=2,AQ$100*EXP(-(LN(2)/$D$65+0.04)*(VLOOKUP(($F$16-$F$15)-1,AK$99:AO146,4,FALSE)))*EXP(-(LN(2)/$D$65+0.1)*(VLOOKUP(($F$16-$F$15)-1,AK$99:AO146,5,FALSE)))*EXP(-(LN(2)/$D$65+0.04)*AN146)*EXP(-(LN(2)/$D$65+0.1)*AO146),IF(AL146=3,AQ$100*EXP(-(LN(2)/$D$65+0.04)*(VLOOKUP(($F$16-$F$15)-1,AK$99:AO146,4,FALSE)))*EXP(-(LN(2)/$D$65+0.1)*(VLOOKUP(($F$16-$F$15)-1,AK$99:AO146,5,FALSE)))*EXP(-(LN(2)/$D$65+0.04)*(VLOOKUP(($F$16-$F$15)*2-1,AK$99:AO146,4,FALSE)))*EXP(-(LN(2)/$D$65+0.1)*(VLOOKUP(($F$16-$F$15)*2-1,AK$99:AO146,5,FALSE)))*EXP(-(LN(2)/$D$65+0.04)*AN146)*EXP(-(LN(2)/$D$65+0.1)*AO146),"-"))),"-")</f>
        <v>-</v>
      </c>
      <c r="AR147" s="271" t="str">
        <f>IFERROR(IF(AL147=1,AR$100*EXP(-(LN(2)/$D$65+0.04)*AN147)*EXP(-(LN(2)/$D$65+0.1)*AO147),IF(AL147=2,AR$100*EXP(-(LN(2)/$D$65+0.04)*(VLOOKUP(($F$16-$F$15)-1,AK$100:AO147,4,FALSE)))*EXP(-(LN(2)/$D$65+0.1)*(VLOOKUP(($F$16-$F$15)-1,AK$100:AO147,5,FALSE)))*EXP(-(LN(2)/$D$65+0.04)*AN147)*EXP(-(LN(2)/$D$65+0.1)*AO147),IF(AL147=3,AR$100*EXP(-(LN(2)/$D$65+0.04)*(VLOOKUP(($F$16-$F$15)-1,AK$100:AO147,4,FALSE)))*EXP(-(LN(2)/$D$65+0.1)*(VLOOKUP(($F$16-$F$15)-1,AK$100:AO147,5,FALSE)))*EXP(-(LN(2)/$D$65+0.04)*(VLOOKUP(($F$16-$F$15)*2-1,AK$100:AO147,4,FALSE)))*EXP(-(LN(2)/$D$65+0.1)*(VLOOKUP(($F$16-$F$15)*2-1,AK$100:AO147,5,FALSE)))*EXP(-(LN(2)/$D$65+0.04)*AN147)*EXP(-(LN(2)/$D$65+0.1)*AO147),"-"))),"-")</f>
        <v>-</v>
      </c>
      <c r="AS147" s="274">
        <f t="shared" si="24"/>
        <v>0</v>
      </c>
      <c r="AT147" s="274">
        <f t="shared" si="25"/>
        <v>0</v>
      </c>
      <c r="AU147" s="274">
        <f t="shared" si="26"/>
        <v>0</v>
      </c>
      <c r="AV147" s="190">
        <f>IF($B147&lt;$F$22,SUM($T$100:$T147),"")</f>
        <v>0</v>
      </c>
      <c r="AW147" s="190" t="str">
        <f t="shared" si="83"/>
        <v>-</v>
      </c>
      <c r="AX147" s="190" t="str">
        <f t="shared" si="57"/>
        <v/>
      </c>
      <c r="AY147"/>
      <c r="AZ147" s="190" t="str">
        <f ca="1">IF(ISNUMBER(OFFSET(AV147,-$F$21,0)),SUM(OFFSET($T$100,$F$21,0):$T147),"")</f>
        <v/>
      </c>
      <c r="BA147" s="190" t="str">
        <f t="shared" ca="1" si="84"/>
        <v/>
      </c>
      <c r="BB147" s="190" t="str">
        <f t="shared" ca="1" si="70"/>
        <v/>
      </c>
      <c r="BC147" s="190"/>
      <c r="BD147" s="190" t="str">
        <f ca="1">IFERROR(IF(AND($B147&gt;=($F$16-$F$15),$B147&lt;$F$22+($F$16-$F$15)),SUM(OFFSET($T$100,($F$16-$F$15),0):$T147),""),"")</f>
        <v/>
      </c>
      <c r="BE147" s="190" t="str">
        <f t="shared" ca="1" si="59"/>
        <v/>
      </c>
      <c r="BF147" s="190" t="str">
        <f t="shared" ca="1" si="60"/>
        <v/>
      </c>
      <c r="BG147"/>
      <c r="BH147" s="190" t="str">
        <f ca="1">IF(ISNUMBER(OFFSET(BD147,-$F$21,0)),SUM(OFFSET($T$100,($F$16-$F$15+$F$21),0):$T147),"")</f>
        <v/>
      </c>
      <c r="BI147" s="190" t="str">
        <f t="shared" ca="1" si="85"/>
        <v/>
      </c>
      <c r="BJ147" s="190" t="str">
        <f t="shared" ca="1" si="61"/>
        <v/>
      </c>
      <c r="BK147" s="190"/>
      <c r="BL147" s="190" t="str">
        <f ca="1">IFERROR(IF(AND($B147&gt;=($F$17-$F$15),$B147&lt;$F$22+($F$17-$F$15)),SUM(OFFSET($T$100,($F$17-$F$15),0):$T147),""),"")</f>
        <v/>
      </c>
      <c r="BM147" s="190" t="str">
        <f t="shared" ca="1" si="86"/>
        <v/>
      </c>
      <c r="BN147" s="190" t="str">
        <f t="shared" ca="1" si="62"/>
        <v/>
      </c>
      <c r="BO147"/>
      <c r="BP147" s="190" t="str">
        <f ca="1">IF(ISNUMBER(OFFSET(BL147,-$F$21,0)),SUM(OFFSET($T$100,($F$17-$F$15+$F$21),0):$T147),"")</f>
        <v/>
      </c>
      <c r="BQ147" s="190" t="str">
        <f t="shared" ca="1" si="87"/>
        <v/>
      </c>
      <c r="BR147" s="190" t="str">
        <f t="shared" ca="1" si="64"/>
        <v/>
      </c>
      <c r="BS147" s="190"/>
      <c r="BT147"/>
      <c r="BU147"/>
      <c r="BV147"/>
      <c r="BY147" s="99"/>
      <c r="BZ147" s="99"/>
      <c r="CA147" s="280" t="str">
        <f t="shared" si="88"/>
        <v/>
      </c>
      <c r="CB147" s="71" t="str">
        <f t="shared" si="31"/>
        <v>-</v>
      </c>
      <c r="CC147" s="33"/>
      <c r="CD147" s="261" t="str">
        <f t="shared" si="33"/>
        <v/>
      </c>
      <c r="CE147" s="280" t="str">
        <f t="shared" si="89"/>
        <v>-</v>
      </c>
      <c r="CF147" s="71" t="str">
        <f t="shared" ca="1" si="90"/>
        <v>-</v>
      </c>
      <c r="CG147" s="33" t="str">
        <f t="shared" si="36"/>
        <v>47-48</v>
      </c>
      <c r="CH147" s="261" t="str">
        <f t="shared" ca="1" si="37"/>
        <v/>
      </c>
      <c r="CI147" s="99"/>
      <c r="CJ147" s="99"/>
      <c r="CK147" s="99"/>
      <c r="CL147" s="99"/>
      <c r="CM147" s="99"/>
      <c r="CN147" s="99"/>
      <c r="CO147" s="99"/>
    </row>
    <row r="148" spans="2:93" ht="13.5" customHeight="1" x14ac:dyDescent="0.2">
      <c r="B148" s="262">
        <v>48</v>
      </c>
      <c r="C148" s="237" t="str">
        <f t="shared" si="1"/>
        <v/>
      </c>
      <c r="D148" s="237" t="str">
        <f t="shared" si="67"/>
        <v>-</v>
      </c>
      <c r="E148" s="290" t="str">
        <f t="shared" si="38"/>
        <v/>
      </c>
      <c r="F148" s="264" t="str">
        <f t="shared" si="39"/>
        <v/>
      </c>
      <c r="G148" s="291" t="str">
        <f t="shared" si="40"/>
        <v/>
      </c>
      <c r="H148" s="240" t="str">
        <f t="shared" si="71"/>
        <v/>
      </c>
      <c r="I148" s="265" t="str">
        <f t="shared" si="72"/>
        <v/>
      </c>
      <c r="J148" s="265" t="str">
        <f t="shared" si="73"/>
        <v/>
      </c>
      <c r="K148" s="240" t="str">
        <f t="shared" si="74"/>
        <v/>
      </c>
      <c r="L148" s="265" t="str">
        <f t="shared" si="75"/>
        <v/>
      </c>
      <c r="M148" s="265" t="str">
        <f t="shared" si="76"/>
        <v/>
      </c>
      <c r="N148" s="240" t="str">
        <f t="shared" si="77"/>
        <v>-</v>
      </c>
      <c r="O148" s="265" t="str">
        <f t="shared" si="78"/>
        <v>-</v>
      </c>
      <c r="P148" s="265" t="str">
        <f t="shared" si="79"/>
        <v>-</v>
      </c>
      <c r="Q148" s="266" t="str">
        <f t="shared" si="80"/>
        <v>-</v>
      </c>
      <c r="R148" s="267" t="str">
        <f t="shared" si="81"/>
        <v>-</v>
      </c>
      <c r="S148" s="268" t="str">
        <f t="shared" si="82"/>
        <v>-</v>
      </c>
      <c r="T148" s="269" t="str">
        <f t="shared" si="13"/>
        <v/>
      </c>
      <c r="U148" s="221">
        <f t="shared" si="14"/>
        <v>48</v>
      </c>
      <c r="V148" s="220" t="str">
        <f t="shared" si="42"/>
        <v>-</v>
      </c>
      <c r="W148" s="221" t="str">
        <f t="shared" si="43"/>
        <v>-</v>
      </c>
      <c r="X148" s="221" t="str">
        <f t="shared" si="15"/>
        <v>-</v>
      </c>
      <c r="Y148" s="221" t="str">
        <f t="shared" si="16"/>
        <v>-</v>
      </c>
      <c r="Z148" s="270">
        <f t="shared" si="44"/>
        <v>0.1</v>
      </c>
      <c r="AA148" s="271" t="str">
        <f>IFERROR(IF(V147=1,AA$100*EXP(-(LN(2)/$D$65+0.04)*X147)*EXP(-(LN(2)/$D$65+0.1)*Y147),IF(V147=2,AA$100*EXP(-(LN(2)/$D$65+0.04)*(VLOOKUP(($F$16-$F$15)-1,U$99:Y147,4,FALSE)))*EXP(-(LN(2)/$D$65+0.1)*(VLOOKUP(($F$16-$F$15)-1,U$99:Y147,5,FALSE)))*EXP(-(LN(2)/$D$65+0.04)*X147)*EXP(-(LN(2)/$D$65+0.1)*Y147),IF(V147=3,AA$100*EXP(-(LN(2)/$D$65+0.04)*(VLOOKUP(($F$16-$F$15)-1,U$99:Y147,4,FALSE)))*EXP(-(LN(2)/$D$65+0.1)*(VLOOKUP(($F$16-$F$15)-1,U$99:Y147,5,FALSE)))*EXP(-(LN(2)/$D$65+0.04)*(VLOOKUP(($F$16-$F$15)*2-1,U$99:Y147,4,FALSE)))*EXP(-(LN(2)/$D$65+0.1)*(VLOOKUP(($F$16-$F$15)*2-1,U$99:Y147,5,FALSE)))*EXP(-(LN(2)/$D$65+0.04)*X147)*EXP(-(LN(2)/$D$65+0.1)*Y147),"-"))),"-")</f>
        <v>-</v>
      </c>
      <c r="AB148" s="271" t="str">
        <f>IFERROR(IF(V148=1,AB$100*EXP(-(LN(2)/$D$65+0.04)*X148)*EXP(-(LN(2)/$D$65+0.1)*Y148),IF(V148=2,AB$100*EXP(-(LN(2)/$D$65+0.04)*(VLOOKUP(($F$16-$F$15)-1,U$100:Y148,4,FALSE)))*EXP(-(LN(2)/$D$65+0.1)*(VLOOKUP(($F$16-$F$15)-1,U$100:Y148,5,FALSE)))*EXP(-(LN(2)/$D$65+0.04)*X148)*EXP(-(LN(2)/$D$65+0.1)*Y148),IF(V148=3,AB$100*EXP(-(LN(2)/$D$65+0.04)*(VLOOKUP(($F$16-$F$15)-1,U$100:Y148,4,FALSE)))*EXP(-(LN(2)/$D$65+0.1)*(VLOOKUP(($F$16-$F$15)-1,U$100:Y148,5,FALSE)))*EXP(-(LN(2)/$D$65+0.04)*(VLOOKUP(($F$16-$F$15)*2-1,U$100:Y148,4,FALSE)))*EXP(-(LN(2)/$D$65+0.1)*(VLOOKUP(($F$16-$F$15)*2-1,U$100:Y148,5,FALSE)))*EXP(-(LN(2)/$D$65+0.04)*X148)*EXP(-(LN(2)/$D$65+0.1)*Y148),"-"))),"-")</f>
        <v>-</v>
      </c>
      <c r="AC148" s="224">
        <f t="shared" si="46"/>
        <v>48</v>
      </c>
      <c r="AD148" s="223" t="str">
        <f t="shared" si="18"/>
        <v>-</v>
      </c>
      <c r="AE148" s="224" t="str">
        <f t="shared" si="47"/>
        <v>-</v>
      </c>
      <c r="AF148" s="224" t="str">
        <f t="shared" si="19"/>
        <v>-</v>
      </c>
      <c r="AG148" s="224" t="str">
        <f t="shared" si="20"/>
        <v>-</v>
      </c>
      <c r="AH148" s="272">
        <f t="shared" si="48"/>
        <v>0.1</v>
      </c>
      <c r="AI148" s="271" t="str">
        <f>IFERROR(IF(AD147=1,AI$100*EXP(-(LN(2)/$D$65+0.04)*AF147)*EXP(-(LN(2)/$D$65+0.1)*AG147),IF(AD147=2,AI$100*EXP(-(LN(2)/$D$65+0.04)*(VLOOKUP(($F$16-$F$15)-1,AC$99:AG147,4,FALSE)))*EXP(-(LN(2)/$D$65+0.1)*(VLOOKUP(($F$16-$F$15)-1,AC$99:AG147,5,FALSE)))*EXP(-(LN(2)/$D$65+0.04)*AF147)*EXP(-(LN(2)/$D$65+0.1)*AG147),IF(AD147=3,AI$100*EXP(-(LN(2)/$D$65+0.04)*(VLOOKUP(($F$16-$F$15)-1,AC$99:AG147,4,FALSE)))*EXP(-(LN(2)/$D$65+0.1)*(VLOOKUP(($F$16-$F$15)-1,AC$99:AG147,5,FALSE)))*EXP(-(LN(2)/$D$65+0.04)*(VLOOKUP(($F$16-$F$15)*2-1,AC$99:AG147,4,FALSE)))*EXP(-(LN(2)/$D$65+0.1)*(VLOOKUP(($F$16-$F$15)*2-1,AC$99:AG147,5,FALSE)))*EXP(-(LN(2)/$D$65+0.04)*AF147)*EXP(-(LN(2)/$D$65+0.1)*AG147),"-"))),"-")</f>
        <v>-</v>
      </c>
      <c r="AJ148" s="271" t="str">
        <f>IFERROR(IF(AD148=1,AJ$100*EXP(-(LN(2)/$D$65+0.04)*AF148)*EXP(-(LN(2)/$D$65+0.1)*AG148),IF(AD148=2,AJ$100*EXP(-(LN(2)/$D$65+0.04)*(VLOOKUP(($F$16-$F$15)-1,AC$100:AG148,4,FALSE)))*EXP(-(LN(2)/$D$65+0.1)*(VLOOKUP(($F$16-$F$15)-1,AC$100:AG148,5,FALSE)))*EXP(-(LN(2)/$D$65+0.04)*AF148)*EXP(-(LN(2)/$D$65+0.1)*AG148),IF(AD148=3,AJ$100*EXP(-(LN(2)/$D$65+0.04)*(VLOOKUP(($F$16-$F$15)-1,AC$100:AG148,4,FALSE)))*EXP(-(LN(2)/$D$65+0.1)*(VLOOKUP(($F$16-$F$15)-1,AC$100:AG148,5,FALSE)))*EXP(-(LN(2)/$D$65+0.04)*(VLOOKUP(($F$16-$F$15)*2-1,AC$100:AG148,4,FALSE)))*EXP(-(LN(2)/$D$65+0.1)*(VLOOKUP(($F$16-$F$15)*2-1,AC$100:AG148,5,FALSE)))*EXP(-(LN(2)/$D$65+0.04)*AF148)*EXP(-(LN(2)/$D$65+0.1)*AG148),"-"))),"-")</f>
        <v>-</v>
      </c>
      <c r="AK148" s="227">
        <f t="shared" si="50"/>
        <v>48</v>
      </c>
      <c r="AL148" s="226" t="str">
        <f t="shared" si="22"/>
        <v>-</v>
      </c>
      <c r="AM148" s="227" t="str">
        <f t="shared" si="51"/>
        <v>-</v>
      </c>
      <c r="AN148" s="227" t="str">
        <f t="shared" si="52"/>
        <v>-</v>
      </c>
      <c r="AO148" s="227" t="str">
        <f t="shared" si="23"/>
        <v>-</v>
      </c>
      <c r="AP148" s="273">
        <f t="shared" si="53"/>
        <v>0.1</v>
      </c>
      <c r="AQ148" s="271" t="str">
        <f>IFERROR(IF(AL147=1,AQ$100*EXP(-(LN(2)/$D$65+0.04)*AN147)*EXP(-(LN(2)/$D$65+0.1)*AO147),IF(AL147=2,AQ$100*EXP(-(LN(2)/$D$65+0.04)*(VLOOKUP(($F$16-$F$15)-1,AK$99:AO147,4,FALSE)))*EXP(-(LN(2)/$D$65+0.1)*(VLOOKUP(($F$16-$F$15)-1,AK$99:AO147,5,FALSE)))*EXP(-(LN(2)/$D$65+0.04)*AN147)*EXP(-(LN(2)/$D$65+0.1)*AO147),IF(AL147=3,AQ$100*EXP(-(LN(2)/$D$65+0.04)*(VLOOKUP(($F$16-$F$15)-1,AK$99:AO147,4,FALSE)))*EXP(-(LN(2)/$D$65+0.1)*(VLOOKUP(($F$16-$F$15)-1,AK$99:AO147,5,FALSE)))*EXP(-(LN(2)/$D$65+0.04)*(VLOOKUP(($F$16-$F$15)*2-1,AK$99:AO147,4,FALSE)))*EXP(-(LN(2)/$D$65+0.1)*(VLOOKUP(($F$16-$F$15)*2-1,AK$99:AO147,5,FALSE)))*EXP(-(LN(2)/$D$65+0.04)*AN147)*EXP(-(LN(2)/$D$65+0.1)*AO147),"-"))),"-")</f>
        <v>-</v>
      </c>
      <c r="AR148" s="271" t="str">
        <f>IFERROR(IF(AL148=1,AR$100*EXP(-(LN(2)/$D$65+0.04)*AN148)*EXP(-(LN(2)/$D$65+0.1)*AO148),IF(AL148=2,AR$100*EXP(-(LN(2)/$D$65+0.04)*(VLOOKUP(($F$16-$F$15)-1,AK$100:AO148,4,FALSE)))*EXP(-(LN(2)/$D$65+0.1)*(VLOOKUP(($F$16-$F$15)-1,AK$100:AO148,5,FALSE)))*EXP(-(LN(2)/$D$65+0.04)*AN148)*EXP(-(LN(2)/$D$65+0.1)*AO148),IF(AL148=3,AR$100*EXP(-(LN(2)/$D$65+0.04)*(VLOOKUP(($F$16-$F$15)-1,AK$100:AO148,4,FALSE)))*EXP(-(LN(2)/$D$65+0.1)*(VLOOKUP(($F$16-$F$15)-1,AK$100:AO148,5,FALSE)))*EXP(-(LN(2)/$D$65+0.04)*(VLOOKUP(($F$16-$F$15)*2-1,AK$100:AO148,4,FALSE)))*EXP(-(LN(2)/$D$65+0.1)*(VLOOKUP(($F$16-$F$15)*2-1,AK$100:AO148,5,FALSE)))*EXP(-(LN(2)/$D$65+0.04)*AN148)*EXP(-(LN(2)/$D$65+0.1)*AO148),"-"))),"-")</f>
        <v>-</v>
      </c>
      <c r="AS148" s="274">
        <f t="shared" si="24"/>
        <v>0</v>
      </c>
      <c r="AT148" s="274">
        <f t="shared" si="25"/>
        <v>0</v>
      </c>
      <c r="AU148" s="274">
        <f t="shared" si="26"/>
        <v>0</v>
      </c>
      <c r="AV148" s="190">
        <f>IF($B148&lt;$F$22,SUM($T$100:$T148),"")</f>
        <v>0</v>
      </c>
      <c r="AW148" s="190" t="str">
        <f t="shared" si="83"/>
        <v>-</v>
      </c>
      <c r="AX148" s="190" t="str">
        <f t="shared" si="57"/>
        <v/>
      </c>
      <c r="AY148"/>
      <c r="AZ148" s="190" t="str">
        <f ca="1">IF(ISNUMBER(OFFSET(AV148,-$F$21,0)),SUM(OFFSET($T$100,$F$21,0):$T148),"")</f>
        <v/>
      </c>
      <c r="BA148" s="190" t="str">
        <f t="shared" ca="1" si="84"/>
        <v/>
      </c>
      <c r="BB148" s="190" t="str">
        <f t="shared" ca="1" si="70"/>
        <v/>
      </c>
      <c r="BC148" s="190"/>
      <c r="BD148" s="190" t="str">
        <f ca="1">IFERROR(IF(AND($B148&gt;=($F$16-$F$15),$B148&lt;$F$22+($F$16-$F$15)),SUM(OFFSET($T$100,($F$16-$F$15),0):$T148),""),"")</f>
        <v/>
      </c>
      <c r="BE148" s="190" t="str">
        <f t="shared" ca="1" si="59"/>
        <v/>
      </c>
      <c r="BF148" s="190" t="str">
        <f t="shared" ca="1" si="60"/>
        <v/>
      </c>
      <c r="BG148"/>
      <c r="BH148" s="190" t="str">
        <f ca="1">IF(ISNUMBER(OFFSET(BD148,-$F$21,0)),SUM(OFFSET($T$100,($F$16-$F$15+$F$21),0):$T148),"")</f>
        <v/>
      </c>
      <c r="BI148" s="190" t="str">
        <f t="shared" ca="1" si="85"/>
        <v/>
      </c>
      <c r="BJ148" s="190" t="str">
        <f t="shared" ca="1" si="61"/>
        <v/>
      </c>
      <c r="BK148" s="190"/>
      <c r="BL148" s="190" t="str">
        <f ca="1">IFERROR(IF(AND($B148&gt;=($F$17-$F$15),$B148&lt;$F$22+($F$17-$F$15)),SUM(OFFSET($T$100,($F$17-$F$15),0):$T148),""),"")</f>
        <v/>
      </c>
      <c r="BM148" s="190" t="str">
        <f t="shared" ca="1" si="86"/>
        <v/>
      </c>
      <c r="BN148" s="190" t="str">
        <f t="shared" ca="1" si="62"/>
        <v/>
      </c>
      <c r="BO148"/>
      <c r="BP148" s="190" t="str">
        <f ca="1">IF(ISNUMBER(OFFSET(BL148,-$F$21,0)),SUM(OFFSET($T$100,($F$17-$F$15+$F$21),0):$T148),"")</f>
        <v/>
      </c>
      <c r="BQ148" s="190" t="str">
        <f t="shared" ca="1" si="87"/>
        <v/>
      </c>
      <c r="BR148" s="190" t="str">
        <f t="shared" ca="1" si="64"/>
        <v/>
      </c>
      <c r="BS148" s="190"/>
      <c r="BT148"/>
      <c r="BU148"/>
      <c r="BV148"/>
      <c r="BY148" s="99"/>
      <c r="BZ148" s="99"/>
      <c r="CA148" s="280" t="str">
        <f t="shared" si="88"/>
        <v/>
      </c>
      <c r="CB148" s="71" t="str">
        <f t="shared" si="31"/>
        <v>-</v>
      </c>
      <c r="CC148" s="33"/>
      <c r="CD148" s="261" t="str">
        <f t="shared" si="33"/>
        <v/>
      </c>
      <c r="CE148" s="280" t="str">
        <f t="shared" si="89"/>
        <v>-</v>
      </c>
      <c r="CF148" s="71" t="str">
        <f t="shared" ca="1" si="90"/>
        <v>-</v>
      </c>
      <c r="CG148" s="33" t="str">
        <f t="shared" si="36"/>
        <v>48-49</v>
      </c>
      <c r="CH148" s="261" t="str">
        <f t="shared" ca="1" si="37"/>
        <v/>
      </c>
      <c r="CI148" s="99"/>
      <c r="CJ148" s="99"/>
      <c r="CK148" s="99"/>
      <c r="CL148" s="99"/>
      <c r="CM148" s="99"/>
      <c r="CN148" s="99"/>
      <c r="CO148" s="99"/>
    </row>
    <row r="149" spans="2:93" ht="13.5" customHeight="1" x14ac:dyDescent="0.2">
      <c r="B149" s="262">
        <v>49</v>
      </c>
      <c r="C149" s="237" t="str">
        <f t="shared" si="1"/>
        <v/>
      </c>
      <c r="D149" s="237" t="str">
        <f t="shared" si="67"/>
        <v>-</v>
      </c>
      <c r="E149" s="290" t="str">
        <f t="shared" si="38"/>
        <v/>
      </c>
      <c r="F149" s="264" t="str">
        <f t="shared" si="39"/>
        <v/>
      </c>
      <c r="G149" s="291" t="str">
        <f t="shared" si="40"/>
        <v/>
      </c>
      <c r="H149" s="240" t="str">
        <f t="shared" si="71"/>
        <v/>
      </c>
      <c r="I149" s="265" t="str">
        <f t="shared" si="72"/>
        <v/>
      </c>
      <c r="J149" s="265" t="str">
        <f t="shared" si="73"/>
        <v/>
      </c>
      <c r="K149" s="240" t="str">
        <f t="shared" si="74"/>
        <v/>
      </c>
      <c r="L149" s="265" t="str">
        <f t="shared" si="75"/>
        <v/>
      </c>
      <c r="M149" s="265" t="str">
        <f t="shared" si="76"/>
        <v/>
      </c>
      <c r="N149" s="240" t="str">
        <f t="shared" si="77"/>
        <v>-</v>
      </c>
      <c r="O149" s="265" t="str">
        <f t="shared" si="78"/>
        <v>-</v>
      </c>
      <c r="P149" s="265" t="str">
        <f t="shared" si="79"/>
        <v>-</v>
      </c>
      <c r="Q149" s="266" t="str">
        <f t="shared" si="80"/>
        <v>-</v>
      </c>
      <c r="R149" s="267" t="str">
        <f t="shared" si="81"/>
        <v>-</v>
      </c>
      <c r="S149" s="268" t="str">
        <f t="shared" si="82"/>
        <v>-</v>
      </c>
      <c r="T149" s="269" t="str">
        <f t="shared" si="13"/>
        <v/>
      </c>
      <c r="U149" s="221">
        <f t="shared" si="14"/>
        <v>49</v>
      </c>
      <c r="V149" s="220" t="str">
        <f t="shared" si="42"/>
        <v>-</v>
      </c>
      <c r="W149" s="221" t="str">
        <f t="shared" si="43"/>
        <v>-</v>
      </c>
      <c r="X149" s="221" t="str">
        <f t="shared" si="15"/>
        <v>-</v>
      </c>
      <c r="Y149" s="221" t="str">
        <f t="shared" si="16"/>
        <v>-</v>
      </c>
      <c r="Z149" s="270">
        <f t="shared" si="44"/>
        <v>0.1</v>
      </c>
      <c r="AA149" s="271" t="str">
        <f>IFERROR(IF(V148=1,AA$100*EXP(-(LN(2)/$D$65+0.04)*X148)*EXP(-(LN(2)/$D$65+0.1)*Y148),IF(V148=2,AA$100*EXP(-(LN(2)/$D$65+0.04)*(VLOOKUP(($F$16-$F$15)-1,U$99:Y148,4,FALSE)))*EXP(-(LN(2)/$D$65+0.1)*(VLOOKUP(($F$16-$F$15)-1,U$99:Y148,5,FALSE)))*EXP(-(LN(2)/$D$65+0.04)*X148)*EXP(-(LN(2)/$D$65+0.1)*Y148),IF(V148=3,AA$100*EXP(-(LN(2)/$D$65+0.04)*(VLOOKUP(($F$16-$F$15)-1,U$99:Y148,4,FALSE)))*EXP(-(LN(2)/$D$65+0.1)*(VLOOKUP(($F$16-$F$15)-1,U$99:Y148,5,FALSE)))*EXP(-(LN(2)/$D$65+0.04)*(VLOOKUP(($F$16-$F$15)*2-1,U$99:Y148,4,FALSE)))*EXP(-(LN(2)/$D$65+0.1)*(VLOOKUP(($F$16-$F$15)*2-1,U$99:Y148,5,FALSE)))*EXP(-(LN(2)/$D$65+0.04)*X148)*EXP(-(LN(2)/$D$65+0.1)*Y148),"-"))),"-")</f>
        <v>-</v>
      </c>
      <c r="AB149" s="271" t="str">
        <f>IFERROR(IF(V149=1,AB$100*EXP(-(LN(2)/$D$65+0.04)*X149)*EXP(-(LN(2)/$D$65+0.1)*Y149),IF(V149=2,AB$100*EXP(-(LN(2)/$D$65+0.04)*(VLOOKUP(($F$16-$F$15)-1,U$100:Y149,4,FALSE)))*EXP(-(LN(2)/$D$65+0.1)*(VLOOKUP(($F$16-$F$15)-1,U$100:Y149,5,FALSE)))*EXP(-(LN(2)/$D$65+0.04)*X149)*EXP(-(LN(2)/$D$65+0.1)*Y149),IF(V149=3,AB$100*EXP(-(LN(2)/$D$65+0.04)*(VLOOKUP(($F$16-$F$15)-1,U$100:Y149,4,FALSE)))*EXP(-(LN(2)/$D$65+0.1)*(VLOOKUP(($F$16-$F$15)-1,U$100:Y149,5,FALSE)))*EXP(-(LN(2)/$D$65+0.04)*(VLOOKUP(($F$16-$F$15)*2-1,U$100:Y149,4,FALSE)))*EXP(-(LN(2)/$D$65+0.1)*(VLOOKUP(($F$16-$F$15)*2-1,U$100:Y149,5,FALSE)))*EXP(-(LN(2)/$D$65+0.04)*X149)*EXP(-(LN(2)/$D$65+0.1)*Y149),"-"))),"-")</f>
        <v>-</v>
      </c>
      <c r="AC149" s="224">
        <f t="shared" si="46"/>
        <v>49</v>
      </c>
      <c r="AD149" s="223" t="str">
        <f t="shared" si="18"/>
        <v>-</v>
      </c>
      <c r="AE149" s="224" t="str">
        <f t="shared" si="47"/>
        <v>-</v>
      </c>
      <c r="AF149" s="224" t="str">
        <f t="shared" si="19"/>
        <v>-</v>
      </c>
      <c r="AG149" s="224" t="str">
        <f t="shared" si="20"/>
        <v>-</v>
      </c>
      <c r="AH149" s="272">
        <f t="shared" si="48"/>
        <v>0.1</v>
      </c>
      <c r="AI149" s="271" t="str">
        <f>IFERROR(IF(AD148=1,AI$100*EXP(-(LN(2)/$D$65+0.04)*AF148)*EXP(-(LN(2)/$D$65+0.1)*AG148),IF(AD148=2,AI$100*EXP(-(LN(2)/$D$65+0.04)*(VLOOKUP(($F$16-$F$15)-1,AC$99:AG148,4,FALSE)))*EXP(-(LN(2)/$D$65+0.1)*(VLOOKUP(($F$16-$F$15)-1,AC$99:AG148,5,FALSE)))*EXP(-(LN(2)/$D$65+0.04)*AF148)*EXP(-(LN(2)/$D$65+0.1)*AG148),IF(AD148=3,AI$100*EXP(-(LN(2)/$D$65+0.04)*(VLOOKUP(($F$16-$F$15)-1,AC$99:AG148,4,FALSE)))*EXP(-(LN(2)/$D$65+0.1)*(VLOOKUP(($F$16-$F$15)-1,AC$99:AG148,5,FALSE)))*EXP(-(LN(2)/$D$65+0.04)*(VLOOKUP(($F$16-$F$15)*2-1,AC$99:AG148,4,FALSE)))*EXP(-(LN(2)/$D$65+0.1)*(VLOOKUP(($F$16-$F$15)*2-1,AC$99:AG148,5,FALSE)))*EXP(-(LN(2)/$D$65+0.04)*AF148)*EXP(-(LN(2)/$D$65+0.1)*AG148),"-"))),"-")</f>
        <v>-</v>
      </c>
      <c r="AJ149" s="271" t="str">
        <f>IFERROR(IF(AD149=1,AJ$100*EXP(-(LN(2)/$D$65+0.04)*AF149)*EXP(-(LN(2)/$D$65+0.1)*AG149),IF(AD149=2,AJ$100*EXP(-(LN(2)/$D$65+0.04)*(VLOOKUP(($F$16-$F$15)-1,AC$100:AG149,4,FALSE)))*EXP(-(LN(2)/$D$65+0.1)*(VLOOKUP(($F$16-$F$15)-1,AC$100:AG149,5,FALSE)))*EXP(-(LN(2)/$D$65+0.04)*AF149)*EXP(-(LN(2)/$D$65+0.1)*AG149),IF(AD149=3,AJ$100*EXP(-(LN(2)/$D$65+0.04)*(VLOOKUP(($F$16-$F$15)-1,AC$100:AG149,4,FALSE)))*EXP(-(LN(2)/$D$65+0.1)*(VLOOKUP(($F$16-$F$15)-1,AC$100:AG149,5,FALSE)))*EXP(-(LN(2)/$D$65+0.04)*(VLOOKUP(($F$16-$F$15)*2-1,AC$100:AG149,4,FALSE)))*EXP(-(LN(2)/$D$65+0.1)*(VLOOKUP(($F$16-$F$15)*2-1,AC$100:AG149,5,FALSE)))*EXP(-(LN(2)/$D$65+0.04)*AF149)*EXP(-(LN(2)/$D$65+0.1)*AG149),"-"))),"-")</f>
        <v>-</v>
      </c>
      <c r="AK149" s="227">
        <f t="shared" si="50"/>
        <v>49</v>
      </c>
      <c r="AL149" s="226" t="str">
        <f t="shared" si="22"/>
        <v>-</v>
      </c>
      <c r="AM149" s="227" t="str">
        <f t="shared" si="51"/>
        <v>-</v>
      </c>
      <c r="AN149" s="227" t="str">
        <f t="shared" si="52"/>
        <v>-</v>
      </c>
      <c r="AO149" s="227" t="str">
        <f t="shared" si="23"/>
        <v>-</v>
      </c>
      <c r="AP149" s="273">
        <f t="shared" si="53"/>
        <v>0.1</v>
      </c>
      <c r="AQ149" s="271" t="str">
        <f>IFERROR(IF(AL148=1,AQ$100*EXP(-(LN(2)/$D$65+0.04)*AN148)*EXP(-(LN(2)/$D$65+0.1)*AO148),IF(AL148=2,AQ$100*EXP(-(LN(2)/$D$65+0.04)*(VLOOKUP(($F$16-$F$15)-1,AK$99:AO148,4,FALSE)))*EXP(-(LN(2)/$D$65+0.1)*(VLOOKUP(($F$16-$F$15)-1,AK$99:AO148,5,FALSE)))*EXP(-(LN(2)/$D$65+0.04)*AN148)*EXP(-(LN(2)/$D$65+0.1)*AO148),IF(AL148=3,AQ$100*EXP(-(LN(2)/$D$65+0.04)*(VLOOKUP(($F$16-$F$15)-1,AK$99:AO148,4,FALSE)))*EXP(-(LN(2)/$D$65+0.1)*(VLOOKUP(($F$16-$F$15)-1,AK$99:AO148,5,FALSE)))*EXP(-(LN(2)/$D$65+0.04)*(VLOOKUP(($F$16-$F$15)*2-1,AK$99:AO148,4,FALSE)))*EXP(-(LN(2)/$D$65+0.1)*(VLOOKUP(($F$16-$F$15)*2-1,AK$99:AO148,5,FALSE)))*EXP(-(LN(2)/$D$65+0.04)*AN148)*EXP(-(LN(2)/$D$65+0.1)*AO148),"-"))),"-")</f>
        <v>-</v>
      </c>
      <c r="AR149" s="271" t="str">
        <f>IFERROR(IF(AL149=1,AR$100*EXP(-(LN(2)/$D$65+0.04)*AN149)*EXP(-(LN(2)/$D$65+0.1)*AO149),IF(AL149=2,AR$100*EXP(-(LN(2)/$D$65+0.04)*(VLOOKUP(($F$16-$F$15)-1,AK$100:AO149,4,FALSE)))*EXP(-(LN(2)/$D$65+0.1)*(VLOOKUP(($F$16-$F$15)-1,AK$100:AO149,5,FALSE)))*EXP(-(LN(2)/$D$65+0.04)*AN149)*EXP(-(LN(2)/$D$65+0.1)*AO149),IF(AL149=3,AR$100*EXP(-(LN(2)/$D$65+0.04)*(VLOOKUP(($F$16-$F$15)-1,AK$100:AO149,4,FALSE)))*EXP(-(LN(2)/$D$65+0.1)*(VLOOKUP(($F$16-$F$15)-1,AK$100:AO149,5,FALSE)))*EXP(-(LN(2)/$D$65+0.04)*(VLOOKUP(($F$16-$F$15)*2-1,AK$100:AO149,4,FALSE)))*EXP(-(LN(2)/$D$65+0.1)*(VLOOKUP(($F$16-$F$15)*2-1,AK$100:AO149,5,FALSE)))*EXP(-(LN(2)/$D$65+0.04)*AN149)*EXP(-(LN(2)/$D$65+0.1)*AO149),"-"))),"-")</f>
        <v>-</v>
      </c>
      <c r="AS149" s="274">
        <f t="shared" si="24"/>
        <v>0</v>
      </c>
      <c r="AT149" s="274">
        <f t="shared" si="25"/>
        <v>0</v>
      </c>
      <c r="AU149" s="274">
        <f t="shared" si="26"/>
        <v>0</v>
      </c>
      <c r="AV149" s="190">
        <f>IF($B149&lt;$F$22,SUM($T$100:$T149),"")</f>
        <v>0</v>
      </c>
      <c r="AW149" s="190" t="str">
        <f t="shared" si="83"/>
        <v>-</v>
      </c>
      <c r="AX149" s="190" t="str">
        <f t="shared" si="57"/>
        <v/>
      </c>
      <c r="AY149"/>
      <c r="AZ149" s="190" t="str">
        <f ca="1">IF(ISNUMBER(OFFSET(AV149,-$F$21,0)),SUM(OFFSET($T$100,$F$21,0):$T149),"")</f>
        <v/>
      </c>
      <c r="BA149" s="190" t="str">
        <f t="shared" ca="1" si="84"/>
        <v/>
      </c>
      <c r="BB149" s="190" t="str">
        <f t="shared" ca="1" si="70"/>
        <v/>
      </c>
      <c r="BC149" s="190"/>
      <c r="BD149" s="190" t="str">
        <f ca="1">IFERROR(IF(AND($B149&gt;=($F$16-$F$15),$B149&lt;$F$22+($F$16-$F$15)),SUM(OFFSET($T$100,($F$16-$F$15),0):$T149),""),"")</f>
        <v/>
      </c>
      <c r="BE149" s="190" t="str">
        <f t="shared" ca="1" si="59"/>
        <v/>
      </c>
      <c r="BF149" s="190" t="str">
        <f t="shared" ca="1" si="60"/>
        <v/>
      </c>
      <c r="BG149"/>
      <c r="BH149" s="190" t="str">
        <f ca="1">IF(ISNUMBER(OFFSET(BD149,-$F$21,0)),SUM(OFFSET($T$100,($F$16-$F$15+$F$21),0):$T149),"")</f>
        <v/>
      </c>
      <c r="BI149" s="190" t="str">
        <f t="shared" ca="1" si="85"/>
        <v/>
      </c>
      <c r="BJ149" s="190" t="str">
        <f t="shared" ca="1" si="61"/>
        <v/>
      </c>
      <c r="BK149" s="190"/>
      <c r="BL149" s="190" t="str">
        <f ca="1">IFERROR(IF(AND($B149&gt;=($F$17-$F$15),$B149&lt;$F$22+($F$17-$F$15)),SUM(OFFSET($T$100,($F$17-$F$15),0):$T149),""),"")</f>
        <v/>
      </c>
      <c r="BM149" s="190" t="str">
        <f t="shared" ca="1" si="86"/>
        <v/>
      </c>
      <c r="BN149" s="190" t="str">
        <f t="shared" ca="1" si="62"/>
        <v/>
      </c>
      <c r="BO149"/>
      <c r="BP149" s="190" t="str">
        <f ca="1">IF(ISNUMBER(OFFSET(BL149,-$F$21,0)),SUM(OFFSET($T$100,($F$17-$F$15+$F$21),0):$T149),"")</f>
        <v/>
      </c>
      <c r="BQ149" s="190" t="str">
        <f t="shared" ca="1" si="87"/>
        <v/>
      </c>
      <c r="BR149" s="190" t="str">
        <f t="shared" ca="1" si="64"/>
        <v/>
      </c>
      <c r="BS149" s="190"/>
      <c r="BT149"/>
      <c r="BU149"/>
      <c r="BV149"/>
      <c r="BY149" s="99"/>
      <c r="BZ149" s="99"/>
      <c r="CA149" s="280" t="str">
        <f t="shared" si="88"/>
        <v/>
      </c>
      <c r="CB149" s="71" t="str">
        <f t="shared" si="31"/>
        <v>-</v>
      </c>
      <c r="CC149" s="33"/>
      <c r="CD149" s="261" t="str">
        <f t="shared" si="33"/>
        <v/>
      </c>
      <c r="CE149" s="280" t="str">
        <f t="shared" si="89"/>
        <v>-</v>
      </c>
      <c r="CF149" s="71" t="str">
        <f t="shared" ca="1" si="90"/>
        <v>-</v>
      </c>
      <c r="CG149" s="33" t="str">
        <f t="shared" si="36"/>
        <v>49-50</v>
      </c>
      <c r="CH149" s="261" t="str">
        <f t="shared" ca="1" si="37"/>
        <v/>
      </c>
      <c r="CI149" s="99"/>
      <c r="CJ149" s="99"/>
      <c r="CK149" s="99"/>
      <c r="CL149" s="99"/>
      <c r="CM149" s="99"/>
      <c r="CN149" s="99"/>
      <c r="CO149" s="99"/>
    </row>
    <row r="150" spans="2:93" ht="13.5" customHeight="1" x14ac:dyDescent="0.2">
      <c r="B150" s="262">
        <v>50</v>
      </c>
      <c r="C150" s="237" t="str">
        <f t="shared" si="1"/>
        <v/>
      </c>
      <c r="D150" s="237" t="str">
        <f t="shared" si="67"/>
        <v>-</v>
      </c>
      <c r="E150" s="290" t="str">
        <f t="shared" si="38"/>
        <v/>
      </c>
      <c r="F150" s="264" t="str">
        <f t="shared" si="39"/>
        <v/>
      </c>
      <c r="G150" s="291" t="str">
        <f t="shared" si="40"/>
        <v/>
      </c>
      <c r="H150" s="240" t="str">
        <f t="shared" si="71"/>
        <v/>
      </c>
      <c r="I150" s="265" t="str">
        <f t="shared" si="72"/>
        <v/>
      </c>
      <c r="J150" s="265" t="str">
        <f t="shared" si="73"/>
        <v/>
      </c>
      <c r="K150" s="240" t="str">
        <f t="shared" si="74"/>
        <v/>
      </c>
      <c r="L150" s="265" t="str">
        <f t="shared" si="75"/>
        <v/>
      </c>
      <c r="M150" s="265" t="str">
        <f t="shared" si="76"/>
        <v/>
      </c>
      <c r="N150" s="240" t="str">
        <f t="shared" si="77"/>
        <v>-</v>
      </c>
      <c r="O150" s="265" t="str">
        <f t="shared" si="78"/>
        <v>-</v>
      </c>
      <c r="P150" s="265" t="str">
        <f t="shared" si="79"/>
        <v>-</v>
      </c>
      <c r="Q150" s="266" t="str">
        <f t="shared" si="80"/>
        <v>-</v>
      </c>
      <c r="R150" s="267" t="str">
        <f t="shared" si="81"/>
        <v>-</v>
      </c>
      <c r="S150" s="268" t="str">
        <f t="shared" si="82"/>
        <v>-</v>
      </c>
      <c r="T150" s="269" t="str">
        <f t="shared" si="13"/>
        <v/>
      </c>
      <c r="U150" s="221">
        <f t="shared" si="14"/>
        <v>50</v>
      </c>
      <c r="V150" s="220" t="str">
        <f t="shared" si="42"/>
        <v>-</v>
      </c>
      <c r="W150" s="221" t="str">
        <f t="shared" si="43"/>
        <v>-</v>
      </c>
      <c r="X150" s="221" t="str">
        <f t="shared" si="15"/>
        <v>-</v>
      </c>
      <c r="Y150" s="221" t="str">
        <f t="shared" si="16"/>
        <v>-</v>
      </c>
      <c r="Z150" s="270">
        <f t="shared" si="44"/>
        <v>0.1</v>
      </c>
      <c r="AA150" s="271" t="str">
        <f>IFERROR(IF(V149=1,AA$100*EXP(-(LN(2)/$D$65+0.04)*X149)*EXP(-(LN(2)/$D$65+0.1)*Y149),IF(V149=2,AA$100*EXP(-(LN(2)/$D$65+0.04)*(VLOOKUP(($F$16-$F$15)-1,U$99:Y149,4,FALSE)))*EXP(-(LN(2)/$D$65+0.1)*(VLOOKUP(($F$16-$F$15)-1,U$99:Y149,5,FALSE)))*EXP(-(LN(2)/$D$65+0.04)*X149)*EXP(-(LN(2)/$D$65+0.1)*Y149),IF(V149=3,AA$100*EXP(-(LN(2)/$D$65+0.04)*(VLOOKUP(($F$16-$F$15)-1,U$99:Y149,4,FALSE)))*EXP(-(LN(2)/$D$65+0.1)*(VLOOKUP(($F$16-$F$15)-1,U$99:Y149,5,FALSE)))*EXP(-(LN(2)/$D$65+0.04)*(VLOOKUP(($F$16-$F$15)*2-1,U$99:Y149,4,FALSE)))*EXP(-(LN(2)/$D$65+0.1)*(VLOOKUP(($F$16-$F$15)*2-1,U$99:Y149,5,FALSE)))*EXP(-(LN(2)/$D$65+0.04)*X149)*EXP(-(LN(2)/$D$65+0.1)*Y149),"-"))),"-")</f>
        <v>-</v>
      </c>
      <c r="AB150" s="271" t="str">
        <f>IFERROR(IF(V150=1,AB$100*EXP(-(LN(2)/$D$65+0.04)*X150)*EXP(-(LN(2)/$D$65+0.1)*Y150),IF(V150=2,AB$100*EXP(-(LN(2)/$D$65+0.04)*(VLOOKUP(($F$16-$F$15)-1,U$100:Y150,4,FALSE)))*EXP(-(LN(2)/$D$65+0.1)*(VLOOKUP(($F$16-$F$15)-1,U$100:Y150,5,FALSE)))*EXP(-(LN(2)/$D$65+0.04)*X150)*EXP(-(LN(2)/$D$65+0.1)*Y150),IF(V150=3,AB$100*EXP(-(LN(2)/$D$65+0.04)*(VLOOKUP(($F$16-$F$15)-1,U$100:Y150,4,FALSE)))*EXP(-(LN(2)/$D$65+0.1)*(VLOOKUP(($F$16-$F$15)-1,U$100:Y150,5,FALSE)))*EXP(-(LN(2)/$D$65+0.04)*(VLOOKUP(($F$16-$F$15)*2-1,U$100:Y150,4,FALSE)))*EXP(-(LN(2)/$D$65+0.1)*(VLOOKUP(($F$16-$F$15)*2-1,U$100:Y150,5,FALSE)))*EXP(-(LN(2)/$D$65+0.04)*X150)*EXP(-(LN(2)/$D$65+0.1)*Y150),"-"))),"-")</f>
        <v>-</v>
      </c>
      <c r="AC150" s="224">
        <f t="shared" si="46"/>
        <v>50</v>
      </c>
      <c r="AD150" s="223" t="str">
        <f t="shared" si="18"/>
        <v>-</v>
      </c>
      <c r="AE150" s="224" t="str">
        <f t="shared" si="47"/>
        <v>-</v>
      </c>
      <c r="AF150" s="224" t="str">
        <f t="shared" si="19"/>
        <v>-</v>
      </c>
      <c r="AG150" s="224" t="str">
        <f t="shared" si="20"/>
        <v>-</v>
      </c>
      <c r="AH150" s="272">
        <f t="shared" si="48"/>
        <v>0.1</v>
      </c>
      <c r="AI150" s="271" t="str">
        <f>IFERROR(IF(AD149=1,AI$100*EXP(-(LN(2)/$D$65+0.04)*AF149)*EXP(-(LN(2)/$D$65+0.1)*AG149),IF(AD149=2,AI$100*EXP(-(LN(2)/$D$65+0.04)*(VLOOKUP(($F$16-$F$15)-1,AC$99:AG149,4,FALSE)))*EXP(-(LN(2)/$D$65+0.1)*(VLOOKUP(($F$16-$F$15)-1,AC$99:AG149,5,FALSE)))*EXP(-(LN(2)/$D$65+0.04)*AF149)*EXP(-(LN(2)/$D$65+0.1)*AG149),IF(AD149=3,AI$100*EXP(-(LN(2)/$D$65+0.04)*(VLOOKUP(($F$16-$F$15)-1,AC$99:AG149,4,FALSE)))*EXP(-(LN(2)/$D$65+0.1)*(VLOOKUP(($F$16-$F$15)-1,AC$99:AG149,5,FALSE)))*EXP(-(LN(2)/$D$65+0.04)*(VLOOKUP(($F$16-$F$15)*2-1,AC$99:AG149,4,FALSE)))*EXP(-(LN(2)/$D$65+0.1)*(VLOOKUP(($F$16-$F$15)*2-1,AC$99:AG149,5,FALSE)))*EXP(-(LN(2)/$D$65+0.04)*AF149)*EXP(-(LN(2)/$D$65+0.1)*AG149),"-"))),"-")</f>
        <v>-</v>
      </c>
      <c r="AJ150" s="271" t="str">
        <f>IFERROR(IF(AD150=1,AJ$100*EXP(-(LN(2)/$D$65+0.04)*AF150)*EXP(-(LN(2)/$D$65+0.1)*AG150),IF(AD150=2,AJ$100*EXP(-(LN(2)/$D$65+0.04)*(VLOOKUP(($F$16-$F$15)-1,AC$100:AG150,4,FALSE)))*EXP(-(LN(2)/$D$65+0.1)*(VLOOKUP(($F$16-$F$15)-1,AC$100:AG150,5,FALSE)))*EXP(-(LN(2)/$D$65+0.04)*AF150)*EXP(-(LN(2)/$D$65+0.1)*AG150),IF(AD150=3,AJ$100*EXP(-(LN(2)/$D$65+0.04)*(VLOOKUP(($F$16-$F$15)-1,AC$100:AG150,4,FALSE)))*EXP(-(LN(2)/$D$65+0.1)*(VLOOKUP(($F$16-$F$15)-1,AC$100:AG150,5,FALSE)))*EXP(-(LN(2)/$D$65+0.04)*(VLOOKUP(($F$16-$F$15)*2-1,AC$100:AG150,4,FALSE)))*EXP(-(LN(2)/$D$65+0.1)*(VLOOKUP(($F$16-$F$15)*2-1,AC$100:AG150,5,FALSE)))*EXP(-(LN(2)/$D$65+0.04)*AF150)*EXP(-(LN(2)/$D$65+0.1)*AG150),"-"))),"-")</f>
        <v>-</v>
      </c>
      <c r="AK150" s="227">
        <f t="shared" si="50"/>
        <v>50</v>
      </c>
      <c r="AL150" s="226" t="str">
        <f t="shared" si="22"/>
        <v>-</v>
      </c>
      <c r="AM150" s="227" t="str">
        <f t="shared" si="51"/>
        <v>-</v>
      </c>
      <c r="AN150" s="227" t="str">
        <f t="shared" si="52"/>
        <v>-</v>
      </c>
      <c r="AO150" s="227" t="str">
        <f t="shared" si="23"/>
        <v>-</v>
      </c>
      <c r="AP150" s="273">
        <f t="shared" si="53"/>
        <v>0.1</v>
      </c>
      <c r="AQ150" s="271" t="str">
        <f>IFERROR(IF(AL149=1,AQ$100*EXP(-(LN(2)/$D$65+0.04)*AN149)*EXP(-(LN(2)/$D$65+0.1)*AO149),IF(AL149=2,AQ$100*EXP(-(LN(2)/$D$65+0.04)*(VLOOKUP(($F$16-$F$15)-1,AK$99:AO149,4,FALSE)))*EXP(-(LN(2)/$D$65+0.1)*(VLOOKUP(($F$16-$F$15)-1,AK$99:AO149,5,FALSE)))*EXP(-(LN(2)/$D$65+0.04)*AN149)*EXP(-(LN(2)/$D$65+0.1)*AO149),IF(AL149=3,AQ$100*EXP(-(LN(2)/$D$65+0.04)*(VLOOKUP(($F$16-$F$15)-1,AK$99:AO149,4,FALSE)))*EXP(-(LN(2)/$D$65+0.1)*(VLOOKUP(($F$16-$F$15)-1,AK$99:AO149,5,FALSE)))*EXP(-(LN(2)/$D$65+0.04)*(VLOOKUP(($F$16-$F$15)*2-1,AK$99:AO149,4,FALSE)))*EXP(-(LN(2)/$D$65+0.1)*(VLOOKUP(($F$16-$F$15)*2-1,AK$99:AO149,5,FALSE)))*EXP(-(LN(2)/$D$65+0.04)*AN149)*EXP(-(LN(2)/$D$65+0.1)*AO149),"-"))),"-")</f>
        <v>-</v>
      </c>
      <c r="AR150" s="271" t="str">
        <f>IFERROR(IF(AL150=1,AR$100*EXP(-(LN(2)/$D$65+0.04)*AN150)*EXP(-(LN(2)/$D$65+0.1)*AO150),IF(AL150=2,AR$100*EXP(-(LN(2)/$D$65+0.04)*(VLOOKUP(($F$16-$F$15)-1,AK$100:AO150,4,FALSE)))*EXP(-(LN(2)/$D$65+0.1)*(VLOOKUP(($F$16-$F$15)-1,AK$100:AO150,5,FALSE)))*EXP(-(LN(2)/$D$65+0.04)*AN150)*EXP(-(LN(2)/$D$65+0.1)*AO150),IF(AL150=3,AR$100*EXP(-(LN(2)/$D$65+0.04)*(VLOOKUP(($F$16-$F$15)-1,AK$100:AO150,4,FALSE)))*EXP(-(LN(2)/$D$65+0.1)*(VLOOKUP(($F$16-$F$15)-1,AK$100:AO150,5,FALSE)))*EXP(-(LN(2)/$D$65+0.04)*(VLOOKUP(($F$16-$F$15)*2-1,AK$100:AO150,4,FALSE)))*EXP(-(LN(2)/$D$65+0.1)*(VLOOKUP(($F$16-$F$15)*2-1,AK$100:AO150,5,FALSE)))*EXP(-(LN(2)/$D$65+0.04)*AN150)*EXP(-(LN(2)/$D$65+0.1)*AO150),"-"))),"-")</f>
        <v>-</v>
      </c>
      <c r="AS150" s="274">
        <f t="shared" si="24"/>
        <v>0</v>
      </c>
      <c r="AT150" s="274">
        <f t="shared" si="25"/>
        <v>0</v>
      </c>
      <c r="AU150" s="274">
        <f t="shared" si="26"/>
        <v>0</v>
      </c>
      <c r="AV150" s="190">
        <f>IF($B150&lt;$F$22,SUM($T$100:$T150),"")</f>
        <v>0</v>
      </c>
      <c r="AW150" s="190" t="str">
        <f t="shared" si="83"/>
        <v>-</v>
      </c>
      <c r="AX150" s="190" t="str">
        <f t="shared" si="57"/>
        <v/>
      </c>
      <c r="AY150"/>
      <c r="AZ150" s="190" t="str">
        <f ca="1">IF(ISNUMBER(OFFSET(AV150,-$F$21,0)),SUM(OFFSET($T$100,$F$21,0):$T150),"")</f>
        <v/>
      </c>
      <c r="BA150" s="190" t="str">
        <f t="shared" ca="1" si="84"/>
        <v/>
      </c>
      <c r="BB150" s="190" t="str">
        <f t="shared" ca="1" si="70"/>
        <v/>
      </c>
      <c r="BC150" s="190"/>
      <c r="BD150" s="190" t="str">
        <f ca="1">IFERROR(IF(AND($B150&gt;=($F$16-$F$15),$B150&lt;$F$22+($F$16-$F$15)),SUM(OFFSET($T$100,($F$16-$F$15),0):$T150),""),"")</f>
        <v/>
      </c>
      <c r="BE150" s="190" t="str">
        <f t="shared" ca="1" si="59"/>
        <v/>
      </c>
      <c r="BF150" s="190" t="str">
        <f t="shared" ca="1" si="60"/>
        <v/>
      </c>
      <c r="BG150"/>
      <c r="BH150" s="190" t="str">
        <f ca="1">IF(ISNUMBER(OFFSET(BD150,-$F$21,0)),SUM(OFFSET($T$100,($F$16-$F$15+$F$21),0):$T150),"")</f>
        <v/>
      </c>
      <c r="BI150" s="190" t="str">
        <f t="shared" ca="1" si="85"/>
        <v/>
      </c>
      <c r="BJ150" s="190" t="str">
        <f t="shared" ca="1" si="61"/>
        <v/>
      </c>
      <c r="BK150" s="190"/>
      <c r="BL150" s="190" t="str">
        <f ca="1">IFERROR(IF(AND($B150&gt;=($F$17-$F$15),$B150&lt;$F$22+($F$17-$F$15)),SUM(OFFSET($T$100,($F$17-$F$15),0):$T150),""),"")</f>
        <v/>
      </c>
      <c r="BM150" s="190" t="str">
        <f t="shared" ca="1" si="86"/>
        <v/>
      </c>
      <c r="BN150" s="190" t="str">
        <f t="shared" ca="1" si="62"/>
        <v/>
      </c>
      <c r="BO150"/>
      <c r="BP150" s="190" t="str">
        <f ca="1">IF(ISNUMBER(OFFSET(BL150,-$F$21,0)),SUM(OFFSET($T$100,($F$17-$F$15+$F$21),0):$T150),"")</f>
        <v/>
      </c>
      <c r="BQ150" s="190" t="str">
        <f t="shared" ca="1" si="87"/>
        <v/>
      </c>
      <c r="BR150" s="190" t="str">
        <f t="shared" ca="1" si="64"/>
        <v/>
      </c>
      <c r="BS150" s="190"/>
      <c r="BT150"/>
      <c r="BU150"/>
      <c r="BV150"/>
      <c r="BY150" s="99"/>
      <c r="BZ150" s="99"/>
      <c r="CA150" s="280" t="str">
        <f t="shared" si="88"/>
        <v/>
      </c>
      <c r="CB150" s="71" t="str">
        <f t="shared" si="31"/>
        <v>-</v>
      </c>
      <c r="CC150" s="33"/>
      <c r="CD150" s="261" t="str">
        <f t="shared" si="33"/>
        <v/>
      </c>
      <c r="CE150" s="280" t="str">
        <f t="shared" si="89"/>
        <v>-</v>
      </c>
      <c r="CF150" s="71" t="str">
        <f t="shared" ca="1" si="90"/>
        <v>-</v>
      </c>
      <c r="CG150" s="33" t="str">
        <f t="shared" si="36"/>
        <v>50-51</v>
      </c>
      <c r="CH150" s="261" t="str">
        <f t="shared" ca="1" si="37"/>
        <v/>
      </c>
      <c r="CI150" s="99"/>
      <c r="CJ150" s="99"/>
      <c r="CK150" s="99"/>
      <c r="CL150" s="99"/>
      <c r="CM150" s="99"/>
      <c r="CN150" s="99"/>
      <c r="CO150" s="99"/>
    </row>
    <row r="151" spans="2:93" ht="13.5" customHeight="1" x14ac:dyDescent="0.2">
      <c r="B151" s="262">
        <v>51</v>
      </c>
      <c r="C151" s="237" t="str">
        <f t="shared" si="1"/>
        <v/>
      </c>
      <c r="D151" s="237" t="str">
        <f t="shared" si="67"/>
        <v>-</v>
      </c>
      <c r="E151" s="290" t="str">
        <f t="shared" si="38"/>
        <v/>
      </c>
      <c r="F151" s="264" t="str">
        <f t="shared" si="39"/>
        <v/>
      </c>
      <c r="G151" s="291" t="str">
        <f t="shared" si="40"/>
        <v/>
      </c>
      <c r="H151" s="240" t="str">
        <f t="shared" si="71"/>
        <v/>
      </c>
      <c r="I151" s="265" t="str">
        <f t="shared" si="72"/>
        <v/>
      </c>
      <c r="J151" s="265" t="str">
        <f t="shared" si="73"/>
        <v/>
      </c>
      <c r="K151" s="240" t="str">
        <f t="shared" si="74"/>
        <v/>
      </c>
      <c r="L151" s="265" t="str">
        <f t="shared" si="75"/>
        <v/>
      </c>
      <c r="M151" s="265" t="str">
        <f t="shared" si="76"/>
        <v/>
      </c>
      <c r="N151" s="240" t="str">
        <f t="shared" si="77"/>
        <v>-</v>
      </c>
      <c r="O151" s="265" t="str">
        <f t="shared" si="78"/>
        <v>-</v>
      </c>
      <c r="P151" s="265" t="str">
        <f t="shared" si="79"/>
        <v>-</v>
      </c>
      <c r="Q151" s="266" t="str">
        <f t="shared" si="80"/>
        <v>-</v>
      </c>
      <c r="R151" s="267" t="str">
        <f t="shared" si="81"/>
        <v>-</v>
      </c>
      <c r="S151" s="268" t="str">
        <f t="shared" si="82"/>
        <v>-</v>
      </c>
      <c r="T151" s="269" t="str">
        <f t="shared" si="13"/>
        <v/>
      </c>
      <c r="U151" s="221">
        <f t="shared" si="14"/>
        <v>51</v>
      </c>
      <c r="V151" s="220" t="str">
        <f t="shared" si="42"/>
        <v>-</v>
      </c>
      <c r="W151" s="221" t="str">
        <f t="shared" si="43"/>
        <v>-</v>
      </c>
      <c r="X151" s="221" t="str">
        <f t="shared" si="15"/>
        <v>-</v>
      </c>
      <c r="Y151" s="221" t="str">
        <f t="shared" si="16"/>
        <v>-</v>
      </c>
      <c r="Z151" s="270">
        <f t="shared" si="44"/>
        <v>0.1</v>
      </c>
      <c r="AA151" s="271" t="str">
        <f>IFERROR(IF(V150=1,AA$100*EXP(-(LN(2)/$D$65+0.04)*X150)*EXP(-(LN(2)/$D$65+0.1)*Y150),IF(V150=2,AA$100*EXP(-(LN(2)/$D$65+0.04)*(VLOOKUP(($F$16-$F$15)-1,U$99:Y150,4,FALSE)))*EXP(-(LN(2)/$D$65+0.1)*(VLOOKUP(($F$16-$F$15)-1,U$99:Y150,5,FALSE)))*EXP(-(LN(2)/$D$65+0.04)*X150)*EXP(-(LN(2)/$D$65+0.1)*Y150),IF(V150=3,AA$100*EXP(-(LN(2)/$D$65+0.04)*(VLOOKUP(($F$16-$F$15)-1,U$99:Y150,4,FALSE)))*EXP(-(LN(2)/$D$65+0.1)*(VLOOKUP(($F$16-$F$15)-1,U$99:Y150,5,FALSE)))*EXP(-(LN(2)/$D$65+0.04)*(VLOOKUP(($F$16-$F$15)*2-1,U$99:Y150,4,FALSE)))*EXP(-(LN(2)/$D$65+0.1)*(VLOOKUP(($F$16-$F$15)*2-1,U$99:Y150,5,FALSE)))*EXP(-(LN(2)/$D$65+0.04)*X150)*EXP(-(LN(2)/$D$65+0.1)*Y150),"-"))),"-")</f>
        <v>-</v>
      </c>
      <c r="AB151" s="271" t="str">
        <f>IFERROR(IF(V151=1,AB$100*EXP(-(LN(2)/$D$65+0.04)*X151)*EXP(-(LN(2)/$D$65+0.1)*Y151),IF(V151=2,AB$100*EXP(-(LN(2)/$D$65+0.04)*(VLOOKUP(($F$16-$F$15)-1,U$100:Y151,4,FALSE)))*EXP(-(LN(2)/$D$65+0.1)*(VLOOKUP(($F$16-$F$15)-1,U$100:Y151,5,FALSE)))*EXP(-(LN(2)/$D$65+0.04)*X151)*EXP(-(LN(2)/$D$65+0.1)*Y151),IF(V151=3,AB$100*EXP(-(LN(2)/$D$65+0.04)*(VLOOKUP(($F$16-$F$15)-1,U$100:Y151,4,FALSE)))*EXP(-(LN(2)/$D$65+0.1)*(VLOOKUP(($F$16-$F$15)-1,U$100:Y151,5,FALSE)))*EXP(-(LN(2)/$D$65+0.04)*(VLOOKUP(($F$16-$F$15)*2-1,U$100:Y151,4,FALSE)))*EXP(-(LN(2)/$D$65+0.1)*(VLOOKUP(($F$16-$F$15)*2-1,U$100:Y151,5,FALSE)))*EXP(-(LN(2)/$D$65+0.04)*X151)*EXP(-(LN(2)/$D$65+0.1)*Y151),"-"))),"-")</f>
        <v>-</v>
      </c>
      <c r="AC151" s="224">
        <f t="shared" si="46"/>
        <v>51</v>
      </c>
      <c r="AD151" s="223" t="str">
        <f t="shared" si="18"/>
        <v>-</v>
      </c>
      <c r="AE151" s="224" t="str">
        <f t="shared" si="47"/>
        <v>-</v>
      </c>
      <c r="AF151" s="224" t="str">
        <f t="shared" si="19"/>
        <v>-</v>
      </c>
      <c r="AG151" s="224" t="str">
        <f t="shared" si="20"/>
        <v>-</v>
      </c>
      <c r="AH151" s="272">
        <f t="shared" si="48"/>
        <v>0.1</v>
      </c>
      <c r="AI151" s="271" t="str">
        <f>IFERROR(IF(AD150=1,AI$100*EXP(-(LN(2)/$D$65+0.04)*AF150)*EXP(-(LN(2)/$D$65+0.1)*AG150),IF(AD150=2,AI$100*EXP(-(LN(2)/$D$65+0.04)*(VLOOKUP(($F$16-$F$15)-1,AC$99:AG150,4,FALSE)))*EXP(-(LN(2)/$D$65+0.1)*(VLOOKUP(($F$16-$F$15)-1,AC$99:AG150,5,FALSE)))*EXP(-(LN(2)/$D$65+0.04)*AF150)*EXP(-(LN(2)/$D$65+0.1)*AG150),IF(AD150=3,AI$100*EXP(-(LN(2)/$D$65+0.04)*(VLOOKUP(($F$16-$F$15)-1,AC$99:AG150,4,FALSE)))*EXP(-(LN(2)/$D$65+0.1)*(VLOOKUP(($F$16-$F$15)-1,AC$99:AG150,5,FALSE)))*EXP(-(LN(2)/$D$65+0.04)*(VLOOKUP(($F$16-$F$15)*2-1,AC$99:AG150,4,FALSE)))*EXP(-(LN(2)/$D$65+0.1)*(VLOOKUP(($F$16-$F$15)*2-1,AC$99:AG150,5,FALSE)))*EXP(-(LN(2)/$D$65+0.04)*AF150)*EXP(-(LN(2)/$D$65+0.1)*AG150),"-"))),"-")</f>
        <v>-</v>
      </c>
      <c r="AJ151" s="271" t="str">
        <f>IFERROR(IF(AD151=1,AJ$100*EXP(-(LN(2)/$D$65+0.04)*AF151)*EXP(-(LN(2)/$D$65+0.1)*AG151),IF(AD151=2,AJ$100*EXP(-(LN(2)/$D$65+0.04)*(VLOOKUP(($F$16-$F$15)-1,AC$100:AG151,4,FALSE)))*EXP(-(LN(2)/$D$65+0.1)*(VLOOKUP(($F$16-$F$15)-1,AC$100:AG151,5,FALSE)))*EXP(-(LN(2)/$D$65+0.04)*AF151)*EXP(-(LN(2)/$D$65+0.1)*AG151),IF(AD151=3,AJ$100*EXP(-(LN(2)/$D$65+0.04)*(VLOOKUP(($F$16-$F$15)-1,AC$100:AG151,4,FALSE)))*EXP(-(LN(2)/$D$65+0.1)*(VLOOKUP(($F$16-$F$15)-1,AC$100:AG151,5,FALSE)))*EXP(-(LN(2)/$D$65+0.04)*(VLOOKUP(($F$16-$F$15)*2-1,AC$100:AG151,4,FALSE)))*EXP(-(LN(2)/$D$65+0.1)*(VLOOKUP(($F$16-$F$15)*2-1,AC$100:AG151,5,FALSE)))*EXP(-(LN(2)/$D$65+0.04)*AF151)*EXP(-(LN(2)/$D$65+0.1)*AG151),"-"))),"-")</f>
        <v>-</v>
      </c>
      <c r="AK151" s="227">
        <f t="shared" si="50"/>
        <v>51</v>
      </c>
      <c r="AL151" s="226" t="str">
        <f t="shared" si="22"/>
        <v>-</v>
      </c>
      <c r="AM151" s="227" t="str">
        <f t="shared" si="51"/>
        <v>-</v>
      </c>
      <c r="AN151" s="227" t="str">
        <f t="shared" si="52"/>
        <v>-</v>
      </c>
      <c r="AO151" s="227" t="str">
        <f t="shared" si="23"/>
        <v>-</v>
      </c>
      <c r="AP151" s="273">
        <f t="shared" si="53"/>
        <v>0.1</v>
      </c>
      <c r="AQ151" s="271" t="str">
        <f>IFERROR(IF(AL150=1,AQ$100*EXP(-(LN(2)/$D$65+0.04)*AN150)*EXP(-(LN(2)/$D$65+0.1)*AO150),IF(AL150=2,AQ$100*EXP(-(LN(2)/$D$65+0.04)*(VLOOKUP(($F$16-$F$15)-1,AK$99:AO150,4,FALSE)))*EXP(-(LN(2)/$D$65+0.1)*(VLOOKUP(($F$16-$F$15)-1,AK$99:AO150,5,FALSE)))*EXP(-(LN(2)/$D$65+0.04)*AN150)*EXP(-(LN(2)/$D$65+0.1)*AO150),IF(AL150=3,AQ$100*EXP(-(LN(2)/$D$65+0.04)*(VLOOKUP(($F$16-$F$15)-1,AK$99:AO150,4,FALSE)))*EXP(-(LN(2)/$D$65+0.1)*(VLOOKUP(($F$16-$F$15)-1,AK$99:AO150,5,FALSE)))*EXP(-(LN(2)/$D$65+0.04)*(VLOOKUP(($F$16-$F$15)*2-1,AK$99:AO150,4,FALSE)))*EXP(-(LN(2)/$D$65+0.1)*(VLOOKUP(($F$16-$F$15)*2-1,AK$99:AO150,5,FALSE)))*EXP(-(LN(2)/$D$65+0.04)*AN150)*EXP(-(LN(2)/$D$65+0.1)*AO150),"-"))),"-")</f>
        <v>-</v>
      </c>
      <c r="AR151" s="271" t="str">
        <f>IFERROR(IF(AL151=1,AR$100*EXP(-(LN(2)/$D$65+0.04)*AN151)*EXP(-(LN(2)/$D$65+0.1)*AO151),IF(AL151=2,AR$100*EXP(-(LN(2)/$D$65+0.04)*(VLOOKUP(($F$16-$F$15)-1,AK$100:AO151,4,FALSE)))*EXP(-(LN(2)/$D$65+0.1)*(VLOOKUP(($F$16-$F$15)-1,AK$100:AO151,5,FALSE)))*EXP(-(LN(2)/$D$65+0.04)*AN151)*EXP(-(LN(2)/$D$65+0.1)*AO151),IF(AL151=3,AR$100*EXP(-(LN(2)/$D$65+0.04)*(VLOOKUP(($F$16-$F$15)-1,AK$100:AO151,4,FALSE)))*EXP(-(LN(2)/$D$65+0.1)*(VLOOKUP(($F$16-$F$15)-1,AK$100:AO151,5,FALSE)))*EXP(-(LN(2)/$D$65+0.04)*(VLOOKUP(($F$16-$F$15)*2-1,AK$100:AO151,4,FALSE)))*EXP(-(LN(2)/$D$65+0.1)*(VLOOKUP(($F$16-$F$15)*2-1,AK$100:AO151,5,FALSE)))*EXP(-(LN(2)/$D$65+0.04)*AN151)*EXP(-(LN(2)/$D$65+0.1)*AO151),"-"))),"-")</f>
        <v>-</v>
      </c>
      <c r="AS151" s="274">
        <f t="shared" si="24"/>
        <v>0</v>
      </c>
      <c r="AT151" s="274">
        <f t="shared" si="25"/>
        <v>0</v>
      </c>
      <c r="AU151" s="274">
        <f t="shared" si="26"/>
        <v>0</v>
      </c>
      <c r="AV151" s="190">
        <f>IF($B151&lt;$F$22,SUM($T$100:$T151),"")</f>
        <v>0</v>
      </c>
      <c r="AW151" s="190" t="str">
        <f t="shared" si="83"/>
        <v>-</v>
      </c>
      <c r="AX151" s="190" t="str">
        <f t="shared" si="57"/>
        <v/>
      </c>
      <c r="AY151"/>
      <c r="AZ151" s="190" t="str">
        <f ca="1">IF(ISNUMBER(OFFSET(AV151,-$F$21,0)),SUM(OFFSET($T$100,$F$21,0):$T151),"")</f>
        <v/>
      </c>
      <c r="BA151" s="190" t="str">
        <f t="shared" ca="1" si="84"/>
        <v/>
      </c>
      <c r="BB151" s="190" t="str">
        <f t="shared" ca="1" si="70"/>
        <v/>
      </c>
      <c r="BC151" s="190"/>
      <c r="BD151" s="190" t="str">
        <f ca="1">IFERROR(IF(AND($B151&gt;=($F$16-$F$15),$B151&lt;$F$22+($F$16-$F$15)),SUM(OFFSET($T$100,($F$16-$F$15),0):$T151),""),"")</f>
        <v/>
      </c>
      <c r="BE151" s="190" t="str">
        <f t="shared" ca="1" si="59"/>
        <v/>
      </c>
      <c r="BF151" s="190" t="str">
        <f t="shared" ca="1" si="60"/>
        <v/>
      </c>
      <c r="BG151"/>
      <c r="BH151" s="190" t="str">
        <f ca="1">IF(ISNUMBER(OFFSET(BD151,-$F$21,0)),SUM(OFFSET($T$100,($F$16-$F$15+$F$21),0):$T151),"")</f>
        <v/>
      </c>
      <c r="BI151" s="190" t="str">
        <f t="shared" ca="1" si="85"/>
        <v/>
      </c>
      <c r="BJ151" s="190" t="str">
        <f t="shared" ca="1" si="61"/>
        <v/>
      </c>
      <c r="BK151" s="190"/>
      <c r="BL151" s="190" t="str">
        <f ca="1">IFERROR(IF(AND($B151&gt;=($F$17-$F$15),$B151&lt;$F$22+($F$17-$F$15)),SUM(OFFSET($T$100,($F$17-$F$15),0):$T151),""),"")</f>
        <v/>
      </c>
      <c r="BM151" s="190" t="str">
        <f t="shared" ca="1" si="86"/>
        <v/>
      </c>
      <c r="BN151" s="190" t="str">
        <f t="shared" ca="1" si="62"/>
        <v/>
      </c>
      <c r="BO151"/>
      <c r="BP151" s="190" t="str">
        <f ca="1">IF(ISNUMBER(OFFSET(BL151,-$F$21,0)),SUM(OFFSET($T$100,($F$17-$F$15+$F$21),0):$T151),"")</f>
        <v/>
      </c>
      <c r="BQ151" s="190" t="str">
        <f t="shared" ca="1" si="87"/>
        <v/>
      </c>
      <c r="BR151" s="190" t="str">
        <f t="shared" ca="1" si="64"/>
        <v/>
      </c>
      <c r="BS151" s="190"/>
      <c r="BT151"/>
      <c r="BU151"/>
      <c r="BV151"/>
      <c r="BY151" s="99"/>
      <c r="BZ151" s="99"/>
      <c r="CA151" s="280" t="str">
        <f t="shared" si="88"/>
        <v/>
      </c>
      <c r="CB151" s="71" t="str">
        <f t="shared" si="31"/>
        <v>-</v>
      </c>
      <c r="CC151" s="33"/>
      <c r="CD151" s="261" t="str">
        <f t="shared" si="33"/>
        <v/>
      </c>
      <c r="CE151" s="280" t="str">
        <f t="shared" si="89"/>
        <v>-</v>
      </c>
      <c r="CF151" s="71" t="str">
        <f t="shared" ca="1" si="90"/>
        <v>-</v>
      </c>
      <c r="CG151" s="33" t="str">
        <f t="shared" si="36"/>
        <v>51-52</v>
      </c>
      <c r="CH151" s="261" t="str">
        <f t="shared" ca="1" si="37"/>
        <v/>
      </c>
      <c r="CI151" s="99"/>
      <c r="CJ151" s="99"/>
      <c r="CK151" s="99"/>
      <c r="CL151" s="99"/>
      <c r="CM151" s="99"/>
      <c r="CN151" s="99"/>
      <c r="CO151" s="99"/>
    </row>
    <row r="152" spans="2:93" ht="13.5" customHeight="1" x14ac:dyDescent="0.2">
      <c r="B152" s="262">
        <v>52</v>
      </c>
      <c r="C152" s="237" t="str">
        <f t="shared" si="1"/>
        <v/>
      </c>
      <c r="D152" s="237" t="str">
        <f t="shared" si="67"/>
        <v>-</v>
      </c>
      <c r="E152" s="290" t="str">
        <f t="shared" si="38"/>
        <v/>
      </c>
      <c r="F152" s="264" t="str">
        <f t="shared" si="39"/>
        <v/>
      </c>
      <c r="G152" s="291" t="str">
        <f t="shared" si="40"/>
        <v/>
      </c>
      <c r="H152" s="240" t="str">
        <f t="shared" si="71"/>
        <v/>
      </c>
      <c r="I152" s="265" t="str">
        <f t="shared" si="72"/>
        <v/>
      </c>
      <c r="J152" s="265" t="str">
        <f t="shared" si="73"/>
        <v/>
      </c>
      <c r="K152" s="240" t="str">
        <f t="shared" si="74"/>
        <v/>
      </c>
      <c r="L152" s="265" t="str">
        <f t="shared" si="75"/>
        <v/>
      </c>
      <c r="M152" s="265" t="str">
        <f t="shared" si="76"/>
        <v/>
      </c>
      <c r="N152" s="240" t="str">
        <f t="shared" si="77"/>
        <v>-</v>
      </c>
      <c r="O152" s="265" t="str">
        <f t="shared" si="78"/>
        <v>-</v>
      </c>
      <c r="P152" s="265" t="str">
        <f t="shared" si="79"/>
        <v>-</v>
      </c>
      <c r="Q152" s="266" t="str">
        <f t="shared" si="80"/>
        <v>-</v>
      </c>
      <c r="R152" s="267" t="str">
        <f t="shared" si="81"/>
        <v>-</v>
      </c>
      <c r="S152" s="268" t="str">
        <f t="shared" si="82"/>
        <v>-</v>
      </c>
      <c r="T152" s="269" t="str">
        <f t="shared" si="13"/>
        <v/>
      </c>
      <c r="U152" s="221">
        <f t="shared" si="14"/>
        <v>52</v>
      </c>
      <c r="V152" s="220" t="str">
        <f t="shared" si="42"/>
        <v>-</v>
      </c>
      <c r="W152" s="221" t="str">
        <f t="shared" si="43"/>
        <v>-</v>
      </c>
      <c r="X152" s="221" t="str">
        <f t="shared" si="15"/>
        <v>-</v>
      </c>
      <c r="Y152" s="221" t="str">
        <f t="shared" si="16"/>
        <v>-</v>
      </c>
      <c r="Z152" s="270">
        <f t="shared" si="44"/>
        <v>0.1</v>
      </c>
      <c r="AA152" s="271" t="str">
        <f>IFERROR(IF(V151=1,AA$100*EXP(-(LN(2)/$D$65+0.04)*X151)*EXP(-(LN(2)/$D$65+0.1)*Y151),IF(V151=2,AA$100*EXP(-(LN(2)/$D$65+0.04)*(VLOOKUP(($F$16-$F$15)-1,U$99:Y151,4,FALSE)))*EXP(-(LN(2)/$D$65+0.1)*(VLOOKUP(($F$16-$F$15)-1,U$99:Y151,5,FALSE)))*EXP(-(LN(2)/$D$65+0.04)*X151)*EXP(-(LN(2)/$D$65+0.1)*Y151),IF(V151=3,AA$100*EXP(-(LN(2)/$D$65+0.04)*(VLOOKUP(($F$16-$F$15)-1,U$99:Y151,4,FALSE)))*EXP(-(LN(2)/$D$65+0.1)*(VLOOKUP(($F$16-$F$15)-1,U$99:Y151,5,FALSE)))*EXP(-(LN(2)/$D$65+0.04)*(VLOOKUP(($F$16-$F$15)*2-1,U$99:Y151,4,FALSE)))*EXP(-(LN(2)/$D$65+0.1)*(VLOOKUP(($F$16-$F$15)*2-1,U$99:Y151,5,FALSE)))*EXP(-(LN(2)/$D$65+0.04)*X151)*EXP(-(LN(2)/$D$65+0.1)*Y151),"-"))),"-")</f>
        <v>-</v>
      </c>
      <c r="AB152" s="271" t="str">
        <f>IFERROR(IF(V152=1,AB$100*EXP(-(LN(2)/$D$65+0.04)*X152)*EXP(-(LN(2)/$D$65+0.1)*Y152),IF(V152=2,AB$100*EXP(-(LN(2)/$D$65+0.04)*(VLOOKUP(($F$16-$F$15)-1,U$100:Y152,4,FALSE)))*EXP(-(LN(2)/$D$65+0.1)*(VLOOKUP(($F$16-$F$15)-1,U$100:Y152,5,FALSE)))*EXP(-(LN(2)/$D$65+0.04)*X152)*EXP(-(LN(2)/$D$65+0.1)*Y152),IF(V152=3,AB$100*EXP(-(LN(2)/$D$65+0.04)*(VLOOKUP(($F$16-$F$15)-1,U$100:Y152,4,FALSE)))*EXP(-(LN(2)/$D$65+0.1)*(VLOOKUP(($F$16-$F$15)-1,U$100:Y152,5,FALSE)))*EXP(-(LN(2)/$D$65+0.04)*(VLOOKUP(($F$16-$F$15)*2-1,U$100:Y152,4,FALSE)))*EXP(-(LN(2)/$D$65+0.1)*(VLOOKUP(($F$16-$F$15)*2-1,U$100:Y152,5,FALSE)))*EXP(-(LN(2)/$D$65+0.04)*X152)*EXP(-(LN(2)/$D$65+0.1)*Y152),"-"))),"-")</f>
        <v>-</v>
      </c>
      <c r="AC152" s="224">
        <f t="shared" si="46"/>
        <v>52</v>
      </c>
      <c r="AD152" s="223" t="str">
        <f t="shared" si="18"/>
        <v>-</v>
      </c>
      <c r="AE152" s="224" t="str">
        <f t="shared" si="47"/>
        <v>-</v>
      </c>
      <c r="AF152" s="224" t="str">
        <f t="shared" si="19"/>
        <v>-</v>
      </c>
      <c r="AG152" s="224" t="str">
        <f t="shared" si="20"/>
        <v>-</v>
      </c>
      <c r="AH152" s="272">
        <f t="shared" si="48"/>
        <v>0.1</v>
      </c>
      <c r="AI152" s="271" t="str">
        <f>IFERROR(IF(AD151=1,AI$100*EXP(-(LN(2)/$D$65+0.04)*AF151)*EXP(-(LN(2)/$D$65+0.1)*AG151),IF(AD151=2,AI$100*EXP(-(LN(2)/$D$65+0.04)*(VLOOKUP(($F$16-$F$15)-1,AC$99:AG151,4,FALSE)))*EXP(-(LN(2)/$D$65+0.1)*(VLOOKUP(($F$16-$F$15)-1,AC$99:AG151,5,FALSE)))*EXP(-(LN(2)/$D$65+0.04)*AF151)*EXP(-(LN(2)/$D$65+0.1)*AG151),IF(AD151=3,AI$100*EXP(-(LN(2)/$D$65+0.04)*(VLOOKUP(($F$16-$F$15)-1,AC$99:AG151,4,FALSE)))*EXP(-(LN(2)/$D$65+0.1)*(VLOOKUP(($F$16-$F$15)-1,AC$99:AG151,5,FALSE)))*EXP(-(LN(2)/$D$65+0.04)*(VLOOKUP(($F$16-$F$15)*2-1,AC$99:AG151,4,FALSE)))*EXP(-(LN(2)/$D$65+0.1)*(VLOOKUP(($F$16-$F$15)*2-1,AC$99:AG151,5,FALSE)))*EXP(-(LN(2)/$D$65+0.04)*AF151)*EXP(-(LN(2)/$D$65+0.1)*AG151),"-"))),"-")</f>
        <v>-</v>
      </c>
      <c r="AJ152" s="271" t="str">
        <f>IFERROR(IF(AD152=1,AJ$100*EXP(-(LN(2)/$D$65+0.04)*AF152)*EXP(-(LN(2)/$D$65+0.1)*AG152),IF(AD152=2,AJ$100*EXP(-(LN(2)/$D$65+0.04)*(VLOOKUP(($F$16-$F$15)-1,AC$100:AG152,4,FALSE)))*EXP(-(LN(2)/$D$65+0.1)*(VLOOKUP(($F$16-$F$15)-1,AC$100:AG152,5,FALSE)))*EXP(-(LN(2)/$D$65+0.04)*AF152)*EXP(-(LN(2)/$D$65+0.1)*AG152),IF(AD152=3,AJ$100*EXP(-(LN(2)/$D$65+0.04)*(VLOOKUP(($F$16-$F$15)-1,AC$100:AG152,4,FALSE)))*EXP(-(LN(2)/$D$65+0.1)*(VLOOKUP(($F$16-$F$15)-1,AC$100:AG152,5,FALSE)))*EXP(-(LN(2)/$D$65+0.04)*(VLOOKUP(($F$16-$F$15)*2-1,AC$100:AG152,4,FALSE)))*EXP(-(LN(2)/$D$65+0.1)*(VLOOKUP(($F$16-$F$15)*2-1,AC$100:AG152,5,FALSE)))*EXP(-(LN(2)/$D$65+0.04)*AF152)*EXP(-(LN(2)/$D$65+0.1)*AG152),"-"))),"-")</f>
        <v>-</v>
      </c>
      <c r="AK152" s="227">
        <f t="shared" si="50"/>
        <v>52</v>
      </c>
      <c r="AL152" s="226" t="str">
        <f t="shared" si="22"/>
        <v>-</v>
      </c>
      <c r="AM152" s="227" t="str">
        <f t="shared" si="51"/>
        <v>-</v>
      </c>
      <c r="AN152" s="227" t="str">
        <f t="shared" si="52"/>
        <v>-</v>
      </c>
      <c r="AO152" s="227" t="str">
        <f t="shared" si="23"/>
        <v>-</v>
      </c>
      <c r="AP152" s="273">
        <f t="shared" si="53"/>
        <v>0.1</v>
      </c>
      <c r="AQ152" s="271" t="str">
        <f>IFERROR(IF(AL151=1,AQ$100*EXP(-(LN(2)/$D$65+0.04)*AN151)*EXP(-(LN(2)/$D$65+0.1)*AO151),IF(AL151=2,AQ$100*EXP(-(LN(2)/$D$65+0.04)*(VLOOKUP(($F$16-$F$15)-1,AK$99:AO151,4,FALSE)))*EXP(-(LN(2)/$D$65+0.1)*(VLOOKUP(($F$16-$F$15)-1,AK$99:AO151,5,FALSE)))*EXP(-(LN(2)/$D$65+0.04)*AN151)*EXP(-(LN(2)/$D$65+0.1)*AO151),IF(AL151=3,AQ$100*EXP(-(LN(2)/$D$65+0.04)*(VLOOKUP(($F$16-$F$15)-1,AK$99:AO151,4,FALSE)))*EXP(-(LN(2)/$D$65+0.1)*(VLOOKUP(($F$16-$F$15)-1,AK$99:AO151,5,FALSE)))*EXP(-(LN(2)/$D$65+0.04)*(VLOOKUP(($F$16-$F$15)*2-1,AK$99:AO151,4,FALSE)))*EXP(-(LN(2)/$D$65+0.1)*(VLOOKUP(($F$16-$F$15)*2-1,AK$99:AO151,5,FALSE)))*EXP(-(LN(2)/$D$65+0.04)*AN151)*EXP(-(LN(2)/$D$65+0.1)*AO151),"-"))),"-")</f>
        <v>-</v>
      </c>
      <c r="AR152" s="271" t="str">
        <f>IFERROR(IF(AL152=1,AR$100*EXP(-(LN(2)/$D$65+0.04)*AN152)*EXP(-(LN(2)/$D$65+0.1)*AO152),IF(AL152=2,AR$100*EXP(-(LN(2)/$D$65+0.04)*(VLOOKUP(($F$16-$F$15)-1,AK$100:AO152,4,FALSE)))*EXP(-(LN(2)/$D$65+0.1)*(VLOOKUP(($F$16-$F$15)-1,AK$100:AO152,5,FALSE)))*EXP(-(LN(2)/$D$65+0.04)*AN152)*EXP(-(LN(2)/$D$65+0.1)*AO152),IF(AL152=3,AR$100*EXP(-(LN(2)/$D$65+0.04)*(VLOOKUP(($F$16-$F$15)-1,AK$100:AO152,4,FALSE)))*EXP(-(LN(2)/$D$65+0.1)*(VLOOKUP(($F$16-$F$15)-1,AK$100:AO152,5,FALSE)))*EXP(-(LN(2)/$D$65+0.04)*(VLOOKUP(($F$16-$F$15)*2-1,AK$100:AO152,4,FALSE)))*EXP(-(LN(2)/$D$65+0.1)*(VLOOKUP(($F$16-$F$15)*2-1,AK$100:AO152,5,FALSE)))*EXP(-(LN(2)/$D$65+0.04)*AN152)*EXP(-(LN(2)/$D$65+0.1)*AO152),"-"))),"-")</f>
        <v>-</v>
      </c>
      <c r="AS152" s="274">
        <f t="shared" si="24"/>
        <v>0</v>
      </c>
      <c r="AT152" s="274">
        <f t="shared" si="25"/>
        <v>0</v>
      </c>
      <c r="AU152" s="274">
        <f t="shared" si="26"/>
        <v>0</v>
      </c>
      <c r="AV152" s="190">
        <f>IF($B152&lt;$F$22,SUM($T$100:$T152),"")</f>
        <v>0</v>
      </c>
      <c r="AW152" s="190" t="str">
        <f t="shared" si="83"/>
        <v>-</v>
      </c>
      <c r="AX152" s="190" t="str">
        <f t="shared" si="57"/>
        <v/>
      </c>
      <c r="AY152"/>
      <c r="AZ152" s="190" t="str">
        <f ca="1">IF(ISNUMBER(OFFSET(AV152,-$F$21,0)),SUM(OFFSET($T$100,$F$21,0):$T152),"")</f>
        <v/>
      </c>
      <c r="BA152" s="190" t="str">
        <f t="shared" ca="1" si="84"/>
        <v/>
      </c>
      <c r="BB152" s="190" t="str">
        <f t="shared" ca="1" si="70"/>
        <v/>
      </c>
      <c r="BC152" s="190"/>
      <c r="BD152" s="190" t="str">
        <f ca="1">IFERROR(IF(AND($B152&gt;=($F$16-$F$15),$B152&lt;$F$22+($F$16-$F$15)),SUM(OFFSET($T$100,($F$16-$F$15),0):$T152),""),"")</f>
        <v/>
      </c>
      <c r="BE152" s="190" t="str">
        <f t="shared" ca="1" si="59"/>
        <v/>
      </c>
      <c r="BF152" s="190" t="str">
        <f t="shared" ca="1" si="60"/>
        <v/>
      </c>
      <c r="BG152"/>
      <c r="BH152" s="190" t="str">
        <f ca="1">IF(ISNUMBER(OFFSET(BD152,-$F$21,0)),SUM(OFFSET($T$100,($F$16-$F$15+$F$21),0):$T152),"")</f>
        <v/>
      </c>
      <c r="BI152" s="190" t="str">
        <f t="shared" ca="1" si="85"/>
        <v/>
      </c>
      <c r="BJ152" s="190" t="str">
        <f t="shared" ca="1" si="61"/>
        <v/>
      </c>
      <c r="BK152" s="190"/>
      <c r="BL152" s="190" t="str">
        <f ca="1">IFERROR(IF(AND($B152&gt;=($F$17-$F$15),$B152&lt;$F$22+($F$17-$F$15)),SUM(OFFSET($T$100,($F$17-$F$15),0):$T152),""),"")</f>
        <v/>
      </c>
      <c r="BM152" s="190" t="str">
        <f t="shared" ca="1" si="86"/>
        <v/>
      </c>
      <c r="BN152" s="190" t="str">
        <f t="shared" ca="1" si="62"/>
        <v/>
      </c>
      <c r="BO152"/>
      <c r="BP152" s="190" t="str">
        <f ca="1">IF(ISNUMBER(OFFSET(BL152,-$F$21,0)),SUM(OFFSET($T$100,($F$17-$F$15+$F$21),0):$T152),"")</f>
        <v/>
      </c>
      <c r="BQ152" s="190" t="str">
        <f t="shared" ca="1" si="87"/>
        <v/>
      </c>
      <c r="BR152" s="190" t="str">
        <f t="shared" ca="1" si="64"/>
        <v/>
      </c>
      <c r="BS152" s="190"/>
      <c r="BT152"/>
      <c r="BU152"/>
      <c r="BV152"/>
      <c r="BY152" s="99"/>
      <c r="BZ152" s="99"/>
      <c r="CA152" s="280" t="str">
        <f t="shared" si="88"/>
        <v/>
      </c>
      <c r="CB152" s="71" t="str">
        <f t="shared" si="31"/>
        <v>-</v>
      </c>
      <c r="CC152" s="33"/>
      <c r="CD152" s="261" t="str">
        <f t="shared" si="33"/>
        <v/>
      </c>
      <c r="CE152" s="280" t="str">
        <f t="shared" si="89"/>
        <v>-</v>
      </c>
      <c r="CF152" s="71" t="str">
        <f t="shared" ca="1" si="90"/>
        <v>-</v>
      </c>
      <c r="CG152" s="33" t="str">
        <f t="shared" si="36"/>
        <v>52-53</v>
      </c>
      <c r="CH152" s="261" t="str">
        <f t="shared" ca="1" si="37"/>
        <v/>
      </c>
      <c r="CI152" s="99"/>
      <c r="CJ152" s="99"/>
      <c r="CK152" s="99"/>
      <c r="CL152" s="99"/>
      <c r="CM152" s="99"/>
      <c r="CN152" s="99"/>
      <c r="CO152" s="99"/>
    </row>
    <row r="153" spans="2:93" ht="13.5" customHeight="1" x14ac:dyDescent="0.2">
      <c r="B153" s="262">
        <v>53</v>
      </c>
      <c r="C153" s="237" t="str">
        <f t="shared" si="1"/>
        <v/>
      </c>
      <c r="D153" s="237" t="str">
        <f t="shared" si="67"/>
        <v>-</v>
      </c>
      <c r="E153" s="290" t="str">
        <f t="shared" si="38"/>
        <v/>
      </c>
      <c r="F153" s="264" t="str">
        <f t="shared" si="39"/>
        <v/>
      </c>
      <c r="G153" s="291" t="str">
        <f t="shared" si="40"/>
        <v/>
      </c>
      <c r="H153" s="240" t="str">
        <f t="shared" si="71"/>
        <v/>
      </c>
      <c r="I153" s="265" t="str">
        <f t="shared" si="72"/>
        <v/>
      </c>
      <c r="J153" s="265" t="str">
        <f t="shared" si="73"/>
        <v/>
      </c>
      <c r="K153" s="240" t="str">
        <f t="shared" si="74"/>
        <v/>
      </c>
      <c r="L153" s="265" t="str">
        <f t="shared" si="75"/>
        <v/>
      </c>
      <c r="M153" s="265" t="str">
        <f t="shared" si="76"/>
        <v/>
      </c>
      <c r="N153" s="240" t="str">
        <f t="shared" si="77"/>
        <v>-</v>
      </c>
      <c r="O153" s="265" t="str">
        <f t="shared" si="78"/>
        <v>-</v>
      </c>
      <c r="P153" s="265" t="str">
        <f t="shared" si="79"/>
        <v>-</v>
      </c>
      <c r="Q153" s="266" t="str">
        <f t="shared" si="80"/>
        <v>-</v>
      </c>
      <c r="R153" s="267" t="str">
        <f t="shared" si="81"/>
        <v>-</v>
      </c>
      <c r="S153" s="268" t="str">
        <f t="shared" si="82"/>
        <v>-</v>
      </c>
      <c r="T153" s="269" t="str">
        <f t="shared" si="13"/>
        <v/>
      </c>
      <c r="U153" s="221">
        <f t="shared" si="14"/>
        <v>53</v>
      </c>
      <c r="V153" s="220" t="str">
        <f t="shared" si="42"/>
        <v>-</v>
      </c>
      <c r="W153" s="221" t="str">
        <f t="shared" si="43"/>
        <v>-</v>
      </c>
      <c r="X153" s="221" t="str">
        <f t="shared" si="15"/>
        <v>-</v>
      </c>
      <c r="Y153" s="221" t="str">
        <f t="shared" si="16"/>
        <v>-</v>
      </c>
      <c r="Z153" s="270">
        <f t="shared" si="44"/>
        <v>0.1</v>
      </c>
      <c r="AA153" s="271" t="str">
        <f>IFERROR(IF(V152=1,AA$100*EXP(-(LN(2)/$D$65+0.04)*X152)*EXP(-(LN(2)/$D$65+0.1)*Y152),IF(V152=2,AA$100*EXP(-(LN(2)/$D$65+0.04)*(VLOOKUP(($F$16-$F$15)-1,U$99:Y152,4,FALSE)))*EXP(-(LN(2)/$D$65+0.1)*(VLOOKUP(($F$16-$F$15)-1,U$99:Y152,5,FALSE)))*EXP(-(LN(2)/$D$65+0.04)*X152)*EXP(-(LN(2)/$D$65+0.1)*Y152),IF(V152=3,AA$100*EXP(-(LN(2)/$D$65+0.04)*(VLOOKUP(($F$16-$F$15)-1,U$99:Y152,4,FALSE)))*EXP(-(LN(2)/$D$65+0.1)*(VLOOKUP(($F$16-$F$15)-1,U$99:Y152,5,FALSE)))*EXP(-(LN(2)/$D$65+0.04)*(VLOOKUP(($F$16-$F$15)*2-1,U$99:Y152,4,FALSE)))*EXP(-(LN(2)/$D$65+0.1)*(VLOOKUP(($F$16-$F$15)*2-1,U$99:Y152,5,FALSE)))*EXP(-(LN(2)/$D$65+0.04)*X152)*EXP(-(LN(2)/$D$65+0.1)*Y152),"-"))),"-")</f>
        <v>-</v>
      </c>
      <c r="AB153" s="271" t="str">
        <f>IFERROR(IF(V153=1,AB$100*EXP(-(LN(2)/$D$65+0.04)*X153)*EXP(-(LN(2)/$D$65+0.1)*Y153),IF(V153=2,AB$100*EXP(-(LN(2)/$D$65+0.04)*(VLOOKUP(($F$16-$F$15)-1,U$100:Y153,4,FALSE)))*EXP(-(LN(2)/$D$65+0.1)*(VLOOKUP(($F$16-$F$15)-1,U$100:Y153,5,FALSE)))*EXP(-(LN(2)/$D$65+0.04)*X153)*EXP(-(LN(2)/$D$65+0.1)*Y153),IF(V153=3,AB$100*EXP(-(LN(2)/$D$65+0.04)*(VLOOKUP(($F$16-$F$15)-1,U$100:Y153,4,FALSE)))*EXP(-(LN(2)/$D$65+0.1)*(VLOOKUP(($F$16-$F$15)-1,U$100:Y153,5,FALSE)))*EXP(-(LN(2)/$D$65+0.04)*(VLOOKUP(($F$16-$F$15)*2-1,U$100:Y153,4,FALSE)))*EXP(-(LN(2)/$D$65+0.1)*(VLOOKUP(($F$16-$F$15)*2-1,U$100:Y153,5,FALSE)))*EXP(-(LN(2)/$D$65+0.04)*X153)*EXP(-(LN(2)/$D$65+0.1)*Y153),"-"))),"-")</f>
        <v>-</v>
      </c>
      <c r="AC153" s="224">
        <f t="shared" si="46"/>
        <v>53</v>
      </c>
      <c r="AD153" s="223" t="str">
        <f t="shared" si="18"/>
        <v>-</v>
      </c>
      <c r="AE153" s="224" t="str">
        <f t="shared" si="47"/>
        <v>-</v>
      </c>
      <c r="AF153" s="224" t="str">
        <f t="shared" si="19"/>
        <v>-</v>
      </c>
      <c r="AG153" s="224" t="str">
        <f t="shared" si="20"/>
        <v>-</v>
      </c>
      <c r="AH153" s="272">
        <f t="shared" si="48"/>
        <v>0.1</v>
      </c>
      <c r="AI153" s="271" t="str">
        <f>IFERROR(IF(AD152=1,AI$100*EXP(-(LN(2)/$D$65+0.04)*AF152)*EXP(-(LN(2)/$D$65+0.1)*AG152),IF(AD152=2,AI$100*EXP(-(LN(2)/$D$65+0.04)*(VLOOKUP(($F$16-$F$15)-1,AC$99:AG152,4,FALSE)))*EXP(-(LN(2)/$D$65+0.1)*(VLOOKUP(($F$16-$F$15)-1,AC$99:AG152,5,FALSE)))*EXP(-(LN(2)/$D$65+0.04)*AF152)*EXP(-(LN(2)/$D$65+0.1)*AG152),IF(AD152=3,AI$100*EXP(-(LN(2)/$D$65+0.04)*(VLOOKUP(($F$16-$F$15)-1,AC$99:AG152,4,FALSE)))*EXP(-(LN(2)/$D$65+0.1)*(VLOOKUP(($F$16-$F$15)-1,AC$99:AG152,5,FALSE)))*EXP(-(LN(2)/$D$65+0.04)*(VLOOKUP(($F$16-$F$15)*2-1,AC$99:AG152,4,FALSE)))*EXP(-(LN(2)/$D$65+0.1)*(VLOOKUP(($F$16-$F$15)*2-1,AC$99:AG152,5,FALSE)))*EXP(-(LN(2)/$D$65+0.04)*AF152)*EXP(-(LN(2)/$D$65+0.1)*AG152),"-"))),"-")</f>
        <v>-</v>
      </c>
      <c r="AJ153" s="271" t="str">
        <f>IFERROR(IF(AD153=1,AJ$100*EXP(-(LN(2)/$D$65+0.04)*AF153)*EXP(-(LN(2)/$D$65+0.1)*AG153),IF(AD153=2,AJ$100*EXP(-(LN(2)/$D$65+0.04)*(VLOOKUP(($F$16-$F$15)-1,AC$100:AG153,4,FALSE)))*EXP(-(LN(2)/$D$65+0.1)*(VLOOKUP(($F$16-$F$15)-1,AC$100:AG153,5,FALSE)))*EXP(-(LN(2)/$D$65+0.04)*AF153)*EXP(-(LN(2)/$D$65+0.1)*AG153),IF(AD153=3,AJ$100*EXP(-(LN(2)/$D$65+0.04)*(VLOOKUP(($F$16-$F$15)-1,AC$100:AG153,4,FALSE)))*EXP(-(LN(2)/$D$65+0.1)*(VLOOKUP(($F$16-$F$15)-1,AC$100:AG153,5,FALSE)))*EXP(-(LN(2)/$D$65+0.04)*(VLOOKUP(($F$16-$F$15)*2-1,AC$100:AG153,4,FALSE)))*EXP(-(LN(2)/$D$65+0.1)*(VLOOKUP(($F$16-$F$15)*2-1,AC$100:AG153,5,FALSE)))*EXP(-(LN(2)/$D$65+0.04)*AF153)*EXP(-(LN(2)/$D$65+0.1)*AG153),"-"))),"-")</f>
        <v>-</v>
      </c>
      <c r="AK153" s="227">
        <f t="shared" si="50"/>
        <v>53</v>
      </c>
      <c r="AL153" s="226" t="str">
        <f t="shared" si="22"/>
        <v>-</v>
      </c>
      <c r="AM153" s="227" t="str">
        <f t="shared" si="51"/>
        <v>-</v>
      </c>
      <c r="AN153" s="227" t="str">
        <f t="shared" si="52"/>
        <v>-</v>
      </c>
      <c r="AO153" s="227" t="str">
        <f t="shared" si="23"/>
        <v>-</v>
      </c>
      <c r="AP153" s="273">
        <f t="shared" si="53"/>
        <v>0.1</v>
      </c>
      <c r="AQ153" s="271" t="str">
        <f>IFERROR(IF(AL152=1,AQ$100*EXP(-(LN(2)/$D$65+0.04)*AN152)*EXP(-(LN(2)/$D$65+0.1)*AO152),IF(AL152=2,AQ$100*EXP(-(LN(2)/$D$65+0.04)*(VLOOKUP(($F$16-$F$15)-1,AK$99:AO152,4,FALSE)))*EXP(-(LN(2)/$D$65+0.1)*(VLOOKUP(($F$16-$F$15)-1,AK$99:AO152,5,FALSE)))*EXP(-(LN(2)/$D$65+0.04)*AN152)*EXP(-(LN(2)/$D$65+0.1)*AO152),IF(AL152=3,AQ$100*EXP(-(LN(2)/$D$65+0.04)*(VLOOKUP(($F$16-$F$15)-1,AK$99:AO152,4,FALSE)))*EXP(-(LN(2)/$D$65+0.1)*(VLOOKUP(($F$16-$F$15)-1,AK$99:AO152,5,FALSE)))*EXP(-(LN(2)/$D$65+0.04)*(VLOOKUP(($F$16-$F$15)*2-1,AK$99:AO152,4,FALSE)))*EXP(-(LN(2)/$D$65+0.1)*(VLOOKUP(($F$16-$F$15)*2-1,AK$99:AO152,5,FALSE)))*EXP(-(LN(2)/$D$65+0.04)*AN152)*EXP(-(LN(2)/$D$65+0.1)*AO152),"-"))),"-")</f>
        <v>-</v>
      </c>
      <c r="AR153" s="271" t="str">
        <f>IFERROR(IF(AL153=1,AR$100*EXP(-(LN(2)/$D$65+0.04)*AN153)*EXP(-(LN(2)/$D$65+0.1)*AO153),IF(AL153=2,AR$100*EXP(-(LN(2)/$D$65+0.04)*(VLOOKUP(($F$16-$F$15)-1,AK$100:AO153,4,FALSE)))*EXP(-(LN(2)/$D$65+0.1)*(VLOOKUP(($F$16-$F$15)-1,AK$100:AO153,5,FALSE)))*EXP(-(LN(2)/$D$65+0.04)*AN153)*EXP(-(LN(2)/$D$65+0.1)*AO153),IF(AL153=3,AR$100*EXP(-(LN(2)/$D$65+0.04)*(VLOOKUP(($F$16-$F$15)-1,AK$100:AO153,4,FALSE)))*EXP(-(LN(2)/$D$65+0.1)*(VLOOKUP(($F$16-$F$15)-1,AK$100:AO153,5,FALSE)))*EXP(-(LN(2)/$D$65+0.04)*(VLOOKUP(($F$16-$F$15)*2-1,AK$100:AO153,4,FALSE)))*EXP(-(LN(2)/$D$65+0.1)*(VLOOKUP(($F$16-$F$15)*2-1,AK$100:AO153,5,FALSE)))*EXP(-(LN(2)/$D$65+0.04)*AN153)*EXP(-(LN(2)/$D$65+0.1)*AO153),"-"))),"-")</f>
        <v>-</v>
      </c>
      <c r="AS153" s="274">
        <f t="shared" si="24"/>
        <v>0</v>
      </c>
      <c r="AT153" s="274">
        <f t="shared" si="25"/>
        <v>0</v>
      </c>
      <c r="AU153" s="274">
        <f t="shared" si="26"/>
        <v>0</v>
      </c>
      <c r="AV153" s="190">
        <f>IF($B153&lt;$F$22,SUM($T$100:$T153),"")</f>
        <v>0</v>
      </c>
      <c r="AW153" s="190" t="str">
        <f t="shared" si="83"/>
        <v>-</v>
      </c>
      <c r="AX153" s="190" t="str">
        <f t="shared" si="57"/>
        <v/>
      </c>
      <c r="AY153"/>
      <c r="AZ153" s="190" t="str">
        <f ca="1">IF(ISNUMBER(OFFSET(AV153,-$F$21,0)),SUM(OFFSET($T$100,$F$21,0):$T153),"")</f>
        <v/>
      </c>
      <c r="BA153" s="190" t="str">
        <f t="shared" ca="1" si="84"/>
        <v/>
      </c>
      <c r="BB153" s="190" t="str">
        <f t="shared" ca="1" si="70"/>
        <v/>
      </c>
      <c r="BC153" s="190"/>
      <c r="BD153" s="190" t="str">
        <f ca="1">IFERROR(IF(AND($B153&gt;=($F$16-$F$15),$B153&lt;$F$22+($F$16-$F$15)),SUM(OFFSET($T$100,($F$16-$F$15),0):$T153),""),"")</f>
        <v/>
      </c>
      <c r="BE153" s="190" t="str">
        <f t="shared" ca="1" si="59"/>
        <v/>
      </c>
      <c r="BF153" s="190" t="str">
        <f t="shared" ca="1" si="60"/>
        <v/>
      </c>
      <c r="BG153"/>
      <c r="BH153" s="190" t="str">
        <f ca="1">IF(ISNUMBER(OFFSET(BD153,-$F$21,0)),SUM(OFFSET($T$100,($F$16-$F$15+$F$21),0):$T153),"")</f>
        <v/>
      </c>
      <c r="BI153" s="190" t="str">
        <f t="shared" ca="1" si="85"/>
        <v/>
      </c>
      <c r="BJ153" s="190" t="str">
        <f t="shared" ca="1" si="61"/>
        <v/>
      </c>
      <c r="BK153" s="190"/>
      <c r="BL153" s="190" t="str">
        <f ca="1">IFERROR(IF(AND($B153&gt;=($F$17-$F$15),$B153&lt;$F$22+($F$17-$F$15)),SUM(OFFSET($T$100,($F$17-$F$15),0):$T153),""),"")</f>
        <v/>
      </c>
      <c r="BM153" s="190" t="str">
        <f t="shared" ca="1" si="86"/>
        <v/>
      </c>
      <c r="BN153" s="190" t="str">
        <f t="shared" ca="1" si="62"/>
        <v/>
      </c>
      <c r="BO153"/>
      <c r="BP153" s="190" t="str">
        <f ca="1">IF(ISNUMBER(OFFSET(BL153,-$F$21,0)),SUM(OFFSET($T$100,($F$17-$F$15+$F$21),0):$T153),"")</f>
        <v/>
      </c>
      <c r="BQ153" s="190" t="str">
        <f t="shared" ca="1" si="87"/>
        <v/>
      </c>
      <c r="BR153" s="190" t="str">
        <f t="shared" ca="1" si="64"/>
        <v/>
      </c>
      <c r="BS153" s="190"/>
      <c r="BT153"/>
      <c r="BU153"/>
      <c r="BV153"/>
      <c r="BY153" s="99"/>
      <c r="BZ153" s="99"/>
      <c r="CA153" s="280" t="str">
        <f t="shared" si="88"/>
        <v/>
      </c>
      <c r="CB153" s="71" t="str">
        <f t="shared" si="31"/>
        <v>-</v>
      </c>
      <c r="CC153" s="33"/>
      <c r="CD153" s="261" t="str">
        <f t="shared" si="33"/>
        <v/>
      </c>
      <c r="CE153" s="280" t="str">
        <f t="shared" si="89"/>
        <v>-</v>
      </c>
      <c r="CF153" s="71" t="str">
        <f t="shared" ca="1" si="90"/>
        <v>-</v>
      </c>
      <c r="CG153" s="33" t="str">
        <f t="shared" si="36"/>
        <v>53-54</v>
      </c>
      <c r="CH153" s="261" t="str">
        <f t="shared" ca="1" si="37"/>
        <v/>
      </c>
      <c r="CI153" s="99"/>
      <c r="CJ153" s="99"/>
      <c r="CK153" s="99"/>
      <c r="CL153" s="99"/>
      <c r="CM153" s="99"/>
      <c r="CN153" s="99"/>
      <c r="CO153" s="99"/>
    </row>
    <row r="154" spans="2:93" ht="13.5" customHeight="1" x14ac:dyDescent="0.2">
      <c r="B154" s="262">
        <v>54</v>
      </c>
      <c r="C154" s="237" t="str">
        <f t="shared" si="1"/>
        <v/>
      </c>
      <c r="D154" s="237" t="str">
        <f t="shared" si="67"/>
        <v>-</v>
      </c>
      <c r="E154" s="290" t="str">
        <f t="shared" si="38"/>
        <v/>
      </c>
      <c r="F154" s="264" t="str">
        <f t="shared" si="39"/>
        <v/>
      </c>
      <c r="G154" s="291" t="str">
        <f t="shared" si="40"/>
        <v/>
      </c>
      <c r="H154" s="240" t="str">
        <f t="shared" si="71"/>
        <v/>
      </c>
      <c r="I154" s="265" t="str">
        <f t="shared" si="72"/>
        <v/>
      </c>
      <c r="J154" s="265" t="str">
        <f t="shared" si="73"/>
        <v/>
      </c>
      <c r="K154" s="240" t="str">
        <f t="shared" si="74"/>
        <v/>
      </c>
      <c r="L154" s="265" t="str">
        <f t="shared" si="75"/>
        <v/>
      </c>
      <c r="M154" s="265" t="str">
        <f t="shared" si="76"/>
        <v/>
      </c>
      <c r="N154" s="240" t="str">
        <f t="shared" si="77"/>
        <v>-</v>
      </c>
      <c r="O154" s="265" t="str">
        <f t="shared" si="78"/>
        <v>-</v>
      </c>
      <c r="P154" s="265" t="str">
        <f t="shared" si="79"/>
        <v>-</v>
      </c>
      <c r="Q154" s="266" t="str">
        <f t="shared" si="80"/>
        <v>-</v>
      </c>
      <c r="R154" s="267" t="str">
        <f t="shared" si="81"/>
        <v>-</v>
      </c>
      <c r="S154" s="268" t="str">
        <f t="shared" si="82"/>
        <v>-</v>
      </c>
      <c r="T154" s="269" t="str">
        <f t="shared" si="13"/>
        <v/>
      </c>
      <c r="U154" s="221">
        <f t="shared" si="14"/>
        <v>54</v>
      </c>
      <c r="V154" s="220" t="str">
        <f t="shared" si="42"/>
        <v>-</v>
      </c>
      <c r="W154" s="221" t="str">
        <f t="shared" si="43"/>
        <v>-</v>
      </c>
      <c r="X154" s="221" t="str">
        <f t="shared" si="15"/>
        <v>-</v>
      </c>
      <c r="Y154" s="221" t="str">
        <f t="shared" si="16"/>
        <v>-</v>
      </c>
      <c r="Z154" s="270">
        <f t="shared" si="44"/>
        <v>0.1</v>
      </c>
      <c r="AA154" s="271" t="str">
        <f>IFERROR(IF(V153=1,AA$100*EXP(-(LN(2)/$D$65+0.04)*X153)*EXP(-(LN(2)/$D$65+0.1)*Y153),IF(V153=2,AA$100*EXP(-(LN(2)/$D$65+0.04)*(VLOOKUP(($F$16-$F$15)-1,U$99:Y153,4,FALSE)))*EXP(-(LN(2)/$D$65+0.1)*(VLOOKUP(($F$16-$F$15)-1,U$99:Y153,5,FALSE)))*EXP(-(LN(2)/$D$65+0.04)*X153)*EXP(-(LN(2)/$D$65+0.1)*Y153),IF(V153=3,AA$100*EXP(-(LN(2)/$D$65+0.04)*(VLOOKUP(($F$16-$F$15)-1,U$99:Y153,4,FALSE)))*EXP(-(LN(2)/$D$65+0.1)*(VLOOKUP(($F$16-$F$15)-1,U$99:Y153,5,FALSE)))*EXP(-(LN(2)/$D$65+0.04)*(VLOOKUP(($F$16-$F$15)*2-1,U$99:Y153,4,FALSE)))*EXP(-(LN(2)/$D$65+0.1)*(VLOOKUP(($F$16-$F$15)*2-1,U$99:Y153,5,FALSE)))*EXP(-(LN(2)/$D$65+0.04)*X153)*EXP(-(LN(2)/$D$65+0.1)*Y153),"-"))),"-")</f>
        <v>-</v>
      </c>
      <c r="AB154" s="271" t="str">
        <f>IFERROR(IF(V154=1,AB$100*EXP(-(LN(2)/$D$65+0.04)*X154)*EXP(-(LN(2)/$D$65+0.1)*Y154),IF(V154=2,AB$100*EXP(-(LN(2)/$D$65+0.04)*(VLOOKUP(($F$16-$F$15)-1,U$100:Y154,4,FALSE)))*EXP(-(LN(2)/$D$65+0.1)*(VLOOKUP(($F$16-$F$15)-1,U$100:Y154,5,FALSE)))*EXP(-(LN(2)/$D$65+0.04)*X154)*EXP(-(LN(2)/$D$65+0.1)*Y154),IF(V154=3,AB$100*EXP(-(LN(2)/$D$65+0.04)*(VLOOKUP(($F$16-$F$15)-1,U$100:Y154,4,FALSE)))*EXP(-(LN(2)/$D$65+0.1)*(VLOOKUP(($F$16-$F$15)-1,U$100:Y154,5,FALSE)))*EXP(-(LN(2)/$D$65+0.04)*(VLOOKUP(($F$16-$F$15)*2-1,U$100:Y154,4,FALSE)))*EXP(-(LN(2)/$D$65+0.1)*(VLOOKUP(($F$16-$F$15)*2-1,U$100:Y154,5,FALSE)))*EXP(-(LN(2)/$D$65+0.04)*X154)*EXP(-(LN(2)/$D$65+0.1)*Y154),"-"))),"-")</f>
        <v>-</v>
      </c>
      <c r="AC154" s="224">
        <f t="shared" si="46"/>
        <v>54</v>
      </c>
      <c r="AD154" s="223" t="str">
        <f t="shared" si="18"/>
        <v>-</v>
      </c>
      <c r="AE154" s="224" t="str">
        <f t="shared" si="47"/>
        <v>-</v>
      </c>
      <c r="AF154" s="224" t="str">
        <f t="shared" si="19"/>
        <v>-</v>
      </c>
      <c r="AG154" s="224" t="str">
        <f t="shared" si="20"/>
        <v>-</v>
      </c>
      <c r="AH154" s="272">
        <f t="shared" si="48"/>
        <v>0.1</v>
      </c>
      <c r="AI154" s="271" t="str">
        <f>IFERROR(IF(AD153=1,AI$100*EXP(-(LN(2)/$D$65+0.04)*AF153)*EXP(-(LN(2)/$D$65+0.1)*AG153),IF(AD153=2,AI$100*EXP(-(LN(2)/$D$65+0.04)*(VLOOKUP(($F$16-$F$15)-1,AC$99:AG153,4,FALSE)))*EXP(-(LN(2)/$D$65+0.1)*(VLOOKUP(($F$16-$F$15)-1,AC$99:AG153,5,FALSE)))*EXP(-(LN(2)/$D$65+0.04)*AF153)*EXP(-(LN(2)/$D$65+0.1)*AG153),IF(AD153=3,AI$100*EXP(-(LN(2)/$D$65+0.04)*(VLOOKUP(($F$16-$F$15)-1,AC$99:AG153,4,FALSE)))*EXP(-(LN(2)/$D$65+0.1)*(VLOOKUP(($F$16-$F$15)-1,AC$99:AG153,5,FALSE)))*EXP(-(LN(2)/$D$65+0.04)*(VLOOKUP(($F$16-$F$15)*2-1,AC$99:AG153,4,FALSE)))*EXP(-(LN(2)/$D$65+0.1)*(VLOOKUP(($F$16-$F$15)*2-1,AC$99:AG153,5,FALSE)))*EXP(-(LN(2)/$D$65+0.04)*AF153)*EXP(-(LN(2)/$D$65+0.1)*AG153),"-"))),"-")</f>
        <v>-</v>
      </c>
      <c r="AJ154" s="271" t="str">
        <f>IFERROR(IF(AD154=1,AJ$100*EXP(-(LN(2)/$D$65+0.04)*AF154)*EXP(-(LN(2)/$D$65+0.1)*AG154),IF(AD154=2,AJ$100*EXP(-(LN(2)/$D$65+0.04)*(VLOOKUP(($F$16-$F$15)-1,AC$100:AG154,4,FALSE)))*EXP(-(LN(2)/$D$65+0.1)*(VLOOKUP(($F$16-$F$15)-1,AC$100:AG154,5,FALSE)))*EXP(-(LN(2)/$D$65+0.04)*AF154)*EXP(-(LN(2)/$D$65+0.1)*AG154),IF(AD154=3,AJ$100*EXP(-(LN(2)/$D$65+0.04)*(VLOOKUP(($F$16-$F$15)-1,AC$100:AG154,4,FALSE)))*EXP(-(LN(2)/$D$65+0.1)*(VLOOKUP(($F$16-$F$15)-1,AC$100:AG154,5,FALSE)))*EXP(-(LN(2)/$D$65+0.04)*(VLOOKUP(($F$16-$F$15)*2-1,AC$100:AG154,4,FALSE)))*EXP(-(LN(2)/$D$65+0.1)*(VLOOKUP(($F$16-$F$15)*2-1,AC$100:AG154,5,FALSE)))*EXP(-(LN(2)/$D$65+0.04)*AF154)*EXP(-(LN(2)/$D$65+0.1)*AG154),"-"))),"-")</f>
        <v>-</v>
      </c>
      <c r="AK154" s="227">
        <f t="shared" si="50"/>
        <v>54</v>
      </c>
      <c r="AL154" s="226" t="str">
        <f t="shared" si="22"/>
        <v>-</v>
      </c>
      <c r="AM154" s="227" t="str">
        <f t="shared" si="51"/>
        <v>-</v>
      </c>
      <c r="AN154" s="227" t="str">
        <f t="shared" si="52"/>
        <v>-</v>
      </c>
      <c r="AO154" s="227" t="str">
        <f t="shared" si="23"/>
        <v>-</v>
      </c>
      <c r="AP154" s="273">
        <f t="shared" si="53"/>
        <v>0.1</v>
      </c>
      <c r="AQ154" s="271" t="str">
        <f>IFERROR(IF(AL153=1,AQ$100*EXP(-(LN(2)/$D$65+0.04)*AN153)*EXP(-(LN(2)/$D$65+0.1)*AO153),IF(AL153=2,AQ$100*EXP(-(LN(2)/$D$65+0.04)*(VLOOKUP(($F$16-$F$15)-1,AK$99:AO153,4,FALSE)))*EXP(-(LN(2)/$D$65+0.1)*(VLOOKUP(($F$16-$F$15)-1,AK$99:AO153,5,FALSE)))*EXP(-(LN(2)/$D$65+0.04)*AN153)*EXP(-(LN(2)/$D$65+0.1)*AO153),IF(AL153=3,AQ$100*EXP(-(LN(2)/$D$65+0.04)*(VLOOKUP(($F$16-$F$15)-1,AK$99:AO153,4,FALSE)))*EXP(-(LN(2)/$D$65+0.1)*(VLOOKUP(($F$16-$F$15)-1,AK$99:AO153,5,FALSE)))*EXP(-(LN(2)/$D$65+0.04)*(VLOOKUP(($F$16-$F$15)*2-1,AK$99:AO153,4,FALSE)))*EXP(-(LN(2)/$D$65+0.1)*(VLOOKUP(($F$16-$F$15)*2-1,AK$99:AO153,5,FALSE)))*EXP(-(LN(2)/$D$65+0.04)*AN153)*EXP(-(LN(2)/$D$65+0.1)*AO153),"-"))),"-")</f>
        <v>-</v>
      </c>
      <c r="AR154" s="271" t="str">
        <f>IFERROR(IF(AL154=1,AR$100*EXP(-(LN(2)/$D$65+0.04)*AN154)*EXP(-(LN(2)/$D$65+0.1)*AO154),IF(AL154=2,AR$100*EXP(-(LN(2)/$D$65+0.04)*(VLOOKUP(($F$16-$F$15)-1,AK$100:AO154,4,FALSE)))*EXP(-(LN(2)/$D$65+0.1)*(VLOOKUP(($F$16-$F$15)-1,AK$100:AO154,5,FALSE)))*EXP(-(LN(2)/$D$65+0.04)*AN154)*EXP(-(LN(2)/$D$65+0.1)*AO154),IF(AL154=3,AR$100*EXP(-(LN(2)/$D$65+0.04)*(VLOOKUP(($F$16-$F$15)-1,AK$100:AO154,4,FALSE)))*EXP(-(LN(2)/$D$65+0.1)*(VLOOKUP(($F$16-$F$15)-1,AK$100:AO154,5,FALSE)))*EXP(-(LN(2)/$D$65+0.04)*(VLOOKUP(($F$16-$F$15)*2-1,AK$100:AO154,4,FALSE)))*EXP(-(LN(2)/$D$65+0.1)*(VLOOKUP(($F$16-$F$15)*2-1,AK$100:AO154,5,FALSE)))*EXP(-(LN(2)/$D$65+0.04)*AN154)*EXP(-(LN(2)/$D$65+0.1)*AO154),"-"))),"-")</f>
        <v>-</v>
      </c>
      <c r="AS154" s="274">
        <f t="shared" si="24"/>
        <v>0</v>
      </c>
      <c r="AT154" s="274">
        <f t="shared" si="25"/>
        <v>0</v>
      </c>
      <c r="AU154" s="274">
        <f t="shared" si="26"/>
        <v>0</v>
      </c>
      <c r="AV154" s="190">
        <f>IF($B154&lt;$F$22,SUM($T$100:$T154),"")</f>
        <v>0</v>
      </c>
      <c r="AW154" s="190" t="str">
        <f t="shared" si="83"/>
        <v>-</v>
      </c>
      <c r="AX154" s="190" t="str">
        <f t="shared" si="57"/>
        <v/>
      </c>
      <c r="AY154"/>
      <c r="AZ154" s="190" t="str">
        <f ca="1">IF(ISNUMBER(OFFSET(AV154,-$F$21,0)),SUM(OFFSET($T$100,$F$21,0):$T154),"")</f>
        <v/>
      </c>
      <c r="BA154" s="190" t="str">
        <f t="shared" ca="1" si="84"/>
        <v/>
      </c>
      <c r="BB154" s="190" t="str">
        <f t="shared" ca="1" si="70"/>
        <v/>
      </c>
      <c r="BC154" s="190"/>
      <c r="BD154" s="190" t="str">
        <f ca="1">IFERROR(IF(AND($B154&gt;=($F$16-$F$15),$B154&lt;$F$22+($F$16-$F$15)),SUM(OFFSET($T$100,($F$16-$F$15),0):$T154),""),"")</f>
        <v/>
      </c>
      <c r="BE154" s="190" t="str">
        <f t="shared" ca="1" si="59"/>
        <v/>
      </c>
      <c r="BF154" s="190" t="str">
        <f t="shared" ca="1" si="60"/>
        <v/>
      </c>
      <c r="BG154"/>
      <c r="BH154" s="190" t="str">
        <f ca="1">IF(ISNUMBER(OFFSET(BD154,-$F$21,0)),SUM(OFFSET($T$100,($F$16-$F$15+$F$21),0):$T154),"")</f>
        <v/>
      </c>
      <c r="BI154" s="190" t="str">
        <f t="shared" ca="1" si="85"/>
        <v/>
      </c>
      <c r="BJ154" s="190" t="str">
        <f t="shared" ca="1" si="61"/>
        <v/>
      </c>
      <c r="BK154" s="190"/>
      <c r="BL154" s="190" t="str">
        <f ca="1">IFERROR(IF(AND($B154&gt;=($F$17-$F$15),$B154&lt;$F$22+($F$17-$F$15)),SUM(OFFSET($T$100,($F$17-$F$15),0):$T154),""),"")</f>
        <v/>
      </c>
      <c r="BM154" s="190" t="str">
        <f t="shared" ca="1" si="86"/>
        <v/>
      </c>
      <c r="BN154" s="190" t="str">
        <f t="shared" ca="1" si="62"/>
        <v/>
      </c>
      <c r="BO154"/>
      <c r="BP154" s="190" t="str">
        <f ca="1">IF(ISNUMBER(OFFSET(BL154,-$F$21,0)),SUM(OFFSET($T$100,($F$17-$F$15+$F$21),0):$T154),"")</f>
        <v/>
      </c>
      <c r="BQ154" s="190" t="str">
        <f t="shared" ca="1" si="87"/>
        <v/>
      </c>
      <c r="BR154" s="190" t="str">
        <f t="shared" ca="1" si="64"/>
        <v/>
      </c>
      <c r="BS154" s="190"/>
      <c r="BT154"/>
      <c r="BU154"/>
      <c r="BV154"/>
      <c r="BY154" s="99"/>
      <c r="BZ154" s="99"/>
      <c r="CA154" s="280" t="str">
        <f t="shared" si="88"/>
        <v/>
      </c>
      <c r="CB154" s="71" t="str">
        <f t="shared" si="31"/>
        <v>-</v>
      </c>
      <c r="CC154" s="33"/>
      <c r="CD154" s="261" t="str">
        <f t="shared" si="33"/>
        <v/>
      </c>
      <c r="CE154" s="280" t="str">
        <f t="shared" si="89"/>
        <v>-</v>
      </c>
      <c r="CF154" s="71" t="str">
        <f t="shared" ca="1" si="90"/>
        <v>-</v>
      </c>
      <c r="CG154" s="33" t="str">
        <f t="shared" si="36"/>
        <v>54-55</v>
      </c>
      <c r="CH154" s="261" t="str">
        <f t="shared" ca="1" si="37"/>
        <v/>
      </c>
      <c r="CI154" s="99"/>
      <c r="CJ154" s="99"/>
      <c r="CK154" s="99"/>
      <c r="CL154" s="99"/>
      <c r="CM154" s="99"/>
      <c r="CN154" s="99"/>
      <c r="CO154" s="99"/>
    </row>
    <row r="155" spans="2:93" ht="13.5" customHeight="1" x14ac:dyDescent="0.2">
      <c r="B155" s="262">
        <v>55</v>
      </c>
      <c r="C155" s="237" t="str">
        <f t="shared" si="1"/>
        <v/>
      </c>
      <c r="D155" s="237" t="str">
        <f t="shared" si="67"/>
        <v>-</v>
      </c>
      <c r="E155" s="290" t="str">
        <f t="shared" si="38"/>
        <v/>
      </c>
      <c r="F155" s="264" t="str">
        <f t="shared" si="39"/>
        <v/>
      </c>
      <c r="G155" s="291" t="str">
        <f t="shared" si="40"/>
        <v/>
      </c>
      <c r="H155" s="240" t="str">
        <f t="shared" si="71"/>
        <v/>
      </c>
      <c r="I155" s="265" t="str">
        <f t="shared" si="72"/>
        <v/>
      </c>
      <c r="J155" s="265" t="str">
        <f t="shared" si="73"/>
        <v/>
      </c>
      <c r="K155" s="240" t="str">
        <f t="shared" si="74"/>
        <v/>
      </c>
      <c r="L155" s="265" t="str">
        <f t="shared" si="75"/>
        <v/>
      </c>
      <c r="M155" s="265" t="str">
        <f t="shared" si="76"/>
        <v/>
      </c>
      <c r="N155" s="240" t="str">
        <f t="shared" si="77"/>
        <v>-</v>
      </c>
      <c r="O155" s="265" t="str">
        <f t="shared" si="78"/>
        <v>-</v>
      </c>
      <c r="P155" s="265" t="str">
        <f t="shared" si="79"/>
        <v>-</v>
      </c>
      <c r="Q155" s="266" t="str">
        <f t="shared" si="80"/>
        <v>-</v>
      </c>
      <c r="R155" s="267" t="str">
        <f t="shared" si="81"/>
        <v>-</v>
      </c>
      <c r="S155" s="268" t="str">
        <f t="shared" si="82"/>
        <v>-</v>
      </c>
      <c r="T155" s="269" t="str">
        <f t="shared" si="13"/>
        <v/>
      </c>
      <c r="U155" s="221">
        <f t="shared" si="14"/>
        <v>55</v>
      </c>
      <c r="V155" s="220" t="str">
        <f t="shared" si="42"/>
        <v>-</v>
      </c>
      <c r="W155" s="221" t="str">
        <f t="shared" si="43"/>
        <v>-</v>
      </c>
      <c r="X155" s="221" t="str">
        <f t="shared" si="15"/>
        <v>-</v>
      </c>
      <c r="Y155" s="221" t="str">
        <f t="shared" si="16"/>
        <v>-</v>
      </c>
      <c r="Z155" s="270">
        <f t="shared" si="44"/>
        <v>0.1</v>
      </c>
      <c r="AA155" s="271" t="str">
        <f>IFERROR(IF(V154=1,AA$100*EXP(-(LN(2)/$D$65+0.04)*X154)*EXP(-(LN(2)/$D$65+0.1)*Y154),IF(V154=2,AA$100*EXP(-(LN(2)/$D$65+0.04)*(VLOOKUP(($F$16-$F$15)-1,U$99:Y154,4,FALSE)))*EXP(-(LN(2)/$D$65+0.1)*(VLOOKUP(($F$16-$F$15)-1,U$99:Y154,5,FALSE)))*EXP(-(LN(2)/$D$65+0.04)*X154)*EXP(-(LN(2)/$D$65+0.1)*Y154),IF(V154=3,AA$100*EXP(-(LN(2)/$D$65+0.04)*(VLOOKUP(($F$16-$F$15)-1,U$99:Y154,4,FALSE)))*EXP(-(LN(2)/$D$65+0.1)*(VLOOKUP(($F$16-$F$15)-1,U$99:Y154,5,FALSE)))*EXP(-(LN(2)/$D$65+0.04)*(VLOOKUP(($F$16-$F$15)*2-1,U$99:Y154,4,FALSE)))*EXP(-(LN(2)/$D$65+0.1)*(VLOOKUP(($F$16-$F$15)*2-1,U$99:Y154,5,FALSE)))*EXP(-(LN(2)/$D$65+0.04)*X154)*EXP(-(LN(2)/$D$65+0.1)*Y154),"-"))),"-")</f>
        <v>-</v>
      </c>
      <c r="AB155" s="271" t="str">
        <f>IFERROR(IF(V155=1,AB$100*EXP(-(LN(2)/$D$65+0.04)*X155)*EXP(-(LN(2)/$D$65+0.1)*Y155),IF(V155=2,AB$100*EXP(-(LN(2)/$D$65+0.04)*(VLOOKUP(($F$16-$F$15)-1,U$100:Y155,4,FALSE)))*EXP(-(LN(2)/$D$65+0.1)*(VLOOKUP(($F$16-$F$15)-1,U$100:Y155,5,FALSE)))*EXP(-(LN(2)/$D$65+0.04)*X155)*EXP(-(LN(2)/$D$65+0.1)*Y155),IF(V155=3,AB$100*EXP(-(LN(2)/$D$65+0.04)*(VLOOKUP(($F$16-$F$15)-1,U$100:Y155,4,FALSE)))*EXP(-(LN(2)/$D$65+0.1)*(VLOOKUP(($F$16-$F$15)-1,U$100:Y155,5,FALSE)))*EXP(-(LN(2)/$D$65+0.04)*(VLOOKUP(($F$16-$F$15)*2-1,U$100:Y155,4,FALSE)))*EXP(-(LN(2)/$D$65+0.1)*(VLOOKUP(($F$16-$F$15)*2-1,U$100:Y155,5,FALSE)))*EXP(-(LN(2)/$D$65+0.04)*X155)*EXP(-(LN(2)/$D$65+0.1)*Y155),"-"))),"-")</f>
        <v>-</v>
      </c>
      <c r="AC155" s="224">
        <f t="shared" si="46"/>
        <v>55</v>
      </c>
      <c r="AD155" s="223" t="str">
        <f t="shared" si="18"/>
        <v>-</v>
      </c>
      <c r="AE155" s="224" t="str">
        <f t="shared" si="47"/>
        <v>-</v>
      </c>
      <c r="AF155" s="224" t="str">
        <f t="shared" si="19"/>
        <v>-</v>
      </c>
      <c r="AG155" s="224" t="str">
        <f t="shared" si="20"/>
        <v>-</v>
      </c>
      <c r="AH155" s="272">
        <f t="shared" si="48"/>
        <v>0.1</v>
      </c>
      <c r="AI155" s="271" t="str">
        <f>IFERROR(IF(AD154=1,AI$100*EXP(-(LN(2)/$D$65+0.04)*AF154)*EXP(-(LN(2)/$D$65+0.1)*AG154),IF(AD154=2,AI$100*EXP(-(LN(2)/$D$65+0.04)*(VLOOKUP(($F$16-$F$15)-1,AC$99:AG154,4,FALSE)))*EXP(-(LN(2)/$D$65+0.1)*(VLOOKUP(($F$16-$F$15)-1,AC$99:AG154,5,FALSE)))*EXP(-(LN(2)/$D$65+0.04)*AF154)*EXP(-(LN(2)/$D$65+0.1)*AG154),IF(AD154=3,AI$100*EXP(-(LN(2)/$D$65+0.04)*(VLOOKUP(($F$16-$F$15)-1,AC$99:AG154,4,FALSE)))*EXP(-(LN(2)/$D$65+0.1)*(VLOOKUP(($F$16-$F$15)-1,AC$99:AG154,5,FALSE)))*EXP(-(LN(2)/$D$65+0.04)*(VLOOKUP(($F$16-$F$15)*2-1,AC$99:AG154,4,FALSE)))*EXP(-(LN(2)/$D$65+0.1)*(VLOOKUP(($F$16-$F$15)*2-1,AC$99:AG154,5,FALSE)))*EXP(-(LN(2)/$D$65+0.04)*AF154)*EXP(-(LN(2)/$D$65+0.1)*AG154),"-"))),"-")</f>
        <v>-</v>
      </c>
      <c r="AJ155" s="271" t="str">
        <f>IFERROR(IF(AD155=1,AJ$100*EXP(-(LN(2)/$D$65+0.04)*AF155)*EXP(-(LN(2)/$D$65+0.1)*AG155),IF(AD155=2,AJ$100*EXP(-(LN(2)/$D$65+0.04)*(VLOOKUP(($F$16-$F$15)-1,AC$100:AG155,4,FALSE)))*EXP(-(LN(2)/$D$65+0.1)*(VLOOKUP(($F$16-$F$15)-1,AC$100:AG155,5,FALSE)))*EXP(-(LN(2)/$D$65+0.04)*AF155)*EXP(-(LN(2)/$D$65+0.1)*AG155),IF(AD155=3,AJ$100*EXP(-(LN(2)/$D$65+0.04)*(VLOOKUP(($F$16-$F$15)-1,AC$100:AG155,4,FALSE)))*EXP(-(LN(2)/$D$65+0.1)*(VLOOKUP(($F$16-$F$15)-1,AC$100:AG155,5,FALSE)))*EXP(-(LN(2)/$D$65+0.04)*(VLOOKUP(($F$16-$F$15)*2-1,AC$100:AG155,4,FALSE)))*EXP(-(LN(2)/$D$65+0.1)*(VLOOKUP(($F$16-$F$15)*2-1,AC$100:AG155,5,FALSE)))*EXP(-(LN(2)/$D$65+0.04)*AF155)*EXP(-(LN(2)/$D$65+0.1)*AG155),"-"))),"-")</f>
        <v>-</v>
      </c>
      <c r="AK155" s="227">
        <f t="shared" si="50"/>
        <v>55</v>
      </c>
      <c r="AL155" s="226" t="str">
        <f t="shared" si="22"/>
        <v>-</v>
      </c>
      <c r="AM155" s="227" t="str">
        <f t="shared" si="51"/>
        <v>-</v>
      </c>
      <c r="AN155" s="227" t="str">
        <f t="shared" si="52"/>
        <v>-</v>
      </c>
      <c r="AO155" s="227" t="str">
        <f t="shared" si="23"/>
        <v>-</v>
      </c>
      <c r="AP155" s="273">
        <f t="shared" si="53"/>
        <v>0.1</v>
      </c>
      <c r="AQ155" s="271" t="str">
        <f>IFERROR(IF(AL154=1,AQ$100*EXP(-(LN(2)/$D$65+0.04)*AN154)*EXP(-(LN(2)/$D$65+0.1)*AO154),IF(AL154=2,AQ$100*EXP(-(LN(2)/$D$65+0.04)*(VLOOKUP(($F$16-$F$15)-1,AK$99:AO154,4,FALSE)))*EXP(-(LN(2)/$D$65+0.1)*(VLOOKUP(($F$16-$F$15)-1,AK$99:AO154,5,FALSE)))*EXP(-(LN(2)/$D$65+0.04)*AN154)*EXP(-(LN(2)/$D$65+0.1)*AO154),IF(AL154=3,AQ$100*EXP(-(LN(2)/$D$65+0.04)*(VLOOKUP(($F$16-$F$15)-1,AK$99:AO154,4,FALSE)))*EXP(-(LN(2)/$D$65+0.1)*(VLOOKUP(($F$16-$F$15)-1,AK$99:AO154,5,FALSE)))*EXP(-(LN(2)/$D$65+0.04)*(VLOOKUP(($F$16-$F$15)*2-1,AK$99:AO154,4,FALSE)))*EXP(-(LN(2)/$D$65+0.1)*(VLOOKUP(($F$16-$F$15)*2-1,AK$99:AO154,5,FALSE)))*EXP(-(LN(2)/$D$65+0.04)*AN154)*EXP(-(LN(2)/$D$65+0.1)*AO154),"-"))),"-")</f>
        <v>-</v>
      </c>
      <c r="AR155" s="271" t="str">
        <f>IFERROR(IF(AL155=1,AR$100*EXP(-(LN(2)/$D$65+0.04)*AN155)*EXP(-(LN(2)/$D$65+0.1)*AO155),IF(AL155=2,AR$100*EXP(-(LN(2)/$D$65+0.04)*(VLOOKUP(($F$16-$F$15)-1,AK$100:AO155,4,FALSE)))*EXP(-(LN(2)/$D$65+0.1)*(VLOOKUP(($F$16-$F$15)-1,AK$100:AO155,5,FALSE)))*EXP(-(LN(2)/$D$65+0.04)*AN155)*EXP(-(LN(2)/$D$65+0.1)*AO155),IF(AL155=3,AR$100*EXP(-(LN(2)/$D$65+0.04)*(VLOOKUP(($F$16-$F$15)-1,AK$100:AO155,4,FALSE)))*EXP(-(LN(2)/$D$65+0.1)*(VLOOKUP(($F$16-$F$15)-1,AK$100:AO155,5,FALSE)))*EXP(-(LN(2)/$D$65+0.04)*(VLOOKUP(($F$16-$F$15)*2-1,AK$100:AO155,4,FALSE)))*EXP(-(LN(2)/$D$65+0.1)*(VLOOKUP(($F$16-$F$15)*2-1,AK$100:AO155,5,FALSE)))*EXP(-(LN(2)/$D$65+0.04)*AN155)*EXP(-(LN(2)/$D$65+0.1)*AO155),"-"))),"-")</f>
        <v>-</v>
      </c>
      <c r="AS155" s="274">
        <f t="shared" si="24"/>
        <v>0</v>
      </c>
      <c r="AT155" s="274">
        <f t="shared" si="25"/>
        <v>0</v>
      </c>
      <c r="AU155" s="274">
        <f t="shared" si="26"/>
        <v>0</v>
      </c>
      <c r="AV155" s="190">
        <f>IF($B155&lt;$F$22,SUM($T$100:$T155),"")</f>
        <v>0</v>
      </c>
      <c r="AW155" s="190" t="str">
        <f t="shared" si="83"/>
        <v>-</v>
      </c>
      <c r="AX155" s="190" t="str">
        <f t="shared" si="57"/>
        <v/>
      </c>
      <c r="AY155"/>
      <c r="AZ155" s="190" t="str">
        <f ca="1">IF(ISNUMBER(OFFSET(AV155,-$F$21,0)),SUM(OFFSET($T$100,$F$21,0):$T155),"")</f>
        <v/>
      </c>
      <c r="BA155" s="190" t="str">
        <f t="shared" ca="1" si="84"/>
        <v/>
      </c>
      <c r="BB155" s="190" t="str">
        <f t="shared" ca="1" si="70"/>
        <v/>
      </c>
      <c r="BC155" s="190"/>
      <c r="BD155" s="190" t="str">
        <f ca="1">IFERROR(IF(AND($B155&gt;=($F$16-$F$15),$B155&lt;$F$22+($F$16-$F$15)),SUM(OFFSET($T$100,($F$16-$F$15),0):$T155),""),"")</f>
        <v/>
      </c>
      <c r="BE155" s="190" t="str">
        <f t="shared" ca="1" si="59"/>
        <v/>
      </c>
      <c r="BF155" s="190" t="str">
        <f t="shared" ca="1" si="60"/>
        <v/>
      </c>
      <c r="BG155"/>
      <c r="BH155" s="190" t="str">
        <f ca="1">IF(ISNUMBER(OFFSET(BD155,-$F$21,0)),SUM(OFFSET($T$100,($F$16-$F$15+$F$21),0):$T155),"")</f>
        <v/>
      </c>
      <c r="BI155" s="190" t="str">
        <f t="shared" ca="1" si="85"/>
        <v/>
      </c>
      <c r="BJ155" s="190" t="str">
        <f t="shared" ca="1" si="61"/>
        <v/>
      </c>
      <c r="BK155" s="190"/>
      <c r="BL155" s="190" t="str">
        <f ca="1">IFERROR(IF(AND($B155&gt;=($F$17-$F$15),$B155&lt;$F$22+($F$17-$F$15)),SUM(OFFSET($T$100,($F$17-$F$15),0):$T155),""),"")</f>
        <v/>
      </c>
      <c r="BM155" s="190" t="str">
        <f t="shared" ca="1" si="86"/>
        <v/>
      </c>
      <c r="BN155" s="190" t="str">
        <f t="shared" ca="1" si="62"/>
        <v/>
      </c>
      <c r="BO155"/>
      <c r="BP155" s="190" t="str">
        <f ca="1">IF(ISNUMBER(OFFSET(BL155,-$F$21,0)),SUM(OFFSET($T$100,($F$17-$F$15+$F$21),0):$T155),"")</f>
        <v/>
      </c>
      <c r="BQ155" s="190" t="str">
        <f t="shared" ca="1" si="87"/>
        <v/>
      </c>
      <c r="BR155" s="190" t="str">
        <f t="shared" ca="1" si="64"/>
        <v/>
      </c>
      <c r="BS155" s="190"/>
      <c r="BT155"/>
      <c r="BU155"/>
      <c r="BV155"/>
      <c r="BY155" s="99"/>
      <c r="BZ155" s="99"/>
      <c r="CA155" s="280" t="str">
        <f t="shared" si="88"/>
        <v/>
      </c>
      <c r="CB155" s="71" t="str">
        <f t="shared" si="31"/>
        <v>-</v>
      </c>
      <c r="CC155" s="33"/>
      <c r="CD155" s="261" t="str">
        <f t="shared" si="33"/>
        <v/>
      </c>
      <c r="CE155" s="280" t="str">
        <f t="shared" si="89"/>
        <v>-</v>
      </c>
      <c r="CF155" s="71" t="str">
        <f t="shared" ca="1" si="90"/>
        <v>-</v>
      </c>
      <c r="CG155" s="33" t="str">
        <f t="shared" si="36"/>
        <v>55-56</v>
      </c>
      <c r="CH155" s="261" t="str">
        <f t="shared" ca="1" si="37"/>
        <v/>
      </c>
      <c r="CI155" s="99"/>
      <c r="CJ155" s="99"/>
      <c r="CK155" s="99"/>
      <c r="CL155" s="99"/>
      <c r="CM155" s="99"/>
      <c r="CN155" s="99"/>
      <c r="CO155" s="99"/>
    </row>
    <row r="156" spans="2:93" ht="13.5" customHeight="1" x14ac:dyDescent="0.2">
      <c r="B156" s="262">
        <v>56</v>
      </c>
      <c r="C156" s="237" t="str">
        <f t="shared" si="1"/>
        <v/>
      </c>
      <c r="D156" s="237" t="str">
        <f t="shared" si="67"/>
        <v>-</v>
      </c>
      <c r="E156" s="290" t="str">
        <f t="shared" si="38"/>
        <v/>
      </c>
      <c r="F156" s="264" t="str">
        <f t="shared" si="39"/>
        <v/>
      </c>
      <c r="G156" s="291" t="str">
        <f t="shared" si="40"/>
        <v/>
      </c>
      <c r="H156" s="240" t="str">
        <f t="shared" si="71"/>
        <v/>
      </c>
      <c r="I156" s="265" t="str">
        <f t="shared" si="72"/>
        <v/>
      </c>
      <c r="J156" s="265" t="str">
        <f t="shared" si="73"/>
        <v/>
      </c>
      <c r="K156" s="240" t="str">
        <f t="shared" si="74"/>
        <v/>
      </c>
      <c r="L156" s="265" t="str">
        <f t="shared" si="75"/>
        <v/>
      </c>
      <c r="M156" s="265" t="str">
        <f t="shared" si="76"/>
        <v/>
      </c>
      <c r="N156" s="240" t="str">
        <f t="shared" si="77"/>
        <v>-</v>
      </c>
      <c r="O156" s="265" t="str">
        <f t="shared" si="78"/>
        <v>-</v>
      </c>
      <c r="P156" s="265" t="str">
        <f t="shared" si="79"/>
        <v>-</v>
      </c>
      <c r="Q156" s="266" t="str">
        <f t="shared" si="80"/>
        <v>-</v>
      </c>
      <c r="R156" s="267" t="str">
        <f t="shared" si="81"/>
        <v>-</v>
      </c>
      <c r="S156" s="268" t="str">
        <f t="shared" si="82"/>
        <v>-</v>
      </c>
      <c r="T156" s="269" t="str">
        <f t="shared" si="13"/>
        <v/>
      </c>
      <c r="U156" s="221">
        <f t="shared" si="14"/>
        <v>56</v>
      </c>
      <c r="V156" s="220" t="str">
        <f t="shared" si="42"/>
        <v>-</v>
      </c>
      <c r="W156" s="221" t="str">
        <f t="shared" si="43"/>
        <v>-</v>
      </c>
      <c r="X156" s="221" t="str">
        <f t="shared" si="15"/>
        <v>-</v>
      </c>
      <c r="Y156" s="221" t="str">
        <f t="shared" si="16"/>
        <v>-</v>
      </c>
      <c r="Z156" s="270">
        <f t="shared" si="44"/>
        <v>0.1</v>
      </c>
      <c r="AA156" s="271" t="str">
        <f>IFERROR(IF(V155=1,AA$100*EXP(-(LN(2)/$D$65+0.04)*X155)*EXP(-(LN(2)/$D$65+0.1)*Y155),IF(V155=2,AA$100*EXP(-(LN(2)/$D$65+0.04)*(VLOOKUP(($F$16-$F$15)-1,U$99:Y155,4,FALSE)))*EXP(-(LN(2)/$D$65+0.1)*(VLOOKUP(($F$16-$F$15)-1,U$99:Y155,5,FALSE)))*EXP(-(LN(2)/$D$65+0.04)*X155)*EXP(-(LN(2)/$D$65+0.1)*Y155),IF(V155=3,AA$100*EXP(-(LN(2)/$D$65+0.04)*(VLOOKUP(($F$16-$F$15)-1,U$99:Y155,4,FALSE)))*EXP(-(LN(2)/$D$65+0.1)*(VLOOKUP(($F$16-$F$15)-1,U$99:Y155,5,FALSE)))*EXP(-(LN(2)/$D$65+0.04)*(VLOOKUP(($F$16-$F$15)*2-1,U$99:Y155,4,FALSE)))*EXP(-(LN(2)/$D$65+0.1)*(VLOOKUP(($F$16-$F$15)*2-1,U$99:Y155,5,FALSE)))*EXP(-(LN(2)/$D$65+0.04)*X155)*EXP(-(LN(2)/$D$65+0.1)*Y155),"-"))),"-")</f>
        <v>-</v>
      </c>
      <c r="AB156" s="271" t="str">
        <f>IFERROR(IF(V156=1,AB$100*EXP(-(LN(2)/$D$65+0.04)*X156)*EXP(-(LN(2)/$D$65+0.1)*Y156),IF(V156=2,AB$100*EXP(-(LN(2)/$D$65+0.04)*(VLOOKUP(($F$16-$F$15)-1,U$100:Y156,4,FALSE)))*EXP(-(LN(2)/$D$65+0.1)*(VLOOKUP(($F$16-$F$15)-1,U$100:Y156,5,FALSE)))*EXP(-(LN(2)/$D$65+0.04)*X156)*EXP(-(LN(2)/$D$65+0.1)*Y156),IF(V156=3,AB$100*EXP(-(LN(2)/$D$65+0.04)*(VLOOKUP(($F$16-$F$15)-1,U$100:Y156,4,FALSE)))*EXP(-(LN(2)/$D$65+0.1)*(VLOOKUP(($F$16-$F$15)-1,U$100:Y156,5,FALSE)))*EXP(-(LN(2)/$D$65+0.04)*(VLOOKUP(($F$16-$F$15)*2-1,U$100:Y156,4,FALSE)))*EXP(-(LN(2)/$D$65+0.1)*(VLOOKUP(($F$16-$F$15)*2-1,U$100:Y156,5,FALSE)))*EXP(-(LN(2)/$D$65+0.04)*X156)*EXP(-(LN(2)/$D$65+0.1)*Y156),"-"))),"-")</f>
        <v>-</v>
      </c>
      <c r="AC156" s="224">
        <f t="shared" si="46"/>
        <v>56</v>
      </c>
      <c r="AD156" s="223" t="str">
        <f t="shared" si="18"/>
        <v>-</v>
      </c>
      <c r="AE156" s="224" t="str">
        <f t="shared" si="47"/>
        <v>-</v>
      </c>
      <c r="AF156" s="224" t="str">
        <f t="shared" si="19"/>
        <v>-</v>
      </c>
      <c r="AG156" s="224" t="str">
        <f t="shared" si="20"/>
        <v>-</v>
      </c>
      <c r="AH156" s="272">
        <f t="shared" si="48"/>
        <v>0.1</v>
      </c>
      <c r="AI156" s="271" t="str">
        <f>IFERROR(IF(AD155=1,AI$100*EXP(-(LN(2)/$D$65+0.04)*AF155)*EXP(-(LN(2)/$D$65+0.1)*AG155),IF(AD155=2,AI$100*EXP(-(LN(2)/$D$65+0.04)*(VLOOKUP(($F$16-$F$15)-1,AC$99:AG155,4,FALSE)))*EXP(-(LN(2)/$D$65+0.1)*(VLOOKUP(($F$16-$F$15)-1,AC$99:AG155,5,FALSE)))*EXP(-(LN(2)/$D$65+0.04)*AF155)*EXP(-(LN(2)/$D$65+0.1)*AG155),IF(AD155=3,AI$100*EXP(-(LN(2)/$D$65+0.04)*(VLOOKUP(($F$16-$F$15)-1,AC$99:AG155,4,FALSE)))*EXP(-(LN(2)/$D$65+0.1)*(VLOOKUP(($F$16-$F$15)-1,AC$99:AG155,5,FALSE)))*EXP(-(LN(2)/$D$65+0.04)*(VLOOKUP(($F$16-$F$15)*2-1,AC$99:AG155,4,FALSE)))*EXP(-(LN(2)/$D$65+0.1)*(VLOOKUP(($F$16-$F$15)*2-1,AC$99:AG155,5,FALSE)))*EXP(-(LN(2)/$D$65+0.04)*AF155)*EXP(-(LN(2)/$D$65+0.1)*AG155),"-"))),"-")</f>
        <v>-</v>
      </c>
      <c r="AJ156" s="271" t="str">
        <f>IFERROR(IF(AD156=1,AJ$100*EXP(-(LN(2)/$D$65+0.04)*AF156)*EXP(-(LN(2)/$D$65+0.1)*AG156),IF(AD156=2,AJ$100*EXP(-(LN(2)/$D$65+0.04)*(VLOOKUP(($F$16-$F$15)-1,AC$100:AG156,4,FALSE)))*EXP(-(LN(2)/$D$65+0.1)*(VLOOKUP(($F$16-$F$15)-1,AC$100:AG156,5,FALSE)))*EXP(-(LN(2)/$D$65+0.04)*AF156)*EXP(-(LN(2)/$D$65+0.1)*AG156),IF(AD156=3,AJ$100*EXP(-(LN(2)/$D$65+0.04)*(VLOOKUP(($F$16-$F$15)-1,AC$100:AG156,4,FALSE)))*EXP(-(LN(2)/$D$65+0.1)*(VLOOKUP(($F$16-$F$15)-1,AC$100:AG156,5,FALSE)))*EXP(-(LN(2)/$D$65+0.04)*(VLOOKUP(($F$16-$F$15)*2-1,AC$100:AG156,4,FALSE)))*EXP(-(LN(2)/$D$65+0.1)*(VLOOKUP(($F$16-$F$15)*2-1,AC$100:AG156,5,FALSE)))*EXP(-(LN(2)/$D$65+0.04)*AF156)*EXP(-(LN(2)/$D$65+0.1)*AG156),"-"))),"-")</f>
        <v>-</v>
      </c>
      <c r="AK156" s="227">
        <f t="shared" si="50"/>
        <v>56</v>
      </c>
      <c r="AL156" s="226" t="str">
        <f t="shared" si="22"/>
        <v>-</v>
      </c>
      <c r="AM156" s="227" t="str">
        <f t="shared" si="51"/>
        <v>-</v>
      </c>
      <c r="AN156" s="227" t="str">
        <f t="shared" si="52"/>
        <v>-</v>
      </c>
      <c r="AO156" s="227" t="str">
        <f t="shared" si="23"/>
        <v>-</v>
      </c>
      <c r="AP156" s="273">
        <f t="shared" si="53"/>
        <v>0.1</v>
      </c>
      <c r="AQ156" s="271" t="str">
        <f>IFERROR(IF(AL155=1,AQ$100*EXP(-(LN(2)/$D$65+0.04)*AN155)*EXP(-(LN(2)/$D$65+0.1)*AO155),IF(AL155=2,AQ$100*EXP(-(LN(2)/$D$65+0.04)*(VLOOKUP(($F$16-$F$15)-1,AK$99:AO155,4,FALSE)))*EXP(-(LN(2)/$D$65+0.1)*(VLOOKUP(($F$16-$F$15)-1,AK$99:AO155,5,FALSE)))*EXP(-(LN(2)/$D$65+0.04)*AN155)*EXP(-(LN(2)/$D$65+0.1)*AO155),IF(AL155=3,AQ$100*EXP(-(LN(2)/$D$65+0.04)*(VLOOKUP(($F$16-$F$15)-1,AK$99:AO155,4,FALSE)))*EXP(-(LN(2)/$D$65+0.1)*(VLOOKUP(($F$16-$F$15)-1,AK$99:AO155,5,FALSE)))*EXP(-(LN(2)/$D$65+0.04)*(VLOOKUP(($F$16-$F$15)*2-1,AK$99:AO155,4,FALSE)))*EXP(-(LN(2)/$D$65+0.1)*(VLOOKUP(($F$16-$F$15)*2-1,AK$99:AO155,5,FALSE)))*EXP(-(LN(2)/$D$65+0.04)*AN155)*EXP(-(LN(2)/$D$65+0.1)*AO155),"-"))),"-")</f>
        <v>-</v>
      </c>
      <c r="AR156" s="271" t="str">
        <f>IFERROR(IF(AL156=1,AR$100*EXP(-(LN(2)/$D$65+0.04)*AN156)*EXP(-(LN(2)/$D$65+0.1)*AO156),IF(AL156=2,AR$100*EXP(-(LN(2)/$D$65+0.04)*(VLOOKUP(($F$16-$F$15)-1,AK$100:AO156,4,FALSE)))*EXP(-(LN(2)/$D$65+0.1)*(VLOOKUP(($F$16-$F$15)-1,AK$100:AO156,5,FALSE)))*EXP(-(LN(2)/$D$65+0.04)*AN156)*EXP(-(LN(2)/$D$65+0.1)*AO156),IF(AL156=3,AR$100*EXP(-(LN(2)/$D$65+0.04)*(VLOOKUP(($F$16-$F$15)-1,AK$100:AO156,4,FALSE)))*EXP(-(LN(2)/$D$65+0.1)*(VLOOKUP(($F$16-$F$15)-1,AK$100:AO156,5,FALSE)))*EXP(-(LN(2)/$D$65+0.04)*(VLOOKUP(($F$16-$F$15)*2-1,AK$100:AO156,4,FALSE)))*EXP(-(LN(2)/$D$65+0.1)*(VLOOKUP(($F$16-$F$15)*2-1,AK$100:AO156,5,FALSE)))*EXP(-(LN(2)/$D$65+0.04)*AN156)*EXP(-(LN(2)/$D$65+0.1)*AO156),"-"))),"-")</f>
        <v>-</v>
      </c>
      <c r="AS156" s="274">
        <f t="shared" si="24"/>
        <v>0</v>
      </c>
      <c r="AT156" s="274">
        <f t="shared" si="25"/>
        <v>0</v>
      </c>
      <c r="AU156" s="274">
        <f t="shared" si="26"/>
        <v>0</v>
      </c>
      <c r="AV156" s="190">
        <f>IF($B156&lt;$F$22,SUM($T$100:$T156),"")</f>
        <v>0</v>
      </c>
      <c r="AW156" s="190" t="str">
        <f t="shared" si="83"/>
        <v>-</v>
      </c>
      <c r="AX156" s="190" t="str">
        <f t="shared" si="57"/>
        <v/>
      </c>
      <c r="AY156"/>
      <c r="AZ156" s="190" t="str">
        <f ca="1">IF(ISNUMBER(OFFSET(AV156,-$F$21,0)),SUM(OFFSET($T$100,$F$21,0):$T156),"")</f>
        <v/>
      </c>
      <c r="BA156" s="190" t="str">
        <f t="shared" ca="1" si="84"/>
        <v/>
      </c>
      <c r="BB156" s="190" t="str">
        <f t="shared" ca="1" si="70"/>
        <v/>
      </c>
      <c r="BC156" s="190"/>
      <c r="BD156" s="190" t="str">
        <f ca="1">IFERROR(IF(AND($B156&gt;=($F$16-$F$15),$B156&lt;$F$22+($F$16-$F$15)),SUM(OFFSET($T$100,($F$16-$F$15),0):$T156),""),"")</f>
        <v/>
      </c>
      <c r="BE156" s="190" t="str">
        <f t="shared" ca="1" si="59"/>
        <v/>
      </c>
      <c r="BF156" s="190" t="str">
        <f t="shared" ca="1" si="60"/>
        <v/>
      </c>
      <c r="BG156"/>
      <c r="BH156" s="190" t="str">
        <f ca="1">IF(ISNUMBER(OFFSET(BD156,-$F$21,0)),SUM(OFFSET($T$100,($F$16-$F$15+$F$21),0):$T156),"")</f>
        <v/>
      </c>
      <c r="BI156" s="190" t="str">
        <f t="shared" ca="1" si="85"/>
        <v/>
      </c>
      <c r="BJ156" s="190" t="str">
        <f t="shared" ca="1" si="61"/>
        <v/>
      </c>
      <c r="BK156" s="190"/>
      <c r="BL156" s="190" t="str">
        <f ca="1">IFERROR(IF(AND($B156&gt;=($F$17-$F$15),$B156&lt;$F$22+($F$17-$F$15)),SUM(OFFSET($T$100,($F$17-$F$15),0):$T156),""),"")</f>
        <v/>
      </c>
      <c r="BM156" s="190" t="str">
        <f t="shared" ca="1" si="86"/>
        <v/>
      </c>
      <c r="BN156" s="190" t="str">
        <f t="shared" ca="1" si="62"/>
        <v/>
      </c>
      <c r="BO156"/>
      <c r="BP156" s="190" t="str">
        <f ca="1">IF(ISNUMBER(OFFSET(BL156,-$F$21,0)),SUM(OFFSET($T$100,($F$17-$F$15+$F$21),0):$T156),"")</f>
        <v/>
      </c>
      <c r="BQ156" s="190" t="str">
        <f t="shared" ca="1" si="87"/>
        <v/>
      </c>
      <c r="BR156" s="190" t="str">
        <f t="shared" ca="1" si="64"/>
        <v/>
      </c>
      <c r="BS156" s="190"/>
      <c r="BT156"/>
      <c r="BU156"/>
      <c r="BV156"/>
      <c r="BY156" s="99"/>
      <c r="BZ156" s="99"/>
      <c r="CA156" s="280" t="str">
        <f t="shared" si="88"/>
        <v/>
      </c>
      <c r="CB156" s="71" t="str">
        <f t="shared" si="31"/>
        <v>-</v>
      </c>
      <c r="CC156" s="33"/>
      <c r="CD156" s="261" t="str">
        <f t="shared" si="33"/>
        <v/>
      </c>
      <c r="CE156" s="280" t="str">
        <f t="shared" si="89"/>
        <v>-</v>
      </c>
      <c r="CF156" s="71" t="str">
        <f t="shared" ca="1" si="90"/>
        <v>-</v>
      </c>
      <c r="CG156" s="33" t="str">
        <f t="shared" si="36"/>
        <v>56-57</v>
      </c>
      <c r="CH156" s="261" t="str">
        <f t="shared" ca="1" si="37"/>
        <v/>
      </c>
      <c r="CI156" s="99"/>
      <c r="CJ156" s="99"/>
      <c r="CK156" s="99"/>
      <c r="CL156" s="99"/>
      <c r="CM156" s="99"/>
      <c r="CN156" s="99"/>
      <c r="CO156" s="99"/>
    </row>
    <row r="157" spans="2:93" ht="13.5" customHeight="1" x14ac:dyDescent="0.2">
      <c r="B157" s="262">
        <v>57</v>
      </c>
      <c r="C157" s="237" t="str">
        <f t="shared" si="1"/>
        <v/>
      </c>
      <c r="D157" s="237" t="str">
        <f t="shared" si="67"/>
        <v>-</v>
      </c>
      <c r="E157" s="290" t="str">
        <f t="shared" si="38"/>
        <v/>
      </c>
      <c r="F157" s="264" t="str">
        <f t="shared" si="39"/>
        <v/>
      </c>
      <c r="G157" s="291" t="str">
        <f t="shared" si="40"/>
        <v/>
      </c>
      <c r="H157" s="240" t="str">
        <f t="shared" si="71"/>
        <v/>
      </c>
      <c r="I157" s="265" t="str">
        <f t="shared" si="72"/>
        <v/>
      </c>
      <c r="J157" s="265" t="str">
        <f t="shared" si="73"/>
        <v/>
      </c>
      <c r="K157" s="240" t="str">
        <f t="shared" si="74"/>
        <v/>
      </c>
      <c r="L157" s="265" t="str">
        <f t="shared" si="75"/>
        <v/>
      </c>
      <c r="M157" s="265" t="str">
        <f t="shared" si="76"/>
        <v/>
      </c>
      <c r="N157" s="240" t="str">
        <f t="shared" si="77"/>
        <v>-</v>
      </c>
      <c r="O157" s="265" t="str">
        <f t="shared" si="78"/>
        <v>-</v>
      </c>
      <c r="P157" s="265" t="str">
        <f t="shared" si="79"/>
        <v>-</v>
      </c>
      <c r="Q157" s="266" t="str">
        <f t="shared" si="80"/>
        <v>-</v>
      </c>
      <c r="R157" s="267" t="str">
        <f t="shared" si="81"/>
        <v>-</v>
      </c>
      <c r="S157" s="268" t="str">
        <f t="shared" si="82"/>
        <v>-</v>
      </c>
      <c r="T157" s="269" t="str">
        <f t="shared" si="13"/>
        <v/>
      </c>
      <c r="U157" s="221">
        <f t="shared" si="14"/>
        <v>57</v>
      </c>
      <c r="V157" s="220" t="str">
        <f t="shared" si="42"/>
        <v>-</v>
      </c>
      <c r="W157" s="221" t="str">
        <f t="shared" si="43"/>
        <v>-</v>
      </c>
      <c r="X157" s="221" t="str">
        <f t="shared" si="15"/>
        <v>-</v>
      </c>
      <c r="Y157" s="221" t="str">
        <f t="shared" si="16"/>
        <v>-</v>
      </c>
      <c r="Z157" s="270">
        <f t="shared" si="44"/>
        <v>0.1</v>
      </c>
      <c r="AA157" s="271" t="str">
        <f>IFERROR(IF(V156=1,AA$100*EXP(-(LN(2)/$D$65+0.04)*X156)*EXP(-(LN(2)/$D$65+0.1)*Y156),IF(V156=2,AA$100*EXP(-(LN(2)/$D$65+0.04)*(VLOOKUP(($F$16-$F$15)-1,U$99:Y156,4,FALSE)))*EXP(-(LN(2)/$D$65+0.1)*(VLOOKUP(($F$16-$F$15)-1,U$99:Y156,5,FALSE)))*EXP(-(LN(2)/$D$65+0.04)*X156)*EXP(-(LN(2)/$D$65+0.1)*Y156),IF(V156=3,AA$100*EXP(-(LN(2)/$D$65+0.04)*(VLOOKUP(($F$16-$F$15)-1,U$99:Y156,4,FALSE)))*EXP(-(LN(2)/$D$65+0.1)*(VLOOKUP(($F$16-$F$15)-1,U$99:Y156,5,FALSE)))*EXP(-(LN(2)/$D$65+0.04)*(VLOOKUP(($F$16-$F$15)*2-1,U$99:Y156,4,FALSE)))*EXP(-(LN(2)/$D$65+0.1)*(VLOOKUP(($F$16-$F$15)*2-1,U$99:Y156,5,FALSE)))*EXP(-(LN(2)/$D$65+0.04)*X156)*EXP(-(LN(2)/$D$65+0.1)*Y156),"-"))),"-")</f>
        <v>-</v>
      </c>
      <c r="AB157" s="271" t="str">
        <f>IFERROR(IF(V157=1,AB$100*EXP(-(LN(2)/$D$65+0.04)*X157)*EXP(-(LN(2)/$D$65+0.1)*Y157),IF(V157=2,AB$100*EXP(-(LN(2)/$D$65+0.04)*(VLOOKUP(($F$16-$F$15)-1,U$100:Y157,4,FALSE)))*EXP(-(LN(2)/$D$65+0.1)*(VLOOKUP(($F$16-$F$15)-1,U$100:Y157,5,FALSE)))*EXP(-(LN(2)/$D$65+0.04)*X157)*EXP(-(LN(2)/$D$65+0.1)*Y157),IF(V157=3,AB$100*EXP(-(LN(2)/$D$65+0.04)*(VLOOKUP(($F$16-$F$15)-1,U$100:Y157,4,FALSE)))*EXP(-(LN(2)/$D$65+0.1)*(VLOOKUP(($F$16-$F$15)-1,U$100:Y157,5,FALSE)))*EXP(-(LN(2)/$D$65+0.04)*(VLOOKUP(($F$16-$F$15)*2-1,U$100:Y157,4,FALSE)))*EXP(-(LN(2)/$D$65+0.1)*(VLOOKUP(($F$16-$F$15)*2-1,U$100:Y157,5,FALSE)))*EXP(-(LN(2)/$D$65+0.04)*X157)*EXP(-(LN(2)/$D$65+0.1)*Y157),"-"))),"-")</f>
        <v>-</v>
      </c>
      <c r="AC157" s="224">
        <f t="shared" si="46"/>
        <v>57</v>
      </c>
      <c r="AD157" s="223" t="str">
        <f t="shared" si="18"/>
        <v>-</v>
      </c>
      <c r="AE157" s="224" t="str">
        <f t="shared" si="47"/>
        <v>-</v>
      </c>
      <c r="AF157" s="224" t="str">
        <f t="shared" si="19"/>
        <v>-</v>
      </c>
      <c r="AG157" s="224" t="str">
        <f t="shared" si="20"/>
        <v>-</v>
      </c>
      <c r="AH157" s="272">
        <f t="shared" si="48"/>
        <v>0.1</v>
      </c>
      <c r="AI157" s="271" t="str">
        <f>IFERROR(IF(AD156=1,AI$100*EXP(-(LN(2)/$D$65+0.04)*AF156)*EXP(-(LN(2)/$D$65+0.1)*AG156),IF(AD156=2,AI$100*EXP(-(LN(2)/$D$65+0.04)*(VLOOKUP(($F$16-$F$15)-1,AC$99:AG156,4,FALSE)))*EXP(-(LN(2)/$D$65+0.1)*(VLOOKUP(($F$16-$F$15)-1,AC$99:AG156,5,FALSE)))*EXP(-(LN(2)/$D$65+0.04)*AF156)*EXP(-(LN(2)/$D$65+0.1)*AG156),IF(AD156=3,AI$100*EXP(-(LN(2)/$D$65+0.04)*(VLOOKUP(($F$16-$F$15)-1,AC$99:AG156,4,FALSE)))*EXP(-(LN(2)/$D$65+0.1)*(VLOOKUP(($F$16-$F$15)-1,AC$99:AG156,5,FALSE)))*EXP(-(LN(2)/$D$65+0.04)*(VLOOKUP(($F$16-$F$15)*2-1,AC$99:AG156,4,FALSE)))*EXP(-(LN(2)/$D$65+0.1)*(VLOOKUP(($F$16-$F$15)*2-1,AC$99:AG156,5,FALSE)))*EXP(-(LN(2)/$D$65+0.04)*AF156)*EXP(-(LN(2)/$D$65+0.1)*AG156),"-"))),"-")</f>
        <v>-</v>
      </c>
      <c r="AJ157" s="271" t="str">
        <f>IFERROR(IF(AD157=1,AJ$100*EXP(-(LN(2)/$D$65+0.04)*AF157)*EXP(-(LN(2)/$D$65+0.1)*AG157),IF(AD157=2,AJ$100*EXP(-(LN(2)/$D$65+0.04)*(VLOOKUP(($F$16-$F$15)-1,AC$100:AG157,4,FALSE)))*EXP(-(LN(2)/$D$65+0.1)*(VLOOKUP(($F$16-$F$15)-1,AC$100:AG157,5,FALSE)))*EXP(-(LN(2)/$D$65+0.04)*AF157)*EXP(-(LN(2)/$D$65+0.1)*AG157),IF(AD157=3,AJ$100*EXP(-(LN(2)/$D$65+0.04)*(VLOOKUP(($F$16-$F$15)-1,AC$100:AG157,4,FALSE)))*EXP(-(LN(2)/$D$65+0.1)*(VLOOKUP(($F$16-$F$15)-1,AC$100:AG157,5,FALSE)))*EXP(-(LN(2)/$D$65+0.04)*(VLOOKUP(($F$16-$F$15)*2-1,AC$100:AG157,4,FALSE)))*EXP(-(LN(2)/$D$65+0.1)*(VLOOKUP(($F$16-$F$15)*2-1,AC$100:AG157,5,FALSE)))*EXP(-(LN(2)/$D$65+0.04)*AF157)*EXP(-(LN(2)/$D$65+0.1)*AG157),"-"))),"-")</f>
        <v>-</v>
      </c>
      <c r="AK157" s="227">
        <f t="shared" si="50"/>
        <v>57</v>
      </c>
      <c r="AL157" s="226" t="str">
        <f t="shared" si="22"/>
        <v>-</v>
      </c>
      <c r="AM157" s="227" t="str">
        <f t="shared" si="51"/>
        <v>-</v>
      </c>
      <c r="AN157" s="227" t="str">
        <f t="shared" si="52"/>
        <v>-</v>
      </c>
      <c r="AO157" s="227" t="str">
        <f t="shared" si="23"/>
        <v>-</v>
      </c>
      <c r="AP157" s="273">
        <f t="shared" si="53"/>
        <v>0.1</v>
      </c>
      <c r="AQ157" s="271" t="str">
        <f>IFERROR(IF(AL156=1,AQ$100*EXP(-(LN(2)/$D$65+0.04)*AN156)*EXP(-(LN(2)/$D$65+0.1)*AO156),IF(AL156=2,AQ$100*EXP(-(LN(2)/$D$65+0.04)*(VLOOKUP(($F$16-$F$15)-1,AK$99:AO156,4,FALSE)))*EXP(-(LN(2)/$D$65+0.1)*(VLOOKUP(($F$16-$F$15)-1,AK$99:AO156,5,FALSE)))*EXP(-(LN(2)/$D$65+0.04)*AN156)*EXP(-(LN(2)/$D$65+0.1)*AO156),IF(AL156=3,AQ$100*EXP(-(LN(2)/$D$65+0.04)*(VLOOKUP(($F$16-$F$15)-1,AK$99:AO156,4,FALSE)))*EXP(-(LN(2)/$D$65+0.1)*(VLOOKUP(($F$16-$F$15)-1,AK$99:AO156,5,FALSE)))*EXP(-(LN(2)/$D$65+0.04)*(VLOOKUP(($F$16-$F$15)*2-1,AK$99:AO156,4,FALSE)))*EXP(-(LN(2)/$D$65+0.1)*(VLOOKUP(($F$16-$F$15)*2-1,AK$99:AO156,5,FALSE)))*EXP(-(LN(2)/$D$65+0.04)*AN156)*EXP(-(LN(2)/$D$65+0.1)*AO156),"-"))),"-")</f>
        <v>-</v>
      </c>
      <c r="AR157" s="271" t="str">
        <f>IFERROR(IF(AL157=1,AR$100*EXP(-(LN(2)/$D$65+0.04)*AN157)*EXP(-(LN(2)/$D$65+0.1)*AO157),IF(AL157=2,AR$100*EXP(-(LN(2)/$D$65+0.04)*(VLOOKUP(($F$16-$F$15)-1,AK$100:AO157,4,FALSE)))*EXP(-(LN(2)/$D$65+0.1)*(VLOOKUP(($F$16-$F$15)-1,AK$100:AO157,5,FALSE)))*EXP(-(LN(2)/$D$65+0.04)*AN157)*EXP(-(LN(2)/$D$65+0.1)*AO157),IF(AL157=3,AR$100*EXP(-(LN(2)/$D$65+0.04)*(VLOOKUP(($F$16-$F$15)-1,AK$100:AO157,4,FALSE)))*EXP(-(LN(2)/$D$65+0.1)*(VLOOKUP(($F$16-$F$15)-1,AK$100:AO157,5,FALSE)))*EXP(-(LN(2)/$D$65+0.04)*(VLOOKUP(($F$16-$F$15)*2-1,AK$100:AO157,4,FALSE)))*EXP(-(LN(2)/$D$65+0.1)*(VLOOKUP(($F$16-$F$15)*2-1,AK$100:AO157,5,FALSE)))*EXP(-(LN(2)/$D$65+0.04)*AN157)*EXP(-(LN(2)/$D$65+0.1)*AO157),"-"))),"-")</f>
        <v>-</v>
      </c>
      <c r="AS157" s="274">
        <f t="shared" si="24"/>
        <v>0</v>
      </c>
      <c r="AT157" s="274">
        <f t="shared" si="25"/>
        <v>0</v>
      </c>
      <c r="AU157" s="274">
        <f t="shared" si="26"/>
        <v>0</v>
      </c>
      <c r="AV157" s="190">
        <f>IF($B157&lt;$F$22,SUM($T$100:$T157),"")</f>
        <v>0</v>
      </c>
      <c r="AW157" s="190" t="str">
        <f t="shared" si="83"/>
        <v>-</v>
      </c>
      <c r="AX157" s="190" t="str">
        <f t="shared" si="57"/>
        <v/>
      </c>
      <c r="AY157"/>
      <c r="AZ157" s="190" t="str">
        <f ca="1">IF(ISNUMBER(OFFSET(AV157,-$F$21,0)),SUM(OFFSET($T$100,$F$21,0):$T157),"")</f>
        <v/>
      </c>
      <c r="BA157" s="190" t="str">
        <f t="shared" ca="1" si="84"/>
        <v/>
      </c>
      <c r="BB157" s="190" t="str">
        <f t="shared" ca="1" si="70"/>
        <v/>
      </c>
      <c r="BC157" s="190"/>
      <c r="BD157" s="190" t="str">
        <f ca="1">IFERROR(IF(AND($B157&gt;=($F$16-$F$15),$B157&lt;$F$22+($F$16-$F$15)),SUM(OFFSET($T$100,($F$16-$F$15),0):$T157),""),"")</f>
        <v/>
      </c>
      <c r="BE157" s="190" t="str">
        <f t="shared" ca="1" si="59"/>
        <v/>
      </c>
      <c r="BF157" s="190" t="str">
        <f t="shared" ca="1" si="60"/>
        <v/>
      </c>
      <c r="BG157"/>
      <c r="BH157" s="190" t="str">
        <f ca="1">IF(ISNUMBER(OFFSET(BD157,-$F$21,0)),SUM(OFFSET($T$100,($F$16-$F$15+$F$21),0):$T157),"")</f>
        <v/>
      </c>
      <c r="BI157" s="190" t="str">
        <f t="shared" ca="1" si="85"/>
        <v/>
      </c>
      <c r="BJ157" s="190" t="str">
        <f t="shared" ca="1" si="61"/>
        <v/>
      </c>
      <c r="BK157" s="190"/>
      <c r="BL157" s="190" t="str">
        <f ca="1">IFERROR(IF(AND($B157&gt;=($F$17-$F$15),$B157&lt;$F$22+($F$17-$F$15)),SUM(OFFSET($T$100,($F$17-$F$15),0):$T157),""),"")</f>
        <v/>
      </c>
      <c r="BM157" s="190" t="str">
        <f t="shared" ca="1" si="86"/>
        <v/>
      </c>
      <c r="BN157" s="190" t="str">
        <f t="shared" ca="1" si="62"/>
        <v/>
      </c>
      <c r="BO157"/>
      <c r="BP157" s="190" t="str">
        <f ca="1">IF(ISNUMBER(OFFSET(BL157,-$F$21,0)),SUM(OFFSET($T$100,($F$17-$F$15+$F$21),0):$T157),"")</f>
        <v/>
      </c>
      <c r="BQ157" s="190" t="str">
        <f t="shared" ca="1" si="87"/>
        <v/>
      </c>
      <c r="BR157" s="190" t="str">
        <f t="shared" ca="1" si="64"/>
        <v/>
      </c>
      <c r="BS157" s="190"/>
      <c r="BT157"/>
      <c r="BU157"/>
      <c r="BV157"/>
      <c r="BY157" s="99"/>
      <c r="BZ157" s="99"/>
      <c r="CA157" s="280" t="str">
        <f t="shared" si="88"/>
        <v/>
      </c>
      <c r="CB157" s="71" t="str">
        <f t="shared" si="31"/>
        <v>-</v>
      </c>
      <c r="CC157" s="33"/>
      <c r="CD157" s="261" t="str">
        <f t="shared" si="33"/>
        <v/>
      </c>
      <c r="CE157" s="280" t="str">
        <f t="shared" si="89"/>
        <v>-</v>
      </c>
      <c r="CF157" s="71" t="str">
        <f t="shared" ca="1" si="90"/>
        <v>-</v>
      </c>
      <c r="CG157" s="33" t="str">
        <f t="shared" si="36"/>
        <v>57-58</v>
      </c>
      <c r="CH157" s="261" t="str">
        <f t="shared" ca="1" si="37"/>
        <v/>
      </c>
      <c r="CI157" s="99"/>
      <c r="CJ157" s="99"/>
      <c r="CK157" s="99"/>
      <c r="CL157" s="99"/>
      <c r="CM157" s="99"/>
      <c r="CN157" s="99"/>
      <c r="CO157" s="99"/>
    </row>
    <row r="158" spans="2:93" ht="13.5" customHeight="1" x14ac:dyDescent="0.2">
      <c r="B158" s="262">
        <v>58</v>
      </c>
      <c r="C158" s="237" t="str">
        <f t="shared" si="1"/>
        <v/>
      </c>
      <c r="D158" s="237" t="str">
        <f t="shared" si="67"/>
        <v>-</v>
      </c>
      <c r="E158" s="290" t="str">
        <f t="shared" si="38"/>
        <v/>
      </c>
      <c r="F158" s="264" t="str">
        <f t="shared" si="39"/>
        <v/>
      </c>
      <c r="G158" s="291" t="str">
        <f t="shared" si="40"/>
        <v/>
      </c>
      <c r="H158" s="240" t="str">
        <f t="shared" si="71"/>
        <v/>
      </c>
      <c r="I158" s="265" t="str">
        <f t="shared" si="72"/>
        <v/>
      </c>
      <c r="J158" s="265" t="str">
        <f t="shared" si="73"/>
        <v/>
      </c>
      <c r="K158" s="240" t="str">
        <f t="shared" si="74"/>
        <v/>
      </c>
      <c r="L158" s="265" t="str">
        <f t="shared" si="75"/>
        <v/>
      </c>
      <c r="M158" s="265" t="str">
        <f t="shared" si="76"/>
        <v/>
      </c>
      <c r="N158" s="240" t="str">
        <f t="shared" si="77"/>
        <v>-</v>
      </c>
      <c r="O158" s="265" t="str">
        <f t="shared" si="78"/>
        <v>-</v>
      </c>
      <c r="P158" s="265" t="str">
        <f t="shared" si="79"/>
        <v>-</v>
      </c>
      <c r="Q158" s="266" t="str">
        <f t="shared" si="80"/>
        <v>-</v>
      </c>
      <c r="R158" s="267" t="str">
        <f t="shared" si="81"/>
        <v>-</v>
      </c>
      <c r="S158" s="268" t="str">
        <f t="shared" si="82"/>
        <v>-</v>
      </c>
      <c r="T158" s="269" t="str">
        <f t="shared" si="13"/>
        <v/>
      </c>
      <c r="U158" s="221">
        <f t="shared" si="14"/>
        <v>58</v>
      </c>
      <c r="V158" s="220" t="str">
        <f t="shared" si="42"/>
        <v>-</v>
      </c>
      <c r="W158" s="221" t="str">
        <f t="shared" si="43"/>
        <v>-</v>
      </c>
      <c r="X158" s="221" t="str">
        <f t="shared" si="15"/>
        <v>-</v>
      </c>
      <c r="Y158" s="221" t="str">
        <f t="shared" si="16"/>
        <v>-</v>
      </c>
      <c r="Z158" s="270">
        <f t="shared" si="44"/>
        <v>0.1</v>
      </c>
      <c r="AA158" s="271" t="str">
        <f>IFERROR(IF(V157=1,AA$100*EXP(-(LN(2)/$D$65+0.04)*X157)*EXP(-(LN(2)/$D$65+0.1)*Y157),IF(V157=2,AA$100*EXP(-(LN(2)/$D$65+0.04)*(VLOOKUP(($F$16-$F$15)-1,U$99:Y157,4,FALSE)))*EXP(-(LN(2)/$D$65+0.1)*(VLOOKUP(($F$16-$F$15)-1,U$99:Y157,5,FALSE)))*EXP(-(LN(2)/$D$65+0.04)*X157)*EXP(-(LN(2)/$D$65+0.1)*Y157),IF(V157=3,AA$100*EXP(-(LN(2)/$D$65+0.04)*(VLOOKUP(($F$16-$F$15)-1,U$99:Y157,4,FALSE)))*EXP(-(LN(2)/$D$65+0.1)*(VLOOKUP(($F$16-$F$15)-1,U$99:Y157,5,FALSE)))*EXP(-(LN(2)/$D$65+0.04)*(VLOOKUP(($F$16-$F$15)*2-1,U$99:Y157,4,FALSE)))*EXP(-(LN(2)/$D$65+0.1)*(VLOOKUP(($F$16-$F$15)*2-1,U$99:Y157,5,FALSE)))*EXP(-(LN(2)/$D$65+0.04)*X157)*EXP(-(LN(2)/$D$65+0.1)*Y157),"-"))),"-")</f>
        <v>-</v>
      </c>
      <c r="AB158" s="271" t="str">
        <f>IFERROR(IF(V158=1,AB$100*EXP(-(LN(2)/$D$65+0.04)*X158)*EXP(-(LN(2)/$D$65+0.1)*Y158),IF(V158=2,AB$100*EXP(-(LN(2)/$D$65+0.04)*(VLOOKUP(($F$16-$F$15)-1,U$100:Y158,4,FALSE)))*EXP(-(LN(2)/$D$65+0.1)*(VLOOKUP(($F$16-$F$15)-1,U$100:Y158,5,FALSE)))*EXP(-(LN(2)/$D$65+0.04)*X158)*EXP(-(LN(2)/$D$65+0.1)*Y158),IF(V158=3,AB$100*EXP(-(LN(2)/$D$65+0.04)*(VLOOKUP(($F$16-$F$15)-1,U$100:Y158,4,FALSE)))*EXP(-(LN(2)/$D$65+0.1)*(VLOOKUP(($F$16-$F$15)-1,U$100:Y158,5,FALSE)))*EXP(-(LN(2)/$D$65+0.04)*(VLOOKUP(($F$16-$F$15)*2-1,U$100:Y158,4,FALSE)))*EXP(-(LN(2)/$D$65+0.1)*(VLOOKUP(($F$16-$F$15)*2-1,U$100:Y158,5,FALSE)))*EXP(-(LN(2)/$D$65+0.04)*X158)*EXP(-(LN(2)/$D$65+0.1)*Y158),"-"))),"-")</f>
        <v>-</v>
      </c>
      <c r="AC158" s="224">
        <f t="shared" si="46"/>
        <v>58</v>
      </c>
      <c r="AD158" s="223" t="str">
        <f t="shared" si="18"/>
        <v>-</v>
      </c>
      <c r="AE158" s="224" t="str">
        <f t="shared" si="47"/>
        <v>-</v>
      </c>
      <c r="AF158" s="224" t="str">
        <f t="shared" si="19"/>
        <v>-</v>
      </c>
      <c r="AG158" s="224" t="str">
        <f t="shared" si="20"/>
        <v>-</v>
      </c>
      <c r="AH158" s="272">
        <f t="shared" si="48"/>
        <v>0.1</v>
      </c>
      <c r="AI158" s="271" t="str">
        <f>IFERROR(IF(AD157=1,AI$100*EXP(-(LN(2)/$D$65+0.04)*AF157)*EXP(-(LN(2)/$D$65+0.1)*AG157),IF(AD157=2,AI$100*EXP(-(LN(2)/$D$65+0.04)*(VLOOKUP(($F$16-$F$15)-1,AC$99:AG157,4,FALSE)))*EXP(-(LN(2)/$D$65+0.1)*(VLOOKUP(($F$16-$F$15)-1,AC$99:AG157,5,FALSE)))*EXP(-(LN(2)/$D$65+0.04)*AF157)*EXP(-(LN(2)/$D$65+0.1)*AG157),IF(AD157=3,AI$100*EXP(-(LN(2)/$D$65+0.04)*(VLOOKUP(($F$16-$F$15)-1,AC$99:AG157,4,FALSE)))*EXP(-(LN(2)/$D$65+0.1)*(VLOOKUP(($F$16-$F$15)-1,AC$99:AG157,5,FALSE)))*EXP(-(LN(2)/$D$65+0.04)*(VLOOKUP(($F$16-$F$15)*2-1,AC$99:AG157,4,FALSE)))*EXP(-(LN(2)/$D$65+0.1)*(VLOOKUP(($F$16-$F$15)*2-1,AC$99:AG157,5,FALSE)))*EXP(-(LN(2)/$D$65+0.04)*AF157)*EXP(-(LN(2)/$D$65+0.1)*AG157),"-"))),"-")</f>
        <v>-</v>
      </c>
      <c r="AJ158" s="271" t="str">
        <f>IFERROR(IF(AD158=1,AJ$100*EXP(-(LN(2)/$D$65+0.04)*AF158)*EXP(-(LN(2)/$D$65+0.1)*AG158),IF(AD158=2,AJ$100*EXP(-(LN(2)/$D$65+0.04)*(VLOOKUP(($F$16-$F$15)-1,AC$100:AG158,4,FALSE)))*EXP(-(LN(2)/$D$65+0.1)*(VLOOKUP(($F$16-$F$15)-1,AC$100:AG158,5,FALSE)))*EXP(-(LN(2)/$D$65+0.04)*AF158)*EXP(-(LN(2)/$D$65+0.1)*AG158),IF(AD158=3,AJ$100*EXP(-(LN(2)/$D$65+0.04)*(VLOOKUP(($F$16-$F$15)-1,AC$100:AG158,4,FALSE)))*EXP(-(LN(2)/$D$65+0.1)*(VLOOKUP(($F$16-$F$15)-1,AC$100:AG158,5,FALSE)))*EXP(-(LN(2)/$D$65+0.04)*(VLOOKUP(($F$16-$F$15)*2-1,AC$100:AG158,4,FALSE)))*EXP(-(LN(2)/$D$65+0.1)*(VLOOKUP(($F$16-$F$15)*2-1,AC$100:AG158,5,FALSE)))*EXP(-(LN(2)/$D$65+0.04)*AF158)*EXP(-(LN(2)/$D$65+0.1)*AG158),"-"))),"-")</f>
        <v>-</v>
      </c>
      <c r="AK158" s="227">
        <f t="shared" si="50"/>
        <v>58</v>
      </c>
      <c r="AL158" s="226" t="str">
        <f t="shared" si="22"/>
        <v>-</v>
      </c>
      <c r="AM158" s="227" t="str">
        <f t="shared" si="51"/>
        <v>-</v>
      </c>
      <c r="AN158" s="227" t="str">
        <f t="shared" si="52"/>
        <v>-</v>
      </c>
      <c r="AO158" s="227" t="str">
        <f t="shared" si="23"/>
        <v>-</v>
      </c>
      <c r="AP158" s="273">
        <f t="shared" si="53"/>
        <v>0.1</v>
      </c>
      <c r="AQ158" s="271" t="str">
        <f>IFERROR(IF(AL157=1,AQ$100*EXP(-(LN(2)/$D$65+0.04)*AN157)*EXP(-(LN(2)/$D$65+0.1)*AO157),IF(AL157=2,AQ$100*EXP(-(LN(2)/$D$65+0.04)*(VLOOKUP(($F$16-$F$15)-1,AK$99:AO157,4,FALSE)))*EXP(-(LN(2)/$D$65+0.1)*(VLOOKUP(($F$16-$F$15)-1,AK$99:AO157,5,FALSE)))*EXP(-(LN(2)/$D$65+0.04)*AN157)*EXP(-(LN(2)/$D$65+0.1)*AO157),IF(AL157=3,AQ$100*EXP(-(LN(2)/$D$65+0.04)*(VLOOKUP(($F$16-$F$15)-1,AK$99:AO157,4,FALSE)))*EXP(-(LN(2)/$D$65+0.1)*(VLOOKUP(($F$16-$F$15)-1,AK$99:AO157,5,FALSE)))*EXP(-(LN(2)/$D$65+0.04)*(VLOOKUP(($F$16-$F$15)*2-1,AK$99:AO157,4,FALSE)))*EXP(-(LN(2)/$D$65+0.1)*(VLOOKUP(($F$16-$F$15)*2-1,AK$99:AO157,5,FALSE)))*EXP(-(LN(2)/$D$65+0.04)*AN157)*EXP(-(LN(2)/$D$65+0.1)*AO157),"-"))),"-")</f>
        <v>-</v>
      </c>
      <c r="AR158" s="271" t="str">
        <f>IFERROR(IF(AL158=1,AR$100*EXP(-(LN(2)/$D$65+0.04)*AN158)*EXP(-(LN(2)/$D$65+0.1)*AO158),IF(AL158=2,AR$100*EXP(-(LN(2)/$D$65+0.04)*(VLOOKUP(($F$16-$F$15)-1,AK$100:AO158,4,FALSE)))*EXP(-(LN(2)/$D$65+0.1)*(VLOOKUP(($F$16-$F$15)-1,AK$100:AO158,5,FALSE)))*EXP(-(LN(2)/$D$65+0.04)*AN158)*EXP(-(LN(2)/$D$65+0.1)*AO158),IF(AL158=3,AR$100*EXP(-(LN(2)/$D$65+0.04)*(VLOOKUP(($F$16-$F$15)-1,AK$100:AO158,4,FALSE)))*EXP(-(LN(2)/$D$65+0.1)*(VLOOKUP(($F$16-$F$15)-1,AK$100:AO158,5,FALSE)))*EXP(-(LN(2)/$D$65+0.04)*(VLOOKUP(($F$16-$F$15)*2-1,AK$100:AO158,4,FALSE)))*EXP(-(LN(2)/$D$65+0.1)*(VLOOKUP(($F$16-$F$15)*2-1,AK$100:AO158,5,FALSE)))*EXP(-(LN(2)/$D$65+0.04)*AN158)*EXP(-(LN(2)/$D$65+0.1)*AO158),"-"))),"-")</f>
        <v>-</v>
      </c>
      <c r="AS158" s="274">
        <f t="shared" si="24"/>
        <v>0</v>
      </c>
      <c r="AT158" s="274">
        <f t="shared" si="25"/>
        <v>0</v>
      </c>
      <c r="AU158" s="274">
        <f t="shared" si="26"/>
        <v>0</v>
      </c>
      <c r="AV158" s="190">
        <f>IF($B158&lt;$F$22,SUM($T$100:$T158),"")</f>
        <v>0</v>
      </c>
      <c r="AW158" s="190" t="str">
        <f t="shared" si="83"/>
        <v>-</v>
      </c>
      <c r="AX158" s="190" t="str">
        <f t="shared" si="57"/>
        <v/>
      </c>
      <c r="AY158"/>
      <c r="AZ158" s="190" t="str">
        <f ca="1">IF(ISNUMBER(OFFSET(AV158,-$F$21,0)),SUM(OFFSET($T$100,$F$21,0):$T158),"")</f>
        <v/>
      </c>
      <c r="BA158" s="190" t="str">
        <f t="shared" ca="1" si="84"/>
        <v/>
      </c>
      <c r="BB158" s="190" t="str">
        <f t="shared" ca="1" si="70"/>
        <v/>
      </c>
      <c r="BC158" s="190"/>
      <c r="BD158" s="190" t="str">
        <f ca="1">IFERROR(IF(AND($B158&gt;=($F$16-$F$15),$B158&lt;$F$22+($F$16-$F$15)),SUM(OFFSET($T$100,($F$16-$F$15),0):$T158),""),"")</f>
        <v/>
      </c>
      <c r="BE158" s="190" t="str">
        <f t="shared" ca="1" si="59"/>
        <v/>
      </c>
      <c r="BF158" s="190" t="str">
        <f t="shared" ca="1" si="60"/>
        <v/>
      </c>
      <c r="BG158"/>
      <c r="BH158" s="190" t="str">
        <f ca="1">IF(ISNUMBER(OFFSET(BD158,-$F$21,0)),SUM(OFFSET($T$100,($F$16-$F$15+$F$21),0):$T158),"")</f>
        <v/>
      </c>
      <c r="BI158" s="190" t="str">
        <f t="shared" ca="1" si="85"/>
        <v/>
      </c>
      <c r="BJ158" s="190" t="str">
        <f t="shared" ca="1" si="61"/>
        <v/>
      </c>
      <c r="BK158" s="190"/>
      <c r="BL158" s="190" t="str">
        <f ca="1">IFERROR(IF(AND($B158&gt;=($F$17-$F$15),$B158&lt;$F$22+($F$17-$F$15)),SUM(OFFSET($T$100,($F$17-$F$15),0):$T158),""),"")</f>
        <v/>
      </c>
      <c r="BM158" s="190" t="str">
        <f t="shared" ca="1" si="86"/>
        <v/>
      </c>
      <c r="BN158" s="190" t="str">
        <f t="shared" ca="1" si="62"/>
        <v/>
      </c>
      <c r="BO158"/>
      <c r="BP158" s="190" t="str">
        <f ca="1">IF(ISNUMBER(OFFSET(BL158,-$F$21,0)),SUM(OFFSET($T$100,($F$17-$F$15+$F$21),0):$T158),"")</f>
        <v/>
      </c>
      <c r="BQ158" s="190" t="str">
        <f t="shared" ca="1" si="87"/>
        <v/>
      </c>
      <c r="BR158" s="190" t="str">
        <f t="shared" ca="1" si="64"/>
        <v/>
      </c>
      <c r="BS158" s="190"/>
      <c r="BT158"/>
      <c r="BU158"/>
      <c r="BV158"/>
      <c r="BY158" s="99"/>
      <c r="BZ158" s="99"/>
      <c r="CA158" s="280" t="str">
        <f t="shared" si="88"/>
        <v/>
      </c>
      <c r="CB158" s="71" t="str">
        <f t="shared" si="31"/>
        <v>-</v>
      </c>
      <c r="CC158" s="33"/>
      <c r="CD158" s="261" t="str">
        <f t="shared" si="33"/>
        <v/>
      </c>
      <c r="CE158" s="280" t="str">
        <f t="shared" si="89"/>
        <v>-</v>
      </c>
      <c r="CF158" s="71" t="str">
        <f t="shared" ca="1" si="90"/>
        <v>-</v>
      </c>
      <c r="CG158" s="33" t="str">
        <f t="shared" si="36"/>
        <v>58-59</v>
      </c>
      <c r="CH158" s="261" t="str">
        <f t="shared" ca="1" si="37"/>
        <v/>
      </c>
      <c r="CI158" s="99"/>
      <c r="CJ158" s="99"/>
      <c r="CK158" s="99"/>
      <c r="CL158" s="99"/>
      <c r="CM158" s="99"/>
      <c r="CN158" s="99"/>
      <c r="CO158" s="99"/>
    </row>
    <row r="159" spans="2:93" ht="13.5" customHeight="1" x14ac:dyDescent="0.2">
      <c r="B159" s="262">
        <v>59</v>
      </c>
      <c r="C159" s="237" t="str">
        <f t="shared" si="1"/>
        <v/>
      </c>
      <c r="D159" s="237" t="str">
        <f t="shared" si="67"/>
        <v>-</v>
      </c>
      <c r="E159" s="290" t="str">
        <f t="shared" si="38"/>
        <v/>
      </c>
      <c r="F159" s="264" t="str">
        <f t="shared" si="39"/>
        <v/>
      </c>
      <c r="G159" s="291" t="str">
        <f t="shared" si="40"/>
        <v/>
      </c>
      <c r="H159" s="240" t="str">
        <f t="shared" si="71"/>
        <v/>
      </c>
      <c r="I159" s="265" t="str">
        <f t="shared" si="72"/>
        <v/>
      </c>
      <c r="J159" s="265" t="str">
        <f t="shared" si="73"/>
        <v/>
      </c>
      <c r="K159" s="240" t="str">
        <f t="shared" si="74"/>
        <v/>
      </c>
      <c r="L159" s="265" t="str">
        <f t="shared" si="75"/>
        <v/>
      </c>
      <c r="M159" s="265" t="str">
        <f t="shared" si="76"/>
        <v/>
      </c>
      <c r="N159" s="240" t="str">
        <f t="shared" si="77"/>
        <v>-</v>
      </c>
      <c r="O159" s="265" t="str">
        <f t="shared" si="78"/>
        <v>-</v>
      </c>
      <c r="P159" s="265" t="str">
        <f t="shared" si="79"/>
        <v>-</v>
      </c>
      <c r="Q159" s="266" t="str">
        <f t="shared" si="80"/>
        <v>-</v>
      </c>
      <c r="R159" s="267" t="str">
        <f t="shared" si="81"/>
        <v>-</v>
      </c>
      <c r="S159" s="268" t="str">
        <f t="shared" si="82"/>
        <v>-</v>
      </c>
      <c r="T159" s="269" t="str">
        <f t="shared" si="13"/>
        <v/>
      </c>
      <c r="U159" s="221">
        <f t="shared" si="14"/>
        <v>59</v>
      </c>
      <c r="V159" s="220" t="str">
        <f t="shared" si="42"/>
        <v>-</v>
      </c>
      <c r="W159" s="221" t="str">
        <f t="shared" si="43"/>
        <v>-</v>
      </c>
      <c r="X159" s="221" t="str">
        <f t="shared" si="15"/>
        <v>-</v>
      </c>
      <c r="Y159" s="221" t="str">
        <f t="shared" si="16"/>
        <v>-</v>
      </c>
      <c r="Z159" s="270">
        <f t="shared" si="44"/>
        <v>0.1</v>
      </c>
      <c r="AA159" s="271" t="str">
        <f>IFERROR(IF(V158=1,AA$100*EXP(-(LN(2)/$D$65+0.04)*X158)*EXP(-(LN(2)/$D$65+0.1)*Y158),IF(V158=2,AA$100*EXP(-(LN(2)/$D$65+0.04)*(VLOOKUP(($F$16-$F$15)-1,U$99:Y158,4,FALSE)))*EXP(-(LN(2)/$D$65+0.1)*(VLOOKUP(($F$16-$F$15)-1,U$99:Y158,5,FALSE)))*EXP(-(LN(2)/$D$65+0.04)*X158)*EXP(-(LN(2)/$D$65+0.1)*Y158),IF(V158=3,AA$100*EXP(-(LN(2)/$D$65+0.04)*(VLOOKUP(($F$16-$F$15)-1,U$99:Y158,4,FALSE)))*EXP(-(LN(2)/$D$65+0.1)*(VLOOKUP(($F$16-$F$15)-1,U$99:Y158,5,FALSE)))*EXP(-(LN(2)/$D$65+0.04)*(VLOOKUP(($F$16-$F$15)*2-1,U$99:Y158,4,FALSE)))*EXP(-(LN(2)/$D$65+0.1)*(VLOOKUP(($F$16-$F$15)*2-1,U$99:Y158,5,FALSE)))*EXP(-(LN(2)/$D$65+0.04)*X158)*EXP(-(LN(2)/$D$65+0.1)*Y158),"-"))),"-")</f>
        <v>-</v>
      </c>
      <c r="AB159" s="271" t="str">
        <f>IFERROR(IF(V159=1,AB$100*EXP(-(LN(2)/$D$65+0.04)*X159)*EXP(-(LN(2)/$D$65+0.1)*Y159),IF(V159=2,AB$100*EXP(-(LN(2)/$D$65+0.04)*(VLOOKUP(($F$16-$F$15)-1,U$100:Y159,4,FALSE)))*EXP(-(LN(2)/$D$65+0.1)*(VLOOKUP(($F$16-$F$15)-1,U$100:Y159,5,FALSE)))*EXP(-(LN(2)/$D$65+0.04)*X159)*EXP(-(LN(2)/$D$65+0.1)*Y159),IF(V159=3,AB$100*EXP(-(LN(2)/$D$65+0.04)*(VLOOKUP(($F$16-$F$15)-1,U$100:Y159,4,FALSE)))*EXP(-(LN(2)/$D$65+0.1)*(VLOOKUP(($F$16-$F$15)-1,U$100:Y159,5,FALSE)))*EXP(-(LN(2)/$D$65+0.04)*(VLOOKUP(($F$16-$F$15)*2-1,U$100:Y159,4,FALSE)))*EXP(-(LN(2)/$D$65+0.1)*(VLOOKUP(($F$16-$F$15)*2-1,U$100:Y159,5,FALSE)))*EXP(-(LN(2)/$D$65+0.04)*X159)*EXP(-(LN(2)/$D$65+0.1)*Y159),"-"))),"-")</f>
        <v>-</v>
      </c>
      <c r="AC159" s="224">
        <f t="shared" si="46"/>
        <v>59</v>
      </c>
      <c r="AD159" s="223" t="str">
        <f t="shared" si="18"/>
        <v>-</v>
      </c>
      <c r="AE159" s="224" t="str">
        <f t="shared" si="47"/>
        <v>-</v>
      </c>
      <c r="AF159" s="224" t="str">
        <f t="shared" si="19"/>
        <v>-</v>
      </c>
      <c r="AG159" s="224" t="str">
        <f t="shared" si="20"/>
        <v>-</v>
      </c>
      <c r="AH159" s="272">
        <f t="shared" si="48"/>
        <v>0.1</v>
      </c>
      <c r="AI159" s="271" t="str">
        <f>IFERROR(IF(AD158=1,AI$100*EXP(-(LN(2)/$D$65+0.04)*AF158)*EXP(-(LN(2)/$D$65+0.1)*AG158),IF(AD158=2,AI$100*EXP(-(LN(2)/$D$65+0.04)*(VLOOKUP(($F$16-$F$15)-1,AC$99:AG158,4,FALSE)))*EXP(-(LN(2)/$D$65+0.1)*(VLOOKUP(($F$16-$F$15)-1,AC$99:AG158,5,FALSE)))*EXP(-(LN(2)/$D$65+0.04)*AF158)*EXP(-(LN(2)/$D$65+0.1)*AG158),IF(AD158=3,AI$100*EXP(-(LN(2)/$D$65+0.04)*(VLOOKUP(($F$16-$F$15)-1,AC$99:AG158,4,FALSE)))*EXP(-(LN(2)/$D$65+0.1)*(VLOOKUP(($F$16-$F$15)-1,AC$99:AG158,5,FALSE)))*EXP(-(LN(2)/$D$65+0.04)*(VLOOKUP(($F$16-$F$15)*2-1,AC$99:AG158,4,FALSE)))*EXP(-(LN(2)/$D$65+0.1)*(VLOOKUP(($F$16-$F$15)*2-1,AC$99:AG158,5,FALSE)))*EXP(-(LN(2)/$D$65+0.04)*AF158)*EXP(-(LN(2)/$D$65+0.1)*AG158),"-"))),"-")</f>
        <v>-</v>
      </c>
      <c r="AJ159" s="271" t="str">
        <f>IFERROR(IF(AD159=1,AJ$100*EXP(-(LN(2)/$D$65+0.04)*AF159)*EXP(-(LN(2)/$D$65+0.1)*AG159),IF(AD159=2,AJ$100*EXP(-(LN(2)/$D$65+0.04)*(VLOOKUP(($F$16-$F$15)-1,AC$100:AG159,4,FALSE)))*EXP(-(LN(2)/$D$65+0.1)*(VLOOKUP(($F$16-$F$15)-1,AC$100:AG159,5,FALSE)))*EXP(-(LN(2)/$D$65+0.04)*AF159)*EXP(-(LN(2)/$D$65+0.1)*AG159),IF(AD159=3,AJ$100*EXP(-(LN(2)/$D$65+0.04)*(VLOOKUP(($F$16-$F$15)-1,AC$100:AG159,4,FALSE)))*EXP(-(LN(2)/$D$65+0.1)*(VLOOKUP(($F$16-$F$15)-1,AC$100:AG159,5,FALSE)))*EXP(-(LN(2)/$D$65+0.04)*(VLOOKUP(($F$16-$F$15)*2-1,AC$100:AG159,4,FALSE)))*EXP(-(LN(2)/$D$65+0.1)*(VLOOKUP(($F$16-$F$15)*2-1,AC$100:AG159,5,FALSE)))*EXP(-(LN(2)/$D$65+0.04)*AF159)*EXP(-(LN(2)/$D$65+0.1)*AG159),"-"))),"-")</f>
        <v>-</v>
      </c>
      <c r="AK159" s="227">
        <f t="shared" si="50"/>
        <v>59</v>
      </c>
      <c r="AL159" s="226" t="str">
        <f t="shared" si="22"/>
        <v>-</v>
      </c>
      <c r="AM159" s="227" t="str">
        <f t="shared" si="51"/>
        <v>-</v>
      </c>
      <c r="AN159" s="227" t="str">
        <f t="shared" si="52"/>
        <v>-</v>
      </c>
      <c r="AO159" s="227" t="str">
        <f t="shared" si="23"/>
        <v>-</v>
      </c>
      <c r="AP159" s="273">
        <f t="shared" si="53"/>
        <v>0.1</v>
      </c>
      <c r="AQ159" s="271" t="str">
        <f>IFERROR(IF(AL158=1,AQ$100*EXP(-(LN(2)/$D$65+0.04)*AN158)*EXP(-(LN(2)/$D$65+0.1)*AO158),IF(AL158=2,AQ$100*EXP(-(LN(2)/$D$65+0.04)*(VLOOKUP(($F$16-$F$15)-1,AK$99:AO158,4,FALSE)))*EXP(-(LN(2)/$D$65+0.1)*(VLOOKUP(($F$16-$F$15)-1,AK$99:AO158,5,FALSE)))*EXP(-(LN(2)/$D$65+0.04)*AN158)*EXP(-(LN(2)/$D$65+0.1)*AO158),IF(AL158=3,AQ$100*EXP(-(LN(2)/$D$65+0.04)*(VLOOKUP(($F$16-$F$15)-1,AK$99:AO158,4,FALSE)))*EXP(-(LN(2)/$D$65+0.1)*(VLOOKUP(($F$16-$F$15)-1,AK$99:AO158,5,FALSE)))*EXP(-(LN(2)/$D$65+0.04)*(VLOOKUP(($F$16-$F$15)*2-1,AK$99:AO158,4,FALSE)))*EXP(-(LN(2)/$D$65+0.1)*(VLOOKUP(($F$16-$F$15)*2-1,AK$99:AO158,5,FALSE)))*EXP(-(LN(2)/$D$65+0.04)*AN158)*EXP(-(LN(2)/$D$65+0.1)*AO158),"-"))),"-")</f>
        <v>-</v>
      </c>
      <c r="AR159" s="271" t="str">
        <f>IFERROR(IF(AL159=1,AR$100*EXP(-(LN(2)/$D$65+0.04)*AN159)*EXP(-(LN(2)/$D$65+0.1)*AO159),IF(AL159=2,AR$100*EXP(-(LN(2)/$D$65+0.04)*(VLOOKUP(($F$16-$F$15)-1,AK$100:AO159,4,FALSE)))*EXP(-(LN(2)/$D$65+0.1)*(VLOOKUP(($F$16-$F$15)-1,AK$100:AO159,5,FALSE)))*EXP(-(LN(2)/$D$65+0.04)*AN159)*EXP(-(LN(2)/$D$65+0.1)*AO159),IF(AL159=3,AR$100*EXP(-(LN(2)/$D$65+0.04)*(VLOOKUP(($F$16-$F$15)-1,AK$100:AO159,4,FALSE)))*EXP(-(LN(2)/$D$65+0.1)*(VLOOKUP(($F$16-$F$15)-1,AK$100:AO159,5,FALSE)))*EXP(-(LN(2)/$D$65+0.04)*(VLOOKUP(($F$16-$F$15)*2-1,AK$100:AO159,4,FALSE)))*EXP(-(LN(2)/$D$65+0.1)*(VLOOKUP(($F$16-$F$15)*2-1,AK$100:AO159,5,FALSE)))*EXP(-(LN(2)/$D$65+0.04)*AN159)*EXP(-(LN(2)/$D$65+0.1)*AO159),"-"))),"-")</f>
        <v>-</v>
      </c>
      <c r="AS159" s="274">
        <f t="shared" si="24"/>
        <v>0</v>
      </c>
      <c r="AT159" s="274">
        <f t="shared" si="25"/>
        <v>0</v>
      </c>
      <c r="AU159" s="274">
        <f t="shared" si="26"/>
        <v>0</v>
      </c>
      <c r="AV159" s="190">
        <f>IF($B159&lt;$F$22,SUM($T$100:$T159),"")</f>
        <v>0</v>
      </c>
      <c r="AW159" s="190" t="str">
        <f t="shared" si="83"/>
        <v>-</v>
      </c>
      <c r="AX159" s="190" t="str">
        <f t="shared" si="57"/>
        <v/>
      </c>
      <c r="AY159"/>
      <c r="AZ159" s="190" t="str">
        <f ca="1">IF(ISNUMBER(OFFSET(AV159,-$F$21,0)),SUM(OFFSET($T$100,$F$21,0):$T159),"")</f>
        <v/>
      </c>
      <c r="BA159" s="190" t="str">
        <f t="shared" ca="1" si="84"/>
        <v/>
      </c>
      <c r="BB159" s="190" t="str">
        <f t="shared" ca="1" si="70"/>
        <v/>
      </c>
      <c r="BC159" s="190"/>
      <c r="BD159" s="190" t="str">
        <f ca="1">IFERROR(IF(AND($B159&gt;=($F$16-$F$15),$B159&lt;$F$22+($F$16-$F$15)),SUM(OFFSET($T$100,($F$16-$F$15),0):$T159),""),"")</f>
        <v/>
      </c>
      <c r="BE159" s="190" t="str">
        <f t="shared" ca="1" si="59"/>
        <v/>
      </c>
      <c r="BF159" s="190" t="str">
        <f t="shared" ca="1" si="60"/>
        <v/>
      </c>
      <c r="BG159"/>
      <c r="BH159" s="190" t="str">
        <f ca="1">IF(ISNUMBER(OFFSET(BD159,-$F$21,0)),SUM(OFFSET($T$100,($F$16-$F$15+$F$21),0):$T159),"")</f>
        <v/>
      </c>
      <c r="BI159" s="190" t="str">
        <f t="shared" ca="1" si="85"/>
        <v/>
      </c>
      <c r="BJ159" s="190" t="str">
        <f t="shared" ca="1" si="61"/>
        <v/>
      </c>
      <c r="BK159" s="190"/>
      <c r="BL159" s="190" t="str">
        <f ca="1">IFERROR(IF(AND($B159&gt;=($F$17-$F$15),$B159&lt;$F$22+($F$17-$F$15)),SUM(OFFSET($T$100,($F$17-$F$15),0):$T159),""),"")</f>
        <v/>
      </c>
      <c r="BM159" s="190" t="str">
        <f t="shared" ca="1" si="86"/>
        <v/>
      </c>
      <c r="BN159" s="190" t="str">
        <f t="shared" ca="1" si="62"/>
        <v/>
      </c>
      <c r="BO159"/>
      <c r="BP159" s="190" t="str">
        <f ca="1">IF(ISNUMBER(OFFSET(BL159,-$F$21,0)),SUM(OFFSET($T$100,($F$17-$F$15+$F$21),0):$T159),"")</f>
        <v/>
      </c>
      <c r="BQ159" s="190" t="str">
        <f t="shared" ca="1" si="87"/>
        <v/>
      </c>
      <c r="BR159" s="190" t="str">
        <f t="shared" ca="1" si="64"/>
        <v/>
      </c>
      <c r="BS159" s="190"/>
      <c r="BT159"/>
      <c r="BU159"/>
      <c r="BV159"/>
      <c r="BY159" s="99"/>
      <c r="BZ159" s="99"/>
      <c r="CA159" s="280" t="str">
        <f t="shared" si="88"/>
        <v/>
      </c>
      <c r="CB159" s="71" t="str">
        <f t="shared" si="31"/>
        <v>-</v>
      </c>
      <c r="CC159" s="33"/>
      <c r="CD159" s="261" t="str">
        <f t="shared" si="33"/>
        <v/>
      </c>
      <c r="CE159" s="280" t="str">
        <f t="shared" si="89"/>
        <v>-</v>
      </c>
      <c r="CF159" s="71" t="str">
        <f t="shared" ca="1" si="90"/>
        <v>-</v>
      </c>
      <c r="CG159" s="33" t="str">
        <f t="shared" si="36"/>
        <v>59-60</v>
      </c>
      <c r="CH159" s="261" t="str">
        <f t="shared" ca="1" si="37"/>
        <v/>
      </c>
      <c r="CI159" s="99"/>
      <c r="CJ159" s="99"/>
      <c r="CK159" s="99"/>
      <c r="CL159" s="99"/>
      <c r="CM159" s="99"/>
      <c r="CN159" s="99"/>
      <c r="CO159" s="99"/>
    </row>
    <row r="160" spans="2:93" ht="13.5" customHeight="1" x14ac:dyDescent="0.2">
      <c r="B160" s="262">
        <v>60</v>
      </c>
      <c r="C160" s="237" t="str">
        <f t="shared" si="1"/>
        <v/>
      </c>
      <c r="D160" s="237" t="str">
        <f t="shared" si="67"/>
        <v>-</v>
      </c>
      <c r="E160" s="290" t="str">
        <f t="shared" si="38"/>
        <v/>
      </c>
      <c r="F160" s="264" t="str">
        <f t="shared" si="39"/>
        <v/>
      </c>
      <c r="G160" s="291" t="str">
        <f t="shared" si="40"/>
        <v/>
      </c>
      <c r="H160" s="240" t="str">
        <f t="shared" si="71"/>
        <v/>
      </c>
      <c r="I160" s="265" t="str">
        <f t="shared" si="72"/>
        <v/>
      </c>
      <c r="J160" s="265" t="str">
        <f t="shared" si="73"/>
        <v/>
      </c>
      <c r="K160" s="240" t="str">
        <f t="shared" si="74"/>
        <v/>
      </c>
      <c r="L160" s="265" t="str">
        <f t="shared" si="75"/>
        <v/>
      </c>
      <c r="M160" s="265" t="str">
        <f t="shared" si="76"/>
        <v/>
      </c>
      <c r="N160" s="240" t="str">
        <f t="shared" si="77"/>
        <v>-</v>
      </c>
      <c r="O160" s="265" t="str">
        <f t="shared" si="78"/>
        <v>-</v>
      </c>
      <c r="P160" s="265" t="str">
        <f t="shared" si="79"/>
        <v>-</v>
      </c>
      <c r="Q160" s="266" t="str">
        <f t="shared" si="80"/>
        <v>-</v>
      </c>
      <c r="R160" s="267" t="str">
        <f t="shared" si="81"/>
        <v>-</v>
      </c>
      <c r="S160" s="268" t="str">
        <f t="shared" si="82"/>
        <v>-</v>
      </c>
      <c r="T160" s="269" t="str">
        <f t="shared" si="13"/>
        <v/>
      </c>
      <c r="U160" s="221">
        <f t="shared" si="14"/>
        <v>60</v>
      </c>
      <c r="V160" s="220" t="str">
        <f t="shared" si="42"/>
        <v>-</v>
      </c>
      <c r="W160" s="221" t="str">
        <f t="shared" si="43"/>
        <v>-</v>
      </c>
      <c r="X160" s="221" t="str">
        <f t="shared" si="15"/>
        <v>-</v>
      </c>
      <c r="Y160" s="221" t="str">
        <f t="shared" si="16"/>
        <v>-</v>
      </c>
      <c r="Z160" s="270">
        <f t="shared" si="44"/>
        <v>0.1</v>
      </c>
      <c r="AA160" s="271" t="str">
        <f>IFERROR(IF(V159=1,AA$100*EXP(-(LN(2)/$D$65+0.04)*X159)*EXP(-(LN(2)/$D$65+0.1)*Y159),IF(V159=2,AA$100*EXP(-(LN(2)/$D$65+0.04)*(VLOOKUP(($F$16-$F$15)-1,U$99:Y159,4,FALSE)))*EXP(-(LN(2)/$D$65+0.1)*(VLOOKUP(($F$16-$F$15)-1,U$99:Y159,5,FALSE)))*EXP(-(LN(2)/$D$65+0.04)*X159)*EXP(-(LN(2)/$D$65+0.1)*Y159),IF(V159=3,AA$100*EXP(-(LN(2)/$D$65+0.04)*(VLOOKUP(($F$16-$F$15)-1,U$99:Y159,4,FALSE)))*EXP(-(LN(2)/$D$65+0.1)*(VLOOKUP(($F$16-$F$15)-1,U$99:Y159,5,FALSE)))*EXP(-(LN(2)/$D$65+0.04)*(VLOOKUP(($F$16-$F$15)*2-1,U$99:Y159,4,FALSE)))*EXP(-(LN(2)/$D$65+0.1)*(VLOOKUP(($F$16-$F$15)*2-1,U$99:Y159,5,FALSE)))*EXP(-(LN(2)/$D$65+0.04)*X159)*EXP(-(LN(2)/$D$65+0.1)*Y159),"-"))),"-")</f>
        <v>-</v>
      </c>
      <c r="AB160" s="271" t="str">
        <f>IFERROR(IF(V160=1,AB$100*EXP(-(LN(2)/$D$65+0.04)*X160)*EXP(-(LN(2)/$D$65+0.1)*Y160),IF(V160=2,AB$100*EXP(-(LN(2)/$D$65+0.04)*(VLOOKUP(($F$16-$F$15)-1,U$100:Y160,4,FALSE)))*EXP(-(LN(2)/$D$65+0.1)*(VLOOKUP(($F$16-$F$15)-1,U$100:Y160,5,FALSE)))*EXP(-(LN(2)/$D$65+0.04)*X160)*EXP(-(LN(2)/$D$65+0.1)*Y160),IF(V160=3,AB$100*EXP(-(LN(2)/$D$65+0.04)*(VLOOKUP(($F$16-$F$15)-1,U$100:Y160,4,FALSE)))*EXP(-(LN(2)/$D$65+0.1)*(VLOOKUP(($F$16-$F$15)-1,U$100:Y160,5,FALSE)))*EXP(-(LN(2)/$D$65+0.04)*(VLOOKUP(($F$16-$F$15)*2-1,U$100:Y160,4,FALSE)))*EXP(-(LN(2)/$D$65+0.1)*(VLOOKUP(($F$16-$F$15)*2-1,U$100:Y160,5,FALSE)))*EXP(-(LN(2)/$D$65+0.04)*X160)*EXP(-(LN(2)/$D$65+0.1)*Y160),"-"))),"-")</f>
        <v>-</v>
      </c>
      <c r="AC160" s="224">
        <f t="shared" si="46"/>
        <v>60</v>
      </c>
      <c r="AD160" s="223" t="str">
        <f t="shared" si="18"/>
        <v>-</v>
      </c>
      <c r="AE160" s="224" t="str">
        <f t="shared" si="47"/>
        <v>-</v>
      </c>
      <c r="AF160" s="224" t="str">
        <f t="shared" si="19"/>
        <v>-</v>
      </c>
      <c r="AG160" s="224" t="str">
        <f t="shared" si="20"/>
        <v>-</v>
      </c>
      <c r="AH160" s="272">
        <f t="shared" si="48"/>
        <v>0.1</v>
      </c>
      <c r="AI160" s="271" t="str">
        <f>IFERROR(IF(AD159=1,AI$100*EXP(-(LN(2)/$D$65+0.04)*AF159)*EXP(-(LN(2)/$D$65+0.1)*AG159),IF(AD159=2,AI$100*EXP(-(LN(2)/$D$65+0.04)*(VLOOKUP(($F$16-$F$15)-1,AC$99:AG159,4,FALSE)))*EXP(-(LN(2)/$D$65+0.1)*(VLOOKUP(($F$16-$F$15)-1,AC$99:AG159,5,FALSE)))*EXP(-(LN(2)/$D$65+0.04)*AF159)*EXP(-(LN(2)/$D$65+0.1)*AG159),IF(AD159=3,AI$100*EXP(-(LN(2)/$D$65+0.04)*(VLOOKUP(($F$16-$F$15)-1,AC$99:AG159,4,FALSE)))*EXP(-(LN(2)/$D$65+0.1)*(VLOOKUP(($F$16-$F$15)-1,AC$99:AG159,5,FALSE)))*EXP(-(LN(2)/$D$65+0.04)*(VLOOKUP(($F$16-$F$15)*2-1,AC$99:AG159,4,FALSE)))*EXP(-(LN(2)/$D$65+0.1)*(VLOOKUP(($F$16-$F$15)*2-1,AC$99:AG159,5,FALSE)))*EXP(-(LN(2)/$D$65+0.04)*AF159)*EXP(-(LN(2)/$D$65+0.1)*AG159),"-"))),"-")</f>
        <v>-</v>
      </c>
      <c r="AJ160" s="271" t="str">
        <f>IFERROR(IF(AD160=1,AJ$100*EXP(-(LN(2)/$D$65+0.04)*AF160)*EXP(-(LN(2)/$D$65+0.1)*AG160),IF(AD160=2,AJ$100*EXP(-(LN(2)/$D$65+0.04)*(VLOOKUP(($F$16-$F$15)-1,AC$100:AG160,4,FALSE)))*EXP(-(LN(2)/$D$65+0.1)*(VLOOKUP(($F$16-$F$15)-1,AC$100:AG160,5,FALSE)))*EXP(-(LN(2)/$D$65+0.04)*AF160)*EXP(-(LN(2)/$D$65+0.1)*AG160),IF(AD160=3,AJ$100*EXP(-(LN(2)/$D$65+0.04)*(VLOOKUP(($F$16-$F$15)-1,AC$100:AG160,4,FALSE)))*EXP(-(LN(2)/$D$65+0.1)*(VLOOKUP(($F$16-$F$15)-1,AC$100:AG160,5,FALSE)))*EXP(-(LN(2)/$D$65+0.04)*(VLOOKUP(($F$16-$F$15)*2-1,AC$100:AG160,4,FALSE)))*EXP(-(LN(2)/$D$65+0.1)*(VLOOKUP(($F$16-$F$15)*2-1,AC$100:AG160,5,FALSE)))*EXP(-(LN(2)/$D$65+0.04)*AF160)*EXP(-(LN(2)/$D$65+0.1)*AG160),"-"))),"-")</f>
        <v>-</v>
      </c>
      <c r="AK160" s="227">
        <f t="shared" si="50"/>
        <v>60</v>
      </c>
      <c r="AL160" s="226" t="str">
        <f t="shared" si="22"/>
        <v>-</v>
      </c>
      <c r="AM160" s="227" t="str">
        <f t="shared" si="51"/>
        <v>-</v>
      </c>
      <c r="AN160" s="227" t="str">
        <f t="shared" si="52"/>
        <v>-</v>
      </c>
      <c r="AO160" s="227" t="str">
        <f t="shared" si="23"/>
        <v>-</v>
      </c>
      <c r="AP160" s="273">
        <f t="shared" si="53"/>
        <v>0.1</v>
      </c>
      <c r="AQ160" s="271" t="str">
        <f>IFERROR(IF(AL159=1,AQ$100*EXP(-(LN(2)/$D$65+0.04)*AN159)*EXP(-(LN(2)/$D$65+0.1)*AO159),IF(AL159=2,AQ$100*EXP(-(LN(2)/$D$65+0.04)*(VLOOKUP(($F$16-$F$15)-1,AK$99:AO159,4,FALSE)))*EXP(-(LN(2)/$D$65+0.1)*(VLOOKUP(($F$16-$F$15)-1,AK$99:AO159,5,FALSE)))*EXP(-(LN(2)/$D$65+0.04)*AN159)*EXP(-(LN(2)/$D$65+0.1)*AO159),IF(AL159=3,AQ$100*EXP(-(LN(2)/$D$65+0.04)*(VLOOKUP(($F$16-$F$15)-1,AK$99:AO159,4,FALSE)))*EXP(-(LN(2)/$D$65+0.1)*(VLOOKUP(($F$16-$F$15)-1,AK$99:AO159,5,FALSE)))*EXP(-(LN(2)/$D$65+0.04)*(VLOOKUP(($F$16-$F$15)*2-1,AK$99:AO159,4,FALSE)))*EXP(-(LN(2)/$D$65+0.1)*(VLOOKUP(($F$16-$F$15)*2-1,AK$99:AO159,5,FALSE)))*EXP(-(LN(2)/$D$65+0.04)*AN159)*EXP(-(LN(2)/$D$65+0.1)*AO159),"-"))),"-")</f>
        <v>-</v>
      </c>
      <c r="AR160" s="271" t="str">
        <f>IFERROR(IF(AL160=1,AR$100*EXP(-(LN(2)/$D$65+0.04)*AN160)*EXP(-(LN(2)/$D$65+0.1)*AO160),IF(AL160=2,AR$100*EXP(-(LN(2)/$D$65+0.04)*(VLOOKUP(($F$16-$F$15)-1,AK$100:AO160,4,FALSE)))*EXP(-(LN(2)/$D$65+0.1)*(VLOOKUP(($F$16-$F$15)-1,AK$100:AO160,5,FALSE)))*EXP(-(LN(2)/$D$65+0.04)*AN160)*EXP(-(LN(2)/$D$65+0.1)*AO160),IF(AL160=3,AR$100*EXP(-(LN(2)/$D$65+0.04)*(VLOOKUP(($F$16-$F$15)-1,AK$100:AO160,4,FALSE)))*EXP(-(LN(2)/$D$65+0.1)*(VLOOKUP(($F$16-$F$15)-1,AK$100:AO160,5,FALSE)))*EXP(-(LN(2)/$D$65+0.04)*(VLOOKUP(($F$16-$F$15)*2-1,AK$100:AO160,4,FALSE)))*EXP(-(LN(2)/$D$65+0.1)*(VLOOKUP(($F$16-$F$15)*2-1,AK$100:AO160,5,FALSE)))*EXP(-(LN(2)/$D$65+0.04)*AN160)*EXP(-(LN(2)/$D$65+0.1)*AO160),"-"))),"-")</f>
        <v>-</v>
      </c>
      <c r="AS160" s="274">
        <f t="shared" si="24"/>
        <v>0</v>
      </c>
      <c r="AT160" s="274">
        <f t="shared" si="25"/>
        <v>0</v>
      </c>
      <c r="AU160" s="274">
        <f t="shared" si="26"/>
        <v>0</v>
      </c>
      <c r="AV160" s="190">
        <f>IF($B160&lt;$F$22,SUM($T$100:$T160),"")</f>
        <v>0</v>
      </c>
      <c r="AW160" s="190" t="str">
        <f t="shared" si="83"/>
        <v>-</v>
      </c>
      <c r="AX160" s="190" t="str">
        <f t="shared" si="57"/>
        <v/>
      </c>
      <c r="AY160"/>
      <c r="AZ160" s="190" t="str">
        <f ca="1">IF(ISNUMBER(OFFSET(AV160,-$F$21,0)),SUM(OFFSET($T$100,$F$21,0):$T160),"")</f>
        <v/>
      </c>
      <c r="BA160" s="190" t="str">
        <f t="shared" ca="1" si="84"/>
        <v/>
      </c>
      <c r="BB160" s="190" t="str">
        <f t="shared" ca="1" si="70"/>
        <v/>
      </c>
      <c r="BC160" s="190"/>
      <c r="BD160" s="190" t="str">
        <f ca="1">IFERROR(IF(AND($B160&gt;=($F$16-$F$15),$B160&lt;$F$22+($F$16-$F$15)),SUM(OFFSET($T$100,($F$16-$F$15),0):$T160),""),"")</f>
        <v/>
      </c>
      <c r="BE160" s="190" t="str">
        <f t="shared" ca="1" si="59"/>
        <v/>
      </c>
      <c r="BF160" s="190" t="str">
        <f t="shared" ca="1" si="60"/>
        <v/>
      </c>
      <c r="BG160"/>
      <c r="BH160" s="190" t="str">
        <f ca="1">IF(ISNUMBER(OFFSET(BD160,-$F$21,0)),SUM(OFFSET($T$100,($F$16-$F$15+$F$21),0):$T160),"")</f>
        <v/>
      </c>
      <c r="BI160" s="190" t="str">
        <f t="shared" ca="1" si="85"/>
        <v/>
      </c>
      <c r="BJ160" s="190" t="str">
        <f t="shared" ca="1" si="61"/>
        <v/>
      </c>
      <c r="BK160" s="190"/>
      <c r="BL160" s="190" t="str">
        <f ca="1">IFERROR(IF(AND($B160&gt;=($F$17-$F$15),$B160&lt;$F$22+($F$17-$F$15)),SUM(OFFSET($T$100,($F$17-$F$15),0):$T160),""),"")</f>
        <v/>
      </c>
      <c r="BM160" s="190" t="str">
        <f t="shared" ca="1" si="86"/>
        <v/>
      </c>
      <c r="BN160" s="190" t="str">
        <f t="shared" ca="1" si="62"/>
        <v/>
      </c>
      <c r="BO160"/>
      <c r="BP160" s="190" t="str">
        <f ca="1">IF(ISNUMBER(OFFSET(BL160,-$F$21,0)),SUM(OFFSET($T$100,($F$17-$F$15+$F$21),0):$T160),"")</f>
        <v/>
      </c>
      <c r="BQ160" s="190" t="str">
        <f t="shared" ca="1" si="87"/>
        <v/>
      </c>
      <c r="BR160" s="190" t="str">
        <f t="shared" ca="1" si="64"/>
        <v/>
      </c>
      <c r="BS160" s="190"/>
      <c r="BT160"/>
      <c r="BU160"/>
      <c r="BV160"/>
      <c r="BY160" s="99"/>
      <c r="BZ160" s="99"/>
      <c r="CA160" s="280" t="str">
        <f t="shared" si="88"/>
        <v/>
      </c>
      <c r="CB160" s="71" t="str">
        <f t="shared" si="31"/>
        <v>-</v>
      </c>
      <c r="CC160" s="33"/>
      <c r="CD160" s="261" t="str">
        <f t="shared" si="33"/>
        <v/>
      </c>
      <c r="CE160" s="280" t="str">
        <f t="shared" si="89"/>
        <v>-</v>
      </c>
      <c r="CF160" s="71" t="str">
        <f t="shared" ca="1" si="90"/>
        <v>-</v>
      </c>
      <c r="CG160" s="33" t="str">
        <f t="shared" si="36"/>
        <v>60-61</v>
      </c>
      <c r="CH160" s="261" t="str">
        <f t="shared" ca="1" si="37"/>
        <v/>
      </c>
      <c r="CI160" s="99"/>
      <c r="CJ160" s="99"/>
      <c r="CK160" s="99"/>
      <c r="CL160" s="99"/>
      <c r="CM160" s="99"/>
      <c r="CN160" s="99"/>
      <c r="CO160" s="99"/>
    </row>
    <row r="161" spans="2:93" ht="13.5" customHeight="1" x14ac:dyDescent="0.2">
      <c r="B161" s="262">
        <v>61</v>
      </c>
      <c r="C161" s="237" t="str">
        <f t="shared" si="1"/>
        <v/>
      </c>
      <c r="D161" s="237" t="str">
        <f t="shared" si="67"/>
        <v>-</v>
      </c>
      <c r="E161" s="290" t="str">
        <f t="shared" si="38"/>
        <v/>
      </c>
      <c r="F161" s="264" t="str">
        <f t="shared" si="39"/>
        <v/>
      </c>
      <c r="G161" s="291" t="str">
        <f t="shared" si="40"/>
        <v/>
      </c>
      <c r="H161" s="240" t="str">
        <f t="shared" si="71"/>
        <v/>
      </c>
      <c r="I161" s="265" t="str">
        <f t="shared" si="72"/>
        <v/>
      </c>
      <c r="J161" s="265" t="str">
        <f t="shared" si="73"/>
        <v/>
      </c>
      <c r="K161" s="240" t="str">
        <f t="shared" si="74"/>
        <v/>
      </c>
      <c r="L161" s="265" t="str">
        <f t="shared" si="75"/>
        <v/>
      </c>
      <c r="M161" s="265" t="str">
        <f t="shared" si="76"/>
        <v/>
      </c>
      <c r="N161" s="240" t="str">
        <f t="shared" si="77"/>
        <v>-</v>
      </c>
      <c r="O161" s="265" t="str">
        <f t="shared" si="78"/>
        <v>-</v>
      </c>
      <c r="P161" s="265" t="str">
        <f t="shared" si="79"/>
        <v>-</v>
      </c>
      <c r="Q161" s="266" t="str">
        <f t="shared" si="80"/>
        <v>-</v>
      </c>
      <c r="R161" s="267" t="str">
        <f t="shared" si="81"/>
        <v>-</v>
      </c>
      <c r="S161" s="268" t="str">
        <f t="shared" si="82"/>
        <v>-</v>
      </c>
      <c r="T161" s="269" t="str">
        <f t="shared" si="13"/>
        <v/>
      </c>
      <c r="U161" s="221">
        <f t="shared" si="14"/>
        <v>61</v>
      </c>
      <c r="V161" s="220" t="str">
        <f t="shared" si="42"/>
        <v>-</v>
      </c>
      <c r="W161" s="221" t="str">
        <f t="shared" si="43"/>
        <v>-</v>
      </c>
      <c r="X161" s="221" t="str">
        <f t="shared" si="15"/>
        <v>-</v>
      </c>
      <c r="Y161" s="221" t="str">
        <f t="shared" si="16"/>
        <v>-</v>
      </c>
      <c r="Z161" s="270">
        <f t="shared" si="44"/>
        <v>0.1</v>
      </c>
      <c r="AA161" s="271" t="str">
        <f>IFERROR(IF(V160=1,AA$100*EXP(-(LN(2)/$D$65+0.04)*X160)*EXP(-(LN(2)/$D$65+0.1)*Y160),IF(V160=2,AA$100*EXP(-(LN(2)/$D$65+0.04)*(VLOOKUP(($F$16-$F$15)-1,U$99:Y160,4,FALSE)))*EXP(-(LN(2)/$D$65+0.1)*(VLOOKUP(($F$16-$F$15)-1,U$99:Y160,5,FALSE)))*EXP(-(LN(2)/$D$65+0.04)*X160)*EXP(-(LN(2)/$D$65+0.1)*Y160),IF(V160=3,AA$100*EXP(-(LN(2)/$D$65+0.04)*(VLOOKUP(($F$16-$F$15)-1,U$99:Y160,4,FALSE)))*EXP(-(LN(2)/$D$65+0.1)*(VLOOKUP(($F$16-$F$15)-1,U$99:Y160,5,FALSE)))*EXP(-(LN(2)/$D$65+0.04)*(VLOOKUP(($F$16-$F$15)*2-1,U$99:Y160,4,FALSE)))*EXP(-(LN(2)/$D$65+0.1)*(VLOOKUP(($F$16-$F$15)*2-1,U$99:Y160,5,FALSE)))*EXP(-(LN(2)/$D$65+0.04)*X160)*EXP(-(LN(2)/$D$65+0.1)*Y160),"-"))),"-")</f>
        <v>-</v>
      </c>
      <c r="AB161" s="271" t="str">
        <f>IFERROR(IF(V161=1,AB$100*EXP(-(LN(2)/$D$65+0.04)*X161)*EXP(-(LN(2)/$D$65+0.1)*Y161),IF(V161=2,AB$100*EXP(-(LN(2)/$D$65+0.04)*(VLOOKUP(($F$16-$F$15)-1,U$100:Y161,4,FALSE)))*EXP(-(LN(2)/$D$65+0.1)*(VLOOKUP(($F$16-$F$15)-1,U$100:Y161,5,FALSE)))*EXP(-(LN(2)/$D$65+0.04)*X161)*EXP(-(LN(2)/$D$65+0.1)*Y161),IF(V161=3,AB$100*EXP(-(LN(2)/$D$65+0.04)*(VLOOKUP(($F$16-$F$15)-1,U$100:Y161,4,FALSE)))*EXP(-(LN(2)/$D$65+0.1)*(VLOOKUP(($F$16-$F$15)-1,U$100:Y161,5,FALSE)))*EXP(-(LN(2)/$D$65+0.04)*(VLOOKUP(($F$16-$F$15)*2-1,U$100:Y161,4,FALSE)))*EXP(-(LN(2)/$D$65+0.1)*(VLOOKUP(($F$16-$F$15)*2-1,U$100:Y161,5,FALSE)))*EXP(-(LN(2)/$D$65+0.04)*X161)*EXP(-(LN(2)/$D$65+0.1)*Y161),"-"))),"-")</f>
        <v>-</v>
      </c>
      <c r="AC161" s="224">
        <f t="shared" si="46"/>
        <v>61</v>
      </c>
      <c r="AD161" s="223" t="str">
        <f t="shared" si="18"/>
        <v>-</v>
      </c>
      <c r="AE161" s="224" t="str">
        <f t="shared" si="47"/>
        <v>-</v>
      </c>
      <c r="AF161" s="224" t="str">
        <f t="shared" si="19"/>
        <v>-</v>
      </c>
      <c r="AG161" s="224" t="str">
        <f t="shared" si="20"/>
        <v>-</v>
      </c>
      <c r="AH161" s="272">
        <f t="shared" si="48"/>
        <v>0.1</v>
      </c>
      <c r="AI161" s="271" t="str">
        <f>IFERROR(IF(AD160=1,AI$100*EXP(-(LN(2)/$D$65+0.04)*AF160)*EXP(-(LN(2)/$D$65+0.1)*AG160),IF(AD160=2,AI$100*EXP(-(LN(2)/$D$65+0.04)*(VLOOKUP(($F$16-$F$15)-1,AC$99:AG160,4,FALSE)))*EXP(-(LN(2)/$D$65+0.1)*(VLOOKUP(($F$16-$F$15)-1,AC$99:AG160,5,FALSE)))*EXP(-(LN(2)/$D$65+0.04)*AF160)*EXP(-(LN(2)/$D$65+0.1)*AG160),IF(AD160=3,AI$100*EXP(-(LN(2)/$D$65+0.04)*(VLOOKUP(($F$16-$F$15)-1,AC$99:AG160,4,FALSE)))*EXP(-(LN(2)/$D$65+0.1)*(VLOOKUP(($F$16-$F$15)-1,AC$99:AG160,5,FALSE)))*EXP(-(LN(2)/$D$65+0.04)*(VLOOKUP(($F$16-$F$15)*2-1,AC$99:AG160,4,FALSE)))*EXP(-(LN(2)/$D$65+0.1)*(VLOOKUP(($F$16-$F$15)*2-1,AC$99:AG160,5,FALSE)))*EXP(-(LN(2)/$D$65+0.04)*AF160)*EXP(-(LN(2)/$D$65+0.1)*AG160),"-"))),"-")</f>
        <v>-</v>
      </c>
      <c r="AJ161" s="271" t="str">
        <f>IFERROR(IF(AD161=1,AJ$100*EXP(-(LN(2)/$D$65+0.04)*AF161)*EXP(-(LN(2)/$D$65+0.1)*AG161),IF(AD161=2,AJ$100*EXP(-(LN(2)/$D$65+0.04)*(VLOOKUP(($F$16-$F$15)-1,AC$100:AG161,4,FALSE)))*EXP(-(LN(2)/$D$65+0.1)*(VLOOKUP(($F$16-$F$15)-1,AC$100:AG161,5,FALSE)))*EXP(-(LN(2)/$D$65+0.04)*AF161)*EXP(-(LN(2)/$D$65+0.1)*AG161),IF(AD161=3,AJ$100*EXP(-(LN(2)/$D$65+0.04)*(VLOOKUP(($F$16-$F$15)-1,AC$100:AG161,4,FALSE)))*EXP(-(LN(2)/$D$65+0.1)*(VLOOKUP(($F$16-$F$15)-1,AC$100:AG161,5,FALSE)))*EXP(-(LN(2)/$D$65+0.04)*(VLOOKUP(($F$16-$F$15)*2-1,AC$100:AG161,4,FALSE)))*EXP(-(LN(2)/$D$65+0.1)*(VLOOKUP(($F$16-$F$15)*2-1,AC$100:AG161,5,FALSE)))*EXP(-(LN(2)/$D$65+0.04)*AF161)*EXP(-(LN(2)/$D$65+0.1)*AG161),"-"))),"-")</f>
        <v>-</v>
      </c>
      <c r="AK161" s="227">
        <f t="shared" si="50"/>
        <v>61</v>
      </c>
      <c r="AL161" s="226" t="str">
        <f t="shared" si="22"/>
        <v>-</v>
      </c>
      <c r="AM161" s="227" t="str">
        <f t="shared" si="51"/>
        <v>-</v>
      </c>
      <c r="AN161" s="227" t="str">
        <f t="shared" si="52"/>
        <v>-</v>
      </c>
      <c r="AO161" s="227" t="str">
        <f t="shared" si="23"/>
        <v>-</v>
      </c>
      <c r="AP161" s="273">
        <f t="shared" si="53"/>
        <v>0.1</v>
      </c>
      <c r="AQ161" s="271" t="str">
        <f>IFERROR(IF(AL160=1,AQ$100*EXP(-(LN(2)/$D$65+0.04)*AN160)*EXP(-(LN(2)/$D$65+0.1)*AO160),IF(AL160=2,AQ$100*EXP(-(LN(2)/$D$65+0.04)*(VLOOKUP(($F$16-$F$15)-1,AK$99:AO160,4,FALSE)))*EXP(-(LN(2)/$D$65+0.1)*(VLOOKUP(($F$16-$F$15)-1,AK$99:AO160,5,FALSE)))*EXP(-(LN(2)/$D$65+0.04)*AN160)*EXP(-(LN(2)/$D$65+0.1)*AO160),IF(AL160=3,AQ$100*EXP(-(LN(2)/$D$65+0.04)*(VLOOKUP(($F$16-$F$15)-1,AK$99:AO160,4,FALSE)))*EXP(-(LN(2)/$D$65+0.1)*(VLOOKUP(($F$16-$F$15)-1,AK$99:AO160,5,FALSE)))*EXP(-(LN(2)/$D$65+0.04)*(VLOOKUP(($F$16-$F$15)*2-1,AK$99:AO160,4,FALSE)))*EXP(-(LN(2)/$D$65+0.1)*(VLOOKUP(($F$16-$F$15)*2-1,AK$99:AO160,5,FALSE)))*EXP(-(LN(2)/$D$65+0.04)*AN160)*EXP(-(LN(2)/$D$65+0.1)*AO160),"-"))),"-")</f>
        <v>-</v>
      </c>
      <c r="AR161" s="271" t="str">
        <f>IFERROR(IF(AL161=1,AR$100*EXP(-(LN(2)/$D$65+0.04)*AN161)*EXP(-(LN(2)/$D$65+0.1)*AO161),IF(AL161=2,AR$100*EXP(-(LN(2)/$D$65+0.04)*(VLOOKUP(($F$16-$F$15)-1,AK$100:AO161,4,FALSE)))*EXP(-(LN(2)/$D$65+0.1)*(VLOOKUP(($F$16-$F$15)-1,AK$100:AO161,5,FALSE)))*EXP(-(LN(2)/$D$65+0.04)*AN161)*EXP(-(LN(2)/$D$65+0.1)*AO161),IF(AL161=3,AR$100*EXP(-(LN(2)/$D$65+0.04)*(VLOOKUP(($F$16-$F$15)-1,AK$100:AO161,4,FALSE)))*EXP(-(LN(2)/$D$65+0.1)*(VLOOKUP(($F$16-$F$15)-1,AK$100:AO161,5,FALSE)))*EXP(-(LN(2)/$D$65+0.04)*(VLOOKUP(($F$16-$F$15)*2-1,AK$100:AO161,4,FALSE)))*EXP(-(LN(2)/$D$65+0.1)*(VLOOKUP(($F$16-$F$15)*2-1,AK$100:AO161,5,FALSE)))*EXP(-(LN(2)/$D$65+0.04)*AN161)*EXP(-(LN(2)/$D$65+0.1)*AO161),"-"))),"-")</f>
        <v>-</v>
      </c>
      <c r="AS161" s="274">
        <f t="shared" si="24"/>
        <v>0</v>
      </c>
      <c r="AT161" s="274">
        <f t="shared" si="25"/>
        <v>0</v>
      </c>
      <c r="AU161" s="274">
        <f t="shared" si="26"/>
        <v>0</v>
      </c>
      <c r="AV161" s="190">
        <f>IF($B161&lt;$F$22,SUM($T$100:$T161),"")</f>
        <v>0</v>
      </c>
      <c r="AW161" s="190" t="str">
        <f t="shared" si="83"/>
        <v>-</v>
      </c>
      <c r="AX161" s="190" t="str">
        <f t="shared" si="57"/>
        <v/>
      </c>
      <c r="AY161"/>
      <c r="AZ161" s="190" t="str">
        <f ca="1">IF(ISNUMBER(OFFSET(AV161,-$F$21,0)),SUM(OFFSET($T$100,$F$21,0):$T161),"")</f>
        <v/>
      </c>
      <c r="BA161" s="190" t="str">
        <f t="shared" ca="1" si="84"/>
        <v/>
      </c>
      <c r="BB161" s="190" t="str">
        <f t="shared" ca="1" si="70"/>
        <v/>
      </c>
      <c r="BC161" s="190"/>
      <c r="BD161" s="190" t="str">
        <f ca="1">IFERROR(IF(AND($B161&gt;=($F$16-$F$15),$B161&lt;$F$22+($F$16-$F$15)),SUM(OFFSET($T$100,($F$16-$F$15),0):$T161),""),"")</f>
        <v/>
      </c>
      <c r="BE161" s="190" t="str">
        <f t="shared" ca="1" si="59"/>
        <v/>
      </c>
      <c r="BF161" s="190" t="str">
        <f t="shared" ca="1" si="60"/>
        <v/>
      </c>
      <c r="BG161"/>
      <c r="BH161" s="190" t="str">
        <f ca="1">IF(ISNUMBER(OFFSET(BD161,-$F$21,0)),SUM(OFFSET($T$100,($F$16-$F$15+$F$21),0):$T161),"")</f>
        <v/>
      </c>
      <c r="BI161" s="190" t="str">
        <f t="shared" ca="1" si="85"/>
        <v/>
      </c>
      <c r="BJ161" s="190" t="str">
        <f t="shared" ca="1" si="61"/>
        <v/>
      </c>
      <c r="BK161" s="190"/>
      <c r="BL161" s="190" t="str">
        <f ca="1">IFERROR(IF(AND($B161&gt;=($F$17-$F$15),$B161&lt;$F$22+($F$17-$F$15)),SUM(OFFSET($T$100,($F$17-$F$15),0):$T161),""),"")</f>
        <v/>
      </c>
      <c r="BM161" s="190" t="str">
        <f t="shared" ca="1" si="86"/>
        <v/>
      </c>
      <c r="BN161" s="190" t="str">
        <f t="shared" ca="1" si="62"/>
        <v/>
      </c>
      <c r="BO161"/>
      <c r="BP161" s="190" t="str">
        <f ca="1">IF(ISNUMBER(OFFSET(BL161,-$F$21,0)),SUM(OFFSET($T$100,($F$17-$F$15+$F$21),0):$T161),"")</f>
        <v/>
      </c>
      <c r="BQ161" s="190" t="str">
        <f t="shared" ca="1" si="87"/>
        <v/>
      </c>
      <c r="BR161" s="190" t="str">
        <f t="shared" ca="1" si="64"/>
        <v/>
      </c>
      <c r="BS161" s="190"/>
      <c r="BT161"/>
      <c r="BU161"/>
      <c r="BV161"/>
      <c r="BY161" s="99"/>
      <c r="BZ161" s="99"/>
      <c r="CA161" s="280" t="str">
        <f t="shared" si="88"/>
        <v/>
      </c>
      <c r="CB161" s="71" t="str">
        <f t="shared" si="31"/>
        <v>-</v>
      </c>
      <c r="CC161" s="33"/>
      <c r="CD161" s="261" t="str">
        <f t="shared" si="33"/>
        <v/>
      </c>
      <c r="CE161" s="280" t="str">
        <f t="shared" si="89"/>
        <v>-</v>
      </c>
      <c r="CF161" s="71" t="str">
        <f t="shared" ca="1" si="90"/>
        <v>-</v>
      </c>
      <c r="CG161" s="33" t="str">
        <f t="shared" si="36"/>
        <v>61-62</v>
      </c>
      <c r="CH161" s="261" t="str">
        <f t="shared" ca="1" si="37"/>
        <v/>
      </c>
      <c r="CI161" s="99"/>
      <c r="CJ161" s="99"/>
      <c r="CK161" s="99"/>
      <c r="CL161" s="99"/>
      <c r="CM161" s="99"/>
      <c r="CN161" s="99"/>
      <c r="CO161" s="99"/>
    </row>
    <row r="162" spans="2:93" ht="13.5" customHeight="1" x14ac:dyDescent="0.2">
      <c r="B162" s="262">
        <v>62</v>
      </c>
      <c r="C162" s="237" t="str">
        <f t="shared" si="1"/>
        <v/>
      </c>
      <c r="D162" s="237" t="str">
        <f t="shared" si="67"/>
        <v>-</v>
      </c>
      <c r="E162" s="290" t="str">
        <f t="shared" si="38"/>
        <v/>
      </c>
      <c r="F162" s="264" t="str">
        <f t="shared" si="39"/>
        <v/>
      </c>
      <c r="G162" s="291" t="str">
        <f t="shared" si="40"/>
        <v/>
      </c>
      <c r="H162" s="240" t="str">
        <f t="shared" si="71"/>
        <v/>
      </c>
      <c r="I162" s="265" t="str">
        <f t="shared" si="72"/>
        <v/>
      </c>
      <c r="J162" s="265" t="str">
        <f t="shared" si="73"/>
        <v/>
      </c>
      <c r="K162" s="240" t="str">
        <f t="shared" si="74"/>
        <v/>
      </c>
      <c r="L162" s="265" t="str">
        <f t="shared" si="75"/>
        <v/>
      </c>
      <c r="M162" s="265" t="str">
        <f t="shared" si="76"/>
        <v/>
      </c>
      <c r="N162" s="240" t="str">
        <f t="shared" si="77"/>
        <v>-</v>
      </c>
      <c r="O162" s="265" t="str">
        <f t="shared" si="78"/>
        <v>-</v>
      </c>
      <c r="P162" s="265" t="str">
        <f t="shared" si="79"/>
        <v>-</v>
      </c>
      <c r="Q162" s="266" t="str">
        <f t="shared" si="80"/>
        <v>-</v>
      </c>
      <c r="R162" s="267" t="str">
        <f t="shared" si="81"/>
        <v>-</v>
      </c>
      <c r="S162" s="268" t="str">
        <f t="shared" si="82"/>
        <v>-</v>
      </c>
      <c r="T162" s="269" t="str">
        <f t="shared" si="13"/>
        <v/>
      </c>
      <c r="U162" s="221">
        <f t="shared" si="14"/>
        <v>62</v>
      </c>
      <c r="V162" s="220" t="str">
        <f t="shared" si="42"/>
        <v>-</v>
      </c>
      <c r="W162" s="221" t="str">
        <f t="shared" si="43"/>
        <v>-</v>
      </c>
      <c r="X162" s="221" t="str">
        <f t="shared" si="15"/>
        <v>-</v>
      </c>
      <c r="Y162" s="221" t="str">
        <f t="shared" si="16"/>
        <v>-</v>
      </c>
      <c r="Z162" s="270">
        <f t="shared" si="44"/>
        <v>0.1</v>
      </c>
      <c r="AA162" s="271" t="str">
        <f>IFERROR(IF(V161=1,AA$100*EXP(-(LN(2)/$D$65+0.04)*X161)*EXP(-(LN(2)/$D$65+0.1)*Y161),IF(V161=2,AA$100*EXP(-(LN(2)/$D$65+0.04)*(VLOOKUP(($F$16-$F$15)-1,U$99:Y161,4,FALSE)))*EXP(-(LN(2)/$D$65+0.1)*(VLOOKUP(($F$16-$F$15)-1,U$99:Y161,5,FALSE)))*EXP(-(LN(2)/$D$65+0.04)*X161)*EXP(-(LN(2)/$D$65+0.1)*Y161),IF(V161=3,AA$100*EXP(-(LN(2)/$D$65+0.04)*(VLOOKUP(($F$16-$F$15)-1,U$99:Y161,4,FALSE)))*EXP(-(LN(2)/$D$65+0.1)*(VLOOKUP(($F$16-$F$15)-1,U$99:Y161,5,FALSE)))*EXP(-(LN(2)/$D$65+0.04)*(VLOOKUP(($F$16-$F$15)*2-1,U$99:Y161,4,FALSE)))*EXP(-(LN(2)/$D$65+0.1)*(VLOOKUP(($F$16-$F$15)*2-1,U$99:Y161,5,FALSE)))*EXP(-(LN(2)/$D$65+0.04)*X161)*EXP(-(LN(2)/$D$65+0.1)*Y161),"-"))),"-")</f>
        <v>-</v>
      </c>
      <c r="AB162" s="271" t="str">
        <f>IFERROR(IF(V162=1,AB$100*EXP(-(LN(2)/$D$65+0.04)*X162)*EXP(-(LN(2)/$D$65+0.1)*Y162),IF(V162=2,AB$100*EXP(-(LN(2)/$D$65+0.04)*(VLOOKUP(($F$16-$F$15)-1,U$100:Y162,4,FALSE)))*EXP(-(LN(2)/$D$65+0.1)*(VLOOKUP(($F$16-$F$15)-1,U$100:Y162,5,FALSE)))*EXP(-(LN(2)/$D$65+0.04)*X162)*EXP(-(LN(2)/$D$65+0.1)*Y162),IF(V162=3,AB$100*EXP(-(LN(2)/$D$65+0.04)*(VLOOKUP(($F$16-$F$15)-1,U$100:Y162,4,FALSE)))*EXP(-(LN(2)/$D$65+0.1)*(VLOOKUP(($F$16-$F$15)-1,U$100:Y162,5,FALSE)))*EXP(-(LN(2)/$D$65+0.04)*(VLOOKUP(($F$16-$F$15)*2-1,U$100:Y162,4,FALSE)))*EXP(-(LN(2)/$D$65+0.1)*(VLOOKUP(($F$16-$F$15)*2-1,U$100:Y162,5,FALSE)))*EXP(-(LN(2)/$D$65+0.04)*X162)*EXP(-(LN(2)/$D$65+0.1)*Y162),"-"))),"-")</f>
        <v>-</v>
      </c>
      <c r="AC162" s="224">
        <f t="shared" si="46"/>
        <v>62</v>
      </c>
      <c r="AD162" s="223" t="str">
        <f t="shared" si="18"/>
        <v>-</v>
      </c>
      <c r="AE162" s="224" t="str">
        <f t="shared" si="47"/>
        <v>-</v>
      </c>
      <c r="AF162" s="224" t="str">
        <f t="shared" si="19"/>
        <v>-</v>
      </c>
      <c r="AG162" s="224" t="str">
        <f t="shared" si="20"/>
        <v>-</v>
      </c>
      <c r="AH162" s="272">
        <f t="shared" si="48"/>
        <v>0.1</v>
      </c>
      <c r="AI162" s="271" t="str">
        <f>IFERROR(IF(AD161=1,AI$100*EXP(-(LN(2)/$D$65+0.04)*AF161)*EXP(-(LN(2)/$D$65+0.1)*AG161),IF(AD161=2,AI$100*EXP(-(LN(2)/$D$65+0.04)*(VLOOKUP(($F$16-$F$15)-1,AC$99:AG161,4,FALSE)))*EXP(-(LN(2)/$D$65+0.1)*(VLOOKUP(($F$16-$F$15)-1,AC$99:AG161,5,FALSE)))*EXP(-(LN(2)/$D$65+0.04)*AF161)*EXP(-(LN(2)/$D$65+0.1)*AG161),IF(AD161=3,AI$100*EXP(-(LN(2)/$D$65+0.04)*(VLOOKUP(($F$16-$F$15)-1,AC$99:AG161,4,FALSE)))*EXP(-(LN(2)/$D$65+0.1)*(VLOOKUP(($F$16-$F$15)-1,AC$99:AG161,5,FALSE)))*EXP(-(LN(2)/$D$65+0.04)*(VLOOKUP(($F$16-$F$15)*2-1,AC$99:AG161,4,FALSE)))*EXP(-(LN(2)/$D$65+0.1)*(VLOOKUP(($F$16-$F$15)*2-1,AC$99:AG161,5,FALSE)))*EXP(-(LN(2)/$D$65+0.04)*AF161)*EXP(-(LN(2)/$D$65+0.1)*AG161),"-"))),"-")</f>
        <v>-</v>
      </c>
      <c r="AJ162" s="271" t="str">
        <f>IFERROR(IF(AD162=1,AJ$100*EXP(-(LN(2)/$D$65+0.04)*AF162)*EXP(-(LN(2)/$D$65+0.1)*AG162),IF(AD162=2,AJ$100*EXP(-(LN(2)/$D$65+0.04)*(VLOOKUP(($F$16-$F$15)-1,AC$100:AG162,4,FALSE)))*EXP(-(LN(2)/$D$65+0.1)*(VLOOKUP(($F$16-$F$15)-1,AC$100:AG162,5,FALSE)))*EXP(-(LN(2)/$D$65+0.04)*AF162)*EXP(-(LN(2)/$D$65+0.1)*AG162),IF(AD162=3,AJ$100*EXP(-(LN(2)/$D$65+0.04)*(VLOOKUP(($F$16-$F$15)-1,AC$100:AG162,4,FALSE)))*EXP(-(LN(2)/$D$65+0.1)*(VLOOKUP(($F$16-$F$15)-1,AC$100:AG162,5,FALSE)))*EXP(-(LN(2)/$D$65+0.04)*(VLOOKUP(($F$16-$F$15)*2-1,AC$100:AG162,4,FALSE)))*EXP(-(LN(2)/$D$65+0.1)*(VLOOKUP(($F$16-$F$15)*2-1,AC$100:AG162,5,FALSE)))*EXP(-(LN(2)/$D$65+0.04)*AF162)*EXP(-(LN(2)/$D$65+0.1)*AG162),"-"))),"-")</f>
        <v>-</v>
      </c>
      <c r="AK162" s="227">
        <f t="shared" si="50"/>
        <v>62</v>
      </c>
      <c r="AL162" s="226" t="str">
        <f t="shared" si="22"/>
        <v>-</v>
      </c>
      <c r="AM162" s="227" t="str">
        <f t="shared" si="51"/>
        <v>-</v>
      </c>
      <c r="AN162" s="227" t="str">
        <f t="shared" si="52"/>
        <v>-</v>
      </c>
      <c r="AO162" s="227" t="str">
        <f t="shared" si="23"/>
        <v>-</v>
      </c>
      <c r="AP162" s="273">
        <f t="shared" si="53"/>
        <v>0.1</v>
      </c>
      <c r="AQ162" s="271" t="str">
        <f>IFERROR(IF(AL161=1,AQ$100*EXP(-(LN(2)/$D$65+0.04)*AN161)*EXP(-(LN(2)/$D$65+0.1)*AO161),IF(AL161=2,AQ$100*EXP(-(LN(2)/$D$65+0.04)*(VLOOKUP(($F$16-$F$15)-1,AK$99:AO161,4,FALSE)))*EXP(-(LN(2)/$D$65+0.1)*(VLOOKUP(($F$16-$F$15)-1,AK$99:AO161,5,FALSE)))*EXP(-(LN(2)/$D$65+0.04)*AN161)*EXP(-(LN(2)/$D$65+0.1)*AO161),IF(AL161=3,AQ$100*EXP(-(LN(2)/$D$65+0.04)*(VLOOKUP(($F$16-$F$15)-1,AK$99:AO161,4,FALSE)))*EXP(-(LN(2)/$D$65+0.1)*(VLOOKUP(($F$16-$F$15)-1,AK$99:AO161,5,FALSE)))*EXP(-(LN(2)/$D$65+0.04)*(VLOOKUP(($F$16-$F$15)*2-1,AK$99:AO161,4,FALSE)))*EXP(-(LN(2)/$D$65+0.1)*(VLOOKUP(($F$16-$F$15)*2-1,AK$99:AO161,5,FALSE)))*EXP(-(LN(2)/$D$65+0.04)*AN161)*EXP(-(LN(2)/$D$65+0.1)*AO161),"-"))),"-")</f>
        <v>-</v>
      </c>
      <c r="AR162" s="271" t="str">
        <f>IFERROR(IF(AL162=1,AR$100*EXP(-(LN(2)/$D$65+0.04)*AN162)*EXP(-(LN(2)/$D$65+0.1)*AO162),IF(AL162=2,AR$100*EXP(-(LN(2)/$D$65+0.04)*(VLOOKUP(($F$16-$F$15)-1,AK$100:AO162,4,FALSE)))*EXP(-(LN(2)/$D$65+0.1)*(VLOOKUP(($F$16-$F$15)-1,AK$100:AO162,5,FALSE)))*EXP(-(LN(2)/$D$65+0.04)*AN162)*EXP(-(LN(2)/$D$65+0.1)*AO162),IF(AL162=3,AR$100*EXP(-(LN(2)/$D$65+0.04)*(VLOOKUP(($F$16-$F$15)-1,AK$100:AO162,4,FALSE)))*EXP(-(LN(2)/$D$65+0.1)*(VLOOKUP(($F$16-$F$15)-1,AK$100:AO162,5,FALSE)))*EXP(-(LN(2)/$D$65+0.04)*(VLOOKUP(($F$16-$F$15)*2-1,AK$100:AO162,4,FALSE)))*EXP(-(LN(2)/$D$65+0.1)*(VLOOKUP(($F$16-$F$15)*2-1,AK$100:AO162,5,FALSE)))*EXP(-(LN(2)/$D$65+0.04)*AN162)*EXP(-(LN(2)/$D$65+0.1)*AO162),"-"))),"-")</f>
        <v>-</v>
      </c>
      <c r="AS162" s="274">
        <f t="shared" si="24"/>
        <v>0</v>
      </c>
      <c r="AT162" s="274">
        <f t="shared" si="25"/>
        <v>0</v>
      </c>
      <c r="AU162" s="274">
        <f t="shared" si="26"/>
        <v>0</v>
      </c>
      <c r="AV162" s="190">
        <f>IF($B162&lt;$F$22,SUM($T$100:$T162),"")</f>
        <v>0</v>
      </c>
      <c r="AW162" s="190" t="str">
        <f t="shared" si="83"/>
        <v>-</v>
      </c>
      <c r="AX162" s="190" t="str">
        <f t="shared" si="57"/>
        <v/>
      </c>
      <c r="AY162"/>
      <c r="AZ162" s="190" t="str">
        <f ca="1">IF(ISNUMBER(OFFSET(AV162,-$F$21,0)),SUM(OFFSET($T$100,$F$21,0):$T162),"")</f>
        <v/>
      </c>
      <c r="BA162" s="190" t="str">
        <f t="shared" ca="1" si="84"/>
        <v/>
      </c>
      <c r="BB162" s="190" t="str">
        <f t="shared" ca="1" si="70"/>
        <v/>
      </c>
      <c r="BC162" s="190"/>
      <c r="BD162" s="190" t="str">
        <f ca="1">IFERROR(IF(AND($B162&gt;=($F$16-$F$15),$B162&lt;$F$22+($F$16-$F$15)),SUM(OFFSET($T$100,($F$16-$F$15),0):$T162),""),"")</f>
        <v/>
      </c>
      <c r="BE162" s="190" t="str">
        <f t="shared" ca="1" si="59"/>
        <v/>
      </c>
      <c r="BF162" s="190" t="str">
        <f t="shared" ca="1" si="60"/>
        <v/>
      </c>
      <c r="BG162"/>
      <c r="BH162" s="190" t="str">
        <f ca="1">IF(ISNUMBER(OFFSET(BD162,-$F$21,0)),SUM(OFFSET($T$100,($F$16-$F$15+$F$21),0):$T162),"")</f>
        <v/>
      </c>
      <c r="BI162" s="190" t="str">
        <f t="shared" ca="1" si="85"/>
        <v/>
      </c>
      <c r="BJ162" s="190" t="str">
        <f t="shared" ca="1" si="61"/>
        <v/>
      </c>
      <c r="BK162" s="190"/>
      <c r="BL162" s="190" t="str">
        <f ca="1">IFERROR(IF(AND($B162&gt;=($F$17-$F$15),$B162&lt;$F$22+($F$17-$F$15)),SUM(OFFSET($T$100,($F$17-$F$15),0):$T162),""),"")</f>
        <v/>
      </c>
      <c r="BM162" s="190" t="str">
        <f t="shared" ca="1" si="86"/>
        <v/>
      </c>
      <c r="BN162" s="190" t="str">
        <f t="shared" ca="1" si="62"/>
        <v/>
      </c>
      <c r="BO162"/>
      <c r="BP162" s="190" t="str">
        <f ca="1">IF(ISNUMBER(OFFSET(BL162,-$F$21,0)),SUM(OFFSET($T$100,($F$17-$F$15+$F$21),0):$T162),"")</f>
        <v/>
      </c>
      <c r="BQ162" s="190" t="str">
        <f t="shared" ca="1" si="87"/>
        <v/>
      </c>
      <c r="BR162" s="190" t="str">
        <f t="shared" ca="1" si="64"/>
        <v/>
      </c>
      <c r="BS162" s="190"/>
      <c r="BT162"/>
      <c r="BU162"/>
      <c r="BV162"/>
      <c r="BY162" s="99"/>
      <c r="BZ162" s="99"/>
      <c r="CA162" s="280" t="str">
        <f t="shared" si="88"/>
        <v/>
      </c>
      <c r="CB162" s="71" t="str">
        <f t="shared" si="31"/>
        <v>-</v>
      </c>
      <c r="CC162" s="33"/>
      <c r="CD162" s="261" t="str">
        <f t="shared" si="33"/>
        <v/>
      </c>
      <c r="CE162" s="280" t="str">
        <f t="shared" si="89"/>
        <v>-</v>
      </c>
      <c r="CF162" s="71" t="str">
        <f t="shared" ca="1" si="90"/>
        <v>-</v>
      </c>
      <c r="CG162" s="33" t="str">
        <f t="shared" si="36"/>
        <v>62-63</v>
      </c>
      <c r="CH162" s="261" t="str">
        <f t="shared" ca="1" si="37"/>
        <v/>
      </c>
      <c r="CI162" s="99"/>
      <c r="CJ162" s="99"/>
      <c r="CK162" s="99"/>
      <c r="CL162" s="99"/>
      <c r="CM162" s="99"/>
      <c r="CN162" s="99"/>
      <c r="CO162" s="99"/>
    </row>
    <row r="163" spans="2:93" ht="13.5" customHeight="1" x14ac:dyDescent="0.2">
      <c r="B163" s="262">
        <v>63</v>
      </c>
      <c r="C163" s="237" t="str">
        <f t="shared" si="1"/>
        <v/>
      </c>
      <c r="D163" s="237" t="str">
        <f t="shared" si="67"/>
        <v>-</v>
      </c>
      <c r="E163" s="290" t="str">
        <f t="shared" si="38"/>
        <v/>
      </c>
      <c r="F163" s="264" t="str">
        <f t="shared" si="39"/>
        <v/>
      </c>
      <c r="G163" s="291" t="str">
        <f t="shared" si="40"/>
        <v/>
      </c>
      <c r="H163" s="240" t="str">
        <f t="shared" si="71"/>
        <v/>
      </c>
      <c r="I163" s="265" t="str">
        <f t="shared" si="72"/>
        <v/>
      </c>
      <c r="J163" s="265" t="str">
        <f t="shared" si="73"/>
        <v/>
      </c>
      <c r="K163" s="240" t="str">
        <f t="shared" si="74"/>
        <v/>
      </c>
      <c r="L163" s="265" t="str">
        <f t="shared" si="75"/>
        <v/>
      </c>
      <c r="M163" s="265" t="str">
        <f t="shared" si="76"/>
        <v/>
      </c>
      <c r="N163" s="240" t="str">
        <f t="shared" si="77"/>
        <v>-</v>
      </c>
      <c r="O163" s="265" t="str">
        <f t="shared" si="78"/>
        <v>-</v>
      </c>
      <c r="P163" s="265" t="str">
        <f t="shared" si="79"/>
        <v>-</v>
      </c>
      <c r="Q163" s="266" t="str">
        <f t="shared" si="80"/>
        <v>-</v>
      </c>
      <c r="R163" s="267" t="str">
        <f t="shared" si="81"/>
        <v>-</v>
      </c>
      <c r="S163" s="268" t="str">
        <f t="shared" si="82"/>
        <v>-</v>
      </c>
      <c r="T163" s="269" t="str">
        <f t="shared" si="13"/>
        <v/>
      </c>
      <c r="U163" s="221">
        <f t="shared" si="14"/>
        <v>63</v>
      </c>
      <c r="V163" s="220" t="str">
        <f t="shared" si="42"/>
        <v>-</v>
      </c>
      <c r="W163" s="221" t="str">
        <f t="shared" si="43"/>
        <v>-</v>
      </c>
      <c r="X163" s="221" t="str">
        <f t="shared" si="15"/>
        <v>-</v>
      </c>
      <c r="Y163" s="221" t="str">
        <f t="shared" si="16"/>
        <v>-</v>
      </c>
      <c r="Z163" s="270">
        <f t="shared" si="44"/>
        <v>0.1</v>
      </c>
      <c r="AA163" s="271" t="str">
        <f>IFERROR(IF(V162=1,AA$100*EXP(-(LN(2)/$D$65+0.04)*X162)*EXP(-(LN(2)/$D$65+0.1)*Y162),IF(V162=2,AA$100*EXP(-(LN(2)/$D$65+0.04)*(VLOOKUP(($F$16-$F$15)-1,U$99:Y162,4,FALSE)))*EXP(-(LN(2)/$D$65+0.1)*(VLOOKUP(($F$16-$F$15)-1,U$99:Y162,5,FALSE)))*EXP(-(LN(2)/$D$65+0.04)*X162)*EXP(-(LN(2)/$D$65+0.1)*Y162),IF(V162=3,AA$100*EXP(-(LN(2)/$D$65+0.04)*(VLOOKUP(($F$16-$F$15)-1,U$99:Y162,4,FALSE)))*EXP(-(LN(2)/$D$65+0.1)*(VLOOKUP(($F$16-$F$15)-1,U$99:Y162,5,FALSE)))*EXP(-(LN(2)/$D$65+0.04)*(VLOOKUP(($F$16-$F$15)*2-1,U$99:Y162,4,FALSE)))*EXP(-(LN(2)/$D$65+0.1)*(VLOOKUP(($F$16-$F$15)*2-1,U$99:Y162,5,FALSE)))*EXP(-(LN(2)/$D$65+0.04)*X162)*EXP(-(LN(2)/$D$65+0.1)*Y162),"-"))),"-")</f>
        <v>-</v>
      </c>
      <c r="AB163" s="271" t="str">
        <f>IFERROR(IF(V163=1,AB$100*EXP(-(LN(2)/$D$65+0.04)*X163)*EXP(-(LN(2)/$D$65+0.1)*Y163),IF(V163=2,AB$100*EXP(-(LN(2)/$D$65+0.04)*(VLOOKUP(($F$16-$F$15)-1,U$100:Y163,4,FALSE)))*EXP(-(LN(2)/$D$65+0.1)*(VLOOKUP(($F$16-$F$15)-1,U$100:Y163,5,FALSE)))*EXP(-(LN(2)/$D$65+0.04)*X163)*EXP(-(LN(2)/$D$65+0.1)*Y163),IF(V163=3,AB$100*EXP(-(LN(2)/$D$65+0.04)*(VLOOKUP(($F$16-$F$15)-1,U$100:Y163,4,FALSE)))*EXP(-(LN(2)/$D$65+0.1)*(VLOOKUP(($F$16-$F$15)-1,U$100:Y163,5,FALSE)))*EXP(-(LN(2)/$D$65+0.04)*(VLOOKUP(($F$16-$F$15)*2-1,U$100:Y163,4,FALSE)))*EXP(-(LN(2)/$D$65+0.1)*(VLOOKUP(($F$16-$F$15)*2-1,U$100:Y163,5,FALSE)))*EXP(-(LN(2)/$D$65+0.04)*X163)*EXP(-(LN(2)/$D$65+0.1)*Y163),"-"))),"-")</f>
        <v>-</v>
      </c>
      <c r="AC163" s="224">
        <f t="shared" si="46"/>
        <v>63</v>
      </c>
      <c r="AD163" s="223" t="str">
        <f t="shared" si="18"/>
        <v>-</v>
      </c>
      <c r="AE163" s="224" t="str">
        <f t="shared" si="47"/>
        <v>-</v>
      </c>
      <c r="AF163" s="224" t="str">
        <f t="shared" si="19"/>
        <v>-</v>
      </c>
      <c r="AG163" s="224" t="str">
        <f t="shared" si="20"/>
        <v>-</v>
      </c>
      <c r="AH163" s="272">
        <f t="shared" si="48"/>
        <v>0.1</v>
      </c>
      <c r="AI163" s="271" t="str">
        <f>IFERROR(IF(AD162=1,AI$100*EXP(-(LN(2)/$D$65+0.04)*AF162)*EXP(-(LN(2)/$D$65+0.1)*AG162),IF(AD162=2,AI$100*EXP(-(LN(2)/$D$65+0.04)*(VLOOKUP(($F$16-$F$15)-1,AC$99:AG162,4,FALSE)))*EXP(-(LN(2)/$D$65+0.1)*(VLOOKUP(($F$16-$F$15)-1,AC$99:AG162,5,FALSE)))*EXP(-(LN(2)/$D$65+0.04)*AF162)*EXP(-(LN(2)/$D$65+0.1)*AG162),IF(AD162=3,AI$100*EXP(-(LN(2)/$D$65+0.04)*(VLOOKUP(($F$16-$F$15)-1,AC$99:AG162,4,FALSE)))*EXP(-(LN(2)/$D$65+0.1)*(VLOOKUP(($F$16-$F$15)-1,AC$99:AG162,5,FALSE)))*EXP(-(LN(2)/$D$65+0.04)*(VLOOKUP(($F$16-$F$15)*2-1,AC$99:AG162,4,FALSE)))*EXP(-(LN(2)/$D$65+0.1)*(VLOOKUP(($F$16-$F$15)*2-1,AC$99:AG162,5,FALSE)))*EXP(-(LN(2)/$D$65+0.04)*AF162)*EXP(-(LN(2)/$D$65+0.1)*AG162),"-"))),"-")</f>
        <v>-</v>
      </c>
      <c r="AJ163" s="271" t="str">
        <f>IFERROR(IF(AD163=1,AJ$100*EXP(-(LN(2)/$D$65+0.04)*AF163)*EXP(-(LN(2)/$D$65+0.1)*AG163),IF(AD163=2,AJ$100*EXP(-(LN(2)/$D$65+0.04)*(VLOOKUP(($F$16-$F$15)-1,AC$100:AG163,4,FALSE)))*EXP(-(LN(2)/$D$65+0.1)*(VLOOKUP(($F$16-$F$15)-1,AC$100:AG163,5,FALSE)))*EXP(-(LN(2)/$D$65+0.04)*AF163)*EXP(-(LN(2)/$D$65+0.1)*AG163),IF(AD163=3,AJ$100*EXP(-(LN(2)/$D$65+0.04)*(VLOOKUP(($F$16-$F$15)-1,AC$100:AG163,4,FALSE)))*EXP(-(LN(2)/$D$65+0.1)*(VLOOKUP(($F$16-$F$15)-1,AC$100:AG163,5,FALSE)))*EXP(-(LN(2)/$D$65+0.04)*(VLOOKUP(($F$16-$F$15)*2-1,AC$100:AG163,4,FALSE)))*EXP(-(LN(2)/$D$65+0.1)*(VLOOKUP(($F$16-$F$15)*2-1,AC$100:AG163,5,FALSE)))*EXP(-(LN(2)/$D$65+0.04)*AF163)*EXP(-(LN(2)/$D$65+0.1)*AG163),"-"))),"-")</f>
        <v>-</v>
      </c>
      <c r="AK163" s="227">
        <f t="shared" si="50"/>
        <v>63</v>
      </c>
      <c r="AL163" s="226" t="str">
        <f t="shared" si="22"/>
        <v>-</v>
      </c>
      <c r="AM163" s="227" t="str">
        <f t="shared" si="51"/>
        <v>-</v>
      </c>
      <c r="AN163" s="227" t="str">
        <f t="shared" si="52"/>
        <v>-</v>
      </c>
      <c r="AO163" s="227" t="str">
        <f t="shared" si="23"/>
        <v>-</v>
      </c>
      <c r="AP163" s="273">
        <f t="shared" si="53"/>
        <v>0.1</v>
      </c>
      <c r="AQ163" s="271" t="str">
        <f>IFERROR(IF(AL162=1,AQ$100*EXP(-(LN(2)/$D$65+0.04)*AN162)*EXP(-(LN(2)/$D$65+0.1)*AO162),IF(AL162=2,AQ$100*EXP(-(LN(2)/$D$65+0.04)*(VLOOKUP(($F$16-$F$15)-1,AK$99:AO162,4,FALSE)))*EXP(-(LN(2)/$D$65+0.1)*(VLOOKUP(($F$16-$F$15)-1,AK$99:AO162,5,FALSE)))*EXP(-(LN(2)/$D$65+0.04)*AN162)*EXP(-(LN(2)/$D$65+0.1)*AO162),IF(AL162=3,AQ$100*EXP(-(LN(2)/$D$65+0.04)*(VLOOKUP(($F$16-$F$15)-1,AK$99:AO162,4,FALSE)))*EXP(-(LN(2)/$D$65+0.1)*(VLOOKUP(($F$16-$F$15)-1,AK$99:AO162,5,FALSE)))*EXP(-(LN(2)/$D$65+0.04)*(VLOOKUP(($F$16-$F$15)*2-1,AK$99:AO162,4,FALSE)))*EXP(-(LN(2)/$D$65+0.1)*(VLOOKUP(($F$16-$F$15)*2-1,AK$99:AO162,5,FALSE)))*EXP(-(LN(2)/$D$65+0.04)*AN162)*EXP(-(LN(2)/$D$65+0.1)*AO162),"-"))),"-")</f>
        <v>-</v>
      </c>
      <c r="AR163" s="271" t="str">
        <f>IFERROR(IF(AL163=1,AR$100*EXP(-(LN(2)/$D$65+0.04)*AN163)*EXP(-(LN(2)/$D$65+0.1)*AO163),IF(AL163=2,AR$100*EXP(-(LN(2)/$D$65+0.04)*(VLOOKUP(($F$16-$F$15)-1,AK$100:AO163,4,FALSE)))*EXP(-(LN(2)/$D$65+0.1)*(VLOOKUP(($F$16-$F$15)-1,AK$100:AO163,5,FALSE)))*EXP(-(LN(2)/$D$65+0.04)*AN163)*EXP(-(LN(2)/$D$65+0.1)*AO163),IF(AL163=3,AR$100*EXP(-(LN(2)/$D$65+0.04)*(VLOOKUP(($F$16-$F$15)-1,AK$100:AO163,4,FALSE)))*EXP(-(LN(2)/$D$65+0.1)*(VLOOKUP(($F$16-$F$15)-1,AK$100:AO163,5,FALSE)))*EXP(-(LN(2)/$D$65+0.04)*(VLOOKUP(($F$16-$F$15)*2-1,AK$100:AO163,4,FALSE)))*EXP(-(LN(2)/$D$65+0.1)*(VLOOKUP(($F$16-$F$15)*2-1,AK$100:AO163,5,FALSE)))*EXP(-(LN(2)/$D$65+0.04)*AN163)*EXP(-(LN(2)/$D$65+0.1)*AO163),"-"))),"-")</f>
        <v>-</v>
      </c>
      <c r="AS163" s="274">
        <f t="shared" si="24"/>
        <v>0</v>
      </c>
      <c r="AT163" s="274">
        <f t="shared" si="25"/>
        <v>0</v>
      </c>
      <c r="AU163" s="274">
        <f t="shared" si="26"/>
        <v>0</v>
      </c>
      <c r="AV163" s="190">
        <f>IF($B163&lt;$F$22,SUM($T$100:$T163),"")</f>
        <v>0</v>
      </c>
      <c r="AW163" s="190" t="str">
        <f t="shared" si="83"/>
        <v>-</v>
      </c>
      <c r="AX163" s="190" t="str">
        <f t="shared" si="57"/>
        <v/>
      </c>
      <c r="AY163"/>
      <c r="AZ163" s="190" t="str">
        <f ca="1">IF(ISNUMBER(OFFSET(AV163,-$F$21,0)),SUM(OFFSET($T$100,$F$21,0):$T163),"")</f>
        <v/>
      </c>
      <c r="BA163" s="190" t="str">
        <f t="shared" ca="1" si="84"/>
        <v/>
      </c>
      <c r="BB163" s="190" t="str">
        <f t="shared" ca="1" si="70"/>
        <v/>
      </c>
      <c r="BC163" s="190"/>
      <c r="BD163" s="190" t="str">
        <f ca="1">IFERROR(IF(AND($B163&gt;=($F$16-$F$15),$B163&lt;$F$22+($F$16-$F$15)),SUM(OFFSET($T$100,($F$16-$F$15),0):$T163),""),"")</f>
        <v/>
      </c>
      <c r="BE163" s="190" t="str">
        <f t="shared" ca="1" si="59"/>
        <v/>
      </c>
      <c r="BF163" s="190" t="str">
        <f t="shared" ca="1" si="60"/>
        <v/>
      </c>
      <c r="BG163"/>
      <c r="BH163" s="190" t="str">
        <f ca="1">IF(ISNUMBER(OFFSET(BD163,-$F$21,0)),SUM(OFFSET($T$100,($F$16-$F$15+$F$21),0):$T163),"")</f>
        <v/>
      </c>
      <c r="BI163" s="190" t="str">
        <f t="shared" ca="1" si="85"/>
        <v/>
      </c>
      <c r="BJ163" s="190" t="str">
        <f t="shared" ca="1" si="61"/>
        <v/>
      </c>
      <c r="BK163" s="190"/>
      <c r="BL163" s="190" t="str">
        <f ca="1">IFERROR(IF(AND($B163&gt;=($F$17-$F$15),$B163&lt;$F$22+($F$17-$F$15)),SUM(OFFSET($T$100,($F$17-$F$15),0):$T163),""),"")</f>
        <v/>
      </c>
      <c r="BM163" s="190" t="str">
        <f t="shared" ca="1" si="86"/>
        <v/>
      </c>
      <c r="BN163" s="190" t="str">
        <f t="shared" ca="1" si="62"/>
        <v/>
      </c>
      <c r="BO163"/>
      <c r="BP163" s="190" t="str">
        <f ca="1">IF(ISNUMBER(OFFSET(BL163,-$F$21,0)),SUM(OFFSET($T$100,($F$17-$F$15+$F$21),0):$T163),"")</f>
        <v/>
      </c>
      <c r="BQ163" s="190" t="str">
        <f t="shared" ca="1" si="87"/>
        <v/>
      </c>
      <c r="BR163" s="190" t="str">
        <f t="shared" ca="1" si="64"/>
        <v/>
      </c>
      <c r="BS163" s="190"/>
      <c r="BT163"/>
      <c r="BU163"/>
      <c r="BV163"/>
      <c r="BY163" s="99"/>
      <c r="BZ163" s="99"/>
      <c r="CA163" s="280" t="str">
        <f t="shared" si="88"/>
        <v/>
      </c>
      <c r="CB163" s="71" t="str">
        <f t="shared" si="31"/>
        <v>-</v>
      </c>
      <c r="CC163" s="33"/>
      <c r="CD163" s="261" t="str">
        <f t="shared" si="33"/>
        <v/>
      </c>
      <c r="CE163" s="280" t="str">
        <f t="shared" si="89"/>
        <v>-</v>
      </c>
      <c r="CF163" s="71" t="str">
        <f t="shared" ca="1" si="90"/>
        <v>-</v>
      </c>
      <c r="CG163" s="33" t="str">
        <f t="shared" si="36"/>
        <v>63-64</v>
      </c>
      <c r="CH163" s="261" t="str">
        <f t="shared" ca="1" si="37"/>
        <v/>
      </c>
      <c r="CI163" s="99"/>
      <c r="CJ163" s="99"/>
      <c r="CK163" s="99"/>
      <c r="CL163" s="99"/>
      <c r="CM163" s="99"/>
      <c r="CN163" s="99"/>
      <c r="CO163" s="99"/>
    </row>
    <row r="164" spans="2:93" ht="13.5" customHeight="1" x14ac:dyDescent="0.2">
      <c r="B164" s="262">
        <v>64</v>
      </c>
      <c r="C164" s="237" t="str">
        <f t="shared" ref="C164:C227" si="91">IF(ISERROR(VLOOKUP(B164,$B$39:$C$73,2,0)),"",VLOOKUP(B164,$B$39:$C$73,2,0))</f>
        <v/>
      </c>
      <c r="D164" s="237" t="str">
        <f t="shared" si="67"/>
        <v>-</v>
      </c>
      <c r="E164" s="290" t="str">
        <f t="shared" si="38"/>
        <v/>
      </c>
      <c r="F164" s="264" t="str">
        <f t="shared" si="39"/>
        <v/>
      </c>
      <c r="G164" s="291" t="str">
        <f t="shared" si="40"/>
        <v/>
      </c>
      <c r="H164" s="240" t="str">
        <f t="shared" ref="H164:H195" si="92">IF(E164&lt;&gt;"",IF($B164&lt;$F$21,"",IF(ISNUMBER(F164),IF(ISNUMBER(I164),(E164*30*50*ffp),""),(E164*30*50*ffp))),"")</f>
        <v/>
      </c>
      <c r="I164" s="265" t="str">
        <f t="shared" ref="I164:I195" si="93">IFERROR(IF(F164&lt;&gt;"",IF($B164&lt;$F$21+$F$16,"",IF(ISNUMBER(G164),IF(ISNUMBER(J164),(F164*30*50*ffp),""),(F164*30*50*ffp))),""),"")</f>
        <v/>
      </c>
      <c r="J164" s="265" t="str">
        <f t="shared" ref="J164:J195" si="94">IFERROR(IF(G164&lt;&gt;"",IF($B164&lt;$F$21+$F$17,"",(G164*30*50*ffp)),""),"")</f>
        <v/>
      </c>
      <c r="K164" s="240" t="str">
        <f t="shared" ref="K164:K195" si="95">IF(E164&lt;&gt;"",((E164*20*50*ffp)/Klevee),"")</f>
        <v/>
      </c>
      <c r="L164" s="265" t="str">
        <f t="shared" ref="L164:L195" si="96">IF(ISNUMBER(F164),((F164*20*50*ffp)/Klevee),"")</f>
        <v/>
      </c>
      <c r="M164" s="265" t="str">
        <f t="shared" ref="M164:M195" si="97">IF(ISNUMBER(G164),((G164*20*50*ffp)/Klevee),"")</f>
        <v/>
      </c>
      <c r="N164" s="240" t="str">
        <f t="shared" ref="N164:N195" si="98">IF(AND(ISNUMBER(I),ISNUMBER($F$14),ISNUMBER($F$20)),IF($B164=0,I*($J$40/100)*$J$42*1,""),"-")</f>
        <v>-</v>
      </c>
      <c r="O164" s="265" t="str">
        <f t="shared" ref="O164:O195" si="99">IF(ISNUMBER($F$14),IF($F$14&gt;1,IF($B164=0+$F$16,I*($J$40/100)*$J$42*1,""),""),"-")</f>
        <v>-</v>
      </c>
      <c r="P164" s="265" t="str">
        <f t="shared" ref="P164:P195" si="100">IF(ISNUMBER($F$14),IF($F$14&gt;2,IF($B164=0+$F$17,I*($J$40/100)*$J$42*1,""),""),"-")</f>
        <v>-</v>
      </c>
      <c r="Q164" s="266" t="str">
        <f t="shared" ref="Q164:Q195" si="101">IF(AND(ISNUMBER(I),ISNUMBER($F$14),ISNUMBER($F$20)),IF($B164=0,I*(dt/100)*$J$45*1,""),"-")</f>
        <v>-</v>
      </c>
      <c r="R164" s="267" t="str">
        <f t="shared" ref="R164:R195" si="102">IF(ISNUMBER($F$14),IF($F$14&gt;1,IF($B164=0+$F$16,I*(dt/100)*$J$45*1,""),""),"-")</f>
        <v>-</v>
      </c>
      <c r="S164" s="268" t="str">
        <f t="shared" ref="S164:S195" si="103">IF(ISNUMBER($F$14),IF($F$14&gt;2,IF($B164=0+$F$17,I*(dt/100)*$J$45*1,""),""),"-")</f>
        <v>-</v>
      </c>
      <c r="T164" s="269" t="str">
        <f t="shared" ref="T164:T227" si="104">IF(SUM(H164:S164)=0,"",SUM(H164:S164))</f>
        <v/>
      </c>
      <c r="U164" s="221">
        <f t="shared" ref="U164:U227" si="105">B164</f>
        <v>64</v>
      </c>
      <c r="V164" s="220" t="str">
        <f t="shared" si="42"/>
        <v>-</v>
      </c>
      <c r="W164" s="221" t="str">
        <f t="shared" si="43"/>
        <v>-</v>
      </c>
      <c r="X164" s="221" t="str">
        <f t="shared" ref="X164:X227" si="106">IFERROR(IF($F$21=0,0,IF(V164=V163,IF(B164-(V164-1)*($F$16-$F$15)&lt;$F$21,X163+1,X163),1)),"-")</f>
        <v>-</v>
      </c>
      <c r="Y164" s="221" t="str">
        <f t="shared" ref="Y164:Y227" si="107">IFERROR(W164-X164,"-")</f>
        <v>-</v>
      </c>
      <c r="Z164" s="270">
        <f t="shared" si="44"/>
        <v>0.1</v>
      </c>
      <c r="AA164" s="271" t="str">
        <f>IFERROR(IF(V163=1,AA$100*EXP(-(LN(2)/$D$65+0.04)*X163)*EXP(-(LN(2)/$D$65+0.1)*Y163),IF(V163=2,AA$100*EXP(-(LN(2)/$D$65+0.04)*(VLOOKUP(($F$16-$F$15)-1,U$99:Y163,4,FALSE)))*EXP(-(LN(2)/$D$65+0.1)*(VLOOKUP(($F$16-$F$15)-1,U$99:Y163,5,FALSE)))*EXP(-(LN(2)/$D$65+0.04)*X163)*EXP(-(LN(2)/$D$65+0.1)*Y163),IF(V163=3,AA$100*EXP(-(LN(2)/$D$65+0.04)*(VLOOKUP(($F$16-$F$15)-1,U$99:Y163,4,FALSE)))*EXP(-(LN(2)/$D$65+0.1)*(VLOOKUP(($F$16-$F$15)-1,U$99:Y163,5,FALSE)))*EXP(-(LN(2)/$D$65+0.04)*(VLOOKUP(($F$16-$F$15)*2-1,U$99:Y163,4,FALSE)))*EXP(-(LN(2)/$D$65+0.1)*(VLOOKUP(($F$16-$F$15)*2-1,U$99:Y163,5,FALSE)))*EXP(-(LN(2)/$D$65+0.04)*X163)*EXP(-(LN(2)/$D$65+0.1)*Y163),"-"))),"-")</f>
        <v>-</v>
      </c>
      <c r="AB164" s="271" t="str">
        <f>IFERROR(IF(V164=1,AB$100*EXP(-(LN(2)/$D$65+0.04)*X164)*EXP(-(LN(2)/$D$65+0.1)*Y164),IF(V164=2,AB$100*EXP(-(LN(2)/$D$65+0.04)*(VLOOKUP(($F$16-$F$15)-1,U$100:Y164,4,FALSE)))*EXP(-(LN(2)/$D$65+0.1)*(VLOOKUP(($F$16-$F$15)-1,U$100:Y164,5,FALSE)))*EXP(-(LN(2)/$D$65+0.04)*X164)*EXP(-(LN(2)/$D$65+0.1)*Y164),IF(V164=3,AB$100*EXP(-(LN(2)/$D$65+0.04)*(VLOOKUP(($F$16-$F$15)-1,U$100:Y164,4,FALSE)))*EXP(-(LN(2)/$D$65+0.1)*(VLOOKUP(($F$16-$F$15)-1,U$100:Y164,5,FALSE)))*EXP(-(LN(2)/$D$65+0.04)*(VLOOKUP(($F$16-$F$15)*2-1,U$100:Y164,4,FALSE)))*EXP(-(LN(2)/$D$65+0.1)*(VLOOKUP(($F$16-$F$15)*2-1,U$100:Y164,5,FALSE)))*EXP(-(LN(2)/$D$65+0.04)*X164)*EXP(-(LN(2)/$D$65+0.1)*Y164),"-"))),"-")</f>
        <v>-</v>
      </c>
      <c r="AC164" s="224">
        <f t="shared" si="46"/>
        <v>64</v>
      </c>
      <c r="AD164" s="223" t="str">
        <f t="shared" ref="AD164:AD227" si="108">IFERROR(IF($F$14-1&gt;0,IF(B164&lt;($F$16-$F$15)*($F$14-1),INT(B164/($F$16-$F$15))+1,AD162),"-"),"-")</f>
        <v>-</v>
      </c>
      <c r="AE164" s="224" t="str">
        <f t="shared" si="47"/>
        <v>-</v>
      </c>
      <c r="AF164" s="224" t="str">
        <f t="shared" ref="AF164:AF227" si="109">IFERROR(IF($F$21=0,0,IF(AD164=AD163,IF(B164-(AD164-1)*($F$16-$F$15)&lt;$F$21,AF163+1,AF163),1)),"-")</f>
        <v>-</v>
      </c>
      <c r="AG164" s="224" t="str">
        <f t="shared" ref="AG164:AG227" si="110">IFERROR(AE164-AF164,"-")</f>
        <v>-</v>
      </c>
      <c r="AH164" s="272">
        <f t="shared" si="48"/>
        <v>0.1</v>
      </c>
      <c r="AI164" s="271" t="str">
        <f>IFERROR(IF(AD163=1,AI$100*EXP(-(LN(2)/$D$65+0.04)*AF163)*EXP(-(LN(2)/$D$65+0.1)*AG163),IF(AD163=2,AI$100*EXP(-(LN(2)/$D$65+0.04)*(VLOOKUP(($F$16-$F$15)-1,AC$99:AG163,4,FALSE)))*EXP(-(LN(2)/$D$65+0.1)*(VLOOKUP(($F$16-$F$15)-1,AC$99:AG163,5,FALSE)))*EXP(-(LN(2)/$D$65+0.04)*AF163)*EXP(-(LN(2)/$D$65+0.1)*AG163),IF(AD163=3,AI$100*EXP(-(LN(2)/$D$65+0.04)*(VLOOKUP(($F$16-$F$15)-1,AC$99:AG163,4,FALSE)))*EXP(-(LN(2)/$D$65+0.1)*(VLOOKUP(($F$16-$F$15)-1,AC$99:AG163,5,FALSE)))*EXP(-(LN(2)/$D$65+0.04)*(VLOOKUP(($F$16-$F$15)*2-1,AC$99:AG163,4,FALSE)))*EXP(-(LN(2)/$D$65+0.1)*(VLOOKUP(($F$16-$F$15)*2-1,AC$99:AG163,5,FALSE)))*EXP(-(LN(2)/$D$65+0.04)*AF163)*EXP(-(LN(2)/$D$65+0.1)*AG163),"-"))),"-")</f>
        <v>-</v>
      </c>
      <c r="AJ164" s="271" t="str">
        <f>IFERROR(IF(AD164=1,AJ$100*EXP(-(LN(2)/$D$65+0.04)*AF164)*EXP(-(LN(2)/$D$65+0.1)*AG164),IF(AD164=2,AJ$100*EXP(-(LN(2)/$D$65+0.04)*(VLOOKUP(($F$16-$F$15)-1,AC$100:AG164,4,FALSE)))*EXP(-(LN(2)/$D$65+0.1)*(VLOOKUP(($F$16-$F$15)-1,AC$100:AG164,5,FALSE)))*EXP(-(LN(2)/$D$65+0.04)*AF164)*EXP(-(LN(2)/$D$65+0.1)*AG164),IF(AD164=3,AJ$100*EXP(-(LN(2)/$D$65+0.04)*(VLOOKUP(($F$16-$F$15)-1,AC$100:AG164,4,FALSE)))*EXP(-(LN(2)/$D$65+0.1)*(VLOOKUP(($F$16-$F$15)-1,AC$100:AG164,5,FALSE)))*EXP(-(LN(2)/$D$65+0.04)*(VLOOKUP(($F$16-$F$15)*2-1,AC$100:AG164,4,FALSE)))*EXP(-(LN(2)/$D$65+0.1)*(VLOOKUP(($F$16-$F$15)*2-1,AC$100:AG164,5,FALSE)))*EXP(-(LN(2)/$D$65+0.04)*AF164)*EXP(-(LN(2)/$D$65+0.1)*AG164),"-"))),"-")</f>
        <v>-</v>
      </c>
      <c r="AK164" s="227">
        <f t="shared" si="50"/>
        <v>64</v>
      </c>
      <c r="AL164" s="226" t="str">
        <f t="shared" ref="AL164:AL227" si="111">IFERROR(IF($F$14-2&gt;0,IF(B164&lt;($F$16-$F$15)*($F$14-2),INT(B164/($F$16-$F$15))+1,AL162),"-"),"-")</f>
        <v>-</v>
      </c>
      <c r="AM164" s="227" t="str">
        <f t="shared" si="51"/>
        <v>-</v>
      </c>
      <c r="AN164" s="227" t="str">
        <f t="shared" si="52"/>
        <v>-</v>
      </c>
      <c r="AO164" s="227" t="str">
        <f t="shared" ref="AO164:AO227" si="112">IFERROR(AM164-AN164,"-")</f>
        <v>-</v>
      </c>
      <c r="AP164" s="273">
        <f t="shared" si="53"/>
        <v>0.1</v>
      </c>
      <c r="AQ164" s="271" t="str">
        <f>IFERROR(IF(AL163=1,AQ$100*EXP(-(LN(2)/$D$65+0.04)*AN163)*EXP(-(LN(2)/$D$65+0.1)*AO163),IF(AL163=2,AQ$100*EXP(-(LN(2)/$D$65+0.04)*(VLOOKUP(($F$16-$F$15)-1,AK$99:AO163,4,FALSE)))*EXP(-(LN(2)/$D$65+0.1)*(VLOOKUP(($F$16-$F$15)-1,AK$99:AO163,5,FALSE)))*EXP(-(LN(2)/$D$65+0.04)*AN163)*EXP(-(LN(2)/$D$65+0.1)*AO163),IF(AL163=3,AQ$100*EXP(-(LN(2)/$D$65+0.04)*(VLOOKUP(($F$16-$F$15)-1,AK$99:AO163,4,FALSE)))*EXP(-(LN(2)/$D$65+0.1)*(VLOOKUP(($F$16-$F$15)-1,AK$99:AO163,5,FALSE)))*EXP(-(LN(2)/$D$65+0.04)*(VLOOKUP(($F$16-$F$15)*2-1,AK$99:AO163,4,FALSE)))*EXP(-(LN(2)/$D$65+0.1)*(VLOOKUP(($F$16-$F$15)*2-1,AK$99:AO163,5,FALSE)))*EXP(-(LN(2)/$D$65+0.04)*AN163)*EXP(-(LN(2)/$D$65+0.1)*AO163),"-"))),"-")</f>
        <v>-</v>
      </c>
      <c r="AR164" s="271" t="str">
        <f>IFERROR(IF(AL164=1,AR$100*EXP(-(LN(2)/$D$65+0.04)*AN164)*EXP(-(LN(2)/$D$65+0.1)*AO164),IF(AL164=2,AR$100*EXP(-(LN(2)/$D$65+0.04)*(VLOOKUP(($F$16-$F$15)-1,AK$100:AO164,4,FALSE)))*EXP(-(LN(2)/$D$65+0.1)*(VLOOKUP(($F$16-$F$15)-1,AK$100:AO164,5,FALSE)))*EXP(-(LN(2)/$D$65+0.04)*AN164)*EXP(-(LN(2)/$D$65+0.1)*AO164),IF(AL164=3,AR$100*EXP(-(LN(2)/$D$65+0.04)*(VLOOKUP(($F$16-$F$15)-1,AK$100:AO164,4,FALSE)))*EXP(-(LN(2)/$D$65+0.1)*(VLOOKUP(($F$16-$F$15)-1,AK$100:AO164,5,FALSE)))*EXP(-(LN(2)/$D$65+0.04)*(VLOOKUP(($F$16-$F$15)*2-1,AK$100:AO164,4,FALSE)))*EXP(-(LN(2)/$D$65+0.1)*(VLOOKUP(($F$16-$F$15)*2-1,AK$100:AO164,5,FALSE)))*EXP(-(LN(2)/$D$65+0.04)*AN164)*EXP(-(LN(2)/$D$65+0.1)*AO164),"-"))),"-")</f>
        <v>-</v>
      </c>
      <c r="AS164" s="274">
        <f t="shared" ref="AS164:AS227" si="113">SUM(H164:J164)</f>
        <v>0</v>
      </c>
      <c r="AT164" s="274">
        <f t="shared" ref="AT164:AT227" si="114">SUM(K164:M164)</f>
        <v>0</v>
      </c>
      <c r="AU164" s="274">
        <f t="shared" ref="AU164:AU227" si="115">SUM(N164:S164)</f>
        <v>0</v>
      </c>
      <c r="AV164" s="190">
        <f>IF($B164&lt;$F$22,SUM($T$100:$T164),"")</f>
        <v>0</v>
      </c>
      <c r="AW164" s="190" t="str">
        <f t="shared" ref="AW164:AW195" si="116">IF(ISNUMBER(Koc),IF(ISNUMBER(AV164),AV164*(Koc*(Ocse/100)*Pse*Vse)/(Koc*(Ocse/100)*Pse*Vse+1*86400*($B164+1)),""),"-")</f>
        <v>-</v>
      </c>
      <c r="AX164" s="190" t="str">
        <f t="shared" si="57"/>
        <v/>
      </c>
      <c r="AY164"/>
      <c r="AZ164" s="190" t="str">
        <f ca="1">IF(ISNUMBER(OFFSET(AV164,-$F$21,0)),SUM(OFFSET($T$100,$F$21,0):$T164),"")</f>
        <v/>
      </c>
      <c r="BA164" s="190" t="str">
        <f t="shared" ref="BA164:BA195" ca="1" si="117">IF(ISNUMBER(OFFSET(AV164,-$F$21,0)),AZ164*(Koc*(Ocse/100)*Pse*Vse)/(Koc*(Ocse/100)*Pse*Vse+1*86400*($B164+1)),"")</f>
        <v/>
      </c>
      <c r="BB164" s="190" t="str">
        <f t="shared" ca="1" si="70"/>
        <v/>
      </c>
      <c r="BC164" s="190"/>
      <c r="BD164" s="190" t="str">
        <f ca="1">IFERROR(IF(AND($B164&gt;=($F$16-$F$15),$B164&lt;$F$22+($F$16-$F$15)),SUM(OFFSET($T$100,($F$16-$F$15),0):$T164),""),"")</f>
        <v/>
      </c>
      <c r="BE164" s="190" t="str">
        <f t="shared" ca="1" si="59"/>
        <v/>
      </c>
      <c r="BF164" s="190" t="str">
        <f t="shared" ca="1" si="60"/>
        <v/>
      </c>
      <c r="BG164"/>
      <c r="BH164" s="190" t="str">
        <f ca="1">IF(ISNUMBER(OFFSET(BD164,-$F$21,0)),SUM(OFFSET($T$100,($F$16-$F$15+$F$21),0):$T164),"")</f>
        <v/>
      </c>
      <c r="BI164" s="190" t="str">
        <f t="shared" ref="BI164:BI195" ca="1" si="118">IF(ISNUMBER(OFFSET(BD164,-$F$21,0)),BH164*(Koc*(Ocse/100)*Pse*Vse)/(Koc*(Ocse/100)*Pse*Vse+1*86400*($B164+1)),"")</f>
        <v/>
      </c>
      <c r="BJ164" s="190" t="str">
        <f t="shared" ca="1" si="61"/>
        <v/>
      </c>
      <c r="BK164" s="190"/>
      <c r="BL164" s="190" t="str">
        <f ca="1">IFERROR(IF(AND($B164&gt;=($F$17-$F$15),$B164&lt;$F$22+($F$17-$F$15)),SUM(OFFSET($T$100,($F$17-$F$15),0):$T164),""),"")</f>
        <v/>
      </c>
      <c r="BM164" s="190" t="str">
        <f t="shared" ref="BM164:BM195" ca="1" si="119">IF(ISNUMBER(BL164),BL164*(Koc*(Ocse/100)*Pse*Vse)/(Koc*(Ocse/100)*Pse*Vse+1*86400*($B164+1)),"")</f>
        <v/>
      </c>
      <c r="BN164" s="190" t="str">
        <f t="shared" ca="1" si="62"/>
        <v/>
      </c>
      <c r="BO164"/>
      <c r="BP164" s="190" t="str">
        <f ca="1">IF(ISNUMBER(OFFSET(BL164,-$F$21,0)),SUM(OFFSET($T$100,($F$17-$F$15+$F$21),0):$T164),"")</f>
        <v/>
      </c>
      <c r="BQ164" s="190" t="str">
        <f t="shared" ref="BQ164:BQ195" ca="1" si="120">IF(ISNUMBER(OFFSET(BL164,-$F$21,0)),BP164*(Koc*(Ocse/100)*Pse*Vse)/(Koc*(Ocse/100)*Pse*Vse+1*86400*($B164+1)),"")</f>
        <v/>
      </c>
      <c r="BR164" s="190" t="str">
        <f t="shared" ca="1" si="64"/>
        <v/>
      </c>
      <c r="BS164" s="190"/>
      <c r="BT164"/>
      <c r="BU164"/>
      <c r="BV164"/>
      <c r="BY164" s="99"/>
      <c r="BZ164" s="99"/>
      <c r="CA164" s="280" t="str">
        <f t="shared" ref="CA164:CA195" si="121">IFERROR(IF($B164&lt;$CA$94,T164*(Koc*(Ocse/100)*Pse*Vse)/(Koc*(Ocse/100)*Pse*Vse+1*86400*$CA$94),""),"-")</f>
        <v/>
      </c>
      <c r="CB164" s="71" t="str">
        <f t="shared" ref="CB164:CB227" si="122">IF(ISNUMBER(T164),IF($B164&lt;$CA$94,(T164-CA164)/(3*86400)*1000,""),"-")</f>
        <v>-</v>
      </c>
      <c r="CC164" s="33"/>
      <c r="CD164" s="261" t="str">
        <f t="shared" ref="CD164:CD227" si="123">IF(CC164=CA$96,CB$96,"")</f>
        <v/>
      </c>
      <c r="CE164" s="280" t="str">
        <f t="shared" ref="CE164:CE195" si="124">IFERROR(IF($B164&lt;$CE$94,T164*(Koc*(Ocse/100)*Pse*Vse)/(Koc*(Ocse/100)*Pse*Vse+1*86400*$CE$94),""),"-")</f>
        <v>-</v>
      </c>
      <c r="CF164" s="71" t="str">
        <f t="shared" ref="CF164:CF195" ca="1" si="125">IFERROR(IF($B164&lt;$CE$94,IF(NOT(ISNUMBER(ffp)),"-",IF($F$70=$AX$87,AX164,IF($F$70=$BB$87,OFFSET(BB164,$F$21,0),IF($F$70=$BF$87,OFFSET(BF164,$F$16,0),IF($F$70=$BJ$87,OFFSET(BJ164,$F$16+$F$21,0),IF($F$70=$BN$87,OFFSET(BN164,$F$17,0),OFFSET(BR164,$F$17+$F$21,0))))))),""),"-")</f>
        <v>-</v>
      </c>
      <c r="CG164" s="33" t="str">
        <f t="shared" ref="CG164:CG227" si="126">IF($B164&lt;$CE$94,$B164&amp;"-"&amp;$B164+1,"")</f>
        <v>64-65</v>
      </c>
      <c r="CH164" s="261" t="str">
        <f t="shared" ref="CH164:CH227" ca="1" si="127">IF(CG164=CE$96,CF$96,"")</f>
        <v/>
      </c>
      <c r="CI164" s="99"/>
      <c r="CJ164" s="99"/>
      <c r="CK164" s="99"/>
      <c r="CL164" s="99"/>
      <c r="CM164" s="99"/>
      <c r="CN164" s="99"/>
      <c r="CO164" s="99"/>
    </row>
    <row r="165" spans="2:93" ht="13.5" customHeight="1" x14ac:dyDescent="0.2">
      <c r="B165" s="262">
        <v>65</v>
      </c>
      <c r="C165" s="237" t="str">
        <f t="shared" si="91"/>
        <v/>
      </c>
      <c r="D165" s="237" t="str">
        <f t="shared" si="67"/>
        <v>-</v>
      </c>
      <c r="E165" s="290" t="str">
        <f t="shared" ref="E165:E228" si="128">IF(ISNUMBER($F$14),IF(ISNUMBER(AA165),AA165,""),"")</f>
        <v/>
      </c>
      <c r="F165" s="264" t="str">
        <f t="shared" ref="F165:F228" si="129">IF(OR($F$14=2,$F$14=3),IF(($F$16-$F$15)&gt;B165," ",VLOOKUP((B165-($F$16-$F$15)),$AC$100:$AI$250,7,FALSE)),"")</f>
        <v/>
      </c>
      <c r="G165" s="291" t="str">
        <f t="shared" ref="G165:G228" si="130">IF($F$14=3,IF(($F$16-$F$15)*2&gt;B165," ",VLOOKUP((B165-($F$16-$F$15)*2),$AK$100:$AQ$250,7,FALSE)),"")</f>
        <v/>
      </c>
      <c r="H165" s="240" t="str">
        <f t="shared" si="92"/>
        <v/>
      </c>
      <c r="I165" s="265" t="str">
        <f t="shared" si="93"/>
        <v/>
      </c>
      <c r="J165" s="265" t="str">
        <f t="shared" si="94"/>
        <v/>
      </c>
      <c r="K165" s="240" t="str">
        <f t="shared" si="95"/>
        <v/>
      </c>
      <c r="L165" s="265" t="str">
        <f t="shared" si="96"/>
        <v/>
      </c>
      <c r="M165" s="265" t="str">
        <f t="shared" si="97"/>
        <v/>
      </c>
      <c r="N165" s="240" t="str">
        <f t="shared" si="98"/>
        <v>-</v>
      </c>
      <c r="O165" s="265" t="str">
        <f t="shared" si="99"/>
        <v>-</v>
      </c>
      <c r="P165" s="265" t="str">
        <f t="shared" si="100"/>
        <v>-</v>
      </c>
      <c r="Q165" s="266" t="str">
        <f t="shared" si="101"/>
        <v>-</v>
      </c>
      <c r="R165" s="267" t="str">
        <f t="shared" si="102"/>
        <v>-</v>
      </c>
      <c r="S165" s="268" t="str">
        <f t="shared" si="103"/>
        <v>-</v>
      </c>
      <c r="T165" s="269" t="str">
        <f t="shared" si="104"/>
        <v/>
      </c>
      <c r="U165" s="221">
        <f t="shared" si="105"/>
        <v>65</v>
      </c>
      <c r="V165" s="220" t="str">
        <f t="shared" ref="V165:V228" si="131">IF(ISNUMBER($F$14),IF(B165&lt;($F$16-$F$15)*$F$14,INT(B165/($F$16-$F$15))+1,V163),"-")</f>
        <v>-</v>
      </c>
      <c r="W165" s="221" t="str">
        <f t="shared" ref="W165:W228" si="132">IF(ISNUMBER($F$14),IF(B165&lt;$F$14*($F$16-$F$15),B165-INT(B165/($F$16-$F$15))*($F$16-$F$15)+1,W164+1),"-")</f>
        <v>-</v>
      </c>
      <c r="X165" s="221" t="str">
        <f t="shared" si="106"/>
        <v>-</v>
      </c>
      <c r="Y165" s="221" t="str">
        <f t="shared" si="107"/>
        <v>-</v>
      </c>
      <c r="Z165" s="270">
        <f t="shared" ref="Z165:Z228" si="133">IF(Y165&gt;0,0.1,0.04)</f>
        <v>0.1</v>
      </c>
      <c r="AA165" s="271" t="str">
        <f>IFERROR(IF(V164=1,AA$100*EXP(-(LN(2)/$D$65+0.04)*X164)*EXP(-(LN(2)/$D$65+0.1)*Y164),IF(V164=2,AA$100*EXP(-(LN(2)/$D$65+0.04)*(VLOOKUP(($F$16-$F$15)-1,U$99:Y164,4,FALSE)))*EXP(-(LN(2)/$D$65+0.1)*(VLOOKUP(($F$16-$F$15)-1,U$99:Y164,5,FALSE)))*EXP(-(LN(2)/$D$65+0.04)*X164)*EXP(-(LN(2)/$D$65+0.1)*Y164),IF(V164=3,AA$100*EXP(-(LN(2)/$D$65+0.04)*(VLOOKUP(($F$16-$F$15)-1,U$99:Y164,4,FALSE)))*EXP(-(LN(2)/$D$65+0.1)*(VLOOKUP(($F$16-$F$15)-1,U$99:Y164,5,FALSE)))*EXP(-(LN(2)/$D$65+0.04)*(VLOOKUP(($F$16-$F$15)*2-1,U$99:Y164,4,FALSE)))*EXP(-(LN(2)/$D$65+0.1)*(VLOOKUP(($F$16-$F$15)*2-1,U$99:Y164,5,FALSE)))*EXP(-(LN(2)/$D$65+0.04)*X164)*EXP(-(LN(2)/$D$65+0.1)*Y164),"-"))),"-")</f>
        <v>-</v>
      </c>
      <c r="AB165" s="271" t="str">
        <f>IFERROR(IF(V165=1,AB$100*EXP(-(LN(2)/$D$65+0.04)*X165)*EXP(-(LN(2)/$D$65+0.1)*Y165),IF(V165=2,AB$100*EXP(-(LN(2)/$D$65+0.04)*(VLOOKUP(($F$16-$F$15)-1,U$100:Y165,4,FALSE)))*EXP(-(LN(2)/$D$65+0.1)*(VLOOKUP(($F$16-$F$15)-1,U$100:Y165,5,FALSE)))*EXP(-(LN(2)/$D$65+0.04)*X165)*EXP(-(LN(2)/$D$65+0.1)*Y165),IF(V165=3,AB$100*EXP(-(LN(2)/$D$65+0.04)*(VLOOKUP(($F$16-$F$15)-1,U$100:Y165,4,FALSE)))*EXP(-(LN(2)/$D$65+0.1)*(VLOOKUP(($F$16-$F$15)-1,U$100:Y165,5,FALSE)))*EXP(-(LN(2)/$D$65+0.04)*(VLOOKUP(($F$16-$F$15)*2-1,U$100:Y165,4,FALSE)))*EXP(-(LN(2)/$D$65+0.1)*(VLOOKUP(($F$16-$F$15)*2-1,U$100:Y165,5,FALSE)))*EXP(-(LN(2)/$D$65+0.04)*X165)*EXP(-(LN(2)/$D$65+0.1)*Y165),"-"))),"-")</f>
        <v>-</v>
      </c>
      <c r="AC165" s="224">
        <f t="shared" ref="AC165:AC228" si="134">B165</f>
        <v>65</v>
      </c>
      <c r="AD165" s="223" t="str">
        <f t="shared" si="108"/>
        <v>-</v>
      </c>
      <c r="AE165" s="224" t="str">
        <f t="shared" ref="AE165:AE228" si="135">IFERROR(IF($F$14-1&gt;0,IF(B165&lt;($F$14-1)*($F$16-$F$15),B165-INT(B165/($F$16-$F$15))*($F$16-$F$15)+1,AE164+1),"-"),"-")</f>
        <v>-</v>
      </c>
      <c r="AF165" s="224" t="str">
        <f t="shared" si="109"/>
        <v>-</v>
      </c>
      <c r="AG165" s="224" t="str">
        <f t="shared" si="110"/>
        <v>-</v>
      </c>
      <c r="AH165" s="272">
        <f t="shared" ref="AH165:AH228" si="136">IF(AG165&gt;0,0.1,0.04)</f>
        <v>0.1</v>
      </c>
      <c r="AI165" s="271" t="str">
        <f>IFERROR(IF(AD164=1,AI$100*EXP(-(LN(2)/$D$65+0.04)*AF164)*EXP(-(LN(2)/$D$65+0.1)*AG164),IF(AD164=2,AI$100*EXP(-(LN(2)/$D$65+0.04)*(VLOOKUP(($F$16-$F$15)-1,AC$99:AG164,4,FALSE)))*EXP(-(LN(2)/$D$65+0.1)*(VLOOKUP(($F$16-$F$15)-1,AC$99:AG164,5,FALSE)))*EXP(-(LN(2)/$D$65+0.04)*AF164)*EXP(-(LN(2)/$D$65+0.1)*AG164),IF(AD164=3,AI$100*EXP(-(LN(2)/$D$65+0.04)*(VLOOKUP(($F$16-$F$15)-1,AC$99:AG164,4,FALSE)))*EXP(-(LN(2)/$D$65+0.1)*(VLOOKUP(($F$16-$F$15)-1,AC$99:AG164,5,FALSE)))*EXP(-(LN(2)/$D$65+0.04)*(VLOOKUP(($F$16-$F$15)*2-1,AC$99:AG164,4,FALSE)))*EXP(-(LN(2)/$D$65+0.1)*(VLOOKUP(($F$16-$F$15)*2-1,AC$99:AG164,5,FALSE)))*EXP(-(LN(2)/$D$65+0.04)*AF164)*EXP(-(LN(2)/$D$65+0.1)*AG164),"-"))),"-")</f>
        <v>-</v>
      </c>
      <c r="AJ165" s="271" t="str">
        <f>IFERROR(IF(AD165=1,AJ$100*EXP(-(LN(2)/$D$65+0.04)*AF165)*EXP(-(LN(2)/$D$65+0.1)*AG165),IF(AD165=2,AJ$100*EXP(-(LN(2)/$D$65+0.04)*(VLOOKUP(($F$16-$F$15)-1,AC$100:AG165,4,FALSE)))*EXP(-(LN(2)/$D$65+0.1)*(VLOOKUP(($F$16-$F$15)-1,AC$100:AG165,5,FALSE)))*EXP(-(LN(2)/$D$65+0.04)*AF165)*EXP(-(LN(2)/$D$65+0.1)*AG165),IF(AD165=3,AJ$100*EXP(-(LN(2)/$D$65+0.04)*(VLOOKUP(($F$16-$F$15)-1,AC$100:AG165,4,FALSE)))*EXP(-(LN(2)/$D$65+0.1)*(VLOOKUP(($F$16-$F$15)-1,AC$100:AG165,5,FALSE)))*EXP(-(LN(2)/$D$65+0.04)*(VLOOKUP(($F$16-$F$15)*2-1,AC$100:AG165,4,FALSE)))*EXP(-(LN(2)/$D$65+0.1)*(VLOOKUP(($F$16-$F$15)*2-1,AC$100:AG165,5,FALSE)))*EXP(-(LN(2)/$D$65+0.04)*AF165)*EXP(-(LN(2)/$D$65+0.1)*AG165),"-"))),"-")</f>
        <v>-</v>
      </c>
      <c r="AK165" s="227">
        <f t="shared" ref="AK165:AK228" si="137">B165</f>
        <v>65</v>
      </c>
      <c r="AL165" s="226" t="str">
        <f t="shared" si="111"/>
        <v>-</v>
      </c>
      <c r="AM165" s="227" t="str">
        <f t="shared" ref="AM165:AM228" si="138">IFERROR(IF($F$14-2&gt;0,IF(B165&lt;($F$14-2)*($F$16-$F$15),B165-INT(B165/($F$16-$F$15))*($F$16-$F$15)+1,AM164+1),"-"),"-")</f>
        <v>-</v>
      </c>
      <c r="AN165" s="227" t="str">
        <f t="shared" ref="AN165:AN228" si="139">IFERROR(IF($F$21=0,0,IF(AL165=AL164,IF(B165-(AL165-1)*($F$16-$F$15)&lt;$F$21,AN164+1,AN164),1)),"-")</f>
        <v>-</v>
      </c>
      <c r="AO165" s="227" t="str">
        <f t="shared" si="112"/>
        <v>-</v>
      </c>
      <c r="AP165" s="273">
        <f t="shared" ref="AP165:AP228" si="140">IF(AO165&gt;0,0.1,0.04)</f>
        <v>0.1</v>
      </c>
      <c r="AQ165" s="271" t="str">
        <f>IFERROR(IF(AL164=1,AQ$100*EXP(-(LN(2)/$D$65+0.04)*AN164)*EXP(-(LN(2)/$D$65+0.1)*AO164),IF(AL164=2,AQ$100*EXP(-(LN(2)/$D$65+0.04)*(VLOOKUP(($F$16-$F$15)-1,AK$99:AO164,4,FALSE)))*EXP(-(LN(2)/$D$65+0.1)*(VLOOKUP(($F$16-$F$15)-1,AK$99:AO164,5,FALSE)))*EXP(-(LN(2)/$D$65+0.04)*AN164)*EXP(-(LN(2)/$D$65+0.1)*AO164),IF(AL164=3,AQ$100*EXP(-(LN(2)/$D$65+0.04)*(VLOOKUP(($F$16-$F$15)-1,AK$99:AO164,4,FALSE)))*EXP(-(LN(2)/$D$65+0.1)*(VLOOKUP(($F$16-$F$15)-1,AK$99:AO164,5,FALSE)))*EXP(-(LN(2)/$D$65+0.04)*(VLOOKUP(($F$16-$F$15)*2-1,AK$99:AO164,4,FALSE)))*EXP(-(LN(2)/$D$65+0.1)*(VLOOKUP(($F$16-$F$15)*2-1,AK$99:AO164,5,FALSE)))*EXP(-(LN(2)/$D$65+0.04)*AN164)*EXP(-(LN(2)/$D$65+0.1)*AO164),"-"))),"-")</f>
        <v>-</v>
      </c>
      <c r="AR165" s="271" t="str">
        <f>IFERROR(IF(AL165=1,AR$100*EXP(-(LN(2)/$D$65+0.04)*AN165)*EXP(-(LN(2)/$D$65+0.1)*AO165),IF(AL165=2,AR$100*EXP(-(LN(2)/$D$65+0.04)*(VLOOKUP(($F$16-$F$15)-1,AK$100:AO165,4,FALSE)))*EXP(-(LN(2)/$D$65+0.1)*(VLOOKUP(($F$16-$F$15)-1,AK$100:AO165,5,FALSE)))*EXP(-(LN(2)/$D$65+0.04)*AN165)*EXP(-(LN(2)/$D$65+0.1)*AO165),IF(AL165=3,AR$100*EXP(-(LN(2)/$D$65+0.04)*(VLOOKUP(($F$16-$F$15)-1,AK$100:AO165,4,FALSE)))*EXP(-(LN(2)/$D$65+0.1)*(VLOOKUP(($F$16-$F$15)-1,AK$100:AO165,5,FALSE)))*EXP(-(LN(2)/$D$65+0.04)*(VLOOKUP(($F$16-$F$15)*2-1,AK$100:AO165,4,FALSE)))*EXP(-(LN(2)/$D$65+0.1)*(VLOOKUP(($F$16-$F$15)*2-1,AK$100:AO165,5,FALSE)))*EXP(-(LN(2)/$D$65+0.04)*AN165)*EXP(-(LN(2)/$D$65+0.1)*AO165),"-"))),"-")</f>
        <v>-</v>
      </c>
      <c r="AS165" s="274">
        <f t="shared" si="113"/>
        <v>0</v>
      </c>
      <c r="AT165" s="274">
        <f t="shared" si="114"/>
        <v>0</v>
      </c>
      <c r="AU165" s="274">
        <f t="shared" si="115"/>
        <v>0</v>
      </c>
      <c r="AV165" s="190">
        <f>IF($B165&lt;$F$22,SUM($T$100:$T165),"")</f>
        <v>0</v>
      </c>
      <c r="AW165" s="190" t="str">
        <f t="shared" si="116"/>
        <v>-</v>
      </c>
      <c r="AX165" s="190" t="str">
        <f t="shared" ref="AX165:AX228" si="141">IF(ISNUMBER(AW165),IF(ISNUMBER(AV165),(AV165-AW165)/(3*86400*($B165+1))*1000,""),"")</f>
        <v/>
      </c>
      <c r="AY165"/>
      <c r="AZ165" s="190" t="str">
        <f ca="1">IF(ISNUMBER(OFFSET(AV165,-$F$21,0)),SUM(OFFSET($T$100,$F$21,0):$T165),"")</f>
        <v/>
      </c>
      <c r="BA165" s="190" t="str">
        <f t="shared" ca="1" si="117"/>
        <v/>
      </c>
      <c r="BB165" s="190" t="str">
        <f t="shared" ca="1" si="70"/>
        <v/>
      </c>
      <c r="BC165" s="190"/>
      <c r="BD165" s="190" t="str">
        <f ca="1">IFERROR(IF(AND($B165&gt;=($F$16-$F$15),$B165&lt;$F$22+($F$16-$F$15)),SUM(OFFSET($T$100,($F$16-$F$15),0):$T165),""),"")</f>
        <v/>
      </c>
      <c r="BE165" s="190" t="str">
        <f t="shared" ref="BE165:BE228" ca="1" si="142">IF(ISNUMBER(BD165),BD165*(Koc*(Ocse/100)*Pse*Vse)/(Koc*(Ocse/100)*Pse*Vse+1*86400*($B165+1)),"")</f>
        <v/>
      </c>
      <c r="BF165" s="190" t="str">
        <f t="shared" ref="BF165:BF228" ca="1" si="143">IF(ISNUMBER(BD165),(BD165-BE165)/(3*86400*($B165-($F$16-$F$15)+1))*1000,"")</f>
        <v/>
      </c>
      <c r="BG165"/>
      <c r="BH165" s="190" t="str">
        <f ca="1">IF(ISNUMBER(OFFSET(BD165,-$F$21,0)),SUM(OFFSET($T$100,($F$16-$F$15+$F$21),0):$T165),"")</f>
        <v/>
      </c>
      <c r="BI165" s="190" t="str">
        <f t="shared" ca="1" si="118"/>
        <v/>
      </c>
      <c r="BJ165" s="190" t="str">
        <f t="shared" ref="BJ165:BJ228" ca="1" si="144">IF(ISNUMBER(BH165),(BH165-BI165)/(3*86400*((OFFSET($B165,-$F$21,0)-($F$16-$F$15)+1)))*1000,"")</f>
        <v/>
      </c>
      <c r="BK165" s="190"/>
      <c r="BL165" s="190" t="str">
        <f ca="1">IFERROR(IF(AND($B165&gt;=($F$17-$F$15),$B165&lt;$F$22+($F$17-$F$15)),SUM(OFFSET($T$100,($F$17-$F$15),0):$T165),""),"")</f>
        <v/>
      </c>
      <c r="BM165" s="190" t="str">
        <f t="shared" ca="1" si="119"/>
        <v/>
      </c>
      <c r="BN165" s="190" t="str">
        <f t="shared" ref="BN165:BN228" ca="1" si="145">IF(ISNUMBER(BL165),(BL165-BM165)/(3*86400*($B165-($F$17-$F$15)+1))*1000,"")</f>
        <v/>
      </c>
      <c r="BO165"/>
      <c r="BP165" s="190" t="str">
        <f ca="1">IF(ISNUMBER(OFFSET(BL165,-$F$21,0)),SUM(OFFSET($T$100,($F$17-$F$15+$F$21),0):$T165),"")</f>
        <v/>
      </c>
      <c r="BQ165" s="190" t="str">
        <f t="shared" ca="1" si="120"/>
        <v/>
      </c>
      <c r="BR165" s="190" t="str">
        <f t="shared" ref="BR165:BR228" ca="1" si="146">IF(ISNUMBER(BP165),(BP165-BQ165)/(3*86400*(OFFSET($B165,-$F$21,0)-($F$17-$F$15)+1))*1000,"")</f>
        <v/>
      </c>
      <c r="BS165" s="190"/>
      <c r="BT165"/>
      <c r="BU165"/>
      <c r="BV165"/>
      <c r="BY165" s="99"/>
      <c r="BZ165" s="99"/>
      <c r="CA165" s="280" t="str">
        <f t="shared" si="121"/>
        <v/>
      </c>
      <c r="CB165" s="71" t="str">
        <f t="shared" si="122"/>
        <v>-</v>
      </c>
      <c r="CC165" s="33"/>
      <c r="CD165" s="261" t="str">
        <f t="shared" si="123"/>
        <v/>
      </c>
      <c r="CE165" s="280" t="str">
        <f t="shared" si="124"/>
        <v>-</v>
      </c>
      <c r="CF165" s="71" t="str">
        <f t="shared" ca="1" si="125"/>
        <v>-</v>
      </c>
      <c r="CG165" s="33" t="str">
        <f t="shared" si="126"/>
        <v>65-66</v>
      </c>
      <c r="CH165" s="261" t="str">
        <f t="shared" ca="1" si="127"/>
        <v/>
      </c>
      <c r="CI165" s="99"/>
      <c r="CJ165" s="99"/>
      <c r="CK165" s="99"/>
      <c r="CL165" s="99"/>
      <c r="CM165" s="99"/>
      <c r="CN165" s="99"/>
      <c r="CO165" s="99"/>
    </row>
    <row r="166" spans="2:93" ht="13.5" customHeight="1" x14ac:dyDescent="0.2">
      <c r="B166" s="262">
        <v>66</v>
      </c>
      <c r="C166" s="237" t="str">
        <f t="shared" si="91"/>
        <v/>
      </c>
      <c r="D166" s="237" t="str">
        <f t="shared" ref="D166:D229" si="147">IFERROR(IF(B166&lt;$F$22,IF(ISNUMBER($D$65),IF(MAX($BU$101:$BU$120)&lt;B166, "", IF(B166=VLOOKUP(B166, $BU$101:$BU$120,1,1), C166,D165-INDEX($BY$101:$BY$120, MATCH(VLOOKUP(B166, $BU$101:$BU$120,1,1), $BU$101:$BU$120)+1, 1))),D165-VLOOKUP(MAX($BU$101:$BU$120),$BU$101:$BY$120,5)),""),"-")</f>
        <v>-</v>
      </c>
      <c r="E166" s="290" t="str">
        <f t="shared" si="128"/>
        <v/>
      </c>
      <c r="F166" s="264" t="str">
        <f t="shared" si="129"/>
        <v/>
      </c>
      <c r="G166" s="291" t="str">
        <f t="shared" si="130"/>
        <v/>
      </c>
      <c r="H166" s="240" t="str">
        <f t="shared" si="92"/>
        <v/>
      </c>
      <c r="I166" s="265" t="str">
        <f t="shared" si="93"/>
        <v/>
      </c>
      <c r="J166" s="265" t="str">
        <f t="shared" si="94"/>
        <v/>
      </c>
      <c r="K166" s="240" t="str">
        <f t="shared" si="95"/>
        <v/>
      </c>
      <c r="L166" s="265" t="str">
        <f t="shared" si="96"/>
        <v/>
      </c>
      <c r="M166" s="265" t="str">
        <f t="shared" si="97"/>
        <v/>
      </c>
      <c r="N166" s="240" t="str">
        <f t="shared" si="98"/>
        <v>-</v>
      </c>
      <c r="O166" s="265" t="str">
        <f t="shared" si="99"/>
        <v>-</v>
      </c>
      <c r="P166" s="265" t="str">
        <f t="shared" si="100"/>
        <v>-</v>
      </c>
      <c r="Q166" s="266" t="str">
        <f t="shared" si="101"/>
        <v>-</v>
      </c>
      <c r="R166" s="267" t="str">
        <f t="shared" si="102"/>
        <v>-</v>
      </c>
      <c r="S166" s="268" t="str">
        <f t="shared" si="103"/>
        <v>-</v>
      </c>
      <c r="T166" s="269" t="str">
        <f t="shared" si="104"/>
        <v/>
      </c>
      <c r="U166" s="221">
        <f t="shared" si="105"/>
        <v>66</v>
      </c>
      <c r="V166" s="220" t="str">
        <f t="shared" si="131"/>
        <v>-</v>
      </c>
      <c r="W166" s="221" t="str">
        <f t="shared" si="132"/>
        <v>-</v>
      </c>
      <c r="X166" s="221" t="str">
        <f t="shared" si="106"/>
        <v>-</v>
      </c>
      <c r="Y166" s="221" t="str">
        <f t="shared" si="107"/>
        <v>-</v>
      </c>
      <c r="Z166" s="270">
        <f t="shared" si="133"/>
        <v>0.1</v>
      </c>
      <c r="AA166" s="271" t="str">
        <f>IFERROR(IF(V165=1,AA$100*EXP(-(LN(2)/$D$65+0.04)*X165)*EXP(-(LN(2)/$D$65+0.1)*Y165),IF(V165=2,AA$100*EXP(-(LN(2)/$D$65+0.04)*(VLOOKUP(($F$16-$F$15)-1,U$99:Y165,4,FALSE)))*EXP(-(LN(2)/$D$65+0.1)*(VLOOKUP(($F$16-$F$15)-1,U$99:Y165,5,FALSE)))*EXP(-(LN(2)/$D$65+0.04)*X165)*EXP(-(LN(2)/$D$65+0.1)*Y165),IF(V165=3,AA$100*EXP(-(LN(2)/$D$65+0.04)*(VLOOKUP(($F$16-$F$15)-1,U$99:Y165,4,FALSE)))*EXP(-(LN(2)/$D$65+0.1)*(VLOOKUP(($F$16-$F$15)-1,U$99:Y165,5,FALSE)))*EXP(-(LN(2)/$D$65+0.04)*(VLOOKUP(($F$16-$F$15)*2-1,U$99:Y165,4,FALSE)))*EXP(-(LN(2)/$D$65+0.1)*(VLOOKUP(($F$16-$F$15)*2-1,U$99:Y165,5,FALSE)))*EXP(-(LN(2)/$D$65+0.04)*X165)*EXP(-(LN(2)/$D$65+0.1)*Y165),"-"))),"-")</f>
        <v>-</v>
      </c>
      <c r="AB166" s="271" t="str">
        <f>IFERROR(IF(V166=1,AB$100*EXP(-(LN(2)/$D$65+0.04)*X166)*EXP(-(LN(2)/$D$65+0.1)*Y166),IF(V166=2,AB$100*EXP(-(LN(2)/$D$65+0.04)*(VLOOKUP(($F$16-$F$15)-1,U$100:Y166,4,FALSE)))*EXP(-(LN(2)/$D$65+0.1)*(VLOOKUP(($F$16-$F$15)-1,U$100:Y166,5,FALSE)))*EXP(-(LN(2)/$D$65+0.04)*X166)*EXP(-(LN(2)/$D$65+0.1)*Y166),IF(V166=3,AB$100*EXP(-(LN(2)/$D$65+0.04)*(VLOOKUP(($F$16-$F$15)-1,U$100:Y166,4,FALSE)))*EXP(-(LN(2)/$D$65+0.1)*(VLOOKUP(($F$16-$F$15)-1,U$100:Y166,5,FALSE)))*EXP(-(LN(2)/$D$65+0.04)*(VLOOKUP(($F$16-$F$15)*2-1,U$100:Y166,4,FALSE)))*EXP(-(LN(2)/$D$65+0.1)*(VLOOKUP(($F$16-$F$15)*2-1,U$100:Y166,5,FALSE)))*EXP(-(LN(2)/$D$65+0.04)*X166)*EXP(-(LN(2)/$D$65+0.1)*Y166),"-"))),"-")</f>
        <v>-</v>
      </c>
      <c r="AC166" s="224">
        <f t="shared" si="134"/>
        <v>66</v>
      </c>
      <c r="AD166" s="223" t="str">
        <f t="shared" si="108"/>
        <v>-</v>
      </c>
      <c r="AE166" s="224" t="str">
        <f t="shared" si="135"/>
        <v>-</v>
      </c>
      <c r="AF166" s="224" t="str">
        <f t="shared" si="109"/>
        <v>-</v>
      </c>
      <c r="AG166" s="224" t="str">
        <f t="shared" si="110"/>
        <v>-</v>
      </c>
      <c r="AH166" s="272">
        <f t="shared" si="136"/>
        <v>0.1</v>
      </c>
      <c r="AI166" s="271" t="str">
        <f>IFERROR(IF(AD165=1,AI$100*EXP(-(LN(2)/$D$65+0.04)*AF165)*EXP(-(LN(2)/$D$65+0.1)*AG165),IF(AD165=2,AI$100*EXP(-(LN(2)/$D$65+0.04)*(VLOOKUP(($F$16-$F$15)-1,AC$99:AG165,4,FALSE)))*EXP(-(LN(2)/$D$65+0.1)*(VLOOKUP(($F$16-$F$15)-1,AC$99:AG165,5,FALSE)))*EXP(-(LN(2)/$D$65+0.04)*AF165)*EXP(-(LN(2)/$D$65+0.1)*AG165),IF(AD165=3,AI$100*EXP(-(LN(2)/$D$65+0.04)*(VLOOKUP(($F$16-$F$15)-1,AC$99:AG165,4,FALSE)))*EXP(-(LN(2)/$D$65+0.1)*(VLOOKUP(($F$16-$F$15)-1,AC$99:AG165,5,FALSE)))*EXP(-(LN(2)/$D$65+0.04)*(VLOOKUP(($F$16-$F$15)*2-1,AC$99:AG165,4,FALSE)))*EXP(-(LN(2)/$D$65+0.1)*(VLOOKUP(($F$16-$F$15)*2-1,AC$99:AG165,5,FALSE)))*EXP(-(LN(2)/$D$65+0.04)*AF165)*EXP(-(LN(2)/$D$65+0.1)*AG165),"-"))),"-")</f>
        <v>-</v>
      </c>
      <c r="AJ166" s="271" t="str">
        <f>IFERROR(IF(AD166=1,AJ$100*EXP(-(LN(2)/$D$65+0.04)*AF166)*EXP(-(LN(2)/$D$65+0.1)*AG166),IF(AD166=2,AJ$100*EXP(-(LN(2)/$D$65+0.04)*(VLOOKUP(($F$16-$F$15)-1,AC$100:AG166,4,FALSE)))*EXP(-(LN(2)/$D$65+0.1)*(VLOOKUP(($F$16-$F$15)-1,AC$100:AG166,5,FALSE)))*EXP(-(LN(2)/$D$65+0.04)*AF166)*EXP(-(LN(2)/$D$65+0.1)*AG166),IF(AD166=3,AJ$100*EXP(-(LN(2)/$D$65+0.04)*(VLOOKUP(($F$16-$F$15)-1,AC$100:AG166,4,FALSE)))*EXP(-(LN(2)/$D$65+0.1)*(VLOOKUP(($F$16-$F$15)-1,AC$100:AG166,5,FALSE)))*EXP(-(LN(2)/$D$65+0.04)*(VLOOKUP(($F$16-$F$15)*2-1,AC$100:AG166,4,FALSE)))*EXP(-(LN(2)/$D$65+0.1)*(VLOOKUP(($F$16-$F$15)*2-1,AC$100:AG166,5,FALSE)))*EXP(-(LN(2)/$D$65+0.04)*AF166)*EXP(-(LN(2)/$D$65+0.1)*AG166),"-"))),"-")</f>
        <v>-</v>
      </c>
      <c r="AK166" s="227">
        <f t="shared" si="137"/>
        <v>66</v>
      </c>
      <c r="AL166" s="226" t="str">
        <f t="shared" si="111"/>
        <v>-</v>
      </c>
      <c r="AM166" s="227" t="str">
        <f t="shared" si="138"/>
        <v>-</v>
      </c>
      <c r="AN166" s="227" t="str">
        <f t="shared" si="139"/>
        <v>-</v>
      </c>
      <c r="AO166" s="227" t="str">
        <f t="shared" si="112"/>
        <v>-</v>
      </c>
      <c r="AP166" s="273">
        <f t="shared" si="140"/>
        <v>0.1</v>
      </c>
      <c r="AQ166" s="271" t="str">
        <f>IFERROR(IF(AL165=1,AQ$100*EXP(-(LN(2)/$D$65+0.04)*AN165)*EXP(-(LN(2)/$D$65+0.1)*AO165),IF(AL165=2,AQ$100*EXP(-(LN(2)/$D$65+0.04)*(VLOOKUP(($F$16-$F$15)-1,AK$99:AO165,4,FALSE)))*EXP(-(LN(2)/$D$65+0.1)*(VLOOKUP(($F$16-$F$15)-1,AK$99:AO165,5,FALSE)))*EXP(-(LN(2)/$D$65+0.04)*AN165)*EXP(-(LN(2)/$D$65+0.1)*AO165),IF(AL165=3,AQ$100*EXP(-(LN(2)/$D$65+0.04)*(VLOOKUP(($F$16-$F$15)-1,AK$99:AO165,4,FALSE)))*EXP(-(LN(2)/$D$65+0.1)*(VLOOKUP(($F$16-$F$15)-1,AK$99:AO165,5,FALSE)))*EXP(-(LN(2)/$D$65+0.04)*(VLOOKUP(($F$16-$F$15)*2-1,AK$99:AO165,4,FALSE)))*EXP(-(LN(2)/$D$65+0.1)*(VLOOKUP(($F$16-$F$15)*2-1,AK$99:AO165,5,FALSE)))*EXP(-(LN(2)/$D$65+0.04)*AN165)*EXP(-(LN(2)/$D$65+0.1)*AO165),"-"))),"-")</f>
        <v>-</v>
      </c>
      <c r="AR166" s="271" t="str">
        <f>IFERROR(IF(AL166=1,AR$100*EXP(-(LN(2)/$D$65+0.04)*AN166)*EXP(-(LN(2)/$D$65+0.1)*AO166),IF(AL166=2,AR$100*EXP(-(LN(2)/$D$65+0.04)*(VLOOKUP(($F$16-$F$15)-1,AK$100:AO166,4,FALSE)))*EXP(-(LN(2)/$D$65+0.1)*(VLOOKUP(($F$16-$F$15)-1,AK$100:AO166,5,FALSE)))*EXP(-(LN(2)/$D$65+0.04)*AN166)*EXP(-(LN(2)/$D$65+0.1)*AO166),IF(AL166=3,AR$100*EXP(-(LN(2)/$D$65+0.04)*(VLOOKUP(($F$16-$F$15)-1,AK$100:AO166,4,FALSE)))*EXP(-(LN(2)/$D$65+0.1)*(VLOOKUP(($F$16-$F$15)-1,AK$100:AO166,5,FALSE)))*EXP(-(LN(2)/$D$65+0.04)*(VLOOKUP(($F$16-$F$15)*2-1,AK$100:AO166,4,FALSE)))*EXP(-(LN(2)/$D$65+0.1)*(VLOOKUP(($F$16-$F$15)*2-1,AK$100:AO166,5,FALSE)))*EXP(-(LN(2)/$D$65+0.04)*AN166)*EXP(-(LN(2)/$D$65+0.1)*AO166),"-"))),"-")</f>
        <v>-</v>
      </c>
      <c r="AS166" s="274">
        <f t="shared" si="113"/>
        <v>0</v>
      </c>
      <c r="AT166" s="274">
        <f t="shared" si="114"/>
        <v>0</v>
      </c>
      <c r="AU166" s="274">
        <f t="shared" si="115"/>
        <v>0</v>
      </c>
      <c r="AV166" s="190">
        <f>IF($B166&lt;$F$22,SUM($T$100:$T166),"")</f>
        <v>0</v>
      </c>
      <c r="AW166" s="190" t="str">
        <f t="shared" si="116"/>
        <v>-</v>
      </c>
      <c r="AX166" s="190" t="str">
        <f t="shared" si="141"/>
        <v/>
      </c>
      <c r="AY166"/>
      <c r="AZ166" s="190" t="str">
        <f ca="1">IF(ISNUMBER(OFFSET(AV166,-$F$21,0)),SUM(OFFSET($T$100,$F$21,0):$T166),"")</f>
        <v/>
      </c>
      <c r="BA166" s="190" t="str">
        <f t="shared" ca="1" si="117"/>
        <v/>
      </c>
      <c r="BB166" s="190" t="str">
        <f t="shared" ca="1" si="70"/>
        <v/>
      </c>
      <c r="BC166" s="190"/>
      <c r="BD166" s="190" t="str">
        <f ca="1">IFERROR(IF(AND($B166&gt;=($F$16-$F$15),$B166&lt;$F$22+($F$16-$F$15)),SUM(OFFSET($T$100,($F$16-$F$15),0):$T166),""),"")</f>
        <v/>
      </c>
      <c r="BE166" s="190" t="str">
        <f t="shared" ca="1" si="142"/>
        <v/>
      </c>
      <c r="BF166" s="190" t="str">
        <f t="shared" ca="1" si="143"/>
        <v/>
      </c>
      <c r="BG166"/>
      <c r="BH166" s="190" t="str">
        <f ca="1">IF(ISNUMBER(OFFSET(BD166,-$F$21,0)),SUM(OFFSET($T$100,($F$16-$F$15+$F$21),0):$T166),"")</f>
        <v/>
      </c>
      <c r="BI166" s="190" t="str">
        <f t="shared" ca="1" si="118"/>
        <v/>
      </c>
      <c r="BJ166" s="190" t="str">
        <f t="shared" ca="1" si="144"/>
        <v/>
      </c>
      <c r="BK166" s="190"/>
      <c r="BL166" s="190" t="str">
        <f ca="1">IFERROR(IF(AND($B166&gt;=($F$17-$F$15),$B166&lt;$F$22+($F$17-$F$15)),SUM(OFFSET($T$100,($F$17-$F$15),0):$T166),""),"")</f>
        <v/>
      </c>
      <c r="BM166" s="190" t="str">
        <f t="shared" ca="1" si="119"/>
        <v/>
      </c>
      <c r="BN166" s="190" t="str">
        <f t="shared" ca="1" si="145"/>
        <v/>
      </c>
      <c r="BO166"/>
      <c r="BP166" s="190" t="str">
        <f ca="1">IF(ISNUMBER(OFFSET(BL166,-$F$21,0)),SUM(OFFSET($T$100,($F$17-$F$15+$F$21),0):$T166),"")</f>
        <v/>
      </c>
      <c r="BQ166" s="190" t="str">
        <f t="shared" ca="1" si="120"/>
        <v/>
      </c>
      <c r="BR166" s="190" t="str">
        <f t="shared" ca="1" si="146"/>
        <v/>
      </c>
      <c r="BS166" s="190"/>
      <c r="BT166"/>
      <c r="BU166"/>
      <c r="BV166"/>
      <c r="BY166" s="99"/>
      <c r="BZ166" s="99"/>
      <c r="CA166" s="280" t="str">
        <f t="shared" si="121"/>
        <v/>
      </c>
      <c r="CB166" s="71" t="str">
        <f t="shared" si="122"/>
        <v>-</v>
      </c>
      <c r="CC166" s="33"/>
      <c r="CD166" s="261" t="str">
        <f t="shared" si="123"/>
        <v/>
      </c>
      <c r="CE166" s="280" t="str">
        <f t="shared" si="124"/>
        <v>-</v>
      </c>
      <c r="CF166" s="71" t="str">
        <f t="shared" ca="1" si="125"/>
        <v>-</v>
      </c>
      <c r="CG166" s="33" t="str">
        <f t="shared" si="126"/>
        <v>66-67</v>
      </c>
      <c r="CH166" s="261" t="str">
        <f t="shared" ca="1" si="127"/>
        <v/>
      </c>
      <c r="CI166" s="99"/>
      <c r="CJ166" s="99"/>
      <c r="CK166" s="99"/>
      <c r="CL166" s="99"/>
      <c r="CM166" s="99"/>
      <c r="CN166" s="99"/>
      <c r="CO166" s="99"/>
    </row>
    <row r="167" spans="2:93" ht="13.5" customHeight="1" x14ac:dyDescent="0.2">
      <c r="B167" s="262">
        <v>67</v>
      </c>
      <c r="C167" s="237" t="str">
        <f t="shared" si="91"/>
        <v/>
      </c>
      <c r="D167" s="237" t="str">
        <f t="shared" si="147"/>
        <v>-</v>
      </c>
      <c r="E167" s="290" t="str">
        <f t="shared" si="128"/>
        <v/>
      </c>
      <c r="F167" s="264" t="str">
        <f t="shared" si="129"/>
        <v/>
      </c>
      <c r="G167" s="291" t="str">
        <f t="shared" si="130"/>
        <v/>
      </c>
      <c r="H167" s="240" t="str">
        <f t="shared" si="92"/>
        <v/>
      </c>
      <c r="I167" s="265" t="str">
        <f t="shared" si="93"/>
        <v/>
      </c>
      <c r="J167" s="265" t="str">
        <f t="shared" si="94"/>
        <v/>
      </c>
      <c r="K167" s="240" t="str">
        <f t="shared" si="95"/>
        <v/>
      </c>
      <c r="L167" s="265" t="str">
        <f t="shared" si="96"/>
        <v/>
      </c>
      <c r="M167" s="265" t="str">
        <f t="shared" si="97"/>
        <v/>
      </c>
      <c r="N167" s="240" t="str">
        <f t="shared" si="98"/>
        <v>-</v>
      </c>
      <c r="O167" s="265" t="str">
        <f t="shared" si="99"/>
        <v>-</v>
      </c>
      <c r="P167" s="265" t="str">
        <f t="shared" si="100"/>
        <v>-</v>
      </c>
      <c r="Q167" s="266" t="str">
        <f t="shared" si="101"/>
        <v>-</v>
      </c>
      <c r="R167" s="267" t="str">
        <f t="shared" si="102"/>
        <v>-</v>
      </c>
      <c r="S167" s="268" t="str">
        <f t="shared" si="103"/>
        <v>-</v>
      </c>
      <c r="T167" s="269" t="str">
        <f t="shared" si="104"/>
        <v/>
      </c>
      <c r="U167" s="221">
        <f t="shared" si="105"/>
        <v>67</v>
      </c>
      <c r="V167" s="220" t="str">
        <f t="shared" si="131"/>
        <v>-</v>
      </c>
      <c r="W167" s="221" t="str">
        <f t="shared" si="132"/>
        <v>-</v>
      </c>
      <c r="X167" s="221" t="str">
        <f t="shared" si="106"/>
        <v>-</v>
      </c>
      <c r="Y167" s="221" t="str">
        <f t="shared" si="107"/>
        <v>-</v>
      </c>
      <c r="Z167" s="270">
        <f t="shared" si="133"/>
        <v>0.1</v>
      </c>
      <c r="AA167" s="271" t="str">
        <f>IFERROR(IF(V166=1,AA$100*EXP(-(LN(2)/$D$65+0.04)*X166)*EXP(-(LN(2)/$D$65+0.1)*Y166),IF(V166=2,AA$100*EXP(-(LN(2)/$D$65+0.04)*(VLOOKUP(($F$16-$F$15)-1,U$99:Y166,4,FALSE)))*EXP(-(LN(2)/$D$65+0.1)*(VLOOKUP(($F$16-$F$15)-1,U$99:Y166,5,FALSE)))*EXP(-(LN(2)/$D$65+0.04)*X166)*EXP(-(LN(2)/$D$65+0.1)*Y166),IF(V166=3,AA$100*EXP(-(LN(2)/$D$65+0.04)*(VLOOKUP(($F$16-$F$15)-1,U$99:Y166,4,FALSE)))*EXP(-(LN(2)/$D$65+0.1)*(VLOOKUP(($F$16-$F$15)-1,U$99:Y166,5,FALSE)))*EXP(-(LN(2)/$D$65+0.04)*(VLOOKUP(($F$16-$F$15)*2-1,U$99:Y166,4,FALSE)))*EXP(-(LN(2)/$D$65+0.1)*(VLOOKUP(($F$16-$F$15)*2-1,U$99:Y166,5,FALSE)))*EXP(-(LN(2)/$D$65+0.04)*X166)*EXP(-(LN(2)/$D$65+0.1)*Y166),"-"))),"-")</f>
        <v>-</v>
      </c>
      <c r="AB167" s="271" t="str">
        <f>IFERROR(IF(V167=1,AB$100*EXP(-(LN(2)/$D$65+0.04)*X167)*EXP(-(LN(2)/$D$65+0.1)*Y167),IF(V167=2,AB$100*EXP(-(LN(2)/$D$65+0.04)*(VLOOKUP(($F$16-$F$15)-1,U$100:Y167,4,FALSE)))*EXP(-(LN(2)/$D$65+0.1)*(VLOOKUP(($F$16-$F$15)-1,U$100:Y167,5,FALSE)))*EXP(-(LN(2)/$D$65+0.04)*X167)*EXP(-(LN(2)/$D$65+0.1)*Y167),IF(V167=3,AB$100*EXP(-(LN(2)/$D$65+0.04)*(VLOOKUP(($F$16-$F$15)-1,U$100:Y167,4,FALSE)))*EXP(-(LN(2)/$D$65+0.1)*(VLOOKUP(($F$16-$F$15)-1,U$100:Y167,5,FALSE)))*EXP(-(LN(2)/$D$65+0.04)*(VLOOKUP(($F$16-$F$15)*2-1,U$100:Y167,4,FALSE)))*EXP(-(LN(2)/$D$65+0.1)*(VLOOKUP(($F$16-$F$15)*2-1,U$100:Y167,5,FALSE)))*EXP(-(LN(2)/$D$65+0.04)*X167)*EXP(-(LN(2)/$D$65+0.1)*Y167),"-"))),"-")</f>
        <v>-</v>
      </c>
      <c r="AC167" s="224">
        <f t="shared" si="134"/>
        <v>67</v>
      </c>
      <c r="AD167" s="223" t="str">
        <f t="shared" si="108"/>
        <v>-</v>
      </c>
      <c r="AE167" s="224" t="str">
        <f t="shared" si="135"/>
        <v>-</v>
      </c>
      <c r="AF167" s="224" t="str">
        <f t="shared" si="109"/>
        <v>-</v>
      </c>
      <c r="AG167" s="224" t="str">
        <f t="shared" si="110"/>
        <v>-</v>
      </c>
      <c r="AH167" s="272">
        <f t="shared" si="136"/>
        <v>0.1</v>
      </c>
      <c r="AI167" s="271" t="str">
        <f>IFERROR(IF(AD166=1,AI$100*EXP(-(LN(2)/$D$65+0.04)*AF166)*EXP(-(LN(2)/$D$65+0.1)*AG166),IF(AD166=2,AI$100*EXP(-(LN(2)/$D$65+0.04)*(VLOOKUP(($F$16-$F$15)-1,AC$99:AG166,4,FALSE)))*EXP(-(LN(2)/$D$65+0.1)*(VLOOKUP(($F$16-$F$15)-1,AC$99:AG166,5,FALSE)))*EXP(-(LN(2)/$D$65+0.04)*AF166)*EXP(-(LN(2)/$D$65+0.1)*AG166),IF(AD166=3,AI$100*EXP(-(LN(2)/$D$65+0.04)*(VLOOKUP(($F$16-$F$15)-1,AC$99:AG166,4,FALSE)))*EXP(-(LN(2)/$D$65+0.1)*(VLOOKUP(($F$16-$F$15)-1,AC$99:AG166,5,FALSE)))*EXP(-(LN(2)/$D$65+0.04)*(VLOOKUP(($F$16-$F$15)*2-1,AC$99:AG166,4,FALSE)))*EXP(-(LN(2)/$D$65+0.1)*(VLOOKUP(($F$16-$F$15)*2-1,AC$99:AG166,5,FALSE)))*EXP(-(LN(2)/$D$65+0.04)*AF166)*EXP(-(LN(2)/$D$65+0.1)*AG166),"-"))),"-")</f>
        <v>-</v>
      </c>
      <c r="AJ167" s="271" t="str">
        <f>IFERROR(IF(AD167=1,AJ$100*EXP(-(LN(2)/$D$65+0.04)*AF167)*EXP(-(LN(2)/$D$65+0.1)*AG167),IF(AD167=2,AJ$100*EXP(-(LN(2)/$D$65+0.04)*(VLOOKUP(($F$16-$F$15)-1,AC$100:AG167,4,FALSE)))*EXP(-(LN(2)/$D$65+0.1)*(VLOOKUP(($F$16-$F$15)-1,AC$100:AG167,5,FALSE)))*EXP(-(LN(2)/$D$65+0.04)*AF167)*EXP(-(LN(2)/$D$65+0.1)*AG167),IF(AD167=3,AJ$100*EXP(-(LN(2)/$D$65+0.04)*(VLOOKUP(($F$16-$F$15)-1,AC$100:AG167,4,FALSE)))*EXP(-(LN(2)/$D$65+0.1)*(VLOOKUP(($F$16-$F$15)-1,AC$100:AG167,5,FALSE)))*EXP(-(LN(2)/$D$65+0.04)*(VLOOKUP(($F$16-$F$15)*2-1,AC$100:AG167,4,FALSE)))*EXP(-(LN(2)/$D$65+0.1)*(VLOOKUP(($F$16-$F$15)*2-1,AC$100:AG167,5,FALSE)))*EXP(-(LN(2)/$D$65+0.04)*AF167)*EXP(-(LN(2)/$D$65+0.1)*AG167),"-"))),"-")</f>
        <v>-</v>
      </c>
      <c r="AK167" s="227">
        <f t="shared" si="137"/>
        <v>67</v>
      </c>
      <c r="AL167" s="226" t="str">
        <f t="shared" si="111"/>
        <v>-</v>
      </c>
      <c r="AM167" s="227" t="str">
        <f t="shared" si="138"/>
        <v>-</v>
      </c>
      <c r="AN167" s="227" t="str">
        <f t="shared" si="139"/>
        <v>-</v>
      </c>
      <c r="AO167" s="227" t="str">
        <f t="shared" si="112"/>
        <v>-</v>
      </c>
      <c r="AP167" s="273">
        <f t="shared" si="140"/>
        <v>0.1</v>
      </c>
      <c r="AQ167" s="271" t="str">
        <f>IFERROR(IF(AL166=1,AQ$100*EXP(-(LN(2)/$D$65+0.04)*AN166)*EXP(-(LN(2)/$D$65+0.1)*AO166),IF(AL166=2,AQ$100*EXP(-(LN(2)/$D$65+0.04)*(VLOOKUP(($F$16-$F$15)-1,AK$99:AO166,4,FALSE)))*EXP(-(LN(2)/$D$65+0.1)*(VLOOKUP(($F$16-$F$15)-1,AK$99:AO166,5,FALSE)))*EXP(-(LN(2)/$D$65+0.04)*AN166)*EXP(-(LN(2)/$D$65+0.1)*AO166),IF(AL166=3,AQ$100*EXP(-(LN(2)/$D$65+0.04)*(VLOOKUP(($F$16-$F$15)-1,AK$99:AO166,4,FALSE)))*EXP(-(LN(2)/$D$65+0.1)*(VLOOKUP(($F$16-$F$15)-1,AK$99:AO166,5,FALSE)))*EXP(-(LN(2)/$D$65+0.04)*(VLOOKUP(($F$16-$F$15)*2-1,AK$99:AO166,4,FALSE)))*EXP(-(LN(2)/$D$65+0.1)*(VLOOKUP(($F$16-$F$15)*2-1,AK$99:AO166,5,FALSE)))*EXP(-(LN(2)/$D$65+0.04)*AN166)*EXP(-(LN(2)/$D$65+0.1)*AO166),"-"))),"-")</f>
        <v>-</v>
      </c>
      <c r="AR167" s="271" t="str">
        <f>IFERROR(IF(AL167=1,AR$100*EXP(-(LN(2)/$D$65+0.04)*AN167)*EXP(-(LN(2)/$D$65+0.1)*AO167),IF(AL167=2,AR$100*EXP(-(LN(2)/$D$65+0.04)*(VLOOKUP(($F$16-$F$15)-1,AK$100:AO167,4,FALSE)))*EXP(-(LN(2)/$D$65+0.1)*(VLOOKUP(($F$16-$F$15)-1,AK$100:AO167,5,FALSE)))*EXP(-(LN(2)/$D$65+0.04)*AN167)*EXP(-(LN(2)/$D$65+0.1)*AO167),IF(AL167=3,AR$100*EXP(-(LN(2)/$D$65+0.04)*(VLOOKUP(($F$16-$F$15)-1,AK$100:AO167,4,FALSE)))*EXP(-(LN(2)/$D$65+0.1)*(VLOOKUP(($F$16-$F$15)-1,AK$100:AO167,5,FALSE)))*EXP(-(LN(2)/$D$65+0.04)*(VLOOKUP(($F$16-$F$15)*2-1,AK$100:AO167,4,FALSE)))*EXP(-(LN(2)/$D$65+0.1)*(VLOOKUP(($F$16-$F$15)*2-1,AK$100:AO167,5,FALSE)))*EXP(-(LN(2)/$D$65+0.04)*AN167)*EXP(-(LN(2)/$D$65+0.1)*AO167),"-"))),"-")</f>
        <v>-</v>
      </c>
      <c r="AS167" s="274">
        <f t="shared" si="113"/>
        <v>0</v>
      </c>
      <c r="AT167" s="274">
        <f t="shared" si="114"/>
        <v>0</v>
      </c>
      <c r="AU167" s="274">
        <f t="shared" si="115"/>
        <v>0</v>
      </c>
      <c r="AV167" s="190">
        <f>IF($B167&lt;$F$22,SUM($T$100:$T167),"")</f>
        <v>0</v>
      </c>
      <c r="AW167" s="190" t="str">
        <f t="shared" si="116"/>
        <v>-</v>
      </c>
      <c r="AX167" s="190" t="str">
        <f t="shared" si="141"/>
        <v/>
      </c>
      <c r="AY167"/>
      <c r="AZ167" s="190" t="str">
        <f ca="1">IF(ISNUMBER(OFFSET(AV167,-$F$21,0)),SUM(OFFSET($T$100,$F$21,0):$T167),"")</f>
        <v/>
      </c>
      <c r="BA167" s="190" t="str">
        <f t="shared" ca="1" si="117"/>
        <v/>
      </c>
      <c r="BB167" s="190" t="str">
        <f t="shared" ca="1" si="70"/>
        <v/>
      </c>
      <c r="BC167" s="190"/>
      <c r="BD167" s="190" t="str">
        <f ca="1">IFERROR(IF(AND($B167&gt;=($F$16-$F$15),$B167&lt;$F$22+($F$16-$F$15)),SUM(OFFSET($T$100,($F$16-$F$15),0):$T167),""),"")</f>
        <v/>
      </c>
      <c r="BE167" s="190" t="str">
        <f t="shared" ca="1" si="142"/>
        <v/>
      </c>
      <c r="BF167" s="190" t="str">
        <f t="shared" ca="1" si="143"/>
        <v/>
      </c>
      <c r="BG167"/>
      <c r="BH167" s="190" t="str">
        <f ca="1">IF(ISNUMBER(OFFSET(BD167,-$F$21,0)),SUM(OFFSET($T$100,($F$16-$F$15+$F$21),0):$T167),"")</f>
        <v/>
      </c>
      <c r="BI167" s="190" t="str">
        <f t="shared" ca="1" si="118"/>
        <v/>
      </c>
      <c r="BJ167" s="190" t="str">
        <f t="shared" ca="1" si="144"/>
        <v/>
      </c>
      <c r="BK167" s="190"/>
      <c r="BL167" s="190" t="str">
        <f ca="1">IFERROR(IF(AND($B167&gt;=($F$17-$F$15),$B167&lt;$F$22+($F$17-$F$15)),SUM(OFFSET($T$100,($F$17-$F$15),0):$T167),""),"")</f>
        <v/>
      </c>
      <c r="BM167" s="190" t="str">
        <f t="shared" ca="1" si="119"/>
        <v/>
      </c>
      <c r="BN167" s="190" t="str">
        <f t="shared" ca="1" si="145"/>
        <v/>
      </c>
      <c r="BO167"/>
      <c r="BP167" s="190" t="str">
        <f ca="1">IF(ISNUMBER(OFFSET(BL167,-$F$21,0)),SUM(OFFSET($T$100,($F$17-$F$15+$F$21),0):$T167),"")</f>
        <v/>
      </c>
      <c r="BQ167" s="190" t="str">
        <f t="shared" ca="1" si="120"/>
        <v/>
      </c>
      <c r="BR167" s="190" t="str">
        <f t="shared" ca="1" si="146"/>
        <v/>
      </c>
      <c r="BS167" s="190"/>
      <c r="BT167"/>
      <c r="BU167"/>
      <c r="BV167"/>
      <c r="BY167" s="99"/>
      <c r="BZ167" s="99"/>
      <c r="CA167" s="280" t="str">
        <f t="shared" si="121"/>
        <v/>
      </c>
      <c r="CB167" s="71" t="str">
        <f t="shared" si="122"/>
        <v>-</v>
      </c>
      <c r="CC167" s="33"/>
      <c r="CD167" s="261" t="str">
        <f t="shared" si="123"/>
        <v/>
      </c>
      <c r="CE167" s="280" t="str">
        <f t="shared" si="124"/>
        <v>-</v>
      </c>
      <c r="CF167" s="71" t="str">
        <f t="shared" ca="1" si="125"/>
        <v>-</v>
      </c>
      <c r="CG167" s="33" t="str">
        <f t="shared" si="126"/>
        <v>67-68</v>
      </c>
      <c r="CH167" s="261" t="str">
        <f t="shared" ca="1" si="127"/>
        <v/>
      </c>
      <c r="CI167" s="99"/>
      <c r="CJ167" s="99"/>
      <c r="CK167" s="99"/>
      <c r="CL167" s="99"/>
      <c r="CM167" s="99"/>
      <c r="CN167" s="99"/>
      <c r="CO167" s="99"/>
    </row>
    <row r="168" spans="2:93" ht="13.5" customHeight="1" x14ac:dyDescent="0.2">
      <c r="B168" s="262">
        <v>68</v>
      </c>
      <c r="C168" s="237" t="str">
        <f t="shared" si="91"/>
        <v/>
      </c>
      <c r="D168" s="237" t="str">
        <f t="shared" si="147"/>
        <v>-</v>
      </c>
      <c r="E168" s="290" t="str">
        <f t="shared" si="128"/>
        <v/>
      </c>
      <c r="F168" s="264" t="str">
        <f t="shared" si="129"/>
        <v/>
      </c>
      <c r="G168" s="291" t="str">
        <f t="shared" si="130"/>
        <v/>
      </c>
      <c r="H168" s="240" t="str">
        <f t="shared" si="92"/>
        <v/>
      </c>
      <c r="I168" s="265" t="str">
        <f t="shared" si="93"/>
        <v/>
      </c>
      <c r="J168" s="265" t="str">
        <f t="shared" si="94"/>
        <v/>
      </c>
      <c r="K168" s="240" t="str">
        <f t="shared" si="95"/>
        <v/>
      </c>
      <c r="L168" s="265" t="str">
        <f t="shared" si="96"/>
        <v/>
      </c>
      <c r="M168" s="265" t="str">
        <f t="shared" si="97"/>
        <v/>
      </c>
      <c r="N168" s="240" t="str">
        <f t="shared" si="98"/>
        <v>-</v>
      </c>
      <c r="O168" s="265" t="str">
        <f t="shared" si="99"/>
        <v>-</v>
      </c>
      <c r="P168" s="265" t="str">
        <f t="shared" si="100"/>
        <v>-</v>
      </c>
      <c r="Q168" s="266" t="str">
        <f t="shared" si="101"/>
        <v>-</v>
      </c>
      <c r="R168" s="267" t="str">
        <f t="shared" si="102"/>
        <v>-</v>
      </c>
      <c r="S168" s="268" t="str">
        <f t="shared" si="103"/>
        <v>-</v>
      </c>
      <c r="T168" s="269" t="str">
        <f t="shared" si="104"/>
        <v/>
      </c>
      <c r="U168" s="221">
        <f t="shared" si="105"/>
        <v>68</v>
      </c>
      <c r="V168" s="220" t="str">
        <f t="shared" si="131"/>
        <v>-</v>
      </c>
      <c r="W168" s="221" t="str">
        <f t="shared" si="132"/>
        <v>-</v>
      </c>
      <c r="X168" s="221" t="str">
        <f t="shared" si="106"/>
        <v>-</v>
      </c>
      <c r="Y168" s="221" t="str">
        <f t="shared" si="107"/>
        <v>-</v>
      </c>
      <c r="Z168" s="270">
        <f t="shared" si="133"/>
        <v>0.1</v>
      </c>
      <c r="AA168" s="271" t="str">
        <f>IFERROR(IF(V167=1,AA$100*EXP(-(LN(2)/$D$65+0.04)*X167)*EXP(-(LN(2)/$D$65+0.1)*Y167),IF(V167=2,AA$100*EXP(-(LN(2)/$D$65+0.04)*(VLOOKUP(($F$16-$F$15)-1,U$99:Y167,4,FALSE)))*EXP(-(LN(2)/$D$65+0.1)*(VLOOKUP(($F$16-$F$15)-1,U$99:Y167,5,FALSE)))*EXP(-(LN(2)/$D$65+0.04)*X167)*EXP(-(LN(2)/$D$65+0.1)*Y167),IF(V167=3,AA$100*EXP(-(LN(2)/$D$65+0.04)*(VLOOKUP(($F$16-$F$15)-1,U$99:Y167,4,FALSE)))*EXP(-(LN(2)/$D$65+0.1)*(VLOOKUP(($F$16-$F$15)-1,U$99:Y167,5,FALSE)))*EXP(-(LN(2)/$D$65+0.04)*(VLOOKUP(($F$16-$F$15)*2-1,U$99:Y167,4,FALSE)))*EXP(-(LN(2)/$D$65+0.1)*(VLOOKUP(($F$16-$F$15)*2-1,U$99:Y167,5,FALSE)))*EXP(-(LN(2)/$D$65+0.04)*X167)*EXP(-(LN(2)/$D$65+0.1)*Y167),"-"))),"-")</f>
        <v>-</v>
      </c>
      <c r="AB168" s="271" t="str">
        <f>IFERROR(IF(V168=1,AB$100*EXP(-(LN(2)/$D$65+0.04)*X168)*EXP(-(LN(2)/$D$65+0.1)*Y168),IF(V168=2,AB$100*EXP(-(LN(2)/$D$65+0.04)*(VLOOKUP(($F$16-$F$15)-1,U$100:Y168,4,FALSE)))*EXP(-(LN(2)/$D$65+0.1)*(VLOOKUP(($F$16-$F$15)-1,U$100:Y168,5,FALSE)))*EXP(-(LN(2)/$D$65+0.04)*X168)*EXP(-(LN(2)/$D$65+0.1)*Y168),IF(V168=3,AB$100*EXP(-(LN(2)/$D$65+0.04)*(VLOOKUP(($F$16-$F$15)-1,U$100:Y168,4,FALSE)))*EXP(-(LN(2)/$D$65+0.1)*(VLOOKUP(($F$16-$F$15)-1,U$100:Y168,5,FALSE)))*EXP(-(LN(2)/$D$65+0.04)*(VLOOKUP(($F$16-$F$15)*2-1,U$100:Y168,4,FALSE)))*EXP(-(LN(2)/$D$65+0.1)*(VLOOKUP(($F$16-$F$15)*2-1,U$100:Y168,5,FALSE)))*EXP(-(LN(2)/$D$65+0.04)*X168)*EXP(-(LN(2)/$D$65+0.1)*Y168),"-"))),"-")</f>
        <v>-</v>
      </c>
      <c r="AC168" s="224">
        <f t="shared" si="134"/>
        <v>68</v>
      </c>
      <c r="AD168" s="223" t="str">
        <f t="shared" si="108"/>
        <v>-</v>
      </c>
      <c r="AE168" s="224" t="str">
        <f t="shared" si="135"/>
        <v>-</v>
      </c>
      <c r="AF168" s="224" t="str">
        <f t="shared" si="109"/>
        <v>-</v>
      </c>
      <c r="AG168" s="224" t="str">
        <f t="shared" si="110"/>
        <v>-</v>
      </c>
      <c r="AH168" s="272">
        <f t="shared" si="136"/>
        <v>0.1</v>
      </c>
      <c r="AI168" s="271" t="str">
        <f>IFERROR(IF(AD167=1,AI$100*EXP(-(LN(2)/$D$65+0.04)*AF167)*EXP(-(LN(2)/$D$65+0.1)*AG167),IF(AD167=2,AI$100*EXP(-(LN(2)/$D$65+0.04)*(VLOOKUP(($F$16-$F$15)-1,AC$99:AG167,4,FALSE)))*EXP(-(LN(2)/$D$65+0.1)*(VLOOKUP(($F$16-$F$15)-1,AC$99:AG167,5,FALSE)))*EXP(-(LN(2)/$D$65+0.04)*AF167)*EXP(-(LN(2)/$D$65+0.1)*AG167),IF(AD167=3,AI$100*EXP(-(LN(2)/$D$65+0.04)*(VLOOKUP(($F$16-$F$15)-1,AC$99:AG167,4,FALSE)))*EXP(-(LN(2)/$D$65+0.1)*(VLOOKUP(($F$16-$F$15)-1,AC$99:AG167,5,FALSE)))*EXP(-(LN(2)/$D$65+0.04)*(VLOOKUP(($F$16-$F$15)*2-1,AC$99:AG167,4,FALSE)))*EXP(-(LN(2)/$D$65+0.1)*(VLOOKUP(($F$16-$F$15)*2-1,AC$99:AG167,5,FALSE)))*EXP(-(LN(2)/$D$65+0.04)*AF167)*EXP(-(LN(2)/$D$65+0.1)*AG167),"-"))),"-")</f>
        <v>-</v>
      </c>
      <c r="AJ168" s="271" t="str">
        <f>IFERROR(IF(AD168=1,AJ$100*EXP(-(LN(2)/$D$65+0.04)*AF168)*EXP(-(LN(2)/$D$65+0.1)*AG168),IF(AD168=2,AJ$100*EXP(-(LN(2)/$D$65+0.04)*(VLOOKUP(($F$16-$F$15)-1,AC$100:AG168,4,FALSE)))*EXP(-(LN(2)/$D$65+0.1)*(VLOOKUP(($F$16-$F$15)-1,AC$100:AG168,5,FALSE)))*EXP(-(LN(2)/$D$65+0.04)*AF168)*EXP(-(LN(2)/$D$65+0.1)*AG168),IF(AD168=3,AJ$100*EXP(-(LN(2)/$D$65+0.04)*(VLOOKUP(($F$16-$F$15)-1,AC$100:AG168,4,FALSE)))*EXP(-(LN(2)/$D$65+0.1)*(VLOOKUP(($F$16-$F$15)-1,AC$100:AG168,5,FALSE)))*EXP(-(LN(2)/$D$65+0.04)*(VLOOKUP(($F$16-$F$15)*2-1,AC$100:AG168,4,FALSE)))*EXP(-(LN(2)/$D$65+0.1)*(VLOOKUP(($F$16-$F$15)*2-1,AC$100:AG168,5,FALSE)))*EXP(-(LN(2)/$D$65+0.04)*AF168)*EXP(-(LN(2)/$D$65+0.1)*AG168),"-"))),"-")</f>
        <v>-</v>
      </c>
      <c r="AK168" s="227">
        <f t="shared" si="137"/>
        <v>68</v>
      </c>
      <c r="AL168" s="226" t="str">
        <f t="shared" si="111"/>
        <v>-</v>
      </c>
      <c r="AM168" s="227" t="str">
        <f t="shared" si="138"/>
        <v>-</v>
      </c>
      <c r="AN168" s="227" t="str">
        <f t="shared" si="139"/>
        <v>-</v>
      </c>
      <c r="AO168" s="227" t="str">
        <f t="shared" si="112"/>
        <v>-</v>
      </c>
      <c r="AP168" s="273">
        <f t="shared" si="140"/>
        <v>0.1</v>
      </c>
      <c r="AQ168" s="271" t="str">
        <f>IFERROR(IF(AL167=1,AQ$100*EXP(-(LN(2)/$D$65+0.04)*AN167)*EXP(-(LN(2)/$D$65+0.1)*AO167),IF(AL167=2,AQ$100*EXP(-(LN(2)/$D$65+0.04)*(VLOOKUP(($F$16-$F$15)-1,AK$99:AO167,4,FALSE)))*EXP(-(LN(2)/$D$65+0.1)*(VLOOKUP(($F$16-$F$15)-1,AK$99:AO167,5,FALSE)))*EXP(-(LN(2)/$D$65+0.04)*AN167)*EXP(-(LN(2)/$D$65+0.1)*AO167),IF(AL167=3,AQ$100*EXP(-(LN(2)/$D$65+0.04)*(VLOOKUP(($F$16-$F$15)-1,AK$99:AO167,4,FALSE)))*EXP(-(LN(2)/$D$65+0.1)*(VLOOKUP(($F$16-$F$15)-1,AK$99:AO167,5,FALSE)))*EXP(-(LN(2)/$D$65+0.04)*(VLOOKUP(($F$16-$F$15)*2-1,AK$99:AO167,4,FALSE)))*EXP(-(LN(2)/$D$65+0.1)*(VLOOKUP(($F$16-$F$15)*2-1,AK$99:AO167,5,FALSE)))*EXP(-(LN(2)/$D$65+0.04)*AN167)*EXP(-(LN(2)/$D$65+0.1)*AO167),"-"))),"-")</f>
        <v>-</v>
      </c>
      <c r="AR168" s="271" t="str">
        <f>IFERROR(IF(AL168=1,AR$100*EXP(-(LN(2)/$D$65+0.04)*AN168)*EXP(-(LN(2)/$D$65+0.1)*AO168),IF(AL168=2,AR$100*EXP(-(LN(2)/$D$65+0.04)*(VLOOKUP(($F$16-$F$15)-1,AK$100:AO168,4,FALSE)))*EXP(-(LN(2)/$D$65+0.1)*(VLOOKUP(($F$16-$F$15)-1,AK$100:AO168,5,FALSE)))*EXP(-(LN(2)/$D$65+0.04)*AN168)*EXP(-(LN(2)/$D$65+0.1)*AO168),IF(AL168=3,AR$100*EXP(-(LN(2)/$D$65+0.04)*(VLOOKUP(($F$16-$F$15)-1,AK$100:AO168,4,FALSE)))*EXP(-(LN(2)/$D$65+0.1)*(VLOOKUP(($F$16-$F$15)-1,AK$100:AO168,5,FALSE)))*EXP(-(LN(2)/$D$65+0.04)*(VLOOKUP(($F$16-$F$15)*2-1,AK$100:AO168,4,FALSE)))*EXP(-(LN(2)/$D$65+0.1)*(VLOOKUP(($F$16-$F$15)*2-1,AK$100:AO168,5,FALSE)))*EXP(-(LN(2)/$D$65+0.04)*AN168)*EXP(-(LN(2)/$D$65+0.1)*AO168),"-"))),"-")</f>
        <v>-</v>
      </c>
      <c r="AS168" s="274">
        <f t="shared" si="113"/>
        <v>0</v>
      </c>
      <c r="AT168" s="274">
        <f t="shared" si="114"/>
        <v>0</v>
      </c>
      <c r="AU168" s="274">
        <f t="shared" si="115"/>
        <v>0</v>
      </c>
      <c r="AV168" s="190">
        <f>IF($B168&lt;$F$22,SUM($T$100:$T168),"")</f>
        <v>0</v>
      </c>
      <c r="AW168" s="190" t="str">
        <f t="shared" si="116"/>
        <v>-</v>
      </c>
      <c r="AX168" s="190" t="str">
        <f t="shared" si="141"/>
        <v/>
      </c>
      <c r="AY168"/>
      <c r="AZ168" s="190" t="str">
        <f ca="1">IF(ISNUMBER(OFFSET(AV168,-$F$21,0)),SUM(OFFSET($T$100,$F$21,0):$T168),"")</f>
        <v/>
      </c>
      <c r="BA168" s="190" t="str">
        <f t="shared" ca="1" si="117"/>
        <v/>
      </c>
      <c r="BB168" s="190" t="str">
        <f t="shared" ca="1" si="70"/>
        <v/>
      </c>
      <c r="BC168" s="190"/>
      <c r="BD168" s="190" t="str">
        <f ca="1">IFERROR(IF(AND($B168&gt;=($F$16-$F$15),$B168&lt;$F$22+($F$16-$F$15)),SUM(OFFSET($T$100,($F$16-$F$15),0):$T168),""),"")</f>
        <v/>
      </c>
      <c r="BE168" s="190" t="str">
        <f t="shared" ca="1" si="142"/>
        <v/>
      </c>
      <c r="BF168" s="190" t="str">
        <f t="shared" ca="1" si="143"/>
        <v/>
      </c>
      <c r="BG168"/>
      <c r="BH168" s="190" t="str">
        <f ca="1">IF(ISNUMBER(OFFSET(BD168,-$F$21,0)),SUM(OFFSET($T$100,($F$16-$F$15+$F$21),0):$T168),"")</f>
        <v/>
      </c>
      <c r="BI168" s="190" t="str">
        <f t="shared" ca="1" si="118"/>
        <v/>
      </c>
      <c r="BJ168" s="190" t="str">
        <f t="shared" ca="1" si="144"/>
        <v/>
      </c>
      <c r="BK168" s="190"/>
      <c r="BL168" s="190" t="str">
        <f ca="1">IFERROR(IF(AND($B168&gt;=($F$17-$F$15),$B168&lt;$F$22+($F$17-$F$15)),SUM(OFFSET($T$100,($F$17-$F$15),0):$T168),""),"")</f>
        <v/>
      </c>
      <c r="BM168" s="190" t="str">
        <f t="shared" ca="1" si="119"/>
        <v/>
      </c>
      <c r="BN168" s="190" t="str">
        <f t="shared" ca="1" si="145"/>
        <v/>
      </c>
      <c r="BO168"/>
      <c r="BP168" s="190" t="str">
        <f ca="1">IF(ISNUMBER(OFFSET(BL168,-$F$21,0)),SUM(OFFSET($T$100,($F$17-$F$15+$F$21),0):$T168),"")</f>
        <v/>
      </c>
      <c r="BQ168" s="190" t="str">
        <f t="shared" ca="1" si="120"/>
        <v/>
      </c>
      <c r="BR168" s="190" t="str">
        <f t="shared" ca="1" si="146"/>
        <v/>
      </c>
      <c r="BS168" s="190"/>
      <c r="BT168"/>
      <c r="BU168"/>
      <c r="BV168"/>
      <c r="BY168" s="99"/>
      <c r="BZ168" s="99"/>
      <c r="CA168" s="280" t="str">
        <f t="shared" si="121"/>
        <v/>
      </c>
      <c r="CB168" s="71" t="str">
        <f t="shared" si="122"/>
        <v>-</v>
      </c>
      <c r="CC168" s="33"/>
      <c r="CD168" s="261" t="str">
        <f t="shared" si="123"/>
        <v/>
      </c>
      <c r="CE168" s="280" t="str">
        <f t="shared" si="124"/>
        <v>-</v>
      </c>
      <c r="CF168" s="71" t="str">
        <f t="shared" ca="1" si="125"/>
        <v>-</v>
      </c>
      <c r="CG168" s="33" t="str">
        <f t="shared" si="126"/>
        <v>68-69</v>
      </c>
      <c r="CH168" s="261" t="str">
        <f t="shared" ca="1" si="127"/>
        <v/>
      </c>
      <c r="CI168" s="99"/>
      <c r="CJ168" s="99"/>
      <c r="CK168" s="99"/>
      <c r="CL168" s="99"/>
      <c r="CM168" s="99"/>
      <c r="CN168" s="99"/>
      <c r="CO168" s="99"/>
    </row>
    <row r="169" spans="2:93" ht="13.5" customHeight="1" x14ac:dyDescent="0.2">
      <c r="B169" s="262">
        <v>69</v>
      </c>
      <c r="C169" s="237" t="str">
        <f t="shared" si="91"/>
        <v/>
      </c>
      <c r="D169" s="237" t="str">
        <f t="shared" si="147"/>
        <v>-</v>
      </c>
      <c r="E169" s="290" t="str">
        <f t="shared" si="128"/>
        <v/>
      </c>
      <c r="F169" s="264" t="str">
        <f t="shared" si="129"/>
        <v/>
      </c>
      <c r="G169" s="291" t="str">
        <f t="shared" si="130"/>
        <v/>
      </c>
      <c r="H169" s="240" t="str">
        <f t="shared" si="92"/>
        <v/>
      </c>
      <c r="I169" s="265" t="str">
        <f t="shared" si="93"/>
        <v/>
      </c>
      <c r="J169" s="265" t="str">
        <f t="shared" si="94"/>
        <v/>
      </c>
      <c r="K169" s="240" t="str">
        <f t="shared" si="95"/>
        <v/>
      </c>
      <c r="L169" s="265" t="str">
        <f t="shared" si="96"/>
        <v/>
      </c>
      <c r="M169" s="265" t="str">
        <f t="shared" si="97"/>
        <v/>
      </c>
      <c r="N169" s="240" t="str">
        <f t="shared" si="98"/>
        <v>-</v>
      </c>
      <c r="O169" s="265" t="str">
        <f t="shared" si="99"/>
        <v>-</v>
      </c>
      <c r="P169" s="265" t="str">
        <f t="shared" si="100"/>
        <v>-</v>
      </c>
      <c r="Q169" s="266" t="str">
        <f t="shared" si="101"/>
        <v>-</v>
      </c>
      <c r="R169" s="267" t="str">
        <f t="shared" si="102"/>
        <v>-</v>
      </c>
      <c r="S169" s="268" t="str">
        <f t="shared" si="103"/>
        <v>-</v>
      </c>
      <c r="T169" s="269" t="str">
        <f t="shared" si="104"/>
        <v/>
      </c>
      <c r="U169" s="221">
        <f t="shared" si="105"/>
        <v>69</v>
      </c>
      <c r="V169" s="220" t="str">
        <f t="shared" si="131"/>
        <v>-</v>
      </c>
      <c r="W169" s="221" t="str">
        <f t="shared" si="132"/>
        <v>-</v>
      </c>
      <c r="X169" s="221" t="str">
        <f t="shared" si="106"/>
        <v>-</v>
      </c>
      <c r="Y169" s="221" t="str">
        <f t="shared" si="107"/>
        <v>-</v>
      </c>
      <c r="Z169" s="270">
        <f t="shared" si="133"/>
        <v>0.1</v>
      </c>
      <c r="AA169" s="271" t="str">
        <f>IFERROR(IF(V168=1,AA$100*EXP(-(LN(2)/$D$65+0.04)*X168)*EXP(-(LN(2)/$D$65+0.1)*Y168),IF(V168=2,AA$100*EXP(-(LN(2)/$D$65+0.04)*(VLOOKUP(($F$16-$F$15)-1,U$99:Y168,4,FALSE)))*EXP(-(LN(2)/$D$65+0.1)*(VLOOKUP(($F$16-$F$15)-1,U$99:Y168,5,FALSE)))*EXP(-(LN(2)/$D$65+0.04)*X168)*EXP(-(LN(2)/$D$65+0.1)*Y168),IF(V168=3,AA$100*EXP(-(LN(2)/$D$65+0.04)*(VLOOKUP(($F$16-$F$15)-1,U$99:Y168,4,FALSE)))*EXP(-(LN(2)/$D$65+0.1)*(VLOOKUP(($F$16-$F$15)-1,U$99:Y168,5,FALSE)))*EXP(-(LN(2)/$D$65+0.04)*(VLOOKUP(($F$16-$F$15)*2-1,U$99:Y168,4,FALSE)))*EXP(-(LN(2)/$D$65+0.1)*(VLOOKUP(($F$16-$F$15)*2-1,U$99:Y168,5,FALSE)))*EXP(-(LN(2)/$D$65+0.04)*X168)*EXP(-(LN(2)/$D$65+0.1)*Y168),"-"))),"-")</f>
        <v>-</v>
      </c>
      <c r="AB169" s="271" t="str">
        <f>IFERROR(IF(V169=1,AB$100*EXP(-(LN(2)/$D$65+0.04)*X169)*EXP(-(LN(2)/$D$65+0.1)*Y169),IF(V169=2,AB$100*EXP(-(LN(2)/$D$65+0.04)*(VLOOKUP(($F$16-$F$15)-1,U$100:Y169,4,FALSE)))*EXP(-(LN(2)/$D$65+0.1)*(VLOOKUP(($F$16-$F$15)-1,U$100:Y169,5,FALSE)))*EXP(-(LN(2)/$D$65+0.04)*X169)*EXP(-(LN(2)/$D$65+0.1)*Y169),IF(V169=3,AB$100*EXP(-(LN(2)/$D$65+0.04)*(VLOOKUP(($F$16-$F$15)-1,U$100:Y169,4,FALSE)))*EXP(-(LN(2)/$D$65+0.1)*(VLOOKUP(($F$16-$F$15)-1,U$100:Y169,5,FALSE)))*EXP(-(LN(2)/$D$65+0.04)*(VLOOKUP(($F$16-$F$15)*2-1,U$100:Y169,4,FALSE)))*EXP(-(LN(2)/$D$65+0.1)*(VLOOKUP(($F$16-$F$15)*2-1,U$100:Y169,5,FALSE)))*EXP(-(LN(2)/$D$65+0.04)*X169)*EXP(-(LN(2)/$D$65+0.1)*Y169),"-"))),"-")</f>
        <v>-</v>
      </c>
      <c r="AC169" s="224">
        <f t="shared" si="134"/>
        <v>69</v>
      </c>
      <c r="AD169" s="223" t="str">
        <f t="shared" si="108"/>
        <v>-</v>
      </c>
      <c r="AE169" s="224" t="str">
        <f t="shared" si="135"/>
        <v>-</v>
      </c>
      <c r="AF169" s="224" t="str">
        <f t="shared" si="109"/>
        <v>-</v>
      </c>
      <c r="AG169" s="224" t="str">
        <f t="shared" si="110"/>
        <v>-</v>
      </c>
      <c r="AH169" s="272">
        <f t="shared" si="136"/>
        <v>0.1</v>
      </c>
      <c r="AI169" s="271" t="str">
        <f>IFERROR(IF(AD168=1,AI$100*EXP(-(LN(2)/$D$65+0.04)*AF168)*EXP(-(LN(2)/$D$65+0.1)*AG168),IF(AD168=2,AI$100*EXP(-(LN(2)/$D$65+0.04)*(VLOOKUP(($F$16-$F$15)-1,AC$99:AG168,4,FALSE)))*EXP(-(LN(2)/$D$65+0.1)*(VLOOKUP(($F$16-$F$15)-1,AC$99:AG168,5,FALSE)))*EXP(-(LN(2)/$D$65+0.04)*AF168)*EXP(-(LN(2)/$D$65+0.1)*AG168),IF(AD168=3,AI$100*EXP(-(LN(2)/$D$65+0.04)*(VLOOKUP(($F$16-$F$15)-1,AC$99:AG168,4,FALSE)))*EXP(-(LN(2)/$D$65+0.1)*(VLOOKUP(($F$16-$F$15)-1,AC$99:AG168,5,FALSE)))*EXP(-(LN(2)/$D$65+0.04)*(VLOOKUP(($F$16-$F$15)*2-1,AC$99:AG168,4,FALSE)))*EXP(-(LN(2)/$D$65+0.1)*(VLOOKUP(($F$16-$F$15)*2-1,AC$99:AG168,5,FALSE)))*EXP(-(LN(2)/$D$65+0.04)*AF168)*EXP(-(LN(2)/$D$65+0.1)*AG168),"-"))),"-")</f>
        <v>-</v>
      </c>
      <c r="AJ169" s="271" t="str">
        <f>IFERROR(IF(AD169=1,AJ$100*EXP(-(LN(2)/$D$65+0.04)*AF169)*EXP(-(LN(2)/$D$65+0.1)*AG169),IF(AD169=2,AJ$100*EXP(-(LN(2)/$D$65+0.04)*(VLOOKUP(($F$16-$F$15)-1,AC$100:AG169,4,FALSE)))*EXP(-(LN(2)/$D$65+0.1)*(VLOOKUP(($F$16-$F$15)-1,AC$100:AG169,5,FALSE)))*EXP(-(LN(2)/$D$65+0.04)*AF169)*EXP(-(LN(2)/$D$65+0.1)*AG169),IF(AD169=3,AJ$100*EXP(-(LN(2)/$D$65+0.04)*(VLOOKUP(($F$16-$F$15)-1,AC$100:AG169,4,FALSE)))*EXP(-(LN(2)/$D$65+0.1)*(VLOOKUP(($F$16-$F$15)-1,AC$100:AG169,5,FALSE)))*EXP(-(LN(2)/$D$65+0.04)*(VLOOKUP(($F$16-$F$15)*2-1,AC$100:AG169,4,FALSE)))*EXP(-(LN(2)/$D$65+0.1)*(VLOOKUP(($F$16-$F$15)*2-1,AC$100:AG169,5,FALSE)))*EXP(-(LN(2)/$D$65+0.04)*AF169)*EXP(-(LN(2)/$D$65+0.1)*AG169),"-"))),"-")</f>
        <v>-</v>
      </c>
      <c r="AK169" s="227">
        <f t="shared" si="137"/>
        <v>69</v>
      </c>
      <c r="AL169" s="226" t="str">
        <f t="shared" si="111"/>
        <v>-</v>
      </c>
      <c r="AM169" s="227" t="str">
        <f t="shared" si="138"/>
        <v>-</v>
      </c>
      <c r="AN169" s="227" t="str">
        <f t="shared" si="139"/>
        <v>-</v>
      </c>
      <c r="AO169" s="227" t="str">
        <f t="shared" si="112"/>
        <v>-</v>
      </c>
      <c r="AP169" s="273">
        <f t="shared" si="140"/>
        <v>0.1</v>
      </c>
      <c r="AQ169" s="271" t="str">
        <f>IFERROR(IF(AL168=1,AQ$100*EXP(-(LN(2)/$D$65+0.04)*AN168)*EXP(-(LN(2)/$D$65+0.1)*AO168),IF(AL168=2,AQ$100*EXP(-(LN(2)/$D$65+0.04)*(VLOOKUP(($F$16-$F$15)-1,AK$99:AO168,4,FALSE)))*EXP(-(LN(2)/$D$65+0.1)*(VLOOKUP(($F$16-$F$15)-1,AK$99:AO168,5,FALSE)))*EXP(-(LN(2)/$D$65+0.04)*AN168)*EXP(-(LN(2)/$D$65+0.1)*AO168),IF(AL168=3,AQ$100*EXP(-(LN(2)/$D$65+0.04)*(VLOOKUP(($F$16-$F$15)-1,AK$99:AO168,4,FALSE)))*EXP(-(LN(2)/$D$65+0.1)*(VLOOKUP(($F$16-$F$15)-1,AK$99:AO168,5,FALSE)))*EXP(-(LN(2)/$D$65+0.04)*(VLOOKUP(($F$16-$F$15)*2-1,AK$99:AO168,4,FALSE)))*EXP(-(LN(2)/$D$65+0.1)*(VLOOKUP(($F$16-$F$15)*2-1,AK$99:AO168,5,FALSE)))*EXP(-(LN(2)/$D$65+0.04)*AN168)*EXP(-(LN(2)/$D$65+0.1)*AO168),"-"))),"-")</f>
        <v>-</v>
      </c>
      <c r="AR169" s="271" t="str">
        <f>IFERROR(IF(AL169=1,AR$100*EXP(-(LN(2)/$D$65+0.04)*AN169)*EXP(-(LN(2)/$D$65+0.1)*AO169),IF(AL169=2,AR$100*EXP(-(LN(2)/$D$65+0.04)*(VLOOKUP(($F$16-$F$15)-1,AK$100:AO169,4,FALSE)))*EXP(-(LN(2)/$D$65+0.1)*(VLOOKUP(($F$16-$F$15)-1,AK$100:AO169,5,FALSE)))*EXP(-(LN(2)/$D$65+0.04)*AN169)*EXP(-(LN(2)/$D$65+0.1)*AO169),IF(AL169=3,AR$100*EXP(-(LN(2)/$D$65+0.04)*(VLOOKUP(($F$16-$F$15)-1,AK$100:AO169,4,FALSE)))*EXP(-(LN(2)/$D$65+0.1)*(VLOOKUP(($F$16-$F$15)-1,AK$100:AO169,5,FALSE)))*EXP(-(LN(2)/$D$65+0.04)*(VLOOKUP(($F$16-$F$15)*2-1,AK$100:AO169,4,FALSE)))*EXP(-(LN(2)/$D$65+0.1)*(VLOOKUP(($F$16-$F$15)*2-1,AK$100:AO169,5,FALSE)))*EXP(-(LN(2)/$D$65+0.04)*AN169)*EXP(-(LN(2)/$D$65+0.1)*AO169),"-"))),"-")</f>
        <v>-</v>
      </c>
      <c r="AS169" s="274">
        <f t="shared" si="113"/>
        <v>0</v>
      </c>
      <c r="AT169" s="274">
        <f t="shared" si="114"/>
        <v>0</v>
      </c>
      <c r="AU169" s="274">
        <f t="shared" si="115"/>
        <v>0</v>
      </c>
      <c r="AV169" s="190">
        <f>IF($B169&lt;$F$22,SUM($T$100:$T169),"")</f>
        <v>0</v>
      </c>
      <c r="AW169" s="190" t="str">
        <f t="shared" si="116"/>
        <v>-</v>
      </c>
      <c r="AX169" s="190" t="str">
        <f t="shared" si="141"/>
        <v/>
      </c>
      <c r="AY169"/>
      <c r="AZ169" s="190" t="str">
        <f ca="1">IF(ISNUMBER(OFFSET(AV169,-$F$21,0)),SUM(OFFSET($T$100,$F$21,0):$T169),"")</f>
        <v/>
      </c>
      <c r="BA169" s="190" t="str">
        <f t="shared" ca="1" si="117"/>
        <v/>
      </c>
      <c r="BB169" s="190" t="str">
        <f t="shared" ca="1" si="70"/>
        <v/>
      </c>
      <c r="BC169" s="190"/>
      <c r="BD169" s="190" t="str">
        <f ca="1">IFERROR(IF(AND($B169&gt;=($F$16-$F$15),$B169&lt;$F$22+($F$16-$F$15)),SUM(OFFSET($T$100,($F$16-$F$15),0):$T169),""),"")</f>
        <v/>
      </c>
      <c r="BE169" s="190" t="str">
        <f t="shared" ca="1" si="142"/>
        <v/>
      </c>
      <c r="BF169" s="190" t="str">
        <f t="shared" ca="1" si="143"/>
        <v/>
      </c>
      <c r="BG169"/>
      <c r="BH169" s="190" t="str">
        <f ca="1">IF(ISNUMBER(OFFSET(BD169,-$F$21,0)),SUM(OFFSET($T$100,($F$16-$F$15+$F$21),0):$T169),"")</f>
        <v/>
      </c>
      <c r="BI169" s="190" t="str">
        <f t="shared" ca="1" si="118"/>
        <v/>
      </c>
      <c r="BJ169" s="190" t="str">
        <f t="shared" ca="1" si="144"/>
        <v/>
      </c>
      <c r="BK169" s="190"/>
      <c r="BL169" s="190" t="str">
        <f ca="1">IFERROR(IF(AND($B169&gt;=($F$17-$F$15),$B169&lt;$F$22+($F$17-$F$15)),SUM(OFFSET($T$100,($F$17-$F$15),0):$T169),""),"")</f>
        <v/>
      </c>
      <c r="BM169" s="190" t="str">
        <f t="shared" ca="1" si="119"/>
        <v/>
      </c>
      <c r="BN169" s="190" t="str">
        <f t="shared" ca="1" si="145"/>
        <v/>
      </c>
      <c r="BO169"/>
      <c r="BP169" s="190" t="str">
        <f ca="1">IF(ISNUMBER(OFFSET(BL169,-$F$21,0)),SUM(OFFSET($T$100,($F$17-$F$15+$F$21),0):$T169),"")</f>
        <v/>
      </c>
      <c r="BQ169" s="190" t="str">
        <f t="shared" ca="1" si="120"/>
        <v/>
      </c>
      <c r="BR169" s="190" t="str">
        <f t="shared" ca="1" si="146"/>
        <v/>
      </c>
      <c r="BS169" s="190"/>
      <c r="BT169"/>
      <c r="BU169"/>
      <c r="BV169"/>
      <c r="BY169" s="99"/>
      <c r="BZ169" s="99"/>
      <c r="CA169" s="280" t="str">
        <f t="shared" si="121"/>
        <v/>
      </c>
      <c r="CB169" s="71" t="str">
        <f t="shared" si="122"/>
        <v>-</v>
      </c>
      <c r="CC169" s="33"/>
      <c r="CD169" s="261" t="str">
        <f t="shared" si="123"/>
        <v/>
      </c>
      <c r="CE169" s="280" t="str">
        <f t="shared" si="124"/>
        <v>-</v>
      </c>
      <c r="CF169" s="71" t="str">
        <f t="shared" ca="1" si="125"/>
        <v>-</v>
      </c>
      <c r="CG169" s="33" t="str">
        <f t="shared" si="126"/>
        <v>69-70</v>
      </c>
      <c r="CH169" s="261" t="str">
        <f t="shared" ca="1" si="127"/>
        <v/>
      </c>
      <c r="CI169" s="99"/>
      <c r="CJ169" s="99"/>
      <c r="CK169" s="99"/>
      <c r="CL169" s="99"/>
      <c r="CM169" s="99"/>
      <c r="CN169" s="99"/>
      <c r="CO169" s="99"/>
    </row>
    <row r="170" spans="2:93" ht="13.5" customHeight="1" x14ac:dyDescent="0.2">
      <c r="B170" s="262">
        <v>70</v>
      </c>
      <c r="C170" s="237" t="str">
        <f t="shared" si="91"/>
        <v/>
      </c>
      <c r="D170" s="237" t="str">
        <f t="shared" si="147"/>
        <v>-</v>
      </c>
      <c r="E170" s="290" t="str">
        <f t="shared" si="128"/>
        <v/>
      </c>
      <c r="F170" s="264" t="str">
        <f t="shared" si="129"/>
        <v/>
      </c>
      <c r="G170" s="291" t="str">
        <f t="shared" si="130"/>
        <v/>
      </c>
      <c r="H170" s="240" t="str">
        <f t="shared" si="92"/>
        <v/>
      </c>
      <c r="I170" s="265" t="str">
        <f t="shared" si="93"/>
        <v/>
      </c>
      <c r="J170" s="265" t="str">
        <f t="shared" si="94"/>
        <v/>
      </c>
      <c r="K170" s="240" t="str">
        <f t="shared" si="95"/>
        <v/>
      </c>
      <c r="L170" s="265" t="str">
        <f t="shared" si="96"/>
        <v/>
      </c>
      <c r="M170" s="265" t="str">
        <f t="shared" si="97"/>
        <v/>
      </c>
      <c r="N170" s="240" t="str">
        <f t="shared" si="98"/>
        <v>-</v>
      </c>
      <c r="O170" s="265" t="str">
        <f t="shared" si="99"/>
        <v>-</v>
      </c>
      <c r="P170" s="265" t="str">
        <f t="shared" si="100"/>
        <v>-</v>
      </c>
      <c r="Q170" s="266" t="str">
        <f t="shared" si="101"/>
        <v>-</v>
      </c>
      <c r="R170" s="267" t="str">
        <f t="shared" si="102"/>
        <v>-</v>
      </c>
      <c r="S170" s="268" t="str">
        <f t="shared" si="103"/>
        <v>-</v>
      </c>
      <c r="T170" s="269" t="str">
        <f t="shared" si="104"/>
        <v/>
      </c>
      <c r="U170" s="221">
        <f t="shared" si="105"/>
        <v>70</v>
      </c>
      <c r="V170" s="220" t="str">
        <f t="shared" si="131"/>
        <v>-</v>
      </c>
      <c r="W170" s="221" t="str">
        <f t="shared" si="132"/>
        <v>-</v>
      </c>
      <c r="X170" s="221" t="str">
        <f t="shared" si="106"/>
        <v>-</v>
      </c>
      <c r="Y170" s="221" t="str">
        <f t="shared" si="107"/>
        <v>-</v>
      </c>
      <c r="Z170" s="270">
        <f t="shared" si="133"/>
        <v>0.1</v>
      </c>
      <c r="AA170" s="271" t="str">
        <f>IFERROR(IF(V169=1,AA$100*EXP(-(LN(2)/$D$65+0.04)*X169)*EXP(-(LN(2)/$D$65+0.1)*Y169),IF(V169=2,AA$100*EXP(-(LN(2)/$D$65+0.04)*(VLOOKUP(($F$16-$F$15)-1,U$99:Y169,4,FALSE)))*EXP(-(LN(2)/$D$65+0.1)*(VLOOKUP(($F$16-$F$15)-1,U$99:Y169,5,FALSE)))*EXP(-(LN(2)/$D$65+0.04)*X169)*EXP(-(LN(2)/$D$65+0.1)*Y169),IF(V169=3,AA$100*EXP(-(LN(2)/$D$65+0.04)*(VLOOKUP(($F$16-$F$15)-1,U$99:Y169,4,FALSE)))*EXP(-(LN(2)/$D$65+0.1)*(VLOOKUP(($F$16-$F$15)-1,U$99:Y169,5,FALSE)))*EXP(-(LN(2)/$D$65+0.04)*(VLOOKUP(($F$16-$F$15)*2-1,U$99:Y169,4,FALSE)))*EXP(-(LN(2)/$D$65+0.1)*(VLOOKUP(($F$16-$F$15)*2-1,U$99:Y169,5,FALSE)))*EXP(-(LN(2)/$D$65+0.04)*X169)*EXP(-(LN(2)/$D$65+0.1)*Y169),"-"))),"-")</f>
        <v>-</v>
      </c>
      <c r="AB170" s="271" t="str">
        <f>IFERROR(IF(V170=1,AB$100*EXP(-(LN(2)/$D$65+0.04)*X170)*EXP(-(LN(2)/$D$65+0.1)*Y170),IF(V170=2,AB$100*EXP(-(LN(2)/$D$65+0.04)*(VLOOKUP(($F$16-$F$15)-1,U$100:Y170,4,FALSE)))*EXP(-(LN(2)/$D$65+0.1)*(VLOOKUP(($F$16-$F$15)-1,U$100:Y170,5,FALSE)))*EXP(-(LN(2)/$D$65+0.04)*X170)*EXP(-(LN(2)/$D$65+0.1)*Y170),IF(V170=3,AB$100*EXP(-(LN(2)/$D$65+0.04)*(VLOOKUP(($F$16-$F$15)-1,U$100:Y170,4,FALSE)))*EXP(-(LN(2)/$D$65+0.1)*(VLOOKUP(($F$16-$F$15)-1,U$100:Y170,5,FALSE)))*EXP(-(LN(2)/$D$65+0.04)*(VLOOKUP(($F$16-$F$15)*2-1,U$100:Y170,4,FALSE)))*EXP(-(LN(2)/$D$65+0.1)*(VLOOKUP(($F$16-$F$15)*2-1,U$100:Y170,5,FALSE)))*EXP(-(LN(2)/$D$65+0.04)*X170)*EXP(-(LN(2)/$D$65+0.1)*Y170),"-"))),"-")</f>
        <v>-</v>
      </c>
      <c r="AC170" s="224">
        <f t="shared" si="134"/>
        <v>70</v>
      </c>
      <c r="AD170" s="223" t="str">
        <f t="shared" si="108"/>
        <v>-</v>
      </c>
      <c r="AE170" s="224" t="str">
        <f t="shared" si="135"/>
        <v>-</v>
      </c>
      <c r="AF170" s="224" t="str">
        <f t="shared" si="109"/>
        <v>-</v>
      </c>
      <c r="AG170" s="224" t="str">
        <f t="shared" si="110"/>
        <v>-</v>
      </c>
      <c r="AH170" s="272">
        <f t="shared" si="136"/>
        <v>0.1</v>
      </c>
      <c r="AI170" s="271" t="str">
        <f>IFERROR(IF(AD169=1,AI$100*EXP(-(LN(2)/$D$65+0.04)*AF169)*EXP(-(LN(2)/$D$65+0.1)*AG169),IF(AD169=2,AI$100*EXP(-(LN(2)/$D$65+0.04)*(VLOOKUP(($F$16-$F$15)-1,AC$99:AG169,4,FALSE)))*EXP(-(LN(2)/$D$65+0.1)*(VLOOKUP(($F$16-$F$15)-1,AC$99:AG169,5,FALSE)))*EXP(-(LN(2)/$D$65+0.04)*AF169)*EXP(-(LN(2)/$D$65+0.1)*AG169),IF(AD169=3,AI$100*EXP(-(LN(2)/$D$65+0.04)*(VLOOKUP(($F$16-$F$15)-1,AC$99:AG169,4,FALSE)))*EXP(-(LN(2)/$D$65+0.1)*(VLOOKUP(($F$16-$F$15)-1,AC$99:AG169,5,FALSE)))*EXP(-(LN(2)/$D$65+0.04)*(VLOOKUP(($F$16-$F$15)*2-1,AC$99:AG169,4,FALSE)))*EXP(-(LN(2)/$D$65+0.1)*(VLOOKUP(($F$16-$F$15)*2-1,AC$99:AG169,5,FALSE)))*EXP(-(LN(2)/$D$65+0.04)*AF169)*EXP(-(LN(2)/$D$65+0.1)*AG169),"-"))),"-")</f>
        <v>-</v>
      </c>
      <c r="AJ170" s="271" t="str">
        <f>IFERROR(IF(AD170=1,AJ$100*EXP(-(LN(2)/$D$65+0.04)*AF170)*EXP(-(LN(2)/$D$65+0.1)*AG170),IF(AD170=2,AJ$100*EXP(-(LN(2)/$D$65+0.04)*(VLOOKUP(($F$16-$F$15)-1,AC$100:AG170,4,FALSE)))*EXP(-(LN(2)/$D$65+0.1)*(VLOOKUP(($F$16-$F$15)-1,AC$100:AG170,5,FALSE)))*EXP(-(LN(2)/$D$65+0.04)*AF170)*EXP(-(LN(2)/$D$65+0.1)*AG170),IF(AD170=3,AJ$100*EXP(-(LN(2)/$D$65+0.04)*(VLOOKUP(($F$16-$F$15)-1,AC$100:AG170,4,FALSE)))*EXP(-(LN(2)/$D$65+0.1)*(VLOOKUP(($F$16-$F$15)-1,AC$100:AG170,5,FALSE)))*EXP(-(LN(2)/$D$65+0.04)*(VLOOKUP(($F$16-$F$15)*2-1,AC$100:AG170,4,FALSE)))*EXP(-(LN(2)/$D$65+0.1)*(VLOOKUP(($F$16-$F$15)*2-1,AC$100:AG170,5,FALSE)))*EXP(-(LN(2)/$D$65+0.04)*AF170)*EXP(-(LN(2)/$D$65+0.1)*AG170),"-"))),"-")</f>
        <v>-</v>
      </c>
      <c r="AK170" s="227">
        <f t="shared" si="137"/>
        <v>70</v>
      </c>
      <c r="AL170" s="226" t="str">
        <f t="shared" si="111"/>
        <v>-</v>
      </c>
      <c r="AM170" s="227" t="str">
        <f t="shared" si="138"/>
        <v>-</v>
      </c>
      <c r="AN170" s="227" t="str">
        <f t="shared" si="139"/>
        <v>-</v>
      </c>
      <c r="AO170" s="227" t="str">
        <f t="shared" si="112"/>
        <v>-</v>
      </c>
      <c r="AP170" s="273">
        <f t="shared" si="140"/>
        <v>0.1</v>
      </c>
      <c r="AQ170" s="271" t="str">
        <f>IFERROR(IF(AL169=1,AQ$100*EXP(-(LN(2)/$D$65+0.04)*AN169)*EXP(-(LN(2)/$D$65+0.1)*AO169),IF(AL169=2,AQ$100*EXP(-(LN(2)/$D$65+0.04)*(VLOOKUP(($F$16-$F$15)-1,AK$99:AO169,4,FALSE)))*EXP(-(LN(2)/$D$65+0.1)*(VLOOKUP(($F$16-$F$15)-1,AK$99:AO169,5,FALSE)))*EXP(-(LN(2)/$D$65+0.04)*AN169)*EXP(-(LN(2)/$D$65+0.1)*AO169),IF(AL169=3,AQ$100*EXP(-(LN(2)/$D$65+0.04)*(VLOOKUP(($F$16-$F$15)-1,AK$99:AO169,4,FALSE)))*EXP(-(LN(2)/$D$65+0.1)*(VLOOKUP(($F$16-$F$15)-1,AK$99:AO169,5,FALSE)))*EXP(-(LN(2)/$D$65+0.04)*(VLOOKUP(($F$16-$F$15)*2-1,AK$99:AO169,4,FALSE)))*EXP(-(LN(2)/$D$65+0.1)*(VLOOKUP(($F$16-$F$15)*2-1,AK$99:AO169,5,FALSE)))*EXP(-(LN(2)/$D$65+0.04)*AN169)*EXP(-(LN(2)/$D$65+0.1)*AO169),"-"))),"-")</f>
        <v>-</v>
      </c>
      <c r="AR170" s="271" t="str">
        <f>IFERROR(IF(AL170=1,AR$100*EXP(-(LN(2)/$D$65+0.04)*AN170)*EXP(-(LN(2)/$D$65+0.1)*AO170),IF(AL170=2,AR$100*EXP(-(LN(2)/$D$65+0.04)*(VLOOKUP(($F$16-$F$15)-1,AK$100:AO170,4,FALSE)))*EXP(-(LN(2)/$D$65+0.1)*(VLOOKUP(($F$16-$F$15)-1,AK$100:AO170,5,FALSE)))*EXP(-(LN(2)/$D$65+0.04)*AN170)*EXP(-(LN(2)/$D$65+0.1)*AO170),IF(AL170=3,AR$100*EXP(-(LN(2)/$D$65+0.04)*(VLOOKUP(($F$16-$F$15)-1,AK$100:AO170,4,FALSE)))*EXP(-(LN(2)/$D$65+0.1)*(VLOOKUP(($F$16-$F$15)-1,AK$100:AO170,5,FALSE)))*EXP(-(LN(2)/$D$65+0.04)*(VLOOKUP(($F$16-$F$15)*2-1,AK$100:AO170,4,FALSE)))*EXP(-(LN(2)/$D$65+0.1)*(VLOOKUP(($F$16-$F$15)*2-1,AK$100:AO170,5,FALSE)))*EXP(-(LN(2)/$D$65+0.04)*AN170)*EXP(-(LN(2)/$D$65+0.1)*AO170),"-"))),"-")</f>
        <v>-</v>
      </c>
      <c r="AS170" s="274">
        <f t="shared" si="113"/>
        <v>0</v>
      </c>
      <c r="AT170" s="274">
        <f t="shared" si="114"/>
        <v>0</v>
      </c>
      <c r="AU170" s="274">
        <f t="shared" si="115"/>
        <v>0</v>
      </c>
      <c r="AV170" s="190">
        <f>IF($B170&lt;$F$22,SUM($T$100:$T170),"")</f>
        <v>0</v>
      </c>
      <c r="AW170" s="190" t="str">
        <f t="shared" si="116"/>
        <v>-</v>
      </c>
      <c r="AX170" s="190" t="str">
        <f t="shared" si="141"/>
        <v/>
      </c>
      <c r="AY170"/>
      <c r="AZ170" s="190" t="str">
        <f ca="1">IF(ISNUMBER(OFFSET(AV170,-$F$21,0)),SUM(OFFSET($T$100,$F$21,0):$T170),"")</f>
        <v/>
      </c>
      <c r="BA170" s="190" t="str">
        <f t="shared" ca="1" si="117"/>
        <v/>
      </c>
      <c r="BB170" s="190" t="str">
        <f t="shared" ca="1" si="70"/>
        <v/>
      </c>
      <c r="BC170" s="190"/>
      <c r="BD170" s="190" t="str">
        <f ca="1">IFERROR(IF(AND($B170&gt;=($F$16-$F$15),$B170&lt;$F$22+($F$16-$F$15)),SUM(OFFSET($T$100,($F$16-$F$15),0):$T170),""),"")</f>
        <v/>
      </c>
      <c r="BE170" s="190" t="str">
        <f t="shared" ca="1" si="142"/>
        <v/>
      </c>
      <c r="BF170" s="190" t="str">
        <f t="shared" ca="1" si="143"/>
        <v/>
      </c>
      <c r="BG170"/>
      <c r="BH170" s="190" t="str">
        <f ca="1">IF(ISNUMBER(OFFSET(BD170,-$F$21,0)),SUM(OFFSET($T$100,($F$16-$F$15+$F$21),0):$T170),"")</f>
        <v/>
      </c>
      <c r="BI170" s="190" t="str">
        <f t="shared" ca="1" si="118"/>
        <v/>
      </c>
      <c r="BJ170" s="190" t="str">
        <f t="shared" ca="1" si="144"/>
        <v/>
      </c>
      <c r="BK170" s="190"/>
      <c r="BL170" s="190" t="str">
        <f ca="1">IFERROR(IF(AND($B170&gt;=($F$17-$F$15),$B170&lt;$F$22+($F$17-$F$15)),SUM(OFFSET($T$100,($F$17-$F$15),0):$T170),""),"")</f>
        <v/>
      </c>
      <c r="BM170" s="190" t="str">
        <f t="shared" ca="1" si="119"/>
        <v/>
      </c>
      <c r="BN170" s="190" t="str">
        <f t="shared" ca="1" si="145"/>
        <v/>
      </c>
      <c r="BO170"/>
      <c r="BP170" s="190" t="str">
        <f ca="1">IF(ISNUMBER(OFFSET(BL170,-$F$21,0)),SUM(OFFSET($T$100,($F$17-$F$15+$F$21),0):$T170),"")</f>
        <v/>
      </c>
      <c r="BQ170" s="190" t="str">
        <f t="shared" ca="1" si="120"/>
        <v/>
      </c>
      <c r="BR170" s="190" t="str">
        <f t="shared" ca="1" si="146"/>
        <v/>
      </c>
      <c r="BS170" s="190"/>
      <c r="BT170"/>
      <c r="BU170"/>
      <c r="BV170"/>
      <c r="BY170" s="99"/>
      <c r="BZ170" s="99"/>
      <c r="CA170" s="280" t="str">
        <f t="shared" si="121"/>
        <v/>
      </c>
      <c r="CB170" s="71" t="str">
        <f t="shared" si="122"/>
        <v>-</v>
      </c>
      <c r="CC170" s="33"/>
      <c r="CD170" s="261" t="str">
        <f t="shared" si="123"/>
        <v/>
      </c>
      <c r="CE170" s="280" t="str">
        <f t="shared" si="124"/>
        <v>-</v>
      </c>
      <c r="CF170" s="71" t="str">
        <f t="shared" ca="1" si="125"/>
        <v>-</v>
      </c>
      <c r="CG170" s="33" t="str">
        <f t="shared" si="126"/>
        <v>70-71</v>
      </c>
      <c r="CH170" s="261" t="str">
        <f t="shared" ca="1" si="127"/>
        <v/>
      </c>
      <c r="CI170" s="99"/>
      <c r="CJ170" s="99"/>
      <c r="CK170" s="99"/>
      <c r="CL170" s="99"/>
      <c r="CM170" s="99"/>
      <c r="CN170" s="99"/>
      <c r="CO170" s="99"/>
    </row>
    <row r="171" spans="2:93" ht="13.5" customHeight="1" x14ac:dyDescent="0.2">
      <c r="B171" s="262">
        <v>71</v>
      </c>
      <c r="C171" s="237" t="str">
        <f t="shared" si="91"/>
        <v/>
      </c>
      <c r="D171" s="237" t="str">
        <f t="shared" si="147"/>
        <v>-</v>
      </c>
      <c r="E171" s="290" t="str">
        <f t="shared" si="128"/>
        <v/>
      </c>
      <c r="F171" s="264" t="str">
        <f t="shared" si="129"/>
        <v/>
      </c>
      <c r="G171" s="291" t="str">
        <f t="shared" si="130"/>
        <v/>
      </c>
      <c r="H171" s="240" t="str">
        <f t="shared" si="92"/>
        <v/>
      </c>
      <c r="I171" s="265" t="str">
        <f t="shared" si="93"/>
        <v/>
      </c>
      <c r="J171" s="265" t="str">
        <f t="shared" si="94"/>
        <v/>
      </c>
      <c r="K171" s="240" t="str">
        <f t="shared" si="95"/>
        <v/>
      </c>
      <c r="L171" s="265" t="str">
        <f t="shared" si="96"/>
        <v/>
      </c>
      <c r="M171" s="265" t="str">
        <f t="shared" si="97"/>
        <v/>
      </c>
      <c r="N171" s="240" t="str">
        <f t="shared" si="98"/>
        <v>-</v>
      </c>
      <c r="O171" s="265" t="str">
        <f t="shared" si="99"/>
        <v>-</v>
      </c>
      <c r="P171" s="265" t="str">
        <f t="shared" si="100"/>
        <v>-</v>
      </c>
      <c r="Q171" s="266" t="str">
        <f t="shared" si="101"/>
        <v>-</v>
      </c>
      <c r="R171" s="267" t="str">
        <f t="shared" si="102"/>
        <v>-</v>
      </c>
      <c r="S171" s="268" t="str">
        <f t="shared" si="103"/>
        <v>-</v>
      </c>
      <c r="T171" s="269" t="str">
        <f t="shared" si="104"/>
        <v/>
      </c>
      <c r="U171" s="221">
        <f t="shared" si="105"/>
        <v>71</v>
      </c>
      <c r="V171" s="220" t="str">
        <f t="shared" si="131"/>
        <v>-</v>
      </c>
      <c r="W171" s="221" t="str">
        <f t="shared" si="132"/>
        <v>-</v>
      </c>
      <c r="X171" s="221" t="str">
        <f t="shared" si="106"/>
        <v>-</v>
      </c>
      <c r="Y171" s="221" t="str">
        <f t="shared" si="107"/>
        <v>-</v>
      </c>
      <c r="Z171" s="270">
        <f t="shared" si="133"/>
        <v>0.1</v>
      </c>
      <c r="AA171" s="271" t="str">
        <f>IFERROR(IF(V170=1,AA$100*EXP(-(LN(2)/$D$65+0.04)*X170)*EXP(-(LN(2)/$D$65+0.1)*Y170),IF(V170=2,AA$100*EXP(-(LN(2)/$D$65+0.04)*(VLOOKUP(($F$16-$F$15)-1,U$99:Y170,4,FALSE)))*EXP(-(LN(2)/$D$65+0.1)*(VLOOKUP(($F$16-$F$15)-1,U$99:Y170,5,FALSE)))*EXP(-(LN(2)/$D$65+0.04)*X170)*EXP(-(LN(2)/$D$65+0.1)*Y170),IF(V170=3,AA$100*EXP(-(LN(2)/$D$65+0.04)*(VLOOKUP(($F$16-$F$15)-1,U$99:Y170,4,FALSE)))*EXP(-(LN(2)/$D$65+0.1)*(VLOOKUP(($F$16-$F$15)-1,U$99:Y170,5,FALSE)))*EXP(-(LN(2)/$D$65+0.04)*(VLOOKUP(($F$16-$F$15)*2-1,U$99:Y170,4,FALSE)))*EXP(-(LN(2)/$D$65+0.1)*(VLOOKUP(($F$16-$F$15)*2-1,U$99:Y170,5,FALSE)))*EXP(-(LN(2)/$D$65+0.04)*X170)*EXP(-(LN(2)/$D$65+0.1)*Y170),"-"))),"-")</f>
        <v>-</v>
      </c>
      <c r="AB171" s="271" t="str">
        <f>IFERROR(IF(V171=1,AB$100*EXP(-(LN(2)/$D$65+0.04)*X171)*EXP(-(LN(2)/$D$65+0.1)*Y171),IF(V171=2,AB$100*EXP(-(LN(2)/$D$65+0.04)*(VLOOKUP(($F$16-$F$15)-1,U$100:Y171,4,FALSE)))*EXP(-(LN(2)/$D$65+0.1)*(VLOOKUP(($F$16-$F$15)-1,U$100:Y171,5,FALSE)))*EXP(-(LN(2)/$D$65+0.04)*X171)*EXP(-(LN(2)/$D$65+0.1)*Y171),IF(V171=3,AB$100*EXP(-(LN(2)/$D$65+0.04)*(VLOOKUP(($F$16-$F$15)-1,U$100:Y171,4,FALSE)))*EXP(-(LN(2)/$D$65+0.1)*(VLOOKUP(($F$16-$F$15)-1,U$100:Y171,5,FALSE)))*EXP(-(LN(2)/$D$65+0.04)*(VLOOKUP(($F$16-$F$15)*2-1,U$100:Y171,4,FALSE)))*EXP(-(LN(2)/$D$65+0.1)*(VLOOKUP(($F$16-$F$15)*2-1,U$100:Y171,5,FALSE)))*EXP(-(LN(2)/$D$65+0.04)*X171)*EXP(-(LN(2)/$D$65+0.1)*Y171),"-"))),"-")</f>
        <v>-</v>
      </c>
      <c r="AC171" s="224">
        <f t="shared" si="134"/>
        <v>71</v>
      </c>
      <c r="AD171" s="223" t="str">
        <f t="shared" si="108"/>
        <v>-</v>
      </c>
      <c r="AE171" s="224" t="str">
        <f t="shared" si="135"/>
        <v>-</v>
      </c>
      <c r="AF171" s="224" t="str">
        <f t="shared" si="109"/>
        <v>-</v>
      </c>
      <c r="AG171" s="224" t="str">
        <f t="shared" si="110"/>
        <v>-</v>
      </c>
      <c r="AH171" s="272">
        <f t="shared" si="136"/>
        <v>0.1</v>
      </c>
      <c r="AI171" s="271" t="str">
        <f>IFERROR(IF(AD170=1,AI$100*EXP(-(LN(2)/$D$65+0.04)*AF170)*EXP(-(LN(2)/$D$65+0.1)*AG170),IF(AD170=2,AI$100*EXP(-(LN(2)/$D$65+0.04)*(VLOOKUP(($F$16-$F$15)-1,AC$99:AG170,4,FALSE)))*EXP(-(LN(2)/$D$65+0.1)*(VLOOKUP(($F$16-$F$15)-1,AC$99:AG170,5,FALSE)))*EXP(-(LN(2)/$D$65+0.04)*AF170)*EXP(-(LN(2)/$D$65+0.1)*AG170),IF(AD170=3,AI$100*EXP(-(LN(2)/$D$65+0.04)*(VLOOKUP(($F$16-$F$15)-1,AC$99:AG170,4,FALSE)))*EXP(-(LN(2)/$D$65+0.1)*(VLOOKUP(($F$16-$F$15)-1,AC$99:AG170,5,FALSE)))*EXP(-(LN(2)/$D$65+0.04)*(VLOOKUP(($F$16-$F$15)*2-1,AC$99:AG170,4,FALSE)))*EXP(-(LN(2)/$D$65+0.1)*(VLOOKUP(($F$16-$F$15)*2-1,AC$99:AG170,5,FALSE)))*EXP(-(LN(2)/$D$65+0.04)*AF170)*EXP(-(LN(2)/$D$65+0.1)*AG170),"-"))),"-")</f>
        <v>-</v>
      </c>
      <c r="AJ171" s="271" t="str">
        <f>IFERROR(IF(AD171=1,AJ$100*EXP(-(LN(2)/$D$65+0.04)*AF171)*EXP(-(LN(2)/$D$65+0.1)*AG171),IF(AD171=2,AJ$100*EXP(-(LN(2)/$D$65+0.04)*(VLOOKUP(($F$16-$F$15)-1,AC$100:AG171,4,FALSE)))*EXP(-(LN(2)/$D$65+0.1)*(VLOOKUP(($F$16-$F$15)-1,AC$100:AG171,5,FALSE)))*EXP(-(LN(2)/$D$65+0.04)*AF171)*EXP(-(LN(2)/$D$65+0.1)*AG171),IF(AD171=3,AJ$100*EXP(-(LN(2)/$D$65+0.04)*(VLOOKUP(($F$16-$F$15)-1,AC$100:AG171,4,FALSE)))*EXP(-(LN(2)/$D$65+0.1)*(VLOOKUP(($F$16-$F$15)-1,AC$100:AG171,5,FALSE)))*EXP(-(LN(2)/$D$65+0.04)*(VLOOKUP(($F$16-$F$15)*2-1,AC$100:AG171,4,FALSE)))*EXP(-(LN(2)/$D$65+0.1)*(VLOOKUP(($F$16-$F$15)*2-1,AC$100:AG171,5,FALSE)))*EXP(-(LN(2)/$D$65+0.04)*AF171)*EXP(-(LN(2)/$D$65+0.1)*AG171),"-"))),"-")</f>
        <v>-</v>
      </c>
      <c r="AK171" s="227">
        <f t="shared" si="137"/>
        <v>71</v>
      </c>
      <c r="AL171" s="226" t="str">
        <f t="shared" si="111"/>
        <v>-</v>
      </c>
      <c r="AM171" s="227" t="str">
        <f t="shared" si="138"/>
        <v>-</v>
      </c>
      <c r="AN171" s="227" t="str">
        <f t="shared" si="139"/>
        <v>-</v>
      </c>
      <c r="AO171" s="227" t="str">
        <f t="shared" si="112"/>
        <v>-</v>
      </c>
      <c r="AP171" s="273">
        <f t="shared" si="140"/>
        <v>0.1</v>
      </c>
      <c r="AQ171" s="271" t="str">
        <f>IFERROR(IF(AL170=1,AQ$100*EXP(-(LN(2)/$D$65+0.04)*AN170)*EXP(-(LN(2)/$D$65+0.1)*AO170),IF(AL170=2,AQ$100*EXP(-(LN(2)/$D$65+0.04)*(VLOOKUP(($F$16-$F$15)-1,AK$99:AO170,4,FALSE)))*EXP(-(LN(2)/$D$65+0.1)*(VLOOKUP(($F$16-$F$15)-1,AK$99:AO170,5,FALSE)))*EXP(-(LN(2)/$D$65+0.04)*AN170)*EXP(-(LN(2)/$D$65+0.1)*AO170),IF(AL170=3,AQ$100*EXP(-(LN(2)/$D$65+0.04)*(VLOOKUP(($F$16-$F$15)-1,AK$99:AO170,4,FALSE)))*EXP(-(LN(2)/$D$65+0.1)*(VLOOKUP(($F$16-$F$15)-1,AK$99:AO170,5,FALSE)))*EXP(-(LN(2)/$D$65+0.04)*(VLOOKUP(($F$16-$F$15)*2-1,AK$99:AO170,4,FALSE)))*EXP(-(LN(2)/$D$65+0.1)*(VLOOKUP(($F$16-$F$15)*2-1,AK$99:AO170,5,FALSE)))*EXP(-(LN(2)/$D$65+0.04)*AN170)*EXP(-(LN(2)/$D$65+0.1)*AO170),"-"))),"-")</f>
        <v>-</v>
      </c>
      <c r="AR171" s="271" t="str">
        <f>IFERROR(IF(AL171=1,AR$100*EXP(-(LN(2)/$D$65+0.04)*AN171)*EXP(-(LN(2)/$D$65+0.1)*AO171),IF(AL171=2,AR$100*EXP(-(LN(2)/$D$65+0.04)*(VLOOKUP(($F$16-$F$15)-1,AK$100:AO171,4,FALSE)))*EXP(-(LN(2)/$D$65+0.1)*(VLOOKUP(($F$16-$F$15)-1,AK$100:AO171,5,FALSE)))*EXP(-(LN(2)/$D$65+0.04)*AN171)*EXP(-(LN(2)/$D$65+0.1)*AO171),IF(AL171=3,AR$100*EXP(-(LN(2)/$D$65+0.04)*(VLOOKUP(($F$16-$F$15)-1,AK$100:AO171,4,FALSE)))*EXP(-(LN(2)/$D$65+0.1)*(VLOOKUP(($F$16-$F$15)-1,AK$100:AO171,5,FALSE)))*EXP(-(LN(2)/$D$65+0.04)*(VLOOKUP(($F$16-$F$15)*2-1,AK$100:AO171,4,FALSE)))*EXP(-(LN(2)/$D$65+0.1)*(VLOOKUP(($F$16-$F$15)*2-1,AK$100:AO171,5,FALSE)))*EXP(-(LN(2)/$D$65+0.04)*AN171)*EXP(-(LN(2)/$D$65+0.1)*AO171),"-"))),"-")</f>
        <v>-</v>
      </c>
      <c r="AS171" s="274">
        <f t="shared" si="113"/>
        <v>0</v>
      </c>
      <c r="AT171" s="274">
        <f t="shared" si="114"/>
        <v>0</v>
      </c>
      <c r="AU171" s="274">
        <f t="shared" si="115"/>
        <v>0</v>
      </c>
      <c r="AV171" s="190">
        <f>IF($B171&lt;$F$22,SUM($T$100:$T171),"")</f>
        <v>0</v>
      </c>
      <c r="AW171" s="190" t="str">
        <f t="shared" si="116"/>
        <v>-</v>
      </c>
      <c r="AX171" s="190" t="str">
        <f t="shared" si="141"/>
        <v/>
      </c>
      <c r="AY171"/>
      <c r="AZ171" s="190" t="str">
        <f ca="1">IF(ISNUMBER(OFFSET(AV171,-$F$21,0)),SUM(OFFSET($T$100,$F$21,0):$T171),"")</f>
        <v/>
      </c>
      <c r="BA171" s="190" t="str">
        <f t="shared" ca="1" si="117"/>
        <v/>
      </c>
      <c r="BB171" s="190" t="str">
        <f t="shared" ca="1" si="70"/>
        <v/>
      </c>
      <c r="BC171" s="190"/>
      <c r="BD171" s="190" t="str">
        <f ca="1">IFERROR(IF(AND($B171&gt;=($F$16-$F$15),$B171&lt;$F$22+($F$16-$F$15)),SUM(OFFSET($T$100,($F$16-$F$15),0):$T171),""),"")</f>
        <v/>
      </c>
      <c r="BE171" s="190" t="str">
        <f t="shared" ca="1" si="142"/>
        <v/>
      </c>
      <c r="BF171" s="190" t="str">
        <f t="shared" ca="1" si="143"/>
        <v/>
      </c>
      <c r="BG171"/>
      <c r="BH171" s="190" t="str">
        <f ca="1">IF(ISNUMBER(OFFSET(BD171,-$F$21,0)),SUM(OFFSET($T$100,($F$16-$F$15+$F$21),0):$T171),"")</f>
        <v/>
      </c>
      <c r="BI171" s="190" t="str">
        <f t="shared" ca="1" si="118"/>
        <v/>
      </c>
      <c r="BJ171" s="190" t="str">
        <f t="shared" ca="1" si="144"/>
        <v/>
      </c>
      <c r="BK171" s="190"/>
      <c r="BL171" s="190" t="str">
        <f ca="1">IFERROR(IF(AND($B171&gt;=($F$17-$F$15),$B171&lt;$F$22+($F$17-$F$15)),SUM(OFFSET($T$100,($F$17-$F$15),0):$T171),""),"")</f>
        <v/>
      </c>
      <c r="BM171" s="190" t="str">
        <f t="shared" ca="1" si="119"/>
        <v/>
      </c>
      <c r="BN171" s="190" t="str">
        <f t="shared" ca="1" si="145"/>
        <v/>
      </c>
      <c r="BO171"/>
      <c r="BP171" s="190" t="str">
        <f ca="1">IF(ISNUMBER(OFFSET(BL171,-$F$21,0)),SUM(OFFSET($T$100,($F$17-$F$15+$F$21),0):$T171),"")</f>
        <v/>
      </c>
      <c r="BQ171" s="190" t="str">
        <f t="shared" ca="1" si="120"/>
        <v/>
      </c>
      <c r="BR171" s="190" t="str">
        <f t="shared" ca="1" si="146"/>
        <v/>
      </c>
      <c r="BS171" s="190"/>
      <c r="BT171"/>
      <c r="BU171"/>
      <c r="BV171"/>
      <c r="BY171" s="99"/>
      <c r="BZ171" s="99"/>
      <c r="CA171" s="280" t="str">
        <f t="shared" si="121"/>
        <v/>
      </c>
      <c r="CB171" s="71" t="str">
        <f t="shared" si="122"/>
        <v>-</v>
      </c>
      <c r="CC171" s="33"/>
      <c r="CD171" s="261" t="str">
        <f t="shared" si="123"/>
        <v/>
      </c>
      <c r="CE171" s="280" t="str">
        <f t="shared" si="124"/>
        <v>-</v>
      </c>
      <c r="CF171" s="71" t="str">
        <f t="shared" ca="1" si="125"/>
        <v>-</v>
      </c>
      <c r="CG171" s="33" t="str">
        <f t="shared" si="126"/>
        <v>71-72</v>
      </c>
      <c r="CH171" s="261" t="str">
        <f t="shared" ca="1" si="127"/>
        <v/>
      </c>
      <c r="CI171" s="99"/>
      <c r="CJ171" s="99"/>
      <c r="CK171" s="99"/>
      <c r="CL171" s="99"/>
      <c r="CM171" s="99"/>
      <c r="CN171" s="99"/>
      <c r="CO171" s="99"/>
    </row>
    <row r="172" spans="2:93" ht="13.5" customHeight="1" x14ac:dyDescent="0.2">
      <c r="B172" s="262">
        <v>72</v>
      </c>
      <c r="C172" s="237" t="str">
        <f t="shared" si="91"/>
        <v/>
      </c>
      <c r="D172" s="237" t="str">
        <f t="shared" si="147"/>
        <v>-</v>
      </c>
      <c r="E172" s="290" t="str">
        <f t="shared" si="128"/>
        <v/>
      </c>
      <c r="F172" s="264" t="str">
        <f t="shared" si="129"/>
        <v/>
      </c>
      <c r="G172" s="291" t="str">
        <f t="shared" si="130"/>
        <v/>
      </c>
      <c r="H172" s="240" t="str">
        <f t="shared" si="92"/>
        <v/>
      </c>
      <c r="I172" s="265" t="str">
        <f t="shared" si="93"/>
        <v/>
      </c>
      <c r="J172" s="265" t="str">
        <f t="shared" si="94"/>
        <v/>
      </c>
      <c r="K172" s="240" t="str">
        <f t="shared" si="95"/>
        <v/>
      </c>
      <c r="L172" s="265" t="str">
        <f t="shared" si="96"/>
        <v/>
      </c>
      <c r="M172" s="265" t="str">
        <f t="shared" si="97"/>
        <v/>
      </c>
      <c r="N172" s="240" t="str">
        <f t="shared" si="98"/>
        <v>-</v>
      </c>
      <c r="O172" s="265" t="str">
        <f t="shared" si="99"/>
        <v>-</v>
      </c>
      <c r="P172" s="265" t="str">
        <f t="shared" si="100"/>
        <v>-</v>
      </c>
      <c r="Q172" s="266" t="str">
        <f t="shared" si="101"/>
        <v>-</v>
      </c>
      <c r="R172" s="267" t="str">
        <f t="shared" si="102"/>
        <v>-</v>
      </c>
      <c r="S172" s="268" t="str">
        <f t="shared" si="103"/>
        <v>-</v>
      </c>
      <c r="T172" s="269" t="str">
        <f t="shared" si="104"/>
        <v/>
      </c>
      <c r="U172" s="221">
        <f t="shared" si="105"/>
        <v>72</v>
      </c>
      <c r="V172" s="220" t="str">
        <f t="shared" si="131"/>
        <v>-</v>
      </c>
      <c r="W172" s="221" t="str">
        <f t="shared" si="132"/>
        <v>-</v>
      </c>
      <c r="X172" s="221" t="str">
        <f t="shared" si="106"/>
        <v>-</v>
      </c>
      <c r="Y172" s="221" t="str">
        <f t="shared" si="107"/>
        <v>-</v>
      </c>
      <c r="Z172" s="270">
        <f t="shared" si="133"/>
        <v>0.1</v>
      </c>
      <c r="AA172" s="271" t="str">
        <f>IFERROR(IF(V171=1,AA$100*EXP(-(LN(2)/$D$65+0.04)*X171)*EXP(-(LN(2)/$D$65+0.1)*Y171),IF(V171=2,AA$100*EXP(-(LN(2)/$D$65+0.04)*(VLOOKUP(($F$16-$F$15)-1,U$99:Y171,4,FALSE)))*EXP(-(LN(2)/$D$65+0.1)*(VLOOKUP(($F$16-$F$15)-1,U$99:Y171,5,FALSE)))*EXP(-(LN(2)/$D$65+0.04)*X171)*EXP(-(LN(2)/$D$65+0.1)*Y171),IF(V171=3,AA$100*EXP(-(LN(2)/$D$65+0.04)*(VLOOKUP(($F$16-$F$15)-1,U$99:Y171,4,FALSE)))*EXP(-(LN(2)/$D$65+0.1)*(VLOOKUP(($F$16-$F$15)-1,U$99:Y171,5,FALSE)))*EXP(-(LN(2)/$D$65+0.04)*(VLOOKUP(($F$16-$F$15)*2-1,U$99:Y171,4,FALSE)))*EXP(-(LN(2)/$D$65+0.1)*(VLOOKUP(($F$16-$F$15)*2-1,U$99:Y171,5,FALSE)))*EXP(-(LN(2)/$D$65+0.04)*X171)*EXP(-(LN(2)/$D$65+0.1)*Y171),"-"))),"-")</f>
        <v>-</v>
      </c>
      <c r="AB172" s="271" t="str">
        <f>IFERROR(IF(V172=1,AB$100*EXP(-(LN(2)/$D$65+0.04)*X172)*EXP(-(LN(2)/$D$65+0.1)*Y172),IF(V172=2,AB$100*EXP(-(LN(2)/$D$65+0.04)*(VLOOKUP(($F$16-$F$15)-1,U$100:Y172,4,FALSE)))*EXP(-(LN(2)/$D$65+0.1)*(VLOOKUP(($F$16-$F$15)-1,U$100:Y172,5,FALSE)))*EXP(-(LN(2)/$D$65+0.04)*X172)*EXP(-(LN(2)/$D$65+0.1)*Y172),IF(V172=3,AB$100*EXP(-(LN(2)/$D$65+0.04)*(VLOOKUP(($F$16-$F$15)-1,U$100:Y172,4,FALSE)))*EXP(-(LN(2)/$D$65+0.1)*(VLOOKUP(($F$16-$F$15)-1,U$100:Y172,5,FALSE)))*EXP(-(LN(2)/$D$65+0.04)*(VLOOKUP(($F$16-$F$15)*2-1,U$100:Y172,4,FALSE)))*EXP(-(LN(2)/$D$65+0.1)*(VLOOKUP(($F$16-$F$15)*2-1,U$100:Y172,5,FALSE)))*EXP(-(LN(2)/$D$65+0.04)*X172)*EXP(-(LN(2)/$D$65+0.1)*Y172),"-"))),"-")</f>
        <v>-</v>
      </c>
      <c r="AC172" s="224">
        <f t="shared" si="134"/>
        <v>72</v>
      </c>
      <c r="AD172" s="223" t="str">
        <f t="shared" si="108"/>
        <v>-</v>
      </c>
      <c r="AE172" s="224" t="str">
        <f t="shared" si="135"/>
        <v>-</v>
      </c>
      <c r="AF172" s="224" t="str">
        <f t="shared" si="109"/>
        <v>-</v>
      </c>
      <c r="AG172" s="224" t="str">
        <f t="shared" si="110"/>
        <v>-</v>
      </c>
      <c r="AH172" s="272">
        <f t="shared" si="136"/>
        <v>0.1</v>
      </c>
      <c r="AI172" s="271" t="str">
        <f>IFERROR(IF(AD171=1,AI$100*EXP(-(LN(2)/$D$65+0.04)*AF171)*EXP(-(LN(2)/$D$65+0.1)*AG171),IF(AD171=2,AI$100*EXP(-(LN(2)/$D$65+0.04)*(VLOOKUP(($F$16-$F$15)-1,AC$99:AG171,4,FALSE)))*EXP(-(LN(2)/$D$65+0.1)*(VLOOKUP(($F$16-$F$15)-1,AC$99:AG171,5,FALSE)))*EXP(-(LN(2)/$D$65+0.04)*AF171)*EXP(-(LN(2)/$D$65+0.1)*AG171),IF(AD171=3,AI$100*EXP(-(LN(2)/$D$65+0.04)*(VLOOKUP(($F$16-$F$15)-1,AC$99:AG171,4,FALSE)))*EXP(-(LN(2)/$D$65+0.1)*(VLOOKUP(($F$16-$F$15)-1,AC$99:AG171,5,FALSE)))*EXP(-(LN(2)/$D$65+0.04)*(VLOOKUP(($F$16-$F$15)*2-1,AC$99:AG171,4,FALSE)))*EXP(-(LN(2)/$D$65+0.1)*(VLOOKUP(($F$16-$F$15)*2-1,AC$99:AG171,5,FALSE)))*EXP(-(LN(2)/$D$65+0.04)*AF171)*EXP(-(LN(2)/$D$65+0.1)*AG171),"-"))),"-")</f>
        <v>-</v>
      </c>
      <c r="AJ172" s="271" t="str">
        <f>IFERROR(IF(AD172=1,AJ$100*EXP(-(LN(2)/$D$65+0.04)*AF172)*EXP(-(LN(2)/$D$65+0.1)*AG172),IF(AD172=2,AJ$100*EXP(-(LN(2)/$D$65+0.04)*(VLOOKUP(($F$16-$F$15)-1,AC$100:AG172,4,FALSE)))*EXP(-(LN(2)/$D$65+0.1)*(VLOOKUP(($F$16-$F$15)-1,AC$100:AG172,5,FALSE)))*EXP(-(LN(2)/$D$65+0.04)*AF172)*EXP(-(LN(2)/$D$65+0.1)*AG172),IF(AD172=3,AJ$100*EXP(-(LN(2)/$D$65+0.04)*(VLOOKUP(($F$16-$F$15)-1,AC$100:AG172,4,FALSE)))*EXP(-(LN(2)/$D$65+0.1)*(VLOOKUP(($F$16-$F$15)-1,AC$100:AG172,5,FALSE)))*EXP(-(LN(2)/$D$65+0.04)*(VLOOKUP(($F$16-$F$15)*2-1,AC$100:AG172,4,FALSE)))*EXP(-(LN(2)/$D$65+0.1)*(VLOOKUP(($F$16-$F$15)*2-1,AC$100:AG172,5,FALSE)))*EXP(-(LN(2)/$D$65+0.04)*AF172)*EXP(-(LN(2)/$D$65+0.1)*AG172),"-"))),"-")</f>
        <v>-</v>
      </c>
      <c r="AK172" s="227">
        <f t="shared" si="137"/>
        <v>72</v>
      </c>
      <c r="AL172" s="226" t="str">
        <f t="shared" si="111"/>
        <v>-</v>
      </c>
      <c r="AM172" s="227" t="str">
        <f t="shared" si="138"/>
        <v>-</v>
      </c>
      <c r="AN172" s="227" t="str">
        <f t="shared" si="139"/>
        <v>-</v>
      </c>
      <c r="AO172" s="227" t="str">
        <f t="shared" si="112"/>
        <v>-</v>
      </c>
      <c r="AP172" s="273">
        <f t="shared" si="140"/>
        <v>0.1</v>
      </c>
      <c r="AQ172" s="271" t="str">
        <f>IFERROR(IF(AL171=1,AQ$100*EXP(-(LN(2)/$D$65+0.04)*AN171)*EXP(-(LN(2)/$D$65+0.1)*AO171),IF(AL171=2,AQ$100*EXP(-(LN(2)/$D$65+0.04)*(VLOOKUP(($F$16-$F$15)-1,AK$99:AO171,4,FALSE)))*EXP(-(LN(2)/$D$65+0.1)*(VLOOKUP(($F$16-$F$15)-1,AK$99:AO171,5,FALSE)))*EXP(-(LN(2)/$D$65+0.04)*AN171)*EXP(-(LN(2)/$D$65+0.1)*AO171),IF(AL171=3,AQ$100*EXP(-(LN(2)/$D$65+0.04)*(VLOOKUP(($F$16-$F$15)-1,AK$99:AO171,4,FALSE)))*EXP(-(LN(2)/$D$65+0.1)*(VLOOKUP(($F$16-$F$15)-1,AK$99:AO171,5,FALSE)))*EXP(-(LN(2)/$D$65+0.04)*(VLOOKUP(($F$16-$F$15)*2-1,AK$99:AO171,4,FALSE)))*EXP(-(LN(2)/$D$65+0.1)*(VLOOKUP(($F$16-$F$15)*2-1,AK$99:AO171,5,FALSE)))*EXP(-(LN(2)/$D$65+0.04)*AN171)*EXP(-(LN(2)/$D$65+0.1)*AO171),"-"))),"-")</f>
        <v>-</v>
      </c>
      <c r="AR172" s="271" t="str">
        <f>IFERROR(IF(AL172=1,AR$100*EXP(-(LN(2)/$D$65+0.04)*AN172)*EXP(-(LN(2)/$D$65+0.1)*AO172),IF(AL172=2,AR$100*EXP(-(LN(2)/$D$65+0.04)*(VLOOKUP(($F$16-$F$15)-1,AK$100:AO172,4,FALSE)))*EXP(-(LN(2)/$D$65+0.1)*(VLOOKUP(($F$16-$F$15)-1,AK$100:AO172,5,FALSE)))*EXP(-(LN(2)/$D$65+0.04)*AN172)*EXP(-(LN(2)/$D$65+0.1)*AO172),IF(AL172=3,AR$100*EXP(-(LN(2)/$D$65+0.04)*(VLOOKUP(($F$16-$F$15)-1,AK$100:AO172,4,FALSE)))*EXP(-(LN(2)/$D$65+0.1)*(VLOOKUP(($F$16-$F$15)-1,AK$100:AO172,5,FALSE)))*EXP(-(LN(2)/$D$65+0.04)*(VLOOKUP(($F$16-$F$15)*2-1,AK$100:AO172,4,FALSE)))*EXP(-(LN(2)/$D$65+0.1)*(VLOOKUP(($F$16-$F$15)*2-1,AK$100:AO172,5,FALSE)))*EXP(-(LN(2)/$D$65+0.04)*AN172)*EXP(-(LN(2)/$D$65+0.1)*AO172),"-"))),"-")</f>
        <v>-</v>
      </c>
      <c r="AS172" s="274">
        <f t="shared" si="113"/>
        <v>0</v>
      </c>
      <c r="AT172" s="274">
        <f t="shared" si="114"/>
        <v>0</v>
      </c>
      <c r="AU172" s="274">
        <f t="shared" si="115"/>
        <v>0</v>
      </c>
      <c r="AV172" s="190">
        <f>IF($B172&lt;$F$22,SUM($T$100:$T172),"")</f>
        <v>0</v>
      </c>
      <c r="AW172" s="190" t="str">
        <f t="shared" si="116"/>
        <v>-</v>
      </c>
      <c r="AX172" s="190" t="str">
        <f t="shared" si="141"/>
        <v/>
      </c>
      <c r="AY172"/>
      <c r="AZ172" s="190" t="str">
        <f ca="1">IF(ISNUMBER(OFFSET(AV172,-$F$21,0)),SUM(OFFSET($T$100,$F$21,0):$T172),"")</f>
        <v/>
      </c>
      <c r="BA172" s="190" t="str">
        <f t="shared" ca="1" si="117"/>
        <v/>
      </c>
      <c r="BB172" s="190" t="str">
        <f t="shared" ca="1" si="70"/>
        <v/>
      </c>
      <c r="BC172" s="190"/>
      <c r="BD172" s="190" t="str">
        <f ca="1">IFERROR(IF(AND($B172&gt;=($F$16-$F$15),$B172&lt;$F$22+($F$16-$F$15)),SUM(OFFSET($T$100,($F$16-$F$15),0):$T172),""),"")</f>
        <v/>
      </c>
      <c r="BE172" s="190" t="str">
        <f t="shared" ca="1" si="142"/>
        <v/>
      </c>
      <c r="BF172" s="190" t="str">
        <f t="shared" ca="1" si="143"/>
        <v/>
      </c>
      <c r="BG172"/>
      <c r="BH172" s="190" t="str">
        <f ca="1">IF(ISNUMBER(OFFSET(BD172,-$F$21,0)),SUM(OFFSET($T$100,($F$16-$F$15+$F$21),0):$T172),"")</f>
        <v/>
      </c>
      <c r="BI172" s="190" t="str">
        <f t="shared" ca="1" si="118"/>
        <v/>
      </c>
      <c r="BJ172" s="190" t="str">
        <f t="shared" ca="1" si="144"/>
        <v/>
      </c>
      <c r="BK172" s="190"/>
      <c r="BL172" s="190" t="str">
        <f ca="1">IFERROR(IF(AND($B172&gt;=($F$17-$F$15),$B172&lt;$F$22+($F$17-$F$15)),SUM(OFFSET($T$100,($F$17-$F$15),0):$T172),""),"")</f>
        <v/>
      </c>
      <c r="BM172" s="190" t="str">
        <f t="shared" ca="1" si="119"/>
        <v/>
      </c>
      <c r="BN172" s="190" t="str">
        <f t="shared" ca="1" si="145"/>
        <v/>
      </c>
      <c r="BO172"/>
      <c r="BP172" s="190" t="str">
        <f ca="1">IF(ISNUMBER(OFFSET(BL172,-$F$21,0)),SUM(OFFSET($T$100,($F$17-$F$15+$F$21),0):$T172),"")</f>
        <v/>
      </c>
      <c r="BQ172" s="190" t="str">
        <f t="shared" ca="1" si="120"/>
        <v/>
      </c>
      <c r="BR172" s="190" t="str">
        <f t="shared" ca="1" si="146"/>
        <v/>
      </c>
      <c r="BS172" s="190"/>
      <c r="BT172"/>
      <c r="BU172"/>
      <c r="BV172"/>
      <c r="BY172" s="99"/>
      <c r="BZ172" s="99"/>
      <c r="CA172" s="280" t="str">
        <f t="shared" si="121"/>
        <v/>
      </c>
      <c r="CB172" s="71" t="str">
        <f t="shared" si="122"/>
        <v>-</v>
      </c>
      <c r="CC172" s="33"/>
      <c r="CD172" s="261" t="str">
        <f t="shared" si="123"/>
        <v/>
      </c>
      <c r="CE172" s="280" t="str">
        <f t="shared" si="124"/>
        <v>-</v>
      </c>
      <c r="CF172" s="71" t="str">
        <f t="shared" ca="1" si="125"/>
        <v>-</v>
      </c>
      <c r="CG172" s="33" t="str">
        <f t="shared" si="126"/>
        <v>72-73</v>
      </c>
      <c r="CH172" s="261" t="str">
        <f t="shared" ca="1" si="127"/>
        <v/>
      </c>
      <c r="CI172" s="99"/>
      <c r="CJ172" s="99"/>
      <c r="CK172" s="99"/>
      <c r="CL172" s="99"/>
      <c r="CM172" s="99"/>
      <c r="CN172" s="99"/>
      <c r="CO172" s="99"/>
    </row>
    <row r="173" spans="2:93" ht="13.5" customHeight="1" x14ac:dyDescent="0.2">
      <c r="B173" s="262">
        <v>73</v>
      </c>
      <c r="C173" s="237" t="str">
        <f t="shared" si="91"/>
        <v/>
      </c>
      <c r="D173" s="237" t="str">
        <f t="shared" si="147"/>
        <v>-</v>
      </c>
      <c r="E173" s="290" t="str">
        <f t="shared" si="128"/>
        <v/>
      </c>
      <c r="F173" s="264" t="str">
        <f t="shared" si="129"/>
        <v/>
      </c>
      <c r="G173" s="291" t="str">
        <f t="shared" si="130"/>
        <v/>
      </c>
      <c r="H173" s="240" t="str">
        <f t="shared" si="92"/>
        <v/>
      </c>
      <c r="I173" s="265" t="str">
        <f t="shared" si="93"/>
        <v/>
      </c>
      <c r="J173" s="265" t="str">
        <f t="shared" si="94"/>
        <v/>
      </c>
      <c r="K173" s="240" t="str">
        <f t="shared" si="95"/>
        <v/>
      </c>
      <c r="L173" s="265" t="str">
        <f t="shared" si="96"/>
        <v/>
      </c>
      <c r="M173" s="265" t="str">
        <f t="shared" si="97"/>
        <v/>
      </c>
      <c r="N173" s="240" t="str">
        <f t="shared" si="98"/>
        <v>-</v>
      </c>
      <c r="O173" s="265" t="str">
        <f t="shared" si="99"/>
        <v>-</v>
      </c>
      <c r="P173" s="265" t="str">
        <f t="shared" si="100"/>
        <v>-</v>
      </c>
      <c r="Q173" s="266" t="str">
        <f t="shared" si="101"/>
        <v>-</v>
      </c>
      <c r="R173" s="267" t="str">
        <f t="shared" si="102"/>
        <v>-</v>
      </c>
      <c r="S173" s="268" t="str">
        <f t="shared" si="103"/>
        <v>-</v>
      </c>
      <c r="T173" s="269" t="str">
        <f t="shared" si="104"/>
        <v/>
      </c>
      <c r="U173" s="221">
        <f t="shared" si="105"/>
        <v>73</v>
      </c>
      <c r="V173" s="220" t="str">
        <f t="shared" si="131"/>
        <v>-</v>
      </c>
      <c r="W173" s="221" t="str">
        <f t="shared" si="132"/>
        <v>-</v>
      </c>
      <c r="X173" s="221" t="str">
        <f t="shared" si="106"/>
        <v>-</v>
      </c>
      <c r="Y173" s="221" t="str">
        <f t="shared" si="107"/>
        <v>-</v>
      </c>
      <c r="Z173" s="270">
        <f t="shared" si="133"/>
        <v>0.1</v>
      </c>
      <c r="AA173" s="271" t="str">
        <f>IFERROR(IF(V172=1,AA$100*EXP(-(LN(2)/$D$65+0.04)*X172)*EXP(-(LN(2)/$D$65+0.1)*Y172),IF(V172=2,AA$100*EXP(-(LN(2)/$D$65+0.04)*(VLOOKUP(($F$16-$F$15)-1,U$99:Y172,4,FALSE)))*EXP(-(LN(2)/$D$65+0.1)*(VLOOKUP(($F$16-$F$15)-1,U$99:Y172,5,FALSE)))*EXP(-(LN(2)/$D$65+0.04)*X172)*EXP(-(LN(2)/$D$65+0.1)*Y172),IF(V172=3,AA$100*EXP(-(LN(2)/$D$65+0.04)*(VLOOKUP(($F$16-$F$15)-1,U$99:Y172,4,FALSE)))*EXP(-(LN(2)/$D$65+0.1)*(VLOOKUP(($F$16-$F$15)-1,U$99:Y172,5,FALSE)))*EXP(-(LN(2)/$D$65+0.04)*(VLOOKUP(($F$16-$F$15)*2-1,U$99:Y172,4,FALSE)))*EXP(-(LN(2)/$D$65+0.1)*(VLOOKUP(($F$16-$F$15)*2-1,U$99:Y172,5,FALSE)))*EXP(-(LN(2)/$D$65+0.04)*X172)*EXP(-(LN(2)/$D$65+0.1)*Y172),"-"))),"-")</f>
        <v>-</v>
      </c>
      <c r="AB173" s="271" t="str">
        <f>IFERROR(IF(V173=1,AB$100*EXP(-(LN(2)/$D$65+0.04)*X173)*EXP(-(LN(2)/$D$65+0.1)*Y173),IF(V173=2,AB$100*EXP(-(LN(2)/$D$65+0.04)*(VLOOKUP(($F$16-$F$15)-1,U$100:Y173,4,FALSE)))*EXP(-(LN(2)/$D$65+0.1)*(VLOOKUP(($F$16-$F$15)-1,U$100:Y173,5,FALSE)))*EXP(-(LN(2)/$D$65+0.04)*X173)*EXP(-(LN(2)/$D$65+0.1)*Y173),IF(V173=3,AB$100*EXP(-(LN(2)/$D$65+0.04)*(VLOOKUP(($F$16-$F$15)-1,U$100:Y173,4,FALSE)))*EXP(-(LN(2)/$D$65+0.1)*(VLOOKUP(($F$16-$F$15)-1,U$100:Y173,5,FALSE)))*EXP(-(LN(2)/$D$65+0.04)*(VLOOKUP(($F$16-$F$15)*2-1,U$100:Y173,4,FALSE)))*EXP(-(LN(2)/$D$65+0.1)*(VLOOKUP(($F$16-$F$15)*2-1,U$100:Y173,5,FALSE)))*EXP(-(LN(2)/$D$65+0.04)*X173)*EXP(-(LN(2)/$D$65+0.1)*Y173),"-"))),"-")</f>
        <v>-</v>
      </c>
      <c r="AC173" s="224">
        <f t="shared" si="134"/>
        <v>73</v>
      </c>
      <c r="AD173" s="223" t="str">
        <f t="shared" si="108"/>
        <v>-</v>
      </c>
      <c r="AE173" s="224" t="str">
        <f t="shared" si="135"/>
        <v>-</v>
      </c>
      <c r="AF173" s="224" t="str">
        <f t="shared" si="109"/>
        <v>-</v>
      </c>
      <c r="AG173" s="224" t="str">
        <f t="shared" si="110"/>
        <v>-</v>
      </c>
      <c r="AH173" s="272">
        <f t="shared" si="136"/>
        <v>0.1</v>
      </c>
      <c r="AI173" s="271" t="str">
        <f>IFERROR(IF(AD172=1,AI$100*EXP(-(LN(2)/$D$65+0.04)*AF172)*EXP(-(LN(2)/$D$65+0.1)*AG172),IF(AD172=2,AI$100*EXP(-(LN(2)/$D$65+0.04)*(VLOOKUP(($F$16-$F$15)-1,AC$99:AG172,4,FALSE)))*EXP(-(LN(2)/$D$65+0.1)*(VLOOKUP(($F$16-$F$15)-1,AC$99:AG172,5,FALSE)))*EXP(-(LN(2)/$D$65+0.04)*AF172)*EXP(-(LN(2)/$D$65+0.1)*AG172),IF(AD172=3,AI$100*EXP(-(LN(2)/$D$65+0.04)*(VLOOKUP(($F$16-$F$15)-1,AC$99:AG172,4,FALSE)))*EXP(-(LN(2)/$D$65+0.1)*(VLOOKUP(($F$16-$F$15)-1,AC$99:AG172,5,FALSE)))*EXP(-(LN(2)/$D$65+0.04)*(VLOOKUP(($F$16-$F$15)*2-1,AC$99:AG172,4,FALSE)))*EXP(-(LN(2)/$D$65+0.1)*(VLOOKUP(($F$16-$F$15)*2-1,AC$99:AG172,5,FALSE)))*EXP(-(LN(2)/$D$65+0.04)*AF172)*EXP(-(LN(2)/$D$65+0.1)*AG172),"-"))),"-")</f>
        <v>-</v>
      </c>
      <c r="AJ173" s="271" t="str">
        <f>IFERROR(IF(AD173=1,AJ$100*EXP(-(LN(2)/$D$65+0.04)*AF173)*EXP(-(LN(2)/$D$65+0.1)*AG173),IF(AD173=2,AJ$100*EXP(-(LN(2)/$D$65+0.04)*(VLOOKUP(($F$16-$F$15)-1,AC$100:AG173,4,FALSE)))*EXP(-(LN(2)/$D$65+0.1)*(VLOOKUP(($F$16-$F$15)-1,AC$100:AG173,5,FALSE)))*EXP(-(LN(2)/$D$65+0.04)*AF173)*EXP(-(LN(2)/$D$65+0.1)*AG173),IF(AD173=3,AJ$100*EXP(-(LN(2)/$D$65+0.04)*(VLOOKUP(($F$16-$F$15)-1,AC$100:AG173,4,FALSE)))*EXP(-(LN(2)/$D$65+0.1)*(VLOOKUP(($F$16-$F$15)-1,AC$100:AG173,5,FALSE)))*EXP(-(LN(2)/$D$65+0.04)*(VLOOKUP(($F$16-$F$15)*2-1,AC$100:AG173,4,FALSE)))*EXP(-(LN(2)/$D$65+0.1)*(VLOOKUP(($F$16-$F$15)*2-1,AC$100:AG173,5,FALSE)))*EXP(-(LN(2)/$D$65+0.04)*AF173)*EXP(-(LN(2)/$D$65+0.1)*AG173),"-"))),"-")</f>
        <v>-</v>
      </c>
      <c r="AK173" s="227">
        <f t="shared" si="137"/>
        <v>73</v>
      </c>
      <c r="AL173" s="226" t="str">
        <f t="shared" si="111"/>
        <v>-</v>
      </c>
      <c r="AM173" s="227" t="str">
        <f t="shared" si="138"/>
        <v>-</v>
      </c>
      <c r="AN173" s="227" t="str">
        <f t="shared" si="139"/>
        <v>-</v>
      </c>
      <c r="AO173" s="227" t="str">
        <f t="shared" si="112"/>
        <v>-</v>
      </c>
      <c r="AP173" s="273">
        <f t="shared" si="140"/>
        <v>0.1</v>
      </c>
      <c r="AQ173" s="271" t="str">
        <f>IFERROR(IF(AL172=1,AQ$100*EXP(-(LN(2)/$D$65+0.04)*AN172)*EXP(-(LN(2)/$D$65+0.1)*AO172),IF(AL172=2,AQ$100*EXP(-(LN(2)/$D$65+0.04)*(VLOOKUP(($F$16-$F$15)-1,AK$99:AO172,4,FALSE)))*EXP(-(LN(2)/$D$65+0.1)*(VLOOKUP(($F$16-$F$15)-1,AK$99:AO172,5,FALSE)))*EXP(-(LN(2)/$D$65+0.04)*AN172)*EXP(-(LN(2)/$D$65+0.1)*AO172),IF(AL172=3,AQ$100*EXP(-(LN(2)/$D$65+0.04)*(VLOOKUP(($F$16-$F$15)-1,AK$99:AO172,4,FALSE)))*EXP(-(LN(2)/$D$65+0.1)*(VLOOKUP(($F$16-$F$15)-1,AK$99:AO172,5,FALSE)))*EXP(-(LN(2)/$D$65+0.04)*(VLOOKUP(($F$16-$F$15)*2-1,AK$99:AO172,4,FALSE)))*EXP(-(LN(2)/$D$65+0.1)*(VLOOKUP(($F$16-$F$15)*2-1,AK$99:AO172,5,FALSE)))*EXP(-(LN(2)/$D$65+0.04)*AN172)*EXP(-(LN(2)/$D$65+0.1)*AO172),"-"))),"-")</f>
        <v>-</v>
      </c>
      <c r="AR173" s="271" t="str">
        <f>IFERROR(IF(AL173=1,AR$100*EXP(-(LN(2)/$D$65+0.04)*AN173)*EXP(-(LN(2)/$D$65+0.1)*AO173),IF(AL173=2,AR$100*EXP(-(LN(2)/$D$65+0.04)*(VLOOKUP(($F$16-$F$15)-1,AK$100:AO173,4,FALSE)))*EXP(-(LN(2)/$D$65+0.1)*(VLOOKUP(($F$16-$F$15)-1,AK$100:AO173,5,FALSE)))*EXP(-(LN(2)/$D$65+0.04)*AN173)*EXP(-(LN(2)/$D$65+0.1)*AO173),IF(AL173=3,AR$100*EXP(-(LN(2)/$D$65+0.04)*(VLOOKUP(($F$16-$F$15)-1,AK$100:AO173,4,FALSE)))*EXP(-(LN(2)/$D$65+0.1)*(VLOOKUP(($F$16-$F$15)-1,AK$100:AO173,5,FALSE)))*EXP(-(LN(2)/$D$65+0.04)*(VLOOKUP(($F$16-$F$15)*2-1,AK$100:AO173,4,FALSE)))*EXP(-(LN(2)/$D$65+0.1)*(VLOOKUP(($F$16-$F$15)*2-1,AK$100:AO173,5,FALSE)))*EXP(-(LN(2)/$D$65+0.04)*AN173)*EXP(-(LN(2)/$D$65+0.1)*AO173),"-"))),"-")</f>
        <v>-</v>
      </c>
      <c r="AS173" s="274">
        <f t="shared" si="113"/>
        <v>0</v>
      </c>
      <c r="AT173" s="274">
        <f t="shared" si="114"/>
        <v>0</v>
      </c>
      <c r="AU173" s="274">
        <f t="shared" si="115"/>
        <v>0</v>
      </c>
      <c r="AV173" s="190">
        <f>IF($B173&lt;$F$22,SUM($T$100:$T173),"")</f>
        <v>0</v>
      </c>
      <c r="AW173" s="190" t="str">
        <f t="shared" si="116"/>
        <v>-</v>
      </c>
      <c r="AX173" s="190" t="str">
        <f t="shared" si="141"/>
        <v/>
      </c>
      <c r="AY173"/>
      <c r="AZ173" s="190" t="str">
        <f ca="1">IF(ISNUMBER(OFFSET(AV173,-$F$21,0)),SUM(OFFSET($T$100,$F$21,0):$T173),"")</f>
        <v/>
      </c>
      <c r="BA173" s="190" t="str">
        <f t="shared" ca="1" si="117"/>
        <v/>
      </c>
      <c r="BB173" s="190" t="str">
        <f t="shared" ca="1" si="70"/>
        <v/>
      </c>
      <c r="BC173" s="190"/>
      <c r="BD173" s="190" t="str">
        <f ca="1">IFERROR(IF(AND($B173&gt;=($F$16-$F$15),$B173&lt;$F$22+($F$16-$F$15)),SUM(OFFSET($T$100,($F$16-$F$15),0):$T173),""),"")</f>
        <v/>
      </c>
      <c r="BE173" s="190" t="str">
        <f t="shared" ca="1" si="142"/>
        <v/>
      </c>
      <c r="BF173" s="190" t="str">
        <f t="shared" ca="1" si="143"/>
        <v/>
      </c>
      <c r="BG173"/>
      <c r="BH173" s="190" t="str">
        <f ca="1">IF(ISNUMBER(OFFSET(BD173,-$F$21,0)),SUM(OFFSET($T$100,($F$16-$F$15+$F$21),0):$T173),"")</f>
        <v/>
      </c>
      <c r="BI173" s="190" t="str">
        <f t="shared" ca="1" si="118"/>
        <v/>
      </c>
      <c r="BJ173" s="190" t="str">
        <f t="shared" ca="1" si="144"/>
        <v/>
      </c>
      <c r="BK173" s="190"/>
      <c r="BL173" s="190" t="str">
        <f ca="1">IFERROR(IF(AND($B173&gt;=($F$17-$F$15),$B173&lt;$F$22+($F$17-$F$15)),SUM(OFFSET($T$100,($F$17-$F$15),0):$T173),""),"")</f>
        <v/>
      </c>
      <c r="BM173" s="190" t="str">
        <f t="shared" ca="1" si="119"/>
        <v/>
      </c>
      <c r="BN173" s="190" t="str">
        <f t="shared" ca="1" si="145"/>
        <v/>
      </c>
      <c r="BO173"/>
      <c r="BP173" s="190" t="str">
        <f ca="1">IF(ISNUMBER(OFFSET(BL173,-$F$21,0)),SUM(OFFSET($T$100,($F$17-$F$15+$F$21),0):$T173),"")</f>
        <v/>
      </c>
      <c r="BQ173" s="190" t="str">
        <f t="shared" ca="1" si="120"/>
        <v/>
      </c>
      <c r="BR173" s="190" t="str">
        <f t="shared" ca="1" si="146"/>
        <v/>
      </c>
      <c r="BS173" s="190"/>
      <c r="BT173"/>
      <c r="BU173"/>
      <c r="BV173"/>
      <c r="BY173" s="99"/>
      <c r="BZ173" s="99"/>
      <c r="CA173" s="280" t="str">
        <f t="shared" si="121"/>
        <v/>
      </c>
      <c r="CB173" s="71" t="str">
        <f t="shared" si="122"/>
        <v>-</v>
      </c>
      <c r="CC173" s="33"/>
      <c r="CD173" s="261" t="str">
        <f t="shared" si="123"/>
        <v/>
      </c>
      <c r="CE173" s="280" t="str">
        <f t="shared" si="124"/>
        <v>-</v>
      </c>
      <c r="CF173" s="71" t="str">
        <f t="shared" ca="1" si="125"/>
        <v>-</v>
      </c>
      <c r="CG173" s="33" t="str">
        <f t="shared" si="126"/>
        <v>73-74</v>
      </c>
      <c r="CH173" s="261" t="str">
        <f t="shared" ca="1" si="127"/>
        <v/>
      </c>
      <c r="CI173" s="99"/>
      <c r="CJ173" s="99"/>
      <c r="CK173" s="99"/>
      <c r="CL173" s="99"/>
      <c r="CM173" s="99"/>
      <c r="CN173" s="99"/>
      <c r="CO173" s="99"/>
    </row>
    <row r="174" spans="2:93" ht="13.5" customHeight="1" x14ac:dyDescent="0.2">
      <c r="B174" s="262">
        <v>74</v>
      </c>
      <c r="C174" s="237" t="str">
        <f t="shared" si="91"/>
        <v/>
      </c>
      <c r="D174" s="237" t="str">
        <f t="shared" si="147"/>
        <v>-</v>
      </c>
      <c r="E174" s="290" t="str">
        <f t="shared" si="128"/>
        <v/>
      </c>
      <c r="F174" s="264" t="str">
        <f t="shared" si="129"/>
        <v/>
      </c>
      <c r="G174" s="291" t="str">
        <f t="shared" si="130"/>
        <v/>
      </c>
      <c r="H174" s="240" t="str">
        <f t="shared" si="92"/>
        <v/>
      </c>
      <c r="I174" s="265" t="str">
        <f t="shared" si="93"/>
        <v/>
      </c>
      <c r="J174" s="265" t="str">
        <f t="shared" si="94"/>
        <v/>
      </c>
      <c r="K174" s="240" t="str">
        <f t="shared" si="95"/>
        <v/>
      </c>
      <c r="L174" s="265" t="str">
        <f t="shared" si="96"/>
        <v/>
      </c>
      <c r="M174" s="265" t="str">
        <f t="shared" si="97"/>
        <v/>
      </c>
      <c r="N174" s="240" t="str">
        <f t="shared" si="98"/>
        <v>-</v>
      </c>
      <c r="O174" s="265" t="str">
        <f t="shared" si="99"/>
        <v>-</v>
      </c>
      <c r="P174" s="265" t="str">
        <f t="shared" si="100"/>
        <v>-</v>
      </c>
      <c r="Q174" s="266" t="str">
        <f t="shared" si="101"/>
        <v>-</v>
      </c>
      <c r="R174" s="267" t="str">
        <f t="shared" si="102"/>
        <v>-</v>
      </c>
      <c r="S174" s="268" t="str">
        <f t="shared" si="103"/>
        <v>-</v>
      </c>
      <c r="T174" s="269" t="str">
        <f t="shared" si="104"/>
        <v/>
      </c>
      <c r="U174" s="221">
        <f t="shared" si="105"/>
        <v>74</v>
      </c>
      <c r="V174" s="220" t="str">
        <f t="shared" si="131"/>
        <v>-</v>
      </c>
      <c r="W174" s="221" t="str">
        <f t="shared" si="132"/>
        <v>-</v>
      </c>
      <c r="X174" s="221" t="str">
        <f t="shared" si="106"/>
        <v>-</v>
      </c>
      <c r="Y174" s="221" t="str">
        <f t="shared" si="107"/>
        <v>-</v>
      </c>
      <c r="Z174" s="270">
        <f t="shared" si="133"/>
        <v>0.1</v>
      </c>
      <c r="AA174" s="271" t="str">
        <f>IFERROR(IF(V173=1,AA$100*EXP(-(LN(2)/$D$65+0.04)*X173)*EXP(-(LN(2)/$D$65+0.1)*Y173),IF(V173=2,AA$100*EXP(-(LN(2)/$D$65+0.04)*(VLOOKUP(($F$16-$F$15)-1,U$99:Y173,4,FALSE)))*EXP(-(LN(2)/$D$65+0.1)*(VLOOKUP(($F$16-$F$15)-1,U$99:Y173,5,FALSE)))*EXP(-(LN(2)/$D$65+0.04)*X173)*EXP(-(LN(2)/$D$65+0.1)*Y173),IF(V173=3,AA$100*EXP(-(LN(2)/$D$65+0.04)*(VLOOKUP(($F$16-$F$15)-1,U$99:Y173,4,FALSE)))*EXP(-(LN(2)/$D$65+0.1)*(VLOOKUP(($F$16-$F$15)-1,U$99:Y173,5,FALSE)))*EXP(-(LN(2)/$D$65+0.04)*(VLOOKUP(($F$16-$F$15)*2-1,U$99:Y173,4,FALSE)))*EXP(-(LN(2)/$D$65+0.1)*(VLOOKUP(($F$16-$F$15)*2-1,U$99:Y173,5,FALSE)))*EXP(-(LN(2)/$D$65+0.04)*X173)*EXP(-(LN(2)/$D$65+0.1)*Y173),"-"))),"-")</f>
        <v>-</v>
      </c>
      <c r="AB174" s="271" t="str">
        <f>IFERROR(IF(V174=1,AB$100*EXP(-(LN(2)/$D$65+0.04)*X174)*EXP(-(LN(2)/$D$65+0.1)*Y174),IF(V174=2,AB$100*EXP(-(LN(2)/$D$65+0.04)*(VLOOKUP(($F$16-$F$15)-1,U$100:Y174,4,FALSE)))*EXP(-(LN(2)/$D$65+0.1)*(VLOOKUP(($F$16-$F$15)-1,U$100:Y174,5,FALSE)))*EXP(-(LN(2)/$D$65+0.04)*X174)*EXP(-(LN(2)/$D$65+0.1)*Y174),IF(V174=3,AB$100*EXP(-(LN(2)/$D$65+0.04)*(VLOOKUP(($F$16-$F$15)-1,U$100:Y174,4,FALSE)))*EXP(-(LN(2)/$D$65+0.1)*(VLOOKUP(($F$16-$F$15)-1,U$100:Y174,5,FALSE)))*EXP(-(LN(2)/$D$65+0.04)*(VLOOKUP(($F$16-$F$15)*2-1,U$100:Y174,4,FALSE)))*EXP(-(LN(2)/$D$65+0.1)*(VLOOKUP(($F$16-$F$15)*2-1,U$100:Y174,5,FALSE)))*EXP(-(LN(2)/$D$65+0.04)*X174)*EXP(-(LN(2)/$D$65+0.1)*Y174),"-"))),"-")</f>
        <v>-</v>
      </c>
      <c r="AC174" s="224">
        <f t="shared" si="134"/>
        <v>74</v>
      </c>
      <c r="AD174" s="223" t="str">
        <f t="shared" si="108"/>
        <v>-</v>
      </c>
      <c r="AE174" s="224" t="str">
        <f t="shared" si="135"/>
        <v>-</v>
      </c>
      <c r="AF174" s="224" t="str">
        <f t="shared" si="109"/>
        <v>-</v>
      </c>
      <c r="AG174" s="224" t="str">
        <f t="shared" si="110"/>
        <v>-</v>
      </c>
      <c r="AH174" s="272">
        <f t="shared" si="136"/>
        <v>0.1</v>
      </c>
      <c r="AI174" s="271" t="str">
        <f>IFERROR(IF(AD173=1,AI$100*EXP(-(LN(2)/$D$65+0.04)*AF173)*EXP(-(LN(2)/$D$65+0.1)*AG173),IF(AD173=2,AI$100*EXP(-(LN(2)/$D$65+0.04)*(VLOOKUP(($F$16-$F$15)-1,AC$99:AG173,4,FALSE)))*EXP(-(LN(2)/$D$65+0.1)*(VLOOKUP(($F$16-$F$15)-1,AC$99:AG173,5,FALSE)))*EXP(-(LN(2)/$D$65+0.04)*AF173)*EXP(-(LN(2)/$D$65+0.1)*AG173),IF(AD173=3,AI$100*EXP(-(LN(2)/$D$65+0.04)*(VLOOKUP(($F$16-$F$15)-1,AC$99:AG173,4,FALSE)))*EXP(-(LN(2)/$D$65+0.1)*(VLOOKUP(($F$16-$F$15)-1,AC$99:AG173,5,FALSE)))*EXP(-(LN(2)/$D$65+0.04)*(VLOOKUP(($F$16-$F$15)*2-1,AC$99:AG173,4,FALSE)))*EXP(-(LN(2)/$D$65+0.1)*(VLOOKUP(($F$16-$F$15)*2-1,AC$99:AG173,5,FALSE)))*EXP(-(LN(2)/$D$65+0.04)*AF173)*EXP(-(LN(2)/$D$65+0.1)*AG173),"-"))),"-")</f>
        <v>-</v>
      </c>
      <c r="AJ174" s="271" t="str">
        <f>IFERROR(IF(AD174=1,AJ$100*EXP(-(LN(2)/$D$65+0.04)*AF174)*EXP(-(LN(2)/$D$65+0.1)*AG174),IF(AD174=2,AJ$100*EXP(-(LN(2)/$D$65+0.04)*(VLOOKUP(($F$16-$F$15)-1,AC$100:AG174,4,FALSE)))*EXP(-(LN(2)/$D$65+0.1)*(VLOOKUP(($F$16-$F$15)-1,AC$100:AG174,5,FALSE)))*EXP(-(LN(2)/$D$65+0.04)*AF174)*EXP(-(LN(2)/$D$65+0.1)*AG174),IF(AD174=3,AJ$100*EXP(-(LN(2)/$D$65+0.04)*(VLOOKUP(($F$16-$F$15)-1,AC$100:AG174,4,FALSE)))*EXP(-(LN(2)/$D$65+0.1)*(VLOOKUP(($F$16-$F$15)-1,AC$100:AG174,5,FALSE)))*EXP(-(LN(2)/$D$65+0.04)*(VLOOKUP(($F$16-$F$15)*2-1,AC$100:AG174,4,FALSE)))*EXP(-(LN(2)/$D$65+0.1)*(VLOOKUP(($F$16-$F$15)*2-1,AC$100:AG174,5,FALSE)))*EXP(-(LN(2)/$D$65+0.04)*AF174)*EXP(-(LN(2)/$D$65+0.1)*AG174),"-"))),"-")</f>
        <v>-</v>
      </c>
      <c r="AK174" s="227">
        <f t="shared" si="137"/>
        <v>74</v>
      </c>
      <c r="AL174" s="226" t="str">
        <f t="shared" si="111"/>
        <v>-</v>
      </c>
      <c r="AM174" s="227" t="str">
        <f t="shared" si="138"/>
        <v>-</v>
      </c>
      <c r="AN174" s="227" t="str">
        <f t="shared" si="139"/>
        <v>-</v>
      </c>
      <c r="AO174" s="227" t="str">
        <f t="shared" si="112"/>
        <v>-</v>
      </c>
      <c r="AP174" s="273">
        <f t="shared" si="140"/>
        <v>0.1</v>
      </c>
      <c r="AQ174" s="271" t="str">
        <f>IFERROR(IF(AL173=1,AQ$100*EXP(-(LN(2)/$D$65+0.04)*AN173)*EXP(-(LN(2)/$D$65+0.1)*AO173),IF(AL173=2,AQ$100*EXP(-(LN(2)/$D$65+0.04)*(VLOOKUP(($F$16-$F$15)-1,AK$99:AO173,4,FALSE)))*EXP(-(LN(2)/$D$65+0.1)*(VLOOKUP(($F$16-$F$15)-1,AK$99:AO173,5,FALSE)))*EXP(-(LN(2)/$D$65+0.04)*AN173)*EXP(-(LN(2)/$D$65+0.1)*AO173),IF(AL173=3,AQ$100*EXP(-(LN(2)/$D$65+0.04)*(VLOOKUP(($F$16-$F$15)-1,AK$99:AO173,4,FALSE)))*EXP(-(LN(2)/$D$65+0.1)*(VLOOKUP(($F$16-$F$15)-1,AK$99:AO173,5,FALSE)))*EXP(-(LN(2)/$D$65+0.04)*(VLOOKUP(($F$16-$F$15)*2-1,AK$99:AO173,4,FALSE)))*EXP(-(LN(2)/$D$65+0.1)*(VLOOKUP(($F$16-$F$15)*2-1,AK$99:AO173,5,FALSE)))*EXP(-(LN(2)/$D$65+0.04)*AN173)*EXP(-(LN(2)/$D$65+0.1)*AO173),"-"))),"-")</f>
        <v>-</v>
      </c>
      <c r="AR174" s="271" t="str">
        <f>IFERROR(IF(AL174=1,AR$100*EXP(-(LN(2)/$D$65+0.04)*AN174)*EXP(-(LN(2)/$D$65+0.1)*AO174),IF(AL174=2,AR$100*EXP(-(LN(2)/$D$65+0.04)*(VLOOKUP(($F$16-$F$15)-1,AK$100:AO174,4,FALSE)))*EXP(-(LN(2)/$D$65+0.1)*(VLOOKUP(($F$16-$F$15)-1,AK$100:AO174,5,FALSE)))*EXP(-(LN(2)/$D$65+0.04)*AN174)*EXP(-(LN(2)/$D$65+0.1)*AO174),IF(AL174=3,AR$100*EXP(-(LN(2)/$D$65+0.04)*(VLOOKUP(($F$16-$F$15)-1,AK$100:AO174,4,FALSE)))*EXP(-(LN(2)/$D$65+0.1)*(VLOOKUP(($F$16-$F$15)-1,AK$100:AO174,5,FALSE)))*EXP(-(LN(2)/$D$65+0.04)*(VLOOKUP(($F$16-$F$15)*2-1,AK$100:AO174,4,FALSE)))*EXP(-(LN(2)/$D$65+0.1)*(VLOOKUP(($F$16-$F$15)*2-1,AK$100:AO174,5,FALSE)))*EXP(-(LN(2)/$D$65+0.04)*AN174)*EXP(-(LN(2)/$D$65+0.1)*AO174),"-"))),"-")</f>
        <v>-</v>
      </c>
      <c r="AS174" s="274">
        <f t="shared" si="113"/>
        <v>0</v>
      </c>
      <c r="AT174" s="274">
        <f t="shared" si="114"/>
        <v>0</v>
      </c>
      <c r="AU174" s="274">
        <f t="shared" si="115"/>
        <v>0</v>
      </c>
      <c r="AV174" s="190">
        <f>IF($B174&lt;$F$22,SUM($T$100:$T174),"")</f>
        <v>0</v>
      </c>
      <c r="AW174" s="190" t="str">
        <f t="shared" si="116"/>
        <v>-</v>
      </c>
      <c r="AX174" s="190" t="str">
        <f t="shared" si="141"/>
        <v/>
      </c>
      <c r="AY174"/>
      <c r="AZ174" s="190" t="str">
        <f ca="1">IF(ISNUMBER(OFFSET(AV174,-$F$21,0)),SUM(OFFSET($T$100,$F$21,0):$T174),"")</f>
        <v/>
      </c>
      <c r="BA174" s="190" t="str">
        <f t="shared" ca="1" si="117"/>
        <v/>
      </c>
      <c r="BB174" s="190" t="str">
        <f t="shared" ca="1" si="70"/>
        <v/>
      </c>
      <c r="BC174" s="190"/>
      <c r="BD174" s="190" t="str">
        <f ca="1">IFERROR(IF(AND($B174&gt;=($F$16-$F$15),$B174&lt;$F$22+($F$16-$F$15)),SUM(OFFSET($T$100,($F$16-$F$15),0):$T174),""),"")</f>
        <v/>
      </c>
      <c r="BE174" s="190" t="str">
        <f t="shared" ca="1" si="142"/>
        <v/>
      </c>
      <c r="BF174" s="190" t="str">
        <f t="shared" ca="1" si="143"/>
        <v/>
      </c>
      <c r="BG174"/>
      <c r="BH174" s="190" t="str">
        <f ca="1">IF(ISNUMBER(OFFSET(BD174,-$F$21,0)),SUM(OFFSET($T$100,($F$16-$F$15+$F$21),0):$T174),"")</f>
        <v/>
      </c>
      <c r="BI174" s="190" t="str">
        <f t="shared" ca="1" si="118"/>
        <v/>
      </c>
      <c r="BJ174" s="190" t="str">
        <f t="shared" ca="1" si="144"/>
        <v/>
      </c>
      <c r="BK174" s="190"/>
      <c r="BL174" s="190" t="str">
        <f ca="1">IFERROR(IF(AND($B174&gt;=($F$17-$F$15),$B174&lt;$F$22+($F$17-$F$15)),SUM(OFFSET($T$100,($F$17-$F$15),0):$T174),""),"")</f>
        <v/>
      </c>
      <c r="BM174" s="190" t="str">
        <f t="shared" ca="1" si="119"/>
        <v/>
      </c>
      <c r="BN174" s="190" t="str">
        <f t="shared" ca="1" si="145"/>
        <v/>
      </c>
      <c r="BO174"/>
      <c r="BP174" s="190" t="str">
        <f ca="1">IF(ISNUMBER(OFFSET(BL174,-$F$21,0)),SUM(OFFSET($T$100,($F$17-$F$15+$F$21),0):$T174),"")</f>
        <v/>
      </c>
      <c r="BQ174" s="190" t="str">
        <f t="shared" ca="1" si="120"/>
        <v/>
      </c>
      <c r="BR174" s="190" t="str">
        <f t="shared" ca="1" si="146"/>
        <v/>
      </c>
      <c r="BS174" s="190"/>
      <c r="BT174"/>
      <c r="BU174"/>
      <c r="BV174"/>
      <c r="BY174" s="99"/>
      <c r="BZ174" s="99"/>
      <c r="CA174" s="280" t="str">
        <f t="shared" si="121"/>
        <v/>
      </c>
      <c r="CB174" s="71" t="str">
        <f t="shared" si="122"/>
        <v>-</v>
      </c>
      <c r="CC174" s="33"/>
      <c r="CD174" s="261" t="str">
        <f t="shared" si="123"/>
        <v/>
      </c>
      <c r="CE174" s="280" t="str">
        <f t="shared" si="124"/>
        <v>-</v>
      </c>
      <c r="CF174" s="71" t="str">
        <f t="shared" ca="1" si="125"/>
        <v>-</v>
      </c>
      <c r="CG174" s="33" t="str">
        <f t="shared" si="126"/>
        <v>74-75</v>
      </c>
      <c r="CH174" s="261" t="str">
        <f t="shared" ca="1" si="127"/>
        <v/>
      </c>
      <c r="CI174" s="99"/>
      <c r="CJ174" s="99"/>
      <c r="CK174" s="99"/>
      <c r="CL174" s="99"/>
      <c r="CM174" s="99"/>
      <c r="CN174" s="99"/>
      <c r="CO174" s="99"/>
    </row>
    <row r="175" spans="2:93" ht="13.5" customHeight="1" x14ac:dyDescent="0.2">
      <c r="B175" s="262">
        <v>75</v>
      </c>
      <c r="C175" s="237" t="str">
        <f t="shared" si="91"/>
        <v/>
      </c>
      <c r="D175" s="237" t="str">
        <f t="shared" si="147"/>
        <v>-</v>
      </c>
      <c r="E175" s="290" t="str">
        <f t="shared" si="128"/>
        <v/>
      </c>
      <c r="F175" s="264" t="str">
        <f t="shared" si="129"/>
        <v/>
      </c>
      <c r="G175" s="291" t="str">
        <f t="shared" si="130"/>
        <v/>
      </c>
      <c r="H175" s="240" t="str">
        <f t="shared" si="92"/>
        <v/>
      </c>
      <c r="I175" s="265" t="str">
        <f t="shared" si="93"/>
        <v/>
      </c>
      <c r="J175" s="265" t="str">
        <f t="shared" si="94"/>
        <v/>
      </c>
      <c r="K175" s="240" t="str">
        <f t="shared" si="95"/>
        <v/>
      </c>
      <c r="L175" s="265" t="str">
        <f t="shared" si="96"/>
        <v/>
      </c>
      <c r="M175" s="265" t="str">
        <f t="shared" si="97"/>
        <v/>
      </c>
      <c r="N175" s="240" t="str">
        <f t="shared" si="98"/>
        <v>-</v>
      </c>
      <c r="O175" s="265" t="str">
        <f t="shared" si="99"/>
        <v>-</v>
      </c>
      <c r="P175" s="265" t="str">
        <f t="shared" si="100"/>
        <v>-</v>
      </c>
      <c r="Q175" s="266" t="str">
        <f t="shared" si="101"/>
        <v>-</v>
      </c>
      <c r="R175" s="267" t="str">
        <f t="shared" si="102"/>
        <v>-</v>
      </c>
      <c r="S175" s="268" t="str">
        <f t="shared" si="103"/>
        <v>-</v>
      </c>
      <c r="T175" s="269" t="str">
        <f t="shared" si="104"/>
        <v/>
      </c>
      <c r="U175" s="221">
        <f t="shared" si="105"/>
        <v>75</v>
      </c>
      <c r="V175" s="220" t="str">
        <f t="shared" si="131"/>
        <v>-</v>
      </c>
      <c r="W175" s="221" t="str">
        <f t="shared" si="132"/>
        <v>-</v>
      </c>
      <c r="X175" s="221" t="str">
        <f t="shared" si="106"/>
        <v>-</v>
      </c>
      <c r="Y175" s="221" t="str">
        <f t="shared" si="107"/>
        <v>-</v>
      </c>
      <c r="Z175" s="270">
        <f t="shared" si="133"/>
        <v>0.1</v>
      </c>
      <c r="AA175" s="271" t="str">
        <f>IFERROR(IF(V174=1,AA$100*EXP(-(LN(2)/$D$65+0.04)*X174)*EXP(-(LN(2)/$D$65+0.1)*Y174),IF(V174=2,AA$100*EXP(-(LN(2)/$D$65+0.04)*(VLOOKUP(($F$16-$F$15)-1,U$99:Y174,4,FALSE)))*EXP(-(LN(2)/$D$65+0.1)*(VLOOKUP(($F$16-$F$15)-1,U$99:Y174,5,FALSE)))*EXP(-(LN(2)/$D$65+0.04)*X174)*EXP(-(LN(2)/$D$65+0.1)*Y174),IF(V174=3,AA$100*EXP(-(LN(2)/$D$65+0.04)*(VLOOKUP(($F$16-$F$15)-1,U$99:Y174,4,FALSE)))*EXP(-(LN(2)/$D$65+0.1)*(VLOOKUP(($F$16-$F$15)-1,U$99:Y174,5,FALSE)))*EXP(-(LN(2)/$D$65+0.04)*(VLOOKUP(($F$16-$F$15)*2-1,U$99:Y174,4,FALSE)))*EXP(-(LN(2)/$D$65+0.1)*(VLOOKUP(($F$16-$F$15)*2-1,U$99:Y174,5,FALSE)))*EXP(-(LN(2)/$D$65+0.04)*X174)*EXP(-(LN(2)/$D$65+0.1)*Y174),"-"))),"-")</f>
        <v>-</v>
      </c>
      <c r="AB175" s="271" t="str">
        <f>IFERROR(IF(V175=1,AB$100*EXP(-(LN(2)/$D$65+0.04)*X175)*EXP(-(LN(2)/$D$65+0.1)*Y175),IF(V175=2,AB$100*EXP(-(LN(2)/$D$65+0.04)*(VLOOKUP(($F$16-$F$15)-1,U$100:Y175,4,FALSE)))*EXP(-(LN(2)/$D$65+0.1)*(VLOOKUP(($F$16-$F$15)-1,U$100:Y175,5,FALSE)))*EXP(-(LN(2)/$D$65+0.04)*X175)*EXP(-(LN(2)/$D$65+0.1)*Y175),IF(V175=3,AB$100*EXP(-(LN(2)/$D$65+0.04)*(VLOOKUP(($F$16-$F$15)-1,U$100:Y175,4,FALSE)))*EXP(-(LN(2)/$D$65+0.1)*(VLOOKUP(($F$16-$F$15)-1,U$100:Y175,5,FALSE)))*EXP(-(LN(2)/$D$65+0.04)*(VLOOKUP(($F$16-$F$15)*2-1,U$100:Y175,4,FALSE)))*EXP(-(LN(2)/$D$65+0.1)*(VLOOKUP(($F$16-$F$15)*2-1,U$100:Y175,5,FALSE)))*EXP(-(LN(2)/$D$65+0.04)*X175)*EXP(-(LN(2)/$D$65+0.1)*Y175),"-"))),"-")</f>
        <v>-</v>
      </c>
      <c r="AC175" s="224">
        <f t="shared" si="134"/>
        <v>75</v>
      </c>
      <c r="AD175" s="223" t="str">
        <f t="shared" si="108"/>
        <v>-</v>
      </c>
      <c r="AE175" s="224" t="str">
        <f t="shared" si="135"/>
        <v>-</v>
      </c>
      <c r="AF175" s="224" t="str">
        <f t="shared" si="109"/>
        <v>-</v>
      </c>
      <c r="AG175" s="224" t="str">
        <f t="shared" si="110"/>
        <v>-</v>
      </c>
      <c r="AH175" s="272">
        <f t="shared" si="136"/>
        <v>0.1</v>
      </c>
      <c r="AI175" s="271" t="str">
        <f>IFERROR(IF(AD174=1,AI$100*EXP(-(LN(2)/$D$65+0.04)*AF174)*EXP(-(LN(2)/$D$65+0.1)*AG174),IF(AD174=2,AI$100*EXP(-(LN(2)/$D$65+0.04)*(VLOOKUP(($F$16-$F$15)-1,AC$99:AG174,4,FALSE)))*EXP(-(LN(2)/$D$65+0.1)*(VLOOKUP(($F$16-$F$15)-1,AC$99:AG174,5,FALSE)))*EXP(-(LN(2)/$D$65+0.04)*AF174)*EXP(-(LN(2)/$D$65+0.1)*AG174),IF(AD174=3,AI$100*EXP(-(LN(2)/$D$65+0.04)*(VLOOKUP(($F$16-$F$15)-1,AC$99:AG174,4,FALSE)))*EXP(-(LN(2)/$D$65+0.1)*(VLOOKUP(($F$16-$F$15)-1,AC$99:AG174,5,FALSE)))*EXP(-(LN(2)/$D$65+0.04)*(VLOOKUP(($F$16-$F$15)*2-1,AC$99:AG174,4,FALSE)))*EXP(-(LN(2)/$D$65+0.1)*(VLOOKUP(($F$16-$F$15)*2-1,AC$99:AG174,5,FALSE)))*EXP(-(LN(2)/$D$65+0.04)*AF174)*EXP(-(LN(2)/$D$65+0.1)*AG174),"-"))),"-")</f>
        <v>-</v>
      </c>
      <c r="AJ175" s="271" t="str">
        <f>IFERROR(IF(AD175=1,AJ$100*EXP(-(LN(2)/$D$65+0.04)*AF175)*EXP(-(LN(2)/$D$65+0.1)*AG175),IF(AD175=2,AJ$100*EXP(-(LN(2)/$D$65+0.04)*(VLOOKUP(($F$16-$F$15)-1,AC$100:AG175,4,FALSE)))*EXP(-(LN(2)/$D$65+0.1)*(VLOOKUP(($F$16-$F$15)-1,AC$100:AG175,5,FALSE)))*EXP(-(LN(2)/$D$65+0.04)*AF175)*EXP(-(LN(2)/$D$65+0.1)*AG175),IF(AD175=3,AJ$100*EXP(-(LN(2)/$D$65+0.04)*(VLOOKUP(($F$16-$F$15)-1,AC$100:AG175,4,FALSE)))*EXP(-(LN(2)/$D$65+0.1)*(VLOOKUP(($F$16-$F$15)-1,AC$100:AG175,5,FALSE)))*EXP(-(LN(2)/$D$65+0.04)*(VLOOKUP(($F$16-$F$15)*2-1,AC$100:AG175,4,FALSE)))*EXP(-(LN(2)/$D$65+0.1)*(VLOOKUP(($F$16-$F$15)*2-1,AC$100:AG175,5,FALSE)))*EXP(-(LN(2)/$D$65+0.04)*AF175)*EXP(-(LN(2)/$D$65+0.1)*AG175),"-"))),"-")</f>
        <v>-</v>
      </c>
      <c r="AK175" s="227">
        <f t="shared" si="137"/>
        <v>75</v>
      </c>
      <c r="AL175" s="226" t="str">
        <f t="shared" si="111"/>
        <v>-</v>
      </c>
      <c r="AM175" s="227" t="str">
        <f t="shared" si="138"/>
        <v>-</v>
      </c>
      <c r="AN175" s="227" t="str">
        <f t="shared" si="139"/>
        <v>-</v>
      </c>
      <c r="AO175" s="227" t="str">
        <f t="shared" si="112"/>
        <v>-</v>
      </c>
      <c r="AP175" s="273">
        <f t="shared" si="140"/>
        <v>0.1</v>
      </c>
      <c r="AQ175" s="271" t="str">
        <f>IFERROR(IF(AL174=1,AQ$100*EXP(-(LN(2)/$D$65+0.04)*AN174)*EXP(-(LN(2)/$D$65+0.1)*AO174),IF(AL174=2,AQ$100*EXP(-(LN(2)/$D$65+0.04)*(VLOOKUP(($F$16-$F$15)-1,AK$99:AO174,4,FALSE)))*EXP(-(LN(2)/$D$65+0.1)*(VLOOKUP(($F$16-$F$15)-1,AK$99:AO174,5,FALSE)))*EXP(-(LN(2)/$D$65+0.04)*AN174)*EXP(-(LN(2)/$D$65+0.1)*AO174),IF(AL174=3,AQ$100*EXP(-(LN(2)/$D$65+0.04)*(VLOOKUP(($F$16-$F$15)-1,AK$99:AO174,4,FALSE)))*EXP(-(LN(2)/$D$65+0.1)*(VLOOKUP(($F$16-$F$15)-1,AK$99:AO174,5,FALSE)))*EXP(-(LN(2)/$D$65+0.04)*(VLOOKUP(($F$16-$F$15)*2-1,AK$99:AO174,4,FALSE)))*EXP(-(LN(2)/$D$65+0.1)*(VLOOKUP(($F$16-$F$15)*2-1,AK$99:AO174,5,FALSE)))*EXP(-(LN(2)/$D$65+0.04)*AN174)*EXP(-(LN(2)/$D$65+0.1)*AO174),"-"))),"-")</f>
        <v>-</v>
      </c>
      <c r="AR175" s="271" t="str">
        <f>IFERROR(IF(AL175=1,AR$100*EXP(-(LN(2)/$D$65+0.04)*AN175)*EXP(-(LN(2)/$D$65+0.1)*AO175),IF(AL175=2,AR$100*EXP(-(LN(2)/$D$65+0.04)*(VLOOKUP(($F$16-$F$15)-1,AK$100:AO175,4,FALSE)))*EXP(-(LN(2)/$D$65+0.1)*(VLOOKUP(($F$16-$F$15)-1,AK$100:AO175,5,FALSE)))*EXP(-(LN(2)/$D$65+0.04)*AN175)*EXP(-(LN(2)/$D$65+0.1)*AO175),IF(AL175=3,AR$100*EXP(-(LN(2)/$D$65+0.04)*(VLOOKUP(($F$16-$F$15)-1,AK$100:AO175,4,FALSE)))*EXP(-(LN(2)/$D$65+0.1)*(VLOOKUP(($F$16-$F$15)-1,AK$100:AO175,5,FALSE)))*EXP(-(LN(2)/$D$65+0.04)*(VLOOKUP(($F$16-$F$15)*2-1,AK$100:AO175,4,FALSE)))*EXP(-(LN(2)/$D$65+0.1)*(VLOOKUP(($F$16-$F$15)*2-1,AK$100:AO175,5,FALSE)))*EXP(-(LN(2)/$D$65+0.04)*AN175)*EXP(-(LN(2)/$D$65+0.1)*AO175),"-"))),"-")</f>
        <v>-</v>
      </c>
      <c r="AS175" s="274">
        <f t="shared" si="113"/>
        <v>0</v>
      </c>
      <c r="AT175" s="274">
        <f t="shared" si="114"/>
        <v>0</v>
      </c>
      <c r="AU175" s="274">
        <f t="shared" si="115"/>
        <v>0</v>
      </c>
      <c r="AV175" s="190">
        <f>IF($B175&lt;$F$22,SUM($T$100:$T175),"")</f>
        <v>0</v>
      </c>
      <c r="AW175" s="190" t="str">
        <f t="shared" si="116"/>
        <v>-</v>
      </c>
      <c r="AX175" s="190" t="str">
        <f t="shared" si="141"/>
        <v/>
      </c>
      <c r="AY175"/>
      <c r="AZ175" s="190" t="str">
        <f ca="1">IF(ISNUMBER(OFFSET(AV175,-$F$21,0)),SUM(OFFSET($T$100,$F$21,0):$T175),"")</f>
        <v/>
      </c>
      <c r="BA175" s="190" t="str">
        <f t="shared" ca="1" si="117"/>
        <v/>
      </c>
      <c r="BB175" s="190" t="str">
        <f t="shared" ca="1" si="70"/>
        <v/>
      </c>
      <c r="BC175" s="190"/>
      <c r="BD175" s="190" t="str">
        <f ca="1">IFERROR(IF(AND($B175&gt;=($F$16-$F$15),$B175&lt;$F$22+($F$16-$F$15)),SUM(OFFSET($T$100,($F$16-$F$15),0):$T175),""),"")</f>
        <v/>
      </c>
      <c r="BE175" s="190" t="str">
        <f t="shared" ca="1" si="142"/>
        <v/>
      </c>
      <c r="BF175" s="190" t="str">
        <f t="shared" ca="1" si="143"/>
        <v/>
      </c>
      <c r="BG175"/>
      <c r="BH175" s="190" t="str">
        <f ca="1">IF(ISNUMBER(OFFSET(BD175,-$F$21,0)),SUM(OFFSET($T$100,($F$16-$F$15+$F$21),0):$T175),"")</f>
        <v/>
      </c>
      <c r="BI175" s="190" t="str">
        <f t="shared" ca="1" si="118"/>
        <v/>
      </c>
      <c r="BJ175" s="190" t="str">
        <f t="shared" ca="1" si="144"/>
        <v/>
      </c>
      <c r="BK175" s="190"/>
      <c r="BL175" s="190" t="str">
        <f ca="1">IFERROR(IF(AND($B175&gt;=($F$17-$F$15),$B175&lt;$F$22+($F$17-$F$15)),SUM(OFFSET($T$100,($F$17-$F$15),0):$T175),""),"")</f>
        <v/>
      </c>
      <c r="BM175" s="190" t="str">
        <f t="shared" ca="1" si="119"/>
        <v/>
      </c>
      <c r="BN175" s="190" t="str">
        <f t="shared" ca="1" si="145"/>
        <v/>
      </c>
      <c r="BO175"/>
      <c r="BP175" s="190" t="str">
        <f ca="1">IF(ISNUMBER(OFFSET(BL175,-$F$21,0)),SUM(OFFSET($T$100,($F$17-$F$15+$F$21),0):$T175),"")</f>
        <v/>
      </c>
      <c r="BQ175" s="190" t="str">
        <f t="shared" ca="1" si="120"/>
        <v/>
      </c>
      <c r="BR175" s="190" t="str">
        <f t="shared" ca="1" si="146"/>
        <v/>
      </c>
      <c r="BS175" s="190"/>
      <c r="BT175"/>
      <c r="BU175"/>
      <c r="BV175"/>
      <c r="BY175" s="99"/>
      <c r="BZ175" s="99"/>
      <c r="CA175" s="280" t="str">
        <f t="shared" si="121"/>
        <v/>
      </c>
      <c r="CB175" s="71" t="str">
        <f t="shared" si="122"/>
        <v>-</v>
      </c>
      <c r="CC175" s="33"/>
      <c r="CD175" s="261" t="str">
        <f t="shared" si="123"/>
        <v/>
      </c>
      <c r="CE175" s="280" t="str">
        <f t="shared" si="124"/>
        <v>-</v>
      </c>
      <c r="CF175" s="71" t="str">
        <f t="shared" ca="1" si="125"/>
        <v>-</v>
      </c>
      <c r="CG175" s="33" t="str">
        <f t="shared" si="126"/>
        <v>75-76</v>
      </c>
      <c r="CH175" s="261" t="str">
        <f t="shared" ca="1" si="127"/>
        <v/>
      </c>
      <c r="CI175" s="99"/>
      <c r="CJ175" s="99"/>
      <c r="CK175" s="99"/>
      <c r="CL175" s="99"/>
      <c r="CM175" s="99"/>
      <c r="CN175" s="99"/>
      <c r="CO175" s="99"/>
    </row>
    <row r="176" spans="2:93" ht="13.5" customHeight="1" x14ac:dyDescent="0.2">
      <c r="B176" s="262">
        <v>76</v>
      </c>
      <c r="C176" s="237" t="str">
        <f t="shared" si="91"/>
        <v/>
      </c>
      <c r="D176" s="237" t="str">
        <f t="shared" si="147"/>
        <v>-</v>
      </c>
      <c r="E176" s="290" t="str">
        <f t="shared" si="128"/>
        <v/>
      </c>
      <c r="F176" s="264" t="str">
        <f t="shared" si="129"/>
        <v/>
      </c>
      <c r="G176" s="291" t="str">
        <f t="shared" si="130"/>
        <v/>
      </c>
      <c r="H176" s="240" t="str">
        <f t="shared" si="92"/>
        <v/>
      </c>
      <c r="I176" s="265" t="str">
        <f t="shared" si="93"/>
        <v/>
      </c>
      <c r="J176" s="265" t="str">
        <f t="shared" si="94"/>
        <v/>
      </c>
      <c r="K176" s="240" t="str">
        <f t="shared" si="95"/>
        <v/>
      </c>
      <c r="L176" s="265" t="str">
        <f t="shared" si="96"/>
        <v/>
      </c>
      <c r="M176" s="265" t="str">
        <f t="shared" si="97"/>
        <v/>
      </c>
      <c r="N176" s="240" t="str">
        <f t="shared" si="98"/>
        <v>-</v>
      </c>
      <c r="O176" s="265" t="str">
        <f t="shared" si="99"/>
        <v>-</v>
      </c>
      <c r="P176" s="265" t="str">
        <f t="shared" si="100"/>
        <v>-</v>
      </c>
      <c r="Q176" s="266" t="str">
        <f t="shared" si="101"/>
        <v>-</v>
      </c>
      <c r="R176" s="267" t="str">
        <f t="shared" si="102"/>
        <v>-</v>
      </c>
      <c r="S176" s="268" t="str">
        <f t="shared" si="103"/>
        <v>-</v>
      </c>
      <c r="T176" s="269" t="str">
        <f t="shared" si="104"/>
        <v/>
      </c>
      <c r="U176" s="221">
        <f t="shared" si="105"/>
        <v>76</v>
      </c>
      <c r="V176" s="220" t="str">
        <f t="shared" si="131"/>
        <v>-</v>
      </c>
      <c r="W176" s="221" t="str">
        <f t="shared" si="132"/>
        <v>-</v>
      </c>
      <c r="X176" s="221" t="str">
        <f t="shared" si="106"/>
        <v>-</v>
      </c>
      <c r="Y176" s="221" t="str">
        <f t="shared" si="107"/>
        <v>-</v>
      </c>
      <c r="Z176" s="270">
        <f t="shared" si="133"/>
        <v>0.1</v>
      </c>
      <c r="AA176" s="271" t="str">
        <f>IFERROR(IF(V175=1,AA$100*EXP(-(LN(2)/$D$65+0.04)*X175)*EXP(-(LN(2)/$D$65+0.1)*Y175),IF(V175=2,AA$100*EXP(-(LN(2)/$D$65+0.04)*(VLOOKUP(($F$16-$F$15)-1,U$99:Y175,4,FALSE)))*EXP(-(LN(2)/$D$65+0.1)*(VLOOKUP(($F$16-$F$15)-1,U$99:Y175,5,FALSE)))*EXP(-(LN(2)/$D$65+0.04)*X175)*EXP(-(LN(2)/$D$65+0.1)*Y175),IF(V175=3,AA$100*EXP(-(LN(2)/$D$65+0.04)*(VLOOKUP(($F$16-$F$15)-1,U$99:Y175,4,FALSE)))*EXP(-(LN(2)/$D$65+0.1)*(VLOOKUP(($F$16-$F$15)-1,U$99:Y175,5,FALSE)))*EXP(-(LN(2)/$D$65+0.04)*(VLOOKUP(($F$16-$F$15)*2-1,U$99:Y175,4,FALSE)))*EXP(-(LN(2)/$D$65+0.1)*(VLOOKUP(($F$16-$F$15)*2-1,U$99:Y175,5,FALSE)))*EXP(-(LN(2)/$D$65+0.04)*X175)*EXP(-(LN(2)/$D$65+0.1)*Y175),"-"))),"-")</f>
        <v>-</v>
      </c>
      <c r="AB176" s="271" t="str">
        <f>IFERROR(IF(V176=1,AB$100*EXP(-(LN(2)/$D$65+0.04)*X176)*EXP(-(LN(2)/$D$65+0.1)*Y176),IF(V176=2,AB$100*EXP(-(LN(2)/$D$65+0.04)*(VLOOKUP(($F$16-$F$15)-1,U$100:Y176,4,FALSE)))*EXP(-(LN(2)/$D$65+0.1)*(VLOOKUP(($F$16-$F$15)-1,U$100:Y176,5,FALSE)))*EXP(-(LN(2)/$D$65+0.04)*X176)*EXP(-(LN(2)/$D$65+0.1)*Y176),IF(V176=3,AB$100*EXP(-(LN(2)/$D$65+0.04)*(VLOOKUP(($F$16-$F$15)-1,U$100:Y176,4,FALSE)))*EXP(-(LN(2)/$D$65+0.1)*(VLOOKUP(($F$16-$F$15)-1,U$100:Y176,5,FALSE)))*EXP(-(LN(2)/$D$65+0.04)*(VLOOKUP(($F$16-$F$15)*2-1,U$100:Y176,4,FALSE)))*EXP(-(LN(2)/$D$65+0.1)*(VLOOKUP(($F$16-$F$15)*2-1,U$100:Y176,5,FALSE)))*EXP(-(LN(2)/$D$65+0.04)*X176)*EXP(-(LN(2)/$D$65+0.1)*Y176),"-"))),"-")</f>
        <v>-</v>
      </c>
      <c r="AC176" s="224">
        <f t="shared" si="134"/>
        <v>76</v>
      </c>
      <c r="AD176" s="223" t="str">
        <f t="shared" si="108"/>
        <v>-</v>
      </c>
      <c r="AE176" s="224" t="str">
        <f t="shared" si="135"/>
        <v>-</v>
      </c>
      <c r="AF176" s="224" t="str">
        <f t="shared" si="109"/>
        <v>-</v>
      </c>
      <c r="AG176" s="224" t="str">
        <f t="shared" si="110"/>
        <v>-</v>
      </c>
      <c r="AH176" s="272">
        <f t="shared" si="136"/>
        <v>0.1</v>
      </c>
      <c r="AI176" s="271" t="str">
        <f>IFERROR(IF(AD175=1,AI$100*EXP(-(LN(2)/$D$65+0.04)*AF175)*EXP(-(LN(2)/$D$65+0.1)*AG175),IF(AD175=2,AI$100*EXP(-(LN(2)/$D$65+0.04)*(VLOOKUP(($F$16-$F$15)-1,AC$99:AG175,4,FALSE)))*EXP(-(LN(2)/$D$65+0.1)*(VLOOKUP(($F$16-$F$15)-1,AC$99:AG175,5,FALSE)))*EXP(-(LN(2)/$D$65+0.04)*AF175)*EXP(-(LN(2)/$D$65+0.1)*AG175),IF(AD175=3,AI$100*EXP(-(LN(2)/$D$65+0.04)*(VLOOKUP(($F$16-$F$15)-1,AC$99:AG175,4,FALSE)))*EXP(-(LN(2)/$D$65+0.1)*(VLOOKUP(($F$16-$F$15)-1,AC$99:AG175,5,FALSE)))*EXP(-(LN(2)/$D$65+0.04)*(VLOOKUP(($F$16-$F$15)*2-1,AC$99:AG175,4,FALSE)))*EXP(-(LN(2)/$D$65+0.1)*(VLOOKUP(($F$16-$F$15)*2-1,AC$99:AG175,5,FALSE)))*EXP(-(LN(2)/$D$65+0.04)*AF175)*EXP(-(LN(2)/$D$65+0.1)*AG175),"-"))),"-")</f>
        <v>-</v>
      </c>
      <c r="AJ176" s="271" t="str">
        <f>IFERROR(IF(AD176=1,AJ$100*EXP(-(LN(2)/$D$65+0.04)*AF176)*EXP(-(LN(2)/$D$65+0.1)*AG176),IF(AD176=2,AJ$100*EXP(-(LN(2)/$D$65+0.04)*(VLOOKUP(($F$16-$F$15)-1,AC$100:AG176,4,FALSE)))*EXP(-(LN(2)/$D$65+0.1)*(VLOOKUP(($F$16-$F$15)-1,AC$100:AG176,5,FALSE)))*EXP(-(LN(2)/$D$65+0.04)*AF176)*EXP(-(LN(2)/$D$65+0.1)*AG176),IF(AD176=3,AJ$100*EXP(-(LN(2)/$D$65+0.04)*(VLOOKUP(($F$16-$F$15)-1,AC$100:AG176,4,FALSE)))*EXP(-(LN(2)/$D$65+0.1)*(VLOOKUP(($F$16-$F$15)-1,AC$100:AG176,5,FALSE)))*EXP(-(LN(2)/$D$65+0.04)*(VLOOKUP(($F$16-$F$15)*2-1,AC$100:AG176,4,FALSE)))*EXP(-(LN(2)/$D$65+0.1)*(VLOOKUP(($F$16-$F$15)*2-1,AC$100:AG176,5,FALSE)))*EXP(-(LN(2)/$D$65+0.04)*AF176)*EXP(-(LN(2)/$D$65+0.1)*AG176),"-"))),"-")</f>
        <v>-</v>
      </c>
      <c r="AK176" s="227">
        <f t="shared" si="137"/>
        <v>76</v>
      </c>
      <c r="AL176" s="226" t="str">
        <f t="shared" si="111"/>
        <v>-</v>
      </c>
      <c r="AM176" s="227" t="str">
        <f t="shared" si="138"/>
        <v>-</v>
      </c>
      <c r="AN176" s="227" t="str">
        <f t="shared" si="139"/>
        <v>-</v>
      </c>
      <c r="AO176" s="227" t="str">
        <f t="shared" si="112"/>
        <v>-</v>
      </c>
      <c r="AP176" s="273">
        <f t="shared" si="140"/>
        <v>0.1</v>
      </c>
      <c r="AQ176" s="271" t="str">
        <f>IFERROR(IF(AL175=1,AQ$100*EXP(-(LN(2)/$D$65+0.04)*AN175)*EXP(-(LN(2)/$D$65+0.1)*AO175),IF(AL175=2,AQ$100*EXP(-(LN(2)/$D$65+0.04)*(VLOOKUP(($F$16-$F$15)-1,AK$99:AO175,4,FALSE)))*EXP(-(LN(2)/$D$65+0.1)*(VLOOKUP(($F$16-$F$15)-1,AK$99:AO175,5,FALSE)))*EXP(-(LN(2)/$D$65+0.04)*AN175)*EXP(-(LN(2)/$D$65+0.1)*AO175),IF(AL175=3,AQ$100*EXP(-(LN(2)/$D$65+0.04)*(VLOOKUP(($F$16-$F$15)-1,AK$99:AO175,4,FALSE)))*EXP(-(LN(2)/$D$65+0.1)*(VLOOKUP(($F$16-$F$15)-1,AK$99:AO175,5,FALSE)))*EXP(-(LN(2)/$D$65+0.04)*(VLOOKUP(($F$16-$F$15)*2-1,AK$99:AO175,4,FALSE)))*EXP(-(LN(2)/$D$65+0.1)*(VLOOKUP(($F$16-$F$15)*2-1,AK$99:AO175,5,FALSE)))*EXP(-(LN(2)/$D$65+0.04)*AN175)*EXP(-(LN(2)/$D$65+0.1)*AO175),"-"))),"-")</f>
        <v>-</v>
      </c>
      <c r="AR176" s="271" t="str">
        <f>IFERROR(IF(AL176=1,AR$100*EXP(-(LN(2)/$D$65+0.04)*AN176)*EXP(-(LN(2)/$D$65+0.1)*AO176),IF(AL176=2,AR$100*EXP(-(LN(2)/$D$65+0.04)*(VLOOKUP(($F$16-$F$15)-1,AK$100:AO176,4,FALSE)))*EXP(-(LN(2)/$D$65+0.1)*(VLOOKUP(($F$16-$F$15)-1,AK$100:AO176,5,FALSE)))*EXP(-(LN(2)/$D$65+0.04)*AN176)*EXP(-(LN(2)/$D$65+0.1)*AO176),IF(AL176=3,AR$100*EXP(-(LN(2)/$D$65+0.04)*(VLOOKUP(($F$16-$F$15)-1,AK$100:AO176,4,FALSE)))*EXP(-(LN(2)/$D$65+0.1)*(VLOOKUP(($F$16-$F$15)-1,AK$100:AO176,5,FALSE)))*EXP(-(LN(2)/$D$65+0.04)*(VLOOKUP(($F$16-$F$15)*2-1,AK$100:AO176,4,FALSE)))*EXP(-(LN(2)/$D$65+0.1)*(VLOOKUP(($F$16-$F$15)*2-1,AK$100:AO176,5,FALSE)))*EXP(-(LN(2)/$D$65+0.04)*AN176)*EXP(-(LN(2)/$D$65+0.1)*AO176),"-"))),"-")</f>
        <v>-</v>
      </c>
      <c r="AS176" s="274">
        <f t="shared" si="113"/>
        <v>0</v>
      </c>
      <c r="AT176" s="274">
        <f t="shared" si="114"/>
        <v>0</v>
      </c>
      <c r="AU176" s="274">
        <f t="shared" si="115"/>
        <v>0</v>
      </c>
      <c r="AV176" s="190">
        <f>IF($B176&lt;$F$22,SUM($T$100:$T176),"")</f>
        <v>0</v>
      </c>
      <c r="AW176" s="190" t="str">
        <f t="shared" si="116"/>
        <v>-</v>
      </c>
      <c r="AX176" s="190" t="str">
        <f t="shared" si="141"/>
        <v/>
      </c>
      <c r="AY176"/>
      <c r="AZ176" s="190" t="str">
        <f ca="1">IF(ISNUMBER(OFFSET(AV176,-$F$21,0)),SUM(OFFSET($T$100,$F$21,0):$T176),"")</f>
        <v/>
      </c>
      <c r="BA176" s="190" t="str">
        <f t="shared" ca="1" si="117"/>
        <v/>
      </c>
      <c r="BB176" s="190" t="str">
        <f t="shared" ca="1" si="70"/>
        <v/>
      </c>
      <c r="BC176" s="190"/>
      <c r="BD176" s="190" t="str">
        <f ca="1">IFERROR(IF(AND($B176&gt;=($F$16-$F$15),$B176&lt;$F$22+($F$16-$F$15)),SUM(OFFSET($T$100,($F$16-$F$15),0):$T176),""),"")</f>
        <v/>
      </c>
      <c r="BE176" s="190" t="str">
        <f t="shared" ca="1" si="142"/>
        <v/>
      </c>
      <c r="BF176" s="190" t="str">
        <f t="shared" ca="1" si="143"/>
        <v/>
      </c>
      <c r="BG176"/>
      <c r="BH176" s="190" t="str">
        <f ca="1">IF(ISNUMBER(OFFSET(BD176,-$F$21,0)),SUM(OFFSET($T$100,($F$16-$F$15+$F$21),0):$T176),"")</f>
        <v/>
      </c>
      <c r="BI176" s="190" t="str">
        <f t="shared" ca="1" si="118"/>
        <v/>
      </c>
      <c r="BJ176" s="190" t="str">
        <f t="shared" ca="1" si="144"/>
        <v/>
      </c>
      <c r="BK176" s="190"/>
      <c r="BL176" s="190" t="str">
        <f ca="1">IFERROR(IF(AND($B176&gt;=($F$17-$F$15),$B176&lt;$F$22+($F$17-$F$15)),SUM(OFFSET($T$100,($F$17-$F$15),0):$T176),""),"")</f>
        <v/>
      </c>
      <c r="BM176" s="190" t="str">
        <f t="shared" ca="1" si="119"/>
        <v/>
      </c>
      <c r="BN176" s="190" t="str">
        <f t="shared" ca="1" si="145"/>
        <v/>
      </c>
      <c r="BO176"/>
      <c r="BP176" s="190" t="str">
        <f ca="1">IF(ISNUMBER(OFFSET(BL176,-$F$21,0)),SUM(OFFSET($T$100,($F$17-$F$15+$F$21),0):$T176),"")</f>
        <v/>
      </c>
      <c r="BQ176" s="190" t="str">
        <f t="shared" ca="1" si="120"/>
        <v/>
      </c>
      <c r="BR176" s="190" t="str">
        <f t="shared" ca="1" si="146"/>
        <v/>
      </c>
      <c r="BS176" s="190"/>
      <c r="BT176"/>
      <c r="BU176"/>
      <c r="BV176"/>
      <c r="BY176" s="99"/>
      <c r="BZ176" s="99"/>
      <c r="CA176" s="280" t="str">
        <f t="shared" si="121"/>
        <v/>
      </c>
      <c r="CB176" s="71" t="str">
        <f t="shared" si="122"/>
        <v>-</v>
      </c>
      <c r="CC176" s="33"/>
      <c r="CD176" s="261" t="str">
        <f t="shared" si="123"/>
        <v/>
      </c>
      <c r="CE176" s="280" t="str">
        <f t="shared" si="124"/>
        <v>-</v>
      </c>
      <c r="CF176" s="71" t="str">
        <f t="shared" ca="1" si="125"/>
        <v>-</v>
      </c>
      <c r="CG176" s="33" t="str">
        <f t="shared" si="126"/>
        <v>76-77</v>
      </c>
      <c r="CH176" s="261" t="str">
        <f t="shared" ca="1" si="127"/>
        <v/>
      </c>
      <c r="CI176" s="99"/>
      <c r="CJ176" s="99"/>
      <c r="CK176" s="99"/>
      <c r="CL176" s="99"/>
      <c r="CM176" s="99"/>
      <c r="CN176" s="99"/>
      <c r="CO176" s="99"/>
    </row>
    <row r="177" spans="2:93" ht="13.5" customHeight="1" x14ac:dyDescent="0.2">
      <c r="B177" s="262">
        <v>77</v>
      </c>
      <c r="C177" s="237" t="str">
        <f t="shared" si="91"/>
        <v/>
      </c>
      <c r="D177" s="237" t="str">
        <f t="shared" si="147"/>
        <v>-</v>
      </c>
      <c r="E177" s="290" t="str">
        <f t="shared" si="128"/>
        <v/>
      </c>
      <c r="F177" s="264" t="str">
        <f t="shared" si="129"/>
        <v/>
      </c>
      <c r="G177" s="291" t="str">
        <f t="shared" si="130"/>
        <v/>
      </c>
      <c r="H177" s="240" t="str">
        <f t="shared" si="92"/>
        <v/>
      </c>
      <c r="I177" s="265" t="str">
        <f t="shared" si="93"/>
        <v/>
      </c>
      <c r="J177" s="265" t="str">
        <f t="shared" si="94"/>
        <v/>
      </c>
      <c r="K177" s="240" t="str">
        <f t="shared" si="95"/>
        <v/>
      </c>
      <c r="L177" s="265" t="str">
        <f t="shared" si="96"/>
        <v/>
      </c>
      <c r="M177" s="265" t="str">
        <f t="shared" si="97"/>
        <v/>
      </c>
      <c r="N177" s="240" t="str">
        <f t="shared" si="98"/>
        <v>-</v>
      </c>
      <c r="O177" s="265" t="str">
        <f t="shared" si="99"/>
        <v>-</v>
      </c>
      <c r="P177" s="265" t="str">
        <f t="shared" si="100"/>
        <v>-</v>
      </c>
      <c r="Q177" s="266" t="str">
        <f t="shared" si="101"/>
        <v>-</v>
      </c>
      <c r="R177" s="267" t="str">
        <f t="shared" si="102"/>
        <v>-</v>
      </c>
      <c r="S177" s="268" t="str">
        <f t="shared" si="103"/>
        <v>-</v>
      </c>
      <c r="T177" s="269" t="str">
        <f t="shared" si="104"/>
        <v/>
      </c>
      <c r="U177" s="221">
        <f t="shared" si="105"/>
        <v>77</v>
      </c>
      <c r="V177" s="220" t="str">
        <f t="shared" si="131"/>
        <v>-</v>
      </c>
      <c r="W177" s="221" t="str">
        <f t="shared" si="132"/>
        <v>-</v>
      </c>
      <c r="X177" s="221" t="str">
        <f t="shared" si="106"/>
        <v>-</v>
      </c>
      <c r="Y177" s="221" t="str">
        <f t="shared" si="107"/>
        <v>-</v>
      </c>
      <c r="Z177" s="270">
        <f t="shared" si="133"/>
        <v>0.1</v>
      </c>
      <c r="AA177" s="271" t="str">
        <f>IFERROR(IF(V176=1,AA$100*EXP(-(LN(2)/$D$65+0.04)*X176)*EXP(-(LN(2)/$D$65+0.1)*Y176),IF(V176=2,AA$100*EXP(-(LN(2)/$D$65+0.04)*(VLOOKUP(($F$16-$F$15)-1,U$99:Y176,4,FALSE)))*EXP(-(LN(2)/$D$65+0.1)*(VLOOKUP(($F$16-$F$15)-1,U$99:Y176,5,FALSE)))*EXP(-(LN(2)/$D$65+0.04)*X176)*EXP(-(LN(2)/$D$65+0.1)*Y176),IF(V176=3,AA$100*EXP(-(LN(2)/$D$65+0.04)*(VLOOKUP(($F$16-$F$15)-1,U$99:Y176,4,FALSE)))*EXP(-(LN(2)/$D$65+0.1)*(VLOOKUP(($F$16-$F$15)-1,U$99:Y176,5,FALSE)))*EXP(-(LN(2)/$D$65+0.04)*(VLOOKUP(($F$16-$F$15)*2-1,U$99:Y176,4,FALSE)))*EXP(-(LN(2)/$D$65+0.1)*(VLOOKUP(($F$16-$F$15)*2-1,U$99:Y176,5,FALSE)))*EXP(-(LN(2)/$D$65+0.04)*X176)*EXP(-(LN(2)/$D$65+0.1)*Y176),"-"))),"-")</f>
        <v>-</v>
      </c>
      <c r="AB177" s="271" t="str">
        <f>IFERROR(IF(V177=1,AB$100*EXP(-(LN(2)/$D$65+0.04)*X177)*EXP(-(LN(2)/$D$65+0.1)*Y177),IF(V177=2,AB$100*EXP(-(LN(2)/$D$65+0.04)*(VLOOKUP(($F$16-$F$15)-1,U$100:Y177,4,FALSE)))*EXP(-(LN(2)/$D$65+0.1)*(VLOOKUP(($F$16-$F$15)-1,U$100:Y177,5,FALSE)))*EXP(-(LN(2)/$D$65+0.04)*X177)*EXP(-(LN(2)/$D$65+0.1)*Y177),IF(V177=3,AB$100*EXP(-(LN(2)/$D$65+0.04)*(VLOOKUP(($F$16-$F$15)-1,U$100:Y177,4,FALSE)))*EXP(-(LN(2)/$D$65+0.1)*(VLOOKUP(($F$16-$F$15)-1,U$100:Y177,5,FALSE)))*EXP(-(LN(2)/$D$65+0.04)*(VLOOKUP(($F$16-$F$15)*2-1,U$100:Y177,4,FALSE)))*EXP(-(LN(2)/$D$65+0.1)*(VLOOKUP(($F$16-$F$15)*2-1,U$100:Y177,5,FALSE)))*EXP(-(LN(2)/$D$65+0.04)*X177)*EXP(-(LN(2)/$D$65+0.1)*Y177),"-"))),"-")</f>
        <v>-</v>
      </c>
      <c r="AC177" s="224">
        <f t="shared" si="134"/>
        <v>77</v>
      </c>
      <c r="AD177" s="223" t="str">
        <f t="shared" si="108"/>
        <v>-</v>
      </c>
      <c r="AE177" s="224" t="str">
        <f t="shared" si="135"/>
        <v>-</v>
      </c>
      <c r="AF177" s="224" t="str">
        <f t="shared" si="109"/>
        <v>-</v>
      </c>
      <c r="AG177" s="224" t="str">
        <f t="shared" si="110"/>
        <v>-</v>
      </c>
      <c r="AH177" s="272">
        <f t="shared" si="136"/>
        <v>0.1</v>
      </c>
      <c r="AI177" s="271" t="str">
        <f>IFERROR(IF(AD176=1,AI$100*EXP(-(LN(2)/$D$65+0.04)*AF176)*EXP(-(LN(2)/$D$65+0.1)*AG176),IF(AD176=2,AI$100*EXP(-(LN(2)/$D$65+0.04)*(VLOOKUP(($F$16-$F$15)-1,AC$99:AG176,4,FALSE)))*EXP(-(LN(2)/$D$65+0.1)*(VLOOKUP(($F$16-$F$15)-1,AC$99:AG176,5,FALSE)))*EXP(-(LN(2)/$D$65+0.04)*AF176)*EXP(-(LN(2)/$D$65+0.1)*AG176),IF(AD176=3,AI$100*EXP(-(LN(2)/$D$65+0.04)*(VLOOKUP(($F$16-$F$15)-1,AC$99:AG176,4,FALSE)))*EXP(-(LN(2)/$D$65+0.1)*(VLOOKUP(($F$16-$F$15)-1,AC$99:AG176,5,FALSE)))*EXP(-(LN(2)/$D$65+0.04)*(VLOOKUP(($F$16-$F$15)*2-1,AC$99:AG176,4,FALSE)))*EXP(-(LN(2)/$D$65+0.1)*(VLOOKUP(($F$16-$F$15)*2-1,AC$99:AG176,5,FALSE)))*EXP(-(LN(2)/$D$65+0.04)*AF176)*EXP(-(LN(2)/$D$65+0.1)*AG176),"-"))),"-")</f>
        <v>-</v>
      </c>
      <c r="AJ177" s="271" t="str">
        <f>IFERROR(IF(AD177=1,AJ$100*EXP(-(LN(2)/$D$65+0.04)*AF177)*EXP(-(LN(2)/$D$65+0.1)*AG177),IF(AD177=2,AJ$100*EXP(-(LN(2)/$D$65+0.04)*(VLOOKUP(($F$16-$F$15)-1,AC$100:AG177,4,FALSE)))*EXP(-(LN(2)/$D$65+0.1)*(VLOOKUP(($F$16-$F$15)-1,AC$100:AG177,5,FALSE)))*EXP(-(LN(2)/$D$65+0.04)*AF177)*EXP(-(LN(2)/$D$65+0.1)*AG177),IF(AD177=3,AJ$100*EXP(-(LN(2)/$D$65+0.04)*(VLOOKUP(($F$16-$F$15)-1,AC$100:AG177,4,FALSE)))*EXP(-(LN(2)/$D$65+0.1)*(VLOOKUP(($F$16-$F$15)-1,AC$100:AG177,5,FALSE)))*EXP(-(LN(2)/$D$65+0.04)*(VLOOKUP(($F$16-$F$15)*2-1,AC$100:AG177,4,FALSE)))*EXP(-(LN(2)/$D$65+0.1)*(VLOOKUP(($F$16-$F$15)*2-1,AC$100:AG177,5,FALSE)))*EXP(-(LN(2)/$D$65+0.04)*AF177)*EXP(-(LN(2)/$D$65+0.1)*AG177),"-"))),"-")</f>
        <v>-</v>
      </c>
      <c r="AK177" s="227">
        <f t="shared" si="137"/>
        <v>77</v>
      </c>
      <c r="AL177" s="226" t="str">
        <f t="shared" si="111"/>
        <v>-</v>
      </c>
      <c r="AM177" s="227" t="str">
        <f t="shared" si="138"/>
        <v>-</v>
      </c>
      <c r="AN177" s="227" t="str">
        <f t="shared" si="139"/>
        <v>-</v>
      </c>
      <c r="AO177" s="227" t="str">
        <f t="shared" si="112"/>
        <v>-</v>
      </c>
      <c r="AP177" s="273">
        <f t="shared" si="140"/>
        <v>0.1</v>
      </c>
      <c r="AQ177" s="271" t="str">
        <f>IFERROR(IF(AL176=1,AQ$100*EXP(-(LN(2)/$D$65+0.04)*AN176)*EXP(-(LN(2)/$D$65+0.1)*AO176),IF(AL176=2,AQ$100*EXP(-(LN(2)/$D$65+0.04)*(VLOOKUP(($F$16-$F$15)-1,AK$99:AO176,4,FALSE)))*EXP(-(LN(2)/$D$65+0.1)*(VLOOKUP(($F$16-$F$15)-1,AK$99:AO176,5,FALSE)))*EXP(-(LN(2)/$D$65+0.04)*AN176)*EXP(-(LN(2)/$D$65+0.1)*AO176),IF(AL176=3,AQ$100*EXP(-(LN(2)/$D$65+0.04)*(VLOOKUP(($F$16-$F$15)-1,AK$99:AO176,4,FALSE)))*EXP(-(LN(2)/$D$65+0.1)*(VLOOKUP(($F$16-$F$15)-1,AK$99:AO176,5,FALSE)))*EXP(-(LN(2)/$D$65+0.04)*(VLOOKUP(($F$16-$F$15)*2-1,AK$99:AO176,4,FALSE)))*EXP(-(LN(2)/$D$65+0.1)*(VLOOKUP(($F$16-$F$15)*2-1,AK$99:AO176,5,FALSE)))*EXP(-(LN(2)/$D$65+0.04)*AN176)*EXP(-(LN(2)/$D$65+0.1)*AO176),"-"))),"-")</f>
        <v>-</v>
      </c>
      <c r="AR177" s="271" t="str">
        <f>IFERROR(IF(AL177=1,AR$100*EXP(-(LN(2)/$D$65+0.04)*AN177)*EXP(-(LN(2)/$D$65+0.1)*AO177),IF(AL177=2,AR$100*EXP(-(LN(2)/$D$65+0.04)*(VLOOKUP(($F$16-$F$15)-1,AK$100:AO177,4,FALSE)))*EXP(-(LN(2)/$D$65+0.1)*(VLOOKUP(($F$16-$F$15)-1,AK$100:AO177,5,FALSE)))*EXP(-(LN(2)/$D$65+0.04)*AN177)*EXP(-(LN(2)/$D$65+0.1)*AO177),IF(AL177=3,AR$100*EXP(-(LN(2)/$D$65+0.04)*(VLOOKUP(($F$16-$F$15)-1,AK$100:AO177,4,FALSE)))*EXP(-(LN(2)/$D$65+0.1)*(VLOOKUP(($F$16-$F$15)-1,AK$100:AO177,5,FALSE)))*EXP(-(LN(2)/$D$65+0.04)*(VLOOKUP(($F$16-$F$15)*2-1,AK$100:AO177,4,FALSE)))*EXP(-(LN(2)/$D$65+0.1)*(VLOOKUP(($F$16-$F$15)*2-1,AK$100:AO177,5,FALSE)))*EXP(-(LN(2)/$D$65+0.04)*AN177)*EXP(-(LN(2)/$D$65+0.1)*AO177),"-"))),"-")</f>
        <v>-</v>
      </c>
      <c r="AS177" s="274">
        <f t="shared" si="113"/>
        <v>0</v>
      </c>
      <c r="AT177" s="274">
        <f t="shared" si="114"/>
        <v>0</v>
      </c>
      <c r="AU177" s="274">
        <f t="shared" si="115"/>
        <v>0</v>
      </c>
      <c r="AV177" s="190">
        <f>IF($B177&lt;$F$22,SUM($T$100:$T177),"")</f>
        <v>0</v>
      </c>
      <c r="AW177" s="190" t="str">
        <f t="shared" si="116"/>
        <v>-</v>
      </c>
      <c r="AX177" s="190" t="str">
        <f t="shared" si="141"/>
        <v/>
      </c>
      <c r="AY177"/>
      <c r="AZ177" s="190" t="str">
        <f ca="1">IF(ISNUMBER(OFFSET(AV177,-$F$21,0)),SUM(OFFSET($T$100,$F$21,0):$T177),"")</f>
        <v/>
      </c>
      <c r="BA177" s="190" t="str">
        <f t="shared" ca="1" si="117"/>
        <v/>
      </c>
      <c r="BB177" s="190" t="str">
        <f t="shared" ca="1" si="70"/>
        <v/>
      </c>
      <c r="BC177" s="190"/>
      <c r="BD177" s="190" t="str">
        <f ca="1">IFERROR(IF(AND($B177&gt;=($F$16-$F$15),$B177&lt;$F$22+($F$16-$F$15)),SUM(OFFSET($T$100,($F$16-$F$15),0):$T177),""),"")</f>
        <v/>
      </c>
      <c r="BE177" s="190" t="str">
        <f t="shared" ca="1" si="142"/>
        <v/>
      </c>
      <c r="BF177" s="190" t="str">
        <f t="shared" ca="1" si="143"/>
        <v/>
      </c>
      <c r="BG177"/>
      <c r="BH177" s="190" t="str">
        <f ca="1">IF(ISNUMBER(OFFSET(BD177,-$F$21,0)),SUM(OFFSET($T$100,($F$16-$F$15+$F$21),0):$T177),"")</f>
        <v/>
      </c>
      <c r="BI177" s="190" t="str">
        <f t="shared" ca="1" si="118"/>
        <v/>
      </c>
      <c r="BJ177" s="190" t="str">
        <f t="shared" ca="1" si="144"/>
        <v/>
      </c>
      <c r="BK177" s="190"/>
      <c r="BL177" s="190" t="str">
        <f ca="1">IFERROR(IF(AND($B177&gt;=($F$17-$F$15),$B177&lt;$F$22+($F$17-$F$15)),SUM(OFFSET($T$100,($F$17-$F$15),0):$T177),""),"")</f>
        <v/>
      </c>
      <c r="BM177" s="190" t="str">
        <f t="shared" ca="1" si="119"/>
        <v/>
      </c>
      <c r="BN177" s="190" t="str">
        <f t="shared" ca="1" si="145"/>
        <v/>
      </c>
      <c r="BO177"/>
      <c r="BP177" s="190" t="str">
        <f ca="1">IF(ISNUMBER(OFFSET(BL177,-$F$21,0)),SUM(OFFSET($T$100,($F$17-$F$15+$F$21),0):$T177),"")</f>
        <v/>
      </c>
      <c r="BQ177" s="190" t="str">
        <f t="shared" ca="1" si="120"/>
        <v/>
      </c>
      <c r="BR177" s="190" t="str">
        <f t="shared" ca="1" si="146"/>
        <v/>
      </c>
      <c r="BS177" s="190"/>
      <c r="BT177"/>
      <c r="BU177"/>
      <c r="BV177"/>
      <c r="BY177" s="99"/>
      <c r="BZ177" s="99"/>
      <c r="CA177" s="280" t="str">
        <f t="shared" si="121"/>
        <v/>
      </c>
      <c r="CB177" s="71" t="str">
        <f t="shared" si="122"/>
        <v>-</v>
      </c>
      <c r="CC177" s="33"/>
      <c r="CD177" s="261" t="str">
        <f t="shared" si="123"/>
        <v/>
      </c>
      <c r="CE177" s="280" t="str">
        <f t="shared" si="124"/>
        <v>-</v>
      </c>
      <c r="CF177" s="71" t="str">
        <f t="shared" ca="1" si="125"/>
        <v>-</v>
      </c>
      <c r="CG177" s="33" t="str">
        <f t="shared" si="126"/>
        <v>77-78</v>
      </c>
      <c r="CH177" s="261" t="str">
        <f t="shared" ca="1" si="127"/>
        <v/>
      </c>
      <c r="CI177" s="99"/>
      <c r="CJ177" s="99"/>
      <c r="CK177" s="99"/>
      <c r="CL177" s="99"/>
      <c r="CM177" s="99"/>
      <c r="CN177" s="99"/>
      <c r="CO177" s="99"/>
    </row>
    <row r="178" spans="2:93" ht="13.5" customHeight="1" x14ac:dyDescent="0.2">
      <c r="B178" s="262">
        <v>78</v>
      </c>
      <c r="C178" s="237" t="str">
        <f t="shared" si="91"/>
        <v/>
      </c>
      <c r="D178" s="237" t="str">
        <f t="shared" si="147"/>
        <v>-</v>
      </c>
      <c r="E178" s="290" t="str">
        <f t="shared" si="128"/>
        <v/>
      </c>
      <c r="F178" s="264" t="str">
        <f t="shared" si="129"/>
        <v/>
      </c>
      <c r="G178" s="291" t="str">
        <f t="shared" si="130"/>
        <v/>
      </c>
      <c r="H178" s="240" t="str">
        <f t="shared" si="92"/>
        <v/>
      </c>
      <c r="I178" s="265" t="str">
        <f t="shared" si="93"/>
        <v/>
      </c>
      <c r="J178" s="265" t="str">
        <f t="shared" si="94"/>
        <v/>
      </c>
      <c r="K178" s="240" t="str">
        <f t="shared" si="95"/>
        <v/>
      </c>
      <c r="L178" s="265" t="str">
        <f t="shared" si="96"/>
        <v/>
      </c>
      <c r="M178" s="265" t="str">
        <f t="shared" si="97"/>
        <v/>
      </c>
      <c r="N178" s="240" t="str">
        <f t="shared" si="98"/>
        <v>-</v>
      </c>
      <c r="O178" s="265" t="str">
        <f t="shared" si="99"/>
        <v>-</v>
      </c>
      <c r="P178" s="265" t="str">
        <f t="shared" si="100"/>
        <v>-</v>
      </c>
      <c r="Q178" s="266" t="str">
        <f t="shared" si="101"/>
        <v>-</v>
      </c>
      <c r="R178" s="267" t="str">
        <f t="shared" si="102"/>
        <v>-</v>
      </c>
      <c r="S178" s="268" t="str">
        <f t="shared" si="103"/>
        <v>-</v>
      </c>
      <c r="T178" s="269" t="str">
        <f t="shared" si="104"/>
        <v/>
      </c>
      <c r="U178" s="221">
        <f t="shared" si="105"/>
        <v>78</v>
      </c>
      <c r="V178" s="220" t="str">
        <f t="shared" si="131"/>
        <v>-</v>
      </c>
      <c r="W178" s="221" t="str">
        <f t="shared" si="132"/>
        <v>-</v>
      </c>
      <c r="X178" s="221" t="str">
        <f t="shared" si="106"/>
        <v>-</v>
      </c>
      <c r="Y178" s="221" t="str">
        <f t="shared" si="107"/>
        <v>-</v>
      </c>
      <c r="Z178" s="270">
        <f t="shared" si="133"/>
        <v>0.1</v>
      </c>
      <c r="AA178" s="271" t="str">
        <f>IFERROR(IF(V177=1,AA$100*EXP(-(LN(2)/$D$65+0.04)*X177)*EXP(-(LN(2)/$D$65+0.1)*Y177),IF(V177=2,AA$100*EXP(-(LN(2)/$D$65+0.04)*(VLOOKUP(($F$16-$F$15)-1,U$99:Y177,4,FALSE)))*EXP(-(LN(2)/$D$65+0.1)*(VLOOKUP(($F$16-$F$15)-1,U$99:Y177,5,FALSE)))*EXP(-(LN(2)/$D$65+0.04)*X177)*EXP(-(LN(2)/$D$65+0.1)*Y177),IF(V177=3,AA$100*EXP(-(LN(2)/$D$65+0.04)*(VLOOKUP(($F$16-$F$15)-1,U$99:Y177,4,FALSE)))*EXP(-(LN(2)/$D$65+0.1)*(VLOOKUP(($F$16-$F$15)-1,U$99:Y177,5,FALSE)))*EXP(-(LN(2)/$D$65+0.04)*(VLOOKUP(($F$16-$F$15)*2-1,U$99:Y177,4,FALSE)))*EXP(-(LN(2)/$D$65+0.1)*(VLOOKUP(($F$16-$F$15)*2-1,U$99:Y177,5,FALSE)))*EXP(-(LN(2)/$D$65+0.04)*X177)*EXP(-(LN(2)/$D$65+0.1)*Y177),"-"))),"-")</f>
        <v>-</v>
      </c>
      <c r="AB178" s="271" t="str">
        <f>IFERROR(IF(V178=1,AB$100*EXP(-(LN(2)/$D$65+0.04)*X178)*EXP(-(LN(2)/$D$65+0.1)*Y178),IF(V178=2,AB$100*EXP(-(LN(2)/$D$65+0.04)*(VLOOKUP(($F$16-$F$15)-1,U$100:Y178,4,FALSE)))*EXP(-(LN(2)/$D$65+0.1)*(VLOOKUP(($F$16-$F$15)-1,U$100:Y178,5,FALSE)))*EXP(-(LN(2)/$D$65+0.04)*X178)*EXP(-(LN(2)/$D$65+0.1)*Y178),IF(V178=3,AB$100*EXP(-(LN(2)/$D$65+0.04)*(VLOOKUP(($F$16-$F$15)-1,U$100:Y178,4,FALSE)))*EXP(-(LN(2)/$D$65+0.1)*(VLOOKUP(($F$16-$F$15)-1,U$100:Y178,5,FALSE)))*EXP(-(LN(2)/$D$65+0.04)*(VLOOKUP(($F$16-$F$15)*2-1,U$100:Y178,4,FALSE)))*EXP(-(LN(2)/$D$65+0.1)*(VLOOKUP(($F$16-$F$15)*2-1,U$100:Y178,5,FALSE)))*EXP(-(LN(2)/$D$65+0.04)*X178)*EXP(-(LN(2)/$D$65+0.1)*Y178),"-"))),"-")</f>
        <v>-</v>
      </c>
      <c r="AC178" s="224">
        <f t="shared" si="134"/>
        <v>78</v>
      </c>
      <c r="AD178" s="223" t="str">
        <f t="shared" si="108"/>
        <v>-</v>
      </c>
      <c r="AE178" s="224" t="str">
        <f t="shared" si="135"/>
        <v>-</v>
      </c>
      <c r="AF178" s="224" t="str">
        <f t="shared" si="109"/>
        <v>-</v>
      </c>
      <c r="AG178" s="224" t="str">
        <f t="shared" si="110"/>
        <v>-</v>
      </c>
      <c r="AH178" s="272">
        <f t="shared" si="136"/>
        <v>0.1</v>
      </c>
      <c r="AI178" s="271" t="str">
        <f>IFERROR(IF(AD177=1,AI$100*EXP(-(LN(2)/$D$65+0.04)*AF177)*EXP(-(LN(2)/$D$65+0.1)*AG177),IF(AD177=2,AI$100*EXP(-(LN(2)/$D$65+0.04)*(VLOOKUP(($F$16-$F$15)-1,AC$99:AG177,4,FALSE)))*EXP(-(LN(2)/$D$65+0.1)*(VLOOKUP(($F$16-$F$15)-1,AC$99:AG177,5,FALSE)))*EXP(-(LN(2)/$D$65+0.04)*AF177)*EXP(-(LN(2)/$D$65+0.1)*AG177),IF(AD177=3,AI$100*EXP(-(LN(2)/$D$65+0.04)*(VLOOKUP(($F$16-$F$15)-1,AC$99:AG177,4,FALSE)))*EXP(-(LN(2)/$D$65+0.1)*(VLOOKUP(($F$16-$F$15)-1,AC$99:AG177,5,FALSE)))*EXP(-(LN(2)/$D$65+0.04)*(VLOOKUP(($F$16-$F$15)*2-1,AC$99:AG177,4,FALSE)))*EXP(-(LN(2)/$D$65+0.1)*(VLOOKUP(($F$16-$F$15)*2-1,AC$99:AG177,5,FALSE)))*EXP(-(LN(2)/$D$65+0.04)*AF177)*EXP(-(LN(2)/$D$65+0.1)*AG177),"-"))),"-")</f>
        <v>-</v>
      </c>
      <c r="AJ178" s="271" t="str">
        <f>IFERROR(IF(AD178=1,AJ$100*EXP(-(LN(2)/$D$65+0.04)*AF178)*EXP(-(LN(2)/$D$65+0.1)*AG178),IF(AD178=2,AJ$100*EXP(-(LN(2)/$D$65+0.04)*(VLOOKUP(($F$16-$F$15)-1,AC$100:AG178,4,FALSE)))*EXP(-(LN(2)/$D$65+0.1)*(VLOOKUP(($F$16-$F$15)-1,AC$100:AG178,5,FALSE)))*EXP(-(LN(2)/$D$65+0.04)*AF178)*EXP(-(LN(2)/$D$65+0.1)*AG178),IF(AD178=3,AJ$100*EXP(-(LN(2)/$D$65+0.04)*(VLOOKUP(($F$16-$F$15)-1,AC$100:AG178,4,FALSE)))*EXP(-(LN(2)/$D$65+0.1)*(VLOOKUP(($F$16-$F$15)-1,AC$100:AG178,5,FALSE)))*EXP(-(LN(2)/$D$65+0.04)*(VLOOKUP(($F$16-$F$15)*2-1,AC$100:AG178,4,FALSE)))*EXP(-(LN(2)/$D$65+0.1)*(VLOOKUP(($F$16-$F$15)*2-1,AC$100:AG178,5,FALSE)))*EXP(-(LN(2)/$D$65+0.04)*AF178)*EXP(-(LN(2)/$D$65+0.1)*AG178),"-"))),"-")</f>
        <v>-</v>
      </c>
      <c r="AK178" s="227">
        <f t="shared" si="137"/>
        <v>78</v>
      </c>
      <c r="AL178" s="226" t="str">
        <f t="shared" si="111"/>
        <v>-</v>
      </c>
      <c r="AM178" s="227" t="str">
        <f t="shared" si="138"/>
        <v>-</v>
      </c>
      <c r="AN178" s="227" t="str">
        <f t="shared" si="139"/>
        <v>-</v>
      </c>
      <c r="AO178" s="227" t="str">
        <f t="shared" si="112"/>
        <v>-</v>
      </c>
      <c r="AP178" s="273">
        <f t="shared" si="140"/>
        <v>0.1</v>
      </c>
      <c r="AQ178" s="271" t="str">
        <f>IFERROR(IF(AL177=1,AQ$100*EXP(-(LN(2)/$D$65+0.04)*AN177)*EXP(-(LN(2)/$D$65+0.1)*AO177),IF(AL177=2,AQ$100*EXP(-(LN(2)/$D$65+0.04)*(VLOOKUP(($F$16-$F$15)-1,AK$99:AO177,4,FALSE)))*EXP(-(LN(2)/$D$65+0.1)*(VLOOKUP(($F$16-$F$15)-1,AK$99:AO177,5,FALSE)))*EXP(-(LN(2)/$D$65+0.04)*AN177)*EXP(-(LN(2)/$D$65+0.1)*AO177),IF(AL177=3,AQ$100*EXP(-(LN(2)/$D$65+0.04)*(VLOOKUP(($F$16-$F$15)-1,AK$99:AO177,4,FALSE)))*EXP(-(LN(2)/$D$65+0.1)*(VLOOKUP(($F$16-$F$15)-1,AK$99:AO177,5,FALSE)))*EXP(-(LN(2)/$D$65+0.04)*(VLOOKUP(($F$16-$F$15)*2-1,AK$99:AO177,4,FALSE)))*EXP(-(LN(2)/$D$65+0.1)*(VLOOKUP(($F$16-$F$15)*2-1,AK$99:AO177,5,FALSE)))*EXP(-(LN(2)/$D$65+0.04)*AN177)*EXP(-(LN(2)/$D$65+0.1)*AO177),"-"))),"-")</f>
        <v>-</v>
      </c>
      <c r="AR178" s="271" t="str">
        <f>IFERROR(IF(AL178=1,AR$100*EXP(-(LN(2)/$D$65+0.04)*AN178)*EXP(-(LN(2)/$D$65+0.1)*AO178),IF(AL178=2,AR$100*EXP(-(LN(2)/$D$65+0.04)*(VLOOKUP(($F$16-$F$15)-1,AK$100:AO178,4,FALSE)))*EXP(-(LN(2)/$D$65+0.1)*(VLOOKUP(($F$16-$F$15)-1,AK$100:AO178,5,FALSE)))*EXP(-(LN(2)/$D$65+0.04)*AN178)*EXP(-(LN(2)/$D$65+0.1)*AO178),IF(AL178=3,AR$100*EXP(-(LN(2)/$D$65+0.04)*(VLOOKUP(($F$16-$F$15)-1,AK$100:AO178,4,FALSE)))*EXP(-(LN(2)/$D$65+0.1)*(VLOOKUP(($F$16-$F$15)-1,AK$100:AO178,5,FALSE)))*EXP(-(LN(2)/$D$65+0.04)*(VLOOKUP(($F$16-$F$15)*2-1,AK$100:AO178,4,FALSE)))*EXP(-(LN(2)/$D$65+0.1)*(VLOOKUP(($F$16-$F$15)*2-1,AK$100:AO178,5,FALSE)))*EXP(-(LN(2)/$D$65+0.04)*AN178)*EXP(-(LN(2)/$D$65+0.1)*AO178),"-"))),"-")</f>
        <v>-</v>
      </c>
      <c r="AS178" s="274">
        <f t="shared" si="113"/>
        <v>0</v>
      </c>
      <c r="AT178" s="274">
        <f t="shared" si="114"/>
        <v>0</v>
      </c>
      <c r="AU178" s="274">
        <f t="shared" si="115"/>
        <v>0</v>
      </c>
      <c r="AV178" s="190">
        <f>IF($B178&lt;$F$22,SUM($T$100:$T178),"")</f>
        <v>0</v>
      </c>
      <c r="AW178" s="190" t="str">
        <f t="shared" si="116"/>
        <v>-</v>
      </c>
      <c r="AX178" s="190" t="str">
        <f t="shared" si="141"/>
        <v/>
      </c>
      <c r="AY178"/>
      <c r="AZ178" s="190" t="str">
        <f ca="1">IF(ISNUMBER(OFFSET(AV178,-$F$21,0)),SUM(OFFSET($T$100,$F$21,0):$T178),"")</f>
        <v/>
      </c>
      <c r="BA178" s="190" t="str">
        <f t="shared" ca="1" si="117"/>
        <v/>
      </c>
      <c r="BB178" s="190" t="str">
        <f t="shared" ca="1" si="70"/>
        <v/>
      </c>
      <c r="BC178" s="190"/>
      <c r="BD178" s="190" t="str">
        <f ca="1">IFERROR(IF(AND($B178&gt;=($F$16-$F$15),$B178&lt;$F$22+($F$16-$F$15)),SUM(OFFSET($T$100,($F$16-$F$15),0):$T178),""),"")</f>
        <v/>
      </c>
      <c r="BE178" s="190" t="str">
        <f t="shared" ca="1" si="142"/>
        <v/>
      </c>
      <c r="BF178" s="190" t="str">
        <f t="shared" ca="1" si="143"/>
        <v/>
      </c>
      <c r="BG178"/>
      <c r="BH178" s="190" t="str">
        <f ca="1">IF(ISNUMBER(OFFSET(BD178,-$F$21,0)),SUM(OFFSET($T$100,($F$16-$F$15+$F$21),0):$T178),"")</f>
        <v/>
      </c>
      <c r="BI178" s="190" t="str">
        <f t="shared" ca="1" si="118"/>
        <v/>
      </c>
      <c r="BJ178" s="190" t="str">
        <f t="shared" ca="1" si="144"/>
        <v/>
      </c>
      <c r="BK178" s="190"/>
      <c r="BL178" s="190" t="str">
        <f ca="1">IFERROR(IF(AND($B178&gt;=($F$17-$F$15),$B178&lt;$F$22+($F$17-$F$15)),SUM(OFFSET($T$100,($F$17-$F$15),0):$T178),""),"")</f>
        <v/>
      </c>
      <c r="BM178" s="190" t="str">
        <f t="shared" ca="1" si="119"/>
        <v/>
      </c>
      <c r="BN178" s="190" t="str">
        <f t="shared" ca="1" si="145"/>
        <v/>
      </c>
      <c r="BO178"/>
      <c r="BP178" s="190" t="str">
        <f ca="1">IF(ISNUMBER(OFFSET(BL178,-$F$21,0)),SUM(OFFSET($T$100,($F$17-$F$15+$F$21),0):$T178),"")</f>
        <v/>
      </c>
      <c r="BQ178" s="190" t="str">
        <f t="shared" ca="1" si="120"/>
        <v/>
      </c>
      <c r="BR178" s="190" t="str">
        <f t="shared" ca="1" si="146"/>
        <v/>
      </c>
      <c r="BS178" s="190"/>
      <c r="BT178"/>
      <c r="BU178"/>
      <c r="BV178"/>
      <c r="BY178" s="99"/>
      <c r="BZ178" s="99"/>
      <c r="CA178" s="280" t="str">
        <f t="shared" si="121"/>
        <v/>
      </c>
      <c r="CB178" s="71" t="str">
        <f t="shared" si="122"/>
        <v>-</v>
      </c>
      <c r="CC178" s="33"/>
      <c r="CD178" s="261" t="str">
        <f t="shared" si="123"/>
        <v/>
      </c>
      <c r="CE178" s="280" t="str">
        <f t="shared" si="124"/>
        <v>-</v>
      </c>
      <c r="CF178" s="71" t="str">
        <f t="shared" ca="1" si="125"/>
        <v>-</v>
      </c>
      <c r="CG178" s="33" t="str">
        <f t="shared" si="126"/>
        <v>78-79</v>
      </c>
      <c r="CH178" s="261" t="str">
        <f t="shared" ca="1" si="127"/>
        <v/>
      </c>
      <c r="CI178" s="99"/>
      <c r="CJ178" s="99"/>
      <c r="CK178" s="99"/>
      <c r="CL178" s="99"/>
      <c r="CM178" s="99"/>
      <c r="CN178" s="99"/>
      <c r="CO178" s="99"/>
    </row>
    <row r="179" spans="2:93" ht="13.5" customHeight="1" x14ac:dyDescent="0.2">
      <c r="B179" s="262">
        <v>79</v>
      </c>
      <c r="C179" s="237" t="str">
        <f t="shared" si="91"/>
        <v/>
      </c>
      <c r="D179" s="237" t="str">
        <f t="shared" si="147"/>
        <v>-</v>
      </c>
      <c r="E179" s="290" t="str">
        <f t="shared" si="128"/>
        <v/>
      </c>
      <c r="F179" s="264" t="str">
        <f t="shared" si="129"/>
        <v/>
      </c>
      <c r="G179" s="291" t="str">
        <f t="shared" si="130"/>
        <v/>
      </c>
      <c r="H179" s="240" t="str">
        <f t="shared" si="92"/>
        <v/>
      </c>
      <c r="I179" s="265" t="str">
        <f t="shared" si="93"/>
        <v/>
      </c>
      <c r="J179" s="265" t="str">
        <f t="shared" si="94"/>
        <v/>
      </c>
      <c r="K179" s="240" t="str">
        <f t="shared" si="95"/>
        <v/>
      </c>
      <c r="L179" s="265" t="str">
        <f t="shared" si="96"/>
        <v/>
      </c>
      <c r="M179" s="265" t="str">
        <f t="shared" si="97"/>
        <v/>
      </c>
      <c r="N179" s="240" t="str">
        <f t="shared" si="98"/>
        <v>-</v>
      </c>
      <c r="O179" s="265" t="str">
        <f t="shared" si="99"/>
        <v>-</v>
      </c>
      <c r="P179" s="265" t="str">
        <f t="shared" si="100"/>
        <v>-</v>
      </c>
      <c r="Q179" s="266" t="str">
        <f t="shared" si="101"/>
        <v>-</v>
      </c>
      <c r="R179" s="267" t="str">
        <f t="shared" si="102"/>
        <v>-</v>
      </c>
      <c r="S179" s="268" t="str">
        <f t="shared" si="103"/>
        <v>-</v>
      </c>
      <c r="T179" s="269" t="str">
        <f t="shared" si="104"/>
        <v/>
      </c>
      <c r="U179" s="221">
        <f t="shared" si="105"/>
        <v>79</v>
      </c>
      <c r="V179" s="220" t="str">
        <f t="shared" si="131"/>
        <v>-</v>
      </c>
      <c r="W179" s="221" t="str">
        <f t="shared" si="132"/>
        <v>-</v>
      </c>
      <c r="X179" s="221" t="str">
        <f t="shared" si="106"/>
        <v>-</v>
      </c>
      <c r="Y179" s="221" t="str">
        <f t="shared" si="107"/>
        <v>-</v>
      </c>
      <c r="Z179" s="270">
        <f t="shared" si="133"/>
        <v>0.1</v>
      </c>
      <c r="AA179" s="271" t="str">
        <f>IFERROR(IF(V178=1,AA$100*EXP(-(LN(2)/$D$65+0.04)*X178)*EXP(-(LN(2)/$D$65+0.1)*Y178),IF(V178=2,AA$100*EXP(-(LN(2)/$D$65+0.04)*(VLOOKUP(($F$16-$F$15)-1,U$99:Y178,4,FALSE)))*EXP(-(LN(2)/$D$65+0.1)*(VLOOKUP(($F$16-$F$15)-1,U$99:Y178,5,FALSE)))*EXP(-(LN(2)/$D$65+0.04)*X178)*EXP(-(LN(2)/$D$65+0.1)*Y178),IF(V178=3,AA$100*EXP(-(LN(2)/$D$65+0.04)*(VLOOKUP(($F$16-$F$15)-1,U$99:Y178,4,FALSE)))*EXP(-(LN(2)/$D$65+0.1)*(VLOOKUP(($F$16-$F$15)-1,U$99:Y178,5,FALSE)))*EXP(-(LN(2)/$D$65+0.04)*(VLOOKUP(($F$16-$F$15)*2-1,U$99:Y178,4,FALSE)))*EXP(-(LN(2)/$D$65+0.1)*(VLOOKUP(($F$16-$F$15)*2-1,U$99:Y178,5,FALSE)))*EXP(-(LN(2)/$D$65+0.04)*X178)*EXP(-(LN(2)/$D$65+0.1)*Y178),"-"))),"-")</f>
        <v>-</v>
      </c>
      <c r="AB179" s="271" t="str">
        <f>IFERROR(IF(V179=1,AB$100*EXP(-(LN(2)/$D$65+0.04)*X179)*EXP(-(LN(2)/$D$65+0.1)*Y179),IF(V179=2,AB$100*EXP(-(LN(2)/$D$65+0.04)*(VLOOKUP(($F$16-$F$15)-1,U$100:Y179,4,FALSE)))*EXP(-(LN(2)/$D$65+0.1)*(VLOOKUP(($F$16-$F$15)-1,U$100:Y179,5,FALSE)))*EXP(-(LN(2)/$D$65+0.04)*X179)*EXP(-(LN(2)/$D$65+0.1)*Y179),IF(V179=3,AB$100*EXP(-(LN(2)/$D$65+0.04)*(VLOOKUP(($F$16-$F$15)-1,U$100:Y179,4,FALSE)))*EXP(-(LN(2)/$D$65+0.1)*(VLOOKUP(($F$16-$F$15)-1,U$100:Y179,5,FALSE)))*EXP(-(LN(2)/$D$65+0.04)*(VLOOKUP(($F$16-$F$15)*2-1,U$100:Y179,4,FALSE)))*EXP(-(LN(2)/$D$65+0.1)*(VLOOKUP(($F$16-$F$15)*2-1,U$100:Y179,5,FALSE)))*EXP(-(LN(2)/$D$65+0.04)*X179)*EXP(-(LN(2)/$D$65+0.1)*Y179),"-"))),"-")</f>
        <v>-</v>
      </c>
      <c r="AC179" s="224">
        <f t="shared" si="134"/>
        <v>79</v>
      </c>
      <c r="AD179" s="223" t="str">
        <f t="shared" si="108"/>
        <v>-</v>
      </c>
      <c r="AE179" s="224" t="str">
        <f t="shared" si="135"/>
        <v>-</v>
      </c>
      <c r="AF179" s="224" t="str">
        <f t="shared" si="109"/>
        <v>-</v>
      </c>
      <c r="AG179" s="224" t="str">
        <f t="shared" si="110"/>
        <v>-</v>
      </c>
      <c r="AH179" s="272">
        <f t="shared" si="136"/>
        <v>0.1</v>
      </c>
      <c r="AI179" s="271" t="str">
        <f>IFERROR(IF(AD178=1,AI$100*EXP(-(LN(2)/$D$65+0.04)*AF178)*EXP(-(LN(2)/$D$65+0.1)*AG178),IF(AD178=2,AI$100*EXP(-(LN(2)/$D$65+0.04)*(VLOOKUP(($F$16-$F$15)-1,AC$99:AG178,4,FALSE)))*EXP(-(LN(2)/$D$65+0.1)*(VLOOKUP(($F$16-$F$15)-1,AC$99:AG178,5,FALSE)))*EXP(-(LN(2)/$D$65+0.04)*AF178)*EXP(-(LN(2)/$D$65+0.1)*AG178),IF(AD178=3,AI$100*EXP(-(LN(2)/$D$65+0.04)*(VLOOKUP(($F$16-$F$15)-1,AC$99:AG178,4,FALSE)))*EXP(-(LN(2)/$D$65+0.1)*(VLOOKUP(($F$16-$F$15)-1,AC$99:AG178,5,FALSE)))*EXP(-(LN(2)/$D$65+0.04)*(VLOOKUP(($F$16-$F$15)*2-1,AC$99:AG178,4,FALSE)))*EXP(-(LN(2)/$D$65+0.1)*(VLOOKUP(($F$16-$F$15)*2-1,AC$99:AG178,5,FALSE)))*EXP(-(LN(2)/$D$65+0.04)*AF178)*EXP(-(LN(2)/$D$65+0.1)*AG178),"-"))),"-")</f>
        <v>-</v>
      </c>
      <c r="AJ179" s="271" t="str">
        <f>IFERROR(IF(AD179=1,AJ$100*EXP(-(LN(2)/$D$65+0.04)*AF179)*EXP(-(LN(2)/$D$65+0.1)*AG179),IF(AD179=2,AJ$100*EXP(-(LN(2)/$D$65+0.04)*(VLOOKUP(($F$16-$F$15)-1,AC$100:AG179,4,FALSE)))*EXP(-(LN(2)/$D$65+0.1)*(VLOOKUP(($F$16-$F$15)-1,AC$100:AG179,5,FALSE)))*EXP(-(LN(2)/$D$65+0.04)*AF179)*EXP(-(LN(2)/$D$65+0.1)*AG179),IF(AD179=3,AJ$100*EXP(-(LN(2)/$D$65+0.04)*(VLOOKUP(($F$16-$F$15)-1,AC$100:AG179,4,FALSE)))*EXP(-(LN(2)/$D$65+0.1)*(VLOOKUP(($F$16-$F$15)-1,AC$100:AG179,5,FALSE)))*EXP(-(LN(2)/$D$65+0.04)*(VLOOKUP(($F$16-$F$15)*2-1,AC$100:AG179,4,FALSE)))*EXP(-(LN(2)/$D$65+0.1)*(VLOOKUP(($F$16-$F$15)*2-1,AC$100:AG179,5,FALSE)))*EXP(-(LN(2)/$D$65+0.04)*AF179)*EXP(-(LN(2)/$D$65+0.1)*AG179),"-"))),"-")</f>
        <v>-</v>
      </c>
      <c r="AK179" s="227">
        <f t="shared" si="137"/>
        <v>79</v>
      </c>
      <c r="AL179" s="226" t="str">
        <f t="shared" si="111"/>
        <v>-</v>
      </c>
      <c r="AM179" s="227" t="str">
        <f t="shared" si="138"/>
        <v>-</v>
      </c>
      <c r="AN179" s="227" t="str">
        <f t="shared" si="139"/>
        <v>-</v>
      </c>
      <c r="AO179" s="227" t="str">
        <f t="shared" si="112"/>
        <v>-</v>
      </c>
      <c r="AP179" s="273">
        <f t="shared" si="140"/>
        <v>0.1</v>
      </c>
      <c r="AQ179" s="271" t="str">
        <f>IFERROR(IF(AL178=1,AQ$100*EXP(-(LN(2)/$D$65+0.04)*AN178)*EXP(-(LN(2)/$D$65+0.1)*AO178),IF(AL178=2,AQ$100*EXP(-(LN(2)/$D$65+0.04)*(VLOOKUP(($F$16-$F$15)-1,AK$99:AO178,4,FALSE)))*EXP(-(LN(2)/$D$65+0.1)*(VLOOKUP(($F$16-$F$15)-1,AK$99:AO178,5,FALSE)))*EXP(-(LN(2)/$D$65+0.04)*AN178)*EXP(-(LN(2)/$D$65+0.1)*AO178),IF(AL178=3,AQ$100*EXP(-(LN(2)/$D$65+0.04)*(VLOOKUP(($F$16-$F$15)-1,AK$99:AO178,4,FALSE)))*EXP(-(LN(2)/$D$65+0.1)*(VLOOKUP(($F$16-$F$15)-1,AK$99:AO178,5,FALSE)))*EXP(-(LN(2)/$D$65+0.04)*(VLOOKUP(($F$16-$F$15)*2-1,AK$99:AO178,4,FALSE)))*EXP(-(LN(2)/$D$65+0.1)*(VLOOKUP(($F$16-$F$15)*2-1,AK$99:AO178,5,FALSE)))*EXP(-(LN(2)/$D$65+0.04)*AN178)*EXP(-(LN(2)/$D$65+0.1)*AO178),"-"))),"-")</f>
        <v>-</v>
      </c>
      <c r="AR179" s="271" t="str">
        <f>IFERROR(IF(AL179=1,AR$100*EXP(-(LN(2)/$D$65+0.04)*AN179)*EXP(-(LN(2)/$D$65+0.1)*AO179),IF(AL179=2,AR$100*EXP(-(LN(2)/$D$65+0.04)*(VLOOKUP(($F$16-$F$15)-1,AK$100:AO179,4,FALSE)))*EXP(-(LN(2)/$D$65+0.1)*(VLOOKUP(($F$16-$F$15)-1,AK$100:AO179,5,FALSE)))*EXP(-(LN(2)/$D$65+0.04)*AN179)*EXP(-(LN(2)/$D$65+0.1)*AO179),IF(AL179=3,AR$100*EXP(-(LN(2)/$D$65+0.04)*(VLOOKUP(($F$16-$F$15)-1,AK$100:AO179,4,FALSE)))*EXP(-(LN(2)/$D$65+0.1)*(VLOOKUP(($F$16-$F$15)-1,AK$100:AO179,5,FALSE)))*EXP(-(LN(2)/$D$65+0.04)*(VLOOKUP(($F$16-$F$15)*2-1,AK$100:AO179,4,FALSE)))*EXP(-(LN(2)/$D$65+0.1)*(VLOOKUP(($F$16-$F$15)*2-1,AK$100:AO179,5,FALSE)))*EXP(-(LN(2)/$D$65+0.04)*AN179)*EXP(-(LN(2)/$D$65+0.1)*AO179),"-"))),"-")</f>
        <v>-</v>
      </c>
      <c r="AS179" s="274">
        <f t="shared" si="113"/>
        <v>0</v>
      </c>
      <c r="AT179" s="274">
        <f t="shared" si="114"/>
        <v>0</v>
      </c>
      <c r="AU179" s="274">
        <f t="shared" si="115"/>
        <v>0</v>
      </c>
      <c r="AV179" s="190">
        <f>IF($B179&lt;$F$22,SUM($T$100:$T179),"")</f>
        <v>0</v>
      </c>
      <c r="AW179" s="190" t="str">
        <f t="shared" si="116"/>
        <v>-</v>
      </c>
      <c r="AX179" s="190" t="str">
        <f t="shared" si="141"/>
        <v/>
      </c>
      <c r="AY179"/>
      <c r="AZ179" s="190" t="str">
        <f ca="1">IF(ISNUMBER(OFFSET(AV179,-$F$21,0)),SUM(OFFSET($T$100,$F$21,0):$T179),"")</f>
        <v/>
      </c>
      <c r="BA179" s="190" t="str">
        <f t="shared" ca="1" si="117"/>
        <v/>
      </c>
      <c r="BB179" s="190" t="str">
        <f t="shared" ca="1" si="70"/>
        <v/>
      </c>
      <c r="BC179" s="190"/>
      <c r="BD179" s="190" t="str">
        <f ca="1">IFERROR(IF(AND($B179&gt;=($F$16-$F$15),$B179&lt;$F$22+($F$16-$F$15)),SUM(OFFSET($T$100,($F$16-$F$15),0):$T179),""),"")</f>
        <v/>
      </c>
      <c r="BE179" s="190" t="str">
        <f t="shared" ca="1" si="142"/>
        <v/>
      </c>
      <c r="BF179" s="190" t="str">
        <f t="shared" ca="1" si="143"/>
        <v/>
      </c>
      <c r="BG179"/>
      <c r="BH179" s="190" t="str">
        <f ca="1">IF(ISNUMBER(OFFSET(BD179,-$F$21,0)),SUM(OFFSET($T$100,($F$16-$F$15+$F$21),0):$T179),"")</f>
        <v/>
      </c>
      <c r="BI179" s="190" t="str">
        <f t="shared" ca="1" si="118"/>
        <v/>
      </c>
      <c r="BJ179" s="190" t="str">
        <f t="shared" ca="1" si="144"/>
        <v/>
      </c>
      <c r="BK179" s="190"/>
      <c r="BL179" s="190" t="str">
        <f ca="1">IFERROR(IF(AND($B179&gt;=($F$17-$F$15),$B179&lt;$F$22+($F$17-$F$15)),SUM(OFFSET($T$100,($F$17-$F$15),0):$T179),""),"")</f>
        <v/>
      </c>
      <c r="BM179" s="190" t="str">
        <f t="shared" ca="1" si="119"/>
        <v/>
      </c>
      <c r="BN179" s="190" t="str">
        <f t="shared" ca="1" si="145"/>
        <v/>
      </c>
      <c r="BO179"/>
      <c r="BP179" s="190" t="str">
        <f ca="1">IF(ISNUMBER(OFFSET(BL179,-$F$21,0)),SUM(OFFSET($T$100,($F$17-$F$15+$F$21),0):$T179),"")</f>
        <v/>
      </c>
      <c r="BQ179" s="190" t="str">
        <f t="shared" ca="1" si="120"/>
        <v/>
      </c>
      <c r="BR179" s="190" t="str">
        <f t="shared" ca="1" si="146"/>
        <v/>
      </c>
      <c r="BS179" s="190"/>
      <c r="BT179"/>
      <c r="BU179"/>
      <c r="BV179"/>
      <c r="BY179" s="99"/>
      <c r="BZ179" s="99"/>
      <c r="CA179" s="280" t="str">
        <f t="shared" si="121"/>
        <v/>
      </c>
      <c r="CB179" s="71" t="str">
        <f t="shared" si="122"/>
        <v>-</v>
      </c>
      <c r="CC179" s="33"/>
      <c r="CD179" s="261" t="str">
        <f t="shared" si="123"/>
        <v/>
      </c>
      <c r="CE179" s="280" t="str">
        <f t="shared" si="124"/>
        <v>-</v>
      </c>
      <c r="CF179" s="71" t="str">
        <f t="shared" ca="1" si="125"/>
        <v>-</v>
      </c>
      <c r="CG179" s="33" t="str">
        <f t="shared" si="126"/>
        <v>79-80</v>
      </c>
      <c r="CH179" s="261" t="str">
        <f t="shared" ca="1" si="127"/>
        <v/>
      </c>
      <c r="CI179" s="99"/>
      <c r="CJ179" s="99"/>
      <c r="CK179" s="99"/>
      <c r="CL179" s="99"/>
      <c r="CM179" s="99"/>
      <c r="CN179" s="99"/>
      <c r="CO179" s="99"/>
    </row>
    <row r="180" spans="2:93" ht="13.5" customHeight="1" x14ac:dyDescent="0.2">
      <c r="B180" s="262">
        <v>80</v>
      </c>
      <c r="C180" s="237" t="str">
        <f t="shared" si="91"/>
        <v/>
      </c>
      <c r="D180" s="237" t="str">
        <f t="shared" si="147"/>
        <v>-</v>
      </c>
      <c r="E180" s="263" t="str">
        <f t="shared" si="128"/>
        <v/>
      </c>
      <c r="F180" s="264" t="str">
        <f t="shared" si="129"/>
        <v/>
      </c>
      <c r="G180" s="306" t="str">
        <f t="shared" si="130"/>
        <v/>
      </c>
      <c r="H180" s="240" t="str">
        <f t="shared" si="92"/>
        <v/>
      </c>
      <c r="I180" s="265" t="str">
        <f t="shared" si="93"/>
        <v/>
      </c>
      <c r="J180" s="265" t="str">
        <f t="shared" si="94"/>
        <v/>
      </c>
      <c r="K180" s="240" t="str">
        <f t="shared" si="95"/>
        <v/>
      </c>
      <c r="L180" s="265" t="str">
        <f t="shared" si="96"/>
        <v/>
      </c>
      <c r="M180" s="265" t="str">
        <f t="shared" si="97"/>
        <v/>
      </c>
      <c r="N180" s="240" t="str">
        <f t="shared" si="98"/>
        <v>-</v>
      </c>
      <c r="O180" s="265" t="str">
        <f t="shared" si="99"/>
        <v>-</v>
      </c>
      <c r="P180" s="265" t="str">
        <f t="shared" si="100"/>
        <v>-</v>
      </c>
      <c r="Q180" s="266" t="str">
        <f t="shared" si="101"/>
        <v>-</v>
      </c>
      <c r="R180" s="267" t="str">
        <f t="shared" si="102"/>
        <v>-</v>
      </c>
      <c r="S180" s="268" t="str">
        <f t="shared" si="103"/>
        <v>-</v>
      </c>
      <c r="T180" s="269" t="str">
        <f t="shared" si="104"/>
        <v/>
      </c>
      <c r="U180" s="221">
        <f t="shared" si="105"/>
        <v>80</v>
      </c>
      <c r="V180" s="220" t="str">
        <f t="shared" si="131"/>
        <v>-</v>
      </c>
      <c r="W180" s="221" t="str">
        <f t="shared" si="132"/>
        <v>-</v>
      </c>
      <c r="X180" s="221" t="str">
        <f t="shared" si="106"/>
        <v>-</v>
      </c>
      <c r="Y180" s="221" t="str">
        <f t="shared" si="107"/>
        <v>-</v>
      </c>
      <c r="Z180" s="270">
        <f t="shared" si="133"/>
        <v>0.1</v>
      </c>
      <c r="AA180" s="271" t="str">
        <f>IFERROR(IF(V179=1,AA$100*EXP(-(LN(2)/$D$65+0.04)*X179)*EXP(-(LN(2)/$D$65+0.1)*Y179),IF(V179=2,AA$100*EXP(-(LN(2)/$D$65+0.04)*(VLOOKUP(($F$16-$F$15)-1,U$99:Y179,4,FALSE)))*EXP(-(LN(2)/$D$65+0.1)*(VLOOKUP(($F$16-$F$15)-1,U$99:Y179,5,FALSE)))*EXP(-(LN(2)/$D$65+0.04)*X179)*EXP(-(LN(2)/$D$65+0.1)*Y179),IF(V179=3,AA$100*EXP(-(LN(2)/$D$65+0.04)*(VLOOKUP(($F$16-$F$15)-1,U$99:Y179,4,FALSE)))*EXP(-(LN(2)/$D$65+0.1)*(VLOOKUP(($F$16-$F$15)-1,U$99:Y179,5,FALSE)))*EXP(-(LN(2)/$D$65+0.04)*(VLOOKUP(($F$16-$F$15)*2-1,U$99:Y179,4,FALSE)))*EXP(-(LN(2)/$D$65+0.1)*(VLOOKUP(($F$16-$F$15)*2-1,U$99:Y179,5,FALSE)))*EXP(-(LN(2)/$D$65+0.04)*X179)*EXP(-(LN(2)/$D$65+0.1)*Y179),"-"))),"-")</f>
        <v>-</v>
      </c>
      <c r="AB180" s="271" t="str">
        <f>IFERROR(IF(V180=1,AB$100*EXP(-(LN(2)/$D$65+0.04)*X180)*EXP(-(LN(2)/$D$65+0.1)*Y180),IF(V180=2,AB$100*EXP(-(LN(2)/$D$65+0.04)*(VLOOKUP(($F$16-$F$15)-1,U$100:Y180,4,FALSE)))*EXP(-(LN(2)/$D$65+0.1)*(VLOOKUP(($F$16-$F$15)-1,U$100:Y180,5,FALSE)))*EXP(-(LN(2)/$D$65+0.04)*X180)*EXP(-(LN(2)/$D$65+0.1)*Y180),IF(V180=3,AB$100*EXP(-(LN(2)/$D$65+0.04)*(VLOOKUP(($F$16-$F$15)-1,U$100:Y180,4,FALSE)))*EXP(-(LN(2)/$D$65+0.1)*(VLOOKUP(($F$16-$F$15)-1,U$100:Y180,5,FALSE)))*EXP(-(LN(2)/$D$65+0.04)*(VLOOKUP(($F$16-$F$15)*2-1,U$100:Y180,4,FALSE)))*EXP(-(LN(2)/$D$65+0.1)*(VLOOKUP(($F$16-$F$15)*2-1,U$100:Y180,5,FALSE)))*EXP(-(LN(2)/$D$65+0.04)*X180)*EXP(-(LN(2)/$D$65+0.1)*Y180),"-"))),"-")</f>
        <v>-</v>
      </c>
      <c r="AC180" s="224">
        <f t="shared" si="134"/>
        <v>80</v>
      </c>
      <c r="AD180" s="223" t="str">
        <f t="shared" si="108"/>
        <v>-</v>
      </c>
      <c r="AE180" s="224" t="str">
        <f t="shared" si="135"/>
        <v>-</v>
      </c>
      <c r="AF180" s="224" t="str">
        <f t="shared" si="109"/>
        <v>-</v>
      </c>
      <c r="AG180" s="224" t="str">
        <f t="shared" si="110"/>
        <v>-</v>
      </c>
      <c r="AH180" s="272">
        <f t="shared" si="136"/>
        <v>0.1</v>
      </c>
      <c r="AI180" s="271" t="str">
        <f>IFERROR(IF(AD179=1,AI$100*EXP(-(LN(2)/$D$65+0.04)*AF179)*EXP(-(LN(2)/$D$65+0.1)*AG179),IF(AD179=2,AI$100*EXP(-(LN(2)/$D$65+0.04)*(VLOOKUP(($F$16-$F$15)-1,AC$99:AG179,4,FALSE)))*EXP(-(LN(2)/$D$65+0.1)*(VLOOKUP(($F$16-$F$15)-1,AC$99:AG179,5,FALSE)))*EXP(-(LN(2)/$D$65+0.04)*AF179)*EXP(-(LN(2)/$D$65+0.1)*AG179),IF(AD179=3,AI$100*EXP(-(LN(2)/$D$65+0.04)*(VLOOKUP(($F$16-$F$15)-1,AC$99:AG179,4,FALSE)))*EXP(-(LN(2)/$D$65+0.1)*(VLOOKUP(($F$16-$F$15)-1,AC$99:AG179,5,FALSE)))*EXP(-(LN(2)/$D$65+0.04)*(VLOOKUP(($F$16-$F$15)*2-1,AC$99:AG179,4,FALSE)))*EXP(-(LN(2)/$D$65+0.1)*(VLOOKUP(($F$16-$F$15)*2-1,AC$99:AG179,5,FALSE)))*EXP(-(LN(2)/$D$65+0.04)*AF179)*EXP(-(LN(2)/$D$65+0.1)*AG179),"-"))),"-")</f>
        <v>-</v>
      </c>
      <c r="AJ180" s="271" t="str">
        <f>IFERROR(IF(AD180=1,AJ$100*EXP(-(LN(2)/$D$65+0.04)*AF180)*EXP(-(LN(2)/$D$65+0.1)*AG180),IF(AD180=2,AJ$100*EXP(-(LN(2)/$D$65+0.04)*(VLOOKUP(($F$16-$F$15)-1,AC$100:AG180,4,FALSE)))*EXP(-(LN(2)/$D$65+0.1)*(VLOOKUP(($F$16-$F$15)-1,AC$100:AG180,5,FALSE)))*EXP(-(LN(2)/$D$65+0.04)*AF180)*EXP(-(LN(2)/$D$65+0.1)*AG180),IF(AD180=3,AJ$100*EXP(-(LN(2)/$D$65+0.04)*(VLOOKUP(($F$16-$F$15)-1,AC$100:AG180,4,FALSE)))*EXP(-(LN(2)/$D$65+0.1)*(VLOOKUP(($F$16-$F$15)-1,AC$100:AG180,5,FALSE)))*EXP(-(LN(2)/$D$65+0.04)*(VLOOKUP(($F$16-$F$15)*2-1,AC$100:AG180,4,FALSE)))*EXP(-(LN(2)/$D$65+0.1)*(VLOOKUP(($F$16-$F$15)*2-1,AC$100:AG180,5,FALSE)))*EXP(-(LN(2)/$D$65+0.04)*AF180)*EXP(-(LN(2)/$D$65+0.1)*AG180),"-"))),"-")</f>
        <v>-</v>
      </c>
      <c r="AK180" s="227">
        <f t="shared" si="137"/>
        <v>80</v>
      </c>
      <c r="AL180" s="226" t="str">
        <f t="shared" si="111"/>
        <v>-</v>
      </c>
      <c r="AM180" s="227" t="str">
        <f t="shared" si="138"/>
        <v>-</v>
      </c>
      <c r="AN180" s="227" t="str">
        <f t="shared" si="139"/>
        <v>-</v>
      </c>
      <c r="AO180" s="227" t="str">
        <f t="shared" si="112"/>
        <v>-</v>
      </c>
      <c r="AP180" s="273">
        <f t="shared" si="140"/>
        <v>0.1</v>
      </c>
      <c r="AQ180" s="271" t="str">
        <f>IFERROR(IF(AL179=1,AQ$100*EXP(-(LN(2)/$D$65+0.04)*AN179)*EXP(-(LN(2)/$D$65+0.1)*AO179),IF(AL179=2,AQ$100*EXP(-(LN(2)/$D$65+0.04)*(VLOOKUP(($F$16-$F$15)-1,AK$99:AO179,4,FALSE)))*EXP(-(LN(2)/$D$65+0.1)*(VLOOKUP(($F$16-$F$15)-1,AK$99:AO179,5,FALSE)))*EXP(-(LN(2)/$D$65+0.04)*AN179)*EXP(-(LN(2)/$D$65+0.1)*AO179),IF(AL179=3,AQ$100*EXP(-(LN(2)/$D$65+0.04)*(VLOOKUP(($F$16-$F$15)-1,AK$99:AO179,4,FALSE)))*EXP(-(LN(2)/$D$65+0.1)*(VLOOKUP(($F$16-$F$15)-1,AK$99:AO179,5,FALSE)))*EXP(-(LN(2)/$D$65+0.04)*(VLOOKUP(($F$16-$F$15)*2-1,AK$99:AO179,4,FALSE)))*EXP(-(LN(2)/$D$65+0.1)*(VLOOKUP(($F$16-$F$15)*2-1,AK$99:AO179,5,FALSE)))*EXP(-(LN(2)/$D$65+0.04)*AN179)*EXP(-(LN(2)/$D$65+0.1)*AO179),"-"))),"-")</f>
        <v>-</v>
      </c>
      <c r="AR180" s="271" t="str">
        <f>IFERROR(IF(AL180=1,AR$100*EXP(-(LN(2)/$D$65+0.04)*AN180)*EXP(-(LN(2)/$D$65+0.1)*AO180),IF(AL180=2,AR$100*EXP(-(LN(2)/$D$65+0.04)*(VLOOKUP(($F$16-$F$15)-1,AK$100:AO180,4,FALSE)))*EXP(-(LN(2)/$D$65+0.1)*(VLOOKUP(($F$16-$F$15)-1,AK$100:AO180,5,FALSE)))*EXP(-(LN(2)/$D$65+0.04)*AN180)*EXP(-(LN(2)/$D$65+0.1)*AO180),IF(AL180=3,AR$100*EXP(-(LN(2)/$D$65+0.04)*(VLOOKUP(($F$16-$F$15)-1,AK$100:AO180,4,FALSE)))*EXP(-(LN(2)/$D$65+0.1)*(VLOOKUP(($F$16-$F$15)-1,AK$100:AO180,5,FALSE)))*EXP(-(LN(2)/$D$65+0.04)*(VLOOKUP(($F$16-$F$15)*2-1,AK$100:AO180,4,FALSE)))*EXP(-(LN(2)/$D$65+0.1)*(VLOOKUP(($F$16-$F$15)*2-1,AK$100:AO180,5,FALSE)))*EXP(-(LN(2)/$D$65+0.04)*AN180)*EXP(-(LN(2)/$D$65+0.1)*AO180),"-"))),"-")</f>
        <v>-</v>
      </c>
      <c r="AS180" s="274">
        <f t="shared" si="113"/>
        <v>0</v>
      </c>
      <c r="AT180" s="274">
        <f t="shared" si="114"/>
        <v>0</v>
      </c>
      <c r="AU180" s="274">
        <f t="shared" si="115"/>
        <v>0</v>
      </c>
      <c r="AV180" s="190">
        <f>IF($B180&lt;$F$22,SUM($T$100:$T180),"")</f>
        <v>0</v>
      </c>
      <c r="AW180" s="190" t="str">
        <f t="shared" si="116"/>
        <v>-</v>
      </c>
      <c r="AX180" s="190" t="str">
        <f t="shared" si="141"/>
        <v/>
      </c>
      <c r="AY180"/>
      <c r="AZ180" s="190" t="str">
        <f ca="1">IF(ISNUMBER(OFFSET(AV180,-$F$21,0)),SUM(OFFSET($T$100,$F$21,0):$T180),"")</f>
        <v/>
      </c>
      <c r="BA180" s="190" t="str">
        <f t="shared" ca="1" si="117"/>
        <v/>
      </c>
      <c r="BB180" s="190" t="str">
        <f t="shared" ca="1" si="70"/>
        <v/>
      </c>
      <c r="BC180" s="190"/>
      <c r="BD180" s="190" t="str">
        <f ca="1">IFERROR(IF(AND($B180&gt;=($F$16-$F$15),$B180&lt;$F$22+($F$16-$F$15)),SUM(OFFSET($T$100,($F$16-$F$15),0):$T180),""),"")</f>
        <v/>
      </c>
      <c r="BE180" s="190" t="str">
        <f t="shared" ca="1" si="142"/>
        <v/>
      </c>
      <c r="BF180" s="190" t="str">
        <f t="shared" ca="1" si="143"/>
        <v/>
      </c>
      <c r="BG180"/>
      <c r="BH180" s="190" t="str">
        <f ca="1">IF(ISNUMBER(OFFSET(BD180,-$F$21,0)),SUM(OFFSET($T$100,($F$16-$F$15+$F$21),0):$T180),"")</f>
        <v/>
      </c>
      <c r="BI180" s="190" t="str">
        <f t="shared" ca="1" si="118"/>
        <v/>
      </c>
      <c r="BJ180" s="190" t="str">
        <f t="shared" ca="1" si="144"/>
        <v/>
      </c>
      <c r="BK180" s="190"/>
      <c r="BL180" s="190" t="str">
        <f ca="1">IFERROR(IF(AND($B180&gt;=($F$17-$F$15),$B180&lt;$F$22+($F$17-$F$15)),SUM(OFFSET($T$100,($F$17-$F$15),0):$T180),""),"")</f>
        <v/>
      </c>
      <c r="BM180" s="190" t="str">
        <f t="shared" ca="1" si="119"/>
        <v/>
      </c>
      <c r="BN180" s="190" t="str">
        <f t="shared" ca="1" si="145"/>
        <v/>
      </c>
      <c r="BO180"/>
      <c r="BP180" s="190" t="str">
        <f ca="1">IF(ISNUMBER(OFFSET(BL180,-$F$21,0)),SUM(OFFSET($T$100,($F$17-$F$15+$F$21),0):$T180),"")</f>
        <v/>
      </c>
      <c r="BQ180" s="190" t="str">
        <f t="shared" ca="1" si="120"/>
        <v/>
      </c>
      <c r="BR180" s="190" t="str">
        <f t="shared" ca="1" si="146"/>
        <v/>
      </c>
      <c r="BS180" s="190"/>
      <c r="BT180"/>
      <c r="BU180"/>
      <c r="BV180"/>
      <c r="BY180" s="99"/>
      <c r="BZ180" s="99"/>
      <c r="CA180" s="280" t="str">
        <f t="shared" si="121"/>
        <v/>
      </c>
      <c r="CB180" s="71" t="str">
        <f t="shared" si="122"/>
        <v>-</v>
      </c>
      <c r="CC180" s="33"/>
      <c r="CD180" s="261" t="str">
        <f t="shared" si="123"/>
        <v/>
      </c>
      <c r="CE180" s="280" t="str">
        <f t="shared" si="124"/>
        <v>-</v>
      </c>
      <c r="CF180" s="71" t="str">
        <f t="shared" ca="1" si="125"/>
        <v>-</v>
      </c>
      <c r="CG180" s="33" t="str">
        <f t="shared" si="126"/>
        <v>80-81</v>
      </c>
      <c r="CH180" s="261" t="str">
        <f t="shared" ca="1" si="127"/>
        <v/>
      </c>
      <c r="CI180" s="99"/>
      <c r="CJ180" s="99"/>
      <c r="CK180" s="99"/>
      <c r="CL180" s="99"/>
      <c r="CM180" s="99"/>
      <c r="CN180" s="99"/>
      <c r="CO180" s="99"/>
    </row>
    <row r="181" spans="2:93" ht="13.5" customHeight="1" x14ac:dyDescent="0.2">
      <c r="B181" s="262">
        <v>81</v>
      </c>
      <c r="C181" s="237" t="str">
        <f t="shared" si="91"/>
        <v/>
      </c>
      <c r="D181" s="237" t="str">
        <f t="shared" si="147"/>
        <v>-</v>
      </c>
      <c r="E181" s="263" t="str">
        <f t="shared" si="128"/>
        <v/>
      </c>
      <c r="F181" s="264" t="str">
        <f t="shared" si="129"/>
        <v/>
      </c>
      <c r="G181" s="306" t="str">
        <f t="shared" si="130"/>
        <v/>
      </c>
      <c r="H181" s="240" t="str">
        <f t="shared" si="92"/>
        <v/>
      </c>
      <c r="I181" s="265" t="str">
        <f t="shared" si="93"/>
        <v/>
      </c>
      <c r="J181" s="265" t="str">
        <f t="shared" si="94"/>
        <v/>
      </c>
      <c r="K181" s="240" t="str">
        <f t="shared" si="95"/>
        <v/>
      </c>
      <c r="L181" s="265" t="str">
        <f t="shared" si="96"/>
        <v/>
      </c>
      <c r="M181" s="265" t="str">
        <f t="shared" si="97"/>
        <v/>
      </c>
      <c r="N181" s="240" t="str">
        <f t="shared" si="98"/>
        <v>-</v>
      </c>
      <c r="O181" s="265" t="str">
        <f t="shared" si="99"/>
        <v>-</v>
      </c>
      <c r="P181" s="265" t="str">
        <f t="shared" si="100"/>
        <v>-</v>
      </c>
      <c r="Q181" s="266" t="str">
        <f t="shared" si="101"/>
        <v>-</v>
      </c>
      <c r="R181" s="267" t="str">
        <f t="shared" si="102"/>
        <v>-</v>
      </c>
      <c r="S181" s="268" t="str">
        <f t="shared" si="103"/>
        <v>-</v>
      </c>
      <c r="T181" s="269" t="str">
        <f t="shared" si="104"/>
        <v/>
      </c>
      <c r="U181" s="221">
        <f t="shared" si="105"/>
        <v>81</v>
      </c>
      <c r="V181" s="220" t="str">
        <f t="shared" si="131"/>
        <v>-</v>
      </c>
      <c r="W181" s="221" t="str">
        <f t="shared" si="132"/>
        <v>-</v>
      </c>
      <c r="X181" s="221" t="str">
        <f t="shared" si="106"/>
        <v>-</v>
      </c>
      <c r="Y181" s="221" t="str">
        <f t="shared" si="107"/>
        <v>-</v>
      </c>
      <c r="Z181" s="270">
        <f t="shared" si="133"/>
        <v>0.1</v>
      </c>
      <c r="AA181" s="271" t="str">
        <f>IFERROR(IF(V180=1,AA$100*EXP(-(LN(2)/$D$65+0.04)*X180)*EXP(-(LN(2)/$D$65+0.1)*Y180),IF(V180=2,AA$100*EXP(-(LN(2)/$D$65+0.04)*(VLOOKUP(($F$16-$F$15)-1,U$99:Y180,4,FALSE)))*EXP(-(LN(2)/$D$65+0.1)*(VLOOKUP(($F$16-$F$15)-1,U$99:Y180,5,FALSE)))*EXP(-(LN(2)/$D$65+0.04)*X180)*EXP(-(LN(2)/$D$65+0.1)*Y180),IF(V180=3,AA$100*EXP(-(LN(2)/$D$65+0.04)*(VLOOKUP(($F$16-$F$15)-1,U$99:Y180,4,FALSE)))*EXP(-(LN(2)/$D$65+0.1)*(VLOOKUP(($F$16-$F$15)-1,U$99:Y180,5,FALSE)))*EXP(-(LN(2)/$D$65+0.04)*(VLOOKUP(($F$16-$F$15)*2-1,U$99:Y180,4,FALSE)))*EXP(-(LN(2)/$D$65+0.1)*(VLOOKUP(($F$16-$F$15)*2-1,U$99:Y180,5,FALSE)))*EXP(-(LN(2)/$D$65+0.04)*X180)*EXP(-(LN(2)/$D$65+0.1)*Y180),"-"))),"-")</f>
        <v>-</v>
      </c>
      <c r="AB181" s="271" t="str">
        <f>IFERROR(IF(V181=1,AB$100*EXP(-(LN(2)/$D$65+0.04)*X181)*EXP(-(LN(2)/$D$65+0.1)*Y181),IF(V181=2,AB$100*EXP(-(LN(2)/$D$65+0.04)*(VLOOKUP(($F$16-$F$15)-1,U$100:Y181,4,FALSE)))*EXP(-(LN(2)/$D$65+0.1)*(VLOOKUP(($F$16-$F$15)-1,U$100:Y181,5,FALSE)))*EXP(-(LN(2)/$D$65+0.04)*X181)*EXP(-(LN(2)/$D$65+0.1)*Y181),IF(V181=3,AB$100*EXP(-(LN(2)/$D$65+0.04)*(VLOOKUP(($F$16-$F$15)-1,U$100:Y181,4,FALSE)))*EXP(-(LN(2)/$D$65+0.1)*(VLOOKUP(($F$16-$F$15)-1,U$100:Y181,5,FALSE)))*EXP(-(LN(2)/$D$65+0.04)*(VLOOKUP(($F$16-$F$15)*2-1,U$100:Y181,4,FALSE)))*EXP(-(LN(2)/$D$65+0.1)*(VLOOKUP(($F$16-$F$15)*2-1,U$100:Y181,5,FALSE)))*EXP(-(LN(2)/$D$65+0.04)*X181)*EXP(-(LN(2)/$D$65+0.1)*Y181),"-"))),"-")</f>
        <v>-</v>
      </c>
      <c r="AC181" s="224">
        <f t="shared" si="134"/>
        <v>81</v>
      </c>
      <c r="AD181" s="223" t="str">
        <f t="shared" si="108"/>
        <v>-</v>
      </c>
      <c r="AE181" s="224" t="str">
        <f t="shared" si="135"/>
        <v>-</v>
      </c>
      <c r="AF181" s="224" t="str">
        <f t="shared" si="109"/>
        <v>-</v>
      </c>
      <c r="AG181" s="224" t="str">
        <f t="shared" si="110"/>
        <v>-</v>
      </c>
      <c r="AH181" s="272">
        <f t="shared" si="136"/>
        <v>0.1</v>
      </c>
      <c r="AI181" s="271" t="str">
        <f>IFERROR(IF(AD180=1,AI$100*EXP(-(LN(2)/$D$65+0.04)*AF180)*EXP(-(LN(2)/$D$65+0.1)*AG180),IF(AD180=2,AI$100*EXP(-(LN(2)/$D$65+0.04)*(VLOOKUP(($F$16-$F$15)-1,AC$99:AG180,4,FALSE)))*EXP(-(LN(2)/$D$65+0.1)*(VLOOKUP(($F$16-$F$15)-1,AC$99:AG180,5,FALSE)))*EXP(-(LN(2)/$D$65+0.04)*AF180)*EXP(-(LN(2)/$D$65+0.1)*AG180),IF(AD180=3,AI$100*EXP(-(LN(2)/$D$65+0.04)*(VLOOKUP(($F$16-$F$15)-1,AC$99:AG180,4,FALSE)))*EXP(-(LN(2)/$D$65+0.1)*(VLOOKUP(($F$16-$F$15)-1,AC$99:AG180,5,FALSE)))*EXP(-(LN(2)/$D$65+0.04)*(VLOOKUP(($F$16-$F$15)*2-1,AC$99:AG180,4,FALSE)))*EXP(-(LN(2)/$D$65+0.1)*(VLOOKUP(($F$16-$F$15)*2-1,AC$99:AG180,5,FALSE)))*EXP(-(LN(2)/$D$65+0.04)*AF180)*EXP(-(LN(2)/$D$65+0.1)*AG180),"-"))),"-")</f>
        <v>-</v>
      </c>
      <c r="AJ181" s="271" t="str">
        <f>IFERROR(IF(AD181=1,AJ$100*EXP(-(LN(2)/$D$65+0.04)*AF181)*EXP(-(LN(2)/$D$65+0.1)*AG181),IF(AD181=2,AJ$100*EXP(-(LN(2)/$D$65+0.04)*(VLOOKUP(($F$16-$F$15)-1,AC$100:AG181,4,FALSE)))*EXP(-(LN(2)/$D$65+0.1)*(VLOOKUP(($F$16-$F$15)-1,AC$100:AG181,5,FALSE)))*EXP(-(LN(2)/$D$65+0.04)*AF181)*EXP(-(LN(2)/$D$65+0.1)*AG181),IF(AD181=3,AJ$100*EXP(-(LN(2)/$D$65+0.04)*(VLOOKUP(($F$16-$F$15)-1,AC$100:AG181,4,FALSE)))*EXP(-(LN(2)/$D$65+0.1)*(VLOOKUP(($F$16-$F$15)-1,AC$100:AG181,5,FALSE)))*EXP(-(LN(2)/$D$65+0.04)*(VLOOKUP(($F$16-$F$15)*2-1,AC$100:AG181,4,FALSE)))*EXP(-(LN(2)/$D$65+0.1)*(VLOOKUP(($F$16-$F$15)*2-1,AC$100:AG181,5,FALSE)))*EXP(-(LN(2)/$D$65+0.04)*AF181)*EXP(-(LN(2)/$D$65+0.1)*AG181),"-"))),"-")</f>
        <v>-</v>
      </c>
      <c r="AK181" s="227">
        <f t="shared" si="137"/>
        <v>81</v>
      </c>
      <c r="AL181" s="226" t="str">
        <f t="shared" si="111"/>
        <v>-</v>
      </c>
      <c r="AM181" s="227" t="str">
        <f t="shared" si="138"/>
        <v>-</v>
      </c>
      <c r="AN181" s="227" t="str">
        <f t="shared" si="139"/>
        <v>-</v>
      </c>
      <c r="AO181" s="227" t="str">
        <f t="shared" si="112"/>
        <v>-</v>
      </c>
      <c r="AP181" s="273">
        <f t="shared" si="140"/>
        <v>0.1</v>
      </c>
      <c r="AQ181" s="271" t="str">
        <f>IFERROR(IF(AL180=1,AQ$100*EXP(-(LN(2)/$D$65+0.04)*AN180)*EXP(-(LN(2)/$D$65+0.1)*AO180),IF(AL180=2,AQ$100*EXP(-(LN(2)/$D$65+0.04)*(VLOOKUP(($F$16-$F$15)-1,AK$99:AO180,4,FALSE)))*EXP(-(LN(2)/$D$65+0.1)*(VLOOKUP(($F$16-$F$15)-1,AK$99:AO180,5,FALSE)))*EXP(-(LN(2)/$D$65+0.04)*AN180)*EXP(-(LN(2)/$D$65+0.1)*AO180),IF(AL180=3,AQ$100*EXP(-(LN(2)/$D$65+0.04)*(VLOOKUP(($F$16-$F$15)-1,AK$99:AO180,4,FALSE)))*EXP(-(LN(2)/$D$65+0.1)*(VLOOKUP(($F$16-$F$15)-1,AK$99:AO180,5,FALSE)))*EXP(-(LN(2)/$D$65+0.04)*(VLOOKUP(($F$16-$F$15)*2-1,AK$99:AO180,4,FALSE)))*EXP(-(LN(2)/$D$65+0.1)*(VLOOKUP(($F$16-$F$15)*2-1,AK$99:AO180,5,FALSE)))*EXP(-(LN(2)/$D$65+0.04)*AN180)*EXP(-(LN(2)/$D$65+0.1)*AO180),"-"))),"-")</f>
        <v>-</v>
      </c>
      <c r="AR181" s="271" t="str">
        <f>IFERROR(IF(AL181=1,AR$100*EXP(-(LN(2)/$D$65+0.04)*AN181)*EXP(-(LN(2)/$D$65+0.1)*AO181),IF(AL181=2,AR$100*EXP(-(LN(2)/$D$65+0.04)*(VLOOKUP(($F$16-$F$15)-1,AK$100:AO181,4,FALSE)))*EXP(-(LN(2)/$D$65+0.1)*(VLOOKUP(($F$16-$F$15)-1,AK$100:AO181,5,FALSE)))*EXP(-(LN(2)/$D$65+0.04)*AN181)*EXP(-(LN(2)/$D$65+0.1)*AO181),IF(AL181=3,AR$100*EXP(-(LN(2)/$D$65+0.04)*(VLOOKUP(($F$16-$F$15)-1,AK$100:AO181,4,FALSE)))*EXP(-(LN(2)/$D$65+0.1)*(VLOOKUP(($F$16-$F$15)-1,AK$100:AO181,5,FALSE)))*EXP(-(LN(2)/$D$65+0.04)*(VLOOKUP(($F$16-$F$15)*2-1,AK$100:AO181,4,FALSE)))*EXP(-(LN(2)/$D$65+0.1)*(VLOOKUP(($F$16-$F$15)*2-1,AK$100:AO181,5,FALSE)))*EXP(-(LN(2)/$D$65+0.04)*AN181)*EXP(-(LN(2)/$D$65+0.1)*AO181),"-"))),"-")</f>
        <v>-</v>
      </c>
      <c r="AS181" s="274">
        <f t="shared" si="113"/>
        <v>0</v>
      </c>
      <c r="AT181" s="274">
        <f t="shared" si="114"/>
        <v>0</v>
      </c>
      <c r="AU181" s="274">
        <f t="shared" si="115"/>
        <v>0</v>
      </c>
      <c r="AV181" s="190">
        <f>IF($B181&lt;$F$22,SUM($T$100:$T181),"")</f>
        <v>0</v>
      </c>
      <c r="AW181" s="190" t="str">
        <f t="shared" si="116"/>
        <v>-</v>
      </c>
      <c r="AX181" s="190" t="str">
        <f t="shared" si="141"/>
        <v/>
      </c>
      <c r="AY181"/>
      <c r="AZ181" s="190" t="str">
        <f ca="1">IF(ISNUMBER(OFFSET(AV181,-$F$21,0)),SUM(OFFSET($T$100,$F$21,0):$T181),"")</f>
        <v/>
      </c>
      <c r="BA181" s="190" t="str">
        <f t="shared" ca="1" si="117"/>
        <v/>
      </c>
      <c r="BB181" s="190" t="str">
        <f t="shared" ca="1" si="70"/>
        <v/>
      </c>
      <c r="BC181" s="190"/>
      <c r="BD181" s="190" t="str">
        <f ca="1">IFERROR(IF(AND($B181&gt;=($F$16-$F$15),$B181&lt;$F$22+($F$16-$F$15)),SUM(OFFSET($T$100,($F$16-$F$15),0):$T181),""),"")</f>
        <v/>
      </c>
      <c r="BE181" s="190" t="str">
        <f t="shared" ca="1" si="142"/>
        <v/>
      </c>
      <c r="BF181" s="190" t="str">
        <f t="shared" ca="1" si="143"/>
        <v/>
      </c>
      <c r="BG181"/>
      <c r="BH181" s="190" t="str">
        <f ca="1">IF(ISNUMBER(OFFSET(BD181,-$F$21,0)),SUM(OFFSET($T$100,($F$16-$F$15+$F$21),0):$T181),"")</f>
        <v/>
      </c>
      <c r="BI181" s="190" t="str">
        <f t="shared" ca="1" si="118"/>
        <v/>
      </c>
      <c r="BJ181" s="190" t="str">
        <f t="shared" ca="1" si="144"/>
        <v/>
      </c>
      <c r="BK181" s="190"/>
      <c r="BL181" s="190" t="str">
        <f ca="1">IFERROR(IF(AND($B181&gt;=($F$17-$F$15),$B181&lt;$F$22+($F$17-$F$15)),SUM(OFFSET($T$100,($F$17-$F$15),0):$T181),""),"")</f>
        <v/>
      </c>
      <c r="BM181" s="190" t="str">
        <f t="shared" ca="1" si="119"/>
        <v/>
      </c>
      <c r="BN181" s="190" t="str">
        <f t="shared" ca="1" si="145"/>
        <v/>
      </c>
      <c r="BO181"/>
      <c r="BP181" s="190" t="str">
        <f ca="1">IF(ISNUMBER(OFFSET(BL181,-$F$21,0)),SUM(OFFSET($T$100,($F$17-$F$15+$F$21),0):$T181),"")</f>
        <v/>
      </c>
      <c r="BQ181" s="190" t="str">
        <f t="shared" ca="1" si="120"/>
        <v/>
      </c>
      <c r="BR181" s="190" t="str">
        <f t="shared" ca="1" si="146"/>
        <v/>
      </c>
      <c r="BS181" s="190"/>
      <c r="BT181"/>
      <c r="BU181"/>
      <c r="BV181"/>
      <c r="BY181" s="99"/>
      <c r="BZ181" s="99"/>
      <c r="CA181" s="280" t="str">
        <f t="shared" si="121"/>
        <v/>
      </c>
      <c r="CB181" s="71" t="str">
        <f t="shared" si="122"/>
        <v>-</v>
      </c>
      <c r="CC181" s="33"/>
      <c r="CD181" s="261" t="str">
        <f t="shared" si="123"/>
        <v/>
      </c>
      <c r="CE181" s="280" t="str">
        <f t="shared" si="124"/>
        <v>-</v>
      </c>
      <c r="CF181" s="71" t="str">
        <f t="shared" ca="1" si="125"/>
        <v>-</v>
      </c>
      <c r="CG181" s="33" t="str">
        <f t="shared" si="126"/>
        <v>81-82</v>
      </c>
      <c r="CH181" s="261" t="str">
        <f t="shared" ca="1" si="127"/>
        <v/>
      </c>
      <c r="CI181" s="99"/>
      <c r="CJ181" s="99"/>
      <c r="CK181" s="99"/>
      <c r="CL181" s="99"/>
      <c r="CM181" s="99"/>
      <c r="CN181" s="99"/>
      <c r="CO181" s="99"/>
    </row>
    <row r="182" spans="2:93" ht="13.5" customHeight="1" x14ac:dyDescent="0.2">
      <c r="B182" s="262">
        <v>82</v>
      </c>
      <c r="C182" s="237" t="str">
        <f t="shared" si="91"/>
        <v/>
      </c>
      <c r="D182" s="237" t="str">
        <f t="shared" si="147"/>
        <v>-</v>
      </c>
      <c r="E182" s="263" t="str">
        <f t="shared" si="128"/>
        <v/>
      </c>
      <c r="F182" s="264" t="str">
        <f t="shared" si="129"/>
        <v/>
      </c>
      <c r="G182" s="306" t="str">
        <f t="shared" si="130"/>
        <v/>
      </c>
      <c r="H182" s="240" t="str">
        <f t="shared" si="92"/>
        <v/>
      </c>
      <c r="I182" s="265" t="str">
        <f t="shared" si="93"/>
        <v/>
      </c>
      <c r="J182" s="265" t="str">
        <f t="shared" si="94"/>
        <v/>
      </c>
      <c r="K182" s="240" t="str">
        <f t="shared" si="95"/>
        <v/>
      </c>
      <c r="L182" s="265" t="str">
        <f t="shared" si="96"/>
        <v/>
      </c>
      <c r="M182" s="265" t="str">
        <f t="shared" si="97"/>
        <v/>
      </c>
      <c r="N182" s="240" t="str">
        <f t="shared" si="98"/>
        <v>-</v>
      </c>
      <c r="O182" s="265" t="str">
        <f t="shared" si="99"/>
        <v>-</v>
      </c>
      <c r="P182" s="265" t="str">
        <f t="shared" si="100"/>
        <v>-</v>
      </c>
      <c r="Q182" s="266" t="str">
        <f t="shared" si="101"/>
        <v>-</v>
      </c>
      <c r="R182" s="267" t="str">
        <f t="shared" si="102"/>
        <v>-</v>
      </c>
      <c r="S182" s="268" t="str">
        <f t="shared" si="103"/>
        <v>-</v>
      </c>
      <c r="T182" s="269" t="str">
        <f t="shared" si="104"/>
        <v/>
      </c>
      <c r="U182" s="221">
        <f t="shared" si="105"/>
        <v>82</v>
      </c>
      <c r="V182" s="220" t="str">
        <f t="shared" si="131"/>
        <v>-</v>
      </c>
      <c r="W182" s="221" t="str">
        <f t="shared" si="132"/>
        <v>-</v>
      </c>
      <c r="X182" s="221" t="str">
        <f t="shared" si="106"/>
        <v>-</v>
      </c>
      <c r="Y182" s="221" t="str">
        <f t="shared" si="107"/>
        <v>-</v>
      </c>
      <c r="Z182" s="270">
        <f t="shared" si="133"/>
        <v>0.1</v>
      </c>
      <c r="AA182" s="271" t="str">
        <f>IFERROR(IF(V181=1,AA$100*EXP(-(LN(2)/$D$65+0.04)*X181)*EXP(-(LN(2)/$D$65+0.1)*Y181),IF(V181=2,AA$100*EXP(-(LN(2)/$D$65+0.04)*(VLOOKUP(($F$16-$F$15)-1,U$99:Y181,4,FALSE)))*EXP(-(LN(2)/$D$65+0.1)*(VLOOKUP(($F$16-$F$15)-1,U$99:Y181,5,FALSE)))*EXP(-(LN(2)/$D$65+0.04)*X181)*EXP(-(LN(2)/$D$65+0.1)*Y181),IF(V181=3,AA$100*EXP(-(LN(2)/$D$65+0.04)*(VLOOKUP(($F$16-$F$15)-1,U$99:Y181,4,FALSE)))*EXP(-(LN(2)/$D$65+0.1)*(VLOOKUP(($F$16-$F$15)-1,U$99:Y181,5,FALSE)))*EXP(-(LN(2)/$D$65+0.04)*(VLOOKUP(($F$16-$F$15)*2-1,U$99:Y181,4,FALSE)))*EXP(-(LN(2)/$D$65+0.1)*(VLOOKUP(($F$16-$F$15)*2-1,U$99:Y181,5,FALSE)))*EXP(-(LN(2)/$D$65+0.04)*X181)*EXP(-(LN(2)/$D$65+0.1)*Y181),"-"))),"-")</f>
        <v>-</v>
      </c>
      <c r="AB182" s="271" t="str">
        <f>IFERROR(IF(V182=1,AB$100*EXP(-(LN(2)/$D$65+0.04)*X182)*EXP(-(LN(2)/$D$65+0.1)*Y182),IF(V182=2,AB$100*EXP(-(LN(2)/$D$65+0.04)*(VLOOKUP(($F$16-$F$15)-1,U$100:Y182,4,FALSE)))*EXP(-(LN(2)/$D$65+0.1)*(VLOOKUP(($F$16-$F$15)-1,U$100:Y182,5,FALSE)))*EXP(-(LN(2)/$D$65+0.04)*X182)*EXP(-(LN(2)/$D$65+0.1)*Y182),IF(V182=3,AB$100*EXP(-(LN(2)/$D$65+0.04)*(VLOOKUP(($F$16-$F$15)-1,U$100:Y182,4,FALSE)))*EXP(-(LN(2)/$D$65+0.1)*(VLOOKUP(($F$16-$F$15)-1,U$100:Y182,5,FALSE)))*EXP(-(LN(2)/$D$65+0.04)*(VLOOKUP(($F$16-$F$15)*2-1,U$100:Y182,4,FALSE)))*EXP(-(LN(2)/$D$65+0.1)*(VLOOKUP(($F$16-$F$15)*2-1,U$100:Y182,5,FALSE)))*EXP(-(LN(2)/$D$65+0.04)*X182)*EXP(-(LN(2)/$D$65+0.1)*Y182),"-"))),"-")</f>
        <v>-</v>
      </c>
      <c r="AC182" s="224">
        <f t="shared" si="134"/>
        <v>82</v>
      </c>
      <c r="AD182" s="223" t="str">
        <f t="shared" si="108"/>
        <v>-</v>
      </c>
      <c r="AE182" s="224" t="str">
        <f t="shared" si="135"/>
        <v>-</v>
      </c>
      <c r="AF182" s="224" t="str">
        <f t="shared" si="109"/>
        <v>-</v>
      </c>
      <c r="AG182" s="224" t="str">
        <f t="shared" si="110"/>
        <v>-</v>
      </c>
      <c r="AH182" s="272">
        <f t="shared" si="136"/>
        <v>0.1</v>
      </c>
      <c r="AI182" s="271" t="str">
        <f>IFERROR(IF(AD181=1,AI$100*EXP(-(LN(2)/$D$65+0.04)*AF181)*EXP(-(LN(2)/$D$65+0.1)*AG181),IF(AD181=2,AI$100*EXP(-(LN(2)/$D$65+0.04)*(VLOOKUP(($F$16-$F$15)-1,AC$99:AG181,4,FALSE)))*EXP(-(LN(2)/$D$65+0.1)*(VLOOKUP(($F$16-$F$15)-1,AC$99:AG181,5,FALSE)))*EXP(-(LN(2)/$D$65+0.04)*AF181)*EXP(-(LN(2)/$D$65+0.1)*AG181),IF(AD181=3,AI$100*EXP(-(LN(2)/$D$65+0.04)*(VLOOKUP(($F$16-$F$15)-1,AC$99:AG181,4,FALSE)))*EXP(-(LN(2)/$D$65+0.1)*(VLOOKUP(($F$16-$F$15)-1,AC$99:AG181,5,FALSE)))*EXP(-(LN(2)/$D$65+0.04)*(VLOOKUP(($F$16-$F$15)*2-1,AC$99:AG181,4,FALSE)))*EXP(-(LN(2)/$D$65+0.1)*(VLOOKUP(($F$16-$F$15)*2-1,AC$99:AG181,5,FALSE)))*EXP(-(LN(2)/$D$65+0.04)*AF181)*EXP(-(LN(2)/$D$65+0.1)*AG181),"-"))),"-")</f>
        <v>-</v>
      </c>
      <c r="AJ182" s="271" t="str">
        <f>IFERROR(IF(AD182=1,AJ$100*EXP(-(LN(2)/$D$65+0.04)*AF182)*EXP(-(LN(2)/$D$65+0.1)*AG182),IF(AD182=2,AJ$100*EXP(-(LN(2)/$D$65+0.04)*(VLOOKUP(($F$16-$F$15)-1,AC$100:AG182,4,FALSE)))*EXP(-(LN(2)/$D$65+0.1)*(VLOOKUP(($F$16-$F$15)-1,AC$100:AG182,5,FALSE)))*EXP(-(LN(2)/$D$65+0.04)*AF182)*EXP(-(LN(2)/$D$65+0.1)*AG182),IF(AD182=3,AJ$100*EXP(-(LN(2)/$D$65+0.04)*(VLOOKUP(($F$16-$F$15)-1,AC$100:AG182,4,FALSE)))*EXP(-(LN(2)/$D$65+0.1)*(VLOOKUP(($F$16-$F$15)-1,AC$100:AG182,5,FALSE)))*EXP(-(LN(2)/$D$65+0.04)*(VLOOKUP(($F$16-$F$15)*2-1,AC$100:AG182,4,FALSE)))*EXP(-(LN(2)/$D$65+0.1)*(VLOOKUP(($F$16-$F$15)*2-1,AC$100:AG182,5,FALSE)))*EXP(-(LN(2)/$D$65+0.04)*AF182)*EXP(-(LN(2)/$D$65+0.1)*AG182),"-"))),"-")</f>
        <v>-</v>
      </c>
      <c r="AK182" s="227">
        <f t="shared" si="137"/>
        <v>82</v>
      </c>
      <c r="AL182" s="226" t="str">
        <f t="shared" si="111"/>
        <v>-</v>
      </c>
      <c r="AM182" s="227" t="str">
        <f t="shared" si="138"/>
        <v>-</v>
      </c>
      <c r="AN182" s="227" t="str">
        <f t="shared" si="139"/>
        <v>-</v>
      </c>
      <c r="AO182" s="227" t="str">
        <f t="shared" si="112"/>
        <v>-</v>
      </c>
      <c r="AP182" s="273">
        <f t="shared" si="140"/>
        <v>0.1</v>
      </c>
      <c r="AQ182" s="271" t="str">
        <f>IFERROR(IF(AL181=1,AQ$100*EXP(-(LN(2)/$D$65+0.04)*AN181)*EXP(-(LN(2)/$D$65+0.1)*AO181),IF(AL181=2,AQ$100*EXP(-(LN(2)/$D$65+0.04)*(VLOOKUP(($F$16-$F$15)-1,AK$99:AO181,4,FALSE)))*EXP(-(LN(2)/$D$65+0.1)*(VLOOKUP(($F$16-$F$15)-1,AK$99:AO181,5,FALSE)))*EXP(-(LN(2)/$D$65+0.04)*AN181)*EXP(-(LN(2)/$D$65+0.1)*AO181),IF(AL181=3,AQ$100*EXP(-(LN(2)/$D$65+0.04)*(VLOOKUP(($F$16-$F$15)-1,AK$99:AO181,4,FALSE)))*EXP(-(LN(2)/$D$65+0.1)*(VLOOKUP(($F$16-$F$15)-1,AK$99:AO181,5,FALSE)))*EXP(-(LN(2)/$D$65+0.04)*(VLOOKUP(($F$16-$F$15)*2-1,AK$99:AO181,4,FALSE)))*EXP(-(LN(2)/$D$65+0.1)*(VLOOKUP(($F$16-$F$15)*2-1,AK$99:AO181,5,FALSE)))*EXP(-(LN(2)/$D$65+0.04)*AN181)*EXP(-(LN(2)/$D$65+0.1)*AO181),"-"))),"-")</f>
        <v>-</v>
      </c>
      <c r="AR182" s="271" t="str">
        <f>IFERROR(IF(AL182=1,AR$100*EXP(-(LN(2)/$D$65+0.04)*AN182)*EXP(-(LN(2)/$D$65+0.1)*AO182),IF(AL182=2,AR$100*EXP(-(LN(2)/$D$65+0.04)*(VLOOKUP(($F$16-$F$15)-1,AK$100:AO182,4,FALSE)))*EXP(-(LN(2)/$D$65+0.1)*(VLOOKUP(($F$16-$F$15)-1,AK$100:AO182,5,FALSE)))*EXP(-(LN(2)/$D$65+0.04)*AN182)*EXP(-(LN(2)/$D$65+0.1)*AO182),IF(AL182=3,AR$100*EXP(-(LN(2)/$D$65+0.04)*(VLOOKUP(($F$16-$F$15)-1,AK$100:AO182,4,FALSE)))*EXP(-(LN(2)/$D$65+0.1)*(VLOOKUP(($F$16-$F$15)-1,AK$100:AO182,5,FALSE)))*EXP(-(LN(2)/$D$65+0.04)*(VLOOKUP(($F$16-$F$15)*2-1,AK$100:AO182,4,FALSE)))*EXP(-(LN(2)/$D$65+0.1)*(VLOOKUP(($F$16-$F$15)*2-1,AK$100:AO182,5,FALSE)))*EXP(-(LN(2)/$D$65+0.04)*AN182)*EXP(-(LN(2)/$D$65+0.1)*AO182),"-"))),"-")</f>
        <v>-</v>
      </c>
      <c r="AS182" s="274">
        <f t="shared" si="113"/>
        <v>0</v>
      </c>
      <c r="AT182" s="274">
        <f t="shared" si="114"/>
        <v>0</v>
      </c>
      <c r="AU182" s="274">
        <f t="shared" si="115"/>
        <v>0</v>
      </c>
      <c r="AV182" s="190">
        <f>IF($B182&lt;$F$22,SUM($T$100:$T182),"")</f>
        <v>0</v>
      </c>
      <c r="AW182" s="190" t="str">
        <f t="shared" si="116"/>
        <v>-</v>
      </c>
      <c r="AX182" s="190" t="str">
        <f t="shared" si="141"/>
        <v/>
      </c>
      <c r="AY182"/>
      <c r="AZ182" s="190" t="str">
        <f ca="1">IF(ISNUMBER(OFFSET(AV182,-$F$21,0)),SUM(OFFSET($T$100,$F$21,0):$T182),"")</f>
        <v/>
      </c>
      <c r="BA182" s="190" t="str">
        <f t="shared" ca="1" si="117"/>
        <v/>
      </c>
      <c r="BB182" s="190" t="str">
        <f t="shared" ca="1" si="70"/>
        <v/>
      </c>
      <c r="BC182" s="190"/>
      <c r="BD182" s="190" t="str">
        <f ca="1">IFERROR(IF(AND($B182&gt;=($F$16-$F$15),$B182&lt;$F$22+($F$16-$F$15)),SUM(OFFSET($T$100,($F$16-$F$15),0):$T182),""),"")</f>
        <v/>
      </c>
      <c r="BE182" s="190" t="str">
        <f t="shared" ca="1" si="142"/>
        <v/>
      </c>
      <c r="BF182" s="190" t="str">
        <f t="shared" ca="1" si="143"/>
        <v/>
      </c>
      <c r="BG182"/>
      <c r="BH182" s="190" t="str">
        <f ca="1">IF(ISNUMBER(OFFSET(BD182,-$F$21,0)),SUM(OFFSET($T$100,($F$16-$F$15+$F$21),0):$T182),"")</f>
        <v/>
      </c>
      <c r="BI182" s="190" t="str">
        <f t="shared" ca="1" si="118"/>
        <v/>
      </c>
      <c r="BJ182" s="190" t="str">
        <f t="shared" ca="1" si="144"/>
        <v/>
      </c>
      <c r="BK182" s="190"/>
      <c r="BL182" s="190" t="str">
        <f ca="1">IFERROR(IF(AND($B182&gt;=($F$17-$F$15),$B182&lt;$F$22+($F$17-$F$15)),SUM(OFFSET($T$100,($F$17-$F$15),0):$T182),""),"")</f>
        <v/>
      </c>
      <c r="BM182" s="190" t="str">
        <f t="shared" ca="1" si="119"/>
        <v/>
      </c>
      <c r="BN182" s="190" t="str">
        <f t="shared" ca="1" si="145"/>
        <v/>
      </c>
      <c r="BO182"/>
      <c r="BP182" s="190" t="str">
        <f ca="1">IF(ISNUMBER(OFFSET(BL182,-$F$21,0)),SUM(OFFSET($T$100,($F$17-$F$15+$F$21),0):$T182),"")</f>
        <v/>
      </c>
      <c r="BQ182" s="190" t="str">
        <f t="shared" ca="1" si="120"/>
        <v/>
      </c>
      <c r="BR182" s="190" t="str">
        <f t="shared" ca="1" si="146"/>
        <v/>
      </c>
      <c r="BS182" s="190"/>
      <c r="BT182"/>
      <c r="BU182"/>
      <c r="BV182"/>
      <c r="BY182" s="99"/>
      <c r="BZ182" s="99"/>
      <c r="CA182" s="280" t="str">
        <f t="shared" si="121"/>
        <v/>
      </c>
      <c r="CB182" s="71" t="str">
        <f t="shared" si="122"/>
        <v>-</v>
      </c>
      <c r="CC182" s="33"/>
      <c r="CD182" s="261" t="str">
        <f t="shared" si="123"/>
        <v/>
      </c>
      <c r="CE182" s="280" t="str">
        <f t="shared" si="124"/>
        <v>-</v>
      </c>
      <c r="CF182" s="71" t="str">
        <f t="shared" ca="1" si="125"/>
        <v>-</v>
      </c>
      <c r="CG182" s="33" t="str">
        <f t="shared" si="126"/>
        <v>82-83</v>
      </c>
      <c r="CH182" s="261" t="str">
        <f t="shared" ca="1" si="127"/>
        <v/>
      </c>
      <c r="CI182" s="99"/>
      <c r="CJ182" s="99"/>
      <c r="CK182" s="99"/>
      <c r="CL182" s="99"/>
      <c r="CM182" s="99"/>
      <c r="CN182" s="99"/>
      <c r="CO182" s="99"/>
    </row>
    <row r="183" spans="2:93" ht="13.5" customHeight="1" x14ac:dyDescent="0.2">
      <c r="B183" s="262">
        <v>83</v>
      </c>
      <c r="C183" s="237" t="str">
        <f t="shared" si="91"/>
        <v/>
      </c>
      <c r="D183" s="237" t="str">
        <f t="shared" si="147"/>
        <v>-</v>
      </c>
      <c r="E183" s="263" t="str">
        <f t="shared" si="128"/>
        <v/>
      </c>
      <c r="F183" s="264" t="str">
        <f t="shared" si="129"/>
        <v/>
      </c>
      <c r="G183" s="306" t="str">
        <f t="shared" si="130"/>
        <v/>
      </c>
      <c r="H183" s="240" t="str">
        <f t="shared" si="92"/>
        <v/>
      </c>
      <c r="I183" s="265" t="str">
        <f t="shared" si="93"/>
        <v/>
      </c>
      <c r="J183" s="265" t="str">
        <f t="shared" si="94"/>
        <v/>
      </c>
      <c r="K183" s="240" t="str">
        <f t="shared" si="95"/>
        <v/>
      </c>
      <c r="L183" s="265" t="str">
        <f t="shared" si="96"/>
        <v/>
      </c>
      <c r="M183" s="265" t="str">
        <f t="shared" si="97"/>
        <v/>
      </c>
      <c r="N183" s="240" t="str">
        <f t="shared" si="98"/>
        <v>-</v>
      </c>
      <c r="O183" s="265" t="str">
        <f t="shared" si="99"/>
        <v>-</v>
      </c>
      <c r="P183" s="265" t="str">
        <f t="shared" si="100"/>
        <v>-</v>
      </c>
      <c r="Q183" s="266" t="str">
        <f t="shared" si="101"/>
        <v>-</v>
      </c>
      <c r="R183" s="267" t="str">
        <f t="shared" si="102"/>
        <v>-</v>
      </c>
      <c r="S183" s="268" t="str">
        <f t="shared" si="103"/>
        <v>-</v>
      </c>
      <c r="T183" s="269" t="str">
        <f t="shared" si="104"/>
        <v/>
      </c>
      <c r="U183" s="221">
        <f t="shared" si="105"/>
        <v>83</v>
      </c>
      <c r="V183" s="220" t="str">
        <f t="shared" si="131"/>
        <v>-</v>
      </c>
      <c r="W183" s="221" t="str">
        <f t="shared" si="132"/>
        <v>-</v>
      </c>
      <c r="X183" s="221" t="str">
        <f t="shared" si="106"/>
        <v>-</v>
      </c>
      <c r="Y183" s="221" t="str">
        <f t="shared" si="107"/>
        <v>-</v>
      </c>
      <c r="Z183" s="270">
        <f t="shared" si="133"/>
        <v>0.1</v>
      </c>
      <c r="AA183" s="271" t="str">
        <f>IFERROR(IF(V182=1,AA$100*EXP(-(LN(2)/$D$65+0.04)*X182)*EXP(-(LN(2)/$D$65+0.1)*Y182),IF(V182=2,AA$100*EXP(-(LN(2)/$D$65+0.04)*(VLOOKUP(($F$16-$F$15)-1,U$99:Y182,4,FALSE)))*EXP(-(LN(2)/$D$65+0.1)*(VLOOKUP(($F$16-$F$15)-1,U$99:Y182,5,FALSE)))*EXP(-(LN(2)/$D$65+0.04)*X182)*EXP(-(LN(2)/$D$65+0.1)*Y182),IF(V182=3,AA$100*EXP(-(LN(2)/$D$65+0.04)*(VLOOKUP(($F$16-$F$15)-1,U$99:Y182,4,FALSE)))*EXP(-(LN(2)/$D$65+0.1)*(VLOOKUP(($F$16-$F$15)-1,U$99:Y182,5,FALSE)))*EXP(-(LN(2)/$D$65+0.04)*(VLOOKUP(($F$16-$F$15)*2-1,U$99:Y182,4,FALSE)))*EXP(-(LN(2)/$D$65+0.1)*(VLOOKUP(($F$16-$F$15)*2-1,U$99:Y182,5,FALSE)))*EXP(-(LN(2)/$D$65+0.04)*X182)*EXP(-(LN(2)/$D$65+0.1)*Y182),"-"))),"-")</f>
        <v>-</v>
      </c>
      <c r="AB183" s="271" t="str">
        <f>IFERROR(IF(V183=1,AB$100*EXP(-(LN(2)/$D$65+0.04)*X183)*EXP(-(LN(2)/$D$65+0.1)*Y183),IF(V183=2,AB$100*EXP(-(LN(2)/$D$65+0.04)*(VLOOKUP(($F$16-$F$15)-1,U$100:Y183,4,FALSE)))*EXP(-(LN(2)/$D$65+0.1)*(VLOOKUP(($F$16-$F$15)-1,U$100:Y183,5,FALSE)))*EXP(-(LN(2)/$D$65+0.04)*X183)*EXP(-(LN(2)/$D$65+0.1)*Y183),IF(V183=3,AB$100*EXP(-(LN(2)/$D$65+0.04)*(VLOOKUP(($F$16-$F$15)-1,U$100:Y183,4,FALSE)))*EXP(-(LN(2)/$D$65+0.1)*(VLOOKUP(($F$16-$F$15)-1,U$100:Y183,5,FALSE)))*EXP(-(LN(2)/$D$65+0.04)*(VLOOKUP(($F$16-$F$15)*2-1,U$100:Y183,4,FALSE)))*EXP(-(LN(2)/$D$65+0.1)*(VLOOKUP(($F$16-$F$15)*2-1,U$100:Y183,5,FALSE)))*EXP(-(LN(2)/$D$65+0.04)*X183)*EXP(-(LN(2)/$D$65+0.1)*Y183),"-"))),"-")</f>
        <v>-</v>
      </c>
      <c r="AC183" s="224">
        <f t="shared" si="134"/>
        <v>83</v>
      </c>
      <c r="AD183" s="223" t="str">
        <f t="shared" si="108"/>
        <v>-</v>
      </c>
      <c r="AE183" s="224" t="str">
        <f t="shared" si="135"/>
        <v>-</v>
      </c>
      <c r="AF183" s="224" t="str">
        <f t="shared" si="109"/>
        <v>-</v>
      </c>
      <c r="AG183" s="224" t="str">
        <f t="shared" si="110"/>
        <v>-</v>
      </c>
      <c r="AH183" s="272">
        <f t="shared" si="136"/>
        <v>0.1</v>
      </c>
      <c r="AI183" s="271" t="str">
        <f>IFERROR(IF(AD182=1,AI$100*EXP(-(LN(2)/$D$65+0.04)*AF182)*EXP(-(LN(2)/$D$65+0.1)*AG182),IF(AD182=2,AI$100*EXP(-(LN(2)/$D$65+0.04)*(VLOOKUP(($F$16-$F$15)-1,AC$99:AG182,4,FALSE)))*EXP(-(LN(2)/$D$65+0.1)*(VLOOKUP(($F$16-$F$15)-1,AC$99:AG182,5,FALSE)))*EXP(-(LN(2)/$D$65+0.04)*AF182)*EXP(-(LN(2)/$D$65+0.1)*AG182),IF(AD182=3,AI$100*EXP(-(LN(2)/$D$65+0.04)*(VLOOKUP(($F$16-$F$15)-1,AC$99:AG182,4,FALSE)))*EXP(-(LN(2)/$D$65+0.1)*(VLOOKUP(($F$16-$F$15)-1,AC$99:AG182,5,FALSE)))*EXP(-(LN(2)/$D$65+0.04)*(VLOOKUP(($F$16-$F$15)*2-1,AC$99:AG182,4,FALSE)))*EXP(-(LN(2)/$D$65+0.1)*(VLOOKUP(($F$16-$F$15)*2-1,AC$99:AG182,5,FALSE)))*EXP(-(LN(2)/$D$65+0.04)*AF182)*EXP(-(LN(2)/$D$65+0.1)*AG182),"-"))),"-")</f>
        <v>-</v>
      </c>
      <c r="AJ183" s="271" t="str">
        <f>IFERROR(IF(AD183=1,AJ$100*EXP(-(LN(2)/$D$65+0.04)*AF183)*EXP(-(LN(2)/$D$65+0.1)*AG183),IF(AD183=2,AJ$100*EXP(-(LN(2)/$D$65+0.04)*(VLOOKUP(($F$16-$F$15)-1,AC$100:AG183,4,FALSE)))*EXP(-(LN(2)/$D$65+0.1)*(VLOOKUP(($F$16-$F$15)-1,AC$100:AG183,5,FALSE)))*EXP(-(LN(2)/$D$65+0.04)*AF183)*EXP(-(LN(2)/$D$65+0.1)*AG183),IF(AD183=3,AJ$100*EXP(-(LN(2)/$D$65+0.04)*(VLOOKUP(($F$16-$F$15)-1,AC$100:AG183,4,FALSE)))*EXP(-(LN(2)/$D$65+0.1)*(VLOOKUP(($F$16-$F$15)-1,AC$100:AG183,5,FALSE)))*EXP(-(LN(2)/$D$65+0.04)*(VLOOKUP(($F$16-$F$15)*2-1,AC$100:AG183,4,FALSE)))*EXP(-(LN(2)/$D$65+0.1)*(VLOOKUP(($F$16-$F$15)*2-1,AC$100:AG183,5,FALSE)))*EXP(-(LN(2)/$D$65+0.04)*AF183)*EXP(-(LN(2)/$D$65+0.1)*AG183),"-"))),"-")</f>
        <v>-</v>
      </c>
      <c r="AK183" s="227">
        <f t="shared" si="137"/>
        <v>83</v>
      </c>
      <c r="AL183" s="226" t="str">
        <f t="shared" si="111"/>
        <v>-</v>
      </c>
      <c r="AM183" s="227" t="str">
        <f t="shared" si="138"/>
        <v>-</v>
      </c>
      <c r="AN183" s="227" t="str">
        <f t="shared" si="139"/>
        <v>-</v>
      </c>
      <c r="AO183" s="227" t="str">
        <f t="shared" si="112"/>
        <v>-</v>
      </c>
      <c r="AP183" s="273">
        <f t="shared" si="140"/>
        <v>0.1</v>
      </c>
      <c r="AQ183" s="271" t="str">
        <f>IFERROR(IF(AL182=1,AQ$100*EXP(-(LN(2)/$D$65+0.04)*AN182)*EXP(-(LN(2)/$D$65+0.1)*AO182),IF(AL182=2,AQ$100*EXP(-(LN(2)/$D$65+0.04)*(VLOOKUP(($F$16-$F$15)-1,AK$99:AO182,4,FALSE)))*EXP(-(LN(2)/$D$65+0.1)*(VLOOKUP(($F$16-$F$15)-1,AK$99:AO182,5,FALSE)))*EXP(-(LN(2)/$D$65+0.04)*AN182)*EXP(-(LN(2)/$D$65+0.1)*AO182),IF(AL182=3,AQ$100*EXP(-(LN(2)/$D$65+0.04)*(VLOOKUP(($F$16-$F$15)-1,AK$99:AO182,4,FALSE)))*EXP(-(LN(2)/$D$65+0.1)*(VLOOKUP(($F$16-$F$15)-1,AK$99:AO182,5,FALSE)))*EXP(-(LN(2)/$D$65+0.04)*(VLOOKUP(($F$16-$F$15)*2-1,AK$99:AO182,4,FALSE)))*EXP(-(LN(2)/$D$65+0.1)*(VLOOKUP(($F$16-$F$15)*2-1,AK$99:AO182,5,FALSE)))*EXP(-(LN(2)/$D$65+0.04)*AN182)*EXP(-(LN(2)/$D$65+0.1)*AO182),"-"))),"-")</f>
        <v>-</v>
      </c>
      <c r="AR183" s="271" t="str">
        <f>IFERROR(IF(AL183=1,AR$100*EXP(-(LN(2)/$D$65+0.04)*AN183)*EXP(-(LN(2)/$D$65+0.1)*AO183),IF(AL183=2,AR$100*EXP(-(LN(2)/$D$65+0.04)*(VLOOKUP(($F$16-$F$15)-1,AK$100:AO183,4,FALSE)))*EXP(-(LN(2)/$D$65+0.1)*(VLOOKUP(($F$16-$F$15)-1,AK$100:AO183,5,FALSE)))*EXP(-(LN(2)/$D$65+0.04)*AN183)*EXP(-(LN(2)/$D$65+0.1)*AO183),IF(AL183=3,AR$100*EXP(-(LN(2)/$D$65+0.04)*(VLOOKUP(($F$16-$F$15)-1,AK$100:AO183,4,FALSE)))*EXP(-(LN(2)/$D$65+0.1)*(VLOOKUP(($F$16-$F$15)-1,AK$100:AO183,5,FALSE)))*EXP(-(LN(2)/$D$65+0.04)*(VLOOKUP(($F$16-$F$15)*2-1,AK$100:AO183,4,FALSE)))*EXP(-(LN(2)/$D$65+0.1)*(VLOOKUP(($F$16-$F$15)*2-1,AK$100:AO183,5,FALSE)))*EXP(-(LN(2)/$D$65+0.04)*AN183)*EXP(-(LN(2)/$D$65+0.1)*AO183),"-"))),"-")</f>
        <v>-</v>
      </c>
      <c r="AS183" s="274">
        <f t="shared" si="113"/>
        <v>0</v>
      </c>
      <c r="AT183" s="274">
        <f t="shared" si="114"/>
        <v>0</v>
      </c>
      <c r="AU183" s="274">
        <f t="shared" si="115"/>
        <v>0</v>
      </c>
      <c r="AV183" s="190">
        <f>IF($B183&lt;$F$22,SUM($T$100:$T183),"")</f>
        <v>0</v>
      </c>
      <c r="AW183" s="190" t="str">
        <f t="shared" si="116"/>
        <v>-</v>
      </c>
      <c r="AX183" s="190" t="str">
        <f t="shared" si="141"/>
        <v/>
      </c>
      <c r="AY183"/>
      <c r="AZ183" s="190" t="str">
        <f ca="1">IF(ISNUMBER(OFFSET(AV183,-$F$21,0)),SUM(OFFSET($T$100,$F$21,0):$T183),"")</f>
        <v/>
      </c>
      <c r="BA183" s="190" t="str">
        <f t="shared" ca="1" si="117"/>
        <v/>
      </c>
      <c r="BB183" s="190" t="str">
        <f t="shared" ca="1" si="70"/>
        <v/>
      </c>
      <c r="BC183" s="190"/>
      <c r="BD183" s="190" t="str">
        <f ca="1">IFERROR(IF(AND($B183&gt;=($F$16-$F$15),$B183&lt;$F$22+($F$16-$F$15)),SUM(OFFSET($T$100,($F$16-$F$15),0):$T183),""),"")</f>
        <v/>
      </c>
      <c r="BE183" s="190" t="str">
        <f t="shared" ca="1" si="142"/>
        <v/>
      </c>
      <c r="BF183" s="190" t="str">
        <f t="shared" ca="1" si="143"/>
        <v/>
      </c>
      <c r="BG183"/>
      <c r="BH183" s="190" t="str">
        <f ca="1">IF(ISNUMBER(OFFSET(BD183,-$F$21,0)),SUM(OFFSET($T$100,($F$16-$F$15+$F$21),0):$T183),"")</f>
        <v/>
      </c>
      <c r="BI183" s="190" t="str">
        <f t="shared" ca="1" si="118"/>
        <v/>
      </c>
      <c r="BJ183" s="190" t="str">
        <f t="shared" ca="1" si="144"/>
        <v/>
      </c>
      <c r="BK183" s="190"/>
      <c r="BL183" s="190" t="str">
        <f ca="1">IFERROR(IF(AND($B183&gt;=($F$17-$F$15),$B183&lt;$F$22+($F$17-$F$15)),SUM(OFFSET($T$100,($F$17-$F$15),0):$T183),""),"")</f>
        <v/>
      </c>
      <c r="BM183" s="190" t="str">
        <f t="shared" ca="1" si="119"/>
        <v/>
      </c>
      <c r="BN183" s="190" t="str">
        <f t="shared" ca="1" si="145"/>
        <v/>
      </c>
      <c r="BO183"/>
      <c r="BP183" s="190" t="str">
        <f ca="1">IF(ISNUMBER(OFFSET(BL183,-$F$21,0)),SUM(OFFSET($T$100,($F$17-$F$15+$F$21),0):$T183),"")</f>
        <v/>
      </c>
      <c r="BQ183" s="190" t="str">
        <f t="shared" ca="1" si="120"/>
        <v/>
      </c>
      <c r="BR183" s="190" t="str">
        <f t="shared" ca="1" si="146"/>
        <v/>
      </c>
      <c r="BS183" s="190"/>
      <c r="BT183"/>
      <c r="BU183"/>
      <c r="BV183"/>
      <c r="BY183" s="99"/>
      <c r="BZ183" s="99"/>
      <c r="CA183" s="280" t="str">
        <f t="shared" si="121"/>
        <v/>
      </c>
      <c r="CB183" s="71" t="str">
        <f t="shared" si="122"/>
        <v>-</v>
      </c>
      <c r="CC183" s="33"/>
      <c r="CD183" s="261" t="str">
        <f t="shared" si="123"/>
        <v/>
      </c>
      <c r="CE183" s="280" t="str">
        <f t="shared" si="124"/>
        <v>-</v>
      </c>
      <c r="CF183" s="71" t="str">
        <f t="shared" ca="1" si="125"/>
        <v>-</v>
      </c>
      <c r="CG183" s="33" t="str">
        <f t="shared" si="126"/>
        <v>83-84</v>
      </c>
      <c r="CH183" s="261" t="str">
        <f t="shared" ca="1" si="127"/>
        <v/>
      </c>
      <c r="CI183" s="99"/>
      <c r="CJ183" s="99"/>
      <c r="CK183" s="99"/>
      <c r="CL183" s="99"/>
      <c r="CM183" s="99"/>
      <c r="CN183" s="99"/>
      <c r="CO183" s="99"/>
    </row>
    <row r="184" spans="2:93" ht="13.5" customHeight="1" x14ac:dyDescent="0.2">
      <c r="B184" s="262">
        <v>84</v>
      </c>
      <c r="C184" s="237" t="str">
        <f t="shared" si="91"/>
        <v/>
      </c>
      <c r="D184" s="237" t="str">
        <f t="shared" si="147"/>
        <v>-</v>
      </c>
      <c r="E184" s="263" t="str">
        <f t="shared" si="128"/>
        <v/>
      </c>
      <c r="F184" s="264" t="str">
        <f t="shared" si="129"/>
        <v/>
      </c>
      <c r="G184" s="306" t="str">
        <f t="shared" si="130"/>
        <v/>
      </c>
      <c r="H184" s="240" t="str">
        <f t="shared" si="92"/>
        <v/>
      </c>
      <c r="I184" s="265" t="str">
        <f t="shared" si="93"/>
        <v/>
      </c>
      <c r="J184" s="265" t="str">
        <f t="shared" si="94"/>
        <v/>
      </c>
      <c r="K184" s="240" t="str">
        <f t="shared" si="95"/>
        <v/>
      </c>
      <c r="L184" s="265" t="str">
        <f t="shared" si="96"/>
        <v/>
      </c>
      <c r="M184" s="265" t="str">
        <f t="shared" si="97"/>
        <v/>
      </c>
      <c r="N184" s="240" t="str">
        <f t="shared" si="98"/>
        <v>-</v>
      </c>
      <c r="O184" s="265" t="str">
        <f t="shared" si="99"/>
        <v>-</v>
      </c>
      <c r="P184" s="265" t="str">
        <f t="shared" si="100"/>
        <v>-</v>
      </c>
      <c r="Q184" s="266" t="str">
        <f t="shared" si="101"/>
        <v>-</v>
      </c>
      <c r="R184" s="267" t="str">
        <f t="shared" si="102"/>
        <v>-</v>
      </c>
      <c r="S184" s="268" t="str">
        <f t="shared" si="103"/>
        <v>-</v>
      </c>
      <c r="T184" s="269" t="str">
        <f t="shared" si="104"/>
        <v/>
      </c>
      <c r="U184" s="221">
        <f t="shared" si="105"/>
        <v>84</v>
      </c>
      <c r="V184" s="220" t="str">
        <f t="shared" si="131"/>
        <v>-</v>
      </c>
      <c r="W184" s="221" t="str">
        <f t="shared" si="132"/>
        <v>-</v>
      </c>
      <c r="X184" s="221" t="str">
        <f t="shared" si="106"/>
        <v>-</v>
      </c>
      <c r="Y184" s="221" t="str">
        <f t="shared" si="107"/>
        <v>-</v>
      </c>
      <c r="Z184" s="270">
        <f t="shared" si="133"/>
        <v>0.1</v>
      </c>
      <c r="AA184" s="271" t="str">
        <f>IFERROR(IF(V183=1,AA$100*EXP(-(LN(2)/$D$65+0.04)*X183)*EXP(-(LN(2)/$D$65+0.1)*Y183),IF(V183=2,AA$100*EXP(-(LN(2)/$D$65+0.04)*(VLOOKUP(($F$16-$F$15)-1,U$99:Y183,4,FALSE)))*EXP(-(LN(2)/$D$65+0.1)*(VLOOKUP(($F$16-$F$15)-1,U$99:Y183,5,FALSE)))*EXP(-(LN(2)/$D$65+0.04)*X183)*EXP(-(LN(2)/$D$65+0.1)*Y183),IF(V183=3,AA$100*EXP(-(LN(2)/$D$65+0.04)*(VLOOKUP(($F$16-$F$15)-1,U$99:Y183,4,FALSE)))*EXP(-(LN(2)/$D$65+0.1)*(VLOOKUP(($F$16-$F$15)-1,U$99:Y183,5,FALSE)))*EXP(-(LN(2)/$D$65+0.04)*(VLOOKUP(($F$16-$F$15)*2-1,U$99:Y183,4,FALSE)))*EXP(-(LN(2)/$D$65+0.1)*(VLOOKUP(($F$16-$F$15)*2-1,U$99:Y183,5,FALSE)))*EXP(-(LN(2)/$D$65+0.04)*X183)*EXP(-(LN(2)/$D$65+0.1)*Y183),"-"))),"-")</f>
        <v>-</v>
      </c>
      <c r="AB184" s="271" t="str">
        <f>IFERROR(IF(V184=1,AB$100*EXP(-(LN(2)/$D$65+0.04)*X184)*EXP(-(LN(2)/$D$65+0.1)*Y184),IF(V184=2,AB$100*EXP(-(LN(2)/$D$65+0.04)*(VLOOKUP(($F$16-$F$15)-1,U$100:Y184,4,FALSE)))*EXP(-(LN(2)/$D$65+0.1)*(VLOOKUP(($F$16-$F$15)-1,U$100:Y184,5,FALSE)))*EXP(-(LN(2)/$D$65+0.04)*X184)*EXP(-(LN(2)/$D$65+0.1)*Y184),IF(V184=3,AB$100*EXP(-(LN(2)/$D$65+0.04)*(VLOOKUP(($F$16-$F$15)-1,U$100:Y184,4,FALSE)))*EXP(-(LN(2)/$D$65+0.1)*(VLOOKUP(($F$16-$F$15)-1,U$100:Y184,5,FALSE)))*EXP(-(LN(2)/$D$65+0.04)*(VLOOKUP(($F$16-$F$15)*2-1,U$100:Y184,4,FALSE)))*EXP(-(LN(2)/$D$65+0.1)*(VLOOKUP(($F$16-$F$15)*2-1,U$100:Y184,5,FALSE)))*EXP(-(LN(2)/$D$65+0.04)*X184)*EXP(-(LN(2)/$D$65+0.1)*Y184),"-"))),"-")</f>
        <v>-</v>
      </c>
      <c r="AC184" s="224">
        <f t="shared" si="134"/>
        <v>84</v>
      </c>
      <c r="AD184" s="223" t="str">
        <f t="shared" si="108"/>
        <v>-</v>
      </c>
      <c r="AE184" s="224" t="str">
        <f t="shared" si="135"/>
        <v>-</v>
      </c>
      <c r="AF184" s="224" t="str">
        <f t="shared" si="109"/>
        <v>-</v>
      </c>
      <c r="AG184" s="224" t="str">
        <f t="shared" si="110"/>
        <v>-</v>
      </c>
      <c r="AH184" s="272">
        <f t="shared" si="136"/>
        <v>0.1</v>
      </c>
      <c r="AI184" s="271" t="str">
        <f>IFERROR(IF(AD183=1,AI$100*EXP(-(LN(2)/$D$65+0.04)*AF183)*EXP(-(LN(2)/$D$65+0.1)*AG183),IF(AD183=2,AI$100*EXP(-(LN(2)/$D$65+0.04)*(VLOOKUP(($F$16-$F$15)-1,AC$99:AG183,4,FALSE)))*EXP(-(LN(2)/$D$65+0.1)*(VLOOKUP(($F$16-$F$15)-1,AC$99:AG183,5,FALSE)))*EXP(-(LN(2)/$D$65+0.04)*AF183)*EXP(-(LN(2)/$D$65+0.1)*AG183),IF(AD183=3,AI$100*EXP(-(LN(2)/$D$65+0.04)*(VLOOKUP(($F$16-$F$15)-1,AC$99:AG183,4,FALSE)))*EXP(-(LN(2)/$D$65+0.1)*(VLOOKUP(($F$16-$F$15)-1,AC$99:AG183,5,FALSE)))*EXP(-(LN(2)/$D$65+0.04)*(VLOOKUP(($F$16-$F$15)*2-1,AC$99:AG183,4,FALSE)))*EXP(-(LN(2)/$D$65+0.1)*(VLOOKUP(($F$16-$F$15)*2-1,AC$99:AG183,5,FALSE)))*EXP(-(LN(2)/$D$65+0.04)*AF183)*EXP(-(LN(2)/$D$65+0.1)*AG183),"-"))),"-")</f>
        <v>-</v>
      </c>
      <c r="AJ184" s="271" t="str">
        <f>IFERROR(IF(AD184=1,AJ$100*EXP(-(LN(2)/$D$65+0.04)*AF184)*EXP(-(LN(2)/$D$65+0.1)*AG184),IF(AD184=2,AJ$100*EXP(-(LN(2)/$D$65+0.04)*(VLOOKUP(($F$16-$F$15)-1,AC$100:AG184,4,FALSE)))*EXP(-(LN(2)/$D$65+0.1)*(VLOOKUP(($F$16-$F$15)-1,AC$100:AG184,5,FALSE)))*EXP(-(LN(2)/$D$65+0.04)*AF184)*EXP(-(LN(2)/$D$65+0.1)*AG184),IF(AD184=3,AJ$100*EXP(-(LN(2)/$D$65+0.04)*(VLOOKUP(($F$16-$F$15)-1,AC$100:AG184,4,FALSE)))*EXP(-(LN(2)/$D$65+0.1)*(VLOOKUP(($F$16-$F$15)-1,AC$100:AG184,5,FALSE)))*EXP(-(LN(2)/$D$65+0.04)*(VLOOKUP(($F$16-$F$15)*2-1,AC$100:AG184,4,FALSE)))*EXP(-(LN(2)/$D$65+0.1)*(VLOOKUP(($F$16-$F$15)*2-1,AC$100:AG184,5,FALSE)))*EXP(-(LN(2)/$D$65+0.04)*AF184)*EXP(-(LN(2)/$D$65+0.1)*AG184),"-"))),"-")</f>
        <v>-</v>
      </c>
      <c r="AK184" s="227">
        <f t="shared" si="137"/>
        <v>84</v>
      </c>
      <c r="AL184" s="226" t="str">
        <f t="shared" si="111"/>
        <v>-</v>
      </c>
      <c r="AM184" s="227" t="str">
        <f t="shared" si="138"/>
        <v>-</v>
      </c>
      <c r="AN184" s="227" t="str">
        <f t="shared" si="139"/>
        <v>-</v>
      </c>
      <c r="AO184" s="227" t="str">
        <f t="shared" si="112"/>
        <v>-</v>
      </c>
      <c r="AP184" s="273">
        <f t="shared" si="140"/>
        <v>0.1</v>
      </c>
      <c r="AQ184" s="271" t="str">
        <f>IFERROR(IF(AL183=1,AQ$100*EXP(-(LN(2)/$D$65+0.04)*AN183)*EXP(-(LN(2)/$D$65+0.1)*AO183),IF(AL183=2,AQ$100*EXP(-(LN(2)/$D$65+0.04)*(VLOOKUP(($F$16-$F$15)-1,AK$99:AO183,4,FALSE)))*EXP(-(LN(2)/$D$65+0.1)*(VLOOKUP(($F$16-$F$15)-1,AK$99:AO183,5,FALSE)))*EXP(-(LN(2)/$D$65+0.04)*AN183)*EXP(-(LN(2)/$D$65+0.1)*AO183),IF(AL183=3,AQ$100*EXP(-(LN(2)/$D$65+0.04)*(VLOOKUP(($F$16-$F$15)-1,AK$99:AO183,4,FALSE)))*EXP(-(LN(2)/$D$65+0.1)*(VLOOKUP(($F$16-$F$15)-1,AK$99:AO183,5,FALSE)))*EXP(-(LN(2)/$D$65+0.04)*(VLOOKUP(($F$16-$F$15)*2-1,AK$99:AO183,4,FALSE)))*EXP(-(LN(2)/$D$65+0.1)*(VLOOKUP(($F$16-$F$15)*2-1,AK$99:AO183,5,FALSE)))*EXP(-(LN(2)/$D$65+0.04)*AN183)*EXP(-(LN(2)/$D$65+0.1)*AO183),"-"))),"-")</f>
        <v>-</v>
      </c>
      <c r="AR184" s="271" t="str">
        <f>IFERROR(IF(AL184=1,AR$100*EXP(-(LN(2)/$D$65+0.04)*AN184)*EXP(-(LN(2)/$D$65+0.1)*AO184),IF(AL184=2,AR$100*EXP(-(LN(2)/$D$65+0.04)*(VLOOKUP(($F$16-$F$15)-1,AK$100:AO184,4,FALSE)))*EXP(-(LN(2)/$D$65+0.1)*(VLOOKUP(($F$16-$F$15)-1,AK$100:AO184,5,FALSE)))*EXP(-(LN(2)/$D$65+0.04)*AN184)*EXP(-(LN(2)/$D$65+0.1)*AO184),IF(AL184=3,AR$100*EXP(-(LN(2)/$D$65+0.04)*(VLOOKUP(($F$16-$F$15)-1,AK$100:AO184,4,FALSE)))*EXP(-(LN(2)/$D$65+0.1)*(VLOOKUP(($F$16-$F$15)-1,AK$100:AO184,5,FALSE)))*EXP(-(LN(2)/$D$65+0.04)*(VLOOKUP(($F$16-$F$15)*2-1,AK$100:AO184,4,FALSE)))*EXP(-(LN(2)/$D$65+0.1)*(VLOOKUP(($F$16-$F$15)*2-1,AK$100:AO184,5,FALSE)))*EXP(-(LN(2)/$D$65+0.04)*AN184)*EXP(-(LN(2)/$D$65+0.1)*AO184),"-"))),"-")</f>
        <v>-</v>
      </c>
      <c r="AS184" s="274">
        <f t="shared" si="113"/>
        <v>0</v>
      </c>
      <c r="AT184" s="274">
        <f t="shared" si="114"/>
        <v>0</v>
      </c>
      <c r="AU184" s="274">
        <f t="shared" si="115"/>
        <v>0</v>
      </c>
      <c r="AV184" s="190">
        <f>IF($B184&lt;$F$22,SUM($T$100:$T184),"")</f>
        <v>0</v>
      </c>
      <c r="AW184" s="190" t="str">
        <f t="shared" si="116"/>
        <v>-</v>
      </c>
      <c r="AX184" s="190" t="str">
        <f t="shared" si="141"/>
        <v/>
      </c>
      <c r="AY184"/>
      <c r="AZ184" s="190" t="str">
        <f ca="1">IF(ISNUMBER(OFFSET(AV184,-$F$21,0)),SUM(OFFSET($T$100,$F$21,0):$T184),"")</f>
        <v/>
      </c>
      <c r="BA184" s="190" t="str">
        <f t="shared" ca="1" si="117"/>
        <v/>
      </c>
      <c r="BB184" s="190" t="str">
        <f t="shared" ca="1" si="70"/>
        <v/>
      </c>
      <c r="BC184" s="190"/>
      <c r="BD184" s="190" t="str">
        <f ca="1">IFERROR(IF(AND($B184&gt;=($F$16-$F$15),$B184&lt;$F$22+($F$16-$F$15)),SUM(OFFSET($T$100,($F$16-$F$15),0):$T184),""),"")</f>
        <v/>
      </c>
      <c r="BE184" s="190" t="str">
        <f t="shared" ca="1" si="142"/>
        <v/>
      </c>
      <c r="BF184" s="190" t="str">
        <f t="shared" ca="1" si="143"/>
        <v/>
      </c>
      <c r="BG184"/>
      <c r="BH184" s="190" t="str">
        <f ca="1">IF(ISNUMBER(OFFSET(BD184,-$F$21,0)),SUM(OFFSET($T$100,($F$16-$F$15+$F$21),0):$T184),"")</f>
        <v/>
      </c>
      <c r="BI184" s="190" t="str">
        <f t="shared" ca="1" si="118"/>
        <v/>
      </c>
      <c r="BJ184" s="190" t="str">
        <f t="shared" ca="1" si="144"/>
        <v/>
      </c>
      <c r="BK184" s="190"/>
      <c r="BL184" s="190" t="str">
        <f ca="1">IFERROR(IF(AND($B184&gt;=($F$17-$F$15),$B184&lt;$F$22+($F$17-$F$15)),SUM(OFFSET($T$100,($F$17-$F$15),0):$T184),""),"")</f>
        <v/>
      </c>
      <c r="BM184" s="190" t="str">
        <f t="shared" ca="1" si="119"/>
        <v/>
      </c>
      <c r="BN184" s="190" t="str">
        <f t="shared" ca="1" si="145"/>
        <v/>
      </c>
      <c r="BO184"/>
      <c r="BP184" s="190" t="str">
        <f ca="1">IF(ISNUMBER(OFFSET(BL184,-$F$21,0)),SUM(OFFSET($T$100,($F$17-$F$15+$F$21),0):$T184),"")</f>
        <v/>
      </c>
      <c r="BQ184" s="190" t="str">
        <f t="shared" ca="1" si="120"/>
        <v/>
      </c>
      <c r="BR184" s="190" t="str">
        <f t="shared" ca="1" si="146"/>
        <v/>
      </c>
      <c r="BS184" s="190"/>
      <c r="BT184"/>
      <c r="BU184"/>
      <c r="BV184"/>
      <c r="BY184" s="99"/>
      <c r="BZ184" s="99"/>
      <c r="CA184" s="280" t="str">
        <f t="shared" si="121"/>
        <v/>
      </c>
      <c r="CB184" s="71" t="str">
        <f t="shared" si="122"/>
        <v>-</v>
      </c>
      <c r="CC184" s="33"/>
      <c r="CD184" s="261" t="str">
        <f t="shared" si="123"/>
        <v/>
      </c>
      <c r="CE184" s="280" t="str">
        <f t="shared" si="124"/>
        <v>-</v>
      </c>
      <c r="CF184" s="71" t="str">
        <f t="shared" ca="1" si="125"/>
        <v>-</v>
      </c>
      <c r="CG184" s="33" t="str">
        <f t="shared" si="126"/>
        <v>84-85</v>
      </c>
      <c r="CH184" s="261" t="str">
        <f t="shared" ca="1" si="127"/>
        <v/>
      </c>
      <c r="CI184" s="99"/>
      <c r="CJ184" s="99"/>
      <c r="CK184" s="99"/>
      <c r="CL184" s="99"/>
      <c r="CM184" s="99"/>
      <c r="CN184" s="99"/>
      <c r="CO184" s="99"/>
    </row>
    <row r="185" spans="2:93" ht="13.5" customHeight="1" x14ac:dyDescent="0.2">
      <c r="B185" s="262">
        <v>85</v>
      </c>
      <c r="C185" s="237" t="str">
        <f t="shared" si="91"/>
        <v/>
      </c>
      <c r="D185" s="237" t="str">
        <f t="shared" si="147"/>
        <v>-</v>
      </c>
      <c r="E185" s="263" t="str">
        <f t="shared" si="128"/>
        <v/>
      </c>
      <c r="F185" s="264" t="str">
        <f t="shared" si="129"/>
        <v/>
      </c>
      <c r="G185" s="306" t="str">
        <f t="shared" si="130"/>
        <v/>
      </c>
      <c r="H185" s="240" t="str">
        <f t="shared" si="92"/>
        <v/>
      </c>
      <c r="I185" s="265" t="str">
        <f t="shared" si="93"/>
        <v/>
      </c>
      <c r="J185" s="265" t="str">
        <f t="shared" si="94"/>
        <v/>
      </c>
      <c r="K185" s="240" t="str">
        <f t="shared" si="95"/>
        <v/>
      </c>
      <c r="L185" s="265" t="str">
        <f t="shared" si="96"/>
        <v/>
      </c>
      <c r="M185" s="265" t="str">
        <f t="shared" si="97"/>
        <v/>
      </c>
      <c r="N185" s="240" t="str">
        <f t="shared" si="98"/>
        <v>-</v>
      </c>
      <c r="O185" s="265" t="str">
        <f t="shared" si="99"/>
        <v>-</v>
      </c>
      <c r="P185" s="265" t="str">
        <f t="shared" si="100"/>
        <v>-</v>
      </c>
      <c r="Q185" s="266" t="str">
        <f t="shared" si="101"/>
        <v>-</v>
      </c>
      <c r="R185" s="267" t="str">
        <f t="shared" si="102"/>
        <v>-</v>
      </c>
      <c r="S185" s="268" t="str">
        <f t="shared" si="103"/>
        <v>-</v>
      </c>
      <c r="T185" s="269" t="str">
        <f t="shared" si="104"/>
        <v/>
      </c>
      <c r="U185" s="221">
        <f t="shared" si="105"/>
        <v>85</v>
      </c>
      <c r="V185" s="220" t="str">
        <f t="shared" si="131"/>
        <v>-</v>
      </c>
      <c r="W185" s="221" t="str">
        <f t="shared" si="132"/>
        <v>-</v>
      </c>
      <c r="X185" s="221" t="str">
        <f t="shared" si="106"/>
        <v>-</v>
      </c>
      <c r="Y185" s="221" t="str">
        <f t="shared" si="107"/>
        <v>-</v>
      </c>
      <c r="Z185" s="270">
        <f t="shared" si="133"/>
        <v>0.1</v>
      </c>
      <c r="AA185" s="271" t="str">
        <f>IFERROR(IF(V184=1,AA$100*EXP(-(LN(2)/$D$65+0.04)*X184)*EXP(-(LN(2)/$D$65+0.1)*Y184),IF(V184=2,AA$100*EXP(-(LN(2)/$D$65+0.04)*(VLOOKUP(($F$16-$F$15)-1,U$99:Y184,4,FALSE)))*EXP(-(LN(2)/$D$65+0.1)*(VLOOKUP(($F$16-$F$15)-1,U$99:Y184,5,FALSE)))*EXP(-(LN(2)/$D$65+0.04)*X184)*EXP(-(LN(2)/$D$65+0.1)*Y184),IF(V184=3,AA$100*EXP(-(LN(2)/$D$65+0.04)*(VLOOKUP(($F$16-$F$15)-1,U$99:Y184,4,FALSE)))*EXP(-(LN(2)/$D$65+0.1)*(VLOOKUP(($F$16-$F$15)-1,U$99:Y184,5,FALSE)))*EXP(-(LN(2)/$D$65+0.04)*(VLOOKUP(($F$16-$F$15)*2-1,U$99:Y184,4,FALSE)))*EXP(-(LN(2)/$D$65+0.1)*(VLOOKUP(($F$16-$F$15)*2-1,U$99:Y184,5,FALSE)))*EXP(-(LN(2)/$D$65+0.04)*X184)*EXP(-(LN(2)/$D$65+0.1)*Y184),"-"))),"-")</f>
        <v>-</v>
      </c>
      <c r="AB185" s="271" t="str">
        <f>IFERROR(IF(V185=1,AB$100*EXP(-(LN(2)/$D$65+0.04)*X185)*EXP(-(LN(2)/$D$65+0.1)*Y185),IF(V185=2,AB$100*EXP(-(LN(2)/$D$65+0.04)*(VLOOKUP(($F$16-$F$15)-1,U$100:Y185,4,FALSE)))*EXP(-(LN(2)/$D$65+0.1)*(VLOOKUP(($F$16-$F$15)-1,U$100:Y185,5,FALSE)))*EXP(-(LN(2)/$D$65+0.04)*X185)*EXP(-(LN(2)/$D$65+0.1)*Y185),IF(V185=3,AB$100*EXP(-(LN(2)/$D$65+0.04)*(VLOOKUP(($F$16-$F$15)-1,U$100:Y185,4,FALSE)))*EXP(-(LN(2)/$D$65+0.1)*(VLOOKUP(($F$16-$F$15)-1,U$100:Y185,5,FALSE)))*EXP(-(LN(2)/$D$65+0.04)*(VLOOKUP(($F$16-$F$15)*2-1,U$100:Y185,4,FALSE)))*EXP(-(LN(2)/$D$65+0.1)*(VLOOKUP(($F$16-$F$15)*2-1,U$100:Y185,5,FALSE)))*EXP(-(LN(2)/$D$65+0.04)*X185)*EXP(-(LN(2)/$D$65+0.1)*Y185),"-"))),"-")</f>
        <v>-</v>
      </c>
      <c r="AC185" s="224">
        <f t="shared" si="134"/>
        <v>85</v>
      </c>
      <c r="AD185" s="223" t="str">
        <f t="shared" si="108"/>
        <v>-</v>
      </c>
      <c r="AE185" s="224" t="str">
        <f t="shared" si="135"/>
        <v>-</v>
      </c>
      <c r="AF185" s="224" t="str">
        <f t="shared" si="109"/>
        <v>-</v>
      </c>
      <c r="AG185" s="224" t="str">
        <f t="shared" si="110"/>
        <v>-</v>
      </c>
      <c r="AH185" s="272">
        <f t="shared" si="136"/>
        <v>0.1</v>
      </c>
      <c r="AI185" s="271" t="str">
        <f>IFERROR(IF(AD184=1,AI$100*EXP(-(LN(2)/$D$65+0.04)*AF184)*EXP(-(LN(2)/$D$65+0.1)*AG184),IF(AD184=2,AI$100*EXP(-(LN(2)/$D$65+0.04)*(VLOOKUP(($F$16-$F$15)-1,AC$99:AG184,4,FALSE)))*EXP(-(LN(2)/$D$65+0.1)*(VLOOKUP(($F$16-$F$15)-1,AC$99:AG184,5,FALSE)))*EXP(-(LN(2)/$D$65+0.04)*AF184)*EXP(-(LN(2)/$D$65+0.1)*AG184),IF(AD184=3,AI$100*EXP(-(LN(2)/$D$65+0.04)*(VLOOKUP(($F$16-$F$15)-1,AC$99:AG184,4,FALSE)))*EXP(-(LN(2)/$D$65+0.1)*(VLOOKUP(($F$16-$F$15)-1,AC$99:AG184,5,FALSE)))*EXP(-(LN(2)/$D$65+0.04)*(VLOOKUP(($F$16-$F$15)*2-1,AC$99:AG184,4,FALSE)))*EXP(-(LN(2)/$D$65+0.1)*(VLOOKUP(($F$16-$F$15)*2-1,AC$99:AG184,5,FALSE)))*EXP(-(LN(2)/$D$65+0.04)*AF184)*EXP(-(LN(2)/$D$65+0.1)*AG184),"-"))),"-")</f>
        <v>-</v>
      </c>
      <c r="AJ185" s="271" t="str">
        <f>IFERROR(IF(AD185=1,AJ$100*EXP(-(LN(2)/$D$65+0.04)*AF185)*EXP(-(LN(2)/$D$65+0.1)*AG185),IF(AD185=2,AJ$100*EXP(-(LN(2)/$D$65+0.04)*(VLOOKUP(($F$16-$F$15)-1,AC$100:AG185,4,FALSE)))*EXP(-(LN(2)/$D$65+0.1)*(VLOOKUP(($F$16-$F$15)-1,AC$100:AG185,5,FALSE)))*EXP(-(LN(2)/$D$65+0.04)*AF185)*EXP(-(LN(2)/$D$65+0.1)*AG185),IF(AD185=3,AJ$100*EXP(-(LN(2)/$D$65+0.04)*(VLOOKUP(($F$16-$F$15)-1,AC$100:AG185,4,FALSE)))*EXP(-(LN(2)/$D$65+0.1)*(VLOOKUP(($F$16-$F$15)-1,AC$100:AG185,5,FALSE)))*EXP(-(LN(2)/$D$65+0.04)*(VLOOKUP(($F$16-$F$15)*2-1,AC$100:AG185,4,FALSE)))*EXP(-(LN(2)/$D$65+0.1)*(VLOOKUP(($F$16-$F$15)*2-1,AC$100:AG185,5,FALSE)))*EXP(-(LN(2)/$D$65+0.04)*AF185)*EXP(-(LN(2)/$D$65+0.1)*AG185),"-"))),"-")</f>
        <v>-</v>
      </c>
      <c r="AK185" s="227">
        <f t="shared" si="137"/>
        <v>85</v>
      </c>
      <c r="AL185" s="226" t="str">
        <f t="shared" si="111"/>
        <v>-</v>
      </c>
      <c r="AM185" s="227" t="str">
        <f t="shared" si="138"/>
        <v>-</v>
      </c>
      <c r="AN185" s="227" t="str">
        <f t="shared" si="139"/>
        <v>-</v>
      </c>
      <c r="AO185" s="227" t="str">
        <f t="shared" si="112"/>
        <v>-</v>
      </c>
      <c r="AP185" s="273">
        <f t="shared" si="140"/>
        <v>0.1</v>
      </c>
      <c r="AQ185" s="271" t="str">
        <f>IFERROR(IF(AL184=1,AQ$100*EXP(-(LN(2)/$D$65+0.04)*AN184)*EXP(-(LN(2)/$D$65+0.1)*AO184),IF(AL184=2,AQ$100*EXP(-(LN(2)/$D$65+0.04)*(VLOOKUP(($F$16-$F$15)-1,AK$99:AO184,4,FALSE)))*EXP(-(LN(2)/$D$65+0.1)*(VLOOKUP(($F$16-$F$15)-1,AK$99:AO184,5,FALSE)))*EXP(-(LN(2)/$D$65+0.04)*AN184)*EXP(-(LN(2)/$D$65+0.1)*AO184),IF(AL184=3,AQ$100*EXP(-(LN(2)/$D$65+0.04)*(VLOOKUP(($F$16-$F$15)-1,AK$99:AO184,4,FALSE)))*EXP(-(LN(2)/$D$65+0.1)*(VLOOKUP(($F$16-$F$15)-1,AK$99:AO184,5,FALSE)))*EXP(-(LN(2)/$D$65+0.04)*(VLOOKUP(($F$16-$F$15)*2-1,AK$99:AO184,4,FALSE)))*EXP(-(LN(2)/$D$65+0.1)*(VLOOKUP(($F$16-$F$15)*2-1,AK$99:AO184,5,FALSE)))*EXP(-(LN(2)/$D$65+0.04)*AN184)*EXP(-(LN(2)/$D$65+0.1)*AO184),"-"))),"-")</f>
        <v>-</v>
      </c>
      <c r="AR185" s="271" t="str">
        <f>IFERROR(IF(AL185=1,AR$100*EXP(-(LN(2)/$D$65+0.04)*AN185)*EXP(-(LN(2)/$D$65+0.1)*AO185),IF(AL185=2,AR$100*EXP(-(LN(2)/$D$65+0.04)*(VLOOKUP(($F$16-$F$15)-1,AK$100:AO185,4,FALSE)))*EXP(-(LN(2)/$D$65+0.1)*(VLOOKUP(($F$16-$F$15)-1,AK$100:AO185,5,FALSE)))*EXP(-(LN(2)/$D$65+0.04)*AN185)*EXP(-(LN(2)/$D$65+0.1)*AO185),IF(AL185=3,AR$100*EXP(-(LN(2)/$D$65+0.04)*(VLOOKUP(($F$16-$F$15)-1,AK$100:AO185,4,FALSE)))*EXP(-(LN(2)/$D$65+0.1)*(VLOOKUP(($F$16-$F$15)-1,AK$100:AO185,5,FALSE)))*EXP(-(LN(2)/$D$65+0.04)*(VLOOKUP(($F$16-$F$15)*2-1,AK$100:AO185,4,FALSE)))*EXP(-(LN(2)/$D$65+0.1)*(VLOOKUP(($F$16-$F$15)*2-1,AK$100:AO185,5,FALSE)))*EXP(-(LN(2)/$D$65+0.04)*AN185)*EXP(-(LN(2)/$D$65+0.1)*AO185),"-"))),"-")</f>
        <v>-</v>
      </c>
      <c r="AS185" s="274">
        <f t="shared" si="113"/>
        <v>0</v>
      </c>
      <c r="AT185" s="274">
        <f t="shared" si="114"/>
        <v>0</v>
      </c>
      <c r="AU185" s="274">
        <f t="shared" si="115"/>
        <v>0</v>
      </c>
      <c r="AV185" s="190">
        <f>IF($B185&lt;$F$22,SUM($T$100:$T185),"")</f>
        <v>0</v>
      </c>
      <c r="AW185" s="190" t="str">
        <f t="shared" si="116"/>
        <v>-</v>
      </c>
      <c r="AX185" s="190" t="str">
        <f t="shared" si="141"/>
        <v/>
      </c>
      <c r="AY185"/>
      <c r="AZ185" s="190" t="str">
        <f ca="1">IF(ISNUMBER(OFFSET(AV185,-$F$21,0)),SUM(OFFSET($T$100,$F$21,0):$T185),"")</f>
        <v/>
      </c>
      <c r="BA185" s="190" t="str">
        <f t="shared" ca="1" si="117"/>
        <v/>
      </c>
      <c r="BB185" s="190" t="str">
        <f t="shared" ref="BB185:BB248" ca="1" si="148">IF(ISNUMBER(AZ185),(AZ185-BA185)/(3*86400*(OFFSET($B185,-$F$21,0)+1))*1000,"")</f>
        <v/>
      </c>
      <c r="BC185" s="190"/>
      <c r="BD185" s="190" t="str">
        <f ca="1">IFERROR(IF(AND($B185&gt;=($F$16-$F$15),$B185&lt;$F$22+($F$16-$F$15)),SUM(OFFSET($T$100,($F$16-$F$15),0):$T185),""),"")</f>
        <v/>
      </c>
      <c r="BE185" s="190" t="str">
        <f t="shared" ca="1" si="142"/>
        <v/>
      </c>
      <c r="BF185" s="190" t="str">
        <f t="shared" ca="1" si="143"/>
        <v/>
      </c>
      <c r="BG185"/>
      <c r="BH185" s="190" t="str">
        <f ca="1">IF(ISNUMBER(OFFSET(BD185,-$F$21,0)),SUM(OFFSET($T$100,($F$16-$F$15+$F$21),0):$T185),"")</f>
        <v/>
      </c>
      <c r="BI185" s="190" t="str">
        <f t="shared" ca="1" si="118"/>
        <v/>
      </c>
      <c r="BJ185" s="190" t="str">
        <f t="shared" ca="1" si="144"/>
        <v/>
      </c>
      <c r="BK185" s="190"/>
      <c r="BL185" s="190" t="str">
        <f ca="1">IFERROR(IF(AND($B185&gt;=($F$17-$F$15),$B185&lt;$F$22+($F$17-$F$15)),SUM(OFFSET($T$100,($F$17-$F$15),0):$T185),""),"")</f>
        <v/>
      </c>
      <c r="BM185" s="190" t="str">
        <f t="shared" ca="1" si="119"/>
        <v/>
      </c>
      <c r="BN185" s="190" t="str">
        <f t="shared" ca="1" si="145"/>
        <v/>
      </c>
      <c r="BO185"/>
      <c r="BP185" s="190" t="str">
        <f ca="1">IF(ISNUMBER(OFFSET(BL185,-$F$21,0)),SUM(OFFSET($T$100,($F$17-$F$15+$F$21),0):$T185),"")</f>
        <v/>
      </c>
      <c r="BQ185" s="190" t="str">
        <f t="shared" ca="1" si="120"/>
        <v/>
      </c>
      <c r="BR185" s="190" t="str">
        <f t="shared" ca="1" si="146"/>
        <v/>
      </c>
      <c r="BS185" s="190"/>
      <c r="BT185"/>
      <c r="BU185"/>
      <c r="BV185"/>
      <c r="BY185" s="99"/>
      <c r="BZ185" s="99"/>
      <c r="CA185" s="280" t="str">
        <f t="shared" si="121"/>
        <v/>
      </c>
      <c r="CB185" s="71" t="str">
        <f t="shared" si="122"/>
        <v>-</v>
      </c>
      <c r="CC185" s="33"/>
      <c r="CD185" s="261" t="str">
        <f t="shared" si="123"/>
        <v/>
      </c>
      <c r="CE185" s="280" t="str">
        <f t="shared" si="124"/>
        <v>-</v>
      </c>
      <c r="CF185" s="71" t="str">
        <f t="shared" ca="1" si="125"/>
        <v>-</v>
      </c>
      <c r="CG185" s="33" t="str">
        <f t="shared" si="126"/>
        <v>85-86</v>
      </c>
      <c r="CH185" s="261" t="str">
        <f t="shared" ca="1" si="127"/>
        <v/>
      </c>
      <c r="CI185" s="99"/>
      <c r="CJ185" s="99"/>
      <c r="CK185" s="99"/>
      <c r="CL185" s="99"/>
      <c r="CM185" s="99"/>
      <c r="CN185" s="99"/>
      <c r="CO185" s="99"/>
    </row>
    <row r="186" spans="2:93" ht="13.5" customHeight="1" x14ac:dyDescent="0.2">
      <c r="B186" s="262">
        <v>86</v>
      </c>
      <c r="C186" s="237" t="str">
        <f t="shared" si="91"/>
        <v/>
      </c>
      <c r="D186" s="237" t="str">
        <f t="shared" si="147"/>
        <v>-</v>
      </c>
      <c r="E186" s="263" t="str">
        <f t="shared" si="128"/>
        <v/>
      </c>
      <c r="F186" s="264" t="str">
        <f t="shared" si="129"/>
        <v/>
      </c>
      <c r="G186" s="264" t="str">
        <f t="shared" si="130"/>
        <v/>
      </c>
      <c r="H186" s="240" t="str">
        <f t="shared" si="92"/>
        <v/>
      </c>
      <c r="I186" s="265" t="str">
        <f t="shared" si="93"/>
        <v/>
      </c>
      <c r="J186" s="265" t="str">
        <f t="shared" si="94"/>
        <v/>
      </c>
      <c r="K186" s="240" t="str">
        <f t="shared" si="95"/>
        <v/>
      </c>
      <c r="L186" s="265" t="str">
        <f t="shared" si="96"/>
        <v/>
      </c>
      <c r="M186" s="265" t="str">
        <f t="shared" si="97"/>
        <v/>
      </c>
      <c r="N186" s="240" t="str">
        <f t="shared" si="98"/>
        <v>-</v>
      </c>
      <c r="O186" s="265" t="str">
        <f t="shared" si="99"/>
        <v>-</v>
      </c>
      <c r="P186" s="265" t="str">
        <f t="shared" si="100"/>
        <v>-</v>
      </c>
      <c r="Q186" s="266" t="str">
        <f t="shared" si="101"/>
        <v>-</v>
      </c>
      <c r="R186" s="267" t="str">
        <f t="shared" si="102"/>
        <v>-</v>
      </c>
      <c r="S186" s="268" t="str">
        <f t="shared" si="103"/>
        <v>-</v>
      </c>
      <c r="T186" s="269" t="str">
        <f t="shared" si="104"/>
        <v/>
      </c>
      <c r="U186" s="221">
        <f t="shared" si="105"/>
        <v>86</v>
      </c>
      <c r="V186" s="220" t="str">
        <f t="shared" si="131"/>
        <v>-</v>
      </c>
      <c r="W186" s="221" t="str">
        <f t="shared" si="132"/>
        <v>-</v>
      </c>
      <c r="X186" s="221" t="str">
        <f t="shared" si="106"/>
        <v>-</v>
      </c>
      <c r="Y186" s="221" t="str">
        <f t="shared" si="107"/>
        <v>-</v>
      </c>
      <c r="Z186" s="270">
        <f t="shared" si="133"/>
        <v>0.1</v>
      </c>
      <c r="AA186" s="271" t="str">
        <f>IFERROR(IF(V185=1,AA$100*EXP(-(LN(2)/$D$65+0.04)*X185)*EXP(-(LN(2)/$D$65+0.1)*Y185),IF(V185=2,AA$100*EXP(-(LN(2)/$D$65+0.04)*(VLOOKUP(($F$16-$F$15)-1,U$99:Y185,4,FALSE)))*EXP(-(LN(2)/$D$65+0.1)*(VLOOKUP(($F$16-$F$15)-1,U$99:Y185,5,FALSE)))*EXP(-(LN(2)/$D$65+0.04)*X185)*EXP(-(LN(2)/$D$65+0.1)*Y185),IF(V185=3,AA$100*EXP(-(LN(2)/$D$65+0.04)*(VLOOKUP(($F$16-$F$15)-1,U$99:Y185,4,FALSE)))*EXP(-(LN(2)/$D$65+0.1)*(VLOOKUP(($F$16-$F$15)-1,U$99:Y185,5,FALSE)))*EXP(-(LN(2)/$D$65+0.04)*(VLOOKUP(($F$16-$F$15)*2-1,U$99:Y185,4,FALSE)))*EXP(-(LN(2)/$D$65+0.1)*(VLOOKUP(($F$16-$F$15)*2-1,U$99:Y185,5,FALSE)))*EXP(-(LN(2)/$D$65+0.04)*X185)*EXP(-(LN(2)/$D$65+0.1)*Y185),"-"))),"-")</f>
        <v>-</v>
      </c>
      <c r="AB186" s="271" t="str">
        <f>IFERROR(IF(V186=1,AB$100*EXP(-(LN(2)/$D$65+0.04)*X186)*EXP(-(LN(2)/$D$65+0.1)*Y186),IF(V186=2,AB$100*EXP(-(LN(2)/$D$65+0.04)*(VLOOKUP(($F$16-$F$15)-1,U$100:Y186,4,FALSE)))*EXP(-(LN(2)/$D$65+0.1)*(VLOOKUP(($F$16-$F$15)-1,U$100:Y186,5,FALSE)))*EXP(-(LN(2)/$D$65+0.04)*X186)*EXP(-(LN(2)/$D$65+0.1)*Y186),IF(V186=3,AB$100*EXP(-(LN(2)/$D$65+0.04)*(VLOOKUP(($F$16-$F$15)-1,U$100:Y186,4,FALSE)))*EXP(-(LN(2)/$D$65+0.1)*(VLOOKUP(($F$16-$F$15)-1,U$100:Y186,5,FALSE)))*EXP(-(LN(2)/$D$65+0.04)*(VLOOKUP(($F$16-$F$15)*2-1,U$100:Y186,4,FALSE)))*EXP(-(LN(2)/$D$65+0.1)*(VLOOKUP(($F$16-$F$15)*2-1,U$100:Y186,5,FALSE)))*EXP(-(LN(2)/$D$65+0.04)*X186)*EXP(-(LN(2)/$D$65+0.1)*Y186),"-"))),"-")</f>
        <v>-</v>
      </c>
      <c r="AC186" s="224">
        <f t="shared" si="134"/>
        <v>86</v>
      </c>
      <c r="AD186" s="223" t="str">
        <f t="shared" si="108"/>
        <v>-</v>
      </c>
      <c r="AE186" s="224" t="str">
        <f t="shared" si="135"/>
        <v>-</v>
      </c>
      <c r="AF186" s="224" t="str">
        <f t="shared" si="109"/>
        <v>-</v>
      </c>
      <c r="AG186" s="224" t="str">
        <f t="shared" si="110"/>
        <v>-</v>
      </c>
      <c r="AH186" s="272">
        <f t="shared" si="136"/>
        <v>0.1</v>
      </c>
      <c r="AI186" s="271" t="str">
        <f>IFERROR(IF(AD185=1,AI$100*EXP(-(LN(2)/$D$65+0.04)*AF185)*EXP(-(LN(2)/$D$65+0.1)*AG185),IF(AD185=2,AI$100*EXP(-(LN(2)/$D$65+0.04)*(VLOOKUP(($F$16-$F$15)-1,AC$99:AG185,4,FALSE)))*EXP(-(LN(2)/$D$65+0.1)*(VLOOKUP(($F$16-$F$15)-1,AC$99:AG185,5,FALSE)))*EXP(-(LN(2)/$D$65+0.04)*AF185)*EXP(-(LN(2)/$D$65+0.1)*AG185),IF(AD185=3,AI$100*EXP(-(LN(2)/$D$65+0.04)*(VLOOKUP(($F$16-$F$15)-1,AC$99:AG185,4,FALSE)))*EXP(-(LN(2)/$D$65+0.1)*(VLOOKUP(($F$16-$F$15)-1,AC$99:AG185,5,FALSE)))*EXP(-(LN(2)/$D$65+0.04)*(VLOOKUP(($F$16-$F$15)*2-1,AC$99:AG185,4,FALSE)))*EXP(-(LN(2)/$D$65+0.1)*(VLOOKUP(($F$16-$F$15)*2-1,AC$99:AG185,5,FALSE)))*EXP(-(LN(2)/$D$65+0.04)*AF185)*EXP(-(LN(2)/$D$65+0.1)*AG185),"-"))),"-")</f>
        <v>-</v>
      </c>
      <c r="AJ186" s="271" t="str">
        <f>IFERROR(IF(AD186=1,AJ$100*EXP(-(LN(2)/$D$65+0.04)*AF186)*EXP(-(LN(2)/$D$65+0.1)*AG186),IF(AD186=2,AJ$100*EXP(-(LN(2)/$D$65+0.04)*(VLOOKUP(($F$16-$F$15)-1,AC$100:AG186,4,FALSE)))*EXP(-(LN(2)/$D$65+0.1)*(VLOOKUP(($F$16-$F$15)-1,AC$100:AG186,5,FALSE)))*EXP(-(LN(2)/$D$65+0.04)*AF186)*EXP(-(LN(2)/$D$65+0.1)*AG186),IF(AD186=3,AJ$100*EXP(-(LN(2)/$D$65+0.04)*(VLOOKUP(($F$16-$F$15)-1,AC$100:AG186,4,FALSE)))*EXP(-(LN(2)/$D$65+0.1)*(VLOOKUP(($F$16-$F$15)-1,AC$100:AG186,5,FALSE)))*EXP(-(LN(2)/$D$65+0.04)*(VLOOKUP(($F$16-$F$15)*2-1,AC$100:AG186,4,FALSE)))*EXP(-(LN(2)/$D$65+0.1)*(VLOOKUP(($F$16-$F$15)*2-1,AC$100:AG186,5,FALSE)))*EXP(-(LN(2)/$D$65+0.04)*AF186)*EXP(-(LN(2)/$D$65+0.1)*AG186),"-"))),"-")</f>
        <v>-</v>
      </c>
      <c r="AK186" s="227">
        <f t="shared" si="137"/>
        <v>86</v>
      </c>
      <c r="AL186" s="226" t="str">
        <f t="shared" si="111"/>
        <v>-</v>
      </c>
      <c r="AM186" s="227" t="str">
        <f t="shared" si="138"/>
        <v>-</v>
      </c>
      <c r="AN186" s="227" t="str">
        <f t="shared" si="139"/>
        <v>-</v>
      </c>
      <c r="AO186" s="227" t="str">
        <f t="shared" si="112"/>
        <v>-</v>
      </c>
      <c r="AP186" s="273">
        <f t="shared" si="140"/>
        <v>0.1</v>
      </c>
      <c r="AQ186" s="271" t="str">
        <f>IFERROR(IF(AL185=1,AQ$100*EXP(-(LN(2)/$D$65+0.04)*AN185)*EXP(-(LN(2)/$D$65+0.1)*AO185),IF(AL185=2,AQ$100*EXP(-(LN(2)/$D$65+0.04)*(VLOOKUP(($F$16-$F$15)-1,AK$99:AO185,4,FALSE)))*EXP(-(LN(2)/$D$65+0.1)*(VLOOKUP(($F$16-$F$15)-1,AK$99:AO185,5,FALSE)))*EXP(-(LN(2)/$D$65+0.04)*AN185)*EXP(-(LN(2)/$D$65+0.1)*AO185),IF(AL185=3,AQ$100*EXP(-(LN(2)/$D$65+0.04)*(VLOOKUP(($F$16-$F$15)-1,AK$99:AO185,4,FALSE)))*EXP(-(LN(2)/$D$65+0.1)*(VLOOKUP(($F$16-$F$15)-1,AK$99:AO185,5,FALSE)))*EXP(-(LN(2)/$D$65+0.04)*(VLOOKUP(($F$16-$F$15)*2-1,AK$99:AO185,4,FALSE)))*EXP(-(LN(2)/$D$65+0.1)*(VLOOKUP(($F$16-$F$15)*2-1,AK$99:AO185,5,FALSE)))*EXP(-(LN(2)/$D$65+0.04)*AN185)*EXP(-(LN(2)/$D$65+0.1)*AO185),"-"))),"-")</f>
        <v>-</v>
      </c>
      <c r="AR186" s="271" t="str">
        <f>IFERROR(IF(AL186=1,AR$100*EXP(-(LN(2)/$D$65+0.04)*AN186)*EXP(-(LN(2)/$D$65+0.1)*AO186),IF(AL186=2,AR$100*EXP(-(LN(2)/$D$65+0.04)*(VLOOKUP(($F$16-$F$15)-1,AK$100:AO186,4,FALSE)))*EXP(-(LN(2)/$D$65+0.1)*(VLOOKUP(($F$16-$F$15)-1,AK$100:AO186,5,FALSE)))*EXP(-(LN(2)/$D$65+0.04)*AN186)*EXP(-(LN(2)/$D$65+0.1)*AO186),IF(AL186=3,AR$100*EXP(-(LN(2)/$D$65+0.04)*(VLOOKUP(($F$16-$F$15)-1,AK$100:AO186,4,FALSE)))*EXP(-(LN(2)/$D$65+0.1)*(VLOOKUP(($F$16-$F$15)-1,AK$100:AO186,5,FALSE)))*EXP(-(LN(2)/$D$65+0.04)*(VLOOKUP(($F$16-$F$15)*2-1,AK$100:AO186,4,FALSE)))*EXP(-(LN(2)/$D$65+0.1)*(VLOOKUP(($F$16-$F$15)*2-1,AK$100:AO186,5,FALSE)))*EXP(-(LN(2)/$D$65+0.04)*AN186)*EXP(-(LN(2)/$D$65+0.1)*AO186),"-"))),"-")</f>
        <v>-</v>
      </c>
      <c r="AS186" s="274">
        <f t="shared" si="113"/>
        <v>0</v>
      </c>
      <c r="AT186" s="274">
        <f t="shared" si="114"/>
        <v>0</v>
      </c>
      <c r="AU186" s="274">
        <f t="shared" si="115"/>
        <v>0</v>
      </c>
      <c r="AV186" s="190">
        <f>IF($B186&lt;$F$22,SUM($T$100:$T186),"")</f>
        <v>0</v>
      </c>
      <c r="AW186" s="190" t="str">
        <f t="shared" si="116"/>
        <v>-</v>
      </c>
      <c r="AX186" s="190" t="str">
        <f t="shared" si="141"/>
        <v/>
      </c>
      <c r="AY186"/>
      <c r="AZ186" s="190" t="str">
        <f ca="1">IF(ISNUMBER(OFFSET(AV186,-$F$21,0)),SUM(OFFSET($T$100,$F$21,0):$T186),"")</f>
        <v/>
      </c>
      <c r="BA186" s="190" t="str">
        <f t="shared" ca="1" si="117"/>
        <v/>
      </c>
      <c r="BB186" s="190" t="str">
        <f t="shared" ca="1" si="148"/>
        <v/>
      </c>
      <c r="BC186" s="190"/>
      <c r="BD186" s="190" t="str">
        <f ca="1">IFERROR(IF(AND($B186&gt;=($F$16-$F$15),$B186&lt;$F$22+($F$16-$F$15)),SUM(OFFSET($T$100,($F$16-$F$15),0):$T186),""),"")</f>
        <v/>
      </c>
      <c r="BE186" s="190" t="str">
        <f t="shared" ca="1" si="142"/>
        <v/>
      </c>
      <c r="BF186" s="190" t="str">
        <f t="shared" ca="1" si="143"/>
        <v/>
      </c>
      <c r="BG186"/>
      <c r="BH186" s="190" t="str">
        <f ca="1">IF(ISNUMBER(OFFSET(BD186,-$F$21,0)),SUM(OFFSET($T$100,($F$16-$F$15+$F$21),0):$T186),"")</f>
        <v/>
      </c>
      <c r="BI186" s="190" t="str">
        <f t="shared" ca="1" si="118"/>
        <v/>
      </c>
      <c r="BJ186" s="190" t="str">
        <f t="shared" ca="1" si="144"/>
        <v/>
      </c>
      <c r="BK186" s="190"/>
      <c r="BL186" s="190" t="str">
        <f ca="1">IFERROR(IF(AND($B186&gt;=($F$17-$F$15),$B186&lt;$F$22+($F$17-$F$15)),SUM(OFFSET($T$100,($F$17-$F$15),0):$T186),""),"")</f>
        <v/>
      </c>
      <c r="BM186" s="190" t="str">
        <f t="shared" ca="1" si="119"/>
        <v/>
      </c>
      <c r="BN186" s="190" t="str">
        <f t="shared" ca="1" si="145"/>
        <v/>
      </c>
      <c r="BO186"/>
      <c r="BP186" s="190" t="str">
        <f ca="1">IF(ISNUMBER(OFFSET(BL186,-$F$21,0)),SUM(OFFSET($T$100,($F$17-$F$15+$F$21),0):$T186),"")</f>
        <v/>
      </c>
      <c r="BQ186" s="190" t="str">
        <f t="shared" ca="1" si="120"/>
        <v/>
      </c>
      <c r="BR186" s="190" t="str">
        <f t="shared" ca="1" si="146"/>
        <v/>
      </c>
      <c r="BS186" s="190"/>
      <c r="BT186"/>
      <c r="BU186"/>
      <c r="BV186"/>
      <c r="BY186" s="99"/>
      <c r="BZ186" s="99"/>
      <c r="CA186" s="280" t="str">
        <f t="shared" si="121"/>
        <v/>
      </c>
      <c r="CB186" s="71" t="str">
        <f t="shared" si="122"/>
        <v>-</v>
      </c>
      <c r="CC186" s="33"/>
      <c r="CD186" s="261" t="str">
        <f t="shared" si="123"/>
        <v/>
      </c>
      <c r="CE186" s="280" t="str">
        <f t="shared" si="124"/>
        <v>-</v>
      </c>
      <c r="CF186" s="71" t="str">
        <f t="shared" ca="1" si="125"/>
        <v>-</v>
      </c>
      <c r="CG186" s="33" t="str">
        <f t="shared" si="126"/>
        <v>86-87</v>
      </c>
      <c r="CH186" s="261" t="str">
        <f t="shared" ca="1" si="127"/>
        <v/>
      </c>
      <c r="CI186" s="99"/>
      <c r="CJ186" s="99"/>
      <c r="CK186" s="99"/>
      <c r="CL186" s="99"/>
      <c r="CM186" s="99"/>
      <c r="CN186" s="99"/>
      <c r="CO186" s="99"/>
    </row>
    <row r="187" spans="2:93" ht="13.5" customHeight="1" x14ac:dyDescent="0.2">
      <c r="B187" s="262">
        <v>87</v>
      </c>
      <c r="C187" s="237" t="str">
        <f t="shared" si="91"/>
        <v/>
      </c>
      <c r="D187" s="237" t="str">
        <f t="shared" si="147"/>
        <v>-</v>
      </c>
      <c r="E187" s="263" t="str">
        <f t="shared" si="128"/>
        <v/>
      </c>
      <c r="F187" s="264" t="str">
        <f t="shared" si="129"/>
        <v/>
      </c>
      <c r="G187" s="264" t="str">
        <f t="shared" si="130"/>
        <v/>
      </c>
      <c r="H187" s="240" t="str">
        <f t="shared" si="92"/>
        <v/>
      </c>
      <c r="I187" s="265" t="str">
        <f t="shared" si="93"/>
        <v/>
      </c>
      <c r="J187" s="265" t="str">
        <f t="shared" si="94"/>
        <v/>
      </c>
      <c r="K187" s="240" t="str">
        <f t="shared" si="95"/>
        <v/>
      </c>
      <c r="L187" s="265" t="str">
        <f t="shared" si="96"/>
        <v/>
      </c>
      <c r="M187" s="265" t="str">
        <f t="shared" si="97"/>
        <v/>
      </c>
      <c r="N187" s="240" t="str">
        <f t="shared" si="98"/>
        <v>-</v>
      </c>
      <c r="O187" s="265" t="str">
        <f t="shared" si="99"/>
        <v>-</v>
      </c>
      <c r="P187" s="265" t="str">
        <f t="shared" si="100"/>
        <v>-</v>
      </c>
      <c r="Q187" s="266" t="str">
        <f t="shared" si="101"/>
        <v>-</v>
      </c>
      <c r="R187" s="267" t="str">
        <f t="shared" si="102"/>
        <v>-</v>
      </c>
      <c r="S187" s="268" t="str">
        <f t="shared" si="103"/>
        <v>-</v>
      </c>
      <c r="T187" s="269" t="str">
        <f t="shared" si="104"/>
        <v/>
      </c>
      <c r="U187" s="221">
        <f t="shared" si="105"/>
        <v>87</v>
      </c>
      <c r="V187" s="220" t="str">
        <f t="shared" si="131"/>
        <v>-</v>
      </c>
      <c r="W187" s="221" t="str">
        <f t="shared" si="132"/>
        <v>-</v>
      </c>
      <c r="X187" s="221" t="str">
        <f t="shared" si="106"/>
        <v>-</v>
      </c>
      <c r="Y187" s="221" t="str">
        <f t="shared" si="107"/>
        <v>-</v>
      </c>
      <c r="Z187" s="270">
        <f t="shared" si="133"/>
        <v>0.1</v>
      </c>
      <c r="AA187" s="271" t="str">
        <f>IFERROR(IF(V186=1,AA$100*EXP(-(LN(2)/$D$65+0.04)*X186)*EXP(-(LN(2)/$D$65+0.1)*Y186),IF(V186=2,AA$100*EXP(-(LN(2)/$D$65+0.04)*(VLOOKUP(($F$16-$F$15)-1,U$99:Y186,4,FALSE)))*EXP(-(LN(2)/$D$65+0.1)*(VLOOKUP(($F$16-$F$15)-1,U$99:Y186,5,FALSE)))*EXP(-(LN(2)/$D$65+0.04)*X186)*EXP(-(LN(2)/$D$65+0.1)*Y186),IF(V186=3,AA$100*EXP(-(LN(2)/$D$65+0.04)*(VLOOKUP(($F$16-$F$15)-1,U$99:Y186,4,FALSE)))*EXP(-(LN(2)/$D$65+0.1)*(VLOOKUP(($F$16-$F$15)-1,U$99:Y186,5,FALSE)))*EXP(-(LN(2)/$D$65+0.04)*(VLOOKUP(($F$16-$F$15)*2-1,U$99:Y186,4,FALSE)))*EXP(-(LN(2)/$D$65+0.1)*(VLOOKUP(($F$16-$F$15)*2-1,U$99:Y186,5,FALSE)))*EXP(-(LN(2)/$D$65+0.04)*X186)*EXP(-(LN(2)/$D$65+0.1)*Y186),"-"))),"-")</f>
        <v>-</v>
      </c>
      <c r="AB187" s="271" t="str">
        <f>IFERROR(IF(V187=1,AB$100*EXP(-(LN(2)/$D$65+0.04)*X187)*EXP(-(LN(2)/$D$65+0.1)*Y187),IF(V187=2,AB$100*EXP(-(LN(2)/$D$65+0.04)*(VLOOKUP(($F$16-$F$15)-1,U$100:Y187,4,FALSE)))*EXP(-(LN(2)/$D$65+0.1)*(VLOOKUP(($F$16-$F$15)-1,U$100:Y187,5,FALSE)))*EXP(-(LN(2)/$D$65+0.04)*X187)*EXP(-(LN(2)/$D$65+0.1)*Y187),IF(V187=3,AB$100*EXP(-(LN(2)/$D$65+0.04)*(VLOOKUP(($F$16-$F$15)-1,U$100:Y187,4,FALSE)))*EXP(-(LN(2)/$D$65+0.1)*(VLOOKUP(($F$16-$F$15)-1,U$100:Y187,5,FALSE)))*EXP(-(LN(2)/$D$65+0.04)*(VLOOKUP(($F$16-$F$15)*2-1,U$100:Y187,4,FALSE)))*EXP(-(LN(2)/$D$65+0.1)*(VLOOKUP(($F$16-$F$15)*2-1,U$100:Y187,5,FALSE)))*EXP(-(LN(2)/$D$65+0.04)*X187)*EXP(-(LN(2)/$D$65+0.1)*Y187),"-"))),"-")</f>
        <v>-</v>
      </c>
      <c r="AC187" s="224">
        <f t="shared" si="134"/>
        <v>87</v>
      </c>
      <c r="AD187" s="223" t="str">
        <f t="shared" si="108"/>
        <v>-</v>
      </c>
      <c r="AE187" s="224" t="str">
        <f t="shared" si="135"/>
        <v>-</v>
      </c>
      <c r="AF187" s="224" t="str">
        <f t="shared" si="109"/>
        <v>-</v>
      </c>
      <c r="AG187" s="224" t="str">
        <f t="shared" si="110"/>
        <v>-</v>
      </c>
      <c r="AH187" s="272">
        <f t="shared" si="136"/>
        <v>0.1</v>
      </c>
      <c r="AI187" s="271" t="str">
        <f>IFERROR(IF(AD186=1,AI$100*EXP(-(LN(2)/$D$65+0.04)*AF186)*EXP(-(LN(2)/$D$65+0.1)*AG186),IF(AD186=2,AI$100*EXP(-(LN(2)/$D$65+0.04)*(VLOOKUP(($F$16-$F$15)-1,AC$99:AG186,4,FALSE)))*EXP(-(LN(2)/$D$65+0.1)*(VLOOKUP(($F$16-$F$15)-1,AC$99:AG186,5,FALSE)))*EXP(-(LN(2)/$D$65+0.04)*AF186)*EXP(-(LN(2)/$D$65+0.1)*AG186),IF(AD186=3,AI$100*EXP(-(LN(2)/$D$65+0.04)*(VLOOKUP(($F$16-$F$15)-1,AC$99:AG186,4,FALSE)))*EXP(-(LN(2)/$D$65+0.1)*(VLOOKUP(($F$16-$F$15)-1,AC$99:AG186,5,FALSE)))*EXP(-(LN(2)/$D$65+0.04)*(VLOOKUP(($F$16-$F$15)*2-1,AC$99:AG186,4,FALSE)))*EXP(-(LN(2)/$D$65+0.1)*(VLOOKUP(($F$16-$F$15)*2-1,AC$99:AG186,5,FALSE)))*EXP(-(LN(2)/$D$65+0.04)*AF186)*EXP(-(LN(2)/$D$65+0.1)*AG186),"-"))),"-")</f>
        <v>-</v>
      </c>
      <c r="AJ187" s="271" t="str">
        <f>IFERROR(IF(AD187=1,AJ$100*EXP(-(LN(2)/$D$65+0.04)*AF187)*EXP(-(LN(2)/$D$65+0.1)*AG187),IF(AD187=2,AJ$100*EXP(-(LN(2)/$D$65+0.04)*(VLOOKUP(($F$16-$F$15)-1,AC$100:AG187,4,FALSE)))*EXP(-(LN(2)/$D$65+0.1)*(VLOOKUP(($F$16-$F$15)-1,AC$100:AG187,5,FALSE)))*EXP(-(LN(2)/$D$65+0.04)*AF187)*EXP(-(LN(2)/$D$65+0.1)*AG187),IF(AD187=3,AJ$100*EXP(-(LN(2)/$D$65+0.04)*(VLOOKUP(($F$16-$F$15)-1,AC$100:AG187,4,FALSE)))*EXP(-(LN(2)/$D$65+0.1)*(VLOOKUP(($F$16-$F$15)-1,AC$100:AG187,5,FALSE)))*EXP(-(LN(2)/$D$65+0.04)*(VLOOKUP(($F$16-$F$15)*2-1,AC$100:AG187,4,FALSE)))*EXP(-(LN(2)/$D$65+0.1)*(VLOOKUP(($F$16-$F$15)*2-1,AC$100:AG187,5,FALSE)))*EXP(-(LN(2)/$D$65+0.04)*AF187)*EXP(-(LN(2)/$D$65+0.1)*AG187),"-"))),"-")</f>
        <v>-</v>
      </c>
      <c r="AK187" s="227">
        <f t="shared" si="137"/>
        <v>87</v>
      </c>
      <c r="AL187" s="226" t="str">
        <f t="shared" si="111"/>
        <v>-</v>
      </c>
      <c r="AM187" s="227" t="str">
        <f t="shared" si="138"/>
        <v>-</v>
      </c>
      <c r="AN187" s="227" t="str">
        <f t="shared" si="139"/>
        <v>-</v>
      </c>
      <c r="AO187" s="227" t="str">
        <f t="shared" si="112"/>
        <v>-</v>
      </c>
      <c r="AP187" s="273">
        <f t="shared" si="140"/>
        <v>0.1</v>
      </c>
      <c r="AQ187" s="271" t="str">
        <f>IFERROR(IF(AL186=1,AQ$100*EXP(-(LN(2)/$D$65+0.04)*AN186)*EXP(-(LN(2)/$D$65+0.1)*AO186),IF(AL186=2,AQ$100*EXP(-(LN(2)/$D$65+0.04)*(VLOOKUP(($F$16-$F$15)-1,AK$99:AO186,4,FALSE)))*EXP(-(LN(2)/$D$65+0.1)*(VLOOKUP(($F$16-$F$15)-1,AK$99:AO186,5,FALSE)))*EXP(-(LN(2)/$D$65+0.04)*AN186)*EXP(-(LN(2)/$D$65+0.1)*AO186),IF(AL186=3,AQ$100*EXP(-(LN(2)/$D$65+0.04)*(VLOOKUP(($F$16-$F$15)-1,AK$99:AO186,4,FALSE)))*EXP(-(LN(2)/$D$65+0.1)*(VLOOKUP(($F$16-$F$15)-1,AK$99:AO186,5,FALSE)))*EXP(-(LN(2)/$D$65+0.04)*(VLOOKUP(($F$16-$F$15)*2-1,AK$99:AO186,4,FALSE)))*EXP(-(LN(2)/$D$65+0.1)*(VLOOKUP(($F$16-$F$15)*2-1,AK$99:AO186,5,FALSE)))*EXP(-(LN(2)/$D$65+0.04)*AN186)*EXP(-(LN(2)/$D$65+0.1)*AO186),"-"))),"-")</f>
        <v>-</v>
      </c>
      <c r="AR187" s="271" t="str">
        <f>IFERROR(IF(AL187=1,AR$100*EXP(-(LN(2)/$D$65+0.04)*AN187)*EXP(-(LN(2)/$D$65+0.1)*AO187),IF(AL187=2,AR$100*EXP(-(LN(2)/$D$65+0.04)*(VLOOKUP(($F$16-$F$15)-1,AK$100:AO187,4,FALSE)))*EXP(-(LN(2)/$D$65+0.1)*(VLOOKUP(($F$16-$F$15)-1,AK$100:AO187,5,FALSE)))*EXP(-(LN(2)/$D$65+0.04)*AN187)*EXP(-(LN(2)/$D$65+0.1)*AO187),IF(AL187=3,AR$100*EXP(-(LN(2)/$D$65+0.04)*(VLOOKUP(($F$16-$F$15)-1,AK$100:AO187,4,FALSE)))*EXP(-(LN(2)/$D$65+0.1)*(VLOOKUP(($F$16-$F$15)-1,AK$100:AO187,5,FALSE)))*EXP(-(LN(2)/$D$65+0.04)*(VLOOKUP(($F$16-$F$15)*2-1,AK$100:AO187,4,FALSE)))*EXP(-(LN(2)/$D$65+0.1)*(VLOOKUP(($F$16-$F$15)*2-1,AK$100:AO187,5,FALSE)))*EXP(-(LN(2)/$D$65+0.04)*AN187)*EXP(-(LN(2)/$D$65+0.1)*AO187),"-"))),"-")</f>
        <v>-</v>
      </c>
      <c r="AS187" s="274">
        <f t="shared" si="113"/>
        <v>0</v>
      </c>
      <c r="AT187" s="274">
        <f t="shared" si="114"/>
        <v>0</v>
      </c>
      <c r="AU187" s="274">
        <f t="shared" si="115"/>
        <v>0</v>
      </c>
      <c r="AV187" s="190">
        <f>IF($B187&lt;$F$22,SUM($T$100:$T187),"")</f>
        <v>0</v>
      </c>
      <c r="AW187" s="190" t="str">
        <f t="shared" si="116"/>
        <v>-</v>
      </c>
      <c r="AX187" s="190" t="str">
        <f t="shared" si="141"/>
        <v/>
      </c>
      <c r="AY187"/>
      <c r="AZ187" s="190" t="str">
        <f ca="1">IF(ISNUMBER(OFFSET(AV187,-$F$21,0)),SUM(OFFSET($T$100,$F$21,0):$T187),"")</f>
        <v/>
      </c>
      <c r="BA187" s="190" t="str">
        <f t="shared" ca="1" si="117"/>
        <v/>
      </c>
      <c r="BB187" s="190" t="str">
        <f t="shared" ca="1" si="148"/>
        <v/>
      </c>
      <c r="BC187" s="190"/>
      <c r="BD187" s="190" t="str">
        <f ca="1">IFERROR(IF(AND($B187&gt;=($F$16-$F$15),$B187&lt;$F$22+($F$16-$F$15)),SUM(OFFSET($T$100,($F$16-$F$15),0):$T187),""),"")</f>
        <v/>
      </c>
      <c r="BE187" s="190" t="str">
        <f t="shared" ca="1" si="142"/>
        <v/>
      </c>
      <c r="BF187" s="190" t="str">
        <f t="shared" ca="1" si="143"/>
        <v/>
      </c>
      <c r="BG187"/>
      <c r="BH187" s="190" t="str">
        <f ca="1">IF(ISNUMBER(OFFSET(BD187,-$F$21,0)),SUM(OFFSET($T$100,($F$16-$F$15+$F$21),0):$T187),"")</f>
        <v/>
      </c>
      <c r="BI187" s="190" t="str">
        <f t="shared" ca="1" si="118"/>
        <v/>
      </c>
      <c r="BJ187" s="190" t="str">
        <f t="shared" ca="1" si="144"/>
        <v/>
      </c>
      <c r="BK187" s="190"/>
      <c r="BL187" s="190" t="str">
        <f ca="1">IFERROR(IF(AND($B187&gt;=($F$17-$F$15),$B187&lt;$F$22+($F$17-$F$15)),SUM(OFFSET($T$100,($F$17-$F$15),0):$T187),""),"")</f>
        <v/>
      </c>
      <c r="BM187" s="190" t="str">
        <f t="shared" ca="1" si="119"/>
        <v/>
      </c>
      <c r="BN187" s="190" t="str">
        <f t="shared" ca="1" si="145"/>
        <v/>
      </c>
      <c r="BO187"/>
      <c r="BP187" s="190" t="str">
        <f ca="1">IF(ISNUMBER(OFFSET(BL187,-$F$21,0)),SUM(OFFSET($T$100,($F$17-$F$15+$F$21),0):$T187),"")</f>
        <v/>
      </c>
      <c r="BQ187" s="190" t="str">
        <f t="shared" ca="1" si="120"/>
        <v/>
      </c>
      <c r="BR187" s="190" t="str">
        <f t="shared" ca="1" si="146"/>
        <v/>
      </c>
      <c r="BS187" s="190"/>
      <c r="BT187"/>
      <c r="BU187"/>
      <c r="BV187"/>
      <c r="BY187" s="99"/>
      <c r="BZ187" s="99"/>
      <c r="CA187" s="280" t="str">
        <f t="shared" si="121"/>
        <v/>
      </c>
      <c r="CB187" s="71" t="str">
        <f t="shared" si="122"/>
        <v>-</v>
      </c>
      <c r="CC187" s="33"/>
      <c r="CD187" s="261" t="str">
        <f t="shared" si="123"/>
        <v/>
      </c>
      <c r="CE187" s="280" t="str">
        <f t="shared" si="124"/>
        <v>-</v>
      </c>
      <c r="CF187" s="71" t="str">
        <f t="shared" ca="1" si="125"/>
        <v>-</v>
      </c>
      <c r="CG187" s="33" t="str">
        <f t="shared" si="126"/>
        <v>87-88</v>
      </c>
      <c r="CH187" s="261" t="str">
        <f t="shared" ca="1" si="127"/>
        <v/>
      </c>
      <c r="CI187" s="99"/>
      <c r="CJ187" s="99"/>
      <c r="CK187" s="99"/>
      <c r="CL187" s="99"/>
      <c r="CM187" s="99"/>
      <c r="CN187" s="99"/>
      <c r="CO187" s="99"/>
    </row>
    <row r="188" spans="2:93" ht="13.5" customHeight="1" x14ac:dyDescent="0.2">
      <c r="B188" s="262">
        <v>88</v>
      </c>
      <c r="C188" s="237" t="str">
        <f t="shared" si="91"/>
        <v/>
      </c>
      <c r="D188" s="237" t="str">
        <f t="shared" si="147"/>
        <v>-</v>
      </c>
      <c r="E188" s="263" t="str">
        <f t="shared" si="128"/>
        <v/>
      </c>
      <c r="F188" s="264" t="str">
        <f t="shared" si="129"/>
        <v/>
      </c>
      <c r="G188" s="264" t="str">
        <f t="shared" si="130"/>
        <v/>
      </c>
      <c r="H188" s="240" t="str">
        <f t="shared" si="92"/>
        <v/>
      </c>
      <c r="I188" s="265" t="str">
        <f t="shared" si="93"/>
        <v/>
      </c>
      <c r="J188" s="265" t="str">
        <f t="shared" si="94"/>
        <v/>
      </c>
      <c r="K188" s="240" t="str">
        <f t="shared" si="95"/>
        <v/>
      </c>
      <c r="L188" s="265" t="str">
        <f t="shared" si="96"/>
        <v/>
      </c>
      <c r="M188" s="265" t="str">
        <f t="shared" si="97"/>
        <v/>
      </c>
      <c r="N188" s="240" t="str">
        <f t="shared" si="98"/>
        <v>-</v>
      </c>
      <c r="O188" s="265" t="str">
        <f t="shared" si="99"/>
        <v>-</v>
      </c>
      <c r="P188" s="265" t="str">
        <f t="shared" si="100"/>
        <v>-</v>
      </c>
      <c r="Q188" s="266" t="str">
        <f t="shared" si="101"/>
        <v>-</v>
      </c>
      <c r="R188" s="267" t="str">
        <f t="shared" si="102"/>
        <v>-</v>
      </c>
      <c r="S188" s="268" t="str">
        <f t="shared" si="103"/>
        <v>-</v>
      </c>
      <c r="T188" s="269" t="str">
        <f t="shared" si="104"/>
        <v/>
      </c>
      <c r="U188" s="221">
        <f t="shared" si="105"/>
        <v>88</v>
      </c>
      <c r="V188" s="220" t="str">
        <f t="shared" si="131"/>
        <v>-</v>
      </c>
      <c r="W188" s="221" t="str">
        <f t="shared" si="132"/>
        <v>-</v>
      </c>
      <c r="X188" s="221" t="str">
        <f t="shared" si="106"/>
        <v>-</v>
      </c>
      <c r="Y188" s="221" t="str">
        <f t="shared" si="107"/>
        <v>-</v>
      </c>
      <c r="Z188" s="270">
        <f t="shared" si="133"/>
        <v>0.1</v>
      </c>
      <c r="AA188" s="271" t="str">
        <f>IFERROR(IF(V187=1,AA$100*EXP(-(LN(2)/$D$65+0.04)*X187)*EXP(-(LN(2)/$D$65+0.1)*Y187),IF(V187=2,AA$100*EXP(-(LN(2)/$D$65+0.04)*(VLOOKUP(($F$16-$F$15)-1,U$99:Y187,4,FALSE)))*EXP(-(LN(2)/$D$65+0.1)*(VLOOKUP(($F$16-$F$15)-1,U$99:Y187,5,FALSE)))*EXP(-(LN(2)/$D$65+0.04)*X187)*EXP(-(LN(2)/$D$65+0.1)*Y187),IF(V187=3,AA$100*EXP(-(LN(2)/$D$65+0.04)*(VLOOKUP(($F$16-$F$15)-1,U$99:Y187,4,FALSE)))*EXP(-(LN(2)/$D$65+0.1)*(VLOOKUP(($F$16-$F$15)-1,U$99:Y187,5,FALSE)))*EXP(-(LN(2)/$D$65+0.04)*(VLOOKUP(($F$16-$F$15)*2-1,U$99:Y187,4,FALSE)))*EXP(-(LN(2)/$D$65+0.1)*(VLOOKUP(($F$16-$F$15)*2-1,U$99:Y187,5,FALSE)))*EXP(-(LN(2)/$D$65+0.04)*X187)*EXP(-(LN(2)/$D$65+0.1)*Y187),"-"))),"-")</f>
        <v>-</v>
      </c>
      <c r="AB188" s="271" t="str">
        <f>IFERROR(IF(V188=1,AB$100*EXP(-(LN(2)/$D$65+0.04)*X188)*EXP(-(LN(2)/$D$65+0.1)*Y188),IF(V188=2,AB$100*EXP(-(LN(2)/$D$65+0.04)*(VLOOKUP(($F$16-$F$15)-1,U$100:Y188,4,FALSE)))*EXP(-(LN(2)/$D$65+0.1)*(VLOOKUP(($F$16-$F$15)-1,U$100:Y188,5,FALSE)))*EXP(-(LN(2)/$D$65+0.04)*X188)*EXP(-(LN(2)/$D$65+0.1)*Y188),IF(V188=3,AB$100*EXP(-(LN(2)/$D$65+0.04)*(VLOOKUP(($F$16-$F$15)-1,U$100:Y188,4,FALSE)))*EXP(-(LN(2)/$D$65+0.1)*(VLOOKUP(($F$16-$F$15)-1,U$100:Y188,5,FALSE)))*EXP(-(LN(2)/$D$65+0.04)*(VLOOKUP(($F$16-$F$15)*2-1,U$100:Y188,4,FALSE)))*EXP(-(LN(2)/$D$65+0.1)*(VLOOKUP(($F$16-$F$15)*2-1,U$100:Y188,5,FALSE)))*EXP(-(LN(2)/$D$65+0.04)*X188)*EXP(-(LN(2)/$D$65+0.1)*Y188),"-"))),"-")</f>
        <v>-</v>
      </c>
      <c r="AC188" s="224">
        <f t="shared" si="134"/>
        <v>88</v>
      </c>
      <c r="AD188" s="223" t="str">
        <f t="shared" si="108"/>
        <v>-</v>
      </c>
      <c r="AE188" s="224" t="str">
        <f t="shared" si="135"/>
        <v>-</v>
      </c>
      <c r="AF188" s="224" t="str">
        <f t="shared" si="109"/>
        <v>-</v>
      </c>
      <c r="AG188" s="224" t="str">
        <f t="shared" si="110"/>
        <v>-</v>
      </c>
      <c r="AH188" s="272">
        <f t="shared" si="136"/>
        <v>0.1</v>
      </c>
      <c r="AI188" s="271" t="str">
        <f>IFERROR(IF(AD187=1,AI$100*EXP(-(LN(2)/$D$65+0.04)*AF187)*EXP(-(LN(2)/$D$65+0.1)*AG187),IF(AD187=2,AI$100*EXP(-(LN(2)/$D$65+0.04)*(VLOOKUP(($F$16-$F$15)-1,AC$99:AG187,4,FALSE)))*EXP(-(LN(2)/$D$65+0.1)*(VLOOKUP(($F$16-$F$15)-1,AC$99:AG187,5,FALSE)))*EXP(-(LN(2)/$D$65+0.04)*AF187)*EXP(-(LN(2)/$D$65+0.1)*AG187),IF(AD187=3,AI$100*EXP(-(LN(2)/$D$65+0.04)*(VLOOKUP(($F$16-$F$15)-1,AC$99:AG187,4,FALSE)))*EXP(-(LN(2)/$D$65+0.1)*(VLOOKUP(($F$16-$F$15)-1,AC$99:AG187,5,FALSE)))*EXP(-(LN(2)/$D$65+0.04)*(VLOOKUP(($F$16-$F$15)*2-1,AC$99:AG187,4,FALSE)))*EXP(-(LN(2)/$D$65+0.1)*(VLOOKUP(($F$16-$F$15)*2-1,AC$99:AG187,5,FALSE)))*EXP(-(LN(2)/$D$65+0.04)*AF187)*EXP(-(LN(2)/$D$65+0.1)*AG187),"-"))),"-")</f>
        <v>-</v>
      </c>
      <c r="AJ188" s="271" t="str">
        <f>IFERROR(IF(AD188=1,AJ$100*EXP(-(LN(2)/$D$65+0.04)*AF188)*EXP(-(LN(2)/$D$65+0.1)*AG188),IF(AD188=2,AJ$100*EXP(-(LN(2)/$D$65+0.04)*(VLOOKUP(($F$16-$F$15)-1,AC$100:AG188,4,FALSE)))*EXP(-(LN(2)/$D$65+0.1)*(VLOOKUP(($F$16-$F$15)-1,AC$100:AG188,5,FALSE)))*EXP(-(LN(2)/$D$65+0.04)*AF188)*EXP(-(LN(2)/$D$65+0.1)*AG188),IF(AD188=3,AJ$100*EXP(-(LN(2)/$D$65+0.04)*(VLOOKUP(($F$16-$F$15)-1,AC$100:AG188,4,FALSE)))*EXP(-(LN(2)/$D$65+0.1)*(VLOOKUP(($F$16-$F$15)-1,AC$100:AG188,5,FALSE)))*EXP(-(LN(2)/$D$65+0.04)*(VLOOKUP(($F$16-$F$15)*2-1,AC$100:AG188,4,FALSE)))*EXP(-(LN(2)/$D$65+0.1)*(VLOOKUP(($F$16-$F$15)*2-1,AC$100:AG188,5,FALSE)))*EXP(-(LN(2)/$D$65+0.04)*AF188)*EXP(-(LN(2)/$D$65+0.1)*AG188),"-"))),"-")</f>
        <v>-</v>
      </c>
      <c r="AK188" s="227">
        <f t="shared" si="137"/>
        <v>88</v>
      </c>
      <c r="AL188" s="226" t="str">
        <f t="shared" si="111"/>
        <v>-</v>
      </c>
      <c r="AM188" s="227" t="str">
        <f t="shared" si="138"/>
        <v>-</v>
      </c>
      <c r="AN188" s="227" t="str">
        <f t="shared" si="139"/>
        <v>-</v>
      </c>
      <c r="AO188" s="227" t="str">
        <f t="shared" si="112"/>
        <v>-</v>
      </c>
      <c r="AP188" s="273">
        <f t="shared" si="140"/>
        <v>0.1</v>
      </c>
      <c r="AQ188" s="271" t="str">
        <f>IFERROR(IF(AL187=1,AQ$100*EXP(-(LN(2)/$D$65+0.04)*AN187)*EXP(-(LN(2)/$D$65+0.1)*AO187),IF(AL187=2,AQ$100*EXP(-(LN(2)/$D$65+0.04)*(VLOOKUP(($F$16-$F$15)-1,AK$99:AO187,4,FALSE)))*EXP(-(LN(2)/$D$65+0.1)*(VLOOKUP(($F$16-$F$15)-1,AK$99:AO187,5,FALSE)))*EXP(-(LN(2)/$D$65+0.04)*AN187)*EXP(-(LN(2)/$D$65+0.1)*AO187),IF(AL187=3,AQ$100*EXP(-(LN(2)/$D$65+0.04)*(VLOOKUP(($F$16-$F$15)-1,AK$99:AO187,4,FALSE)))*EXP(-(LN(2)/$D$65+0.1)*(VLOOKUP(($F$16-$F$15)-1,AK$99:AO187,5,FALSE)))*EXP(-(LN(2)/$D$65+0.04)*(VLOOKUP(($F$16-$F$15)*2-1,AK$99:AO187,4,FALSE)))*EXP(-(LN(2)/$D$65+0.1)*(VLOOKUP(($F$16-$F$15)*2-1,AK$99:AO187,5,FALSE)))*EXP(-(LN(2)/$D$65+0.04)*AN187)*EXP(-(LN(2)/$D$65+0.1)*AO187),"-"))),"-")</f>
        <v>-</v>
      </c>
      <c r="AR188" s="271" t="str">
        <f>IFERROR(IF(AL188=1,AR$100*EXP(-(LN(2)/$D$65+0.04)*AN188)*EXP(-(LN(2)/$D$65+0.1)*AO188),IF(AL188=2,AR$100*EXP(-(LN(2)/$D$65+0.04)*(VLOOKUP(($F$16-$F$15)-1,AK$100:AO188,4,FALSE)))*EXP(-(LN(2)/$D$65+0.1)*(VLOOKUP(($F$16-$F$15)-1,AK$100:AO188,5,FALSE)))*EXP(-(LN(2)/$D$65+0.04)*AN188)*EXP(-(LN(2)/$D$65+0.1)*AO188),IF(AL188=3,AR$100*EXP(-(LN(2)/$D$65+0.04)*(VLOOKUP(($F$16-$F$15)-1,AK$100:AO188,4,FALSE)))*EXP(-(LN(2)/$D$65+0.1)*(VLOOKUP(($F$16-$F$15)-1,AK$100:AO188,5,FALSE)))*EXP(-(LN(2)/$D$65+0.04)*(VLOOKUP(($F$16-$F$15)*2-1,AK$100:AO188,4,FALSE)))*EXP(-(LN(2)/$D$65+0.1)*(VLOOKUP(($F$16-$F$15)*2-1,AK$100:AO188,5,FALSE)))*EXP(-(LN(2)/$D$65+0.04)*AN188)*EXP(-(LN(2)/$D$65+0.1)*AO188),"-"))),"-")</f>
        <v>-</v>
      </c>
      <c r="AS188" s="274">
        <f t="shared" si="113"/>
        <v>0</v>
      </c>
      <c r="AT188" s="274">
        <f t="shared" si="114"/>
        <v>0</v>
      </c>
      <c r="AU188" s="274">
        <f t="shared" si="115"/>
        <v>0</v>
      </c>
      <c r="AV188" s="190">
        <f>IF($B188&lt;$F$22,SUM($T$100:$T188),"")</f>
        <v>0</v>
      </c>
      <c r="AW188" s="190" t="str">
        <f t="shared" si="116"/>
        <v>-</v>
      </c>
      <c r="AX188" s="190" t="str">
        <f t="shared" si="141"/>
        <v/>
      </c>
      <c r="AY188"/>
      <c r="AZ188" s="190" t="str">
        <f ca="1">IF(ISNUMBER(OFFSET(AV188,-$F$21,0)),SUM(OFFSET($T$100,$F$21,0):$T188),"")</f>
        <v/>
      </c>
      <c r="BA188" s="190" t="str">
        <f t="shared" ca="1" si="117"/>
        <v/>
      </c>
      <c r="BB188" s="190" t="str">
        <f t="shared" ca="1" si="148"/>
        <v/>
      </c>
      <c r="BC188" s="190"/>
      <c r="BD188" s="190" t="str">
        <f ca="1">IFERROR(IF(AND($B188&gt;=($F$16-$F$15),$B188&lt;$F$22+($F$16-$F$15)),SUM(OFFSET($T$100,($F$16-$F$15),0):$T188),""),"")</f>
        <v/>
      </c>
      <c r="BE188" s="190" t="str">
        <f t="shared" ca="1" si="142"/>
        <v/>
      </c>
      <c r="BF188" s="190" t="str">
        <f t="shared" ca="1" si="143"/>
        <v/>
      </c>
      <c r="BG188"/>
      <c r="BH188" s="190" t="str">
        <f ca="1">IF(ISNUMBER(OFFSET(BD188,-$F$21,0)),SUM(OFFSET($T$100,($F$16-$F$15+$F$21),0):$T188),"")</f>
        <v/>
      </c>
      <c r="BI188" s="190" t="str">
        <f t="shared" ca="1" si="118"/>
        <v/>
      </c>
      <c r="BJ188" s="190" t="str">
        <f t="shared" ca="1" si="144"/>
        <v/>
      </c>
      <c r="BK188" s="190"/>
      <c r="BL188" s="190" t="str">
        <f ca="1">IFERROR(IF(AND($B188&gt;=($F$17-$F$15),$B188&lt;$F$22+($F$17-$F$15)),SUM(OFFSET($T$100,($F$17-$F$15),0):$T188),""),"")</f>
        <v/>
      </c>
      <c r="BM188" s="190" t="str">
        <f t="shared" ca="1" si="119"/>
        <v/>
      </c>
      <c r="BN188" s="190" t="str">
        <f t="shared" ca="1" si="145"/>
        <v/>
      </c>
      <c r="BO188"/>
      <c r="BP188" s="190" t="str">
        <f ca="1">IF(ISNUMBER(OFFSET(BL188,-$F$21,0)),SUM(OFFSET($T$100,($F$17-$F$15+$F$21),0):$T188),"")</f>
        <v/>
      </c>
      <c r="BQ188" s="190" t="str">
        <f t="shared" ca="1" si="120"/>
        <v/>
      </c>
      <c r="BR188" s="190" t="str">
        <f t="shared" ca="1" si="146"/>
        <v/>
      </c>
      <c r="BS188" s="190"/>
      <c r="BT188"/>
      <c r="BU188"/>
      <c r="BV188"/>
      <c r="BY188" s="99"/>
      <c r="BZ188" s="99"/>
      <c r="CA188" s="280" t="str">
        <f t="shared" si="121"/>
        <v/>
      </c>
      <c r="CB188" s="71" t="str">
        <f t="shared" si="122"/>
        <v>-</v>
      </c>
      <c r="CC188" s="33"/>
      <c r="CD188" s="261" t="str">
        <f t="shared" si="123"/>
        <v/>
      </c>
      <c r="CE188" s="280" t="str">
        <f t="shared" si="124"/>
        <v>-</v>
      </c>
      <c r="CF188" s="71" t="str">
        <f t="shared" ca="1" si="125"/>
        <v>-</v>
      </c>
      <c r="CG188" s="33" t="str">
        <f t="shared" si="126"/>
        <v>88-89</v>
      </c>
      <c r="CH188" s="261" t="str">
        <f t="shared" ca="1" si="127"/>
        <v/>
      </c>
      <c r="CI188" s="99"/>
      <c r="CJ188" s="99"/>
      <c r="CK188" s="99"/>
      <c r="CL188" s="99"/>
      <c r="CM188" s="99"/>
      <c r="CN188" s="99"/>
      <c r="CO188" s="99"/>
    </row>
    <row r="189" spans="2:93" ht="13.5" customHeight="1" x14ac:dyDescent="0.2">
      <c r="B189" s="262">
        <v>89</v>
      </c>
      <c r="C189" s="237" t="str">
        <f t="shared" si="91"/>
        <v/>
      </c>
      <c r="D189" s="237" t="str">
        <f t="shared" si="147"/>
        <v>-</v>
      </c>
      <c r="E189" s="263" t="str">
        <f t="shared" si="128"/>
        <v/>
      </c>
      <c r="F189" s="264" t="str">
        <f t="shared" si="129"/>
        <v/>
      </c>
      <c r="G189" s="264" t="str">
        <f t="shared" si="130"/>
        <v/>
      </c>
      <c r="H189" s="240" t="str">
        <f t="shared" si="92"/>
        <v/>
      </c>
      <c r="I189" s="265" t="str">
        <f t="shared" si="93"/>
        <v/>
      </c>
      <c r="J189" s="265" t="str">
        <f t="shared" si="94"/>
        <v/>
      </c>
      <c r="K189" s="240" t="str">
        <f t="shared" si="95"/>
        <v/>
      </c>
      <c r="L189" s="265" t="str">
        <f t="shared" si="96"/>
        <v/>
      </c>
      <c r="M189" s="265" t="str">
        <f t="shared" si="97"/>
        <v/>
      </c>
      <c r="N189" s="240" t="str">
        <f t="shared" si="98"/>
        <v>-</v>
      </c>
      <c r="O189" s="265" t="str">
        <f t="shared" si="99"/>
        <v>-</v>
      </c>
      <c r="P189" s="265" t="str">
        <f t="shared" si="100"/>
        <v>-</v>
      </c>
      <c r="Q189" s="266" t="str">
        <f t="shared" si="101"/>
        <v>-</v>
      </c>
      <c r="R189" s="267" t="str">
        <f t="shared" si="102"/>
        <v>-</v>
      </c>
      <c r="S189" s="268" t="str">
        <f t="shared" si="103"/>
        <v>-</v>
      </c>
      <c r="T189" s="269" t="str">
        <f t="shared" si="104"/>
        <v/>
      </c>
      <c r="U189" s="221">
        <f t="shared" si="105"/>
        <v>89</v>
      </c>
      <c r="V189" s="220" t="str">
        <f t="shared" si="131"/>
        <v>-</v>
      </c>
      <c r="W189" s="221" t="str">
        <f t="shared" si="132"/>
        <v>-</v>
      </c>
      <c r="X189" s="221" t="str">
        <f t="shared" si="106"/>
        <v>-</v>
      </c>
      <c r="Y189" s="221" t="str">
        <f t="shared" si="107"/>
        <v>-</v>
      </c>
      <c r="Z189" s="270">
        <f t="shared" si="133"/>
        <v>0.1</v>
      </c>
      <c r="AA189" s="271" t="str">
        <f>IFERROR(IF(V188=1,AA$100*EXP(-(LN(2)/$D$65+0.04)*X188)*EXP(-(LN(2)/$D$65+0.1)*Y188),IF(V188=2,AA$100*EXP(-(LN(2)/$D$65+0.04)*(VLOOKUP(($F$16-$F$15)-1,U$99:Y188,4,FALSE)))*EXP(-(LN(2)/$D$65+0.1)*(VLOOKUP(($F$16-$F$15)-1,U$99:Y188,5,FALSE)))*EXP(-(LN(2)/$D$65+0.04)*X188)*EXP(-(LN(2)/$D$65+0.1)*Y188),IF(V188=3,AA$100*EXP(-(LN(2)/$D$65+0.04)*(VLOOKUP(($F$16-$F$15)-1,U$99:Y188,4,FALSE)))*EXP(-(LN(2)/$D$65+0.1)*(VLOOKUP(($F$16-$F$15)-1,U$99:Y188,5,FALSE)))*EXP(-(LN(2)/$D$65+0.04)*(VLOOKUP(($F$16-$F$15)*2-1,U$99:Y188,4,FALSE)))*EXP(-(LN(2)/$D$65+0.1)*(VLOOKUP(($F$16-$F$15)*2-1,U$99:Y188,5,FALSE)))*EXP(-(LN(2)/$D$65+0.04)*X188)*EXP(-(LN(2)/$D$65+0.1)*Y188),"-"))),"-")</f>
        <v>-</v>
      </c>
      <c r="AB189" s="271" t="str">
        <f>IFERROR(IF(V189=1,AB$100*EXP(-(LN(2)/$D$65+0.04)*X189)*EXP(-(LN(2)/$D$65+0.1)*Y189),IF(V189=2,AB$100*EXP(-(LN(2)/$D$65+0.04)*(VLOOKUP(($F$16-$F$15)-1,U$100:Y189,4,FALSE)))*EXP(-(LN(2)/$D$65+0.1)*(VLOOKUP(($F$16-$F$15)-1,U$100:Y189,5,FALSE)))*EXP(-(LN(2)/$D$65+0.04)*X189)*EXP(-(LN(2)/$D$65+0.1)*Y189),IF(V189=3,AB$100*EXP(-(LN(2)/$D$65+0.04)*(VLOOKUP(($F$16-$F$15)-1,U$100:Y189,4,FALSE)))*EXP(-(LN(2)/$D$65+0.1)*(VLOOKUP(($F$16-$F$15)-1,U$100:Y189,5,FALSE)))*EXP(-(LN(2)/$D$65+0.04)*(VLOOKUP(($F$16-$F$15)*2-1,U$100:Y189,4,FALSE)))*EXP(-(LN(2)/$D$65+0.1)*(VLOOKUP(($F$16-$F$15)*2-1,U$100:Y189,5,FALSE)))*EXP(-(LN(2)/$D$65+0.04)*X189)*EXP(-(LN(2)/$D$65+0.1)*Y189),"-"))),"-")</f>
        <v>-</v>
      </c>
      <c r="AC189" s="224">
        <f t="shared" si="134"/>
        <v>89</v>
      </c>
      <c r="AD189" s="223" t="str">
        <f t="shared" si="108"/>
        <v>-</v>
      </c>
      <c r="AE189" s="224" t="str">
        <f t="shared" si="135"/>
        <v>-</v>
      </c>
      <c r="AF189" s="224" t="str">
        <f t="shared" si="109"/>
        <v>-</v>
      </c>
      <c r="AG189" s="224" t="str">
        <f t="shared" si="110"/>
        <v>-</v>
      </c>
      <c r="AH189" s="272">
        <f t="shared" si="136"/>
        <v>0.1</v>
      </c>
      <c r="AI189" s="271" t="str">
        <f>IFERROR(IF(AD188=1,AI$100*EXP(-(LN(2)/$D$65+0.04)*AF188)*EXP(-(LN(2)/$D$65+0.1)*AG188),IF(AD188=2,AI$100*EXP(-(LN(2)/$D$65+0.04)*(VLOOKUP(($F$16-$F$15)-1,AC$99:AG188,4,FALSE)))*EXP(-(LN(2)/$D$65+0.1)*(VLOOKUP(($F$16-$F$15)-1,AC$99:AG188,5,FALSE)))*EXP(-(LN(2)/$D$65+0.04)*AF188)*EXP(-(LN(2)/$D$65+0.1)*AG188),IF(AD188=3,AI$100*EXP(-(LN(2)/$D$65+0.04)*(VLOOKUP(($F$16-$F$15)-1,AC$99:AG188,4,FALSE)))*EXP(-(LN(2)/$D$65+0.1)*(VLOOKUP(($F$16-$F$15)-1,AC$99:AG188,5,FALSE)))*EXP(-(LN(2)/$D$65+0.04)*(VLOOKUP(($F$16-$F$15)*2-1,AC$99:AG188,4,FALSE)))*EXP(-(LN(2)/$D$65+0.1)*(VLOOKUP(($F$16-$F$15)*2-1,AC$99:AG188,5,FALSE)))*EXP(-(LN(2)/$D$65+0.04)*AF188)*EXP(-(LN(2)/$D$65+0.1)*AG188),"-"))),"-")</f>
        <v>-</v>
      </c>
      <c r="AJ189" s="271" t="str">
        <f>IFERROR(IF(AD189=1,AJ$100*EXP(-(LN(2)/$D$65+0.04)*AF189)*EXP(-(LN(2)/$D$65+0.1)*AG189),IF(AD189=2,AJ$100*EXP(-(LN(2)/$D$65+0.04)*(VLOOKUP(($F$16-$F$15)-1,AC$100:AG189,4,FALSE)))*EXP(-(LN(2)/$D$65+0.1)*(VLOOKUP(($F$16-$F$15)-1,AC$100:AG189,5,FALSE)))*EXP(-(LN(2)/$D$65+0.04)*AF189)*EXP(-(LN(2)/$D$65+0.1)*AG189),IF(AD189=3,AJ$100*EXP(-(LN(2)/$D$65+0.04)*(VLOOKUP(($F$16-$F$15)-1,AC$100:AG189,4,FALSE)))*EXP(-(LN(2)/$D$65+0.1)*(VLOOKUP(($F$16-$F$15)-1,AC$100:AG189,5,FALSE)))*EXP(-(LN(2)/$D$65+0.04)*(VLOOKUP(($F$16-$F$15)*2-1,AC$100:AG189,4,FALSE)))*EXP(-(LN(2)/$D$65+0.1)*(VLOOKUP(($F$16-$F$15)*2-1,AC$100:AG189,5,FALSE)))*EXP(-(LN(2)/$D$65+0.04)*AF189)*EXP(-(LN(2)/$D$65+0.1)*AG189),"-"))),"-")</f>
        <v>-</v>
      </c>
      <c r="AK189" s="227">
        <f t="shared" si="137"/>
        <v>89</v>
      </c>
      <c r="AL189" s="226" t="str">
        <f t="shared" si="111"/>
        <v>-</v>
      </c>
      <c r="AM189" s="227" t="str">
        <f t="shared" si="138"/>
        <v>-</v>
      </c>
      <c r="AN189" s="227" t="str">
        <f t="shared" si="139"/>
        <v>-</v>
      </c>
      <c r="AO189" s="227" t="str">
        <f t="shared" si="112"/>
        <v>-</v>
      </c>
      <c r="AP189" s="273">
        <f t="shared" si="140"/>
        <v>0.1</v>
      </c>
      <c r="AQ189" s="271" t="str">
        <f>IFERROR(IF(AL188=1,AQ$100*EXP(-(LN(2)/$D$65+0.04)*AN188)*EXP(-(LN(2)/$D$65+0.1)*AO188),IF(AL188=2,AQ$100*EXP(-(LN(2)/$D$65+0.04)*(VLOOKUP(($F$16-$F$15)-1,AK$99:AO188,4,FALSE)))*EXP(-(LN(2)/$D$65+0.1)*(VLOOKUP(($F$16-$F$15)-1,AK$99:AO188,5,FALSE)))*EXP(-(LN(2)/$D$65+0.04)*AN188)*EXP(-(LN(2)/$D$65+0.1)*AO188),IF(AL188=3,AQ$100*EXP(-(LN(2)/$D$65+0.04)*(VLOOKUP(($F$16-$F$15)-1,AK$99:AO188,4,FALSE)))*EXP(-(LN(2)/$D$65+0.1)*(VLOOKUP(($F$16-$F$15)-1,AK$99:AO188,5,FALSE)))*EXP(-(LN(2)/$D$65+0.04)*(VLOOKUP(($F$16-$F$15)*2-1,AK$99:AO188,4,FALSE)))*EXP(-(LN(2)/$D$65+0.1)*(VLOOKUP(($F$16-$F$15)*2-1,AK$99:AO188,5,FALSE)))*EXP(-(LN(2)/$D$65+0.04)*AN188)*EXP(-(LN(2)/$D$65+0.1)*AO188),"-"))),"-")</f>
        <v>-</v>
      </c>
      <c r="AR189" s="271" t="str">
        <f>IFERROR(IF(AL189=1,AR$100*EXP(-(LN(2)/$D$65+0.04)*AN189)*EXP(-(LN(2)/$D$65+0.1)*AO189),IF(AL189=2,AR$100*EXP(-(LN(2)/$D$65+0.04)*(VLOOKUP(($F$16-$F$15)-1,AK$100:AO189,4,FALSE)))*EXP(-(LN(2)/$D$65+0.1)*(VLOOKUP(($F$16-$F$15)-1,AK$100:AO189,5,FALSE)))*EXP(-(LN(2)/$D$65+0.04)*AN189)*EXP(-(LN(2)/$D$65+0.1)*AO189),IF(AL189=3,AR$100*EXP(-(LN(2)/$D$65+0.04)*(VLOOKUP(($F$16-$F$15)-1,AK$100:AO189,4,FALSE)))*EXP(-(LN(2)/$D$65+0.1)*(VLOOKUP(($F$16-$F$15)-1,AK$100:AO189,5,FALSE)))*EXP(-(LN(2)/$D$65+0.04)*(VLOOKUP(($F$16-$F$15)*2-1,AK$100:AO189,4,FALSE)))*EXP(-(LN(2)/$D$65+0.1)*(VLOOKUP(($F$16-$F$15)*2-1,AK$100:AO189,5,FALSE)))*EXP(-(LN(2)/$D$65+0.04)*AN189)*EXP(-(LN(2)/$D$65+0.1)*AO189),"-"))),"-")</f>
        <v>-</v>
      </c>
      <c r="AS189" s="274">
        <f t="shared" si="113"/>
        <v>0</v>
      </c>
      <c r="AT189" s="274">
        <f t="shared" si="114"/>
        <v>0</v>
      </c>
      <c r="AU189" s="274">
        <f t="shared" si="115"/>
        <v>0</v>
      </c>
      <c r="AV189" s="190">
        <f>IF($B189&lt;$F$22,SUM($T$100:$T189),"")</f>
        <v>0</v>
      </c>
      <c r="AW189" s="190" t="str">
        <f t="shared" si="116"/>
        <v>-</v>
      </c>
      <c r="AX189" s="190" t="str">
        <f t="shared" si="141"/>
        <v/>
      </c>
      <c r="AY189"/>
      <c r="AZ189" s="190" t="str">
        <f ca="1">IF(ISNUMBER(OFFSET(AV189,-$F$21,0)),SUM(OFFSET($T$100,$F$21,0):$T189),"")</f>
        <v/>
      </c>
      <c r="BA189" s="190" t="str">
        <f t="shared" ca="1" si="117"/>
        <v/>
      </c>
      <c r="BB189" s="190" t="str">
        <f t="shared" ca="1" si="148"/>
        <v/>
      </c>
      <c r="BC189" s="190"/>
      <c r="BD189" s="190" t="str">
        <f ca="1">IFERROR(IF(AND($B189&gt;=($F$16-$F$15),$B189&lt;$F$22+($F$16-$F$15)),SUM(OFFSET($T$100,($F$16-$F$15),0):$T189),""),"")</f>
        <v/>
      </c>
      <c r="BE189" s="190" t="str">
        <f t="shared" ca="1" si="142"/>
        <v/>
      </c>
      <c r="BF189" s="190" t="str">
        <f t="shared" ca="1" si="143"/>
        <v/>
      </c>
      <c r="BG189"/>
      <c r="BH189" s="190" t="str">
        <f ca="1">IF(ISNUMBER(OFFSET(BD189,-$F$21,0)),SUM(OFFSET($T$100,($F$16-$F$15+$F$21),0):$T189),"")</f>
        <v/>
      </c>
      <c r="BI189" s="190" t="str">
        <f t="shared" ca="1" si="118"/>
        <v/>
      </c>
      <c r="BJ189" s="190" t="str">
        <f t="shared" ca="1" si="144"/>
        <v/>
      </c>
      <c r="BK189" s="190"/>
      <c r="BL189" s="190" t="str">
        <f ca="1">IFERROR(IF(AND($B189&gt;=($F$17-$F$15),$B189&lt;$F$22+($F$17-$F$15)),SUM(OFFSET($T$100,($F$17-$F$15),0):$T189),""),"")</f>
        <v/>
      </c>
      <c r="BM189" s="190" t="str">
        <f t="shared" ca="1" si="119"/>
        <v/>
      </c>
      <c r="BN189" s="190" t="str">
        <f t="shared" ca="1" si="145"/>
        <v/>
      </c>
      <c r="BO189"/>
      <c r="BP189" s="190" t="str">
        <f ca="1">IF(ISNUMBER(OFFSET(BL189,-$F$21,0)),SUM(OFFSET($T$100,($F$17-$F$15+$F$21),0):$T189),"")</f>
        <v/>
      </c>
      <c r="BQ189" s="190" t="str">
        <f t="shared" ca="1" si="120"/>
        <v/>
      </c>
      <c r="BR189" s="190" t="str">
        <f t="shared" ca="1" si="146"/>
        <v/>
      </c>
      <c r="BS189" s="190"/>
      <c r="BT189"/>
      <c r="BU189"/>
      <c r="BV189"/>
      <c r="BY189" s="99"/>
      <c r="BZ189" s="99"/>
      <c r="CA189" s="280" t="str">
        <f t="shared" si="121"/>
        <v/>
      </c>
      <c r="CB189" s="71" t="str">
        <f t="shared" si="122"/>
        <v>-</v>
      </c>
      <c r="CC189" s="33"/>
      <c r="CD189" s="261" t="str">
        <f t="shared" si="123"/>
        <v/>
      </c>
      <c r="CE189" s="280" t="str">
        <f t="shared" si="124"/>
        <v>-</v>
      </c>
      <c r="CF189" s="71" t="str">
        <f t="shared" ca="1" si="125"/>
        <v>-</v>
      </c>
      <c r="CG189" s="33" t="str">
        <f t="shared" si="126"/>
        <v>89-90</v>
      </c>
      <c r="CH189" s="261" t="str">
        <f t="shared" ca="1" si="127"/>
        <v/>
      </c>
    </row>
    <row r="190" spans="2:93" ht="13.5" customHeight="1" x14ac:dyDescent="0.2">
      <c r="B190" s="262">
        <v>90</v>
      </c>
      <c r="C190" s="237" t="str">
        <f t="shared" si="91"/>
        <v/>
      </c>
      <c r="D190" s="237" t="str">
        <f t="shared" si="147"/>
        <v>-</v>
      </c>
      <c r="E190" s="263" t="str">
        <f t="shared" si="128"/>
        <v/>
      </c>
      <c r="F190" s="264" t="str">
        <f t="shared" si="129"/>
        <v/>
      </c>
      <c r="G190" s="264" t="str">
        <f t="shared" si="130"/>
        <v/>
      </c>
      <c r="H190" s="240" t="str">
        <f t="shared" si="92"/>
        <v/>
      </c>
      <c r="I190" s="265" t="str">
        <f t="shared" si="93"/>
        <v/>
      </c>
      <c r="J190" s="265" t="str">
        <f t="shared" si="94"/>
        <v/>
      </c>
      <c r="K190" s="240" t="str">
        <f t="shared" si="95"/>
        <v/>
      </c>
      <c r="L190" s="265" t="str">
        <f t="shared" si="96"/>
        <v/>
      </c>
      <c r="M190" s="265" t="str">
        <f t="shared" si="97"/>
        <v/>
      </c>
      <c r="N190" s="240" t="str">
        <f t="shared" si="98"/>
        <v>-</v>
      </c>
      <c r="O190" s="265" t="str">
        <f t="shared" si="99"/>
        <v>-</v>
      </c>
      <c r="P190" s="265" t="str">
        <f t="shared" si="100"/>
        <v>-</v>
      </c>
      <c r="Q190" s="266" t="str">
        <f t="shared" si="101"/>
        <v>-</v>
      </c>
      <c r="R190" s="267" t="str">
        <f t="shared" si="102"/>
        <v>-</v>
      </c>
      <c r="S190" s="268" t="str">
        <f t="shared" si="103"/>
        <v>-</v>
      </c>
      <c r="T190" s="269" t="str">
        <f t="shared" si="104"/>
        <v/>
      </c>
      <c r="U190" s="221">
        <f t="shared" si="105"/>
        <v>90</v>
      </c>
      <c r="V190" s="220" t="str">
        <f t="shared" si="131"/>
        <v>-</v>
      </c>
      <c r="W190" s="221" t="str">
        <f t="shared" si="132"/>
        <v>-</v>
      </c>
      <c r="X190" s="221" t="str">
        <f t="shared" si="106"/>
        <v>-</v>
      </c>
      <c r="Y190" s="221" t="str">
        <f t="shared" si="107"/>
        <v>-</v>
      </c>
      <c r="Z190" s="270">
        <f t="shared" si="133"/>
        <v>0.1</v>
      </c>
      <c r="AA190" s="271" t="str">
        <f>IFERROR(IF(V189=1,AA$100*EXP(-(LN(2)/$D$65+0.04)*X189)*EXP(-(LN(2)/$D$65+0.1)*Y189),IF(V189=2,AA$100*EXP(-(LN(2)/$D$65+0.04)*(VLOOKUP(($F$16-$F$15)-1,U$99:Y189,4,FALSE)))*EXP(-(LN(2)/$D$65+0.1)*(VLOOKUP(($F$16-$F$15)-1,U$99:Y189,5,FALSE)))*EXP(-(LN(2)/$D$65+0.04)*X189)*EXP(-(LN(2)/$D$65+0.1)*Y189),IF(V189=3,AA$100*EXP(-(LN(2)/$D$65+0.04)*(VLOOKUP(($F$16-$F$15)-1,U$99:Y189,4,FALSE)))*EXP(-(LN(2)/$D$65+0.1)*(VLOOKUP(($F$16-$F$15)-1,U$99:Y189,5,FALSE)))*EXP(-(LN(2)/$D$65+0.04)*(VLOOKUP(($F$16-$F$15)*2-1,U$99:Y189,4,FALSE)))*EXP(-(LN(2)/$D$65+0.1)*(VLOOKUP(($F$16-$F$15)*2-1,U$99:Y189,5,FALSE)))*EXP(-(LN(2)/$D$65+0.04)*X189)*EXP(-(LN(2)/$D$65+0.1)*Y189),"-"))),"-")</f>
        <v>-</v>
      </c>
      <c r="AB190" s="271" t="str">
        <f>IFERROR(IF(V190=1,AB$100*EXP(-(LN(2)/$D$65+0.04)*X190)*EXP(-(LN(2)/$D$65+0.1)*Y190),IF(V190=2,AB$100*EXP(-(LN(2)/$D$65+0.04)*(VLOOKUP(($F$16-$F$15)-1,U$100:Y190,4,FALSE)))*EXP(-(LN(2)/$D$65+0.1)*(VLOOKUP(($F$16-$F$15)-1,U$100:Y190,5,FALSE)))*EXP(-(LN(2)/$D$65+0.04)*X190)*EXP(-(LN(2)/$D$65+0.1)*Y190),IF(V190=3,AB$100*EXP(-(LN(2)/$D$65+0.04)*(VLOOKUP(($F$16-$F$15)-1,U$100:Y190,4,FALSE)))*EXP(-(LN(2)/$D$65+0.1)*(VLOOKUP(($F$16-$F$15)-1,U$100:Y190,5,FALSE)))*EXP(-(LN(2)/$D$65+0.04)*(VLOOKUP(($F$16-$F$15)*2-1,U$100:Y190,4,FALSE)))*EXP(-(LN(2)/$D$65+0.1)*(VLOOKUP(($F$16-$F$15)*2-1,U$100:Y190,5,FALSE)))*EXP(-(LN(2)/$D$65+0.04)*X190)*EXP(-(LN(2)/$D$65+0.1)*Y190),"-"))),"-")</f>
        <v>-</v>
      </c>
      <c r="AC190" s="224">
        <f t="shared" si="134"/>
        <v>90</v>
      </c>
      <c r="AD190" s="223" t="str">
        <f t="shared" si="108"/>
        <v>-</v>
      </c>
      <c r="AE190" s="224" t="str">
        <f t="shared" si="135"/>
        <v>-</v>
      </c>
      <c r="AF190" s="224" t="str">
        <f t="shared" si="109"/>
        <v>-</v>
      </c>
      <c r="AG190" s="224" t="str">
        <f t="shared" si="110"/>
        <v>-</v>
      </c>
      <c r="AH190" s="272">
        <f t="shared" si="136"/>
        <v>0.1</v>
      </c>
      <c r="AI190" s="271" t="str">
        <f>IFERROR(IF(AD189=1,AI$100*EXP(-(LN(2)/$D$65+0.04)*AF189)*EXP(-(LN(2)/$D$65+0.1)*AG189),IF(AD189=2,AI$100*EXP(-(LN(2)/$D$65+0.04)*(VLOOKUP(($F$16-$F$15)-1,AC$99:AG189,4,FALSE)))*EXP(-(LN(2)/$D$65+0.1)*(VLOOKUP(($F$16-$F$15)-1,AC$99:AG189,5,FALSE)))*EXP(-(LN(2)/$D$65+0.04)*AF189)*EXP(-(LN(2)/$D$65+0.1)*AG189),IF(AD189=3,AI$100*EXP(-(LN(2)/$D$65+0.04)*(VLOOKUP(($F$16-$F$15)-1,AC$99:AG189,4,FALSE)))*EXP(-(LN(2)/$D$65+0.1)*(VLOOKUP(($F$16-$F$15)-1,AC$99:AG189,5,FALSE)))*EXP(-(LN(2)/$D$65+0.04)*(VLOOKUP(($F$16-$F$15)*2-1,AC$99:AG189,4,FALSE)))*EXP(-(LN(2)/$D$65+0.1)*(VLOOKUP(($F$16-$F$15)*2-1,AC$99:AG189,5,FALSE)))*EXP(-(LN(2)/$D$65+0.04)*AF189)*EXP(-(LN(2)/$D$65+0.1)*AG189),"-"))),"-")</f>
        <v>-</v>
      </c>
      <c r="AJ190" s="271" t="str">
        <f>IFERROR(IF(AD190=1,AJ$100*EXP(-(LN(2)/$D$65+0.04)*AF190)*EXP(-(LN(2)/$D$65+0.1)*AG190),IF(AD190=2,AJ$100*EXP(-(LN(2)/$D$65+0.04)*(VLOOKUP(($F$16-$F$15)-1,AC$100:AG190,4,FALSE)))*EXP(-(LN(2)/$D$65+0.1)*(VLOOKUP(($F$16-$F$15)-1,AC$100:AG190,5,FALSE)))*EXP(-(LN(2)/$D$65+0.04)*AF190)*EXP(-(LN(2)/$D$65+0.1)*AG190),IF(AD190=3,AJ$100*EXP(-(LN(2)/$D$65+0.04)*(VLOOKUP(($F$16-$F$15)-1,AC$100:AG190,4,FALSE)))*EXP(-(LN(2)/$D$65+0.1)*(VLOOKUP(($F$16-$F$15)-1,AC$100:AG190,5,FALSE)))*EXP(-(LN(2)/$D$65+0.04)*(VLOOKUP(($F$16-$F$15)*2-1,AC$100:AG190,4,FALSE)))*EXP(-(LN(2)/$D$65+0.1)*(VLOOKUP(($F$16-$F$15)*2-1,AC$100:AG190,5,FALSE)))*EXP(-(LN(2)/$D$65+0.04)*AF190)*EXP(-(LN(2)/$D$65+0.1)*AG190),"-"))),"-")</f>
        <v>-</v>
      </c>
      <c r="AK190" s="227">
        <f t="shared" si="137"/>
        <v>90</v>
      </c>
      <c r="AL190" s="226" t="str">
        <f t="shared" si="111"/>
        <v>-</v>
      </c>
      <c r="AM190" s="227" t="str">
        <f t="shared" si="138"/>
        <v>-</v>
      </c>
      <c r="AN190" s="227" t="str">
        <f t="shared" si="139"/>
        <v>-</v>
      </c>
      <c r="AO190" s="227" t="str">
        <f t="shared" si="112"/>
        <v>-</v>
      </c>
      <c r="AP190" s="273">
        <f t="shared" si="140"/>
        <v>0.1</v>
      </c>
      <c r="AQ190" s="271" t="str">
        <f>IFERROR(IF(AL189=1,AQ$100*EXP(-(LN(2)/$D$65+0.04)*AN189)*EXP(-(LN(2)/$D$65+0.1)*AO189),IF(AL189=2,AQ$100*EXP(-(LN(2)/$D$65+0.04)*(VLOOKUP(($F$16-$F$15)-1,AK$99:AO189,4,FALSE)))*EXP(-(LN(2)/$D$65+0.1)*(VLOOKUP(($F$16-$F$15)-1,AK$99:AO189,5,FALSE)))*EXP(-(LN(2)/$D$65+0.04)*AN189)*EXP(-(LN(2)/$D$65+0.1)*AO189),IF(AL189=3,AQ$100*EXP(-(LN(2)/$D$65+0.04)*(VLOOKUP(($F$16-$F$15)-1,AK$99:AO189,4,FALSE)))*EXP(-(LN(2)/$D$65+0.1)*(VLOOKUP(($F$16-$F$15)-1,AK$99:AO189,5,FALSE)))*EXP(-(LN(2)/$D$65+0.04)*(VLOOKUP(($F$16-$F$15)*2-1,AK$99:AO189,4,FALSE)))*EXP(-(LN(2)/$D$65+0.1)*(VLOOKUP(($F$16-$F$15)*2-1,AK$99:AO189,5,FALSE)))*EXP(-(LN(2)/$D$65+0.04)*AN189)*EXP(-(LN(2)/$D$65+0.1)*AO189),"-"))),"-")</f>
        <v>-</v>
      </c>
      <c r="AR190" s="271" t="str">
        <f>IFERROR(IF(AL190=1,AR$100*EXP(-(LN(2)/$D$65+0.04)*AN190)*EXP(-(LN(2)/$D$65+0.1)*AO190),IF(AL190=2,AR$100*EXP(-(LN(2)/$D$65+0.04)*(VLOOKUP(($F$16-$F$15)-1,AK$100:AO190,4,FALSE)))*EXP(-(LN(2)/$D$65+0.1)*(VLOOKUP(($F$16-$F$15)-1,AK$100:AO190,5,FALSE)))*EXP(-(LN(2)/$D$65+0.04)*AN190)*EXP(-(LN(2)/$D$65+0.1)*AO190),IF(AL190=3,AR$100*EXP(-(LN(2)/$D$65+0.04)*(VLOOKUP(($F$16-$F$15)-1,AK$100:AO190,4,FALSE)))*EXP(-(LN(2)/$D$65+0.1)*(VLOOKUP(($F$16-$F$15)-1,AK$100:AO190,5,FALSE)))*EXP(-(LN(2)/$D$65+0.04)*(VLOOKUP(($F$16-$F$15)*2-1,AK$100:AO190,4,FALSE)))*EXP(-(LN(2)/$D$65+0.1)*(VLOOKUP(($F$16-$F$15)*2-1,AK$100:AO190,5,FALSE)))*EXP(-(LN(2)/$D$65+0.04)*AN190)*EXP(-(LN(2)/$D$65+0.1)*AO190),"-"))),"-")</f>
        <v>-</v>
      </c>
      <c r="AS190" s="274">
        <f t="shared" si="113"/>
        <v>0</v>
      </c>
      <c r="AT190" s="274">
        <f t="shared" si="114"/>
        <v>0</v>
      </c>
      <c r="AU190" s="274">
        <f t="shared" si="115"/>
        <v>0</v>
      </c>
      <c r="AV190" s="190">
        <f>IF($B190&lt;$F$22,SUM($T$100:$T190),"")</f>
        <v>0</v>
      </c>
      <c r="AW190" s="190" t="str">
        <f t="shared" si="116"/>
        <v>-</v>
      </c>
      <c r="AX190" s="190" t="str">
        <f t="shared" si="141"/>
        <v/>
      </c>
      <c r="AY190"/>
      <c r="AZ190" s="190" t="str">
        <f ca="1">IF(ISNUMBER(OFFSET(AV190,-$F$21,0)),SUM(OFFSET($T$100,$F$21,0):$T190),"")</f>
        <v/>
      </c>
      <c r="BA190" s="190" t="str">
        <f t="shared" ca="1" si="117"/>
        <v/>
      </c>
      <c r="BB190" s="190" t="str">
        <f t="shared" ca="1" si="148"/>
        <v/>
      </c>
      <c r="BC190" s="190"/>
      <c r="BD190" s="190" t="str">
        <f ca="1">IFERROR(IF(AND($B190&gt;=($F$16-$F$15),$B190&lt;$F$22+($F$16-$F$15)),SUM(OFFSET($T$100,($F$16-$F$15),0):$T190),""),"")</f>
        <v/>
      </c>
      <c r="BE190" s="190" t="str">
        <f t="shared" ca="1" si="142"/>
        <v/>
      </c>
      <c r="BF190" s="190" t="str">
        <f t="shared" ca="1" si="143"/>
        <v/>
      </c>
      <c r="BG190"/>
      <c r="BH190" s="190" t="str">
        <f ca="1">IF(ISNUMBER(OFFSET(BD190,-$F$21,0)),SUM(OFFSET($T$100,($F$16-$F$15+$F$21),0):$T190),"")</f>
        <v/>
      </c>
      <c r="BI190" s="190" t="str">
        <f t="shared" ca="1" si="118"/>
        <v/>
      </c>
      <c r="BJ190" s="190" t="str">
        <f t="shared" ca="1" si="144"/>
        <v/>
      </c>
      <c r="BK190" s="190"/>
      <c r="BL190" s="190" t="str">
        <f ca="1">IFERROR(IF(AND($B190&gt;=($F$17-$F$15),$B190&lt;$F$22+($F$17-$F$15)),SUM(OFFSET($T$100,($F$17-$F$15),0):$T190),""),"")</f>
        <v/>
      </c>
      <c r="BM190" s="190" t="str">
        <f t="shared" ca="1" si="119"/>
        <v/>
      </c>
      <c r="BN190" s="190" t="str">
        <f t="shared" ca="1" si="145"/>
        <v/>
      </c>
      <c r="BO190"/>
      <c r="BP190" s="190" t="str">
        <f ca="1">IF(ISNUMBER(OFFSET(BL190,-$F$21,0)),SUM(OFFSET($T$100,($F$17-$F$15+$F$21),0):$T190),"")</f>
        <v/>
      </c>
      <c r="BQ190" s="190" t="str">
        <f t="shared" ca="1" si="120"/>
        <v/>
      </c>
      <c r="BR190" s="190" t="str">
        <f t="shared" ca="1" si="146"/>
        <v/>
      </c>
      <c r="BS190" s="190"/>
      <c r="BT190"/>
      <c r="BU190"/>
      <c r="BV190"/>
      <c r="BY190" s="99"/>
      <c r="BZ190" s="99"/>
      <c r="CA190" s="280" t="str">
        <f t="shared" si="121"/>
        <v/>
      </c>
      <c r="CB190" s="71" t="str">
        <f t="shared" si="122"/>
        <v>-</v>
      </c>
      <c r="CC190" s="33"/>
      <c r="CD190" s="261" t="str">
        <f t="shared" si="123"/>
        <v/>
      </c>
      <c r="CE190" s="280" t="str">
        <f t="shared" si="124"/>
        <v>-</v>
      </c>
      <c r="CF190" s="71" t="str">
        <f t="shared" ca="1" si="125"/>
        <v>-</v>
      </c>
      <c r="CG190" s="33" t="str">
        <f t="shared" si="126"/>
        <v>90-91</v>
      </c>
      <c r="CH190" s="261" t="str">
        <f t="shared" ca="1" si="127"/>
        <v/>
      </c>
    </row>
    <row r="191" spans="2:93" ht="13.5" customHeight="1" x14ac:dyDescent="0.2">
      <c r="B191" s="262">
        <v>91</v>
      </c>
      <c r="C191" s="237" t="str">
        <f t="shared" si="91"/>
        <v/>
      </c>
      <c r="D191" s="237" t="str">
        <f t="shared" si="147"/>
        <v>-</v>
      </c>
      <c r="E191" s="263" t="str">
        <f t="shared" si="128"/>
        <v/>
      </c>
      <c r="F191" s="264" t="str">
        <f t="shared" si="129"/>
        <v/>
      </c>
      <c r="G191" s="264" t="str">
        <f t="shared" si="130"/>
        <v/>
      </c>
      <c r="H191" s="240" t="str">
        <f t="shared" si="92"/>
        <v/>
      </c>
      <c r="I191" s="265" t="str">
        <f t="shared" si="93"/>
        <v/>
      </c>
      <c r="J191" s="265" t="str">
        <f t="shared" si="94"/>
        <v/>
      </c>
      <c r="K191" s="240" t="str">
        <f t="shared" si="95"/>
        <v/>
      </c>
      <c r="L191" s="265" t="str">
        <f t="shared" si="96"/>
        <v/>
      </c>
      <c r="M191" s="265" t="str">
        <f t="shared" si="97"/>
        <v/>
      </c>
      <c r="N191" s="240" t="str">
        <f t="shared" si="98"/>
        <v>-</v>
      </c>
      <c r="O191" s="265" t="str">
        <f t="shared" si="99"/>
        <v>-</v>
      </c>
      <c r="P191" s="265" t="str">
        <f t="shared" si="100"/>
        <v>-</v>
      </c>
      <c r="Q191" s="266" t="str">
        <f t="shared" si="101"/>
        <v>-</v>
      </c>
      <c r="R191" s="267" t="str">
        <f t="shared" si="102"/>
        <v>-</v>
      </c>
      <c r="S191" s="268" t="str">
        <f t="shared" si="103"/>
        <v>-</v>
      </c>
      <c r="T191" s="269" t="str">
        <f t="shared" si="104"/>
        <v/>
      </c>
      <c r="U191" s="221">
        <f t="shared" si="105"/>
        <v>91</v>
      </c>
      <c r="V191" s="220" t="str">
        <f t="shared" si="131"/>
        <v>-</v>
      </c>
      <c r="W191" s="221" t="str">
        <f t="shared" si="132"/>
        <v>-</v>
      </c>
      <c r="X191" s="221" t="str">
        <f t="shared" si="106"/>
        <v>-</v>
      </c>
      <c r="Y191" s="221" t="str">
        <f t="shared" si="107"/>
        <v>-</v>
      </c>
      <c r="Z191" s="270">
        <f t="shared" si="133"/>
        <v>0.1</v>
      </c>
      <c r="AA191" s="271" t="str">
        <f>IFERROR(IF(V190=1,AA$100*EXP(-(LN(2)/$D$65+0.04)*X190)*EXP(-(LN(2)/$D$65+0.1)*Y190),IF(V190=2,AA$100*EXP(-(LN(2)/$D$65+0.04)*(VLOOKUP(($F$16-$F$15)-1,U$99:Y190,4,FALSE)))*EXP(-(LN(2)/$D$65+0.1)*(VLOOKUP(($F$16-$F$15)-1,U$99:Y190,5,FALSE)))*EXP(-(LN(2)/$D$65+0.04)*X190)*EXP(-(LN(2)/$D$65+0.1)*Y190),IF(V190=3,AA$100*EXP(-(LN(2)/$D$65+0.04)*(VLOOKUP(($F$16-$F$15)-1,U$99:Y190,4,FALSE)))*EXP(-(LN(2)/$D$65+0.1)*(VLOOKUP(($F$16-$F$15)-1,U$99:Y190,5,FALSE)))*EXP(-(LN(2)/$D$65+0.04)*(VLOOKUP(($F$16-$F$15)*2-1,U$99:Y190,4,FALSE)))*EXP(-(LN(2)/$D$65+0.1)*(VLOOKUP(($F$16-$F$15)*2-1,U$99:Y190,5,FALSE)))*EXP(-(LN(2)/$D$65+0.04)*X190)*EXP(-(LN(2)/$D$65+0.1)*Y190),"-"))),"-")</f>
        <v>-</v>
      </c>
      <c r="AB191" s="271" t="str">
        <f>IFERROR(IF(V191=1,AB$100*EXP(-(LN(2)/$D$65+0.04)*X191)*EXP(-(LN(2)/$D$65+0.1)*Y191),IF(V191=2,AB$100*EXP(-(LN(2)/$D$65+0.04)*(VLOOKUP(($F$16-$F$15)-1,U$100:Y191,4,FALSE)))*EXP(-(LN(2)/$D$65+0.1)*(VLOOKUP(($F$16-$F$15)-1,U$100:Y191,5,FALSE)))*EXP(-(LN(2)/$D$65+0.04)*X191)*EXP(-(LN(2)/$D$65+0.1)*Y191),IF(V191=3,AB$100*EXP(-(LN(2)/$D$65+0.04)*(VLOOKUP(($F$16-$F$15)-1,U$100:Y191,4,FALSE)))*EXP(-(LN(2)/$D$65+0.1)*(VLOOKUP(($F$16-$F$15)-1,U$100:Y191,5,FALSE)))*EXP(-(LN(2)/$D$65+0.04)*(VLOOKUP(($F$16-$F$15)*2-1,U$100:Y191,4,FALSE)))*EXP(-(LN(2)/$D$65+0.1)*(VLOOKUP(($F$16-$F$15)*2-1,U$100:Y191,5,FALSE)))*EXP(-(LN(2)/$D$65+0.04)*X191)*EXP(-(LN(2)/$D$65+0.1)*Y191),"-"))),"-")</f>
        <v>-</v>
      </c>
      <c r="AC191" s="224">
        <f t="shared" si="134"/>
        <v>91</v>
      </c>
      <c r="AD191" s="223" t="str">
        <f t="shared" si="108"/>
        <v>-</v>
      </c>
      <c r="AE191" s="224" t="str">
        <f t="shared" si="135"/>
        <v>-</v>
      </c>
      <c r="AF191" s="224" t="str">
        <f t="shared" si="109"/>
        <v>-</v>
      </c>
      <c r="AG191" s="224" t="str">
        <f t="shared" si="110"/>
        <v>-</v>
      </c>
      <c r="AH191" s="272">
        <f t="shared" si="136"/>
        <v>0.1</v>
      </c>
      <c r="AI191" s="271" t="str">
        <f>IFERROR(IF(AD190=1,AI$100*EXP(-(LN(2)/$D$65+0.04)*AF190)*EXP(-(LN(2)/$D$65+0.1)*AG190),IF(AD190=2,AI$100*EXP(-(LN(2)/$D$65+0.04)*(VLOOKUP(($F$16-$F$15)-1,AC$99:AG190,4,FALSE)))*EXP(-(LN(2)/$D$65+0.1)*(VLOOKUP(($F$16-$F$15)-1,AC$99:AG190,5,FALSE)))*EXP(-(LN(2)/$D$65+0.04)*AF190)*EXP(-(LN(2)/$D$65+0.1)*AG190),IF(AD190=3,AI$100*EXP(-(LN(2)/$D$65+0.04)*(VLOOKUP(($F$16-$F$15)-1,AC$99:AG190,4,FALSE)))*EXP(-(LN(2)/$D$65+0.1)*(VLOOKUP(($F$16-$F$15)-1,AC$99:AG190,5,FALSE)))*EXP(-(LN(2)/$D$65+0.04)*(VLOOKUP(($F$16-$F$15)*2-1,AC$99:AG190,4,FALSE)))*EXP(-(LN(2)/$D$65+0.1)*(VLOOKUP(($F$16-$F$15)*2-1,AC$99:AG190,5,FALSE)))*EXP(-(LN(2)/$D$65+0.04)*AF190)*EXP(-(LN(2)/$D$65+0.1)*AG190),"-"))),"-")</f>
        <v>-</v>
      </c>
      <c r="AJ191" s="271" t="str">
        <f>IFERROR(IF(AD191=1,AJ$100*EXP(-(LN(2)/$D$65+0.04)*AF191)*EXP(-(LN(2)/$D$65+0.1)*AG191),IF(AD191=2,AJ$100*EXP(-(LN(2)/$D$65+0.04)*(VLOOKUP(($F$16-$F$15)-1,AC$100:AG191,4,FALSE)))*EXP(-(LN(2)/$D$65+0.1)*(VLOOKUP(($F$16-$F$15)-1,AC$100:AG191,5,FALSE)))*EXP(-(LN(2)/$D$65+0.04)*AF191)*EXP(-(LN(2)/$D$65+0.1)*AG191),IF(AD191=3,AJ$100*EXP(-(LN(2)/$D$65+0.04)*(VLOOKUP(($F$16-$F$15)-1,AC$100:AG191,4,FALSE)))*EXP(-(LN(2)/$D$65+0.1)*(VLOOKUP(($F$16-$F$15)-1,AC$100:AG191,5,FALSE)))*EXP(-(LN(2)/$D$65+0.04)*(VLOOKUP(($F$16-$F$15)*2-1,AC$100:AG191,4,FALSE)))*EXP(-(LN(2)/$D$65+0.1)*(VLOOKUP(($F$16-$F$15)*2-1,AC$100:AG191,5,FALSE)))*EXP(-(LN(2)/$D$65+0.04)*AF191)*EXP(-(LN(2)/$D$65+0.1)*AG191),"-"))),"-")</f>
        <v>-</v>
      </c>
      <c r="AK191" s="227">
        <f t="shared" si="137"/>
        <v>91</v>
      </c>
      <c r="AL191" s="226" t="str">
        <f t="shared" si="111"/>
        <v>-</v>
      </c>
      <c r="AM191" s="227" t="str">
        <f t="shared" si="138"/>
        <v>-</v>
      </c>
      <c r="AN191" s="227" t="str">
        <f t="shared" si="139"/>
        <v>-</v>
      </c>
      <c r="AO191" s="227" t="str">
        <f t="shared" si="112"/>
        <v>-</v>
      </c>
      <c r="AP191" s="273">
        <f t="shared" si="140"/>
        <v>0.1</v>
      </c>
      <c r="AQ191" s="271" t="str">
        <f>IFERROR(IF(AL190=1,AQ$100*EXP(-(LN(2)/$D$65+0.04)*AN190)*EXP(-(LN(2)/$D$65+0.1)*AO190),IF(AL190=2,AQ$100*EXP(-(LN(2)/$D$65+0.04)*(VLOOKUP(($F$16-$F$15)-1,AK$99:AO190,4,FALSE)))*EXP(-(LN(2)/$D$65+0.1)*(VLOOKUP(($F$16-$F$15)-1,AK$99:AO190,5,FALSE)))*EXP(-(LN(2)/$D$65+0.04)*AN190)*EXP(-(LN(2)/$D$65+0.1)*AO190),IF(AL190=3,AQ$100*EXP(-(LN(2)/$D$65+0.04)*(VLOOKUP(($F$16-$F$15)-1,AK$99:AO190,4,FALSE)))*EXP(-(LN(2)/$D$65+0.1)*(VLOOKUP(($F$16-$F$15)-1,AK$99:AO190,5,FALSE)))*EXP(-(LN(2)/$D$65+0.04)*(VLOOKUP(($F$16-$F$15)*2-1,AK$99:AO190,4,FALSE)))*EXP(-(LN(2)/$D$65+0.1)*(VLOOKUP(($F$16-$F$15)*2-1,AK$99:AO190,5,FALSE)))*EXP(-(LN(2)/$D$65+0.04)*AN190)*EXP(-(LN(2)/$D$65+0.1)*AO190),"-"))),"-")</f>
        <v>-</v>
      </c>
      <c r="AR191" s="271" t="str">
        <f>IFERROR(IF(AL191=1,AR$100*EXP(-(LN(2)/$D$65+0.04)*AN191)*EXP(-(LN(2)/$D$65+0.1)*AO191),IF(AL191=2,AR$100*EXP(-(LN(2)/$D$65+0.04)*(VLOOKUP(($F$16-$F$15)-1,AK$100:AO191,4,FALSE)))*EXP(-(LN(2)/$D$65+0.1)*(VLOOKUP(($F$16-$F$15)-1,AK$100:AO191,5,FALSE)))*EXP(-(LN(2)/$D$65+0.04)*AN191)*EXP(-(LN(2)/$D$65+0.1)*AO191),IF(AL191=3,AR$100*EXP(-(LN(2)/$D$65+0.04)*(VLOOKUP(($F$16-$F$15)-1,AK$100:AO191,4,FALSE)))*EXP(-(LN(2)/$D$65+0.1)*(VLOOKUP(($F$16-$F$15)-1,AK$100:AO191,5,FALSE)))*EXP(-(LN(2)/$D$65+0.04)*(VLOOKUP(($F$16-$F$15)*2-1,AK$100:AO191,4,FALSE)))*EXP(-(LN(2)/$D$65+0.1)*(VLOOKUP(($F$16-$F$15)*2-1,AK$100:AO191,5,FALSE)))*EXP(-(LN(2)/$D$65+0.04)*AN191)*EXP(-(LN(2)/$D$65+0.1)*AO191),"-"))),"-")</f>
        <v>-</v>
      </c>
      <c r="AS191" s="274">
        <f t="shared" si="113"/>
        <v>0</v>
      </c>
      <c r="AT191" s="274">
        <f t="shared" si="114"/>
        <v>0</v>
      </c>
      <c r="AU191" s="274">
        <f t="shared" si="115"/>
        <v>0</v>
      </c>
      <c r="AV191" s="190">
        <f>IF($B191&lt;$F$22,SUM($T$100:$T191),"")</f>
        <v>0</v>
      </c>
      <c r="AW191" s="190" t="str">
        <f t="shared" si="116"/>
        <v>-</v>
      </c>
      <c r="AX191" s="190" t="str">
        <f t="shared" si="141"/>
        <v/>
      </c>
      <c r="AY191"/>
      <c r="AZ191" s="190" t="str">
        <f ca="1">IF(ISNUMBER(OFFSET(AV191,-$F$21,0)),SUM(OFFSET($T$100,$F$21,0):$T191),"")</f>
        <v/>
      </c>
      <c r="BA191" s="190" t="str">
        <f t="shared" ca="1" si="117"/>
        <v/>
      </c>
      <c r="BB191" s="190" t="str">
        <f t="shared" ca="1" si="148"/>
        <v/>
      </c>
      <c r="BC191" s="190"/>
      <c r="BD191" s="190" t="str">
        <f ca="1">IFERROR(IF(AND($B191&gt;=($F$16-$F$15),$B191&lt;$F$22+($F$16-$F$15)),SUM(OFFSET($T$100,($F$16-$F$15),0):$T191),""),"")</f>
        <v/>
      </c>
      <c r="BE191" s="190" t="str">
        <f t="shared" ca="1" si="142"/>
        <v/>
      </c>
      <c r="BF191" s="190" t="str">
        <f t="shared" ca="1" si="143"/>
        <v/>
      </c>
      <c r="BG191"/>
      <c r="BH191" s="190" t="str">
        <f ca="1">IF(ISNUMBER(OFFSET(BD191,-$F$21,0)),SUM(OFFSET($T$100,($F$16-$F$15+$F$21),0):$T191),"")</f>
        <v/>
      </c>
      <c r="BI191" s="190" t="str">
        <f t="shared" ca="1" si="118"/>
        <v/>
      </c>
      <c r="BJ191" s="190" t="str">
        <f t="shared" ca="1" si="144"/>
        <v/>
      </c>
      <c r="BK191" s="190"/>
      <c r="BL191" s="190" t="str">
        <f ca="1">IFERROR(IF(AND($B191&gt;=($F$17-$F$15),$B191&lt;$F$22+($F$17-$F$15)),SUM(OFFSET($T$100,($F$17-$F$15),0):$T191),""),"")</f>
        <v/>
      </c>
      <c r="BM191" s="190" t="str">
        <f t="shared" ca="1" si="119"/>
        <v/>
      </c>
      <c r="BN191" s="190" t="str">
        <f t="shared" ca="1" si="145"/>
        <v/>
      </c>
      <c r="BO191"/>
      <c r="BP191" s="190" t="str">
        <f ca="1">IF(ISNUMBER(OFFSET(BL191,-$F$21,0)),SUM(OFFSET($T$100,($F$17-$F$15+$F$21),0):$T191),"")</f>
        <v/>
      </c>
      <c r="BQ191" s="190" t="str">
        <f t="shared" ca="1" si="120"/>
        <v/>
      </c>
      <c r="BR191" s="190" t="str">
        <f t="shared" ca="1" si="146"/>
        <v/>
      </c>
      <c r="BS191" s="190"/>
      <c r="BT191"/>
      <c r="BU191"/>
      <c r="BV191"/>
      <c r="BY191" s="99"/>
      <c r="BZ191" s="99"/>
      <c r="CA191" s="280" t="str">
        <f t="shared" si="121"/>
        <v/>
      </c>
      <c r="CB191" s="71" t="str">
        <f t="shared" si="122"/>
        <v>-</v>
      </c>
      <c r="CC191" s="33"/>
      <c r="CD191" s="261" t="str">
        <f t="shared" si="123"/>
        <v/>
      </c>
      <c r="CE191" s="280" t="str">
        <f t="shared" si="124"/>
        <v>-</v>
      </c>
      <c r="CF191" s="71" t="str">
        <f t="shared" ca="1" si="125"/>
        <v>-</v>
      </c>
      <c r="CG191" s="33" t="str">
        <f t="shared" si="126"/>
        <v>91-92</v>
      </c>
      <c r="CH191" s="261" t="str">
        <f t="shared" ca="1" si="127"/>
        <v/>
      </c>
    </row>
    <row r="192" spans="2:93" ht="13.5" customHeight="1" x14ac:dyDescent="0.2">
      <c r="B192" s="262">
        <v>92</v>
      </c>
      <c r="C192" s="237" t="str">
        <f t="shared" si="91"/>
        <v/>
      </c>
      <c r="D192" s="237" t="str">
        <f t="shared" si="147"/>
        <v>-</v>
      </c>
      <c r="E192" s="263" t="str">
        <f t="shared" si="128"/>
        <v/>
      </c>
      <c r="F192" s="264" t="str">
        <f t="shared" si="129"/>
        <v/>
      </c>
      <c r="G192" s="264" t="str">
        <f t="shared" si="130"/>
        <v/>
      </c>
      <c r="H192" s="240" t="str">
        <f t="shared" si="92"/>
        <v/>
      </c>
      <c r="I192" s="265" t="str">
        <f t="shared" si="93"/>
        <v/>
      </c>
      <c r="J192" s="265" t="str">
        <f t="shared" si="94"/>
        <v/>
      </c>
      <c r="K192" s="240" t="str">
        <f t="shared" si="95"/>
        <v/>
      </c>
      <c r="L192" s="265" t="str">
        <f t="shared" si="96"/>
        <v/>
      </c>
      <c r="M192" s="265" t="str">
        <f t="shared" si="97"/>
        <v/>
      </c>
      <c r="N192" s="240" t="str">
        <f t="shared" si="98"/>
        <v>-</v>
      </c>
      <c r="O192" s="265" t="str">
        <f t="shared" si="99"/>
        <v>-</v>
      </c>
      <c r="P192" s="265" t="str">
        <f t="shared" si="100"/>
        <v>-</v>
      </c>
      <c r="Q192" s="266" t="str">
        <f t="shared" si="101"/>
        <v>-</v>
      </c>
      <c r="R192" s="267" t="str">
        <f t="shared" si="102"/>
        <v>-</v>
      </c>
      <c r="S192" s="268" t="str">
        <f t="shared" si="103"/>
        <v>-</v>
      </c>
      <c r="T192" s="269" t="str">
        <f t="shared" si="104"/>
        <v/>
      </c>
      <c r="U192" s="221">
        <f t="shared" si="105"/>
        <v>92</v>
      </c>
      <c r="V192" s="220" t="str">
        <f t="shared" si="131"/>
        <v>-</v>
      </c>
      <c r="W192" s="221" t="str">
        <f t="shared" si="132"/>
        <v>-</v>
      </c>
      <c r="X192" s="221" t="str">
        <f t="shared" si="106"/>
        <v>-</v>
      </c>
      <c r="Y192" s="221" t="str">
        <f t="shared" si="107"/>
        <v>-</v>
      </c>
      <c r="Z192" s="270">
        <f t="shared" si="133"/>
        <v>0.1</v>
      </c>
      <c r="AA192" s="271" t="str">
        <f>IFERROR(IF(V191=1,AA$100*EXP(-(LN(2)/$D$65+0.04)*X191)*EXP(-(LN(2)/$D$65+0.1)*Y191),IF(V191=2,AA$100*EXP(-(LN(2)/$D$65+0.04)*(VLOOKUP(($F$16-$F$15)-1,U$99:Y191,4,FALSE)))*EXP(-(LN(2)/$D$65+0.1)*(VLOOKUP(($F$16-$F$15)-1,U$99:Y191,5,FALSE)))*EXP(-(LN(2)/$D$65+0.04)*X191)*EXP(-(LN(2)/$D$65+0.1)*Y191),IF(V191=3,AA$100*EXP(-(LN(2)/$D$65+0.04)*(VLOOKUP(($F$16-$F$15)-1,U$99:Y191,4,FALSE)))*EXP(-(LN(2)/$D$65+0.1)*(VLOOKUP(($F$16-$F$15)-1,U$99:Y191,5,FALSE)))*EXP(-(LN(2)/$D$65+0.04)*(VLOOKUP(($F$16-$F$15)*2-1,U$99:Y191,4,FALSE)))*EXP(-(LN(2)/$D$65+0.1)*(VLOOKUP(($F$16-$F$15)*2-1,U$99:Y191,5,FALSE)))*EXP(-(LN(2)/$D$65+0.04)*X191)*EXP(-(LN(2)/$D$65+0.1)*Y191),"-"))),"-")</f>
        <v>-</v>
      </c>
      <c r="AB192" s="271" t="str">
        <f>IFERROR(IF(V192=1,AB$100*EXP(-(LN(2)/$D$65+0.04)*X192)*EXP(-(LN(2)/$D$65+0.1)*Y192),IF(V192=2,AB$100*EXP(-(LN(2)/$D$65+0.04)*(VLOOKUP(($F$16-$F$15)-1,U$100:Y192,4,FALSE)))*EXP(-(LN(2)/$D$65+0.1)*(VLOOKUP(($F$16-$F$15)-1,U$100:Y192,5,FALSE)))*EXP(-(LN(2)/$D$65+0.04)*X192)*EXP(-(LN(2)/$D$65+0.1)*Y192),IF(V192=3,AB$100*EXP(-(LN(2)/$D$65+0.04)*(VLOOKUP(($F$16-$F$15)-1,U$100:Y192,4,FALSE)))*EXP(-(LN(2)/$D$65+0.1)*(VLOOKUP(($F$16-$F$15)-1,U$100:Y192,5,FALSE)))*EXP(-(LN(2)/$D$65+0.04)*(VLOOKUP(($F$16-$F$15)*2-1,U$100:Y192,4,FALSE)))*EXP(-(LN(2)/$D$65+0.1)*(VLOOKUP(($F$16-$F$15)*2-1,U$100:Y192,5,FALSE)))*EXP(-(LN(2)/$D$65+0.04)*X192)*EXP(-(LN(2)/$D$65+0.1)*Y192),"-"))),"-")</f>
        <v>-</v>
      </c>
      <c r="AC192" s="224">
        <f t="shared" si="134"/>
        <v>92</v>
      </c>
      <c r="AD192" s="223" t="str">
        <f t="shared" si="108"/>
        <v>-</v>
      </c>
      <c r="AE192" s="224" t="str">
        <f t="shared" si="135"/>
        <v>-</v>
      </c>
      <c r="AF192" s="224" t="str">
        <f t="shared" si="109"/>
        <v>-</v>
      </c>
      <c r="AG192" s="224" t="str">
        <f t="shared" si="110"/>
        <v>-</v>
      </c>
      <c r="AH192" s="272">
        <f t="shared" si="136"/>
        <v>0.1</v>
      </c>
      <c r="AI192" s="271" t="str">
        <f>IFERROR(IF(AD191=1,AI$100*EXP(-(LN(2)/$D$65+0.04)*AF191)*EXP(-(LN(2)/$D$65+0.1)*AG191),IF(AD191=2,AI$100*EXP(-(LN(2)/$D$65+0.04)*(VLOOKUP(($F$16-$F$15)-1,AC$99:AG191,4,FALSE)))*EXP(-(LN(2)/$D$65+0.1)*(VLOOKUP(($F$16-$F$15)-1,AC$99:AG191,5,FALSE)))*EXP(-(LN(2)/$D$65+0.04)*AF191)*EXP(-(LN(2)/$D$65+0.1)*AG191),IF(AD191=3,AI$100*EXP(-(LN(2)/$D$65+0.04)*(VLOOKUP(($F$16-$F$15)-1,AC$99:AG191,4,FALSE)))*EXP(-(LN(2)/$D$65+0.1)*(VLOOKUP(($F$16-$F$15)-1,AC$99:AG191,5,FALSE)))*EXP(-(LN(2)/$D$65+0.04)*(VLOOKUP(($F$16-$F$15)*2-1,AC$99:AG191,4,FALSE)))*EXP(-(LN(2)/$D$65+0.1)*(VLOOKUP(($F$16-$F$15)*2-1,AC$99:AG191,5,FALSE)))*EXP(-(LN(2)/$D$65+0.04)*AF191)*EXP(-(LN(2)/$D$65+0.1)*AG191),"-"))),"-")</f>
        <v>-</v>
      </c>
      <c r="AJ192" s="271" t="str">
        <f>IFERROR(IF(AD192=1,AJ$100*EXP(-(LN(2)/$D$65+0.04)*AF192)*EXP(-(LN(2)/$D$65+0.1)*AG192),IF(AD192=2,AJ$100*EXP(-(LN(2)/$D$65+0.04)*(VLOOKUP(($F$16-$F$15)-1,AC$100:AG192,4,FALSE)))*EXP(-(LN(2)/$D$65+0.1)*(VLOOKUP(($F$16-$F$15)-1,AC$100:AG192,5,FALSE)))*EXP(-(LN(2)/$D$65+0.04)*AF192)*EXP(-(LN(2)/$D$65+0.1)*AG192),IF(AD192=3,AJ$100*EXP(-(LN(2)/$D$65+0.04)*(VLOOKUP(($F$16-$F$15)-1,AC$100:AG192,4,FALSE)))*EXP(-(LN(2)/$D$65+0.1)*(VLOOKUP(($F$16-$F$15)-1,AC$100:AG192,5,FALSE)))*EXP(-(LN(2)/$D$65+0.04)*(VLOOKUP(($F$16-$F$15)*2-1,AC$100:AG192,4,FALSE)))*EXP(-(LN(2)/$D$65+0.1)*(VLOOKUP(($F$16-$F$15)*2-1,AC$100:AG192,5,FALSE)))*EXP(-(LN(2)/$D$65+0.04)*AF192)*EXP(-(LN(2)/$D$65+0.1)*AG192),"-"))),"-")</f>
        <v>-</v>
      </c>
      <c r="AK192" s="227">
        <f t="shared" si="137"/>
        <v>92</v>
      </c>
      <c r="AL192" s="226" t="str">
        <f t="shared" si="111"/>
        <v>-</v>
      </c>
      <c r="AM192" s="227" t="str">
        <f t="shared" si="138"/>
        <v>-</v>
      </c>
      <c r="AN192" s="227" t="str">
        <f t="shared" si="139"/>
        <v>-</v>
      </c>
      <c r="AO192" s="227" t="str">
        <f t="shared" si="112"/>
        <v>-</v>
      </c>
      <c r="AP192" s="273">
        <f t="shared" si="140"/>
        <v>0.1</v>
      </c>
      <c r="AQ192" s="271" t="str">
        <f>IFERROR(IF(AL191=1,AQ$100*EXP(-(LN(2)/$D$65+0.04)*AN191)*EXP(-(LN(2)/$D$65+0.1)*AO191),IF(AL191=2,AQ$100*EXP(-(LN(2)/$D$65+0.04)*(VLOOKUP(($F$16-$F$15)-1,AK$99:AO191,4,FALSE)))*EXP(-(LN(2)/$D$65+0.1)*(VLOOKUP(($F$16-$F$15)-1,AK$99:AO191,5,FALSE)))*EXP(-(LN(2)/$D$65+0.04)*AN191)*EXP(-(LN(2)/$D$65+0.1)*AO191),IF(AL191=3,AQ$100*EXP(-(LN(2)/$D$65+0.04)*(VLOOKUP(($F$16-$F$15)-1,AK$99:AO191,4,FALSE)))*EXP(-(LN(2)/$D$65+0.1)*(VLOOKUP(($F$16-$F$15)-1,AK$99:AO191,5,FALSE)))*EXP(-(LN(2)/$D$65+0.04)*(VLOOKUP(($F$16-$F$15)*2-1,AK$99:AO191,4,FALSE)))*EXP(-(LN(2)/$D$65+0.1)*(VLOOKUP(($F$16-$F$15)*2-1,AK$99:AO191,5,FALSE)))*EXP(-(LN(2)/$D$65+0.04)*AN191)*EXP(-(LN(2)/$D$65+0.1)*AO191),"-"))),"-")</f>
        <v>-</v>
      </c>
      <c r="AR192" s="271" t="str">
        <f>IFERROR(IF(AL192=1,AR$100*EXP(-(LN(2)/$D$65+0.04)*AN192)*EXP(-(LN(2)/$D$65+0.1)*AO192),IF(AL192=2,AR$100*EXP(-(LN(2)/$D$65+0.04)*(VLOOKUP(($F$16-$F$15)-1,AK$100:AO192,4,FALSE)))*EXP(-(LN(2)/$D$65+0.1)*(VLOOKUP(($F$16-$F$15)-1,AK$100:AO192,5,FALSE)))*EXP(-(LN(2)/$D$65+0.04)*AN192)*EXP(-(LN(2)/$D$65+0.1)*AO192),IF(AL192=3,AR$100*EXP(-(LN(2)/$D$65+0.04)*(VLOOKUP(($F$16-$F$15)-1,AK$100:AO192,4,FALSE)))*EXP(-(LN(2)/$D$65+0.1)*(VLOOKUP(($F$16-$F$15)-1,AK$100:AO192,5,FALSE)))*EXP(-(LN(2)/$D$65+0.04)*(VLOOKUP(($F$16-$F$15)*2-1,AK$100:AO192,4,FALSE)))*EXP(-(LN(2)/$D$65+0.1)*(VLOOKUP(($F$16-$F$15)*2-1,AK$100:AO192,5,FALSE)))*EXP(-(LN(2)/$D$65+0.04)*AN192)*EXP(-(LN(2)/$D$65+0.1)*AO192),"-"))),"-")</f>
        <v>-</v>
      </c>
      <c r="AS192" s="274">
        <f t="shared" si="113"/>
        <v>0</v>
      </c>
      <c r="AT192" s="274">
        <f t="shared" si="114"/>
        <v>0</v>
      </c>
      <c r="AU192" s="274">
        <f t="shared" si="115"/>
        <v>0</v>
      </c>
      <c r="AV192" s="190">
        <f>IF($B192&lt;$F$22,SUM($T$100:$T192),"")</f>
        <v>0</v>
      </c>
      <c r="AW192" s="190" t="str">
        <f t="shared" si="116"/>
        <v>-</v>
      </c>
      <c r="AX192" s="190" t="str">
        <f t="shared" si="141"/>
        <v/>
      </c>
      <c r="AY192"/>
      <c r="AZ192" s="190" t="str">
        <f ca="1">IF(ISNUMBER(OFFSET(AV192,-$F$21,0)),SUM(OFFSET($T$100,$F$21,0):$T192),"")</f>
        <v/>
      </c>
      <c r="BA192" s="190" t="str">
        <f t="shared" ca="1" si="117"/>
        <v/>
      </c>
      <c r="BB192" s="190" t="str">
        <f t="shared" ca="1" si="148"/>
        <v/>
      </c>
      <c r="BC192" s="190"/>
      <c r="BD192" s="190" t="str">
        <f ca="1">IFERROR(IF(AND($B192&gt;=($F$16-$F$15),$B192&lt;$F$22+($F$16-$F$15)),SUM(OFFSET($T$100,($F$16-$F$15),0):$T192),""),"")</f>
        <v/>
      </c>
      <c r="BE192" s="190" t="str">
        <f t="shared" ca="1" si="142"/>
        <v/>
      </c>
      <c r="BF192" s="190" t="str">
        <f t="shared" ca="1" si="143"/>
        <v/>
      </c>
      <c r="BG192"/>
      <c r="BH192" s="190" t="str">
        <f ca="1">IF(ISNUMBER(OFFSET(BD192,-$F$21,0)),SUM(OFFSET($T$100,($F$16-$F$15+$F$21),0):$T192),"")</f>
        <v/>
      </c>
      <c r="BI192" s="190" t="str">
        <f t="shared" ca="1" si="118"/>
        <v/>
      </c>
      <c r="BJ192" s="190" t="str">
        <f t="shared" ca="1" si="144"/>
        <v/>
      </c>
      <c r="BK192" s="190"/>
      <c r="BL192" s="190" t="str">
        <f ca="1">IFERROR(IF(AND($B192&gt;=($F$17-$F$15),$B192&lt;$F$22+($F$17-$F$15)),SUM(OFFSET($T$100,($F$17-$F$15),0):$T192),""),"")</f>
        <v/>
      </c>
      <c r="BM192" s="190" t="str">
        <f t="shared" ca="1" si="119"/>
        <v/>
      </c>
      <c r="BN192" s="190" t="str">
        <f t="shared" ca="1" si="145"/>
        <v/>
      </c>
      <c r="BO192"/>
      <c r="BP192" s="190" t="str">
        <f ca="1">IF(ISNUMBER(OFFSET(BL192,-$F$21,0)),SUM(OFFSET($T$100,($F$17-$F$15+$F$21),0):$T192),"")</f>
        <v/>
      </c>
      <c r="BQ192" s="190" t="str">
        <f t="shared" ca="1" si="120"/>
        <v/>
      </c>
      <c r="BR192" s="190" t="str">
        <f t="shared" ca="1" si="146"/>
        <v/>
      </c>
      <c r="BS192" s="190"/>
      <c r="BT192"/>
      <c r="BU192"/>
      <c r="BV192"/>
      <c r="BY192" s="99"/>
      <c r="BZ192" s="99"/>
      <c r="CA192" s="280" t="str">
        <f t="shared" si="121"/>
        <v/>
      </c>
      <c r="CB192" s="71" t="str">
        <f t="shared" si="122"/>
        <v>-</v>
      </c>
      <c r="CC192" s="33"/>
      <c r="CD192" s="261" t="str">
        <f t="shared" si="123"/>
        <v/>
      </c>
      <c r="CE192" s="280" t="str">
        <f t="shared" si="124"/>
        <v>-</v>
      </c>
      <c r="CF192" s="71" t="str">
        <f t="shared" ca="1" si="125"/>
        <v>-</v>
      </c>
      <c r="CG192" s="33" t="str">
        <f t="shared" si="126"/>
        <v>92-93</v>
      </c>
      <c r="CH192" s="261" t="str">
        <f t="shared" ca="1" si="127"/>
        <v/>
      </c>
    </row>
    <row r="193" spans="2:86" ht="13.5" customHeight="1" x14ac:dyDescent="0.2">
      <c r="B193" s="262">
        <v>93</v>
      </c>
      <c r="C193" s="237" t="str">
        <f t="shared" si="91"/>
        <v/>
      </c>
      <c r="D193" s="237" t="str">
        <f t="shared" si="147"/>
        <v>-</v>
      </c>
      <c r="E193" s="263" t="str">
        <f t="shared" si="128"/>
        <v/>
      </c>
      <c r="F193" s="264" t="str">
        <f t="shared" si="129"/>
        <v/>
      </c>
      <c r="G193" s="264" t="str">
        <f t="shared" si="130"/>
        <v/>
      </c>
      <c r="H193" s="240" t="str">
        <f t="shared" si="92"/>
        <v/>
      </c>
      <c r="I193" s="265" t="str">
        <f t="shared" si="93"/>
        <v/>
      </c>
      <c r="J193" s="265" t="str">
        <f t="shared" si="94"/>
        <v/>
      </c>
      <c r="K193" s="240" t="str">
        <f t="shared" si="95"/>
        <v/>
      </c>
      <c r="L193" s="265" t="str">
        <f t="shared" si="96"/>
        <v/>
      </c>
      <c r="M193" s="265" t="str">
        <f t="shared" si="97"/>
        <v/>
      </c>
      <c r="N193" s="240" t="str">
        <f t="shared" si="98"/>
        <v>-</v>
      </c>
      <c r="O193" s="265" t="str">
        <f t="shared" si="99"/>
        <v>-</v>
      </c>
      <c r="P193" s="265" t="str">
        <f t="shared" si="100"/>
        <v>-</v>
      </c>
      <c r="Q193" s="266" t="str">
        <f t="shared" si="101"/>
        <v>-</v>
      </c>
      <c r="R193" s="267" t="str">
        <f t="shared" si="102"/>
        <v>-</v>
      </c>
      <c r="S193" s="268" t="str">
        <f t="shared" si="103"/>
        <v>-</v>
      </c>
      <c r="T193" s="269" t="str">
        <f t="shared" si="104"/>
        <v/>
      </c>
      <c r="U193" s="221">
        <f t="shared" si="105"/>
        <v>93</v>
      </c>
      <c r="V193" s="220" t="str">
        <f t="shared" si="131"/>
        <v>-</v>
      </c>
      <c r="W193" s="221" t="str">
        <f t="shared" si="132"/>
        <v>-</v>
      </c>
      <c r="X193" s="221" t="str">
        <f t="shared" si="106"/>
        <v>-</v>
      </c>
      <c r="Y193" s="221" t="str">
        <f t="shared" si="107"/>
        <v>-</v>
      </c>
      <c r="Z193" s="270">
        <f t="shared" si="133"/>
        <v>0.1</v>
      </c>
      <c r="AA193" s="271" t="str">
        <f>IFERROR(IF(V192=1,AA$100*EXP(-(LN(2)/$D$65+0.04)*X192)*EXP(-(LN(2)/$D$65+0.1)*Y192),IF(V192=2,AA$100*EXP(-(LN(2)/$D$65+0.04)*(VLOOKUP(($F$16-$F$15)-1,U$99:Y192,4,FALSE)))*EXP(-(LN(2)/$D$65+0.1)*(VLOOKUP(($F$16-$F$15)-1,U$99:Y192,5,FALSE)))*EXP(-(LN(2)/$D$65+0.04)*X192)*EXP(-(LN(2)/$D$65+0.1)*Y192),IF(V192=3,AA$100*EXP(-(LN(2)/$D$65+0.04)*(VLOOKUP(($F$16-$F$15)-1,U$99:Y192,4,FALSE)))*EXP(-(LN(2)/$D$65+0.1)*(VLOOKUP(($F$16-$F$15)-1,U$99:Y192,5,FALSE)))*EXP(-(LN(2)/$D$65+0.04)*(VLOOKUP(($F$16-$F$15)*2-1,U$99:Y192,4,FALSE)))*EXP(-(LN(2)/$D$65+0.1)*(VLOOKUP(($F$16-$F$15)*2-1,U$99:Y192,5,FALSE)))*EXP(-(LN(2)/$D$65+0.04)*X192)*EXP(-(LN(2)/$D$65+0.1)*Y192),"-"))),"-")</f>
        <v>-</v>
      </c>
      <c r="AB193" s="271" t="str">
        <f>IFERROR(IF(V193=1,AB$100*EXP(-(LN(2)/$D$65+0.04)*X193)*EXP(-(LN(2)/$D$65+0.1)*Y193),IF(V193=2,AB$100*EXP(-(LN(2)/$D$65+0.04)*(VLOOKUP(($F$16-$F$15)-1,U$100:Y193,4,FALSE)))*EXP(-(LN(2)/$D$65+0.1)*(VLOOKUP(($F$16-$F$15)-1,U$100:Y193,5,FALSE)))*EXP(-(LN(2)/$D$65+0.04)*X193)*EXP(-(LN(2)/$D$65+0.1)*Y193),IF(V193=3,AB$100*EXP(-(LN(2)/$D$65+0.04)*(VLOOKUP(($F$16-$F$15)-1,U$100:Y193,4,FALSE)))*EXP(-(LN(2)/$D$65+0.1)*(VLOOKUP(($F$16-$F$15)-1,U$100:Y193,5,FALSE)))*EXP(-(LN(2)/$D$65+0.04)*(VLOOKUP(($F$16-$F$15)*2-1,U$100:Y193,4,FALSE)))*EXP(-(LN(2)/$D$65+0.1)*(VLOOKUP(($F$16-$F$15)*2-1,U$100:Y193,5,FALSE)))*EXP(-(LN(2)/$D$65+0.04)*X193)*EXP(-(LN(2)/$D$65+0.1)*Y193),"-"))),"-")</f>
        <v>-</v>
      </c>
      <c r="AC193" s="224">
        <f t="shared" si="134"/>
        <v>93</v>
      </c>
      <c r="AD193" s="223" t="str">
        <f t="shared" si="108"/>
        <v>-</v>
      </c>
      <c r="AE193" s="224" t="str">
        <f t="shared" si="135"/>
        <v>-</v>
      </c>
      <c r="AF193" s="224" t="str">
        <f t="shared" si="109"/>
        <v>-</v>
      </c>
      <c r="AG193" s="224" t="str">
        <f t="shared" si="110"/>
        <v>-</v>
      </c>
      <c r="AH193" s="272">
        <f t="shared" si="136"/>
        <v>0.1</v>
      </c>
      <c r="AI193" s="271" t="str">
        <f>IFERROR(IF(AD192=1,AI$100*EXP(-(LN(2)/$D$65+0.04)*AF192)*EXP(-(LN(2)/$D$65+0.1)*AG192),IF(AD192=2,AI$100*EXP(-(LN(2)/$D$65+0.04)*(VLOOKUP(($F$16-$F$15)-1,AC$99:AG192,4,FALSE)))*EXP(-(LN(2)/$D$65+0.1)*(VLOOKUP(($F$16-$F$15)-1,AC$99:AG192,5,FALSE)))*EXP(-(LN(2)/$D$65+0.04)*AF192)*EXP(-(LN(2)/$D$65+0.1)*AG192),IF(AD192=3,AI$100*EXP(-(LN(2)/$D$65+0.04)*(VLOOKUP(($F$16-$F$15)-1,AC$99:AG192,4,FALSE)))*EXP(-(LN(2)/$D$65+0.1)*(VLOOKUP(($F$16-$F$15)-1,AC$99:AG192,5,FALSE)))*EXP(-(LN(2)/$D$65+0.04)*(VLOOKUP(($F$16-$F$15)*2-1,AC$99:AG192,4,FALSE)))*EXP(-(LN(2)/$D$65+0.1)*(VLOOKUP(($F$16-$F$15)*2-1,AC$99:AG192,5,FALSE)))*EXP(-(LN(2)/$D$65+0.04)*AF192)*EXP(-(LN(2)/$D$65+0.1)*AG192),"-"))),"-")</f>
        <v>-</v>
      </c>
      <c r="AJ193" s="271" t="str">
        <f>IFERROR(IF(AD193=1,AJ$100*EXP(-(LN(2)/$D$65+0.04)*AF193)*EXP(-(LN(2)/$D$65+0.1)*AG193),IF(AD193=2,AJ$100*EXP(-(LN(2)/$D$65+0.04)*(VLOOKUP(($F$16-$F$15)-1,AC$100:AG193,4,FALSE)))*EXP(-(LN(2)/$D$65+0.1)*(VLOOKUP(($F$16-$F$15)-1,AC$100:AG193,5,FALSE)))*EXP(-(LN(2)/$D$65+0.04)*AF193)*EXP(-(LN(2)/$D$65+0.1)*AG193),IF(AD193=3,AJ$100*EXP(-(LN(2)/$D$65+0.04)*(VLOOKUP(($F$16-$F$15)-1,AC$100:AG193,4,FALSE)))*EXP(-(LN(2)/$D$65+0.1)*(VLOOKUP(($F$16-$F$15)-1,AC$100:AG193,5,FALSE)))*EXP(-(LN(2)/$D$65+0.04)*(VLOOKUP(($F$16-$F$15)*2-1,AC$100:AG193,4,FALSE)))*EXP(-(LN(2)/$D$65+0.1)*(VLOOKUP(($F$16-$F$15)*2-1,AC$100:AG193,5,FALSE)))*EXP(-(LN(2)/$D$65+0.04)*AF193)*EXP(-(LN(2)/$D$65+0.1)*AG193),"-"))),"-")</f>
        <v>-</v>
      </c>
      <c r="AK193" s="227">
        <f t="shared" si="137"/>
        <v>93</v>
      </c>
      <c r="AL193" s="226" t="str">
        <f t="shared" si="111"/>
        <v>-</v>
      </c>
      <c r="AM193" s="227" t="str">
        <f t="shared" si="138"/>
        <v>-</v>
      </c>
      <c r="AN193" s="227" t="str">
        <f t="shared" si="139"/>
        <v>-</v>
      </c>
      <c r="AO193" s="227" t="str">
        <f t="shared" si="112"/>
        <v>-</v>
      </c>
      <c r="AP193" s="273">
        <f t="shared" si="140"/>
        <v>0.1</v>
      </c>
      <c r="AQ193" s="271" t="str">
        <f>IFERROR(IF(AL192=1,AQ$100*EXP(-(LN(2)/$D$65+0.04)*AN192)*EXP(-(LN(2)/$D$65+0.1)*AO192),IF(AL192=2,AQ$100*EXP(-(LN(2)/$D$65+0.04)*(VLOOKUP(($F$16-$F$15)-1,AK$99:AO192,4,FALSE)))*EXP(-(LN(2)/$D$65+0.1)*(VLOOKUP(($F$16-$F$15)-1,AK$99:AO192,5,FALSE)))*EXP(-(LN(2)/$D$65+0.04)*AN192)*EXP(-(LN(2)/$D$65+0.1)*AO192),IF(AL192=3,AQ$100*EXP(-(LN(2)/$D$65+0.04)*(VLOOKUP(($F$16-$F$15)-1,AK$99:AO192,4,FALSE)))*EXP(-(LN(2)/$D$65+0.1)*(VLOOKUP(($F$16-$F$15)-1,AK$99:AO192,5,FALSE)))*EXP(-(LN(2)/$D$65+0.04)*(VLOOKUP(($F$16-$F$15)*2-1,AK$99:AO192,4,FALSE)))*EXP(-(LN(2)/$D$65+0.1)*(VLOOKUP(($F$16-$F$15)*2-1,AK$99:AO192,5,FALSE)))*EXP(-(LN(2)/$D$65+0.04)*AN192)*EXP(-(LN(2)/$D$65+0.1)*AO192),"-"))),"-")</f>
        <v>-</v>
      </c>
      <c r="AR193" s="271" t="str">
        <f>IFERROR(IF(AL193=1,AR$100*EXP(-(LN(2)/$D$65+0.04)*AN193)*EXP(-(LN(2)/$D$65+0.1)*AO193),IF(AL193=2,AR$100*EXP(-(LN(2)/$D$65+0.04)*(VLOOKUP(($F$16-$F$15)-1,AK$100:AO193,4,FALSE)))*EXP(-(LN(2)/$D$65+0.1)*(VLOOKUP(($F$16-$F$15)-1,AK$100:AO193,5,FALSE)))*EXP(-(LN(2)/$D$65+0.04)*AN193)*EXP(-(LN(2)/$D$65+0.1)*AO193),IF(AL193=3,AR$100*EXP(-(LN(2)/$D$65+0.04)*(VLOOKUP(($F$16-$F$15)-1,AK$100:AO193,4,FALSE)))*EXP(-(LN(2)/$D$65+0.1)*(VLOOKUP(($F$16-$F$15)-1,AK$100:AO193,5,FALSE)))*EXP(-(LN(2)/$D$65+0.04)*(VLOOKUP(($F$16-$F$15)*2-1,AK$100:AO193,4,FALSE)))*EXP(-(LN(2)/$D$65+0.1)*(VLOOKUP(($F$16-$F$15)*2-1,AK$100:AO193,5,FALSE)))*EXP(-(LN(2)/$D$65+0.04)*AN193)*EXP(-(LN(2)/$D$65+0.1)*AO193),"-"))),"-")</f>
        <v>-</v>
      </c>
      <c r="AS193" s="274">
        <f t="shared" si="113"/>
        <v>0</v>
      </c>
      <c r="AT193" s="274">
        <f t="shared" si="114"/>
        <v>0</v>
      </c>
      <c r="AU193" s="274">
        <f t="shared" si="115"/>
        <v>0</v>
      </c>
      <c r="AV193" s="190">
        <f>IF($B193&lt;$F$22,SUM($T$100:$T193),"")</f>
        <v>0</v>
      </c>
      <c r="AW193" s="190" t="str">
        <f t="shared" si="116"/>
        <v>-</v>
      </c>
      <c r="AX193" s="190" t="str">
        <f t="shared" si="141"/>
        <v/>
      </c>
      <c r="AY193"/>
      <c r="AZ193" s="190" t="str">
        <f ca="1">IF(ISNUMBER(OFFSET(AV193,-$F$21,0)),SUM(OFFSET($T$100,$F$21,0):$T193),"")</f>
        <v/>
      </c>
      <c r="BA193" s="190" t="str">
        <f t="shared" ca="1" si="117"/>
        <v/>
      </c>
      <c r="BB193" s="190" t="str">
        <f t="shared" ca="1" si="148"/>
        <v/>
      </c>
      <c r="BC193" s="190"/>
      <c r="BD193" s="190" t="str">
        <f ca="1">IFERROR(IF(AND($B193&gt;=($F$16-$F$15),$B193&lt;$F$22+($F$16-$F$15)),SUM(OFFSET($T$100,($F$16-$F$15),0):$T193),""),"")</f>
        <v/>
      </c>
      <c r="BE193" s="190" t="str">
        <f t="shared" ca="1" si="142"/>
        <v/>
      </c>
      <c r="BF193" s="190" t="str">
        <f t="shared" ca="1" si="143"/>
        <v/>
      </c>
      <c r="BG193"/>
      <c r="BH193" s="190" t="str">
        <f ca="1">IF(ISNUMBER(OFFSET(BD193,-$F$21,0)),SUM(OFFSET($T$100,($F$16-$F$15+$F$21),0):$T193),"")</f>
        <v/>
      </c>
      <c r="BI193" s="190" t="str">
        <f t="shared" ca="1" si="118"/>
        <v/>
      </c>
      <c r="BJ193" s="190" t="str">
        <f t="shared" ca="1" si="144"/>
        <v/>
      </c>
      <c r="BK193" s="190"/>
      <c r="BL193" s="190" t="str">
        <f ca="1">IFERROR(IF(AND($B193&gt;=($F$17-$F$15),$B193&lt;$F$22+($F$17-$F$15)),SUM(OFFSET($T$100,($F$17-$F$15),0):$T193),""),"")</f>
        <v/>
      </c>
      <c r="BM193" s="190" t="str">
        <f t="shared" ca="1" si="119"/>
        <v/>
      </c>
      <c r="BN193" s="190" t="str">
        <f t="shared" ca="1" si="145"/>
        <v/>
      </c>
      <c r="BO193"/>
      <c r="BP193" s="190" t="str">
        <f ca="1">IF(ISNUMBER(OFFSET(BL193,-$F$21,0)),SUM(OFFSET($T$100,($F$17-$F$15+$F$21),0):$T193),"")</f>
        <v/>
      </c>
      <c r="BQ193" s="190" t="str">
        <f t="shared" ca="1" si="120"/>
        <v/>
      </c>
      <c r="BR193" s="190" t="str">
        <f t="shared" ca="1" si="146"/>
        <v/>
      </c>
      <c r="BS193" s="190"/>
      <c r="BT193"/>
      <c r="BU193"/>
      <c r="BV193"/>
      <c r="BY193" s="99"/>
      <c r="BZ193" s="99"/>
      <c r="CA193" s="280" t="str">
        <f t="shared" si="121"/>
        <v/>
      </c>
      <c r="CB193" s="71" t="str">
        <f t="shared" si="122"/>
        <v>-</v>
      </c>
      <c r="CC193" s="33"/>
      <c r="CD193" s="261" t="str">
        <f t="shared" si="123"/>
        <v/>
      </c>
      <c r="CE193" s="280" t="str">
        <f t="shared" si="124"/>
        <v>-</v>
      </c>
      <c r="CF193" s="71" t="str">
        <f t="shared" ca="1" si="125"/>
        <v>-</v>
      </c>
      <c r="CG193" s="33" t="str">
        <f t="shared" si="126"/>
        <v>93-94</v>
      </c>
      <c r="CH193" s="261" t="str">
        <f t="shared" ca="1" si="127"/>
        <v/>
      </c>
    </row>
    <row r="194" spans="2:86" ht="13.5" customHeight="1" x14ac:dyDescent="0.2">
      <c r="B194" s="262">
        <v>94</v>
      </c>
      <c r="C194" s="237" t="str">
        <f t="shared" si="91"/>
        <v/>
      </c>
      <c r="D194" s="237" t="str">
        <f t="shared" si="147"/>
        <v>-</v>
      </c>
      <c r="E194" s="263" t="str">
        <f t="shared" si="128"/>
        <v/>
      </c>
      <c r="F194" s="264" t="str">
        <f t="shared" si="129"/>
        <v/>
      </c>
      <c r="G194" s="264" t="str">
        <f t="shared" si="130"/>
        <v/>
      </c>
      <c r="H194" s="240" t="str">
        <f t="shared" si="92"/>
        <v/>
      </c>
      <c r="I194" s="265" t="str">
        <f t="shared" si="93"/>
        <v/>
      </c>
      <c r="J194" s="265" t="str">
        <f t="shared" si="94"/>
        <v/>
      </c>
      <c r="K194" s="240" t="str">
        <f t="shared" si="95"/>
        <v/>
      </c>
      <c r="L194" s="265" t="str">
        <f t="shared" si="96"/>
        <v/>
      </c>
      <c r="M194" s="265" t="str">
        <f t="shared" si="97"/>
        <v/>
      </c>
      <c r="N194" s="240" t="str">
        <f t="shared" si="98"/>
        <v>-</v>
      </c>
      <c r="O194" s="265" t="str">
        <f t="shared" si="99"/>
        <v>-</v>
      </c>
      <c r="P194" s="265" t="str">
        <f t="shared" si="100"/>
        <v>-</v>
      </c>
      <c r="Q194" s="266" t="str">
        <f t="shared" si="101"/>
        <v>-</v>
      </c>
      <c r="R194" s="267" t="str">
        <f t="shared" si="102"/>
        <v>-</v>
      </c>
      <c r="S194" s="268" t="str">
        <f t="shared" si="103"/>
        <v>-</v>
      </c>
      <c r="T194" s="269" t="str">
        <f t="shared" si="104"/>
        <v/>
      </c>
      <c r="U194" s="221">
        <f t="shared" si="105"/>
        <v>94</v>
      </c>
      <c r="V194" s="220" t="str">
        <f t="shared" si="131"/>
        <v>-</v>
      </c>
      <c r="W194" s="221" t="str">
        <f t="shared" si="132"/>
        <v>-</v>
      </c>
      <c r="X194" s="221" t="str">
        <f t="shared" si="106"/>
        <v>-</v>
      </c>
      <c r="Y194" s="221" t="str">
        <f t="shared" si="107"/>
        <v>-</v>
      </c>
      <c r="Z194" s="270">
        <f t="shared" si="133"/>
        <v>0.1</v>
      </c>
      <c r="AA194" s="271" t="str">
        <f>IFERROR(IF(V193=1,AA$100*EXP(-(LN(2)/$D$65+0.04)*X193)*EXP(-(LN(2)/$D$65+0.1)*Y193),IF(V193=2,AA$100*EXP(-(LN(2)/$D$65+0.04)*(VLOOKUP(($F$16-$F$15)-1,U$99:Y193,4,FALSE)))*EXP(-(LN(2)/$D$65+0.1)*(VLOOKUP(($F$16-$F$15)-1,U$99:Y193,5,FALSE)))*EXP(-(LN(2)/$D$65+0.04)*X193)*EXP(-(LN(2)/$D$65+0.1)*Y193),IF(V193=3,AA$100*EXP(-(LN(2)/$D$65+0.04)*(VLOOKUP(($F$16-$F$15)-1,U$99:Y193,4,FALSE)))*EXP(-(LN(2)/$D$65+0.1)*(VLOOKUP(($F$16-$F$15)-1,U$99:Y193,5,FALSE)))*EXP(-(LN(2)/$D$65+0.04)*(VLOOKUP(($F$16-$F$15)*2-1,U$99:Y193,4,FALSE)))*EXP(-(LN(2)/$D$65+0.1)*(VLOOKUP(($F$16-$F$15)*2-1,U$99:Y193,5,FALSE)))*EXP(-(LN(2)/$D$65+0.04)*X193)*EXP(-(LN(2)/$D$65+0.1)*Y193),"-"))),"-")</f>
        <v>-</v>
      </c>
      <c r="AB194" s="271" t="str">
        <f>IFERROR(IF(V194=1,AB$100*EXP(-(LN(2)/$D$65+0.04)*X194)*EXP(-(LN(2)/$D$65+0.1)*Y194),IF(V194=2,AB$100*EXP(-(LN(2)/$D$65+0.04)*(VLOOKUP(($F$16-$F$15)-1,U$100:Y194,4,FALSE)))*EXP(-(LN(2)/$D$65+0.1)*(VLOOKUP(($F$16-$F$15)-1,U$100:Y194,5,FALSE)))*EXP(-(LN(2)/$D$65+0.04)*X194)*EXP(-(LN(2)/$D$65+0.1)*Y194),IF(V194=3,AB$100*EXP(-(LN(2)/$D$65+0.04)*(VLOOKUP(($F$16-$F$15)-1,U$100:Y194,4,FALSE)))*EXP(-(LN(2)/$D$65+0.1)*(VLOOKUP(($F$16-$F$15)-1,U$100:Y194,5,FALSE)))*EXP(-(LN(2)/$D$65+0.04)*(VLOOKUP(($F$16-$F$15)*2-1,U$100:Y194,4,FALSE)))*EXP(-(LN(2)/$D$65+0.1)*(VLOOKUP(($F$16-$F$15)*2-1,U$100:Y194,5,FALSE)))*EXP(-(LN(2)/$D$65+0.04)*X194)*EXP(-(LN(2)/$D$65+0.1)*Y194),"-"))),"-")</f>
        <v>-</v>
      </c>
      <c r="AC194" s="224">
        <f t="shared" si="134"/>
        <v>94</v>
      </c>
      <c r="AD194" s="223" t="str">
        <f t="shared" si="108"/>
        <v>-</v>
      </c>
      <c r="AE194" s="224" t="str">
        <f t="shared" si="135"/>
        <v>-</v>
      </c>
      <c r="AF194" s="224" t="str">
        <f t="shared" si="109"/>
        <v>-</v>
      </c>
      <c r="AG194" s="224" t="str">
        <f t="shared" si="110"/>
        <v>-</v>
      </c>
      <c r="AH194" s="272">
        <f t="shared" si="136"/>
        <v>0.1</v>
      </c>
      <c r="AI194" s="271" t="str">
        <f>IFERROR(IF(AD193=1,AI$100*EXP(-(LN(2)/$D$65+0.04)*AF193)*EXP(-(LN(2)/$D$65+0.1)*AG193),IF(AD193=2,AI$100*EXP(-(LN(2)/$D$65+0.04)*(VLOOKUP(($F$16-$F$15)-1,AC$99:AG193,4,FALSE)))*EXP(-(LN(2)/$D$65+0.1)*(VLOOKUP(($F$16-$F$15)-1,AC$99:AG193,5,FALSE)))*EXP(-(LN(2)/$D$65+0.04)*AF193)*EXP(-(LN(2)/$D$65+0.1)*AG193),IF(AD193=3,AI$100*EXP(-(LN(2)/$D$65+0.04)*(VLOOKUP(($F$16-$F$15)-1,AC$99:AG193,4,FALSE)))*EXP(-(LN(2)/$D$65+0.1)*(VLOOKUP(($F$16-$F$15)-1,AC$99:AG193,5,FALSE)))*EXP(-(LN(2)/$D$65+0.04)*(VLOOKUP(($F$16-$F$15)*2-1,AC$99:AG193,4,FALSE)))*EXP(-(LN(2)/$D$65+0.1)*(VLOOKUP(($F$16-$F$15)*2-1,AC$99:AG193,5,FALSE)))*EXP(-(LN(2)/$D$65+0.04)*AF193)*EXP(-(LN(2)/$D$65+0.1)*AG193),"-"))),"-")</f>
        <v>-</v>
      </c>
      <c r="AJ194" s="271" t="str">
        <f>IFERROR(IF(AD194=1,AJ$100*EXP(-(LN(2)/$D$65+0.04)*AF194)*EXP(-(LN(2)/$D$65+0.1)*AG194),IF(AD194=2,AJ$100*EXP(-(LN(2)/$D$65+0.04)*(VLOOKUP(($F$16-$F$15)-1,AC$100:AG194,4,FALSE)))*EXP(-(LN(2)/$D$65+0.1)*(VLOOKUP(($F$16-$F$15)-1,AC$100:AG194,5,FALSE)))*EXP(-(LN(2)/$D$65+0.04)*AF194)*EXP(-(LN(2)/$D$65+0.1)*AG194),IF(AD194=3,AJ$100*EXP(-(LN(2)/$D$65+0.04)*(VLOOKUP(($F$16-$F$15)-1,AC$100:AG194,4,FALSE)))*EXP(-(LN(2)/$D$65+0.1)*(VLOOKUP(($F$16-$F$15)-1,AC$100:AG194,5,FALSE)))*EXP(-(LN(2)/$D$65+0.04)*(VLOOKUP(($F$16-$F$15)*2-1,AC$100:AG194,4,FALSE)))*EXP(-(LN(2)/$D$65+0.1)*(VLOOKUP(($F$16-$F$15)*2-1,AC$100:AG194,5,FALSE)))*EXP(-(LN(2)/$D$65+0.04)*AF194)*EXP(-(LN(2)/$D$65+0.1)*AG194),"-"))),"-")</f>
        <v>-</v>
      </c>
      <c r="AK194" s="227">
        <f t="shared" si="137"/>
        <v>94</v>
      </c>
      <c r="AL194" s="226" t="str">
        <f t="shared" si="111"/>
        <v>-</v>
      </c>
      <c r="AM194" s="227" t="str">
        <f t="shared" si="138"/>
        <v>-</v>
      </c>
      <c r="AN194" s="227" t="str">
        <f t="shared" si="139"/>
        <v>-</v>
      </c>
      <c r="AO194" s="227" t="str">
        <f t="shared" si="112"/>
        <v>-</v>
      </c>
      <c r="AP194" s="273">
        <f t="shared" si="140"/>
        <v>0.1</v>
      </c>
      <c r="AQ194" s="271" t="str">
        <f>IFERROR(IF(AL193=1,AQ$100*EXP(-(LN(2)/$D$65+0.04)*AN193)*EXP(-(LN(2)/$D$65+0.1)*AO193),IF(AL193=2,AQ$100*EXP(-(LN(2)/$D$65+0.04)*(VLOOKUP(($F$16-$F$15)-1,AK$99:AO193,4,FALSE)))*EXP(-(LN(2)/$D$65+0.1)*(VLOOKUP(($F$16-$F$15)-1,AK$99:AO193,5,FALSE)))*EXP(-(LN(2)/$D$65+0.04)*AN193)*EXP(-(LN(2)/$D$65+0.1)*AO193),IF(AL193=3,AQ$100*EXP(-(LN(2)/$D$65+0.04)*(VLOOKUP(($F$16-$F$15)-1,AK$99:AO193,4,FALSE)))*EXP(-(LN(2)/$D$65+0.1)*(VLOOKUP(($F$16-$F$15)-1,AK$99:AO193,5,FALSE)))*EXP(-(LN(2)/$D$65+0.04)*(VLOOKUP(($F$16-$F$15)*2-1,AK$99:AO193,4,FALSE)))*EXP(-(LN(2)/$D$65+0.1)*(VLOOKUP(($F$16-$F$15)*2-1,AK$99:AO193,5,FALSE)))*EXP(-(LN(2)/$D$65+0.04)*AN193)*EXP(-(LN(2)/$D$65+0.1)*AO193),"-"))),"-")</f>
        <v>-</v>
      </c>
      <c r="AR194" s="271" t="str">
        <f>IFERROR(IF(AL194=1,AR$100*EXP(-(LN(2)/$D$65+0.04)*AN194)*EXP(-(LN(2)/$D$65+0.1)*AO194),IF(AL194=2,AR$100*EXP(-(LN(2)/$D$65+0.04)*(VLOOKUP(($F$16-$F$15)-1,AK$100:AO194,4,FALSE)))*EXP(-(LN(2)/$D$65+0.1)*(VLOOKUP(($F$16-$F$15)-1,AK$100:AO194,5,FALSE)))*EXP(-(LN(2)/$D$65+0.04)*AN194)*EXP(-(LN(2)/$D$65+0.1)*AO194),IF(AL194=3,AR$100*EXP(-(LN(2)/$D$65+0.04)*(VLOOKUP(($F$16-$F$15)-1,AK$100:AO194,4,FALSE)))*EXP(-(LN(2)/$D$65+0.1)*(VLOOKUP(($F$16-$F$15)-1,AK$100:AO194,5,FALSE)))*EXP(-(LN(2)/$D$65+0.04)*(VLOOKUP(($F$16-$F$15)*2-1,AK$100:AO194,4,FALSE)))*EXP(-(LN(2)/$D$65+0.1)*(VLOOKUP(($F$16-$F$15)*2-1,AK$100:AO194,5,FALSE)))*EXP(-(LN(2)/$D$65+0.04)*AN194)*EXP(-(LN(2)/$D$65+0.1)*AO194),"-"))),"-")</f>
        <v>-</v>
      </c>
      <c r="AS194" s="274">
        <f t="shared" si="113"/>
        <v>0</v>
      </c>
      <c r="AT194" s="274">
        <f t="shared" si="114"/>
        <v>0</v>
      </c>
      <c r="AU194" s="274">
        <f t="shared" si="115"/>
        <v>0</v>
      </c>
      <c r="AV194" s="190">
        <f>IF($B194&lt;$F$22,SUM($T$100:$T194),"")</f>
        <v>0</v>
      </c>
      <c r="AW194" s="190" t="str">
        <f t="shared" si="116"/>
        <v>-</v>
      </c>
      <c r="AX194" s="190" t="str">
        <f t="shared" si="141"/>
        <v/>
      </c>
      <c r="AY194"/>
      <c r="AZ194" s="190" t="str">
        <f ca="1">IF(ISNUMBER(OFFSET(AV194,-$F$21,0)),SUM(OFFSET($T$100,$F$21,0):$T194),"")</f>
        <v/>
      </c>
      <c r="BA194" s="190" t="str">
        <f t="shared" ca="1" si="117"/>
        <v/>
      </c>
      <c r="BB194" s="190" t="str">
        <f t="shared" ca="1" si="148"/>
        <v/>
      </c>
      <c r="BC194" s="190"/>
      <c r="BD194" s="190" t="str">
        <f ca="1">IFERROR(IF(AND($B194&gt;=($F$16-$F$15),$B194&lt;$F$22+($F$16-$F$15)),SUM(OFFSET($T$100,($F$16-$F$15),0):$T194),""),"")</f>
        <v/>
      </c>
      <c r="BE194" s="190" t="str">
        <f t="shared" ca="1" si="142"/>
        <v/>
      </c>
      <c r="BF194" s="190" t="str">
        <f t="shared" ca="1" si="143"/>
        <v/>
      </c>
      <c r="BG194"/>
      <c r="BH194" s="190" t="str">
        <f ca="1">IF(ISNUMBER(OFFSET(BD194,-$F$21,0)),SUM(OFFSET($T$100,($F$16-$F$15+$F$21),0):$T194),"")</f>
        <v/>
      </c>
      <c r="BI194" s="190" t="str">
        <f t="shared" ca="1" si="118"/>
        <v/>
      </c>
      <c r="BJ194" s="190" t="str">
        <f t="shared" ca="1" si="144"/>
        <v/>
      </c>
      <c r="BK194" s="190"/>
      <c r="BL194" s="190" t="str">
        <f ca="1">IFERROR(IF(AND($B194&gt;=($F$17-$F$15),$B194&lt;$F$22+($F$17-$F$15)),SUM(OFFSET($T$100,($F$17-$F$15),0):$T194),""),"")</f>
        <v/>
      </c>
      <c r="BM194" s="190" t="str">
        <f t="shared" ca="1" si="119"/>
        <v/>
      </c>
      <c r="BN194" s="190" t="str">
        <f t="shared" ca="1" si="145"/>
        <v/>
      </c>
      <c r="BO194"/>
      <c r="BP194" s="190" t="str">
        <f ca="1">IF(ISNUMBER(OFFSET(BL194,-$F$21,0)),SUM(OFFSET($T$100,($F$17-$F$15+$F$21),0):$T194),"")</f>
        <v/>
      </c>
      <c r="BQ194" s="190" t="str">
        <f t="shared" ca="1" si="120"/>
        <v/>
      </c>
      <c r="BR194" s="190" t="str">
        <f t="shared" ca="1" si="146"/>
        <v/>
      </c>
      <c r="BS194" s="190"/>
      <c r="BT194"/>
      <c r="BU194"/>
      <c r="BV194"/>
      <c r="BY194" s="99"/>
      <c r="BZ194" s="99"/>
      <c r="CA194" s="280" t="str">
        <f t="shared" si="121"/>
        <v/>
      </c>
      <c r="CB194" s="71" t="str">
        <f t="shared" si="122"/>
        <v>-</v>
      </c>
      <c r="CC194" s="33"/>
      <c r="CD194" s="261" t="str">
        <f t="shared" si="123"/>
        <v/>
      </c>
      <c r="CE194" s="280" t="str">
        <f t="shared" si="124"/>
        <v>-</v>
      </c>
      <c r="CF194" s="71" t="str">
        <f t="shared" ca="1" si="125"/>
        <v>-</v>
      </c>
      <c r="CG194" s="33" t="str">
        <f t="shared" si="126"/>
        <v>94-95</v>
      </c>
      <c r="CH194" s="261" t="str">
        <f t="shared" ca="1" si="127"/>
        <v/>
      </c>
    </row>
    <row r="195" spans="2:86" ht="13.5" customHeight="1" x14ac:dyDescent="0.2">
      <c r="B195" s="262">
        <v>95</v>
      </c>
      <c r="C195" s="237" t="str">
        <f t="shared" si="91"/>
        <v/>
      </c>
      <c r="D195" s="237" t="str">
        <f t="shared" si="147"/>
        <v>-</v>
      </c>
      <c r="E195" s="263" t="str">
        <f t="shared" si="128"/>
        <v/>
      </c>
      <c r="F195" s="264" t="str">
        <f t="shared" si="129"/>
        <v/>
      </c>
      <c r="G195" s="264" t="str">
        <f t="shared" si="130"/>
        <v/>
      </c>
      <c r="H195" s="240" t="str">
        <f t="shared" si="92"/>
        <v/>
      </c>
      <c r="I195" s="265" t="str">
        <f t="shared" si="93"/>
        <v/>
      </c>
      <c r="J195" s="265" t="str">
        <f t="shared" si="94"/>
        <v/>
      </c>
      <c r="K195" s="240" t="str">
        <f t="shared" si="95"/>
        <v/>
      </c>
      <c r="L195" s="265" t="str">
        <f t="shared" si="96"/>
        <v/>
      </c>
      <c r="M195" s="265" t="str">
        <f t="shared" si="97"/>
        <v/>
      </c>
      <c r="N195" s="240" t="str">
        <f t="shared" si="98"/>
        <v>-</v>
      </c>
      <c r="O195" s="265" t="str">
        <f t="shared" si="99"/>
        <v>-</v>
      </c>
      <c r="P195" s="265" t="str">
        <f t="shared" si="100"/>
        <v>-</v>
      </c>
      <c r="Q195" s="266" t="str">
        <f t="shared" si="101"/>
        <v>-</v>
      </c>
      <c r="R195" s="267" t="str">
        <f t="shared" si="102"/>
        <v>-</v>
      </c>
      <c r="S195" s="268" t="str">
        <f t="shared" si="103"/>
        <v>-</v>
      </c>
      <c r="T195" s="269" t="str">
        <f t="shared" si="104"/>
        <v/>
      </c>
      <c r="U195" s="221">
        <f t="shared" si="105"/>
        <v>95</v>
      </c>
      <c r="V195" s="220" t="str">
        <f t="shared" si="131"/>
        <v>-</v>
      </c>
      <c r="W195" s="221" t="str">
        <f t="shared" si="132"/>
        <v>-</v>
      </c>
      <c r="X195" s="221" t="str">
        <f t="shared" si="106"/>
        <v>-</v>
      </c>
      <c r="Y195" s="221" t="str">
        <f t="shared" si="107"/>
        <v>-</v>
      </c>
      <c r="Z195" s="270">
        <f t="shared" si="133"/>
        <v>0.1</v>
      </c>
      <c r="AA195" s="271" t="str">
        <f>IFERROR(IF(V194=1,AA$100*EXP(-(LN(2)/$D$65+0.04)*X194)*EXP(-(LN(2)/$D$65+0.1)*Y194),IF(V194=2,AA$100*EXP(-(LN(2)/$D$65+0.04)*(VLOOKUP(($F$16-$F$15)-1,U$99:Y194,4,FALSE)))*EXP(-(LN(2)/$D$65+0.1)*(VLOOKUP(($F$16-$F$15)-1,U$99:Y194,5,FALSE)))*EXP(-(LN(2)/$D$65+0.04)*X194)*EXP(-(LN(2)/$D$65+0.1)*Y194),IF(V194=3,AA$100*EXP(-(LN(2)/$D$65+0.04)*(VLOOKUP(($F$16-$F$15)-1,U$99:Y194,4,FALSE)))*EXP(-(LN(2)/$D$65+0.1)*(VLOOKUP(($F$16-$F$15)-1,U$99:Y194,5,FALSE)))*EXP(-(LN(2)/$D$65+0.04)*(VLOOKUP(($F$16-$F$15)*2-1,U$99:Y194,4,FALSE)))*EXP(-(LN(2)/$D$65+0.1)*(VLOOKUP(($F$16-$F$15)*2-1,U$99:Y194,5,FALSE)))*EXP(-(LN(2)/$D$65+0.04)*X194)*EXP(-(LN(2)/$D$65+0.1)*Y194),"-"))),"-")</f>
        <v>-</v>
      </c>
      <c r="AB195" s="271" t="str">
        <f>IFERROR(IF(V195=1,AB$100*EXP(-(LN(2)/$D$65+0.04)*X195)*EXP(-(LN(2)/$D$65+0.1)*Y195),IF(V195=2,AB$100*EXP(-(LN(2)/$D$65+0.04)*(VLOOKUP(($F$16-$F$15)-1,U$100:Y195,4,FALSE)))*EXP(-(LN(2)/$D$65+0.1)*(VLOOKUP(($F$16-$F$15)-1,U$100:Y195,5,FALSE)))*EXP(-(LN(2)/$D$65+0.04)*X195)*EXP(-(LN(2)/$D$65+0.1)*Y195),IF(V195=3,AB$100*EXP(-(LN(2)/$D$65+0.04)*(VLOOKUP(($F$16-$F$15)-1,U$100:Y195,4,FALSE)))*EXP(-(LN(2)/$D$65+0.1)*(VLOOKUP(($F$16-$F$15)-1,U$100:Y195,5,FALSE)))*EXP(-(LN(2)/$D$65+0.04)*(VLOOKUP(($F$16-$F$15)*2-1,U$100:Y195,4,FALSE)))*EXP(-(LN(2)/$D$65+0.1)*(VLOOKUP(($F$16-$F$15)*2-1,U$100:Y195,5,FALSE)))*EXP(-(LN(2)/$D$65+0.04)*X195)*EXP(-(LN(2)/$D$65+0.1)*Y195),"-"))),"-")</f>
        <v>-</v>
      </c>
      <c r="AC195" s="224">
        <f t="shared" si="134"/>
        <v>95</v>
      </c>
      <c r="AD195" s="223" t="str">
        <f t="shared" si="108"/>
        <v>-</v>
      </c>
      <c r="AE195" s="224" t="str">
        <f t="shared" si="135"/>
        <v>-</v>
      </c>
      <c r="AF195" s="224" t="str">
        <f t="shared" si="109"/>
        <v>-</v>
      </c>
      <c r="AG195" s="224" t="str">
        <f t="shared" si="110"/>
        <v>-</v>
      </c>
      <c r="AH195" s="272">
        <f t="shared" si="136"/>
        <v>0.1</v>
      </c>
      <c r="AI195" s="271" t="str">
        <f>IFERROR(IF(AD194=1,AI$100*EXP(-(LN(2)/$D$65+0.04)*AF194)*EXP(-(LN(2)/$D$65+0.1)*AG194),IF(AD194=2,AI$100*EXP(-(LN(2)/$D$65+0.04)*(VLOOKUP(($F$16-$F$15)-1,AC$99:AG194,4,FALSE)))*EXP(-(LN(2)/$D$65+0.1)*(VLOOKUP(($F$16-$F$15)-1,AC$99:AG194,5,FALSE)))*EXP(-(LN(2)/$D$65+0.04)*AF194)*EXP(-(LN(2)/$D$65+0.1)*AG194),IF(AD194=3,AI$100*EXP(-(LN(2)/$D$65+0.04)*(VLOOKUP(($F$16-$F$15)-1,AC$99:AG194,4,FALSE)))*EXP(-(LN(2)/$D$65+0.1)*(VLOOKUP(($F$16-$F$15)-1,AC$99:AG194,5,FALSE)))*EXP(-(LN(2)/$D$65+0.04)*(VLOOKUP(($F$16-$F$15)*2-1,AC$99:AG194,4,FALSE)))*EXP(-(LN(2)/$D$65+0.1)*(VLOOKUP(($F$16-$F$15)*2-1,AC$99:AG194,5,FALSE)))*EXP(-(LN(2)/$D$65+0.04)*AF194)*EXP(-(LN(2)/$D$65+0.1)*AG194),"-"))),"-")</f>
        <v>-</v>
      </c>
      <c r="AJ195" s="271" t="str">
        <f>IFERROR(IF(AD195=1,AJ$100*EXP(-(LN(2)/$D$65+0.04)*AF195)*EXP(-(LN(2)/$D$65+0.1)*AG195),IF(AD195=2,AJ$100*EXP(-(LN(2)/$D$65+0.04)*(VLOOKUP(($F$16-$F$15)-1,AC$100:AG195,4,FALSE)))*EXP(-(LN(2)/$D$65+0.1)*(VLOOKUP(($F$16-$F$15)-1,AC$100:AG195,5,FALSE)))*EXP(-(LN(2)/$D$65+0.04)*AF195)*EXP(-(LN(2)/$D$65+0.1)*AG195),IF(AD195=3,AJ$100*EXP(-(LN(2)/$D$65+0.04)*(VLOOKUP(($F$16-$F$15)-1,AC$100:AG195,4,FALSE)))*EXP(-(LN(2)/$D$65+0.1)*(VLOOKUP(($F$16-$F$15)-1,AC$100:AG195,5,FALSE)))*EXP(-(LN(2)/$D$65+0.04)*(VLOOKUP(($F$16-$F$15)*2-1,AC$100:AG195,4,FALSE)))*EXP(-(LN(2)/$D$65+0.1)*(VLOOKUP(($F$16-$F$15)*2-1,AC$100:AG195,5,FALSE)))*EXP(-(LN(2)/$D$65+0.04)*AF195)*EXP(-(LN(2)/$D$65+0.1)*AG195),"-"))),"-")</f>
        <v>-</v>
      </c>
      <c r="AK195" s="227">
        <f t="shared" si="137"/>
        <v>95</v>
      </c>
      <c r="AL195" s="226" t="str">
        <f t="shared" si="111"/>
        <v>-</v>
      </c>
      <c r="AM195" s="227" t="str">
        <f t="shared" si="138"/>
        <v>-</v>
      </c>
      <c r="AN195" s="227" t="str">
        <f t="shared" si="139"/>
        <v>-</v>
      </c>
      <c r="AO195" s="227" t="str">
        <f t="shared" si="112"/>
        <v>-</v>
      </c>
      <c r="AP195" s="273">
        <f t="shared" si="140"/>
        <v>0.1</v>
      </c>
      <c r="AQ195" s="271" t="str">
        <f>IFERROR(IF(AL194=1,AQ$100*EXP(-(LN(2)/$D$65+0.04)*AN194)*EXP(-(LN(2)/$D$65+0.1)*AO194),IF(AL194=2,AQ$100*EXP(-(LN(2)/$D$65+0.04)*(VLOOKUP(($F$16-$F$15)-1,AK$99:AO194,4,FALSE)))*EXP(-(LN(2)/$D$65+0.1)*(VLOOKUP(($F$16-$F$15)-1,AK$99:AO194,5,FALSE)))*EXP(-(LN(2)/$D$65+0.04)*AN194)*EXP(-(LN(2)/$D$65+0.1)*AO194),IF(AL194=3,AQ$100*EXP(-(LN(2)/$D$65+0.04)*(VLOOKUP(($F$16-$F$15)-1,AK$99:AO194,4,FALSE)))*EXP(-(LN(2)/$D$65+0.1)*(VLOOKUP(($F$16-$F$15)-1,AK$99:AO194,5,FALSE)))*EXP(-(LN(2)/$D$65+0.04)*(VLOOKUP(($F$16-$F$15)*2-1,AK$99:AO194,4,FALSE)))*EXP(-(LN(2)/$D$65+0.1)*(VLOOKUP(($F$16-$F$15)*2-1,AK$99:AO194,5,FALSE)))*EXP(-(LN(2)/$D$65+0.04)*AN194)*EXP(-(LN(2)/$D$65+0.1)*AO194),"-"))),"-")</f>
        <v>-</v>
      </c>
      <c r="AR195" s="271" t="str">
        <f>IFERROR(IF(AL195=1,AR$100*EXP(-(LN(2)/$D$65+0.04)*AN195)*EXP(-(LN(2)/$D$65+0.1)*AO195),IF(AL195=2,AR$100*EXP(-(LN(2)/$D$65+0.04)*(VLOOKUP(($F$16-$F$15)-1,AK$100:AO195,4,FALSE)))*EXP(-(LN(2)/$D$65+0.1)*(VLOOKUP(($F$16-$F$15)-1,AK$100:AO195,5,FALSE)))*EXP(-(LN(2)/$D$65+0.04)*AN195)*EXP(-(LN(2)/$D$65+0.1)*AO195),IF(AL195=3,AR$100*EXP(-(LN(2)/$D$65+0.04)*(VLOOKUP(($F$16-$F$15)-1,AK$100:AO195,4,FALSE)))*EXP(-(LN(2)/$D$65+0.1)*(VLOOKUP(($F$16-$F$15)-1,AK$100:AO195,5,FALSE)))*EXP(-(LN(2)/$D$65+0.04)*(VLOOKUP(($F$16-$F$15)*2-1,AK$100:AO195,4,FALSE)))*EXP(-(LN(2)/$D$65+0.1)*(VLOOKUP(($F$16-$F$15)*2-1,AK$100:AO195,5,FALSE)))*EXP(-(LN(2)/$D$65+0.04)*AN195)*EXP(-(LN(2)/$D$65+0.1)*AO195),"-"))),"-")</f>
        <v>-</v>
      </c>
      <c r="AS195" s="274">
        <f t="shared" si="113"/>
        <v>0</v>
      </c>
      <c r="AT195" s="274">
        <f t="shared" si="114"/>
        <v>0</v>
      </c>
      <c r="AU195" s="274">
        <f t="shared" si="115"/>
        <v>0</v>
      </c>
      <c r="AV195" s="190">
        <f>IF($B195&lt;$F$22,SUM($T$100:$T195),"")</f>
        <v>0</v>
      </c>
      <c r="AW195" s="190" t="str">
        <f t="shared" si="116"/>
        <v>-</v>
      </c>
      <c r="AX195" s="190" t="str">
        <f t="shared" si="141"/>
        <v/>
      </c>
      <c r="AY195"/>
      <c r="AZ195" s="190" t="str">
        <f ca="1">IF(ISNUMBER(OFFSET(AV195,-$F$21,0)),SUM(OFFSET($T$100,$F$21,0):$T195),"")</f>
        <v/>
      </c>
      <c r="BA195" s="190" t="str">
        <f t="shared" ca="1" si="117"/>
        <v/>
      </c>
      <c r="BB195" s="190" t="str">
        <f t="shared" ca="1" si="148"/>
        <v/>
      </c>
      <c r="BC195" s="190"/>
      <c r="BD195" s="190" t="str">
        <f ca="1">IFERROR(IF(AND($B195&gt;=($F$16-$F$15),$B195&lt;$F$22+($F$16-$F$15)),SUM(OFFSET($T$100,($F$16-$F$15),0):$T195),""),"")</f>
        <v/>
      </c>
      <c r="BE195" s="190" t="str">
        <f t="shared" ca="1" si="142"/>
        <v/>
      </c>
      <c r="BF195" s="190" t="str">
        <f t="shared" ca="1" si="143"/>
        <v/>
      </c>
      <c r="BG195"/>
      <c r="BH195" s="190" t="str">
        <f ca="1">IF(ISNUMBER(OFFSET(BD195,-$F$21,0)),SUM(OFFSET($T$100,($F$16-$F$15+$F$21),0):$T195),"")</f>
        <v/>
      </c>
      <c r="BI195" s="190" t="str">
        <f t="shared" ca="1" si="118"/>
        <v/>
      </c>
      <c r="BJ195" s="190" t="str">
        <f t="shared" ca="1" si="144"/>
        <v/>
      </c>
      <c r="BK195" s="190"/>
      <c r="BL195" s="190" t="str">
        <f ca="1">IFERROR(IF(AND($B195&gt;=($F$17-$F$15),$B195&lt;$F$22+($F$17-$F$15)),SUM(OFFSET($T$100,($F$17-$F$15),0):$T195),""),"")</f>
        <v/>
      </c>
      <c r="BM195" s="190" t="str">
        <f t="shared" ca="1" si="119"/>
        <v/>
      </c>
      <c r="BN195" s="190" t="str">
        <f t="shared" ca="1" si="145"/>
        <v/>
      </c>
      <c r="BO195"/>
      <c r="BP195" s="190" t="str">
        <f ca="1">IF(ISNUMBER(OFFSET(BL195,-$F$21,0)),SUM(OFFSET($T$100,($F$17-$F$15+$F$21),0):$T195),"")</f>
        <v/>
      </c>
      <c r="BQ195" s="190" t="str">
        <f t="shared" ca="1" si="120"/>
        <v/>
      </c>
      <c r="BR195" s="190" t="str">
        <f t="shared" ca="1" si="146"/>
        <v/>
      </c>
      <c r="BS195" s="190"/>
      <c r="BT195"/>
      <c r="BU195"/>
      <c r="BV195"/>
      <c r="BY195" s="99"/>
      <c r="BZ195" s="99"/>
      <c r="CA195" s="280" t="str">
        <f t="shared" si="121"/>
        <v/>
      </c>
      <c r="CB195" s="71" t="str">
        <f t="shared" si="122"/>
        <v>-</v>
      </c>
      <c r="CC195" s="33"/>
      <c r="CD195" s="261" t="str">
        <f t="shared" si="123"/>
        <v/>
      </c>
      <c r="CE195" s="280" t="str">
        <f t="shared" si="124"/>
        <v>-</v>
      </c>
      <c r="CF195" s="71" t="str">
        <f t="shared" ca="1" si="125"/>
        <v>-</v>
      </c>
      <c r="CG195" s="33" t="str">
        <f t="shared" si="126"/>
        <v>95-96</v>
      </c>
      <c r="CH195" s="261" t="str">
        <f t="shared" ca="1" si="127"/>
        <v/>
      </c>
    </row>
    <row r="196" spans="2:86" ht="13.5" customHeight="1" x14ac:dyDescent="0.2">
      <c r="B196" s="262">
        <v>96</v>
      </c>
      <c r="C196" s="237" t="str">
        <f t="shared" si="91"/>
        <v/>
      </c>
      <c r="D196" s="237" t="str">
        <f t="shared" si="147"/>
        <v>-</v>
      </c>
      <c r="E196" s="263" t="str">
        <f t="shared" si="128"/>
        <v/>
      </c>
      <c r="F196" s="264" t="str">
        <f t="shared" si="129"/>
        <v/>
      </c>
      <c r="G196" s="264" t="str">
        <f t="shared" si="130"/>
        <v/>
      </c>
      <c r="H196" s="240" t="str">
        <f t="shared" ref="H196:H227" si="149">IF(E196&lt;&gt;"",IF($B196&lt;$F$21,"",IF(ISNUMBER(F196),IF(ISNUMBER(I196),(E196*30*50*ffp),""),(E196*30*50*ffp))),"")</f>
        <v/>
      </c>
      <c r="I196" s="265" t="str">
        <f t="shared" ref="I196:I227" si="150">IFERROR(IF(F196&lt;&gt;"",IF($B196&lt;$F$21+$F$16,"",IF(ISNUMBER(G196),IF(ISNUMBER(J196),(F196*30*50*ffp),""),(F196*30*50*ffp))),""),"")</f>
        <v/>
      </c>
      <c r="J196" s="265" t="str">
        <f t="shared" ref="J196:J227" si="151">IFERROR(IF(G196&lt;&gt;"",IF($B196&lt;$F$21+$F$17,"",(G196*30*50*ffp)),""),"")</f>
        <v/>
      </c>
      <c r="K196" s="240" t="str">
        <f t="shared" ref="K196:K227" si="152">IF(E196&lt;&gt;"",((E196*20*50*ffp)/Klevee),"")</f>
        <v/>
      </c>
      <c r="L196" s="265" t="str">
        <f t="shared" ref="L196:L227" si="153">IF(ISNUMBER(F196),((F196*20*50*ffp)/Klevee),"")</f>
        <v/>
      </c>
      <c r="M196" s="265" t="str">
        <f t="shared" ref="M196:M227" si="154">IF(ISNUMBER(G196),((G196*20*50*ffp)/Klevee),"")</f>
        <v/>
      </c>
      <c r="N196" s="240" t="str">
        <f t="shared" ref="N196:N227" si="155">IF(AND(ISNUMBER(I),ISNUMBER($F$14),ISNUMBER($F$20)),IF($B196=0,I*($J$40/100)*$J$42*1,""),"-")</f>
        <v>-</v>
      </c>
      <c r="O196" s="265" t="str">
        <f t="shared" ref="O196:O227" si="156">IF(ISNUMBER($F$14),IF($F$14&gt;1,IF($B196=0+$F$16,I*($J$40/100)*$J$42*1,""),""),"-")</f>
        <v>-</v>
      </c>
      <c r="P196" s="265" t="str">
        <f t="shared" ref="P196:P227" si="157">IF(ISNUMBER($F$14),IF($F$14&gt;2,IF($B196=0+$F$17,I*($J$40/100)*$J$42*1,""),""),"-")</f>
        <v>-</v>
      </c>
      <c r="Q196" s="266" t="str">
        <f t="shared" ref="Q196:Q227" si="158">IF(AND(ISNUMBER(I),ISNUMBER($F$14),ISNUMBER($F$20)),IF($B196=0,I*(dt/100)*$J$45*1,""),"-")</f>
        <v>-</v>
      </c>
      <c r="R196" s="267" t="str">
        <f t="shared" ref="R196:R227" si="159">IF(ISNUMBER($F$14),IF($F$14&gt;1,IF($B196=0+$F$16,I*(dt/100)*$J$45*1,""),""),"-")</f>
        <v>-</v>
      </c>
      <c r="S196" s="268" t="str">
        <f t="shared" ref="S196:S227" si="160">IF(ISNUMBER($F$14),IF($F$14&gt;2,IF($B196=0+$F$17,I*(dt/100)*$J$45*1,""),""),"-")</f>
        <v>-</v>
      </c>
      <c r="T196" s="269" t="str">
        <f t="shared" si="104"/>
        <v/>
      </c>
      <c r="U196" s="221">
        <f t="shared" si="105"/>
        <v>96</v>
      </c>
      <c r="V196" s="220" t="str">
        <f t="shared" si="131"/>
        <v>-</v>
      </c>
      <c r="W196" s="221" t="str">
        <f t="shared" si="132"/>
        <v>-</v>
      </c>
      <c r="X196" s="221" t="str">
        <f t="shared" si="106"/>
        <v>-</v>
      </c>
      <c r="Y196" s="221" t="str">
        <f t="shared" si="107"/>
        <v>-</v>
      </c>
      <c r="Z196" s="270">
        <f t="shared" si="133"/>
        <v>0.1</v>
      </c>
      <c r="AA196" s="271" t="str">
        <f>IFERROR(IF(V195=1,AA$100*EXP(-(LN(2)/$D$65+0.04)*X195)*EXP(-(LN(2)/$D$65+0.1)*Y195),IF(V195=2,AA$100*EXP(-(LN(2)/$D$65+0.04)*(VLOOKUP(($F$16-$F$15)-1,U$99:Y195,4,FALSE)))*EXP(-(LN(2)/$D$65+0.1)*(VLOOKUP(($F$16-$F$15)-1,U$99:Y195,5,FALSE)))*EXP(-(LN(2)/$D$65+0.04)*X195)*EXP(-(LN(2)/$D$65+0.1)*Y195),IF(V195=3,AA$100*EXP(-(LN(2)/$D$65+0.04)*(VLOOKUP(($F$16-$F$15)-1,U$99:Y195,4,FALSE)))*EXP(-(LN(2)/$D$65+0.1)*(VLOOKUP(($F$16-$F$15)-1,U$99:Y195,5,FALSE)))*EXP(-(LN(2)/$D$65+0.04)*(VLOOKUP(($F$16-$F$15)*2-1,U$99:Y195,4,FALSE)))*EXP(-(LN(2)/$D$65+0.1)*(VLOOKUP(($F$16-$F$15)*2-1,U$99:Y195,5,FALSE)))*EXP(-(LN(2)/$D$65+0.04)*X195)*EXP(-(LN(2)/$D$65+0.1)*Y195),"-"))),"-")</f>
        <v>-</v>
      </c>
      <c r="AB196" s="271" t="str">
        <f>IFERROR(IF(V196=1,AB$100*EXP(-(LN(2)/$D$65+0.04)*X196)*EXP(-(LN(2)/$D$65+0.1)*Y196),IF(V196=2,AB$100*EXP(-(LN(2)/$D$65+0.04)*(VLOOKUP(($F$16-$F$15)-1,U$100:Y196,4,FALSE)))*EXP(-(LN(2)/$D$65+0.1)*(VLOOKUP(($F$16-$F$15)-1,U$100:Y196,5,FALSE)))*EXP(-(LN(2)/$D$65+0.04)*X196)*EXP(-(LN(2)/$D$65+0.1)*Y196),IF(V196=3,AB$100*EXP(-(LN(2)/$D$65+0.04)*(VLOOKUP(($F$16-$F$15)-1,U$100:Y196,4,FALSE)))*EXP(-(LN(2)/$D$65+0.1)*(VLOOKUP(($F$16-$F$15)-1,U$100:Y196,5,FALSE)))*EXP(-(LN(2)/$D$65+0.04)*(VLOOKUP(($F$16-$F$15)*2-1,U$100:Y196,4,FALSE)))*EXP(-(LN(2)/$D$65+0.1)*(VLOOKUP(($F$16-$F$15)*2-1,U$100:Y196,5,FALSE)))*EXP(-(LN(2)/$D$65+0.04)*X196)*EXP(-(LN(2)/$D$65+0.1)*Y196),"-"))),"-")</f>
        <v>-</v>
      </c>
      <c r="AC196" s="224">
        <f t="shared" si="134"/>
        <v>96</v>
      </c>
      <c r="AD196" s="223" t="str">
        <f t="shared" si="108"/>
        <v>-</v>
      </c>
      <c r="AE196" s="224" t="str">
        <f t="shared" si="135"/>
        <v>-</v>
      </c>
      <c r="AF196" s="224" t="str">
        <f t="shared" si="109"/>
        <v>-</v>
      </c>
      <c r="AG196" s="224" t="str">
        <f t="shared" si="110"/>
        <v>-</v>
      </c>
      <c r="AH196" s="272">
        <f t="shared" si="136"/>
        <v>0.1</v>
      </c>
      <c r="AI196" s="271" t="str">
        <f>IFERROR(IF(AD195=1,AI$100*EXP(-(LN(2)/$D$65+0.04)*AF195)*EXP(-(LN(2)/$D$65+0.1)*AG195),IF(AD195=2,AI$100*EXP(-(LN(2)/$D$65+0.04)*(VLOOKUP(($F$16-$F$15)-1,AC$99:AG195,4,FALSE)))*EXP(-(LN(2)/$D$65+0.1)*(VLOOKUP(($F$16-$F$15)-1,AC$99:AG195,5,FALSE)))*EXP(-(LN(2)/$D$65+0.04)*AF195)*EXP(-(LN(2)/$D$65+0.1)*AG195),IF(AD195=3,AI$100*EXP(-(LN(2)/$D$65+0.04)*(VLOOKUP(($F$16-$F$15)-1,AC$99:AG195,4,FALSE)))*EXP(-(LN(2)/$D$65+0.1)*(VLOOKUP(($F$16-$F$15)-1,AC$99:AG195,5,FALSE)))*EXP(-(LN(2)/$D$65+0.04)*(VLOOKUP(($F$16-$F$15)*2-1,AC$99:AG195,4,FALSE)))*EXP(-(LN(2)/$D$65+0.1)*(VLOOKUP(($F$16-$F$15)*2-1,AC$99:AG195,5,FALSE)))*EXP(-(LN(2)/$D$65+0.04)*AF195)*EXP(-(LN(2)/$D$65+0.1)*AG195),"-"))),"-")</f>
        <v>-</v>
      </c>
      <c r="AJ196" s="271" t="str">
        <f>IFERROR(IF(AD196=1,AJ$100*EXP(-(LN(2)/$D$65+0.04)*AF196)*EXP(-(LN(2)/$D$65+0.1)*AG196),IF(AD196=2,AJ$100*EXP(-(LN(2)/$D$65+0.04)*(VLOOKUP(($F$16-$F$15)-1,AC$100:AG196,4,FALSE)))*EXP(-(LN(2)/$D$65+0.1)*(VLOOKUP(($F$16-$F$15)-1,AC$100:AG196,5,FALSE)))*EXP(-(LN(2)/$D$65+0.04)*AF196)*EXP(-(LN(2)/$D$65+0.1)*AG196),IF(AD196=3,AJ$100*EXP(-(LN(2)/$D$65+0.04)*(VLOOKUP(($F$16-$F$15)-1,AC$100:AG196,4,FALSE)))*EXP(-(LN(2)/$D$65+0.1)*(VLOOKUP(($F$16-$F$15)-1,AC$100:AG196,5,FALSE)))*EXP(-(LN(2)/$D$65+0.04)*(VLOOKUP(($F$16-$F$15)*2-1,AC$100:AG196,4,FALSE)))*EXP(-(LN(2)/$D$65+0.1)*(VLOOKUP(($F$16-$F$15)*2-1,AC$100:AG196,5,FALSE)))*EXP(-(LN(2)/$D$65+0.04)*AF196)*EXP(-(LN(2)/$D$65+0.1)*AG196),"-"))),"-")</f>
        <v>-</v>
      </c>
      <c r="AK196" s="227">
        <f t="shared" si="137"/>
        <v>96</v>
      </c>
      <c r="AL196" s="226" t="str">
        <f t="shared" si="111"/>
        <v>-</v>
      </c>
      <c r="AM196" s="227" t="str">
        <f t="shared" si="138"/>
        <v>-</v>
      </c>
      <c r="AN196" s="227" t="str">
        <f t="shared" si="139"/>
        <v>-</v>
      </c>
      <c r="AO196" s="227" t="str">
        <f t="shared" si="112"/>
        <v>-</v>
      </c>
      <c r="AP196" s="273">
        <f t="shared" si="140"/>
        <v>0.1</v>
      </c>
      <c r="AQ196" s="271" t="str">
        <f>IFERROR(IF(AL195=1,AQ$100*EXP(-(LN(2)/$D$65+0.04)*AN195)*EXP(-(LN(2)/$D$65+0.1)*AO195),IF(AL195=2,AQ$100*EXP(-(LN(2)/$D$65+0.04)*(VLOOKUP(($F$16-$F$15)-1,AK$99:AO195,4,FALSE)))*EXP(-(LN(2)/$D$65+0.1)*(VLOOKUP(($F$16-$F$15)-1,AK$99:AO195,5,FALSE)))*EXP(-(LN(2)/$D$65+0.04)*AN195)*EXP(-(LN(2)/$D$65+0.1)*AO195),IF(AL195=3,AQ$100*EXP(-(LN(2)/$D$65+0.04)*(VLOOKUP(($F$16-$F$15)-1,AK$99:AO195,4,FALSE)))*EXP(-(LN(2)/$D$65+0.1)*(VLOOKUP(($F$16-$F$15)-1,AK$99:AO195,5,FALSE)))*EXP(-(LN(2)/$D$65+0.04)*(VLOOKUP(($F$16-$F$15)*2-1,AK$99:AO195,4,FALSE)))*EXP(-(LN(2)/$D$65+0.1)*(VLOOKUP(($F$16-$F$15)*2-1,AK$99:AO195,5,FALSE)))*EXP(-(LN(2)/$D$65+0.04)*AN195)*EXP(-(LN(2)/$D$65+0.1)*AO195),"-"))),"-")</f>
        <v>-</v>
      </c>
      <c r="AR196" s="271" t="str">
        <f>IFERROR(IF(AL196=1,AR$100*EXP(-(LN(2)/$D$65+0.04)*AN196)*EXP(-(LN(2)/$D$65+0.1)*AO196),IF(AL196=2,AR$100*EXP(-(LN(2)/$D$65+0.04)*(VLOOKUP(($F$16-$F$15)-1,AK$100:AO196,4,FALSE)))*EXP(-(LN(2)/$D$65+0.1)*(VLOOKUP(($F$16-$F$15)-1,AK$100:AO196,5,FALSE)))*EXP(-(LN(2)/$D$65+0.04)*AN196)*EXP(-(LN(2)/$D$65+0.1)*AO196),IF(AL196=3,AR$100*EXP(-(LN(2)/$D$65+0.04)*(VLOOKUP(($F$16-$F$15)-1,AK$100:AO196,4,FALSE)))*EXP(-(LN(2)/$D$65+0.1)*(VLOOKUP(($F$16-$F$15)-1,AK$100:AO196,5,FALSE)))*EXP(-(LN(2)/$D$65+0.04)*(VLOOKUP(($F$16-$F$15)*2-1,AK$100:AO196,4,FALSE)))*EXP(-(LN(2)/$D$65+0.1)*(VLOOKUP(($F$16-$F$15)*2-1,AK$100:AO196,5,FALSE)))*EXP(-(LN(2)/$D$65+0.04)*AN196)*EXP(-(LN(2)/$D$65+0.1)*AO196),"-"))),"-")</f>
        <v>-</v>
      </c>
      <c r="AS196" s="274">
        <f t="shared" si="113"/>
        <v>0</v>
      </c>
      <c r="AT196" s="274">
        <f t="shared" si="114"/>
        <v>0</v>
      </c>
      <c r="AU196" s="274">
        <f t="shared" si="115"/>
        <v>0</v>
      </c>
      <c r="AV196" s="190">
        <f>IF($B196&lt;$F$22,SUM($T$100:$T196),"")</f>
        <v>0</v>
      </c>
      <c r="AW196" s="190" t="str">
        <f t="shared" ref="AW196:AW227" si="161">IF(ISNUMBER(Koc),IF(ISNUMBER(AV196),AV196*(Koc*(Ocse/100)*Pse*Vse)/(Koc*(Ocse/100)*Pse*Vse+1*86400*($B196+1)),""),"-")</f>
        <v>-</v>
      </c>
      <c r="AX196" s="190" t="str">
        <f t="shared" si="141"/>
        <v/>
      </c>
      <c r="AY196"/>
      <c r="AZ196" s="190" t="str">
        <f ca="1">IF(ISNUMBER(OFFSET(AV196,-$F$21,0)),SUM(OFFSET($T$100,$F$21,0):$T196),"")</f>
        <v/>
      </c>
      <c r="BA196" s="190" t="str">
        <f t="shared" ref="BA196:BA227" ca="1" si="162">IF(ISNUMBER(OFFSET(AV196,-$F$21,0)),AZ196*(Koc*(Ocse/100)*Pse*Vse)/(Koc*(Ocse/100)*Pse*Vse+1*86400*($B196+1)),"")</f>
        <v/>
      </c>
      <c r="BB196" s="190" t="str">
        <f t="shared" ca="1" si="148"/>
        <v/>
      </c>
      <c r="BC196" s="190"/>
      <c r="BD196" s="190" t="str">
        <f ca="1">IFERROR(IF(AND($B196&gt;=($F$16-$F$15),$B196&lt;$F$22+($F$16-$F$15)),SUM(OFFSET($T$100,($F$16-$F$15),0):$T196),""),"")</f>
        <v/>
      </c>
      <c r="BE196" s="190" t="str">
        <f t="shared" ca="1" si="142"/>
        <v/>
      </c>
      <c r="BF196" s="190" t="str">
        <f t="shared" ca="1" si="143"/>
        <v/>
      </c>
      <c r="BG196"/>
      <c r="BH196" s="190" t="str">
        <f ca="1">IF(ISNUMBER(OFFSET(BD196,-$F$21,0)),SUM(OFFSET($T$100,($F$16-$F$15+$F$21),0):$T196),"")</f>
        <v/>
      </c>
      <c r="BI196" s="190" t="str">
        <f t="shared" ref="BI196:BI227" ca="1" si="163">IF(ISNUMBER(OFFSET(BD196,-$F$21,0)),BH196*(Koc*(Ocse/100)*Pse*Vse)/(Koc*(Ocse/100)*Pse*Vse+1*86400*($B196+1)),"")</f>
        <v/>
      </c>
      <c r="BJ196" s="190" t="str">
        <f t="shared" ca="1" si="144"/>
        <v/>
      </c>
      <c r="BK196" s="190"/>
      <c r="BL196" s="190" t="str">
        <f ca="1">IFERROR(IF(AND($B196&gt;=($F$17-$F$15),$B196&lt;$F$22+($F$17-$F$15)),SUM(OFFSET($T$100,($F$17-$F$15),0):$T196),""),"")</f>
        <v/>
      </c>
      <c r="BM196" s="190" t="str">
        <f t="shared" ref="BM196:BM227" ca="1" si="164">IF(ISNUMBER(BL196),BL196*(Koc*(Ocse/100)*Pse*Vse)/(Koc*(Ocse/100)*Pse*Vse+1*86400*($B196+1)),"")</f>
        <v/>
      </c>
      <c r="BN196" s="190" t="str">
        <f t="shared" ca="1" si="145"/>
        <v/>
      </c>
      <c r="BO196"/>
      <c r="BP196" s="190" t="str">
        <f ca="1">IF(ISNUMBER(OFFSET(BL196,-$F$21,0)),SUM(OFFSET($T$100,($F$17-$F$15+$F$21),0):$T196),"")</f>
        <v/>
      </c>
      <c r="BQ196" s="190" t="str">
        <f t="shared" ref="BQ196:BQ227" ca="1" si="165">IF(ISNUMBER(OFFSET(BL196,-$F$21,0)),BP196*(Koc*(Ocse/100)*Pse*Vse)/(Koc*(Ocse/100)*Pse*Vse+1*86400*($B196+1)),"")</f>
        <v/>
      </c>
      <c r="BR196" s="190" t="str">
        <f t="shared" ca="1" si="146"/>
        <v/>
      </c>
      <c r="BS196" s="190"/>
      <c r="BT196"/>
      <c r="BU196"/>
      <c r="BV196"/>
      <c r="BY196" s="99"/>
      <c r="BZ196" s="99"/>
      <c r="CA196" s="280" t="str">
        <f t="shared" ref="CA196:CA227" si="166">IFERROR(IF($B196&lt;$CA$94,T196*(Koc*(Ocse/100)*Pse*Vse)/(Koc*(Ocse/100)*Pse*Vse+1*86400*$CA$94),""),"-")</f>
        <v/>
      </c>
      <c r="CB196" s="71" t="str">
        <f t="shared" si="122"/>
        <v>-</v>
      </c>
      <c r="CC196" s="33"/>
      <c r="CD196" s="261" t="str">
        <f t="shared" si="123"/>
        <v/>
      </c>
      <c r="CE196" s="280" t="str">
        <f t="shared" ref="CE196:CE227" si="167">IFERROR(IF($B196&lt;$CE$94,T196*(Koc*(Ocse/100)*Pse*Vse)/(Koc*(Ocse/100)*Pse*Vse+1*86400*$CE$94),""),"-")</f>
        <v>-</v>
      </c>
      <c r="CF196" s="71" t="str">
        <f t="shared" ref="CF196:CF227" ca="1" si="168">IFERROR(IF($B196&lt;$CE$94,IF(NOT(ISNUMBER(ffp)),"-",IF($F$70=$AX$87,AX196,IF($F$70=$BB$87,OFFSET(BB196,$F$21,0),IF($F$70=$BF$87,OFFSET(BF196,$F$16,0),IF($F$70=$BJ$87,OFFSET(BJ196,$F$16+$F$21,0),IF($F$70=$BN$87,OFFSET(BN196,$F$17,0),OFFSET(BR196,$F$17+$F$21,0))))))),""),"-")</f>
        <v>-</v>
      </c>
      <c r="CG196" s="33" t="str">
        <f t="shared" si="126"/>
        <v>96-97</v>
      </c>
      <c r="CH196" s="261" t="str">
        <f t="shared" ca="1" si="127"/>
        <v/>
      </c>
    </row>
    <row r="197" spans="2:86" ht="13.5" customHeight="1" x14ac:dyDescent="0.2">
      <c r="B197" s="262">
        <v>97</v>
      </c>
      <c r="C197" s="237" t="str">
        <f t="shared" si="91"/>
        <v/>
      </c>
      <c r="D197" s="237" t="str">
        <f t="shared" si="147"/>
        <v>-</v>
      </c>
      <c r="E197" s="263" t="str">
        <f t="shared" si="128"/>
        <v/>
      </c>
      <c r="F197" s="264" t="str">
        <f t="shared" si="129"/>
        <v/>
      </c>
      <c r="G197" s="264" t="str">
        <f t="shared" si="130"/>
        <v/>
      </c>
      <c r="H197" s="240" t="str">
        <f t="shared" si="149"/>
        <v/>
      </c>
      <c r="I197" s="265" t="str">
        <f t="shared" si="150"/>
        <v/>
      </c>
      <c r="J197" s="265" t="str">
        <f t="shared" si="151"/>
        <v/>
      </c>
      <c r="K197" s="240" t="str">
        <f t="shared" si="152"/>
        <v/>
      </c>
      <c r="L197" s="265" t="str">
        <f t="shared" si="153"/>
        <v/>
      </c>
      <c r="M197" s="265" t="str">
        <f t="shared" si="154"/>
        <v/>
      </c>
      <c r="N197" s="240" t="str">
        <f t="shared" si="155"/>
        <v>-</v>
      </c>
      <c r="O197" s="265" t="str">
        <f t="shared" si="156"/>
        <v>-</v>
      </c>
      <c r="P197" s="265" t="str">
        <f t="shared" si="157"/>
        <v>-</v>
      </c>
      <c r="Q197" s="266" t="str">
        <f t="shared" si="158"/>
        <v>-</v>
      </c>
      <c r="R197" s="267" t="str">
        <f t="shared" si="159"/>
        <v>-</v>
      </c>
      <c r="S197" s="268" t="str">
        <f t="shared" si="160"/>
        <v>-</v>
      </c>
      <c r="T197" s="269" t="str">
        <f t="shared" si="104"/>
        <v/>
      </c>
      <c r="U197" s="221">
        <f t="shared" si="105"/>
        <v>97</v>
      </c>
      <c r="V197" s="220" t="str">
        <f t="shared" si="131"/>
        <v>-</v>
      </c>
      <c r="W197" s="221" t="str">
        <f t="shared" si="132"/>
        <v>-</v>
      </c>
      <c r="X197" s="221" t="str">
        <f t="shared" si="106"/>
        <v>-</v>
      </c>
      <c r="Y197" s="221" t="str">
        <f t="shared" si="107"/>
        <v>-</v>
      </c>
      <c r="Z197" s="270">
        <f t="shared" si="133"/>
        <v>0.1</v>
      </c>
      <c r="AA197" s="271" t="str">
        <f>IFERROR(IF(V196=1,AA$100*EXP(-(LN(2)/$D$65+0.04)*X196)*EXP(-(LN(2)/$D$65+0.1)*Y196),IF(V196=2,AA$100*EXP(-(LN(2)/$D$65+0.04)*(VLOOKUP(($F$16-$F$15)-1,U$99:Y196,4,FALSE)))*EXP(-(LN(2)/$D$65+0.1)*(VLOOKUP(($F$16-$F$15)-1,U$99:Y196,5,FALSE)))*EXP(-(LN(2)/$D$65+0.04)*X196)*EXP(-(LN(2)/$D$65+0.1)*Y196),IF(V196=3,AA$100*EXP(-(LN(2)/$D$65+0.04)*(VLOOKUP(($F$16-$F$15)-1,U$99:Y196,4,FALSE)))*EXP(-(LN(2)/$D$65+0.1)*(VLOOKUP(($F$16-$F$15)-1,U$99:Y196,5,FALSE)))*EXP(-(LN(2)/$D$65+0.04)*(VLOOKUP(($F$16-$F$15)*2-1,U$99:Y196,4,FALSE)))*EXP(-(LN(2)/$D$65+0.1)*(VLOOKUP(($F$16-$F$15)*2-1,U$99:Y196,5,FALSE)))*EXP(-(LN(2)/$D$65+0.04)*X196)*EXP(-(LN(2)/$D$65+0.1)*Y196),"-"))),"-")</f>
        <v>-</v>
      </c>
      <c r="AB197" s="271" t="str">
        <f>IFERROR(IF(V197=1,AB$100*EXP(-(LN(2)/$D$65+0.04)*X197)*EXP(-(LN(2)/$D$65+0.1)*Y197),IF(V197=2,AB$100*EXP(-(LN(2)/$D$65+0.04)*(VLOOKUP(($F$16-$F$15)-1,U$100:Y197,4,FALSE)))*EXP(-(LN(2)/$D$65+0.1)*(VLOOKUP(($F$16-$F$15)-1,U$100:Y197,5,FALSE)))*EXP(-(LN(2)/$D$65+0.04)*X197)*EXP(-(LN(2)/$D$65+0.1)*Y197),IF(V197=3,AB$100*EXP(-(LN(2)/$D$65+0.04)*(VLOOKUP(($F$16-$F$15)-1,U$100:Y197,4,FALSE)))*EXP(-(LN(2)/$D$65+0.1)*(VLOOKUP(($F$16-$F$15)-1,U$100:Y197,5,FALSE)))*EXP(-(LN(2)/$D$65+0.04)*(VLOOKUP(($F$16-$F$15)*2-1,U$100:Y197,4,FALSE)))*EXP(-(LN(2)/$D$65+0.1)*(VLOOKUP(($F$16-$F$15)*2-1,U$100:Y197,5,FALSE)))*EXP(-(LN(2)/$D$65+0.04)*X197)*EXP(-(LN(2)/$D$65+0.1)*Y197),"-"))),"-")</f>
        <v>-</v>
      </c>
      <c r="AC197" s="224">
        <f t="shared" si="134"/>
        <v>97</v>
      </c>
      <c r="AD197" s="223" t="str">
        <f t="shared" si="108"/>
        <v>-</v>
      </c>
      <c r="AE197" s="224" t="str">
        <f t="shared" si="135"/>
        <v>-</v>
      </c>
      <c r="AF197" s="224" t="str">
        <f t="shared" si="109"/>
        <v>-</v>
      </c>
      <c r="AG197" s="224" t="str">
        <f t="shared" si="110"/>
        <v>-</v>
      </c>
      <c r="AH197" s="272">
        <f t="shared" si="136"/>
        <v>0.1</v>
      </c>
      <c r="AI197" s="271" t="str">
        <f>IFERROR(IF(AD196=1,AI$100*EXP(-(LN(2)/$D$65+0.04)*AF196)*EXP(-(LN(2)/$D$65+0.1)*AG196),IF(AD196=2,AI$100*EXP(-(LN(2)/$D$65+0.04)*(VLOOKUP(($F$16-$F$15)-1,AC$99:AG196,4,FALSE)))*EXP(-(LN(2)/$D$65+0.1)*(VLOOKUP(($F$16-$F$15)-1,AC$99:AG196,5,FALSE)))*EXP(-(LN(2)/$D$65+0.04)*AF196)*EXP(-(LN(2)/$D$65+0.1)*AG196),IF(AD196=3,AI$100*EXP(-(LN(2)/$D$65+0.04)*(VLOOKUP(($F$16-$F$15)-1,AC$99:AG196,4,FALSE)))*EXP(-(LN(2)/$D$65+0.1)*(VLOOKUP(($F$16-$F$15)-1,AC$99:AG196,5,FALSE)))*EXP(-(LN(2)/$D$65+0.04)*(VLOOKUP(($F$16-$F$15)*2-1,AC$99:AG196,4,FALSE)))*EXP(-(LN(2)/$D$65+0.1)*(VLOOKUP(($F$16-$F$15)*2-1,AC$99:AG196,5,FALSE)))*EXP(-(LN(2)/$D$65+0.04)*AF196)*EXP(-(LN(2)/$D$65+0.1)*AG196),"-"))),"-")</f>
        <v>-</v>
      </c>
      <c r="AJ197" s="271" t="str">
        <f>IFERROR(IF(AD197=1,AJ$100*EXP(-(LN(2)/$D$65+0.04)*AF197)*EXP(-(LN(2)/$D$65+0.1)*AG197),IF(AD197=2,AJ$100*EXP(-(LN(2)/$D$65+0.04)*(VLOOKUP(($F$16-$F$15)-1,AC$100:AG197,4,FALSE)))*EXP(-(LN(2)/$D$65+0.1)*(VLOOKUP(($F$16-$F$15)-1,AC$100:AG197,5,FALSE)))*EXP(-(LN(2)/$D$65+0.04)*AF197)*EXP(-(LN(2)/$D$65+0.1)*AG197),IF(AD197=3,AJ$100*EXP(-(LN(2)/$D$65+0.04)*(VLOOKUP(($F$16-$F$15)-1,AC$100:AG197,4,FALSE)))*EXP(-(LN(2)/$D$65+0.1)*(VLOOKUP(($F$16-$F$15)-1,AC$100:AG197,5,FALSE)))*EXP(-(LN(2)/$D$65+0.04)*(VLOOKUP(($F$16-$F$15)*2-1,AC$100:AG197,4,FALSE)))*EXP(-(LN(2)/$D$65+0.1)*(VLOOKUP(($F$16-$F$15)*2-1,AC$100:AG197,5,FALSE)))*EXP(-(LN(2)/$D$65+0.04)*AF197)*EXP(-(LN(2)/$D$65+0.1)*AG197),"-"))),"-")</f>
        <v>-</v>
      </c>
      <c r="AK197" s="227">
        <f t="shared" si="137"/>
        <v>97</v>
      </c>
      <c r="AL197" s="226" t="str">
        <f t="shared" si="111"/>
        <v>-</v>
      </c>
      <c r="AM197" s="227" t="str">
        <f t="shared" si="138"/>
        <v>-</v>
      </c>
      <c r="AN197" s="227" t="str">
        <f t="shared" si="139"/>
        <v>-</v>
      </c>
      <c r="AO197" s="227" t="str">
        <f t="shared" si="112"/>
        <v>-</v>
      </c>
      <c r="AP197" s="273">
        <f t="shared" si="140"/>
        <v>0.1</v>
      </c>
      <c r="AQ197" s="271" t="str">
        <f>IFERROR(IF(AL196=1,AQ$100*EXP(-(LN(2)/$D$65+0.04)*AN196)*EXP(-(LN(2)/$D$65+0.1)*AO196),IF(AL196=2,AQ$100*EXP(-(LN(2)/$D$65+0.04)*(VLOOKUP(($F$16-$F$15)-1,AK$99:AO196,4,FALSE)))*EXP(-(LN(2)/$D$65+0.1)*(VLOOKUP(($F$16-$F$15)-1,AK$99:AO196,5,FALSE)))*EXP(-(LN(2)/$D$65+0.04)*AN196)*EXP(-(LN(2)/$D$65+0.1)*AO196),IF(AL196=3,AQ$100*EXP(-(LN(2)/$D$65+0.04)*(VLOOKUP(($F$16-$F$15)-1,AK$99:AO196,4,FALSE)))*EXP(-(LN(2)/$D$65+0.1)*(VLOOKUP(($F$16-$F$15)-1,AK$99:AO196,5,FALSE)))*EXP(-(LN(2)/$D$65+0.04)*(VLOOKUP(($F$16-$F$15)*2-1,AK$99:AO196,4,FALSE)))*EXP(-(LN(2)/$D$65+0.1)*(VLOOKUP(($F$16-$F$15)*2-1,AK$99:AO196,5,FALSE)))*EXP(-(LN(2)/$D$65+0.04)*AN196)*EXP(-(LN(2)/$D$65+0.1)*AO196),"-"))),"-")</f>
        <v>-</v>
      </c>
      <c r="AR197" s="271" t="str">
        <f>IFERROR(IF(AL197=1,AR$100*EXP(-(LN(2)/$D$65+0.04)*AN197)*EXP(-(LN(2)/$D$65+0.1)*AO197),IF(AL197=2,AR$100*EXP(-(LN(2)/$D$65+0.04)*(VLOOKUP(($F$16-$F$15)-1,AK$100:AO197,4,FALSE)))*EXP(-(LN(2)/$D$65+0.1)*(VLOOKUP(($F$16-$F$15)-1,AK$100:AO197,5,FALSE)))*EXP(-(LN(2)/$D$65+0.04)*AN197)*EXP(-(LN(2)/$D$65+0.1)*AO197),IF(AL197=3,AR$100*EXP(-(LN(2)/$D$65+0.04)*(VLOOKUP(($F$16-$F$15)-1,AK$100:AO197,4,FALSE)))*EXP(-(LN(2)/$D$65+0.1)*(VLOOKUP(($F$16-$F$15)-1,AK$100:AO197,5,FALSE)))*EXP(-(LN(2)/$D$65+0.04)*(VLOOKUP(($F$16-$F$15)*2-1,AK$100:AO197,4,FALSE)))*EXP(-(LN(2)/$D$65+0.1)*(VLOOKUP(($F$16-$F$15)*2-1,AK$100:AO197,5,FALSE)))*EXP(-(LN(2)/$D$65+0.04)*AN197)*EXP(-(LN(2)/$D$65+0.1)*AO197),"-"))),"-")</f>
        <v>-</v>
      </c>
      <c r="AS197" s="274">
        <f t="shared" si="113"/>
        <v>0</v>
      </c>
      <c r="AT197" s="274">
        <f t="shared" si="114"/>
        <v>0</v>
      </c>
      <c r="AU197" s="274">
        <f t="shared" si="115"/>
        <v>0</v>
      </c>
      <c r="AV197" s="190">
        <f>IF($B197&lt;$F$22,SUM($T$100:$T197),"")</f>
        <v>0</v>
      </c>
      <c r="AW197" s="190" t="str">
        <f t="shared" si="161"/>
        <v>-</v>
      </c>
      <c r="AX197" s="190" t="str">
        <f t="shared" si="141"/>
        <v/>
      </c>
      <c r="AY197"/>
      <c r="AZ197" s="190" t="str">
        <f ca="1">IF(ISNUMBER(OFFSET(AV197,-$F$21,0)),SUM(OFFSET($T$100,$F$21,0):$T197),"")</f>
        <v/>
      </c>
      <c r="BA197" s="190" t="str">
        <f t="shared" ca="1" si="162"/>
        <v/>
      </c>
      <c r="BB197" s="190" t="str">
        <f t="shared" ca="1" si="148"/>
        <v/>
      </c>
      <c r="BC197" s="190"/>
      <c r="BD197" s="190" t="str">
        <f ca="1">IFERROR(IF(AND($B197&gt;=($F$16-$F$15),$B197&lt;$F$22+($F$16-$F$15)),SUM(OFFSET($T$100,($F$16-$F$15),0):$T197),""),"")</f>
        <v/>
      </c>
      <c r="BE197" s="190" t="str">
        <f t="shared" ca="1" si="142"/>
        <v/>
      </c>
      <c r="BF197" s="190" t="str">
        <f t="shared" ca="1" si="143"/>
        <v/>
      </c>
      <c r="BG197"/>
      <c r="BH197" s="190" t="str">
        <f ca="1">IF(ISNUMBER(OFFSET(BD197,-$F$21,0)),SUM(OFFSET($T$100,($F$16-$F$15+$F$21),0):$T197),"")</f>
        <v/>
      </c>
      <c r="BI197" s="190" t="str">
        <f t="shared" ca="1" si="163"/>
        <v/>
      </c>
      <c r="BJ197" s="190" t="str">
        <f t="shared" ca="1" si="144"/>
        <v/>
      </c>
      <c r="BK197" s="190"/>
      <c r="BL197" s="190" t="str">
        <f ca="1">IFERROR(IF(AND($B197&gt;=($F$17-$F$15),$B197&lt;$F$22+($F$17-$F$15)),SUM(OFFSET($T$100,($F$17-$F$15),0):$T197),""),"")</f>
        <v/>
      </c>
      <c r="BM197" s="190" t="str">
        <f t="shared" ca="1" si="164"/>
        <v/>
      </c>
      <c r="BN197" s="190" t="str">
        <f t="shared" ca="1" si="145"/>
        <v/>
      </c>
      <c r="BO197"/>
      <c r="BP197" s="190" t="str">
        <f ca="1">IF(ISNUMBER(OFFSET(BL197,-$F$21,0)),SUM(OFFSET($T$100,($F$17-$F$15+$F$21),0):$T197),"")</f>
        <v/>
      </c>
      <c r="BQ197" s="190" t="str">
        <f t="shared" ca="1" si="165"/>
        <v/>
      </c>
      <c r="BR197" s="190" t="str">
        <f t="shared" ca="1" si="146"/>
        <v/>
      </c>
      <c r="BS197" s="190"/>
      <c r="BT197"/>
      <c r="BU197"/>
      <c r="BV197"/>
      <c r="BY197" s="99"/>
      <c r="BZ197" s="99"/>
      <c r="CA197" s="280" t="str">
        <f t="shared" si="166"/>
        <v/>
      </c>
      <c r="CB197" s="71" t="str">
        <f t="shared" si="122"/>
        <v>-</v>
      </c>
      <c r="CC197" s="33"/>
      <c r="CD197" s="261" t="str">
        <f t="shared" si="123"/>
        <v/>
      </c>
      <c r="CE197" s="280" t="str">
        <f t="shared" si="167"/>
        <v>-</v>
      </c>
      <c r="CF197" s="71" t="str">
        <f t="shared" ca="1" si="168"/>
        <v>-</v>
      </c>
      <c r="CG197" s="33" t="str">
        <f t="shared" si="126"/>
        <v>97-98</v>
      </c>
      <c r="CH197" s="261" t="str">
        <f t="shared" ca="1" si="127"/>
        <v/>
      </c>
    </row>
    <row r="198" spans="2:86" ht="13.5" customHeight="1" x14ac:dyDescent="0.2">
      <c r="B198" s="262">
        <v>98</v>
      </c>
      <c r="C198" s="237" t="str">
        <f t="shared" si="91"/>
        <v/>
      </c>
      <c r="D198" s="237" t="str">
        <f t="shared" si="147"/>
        <v>-</v>
      </c>
      <c r="E198" s="263" t="str">
        <f t="shared" si="128"/>
        <v/>
      </c>
      <c r="F198" s="264" t="str">
        <f t="shared" si="129"/>
        <v/>
      </c>
      <c r="G198" s="264" t="str">
        <f t="shared" si="130"/>
        <v/>
      </c>
      <c r="H198" s="240" t="str">
        <f t="shared" si="149"/>
        <v/>
      </c>
      <c r="I198" s="265" t="str">
        <f t="shared" si="150"/>
        <v/>
      </c>
      <c r="J198" s="265" t="str">
        <f t="shared" si="151"/>
        <v/>
      </c>
      <c r="K198" s="240" t="str">
        <f t="shared" si="152"/>
        <v/>
      </c>
      <c r="L198" s="265" t="str">
        <f t="shared" si="153"/>
        <v/>
      </c>
      <c r="M198" s="265" t="str">
        <f t="shared" si="154"/>
        <v/>
      </c>
      <c r="N198" s="240" t="str">
        <f t="shared" si="155"/>
        <v>-</v>
      </c>
      <c r="O198" s="265" t="str">
        <f t="shared" si="156"/>
        <v>-</v>
      </c>
      <c r="P198" s="265" t="str">
        <f t="shared" si="157"/>
        <v>-</v>
      </c>
      <c r="Q198" s="266" t="str">
        <f t="shared" si="158"/>
        <v>-</v>
      </c>
      <c r="R198" s="267" t="str">
        <f t="shared" si="159"/>
        <v>-</v>
      </c>
      <c r="S198" s="268" t="str">
        <f t="shared" si="160"/>
        <v>-</v>
      </c>
      <c r="T198" s="269" t="str">
        <f t="shared" si="104"/>
        <v/>
      </c>
      <c r="U198" s="221">
        <f t="shared" si="105"/>
        <v>98</v>
      </c>
      <c r="V198" s="220" t="str">
        <f t="shared" si="131"/>
        <v>-</v>
      </c>
      <c r="W198" s="221" t="str">
        <f t="shared" si="132"/>
        <v>-</v>
      </c>
      <c r="X198" s="221" t="str">
        <f t="shared" si="106"/>
        <v>-</v>
      </c>
      <c r="Y198" s="221" t="str">
        <f t="shared" si="107"/>
        <v>-</v>
      </c>
      <c r="Z198" s="270">
        <f t="shared" si="133"/>
        <v>0.1</v>
      </c>
      <c r="AA198" s="271" t="str">
        <f>IFERROR(IF(V197=1,AA$100*EXP(-(LN(2)/$D$65+0.04)*X197)*EXP(-(LN(2)/$D$65+0.1)*Y197),IF(V197=2,AA$100*EXP(-(LN(2)/$D$65+0.04)*(VLOOKUP(($F$16-$F$15)-1,U$99:Y197,4,FALSE)))*EXP(-(LN(2)/$D$65+0.1)*(VLOOKUP(($F$16-$F$15)-1,U$99:Y197,5,FALSE)))*EXP(-(LN(2)/$D$65+0.04)*X197)*EXP(-(LN(2)/$D$65+0.1)*Y197),IF(V197=3,AA$100*EXP(-(LN(2)/$D$65+0.04)*(VLOOKUP(($F$16-$F$15)-1,U$99:Y197,4,FALSE)))*EXP(-(LN(2)/$D$65+0.1)*(VLOOKUP(($F$16-$F$15)-1,U$99:Y197,5,FALSE)))*EXP(-(LN(2)/$D$65+0.04)*(VLOOKUP(($F$16-$F$15)*2-1,U$99:Y197,4,FALSE)))*EXP(-(LN(2)/$D$65+0.1)*(VLOOKUP(($F$16-$F$15)*2-1,U$99:Y197,5,FALSE)))*EXP(-(LN(2)/$D$65+0.04)*X197)*EXP(-(LN(2)/$D$65+0.1)*Y197),"-"))),"-")</f>
        <v>-</v>
      </c>
      <c r="AB198" s="271" t="str">
        <f>IFERROR(IF(V198=1,AB$100*EXP(-(LN(2)/$D$65+0.04)*X198)*EXP(-(LN(2)/$D$65+0.1)*Y198),IF(V198=2,AB$100*EXP(-(LN(2)/$D$65+0.04)*(VLOOKUP(($F$16-$F$15)-1,U$100:Y198,4,FALSE)))*EXP(-(LN(2)/$D$65+0.1)*(VLOOKUP(($F$16-$F$15)-1,U$100:Y198,5,FALSE)))*EXP(-(LN(2)/$D$65+0.04)*X198)*EXP(-(LN(2)/$D$65+0.1)*Y198),IF(V198=3,AB$100*EXP(-(LN(2)/$D$65+0.04)*(VLOOKUP(($F$16-$F$15)-1,U$100:Y198,4,FALSE)))*EXP(-(LN(2)/$D$65+0.1)*(VLOOKUP(($F$16-$F$15)-1,U$100:Y198,5,FALSE)))*EXP(-(LN(2)/$D$65+0.04)*(VLOOKUP(($F$16-$F$15)*2-1,U$100:Y198,4,FALSE)))*EXP(-(LN(2)/$D$65+0.1)*(VLOOKUP(($F$16-$F$15)*2-1,U$100:Y198,5,FALSE)))*EXP(-(LN(2)/$D$65+0.04)*X198)*EXP(-(LN(2)/$D$65+0.1)*Y198),"-"))),"-")</f>
        <v>-</v>
      </c>
      <c r="AC198" s="224">
        <f t="shared" si="134"/>
        <v>98</v>
      </c>
      <c r="AD198" s="223" t="str">
        <f t="shared" si="108"/>
        <v>-</v>
      </c>
      <c r="AE198" s="224" t="str">
        <f t="shared" si="135"/>
        <v>-</v>
      </c>
      <c r="AF198" s="224" t="str">
        <f t="shared" si="109"/>
        <v>-</v>
      </c>
      <c r="AG198" s="224" t="str">
        <f t="shared" si="110"/>
        <v>-</v>
      </c>
      <c r="AH198" s="272">
        <f t="shared" si="136"/>
        <v>0.1</v>
      </c>
      <c r="AI198" s="271" t="str">
        <f>IFERROR(IF(AD197=1,AI$100*EXP(-(LN(2)/$D$65+0.04)*AF197)*EXP(-(LN(2)/$D$65+0.1)*AG197),IF(AD197=2,AI$100*EXP(-(LN(2)/$D$65+0.04)*(VLOOKUP(($F$16-$F$15)-1,AC$99:AG197,4,FALSE)))*EXP(-(LN(2)/$D$65+0.1)*(VLOOKUP(($F$16-$F$15)-1,AC$99:AG197,5,FALSE)))*EXP(-(LN(2)/$D$65+0.04)*AF197)*EXP(-(LN(2)/$D$65+0.1)*AG197),IF(AD197=3,AI$100*EXP(-(LN(2)/$D$65+0.04)*(VLOOKUP(($F$16-$F$15)-1,AC$99:AG197,4,FALSE)))*EXP(-(LN(2)/$D$65+0.1)*(VLOOKUP(($F$16-$F$15)-1,AC$99:AG197,5,FALSE)))*EXP(-(LN(2)/$D$65+0.04)*(VLOOKUP(($F$16-$F$15)*2-1,AC$99:AG197,4,FALSE)))*EXP(-(LN(2)/$D$65+0.1)*(VLOOKUP(($F$16-$F$15)*2-1,AC$99:AG197,5,FALSE)))*EXP(-(LN(2)/$D$65+0.04)*AF197)*EXP(-(LN(2)/$D$65+0.1)*AG197),"-"))),"-")</f>
        <v>-</v>
      </c>
      <c r="AJ198" s="271" t="str">
        <f>IFERROR(IF(AD198=1,AJ$100*EXP(-(LN(2)/$D$65+0.04)*AF198)*EXP(-(LN(2)/$D$65+0.1)*AG198),IF(AD198=2,AJ$100*EXP(-(LN(2)/$D$65+0.04)*(VLOOKUP(($F$16-$F$15)-1,AC$100:AG198,4,FALSE)))*EXP(-(LN(2)/$D$65+0.1)*(VLOOKUP(($F$16-$F$15)-1,AC$100:AG198,5,FALSE)))*EXP(-(LN(2)/$D$65+0.04)*AF198)*EXP(-(LN(2)/$D$65+0.1)*AG198),IF(AD198=3,AJ$100*EXP(-(LN(2)/$D$65+0.04)*(VLOOKUP(($F$16-$F$15)-1,AC$100:AG198,4,FALSE)))*EXP(-(LN(2)/$D$65+0.1)*(VLOOKUP(($F$16-$F$15)-1,AC$100:AG198,5,FALSE)))*EXP(-(LN(2)/$D$65+0.04)*(VLOOKUP(($F$16-$F$15)*2-1,AC$100:AG198,4,FALSE)))*EXP(-(LN(2)/$D$65+0.1)*(VLOOKUP(($F$16-$F$15)*2-1,AC$100:AG198,5,FALSE)))*EXP(-(LN(2)/$D$65+0.04)*AF198)*EXP(-(LN(2)/$D$65+0.1)*AG198),"-"))),"-")</f>
        <v>-</v>
      </c>
      <c r="AK198" s="227">
        <f t="shared" si="137"/>
        <v>98</v>
      </c>
      <c r="AL198" s="226" t="str">
        <f t="shared" si="111"/>
        <v>-</v>
      </c>
      <c r="AM198" s="227" t="str">
        <f t="shared" si="138"/>
        <v>-</v>
      </c>
      <c r="AN198" s="227" t="str">
        <f t="shared" si="139"/>
        <v>-</v>
      </c>
      <c r="AO198" s="227" t="str">
        <f t="shared" si="112"/>
        <v>-</v>
      </c>
      <c r="AP198" s="273">
        <f t="shared" si="140"/>
        <v>0.1</v>
      </c>
      <c r="AQ198" s="271" t="str">
        <f>IFERROR(IF(AL197=1,AQ$100*EXP(-(LN(2)/$D$65+0.04)*AN197)*EXP(-(LN(2)/$D$65+0.1)*AO197),IF(AL197=2,AQ$100*EXP(-(LN(2)/$D$65+0.04)*(VLOOKUP(($F$16-$F$15)-1,AK$99:AO197,4,FALSE)))*EXP(-(LN(2)/$D$65+0.1)*(VLOOKUP(($F$16-$F$15)-1,AK$99:AO197,5,FALSE)))*EXP(-(LN(2)/$D$65+0.04)*AN197)*EXP(-(LN(2)/$D$65+0.1)*AO197),IF(AL197=3,AQ$100*EXP(-(LN(2)/$D$65+0.04)*(VLOOKUP(($F$16-$F$15)-1,AK$99:AO197,4,FALSE)))*EXP(-(LN(2)/$D$65+0.1)*(VLOOKUP(($F$16-$F$15)-1,AK$99:AO197,5,FALSE)))*EXP(-(LN(2)/$D$65+0.04)*(VLOOKUP(($F$16-$F$15)*2-1,AK$99:AO197,4,FALSE)))*EXP(-(LN(2)/$D$65+0.1)*(VLOOKUP(($F$16-$F$15)*2-1,AK$99:AO197,5,FALSE)))*EXP(-(LN(2)/$D$65+0.04)*AN197)*EXP(-(LN(2)/$D$65+0.1)*AO197),"-"))),"-")</f>
        <v>-</v>
      </c>
      <c r="AR198" s="271" t="str">
        <f>IFERROR(IF(AL198=1,AR$100*EXP(-(LN(2)/$D$65+0.04)*AN198)*EXP(-(LN(2)/$D$65+0.1)*AO198),IF(AL198=2,AR$100*EXP(-(LN(2)/$D$65+0.04)*(VLOOKUP(($F$16-$F$15)-1,AK$100:AO198,4,FALSE)))*EXP(-(LN(2)/$D$65+0.1)*(VLOOKUP(($F$16-$F$15)-1,AK$100:AO198,5,FALSE)))*EXP(-(LN(2)/$D$65+0.04)*AN198)*EXP(-(LN(2)/$D$65+0.1)*AO198),IF(AL198=3,AR$100*EXP(-(LN(2)/$D$65+0.04)*(VLOOKUP(($F$16-$F$15)-1,AK$100:AO198,4,FALSE)))*EXP(-(LN(2)/$D$65+0.1)*(VLOOKUP(($F$16-$F$15)-1,AK$100:AO198,5,FALSE)))*EXP(-(LN(2)/$D$65+0.04)*(VLOOKUP(($F$16-$F$15)*2-1,AK$100:AO198,4,FALSE)))*EXP(-(LN(2)/$D$65+0.1)*(VLOOKUP(($F$16-$F$15)*2-1,AK$100:AO198,5,FALSE)))*EXP(-(LN(2)/$D$65+0.04)*AN198)*EXP(-(LN(2)/$D$65+0.1)*AO198),"-"))),"-")</f>
        <v>-</v>
      </c>
      <c r="AS198" s="274">
        <f t="shared" si="113"/>
        <v>0</v>
      </c>
      <c r="AT198" s="274">
        <f t="shared" si="114"/>
        <v>0</v>
      </c>
      <c r="AU198" s="274">
        <f t="shared" si="115"/>
        <v>0</v>
      </c>
      <c r="AV198" s="190">
        <f>IF($B198&lt;$F$22,SUM($T$100:$T198),"")</f>
        <v>0</v>
      </c>
      <c r="AW198" s="190" t="str">
        <f t="shared" si="161"/>
        <v>-</v>
      </c>
      <c r="AX198" s="190" t="str">
        <f t="shared" si="141"/>
        <v/>
      </c>
      <c r="AY198"/>
      <c r="AZ198" s="190" t="str">
        <f ca="1">IF(ISNUMBER(OFFSET(AV198,-$F$21,0)),SUM(OFFSET($T$100,$F$21,0):$T198),"")</f>
        <v/>
      </c>
      <c r="BA198" s="190" t="str">
        <f t="shared" ca="1" si="162"/>
        <v/>
      </c>
      <c r="BB198" s="190" t="str">
        <f t="shared" ca="1" si="148"/>
        <v/>
      </c>
      <c r="BC198" s="190"/>
      <c r="BD198" s="190" t="str">
        <f ca="1">IFERROR(IF(AND($B198&gt;=($F$16-$F$15),$B198&lt;$F$22+($F$16-$F$15)),SUM(OFFSET($T$100,($F$16-$F$15),0):$T198),""),"")</f>
        <v/>
      </c>
      <c r="BE198" s="190" t="str">
        <f t="shared" ca="1" si="142"/>
        <v/>
      </c>
      <c r="BF198" s="190" t="str">
        <f t="shared" ca="1" si="143"/>
        <v/>
      </c>
      <c r="BG198"/>
      <c r="BH198" s="190" t="str">
        <f ca="1">IF(ISNUMBER(OFFSET(BD198,-$F$21,0)),SUM(OFFSET($T$100,($F$16-$F$15+$F$21),0):$T198),"")</f>
        <v/>
      </c>
      <c r="BI198" s="190" t="str">
        <f t="shared" ca="1" si="163"/>
        <v/>
      </c>
      <c r="BJ198" s="190" t="str">
        <f t="shared" ca="1" si="144"/>
        <v/>
      </c>
      <c r="BK198" s="190"/>
      <c r="BL198" s="190" t="str">
        <f ca="1">IFERROR(IF(AND($B198&gt;=($F$17-$F$15),$B198&lt;$F$22+($F$17-$F$15)),SUM(OFFSET($T$100,($F$17-$F$15),0):$T198),""),"")</f>
        <v/>
      </c>
      <c r="BM198" s="190" t="str">
        <f t="shared" ca="1" si="164"/>
        <v/>
      </c>
      <c r="BN198" s="190" t="str">
        <f t="shared" ca="1" si="145"/>
        <v/>
      </c>
      <c r="BO198"/>
      <c r="BP198" s="190" t="str">
        <f ca="1">IF(ISNUMBER(OFFSET(BL198,-$F$21,0)),SUM(OFFSET($T$100,($F$17-$F$15+$F$21),0):$T198),"")</f>
        <v/>
      </c>
      <c r="BQ198" s="190" t="str">
        <f t="shared" ca="1" si="165"/>
        <v/>
      </c>
      <c r="BR198" s="190" t="str">
        <f t="shared" ca="1" si="146"/>
        <v/>
      </c>
      <c r="BS198" s="190"/>
      <c r="BT198"/>
      <c r="BU198"/>
      <c r="BV198"/>
      <c r="BY198" s="99"/>
      <c r="BZ198" s="99"/>
      <c r="CA198" s="280" t="str">
        <f t="shared" si="166"/>
        <v/>
      </c>
      <c r="CB198" s="71" t="str">
        <f t="shared" si="122"/>
        <v>-</v>
      </c>
      <c r="CC198" s="33"/>
      <c r="CD198" s="261" t="str">
        <f t="shared" si="123"/>
        <v/>
      </c>
      <c r="CE198" s="280" t="str">
        <f t="shared" si="167"/>
        <v>-</v>
      </c>
      <c r="CF198" s="71" t="str">
        <f t="shared" ca="1" si="168"/>
        <v>-</v>
      </c>
      <c r="CG198" s="33" t="str">
        <f t="shared" si="126"/>
        <v>98-99</v>
      </c>
      <c r="CH198" s="261" t="str">
        <f t="shared" ca="1" si="127"/>
        <v/>
      </c>
    </row>
    <row r="199" spans="2:86" ht="13.5" customHeight="1" x14ac:dyDescent="0.2">
      <c r="B199" s="262">
        <v>99</v>
      </c>
      <c r="C199" s="237" t="str">
        <f t="shared" si="91"/>
        <v/>
      </c>
      <c r="D199" s="237" t="str">
        <f t="shared" si="147"/>
        <v>-</v>
      </c>
      <c r="E199" s="263" t="str">
        <f t="shared" si="128"/>
        <v/>
      </c>
      <c r="F199" s="264" t="str">
        <f t="shared" si="129"/>
        <v/>
      </c>
      <c r="G199" s="264" t="str">
        <f t="shared" si="130"/>
        <v/>
      </c>
      <c r="H199" s="240" t="str">
        <f t="shared" si="149"/>
        <v/>
      </c>
      <c r="I199" s="265" t="str">
        <f t="shared" si="150"/>
        <v/>
      </c>
      <c r="J199" s="265" t="str">
        <f t="shared" si="151"/>
        <v/>
      </c>
      <c r="K199" s="240" t="str">
        <f t="shared" si="152"/>
        <v/>
      </c>
      <c r="L199" s="265" t="str">
        <f t="shared" si="153"/>
        <v/>
      </c>
      <c r="M199" s="265" t="str">
        <f t="shared" si="154"/>
        <v/>
      </c>
      <c r="N199" s="240" t="str">
        <f t="shared" si="155"/>
        <v>-</v>
      </c>
      <c r="O199" s="265" t="str">
        <f t="shared" si="156"/>
        <v>-</v>
      </c>
      <c r="P199" s="265" t="str">
        <f t="shared" si="157"/>
        <v>-</v>
      </c>
      <c r="Q199" s="266" t="str">
        <f t="shared" si="158"/>
        <v>-</v>
      </c>
      <c r="R199" s="267" t="str">
        <f t="shared" si="159"/>
        <v>-</v>
      </c>
      <c r="S199" s="268" t="str">
        <f t="shared" si="160"/>
        <v>-</v>
      </c>
      <c r="T199" s="269" t="str">
        <f t="shared" si="104"/>
        <v/>
      </c>
      <c r="U199" s="221">
        <f t="shared" si="105"/>
        <v>99</v>
      </c>
      <c r="V199" s="220" t="str">
        <f t="shared" si="131"/>
        <v>-</v>
      </c>
      <c r="W199" s="221" t="str">
        <f t="shared" si="132"/>
        <v>-</v>
      </c>
      <c r="X199" s="221" t="str">
        <f t="shared" si="106"/>
        <v>-</v>
      </c>
      <c r="Y199" s="221" t="str">
        <f t="shared" si="107"/>
        <v>-</v>
      </c>
      <c r="Z199" s="270">
        <f t="shared" si="133"/>
        <v>0.1</v>
      </c>
      <c r="AA199" s="271" t="str">
        <f>IFERROR(IF(V198=1,AA$100*EXP(-(LN(2)/$D$65+0.04)*X198)*EXP(-(LN(2)/$D$65+0.1)*Y198),IF(V198=2,AA$100*EXP(-(LN(2)/$D$65+0.04)*(VLOOKUP(($F$16-$F$15)-1,U$99:Y198,4,FALSE)))*EXP(-(LN(2)/$D$65+0.1)*(VLOOKUP(($F$16-$F$15)-1,U$99:Y198,5,FALSE)))*EXP(-(LN(2)/$D$65+0.04)*X198)*EXP(-(LN(2)/$D$65+0.1)*Y198),IF(V198=3,AA$100*EXP(-(LN(2)/$D$65+0.04)*(VLOOKUP(($F$16-$F$15)-1,U$99:Y198,4,FALSE)))*EXP(-(LN(2)/$D$65+0.1)*(VLOOKUP(($F$16-$F$15)-1,U$99:Y198,5,FALSE)))*EXP(-(LN(2)/$D$65+0.04)*(VLOOKUP(($F$16-$F$15)*2-1,U$99:Y198,4,FALSE)))*EXP(-(LN(2)/$D$65+0.1)*(VLOOKUP(($F$16-$F$15)*2-1,U$99:Y198,5,FALSE)))*EXP(-(LN(2)/$D$65+0.04)*X198)*EXP(-(LN(2)/$D$65+0.1)*Y198),"-"))),"-")</f>
        <v>-</v>
      </c>
      <c r="AB199" s="271" t="str">
        <f>IFERROR(IF(V199=1,AB$100*EXP(-(LN(2)/$D$65+0.04)*X199)*EXP(-(LN(2)/$D$65+0.1)*Y199),IF(V199=2,AB$100*EXP(-(LN(2)/$D$65+0.04)*(VLOOKUP(($F$16-$F$15)-1,U$100:Y199,4,FALSE)))*EXP(-(LN(2)/$D$65+0.1)*(VLOOKUP(($F$16-$F$15)-1,U$100:Y199,5,FALSE)))*EXP(-(LN(2)/$D$65+0.04)*X199)*EXP(-(LN(2)/$D$65+0.1)*Y199),IF(V199=3,AB$100*EXP(-(LN(2)/$D$65+0.04)*(VLOOKUP(($F$16-$F$15)-1,U$100:Y199,4,FALSE)))*EXP(-(LN(2)/$D$65+0.1)*(VLOOKUP(($F$16-$F$15)-1,U$100:Y199,5,FALSE)))*EXP(-(LN(2)/$D$65+0.04)*(VLOOKUP(($F$16-$F$15)*2-1,U$100:Y199,4,FALSE)))*EXP(-(LN(2)/$D$65+0.1)*(VLOOKUP(($F$16-$F$15)*2-1,U$100:Y199,5,FALSE)))*EXP(-(LN(2)/$D$65+0.04)*X199)*EXP(-(LN(2)/$D$65+0.1)*Y199),"-"))),"-")</f>
        <v>-</v>
      </c>
      <c r="AC199" s="224">
        <f t="shared" si="134"/>
        <v>99</v>
      </c>
      <c r="AD199" s="223" t="str">
        <f t="shared" si="108"/>
        <v>-</v>
      </c>
      <c r="AE199" s="224" t="str">
        <f t="shared" si="135"/>
        <v>-</v>
      </c>
      <c r="AF199" s="224" t="str">
        <f t="shared" si="109"/>
        <v>-</v>
      </c>
      <c r="AG199" s="224" t="str">
        <f t="shared" si="110"/>
        <v>-</v>
      </c>
      <c r="AH199" s="272">
        <f t="shared" si="136"/>
        <v>0.1</v>
      </c>
      <c r="AI199" s="271" t="str">
        <f>IFERROR(IF(AD198=1,AI$100*EXP(-(LN(2)/$D$65+0.04)*AF198)*EXP(-(LN(2)/$D$65+0.1)*AG198),IF(AD198=2,AI$100*EXP(-(LN(2)/$D$65+0.04)*(VLOOKUP(($F$16-$F$15)-1,AC$99:AG198,4,FALSE)))*EXP(-(LN(2)/$D$65+0.1)*(VLOOKUP(($F$16-$F$15)-1,AC$99:AG198,5,FALSE)))*EXP(-(LN(2)/$D$65+0.04)*AF198)*EXP(-(LN(2)/$D$65+0.1)*AG198),IF(AD198=3,AI$100*EXP(-(LN(2)/$D$65+0.04)*(VLOOKUP(($F$16-$F$15)-1,AC$99:AG198,4,FALSE)))*EXP(-(LN(2)/$D$65+0.1)*(VLOOKUP(($F$16-$F$15)-1,AC$99:AG198,5,FALSE)))*EXP(-(LN(2)/$D$65+0.04)*(VLOOKUP(($F$16-$F$15)*2-1,AC$99:AG198,4,FALSE)))*EXP(-(LN(2)/$D$65+0.1)*(VLOOKUP(($F$16-$F$15)*2-1,AC$99:AG198,5,FALSE)))*EXP(-(LN(2)/$D$65+0.04)*AF198)*EXP(-(LN(2)/$D$65+0.1)*AG198),"-"))),"-")</f>
        <v>-</v>
      </c>
      <c r="AJ199" s="271" t="str">
        <f>IFERROR(IF(AD199=1,AJ$100*EXP(-(LN(2)/$D$65+0.04)*AF199)*EXP(-(LN(2)/$D$65+0.1)*AG199),IF(AD199=2,AJ$100*EXP(-(LN(2)/$D$65+0.04)*(VLOOKUP(($F$16-$F$15)-1,AC$100:AG199,4,FALSE)))*EXP(-(LN(2)/$D$65+0.1)*(VLOOKUP(($F$16-$F$15)-1,AC$100:AG199,5,FALSE)))*EXP(-(LN(2)/$D$65+0.04)*AF199)*EXP(-(LN(2)/$D$65+0.1)*AG199),IF(AD199=3,AJ$100*EXP(-(LN(2)/$D$65+0.04)*(VLOOKUP(($F$16-$F$15)-1,AC$100:AG199,4,FALSE)))*EXP(-(LN(2)/$D$65+0.1)*(VLOOKUP(($F$16-$F$15)-1,AC$100:AG199,5,FALSE)))*EXP(-(LN(2)/$D$65+0.04)*(VLOOKUP(($F$16-$F$15)*2-1,AC$100:AG199,4,FALSE)))*EXP(-(LN(2)/$D$65+0.1)*(VLOOKUP(($F$16-$F$15)*2-1,AC$100:AG199,5,FALSE)))*EXP(-(LN(2)/$D$65+0.04)*AF199)*EXP(-(LN(2)/$D$65+0.1)*AG199),"-"))),"-")</f>
        <v>-</v>
      </c>
      <c r="AK199" s="227">
        <f t="shared" si="137"/>
        <v>99</v>
      </c>
      <c r="AL199" s="226" t="str">
        <f t="shared" si="111"/>
        <v>-</v>
      </c>
      <c r="AM199" s="227" t="str">
        <f t="shared" si="138"/>
        <v>-</v>
      </c>
      <c r="AN199" s="227" t="str">
        <f t="shared" si="139"/>
        <v>-</v>
      </c>
      <c r="AO199" s="227" t="str">
        <f t="shared" si="112"/>
        <v>-</v>
      </c>
      <c r="AP199" s="273">
        <f t="shared" si="140"/>
        <v>0.1</v>
      </c>
      <c r="AQ199" s="271" t="str">
        <f>IFERROR(IF(AL198=1,AQ$100*EXP(-(LN(2)/$D$65+0.04)*AN198)*EXP(-(LN(2)/$D$65+0.1)*AO198),IF(AL198=2,AQ$100*EXP(-(LN(2)/$D$65+0.04)*(VLOOKUP(($F$16-$F$15)-1,AK$99:AO198,4,FALSE)))*EXP(-(LN(2)/$D$65+0.1)*(VLOOKUP(($F$16-$F$15)-1,AK$99:AO198,5,FALSE)))*EXP(-(LN(2)/$D$65+0.04)*AN198)*EXP(-(LN(2)/$D$65+0.1)*AO198),IF(AL198=3,AQ$100*EXP(-(LN(2)/$D$65+0.04)*(VLOOKUP(($F$16-$F$15)-1,AK$99:AO198,4,FALSE)))*EXP(-(LN(2)/$D$65+0.1)*(VLOOKUP(($F$16-$F$15)-1,AK$99:AO198,5,FALSE)))*EXP(-(LN(2)/$D$65+0.04)*(VLOOKUP(($F$16-$F$15)*2-1,AK$99:AO198,4,FALSE)))*EXP(-(LN(2)/$D$65+0.1)*(VLOOKUP(($F$16-$F$15)*2-1,AK$99:AO198,5,FALSE)))*EXP(-(LN(2)/$D$65+0.04)*AN198)*EXP(-(LN(2)/$D$65+0.1)*AO198),"-"))),"-")</f>
        <v>-</v>
      </c>
      <c r="AR199" s="271" t="str">
        <f>IFERROR(IF(AL199=1,AR$100*EXP(-(LN(2)/$D$65+0.04)*AN199)*EXP(-(LN(2)/$D$65+0.1)*AO199),IF(AL199=2,AR$100*EXP(-(LN(2)/$D$65+0.04)*(VLOOKUP(($F$16-$F$15)-1,AK$100:AO199,4,FALSE)))*EXP(-(LN(2)/$D$65+0.1)*(VLOOKUP(($F$16-$F$15)-1,AK$100:AO199,5,FALSE)))*EXP(-(LN(2)/$D$65+0.04)*AN199)*EXP(-(LN(2)/$D$65+0.1)*AO199),IF(AL199=3,AR$100*EXP(-(LN(2)/$D$65+0.04)*(VLOOKUP(($F$16-$F$15)-1,AK$100:AO199,4,FALSE)))*EXP(-(LN(2)/$D$65+0.1)*(VLOOKUP(($F$16-$F$15)-1,AK$100:AO199,5,FALSE)))*EXP(-(LN(2)/$D$65+0.04)*(VLOOKUP(($F$16-$F$15)*2-1,AK$100:AO199,4,FALSE)))*EXP(-(LN(2)/$D$65+0.1)*(VLOOKUP(($F$16-$F$15)*2-1,AK$100:AO199,5,FALSE)))*EXP(-(LN(2)/$D$65+0.04)*AN199)*EXP(-(LN(2)/$D$65+0.1)*AO199),"-"))),"-")</f>
        <v>-</v>
      </c>
      <c r="AS199" s="274">
        <f t="shared" si="113"/>
        <v>0</v>
      </c>
      <c r="AT199" s="274">
        <f t="shared" si="114"/>
        <v>0</v>
      </c>
      <c r="AU199" s="274">
        <f t="shared" si="115"/>
        <v>0</v>
      </c>
      <c r="AV199" s="190">
        <f>IF($B199&lt;$F$22,SUM($T$100:$T199),"")</f>
        <v>0</v>
      </c>
      <c r="AW199" s="190" t="str">
        <f t="shared" si="161"/>
        <v>-</v>
      </c>
      <c r="AX199" s="190" t="str">
        <f t="shared" si="141"/>
        <v/>
      </c>
      <c r="AY199"/>
      <c r="AZ199" s="190" t="str">
        <f ca="1">IF(ISNUMBER(OFFSET(AV199,-$F$21,0)),SUM(OFFSET($T$100,$F$21,0):$T199),"")</f>
        <v/>
      </c>
      <c r="BA199" s="190" t="str">
        <f t="shared" ca="1" si="162"/>
        <v/>
      </c>
      <c r="BB199" s="190" t="str">
        <f t="shared" ca="1" si="148"/>
        <v/>
      </c>
      <c r="BC199" s="190"/>
      <c r="BD199" s="190" t="str">
        <f ca="1">IFERROR(IF(AND($B199&gt;=($F$16-$F$15),$B199&lt;$F$22+($F$16-$F$15)),SUM(OFFSET($T$100,($F$16-$F$15),0):$T199),""),"")</f>
        <v/>
      </c>
      <c r="BE199" s="190" t="str">
        <f t="shared" ca="1" si="142"/>
        <v/>
      </c>
      <c r="BF199" s="190" t="str">
        <f t="shared" ca="1" si="143"/>
        <v/>
      </c>
      <c r="BG199"/>
      <c r="BH199" s="190" t="str">
        <f ca="1">IF(ISNUMBER(OFFSET(BD199,-$F$21,0)),SUM(OFFSET($T$100,($F$16-$F$15+$F$21),0):$T199),"")</f>
        <v/>
      </c>
      <c r="BI199" s="190" t="str">
        <f t="shared" ca="1" si="163"/>
        <v/>
      </c>
      <c r="BJ199" s="190" t="str">
        <f t="shared" ca="1" si="144"/>
        <v/>
      </c>
      <c r="BK199" s="190"/>
      <c r="BL199" s="190" t="str">
        <f ca="1">IFERROR(IF(AND($B199&gt;=($F$17-$F$15),$B199&lt;$F$22+($F$17-$F$15)),SUM(OFFSET($T$100,($F$17-$F$15),0):$T199),""),"")</f>
        <v/>
      </c>
      <c r="BM199" s="190" t="str">
        <f t="shared" ca="1" si="164"/>
        <v/>
      </c>
      <c r="BN199" s="190" t="str">
        <f t="shared" ca="1" si="145"/>
        <v/>
      </c>
      <c r="BO199"/>
      <c r="BP199" s="190" t="str">
        <f ca="1">IF(ISNUMBER(OFFSET(BL199,-$F$21,0)),SUM(OFFSET($T$100,($F$17-$F$15+$F$21),0):$T199),"")</f>
        <v/>
      </c>
      <c r="BQ199" s="190" t="str">
        <f t="shared" ca="1" si="165"/>
        <v/>
      </c>
      <c r="BR199" s="190" t="str">
        <f t="shared" ca="1" si="146"/>
        <v/>
      </c>
      <c r="BS199" s="190"/>
      <c r="BT199"/>
      <c r="BU199"/>
      <c r="BV199"/>
      <c r="BY199" s="99"/>
      <c r="BZ199" s="99"/>
      <c r="CA199" s="280" t="str">
        <f t="shared" si="166"/>
        <v/>
      </c>
      <c r="CB199" s="71" t="str">
        <f t="shared" si="122"/>
        <v>-</v>
      </c>
      <c r="CC199" s="33"/>
      <c r="CD199" s="261" t="str">
        <f t="shared" si="123"/>
        <v/>
      </c>
      <c r="CE199" s="280" t="str">
        <f t="shared" si="167"/>
        <v>-</v>
      </c>
      <c r="CF199" s="71" t="str">
        <f t="shared" ca="1" si="168"/>
        <v>-</v>
      </c>
      <c r="CG199" s="33" t="str">
        <f t="shared" si="126"/>
        <v>99-100</v>
      </c>
      <c r="CH199" s="261" t="str">
        <f t="shared" ca="1" si="127"/>
        <v/>
      </c>
    </row>
    <row r="200" spans="2:86" ht="13.5" customHeight="1" x14ac:dyDescent="0.2">
      <c r="B200" s="262">
        <v>100</v>
      </c>
      <c r="C200" s="237" t="str">
        <f t="shared" si="91"/>
        <v/>
      </c>
      <c r="D200" s="237" t="str">
        <f t="shared" si="147"/>
        <v>-</v>
      </c>
      <c r="E200" s="263" t="str">
        <f t="shared" si="128"/>
        <v/>
      </c>
      <c r="F200" s="264" t="str">
        <f t="shared" si="129"/>
        <v/>
      </c>
      <c r="G200" s="264" t="str">
        <f t="shared" si="130"/>
        <v/>
      </c>
      <c r="H200" s="240" t="str">
        <f t="shared" si="149"/>
        <v/>
      </c>
      <c r="I200" s="265" t="str">
        <f t="shared" si="150"/>
        <v/>
      </c>
      <c r="J200" s="265" t="str">
        <f t="shared" si="151"/>
        <v/>
      </c>
      <c r="K200" s="240" t="str">
        <f t="shared" si="152"/>
        <v/>
      </c>
      <c r="L200" s="265" t="str">
        <f t="shared" si="153"/>
        <v/>
      </c>
      <c r="M200" s="265" t="str">
        <f t="shared" si="154"/>
        <v/>
      </c>
      <c r="N200" s="240" t="str">
        <f t="shared" si="155"/>
        <v>-</v>
      </c>
      <c r="O200" s="265" t="str">
        <f t="shared" si="156"/>
        <v>-</v>
      </c>
      <c r="P200" s="265" t="str">
        <f t="shared" si="157"/>
        <v>-</v>
      </c>
      <c r="Q200" s="266" t="str">
        <f t="shared" si="158"/>
        <v>-</v>
      </c>
      <c r="R200" s="267" t="str">
        <f t="shared" si="159"/>
        <v>-</v>
      </c>
      <c r="S200" s="268" t="str">
        <f t="shared" si="160"/>
        <v>-</v>
      </c>
      <c r="T200" s="269" t="str">
        <f t="shared" si="104"/>
        <v/>
      </c>
      <c r="U200" s="221">
        <f t="shared" si="105"/>
        <v>100</v>
      </c>
      <c r="V200" s="220" t="str">
        <f t="shared" si="131"/>
        <v>-</v>
      </c>
      <c r="W200" s="221" t="str">
        <f t="shared" si="132"/>
        <v>-</v>
      </c>
      <c r="X200" s="221" t="str">
        <f t="shared" si="106"/>
        <v>-</v>
      </c>
      <c r="Y200" s="221" t="str">
        <f t="shared" si="107"/>
        <v>-</v>
      </c>
      <c r="Z200" s="270">
        <f t="shared" si="133"/>
        <v>0.1</v>
      </c>
      <c r="AA200" s="271" t="str">
        <f>IFERROR(IF(V199=1,AA$100*EXP(-(LN(2)/$D$65+0.04)*X199)*EXP(-(LN(2)/$D$65+0.1)*Y199),IF(V199=2,AA$100*EXP(-(LN(2)/$D$65+0.04)*(VLOOKUP(($F$16-$F$15)-1,U$99:Y199,4,FALSE)))*EXP(-(LN(2)/$D$65+0.1)*(VLOOKUP(($F$16-$F$15)-1,U$99:Y199,5,FALSE)))*EXP(-(LN(2)/$D$65+0.04)*X199)*EXP(-(LN(2)/$D$65+0.1)*Y199),IF(V199=3,AA$100*EXP(-(LN(2)/$D$65+0.04)*(VLOOKUP(($F$16-$F$15)-1,U$99:Y199,4,FALSE)))*EXP(-(LN(2)/$D$65+0.1)*(VLOOKUP(($F$16-$F$15)-1,U$99:Y199,5,FALSE)))*EXP(-(LN(2)/$D$65+0.04)*(VLOOKUP(($F$16-$F$15)*2-1,U$99:Y199,4,FALSE)))*EXP(-(LN(2)/$D$65+0.1)*(VLOOKUP(($F$16-$F$15)*2-1,U$99:Y199,5,FALSE)))*EXP(-(LN(2)/$D$65+0.04)*X199)*EXP(-(LN(2)/$D$65+0.1)*Y199),"-"))),"-")</f>
        <v>-</v>
      </c>
      <c r="AB200" s="271" t="str">
        <f>IFERROR(IF(V200=1,AB$100*EXP(-(LN(2)/$D$65+0.04)*X200)*EXP(-(LN(2)/$D$65+0.1)*Y200),IF(V200=2,AB$100*EXP(-(LN(2)/$D$65+0.04)*(VLOOKUP(($F$16-$F$15)-1,U$100:Y200,4,FALSE)))*EXP(-(LN(2)/$D$65+0.1)*(VLOOKUP(($F$16-$F$15)-1,U$100:Y200,5,FALSE)))*EXP(-(LN(2)/$D$65+0.04)*X200)*EXP(-(LN(2)/$D$65+0.1)*Y200),IF(V200=3,AB$100*EXP(-(LN(2)/$D$65+0.04)*(VLOOKUP(($F$16-$F$15)-1,U$100:Y200,4,FALSE)))*EXP(-(LN(2)/$D$65+0.1)*(VLOOKUP(($F$16-$F$15)-1,U$100:Y200,5,FALSE)))*EXP(-(LN(2)/$D$65+0.04)*(VLOOKUP(($F$16-$F$15)*2-1,U$100:Y200,4,FALSE)))*EXP(-(LN(2)/$D$65+0.1)*(VLOOKUP(($F$16-$F$15)*2-1,U$100:Y200,5,FALSE)))*EXP(-(LN(2)/$D$65+0.04)*X200)*EXP(-(LN(2)/$D$65+0.1)*Y200),"-"))),"-")</f>
        <v>-</v>
      </c>
      <c r="AC200" s="224">
        <f t="shared" si="134"/>
        <v>100</v>
      </c>
      <c r="AD200" s="223" t="str">
        <f t="shared" si="108"/>
        <v>-</v>
      </c>
      <c r="AE200" s="224" t="str">
        <f t="shared" si="135"/>
        <v>-</v>
      </c>
      <c r="AF200" s="224" t="str">
        <f t="shared" si="109"/>
        <v>-</v>
      </c>
      <c r="AG200" s="224" t="str">
        <f t="shared" si="110"/>
        <v>-</v>
      </c>
      <c r="AH200" s="272">
        <f t="shared" si="136"/>
        <v>0.1</v>
      </c>
      <c r="AI200" s="271" t="str">
        <f>IFERROR(IF(AD199=1,AI$100*EXP(-(LN(2)/$D$65+0.04)*AF199)*EXP(-(LN(2)/$D$65+0.1)*AG199),IF(AD199=2,AI$100*EXP(-(LN(2)/$D$65+0.04)*(VLOOKUP(($F$16-$F$15)-1,AC$99:AG199,4,FALSE)))*EXP(-(LN(2)/$D$65+0.1)*(VLOOKUP(($F$16-$F$15)-1,AC$99:AG199,5,FALSE)))*EXP(-(LN(2)/$D$65+0.04)*AF199)*EXP(-(LN(2)/$D$65+0.1)*AG199),IF(AD199=3,AI$100*EXP(-(LN(2)/$D$65+0.04)*(VLOOKUP(($F$16-$F$15)-1,AC$99:AG199,4,FALSE)))*EXP(-(LN(2)/$D$65+0.1)*(VLOOKUP(($F$16-$F$15)-1,AC$99:AG199,5,FALSE)))*EXP(-(LN(2)/$D$65+0.04)*(VLOOKUP(($F$16-$F$15)*2-1,AC$99:AG199,4,FALSE)))*EXP(-(LN(2)/$D$65+0.1)*(VLOOKUP(($F$16-$F$15)*2-1,AC$99:AG199,5,FALSE)))*EXP(-(LN(2)/$D$65+0.04)*AF199)*EXP(-(LN(2)/$D$65+0.1)*AG199),"-"))),"-")</f>
        <v>-</v>
      </c>
      <c r="AJ200" s="271" t="str">
        <f>IFERROR(IF(AD200=1,AJ$100*EXP(-(LN(2)/$D$65+0.04)*AF200)*EXP(-(LN(2)/$D$65+0.1)*AG200),IF(AD200=2,AJ$100*EXP(-(LN(2)/$D$65+0.04)*(VLOOKUP(($F$16-$F$15)-1,AC$100:AG200,4,FALSE)))*EXP(-(LN(2)/$D$65+0.1)*(VLOOKUP(($F$16-$F$15)-1,AC$100:AG200,5,FALSE)))*EXP(-(LN(2)/$D$65+0.04)*AF200)*EXP(-(LN(2)/$D$65+0.1)*AG200),IF(AD200=3,AJ$100*EXP(-(LN(2)/$D$65+0.04)*(VLOOKUP(($F$16-$F$15)-1,AC$100:AG200,4,FALSE)))*EXP(-(LN(2)/$D$65+0.1)*(VLOOKUP(($F$16-$F$15)-1,AC$100:AG200,5,FALSE)))*EXP(-(LN(2)/$D$65+0.04)*(VLOOKUP(($F$16-$F$15)*2-1,AC$100:AG200,4,FALSE)))*EXP(-(LN(2)/$D$65+0.1)*(VLOOKUP(($F$16-$F$15)*2-1,AC$100:AG200,5,FALSE)))*EXP(-(LN(2)/$D$65+0.04)*AF200)*EXP(-(LN(2)/$D$65+0.1)*AG200),"-"))),"-")</f>
        <v>-</v>
      </c>
      <c r="AK200" s="227">
        <f t="shared" si="137"/>
        <v>100</v>
      </c>
      <c r="AL200" s="226" t="str">
        <f t="shared" si="111"/>
        <v>-</v>
      </c>
      <c r="AM200" s="227" t="str">
        <f t="shared" si="138"/>
        <v>-</v>
      </c>
      <c r="AN200" s="227" t="str">
        <f t="shared" si="139"/>
        <v>-</v>
      </c>
      <c r="AO200" s="227" t="str">
        <f t="shared" si="112"/>
        <v>-</v>
      </c>
      <c r="AP200" s="273">
        <f t="shared" si="140"/>
        <v>0.1</v>
      </c>
      <c r="AQ200" s="271" t="str">
        <f>IFERROR(IF(AL199=1,AQ$100*EXP(-(LN(2)/$D$65+0.04)*AN199)*EXP(-(LN(2)/$D$65+0.1)*AO199),IF(AL199=2,AQ$100*EXP(-(LN(2)/$D$65+0.04)*(VLOOKUP(($F$16-$F$15)-1,AK$99:AO199,4,FALSE)))*EXP(-(LN(2)/$D$65+0.1)*(VLOOKUP(($F$16-$F$15)-1,AK$99:AO199,5,FALSE)))*EXP(-(LN(2)/$D$65+0.04)*AN199)*EXP(-(LN(2)/$D$65+0.1)*AO199),IF(AL199=3,AQ$100*EXP(-(LN(2)/$D$65+0.04)*(VLOOKUP(($F$16-$F$15)-1,AK$99:AO199,4,FALSE)))*EXP(-(LN(2)/$D$65+0.1)*(VLOOKUP(($F$16-$F$15)-1,AK$99:AO199,5,FALSE)))*EXP(-(LN(2)/$D$65+0.04)*(VLOOKUP(($F$16-$F$15)*2-1,AK$99:AO199,4,FALSE)))*EXP(-(LN(2)/$D$65+0.1)*(VLOOKUP(($F$16-$F$15)*2-1,AK$99:AO199,5,FALSE)))*EXP(-(LN(2)/$D$65+0.04)*AN199)*EXP(-(LN(2)/$D$65+0.1)*AO199),"-"))),"-")</f>
        <v>-</v>
      </c>
      <c r="AR200" s="271" t="str">
        <f>IFERROR(IF(AL200=1,AR$100*EXP(-(LN(2)/$D$65+0.04)*AN200)*EXP(-(LN(2)/$D$65+0.1)*AO200),IF(AL200=2,AR$100*EXP(-(LN(2)/$D$65+0.04)*(VLOOKUP(($F$16-$F$15)-1,AK$100:AO200,4,FALSE)))*EXP(-(LN(2)/$D$65+0.1)*(VLOOKUP(($F$16-$F$15)-1,AK$100:AO200,5,FALSE)))*EXP(-(LN(2)/$D$65+0.04)*AN200)*EXP(-(LN(2)/$D$65+0.1)*AO200),IF(AL200=3,AR$100*EXP(-(LN(2)/$D$65+0.04)*(VLOOKUP(($F$16-$F$15)-1,AK$100:AO200,4,FALSE)))*EXP(-(LN(2)/$D$65+0.1)*(VLOOKUP(($F$16-$F$15)-1,AK$100:AO200,5,FALSE)))*EXP(-(LN(2)/$D$65+0.04)*(VLOOKUP(($F$16-$F$15)*2-1,AK$100:AO200,4,FALSE)))*EXP(-(LN(2)/$D$65+0.1)*(VLOOKUP(($F$16-$F$15)*2-1,AK$100:AO200,5,FALSE)))*EXP(-(LN(2)/$D$65+0.04)*AN200)*EXP(-(LN(2)/$D$65+0.1)*AO200),"-"))),"-")</f>
        <v>-</v>
      </c>
      <c r="AS200" s="274">
        <f t="shared" si="113"/>
        <v>0</v>
      </c>
      <c r="AT200" s="274">
        <f t="shared" si="114"/>
        <v>0</v>
      </c>
      <c r="AU200" s="274">
        <f t="shared" si="115"/>
        <v>0</v>
      </c>
      <c r="AV200" s="190">
        <f>IF($B200&lt;$F$22,SUM($T$100:$T200),"")</f>
        <v>0</v>
      </c>
      <c r="AW200" s="190" t="str">
        <f t="shared" si="161"/>
        <v>-</v>
      </c>
      <c r="AX200" s="190" t="str">
        <f t="shared" si="141"/>
        <v/>
      </c>
      <c r="AY200"/>
      <c r="AZ200" s="190" t="str">
        <f ca="1">IF(ISNUMBER(OFFSET(AV200,-$F$21,0)),SUM(OFFSET($T$100,$F$21,0):$T200),"")</f>
        <v/>
      </c>
      <c r="BA200" s="190" t="str">
        <f t="shared" ca="1" si="162"/>
        <v/>
      </c>
      <c r="BB200" s="190" t="str">
        <f t="shared" ca="1" si="148"/>
        <v/>
      </c>
      <c r="BC200" s="190"/>
      <c r="BD200" s="190" t="str">
        <f ca="1">IFERROR(IF(AND($B200&gt;=($F$16-$F$15),$B200&lt;$F$22+($F$16-$F$15)),SUM(OFFSET($T$100,($F$16-$F$15),0):$T200),""),"")</f>
        <v/>
      </c>
      <c r="BE200" s="190" t="str">
        <f t="shared" ca="1" si="142"/>
        <v/>
      </c>
      <c r="BF200" s="190" t="str">
        <f t="shared" ca="1" si="143"/>
        <v/>
      </c>
      <c r="BG200"/>
      <c r="BH200" s="190" t="str">
        <f ca="1">IF(ISNUMBER(OFFSET(BD200,-$F$21,0)),SUM(OFFSET($T$100,($F$16-$F$15+$F$21),0):$T200),"")</f>
        <v/>
      </c>
      <c r="BI200" s="190" t="str">
        <f t="shared" ca="1" si="163"/>
        <v/>
      </c>
      <c r="BJ200" s="190" t="str">
        <f t="shared" ca="1" si="144"/>
        <v/>
      </c>
      <c r="BK200" s="190"/>
      <c r="BL200" s="190" t="str">
        <f ca="1">IFERROR(IF(AND($B200&gt;=($F$17-$F$15),$B200&lt;$F$22+($F$17-$F$15)),SUM(OFFSET($T$100,($F$17-$F$15),0):$T200),""),"")</f>
        <v/>
      </c>
      <c r="BM200" s="190" t="str">
        <f t="shared" ca="1" si="164"/>
        <v/>
      </c>
      <c r="BN200" s="190" t="str">
        <f t="shared" ca="1" si="145"/>
        <v/>
      </c>
      <c r="BO200"/>
      <c r="BP200" s="190" t="str">
        <f ca="1">IF(ISNUMBER(OFFSET(BL200,-$F$21,0)),SUM(OFFSET($T$100,($F$17-$F$15+$F$21),0):$T200),"")</f>
        <v/>
      </c>
      <c r="BQ200" s="190" t="str">
        <f t="shared" ca="1" si="165"/>
        <v/>
      </c>
      <c r="BR200" s="190" t="str">
        <f t="shared" ca="1" si="146"/>
        <v/>
      </c>
      <c r="BS200" s="190"/>
      <c r="BT200"/>
      <c r="BU200"/>
      <c r="BV200"/>
      <c r="BY200" s="99"/>
      <c r="BZ200" s="99"/>
      <c r="CA200" s="280" t="str">
        <f t="shared" si="166"/>
        <v/>
      </c>
      <c r="CB200" s="71" t="str">
        <f t="shared" si="122"/>
        <v>-</v>
      </c>
      <c r="CC200" s="33"/>
      <c r="CD200" s="261" t="str">
        <f t="shared" si="123"/>
        <v/>
      </c>
      <c r="CE200" s="280" t="str">
        <f t="shared" si="167"/>
        <v>-</v>
      </c>
      <c r="CF200" s="71" t="str">
        <f t="shared" ca="1" si="168"/>
        <v>-</v>
      </c>
      <c r="CG200" s="33" t="str">
        <f t="shared" si="126"/>
        <v>100-101</v>
      </c>
      <c r="CH200" s="261" t="str">
        <f t="shared" ca="1" si="127"/>
        <v/>
      </c>
    </row>
    <row r="201" spans="2:86" ht="13.5" customHeight="1" x14ac:dyDescent="0.2">
      <c r="B201" s="262">
        <v>101</v>
      </c>
      <c r="C201" s="237" t="str">
        <f t="shared" si="91"/>
        <v/>
      </c>
      <c r="D201" s="237" t="str">
        <f t="shared" si="147"/>
        <v>-</v>
      </c>
      <c r="E201" s="263" t="str">
        <f t="shared" si="128"/>
        <v/>
      </c>
      <c r="F201" s="264" t="str">
        <f t="shared" si="129"/>
        <v/>
      </c>
      <c r="G201" s="264" t="str">
        <f t="shared" si="130"/>
        <v/>
      </c>
      <c r="H201" s="240" t="str">
        <f t="shared" si="149"/>
        <v/>
      </c>
      <c r="I201" s="265" t="str">
        <f t="shared" si="150"/>
        <v/>
      </c>
      <c r="J201" s="265" t="str">
        <f t="shared" si="151"/>
        <v/>
      </c>
      <c r="K201" s="240" t="str">
        <f t="shared" si="152"/>
        <v/>
      </c>
      <c r="L201" s="265" t="str">
        <f t="shared" si="153"/>
        <v/>
      </c>
      <c r="M201" s="265" t="str">
        <f t="shared" si="154"/>
        <v/>
      </c>
      <c r="N201" s="240" t="str">
        <f t="shared" si="155"/>
        <v>-</v>
      </c>
      <c r="O201" s="265" t="str">
        <f t="shared" si="156"/>
        <v>-</v>
      </c>
      <c r="P201" s="265" t="str">
        <f t="shared" si="157"/>
        <v>-</v>
      </c>
      <c r="Q201" s="266" t="str">
        <f t="shared" si="158"/>
        <v>-</v>
      </c>
      <c r="R201" s="267" t="str">
        <f t="shared" si="159"/>
        <v>-</v>
      </c>
      <c r="S201" s="268" t="str">
        <f t="shared" si="160"/>
        <v>-</v>
      </c>
      <c r="T201" s="269" t="str">
        <f t="shared" si="104"/>
        <v/>
      </c>
      <c r="U201" s="221">
        <f t="shared" si="105"/>
        <v>101</v>
      </c>
      <c r="V201" s="220" t="str">
        <f t="shared" si="131"/>
        <v>-</v>
      </c>
      <c r="W201" s="221" t="str">
        <f t="shared" si="132"/>
        <v>-</v>
      </c>
      <c r="X201" s="221" t="str">
        <f t="shared" si="106"/>
        <v>-</v>
      </c>
      <c r="Y201" s="221" t="str">
        <f t="shared" si="107"/>
        <v>-</v>
      </c>
      <c r="Z201" s="270">
        <f t="shared" si="133"/>
        <v>0.1</v>
      </c>
      <c r="AA201" s="271" t="str">
        <f>IFERROR(IF(V200=1,AA$100*EXP(-(LN(2)/$D$65+0.04)*X200)*EXP(-(LN(2)/$D$65+0.1)*Y200),IF(V200=2,AA$100*EXP(-(LN(2)/$D$65+0.04)*(VLOOKUP(($F$16-$F$15)-1,U$99:Y200,4,FALSE)))*EXP(-(LN(2)/$D$65+0.1)*(VLOOKUP(($F$16-$F$15)-1,U$99:Y200,5,FALSE)))*EXP(-(LN(2)/$D$65+0.04)*X200)*EXP(-(LN(2)/$D$65+0.1)*Y200),IF(V200=3,AA$100*EXP(-(LN(2)/$D$65+0.04)*(VLOOKUP(($F$16-$F$15)-1,U$99:Y200,4,FALSE)))*EXP(-(LN(2)/$D$65+0.1)*(VLOOKUP(($F$16-$F$15)-1,U$99:Y200,5,FALSE)))*EXP(-(LN(2)/$D$65+0.04)*(VLOOKUP(($F$16-$F$15)*2-1,U$99:Y200,4,FALSE)))*EXP(-(LN(2)/$D$65+0.1)*(VLOOKUP(($F$16-$F$15)*2-1,U$99:Y200,5,FALSE)))*EXP(-(LN(2)/$D$65+0.04)*X200)*EXP(-(LN(2)/$D$65+0.1)*Y200),"-"))),"-")</f>
        <v>-</v>
      </c>
      <c r="AB201" s="271" t="str">
        <f>IFERROR(IF(V201=1,AB$100*EXP(-(LN(2)/$D$65+0.04)*X201)*EXP(-(LN(2)/$D$65+0.1)*Y201),IF(V201=2,AB$100*EXP(-(LN(2)/$D$65+0.04)*(VLOOKUP(($F$16-$F$15)-1,U$100:Y201,4,FALSE)))*EXP(-(LN(2)/$D$65+0.1)*(VLOOKUP(($F$16-$F$15)-1,U$100:Y201,5,FALSE)))*EXP(-(LN(2)/$D$65+0.04)*X201)*EXP(-(LN(2)/$D$65+0.1)*Y201),IF(V201=3,AB$100*EXP(-(LN(2)/$D$65+0.04)*(VLOOKUP(($F$16-$F$15)-1,U$100:Y201,4,FALSE)))*EXP(-(LN(2)/$D$65+0.1)*(VLOOKUP(($F$16-$F$15)-1,U$100:Y201,5,FALSE)))*EXP(-(LN(2)/$D$65+0.04)*(VLOOKUP(($F$16-$F$15)*2-1,U$100:Y201,4,FALSE)))*EXP(-(LN(2)/$D$65+0.1)*(VLOOKUP(($F$16-$F$15)*2-1,U$100:Y201,5,FALSE)))*EXP(-(LN(2)/$D$65+0.04)*X201)*EXP(-(LN(2)/$D$65+0.1)*Y201),"-"))),"-")</f>
        <v>-</v>
      </c>
      <c r="AC201" s="224">
        <f t="shared" si="134"/>
        <v>101</v>
      </c>
      <c r="AD201" s="223" t="str">
        <f t="shared" si="108"/>
        <v>-</v>
      </c>
      <c r="AE201" s="224" t="str">
        <f t="shared" si="135"/>
        <v>-</v>
      </c>
      <c r="AF201" s="224" t="str">
        <f t="shared" si="109"/>
        <v>-</v>
      </c>
      <c r="AG201" s="224" t="str">
        <f t="shared" si="110"/>
        <v>-</v>
      </c>
      <c r="AH201" s="272">
        <f t="shared" si="136"/>
        <v>0.1</v>
      </c>
      <c r="AI201" s="271" t="str">
        <f>IFERROR(IF(AD200=1,AI$100*EXP(-(LN(2)/$D$65+0.04)*AF200)*EXP(-(LN(2)/$D$65+0.1)*AG200),IF(AD200=2,AI$100*EXP(-(LN(2)/$D$65+0.04)*(VLOOKUP(($F$16-$F$15)-1,AC$99:AG200,4,FALSE)))*EXP(-(LN(2)/$D$65+0.1)*(VLOOKUP(($F$16-$F$15)-1,AC$99:AG200,5,FALSE)))*EXP(-(LN(2)/$D$65+0.04)*AF200)*EXP(-(LN(2)/$D$65+0.1)*AG200),IF(AD200=3,AI$100*EXP(-(LN(2)/$D$65+0.04)*(VLOOKUP(($F$16-$F$15)-1,AC$99:AG200,4,FALSE)))*EXP(-(LN(2)/$D$65+0.1)*(VLOOKUP(($F$16-$F$15)-1,AC$99:AG200,5,FALSE)))*EXP(-(LN(2)/$D$65+0.04)*(VLOOKUP(($F$16-$F$15)*2-1,AC$99:AG200,4,FALSE)))*EXP(-(LN(2)/$D$65+0.1)*(VLOOKUP(($F$16-$F$15)*2-1,AC$99:AG200,5,FALSE)))*EXP(-(LN(2)/$D$65+0.04)*AF200)*EXP(-(LN(2)/$D$65+0.1)*AG200),"-"))),"-")</f>
        <v>-</v>
      </c>
      <c r="AJ201" s="271" t="str">
        <f>IFERROR(IF(AD201=1,AJ$100*EXP(-(LN(2)/$D$65+0.04)*AF201)*EXP(-(LN(2)/$D$65+0.1)*AG201),IF(AD201=2,AJ$100*EXP(-(LN(2)/$D$65+0.04)*(VLOOKUP(($F$16-$F$15)-1,AC$100:AG201,4,FALSE)))*EXP(-(LN(2)/$D$65+0.1)*(VLOOKUP(($F$16-$F$15)-1,AC$100:AG201,5,FALSE)))*EXP(-(LN(2)/$D$65+0.04)*AF201)*EXP(-(LN(2)/$D$65+0.1)*AG201),IF(AD201=3,AJ$100*EXP(-(LN(2)/$D$65+0.04)*(VLOOKUP(($F$16-$F$15)-1,AC$100:AG201,4,FALSE)))*EXP(-(LN(2)/$D$65+0.1)*(VLOOKUP(($F$16-$F$15)-1,AC$100:AG201,5,FALSE)))*EXP(-(LN(2)/$D$65+0.04)*(VLOOKUP(($F$16-$F$15)*2-1,AC$100:AG201,4,FALSE)))*EXP(-(LN(2)/$D$65+0.1)*(VLOOKUP(($F$16-$F$15)*2-1,AC$100:AG201,5,FALSE)))*EXP(-(LN(2)/$D$65+0.04)*AF201)*EXP(-(LN(2)/$D$65+0.1)*AG201),"-"))),"-")</f>
        <v>-</v>
      </c>
      <c r="AK201" s="227">
        <f t="shared" si="137"/>
        <v>101</v>
      </c>
      <c r="AL201" s="226" t="str">
        <f t="shared" si="111"/>
        <v>-</v>
      </c>
      <c r="AM201" s="227" t="str">
        <f t="shared" si="138"/>
        <v>-</v>
      </c>
      <c r="AN201" s="227" t="str">
        <f t="shared" si="139"/>
        <v>-</v>
      </c>
      <c r="AO201" s="227" t="str">
        <f t="shared" si="112"/>
        <v>-</v>
      </c>
      <c r="AP201" s="273">
        <f t="shared" si="140"/>
        <v>0.1</v>
      </c>
      <c r="AQ201" s="271" t="str">
        <f>IFERROR(IF(AL200=1,AQ$100*EXP(-(LN(2)/$D$65+0.04)*AN200)*EXP(-(LN(2)/$D$65+0.1)*AO200),IF(AL200=2,AQ$100*EXP(-(LN(2)/$D$65+0.04)*(VLOOKUP(($F$16-$F$15)-1,AK$99:AO200,4,FALSE)))*EXP(-(LN(2)/$D$65+0.1)*(VLOOKUP(($F$16-$F$15)-1,AK$99:AO200,5,FALSE)))*EXP(-(LN(2)/$D$65+0.04)*AN200)*EXP(-(LN(2)/$D$65+0.1)*AO200),IF(AL200=3,AQ$100*EXP(-(LN(2)/$D$65+0.04)*(VLOOKUP(($F$16-$F$15)-1,AK$99:AO200,4,FALSE)))*EXP(-(LN(2)/$D$65+0.1)*(VLOOKUP(($F$16-$F$15)-1,AK$99:AO200,5,FALSE)))*EXP(-(LN(2)/$D$65+0.04)*(VLOOKUP(($F$16-$F$15)*2-1,AK$99:AO200,4,FALSE)))*EXP(-(LN(2)/$D$65+0.1)*(VLOOKUP(($F$16-$F$15)*2-1,AK$99:AO200,5,FALSE)))*EXP(-(LN(2)/$D$65+0.04)*AN200)*EXP(-(LN(2)/$D$65+0.1)*AO200),"-"))),"-")</f>
        <v>-</v>
      </c>
      <c r="AR201" s="271" t="str">
        <f>IFERROR(IF(AL201=1,AR$100*EXP(-(LN(2)/$D$65+0.04)*AN201)*EXP(-(LN(2)/$D$65+0.1)*AO201),IF(AL201=2,AR$100*EXP(-(LN(2)/$D$65+0.04)*(VLOOKUP(($F$16-$F$15)-1,AK$100:AO201,4,FALSE)))*EXP(-(LN(2)/$D$65+0.1)*(VLOOKUP(($F$16-$F$15)-1,AK$100:AO201,5,FALSE)))*EXP(-(LN(2)/$D$65+0.04)*AN201)*EXP(-(LN(2)/$D$65+0.1)*AO201),IF(AL201=3,AR$100*EXP(-(LN(2)/$D$65+0.04)*(VLOOKUP(($F$16-$F$15)-1,AK$100:AO201,4,FALSE)))*EXP(-(LN(2)/$D$65+0.1)*(VLOOKUP(($F$16-$F$15)-1,AK$100:AO201,5,FALSE)))*EXP(-(LN(2)/$D$65+0.04)*(VLOOKUP(($F$16-$F$15)*2-1,AK$100:AO201,4,FALSE)))*EXP(-(LN(2)/$D$65+0.1)*(VLOOKUP(($F$16-$F$15)*2-1,AK$100:AO201,5,FALSE)))*EXP(-(LN(2)/$D$65+0.04)*AN201)*EXP(-(LN(2)/$D$65+0.1)*AO201),"-"))),"-")</f>
        <v>-</v>
      </c>
      <c r="AS201" s="274">
        <f t="shared" si="113"/>
        <v>0</v>
      </c>
      <c r="AT201" s="274">
        <f t="shared" si="114"/>
        <v>0</v>
      </c>
      <c r="AU201" s="274">
        <f t="shared" si="115"/>
        <v>0</v>
      </c>
      <c r="AV201" s="190">
        <f>IF($B201&lt;$F$22,SUM($T$100:$T201),"")</f>
        <v>0</v>
      </c>
      <c r="AW201" s="190" t="str">
        <f t="shared" si="161"/>
        <v>-</v>
      </c>
      <c r="AX201" s="190" t="str">
        <f t="shared" si="141"/>
        <v/>
      </c>
      <c r="AY201"/>
      <c r="AZ201" s="190" t="str">
        <f ca="1">IF(ISNUMBER(OFFSET(AV201,-$F$21,0)),SUM(OFFSET($T$100,$F$21,0):$T201),"")</f>
        <v/>
      </c>
      <c r="BA201" s="190" t="str">
        <f t="shared" ca="1" si="162"/>
        <v/>
      </c>
      <c r="BB201" s="190" t="str">
        <f t="shared" ca="1" si="148"/>
        <v/>
      </c>
      <c r="BC201" s="190"/>
      <c r="BD201" s="190" t="str">
        <f ca="1">IFERROR(IF(AND($B201&gt;=($F$16-$F$15),$B201&lt;$F$22+($F$16-$F$15)),SUM(OFFSET($T$100,($F$16-$F$15),0):$T201),""),"")</f>
        <v/>
      </c>
      <c r="BE201" s="190" t="str">
        <f t="shared" ca="1" si="142"/>
        <v/>
      </c>
      <c r="BF201" s="190" t="str">
        <f t="shared" ca="1" si="143"/>
        <v/>
      </c>
      <c r="BG201"/>
      <c r="BH201" s="190" t="str">
        <f ca="1">IF(ISNUMBER(OFFSET(BD201,-$F$21,0)),SUM(OFFSET($T$100,($F$16-$F$15+$F$21),0):$T201),"")</f>
        <v/>
      </c>
      <c r="BI201" s="190" t="str">
        <f t="shared" ca="1" si="163"/>
        <v/>
      </c>
      <c r="BJ201" s="190" t="str">
        <f t="shared" ca="1" si="144"/>
        <v/>
      </c>
      <c r="BK201" s="190"/>
      <c r="BL201" s="190" t="str">
        <f ca="1">IFERROR(IF(AND($B201&gt;=($F$17-$F$15),$B201&lt;$F$22+($F$17-$F$15)),SUM(OFFSET($T$100,($F$17-$F$15),0):$T201),""),"")</f>
        <v/>
      </c>
      <c r="BM201" s="190" t="str">
        <f t="shared" ca="1" si="164"/>
        <v/>
      </c>
      <c r="BN201" s="190" t="str">
        <f t="shared" ca="1" si="145"/>
        <v/>
      </c>
      <c r="BO201"/>
      <c r="BP201" s="190" t="str">
        <f ca="1">IF(ISNUMBER(OFFSET(BL201,-$F$21,0)),SUM(OFFSET($T$100,($F$17-$F$15+$F$21),0):$T201),"")</f>
        <v/>
      </c>
      <c r="BQ201" s="190" t="str">
        <f t="shared" ca="1" si="165"/>
        <v/>
      </c>
      <c r="BR201" s="190" t="str">
        <f t="shared" ca="1" si="146"/>
        <v/>
      </c>
      <c r="BS201" s="190"/>
      <c r="BT201"/>
      <c r="BU201"/>
      <c r="BV201"/>
      <c r="BY201" s="99"/>
      <c r="BZ201" s="99"/>
      <c r="CA201" s="280" t="str">
        <f t="shared" si="166"/>
        <v/>
      </c>
      <c r="CB201" s="71" t="str">
        <f t="shared" si="122"/>
        <v>-</v>
      </c>
      <c r="CC201" s="33"/>
      <c r="CD201" s="261" t="str">
        <f t="shared" si="123"/>
        <v/>
      </c>
      <c r="CE201" s="280" t="str">
        <f t="shared" si="167"/>
        <v>-</v>
      </c>
      <c r="CF201" s="71" t="str">
        <f t="shared" ca="1" si="168"/>
        <v>-</v>
      </c>
      <c r="CG201" s="33" t="str">
        <f t="shared" si="126"/>
        <v>101-102</v>
      </c>
      <c r="CH201" s="261" t="str">
        <f t="shared" ca="1" si="127"/>
        <v/>
      </c>
    </row>
    <row r="202" spans="2:86" ht="13.5" customHeight="1" x14ac:dyDescent="0.2">
      <c r="B202" s="262">
        <v>102</v>
      </c>
      <c r="C202" s="237" t="str">
        <f t="shared" si="91"/>
        <v/>
      </c>
      <c r="D202" s="237" t="str">
        <f t="shared" si="147"/>
        <v>-</v>
      </c>
      <c r="E202" s="263" t="str">
        <f t="shared" si="128"/>
        <v/>
      </c>
      <c r="F202" s="264" t="str">
        <f t="shared" si="129"/>
        <v/>
      </c>
      <c r="G202" s="264" t="str">
        <f t="shared" si="130"/>
        <v/>
      </c>
      <c r="H202" s="240" t="str">
        <f t="shared" si="149"/>
        <v/>
      </c>
      <c r="I202" s="265" t="str">
        <f t="shared" si="150"/>
        <v/>
      </c>
      <c r="J202" s="265" t="str">
        <f t="shared" si="151"/>
        <v/>
      </c>
      <c r="K202" s="240" t="str">
        <f t="shared" si="152"/>
        <v/>
      </c>
      <c r="L202" s="265" t="str">
        <f t="shared" si="153"/>
        <v/>
      </c>
      <c r="M202" s="265" t="str">
        <f t="shared" si="154"/>
        <v/>
      </c>
      <c r="N202" s="240" t="str">
        <f t="shared" si="155"/>
        <v>-</v>
      </c>
      <c r="O202" s="265" t="str">
        <f t="shared" si="156"/>
        <v>-</v>
      </c>
      <c r="P202" s="265" t="str">
        <f t="shared" si="157"/>
        <v>-</v>
      </c>
      <c r="Q202" s="266" t="str">
        <f t="shared" si="158"/>
        <v>-</v>
      </c>
      <c r="R202" s="267" t="str">
        <f t="shared" si="159"/>
        <v>-</v>
      </c>
      <c r="S202" s="268" t="str">
        <f t="shared" si="160"/>
        <v>-</v>
      </c>
      <c r="T202" s="269" t="str">
        <f t="shared" si="104"/>
        <v/>
      </c>
      <c r="U202" s="221">
        <f t="shared" si="105"/>
        <v>102</v>
      </c>
      <c r="V202" s="220" t="str">
        <f t="shared" si="131"/>
        <v>-</v>
      </c>
      <c r="W202" s="221" t="str">
        <f t="shared" si="132"/>
        <v>-</v>
      </c>
      <c r="X202" s="221" t="str">
        <f t="shared" si="106"/>
        <v>-</v>
      </c>
      <c r="Y202" s="221" t="str">
        <f t="shared" si="107"/>
        <v>-</v>
      </c>
      <c r="Z202" s="270">
        <f t="shared" si="133"/>
        <v>0.1</v>
      </c>
      <c r="AA202" s="271" t="str">
        <f>IFERROR(IF(V201=1,AA$100*EXP(-(LN(2)/$D$65+0.04)*X201)*EXP(-(LN(2)/$D$65+0.1)*Y201),IF(V201=2,AA$100*EXP(-(LN(2)/$D$65+0.04)*(VLOOKUP(($F$16-$F$15)-1,U$99:Y201,4,FALSE)))*EXP(-(LN(2)/$D$65+0.1)*(VLOOKUP(($F$16-$F$15)-1,U$99:Y201,5,FALSE)))*EXP(-(LN(2)/$D$65+0.04)*X201)*EXP(-(LN(2)/$D$65+0.1)*Y201),IF(V201=3,AA$100*EXP(-(LN(2)/$D$65+0.04)*(VLOOKUP(($F$16-$F$15)-1,U$99:Y201,4,FALSE)))*EXP(-(LN(2)/$D$65+0.1)*(VLOOKUP(($F$16-$F$15)-1,U$99:Y201,5,FALSE)))*EXP(-(LN(2)/$D$65+0.04)*(VLOOKUP(($F$16-$F$15)*2-1,U$99:Y201,4,FALSE)))*EXP(-(LN(2)/$D$65+0.1)*(VLOOKUP(($F$16-$F$15)*2-1,U$99:Y201,5,FALSE)))*EXP(-(LN(2)/$D$65+0.04)*X201)*EXP(-(LN(2)/$D$65+0.1)*Y201),"-"))),"-")</f>
        <v>-</v>
      </c>
      <c r="AB202" s="271" t="str">
        <f>IFERROR(IF(V202=1,AB$100*EXP(-(LN(2)/$D$65+0.04)*X202)*EXP(-(LN(2)/$D$65+0.1)*Y202),IF(V202=2,AB$100*EXP(-(LN(2)/$D$65+0.04)*(VLOOKUP(($F$16-$F$15)-1,U$100:Y202,4,FALSE)))*EXP(-(LN(2)/$D$65+0.1)*(VLOOKUP(($F$16-$F$15)-1,U$100:Y202,5,FALSE)))*EXP(-(LN(2)/$D$65+0.04)*X202)*EXP(-(LN(2)/$D$65+0.1)*Y202),IF(V202=3,AB$100*EXP(-(LN(2)/$D$65+0.04)*(VLOOKUP(($F$16-$F$15)-1,U$100:Y202,4,FALSE)))*EXP(-(LN(2)/$D$65+0.1)*(VLOOKUP(($F$16-$F$15)-1,U$100:Y202,5,FALSE)))*EXP(-(LN(2)/$D$65+0.04)*(VLOOKUP(($F$16-$F$15)*2-1,U$100:Y202,4,FALSE)))*EXP(-(LN(2)/$D$65+0.1)*(VLOOKUP(($F$16-$F$15)*2-1,U$100:Y202,5,FALSE)))*EXP(-(LN(2)/$D$65+0.04)*X202)*EXP(-(LN(2)/$D$65+0.1)*Y202),"-"))),"-")</f>
        <v>-</v>
      </c>
      <c r="AC202" s="224">
        <f t="shared" si="134"/>
        <v>102</v>
      </c>
      <c r="AD202" s="223" t="str">
        <f t="shared" si="108"/>
        <v>-</v>
      </c>
      <c r="AE202" s="224" t="str">
        <f t="shared" si="135"/>
        <v>-</v>
      </c>
      <c r="AF202" s="224" t="str">
        <f t="shared" si="109"/>
        <v>-</v>
      </c>
      <c r="AG202" s="224" t="str">
        <f t="shared" si="110"/>
        <v>-</v>
      </c>
      <c r="AH202" s="272">
        <f t="shared" si="136"/>
        <v>0.1</v>
      </c>
      <c r="AI202" s="271" t="str">
        <f>IFERROR(IF(AD201=1,AI$100*EXP(-(LN(2)/$D$65+0.04)*AF201)*EXP(-(LN(2)/$D$65+0.1)*AG201),IF(AD201=2,AI$100*EXP(-(LN(2)/$D$65+0.04)*(VLOOKUP(($F$16-$F$15)-1,AC$99:AG201,4,FALSE)))*EXP(-(LN(2)/$D$65+0.1)*(VLOOKUP(($F$16-$F$15)-1,AC$99:AG201,5,FALSE)))*EXP(-(LN(2)/$D$65+0.04)*AF201)*EXP(-(LN(2)/$D$65+0.1)*AG201),IF(AD201=3,AI$100*EXP(-(LN(2)/$D$65+0.04)*(VLOOKUP(($F$16-$F$15)-1,AC$99:AG201,4,FALSE)))*EXP(-(LN(2)/$D$65+0.1)*(VLOOKUP(($F$16-$F$15)-1,AC$99:AG201,5,FALSE)))*EXP(-(LN(2)/$D$65+0.04)*(VLOOKUP(($F$16-$F$15)*2-1,AC$99:AG201,4,FALSE)))*EXP(-(LN(2)/$D$65+0.1)*(VLOOKUP(($F$16-$F$15)*2-1,AC$99:AG201,5,FALSE)))*EXP(-(LN(2)/$D$65+0.04)*AF201)*EXP(-(LN(2)/$D$65+0.1)*AG201),"-"))),"-")</f>
        <v>-</v>
      </c>
      <c r="AJ202" s="271" t="str">
        <f>IFERROR(IF(AD202=1,AJ$100*EXP(-(LN(2)/$D$65+0.04)*AF202)*EXP(-(LN(2)/$D$65+0.1)*AG202),IF(AD202=2,AJ$100*EXP(-(LN(2)/$D$65+0.04)*(VLOOKUP(($F$16-$F$15)-1,AC$100:AG202,4,FALSE)))*EXP(-(LN(2)/$D$65+0.1)*(VLOOKUP(($F$16-$F$15)-1,AC$100:AG202,5,FALSE)))*EXP(-(LN(2)/$D$65+0.04)*AF202)*EXP(-(LN(2)/$D$65+0.1)*AG202),IF(AD202=3,AJ$100*EXP(-(LN(2)/$D$65+0.04)*(VLOOKUP(($F$16-$F$15)-1,AC$100:AG202,4,FALSE)))*EXP(-(LN(2)/$D$65+0.1)*(VLOOKUP(($F$16-$F$15)-1,AC$100:AG202,5,FALSE)))*EXP(-(LN(2)/$D$65+0.04)*(VLOOKUP(($F$16-$F$15)*2-1,AC$100:AG202,4,FALSE)))*EXP(-(LN(2)/$D$65+0.1)*(VLOOKUP(($F$16-$F$15)*2-1,AC$100:AG202,5,FALSE)))*EXP(-(LN(2)/$D$65+0.04)*AF202)*EXP(-(LN(2)/$D$65+0.1)*AG202),"-"))),"-")</f>
        <v>-</v>
      </c>
      <c r="AK202" s="227">
        <f t="shared" si="137"/>
        <v>102</v>
      </c>
      <c r="AL202" s="226" t="str">
        <f t="shared" si="111"/>
        <v>-</v>
      </c>
      <c r="AM202" s="227" t="str">
        <f t="shared" si="138"/>
        <v>-</v>
      </c>
      <c r="AN202" s="227" t="str">
        <f t="shared" si="139"/>
        <v>-</v>
      </c>
      <c r="AO202" s="227" t="str">
        <f t="shared" si="112"/>
        <v>-</v>
      </c>
      <c r="AP202" s="273">
        <f t="shared" si="140"/>
        <v>0.1</v>
      </c>
      <c r="AQ202" s="271" t="str">
        <f>IFERROR(IF(AL201=1,AQ$100*EXP(-(LN(2)/$D$65+0.04)*AN201)*EXP(-(LN(2)/$D$65+0.1)*AO201),IF(AL201=2,AQ$100*EXP(-(LN(2)/$D$65+0.04)*(VLOOKUP(($F$16-$F$15)-1,AK$99:AO201,4,FALSE)))*EXP(-(LN(2)/$D$65+0.1)*(VLOOKUP(($F$16-$F$15)-1,AK$99:AO201,5,FALSE)))*EXP(-(LN(2)/$D$65+0.04)*AN201)*EXP(-(LN(2)/$D$65+0.1)*AO201),IF(AL201=3,AQ$100*EXP(-(LN(2)/$D$65+0.04)*(VLOOKUP(($F$16-$F$15)-1,AK$99:AO201,4,FALSE)))*EXP(-(LN(2)/$D$65+0.1)*(VLOOKUP(($F$16-$F$15)-1,AK$99:AO201,5,FALSE)))*EXP(-(LN(2)/$D$65+0.04)*(VLOOKUP(($F$16-$F$15)*2-1,AK$99:AO201,4,FALSE)))*EXP(-(LN(2)/$D$65+0.1)*(VLOOKUP(($F$16-$F$15)*2-1,AK$99:AO201,5,FALSE)))*EXP(-(LN(2)/$D$65+0.04)*AN201)*EXP(-(LN(2)/$D$65+0.1)*AO201),"-"))),"-")</f>
        <v>-</v>
      </c>
      <c r="AR202" s="271" t="str">
        <f>IFERROR(IF(AL202=1,AR$100*EXP(-(LN(2)/$D$65+0.04)*AN202)*EXP(-(LN(2)/$D$65+0.1)*AO202),IF(AL202=2,AR$100*EXP(-(LN(2)/$D$65+0.04)*(VLOOKUP(($F$16-$F$15)-1,AK$100:AO202,4,FALSE)))*EXP(-(LN(2)/$D$65+0.1)*(VLOOKUP(($F$16-$F$15)-1,AK$100:AO202,5,FALSE)))*EXP(-(LN(2)/$D$65+0.04)*AN202)*EXP(-(LN(2)/$D$65+0.1)*AO202),IF(AL202=3,AR$100*EXP(-(LN(2)/$D$65+0.04)*(VLOOKUP(($F$16-$F$15)-1,AK$100:AO202,4,FALSE)))*EXP(-(LN(2)/$D$65+0.1)*(VLOOKUP(($F$16-$F$15)-1,AK$100:AO202,5,FALSE)))*EXP(-(LN(2)/$D$65+0.04)*(VLOOKUP(($F$16-$F$15)*2-1,AK$100:AO202,4,FALSE)))*EXP(-(LN(2)/$D$65+0.1)*(VLOOKUP(($F$16-$F$15)*2-1,AK$100:AO202,5,FALSE)))*EXP(-(LN(2)/$D$65+0.04)*AN202)*EXP(-(LN(2)/$D$65+0.1)*AO202),"-"))),"-")</f>
        <v>-</v>
      </c>
      <c r="AS202" s="274">
        <f t="shared" si="113"/>
        <v>0</v>
      </c>
      <c r="AT202" s="274">
        <f t="shared" si="114"/>
        <v>0</v>
      </c>
      <c r="AU202" s="274">
        <f t="shared" si="115"/>
        <v>0</v>
      </c>
      <c r="AV202" s="190">
        <f>IF($B202&lt;$F$22,SUM($T$100:$T202),"")</f>
        <v>0</v>
      </c>
      <c r="AW202" s="190" t="str">
        <f t="shared" si="161"/>
        <v>-</v>
      </c>
      <c r="AX202" s="190" t="str">
        <f t="shared" si="141"/>
        <v/>
      </c>
      <c r="AY202"/>
      <c r="AZ202" s="190" t="str">
        <f ca="1">IF(ISNUMBER(OFFSET(AV202,-$F$21,0)),SUM(OFFSET($T$100,$F$21,0):$T202),"")</f>
        <v/>
      </c>
      <c r="BA202" s="190" t="str">
        <f t="shared" ca="1" si="162"/>
        <v/>
      </c>
      <c r="BB202" s="190" t="str">
        <f t="shared" ca="1" si="148"/>
        <v/>
      </c>
      <c r="BC202" s="190"/>
      <c r="BD202" s="190" t="str">
        <f ca="1">IFERROR(IF(AND($B202&gt;=($F$16-$F$15),$B202&lt;$F$22+($F$16-$F$15)),SUM(OFFSET($T$100,($F$16-$F$15),0):$T202),""),"")</f>
        <v/>
      </c>
      <c r="BE202" s="190" t="str">
        <f t="shared" ca="1" si="142"/>
        <v/>
      </c>
      <c r="BF202" s="190" t="str">
        <f t="shared" ca="1" si="143"/>
        <v/>
      </c>
      <c r="BG202"/>
      <c r="BH202" s="190" t="str">
        <f ca="1">IF(ISNUMBER(OFFSET(BD202,-$F$21,0)),SUM(OFFSET($T$100,($F$16-$F$15+$F$21),0):$T202),"")</f>
        <v/>
      </c>
      <c r="BI202" s="190" t="str">
        <f t="shared" ca="1" si="163"/>
        <v/>
      </c>
      <c r="BJ202" s="190" t="str">
        <f t="shared" ca="1" si="144"/>
        <v/>
      </c>
      <c r="BK202" s="190"/>
      <c r="BL202" s="190" t="str">
        <f ca="1">IFERROR(IF(AND($B202&gt;=($F$17-$F$15),$B202&lt;$F$22+($F$17-$F$15)),SUM(OFFSET($T$100,($F$17-$F$15),0):$T202),""),"")</f>
        <v/>
      </c>
      <c r="BM202" s="190" t="str">
        <f t="shared" ca="1" si="164"/>
        <v/>
      </c>
      <c r="BN202" s="190" t="str">
        <f t="shared" ca="1" si="145"/>
        <v/>
      </c>
      <c r="BO202"/>
      <c r="BP202" s="190" t="str">
        <f ca="1">IF(ISNUMBER(OFFSET(BL202,-$F$21,0)),SUM(OFFSET($T$100,($F$17-$F$15+$F$21),0):$T202),"")</f>
        <v/>
      </c>
      <c r="BQ202" s="190" t="str">
        <f t="shared" ca="1" si="165"/>
        <v/>
      </c>
      <c r="BR202" s="190" t="str">
        <f t="shared" ca="1" si="146"/>
        <v/>
      </c>
      <c r="BS202" s="190"/>
      <c r="BT202"/>
      <c r="BU202"/>
      <c r="BV202"/>
      <c r="BY202" s="99"/>
      <c r="BZ202" s="99"/>
      <c r="CA202" s="280" t="str">
        <f t="shared" si="166"/>
        <v/>
      </c>
      <c r="CB202" s="71" t="str">
        <f t="shared" si="122"/>
        <v>-</v>
      </c>
      <c r="CC202" s="33"/>
      <c r="CD202" s="261" t="str">
        <f t="shared" si="123"/>
        <v/>
      </c>
      <c r="CE202" s="280" t="str">
        <f t="shared" si="167"/>
        <v>-</v>
      </c>
      <c r="CF202" s="71" t="str">
        <f t="shared" ca="1" si="168"/>
        <v>-</v>
      </c>
      <c r="CG202" s="33" t="str">
        <f t="shared" si="126"/>
        <v>102-103</v>
      </c>
      <c r="CH202" s="261" t="str">
        <f t="shared" ca="1" si="127"/>
        <v/>
      </c>
    </row>
    <row r="203" spans="2:86" ht="13.5" customHeight="1" x14ac:dyDescent="0.2">
      <c r="B203" s="262">
        <v>103</v>
      </c>
      <c r="C203" s="237" t="str">
        <f t="shared" si="91"/>
        <v/>
      </c>
      <c r="D203" s="237" t="str">
        <f t="shared" si="147"/>
        <v>-</v>
      </c>
      <c r="E203" s="263" t="str">
        <f t="shared" si="128"/>
        <v/>
      </c>
      <c r="F203" s="264" t="str">
        <f t="shared" si="129"/>
        <v/>
      </c>
      <c r="G203" s="264" t="str">
        <f t="shared" si="130"/>
        <v/>
      </c>
      <c r="H203" s="240" t="str">
        <f t="shared" si="149"/>
        <v/>
      </c>
      <c r="I203" s="265" t="str">
        <f t="shared" si="150"/>
        <v/>
      </c>
      <c r="J203" s="265" t="str">
        <f t="shared" si="151"/>
        <v/>
      </c>
      <c r="K203" s="240" t="str">
        <f t="shared" si="152"/>
        <v/>
      </c>
      <c r="L203" s="265" t="str">
        <f t="shared" si="153"/>
        <v/>
      </c>
      <c r="M203" s="265" t="str">
        <f t="shared" si="154"/>
        <v/>
      </c>
      <c r="N203" s="240" t="str">
        <f t="shared" si="155"/>
        <v>-</v>
      </c>
      <c r="O203" s="265" t="str">
        <f t="shared" si="156"/>
        <v>-</v>
      </c>
      <c r="P203" s="265" t="str">
        <f t="shared" si="157"/>
        <v>-</v>
      </c>
      <c r="Q203" s="266" t="str">
        <f t="shared" si="158"/>
        <v>-</v>
      </c>
      <c r="R203" s="267" t="str">
        <f t="shared" si="159"/>
        <v>-</v>
      </c>
      <c r="S203" s="268" t="str">
        <f t="shared" si="160"/>
        <v>-</v>
      </c>
      <c r="T203" s="269" t="str">
        <f t="shared" si="104"/>
        <v/>
      </c>
      <c r="U203" s="221">
        <f t="shared" si="105"/>
        <v>103</v>
      </c>
      <c r="V203" s="220" t="str">
        <f t="shared" si="131"/>
        <v>-</v>
      </c>
      <c r="W203" s="221" t="str">
        <f t="shared" si="132"/>
        <v>-</v>
      </c>
      <c r="X203" s="221" t="str">
        <f t="shared" si="106"/>
        <v>-</v>
      </c>
      <c r="Y203" s="221" t="str">
        <f t="shared" si="107"/>
        <v>-</v>
      </c>
      <c r="Z203" s="270">
        <f t="shared" si="133"/>
        <v>0.1</v>
      </c>
      <c r="AA203" s="271" t="str">
        <f>IFERROR(IF(V202=1,AA$100*EXP(-(LN(2)/$D$65+0.04)*X202)*EXP(-(LN(2)/$D$65+0.1)*Y202),IF(V202=2,AA$100*EXP(-(LN(2)/$D$65+0.04)*(VLOOKUP(($F$16-$F$15)-1,U$99:Y202,4,FALSE)))*EXP(-(LN(2)/$D$65+0.1)*(VLOOKUP(($F$16-$F$15)-1,U$99:Y202,5,FALSE)))*EXP(-(LN(2)/$D$65+0.04)*X202)*EXP(-(LN(2)/$D$65+0.1)*Y202),IF(V202=3,AA$100*EXP(-(LN(2)/$D$65+0.04)*(VLOOKUP(($F$16-$F$15)-1,U$99:Y202,4,FALSE)))*EXP(-(LN(2)/$D$65+0.1)*(VLOOKUP(($F$16-$F$15)-1,U$99:Y202,5,FALSE)))*EXP(-(LN(2)/$D$65+0.04)*(VLOOKUP(($F$16-$F$15)*2-1,U$99:Y202,4,FALSE)))*EXP(-(LN(2)/$D$65+0.1)*(VLOOKUP(($F$16-$F$15)*2-1,U$99:Y202,5,FALSE)))*EXP(-(LN(2)/$D$65+0.04)*X202)*EXP(-(LN(2)/$D$65+0.1)*Y202),"-"))),"-")</f>
        <v>-</v>
      </c>
      <c r="AB203" s="271" t="str">
        <f>IFERROR(IF(V203=1,AB$100*EXP(-(LN(2)/$D$65+0.04)*X203)*EXP(-(LN(2)/$D$65+0.1)*Y203),IF(V203=2,AB$100*EXP(-(LN(2)/$D$65+0.04)*(VLOOKUP(($F$16-$F$15)-1,U$100:Y203,4,FALSE)))*EXP(-(LN(2)/$D$65+0.1)*(VLOOKUP(($F$16-$F$15)-1,U$100:Y203,5,FALSE)))*EXP(-(LN(2)/$D$65+0.04)*X203)*EXP(-(LN(2)/$D$65+0.1)*Y203),IF(V203=3,AB$100*EXP(-(LN(2)/$D$65+0.04)*(VLOOKUP(($F$16-$F$15)-1,U$100:Y203,4,FALSE)))*EXP(-(LN(2)/$D$65+0.1)*(VLOOKUP(($F$16-$F$15)-1,U$100:Y203,5,FALSE)))*EXP(-(LN(2)/$D$65+0.04)*(VLOOKUP(($F$16-$F$15)*2-1,U$100:Y203,4,FALSE)))*EXP(-(LN(2)/$D$65+0.1)*(VLOOKUP(($F$16-$F$15)*2-1,U$100:Y203,5,FALSE)))*EXP(-(LN(2)/$D$65+0.04)*X203)*EXP(-(LN(2)/$D$65+0.1)*Y203),"-"))),"-")</f>
        <v>-</v>
      </c>
      <c r="AC203" s="224">
        <f t="shared" si="134"/>
        <v>103</v>
      </c>
      <c r="AD203" s="223" t="str">
        <f t="shared" si="108"/>
        <v>-</v>
      </c>
      <c r="AE203" s="224" t="str">
        <f t="shared" si="135"/>
        <v>-</v>
      </c>
      <c r="AF203" s="224" t="str">
        <f t="shared" si="109"/>
        <v>-</v>
      </c>
      <c r="AG203" s="224" t="str">
        <f t="shared" si="110"/>
        <v>-</v>
      </c>
      <c r="AH203" s="272">
        <f t="shared" si="136"/>
        <v>0.1</v>
      </c>
      <c r="AI203" s="271" t="str">
        <f>IFERROR(IF(AD202=1,AI$100*EXP(-(LN(2)/$D$65+0.04)*AF202)*EXP(-(LN(2)/$D$65+0.1)*AG202),IF(AD202=2,AI$100*EXP(-(LN(2)/$D$65+0.04)*(VLOOKUP(($F$16-$F$15)-1,AC$99:AG202,4,FALSE)))*EXP(-(LN(2)/$D$65+0.1)*(VLOOKUP(($F$16-$F$15)-1,AC$99:AG202,5,FALSE)))*EXP(-(LN(2)/$D$65+0.04)*AF202)*EXP(-(LN(2)/$D$65+0.1)*AG202),IF(AD202=3,AI$100*EXP(-(LN(2)/$D$65+0.04)*(VLOOKUP(($F$16-$F$15)-1,AC$99:AG202,4,FALSE)))*EXP(-(LN(2)/$D$65+0.1)*(VLOOKUP(($F$16-$F$15)-1,AC$99:AG202,5,FALSE)))*EXP(-(LN(2)/$D$65+0.04)*(VLOOKUP(($F$16-$F$15)*2-1,AC$99:AG202,4,FALSE)))*EXP(-(LN(2)/$D$65+0.1)*(VLOOKUP(($F$16-$F$15)*2-1,AC$99:AG202,5,FALSE)))*EXP(-(LN(2)/$D$65+0.04)*AF202)*EXP(-(LN(2)/$D$65+0.1)*AG202),"-"))),"-")</f>
        <v>-</v>
      </c>
      <c r="AJ203" s="271" t="str">
        <f>IFERROR(IF(AD203=1,AJ$100*EXP(-(LN(2)/$D$65+0.04)*AF203)*EXP(-(LN(2)/$D$65+0.1)*AG203),IF(AD203=2,AJ$100*EXP(-(LN(2)/$D$65+0.04)*(VLOOKUP(($F$16-$F$15)-1,AC$100:AG203,4,FALSE)))*EXP(-(LN(2)/$D$65+0.1)*(VLOOKUP(($F$16-$F$15)-1,AC$100:AG203,5,FALSE)))*EXP(-(LN(2)/$D$65+0.04)*AF203)*EXP(-(LN(2)/$D$65+0.1)*AG203),IF(AD203=3,AJ$100*EXP(-(LN(2)/$D$65+0.04)*(VLOOKUP(($F$16-$F$15)-1,AC$100:AG203,4,FALSE)))*EXP(-(LN(2)/$D$65+0.1)*(VLOOKUP(($F$16-$F$15)-1,AC$100:AG203,5,FALSE)))*EXP(-(LN(2)/$D$65+0.04)*(VLOOKUP(($F$16-$F$15)*2-1,AC$100:AG203,4,FALSE)))*EXP(-(LN(2)/$D$65+0.1)*(VLOOKUP(($F$16-$F$15)*2-1,AC$100:AG203,5,FALSE)))*EXP(-(LN(2)/$D$65+0.04)*AF203)*EXP(-(LN(2)/$D$65+0.1)*AG203),"-"))),"-")</f>
        <v>-</v>
      </c>
      <c r="AK203" s="227">
        <f t="shared" si="137"/>
        <v>103</v>
      </c>
      <c r="AL203" s="226" t="str">
        <f t="shared" si="111"/>
        <v>-</v>
      </c>
      <c r="AM203" s="227" t="str">
        <f t="shared" si="138"/>
        <v>-</v>
      </c>
      <c r="AN203" s="227" t="str">
        <f t="shared" si="139"/>
        <v>-</v>
      </c>
      <c r="AO203" s="227" t="str">
        <f t="shared" si="112"/>
        <v>-</v>
      </c>
      <c r="AP203" s="273">
        <f t="shared" si="140"/>
        <v>0.1</v>
      </c>
      <c r="AQ203" s="271" t="str">
        <f>IFERROR(IF(AL202=1,AQ$100*EXP(-(LN(2)/$D$65+0.04)*AN202)*EXP(-(LN(2)/$D$65+0.1)*AO202),IF(AL202=2,AQ$100*EXP(-(LN(2)/$D$65+0.04)*(VLOOKUP(($F$16-$F$15)-1,AK$99:AO202,4,FALSE)))*EXP(-(LN(2)/$D$65+0.1)*(VLOOKUP(($F$16-$F$15)-1,AK$99:AO202,5,FALSE)))*EXP(-(LN(2)/$D$65+0.04)*AN202)*EXP(-(LN(2)/$D$65+0.1)*AO202),IF(AL202=3,AQ$100*EXP(-(LN(2)/$D$65+0.04)*(VLOOKUP(($F$16-$F$15)-1,AK$99:AO202,4,FALSE)))*EXP(-(LN(2)/$D$65+0.1)*(VLOOKUP(($F$16-$F$15)-1,AK$99:AO202,5,FALSE)))*EXP(-(LN(2)/$D$65+0.04)*(VLOOKUP(($F$16-$F$15)*2-1,AK$99:AO202,4,FALSE)))*EXP(-(LN(2)/$D$65+0.1)*(VLOOKUP(($F$16-$F$15)*2-1,AK$99:AO202,5,FALSE)))*EXP(-(LN(2)/$D$65+0.04)*AN202)*EXP(-(LN(2)/$D$65+0.1)*AO202),"-"))),"-")</f>
        <v>-</v>
      </c>
      <c r="AR203" s="271" t="str">
        <f>IFERROR(IF(AL203=1,AR$100*EXP(-(LN(2)/$D$65+0.04)*AN203)*EXP(-(LN(2)/$D$65+0.1)*AO203),IF(AL203=2,AR$100*EXP(-(LN(2)/$D$65+0.04)*(VLOOKUP(($F$16-$F$15)-1,AK$100:AO203,4,FALSE)))*EXP(-(LN(2)/$D$65+0.1)*(VLOOKUP(($F$16-$F$15)-1,AK$100:AO203,5,FALSE)))*EXP(-(LN(2)/$D$65+0.04)*AN203)*EXP(-(LN(2)/$D$65+0.1)*AO203),IF(AL203=3,AR$100*EXP(-(LN(2)/$D$65+0.04)*(VLOOKUP(($F$16-$F$15)-1,AK$100:AO203,4,FALSE)))*EXP(-(LN(2)/$D$65+0.1)*(VLOOKUP(($F$16-$F$15)-1,AK$100:AO203,5,FALSE)))*EXP(-(LN(2)/$D$65+0.04)*(VLOOKUP(($F$16-$F$15)*2-1,AK$100:AO203,4,FALSE)))*EXP(-(LN(2)/$D$65+0.1)*(VLOOKUP(($F$16-$F$15)*2-1,AK$100:AO203,5,FALSE)))*EXP(-(LN(2)/$D$65+0.04)*AN203)*EXP(-(LN(2)/$D$65+0.1)*AO203),"-"))),"-")</f>
        <v>-</v>
      </c>
      <c r="AS203" s="274">
        <f t="shared" si="113"/>
        <v>0</v>
      </c>
      <c r="AT203" s="274">
        <f t="shared" si="114"/>
        <v>0</v>
      </c>
      <c r="AU203" s="274">
        <f t="shared" si="115"/>
        <v>0</v>
      </c>
      <c r="AV203" s="190">
        <f>IF($B203&lt;$F$22,SUM($T$100:$T203),"")</f>
        <v>0</v>
      </c>
      <c r="AW203" s="190" t="str">
        <f t="shared" si="161"/>
        <v>-</v>
      </c>
      <c r="AX203" s="190" t="str">
        <f t="shared" si="141"/>
        <v/>
      </c>
      <c r="AY203"/>
      <c r="AZ203" s="190" t="str">
        <f ca="1">IF(ISNUMBER(OFFSET(AV203,-$F$21,0)),SUM(OFFSET($T$100,$F$21,0):$T203),"")</f>
        <v/>
      </c>
      <c r="BA203" s="190" t="str">
        <f t="shared" ca="1" si="162"/>
        <v/>
      </c>
      <c r="BB203" s="190" t="str">
        <f t="shared" ca="1" si="148"/>
        <v/>
      </c>
      <c r="BC203" s="190"/>
      <c r="BD203" s="190" t="str">
        <f ca="1">IFERROR(IF(AND($B203&gt;=($F$16-$F$15),$B203&lt;$F$22+($F$16-$F$15)),SUM(OFFSET($T$100,($F$16-$F$15),0):$T203),""),"")</f>
        <v/>
      </c>
      <c r="BE203" s="190" t="str">
        <f t="shared" ca="1" si="142"/>
        <v/>
      </c>
      <c r="BF203" s="190" t="str">
        <f t="shared" ca="1" si="143"/>
        <v/>
      </c>
      <c r="BG203"/>
      <c r="BH203" s="190" t="str">
        <f ca="1">IF(ISNUMBER(OFFSET(BD203,-$F$21,0)),SUM(OFFSET($T$100,($F$16-$F$15+$F$21),0):$T203),"")</f>
        <v/>
      </c>
      <c r="BI203" s="190" t="str">
        <f t="shared" ca="1" si="163"/>
        <v/>
      </c>
      <c r="BJ203" s="190" t="str">
        <f t="shared" ca="1" si="144"/>
        <v/>
      </c>
      <c r="BK203" s="190"/>
      <c r="BL203" s="190" t="str">
        <f ca="1">IFERROR(IF(AND($B203&gt;=($F$17-$F$15),$B203&lt;$F$22+($F$17-$F$15)),SUM(OFFSET($T$100,($F$17-$F$15),0):$T203),""),"")</f>
        <v/>
      </c>
      <c r="BM203" s="190" t="str">
        <f t="shared" ca="1" si="164"/>
        <v/>
      </c>
      <c r="BN203" s="190" t="str">
        <f t="shared" ca="1" si="145"/>
        <v/>
      </c>
      <c r="BO203"/>
      <c r="BP203" s="190" t="str">
        <f ca="1">IF(ISNUMBER(OFFSET(BL203,-$F$21,0)),SUM(OFFSET($T$100,($F$17-$F$15+$F$21),0):$T203),"")</f>
        <v/>
      </c>
      <c r="BQ203" s="190" t="str">
        <f t="shared" ca="1" si="165"/>
        <v/>
      </c>
      <c r="BR203" s="190" t="str">
        <f t="shared" ca="1" si="146"/>
        <v/>
      </c>
      <c r="BS203" s="190"/>
      <c r="BT203"/>
      <c r="BU203"/>
      <c r="BV203"/>
      <c r="BY203" s="99"/>
      <c r="BZ203" s="99"/>
      <c r="CA203" s="280" t="str">
        <f t="shared" si="166"/>
        <v/>
      </c>
      <c r="CB203" s="71" t="str">
        <f t="shared" si="122"/>
        <v>-</v>
      </c>
      <c r="CC203" s="33"/>
      <c r="CD203" s="261" t="str">
        <f t="shared" si="123"/>
        <v/>
      </c>
      <c r="CE203" s="280" t="str">
        <f t="shared" si="167"/>
        <v>-</v>
      </c>
      <c r="CF203" s="71" t="str">
        <f t="shared" ca="1" si="168"/>
        <v>-</v>
      </c>
      <c r="CG203" s="33" t="str">
        <f t="shared" si="126"/>
        <v>103-104</v>
      </c>
      <c r="CH203" s="261" t="str">
        <f t="shared" ca="1" si="127"/>
        <v/>
      </c>
    </row>
    <row r="204" spans="2:86" ht="13.5" customHeight="1" x14ac:dyDescent="0.2">
      <c r="B204" s="262">
        <v>104</v>
      </c>
      <c r="C204" s="237" t="str">
        <f t="shared" si="91"/>
        <v/>
      </c>
      <c r="D204" s="237" t="str">
        <f t="shared" si="147"/>
        <v>-</v>
      </c>
      <c r="E204" s="263" t="str">
        <f t="shared" si="128"/>
        <v/>
      </c>
      <c r="F204" s="264" t="str">
        <f t="shared" si="129"/>
        <v/>
      </c>
      <c r="G204" s="264" t="str">
        <f t="shared" si="130"/>
        <v/>
      </c>
      <c r="H204" s="240" t="str">
        <f t="shared" si="149"/>
        <v/>
      </c>
      <c r="I204" s="265" t="str">
        <f t="shared" si="150"/>
        <v/>
      </c>
      <c r="J204" s="265" t="str">
        <f t="shared" si="151"/>
        <v/>
      </c>
      <c r="K204" s="240" t="str">
        <f t="shared" si="152"/>
        <v/>
      </c>
      <c r="L204" s="265" t="str">
        <f t="shared" si="153"/>
        <v/>
      </c>
      <c r="M204" s="265" t="str">
        <f t="shared" si="154"/>
        <v/>
      </c>
      <c r="N204" s="240" t="str">
        <f t="shared" si="155"/>
        <v>-</v>
      </c>
      <c r="O204" s="265" t="str">
        <f t="shared" si="156"/>
        <v>-</v>
      </c>
      <c r="P204" s="265" t="str">
        <f t="shared" si="157"/>
        <v>-</v>
      </c>
      <c r="Q204" s="266" t="str">
        <f t="shared" si="158"/>
        <v>-</v>
      </c>
      <c r="R204" s="267" t="str">
        <f t="shared" si="159"/>
        <v>-</v>
      </c>
      <c r="S204" s="268" t="str">
        <f t="shared" si="160"/>
        <v>-</v>
      </c>
      <c r="T204" s="269" t="str">
        <f t="shared" si="104"/>
        <v/>
      </c>
      <c r="U204" s="221">
        <f t="shared" si="105"/>
        <v>104</v>
      </c>
      <c r="V204" s="220" t="str">
        <f t="shared" si="131"/>
        <v>-</v>
      </c>
      <c r="W204" s="221" t="str">
        <f t="shared" si="132"/>
        <v>-</v>
      </c>
      <c r="X204" s="221" t="str">
        <f t="shared" si="106"/>
        <v>-</v>
      </c>
      <c r="Y204" s="221" t="str">
        <f t="shared" si="107"/>
        <v>-</v>
      </c>
      <c r="Z204" s="270">
        <f t="shared" si="133"/>
        <v>0.1</v>
      </c>
      <c r="AA204" s="271" t="str">
        <f>IFERROR(IF(V203=1,AA$100*EXP(-(LN(2)/$D$65+0.04)*X203)*EXP(-(LN(2)/$D$65+0.1)*Y203),IF(V203=2,AA$100*EXP(-(LN(2)/$D$65+0.04)*(VLOOKUP(($F$16-$F$15)-1,U$99:Y203,4,FALSE)))*EXP(-(LN(2)/$D$65+0.1)*(VLOOKUP(($F$16-$F$15)-1,U$99:Y203,5,FALSE)))*EXP(-(LN(2)/$D$65+0.04)*X203)*EXP(-(LN(2)/$D$65+0.1)*Y203),IF(V203=3,AA$100*EXP(-(LN(2)/$D$65+0.04)*(VLOOKUP(($F$16-$F$15)-1,U$99:Y203,4,FALSE)))*EXP(-(LN(2)/$D$65+0.1)*(VLOOKUP(($F$16-$F$15)-1,U$99:Y203,5,FALSE)))*EXP(-(LN(2)/$D$65+0.04)*(VLOOKUP(($F$16-$F$15)*2-1,U$99:Y203,4,FALSE)))*EXP(-(LN(2)/$D$65+0.1)*(VLOOKUP(($F$16-$F$15)*2-1,U$99:Y203,5,FALSE)))*EXP(-(LN(2)/$D$65+0.04)*X203)*EXP(-(LN(2)/$D$65+0.1)*Y203),"-"))),"-")</f>
        <v>-</v>
      </c>
      <c r="AB204" s="271" t="str">
        <f>IFERROR(IF(V204=1,AB$100*EXP(-(LN(2)/$D$65+0.04)*X204)*EXP(-(LN(2)/$D$65+0.1)*Y204),IF(V204=2,AB$100*EXP(-(LN(2)/$D$65+0.04)*(VLOOKUP(($F$16-$F$15)-1,U$100:Y204,4,FALSE)))*EXP(-(LN(2)/$D$65+0.1)*(VLOOKUP(($F$16-$F$15)-1,U$100:Y204,5,FALSE)))*EXP(-(LN(2)/$D$65+0.04)*X204)*EXP(-(LN(2)/$D$65+0.1)*Y204),IF(V204=3,AB$100*EXP(-(LN(2)/$D$65+0.04)*(VLOOKUP(($F$16-$F$15)-1,U$100:Y204,4,FALSE)))*EXP(-(LN(2)/$D$65+0.1)*(VLOOKUP(($F$16-$F$15)-1,U$100:Y204,5,FALSE)))*EXP(-(LN(2)/$D$65+0.04)*(VLOOKUP(($F$16-$F$15)*2-1,U$100:Y204,4,FALSE)))*EXP(-(LN(2)/$D$65+0.1)*(VLOOKUP(($F$16-$F$15)*2-1,U$100:Y204,5,FALSE)))*EXP(-(LN(2)/$D$65+0.04)*X204)*EXP(-(LN(2)/$D$65+0.1)*Y204),"-"))),"-")</f>
        <v>-</v>
      </c>
      <c r="AC204" s="224">
        <f t="shared" si="134"/>
        <v>104</v>
      </c>
      <c r="AD204" s="223" t="str">
        <f t="shared" si="108"/>
        <v>-</v>
      </c>
      <c r="AE204" s="224" t="str">
        <f t="shared" si="135"/>
        <v>-</v>
      </c>
      <c r="AF204" s="224" t="str">
        <f t="shared" si="109"/>
        <v>-</v>
      </c>
      <c r="AG204" s="224" t="str">
        <f t="shared" si="110"/>
        <v>-</v>
      </c>
      <c r="AH204" s="272">
        <f t="shared" si="136"/>
        <v>0.1</v>
      </c>
      <c r="AI204" s="271" t="str">
        <f>IFERROR(IF(AD203=1,AI$100*EXP(-(LN(2)/$D$65+0.04)*AF203)*EXP(-(LN(2)/$D$65+0.1)*AG203),IF(AD203=2,AI$100*EXP(-(LN(2)/$D$65+0.04)*(VLOOKUP(($F$16-$F$15)-1,AC$99:AG203,4,FALSE)))*EXP(-(LN(2)/$D$65+0.1)*(VLOOKUP(($F$16-$F$15)-1,AC$99:AG203,5,FALSE)))*EXP(-(LN(2)/$D$65+0.04)*AF203)*EXP(-(LN(2)/$D$65+0.1)*AG203),IF(AD203=3,AI$100*EXP(-(LN(2)/$D$65+0.04)*(VLOOKUP(($F$16-$F$15)-1,AC$99:AG203,4,FALSE)))*EXP(-(LN(2)/$D$65+0.1)*(VLOOKUP(($F$16-$F$15)-1,AC$99:AG203,5,FALSE)))*EXP(-(LN(2)/$D$65+0.04)*(VLOOKUP(($F$16-$F$15)*2-1,AC$99:AG203,4,FALSE)))*EXP(-(LN(2)/$D$65+0.1)*(VLOOKUP(($F$16-$F$15)*2-1,AC$99:AG203,5,FALSE)))*EXP(-(LN(2)/$D$65+0.04)*AF203)*EXP(-(LN(2)/$D$65+0.1)*AG203),"-"))),"-")</f>
        <v>-</v>
      </c>
      <c r="AJ204" s="271" t="str">
        <f>IFERROR(IF(AD204=1,AJ$100*EXP(-(LN(2)/$D$65+0.04)*AF204)*EXP(-(LN(2)/$D$65+0.1)*AG204),IF(AD204=2,AJ$100*EXP(-(LN(2)/$D$65+0.04)*(VLOOKUP(($F$16-$F$15)-1,AC$100:AG204,4,FALSE)))*EXP(-(LN(2)/$D$65+0.1)*(VLOOKUP(($F$16-$F$15)-1,AC$100:AG204,5,FALSE)))*EXP(-(LN(2)/$D$65+0.04)*AF204)*EXP(-(LN(2)/$D$65+0.1)*AG204),IF(AD204=3,AJ$100*EXP(-(LN(2)/$D$65+0.04)*(VLOOKUP(($F$16-$F$15)-1,AC$100:AG204,4,FALSE)))*EXP(-(LN(2)/$D$65+0.1)*(VLOOKUP(($F$16-$F$15)-1,AC$100:AG204,5,FALSE)))*EXP(-(LN(2)/$D$65+0.04)*(VLOOKUP(($F$16-$F$15)*2-1,AC$100:AG204,4,FALSE)))*EXP(-(LN(2)/$D$65+0.1)*(VLOOKUP(($F$16-$F$15)*2-1,AC$100:AG204,5,FALSE)))*EXP(-(LN(2)/$D$65+0.04)*AF204)*EXP(-(LN(2)/$D$65+0.1)*AG204),"-"))),"-")</f>
        <v>-</v>
      </c>
      <c r="AK204" s="227">
        <f t="shared" si="137"/>
        <v>104</v>
      </c>
      <c r="AL204" s="226" t="str">
        <f t="shared" si="111"/>
        <v>-</v>
      </c>
      <c r="AM204" s="227" t="str">
        <f t="shared" si="138"/>
        <v>-</v>
      </c>
      <c r="AN204" s="227" t="str">
        <f t="shared" si="139"/>
        <v>-</v>
      </c>
      <c r="AO204" s="227" t="str">
        <f t="shared" si="112"/>
        <v>-</v>
      </c>
      <c r="AP204" s="273">
        <f t="shared" si="140"/>
        <v>0.1</v>
      </c>
      <c r="AQ204" s="271" t="str">
        <f>IFERROR(IF(AL203=1,AQ$100*EXP(-(LN(2)/$D$65+0.04)*AN203)*EXP(-(LN(2)/$D$65+0.1)*AO203),IF(AL203=2,AQ$100*EXP(-(LN(2)/$D$65+0.04)*(VLOOKUP(($F$16-$F$15)-1,AK$99:AO203,4,FALSE)))*EXP(-(LN(2)/$D$65+0.1)*(VLOOKUP(($F$16-$F$15)-1,AK$99:AO203,5,FALSE)))*EXP(-(LN(2)/$D$65+0.04)*AN203)*EXP(-(LN(2)/$D$65+0.1)*AO203),IF(AL203=3,AQ$100*EXP(-(LN(2)/$D$65+0.04)*(VLOOKUP(($F$16-$F$15)-1,AK$99:AO203,4,FALSE)))*EXP(-(LN(2)/$D$65+0.1)*(VLOOKUP(($F$16-$F$15)-1,AK$99:AO203,5,FALSE)))*EXP(-(LN(2)/$D$65+0.04)*(VLOOKUP(($F$16-$F$15)*2-1,AK$99:AO203,4,FALSE)))*EXP(-(LN(2)/$D$65+0.1)*(VLOOKUP(($F$16-$F$15)*2-1,AK$99:AO203,5,FALSE)))*EXP(-(LN(2)/$D$65+0.04)*AN203)*EXP(-(LN(2)/$D$65+0.1)*AO203),"-"))),"-")</f>
        <v>-</v>
      </c>
      <c r="AR204" s="271" t="str">
        <f>IFERROR(IF(AL204=1,AR$100*EXP(-(LN(2)/$D$65+0.04)*AN204)*EXP(-(LN(2)/$D$65+0.1)*AO204),IF(AL204=2,AR$100*EXP(-(LN(2)/$D$65+0.04)*(VLOOKUP(($F$16-$F$15)-1,AK$100:AO204,4,FALSE)))*EXP(-(LN(2)/$D$65+0.1)*(VLOOKUP(($F$16-$F$15)-1,AK$100:AO204,5,FALSE)))*EXP(-(LN(2)/$D$65+0.04)*AN204)*EXP(-(LN(2)/$D$65+0.1)*AO204),IF(AL204=3,AR$100*EXP(-(LN(2)/$D$65+0.04)*(VLOOKUP(($F$16-$F$15)-1,AK$100:AO204,4,FALSE)))*EXP(-(LN(2)/$D$65+0.1)*(VLOOKUP(($F$16-$F$15)-1,AK$100:AO204,5,FALSE)))*EXP(-(LN(2)/$D$65+0.04)*(VLOOKUP(($F$16-$F$15)*2-1,AK$100:AO204,4,FALSE)))*EXP(-(LN(2)/$D$65+0.1)*(VLOOKUP(($F$16-$F$15)*2-1,AK$100:AO204,5,FALSE)))*EXP(-(LN(2)/$D$65+0.04)*AN204)*EXP(-(LN(2)/$D$65+0.1)*AO204),"-"))),"-")</f>
        <v>-</v>
      </c>
      <c r="AS204" s="274">
        <f t="shared" si="113"/>
        <v>0</v>
      </c>
      <c r="AT204" s="274">
        <f t="shared" si="114"/>
        <v>0</v>
      </c>
      <c r="AU204" s="274">
        <f t="shared" si="115"/>
        <v>0</v>
      </c>
      <c r="AV204" s="190">
        <f>IF($B204&lt;$F$22,SUM($T$100:$T204),"")</f>
        <v>0</v>
      </c>
      <c r="AW204" s="190" t="str">
        <f t="shared" si="161"/>
        <v>-</v>
      </c>
      <c r="AX204" s="190" t="str">
        <f t="shared" si="141"/>
        <v/>
      </c>
      <c r="AY204"/>
      <c r="AZ204" s="190" t="str">
        <f ca="1">IF(ISNUMBER(OFFSET(AV204,-$F$21,0)),SUM(OFFSET($T$100,$F$21,0):$T204),"")</f>
        <v/>
      </c>
      <c r="BA204" s="190" t="str">
        <f t="shared" ca="1" si="162"/>
        <v/>
      </c>
      <c r="BB204" s="190" t="str">
        <f t="shared" ca="1" si="148"/>
        <v/>
      </c>
      <c r="BC204" s="190"/>
      <c r="BD204" s="190" t="str">
        <f ca="1">IFERROR(IF(AND($B204&gt;=($F$16-$F$15),$B204&lt;$F$22+($F$16-$F$15)),SUM(OFFSET($T$100,($F$16-$F$15),0):$T204),""),"")</f>
        <v/>
      </c>
      <c r="BE204" s="190" t="str">
        <f t="shared" ca="1" si="142"/>
        <v/>
      </c>
      <c r="BF204" s="190" t="str">
        <f t="shared" ca="1" si="143"/>
        <v/>
      </c>
      <c r="BG204"/>
      <c r="BH204" s="190" t="str">
        <f ca="1">IF(ISNUMBER(OFFSET(BD204,-$F$21,0)),SUM(OFFSET($T$100,($F$16-$F$15+$F$21),0):$T204),"")</f>
        <v/>
      </c>
      <c r="BI204" s="190" t="str">
        <f t="shared" ca="1" si="163"/>
        <v/>
      </c>
      <c r="BJ204" s="190" t="str">
        <f t="shared" ca="1" si="144"/>
        <v/>
      </c>
      <c r="BK204" s="190"/>
      <c r="BL204" s="190" t="str">
        <f ca="1">IFERROR(IF(AND($B204&gt;=($F$17-$F$15),$B204&lt;$F$22+($F$17-$F$15)),SUM(OFFSET($T$100,($F$17-$F$15),0):$T204),""),"")</f>
        <v/>
      </c>
      <c r="BM204" s="190" t="str">
        <f t="shared" ca="1" si="164"/>
        <v/>
      </c>
      <c r="BN204" s="190" t="str">
        <f t="shared" ca="1" si="145"/>
        <v/>
      </c>
      <c r="BO204"/>
      <c r="BP204" s="190" t="str">
        <f ca="1">IF(ISNUMBER(OFFSET(BL204,-$F$21,0)),SUM(OFFSET($T$100,($F$17-$F$15+$F$21),0):$T204),"")</f>
        <v/>
      </c>
      <c r="BQ204" s="190" t="str">
        <f t="shared" ca="1" si="165"/>
        <v/>
      </c>
      <c r="BR204" s="190" t="str">
        <f t="shared" ca="1" si="146"/>
        <v/>
      </c>
      <c r="BS204" s="190"/>
      <c r="BT204"/>
      <c r="BU204"/>
      <c r="BV204"/>
      <c r="BY204" s="99"/>
      <c r="BZ204" s="99"/>
      <c r="CA204" s="280" t="str">
        <f t="shared" si="166"/>
        <v/>
      </c>
      <c r="CB204" s="71" t="str">
        <f t="shared" si="122"/>
        <v>-</v>
      </c>
      <c r="CC204" s="33"/>
      <c r="CD204" s="261" t="str">
        <f t="shared" si="123"/>
        <v/>
      </c>
      <c r="CE204" s="280" t="str">
        <f t="shared" si="167"/>
        <v>-</v>
      </c>
      <c r="CF204" s="71" t="str">
        <f t="shared" ca="1" si="168"/>
        <v>-</v>
      </c>
      <c r="CG204" s="33" t="str">
        <f t="shared" si="126"/>
        <v>104-105</v>
      </c>
      <c r="CH204" s="261" t="str">
        <f t="shared" ca="1" si="127"/>
        <v/>
      </c>
    </row>
    <row r="205" spans="2:86" ht="13.5" customHeight="1" x14ac:dyDescent="0.2">
      <c r="B205" s="262">
        <v>105</v>
      </c>
      <c r="C205" s="237" t="str">
        <f t="shared" si="91"/>
        <v/>
      </c>
      <c r="D205" s="237" t="str">
        <f t="shared" si="147"/>
        <v>-</v>
      </c>
      <c r="E205" s="263" t="str">
        <f t="shared" si="128"/>
        <v/>
      </c>
      <c r="F205" s="264" t="str">
        <f t="shared" si="129"/>
        <v/>
      </c>
      <c r="G205" s="264" t="str">
        <f t="shared" si="130"/>
        <v/>
      </c>
      <c r="H205" s="240" t="str">
        <f t="shared" si="149"/>
        <v/>
      </c>
      <c r="I205" s="265" t="str">
        <f t="shared" si="150"/>
        <v/>
      </c>
      <c r="J205" s="265" t="str">
        <f t="shared" si="151"/>
        <v/>
      </c>
      <c r="K205" s="240" t="str">
        <f t="shared" si="152"/>
        <v/>
      </c>
      <c r="L205" s="265" t="str">
        <f t="shared" si="153"/>
        <v/>
      </c>
      <c r="M205" s="265" t="str">
        <f t="shared" si="154"/>
        <v/>
      </c>
      <c r="N205" s="240" t="str">
        <f t="shared" si="155"/>
        <v>-</v>
      </c>
      <c r="O205" s="265" t="str">
        <f t="shared" si="156"/>
        <v>-</v>
      </c>
      <c r="P205" s="265" t="str">
        <f t="shared" si="157"/>
        <v>-</v>
      </c>
      <c r="Q205" s="266" t="str">
        <f t="shared" si="158"/>
        <v>-</v>
      </c>
      <c r="R205" s="267" t="str">
        <f t="shared" si="159"/>
        <v>-</v>
      </c>
      <c r="S205" s="268" t="str">
        <f t="shared" si="160"/>
        <v>-</v>
      </c>
      <c r="T205" s="269" t="str">
        <f t="shared" si="104"/>
        <v/>
      </c>
      <c r="U205" s="221">
        <f t="shared" si="105"/>
        <v>105</v>
      </c>
      <c r="V205" s="220" t="str">
        <f t="shared" si="131"/>
        <v>-</v>
      </c>
      <c r="W205" s="221" t="str">
        <f t="shared" si="132"/>
        <v>-</v>
      </c>
      <c r="X205" s="221" t="str">
        <f t="shared" si="106"/>
        <v>-</v>
      </c>
      <c r="Y205" s="221" t="str">
        <f t="shared" si="107"/>
        <v>-</v>
      </c>
      <c r="Z205" s="270">
        <f t="shared" si="133"/>
        <v>0.1</v>
      </c>
      <c r="AA205" s="271" t="str">
        <f>IFERROR(IF(V204=1,AA$100*EXP(-(LN(2)/$D$65+0.04)*X204)*EXP(-(LN(2)/$D$65+0.1)*Y204),IF(V204=2,AA$100*EXP(-(LN(2)/$D$65+0.04)*(VLOOKUP(($F$16-$F$15)-1,U$99:Y204,4,FALSE)))*EXP(-(LN(2)/$D$65+0.1)*(VLOOKUP(($F$16-$F$15)-1,U$99:Y204,5,FALSE)))*EXP(-(LN(2)/$D$65+0.04)*X204)*EXP(-(LN(2)/$D$65+0.1)*Y204),IF(V204=3,AA$100*EXP(-(LN(2)/$D$65+0.04)*(VLOOKUP(($F$16-$F$15)-1,U$99:Y204,4,FALSE)))*EXP(-(LN(2)/$D$65+0.1)*(VLOOKUP(($F$16-$F$15)-1,U$99:Y204,5,FALSE)))*EXP(-(LN(2)/$D$65+0.04)*(VLOOKUP(($F$16-$F$15)*2-1,U$99:Y204,4,FALSE)))*EXP(-(LN(2)/$D$65+0.1)*(VLOOKUP(($F$16-$F$15)*2-1,U$99:Y204,5,FALSE)))*EXP(-(LN(2)/$D$65+0.04)*X204)*EXP(-(LN(2)/$D$65+0.1)*Y204),"-"))),"-")</f>
        <v>-</v>
      </c>
      <c r="AB205" s="271" t="str">
        <f>IFERROR(IF(V205=1,AB$100*EXP(-(LN(2)/$D$65+0.04)*X205)*EXP(-(LN(2)/$D$65+0.1)*Y205),IF(V205=2,AB$100*EXP(-(LN(2)/$D$65+0.04)*(VLOOKUP(($F$16-$F$15)-1,U$100:Y205,4,FALSE)))*EXP(-(LN(2)/$D$65+0.1)*(VLOOKUP(($F$16-$F$15)-1,U$100:Y205,5,FALSE)))*EXP(-(LN(2)/$D$65+0.04)*X205)*EXP(-(LN(2)/$D$65+0.1)*Y205),IF(V205=3,AB$100*EXP(-(LN(2)/$D$65+0.04)*(VLOOKUP(($F$16-$F$15)-1,U$100:Y205,4,FALSE)))*EXP(-(LN(2)/$D$65+0.1)*(VLOOKUP(($F$16-$F$15)-1,U$100:Y205,5,FALSE)))*EXP(-(LN(2)/$D$65+0.04)*(VLOOKUP(($F$16-$F$15)*2-1,U$100:Y205,4,FALSE)))*EXP(-(LN(2)/$D$65+0.1)*(VLOOKUP(($F$16-$F$15)*2-1,U$100:Y205,5,FALSE)))*EXP(-(LN(2)/$D$65+0.04)*X205)*EXP(-(LN(2)/$D$65+0.1)*Y205),"-"))),"-")</f>
        <v>-</v>
      </c>
      <c r="AC205" s="224">
        <f t="shared" si="134"/>
        <v>105</v>
      </c>
      <c r="AD205" s="223" t="str">
        <f t="shared" si="108"/>
        <v>-</v>
      </c>
      <c r="AE205" s="224" t="str">
        <f t="shared" si="135"/>
        <v>-</v>
      </c>
      <c r="AF205" s="224" t="str">
        <f t="shared" si="109"/>
        <v>-</v>
      </c>
      <c r="AG205" s="224" t="str">
        <f t="shared" si="110"/>
        <v>-</v>
      </c>
      <c r="AH205" s="272">
        <f t="shared" si="136"/>
        <v>0.1</v>
      </c>
      <c r="AI205" s="271" t="str">
        <f>IFERROR(IF(AD204=1,AI$100*EXP(-(LN(2)/$D$65+0.04)*AF204)*EXP(-(LN(2)/$D$65+0.1)*AG204),IF(AD204=2,AI$100*EXP(-(LN(2)/$D$65+0.04)*(VLOOKUP(($F$16-$F$15)-1,AC$99:AG204,4,FALSE)))*EXP(-(LN(2)/$D$65+0.1)*(VLOOKUP(($F$16-$F$15)-1,AC$99:AG204,5,FALSE)))*EXP(-(LN(2)/$D$65+0.04)*AF204)*EXP(-(LN(2)/$D$65+0.1)*AG204),IF(AD204=3,AI$100*EXP(-(LN(2)/$D$65+0.04)*(VLOOKUP(($F$16-$F$15)-1,AC$99:AG204,4,FALSE)))*EXP(-(LN(2)/$D$65+0.1)*(VLOOKUP(($F$16-$F$15)-1,AC$99:AG204,5,FALSE)))*EXP(-(LN(2)/$D$65+0.04)*(VLOOKUP(($F$16-$F$15)*2-1,AC$99:AG204,4,FALSE)))*EXP(-(LN(2)/$D$65+0.1)*(VLOOKUP(($F$16-$F$15)*2-1,AC$99:AG204,5,FALSE)))*EXP(-(LN(2)/$D$65+0.04)*AF204)*EXP(-(LN(2)/$D$65+0.1)*AG204),"-"))),"-")</f>
        <v>-</v>
      </c>
      <c r="AJ205" s="271" t="str">
        <f>IFERROR(IF(AD205=1,AJ$100*EXP(-(LN(2)/$D$65+0.04)*AF205)*EXP(-(LN(2)/$D$65+0.1)*AG205),IF(AD205=2,AJ$100*EXP(-(LN(2)/$D$65+0.04)*(VLOOKUP(($F$16-$F$15)-1,AC$100:AG205,4,FALSE)))*EXP(-(LN(2)/$D$65+0.1)*(VLOOKUP(($F$16-$F$15)-1,AC$100:AG205,5,FALSE)))*EXP(-(LN(2)/$D$65+0.04)*AF205)*EXP(-(LN(2)/$D$65+0.1)*AG205),IF(AD205=3,AJ$100*EXP(-(LN(2)/$D$65+0.04)*(VLOOKUP(($F$16-$F$15)-1,AC$100:AG205,4,FALSE)))*EXP(-(LN(2)/$D$65+0.1)*(VLOOKUP(($F$16-$F$15)-1,AC$100:AG205,5,FALSE)))*EXP(-(LN(2)/$D$65+0.04)*(VLOOKUP(($F$16-$F$15)*2-1,AC$100:AG205,4,FALSE)))*EXP(-(LN(2)/$D$65+0.1)*(VLOOKUP(($F$16-$F$15)*2-1,AC$100:AG205,5,FALSE)))*EXP(-(LN(2)/$D$65+0.04)*AF205)*EXP(-(LN(2)/$D$65+0.1)*AG205),"-"))),"-")</f>
        <v>-</v>
      </c>
      <c r="AK205" s="227">
        <f t="shared" si="137"/>
        <v>105</v>
      </c>
      <c r="AL205" s="226" t="str">
        <f t="shared" si="111"/>
        <v>-</v>
      </c>
      <c r="AM205" s="227" t="str">
        <f t="shared" si="138"/>
        <v>-</v>
      </c>
      <c r="AN205" s="227" t="str">
        <f t="shared" si="139"/>
        <v>-</v>
      </c>
      <c r="AO205" s="227" t="str">
        <f t="shared" si="112"/>
        <v>-</v>
      </c>
      <c r="AP205" s="273">
        <f t="shared" si="140"/>
        <v>0.1</v>
      </c>
      <c r="AQ205" s="271" t="str">
        <f>IFERROR(IF(AL204=1,AQ$100*EXP(-(LN(2)/$D$65+0.04)*AN204)*EXP(-(LN(2)/$D$65+0.1)*AO204),IF(AL204=2,AQ$100*EXP(-(LN(2)/$D$65+0.04)*(VLOOKUP(($F$16-$F$15)-1,AK$99:AO204,4,FALSE)))*EXP(-(LN(2)/$D$65+0.1)*(VLOOKUP(($F$16-$F$15)-1,AK$99:AO204,5,FALSE)))*EXP(-(LN(2)/$D$65+0.04)*AN204)*EXP(-(LN(2)/$D$65+0.1)*AO204),IF(AL204=3,AQ$100*EXP(-(LN(2)/$D$65+0.04)*(VLOOKUP(($F$16-$F$15)-1,AK$99:AO204,4,FALSE)))*EXP(-(LN(2)/$D$65+0.1)*(VLOOKUP(($F$16-$F$15)-1,AK$99:AO204,5,FALSE)))*EXP(-(LN(2)/$D$65+0.04)*(VLOOKUP(($F$16-$F$15)*2-1,AK$99:AO204,4,FALSE)))*EXP(-(LN(2)/$D$65+0.1)*(VLOOKUP(($F$16-$F$15)*2-1,AK$99:AO204,5,FALSE)))*EXP(-(LN(2)/$D$65+0.04)*AN204)*EXP(-(LN(2)/$D$65+0.1)*AO204),"-"))),"-")</f>
        <v>-</v>
      </c>
      <c r="AR205" s="271" t="str">
        <f>IFERROR(IF(AL205=1,AR$100*EXP(-(LN(2)/$D$65+0.04)*AN205)*EXP(-(LN(2)/$D$65+0.1)*AO205),IF(AL205=2,AR$100*EXP(-(LN(2)/$D$65+0.04)*(VLOOKUP(($F$16-$F$15)-1,AK$100:AO205,4,FALSE)))*EXP(-(LN(2)/$D$65+0.1)*(VLOOKUP(($F$16-$F$15)-1,AK$100:AO205,5,FALSE)))*EXP(-(LN(2)/$D$65+0.04)*AN205)*EXP(-(LN(2)/$D$65+0.1)*AO205),IF(AL205=3,AR$100*EXP(-(LN(2)/$D$65+0.04)*(VLOOKUP(($F$16-$F$15)-1,AK$100:AO205,4,FALSE)))*EXP(-(LN(2)/$D$65+0.1)*(VLOOKUP(($F$16-$F$15)-1,AK$100:AO205,5,FALSE)))*EXP(-(LN(2)/$D$65+0.04)*(VLOOKUP(($F$16-$F$15)*2-1,AK$100:AO205,4,FALSE)))*EXP(-(LN(2)/$D$65+0.1)*(VLOOKUP(($F$16-$F$15)*2-1,AK$100:AO205,5,FALSE)))*EXP(-(LN(2)/$D$65+0.04)*AN205)*EXP(-(LN(2)/$D$65+0.1)*AO205),"-"))),"-")</f>
        <v>-</v>
      </c>
      <c r="AS205" s="274">
        <f t="shared" si="113"/>
        <v>0</v>
      </c>
      <c r="AT205" s="274">
        <f t="shared" si="114"/>
        <v>0</v>
      </c>
      <c r="AU205" s="274">
        <f t="shared" si="115"/>
        <v>0</v>
      </c>
      <c r="AV205" s="190">
        <f>IF($B205&lt;$F$22,SUM($T$100:$T205),"")</f>
        <v>0</v>
      </c>
      <c r="AW205" s="190" t="str">
        <f t="shared" si="161"/>
        <v>-</v>
      </c>
      <c r="AX205" s="190" t="str">
        <f t="shared" si="141"/>
        <v/>
      </c>
      <c r="AY205"/>
      <c r="AZ205" s="190" t="str">
        <f ca="1">IF(ISNUMBER(OFFSET(AV205,-$F$21,0)),SUM(OFFSET($T$100,$F$21,0):$T205),"")</f>
        <v/>
      </c>
      <c r="BA205" s="190" t="str">
        <f t="shared" ca="1" si="162"/>
        <v/>
      </c>
      <c r="BB205" s="190" t="str">
        <f t="shared" ca="1" si="148"/>
        <v/>
      </c>
      <c r="BC205" s="190"/>
      <c r="BD205" s="190" t="str">
        <f ca="1">IFERROR(IF(AND($B205&gt;=($F$16-$F$15),$B205&lt;$F$22+($F$16-$F$15)),SUM(OFFSET($T$100,($F$16-$F$15),0):$T205),""),"")</f>
        <v/>
      </c>
      <c r="BE205" s="190" t="str">
        <f t="shared" ca="1" si="142"/>
        <v/>
      </c>
      <c r="BF205" s="190" t="str">
        <f t="shared" ca="1" si="143"/>
        <v/>
      </c>
      <c r="BG205"/>
      <c r="BH205" s="190" t="str">
        <f ca="1">IF(ISNUMBER(OFFSET(BD205,-$F$21,0)),SUM(OFFSET($T$100,($F$16-$F$15+$F$21),0):$T205),"")</f>
        <v/>
      </c>
      <c r="BI205" s="190" t="str">
        <f t="shared" ca="1" si="163"/>
        <v/>
      </c>
      <c r="BJ205" s="190" t="str">
        <f t="shared" ca="1" si="144"/>
        <v/>
      </c>
      <c r="BK205" s="190"/>
      <c r="BL205" s="190" t="str">
        <f ca="1">IFERROR(IF(AND($B205&gt;=($F$17-$F$15),$B205&lt;$F$22+($F$17-$F$15)),SUM(OFFSET($T$100,($F$17-$F$15),0):$T205),""),"")</f>
        <v/>
      </c>
      <c r="BM205" s="190" t="str">
        <f t="shared" ca="1" si="164"/>
        <v/>
      </c>
      <c r="BN205" s="190" t="str">
        <f t="shared" ca="1" si="145"/>
        <v/>
      </c>
      <c r="BO205"/>
      <c r="BP205" s="190" t="str">
        <f ca="1">IF(ISNUMBER(OFFSET(BL205,-$F$21,0)),SUM(OFFSET($T$100,($F$17-$F$15+$F$21),0):$T205),"")</f>
        <v/>
      </c>
      <c r="BQ205" s="190" t="str">
        <f t="shared" ca="1" si="165"/>
        <v/>
      </c>
      <c r="BR205" s="190" t="str">
        <f t="shared" ca="1" si="146"/>
        <v/>
      </c>
      <c r="BS205" s="190"/>
      <c r="BT205"/>
      <c r="BU205"/>
      <c r="BV205"/>
      <c r="BY205" s="99"/>
      <c r="BZ205" s="99"/>
      <c r="CA205" s="280" t="str">
        <f t="shared" si="166"/>
        <v/>
      </c>
      <c r="CB205" s="71" t="str">
        <f t="shared" si="122"/>
        <v>-</v>
      </c>
      <c r="CC205" s="33"/>
      <c r="CD205" s="261" t="str">
        <f t="shared" si="123"/>
        <v/>
      </c>
      <c r="CE205" s="280" t="str">
        <f t="shared" si="167"/>
        <v>-</v>
      </c>
      <c r="CF205" s="71" t="str">
        <f t="shared" ca="1" si="168"/>
        <v>-</v>
      </c>
      <c r="CG205" s="33" t="str">
        <f t="shared" si="126"/>
        <v>105-106</v>
      </c>
      <c r="CH205" s="261" t="str">
        <f t="shared" ca="1" si="127"/>
        <v/>
      </c>
    </row>
    <row r="206" spans="2:86" ht="13.5" customHeight="1" x14ac:dyDescent="0.2">
      <c r="B206" s="262">
        <v>106</v>
      </c>
      <c r="C206" s="237" t="str">
        <f t="shared" si="91"/>
        <v/>
      </c>
      <c r="D206" s="237" t="str">
        <f t="shared" si="147"/>
        <v>-</v>
      </c>
      <c r="E206" s="263" t="str">
        <f t="shared" si="128"/>
        <v/>
      </c>
      <c r="F206" s="264" t="str">
        <f t="shared" si="129"/>
        <v/>
      </c>
      <c r="G206" s="264" t="str">
        <f t="shared" si="130"/>
        <v/>
      </c>
      <c r="H206" s="240" t="str">
        <f t="shared" si="149"/>
        <v/>
      </c>
      <c r="I206" s="265" t="str">
        <f t="shared" si="150"/>
        <v/>
      </c>
      <c r="J206" s="265" t="str">
        <f t="shared" si="151"/>
        <v/>
      </c>
      <c r="K206" s="240" t="str">
        <f t="shared" si="152"/>
        <v/>
      </c>
      <c r="L206" s="265" t="str">
        <f t="shared" si="153"/>
        <v/>
      </c>
      <c r="M206" s="265" t="str">
        <f t="shared" si="154"/>
        <v/>
      </c>
      <c r="N206" s="240" t="str">
        <f t="shared" si="155"/>
        <v>-</v>
      </c>
      <c r="O206" s="265" t="str">
        <f t="shared" si="156"/>
        <v>-</v>
      </c>
      <c r="P206" s="265" t="str">
        <f t="shared" si="157"/>
        <v>-</v>
      </c>
      <c r="Q206" s="266" t="str">
        <f t="shared" si="158"/>
        <v>-</v>
      </c>
      <c r="R206" s="267" t="str">
        <f t="shared" si="159"/>
        <v>-</v>
      </c>
      <c r="S206" s="268" t="str">
        <f t="shared" si="160"/>
        <v>-</v>
      </c>
      <c r="T206" s="269" t="str">
        <f t="shared" si="104"/>
        <v/>
      </c>
      <c r="U206" s="221">
        <f t="shared" si="105"/>
        <v>106</v>
      </c>
      <c r="V206" s="220" t="str">
        <f t="shared" si="131"/>
        <v>-</v>
      </c>
      <c r="W206" s="221" t="str">
        <f t="shared" si="132"/>
        <v>-</v>
      </c>
      <c r="X206" s="221" t="str">
        <f t="shared" si="106"/>
        <v>-</v>
      </c>
      <c r="Y206" s="221" t="str">
        <f t="shared" si="107"/>
        <v>-</v>
      </c>
      <c r="Z206" s="270">
        <f t="shared" si="133"/>
        <v>0.1</v>
      </c>
      <c r="AA206" s="271" t="str">
        <f>IFERROR(IF(V205=1,AA$100*EXP(-(LN(2)/$D$65+0.04)*X205)*EXP(-(LN(2)/$D$65+0.1)*Y205),IF(V205=2,AA$100*EXP(-(LN(2)/$D$65+0.04)*(VLOOKUP(($F$16-$F$15)-1,U$99:Y205,4,FALSE)))*EXP(-(LN(2)/$D$65+0.1)*(VLOOKUP(($F$16-$F$15)-1,U$99:Y205,5,FALSE)))*EXP(-(LN(2)/$D$65+0.04)*X205)*EXP(-(LN(2)/$D$65+0.1)*Y205),IF(V205=3,AA$100*EXP(-(LN(2)/$D$65+0.04)*(VLOOKUP(($F$16-$F$15)-1,U$99:Y205,4,FALSE)))*EXP(-(LN(2)/$D$65+0.1)*(VLOOKUP(($F$16-$F$15)-1,U$99:Y205,5,FALSE)))*EXP(-(LN(2)/$D$65+0.04)*(VLOOKUP(($F$16-$F$15)*2-1,U$99:Y205,4,FALSE)))*EXP(-(LN(2)/$D$65+0.1)*(VLOOKUP(($F$16-$F$15)*2-1,U$99:Y205,5,FALSE)))*EXP(-(LN(2)/$D$65+0.04)*X205)*EXP(-(LN(2)/$D$65+0.1)*Y205),"-"))),"-")</f>
        <v>-</v>
      </c>
      <c r="AB206" s="271" t="str">
        <f>IFERROR(IF(V206=1,AB$100*EXP(-(LN(2)/$D$65+0.04)*X206)*EXP(-(LN(2)/$D$65+0.1)*Y206),IF(V206=2,AB$100*EXP(-(LN(2)/$D$65+0.04)*(VLOOKUP(($F$16-$F$15)-1,U$100:Y206,4,FALSE)))*EXP(-(LN(2)/$D$65+0.1)*(VLOOKUP(($F$16-$F$15)-1,U$100:Y206,5,FALSE)))*EXP(-(LN(2)/$D$65+0.04)*X206)*EXP(-(LN(2)/$D$65+0.1)*Y206),IF(V206=3,AB$100*EXP(-(LN(2)/$D$65+0.04)*(VLOOKUP(($F$16-$F$15)-1,U$100:Y206,4,FALSE)))*EXP(-(LN(2)/$D$65+0.1)*(VLOOKUP(($F$16-$F$15)-1,U$100:Y206,5,FALSE)))*EXP(-(LN(2)/$D$65+0.04)*(VLOOKUP(($F$16-$F$15)*2-1,U$100:Y206,4,FALSE)))*EXP(-(LN(2)/$D$65+0.1)*(VLOOKUP(($F$16-$F$15)*2-1,U$100:Y206,5,FALSE)))*EXP(-(LN(2)/$D$65+0.04)*X206)*EXP(-(LN(2)/$D$65+0.1)*Y206),"-"))),"-")</f>
        <v>-</v>
      </c>
      <c r="AC206" s="224">
        <f t="shared" si="134"/>
        <v>106</v>
      </c>
      <c r="AD206" s="223" t="str">
        <f t="shared" si="108"/>
        <v>-</v>
      </c>
      <c r="AE206" s="224" t="str">
        <f t="shared" si="135"/>
        <v>-</v>
      </c>
      <c r="AF206" s="224" t="str">
        <f t="shared" si="109"/>
        <v>-</v>
      </c>
      <c r="AG206" s="224" t="str">
        <f t="shared" si="110"/>
        <v>-</v>
      </c>
      <c r="AH206" s="272">
        <f t="shared" si="136"/>
        <v>0.1</v>
      </c>
      <c r="AI206" s="271" t="str">
        <f>IFERROR(IF(AD205=1,AI$100*EXP(-(LN(2)/$D$65+0.04)*AF205)*EXP(-(LN(2)/$D$65+0.1)*AG205),IF(AD205=2,AI$100*EXP(-(LN(2)/$D$65+0.04)*(VLOOKUP(($F$16-$F$15)-1,AC$99:AG205,4,FALSE)))*EXP(-(LN(2)/$D$65+0.1)*(VLOOKUP(($F$16-$F$15)-1,AC$99:AG205,5,FALSE)))*EXP(-(LN(2)/$D$65+0.04)*AF205)*EXP(-(LN(2)/$D$65+0.1)*AG205),IF(AD205=3,AI$100*EXP(-(LN(2)/$D$65+0.04)*(VLOOKUP(($F$16-$F$15)-1,AC$99:AG205,4,FALSE)))*EXP(-(LN(2)/$D$65+0.1)*(VLOOKUP(($F$16-$F$15)-1,AC$99:AG205,5,FALSE)))*EXP(-(LN(2)/$D$65+0.04)*(VLOOKUP(($F$16-$F$15)*2-1,AC$99:AG205,4,FALSE)))*EXP(-(LN(2)/$D$65+0.1)*(VLOOKUP(($F$16-$F$15)*2-1,AC$99:AG205,5,FALSE)))*EXP(-(LN(2)/$D$65+0.04)*AF205)*EXP(-(LN(2)/$D$65+0.1)*AG205),"-"))),"-")</f>
        <v>-</v>
      </c>
      <c r="AJ206" s="271" t="str">
        <f>IFERROR(IF(AD206=1,AJ$100*EXP(-(LN(2)/$D$65+0.04)*AF206)*EXP(-(LN(2)/$D$65+0.1)*AG206),IF(AD206=2,AJ$100*EXP(-(LN(2)/$D$65+0.04)*(VLOOKUP(($F$16-$F$15)-1,AC$100:AG206,4,FALSE)))*EXP(-(LN(2)/$D$65+0.1)*(VLOOKUP(($F$16-$F$15)-1,AC$100:AG206,5,FALSE)))*EXP(-(LN(2)/$D$65+0.04)*AF206)*EXP(-(LN(2)/$D$65+0.1)*AG206),IF(AD206=3,AJ$100*EXP(-(LN(2)/$D$65+0.04)*(VLOOKUP(($F$16-$F$15)-1,AC$100:AG206,4,FALSE)))*EXP(-(LN(2)/$D$65+0.1)*(VLOOKUP(($F$16-$F$15)-1,AC$100:AG206,5,FALSE)))*EXP(-(LN(2)/$D$65+0.04)*(VLOOKUP(($F$16-$F$15)*2-1,AC$100:AG206,4,FALSE)))*EXP(-(LN(2)/$D$65+0.1)*(VLOOKUP(($F$16-$F$15)*2-1,AC$100:AG206,5,FALSE)))*EXP(-(LN(2)/$D$65+0.04)*AF206)*EXP(-(LN(2)/$D$65+0.1)*AG206),"-"))),"-")</f>
        <v>-</v>
      </c>
      <c r="AK206" s="227">
        <f t="shared" si="137"/>
        <v>106</v>
      </c>
      <c r="AL206" s="226" t="str">
        <f t="shared" si="111"/>
        <v>-</v>
      </c>
      <c r="AM206" s="227" t="str">
        <f t="shared" si="138"/>
        <v>-</v>
      </c>
      <c r="AN206" s="227" t="str">
        <f t="shared" si="139"/>
        <v>-</v>
      </c>
      <c r="AO206" s="227" t="str">
        <f t="shared" si="112"/>
        <v>-</v>
      </c>
      <c r="AP206" s="273">
        <f t="shared" si="140"/>
        <v>0.1</v>
      </c>
      <c r="AQ206" s="271" t="str">
        <f>IFERROR(IF(AL205=1,AQ$100*EXP(-(LN(2)/$D$65+0.04)*AN205)*EXP(-(LN(2)/$D$65+0.1)*AO205),IF(AL205=2,AQ$100*EXP(-(LN(2)/$D$65+0.04)*(VLOOKUP(($F$16-$F$15)-1,AK$99:AO205,4,FALSE)))*EXP(-(LN(2)/$D$65+0.1)*(VLOOKUP(($F$16-$F$15)-1,AK$99:AO205,5,FALSE)))*EXP(-(LN(2)/$D$65+0.04)*AN205)*EXP(-(LN(2)/$D$65+0.1)*AO205),IF(AL205=3,AQ$100*EXP(-(LN(2)/$D$65+0.04)*(VLOOKUP(($F$16-$F$15)-1,AK$99:AO205,4,FALSE)))*EXP(-(LN(2)/$D$65+0.1)*(VLOOKUP(($F$16-$F$15)-1,AK$99:AO205,5,FALSE)))*EXP(-(LN(2)/$D$65+0.04)*(VLOOKUP(($F$16-$F$15)*2-1,AK$99:AO205,4,FALSE)))*EXP(-(LN(2)/$D$65+0.1)*(VLOOKUP(($F$16-$F$15)*2-1,AK$99:AO205,5,FALSE)))*EXP(-(LN(2)/$D$65+0.04)*AN205)*EXP(-(LN(2)/$D$65+0.1)*AO205),"-"))),"-")</f>
        <v>-</v>
      </c>
      <c r="AR206" s="271" t="str">
        <f>IFERROR(IF(AL206=1,AR$100*EXP(-(LN(2)/$D$65+0.04)*AN206)*EXP(-(LN(2)/$D$65+0.1)*AO206),IF(AL206=2,AR$100*EXP(-(LN(2)/$D$65+0.04)*(VLOOKUP(($F$16-$F$15)-1,AK$100:AO206,4,FALSE)))*EXP(-(LN(2)/$D$65+0.1)*(VLOOKUP(($F$16-$F$15)-1,AK$100:AO206,5,FALSE)))*EXP(-(LN(2)/$D$65+0.04)*AN206)*EXP(-(LN(2)/$D$65+0.1)*AO206),IF(AL206=3,AR$100*EXP(-(LN(2)/$D$65+0.04)*(VLOOKUP(($F$16-$F$15)-1,AK$100:AO206,4,FALSE)))*EXP(-(LN(2)/$D$65+0.1)*(VLOOKUP(($F$16-$F$15)-1,AK$100:AO206,5,FALSE)))*EXP(-(LN(2)/$D$65+0.04)*(VLOOKUP(($F$16-$F$15)*2-1,AK$100:AO206,4,FALSE)))*EXP(-(LN(2)/$D$65+0.1)*(VLOOKUP(($F$16-$F$15)*2-1,AK$100:AO206,5,FALSE)))*EXP(-(LN(2)/$D$65+0.04)*AN206)*EXP(-(LN(2)/$D$65+0.1)*AO206),"-"))),"-")</f>
        <v>-</v>
      </c>
      <c r="AS206" s="274">
        <f t="shared" si="113"/>
        <v>0</v>
      </c>
      <c r="AT206" s="274">
        <f t="shared" si="114"/>
        <v>0</v>
      </c>
      <c r="AU206" s="274">
        <f t="shared" si="115"/>
        <v>0</v>
      </c>
      <c r="AV206" s="190">
        <f>IF($B206&lt;$F$22,SUM($T$100:$T206),"")</f>
        <v>0</v>
      </c>
      <c r="AW206" s="190" t="str">
        <f t="shared" si="161"/>
        <v>-</v>
      </c>
      <c r="AX206" s="190" t="str">
        <f t="shared" si="141"/>
        <v/>
      </c>
      <c r="AY206"/>
      <c r="AZ206" s="190" t="str">
        <f ca="1">IF(ISNUMBER(OFFSET(AV206,-$F$21,0)),SUM(OFFSET($T$100,$F$21,0):$T206),"")</f>
        <v/>
      </c>
      <c r="BA206" s="190" t="str">
        <f t="shared" ca="1" si="162"/>
        <v/>
      </c>
      <c r="BB206" s="190" t="str">
        <f t="shared" ca="1" si="148"/>
        <v/>
      </c>
      <c r="BC206" s="190"/>
      <c r="BD206" s="190" t="str">
        <f ca="1">IFERROR(IF(AND($B206&gt;=($F$16-$F$15),$B206&lt;$F$22+($F$16-$F$15)),SUM(OFFSET($T$100,($F$16-$F$15),0):$T206),""),"")</f>
        <v/>
      </c>
      <c r="BE206" s="190" t="str">
        <f t="shared" ca="1" si="142"/>
        <v/>
      </c>
      <c r="BF206" s="190" t="str">
        <f t="shared" ca="1" si="143"/>
        <v/>
      </c>
      <c r="BG206"/>
      <c r="BH206" s="190" t="str">
        <f ca="1">IF(ISNUMBER(OFFSET(BD206,-$F$21,0)),SUM(OFFSET($T$100,($F$16-$F$15+$F$21),0):$T206),"")</f>
        <v/>
      </c>
      <c r="BI206" s="190" t="str">
        <f t="shared" ca="1" si="163"/>
        <v/>
      </c>
      <c r="BJ206" s="190" t="str">
        <f t="shared" ca="1" si="144"/>
        <v/>
      </c>
      <c r="BK206" s="190"/>
      <c r="BL206" s="190" t="str">
        <f ca="1">IFERROR(IF(AND($B206&gt;=($F$17-$F$15),$B206&lt;$F$22+($F$17-$F$15)),SUM(OFFSET($T$100,($F$17-$F$15),0):$T206),""),"")</f>
        <v/>
      </c>
      <c r="BM206" s="190" t="str">
        <f t="shared" ca="1" si="164"/>
        <v/>
      </c>
      <c r="BN206" s="190" t="str">
        <f t="shared" ca="1" si="145"/>
        <v/>
      </c>
      <c r="BO206"/>
      <c r="BP206" s="190" t="str">
        <f ca="1">IF(ISNUMBER(OFFSET(BL206,-$F$21,0)),SUM(OFFSET($T$100,($F$17-$F$15+$F$21),0):$T206),"")</f>
        <v/>
      </c>
      <c r="BQ206" s="190" t="str">
        <f t="shared" ca="1" si="165"/>
        <v/>
      </c>
      <c r="BR206" s="190" t="str">
        <f t="shared" ca="1" si="146"/>
        <v/>
      </c>
      <c r="BS206" s="190"/>
      <c r="BT206"/>
      <c r="BU206"/>
      <c r="BV206"/>
      <c r="BY206" s="99"/>
      <c r="BZ206" s="99"/>
      <c r="CA206" s="280" t="str">
        <f t="shared" si="166"/>
        <v/>
      </c>
      <c r="CB206" s="71" t="str">
        <f t="shared" si="122"/>
        <v>-</v>
      </c>
      <c r="CC206" s="33"/>
      <c r="CD206" s="261" t="str">
        <f t="shared" si="123"/>
        <v/>
      </c>
      <c r="CE206" s="280" t="str">
        <f t="shared" si="167"/>
        <v>-</v>
      </c>
      <c r="CF206" s="71" t="str">
        <f t="shared" ca="1" si="168"/>
        <v>-</v>
      </c>
      <c r="CG206" s="33" t="str">
        <f t="shared" si="126"/>
        <v>106-107</v>
      </c>
      <c r="CH206" s="261" t="str">
        <f t="shared" ca="1" si="127"/>
        <v/>
      </c>
    </row>
    <row r="207" spans="2:86" ht="13.5" customHeight="1" x14ac:dyDescent="0.2">
      <c r="B207" s="262">
        <v>107</v>
      </c>
      <c r="C207" s="237" t="str">
        <f t="shared" si="91"/>
        <v/>
      </c>
      <c r="D207" s="237" t="str">
        <f t="shared" si="147"/>
        <v>-</v>
      </c>
      <c r="E207" s="263" t="str">
        <f t="shared" si="128"/>
        <v/>
      </c>
      <c r="F207" s="264" t="str">
        <f t="shared" si="129"/>
        <v/>
      </c>
      <c r="G207" s="264" t="str">
        <f t="shared" si="130"/>
        <v/>
      </c>
      <c r="H207" s="240" t="str">
        <f t="shared" si="149"/>
        <v/>
      </c>
      <c r="I207" s="265" t="str">
        <f t="shared" si="150"/>
        <v/>
      </c>
      <c r="J207" s="265" t="str">
        <f t="shared" si="151"/>
        <v/>
      </c>
      <c r="K207" s="240" t="str">
        <f t="shared" si="152"/>
        <v/>
      </c>
      <c r="L207" s="265" t="str">
        <f t="shared" si="153"/>
        <v/>
      </c>
      <c r="M207" s="265" t="str">
        <f t="shared" si="154"/>
        <v/>
      </c>
      <c r="N207" s="240" t="str">
        <f t="shared" si="155"/>
        <v>-</v>
      </c>
      <c r="O207" s="265" t="str">
        <f t="shared" si="156"/>
        <v>-</v>
      </c>
      <c r="P207" s="265" t="str">
        <f t="shared" si="157"/>
        <v>-</v>
      </c>
      <c r="Q207" s="266" t="str">
        <f t="shared" si="158"/>
        <v>-</v>
      </c>
      <c r="R207" s="267" t="str">
        <f t="shared" si="159"/>
        <v>-</v>
      </c>
      <c r="S207" s="268" t="str">
        <f t="shared" si="160"/>
        <v>-</v>
      </c>
      <c r="T207" s="269" t="str">
        <f t="shared" si="104"/>
        <v/>
      </c>
      <c r="U207" s="221">
        <f t="shared" si="105"/>
        <v>107</v>
      </c>
      <c r="V207" s="220" t="str">
        <f t="shared" si="131"/>
        <v>-</v>
      </c>
      <c r="W207" s="221" t="str">
        <f t="shared" si="132"/>
        <v>-</v>
      </c>
      <c r="X207" s="221" t="str">
        <f t="shared" si="106"/>
        <v>-</v>
      </c>
      <c r="Y207" s="221" t="str">
        <f t="shared" si="107"/>
        <v>-</v>
      </c>
      <c r="Z207" s="270">
        <f t="shared" si="133"/>
        <v>0.1</v>
      </c>
      <c r="AA207" s="271" t="str">
        <f>IFERROR(IF(V206=1,AA$100*EXP(-(LN(2)/$D$65+0.04)*X206)*EXP(-(LN(2)/$D$65+0.1)*Y206),IF(V206=2,AA$100*EXP(-(LN(2)/$D$65+0.04)*(VLOOKUP(($F$16-$F$15)-1,U$99:Y206,4,FALSE)))*EXP(-(LN(2)/$D$65+0.1)*(VLOOKUP(($F$16-$F$15)-1,U$99:Y206,5,FALSE)))*EXP(-(LN(2)/$D$65+0.04)*X206)*EXP(-(LN(2)/$D$65+0.1)*Y206),IF(V206=3,AA$100*EXP(-(LN(2)/$D$65+0.04)*(VLOOKUP(($F$16-$F$15)-1,U$99:Y206,4,FALSE)))*EXP(-(LN(2)/$D$65+0.1)*(VLOOKUP(($F$16-$F$15)-1,U$99:Y206,5,FALSE)))*EXP(-(LN(2)/$D$65+0.04)*(VLOOKUP(($F$16-$F$15)*2-1,U$99:Y206,4,FALSE)))*EXP(-(LN(2)/$D$65+0.1)*(VLOOKUP(($F$16-$F$15)*2-1,U$99:Y206,5,FALSE)))*EXP(-(LN(2)/$D$65+0.04)*X206)*EXP(-(LN(2)/$D$65+0.1)*Y206),"-"))),"-")</f>
        <v>-</v>
      </c>
      <c r="AB207" s="271" t="str">
        <f>IFERROR(IF(V207=1,AB$100*EXP(-(LN(2)/$D$65+0.04)*X207)*EXP(-(LN(2)/$D$65+0.1)*Y207),IF(V207=2,AB$100*EXP(-(LN(2)/$D$65+0.04)*(VLOOKUP(($F$16-$F$15)-1,U$100:Y207,4,FALSE)))*EXP(-(LN(2)/$D$65+0.1)*(VLOOKUP(($F$16-$F$15)-1,U$100:Y207,5,FALSE)))*EXP(-(LN(2)/$D$65+0.04)*X207)*EXP(-(LN(2)/$D$65+0.1)*Y207),IF(V207=3,AB$100*EXP(-(LN(2)/$D$65+0.04)*(VLOOKUP(($F$16-$F$15)-1,U$100:Y207,4,FALSE)))*EXP(-(LN(2)/$D$65+0.1)*(VLOOKUP(($F$16-$F$15)-1,U$100:Y207,5,FALSE)))*EXP(-(LN(2)/$D$65+0.04)*(VLOOKUP(($F$16-$F$15)*2-1,U$100:Y207,4,FALSE)))*EXP(-(LN(2)/$D$65+0.1)*(VLOOKUP(($F$16-$F$15)*2-1,U$100:Y207,5,FALSE)))*EXP(-(LN(2)/$D$65+0.04)*X207)*EXP(-(LN(2)/$D$65+0.1)*Y207),"-"))),"-")</f>
        <v>-</v>
      </c>
      <c r="AC207" s="224">
        <f t="shared" si="134"/>
        <v>107</v>
      </c>
      <c r="AD207" s="223" t="str">
        <f t="shared" si="108"/>
        <v>-</v>
      </c>
      <c r="AE207" s="224" t="str">
        <f t="shared" si="135"/>
        <v>-</v>
      </c>
      <c r="AF207" s="224" t="str">
        <f t="shared" si="109"/>
        <v>-</v>
      </c>
      <c r="AG207" s="224" t="str">
        <f t="shared" si="110"/>
        <v>-</v>
      </c>
      <c r="AH207" s="272">
        <f t="shared" si="136"/>
        <v>0.1</v>
      </c>
      <c r="AI207" s="271" t="str">
        <f>IFERROR(IF(AD206=1,AI$100*EXP(-(LN(2)/$D$65+0.04)*AF206)*EXP(-(LN(2)/$D$65+0.1)*AG206),IF(AD206=2,AI$100*EXP(-(LN(2)/$D$65+0.04)*(VLOOKUP(($F$16-$F$15)-1,AC$99:AG206,4,FALSE)))*EXP(-(LN(2)/$D$65+0.1)*(VLOOKUP(($F$16-$F$15)-1,AC$99:AG206,5,FALSE)))*EXP(-(LN(2)/$D$65+0.04)*AF206)*EXP(-(LN(2)/$D$65+0.1)*AG206),IF(AD206=3,AI$100*EXP(-(LN(2)/$D$65+0.04)*(VLOOKUP(($F$16-$F$15)-1,AC$99:AG206,4,FALSE)))*EXP(-(LN(2)/$D$65+0.1)*(VLOOKUP(($F$16-$F$15)-1,AC$99:AG206,5,FALSE)))*EXP(-(LN(2)/$D$65+0.04)*(VLOOKUP(($F$16-$F$15)*2-1,AC$99:AG206,4,FALSE)))*EXP(-(LN(2)/$D$65+0.1)*(VLOOKUP(($F$16-$F$15)*2-1,AC$99:AG206,5,FALSE)))*EXP(-(LN(2)/$D$65+0.04)*AF206)*EXP(-(LN(2)/$D$65+0.1)*AG206),"-"))),"-")</f>
        <v>-</v>
      </c>
      <c r="AJ207" s="271" t="str">
        <f>IFERROR(IF(AD207=1,AJ$100*EXP(-(LN(2)/$D$65+0.04)*AF207)*EXP(-(LN(2)/$D$65+0.1)*AG207),IF(AD207=2,AJ$100*EXP(-(LN(2)/$D$65+0.04)*(VLOOKUP(($F$16-$F$15)-1,AC$100:AG207,4,FALSE)))*EXP(-(LN(2)/$D$65+0.1)*(VLOOKUP(($F$16-$F$15)-1,AC$100:AG207,5,FALSE)))*EXP(-(LN(2)/$D$65+0.04)*AF207)*EXP(-(LN(2)/$D$65+0.1)*AG207),IF(AD207=3,AJ$100*EXP(-(LN(2)/$D$65+0.04)*(VLOOKUP(($F$16-$F$15)-1,AC$100:AG207,4,FALSE)))*EXP(-(LN(2)/$D$65+0.1)*(VLOOKUP(($F$16-$F$15)-1,AC$100:AG207,5,FALSE)))*EXP(-(LN(2)/$D$65+0.04)*(VLOOKUP(($F$16-$F$15)*2-1,AC$100:AG207,4,FALSE)))*EXP(-(LN(2)/$D$65+0.1)*(VLOOKUP(($F$16-$F$15)*2-1,AC$100:AG207,5,FALSE)))*EXP(-(LN(2)/$D$65+0.04)*AF207)*EXP(-(LN(2)/$D$65+0.1)*AG207),"-"))),"-")</f>
        <v>-</v>
      </c>
      <c r="AK207" s="227">
        <f t="shared" si="137"/>
        <v>107</v>
      </c>
      <c r="AL207" s="226" t="str">
        <f t="shared" si="111"/>
        <v>-</v>
      </c>
      <c r="AM207" s="227" t="str">
        <f t="shared" si="138"/>
        <v>-</v>
      </c>
      <c r="AN207" s="227" t="str">
        <f t="shared" si="139"/>
        <v>-</v>
      </c>
      <c r="AO207" s="227" t="str">
        <f t="shared" si="112"/>
        <v>-</v>
      </c>
      <c r="AP207" s="273">
        <f t="shared" si="140"/>
        <v>0.1</v>
      </c>
      <c r="AQ207" s="271" t="str">
        <f>IFERROR(IF(AL206=1,AQ$100*EXP(-(LN(2)/$D$65+0.04)*AN206)*EXP(-(LN(2)/$D$65+0.1)*AO206),IF(AL206=2,AQ$100*EXP(-(LN(2)/$D$65+0.04)*(VLOOKUP(($F$16-$F$15)-1,AK$99:AO206,4,FALSE)))*EXP(-(LN(2)/$D$65+0.1)*(VLOOKUP(($F$16-$F$15)-1,AK$99:AO206,5,FALSE)))*EXP(-(LN(2)/$D$65+0.04)*AN206)*EXP(-(LN(2)/$D$65+0.1)*AO206),IF(AL206=3,AQ$100*EXP(-(LN(2)/$D$65+0.04)*(VLOOKUP(($F$16-$F$15)-1,AK$99:AO206,4,FALSE)))*EXP(-(LN(2)/$D$65+0.1)*(VLOOKUP(($F$16-$F$15)-1,AK$99:AO206,5,FALSE)))*EXP(-(LN(2)/$D$65+0.04)*(VLOOKUP(($F$16-$F$15)*2-1,AK$99:AO206,4,FALSE)))*EXP(-(LN(2)/$D$65+0.1)*(VLOOKUP(($F$16-$F$15)*2-1,AK$99:AO206,5,FALSE)))*EXP(-(LN(2)/$D$65+0.04)*AN206)*EXP(-(LN(2)/$D$65+0.1)*AO206),"-"))),"-")</f>
        <v>-</v>
      </c>
      <c r="AR207" s="271" t="str">
        <f>IFERROR(IF(AL207=1,AR$100*EXP(-(LN(2)/$D$65+0.04)*AN207)*EXP(-(LN(2)/$D$65+0.1)*AO207),IF(AL207=2,AR$100*EXP(-(LN(2)/$D$65+0.04)*(VLOOKUP(($F$16-$F$15)-1,AK$100:AO207,4,FALSE)))*EXP(-(LN(2)/$D$65+0.1)*(VLOOKUP(($F$16-$F$15)-1,AK$100:AO207,5,FALSE)))*EXP(-(LN(2)/$D$65+0.04)*AN207)*EXP(-(LN(2)/$D$65+0.1)*AO207),IF(AL207=3,AR$100*EXP(-(LN(2)/$D$65+0.04)*(VLOOKUP(($F$16-$F$15)-1,AK$100:AO207,4,FALSE)))*EXP(-(LN(2)/$D$65+0.1)*(VLOOKUP(($F$16-$F$15)-1,AK$100:AO207,5,FALSE)))*EXP(-(LN(2)/$D$65+0.04)*(VLOOKUP(($F$16-$F$15)*2-1,AK$100:AO207,4,FALSE)))*EXP(-(LN(2)/$D$65+0.1)*(VLOOKUP(($F$16-$F$15)*2-1,AK$100:AO207,5,FALSE)))*EXP(-(LN(2)/$D$65+0.04)*AN207)*EXP(-(LN(2)/$D$65+0.1)*AO207),"-"))),"-")</f>
        <v>-</v>
      </c>
      <c r="AS207" s="274">
        <f t="shared" si="113"/>
        <v>0</v>
      </c>
      <c r="AT207" s="274">
        <f t="shared" si="114"/>
        <v>0</v>
      </c>
      <c r="AU207" s="274">
        <f t="shared" si="115"/>
        <v>0</v>
      </c>
      <c r="AV207" s="190">
        <f>IF($B207&lt;$F$22,SUM($T$100:$T207),"")</f>
        <v>0</v>
      </c>
      <c r="AW207" s="190" t="str">
        <f t="shared" si="161"/>
        <v>-</v>
      </c>
      <c r="AX207" s="190" t="str">
        <f t="shared" si="141"/>
        <v/>
      </c>
      <c r="AY207"/>
      <c r="AZ207" s="190" t="str">
        <f ca="1">IF(ISNUMBER(OFFSET(AV207,-$F$21,0)),SUM(OFFSET($T$100,$F$21,0):$T207),"")</f>
        <v/>
      </c>
      <c r="BA207" s="190" t="str">
        <f t="shared" ca="1" si="162"/>
        <v/>
      </c>
      <c r="BB207" s="190" t="str">
        <f t="shared" ca="1" si="148"/>
        <v/>
      </c>
      <c r="BC207" s="190"/>
      <c r="BD207" s="190" t="str">
        <f ca="1">IFERROR(IF(AND($B207&gt;=($F$16-$F$15),$B207&lt;$F$22+($F$16-$F$15)),SUM(OFFSET($T$100,($F$16-$F$15),0):$T207),""),"")</f>
        <v/>
      </c>
      <c r="BE207" s="190" t="str">
        <f t="shared" ca="1" si="142"/>
        <v/>
      </c>
      <c r="BF207" s="190" t="str">
        <f t="shared" ca="1" si="143"/>
        <v/>
      </c>
      <c r="BG207"/>
      <c r="BH207" s="190" t="str">
        <f ca="1">IF(ISNUMBER(OFFSET(BD207,-$F$21,0)),SUM(OFFSET($T$100,($F$16-$F$15+$F$21),0):$T207),"")</f>
        <v/>
      </c>
      <c r="BI207" s="190" t="str">
        <f t="shared" ca="1" si="163"/>
        <v/>
      </c>
      <c r="BJ207" s="190" t="str">
        <f t="shared" ca="1" si="144"/>
        <v/>
      </c>
      <c r="BK207" s="190"/>
      <c r="BL207" s="190" t="str">
        <f ca="1">IFERROR(IF(AND($B207&gt;=($F$17-$F$15),$B207&lt;$F$22+($F$17-$F$15)),SUM(OFFSET($T$100,($F$17-$F$15),0):$T207),""),"")</f>
        <v/>
      </c>
      <c r="BM207" s="190" t="str">
        <f t="shared" ca="1" si="164"/>
        <v/>
      </c>
      <c r="BN207" s="190" t="str">
        <f t="shared" ca="1" si="145"/>
        <v/>
      </c>
      <c r="BO207"/>
      <c r="BP207" s="190" t="str">
        <f ca="1">IF(ISNUMBER(OFFSET(BL207,-$F$21,0)),SUM(OFFSET($T$100,($F$17-$F$15+$F$21),0):$T207),"")</f>
        <v/>
      </c>
      <c r="BQ207" s="190" t="str">
        <f t="shared" ca="1" si="165"/>
        <v/>
      </c>
      <c r="BR207" s="190" t="str">
        <f t="shared" ca="1" si="146"/>
        <v/>
      </c>
      <c r="BS207" s="190"/>
      <c r="BT207"/>
      <c r="BU207"/>
      <c r="BV207"/>
      <c r="BY207" s="99"/>
      <c r="BZ207" s="99"/>
      <c r="CA207" s="280" t="str">
        <f t="shared" si="166"/>
        <v/>
      </c>
      <c r="CB207" s="71" t="str">
        <f t="shared" si="122"/>
        <v>-</v>
      </c>
      <c r="CC207" s="33"/>
      <c r="CD207" s="261" t="str">
        <f t="shared" si="123"/>
        <v/>
      </c>
      <c r="CE207" s="280" t="str">
        <f t="shared" si="167"/>
        <v>-</v>
      </c>
      <c r="CF207" s="71" t="str">
        <f t="shared" ca="1" si="168"/>
        <v>-</v>
      </c>
      <c r="CG207" s="33" t="str">
        <f t="shared" si="126"/>
        <v>107-108</v>
      </c>
      <c r="CH207" s="261" t="str">
        <f t="shared" ca="1" si="127"/>
        <v/>
      </c>
    </row>
    <row r="208" spans="2:86" ht="13.5" customHeight="1" x14ac:dyDescent="0.2">
      <c r="B208" s="262">
        <v>108</v>
      </c>
      <c r="C208" s="237" t="str">
        <f t="shared" si="91"/>
        <v/>
      </c>
      <c r="D208" s="237" t="str">
        <f t="shared" si="147"/>
        <v>-</v>
      </c>
      <c r="E208" s="263" t="str">
        <f t="shared" si="128"/>
        <v/>
      </c>
      <c r="F208" s="264" t="str">
        <f t="shared" si="129"/>
        <v/>
      </c>
      <c r="G208" s="264" t="str">
        <f t="shared" si="130"/>
        <v/>
      </c>
      <c r="H208" s="240" t="str">
        <f t="shared" si="149"/>
        <v/>
      </c>
      <c r="I208" s="265" t="str">
        <f t="shared" si="150"/>
        <v/>
      </c>
      <c r="J208" s="265" t="str">
        <f t="shared" si="151"/>
        <v/>
      </c>
      <c r="K208" s="240" t="str">
        <f t="shared" si="152"/>
        <v/>
      </c>
      <c r="L208" s="265" t="str">
        <f t="shared" si="153"/>
        <v/>
      </c>
      <c r="M208" s="265" t="str">
        <f t="shared" si="154"/>
        <v/>
      </c>
      <c r="N208" s="240" t="str">
        <f t="shared" si="155"/>
        <v>-</v>
      </c>
      <c r="O208" s="265" t="str">
        <f t="shared" si="156"/>
        <v>-</v>
      </c>
      <c r="P208" s="265" t="str">
        <f t="shared" si="157"/>
        <v>-</v>
      </c>
      <c r="Q208" s="266" t="str">
        <f t="shared" si="158"/>
        <v>-</v>
      </c>
      <c r="R208" s="267" t="str">
        <f t="shared" si="159"/>
        <v>-</v>
      </c>
      <c r="S208" s="268" t="str">
        <f t="shared" si="160"/>
        <v>-</v>
      </c>
      <c r="T208" s="269" t="str">
        <f t="shared" si="104"/>
        <v/>
      </c>
      <c r="U208" s="221">
        <f t="shared" si="105"/>
        <v>108</v>
      </c>
      <c r="V208" s="220" t="str">
        <f t="shared" si="131"/>
        <v>-</v>
      </c>
      <c r="W208" s="221" t="str">
        <f t="shared" si="132"/>
        <v>-</v>
      </c>
      <c r="X208" s="221" t="str">
        <f t="shared" si="106"/>
        <v>-</v>
      </c>
      <c r="Y208" s="221" t="str">
        <f t="shared" si="107"/>
        <v>-</v>
      </c>
      <c r="Z208" s="270">
        <f t="shared" si="133"/>
        <v>0.1</v>
      </c>
      <c r="AA208" s="271" t="str">
        <f>IFERROR(IF(V207=1,AA$100*EXP(-(LN(2)/$D$65+0.04)*X207)*EXP(-(LN(2)/$D$65+0.1)*Y207),IF(V207=2,AA$100*EXP(-(LN(2)/$D$65+0.04)*(VLOOKUP(($F$16-$F$15)-1,U$99:Y207,4,FALSE)))*EXP(-(LN(2)/$D$65+0.1)*(VLOOKUP(($F$16-$F$15)-1,U$99:Y207,5,FALSE)))*EXP(-(LN(2)/$D$65+0.04)*X207)*EXP(-(LN(2)/$D$65+0.1)*Y207),IF(V207=3,AA$100*EXP(-(LN(2)/$D$65+0.04)*(VLOOKUP(($F$16-$F$15)-1,U$99:Y207,4,FALSE)))*EXP(-(LN(2)/$D$65+0.1)*(VLOOKUP(($F$16-$F$15)-1,U$99:Y207,5,FALSE)))*EXP(-(LN(2)/$D$65+0.04)*(VLOOKUP(($F$16-$F$15)*2-1,U$99:Y207,4,FALSE)))*EXP(-(LN(2)/$D$65+0.1)*(VLOOKUP(($F$16-$F$15)*2-1,U$99:Y207,5,FALSE)))*EXP(-(LN(2)/$D$65+0.04)*X207)*EXP(-(LN(2)/$D$65+0.1)*Y207),"-"))),"-")</f>
        <v>-</v>
      </c>
      <c r="AB208" s="271" t="str">
        <f>IFERROR(IF(V208=1,AB$100*EXP(-(LN(2)/$D$65+0.04)*X208)*EXP(-(LN(2)/$D$65+0.1)*Y208),IF(V208=2,AB$100*EXP(-(LN(2)/$D$65+0.04)*(VLOOKUP(($F$16-$F$15)-1,U$100:Y208,4,FALSE)))*EXP(-(LN(2)/$D$65+0.1)*(VLOOKUP(($F$16-$F$15)-1,U$100:Y208,5,FALSE)))*EXP(-(LN(2)/$D$65+0.04)*X208)*EXP(-(LN(2)/$D$65+0.1)*Y208),IF(V208=3,AB$100*EXP(-(LN(2)/$D$65+0.04)*(VLOOKUP(($F$16-$F$15)-1,U$100:Y208,4,FALSE)))*EXP(-(LN(2)/$D$65+0.1)*(VLOOKUP(($F$16-$F$15)-1,U$100:Y208,5,FALSE)))*EXP(-(LN(2)/$D$65+0.04)*(VLOOKUP(($F$16-$F$15)*2-1,U$100:Y208,4,FALSE)))*EXP(-(LN(2)/$D$65+0.1)*(VLOOKUP(($F$16-$F$15)*2-1,U$100:Y208,5,FALSE)))*EXP(-(LN(2)/$D$65+0.04)*X208)*EXP(-(LN(2)/$D$65+0.1)*Y208),"-"))),"-")</f>
        <v>-</v>
      </c>
      <c r="AC208" s="224">
        <f t="shared" si="134"/>
        <v>108</v>
      </c>
      <c r="AD208" s="223" t="str">
        <f t="shared" si="108"/>
        <v>-</v>
      </c>
      <c r="AE208" s="224" t="str">
        <f t="shared" si="135"/>
        <v>-</v>
      </c>
      <c r="AF208" s="224" t="str">
        <f t="shared" si="109"/>
        <v>-</v>
      </c>
      <c r="AG208" s="224" t="str">
        <f t="shared" si="110"/>
        <v>-</v>
      </c>
      <c r="AH208" s="272">
        <f t="shared" si="136"/>
        <v>0.1</v>
      </c>
      <c r="AI208" s="271" t="str">
        <f>IFERROR(IF(AD207=1,AI$100*EXP(-(LN(2)/$D$65+0.04)*AF207)*EXP(-(LN(2)/$D$65+0.1)*AG207),IF(AD207=2,AI$100*EXP(-(LN(2)/$D$65+0.04)*(VLOOKUP(($F$16-$F$15)-1,AC$99:AG207,4,FALSE)))*EXP(-(LN(2)/$D$65+0.1)*(VLOOKUP(($F$16-$F$15)-1,AC$99:AG207,5,FALSE)))*EXP(-(LN(2)/$D$65+0.04)*AF207)*EXP(-(LN(2)/$D$65+0.1)*AG207),IF(AD207=3,AI$100*EXP(-(LN(2)/$D$65+0.04)*(VLOOKUP(($F$16-$F$15)-1,AC$99:AG207,4,FALSE)))*EXP(-(LN(2)/$D$65+0.1)*(VLOOKUP(($F$16-$F$15)-1,AC$99:AG207,5,FALSE)))*EXP(-(LN(2)/$D$65+0.04)*(VLOOKUP(($F$16-$F$15)*2-1,AC$99:AG207,4,FALSE)))*EXP(-(LN(2)/$D$65+0.1)*(VLOOKUP(($F$16-$F$15)*2-1,AC$99:AG207,5,FALSE)))*EXP(-(LN(2)/$D$65+0.04)*AF207)*EXP(-(LN(2)/$D$65+0.1)*AG207),"-"))),"-")</f>
        <v>-</v>
      </c>
      <c r="AJ208" s="271" t="str">
        <f>IFERROR(IF(AD208=1,AJ$100*EXP(-(LN(2)/$D$65+0.04)*AF208)*EXP(-(LN(2)/$D$65+0.1)*AG208),IF(AD208=2,AJ$100*EXP(-(LN(2)/$D$65+0.04)*(VLOOKUP(($F$16-$F$15)-1,AC$100:AG208,4,FALSE)))*EXP(-(LN(2)/$D$65+0.1)*(VLOOKUP(($F$16-$F$15)-1,AC$100:AG208,5,FALSE)))*EXP(-(LN(2)/$D$65+0.04)*AF208)*EXP(-(LN(2)/$D$65+0.1)*AG208),IF(AD208=3,AJ$100*EXP(-(LN(2)/$D$65+0.04)*(VLOOKUP(($F$16-$F$15)-1,AC$100:AG208,4,FALSE)))*EXP(-(LN(2)/$D$65+0.1)*(VLOOKUP(($F$16-$F$15)-1,AC$100:AG208,5,FALSE)))*EXP(-(LN(2)/$D$65+0.04)*(VLOOKUP(($F$16-$F$15)*2-1,AC$100:AG208,4,FALSE)))*EXP(-(LN(2)/$D$65+0.1)*(VLOOKUP(($F$16-$F$15)*2-1,AC$100:AG208,5,FALSE)))*EXP(-(LN(2)/$D$65+0.04)*AF208)*EXP(-(LN(2)/$D$65+0.1)*AG208),"-"))),"-")</f>
        <v>-</v>
      </c>
      <c r="AK208" s="227">
        <f t="shared" si="137"/>
        <v>108</v>
      </c>
      <c r="AL208" s="226" t="str">
        <f t="shared" si="111"/>
        <v>-</v>
      </c>
      <c r="AM208" s="227" t="str">
        <f t="shared" si="138"/>
        <v>-</v>
      </c>
      <c r="AN208" s="227" t="str">
        <f t="shared" si="139"/>
        <v>-</v>
      </c>
      <c r="AO208" s="227" t="str">
        <f t="shared" si="112"/>
        <v>-</v>
      </c>
      <c r="AP208" s="273">
        <f t="shared" si="140"/>
        <v>0.1</v>
      </c>
      <c r="AQ208" s="271" t="str">
        <f>IFERROR(IF(AL207=1,AQ$100*EXP(-(LN(2)/$D$65+0.04)*AN207)*EXP(-(LN(2)/$D$65+0.1)*AO207),IF(AL207=2,AQ$100*EXP(-(LN(2)/$D$65+0.04)*(VLOOKUP(($F$16-$F$15)-1,AK$99:AO207,4,FALSE)))*EXP(-(LN(2)/$D$65+0.1)*(VLOOKUP(($F$16-$F$15)-1,AK$99:AO207,5,FALSE)))*EXP(-(LN(2)/$D$65+0.04)*AN207)*EXP(-(LN(2)/$D$65+0.1)*AO207),IF(AL207=3,AQ$100*EXP(-(LN(2)/$D$65+0.04)*(VLOOKUP(($F$16-$F$15)-1,AK$99:AO207,4,FALSE)))*EXP(-(LN(2)/$D$65+0.1)*(VLOOKUP(($F$16-$F$15)-1,AK$99:AO207,5,FALSE)))*EXP(-(LN(2)/$D$65+0.04)*(VLOOKUP(($F$16-$F$15)*2-1,AK$99:AO207,4,FALSE)))*EXP(-(LN(2)/$D$65+0.1)*(VLOOKUP(($F$16-$F$15)*2-1,AK$99:AO207,5,FALSE)))*EXP(-(LN(2)/$D$65+0.04)*AN207)*EXP(-(LN(2)/$D$65+0.1)*AO207),"-"))),"-")</f>
        <v>-</v>
      </c>
      <c r="AR208" s="271" t="str">
        <f>IFERROR(IF(AL208=1,AR$100*EXP(-(LN(2)/$D$65+0.04)*AN208)*EXP(-(LN(2)/$D$65+0.1)*AO208),IF(AL208=2,AR$100*EXP(-(LN(2)/$D$65+0.04)*(VLOOKUP(($F$16-$F$15)-1,AK$100:AO208,4,FALSE)))*EXP(-(LN(2)/$D$65+0.1)*(VLOOKUP(($F$16-$F$15)-1,AK$100:AO208,5,FALSE)))*EXP(-(LN(2)/$D$65+0.04)*AN208)*EXP(-(LN(2)/$D$65+0.1)*AO208),IF(AL208=3,AR$100*EXP(-(LN(2)/$D$65+0.04)*(VLOOKUP(($F$16-$F$15)-1,AK$100:AO208,4,FALSE)))*EXP(-(LN(2)/$D$65+0.1)*(VLOOKUP(($F$16-$F$15)-1,AK$100:AO208,5,FALSE)))*EXP(-(LN(2)/$D$65+0.04)*(VLOOKUP(($F$16-$F$15)*2-1,AK$100:AO208,4,FALSE)))*EXP(-(LN(2)/$D$65+0.1)*(VLOOKUP(($F$16-$F$15)*2-1,AK$100:AO208,5,FALSE)))*EXP(-(LN(2)/$D$65+0.04)*AN208)*EXP(-(LN(2)/$D$65+0.1)*AO208),"-"))),"-")</f>
        <v>-</v>
      </c>
      <c r="AS208" s="274">
        <f t="shared" si="113"/>
        <v>0</v>
      </c>
      <c r="AT208" s="274">
        <f t="shared" si="114"/>
        <v>0</v>
      </c>
      <c r="AU208" s="274">
        <f t="shared" si="115"/>
        <v>0</v>
      </c>
      <c r="AV208" s="190">
        <f>IF($B208&lt;$F$22,SUM($T$100:$T208),"")</f>
        <v>0</v>
      </c>
      <c r="AW208" s="190" t="str">
        <f t="shared" si="161"/>
        <v>-</v>
      </c>
      <c r="AX208" s="190" t="str">
        <f t="shared" si="141"/>
        <v/>
      </c>
      <c r="AY208"/>
      <c r="AZ208" s="190" t="str">
        <f ca="1">IF(ISNUMBER(OFFSET(AV208,-$F$21,0)),SUM(OFFSET($T$100,$F$21,0):$T208),"")</f>
        <v/>
      </c>
      <c r="BA208" s="190" t="str">
        <f t="shared" ca="1" si="162"/>
        <v/>
      </c>
      <c r="BB208" s="190" t="str">
        <f t="shared" ca="1" si="148"/>
        <v/>
      </c>
      <c r="BC208" s="190"/>
      <c r="BD208" s="190" t="str">
        <f ca="1">IFERROR(IF(AND($B208&gt;=($F$16-$F$15),$B208&lt;$F$22+($F$16-$F$15)),SUM(OFFSET($T$100,($F$16-$F$15),0):$T208),""),"")</f>
        <v/>
      </c>
      <c r="BE208" s="190" t="str">
        <f t="shared" ca="1" si="142"/>
        <v/>
      </c>
      <c r="BF208" s="190" t="str">
        <f t="shared" ca="1" si="143"/>
        <v/>
      </c>
      <c r="BG208"/>
      <c r="BH208" s="190" t="str">
        <f ca="1">IF(ISNUMBER(OFFSET(BD208,-$F$21,0)),SUM(OFFSET($T$100,($F$16-$F$15+$F$21),0):$T208),"")</f>
        <v/>
      </c>
      <c r="BI208" s="190" t="str">
        <f t="shared" ca="1" si="163"/>
        <v/>
      </c>
      <c r="BJ208" s="190" t="str">
        <f t="shared" ca="1" si="144"/>
        <v/>
      </c>
      <c r="BK208" s="190"/>
      <c r="BL208" s="190" t="str">
        <f ca="1">IFERROR(IF(AND($B208&gt;=($F$17-$F$15),$B208&lt;$F$22+($F$17-$F$15)),SUM(OFFSET($T$100,($F$17-$F$15),0):$T208),""),"")</f>
        <v/>
      </c>
      <c r="BM208" s="190" t="str">
        <f t="shared" ca="1" si="164"/>
        <v/>
      </c>
      <c r="BN208" s="190" t="str">
        <f t="shared" ca="1" si="145"/>
        <v/>
      </c>
      <c r="BO208"/>
      <c r="BP208" s="190" t="str">
        <f ca="1">IF(ISNUMBER(OFFSET(BL208,-$F$21,0)),SUM(OFFSET($T$100,($F$17-$F$15+$F$21),0):$T208),"")</f>
        <v/>
      </c>
      <c r="BQ208" s="190" t="str">
        <f t="shared" ca="1" si="165"/>
        <v/>
      </c>
      <c r="BR208" s="190" t="str">
        <f t="shared" ca="1" si="146"/>
        <v/>
      </c>
      <c r="BS208" s="190"/>
      <c r="BT208"/>
      <c r="BU208"/>
      <c r="BV208"/>
      <c r="BY208" s="99"/>
      <c r="BZ208" s="99"/>
      <c r="CA208" s="280" t="str">
        <f t="shared" si="166"/>
        <v/>
      </c>
      <c r="CB208" s="71" t="str">
        <f t="shared" si="122"/>
        <v>-</v>
      </c>
      <c r="CC208" s="33"/>
      <c r="CD208" s="261" t="str">
        <f t="shared" si="123"/>
        <v/>
      </c>
      <c r="CE208" s="280" t="str">
        <f t="shared" si="167"/>
        <v>-</v>
      </c>
      <c r="CF208" s="71" t="str">
        <f t="shared" ca="1" si="168"/>
        <v>-</v>
      </c>
      <c r="CG208" s="33" t="str">
        <f t="shared" si="126"/>
        <v>108-109</v>
      </c>
      <c r="CH208" s="261" t="str">
        <f t="shared" ca="1" si="127"/>
        <v/>
      </c>
    </row>
    <row r="209" spans="2:86" ht="13.5" customHeight="1" x14ac:dyDescent="0.2">
      <c r="B209" s="262">
        <v>109</v>
      </c>
      <c r="C209" s="237" t="str">
        <f t="shared" si="91"/>
        <v/>
      </c>
      <c r="D209" s="237" t="str">
        <f t="shared" si="147"/>
        <v>-</v>
      </c>
      <c r="E209" s="263" t="str">
        <f t="shared" si="128"/>
        <v/>
      </c>
      <c r="F209" s="264" t="str">
        <f t="shared" si="129"/>
        <v/>
      </c>
      <c r="G209" s="264" t="str">
        <f t="shared" si="130"/>
        <v/>
      </c>
      <c r="H209" s="240" t="str">
        <f t="shared" si="149"/>
        <v/>
      </c>
      <c r="I209" s="265" t="str">
        <f t="shared" si="150"/>
        <v/>
      </c>
      <c r="J209" s="265" t="str">
        <f t="shared" si="151"/>
        <v/>
      </c>
      <c r="K209" s="240" t="str">
        <f t="shared" si="152"/>
        <v/>
      </c>
      <c r="L209" s="265" t="str">
        <f t="shared" si="153"/>
        <v/>
      </c>
      <c r="M209" s="265" t="str">
        <f t="shared" si="154"/>
        <v/>
      </c>
      <c r="N209" s="240" t="str">
        <f t="shared" si="155"/>
        <v>-</v>
      </c>
      <c r="O209" s="265" t="str">
        <f t="shared" si="156"/>
        <v>-</v>
      </c>
      <c r="P209" s="265" t="str">
        <f t="shared" si="157"/>
        <v>-</v>
      </c>
      <c r="Q209" s="266" t="str">
        <f t="shared" si="158"/>
        <v>-</v>
      </c>
      <c r="R209" s="267" t="str">
        <f t="shared" si="159"/>
        <v>-</v>
      </c>
      <c r="S209" s="268" t="str">
        <f t="shared" si="160"/>
        <v>-</v>
      </c>
      <c r="T209" s="269" t="str">
        <f t="shared" si="104"/>
        <v/>
      </c>
      <c r="U209" s="221">
        <f t="shared" si="105"/>
        <v>109</v>
      </c>
      <c r="V209" s="220" t="str">
        <f t="shared" si="131"/>
        <v>-</v>
      </c>
      <c r="W209" s="221" t="str">
        <f t="shared" si="132"/>
        <v>-</v>
      </c>
      <c r="X209" s="221" t="str">
        <f t="shared" si="106"/>
        <v>-</v>
      </c>
      <c r="Y209" s="221" t="str">
        <f t="shared" si="107"/>
        <v>-</v>
      </c>
      <c r="Z209" s="270">
        <f t="shared" si="133"/>
        <v>0.1</v>
      </c>
      <c r="AA209" s="271" t="str">
        <f>IFERROR(IF(V208=1,AA$100*EXP(-(LN(2)/$D$65+0.04)*X208)*EXP(-(LN(2)/$D$65+0.1)*Y208),IF(V208=2,AA$100*EXP(-(LN(2)/$D$65+0.04)*(VLOOKUP(($F$16-$F$15)-1,U$99:Y208,4,FALSE)))*EXP(-(LN(2)/$D$65+0.1)*(VLOOKUP(($F$16-$F$15)-1,U$99:Y208,5,FALSE)))*EXP(-(LN(2)/$D$65+0.04)*X208)*EXP(-(LN(2)/$D$65+0.1)*Y208),IF(V208=3,AA$100*EXP(-(LN(2)/$D$65+0.04)*(VLOOKUP(($F$16-$F$15)-1,U$99:Y208,4,FALSE)))*EXP(-(LN(2)/$D$65+0.1)*(VLOOKUP(($F$16-$F$15)-1,U$99:Y208,5,FALSE)))*EXP(-(LN(2)/$D$65+0.04)*(VLOOKUP(($F$16-$F$15)*2-1,U$99:Y208,4,FALSE)))*EXP(-(LN(2)/$D$65+0.1)*(VLOOKUP(($F$16-$F$15)*2-1,U$99:Y208,5,FALSE)))*EXP(-(LN(2)/$D$65+0.04)*X208)*EXP(-(LN(2)/$D$65+0.1)*Y208),"-"))),"-")</f>
        <v>-</v>
      </c>
      <c r="AB209" s="271" t="str">
        <f>IFERROR(IF(V209=1,AB$100*EXP(-(LN(2)/$D$65+0.04)*X209)*EXP(-(LN(2)/$D$65+0.1)*Y209),IF(V209=2,AB$100*EXP(-(LN(2)/$D$65+0.04)*(VLOOKUP(($F$16-$F$15)-1,U$100:Y209,4,FALSE)))*EXP(-(LN(2)/$D$65+0.1)*(VLOOKUP(($F$16-$F$15)-1,U$100:Y209,5,FALSE)))*EXP(-(LN(2)/$D$65+0.04)*X209)*EXP(-(LN(2)/$D$65+0.1)*Y209),IF(V209=3,AB$100*EXP(-(LN(2)/$D$65+0.04)*(VLOOKUP(($F$16-$F$15)-1,U$100:Y209,4,FALSE)))*EXP(-(LN(2)/$D$65+0.1)*(VLOOKUP(($F$16-$F$15)-1,U$100:Y209,5,FALSE)))*EXP(-(LN(2)/$D$65+0.04)*(VLOOKUP(($F$16-$F$15)*2-1,U$100:Y209,4,FALSE)))*EXP(-(LN(2)/$D$65+0.1)*(VLOOKUP(($F$16-$F$15)*2-1,U$100:Y209,5,FALSE)))*EXP(-(LN(2)/$D$65+0.04)*X209)*EXP(-(LN(2)/$D$65+0.1)*Y209),"-"))),"-")</f>
        <v>-</v>
      </c>
      <c r="AC209" s="224">
        <f t="shared" si="134"/>
        <v>109</v>
      </c>
      <c r="AD209" s="223" t="str">
        <f t="shared" si="108"/>
        <v>-</v>
      </c>
      <c r="AE209" s="224" t="str">
        <f t="shared" si="135"/>
        <v>-</v>
      </c>
      <c r="AF209" s="224" t="str">
        <f t="shared" si="109"/>
        <v>-</v>
      </c>
      <c r="AG209" s="224" t="str">
        <f t="shared" si="110"/>
        <v>-</v>
      </c>
      <c r="AH209" s="272">
        <f t="shared" si="136"/>
        <v>0.1</v>
      </c>
      <c r="AI209" s="271" t="str">
        <f>IFERROR(IF(AD208=1,AI$100*EXP(-(LN(2)/$D$65+0.04)*AF208)*EXP(-(LN(2)/$D$65+0.1)*AG208),IF(AD208=2,AI$100*EXP(-(LN(2)/$D$65+0.04)*(VLOOKUP(($F$16-$F$15)-1,AC$99:AG208,4,FALSE)))*EXP(-(LN(2)/$D$65+0.1)*(VLOOKUP(($F$16-$F$15)-1,AC$99:AG208,5,FALSE)))*EXP(-(LN(2)/$D$65+0.04)*AF208)*EXP(-(LN(2)/$D$65+0.1)*AG208),IF(AD208=3,AI$100*EXP(-(LN(2)/$D$65+0.04)*(VLOOKUP(($F$16-$F$15)-1,AC$99:AG208,4,FALSE)))*EXP(-(LN(2)/$D$65+0.1)*(VLOOKUP(($F$16-$F$15)-1,AC$99:AG208,5,FALSE)))*EXP(-(LN(2)/$D$65+0.04)*(VLOOKUP(($F$16-$F$15)*2-1,AC$99:AG208,4,FALSE)))*EXP(-(LN(2)/$D$65+0.1)*(VLOOKUP(($F$16-$F$15)*2-1,AC$99:AG208,5,FALSE)))*EXP(-(LN(2)/$D$65+0.04)*AF208)*EXP(-(LN(2)/$D$65+0.1)*AG208),"-"))),"-")</f>
        <v>-</v>
      </c>
      <c r="AJ209" s="271" t="str">
        <f>IFERROR(IF(AD209=1,AJ$100*EXP(-(LN(2)/$D$65+0.04)*AF209)*EXP(-(LN(2)/$D$65+0.1)*AG209),IF(AD209=2,AJ$100*EXP(-(LN(2)/$D$65+0.04)*(VLOOKUP(($F$16-$F$15)-1,AC$100:AG209,4,FALSE)))*EXP(-(LN(2)/$D$65+0.1)*(VLOOKUP(($F$16-$F$15)-1,AC$100:AG209,5,FALSE)))*EXP(-(LN(2)/$D$65+0.04)*AF209)*EXP(-(LN(2)/$D$65+0.1)*AG209),IF(AD209=3,AJ$100*EXP(-(LN(2)/$D$65+0.04)*(VLOOKUP(($F$16-$F$15)-1,AC$100:AG209,4,FALSE)))*EXP(-(LN(2)/$D$65+0.1)*(VLOOKUP(($F$16-$F$15)-1,AC$100:AG209,5,FALSE)))*EXP(-(LN(2)/$D$65+0.04)*(VLOOKUP(($F$16-$F$15)*2-1,AC$100:AG209,4,FALSE)))*EXP(-(LN(2)/$D$65+0.1)*(VLOOKUP(($F$16-$F$15)*2-1,AC$100:AG209,5,FALSE)))*EXP(-(LN(2)/$D$65+0.04)*AF209)*EXP(-(LN(2)/$D$65+0.1)*AG209),"-"))),"-")</f>
        <v>-</v>
      </c>
      <c r="AK209" s="227">
        <f t="shared" si="137"/>
        <v>109</v>
      </c>
      <c r="AL209" s="226" t="str">
        <f t="shared" si="111"/>
        <v>-</v>
      </c>
      <c r="AM209" s="227" t="str">
        <f t="shared" si="138"/>
        <v>-</v>
      </c>
      <c r="AN209" s="227" t="str">
        <f t="shared" si="139"/>
        <v>-</v>
      </c>
      <c r="AO209" s="227" t="str">
        <f t="shared" si="112"/>
        <v>-</v>
      </c>
      <c r="AP209" s="273">
        <f t="shared" si="140"/>
        <v>0.1</v>
      </c>
      <c r="AQ209" s="271" t="str">
        <f>IFERROR(IF(AL208=1,AQ$100*EXP(-(LN(2)/$D$65+0.04)*AN208)*EXP(-(LN(2)/$D$65+0.1)*AO208),IF(AL208=2,AQ$100*EXP(-(LN(2)/$D$65+0.04)*(VLOOKUP(($F$16-$F$15)-1,AK$99:AO208,4,FALSE)))*EXP(-(LN(2)/$D$65+0.1)*(VLOOKUP(($F$16-$F$15)-1,AK$99:AO208,5,FALSE)))*EXP(-(LN(2)/$D$65+0.04)*AN208)*EXP(-(LN(2)/$D$65+0.1)*AO208),IF(AL208=3,AQ$100*EXP(-(LN(2)/$D$65+0.04)*(VLOOKUP(($F$16-$F$15)-1,AK$99:AO208,4,FALSE)))*EXP(-(LN(2)/$D$65+0.1)*(VLOOKUP(($F$16-$F$15)-1,AK$99:AO208,5,FALSE)))*EXP(-(LN(2)/$D$65+0.04)*(VLOOKUP(($F$16-$F$15)*2-1,AK$99:AO208,4,FALSE)))*EXP(-(LN(2)/$D$65+0.1)*(VLOOKUP(($F$16-$F$15)*2-1,AK$99:AO208,5,FALSE)))*EXP(-(LN(2)/$D$65+0.04)*AN208)*EXP(-(LN(2)/$D$65+0.1)*AO208),"-"))),"-")</f>
        <v>-</v>
      </c>
      <c r="AR209" s="271" t="str">
        <f>IFERROR(IF(AL209=1,AR$100*EXP(-(LN(2)/$D$65+0.04)*AN209)*EXP(-(LN(2)/$D$65+0.1)*AO209),IF(AL209=2,AR$100*EXP(-(LN(2)/$D$65+0.04)*(VLOOKUP(($F$16-$F$15)-1,AK$100:AO209,4,FALSE)))*EXP(-(LN(2)/$D$65+0.1)*(VLOOKUP(($F$16-$F$15)-1,AK$100:AO209,5,FALSE)))*EXP(-(LN(2)/$D$65+0.04)*AN209)*EXP(-(LN(2)/$D$65+0.1)*AO209),IF(AL209=3,AR$100*EXP(-(LN(2)/$D$65+0.04)*(VLOOKUP(($F$16-$F$15)-1,AK$100:AO209,4,FALSE)))*EXP(-(LN(2)/$D$65+0.1)*(VLOOKUP(($F$16-$F$15)-1,AK$100:AO209,5,FALSE)))*EXP(-(LN(2)/$D$65+0.04)*(VLOOKUP(($F$16-$F$15)*2-1,AK$100:AO209,4,FALSE)))*EXP(-(LN(2)/$D$65+0.1)*(VLOOKUP(($F$16-$F$15)*2-1,AK$100:AO209,5,FALSE)))*EXP(-(LN(2)/$D$65+0.04)*AN209)*EXP(-(LN(2)/$D$65+0.1)*AO209),"-"))),"-")</f>
        <v>-</v>
      </c>
      <c r="AS209" s="274">
        <f t="shared" si="113"/>
        <v>0</v>
      </c>
      <c r="AT209" s="274">
        <f t="shared" si="114"/>
        <v>0</v>
      </c>
      <c r="AU209" s="274">
        <f t="shared" si="115"/>
        <v>0</v>
      </c>
      <c r="AV209" s="190">
        <f>IF($B209&lt;$F$22,SUM($T$100:$T209),"")</f>
        <v>0</v>
      </c>
      <c r="AW209" s="190" t="str">
        <f t="shared" si="161"/>
        <v>-</v>
      </c>
      <c r="AX209" s="190" t="str">
        <f t="shared" si="141"/>
        <v/>
      </c>
      <c r="AY209"/>
      <c r="AZ209" s="190" t="str">
        <f ca="1">IF(ISNUMBER(OFFSET(AV209,-$F$21,0)),SUM(OFFSET($T$100,$F$21,0):$T209),"")</f>
        <v/>
      </c>
      <c r="BA209" s="190" t="str">
        <f t="shared" ca="1" si="162"/>
        <v/>
      </c>
      <c r="BB209" s="190" t="str">
        <f t="shared" ca="1" si="148"/>
        <v/>
      </c>
      <c r="BC209" s="190"/>
      <c r="BD209" s="190" t="str">
        <f ca="1">IFERROR(IF(AND($B209&gt;=($F$16-$F$15),$B209&lt;$F$22+($F$16-$F$15)),SUM(OFFSET($T$100,($F$16-$F$15),0):$T209),""),"")</f>
        <v/>
      </c>
      <c r="BE209" s="190" t="str">
        <f t="shared" ca="1" si="142"/>
        <v/>
      </c>
      <c r="BF209" s="190" t="str">
        <f t="shared" ca="1" si="143"/>
        <v/>
      </c>
      <c r="BG209"/>
      <c r="BH209" s="190" t="str">
        <f ca="1">IF(ISNUMBER(OFFSET(BD209,-$F$21,0)),SUM(OFFSET($T$100,($F$16-$F$15+$F$21),0):$T209),"")</f>
        <v/>
      </c>
      <c r="BI209" s="190" t="str">
        <f t="shared" ca="1" si="163"/>
        <v/>
      </c>
      <c r="BJ209" s="190" t="str">
        <f t="shared" ca="1" si="144"/>
        <v/>
      </c>
      <c r="BK209" s="190"/>
      <c r="BL209" s="190" t="str">
        <f ca="1">IFERROR(IF(AND($B209&gt;=($F$17-$F$15),$B209&lt;$F$22+($F$17-$F$15)),SUM(OFFSET($T$100,($F$17-$F$15),0):$T209),""),"")</f>
        <v/>
      </c>
      <c r="BM209" s="190" t="str">
        <f t="shared" ca="1" si="164"/>
        <v/>
      </c>
      <c r="BN209" s="190" t="str">
        <f t="shared" ca="1" si="145"/>
        <v/>
      </c>
      <c r="BO209"/>
      <c r="BP209" s="190" t="str">
        <f ca="1">IF(ISNUMBER(OFFSET(BL209,-$F$21,0)),SUM(OFFSET($T$100,($F$17-$F$15+$F$21),0):$T209),"")</f>
        <v/>
      </c>
      <c r="BQ209" s="190" t="str">
        <f t="shared" ca="1" si="165"/>
        <v/>
      </c>
      <c r="BR209" s="190" t="str">
        <f t="shared" ca="1" si="146"/>
        <v/>
      </c>
      <c r="BS209" s="190"/>
      <c r="BT209"/>
      <c r="BU209"/>
      <c r="BV209"/>
      <c r="BY209" s="99"/>
      <c r="BZ209" s="99"/>
      <c r="CA209" s="280" t="str">
        <f t="shared" si="166"/>
        <v/>
      </c>
      <c r="CB209" s="71" t="str">
        <f t="shared" si="122"/>
        <v>-</v>
      </c>
      <c r="CC209" s="33"/>
      <c r="CD209" s="261" t="str">
        <f t="shared" si="123"/>
        <v/>
      </c>
      <c r="CE209" s="280" t="str">
        <f t="shared" si="167"/>
        <v>-</v>
      </c>
      <c r="CF209" s="71" t="str">
        <f t="shared" ca="1" si="168"/>
        <v>-</v>
      </c>
      <c r="CG209" s="33" t="str">
        <f t="shared" si="126"/>
        <v>109-110</v>
      </c>
      <c r="CH209" s="261" t="str">
        <f t="shared" ca="1" si="127"/>
        <v/>
      </c>
    </row>
    <row r="210" spans="2:86" ht="13.5" customHeight="1" x14ac:dyDescent="0.2">
      <c r="B210" s="262">
        <v>110</v>
      </c>
      <c r="C210" s="237" t="str">
        <f t="shared" si="91"/>
        <v/>
      </c>
      <c r="D210" s="237" t="str">
        <f t="shared" si="147"/>
        <v>-</v>
      </c>
      <c r="E210" s="263" t="str">
        <f t="shared" si="128"/>
        <v/>
      </c>
      <c r="F210" s="264" t="str">
        <f t="shared" si="129"/>
        <v/>
      </c>
      <c r="G210" s="264" t="str">
        <f t="shared" si="130"/>
        <v/>
      </c>
      <c r="H210" s="240" t="str">
        <f t="shared" si="149"/>
        <v/>
      </c>
      <c r="I210" s="265" t="str">
        <f t="shared" si="150"/>
        <v/>
      </c>
      <c r="J210" s="265" t="str">
        <f t="shared" si="151"/>
        <v/>
      </c>
      <c r="K210" s="240" t="str">
        <f t="shared" si="152"/>
        <v/>
      </c>
      <c r="L210" s="265" t="str">
        <f t="shared" si="153"/>
        <v/>
      </c>
      <c r="M210" s="265" t="str">
        <f t="shared" si="154"/>
        <v/>
      </c>
      <c r="N210" s="240" t="str">
        <f t="shared" si="155"/>
        <v>-</v>
      </c>
      <c r="O210" s="265" t="str">
        <f t="shared" si="156"/>
        <v>-</v>
      </c>
      <c r="P210" s="265" t="str">
        <f t="shared" si="157"/>
        <v>-</v>
      </c>
      <c r="Q210" s="266" t="str">
        <f t="shared" si="158"/>
        <v>-</v>
      </c>
      <c r="R210" s="267" t="str">
        <f t="shared" si="159"/>
        <v>-</v>
      </c>
      <c r="S210" s="268" t="str">
        <f t="shared" si="160"/>
        <v>-</v>
      </c>
      <c r="T210" s="269" t="str">
        <f t="shared" si="104"/>
        <v/>
      </c>
      <c r="U210" s="221">
        <f t="shared" si="105"/>
        <v>110</v>
      </c>
      <c r="V210" s="220" t="str">
        <f t="shared" si="131"/>
        <v>-</v>
      </c>
      <c r="W210" s="221" t="str">
        <f t="shared" si="132"/>
        <v>-</v>
      </c>
      <c r="X210" s="221" t="str">
        <f t="shared" si="106"/>
        <v>-</v>
      </c>
      <c r="Y210" s="221" t="str">
        <f t="shared" si="107"/>
        <v>-</v>
      </c>
      <c r="Z210" s="270">
        <f t="shared" si="133"/>
        <v>0.1</v>
      </c>
      <c r="AA210" s="271" t="str">
        <f>IFERROR(IF(V209=1,AA$100*EXP(-(LN(2)/$D$65+0.04)*X209)*EXP(-(LN(2)/$D$65+0.1)*Y209),IF(V209=2,AA$100*EXP(-(LN(2)/$D$65+0.04)*(VLOOKUP(($F$16-$F$15)-1,U$99:Y209,4,FALSE)))*EXP(-(LN(2)/$D$65+0.1)*(VLOOKUP(($F$16-$F$15)-1,U$99:Y209,5,FALSE)))*EXP(-(LN(2)/$D$65+0.04)*X209)*EXP(-(LN(2)/$D$65+0.1)*Y209),IF(V209=3,AA$100*EXP(-(LN(2)/$D$65+0.04)*(VLOOKUP(($F$16-$F$15)-1,U$99:Y209,4,FALSE)))*EXP(-(LN(2)/$D$65+0.1)*(VLOOKUP(($F$16-$F$15)-1,U$99:Y209,5,FALSE)))*EXP(-(LN(2)/$D$65+0.04)*(VLOOKUP(($F$16-$F$15)*2-1,U$99:Y209,4,FALSE)))*EXP(-(LN(2)/$D$65+0.1)*(VLOOKUP(($F$16-$F$15)*2-1,U$99:Y209,5,FALSE)))*EXP(-(LN(2)/$D$65+0.04)*X209)*EXP(-(LN(2)/$D$65+0.1)*Y209),"-"))),"-")</f>
        <v>-</v>
      </c>
      <c r="AB210" s="271" t="str">
        <f>IFERROR(IF(V210=1,AB$100*EXP(-(LN(2)/$D$65+0.04)*X210)*EXP(-(LN(2)/$D$65+0.1)*Y210),IF(V210=2,AB$100*EXP(-(LN(2)/$D$65+0.04)*(VLOOKUP(($F$16-$F$15)-1,U$100:Y210,4,FALSE)))*EXP(-(LN(2)/$D$65+0.1)*(VLOOKUP(($F$16-$F$15)-1,U$100:Y210,5,FALSE)))*EXP(-(LN(2)/$D$65+0.04)*X210)*EXP(-(LN(2)/$D$65+0.1)*Y210),IF(V210=3,AB$100*EXP(-(LN(2)/$D$65+0.04)*(VLOOKUP(($F$16-$F$15)-1,U$100:Y210,4,FALSE)))*EXP(-(LN(2)/$D$65+0.1)*(VLOOKUP(($F$16-$F$15)-1,U$100:Y210,5,FALSE)))*EXP(-(LN(2)/$D$65+0.04)*(VLOOKUP(($F$16-$F$15)*2-1,U$100:Y210,4,FALSE)))*EXP(-(LN(2)/$D$65+0.1)*(VLOOKUP(($F$16-$F$15)*2-1,U$100:Y210,5,FALSE)))*EXP(-(LN(2)/$D$65+0.04)*X210)*EXP(-(LN(2)/$D$65+0.1)*Y210),"-"))),"-")</f>
        <v>-</v>
      </c>
      <c r="AC210" s="224">
        <f t="shared" si="134"/>
        <v>110</v>
      </c>
      <c r="AD210" s="223" t="str">
        <f t="shared" si="108"/>
        <v>-</v>
      </c>
      <c r="AE210" s="224" t="str">
        <f t="shared" si="135"/>
        <v>-</v>
      </c>
      <c r="AF210" s="224" t="str">
        <f t="shared" si="109"/>
        <v>-</v>
      </c>
      <c r="AG210" s="224" t="str">
        <f t="shared" si="110"/>
        <v>-</v>
      </c>
      <c r="AH210" s="272">
        <f t="shared" si="136"/>
        <v>0.1</v>
      </c>
      <c r="AI210" s="271" t="str">
        <f>IFERROR(IF(AD209=1,AI$100*EXP(-(LN(2)/$D$65+0.04)*AF209)*EXP(-(LN(2)/$D$65+0.1)*AG209),IF(AD209=2,AI$100*EXP(-(LN(2)/$D$65+0.04)*(VLOOKUP(($F$16-$F$15)-1,AC$99:AG209,4,FALSE)))*EXP(-(LN(2)/$D$65+0.1)*(VLOOKUP(($F$16-$F$15)-1,AC$99:AG209,5,FALSE)))*EXP(-(LN(2)/$D$65+0.04)*AF209)*EXP(-(LN(2)/$D$65+0.1)*AG209),IF(AD209=3,AI$100*EXP(-(LN(2)/$D$65+0.04)*(VLOOKUP(($F$16-$F$15)-1,AC$99:AG209,4,FALSE)))*EXP(-(LN(2)/$D$65+0.1)*(VLOOKUP(($F$16-$F$15)-1,AC$99:AG209,5,FALSE)))*EXP(-(LN(2)/$D$65+0.04)*(VLOOKUP(($F$16-$F$15)*2-1,AC$99:AG209,4,FALSE)))*EXP(-(LN(2)/$D$65+0.1)*(VLOOKUP(($F$16-$F$15)*2-1,AC$99:AG209,5,FALSE)))*EXP(-(LN(2)/$D$65+0.04)*AF209)*EXP(-(LN(2)/$D$65+0.1)*AG209),"-"))),"-")</f>
        <v>-</v>
      </c>
      <c r="AJ210" s="271" t="str">
        <f>IFERROR(IF(AD210=1,AJ$100*EXP(-(LN(2)/$D$65+0.04)*AF210)*EXP(-(LN(2)/$D$65+0.1)*AG210),IF(AD210=2,AJ$100*EXP(-(LN(2)/$D$65+0.04)*(VLOOKUP(($F$16-$F$15)-1,AC$100:AG210,4,FALSE)))*EXP(-(LN(2)/$D$65+0.1)*(VLOOKUP(($F$16-$F$15)-1,AC$100:AG210,5,FALSE)))*EXP(-(LN(2)/$D$65+0.04)*AF210)*EXP(-(LN(2)/$D$65+0.1)*AG210),IF(AD210=3,AJ$100*EXP(-(LN(2)/$D$65+0.04)*(VLOOKUP(($F$16-$F$15)-1,AC$100:AG210,4,FALSE)))*EXP(-(LN(2)/$D$65+0.1)*(VLOOKUP(($F$16-$F$15)-1,AC$100:AG210,5,FALSE)))*EXP(-(LN(2)/$D$65+0.04)*(VLOOKUP(($F$16-$F$15)*2-1,AC$100:AG210,4,FALSE)))*EXP(-(LN(2)/$D$65+0.1)*(VLOOKUP(($F$16-$F$15)*2-1,AC$100:AG210,5,FALSE)))*EXP(-(LN(2)/$D$65+0.04)*AF210)*EXP(-(LN(2)/$D$65+0.1)*AG210),"-"))),"-")</f>
        <v>-</v>
      </c>
      <c r="AK210" s="227">
        <f t="shared" si="137"/>
        <v>110</v>
      </c>
      <c r="AL210" s="226" t="str">
        <f t="shared" si="111"/>
        <v>-</v>
      </c>
      <c r="AM210" s="227" t="str">
        <f t="shared" si="138"/>
        <v>-</v>
      </c>
      <c r="AN210" s="227" t="str">
        <f t="shared" si="139"/>
        <v>-</v>
      </c>
      <c r="AO210" s="227" t="str">
        <f t="shared" si="112"/>
        <v>-</v>
      </c>
      <c r="AP210" s="273">
        <f t="shared" si="140"/>
        <v>0.1</v>
      </c>
      <c r="AQ210" s="271" t="str">
        <f>IFERROR(IF(AL209=1,AQ$100*EXP(-(LN(2)/$D$65+0.04)*AN209)*EXP(-(LN(2)/$D$65+0.1)*AO209),IF(AL209=2,AQ$100*EXP(-(LN(2)/$D$65+0.04)*(VLOOKUP(($F$16-$F$15)-1,AK$99:AO209,4,FALSE)))*EXP(-(LN(2)/$D$65+0.1)*(VLOOKUP(($F$16-$F$15)-1,AK$99:AO209,5,FALSE)))*EXP(-(LN(2)/$D$65+0.04)*AN209)*EXP(-(LN(2)/$D$65+0.1)*AO209),IF(AL209=3,AQ$100*EXP(-(LN(2)/$D$65+0.04)*(VLOOKUP(($F$16-$F$15)-1,AK$99:AO209,4,FALSE)))*EXP(-(LN(2)/$D$65+0.1)*(VLOOKUP(($F$16-$F$15)-1,AK$99:AO209,5,FALSE)))*EXP(-(LN(2)/$D$65+0.04)*(VLOOKUP(($F$16-$F$15)*2-1,AK$99:AO209,4,FALSE)))*EXP(-(LN(2)/$D$65+0.1)*(VLOOKUP(($F$16-$F$15)*2-1,AK$99:AO209,5,FALSE)))*EXP(-(LN(2)/$D$65+0.04)*AN209)*EXP(-(LN(2)/$D$65+0.1)*AO209),"-"))),"-")</f>
        <v>-</v>
      </c>
      <c r="AR210" s="271" t="str">
        <f>IFERROR(IF(AL210=1,AR$100*EXP(-(LN(2)/$D$65+0.04)*AN210)*EXP(-(LN(2)/$D$65+0.1)*AO210),IF(AL210=2,AR$100*EXP(-(LN(2)/$D$65+0.04)*(VLOOKUP(($F$16-$F$15)-1,AK$100:AO210,4,FALSE)))*EXP(-(LN(2)/$D$65+0.1)*(VLOOKUP(($F$16-$F$15)-1,AK$100:AO210,5,FALSE)))*EXP(-(LN(2)/$D$65+0.04)*AN210)*EXP(-(LN(2)/$D$65+0.1)*AO210),IF(AL210=3,AR$100*EXP(-(LN(2)/$D$65+0.04)*(VLOOKUP(($F$16-$F$15)-1,AK$100:AO210,4,FALSE)))*EXP(-(LN(2)/$D$65+0.1)*(VLOOKUP(($F$16-$F$15)-1,AK$100:AO210,5,FALSE)))*EXP(-(LN(2)/$D$65+0.04)*(VLOOKUP(($F$16-$F$15)*2-1,AK$100:AO210,4,FALSE)))*EXP(-(LN(2)/$D$65+0.1)*(VLOOKUP(($F$16-$F$15)*2-1,AK$100:AO210,5,FALSE)))*EXP(-(LN(2)/$D$65+0.04)*AN210)*EXP(-(LN(2)/$D$65+0.1)*AO210),"-"))),"-")</f>
        <v>-</v>
      </c>
      <c r="AS210" s="274">
        <f t="shared" si="113"/>
        <v>0</v>
      </c>
      <c r="AT210" s="274">
        <f t="shared" si="114"/>
        <v>0</v>
      </c>
      <c r="AU210" s="274">
        <f t="shared" si="115"/>
        <v>0</v>
      </c>
      <c r="AV210" s="190">
        <f>IF($B210&lt;$F$22,SUM($T$100:$T210),"")</f>
        <v>0</v>
      </c>
      <c r="AW210" s="190" t="str">
        <f t="shared" si="161"/>
        <v>-</v>
      </c>
      <c r="AX210" s="190" t="str">
        <f t="shared" si="141"/>
        <v/>
      </c>
      <c r="AY210"/>
      <c r="AZ210" s="190" t="str">
        <f ca="1">IF(ISNUMBER(OFFSET(AV210,-$F$21,0)),SUM(OFFSET($T$100,$F$21,0):$T210),"")</f>
        <v/>
      </c>
      <c r="BA210" s="190" t="str">
        <f t="shared" ca="1" si="162"/>
        <v/>
      </c>
      <c r="BB210" s="190" t="str">
        <f t="shared" ca="1" si="148"/>
        <v/>
      </c>
      <c r="BC210" s="190"/>
      <c r="BD210" s="190" t="str">
        <f ca="1">IFERROR(IF(AND($B210&gt;=($F$16-$F$15),$B210&lt;$F$22+($F$16-$F$15)),SUM(OFFSET($T$100,($F$16-$F$15),0):$T210),""),"")</f>
        <v/>
      </c>
      <c r="BE210" s="190" t="str">
        <f t="shared" ca="1" si="142"/>
        <v/>
      </c>
      <c r="BF210" s="190" t="str">
        <f t="shared" ca="1" si="143"/>
        <v/>
      </c>
      <c r="BG210"/>
      <c r="BH210" s="190" t="str">
        <f ca="1">IF(ISNUMBER(OFFSET(BD210,-$F$21,0)),SUM(OFFSET($T$100,($F$16-$F$15+$F$21),0):$T210),"")</f>
        <v/>
      </c>
      <c r="BI210" s="190" t="str">
        <f t="shared" ca="1" si="163"/>
        <v/>
      </c>
      <c r="BJ210" s="190" t="str">
        <f t="shared" ca="1" si="144"/>
        <v/>
      </c>
      <c r="BK210" s="190"/>
      <c r="BL210" s="190" t="str">
        <f ca="1">IFERROR(IF(AND($B210&gt;=($F$17-$F$15),$B210&lt;$F$22+($F$17-$F$15)),SUM(OFFSET($T$100,($F$17-$F$15),0):$T210),""),"")</f>
        <v/>
      </c>
      <c r="BM210" s="190" t="str">
        <f t="shared" ca="1" si="164"/>
        <v/>
      </c>
      <c r="BN210" s="190" t="str">
        <f t="shared" ca="1" si="145"/>
        <v/>
      </c>
      <c r="BO210"/>
      <c r="BP210" s="190" t="str">
        <f ca="1">IF(ISNUMBER(OFFSET(BL210,-$F$21,0)),SUM(OFFSET($T$100,($F$17-$F$15+$F$21),0):$T210),"")</f>
        <v/>
      </c>
      <c r="BQ210" s="190" t="str">
        <f t="shared" ca="1" si="165"/>
        <v/>
      </c>
      <c r="BR210" s="190" t="str">
        <f t="shared" ca="1" si="146"/>
        <v/>
      </c>
      <c r="BS210" s="190"/>
      <c r="BT210"/>
      <c r="BU210"/>
      <c r="BV210"/>
      <c r="BY210" s="99"/>
      <c r="BZ210" s="99"/>
      <c r="CA210" s="280" t="str">
        <f t="shared" si="166"/>
        <v/>
      </c>
      <c r="CB210" s="71" t="str">
        <f t="shared" si="122"/>
        <v>-</v>
      </c>
      <c r="CC210" s="33"/>
      <c r="CD210" s="261" t="str">
        <f t="shared" si="123"/>
        <v/>
      </c>
      <c r="CE210" s="280" t="str">
        <f t="shared" si="167"/>
        <v>-</v>
      </c>
      <c r="CF210" s="71" t="str">
        <f t="shared" ca="1" si="168"/>
        <v>-</v>
      </c>
      <c r="CG210" s="33" t="str">
        <f t="shared" si="126"/>
        <v>110-111</v>
      </c>
      <c r="CH210" s="261" t="str">
        <f t="shared" ca="1" si="127"/>
        <v/>
      </c>
    </row>
    <row r="211" spans="2:86" ht="13.5" customHeight="1" x14ac:dyDescent="0.2">
      <c r="B211" s="262">
        <v>111</v>
      </c>
      <c r="C211" s="237" t="str">
        <f t="shared" si="91"/>
        <v/>
      </c>
      <c r="D211" s="237" t="str">
        <f t="shared" si="147"/>
        <v>-</v>
      </c>
      <c r="E211" s="263" t="str">
        <f t="shared" si="128"/>
        <v/>
      </c>
      <c r="F211" s="264" t="str">
        <f t="shared" si="129"/>
        <v/>
      </c>
      <c r="G211" s="264" t="str">
        <f t="shared" si="130"/>
        <v/>
      </c>
      <c r="H211" s="240" t="str">
        <f t="shared" si="149"/>
        <v/>
      </c>
      <c r="I211" s="265" t="str">
        <f t="shared" si="150"/>
        <v/>
      </c>
      <c r="J211" s="265" t="str">
        <f t="shared" si="151"/>
        <v/>
      </c>
      <c r="K211" s="240" t="str">
        <f t="shared" si="152"/>
        <v/>
      </c>
      <c r="L211" s="265" t="str">
        <f t="shared" si="153"/>
        <v/>
      </c>
      <c r="M211" s="265" t="str">
        <f t="shared" si="154"/>
        <v/>
      </c>
      <c r="N211" s="240" t="str">
        <f t="shared" si="155"/>
        <v>-</v>
      </c>
      <c r="O211" s="265" t="str">
        <f t="shared" si="156"/>
        <v>-</v>
      </c>
      <c r="P211" s="265" t="str">
        <f t="shared" si="157"/>
        <v>-</v>
      </c>
      <c r="Q211" s="266" t="str">
        <f t="shared" si="158"/>
        <v>-</v>
      </c>
      <c r="R211" s="267" t="str">
        <f t="shared" si="159"/>
        <v>-</v>
      </c>
      <c r="S211" s="268" t="str">
        <f t="shared" si="160"/>
        <v>-</v>
      </c>
      <c r="T211" s="269" t="str">
        <f t="shared" si="104"/>
        <v/>
      </c>
      <c r="U211" s="221">
        <f t="shared" si="105"/>
        <v>111</v>
      </c>
      <c r="V211" s="220" t="str">
        <f t="shared" si="131"/>
        <v>-</v>
      </c>
      <c r="W211" s="221" t="str">
        <f t="shared" si="132"/>
        <v>-</v>
      </c>
      <c r="X211" s="221" t="str">
        <f t="shared" si="106"/>
        <v>-</v>
      </c>
      <c r="Y211" s="221" t="str">
        <f t="shared" si="107"/>
        <v>-</v>
      </c>
      <c r="Z211" s="270">
        <f t="shared" si="133"/>
        <v>0.1</v>
      </c>
      <c r="AA211" s="271" t="str">
        <f>IFERROR(IF(V210=1,AA$100*EXP(-(LN(2)/$D$65+0.04)*X210)*EXP(-(LN(2)/$D$65+0.1)*Y210),IF(V210=2,AA$100*EXP(-(LN(2)/$D$65+0.04)*(VLOOKUP(($F$16-$F$15)-1,U$99:Y210,4,FALSE)))*EXP(-(LN(2)/$D$65+0.1)*(VLOOKUP(($F$16-$F$15)-1,U$99:Y210,5,FALSE)))*EXP(-(LN(2)/$D$65+0.04)*X210)*EXP(-(LN(2)/$D$65+0.1)*Y210),IF(V210=3,AA$100*EXP(-(LN(2)/$D$65+0.04)*(VLOOKUP(($F$16-$F$15)-1,U$99:Y210,4,FALSE)))*EXP(-(LN(2)/$D$65+0.1)*(VLOOKUP(($F$16-$F$15)-1,U$99:Y210,5,FALSE)))*EXP(-(LN(2)/$D$65+0.04)*(VLOOKUP(($F$16-$F$15)*2-1,U$99:Y210,4,FALSE)))*EXP(-(LN(2)/$D$65+0.1)*(VLOOKUP(($F$16-$F$15)*2-1,U$99:Y210,5,FALSE)))*EXP(-(LN(2)/$D$65+0.04)*X210)*EXP(-(LN(2)/$D$65+0.1)*Y210),"-"))),"-")</f>
        <v>-</v>
      </c>
      <c r="AB211" s="271" t="str">
        <f>IFERROR(IF(V211=1,AB$100*EXP(-(LN(2)/$D$65+0.04)*X211)*EXP(-(LN(2)/$D$65+0.1)*Y211),IF(V211=2,AB$100*EXP(-(LN(2)/$D$65+0.04)*(VLOOKUP(($F$16-$F$15)-1,U$100:Y211,4,FALSE)))*EXP(-(LN(2)/$D$65+0.1)*(VLOOKUP(($F$16-$F$15)-1,U$100:Y211,5,FALSE)))*EXP(-(LN(2)/$D$65+0.04)*X211)*EXP(-(LN(2)/$D$65+0.1)*Y211),IF(V211=3,AB$100*EXP(-(LN(2)/$D$65+0.04)*(VLOOKUP(($F$16-$F$15)-1,U$100:Y211,4,FALSE)))*EXP(-(LN(2)/$D$65+0.1)*(VLOOKUP(($F$16-$F$15)-1,U$100:Y211,5,FALSE)))*EXP(-(LN(2)/$D$65+0.04)*(VLOOKUP(($F$16-$F$15)*2-1,U$100:Y211,4,FALSE)))*EXP(-(LN(2)/$D$65+0.1)*(VLOOKUP(($F$16-$F$15)*2-1,U$100:Y211,5,FALSE)))*EXP(-(LN(2)/$D$65+0.04)*X211)*EXP(-(LN(2)/$D$65+0.1)*Y211),"-"))),"-")</f>
        <v>-</v>
      </c>
      <c r="AC211" s="224">
        <f t="shared" si="134"/>
        <v>111</v>
      </c>
      <c r="AD211" s="223" t="str">
        <f t="shared" si="108"/>
        <v>-</v>
      </c>
      <c r="AE211" s="224" t="str">
        <f t="shared" si="135"/>
        <v>-</v>
      </c>
      <c r="AF211" s="224" t="str">
        <f t="shared" si="109"/>
        <v>-</v>
      </c>
      <c r="AG211" s="224" t="str">
        <f t="shared" si="110"/>
        <v>-</v>
      </c>
      <c r="AH211" s="272">
        <f t="shared" si="136"/>
        <v>0.1</v>
      </c>
      <c r="AI211" s="271" t="str">
        <f>IFERROR(IF(AD210=1,AI$100*EXP(-(LN(2)/$D$65+0.04)*AF210)*EXP(-(LN(2)/$D$65+0.1)*AG210),IF(AD210=2,AI$100*EXP(-(LN(2)/$D$65+0.04)*(VLOOKUP(($F$16-$F$15)-1,AC$99:AG210,4,FALSE)))*EXP(-(LN(2)/$D$65+0.1)*(VLOOKUP(($F$16-$F$15)-1,AC$99:AG210,5,FALSE)))*EXP(-(LN(2)/$D$65+0.04)*AF210)*EXP(-(LN(2)/$D$65+0.1)*AG210),IF(AD210=3,AI$100*EXP(-(LN(2)/$D$65+0.04)*(VLOOKUP(($F$16-$F$15)-1,AC$99:AG210,4,FALSE)))*EXP(-(LN(2)/$D$65+0.1)*(VLOOKUP(($F$16-$F$15)-1,AC$99:AG210,5,FALSE)))*EXP(-(LN(2)/$D$65+0.04)*(VLOOKUP(($F$16-$F$15)*2-1,AC$99:AG210,4,FALSE)))*EXP(-(LN(2)/$D$65+0.1)*(VLOOKUP(($F$16-$F$15)*2-1,AC$99:AG210,5,FALSE)))*EXP(-(LN(2)/$D$65+0.04)*AF210)*EXP(-(LN(2)/$D$65+0.1)*AG210),"-"))),"-")</f>
        <v>-</v>
      </c>
      <c r="AJ211" s="271" t="str">
        <f>IFERROR(IF(AD211=1,AJ$100*EXP(-(LN(2)/$D$65+0.04)*AF211)*EXP(-(LN(2)/$D$65+0.1)*AG211),IF(AD211=2,AJ$100*EXP(-(LN(2)/$D$65+0.04)*(VLOOKUP(($F$16-$F$15)-1,AC$100:AG211,4,FALSE)))*EXP(-(LN(2)/$D$65+0.1)*(VLOOKUP(($F$16-$F$15)-1,AC$100:AG211,5,FALSE)))*EXP(-(LN(2)/$D$65+0.04)*AF211)*EXP(-(LN(2)/$D$65+0.1)*AG211),IF(AD211=3,AJ$100*EXP(-(LN(2)/$D$65+0.04)*(VLOOKUP(($F$16-$F$15)-1,AC$100:AG211,4,FALSE)))*EXP(-(LN(2)/$D$65+0.1)*(VLOOKUP(($F$16-$F$15)-1,AC$100:AG211,5,FALSE)))*EXP(-(LN(2)/$D$65+0.04)*(VLOOKUP(($F$16-$F$15)*2-1,AC$100:AG211,4,FALSE)))*EXP(-(LN(2)/$D$65+0.1)*(VLOOKUP(($F$16-$F$15)*2-1,AC$100:AG211,5,FALSE)))*EXP(-(LN(2)/$D$65+0.04)*AF211)*EXP(-(LN(2)/$D$65+0.1)*AG211),"-"))),"-")</f>
        <v>-</v>
      </c>
      <c r="AK211" s="227">
        <f t="shared" si="137"/>
        <v>111</v>
      </c>
      <c r="AL211" s="226" t="str">
        <f t="shared" si="111"/>
        <v>-</v>
      </c>
      <c r="AM211" s="227" t="str">
        <f t="shared" si="138"/>
        <v>-</v>
      </c>
      <c r="AN211" s="227" t="str">
        <f t="shared" si="139"/>
        <v>-</v>
      </c>
      <c r="AO211" s="227" t="str">
        <f t="shared" si="112"/>
        <v>-</v>
      </c>
      <c r="AP211" s="273">
        <f t="shared" si="140"/>
        <v>0.1</v>
      </c>
      <c r="AQ211" s="271" t="str">
        <f>IFERROR(IF(AL210=1,AQ$100*EXP(-(LN(2)/$D$65+0.04)*AN210)*EXP(-(LN(2)/$D$65+0.1)*AO210),IF(AL210=2,AQ$100*EXP(-(LN(2)/$D$65+0.04)*(VLOOKUP(($F$16-$F$15)-1,AK$99:AO210,4,FALSE)))*EXP(-(LN(2)/$D$65+0.1)*(VLOOKUP(($F$16-$F$15)-1,AK$99:AO210,5,FALSE)))*EXP(-(LN(2)/$D$65+0.04)*AN210)*EXP(-(LN(2)/$D$65+0.1)*AO210),IF(AL210=3,AQ$100*EXP(-(LN(2)/$D$65+0.04)*(VLOOKUP(($F$16-$F$15)-1,AK$99:AO210,4,FALSE)))*EXP(-(LN(2)/$D$65+0.1)*(VLOOKUP(($F$16-$F$15)-1,AK$99:AO210,5,FALSE)))*EXP(-(LN(2)/$D$65+0.04)*(VLOOKUP(($F$16-$F$15)*2-1,AK$99:AO210,4,FALSE)))*EXP(-(LN(2)/$D$65+0.1)*(VLOOKUP(($F$16-$F$15)*2-1,AK$99:AO210,5,FALSE)))*EXP(-(LN(2)/$D$65+0.04)*AN210)*EXP(-(LN(2)/$D$65+0.1)*AO210),"-"))),"-")</f>
        <v>-</v>
      </c>
      <c r="AR211" s="271" t="str">
        <f>IFERROR(IF(AL211=1,AR$100*EXP(-(LN(2)/$D$65+0.04)*AN211)*EXP(-(LN(2)/$D$65+0.1)*AO211),IF(AL211=2,AR$100*EXP(-(LN(2)/$D$65+0.04)*(VLOOKUP(($F$16-$F$15)-1,AK$100:AO211,4,FALSE)))*EXP(-(LN(2)/$D$65+0.1)*(VLOOKUP(($F$16-$F$15)-1,AK$100:AO211,5,FALSE)))*EXP(-(LN(2)/$D$65+0.04)*AN211)*EXP(-(LN(2)/$D$65+0.1)*AO211),IF(AL211=3,AR$100*EXP(-(LN(2)/$D$65+0.04)*(VLOOKUP(($F$16-$F$15)-1,AK$100:AO211,4,FALSE)))*EXP(-(LN(2)/$D$65+0.1)*(VLOOKUP(($F$16-$F$15)-1,AK$100:AO211,5,FALSE)))*EXP(-(LN(2)/$D$65+0.04)*(VLOOKUP(($F$16-$F$15)*2-1,AK$100:AO211,4,FALSE)))*EXP(-(LN(2)/$D$65+0.1)*(VLOOKUP(($F$16-$F$15)*2-1,AK$100:AO211,5,FALSE)))*EXP(-(LN(2)/$D$65+0.04)*AN211)*EXP(-(LN(2)/$D$65+0.1)*AO211),"-"))),"-")</f>
        <v>-</v>
      </c>
      <c r="AS211" s="274">
        <f t="shared" si="113"/>
        <v>0</v>
      </c>
      <c r="AT211" s="274">
        <f t="shared" si="114"/>
        <v>0</v>
      </c>
      <c r="AU211" s="274">
        <f t="shared" si="115"/>
        <v>0</v>
      </c>
      <c r="AV211" s="190">
        <f>IF($B211&lt;$F$22,SUM($T$100:$T211),"")</f>
        <v>0</v>
      </c>
      <c r="AW211" s="190" t="str">
        <f t="shared" si="161"/>
        <v>-</v>
      </c>
      <c r="AX211" s="190" t="str">
        <f t="shared" si="141"/>
        <v/>
      </c>
      <c r="AY211"/>
      <c r="AZ211" s="190" t="str">
        <f ca="1">IF(ISNUMBER(OFFSET(AV211,-$F$21,0)),SUM(OFFSET($T$100,$F$21,0):$T211),"")</f>
        <v/>
      </c>
      <c r="BA211" s="190" t="str">
        <f t="shared" ca="1" si="162"/>
        <v/>
      </c>
      <c r="BB211" s="190" t="str">
        <f t="shared" ca="1" si="148"/>
        <v/>
      </c>
      <c r="BC211" s="190"/>
      <c r="BD211" s="190" t="str">
        <f ca="1">IFERROR(IF(AND($B211&gt;=($F$16-$F$15),$B211&lt;$F$22+($F$16-$F$15)),SUM(OFFSET($T$100,($F$16-$F$15),0):$T211),""),"")</f>
        <v/>
      </c>
      <c r="BE211" s="190" t="str">
        <f t="shared" ca="1" si="142"/>
        <v/>
      </c>
      <c r="BF211" s="190" t="str">
        <f t="shared" ca="1" si="143"/>
        <v/>
      </c>
      <c r="BG211"/>
      <c r="BH211" s="190" t="str">
        <f ca="1">IF(ISNUMBER(OFFSET(BD211,-$F$21,0)),SUM(OFFSET($T$100,($F$16-$F$15+$F$21),0):$T211),"")</f>
        <v/>
      </c>
      <c r="BI211" s="190" t="str">
        <f t="shared" ca="1" si="163"/>
        <v/>
      </c>
      <c r="BJ211" s="190" t="str">
        <f t="shared" ca="1" si="144"/>
        <v/>
      </c>
      <c r="BK211" s="190"/>
      <c r="BL211" s="190" t="str">
        <f ca="1">IFERROR(IF(AND($B211&gt;=($F$17-$F$15),$B211&lt;$F$22+($F$17-$F$15)),SUM(OFFSET($T$100,($F$17-$F$15),0):$T211),""),"")</f>
        <v/>
      </c>
      <c r="BM211" s="190" t="str">
        <f t="shared" ca="1" si="164"/>
        <v/>
      </c>
      <c r="BN211" s="190" t="str">
        <f t="shared" ca="1" si="145"/>
        <v/>
      </c>
      <c r="BO211"/>
      <c r="BP211" s="190" t="str">
        <f ca="1">IF(ISNUMBER(OFFSET(BL211,-$F$21,0)),SUM(OFFSET($T$100,($F$17-$F$15+$F$21),0):$T211),"")</f>
        <v/>
      </c>
      <c r="BQ211" s="190" t="str">
        <f t="shared" ca="1" si="165"/>
        <v/>
      </c>
      <c r="BR211" s="190" t="str">
        <f t="shared" ca="1" si="146"/>
        <v/>
      </c>
      <c r="BS211" s="190"/>
      <c r="BT211"/>
      <c r="BU211"/>
      <c r="BV211"/>
      <c r="BY211" s="99"/>
      <c r="BZ211" s="99"/>
      <c r="CA211" s="280" t="str">
        <f t="shared" si="166"/>
        <v/>
      </c>
      <c r="CB211" s="71" t="str">
        <f t="shared" si="122"/>
        <v>-</v>
      </c>
      <c r="CC211" s="33"/>
      <c r="CD211" s="261" t="str">
        <f t="shared" si="123"/>
        <v/>
      </c>
      <c r="CE211" s="280" t="str">
        <f t="shared" si="167"/>
        <v>-</v>
      </c>
      <c r="CF211" s="71" t="str">
        <f t="shared" ca="1" si="168"/>
        <v>-</v>
      </c>
      <c r="CG211" s="33" t="str">
        <f t="shared" si="126"/>
        <v>111-112</v>
      </c>
      <c r="CH211" s="261" t="str">
        <f t="shared" ca="1" si="127"/>
        <v/>
      </c>
    </row>
    <row r="212" spans="2:86" ht="13.5" customHeight="1" x14ac:dyDescent="0.2">
      <c r="B212" s="262">
        <v>112</v>
      </c>
      <c r="C212" s="237" t="str">
        <f t="shared" si="91"/>
        <v/>
      </c>
      <c r="D212" s="237" t="str">
        <f t="shared" si="147"/>
        <v>-</v>
      </c>
      <c r="E212" s="263" t="str">
        <f t="shared" si="128"/>
        <v/>
      </c>
      <c r="F212" s="264" t="str">
        <f t="shared" si="129"/>
        <v/>
      </c>
      <c r="G212" s="264" t="str">
        <f t="shared" si="130"/>
        <v/>
      </c>
      <c r="H212" s="240" t="str">
        <f t="shared" si="149"/>
        <v/>
      </c>
      <c r="I212" s="265" t="str">
        <f t="shared" si="150"/>
        <v/>
      </c>
      <c r="J212" s="265" t="str">
        <f t="shared" si="151"/>
        <v/>
      </c>
      <c r="K212" s="240" t="str">
        <f t="shared" si="152"/>
        <v/>
      </c>
      <c r="L212" s="265" t="str">
        <f t="shared" si="153"/>
        <v/>
      </c>
      <c r="M212" s="265" t="str">
        <f t="shared" si="154"/>
        <v/>
      </c>
      <c r="N212" s="240" t="str">
        <f t="shared" si="155"/>
        <v>-</v>
      </c>
      <c r="O212" s="265" t="str">
        <f t="shared" si="156"/>
        <v>-</v>
      </c>
      <c r="P212" s="265" t="str">
        <f t="shared" si="157"/>
        <v>-</v>
      </c>
      <c r="Q212" s="266" t="str">
        <f t="shared" si="158"/>
        <v>-</v>
      </c>
      <c r="R212" s="267" t="str">
        <f t="shared" si="159"/>
        <v>-</v>
      </c>
      <c r="S212" s="268" t="str">
        <f t="shared" si="160"/>
        <v>-</v>
      </c>
      <c r="T212" s="269" t="str">
        <f t="shared" si="104"/>
        <v/>
      </c>
      <c r="U212" s="221">
        <f t="shared" si="105"/>
        <v>112</v>
      </c>
      <c r="V212" s="220" t="str">
        <f t="shared" si="131"/>
        <v>-</v>
      </c>
      <c r="W212" s="221" t="str">
        <f t="shared" si="132"/>
        <v>-</v>
      </c>
      <c r="X212" s="221" t="str">
        <f t="shared" si="106"/>
        <v>-</v>
      </c>
      <c r="Y212" s="221" t="str">
        <f t="shared" si="107"/>
        <v>-</v>
      </c>
      <c r="Z212" s="270">
        <f t="shared" si="133"/>
        <v>0.1</v>
      </c>
      <c r="AA212" s="271" t="str">
        <f>IFERROR(IF(V211=1,AA$100*EXP(-(LN(2)/$D$65+0.04)*X211)*EXP(-(LN(2)/$D$65+0.1)*Y211),IF(V211=2,AA$100*EXP(-(LN(2)/$D$65+0.04)*(VLOOKUP(($F$16-$F$15)-1,U$99:Y211,4,FALSE)))*EXP(-(LN(2)/$D$65+0.1)*(VLOOKUP(($F$16-$F$15)-1,U$99:Y211,5,FALSE)))*EXP(-(LN(2)/$D$65+0.04)*X211)*EXP(-(LN(2)/$D$65+0.1)*Y211),IF(V211=3,AA$100*EXP(-(LN(2)/$D$65+0.04)*(VLOOKUP(($F$16-$F$15)-1,U$99:Y211,4,FALSE)))*EXP(-(LN(2)/$D$65+0.1)*(VLOOKUP(($F$16-$F$15)-1,U$99:Y211,5,FALSE)))*EXP(-(LN(2)/$D$65+0.04)*(VLOOKUP(($F$16-$F$15)*2-1,U$99:Y211,4,FALSE)))*EXP(-(LN(2)/$D$65+0.1)*(VLOOKUP(($F$16-$F$15)*2-1,U$99:Y211,5,FALSE)))*EXP(-(LN(2)/$D$65+0.04)*X211)*EXP(-(LN(2)/$D$65+0.1)*Y211),"-"))),"-")</f>
        <v>-</v>
      </c>
      <c r="AB212" s="271" t="str">
        <f>IFERROR(IF(V212=1,AB$100*EXP(-(LN(2)/$D$65+0.04)*X212)*EXP(-(LN(2)/$D$65+0.1)*Y212),IF(V212=2,AB$100*EXP(-(LN(2)/$D$65+0.04)*(VLOOKUP(($F$16-$F$15)-1,U$100:Y212,4,FALSE)))*EXP(-(LN(2)/$D$65+0.1)*(VLOOKUP(($F$16-$F$15)-1,U$100:Y212,5,FALSE)))*EXP(-(LN(2)/$D$65+0.04)*X212)*EXP(-(LN(2)/$D$65+0.1)*Y212),IF(V212=3,AB$100*EXP(-(LN(2)/$D$65+0.04)*(VLOOKUP(($F$16-$F$15)-1,U$100:Y212,4,FALSE)))*EXP(-(LN(2)/$D$65+0.1)*(VLOOKUP(($F$16-$F$15)-1,U$100:Y212,5,FALSE)))*EXP(-(LN(2)/$D$65+0.04)*(VLOOKUP(($F$16-$F$15)*2-1,U$100:Y212,4,FALSE)))*EXP(-(LN(2)/$D$65+0.1)*(VLOOKUP(($F$16-$F$15)*2-1,U$100:Y212,5,FALSE)))*EXP(-(LN(2)/$D$65+0.04)*X212)*EXP(-(LN(2)/$D$65+0.1)*Y212),"-"))),"-")</f>
        <v>-</v>
      </c>
      <c r="AC212" s="224">
        <f t="shared" si="134"/>
        <v>112</v>
      </c>
      <c r="AD212" s="223" t="str">
        <f t="shared" si="108"/>
        <v>-</v>
      </c>
      <c r="AE212" s="224" t="str">
        <f t="shared" si="135"/>
        <v>-</v>
      </c>
      <c r="AF212" s="224" t="str">
        <f t="shared" si="109"/>
        <v>-</v>
      </c>
      <c r="AG212" s="224" t="str">
        <f t="shared" si="110"/>
        <v>-</v>
      </c>
      <c r="AH212" s="272">
        <f t="shared" si="136"/>
        <v>0.1</v>
      </c>
      <c r="AI212" s="271" t="str">
        <f>IFERROR(IF(AD211=1,AI$100*EXP(-(LN(2)/$D$65+0.04)*AF211)*EXP(-(LN(2)/$D$65+0.1)*AG211),IF(AD211=2,AI$100*EXP(-(LN(2)/$D$65+0.04)*(VLOOKUP(($F$16-$F$15)-1,AC$99:AG211,4,FALSE)))*EXP(-(LN(2)/$D$65+0.1)*(VLOOKUP(($F$16-$F$15)-1,AC$99:AG211,5,FALSE)))*EXP(-(LN(2)/$D$65+0.04)*AF211)*EXP(-(LN(2)/$D$65+0.1)*AG211),IF(AD211=3,AI$100*EXP(-(LN(2)/$D$65+0.04)*(VLOOKUP(($F$16-$F$15)-1,AC$99:AG211,4,FALSE)))*EXP(-(LN(2)/$D$65+0.1)*(VLOOKUP(($F$16-$F$15)-1,AC$99:AG211,5,FALSE)))*EXP(-(LN(2)/$D$65+0.04)*(VLOOKUP(($F$16-$F$15)*2-1,AC$99:AG211,4,FALSE)))*EXP(-(LN(2)/$D$65+0.1)*(VLOOKUP(($F$16-$F$15)*2-1,AC$99:AG211,5,FALSE)))*EXP(-(LN(2)/$D$65+0.04)*AF211)*EXP(-(LN(2)/$D$65+0.1)*AG211),"-"))),"-")</f>
        <v>-</v>
      </c>
      <c r="AJ212" s="271" t="str">
        <f>IFERROR(IF(AD212=1,AJ$100*EXP(-(LN(2)/$D$65+0.04)*AF212)*EXP(-(LN(2)/$D$65+0.1)*AG212),IF(AD212=2,AJ$100*EXP(-(LN(2)/$D$65+0.04)*(VLOOKUP(($F$16-$F$15)-1,AC$100:AG212,4,FALSE)))*EXP(-(LN(2)/$D$65+0.1)*(VLOOKUP(($F$16-$F$15)-1,AC$100:AG212,5,FALSE)))*EXP(-(LN(2)/$D$65+0.04)*AF212)*EXP(-(LN(2)/$D$65+0.1)*AG212),IF(AD212=3,AJ$100*EXP(-(LN(2)/$D$65+0.04)*(VLOOKUP(($F$16-$F$15)-1,AC$100:AG212,4,FALSE)))*EXP(-(LN(2)/$D$65+0.1)*(VLOOKUP(($F$16-$F$15)-1,AC$100:AG212,5,FALSE)))*EXP(-(LN(2)/$D$65+0.04)*(VLOOKUP(($F$16-$F$15)*2-1,AC$100:AG212,4,FALSE)))*EXP(-(LN(2)/$D$65+0.1)*(VLOOKUP(($F$16-$F$15)*2-1,AC$100:AG212,5,FALSE)))*EXP(-(LN(2)/$D$65+0.04)*AF212)*EXP(-(LN(2)/$D$65+0.1)*AG212),"-"))),"-")</f>
        <v>-</v>
      </c>
      <c r="AK212" s="227">
        <f t="shared" si="137"/>
        <v>112</v>
      </c>
      <c r="AL212" s="226" t="str">
        <f t="shared" si="111"/>
        <v>-</v>
      </c>
      <c r="AM212" s="227" t="str">
        <f t="shared" si="138"/>
        <v>-</v>
      </c>
      <c r="AN212" s="227" t="str">
        <f t="shared" si="139"/>
        <v>-</v>
      </c>
      <c r="AO212" s="227" t="str">
        <f t="shared" si="112"/>
        <v>-</v>
      </c>
      <c r="AP212" s="273">
        <f t="shared" si="140"/>
        <v>0.1</v>
      </c>
      <c r="AQ212" s="271" t="str">
        <f>IFERROR(IF(AL211=1,AQ$100*EXP(-(LN(2)/$D$65+0.04)*AN211)*EXP(-(LN(2)/$D$65+0.1)*AO211),IF(AL211=2,AQ$100*EXP(-(LN(2)/$D$65+0.04)*(VLOOKUP(($F$16-$F$15)-1,AK$99:AO211,4,FALSE)))*EXP(-(LN(2)/$D$65+0.1)*(VLOOKUP(($F$16-$F$15)-1,AK$99:AO211,5,FALSE)))*EXP(-(LN(2)/$D$65+0.04)*AN211)*EXP(-(LN(2)/$D$65+0.1)*AO211),IF(AL211=3,AQ$100*EXP(-(LN(2)/$D$65+0.04)*(VLOOKUP(($F$16-$F$15)-1,AK$99:AO211,4,FALSE)))*EXP(-(LN(2)/$D$65+0.1)*(VLOOKUP(($F$16-$F$15)-1,AK$99:AO211,5,FALSE)))*EXP(-(LN(2)/$D$65+0.04)*(VLOOKUP(($F$16-$F$15)*2-1,AK$99:AO211,4,FALSE)))*EXP(-(LN(2)/$D$65+0.1)*(VLOOKUP(($F$16-$F$15)*2-1,AK$99:AO211,5,FALSE)))*EXP(-(LN(2)/$D$65+0.04)*AN211)*EXP(-(LN(2)/$D$65+0.1)*AO211),"-"))),"-")</f>
        <v>-</v>
      </c>
      <c r="AR212" s="271" t="str">
        <f>IFERROR(IF(AL212=1,AR$100*EXP(-(LN(2)/$D$65+0.04)*AN212)*EXP(-(LN(2)/$D$65+0.1)*AO212),IF(AL212=2,AR$100*EXP(-(LN(2)/$D$65+0.04)*(VLOOKUP(($F$16-$F$15)-1,AK$100:AO212,4,FALSE)))*EXP(-(LN(2)/$D$65+0.1)*(VLOOKUP(($F$16-$F$15)-1,AK$100:AO212,5,FALSE)))*EXP(-(LN(2)/$D$65+0.04)*AN212)*EXP(-(LN(2)/$D$65+0.1)*AO212),IF(AL212=3,AR$100*EXP(-(LN(2)/$D$65+0.04)*(VLOOKUP(($F$16-$F$15)-1,AK$100:AO212,4,FALSE)))*EXP(-(LN(2)/$D$65+0.1)*(VLOOKUP(($F$16-$F$15)-1,AK$100:AO212,5,FALSE)))*EXP(-(LN(2)/$D$65+0.04)*(VLOOKUP(($F$16-$F$15)*2-1,AK$100:AO212,4,FALSE)))*EXP(-(LN(2)/$D$65+0.1)*(VLOOKUP(($F$16-$F$15)*2-1,AK$100:AO212,5,FALSE)))*EXP(-(LN(2)/$D$65+0.04)*AN212)*EXP(-(LN(2)/$D$65+0.1)*AO212),"-"))),"-")</f>
        <v>-</v>
      </c>
      <c r="AS212" s="274">
        <f t="shared" si="113"/>
        <v>0</v>
      </c>
      <c r="AT212" s="274">
        <f t="shared" si="114"/>
        <v>0</v>
      </c>
      <c r="AU212" s="274">
        <f t="shared" si="115"/>
        <v>0</v>
      </c>
      <c r="AV212" s="190">
        <f>IF($B212&lt;$F$22,SUM($T$100:$T212),"")</f>
        <v>0</v>
      </c>
      <c r="AW212" s="190" t="str">
        <f t="shared" si="161"/>
        <v>-</v>
      </c>
      <c r="AX212" s="190" t="str">
        <f t="shared" si="141"/>
        <v/>
      </c>
      <c r="AY212"/>
      <c r="AZ212" s="190" t="str">
        <f ca="1">IF(ISNUMBER(OFFSET(AV212,-$F$21,0)),SUM(OFFSET($T$100,$F$21,0):$T212),"")</f>
        <v/>
      </c>
      <c r="BA212" s="190" t="str">
        <f t="shared" ca="1" si="162"/>
        <v/>
      </c>
      <c r="BB212" s="190" t="str">
        <f t="shared" ca="1" si="148"/>
        <v/>
      </c>
      <c r="BC212" s="190"/>
      <c r="BD212" s="190" t="str">
        <f ca="1">IFERROR(IF(AND($B212&gt;=($F$16-$F$15),$B212&lt;$F$22+($F$16-$F$15)),SUM(OFFSET($T$100,($F$16-$F$15),0):$T212),""),"")</f>
        <v/>
      </c>
      <c r="BE212" s="190" t="str">
        <f t="shared" ca="1" si="142"/>
        <v/>
      </c>
      <c r="BF212" s="190" t="str">
        <f t="shared" ca="1" si="143"/>
        <v/>
      </c>
      <c r="BG212"/>
      <c r="BH212" s="190" t="str">
        <f ca="1">IF(ISNUMBER(OFFSET(BD212,-$F$21,0)),SUM(OFFSET($T$100,($F$16-$F$15+$F$21),0):$T212),"")</f>
        <v/>
      </c>
      <c r="BI212" s="190" t="str">
        <f t="shared" ca="1" si="163"/>
        <v/>
      </c>
      <c r="BJ212" s="190" t="str">
        <f t="shared" ca="1" si="144"/>
        <v/>
      </c>
      <c r="BK212" s="190"/>
      <c r="BL212" s="190" t="str">
        <f ca="1">IFERROR(IF(AND($B212&gt;=($F$17-$F$15),$B212&lt;$F$22+($F$17-$F$15)),SUM(OFFSET($T$100,($F$17-$F$15),0):$T212),""),"")</f>
        <v/>
      </c>
      <c r="BM212" s="190" t="str">
        <f t="shared" ca="1" si="164"/>
        <v/>
      </c>
      <c r="BN212" s="190" t="str">
        <f t="shared" ca="1" si="145"/>
        <v/>
      </c>
      <c r="BO212"/>
      <c r="BP212" s="190" t="str">
        <f ca="1">IF(ISNUMBER(OFFSET(BL212,-$F$21,0)),SUM(OFFSET($T$100,($F$17-$F$15+$F$21),0):$T212),"")</f>
        <v/>
      </c>
      <c r="BQ212" s="190" t="str">
        <f t="shared" ca="1" si="165"/>
        <v/>
      </c>
      <c r="BR212" s="190" t="str">
        <f t="shared" ca="1" si="146"/>
        <v/>
      </c>
      <c r="BS212" s="190"/>
      <c r="BT212"/>
      <c r="BU212"/>
      <c r="BV212"/>
      <c r="BY212" s="99"/>
      <c r="BZ212" s="99"/>
      <c r="CA212" s="280" t="str">
        <f t="shared" si="166"/>
        <v/>
      </c>
      <c r="CB212" s="71" t="str">
        <f t="shared" si="122"/>
        <v>-</v>
      </c>
      <c r="CC212" s="33"/>
      <c r="CD212" s="261" t="str">
        <f t="shared" si="123"/>
        <v/>
      </c>
      <c r="CE212" s="280" t="str">
        <f t="shared" si="167"/>
        <v>-</v>
      </c>
      <c r="CF212" s="71" t="str">
        <f t="shared" ca="1" si="168"/>
        <v>-</v>
      </c>
      <c r="CG212" s="33" t="str">
        <f t="shared" si="126"/>
        <v>112-113</v>
      </c>
      <c r="CH212" s="261" t="str">
        <f t="shared" ca="1" si="127"/>
        <v/>
      </c>
    </row>
    <row r="213" spans="2:86" ht="13.5" customHeight="1" x14ac:dyDescent="0.2">
      <c r="B213" s="262">
        <v>113</v>
      </c>
      <c r="C213" s="237" t="str">
        <f t="shared" si="91"/>
        <v/>
      </c>
      <c r="D213" s="237" t="str">
        <f t="shared" si="147"/>
        <v>-</v>
      </c>
      <c r="E213" s="263" t="str">
        <f t="shared" si="128"/>
        <v/>
      </c>
      <c r="F213" s="264" t="str">
        <f t="shared" si="129"/>
        <v/>
      </c>
      <c r="G213" s="264" t="str">
        <f t="shared" si="130"/>
        <v/>
      </c>
      <c r="H213" s="240" t="str">
        <f t="shared" si="149"/>
        <v/>
      </c>
      <c r="I213" s="265" t="str">
        <f t="shared" si="150"/>
        <v/>
      </c>
      <c r="J213" s="265" t="str">
        <f t="shared" si="151"/>
        <v/>
      </c>
      <c r="K213" s="240" t="str">
        <f t="shared" si="152"/>
        <v/>
      </c>
      <c r="L213" s="265" t="str">
        <f t="shared" si="153"/>
        <v/>
      </c>
      <c r="M213" s="265" t="str">
        <f t="shared" si="154"/>
        <v/>
      </c>
      <c r="N213" s="240" t="str">
        <f t="shared" si="155"/>
        <v>-</v>
      </c>
      <c r="O213" s="265" t="str">
        <f t="shared" si="156"/>
        <v>-</v>
      </c>
      <c r="P213" s="265" t="str">
        <f t="shared" si="157"/>
        <v>-</v>
      </c>
      <c r="Q213" s="266" t="str">
        <f t="shared" si="158"/>
        <v>-</v>
      </c>
      <c r="R213" s="267" t="str">
        <f t="shared" si="159"/>
        <v>-</v>
      </c>
      <c r="S213" s="268" t="str">
        <f t="shared" si="160"/>
        <v>-</v>
      </c>
      <c r="T213" s="269" t="str">
        <f t="shared" si="104"/>
        <v/>
      </c>
      <c r="U213" s="221">
        <f t="shared" si="105"/>
        <v>113</v>
      </c>
      <c r="V213" s="220" t="str">
        <f t="shared" si="131"/>
        <v>-</v>
      </c>
      <c r="W213" s="221" t="str">
        <f t="shared" si="132"/>
        <v>-</v>
      </c>
      <c r="X213" s="221" t="str">
        <f t="shared" si="106"/>
        <v>-</v>
      </c>
      <c r="Y213" s="221" t="str">
        <f t="shared" si="107"/>
        <v>-</v>
      </c>
      <c r="Z213" s="270">
        <f t="shared" si="133"/>
        <v>0.1</v>
      </c>
      <c r="AA213" s="271" t="str">
        <f>IFERROR(IF(V212=1,AA$100*EXP(-(LN(2)/$D$65+0.04)*X212)*EXP(-(LN(2)/$D$65+0.1)*Y212),IF(V212=2,AA$100*EXP(-(LN(2)/$D$65+0.04)*(VLOOKUP(($F$16-$F$15)-1,U$99:Y212,4,FALSE)))*EXP(-(LN(2)/$D$65+0.1)*(VLOOKUP(($F$16-$F$15)-1,U$99:Y212,5,FALSE)))*EXP(-(LN(2)/$D$65+0.04)*X212)*EXP(-(LN(2)/$D$65+0.1)*Y212),IF(V212=3,AA$100*EXP(-(LN(2)/$D$65+0.04)*(VLOOKUP(($F$16-$F$15)-1,U$99:Y212,4,FALSE)))*EXP(-(LN(2)/$D$65+0.1)*(VLOOKUP(($F$16-$F$15)-1,U$99:Y212,5,FALSE)))*EXP(-(LN(2)/$D$65+0.04)*(VLOOKUP(($F$16-$F$15)*2-1,U$99:Y212,4,FALSE)))*EXP(-(LN(2)/$D$65+0.1)*(VLOOKUP(($F$16-$F$15)*2-1,U$99:Y212,5,FALSE)))*EXP(-(LN(2)/$D$65+0.04)*X212)*EXP(-(LN(2)/$D$65+0.1)*Y212),"-"))),"-")</f>
        <v>-</v>
      </c>
      <c r="AB213" s="271" t="str">
        <f>IFERROR(IF(V213=1,AB$100*EXP(-(LN(2)/$D$65+0.04)*X213)*EXP(-(LN(2)/$D$65+0.1)*Y213),IF(V213=2,AB$100*EXP(-(LN(2)/$D$65+0.04)*(VLOOKUP(($F$16-$F$15)-1,U$100:Y213,4,FALSE)))*EXP(-(LN(2)/$D$65+0.1)*(VLOOKUP(($F$16-$F$15)-1,U$100:Y213,5,FALSE)))*EXP(-(LN(2)/$D$65+0.04)*X213)*EXP(-(LN(2)/$D$65+0.1)*Y213),IF(V213=3,AB$100*EXP(-(LN(2)/$D$65+0.04)*(VLOOKUP(($F$16-$F$15)-1,U$100:Y213,4,FALSE)))*EXP(-(LN(2)/$D$65+0.1)*(VLOOKUP(($F$16-$F$15)-1,U$100:Y213,5,FALSE)))*EXP(-(LN(2)/$D$65+0.04)*(VLOOKUP(($F$16-$F$15)*2-1,U$100:Y213,4,FALSE)))*EXP(-(LN(2)/$D$65+0.1)*(VLOOKUP(($F$16-$F$15)*2-1,U$100:Y213,5,FALSE)))*EXP(-(LN(2)/$D$65+0.04)*X213)*EXP(-(LN(2)/$D$65+0.1)*Y213),"-"))),"-")</f>
        <v>-</v>
      </c>
      <c r="AC213" s="224">
        <f t="shared" si="134"/>
        <v>113</v>
      </c>
      <c r="AD213" s="223" t="str">
        <f t="shared" si="108"/>
        <v>-</v>
      </c>
      <c r="AE213" s="224" t="str">
        <f t="shared" si="135"/>
        <v>-</v>
      </c>
      <c r="AF213" s="224" t="str">
        <f t="shared" si="109"/>
        <v>-</v>
      </c>
      <c r="AG213" s="224" t="str">
        <f t="shared" si="110"/>
        <v>-</v>
      </c>
      <c r="AH213" s="272">
        <f t="shared" si="136"/>
        <v>0.1</v>
      </c>
      <c r="AI213" s="271" t="str">
        <f>IFERROR(IF(AD212=1,AI$100*EXP(-(LN(2)/$D$65+0.04)*AF212)*EXP(-(LN(2)/$D$65+0.1)*AG212),IF(AD212=2,AI$100*EXP(-(LN(2)/$D$65+0.04)*(VLOOKUP(($F$16-$F$15)-1,AC$99:AG212,4,FALSE)))*EXP(-(LN(2)/$D$65+0.1)*(VLOOKUP(($F$16-$F$15)-1,AC$99:AG212,5,FALSE)))*EXP(-(LN(2)/$D$65+0.04)*AF212)*EXP(-(LN(2)/$D$65+0.1)*AG212),IF(AD212=3,AI$100*EXP(-(LN(2)/$D$65+0.04)*(VLOOKUP(($F$16-$F$15)-1,AC$99:AG212,4,FALSE)))*EXP(-(LN(2)/$D$65+0.1)*(VLOOKUP(($F$16-$F$15)-1,AC$99:AG212,5,FALSE)))*EXP(-(LN(2)/$D$65+0.04)*(VLOOKUP(($F$16-$F$15)*2-1,AC$99:AG212,4,FALSE)))*EXP(-(LN(2)/$D$65+0.1)*(VLOOKUP(($F$16-$F$15)*2-1,AC$99:AG212,5,FALSE)))*EXP(-(LN(2)/$D$65+0.04)*AF212)*EXP(-(LN(2)/$D$65+0.1)*AG212),"-"))),"-")</f>
        <v>-</v>
      </c>
      <c r="AJ213" s="271" t="str">
        <f>IFERROR(IF(AD213=1,AJ$100*EXP(-(LN(2)/$D$65+0.04)*AF213)*EXP(-(LN(2)/$D$65+0.1)*AG213),IF(AD213=2,AJ$100*EXP(-(LN(2)/$D$65+0.04)*(VLOOKUP(($F$16-$F$15)-1,AC$100:AG213,4,FALSE)))*EXP(-(LN(2)/$D$65+0.1)*(VLOOKUP(($F$16-$F$15)-1,AC$100:AG213,5,FALSE)))*EXP(-(LN(2)/$D$65+0.04)*AF213)*EXP(-(LN(2)/$D$65+0.1)*AG213),IF(AD213=3,AJ$100*EXP(-(LN(2)/$D$65+0.04)*(VLOOKUP(($F$16-$F$15)-1,AC$100:AG213,4,FALSE)))*EXP(-(LN(2)/$D$65+0.1)*(VLOOKUP(($F$16-$F$15)-1,AC$100:AG213,5,FALSE)))*EXP(-(LN(2)/$D$65+0.04)*(VLOOKUP(($F$16-$F$15)*2-1,AC$100:AG213,4,FALSE)))*EXP(-(LN(2)/$D$65+0.1)*(VLOOKUP(($F$16-$F$15)*2-1,AC$100:AG213,5,FALSE)))*EXP(-(LN(2)/$D$65+0.04)*AF213)*EXP(-(LN(2)/$D$65+0.1)*AG213),"-"))),"-")</f>
        <v>-</v>
      </c>
      <c r="AK213" s="227">
        <f t="shared" si="137"/>
        <v>113</v>
      </c>
      <c r="AL213" s="226" t="str">
        <f t="shared" si="111"/>
        <v>-</v>
      </c>
      <c r="AM213" s="227" t="str">
        <f t="shared" si="138"/>
        <v>-</v>
      </c>
      <c r="AN213" s="227" t="str">
        <f t="shared" si="139"/>
        <v>-</v>
      </c>
      <c r="AO213" s="227" t="str">
        <f t="shared" si="112"/>
        <v>-</v>
      </c>
      <c r="AP213" s="273">
        <f t="shared" si="140"/>
        <v>0.1</v>
      </c>
      <c r="AQ213" s="271" t="str">
        <f>IFERROR(IF(AL212=1,AQ$100*EXP(-(LN(2)/$D$65+0.04)*AN212)*EXP(-(LN(2)/$D$65+0.1)*AO212),IF(AL212=2,AQ$100*EXP(-(LN(2)/$D$65+0.04)*(VLOOKUP(($F$16-$F$15)-1,AK$99:AO212,4,FALSE)))*EXP(-(LN(2)/$D$65+0.1)*(VLOOKUP(($F$16-$F$15)-1,AK$99:AO212,5,FALSE)))*EXP(-(LN(2)/$D$65+0.04)*AN212)*EXP(-(LN(2)/$D$65+0.1)*AO212),IF(AL212=3,AQ$100*EXP(-(LN(2)/$D$65+0.04)*(VLOOKUP(($F$16-$F$15)-1,AK$99:AO212,4,FALSE)))*EXP(-(LN(2)/$D$65+0.1)*(VLOOKUP(($F$16-$F$15)-1,AK$99:AO212,5,FALSE)))*EXP(-(LN(2)/$D$65+0.04)*(VLOOKUP(($F$16-$F$15)*2-1,AK$99:AO212,4,FALSE)))*EXP(-(LN(2)/$D$65+0.1)*(VLOOKUP(($F$16-$F$15)*2-1,AK$99:AO212,5,FALSE)))*EXP(-(LN(2)/$D$65+0.04)*AN212)*EXP(-(LN(2)/$D$65+0.1)*AO212),"-"))),"-")</f>
        <v>-</v>
      </c>
      <c r="AR213" s="271" t="str">
        <f>IFERROR(IF(AL213=1,AR$100*EXP(-(LN(2)/$D$65+0.04)*AN213)*EXP(-(LN(2)/$D$65+0.1)*AO213),IF(AL213=2,AR$100*EXP(-(LN(2)/$D$65+0.04)*(VLOOKUP(($F$16-$F$15)-1,AK$100:AO213,4,FALSE)))*EXP(-(LN(2)/$D$65+0.1)*(VLOOKUP(($F$16-$F$15)-1,AK$100:AO213,5,FALSE)))*EXP(-(LN(2)/$D$65+0.04)*AN213)*EXP(-(LN(2)/$D$65+0.1)*AO213),IF(AL213=3,AR$100*EXP(-(LN(2)/$D$65+0.04)*(VLOOKUP(($F$16-$F$15)-1,AK$100:AO213,4,FALSE)))*EXP(-(LN(2)/$D$65+0.1)*(VLOOKUP(($F$16-$F$15)-1,AK$100:AO213,5,FALSE)))*EXP(-(LN(2)/$D$65+0.04)*(VLOOKUP(($F$16-$F$15)*2-1,AK$100:AO213,4,FALSE)))*EXP(-(LN(2)/$D$65+0.1)*(VLOOKUP(($F$16-$F$15)*2-1,AK$100:AO213,5,FALSE)))*EXP(-(LN(2)/$D$65+0.04)*AN213)*EXP(-(LN(2)/$D$65+0.1)*AO213),"-"))),"-")</f>
        <v>-</v>
      </c>
      <c r="AS213" s="274">
        <f t="shared" si="113"/>
        <v>0</v>
      </c>
      <c r="AT213" s="274">
        <f t="shared" si="114"/>
        <v>0</v>
      </c>
      <c r="AU213" s="274">
        <f t="shared" si="115"/>
        <v>0</v>
      </c>
      <c r="AV213" s="190">
        <f>IF($B213&lt;$F$22,SUM($T$100:$T213),"")</f>
        <v>0</v>
      </c>
      <c r="AW213" s="190" t="str">
        <f t="shared" si="161"/>
        <v>-</v>
      </c>
      <c r="AX213" s="190" t="str">
        <f t="shared" si="141"/>
        <v/>
      </c>
      <c r="AY213"/>
      <c r="AZ213" s="190" t="str">
        <f ca="1">IF(ISNUMBER(OFFSET(AV213,-$F$21,0)),SUM(OFFSET($T$100,$F$21,0):$T213),"")</f>
        <v/>
      </c>
      <c r="BA213" s="190" t="str">
        <f t="shared" ca="1" si="162"/>
        <v/>
      </c>
      <c r="BB213" s="190" t="str">
        <f t="shared" ca="1" si="148"/>
        <v/>
      </c>
      <c r="BC213" s="190"/>
      <c r="BD213" s="190" t="str">
        <f ca="1">IFERROR(IF(AND($B213&gt;=($F$16-$F$15),$B213&lt;$F$22+($F$16-$F$15)),SUM(OFFSET($T$100,($F$16-$F$15),0):$T213),""),"")</f>
        <v/>
      </c>
      <c r="BE213" s="190" t="str">
        <f t="shared" ca="1" si="142"/>
        <v/>
      </c>
      <c r="BF213" s="190" t="str">
        <f t="shared" ca="1" si="143"/>
        <v/>
      </c>
      <c r="BG213"/>
      <c r="BH213" s="190" t="str">
        <f ca="1">IF(ISNUMBER(OFFSET(BD213,-$F$21,0)),SUM(OFFSET($T$100,($F$16-$F$15+$F$21),0):$T213),"")</f>
        <v/>
      </c>
      <c r="BI213" s="190" t="str">
        <f t="shared" ca="1" si="163"/>
        <v/>
      </c>
      <c r="BJ213" s="190" t="str">
        <f t="shared" ca="1" si="144"/>
        <v/>
      </c>
      <c r="BK213" s="190"/>
      <c r="BL213" s="190" t="str">
        <f ca="1">IFERROR(IF(AND($B213&gt;=($F$17-$F$15),$B213&lt;$F$22+($F$17-$F$15)),SUM(OFFSET($T$100,($F$17-$F$15),0):$T213),""),"")</f>
        <v/>
      </c>
      <c r="BM213" s="190" t="str">
        <f t="shared" ca="1" si="164"/>
        <v/>
      </c>
      <c r="BN213" s="190" t="str">
        <f t="shared" ca="1" si="145"/>
        <v/>
      </c>
      <c r="BO213"/>
      <c r="BP213" s="190" t="str">
        <f ca="1">IF(ISNUMBER(OFFSET(BL213,-$F$21,0)),SUM(OFFSET($T$100,($F$17-$F$15+$F$21),0):$T213),"")</f>
        <v/>
      </c>
      <c r="BQ213" s="190" t="str">
        <f t="shared" ca="1" si="165"/>
        <v/>
      </c>
      <c r="BR213" s="190" t="str">
        <f t="shared" ca="1" si="146"/>
        <v/>
      </c>
      <c r="BS213" s="190"/>
      <c r="BT213"/>
      <c r="BU213"/>
      <c r="BV213"/>
      <c r="BY213" s="99"/>
      <c r="BZ213" s="99"/>
      <c r="CA213" s="280" t="str">
        <f t="shared" si="166"/>
        <v/>
      </c>
      <c r="CB213" s="71" t="str">
        <f t="shared" si="122"/>
        <v>-</v>
      </c>
      <c r="CC213" s="33"/>
      <c r="CD213" s="261" t="str">
        <f t="shared" si="123"/>
        <v/>
      </c>
      <c r="CE213" s="280" t="str">
        <f t="shared" si="167"/>
        <v>-</v>
      </c>
      <c r="CF213" s="71" t="str">
        <f t="shared" ca="1" si="168"/>
        <v>-</v>
      </c>
      <c r="CG213" s="33" t="str">
        <f t="shared" si="126"/>
        <v>113-114</v>
      </c>
      <c r="CH213" s="261" t="str">
        <f t="shared" ca="1" si="127"/>
        <v/>
      </c>
    </row>
    <row r="214" spans="2:86" ht="13.5" customHeight="1" x14ac:dyDescent="0.2">
      <c r="B214" s="262">
        <v>114</v>
      </c>
      <c r="C214" s="237" t="str">
        <f t="shared" si="91"/>
        <v/>
      </c>
      <c r="D214" s="237" t="str">
        <f t="shared" si="147"/>
        <v>-</v>
      </c>
      <c r="E214" s="263" t="str">
        <f t="shared" si="128"/>
        <v/>
      </c>
      <c r="F214" s="264" t="str">
        <f t="shared" si="129"/>
        <v/>
      </c>
      <c r="G214" s="264" t="str">
        <f t="shared" si="130"/>
        <v/>
      </c>
      <c r="H214" s="240" t="str">
        <f t="shared" si="149"/>
        <v/>
      </c>
      <c r="I214" s="265" t="str">
        <f t="shared" si="150"/>
        <v/>
      </c>
      <c r="J214" s="265" t="str">
        <f t="shared" si="151"/>
        <v/>
      </c>
      <c r="K214" s="240" t="str">
        <f t="shared" si="152"/>
        <v/>
      </c>
      <c r="L214" s="265" t="str">
        <f t="shared" si="153"/>
        <v/>
      </c>
      <c r="M214" s="265" t="str">
        <f t="shared" si="154"/>
        <v/>
      </c>
      <c r="N214" s="240" t="str">
        <f t="shared" si="155"/>
        <v>-</v>
      </c>
      <c r="O214" s="265" t="str">
        <f t="shared" si="156"/>
        <v>-</v>
      </c>
      <c r="P214" s="265" t="str">
        <f t="shared" si="157"/>
        <v>-</v>
      </c>
      <c r="Q214" s="266" t="str">
        <f t="shared" si="158"/>
        <v>-</v>
      </c>
      <c r="R214" s="267" t="str">
        <f t="shared" si="159"/>
        <v>-</v>
      </c>
      <c r="S214" s="268" t="str">
        <f t="shared" si="160"/>
        <v>-</v>
      </c>
      <c r="T214" s="269" t="str">
        <f t="shared" si="104"/>
        <v/>
      </c>
      <c r="U214" s="221">
        <f t="shared" si="105"/>
        <v>114</v>
      </c>
      <c r="V214" s="220" t="str">
        <f t="shared" si="131"/>
        <v>-</v>
      </c>
      <c r="W214" s="221" t="str">
        <f t="shared" si="132"/>
        <v>-</v>
      </c>
      <c r="X214" s="221" t="str">
        <f t="shared" si="106"/>
        <v>-</v>
      </c>
      <c r="Y214" s="221" t="str">
        <f t="shared" si="107"/>
        <v>-</v>
      </c>
      <c r="Z214" s="270">
        <f t="shared" si="133"/>
        <v>0.1</v>
      </c>
      <c r="AA214" s="271" t="str">
        <f>IFERROR(IF(V213=1,AA$100*EXP(-(LN(2)/$D$65+0.04)*X213)*EXP(-(LN(2)/$D$65+0.1)*Y213),IF(V213=2,AA$100*EXP(-(LN(2)/$D$65+0.04)*(VLOOKUP(($F$16-$F$15)-1,U$99:Y213,4,FALSE)))*EXP(-(LN(2)/$D$65+0.1)*(VLOOKUP(($F$16-$F$15)-1,U$99:Y213,5,FALSE)))*EXP(-(LN(2)/$D$65+0.04)*X213)*EXP(-(LN(2)/$D$65+0.1)*Y213),IF(V213=3,AA$100*EXP(-(LN(2)/$D$65+0.04)*(VLOOKUP(($F$16-$F$15)-1,U$99:Y213,4,FALSE)))*EXP(-(LN(2)/$D$65+0.1)*(VLOOKUP(($F$16-$F$15)-1,U$99:Y213,5,FALSE)))*EXP(-(LN(2)/$D$65+0.04)*(VLOOKUP(($F$16-$F$15)*2-1,U$99:Y213,4,FALSE)))*EXP(-(LN(2)/$D$65+0.1)*(VLOOKUP(($F$16-$F$15)*2-1,U$99:Y213,5,FALSE)))*EXP(-(LN(2)/$D$65+0.04)*X213)*EXP(-(LN(2)/$D$65+0.1)*Y213),"-"))),"-")</f>
        <v>-</v>
      </c>
      <c r="AB214" s="271" t="str">
        <f>IFERROR(IF(V214=1,AB$100*EXP(-(LN(2)/$D$65+0.04)*X214)*EXP(-(LN(2)/$D$65+0.1)*Y214),IF(V214=2,AB$100*EXP(-(LN(2)/$D$65+0.04)*(VLOOKUP(($F$16-$F$15)-1,U$100:Y214,4,FALSE)))*EXP(-(LN(2)/$D$65+0.1)*(VLOOKUP(($F$16-$F$15)-1,U$100:Y214,5,FALSE)))*EXP(-(LN(2)/$D$65+0.04)*X214)*EXP(-(LN(2)/$D$65+0.1)*Y214),IF(V214=3,AB$100*EXP(-(LN(2)/$D$65+0.04)*(VLOOKUP(($F$16-$F$15)-1,U$100:Y214,4,FALSE)))*EXP(-(LN(2)/$D$65+0.1)*(VLOOKUP(($F$16-$F$15)-1,U$100:Y214,5,FALSE)))*EXP(-(LN(2)/$D$65+0.04)*(VLOOKUP(($F$16-$F$15)*2-1,U$100:Y214,4,FALSE)))*EXP(-(LN(2)/$D$65+0.1)*(VLOOKUP(($F$16-$F$15)*2-1,U$100:Y214,5,FALSE)))*EXP(-(LN(2)/$D$65+0.04)*X214)*EXP(-(LN(2)/$D$65+0.1)*Y214),"-"))),"-")</f>
        <v>-</v>
      </c>
      <c r="AC214" s="224">
        <f t="shared" si="134"/>
        <v>114</v>
      </c>
      <c r="AD214" s="223" t="str">
        <f t="shared" si="108"/>
        <v>-</v>
      </c>
      <c r="AE214" s="224" t="str">
        <f t="shared" si="135"/>
        <v>-</v>
      </c>
      <c r="AF214" s="224" t="str">
        <f t="shared" si="109"/>
        <v>-</v>
      </c>
      <c r="AG214" s="224" t="str">
        <f t="shared" si="110"/>
        <v>-</v>
      </c>
      <c r="AH214" s="272">
        <f t="shared" si="136"/>
        <v>0.1</v>
      </c>
      <c r="AI214" s="271" t="str">
        <f>IFERROR(IF(AD213=1,AI$100*EXP(-(LN(2)/$D$65+0.04)*AF213)*EXP(-(LN(2)/$D$65+0.1)*AG213),IF(AD213=2,AI$100*EXP(-(LN(2)/$D$65+0.04)*(VLOOKUP(($F$16-$F$15)-1,AC$99:AG213,4,FALSE)))*EXP(-(LN(2)/$D$65+0.1)*(VLOOKUP(($F$16-$F$15)-1,AC$99:AG213,5,FALSE)))*EXP(-(LN(2)/$D$65+0.04)*AF213)*EXP(-(LN(2)/$D$65+0.1)*AG213),IF(AD213=3,AI$100*EXP(-(LN(2)/$D$65+0.04)*(VLOOKUP(($F$16-$F$15)-1,AC$99:AG213,4,FALSE)))*EXP(-(LN(2)/$D$65+0.1)*(VLOOKUP(($F$16-$F$15)-1,AC$99:AG213,5,FALSE)))*EXP(-(LN(2)/$D$65+0.04)*(VLOOKUP(($F$16-$F$15)*2-1,AC$99:AG213,4,FALSE)))*EXP(-(LN(2)/$D$65+0.1)*(VLOOKUP(($F$16-$F$15)*2-1,AC$99:AG213,5,FALSE)))*EXP(-(LN(2)/$D$65+0.04)*AF213)*EXP(-(LN(2)/$D$65+0.1)*AG213),"-"))),"-")</f>
        <v>-</v>
      </c>
      <c r="AJ214" s="271" t="str">
        <f>IFERROR(IF(AD214=1,AJ$100*EXP(-(LN(2)/$D$65+0.04)*AF214)*EXP(-(LN(2)/$D$65+0.1)*AG214),IF(AD214=2,AJ$100*EXP(-(LN(2)/$D$65+0.04)*(VLOOKUP(($F$16-$F$15)-1,AC$100:AG214,4,FALSE)))*EXP(-(LN(2)/$D$65+0.1)*(VLOOKUP(($F$16-$F$15)-1,AC$100:AG214,5,FALSE)))*EXP(-(LN(2)/$D$65+0.04)*AF214)*EXP(-(LN(2)/$D$65+0.1)*AG214),IF(AD214=3,AJ$100*EXP(-(LN(2)/$D$65+0.04)*(VLOOKUP(($F$16-$F$15)-1,AC$100:AG214,4,FALSE)))*EXP(-(LN(2)/$D$65+0.1)*(VLOOKUP(($F$16-$F$15)-1,AC$100:AG214,5,FALSE)))*EXP(-(LN(2)/$D$65+0.04)*(VLOOKUP(($F$16-$F$15)*2-1,AC$100:AG214,4,FALSE)))*EXP(-(LN(2)/$D$65+0.1)*(VLOOKUP(($F$16-$F$15)*2-1,AC$100:AG214,5,FALSE)))*EXP(-(LN(2)/$D$65+0.04)*AF214)*EXP(-(LN(2)/$D$65+0.1)*AG214),"-"))),"-")</f>
        <v>-</v>
      </c>
      <c r="AK214" s="227">
        <f t="shared" si="137"/>
        <v>114</v>
      </c>
      <c r="AL214" s="226" t="str">
        <f t="shared" si="111"/>
        <v>-</v>
      </c>
      <c r="AM214" s="227" t="str">
        <f t="shared" si="138"/>
        <v>-</v>
      </c>
      <c r="AN214" s="227" t="str">
        <f t="shared" si="139"/>
        <v>-</v>
      </c>
      <c r="AO214" s="227" t="str">
        <f t="shared" si="112"/>
        <v>-</v>
      </c>
      <c r="AP214" s="273">
        <f t="shared" si="140"/>
        <v>0.1</v>
      </c>
      <c r="AQ214" s="271" t="str">
        <f>IFERROR(IF(AL213=1,AQ$100*EXP(-(LN(2)/$D$65+0.04)*AN213)*EXP(-(LN(2)/$D$65+0.1)*AO213),IF(AL213=2,AQ$100*EXP(-(LN(2)/$D$65+0.04)*(VLOOKUP(($F$16-$F$15)-1,AK$99:AO213,4,FALSE)))*EXP(-(LN(2)/$D$65+0.1)*(VLOOKUP(($F$16-$F$15)-1,AK$99:AO213,5,FALSE)))*EXP(-(LN(2)/$D$65+0.04)*AN213)*EXP(-(LN(2)/$D$65+0.1)*AO213),IF(AL213=3,AQ$100*EXP(-(LN(2)/$D$65+0.04)*(VLOOKUP(($F$16-$F$15)-1,AK$99:AO213,4,FALSE)))*EXP(-(LN(2)/$D$65+0.1)*(VLOOKUP(($F$16-$F$15)-1,AK$99:AO213,5,FALSE)))*EXP(-(LN(2)/$D$65+0.04)*(VLOOKUP(($F$16-$F$15)*2-1,AK$99:AO213,4,FALSE)))*EXP(-(LN(2)/$D$65+0.1)*(VLOOKUP(($F$16-$F$15)*2-1,AK$99:AO213,5,FALSE)))*EXP(-(LN(2)/$D$65+0.04)*AN213)*EXP(-(LN(2)/$D$65+0.1)*AO213),"-"))),"-")</f>
        <v>-</v>
      </c>
      <c r="AR214" s="271" t="str">
        <f>IFERROR(IF(AL214=1,AR$100*EXP(-(LN(2)/$D$65+0.04)*AN214)*EXP(-(LN(2)/$D$65+0.1)*AO214),IF(AL214=2,AR$100*EXP(-(LN(2)/$D$65+0.04)*(VLOOKUP(($F$16-$F$15)-1,AK$100:AO214,4,FALSE)))*EXP(-(LN(2)/$D$65+0.1)*(VLOOKUP(($F$16-$F$15)-1,AK$100:AO214,5,FALSE)))*EXP(-(LN(2)/$D$65+0.04)*AN214)*EXP(-(LN(2)/$D$65+0.1)*AO214),IF(AL214=3,AR$100*EXP(-(LN(2)/$D$65+0.04)*(VLOOKUP(($F$16-$F$15)-1,AK$100:AO214,4,FALSE)))*EXP(-(LN(2)/$D$65+0.1)*(VLOOKUP(($F$16-$F$15)-1,AK$100:AO214,5,FALSE)))*EXP(-(LN(2)/$D$65+0.04)*(VLOOKUP(($F$16-$F$15)*2-1,AK$100:AO214,4,FALSE)))*EXP(-(LN(2)/$D$65+0.1)*(VLOOKUP(($F$16-$F$15)*2-1,AK$100:AO214,5,FALSE)))*EXP(-(LN(2)/$D$65+0.04)*AN214)*EXP(-(LN(2)/$D$65+0.1)*AO214),"-"))),"-")</f>
        <v>-</v>
      </c>
      <c r="AS214" s="274">
        <f t="shared" si="113"/>
        <v>0</v>
      </c>
      <c r="AT214" s="274">
        <f t="shared" si="114"/>
        <v>0</v>
      </c>
      <c r="AU214" s="274">
        <f t="shared" si="115"/>
        <v>0</v>
      </c>
      <c r="AV214" s="190">
        <f>IF($B214&lt;$F$22,SUM($T$100:$T214),"")</f>
        <v>0</v>
      </c>
      <c r="AW214" s="190" t="str">
        <f t="shared" si="161"/>
        <v>-</v>
      </c>
      <c r="AX214" s="190" t="str">
        <f t="shared" si="141"/>
        <v/>
      </c>
      <c r="AY214"/>
      <c r="AZ214" s="190" t="str">
        <f ca="1">IF(ISNUMBER(OFFSET(AV214,-$F$21,0)),SUM(OFFSET($T$100,$F$21,0):$T214),"")</f>
        <v/>
      </c>
      <c r="BA214" s="190" t="str">
        <f t="shared" ca="1" si="162"/>
        <v/>
      </c>
      <c r="BB214" s="190" t="str">
        <f t="shared" ca="1" si="148"/>
        <v/>
      </c>
      <c r="BC214" s="190"/>
      <c r="BD214" s="190" t="str">
        <f ca="1">IFERROR(IF(AND($B214&gt;=($F$16-$F$15),$B214&lt;$F$22+($F$16-$F$15)),SUM(OFFSET($T$100,($F$16-$F$15),0):$T214),""),"")</f>
        <v/>
      </c>
      <c r="BE214" s="190" t="str">
        <f t="shared" ca="1" si="142"/>
        <v/>
      </c>
      <c r="BF214" s="190" t="str">
        <f t="shared" ca="1" si="143"/>
        <v/>
      </c>
      <c r="BG214"/>
      <c r="BH214" s="190" t="str">
        <f ca="1">IF(ISNUMBER(OFFSET(BD214,-$F$21,0)),SUM(OFFSET($T$100,($F$16-$F$15+$F$21),0):$T214),"")</f>
        <v/>
      </c>
      <c r="BI214" s="190" t="str">
        <f t="shared" ca="1" si="163"/>
        <v/>
      </c>
      <c r="BJ214" s="190" t="str">
        <f t="shared" ca="1" si="144"/>
        <v/>
      </c>
      <c r="BK214" s="190"/>
      <c r="BL214" s="190" t="str">
        <f ca="1">IFERROR(IF(AND($B214&gt;=($F$17-$F$15),$B214&lt;$F$22+($F$17-$F$15)),SUM(OFFSET($T$100,($F$17-$F$15),0):$T214),""),"")</f>
        <v/>
      </c>
      <c r="BM214" s="190" t="str">
        <f t="shared" ca="1" si="164"/>
        <v/>
      </c>
      <c r="BN214" s="190" t="str">
        <f t="shared" ca="1" si="145"/>
        <v/>
      </c>
      <c r="BO214"/>
      <c r="BP214" s="190" t="str">
        <f ca="1">IF(ISNUMBER(OFFSET(BL214,-$F$21,0)),SUM(OFFSET($T$100,($F$17-$F$15+$F$21),0):$T214),"")</f>
        <v/>
      </c>
      <c r="BQ214" s="190" t="str">
        <f t="shared" ca="1" si="165"/>
        <v/>
      </c>
      <c r="BR214" s="190" t="str">
        <f t="shared" ca="1" si="146"/>
        <v/>
      </c>
      <c r="BS214" s="190"/>
      <c r="BT214"/>
      <c r="BU214"/>
      <c r="BV214"/>
      <c r="BY214" s="99"/>
      <c r="BZ214" s="99"/>
      <c r="CA214" s="280" t="str">
        <f t="shared" si="166"/>
        <v/>
      </c>
      <c r="CB214" s="71" t="str">
        <f t="shared" si="122"/>
        <v>-</v>
      </c>
      <c r="CC214" s="33"/>
      <c r="CD214" s="261" t="str">
        <f t="shared" si="123"/>
        <v/>
      </c>
      <c r="CE214" s="280" t="str">
        <f t="shared" si="167"/>
        <v>-</v>
      </c>
      <c r="CF214" s="71" t="str">
        <f t="shared" ca="1" si="168"/>
        <v>-</v>
      </c>
      <c r="CG214" s="33" t="str">
        <f t="shared" si="126"/>
        <v>114-115</v>
      </c>
      <c r="CH214" s="261" t="str">
        <f t="shared" ca="1" si="127"/>
        <v/>
      </c>
    </row>
    <row r="215" spans="2:86" ht="13.5" customHeight="1" x14ac:dyDescent="0.2">
      <c r="B215" s="262">
        <v>115</v>
      </c>
      <c r="C215" s="237" t="str">
        <f t="shared" si="91"/>
        <v/>
      </c>
      <c r="D215" s="237" t="str">
        <f t="shared" si="147"/>
        <v>-</v>
      </c>
      <c r="E215" s="263" t="str">
        <f t="shared" si="128"/>
        <v/>
      </c>
      <c r="F215" s="264" t="str">
        <f t="shared" si="129"/>
        <v/>
      </c>
      <c r="G215" s="264" t="str">
        <f t="shared" si="130"/>
        <v/>
      </c>
      <c r="H215" s="240" t="str">
        <f t="shared" si="149"/>
        <v/>
      </c>
      <c r="I215" s="265" t="str">
        <f t="shared" si="150"/>
        <v/>
      </c>
      <c r="J215" s="265" t="str">
        <f t="shared" si="151"/>
        <v/>
      </c>
      <c r="K215" s="240" t="str">
        <f t="shared" si="152"/>
        <v/>
      </c>
      <c r="L215" s="265" t="str">
        <f t="shared" si="153"/>
        <v/>
      </c>
      <c r="M215" s="265" t="str">
        <f t="shared" si="154"/>
        <v/>
      </c>
      <c r="N215" s="240" t="str">
        <f t="shared" si="155"/>
        <v>-</v>
      </c>
      <c r="O215" s="265" t="str">
        <f t="shared" si="156"/>
        <v>-</v>
      </c>
      <c r="P215" s="265" t="str">
        <f t="shared" si="157"/>
        <v>-</v>
      </c>
      <c r="Q215" s="266" t="str">
        <f t="shared" si="158"/>
        <v>-</v>
      </c>
      <c r="R215" s="267" t="str">
        <f t="shared" si="159"/>
        <v>-</v>
      </c>
      <c r="S215" s="268" t="str">
        <f t="shared" si="160"/>
        <v>-</v>
      </c>
      <c r="T215" s="269" t="str">
        <f t="shared" si="104"/>
        <v/>
      </c>
      <c r="U215" s="221">
        <f t="shared" si="105"/>
        <v>115</v>
      </c>
      <c r="V215" s="220" t="str">
        <f t="shared" si="131"/>
        <v>-</v>
      </c>
      <c r="W215" s="221" t="str">
        <f t="shared" si="132"/>
        <v>-</v>
      </c>
      <c r="X215" s="221" t="str">
        <f t="shared" si="106"/>
        <v>-</v>
      </c>
      <c r="Y215" s="221" t="str">
        <f t="shared" si="107"/>
        <v>-</v>
      </c>
      <c r="Z215" s="270">
        <f t="shared" si="133"/>
        <v>0.1</v>
      </c>
      <c r="AA215" s="271" t="str">
        <f>IFERROR(IF(V214=1,AA$100*EXP(-(LN(2)/$D$65+0.04)*X214)*EXP(-(LN(2)/$D$65+0.1)*Y214),IF(V214=2,AA$100*EXP(-(LN(2)/$D$65+0.04)*(VLOOKUP(($F$16-$F$15)-1,U$99:Y214,4,FALSE)))*EXP(-(LN(2)/$D$65+0.1)*(VLOOKUP(($F$16-$F$15)-1,U$99:Y214,5,FALSE)))*EXP(-(LN(2)/$D$65+0.04)*X214)*EXP(-(LN(2)/$D$65+0.1)*Y214),IF(V214=3,AA$100*EXP(-(LN(2)/$D$65+0.04)*(VLOOKUP(($F$16-$F$15)-1,U$99:Y214,4,FALSE)))*EXP(-(LN(2)/$D$65+0.1)*(VLOOKUP(($F$16-$F$15)-1,U$99:Y214,5,FALSE)))*EXP(-(LN(2)/$D$65+0.04)*(VLOOKUP(($F$16-$F$15)*2-1,U$99:Y214,4,FALSE)))*EXP(-(LN(2)/$D$65+0.1)*(VLOOKUP(($F$16-$F$15)*2-1,U$99:Y214,5,FALSE)))*EXP(-(LN(2)/$D$65+0.04)*X214)*EXP(-(LN(2)/$D$65+0.1)*Y214),"-"))),"-")</f>
        <v>-</v>
      </c>
      <c r="AB215" s="271" t="str">
        <f>IFERROR(IF(V215=1,AB$100*EXP(-(LN(2)/$D$65+0.04)*X215)*EXP(-(LN(2)/$D$65+0.1)*Y215),IF(V215=2,AB$100*EXP(-(LN(2)/$D$65+0.04)*(VLOOKUP(($F$16-$F$15)-1,U$100:Y215,4,FALSE)))*EXP(-(LN(2)/$D$65+0.1)*(VLOOKUP(($F$16-$F$15)-1,U$100:Y215,5,FALSE)))*EXP(-(LN(2)/$D$65+0.04)*X215)*EXP(-(LN(2)/$D$65+0.1)*Y215),IF(V215=3,AB$100*EXP(-(LN(2)/$D$65+0.04)*(VLOOKUP(($F$16-$F$15)-1,U$100:Y215,4,FALSE)))*EXP(-(LN(2)/$D$65+0.1)*(VLOOKUP(($F$16-$F$15)-1,U$100:Y215,5,FALSE)))*EXP(-(LN(2)/$D$65+0.04)*(VLOOKUP(($F$16-$F$15)*2-1,U$100:Y215,4,FALSE)))*EXP(-(LN(2)/$D$65+0.1)*(VLOOKUP(($F$16-$F$15)*2-1,U$100:Y215,5,FALSE)))*EXP(-(LN(2)/$D$65+0.04)*X215)*EXP(-(LN(2)/$D$65+0.1)*Y215),"-"))),"-")</f>
        <v>-</v>
      </c>
      <c r="AC215" s="224">
        <f t="shared" si="134"/>
        <v>115</v>
      </c>
      <c r="AD215" s="223" t="str">
        <f t="shared" si="108"/>
        <v>-</v>
      </c>
      <c r="AE215" s="224" t="str">
        <f t="shared" si="135"/>
        <v>-</v>
      </c>
      <c r="AF215" s="224" t="str">
        <f t="shared" si="109"/>
        <v>-</v>
      </c>
      <c r="AG215" s="224" t="str">
        <f t="shared" si="110"/>
        <v>-</v>
      </c>
      <c r="AH215" s="272">
        <f t="shared" si="136"/>
        <v>0.1</v>
      </c>
      <c r="AI215" s="271" t="str">
        <f>IFERROR(IF(AD214=1,AI$100*EXP(-(LN(2)/$D$65+0.04)*AF214)*EXP(-(LN(2)/$D$65+0.1)*AG214),IF(AD214=2,AI$100*EXP(-(LN(2)/$D$65+0.04)*(VLOOKUP(($F$16-$F$15)-1,AC$99:AG214,4,FALSE)))*EXP(-(LN(2)/$D$65+0.1)*(VLOOKUP(($F$16-$F$15)-1,AC$99:AG214,5,FALSE)))*EXP(-(LN(2)/$D$65+0.04)*AF214)*EXP(-(LN(2)/$D$65+0.1)*AG214),IF(AD214=3,AI$100*EXP(-(LN(2)/$D$65+0.04)*(VLOOKUP(($F$16-$F$15)-1,AC$99:AG214,4,FALSE)))*EXP(-(LN(2)/$D$65+0.1)*(VLOOKUP(($F$16-$F$15)-1,AC$99:AG214,5,FALSE)))*EXP(-(LN(2)/$D$65+0.04)*(VLOOKUP(($F$16-$F$15)*2-1,AC$99:AG214,4,FALSE)))*EXP(-(LN(2)/$D$65+0.1)*(VLOOKUP(($F$16-$F$15)*2-1,AC$99:AG214,5,FALSE)))*EXP(-(LN(2)/$D$65+0.04)*AF214)*EXP(-(LN(2)/$D$65+0.1)*AG214),"-"))),"-")</f>
        <v>-</v>
      </c>
      <c r="AJ215" s="271" t="str">
        <f>IFERROR(IF(AD215=1,AJ$100*EXP(-(LN(2)/$D$65+0.04)*AF215)*EXP(-(LN(2)/$D$65+0.1)*AG215),IF(AD215=2,AJ$100*EXP(-(LN(2)/$D$65+0.04)*(VLOOKUP(($F$16-$F$15)-1,AC$100:AG215,4,FALSE)))*EXP(-(LN(2)/$D$65+0.1)*(VLOOKUP(($F$16-$F$15)-1,AC$100:AG215,5,FALSE)))*EXP(-(LN(2)/$D$65+0.04)*AF215)*EXP(-(LN(2)/$D$65+0.1)*AG215),IF(AD215=3,AJ$100*EXP(-(LN(2)/$D$65+0.04)*(VLOOKUP(($F$16-$F$15)-1,AC$100:AG215,4,FALSE)))*EXP(-(LN(2)/$D$65+0.1)*(VLOOKUP(($F$16-$F$15)-1,AC$100:AG215,5,FALSE)))*EXP(-(LN(2)/$D$65+0.04)*(VLOOKUP(($F$16-$F$15)*2-1,AC$100:AG215,4,FALSE)))*EXP(-(LN(2)/$D$65+0.1)*(VLOOKUP(($F$16-$F$15)*2-1,AC$100:AG215,5,FALSE)))*EXP(-(LN(2)/$D$65+0.04)*AF215)*EXP(-(LN(2)/$D$65+0.1)*AG215),"-"))),"-")</f>
        <v>-</v>
      </c>
      <c r="AK215" s="227">
        <f t="shared" si="137"/>
        <v>115</v>
      </c>
      <c r="AL215" s="226" t="str">
        <f t="shared" si="111"/>
        <v>-</v>
      </c>
      <c r="AM215" s="227" t="str">
        <f t="shared" si="138"/>
        <v>-</v>
      </c>
      <c r="AN215" s="227" t="str">
        <f t="shared" si="139"/>
        <v>-</v>
      </c>
      <c r="AO215" s="227" t="str">
        <f t="shared" si="112"/>
        <v>-</v>
      </c>
      <c r="AP215" s="273">
        <f t="shared" si="140"/>
        <v>0.1</v>
      </c>
      <c r="AQ215" s="271" t="str">
        <f>IFERROR(IF(AL214=1,AQ$100*EXP(-(LN(2)/$D$65+0.04)*AN214)*EXP(-(LN(2)/$D$65+0.1)*AO214),IF(AL214=2,AQ$100*EXP(-(LN(2)/$D$65+0.04)*(VLOOKUP(($F$16-$F$15)-1,AK$99:AO214,4,FALSE)))*EXP(-(LN(2)/$D$65+0.1)*(VLOOKUP(($F$16-$F$15)-1,AK$99:AO214,5,FALSE)))*EXP(-(LN(2)/$D$65+0.04)*AN214)*EXP(-(LN(2)/$D$65+0.1)*AO214),IF(AL214=3,AQ$100*EXP(-(LN(2)/$D$65+0.04)*(VLOOKUP(($F$16-$F$15)-1,AK$99:AO214,4,FALSE)))*EXP(-(LN(2)/$D$65+0.1)*(VLOOKUP(($F$16-$F$15)-1,AK$99:AO214,5,FALSE)))*EXP(-(LN(2)/$D$65+0.04)*(VLOOKUP(($F$16-$F$15)*2-1,AK$99:AO214,4,FALSE)))*EXP(-(LN(2)/$D$65+0.1)*(VLOOKUP(($F$16-$F$15)*2-1,AK$99:AO214,5,FALSE)))*EXP(-(LN(2)/$D$65+0.04)*AN214)*EXP(-(LN(2)/$D$65+0.1)*AO214),"-"))),"-")</f>
        <v>-</v>
      </c>
      <c r="AR215" s="271" t="str">
        <f>IFERROR(IF(AL215=1,AR$100*EXP(-(LN(2)/$D$65+0.04)*AN215)*EXP(-(LN(2)/$D$65+0.1)*AO215),IF(AL215=2,AR$100*EXP(-(LN(2)/$D$65+0.04)*(VLOOKUP(($F$16-$F$15)-1,AK$100:AO215,4,FALSE)))*EXP(-(LN(2)/$D$65+0.1)*(VLOOKUP(($F$16-$F$15)-1,AK$100:AO215,5,FALSE)))*EXP(-(LN(2)/$D$65+0.04)*AN215)*EXP(-(LN(2)/$D$65+0.1)*AO215),IF(AL215=3,AR$100*EXP(-(LN(2)/$D$65+0.04)*(VLOOKUP(($F$16-$F$15)-1,AK$100:AO215,4,FALSE)))*EXP(-(LN(2)/$D$65+0.1)*(VLOOKUP(($F$16-$F$15)-1,AK$100:AO215,5,FALSE)))*EXP(-(LN(2)/$D$65+0.04)*(VLOOKUP(($F$16-$F$15)*2-1,AK$100:AO215,4,FALSE)))*EXP(-(LN(2)/$D$65+0.1)*(VLOOKUP(($F$16-$F$15)*2-1,AK$100:AO215,5,FALSE)))*EXP(-(LN(2)/$D$65+0.04)*AN215)*EXP(-(LN(2)/$D$65+0.1)*AO215),"-"))),"-")</f>
        <v>-</v>
      </c>
      <c r="AS215" s="274">
        <f t="shared" si="113"/>
        <v>0</v>
      </c>
      <c r="AT215" s="274">
        <f t="shared" si="114"/>
        <v>0</v>
      </c>
      <c r="AU215" s="274">
        <f t="shared" si="115"/>
        <v>0</v>
      </c>
      <c r="AV215" s="190">
        <f>IF($B215&lt;$F$22,SUM($T$100:$T215),"")</f>
        <v>0</v>
      </c>
      <c r="AW215" s="190" t="str">
        <f t="shared" si="161"/>
        <v>-</v>
      </c>
      <c r="AX215" s="190" t="str">
        <f t="shared" si="141"/>
        <v/>
      </c>
      <c r="AY215"/>
      <c r="AZ215" s="190" t="str">
        <f ca="1">IF(ISNUMBER(OFFSET(AV215,-$F$21,0)),SUM(OFFSET($T$100,$F$21,0):$T215),"")</f>
        <v/>
      </c>
      <c r="BA215" s="190" t="str">
        <f t="shared" ca="1" si="162"/>
        <v/>
      </c>
      <c r="BB215" s="190" t="str">
        <f t="shared" ca="1" si="148"/>
        <v/>
      </c>
      <c r="BC215" s="190"/>
      <c r="BD215" s="190" t="str">
        <f ca="1">IFERROR(IF(AND($B215&gt;=($F$16-$F$15),$B215&lt;$F$22+($F$16-$F$15)),SUM(OFFSET($T$100,($F$16-$F$15),0):$T215),""),"")</f>
        <v/>
      </c>
      <c r="BE215" s="190" t="str">
        <f t="shared" ca="1" si="142"/>
        <v/>
      </c>
      <c r="BF215" s="190" t="str">
        <f t="shared" ca="1" si="143"/>
        <v/>
      </c>
      <c r="BG215"/>
      <c r="BH215" s="190" t="str">
        <f ca="1">IF(ISNUMBER(OFFSET(BD215,-$F$21,0)),SUM(OFFSET($T$100,($F$16-$F$15+$F$21),0):$T215),"")</f>
        <v/>
      </c>
      <c r="BI215" s="190" t="str">
        <f t="shared" ca="1" si="163"/>
        <v/>
      </c>
      <c r="BJ215" s="190" t="str">
        <f t="shared" ca="1" si="144"/>
        <v/>
      </c>
      <c r="BK215" s="190"/>
      <c r="BL215" s="190" t="str">
        <f ca="1">IFERROR(IF(AND($B215&gt;=($F$17-$F$15),$B215&lt;$F$22+($F$17-$F$15)),SUM(OFFSET($T$100,($F$17-$F$15),0):$T215),""),"")</f>
        <v/>
      </c>
      <c r="BM215" s="190" t="str">
        <f t="shared" ca="1" si="164"/>
        <v/>
      </c>
      <c r="BN215" s="190" t="str">
        <f t="shared" ca="1" si="145"/>
        <v/>
      </c>
      <c r="BO215"/>
      <c r="BP215" s="190" t="str">
        <f ca="1">IF(ISNUMBER(OFFSET(BL215,-$F$21,0)),SUM(OFFSET($T$100,($F$17-$F$15+$F$21),0):$T215),"")</f>
        <v/>
      </c>
      <c r="BQ215" s="190" t="str">
        <f t="shared" ca="1" si="165"/>
        <v/>
      </c>
      <c r="BR215" s="190" t="str">
        <f t="shared" ca="1" si="146"/>
        <v/>
      </c>
      <c r="BS215" s="190"/>
      <c r="BT215"/>
      <c r="BU215"/>
      <c r="BV215"/>
      <c r="BY215" s="99"/>
      <c r="BZ215" s="99"/>
      <c r="CA215" s="280" t="str">
        <f t="shared" si="166"/>
        <v/>
      </c>
      <c r="CB215" s="71" t="str">
        <f t="shared" si="122"/>
        <v>-</v>
      </c>
      <c r="CC215" s="33"/>
      <c r="CD215" s="261" t="str">
        <f t="shared" si="123"/>
        <v/>
      </c>
      <c r="CE215" s="280" t="str">
        <f t="shared" si="167"/>
        <v>-</v>
      </c>
      <c r="CF215" s="71" t="str">
        <f t="shared" ca="1" si="168"/>
        <v>-</v>
      </c>
      <c r="CG215" s="33" t="str">
        <f t="shared" si="126"/>
        <v>115-116</v>
      </c>
      <c r="CH215" s="261" t="str">
        <f t="shared" ca="1" si="127"/>
        <v/>
      </c>
    </row>
    <row r="216" spans="2:86" ht="13.5" customHeight="1" x14ac:dyDescent="0.2">
      <c r="B216" s="262">
        <v>116</v>
      </c>
      <c r="C216" s="237" t="str">
        <f t="shared" si="91"/>
        <v/>
      </c>
      <c r="D216" s="237" t="str">
        <f t="shared" si="147"/>
        <v>-</v>
      </c>
      <c r="E216" s="263" t="str">
        <f t="shared" si="128"/>
        <v/>
      </c>
      <c r="F216" s="264" t="str">
        <f t="shared" si="129"/>
        <v/>
      </c>
      <c r="G216" s="264" t="str">
        <f t="shared" si="130"/>
        <v/>
      </c>
      <c r="H216" s="240" t="str">
        <f t="shared" si="149"/>
        <v/>
      </c>
      <c r="I216" s="265" t="str">
        <f t="shared" si="150"/>
        <v/>
      </c>
      <c r="J216" s="265" t="str">
        <f t="shared" si="151"/>
        <v/>
      </c>
      <c r="K216" s="240" t="str">
        <f t="shared" si="152"/>
        <v/>
      </c>
      <c r="L216" s="265" t="str">
        <f t="shared" si="153"/>
        <v/>
      </c>
      <c r="M216" s="265" t="str">
        <f t="shared" si="154"/>
        <v/>
      </c>
      <c r="N216" s="240" t="str">
        <f t="shared" si="155"/>
        <v>-</v>
      </c>
      <c r="O216" s="265" t="str">
        <f t="shared" si="156"/>
        <v>-</v>
      </c>
      <c r="P216" s="265" t="str">
        <f t="shared" si="157"/>
        <v>-</v>
      </c>
      <c r="Q216" s="266" t="str">
        <f t="shared" si="158"/>
        <v>-</v>
      </c>
      <c r="R216" s="267" t="str">
        <f t="shared" si="159"/>
        <v>-</v>
      </c>
      <c r="S216" s="268" t="str">
        <f t="shared" si="160"/>
        <v>-</v>
      </c>
      <c r="T216" s="269" t="str">
        <f t="shared" si="104"/>
        <v/>
      </c>
      <c r="U216" s="221">
        <f t="shared" si="105"/>
        <v>116</v>
      </c>
      <c r="V216" s="220" t="str">
        <f t="shared" si="131"/>
        <v>-</v>
      </c>
      <c r="W216" s="221" t="str">
        <f t="shared" si="132"/>
        <v>-</v>
      </c>
      <c r="X216" s="221" t="str">
        <f t="shared" si="106"/>
        <v>-</v>
      </c>
      <c r="Y216" s="221" t="str">
        <f t="shared" si="107"/>
        <v>-</v>
      </c>
      <c r="Z216" s="270">
        <f t="shared" si="133"/>
        <v>0.1</v>
      </c>
      <c r="AA216" s="271" t="str">
        <f>IFERROR(IF(V215=1,AA$100*EXP(-(LN(2)/$D$65+0.04)*X215)*EXP(-(LN(2)/$D$65+0.1)*Y215),IF(V215=2,AA$100*EXP(-(LN(2)/$D$65+0.04)*(VLOOKUP(($F$16-$F$15)-1,U$99:Y215,4,FALSE)))*EXP(-(LN(2)/$D$65+0.1)*(VLOOKUP(($F$16-$F$15)-1,U$99:Y215,5,FALSE)))*EXP(-(LN(2)/$D$65+0.04)*X215)*EXP(-(LN(2)/$D$65+0.1)*Y215),IF(V215=3,AA$100*EXP(-(LN(2)/$D$65+0.04)*(VLOOKUP(($F$16-$F$15)-1,U$99:Y215,4,FALSE)))*EXP(-(LN(2)/$D$65+0.1)*(VLOOKUP(($F$16-$F$15)-1,U$99:Y215,5,FALSE)))*EXP(-(LN(2)/$D$65+0.04)*(VLOOKUP(($F$16-$F$15)*2-1,U$99:Y215,4,FALSE)))*EXP(-(LN(2)/$D$65+0.1)*(VLOOKUP(($F$16-$F$15)*2-1,U$99:Y215,5,FALSE)))*EXP(-(LN(2)/$D$65+0.04)*X215)*EXP(-(LN(2)/$D$65+0.1)*Y215),"-"))),"-")</f>
        <v>-</v>
      </c>
      <c r="AB216" s="271" t="str">
        <f>IFERROR(IF(V216=1,AB$100*EXP(-(LN(2)/$D$65+0.04)*X216)*EXP(-(LN(2)/$D$65+0.1)*Y216),IF(V216=2,AB$100*EXP(-(LN(2)/$D$65+0.04)*(VLOOKUP(($F$16-$F$15)-1,U$100:Y216,4,FALSE)))*EXP(-(LN(2)/$D$65+0.1)*(VLOOKUP(($F$16-$F$15)-1,U$100:Y216,5,FALSE)))*EXP(-(LN(2)/$D$65+0.04)*X216)*EXP(-(LN(2)/$D$65+0.1)*Y216),IF(V216=3,AB$100*EXP(-(LN(2)/$D$65+0.04)*(VLOOKUP(($F$16-$F$15)-1,U$100:Y216,4,FALSE)))*EXP(-(LN(2)/$D$65+0.1)*(VLOOKUP(($F$16-$F$15)-1,U$100:Y216,5,FALSE)))*EXP(-(LN(2)/$D$65+0.04)*(VLOOKUP(($F$16-$F$15)*2-1,U$100:Y216,4,FALSE)))*EXP(-(LN(2)/$D$65+0.1)*(VLOOKUP(($F$16-$F$15)*2-1,U$100:Y216,5,FALSE)))*EXP(-(LN(2)/$D$65+0.04)*X216)*EXP(-(LN(2)/$D$65+0.1)*Y216),"-"))),"-")</f>
        <v>-</v>
      </c>
      <c r="AC216" s="224">
        <f t="shared" si="134"/>
        <v>116</v>
      </c>
      <c r="AD216" s="223" t="str">
        <f t="shared" si="108"/>
        <v>-</v>
      </c>
      <c r="AE216" s="224" t="str">
        <f t="shared" si="135"/>
        <v>-</v>
      </c>
      <c r="AF216" s="224" t="str">
        <f t="shared" si="109"/>
        <v>-</v>
      </c>
      <c r="AG216" s="224" t="str">
        <f t="shared" si="110"/>
        <v>-</v>
      </c>
      <c r="AH216" s="272">
        <f t="shared" si="136"/>
        <v>0.1</v>
      </c>
      <c r="AI216" s="271" t="str">
        <f>IFERROR(IF(AD215=1,AI$100*EXP(-(LN(2)/$D$65+0.04)*AF215)*EXP(-(LN(2)/$D$65+0.1)*AG215),IF(AD215=2,AI$100*EXP(-(LN(2)/$D$65+0.04)*(VLOOKUP(($F$16-$F$15)-1,AC$99:AG215,4,FALSE)))*EXP(-(LN(2)/$D$65+0.1)*(VLOOKUP(($F$16-$F$15)-1,AC$99:AG215,5,FALSE)))*EXP(-(LN(2)/$D$65+0.04)*AF215)*EXP(-(LN(2)/$D$65+0.1)*AG215),IF(AD215=3,AI$100*EXP(-(LN(2)/$D$65+0.04)*(VLOOKUP(($F$16-$F$15)-1,AC$99:AG215,4,FALSE)))*EXP(-(LN(2)/$D$65+0.1)*(VLOOKUP(($F$16-$F$15)-1,AC$99:AG215,5,FALSE)))*EXP(-(LN(2)/$D$65+0.04)*(VLOOKUP(($F$16-$F$15)*2-1,AC$99:AG215,4,FALSE)))*EXP(-(LN(2)/$D$65+0.1)*(VLOOKUP(($F$16-$F$15)*2-1,AC$99:AG215,5,FALSE)))*EXP(-(LN(2)/$D$65+0.04)*AF215)*EXP(-(LN(2)/$D$65+0.1)*AG215),"-"))),"-")</f>
        <v>-</v>
      </c>
      <c r="AJ216" s="271" t="str">
        <f>IFERROR(IF(AD216=1,AJ$100*EXP(-(LN(2)/$D$65+0.04)*AF216)*EXP(-(LN(2)/$D$65+0.1)*AG216),IF(AD216=2,AJ$100*EXP(-(LN(2)/$D$65+0.04)*(VLOOKUP(($F$16-$F$15)-1,AC$100:AG216,4,FALSE)))*EXP(-(LN(2)/$D$65+0.1)*(VLOOKUP(($F$16-$F$15)-1,AC$100:AG216,5,FALSE)))*EXP(-(LN(2)/$D$65+0.04)*AF216)*EXP(-(LN(2)/$D$65+0.1)*AG216),IF(AD216=3,AJ$100*EXP(-(LN(2)/$D$65+0.04)*(VLOOKUP(($F$16-$F$15)-1,AC$100:AG216,4,FALSE)))*EXP(-(LN(2)/$D$65+0.1)*(VLOOKUP(($F$16-$F$15)-1,AC$100:AG216,5,FALSE)))*EXP(-(LN(2)/$D$65+0.04)*(VLOOKUP(($F$16-$F$15)*2-1,AC$100:AG216,4,FALSE)))*EXP(-(LN(2)/$D$65+0.1)*(VLOOKUP(($F$16-$F$15)*2-1,AC$100:AG216,5,FALSE)))*EXP(-(LN(2)/$D$65+0.04)*AF216)*EXP(-(LN(2)/$D$65+0.1)*AG216),"-"))),"-")</f>
        <v>-</v>
      </c>
      <c r="AK216" s="227">
        <f t="shared" si="137"/>
        <v>116</v>
      </c>
      <c r="AL216" s="226" t="str">
        <f t="shared" si="111"/>
        <v>-</v>
      </c>
      <c r="AM216" s="227" t="str">
        <f t="shared" si="138"/>
        <v>-</v>
      </c>
      <c r="AN216" s="227" t="str">
        <f t="shared" si="139"/>
        <v>-</v>
      </c>
      <c r="AO216" s="227" t="str">
        <f t="shared" si="112"/>
        <v>-</v>
      </c>
      <c r="AP216" s="273">
        <f t="shared" si="140"/>
        <v>0.1</v>
      </c>
      <c r="AQ216" s="271" t="str">
        <f>IFERROR(IF(AL215=1,AQ$100*EXP(-(LN(2)/$D$65+0.04)*AN215)*EXP(-(LN(2)/$D$65+0.1)*AO215),IF(AL215=2,AQ$100*EXP(-(LN(2)/$D$65+0.04)*(VLOOKUP(($F$16-$F$15)-1,AK$99:AO215,4,FALSE)))*EXP(-(LN(2)/$D$65+0.1)*(VLOOKUP(($F$16-$F$15)-1,AK$99:AO215,5,FALSE)))*EXP(-(LN(2)/$D$65+0.04)*AN215)*EXP(-(LN(2)/$D$65+0.1)*AO215),IF(AL215=3,AQ$100*EXP(-(LN(2)/$D$65+0.04)*(VLOOKUP(($F$16-$F$15)-1,AK$99:AO215,4,FALSE)))*EXP(-(LN(2)/$D$65+0.1)*(VLOOKUP(($F$16-$F$15)-1,AK$99:AO215,5,FALSE)))*EXP(-(LN(2)/$D$65+0.04)*(VLOOKUP(($F$16-$F$15)*2-1,AK$99:AO215,4,FALSE)))*EXP(-(LN(2)/$D$65+0.1)*(VLOOKUP(($F$16-$F$15)*2-1,AK$99:AO215,5,FALSE)))*EXP(-(LN(2)/$D$65+0.04)*AN215)*EXP(-(LN(2)/$D$65+0.1)*AO215),"-"))),"-")</f>
        <v>-</v>
      </c>
      <c r="AR216" s="271" t="str">
        <f>IFERROR(IF(AL216=1,AR$100*EXP(-(LN(2)/$D$65+0.04)*AN216)*EXP(-(LN(2)/$D$65+0.1)*AO216),IF(AL216=2,AR$100*EXP(-(LN(2)/$D$65+0.04)*(VLOOKUP(($F$16-$F$15)-1,AK$100:AO216,4,FALSE)))*EXP(-(LN(2)/$D$65+0.1)*(VLOOKUP(($F$16-$F$15)-1,AK$100:AO216,5,FALSE)))*EXP(-(LN(2)/$D$65+0.04)*AN216)*EXP(-(LN(2)/$D$65+0.1)*AO216),IF(AL216=3,AR$100*EXP(-(LN(2)/$D$65+0.04)*(VLOOKUP(($F$16-$F$15)-1,AK$100:AO216,4,FALSE)))*EXP(-(LN(2)/$D$65+0.1)*(VLOOKUP(($F$16-$F$15)-1,AK$100:AO216,5,FALSE)))*EXP(-(LN(2)/$D$65+0.04)*(VLOOKUP(($F$16-$F$15)*2-1,AK$100:AO216,4,FALSE)))*EXP(-(LN(2)/$D$65+0.1)*(VLOOKUP(($F$16-$F$15)*2-1,AK$100:AO216,5,FALSE)))*EXP(-(LN(2)/$D$65+0.04)*AN216)*EXP(-(LN(2)/$D$65+0.1)*AO216),"-"))),"-")</f>
        <v>-</v>
      </c>
      <c r="AS216" s="274">
        <f t="shared" si="113"/>
        <v>0</v>
      </c>
      <c r="AT216" s="274">
        <f t="shared" si="114"/>
        <v>0</v>
      </c>
      <c r="AU216" s="274">
        <f t="shared" si="115"/>
        <v>0</v>
      </c>
      <c r="AV216" s="190">
        <f>IF($B216&lt;$F$22,SUM($T$100:$T216),"")</f>
        <v>0</v>
      </c>
      <c r="AW216" s="190" t="str">
        <f t="shared" si="161"/>
        <v>-</v>
      </c>
      <c r="AX216" s="190" t="str">
        <f t="shared" si="141"/>
        <v/>
      </c>
      <c r="AY216"/>
      <c r="AZ216" s="190" t="str">
        <f ca="1">IF(ISNUMBER(OFFSET(AV216,-$F$21,0)),SUM(OFFSET($T$100,$F$21,0):$T216),"")</f>
        <v/>
      </c>
      <c r="BA216" s="190" t="str">
        <f t="shared" ca="1" si="162"/>
        <v/>
      </c>
      <c r="BB216" s="190" t="str">
        <f t="shared" ca="1" si="148"/>
        <v/>
      </c>
      <c r="BC216" s="190"/>
      <c r="BD216" s="190" t="str">
        <f ca="1">IFERROR(IF(AND($B216&gt;=($F$16-$F$15),$B216&lt;$F$22+($F$16-$F$15)),SUM(OFFSET($T$100,($F$16-$F$15),0):$T216),""),"")</f>
        <v/>
      </c>
      <c r="BE216" s="190" t="str">
        <f t="shared" ca="1" si="142"/>
        <v/>
      </c>
      <c r="BF216" s="190" t="str">
        <f t="shared" ca="1" si="143"/>
        <v/>
      </c>
      <c r="BG216"/>
      <c r="BH216" s="190" t="str">
        <f ca="1">IF(ISNUMBER(OFFSET(BD216,-$F$21,0)),SUM(OFFSET($T$100,($F$16-$F$15+$F$21),0):$T216),"")</f>
        <v/>
      </c>
      <c r="BI216" s="190" t="str">
        <f t="shared" ca="1" si="163"/>
        <v/>
      </c>
      <c r="BJ216" s="190" t="str">
        <f t="shared" ca="1" si="144"/>
        <v/>
      </c>
      <c r="BK216" s="190"/>
      <c r="BL216" s="190" t="str">
        <f ca="1">IFERROR(IF(AND($B216&gt;=($F$17-$F$15),$B216&lt;$F$22+($F$17-$F$15)),SUM(OFFSET($T$100,($F$17-$F$15),0):$T216),""),"")</f>
        <v/>
      </c>
      <c r="BM216" s="190" t="str">
        <f t="shared" ca="1" si="164"/>
        <v/>
      </c>
      <c r="BN216" s="190" t="str">
        <f t="shared" ca="1" si="145"/>
        <v/>
      </c>
      <c r="BO216"/>
      <c r="BP216" s="190" t="str">
        <f ca="1">IF(ISNUMBER(OFFSET(BL216,-$F$21,0)),SUM(OFFSET($T$100,($F$17-$F$15+$F$21),0):$T216),"")</f>
        <v/>
      </c>
      <c r="BQ216" s="190" t="str">
        <f t="shared" ca="1" si="165"/>
        <v/>
      </c>
      <c r="BR216" s="190" t="str">
        <f t="shared" ca="1" si="146"/>
        <v/>
      </c>
      <c r="BS216" s="190"/>
      <c r="BT216"/>
      <c r="BU216"/>
      <c r="BV216"/>
      <c r="BY216" s="99"/>
      <c r="BZ216" s="99"/>
      <c r="CA216" s="280" t="str">
        <f t="shared" si="166"/>
        <v/>
      </c>
      <c r="CB216" s="71" t="str">
        <f t="shared" si="122"/>
        <v>-</v>
      </c>
      <c r="CC216" s="33"/>
      <c r="CD216" s="261" t="str">
        <f t="shared" si="123"/>
        <v/>
      </c>
      <c r="CE216" s="280" t="str">
        <f t="shared" si="167"/>
        <v>-</v>
      </c>
      <c r="CF216" s="71" t="str">
        <f t="shared" ca="1" si="168"/>
        <v>-</v>
      </c>
      <c r="CG216" s="33" t="str">
        <f t="shared" si="126"/>
        <v>116-117</v>
      </c>
      <c r="CH216" s="261" t="str">
        <f t="shared" ca="1" si="127"/>
        <v/>
      </c>
    </row>
    <row r="217" spans="2:86" ht="13.5" customHeight="1" x14ac:dyDescent="0.2">
      <c r="B217" s="262">
        <v>117</v>
      </c>
      <c r="C217" s="237" t="str">
        <f t="shared" si="91"/>
        <v/>
      </c>
      <c r="D217" s="237" t="str">
        <f t="shared" si="147"/>
        <v>-</v>
      </c>
      <c r="E217" s="263" t="str">
        <f t="shared" si="128"/>
        <v/>
      </c>
      <c r="F217" s="264" t="str">
        <f t="shared" si="129"/>
        <v/>
      </c>
      <c r="G217" s="264" t="str">
        <f t="shared" si="130"/>
        <v/>
      </c>
      <c r="H217" s="240" t="str">
        <f t="shared" si="149"/>
        <v/>
      </c>
      <c r="I217" s="265" t="str">
        <f t="shared" si="150"/>
        <v/>
      </c>
      <c r="J217" s="265" t="str">
        <f t="shared" si="151"/>
        <v/>
      </c>
      <c r="K217" s="240" t="str">
        <f t="shared" si="152"/>
        <v/>
      </c>
      <c r="L217" s="265" t="str">
        <f t="shared" si="153"/>
        <v/>
      </c>
      <c r="M217" s="265" t="str">
        <f t="shared" si="154"/>
        <v/>
      </c>
      <c r="N217" s="240" t="str">
        <f t="shared" si="155"/>
        <v>-</v>
      </c>
      <c r="O217" s="265" t="str">
        <f t="shared" si="156"/>
        <v>-</v>
      </c>
      <c r="P217" s="265" t="str">
        <f t="shared" si="157"/>
        <v>-</v>
      </c>
      <c r="Q217" s="266" t="str">
        <f t="shared" si="158"/>
        <v>-</v>
      </c>
      <c r="R217" s="267" t="str">
        <f t="shared" si="159"/>
        <v>-</v>
      </c>
      <c r="S217" s="268" t="str">
        <f t="shared" si="160"/>
        <v>-</v>
      </c>
      <c r="T217" s="269" t="str">
        <f t="shared" si="104"/>
        <v/>
      </c>
      <c r="U217" s="221">
        <f t="shared" si="105"/>
        <v>117</v>
      </c>
      <c r="V217" s="220" t="str">
        <f t="shared" si="131"/>
        <v>-</v>
      </c>
      <c r="W217" s="221" t="str">
        <f t="shared" si="132"/>
        <v>-</v>
      </c>
      <c r="X217" s="221" t="str">
        <f t="shared" si="106"/>
        <v>-</v>
      </c>
      <c r="Y217" s="221" t="str">
        <f t="shared" si="107"/>
        <v>-</v>
      </c>
      <c r="Z217" s="270">
        <f t="shared" si="133"/>
        <v>0.1</v>
      </c>
      <c r="AA217" s="271" t="str">
        <f>IFERROR(IF(V216=1,AA$100*EXP(-(LN(2)/$D$65+0.04)*X216)*EXP(-(LN(2)/$D$65+0.1)*Y216),IF(V216=2,AA$100*EXP(-(LN(2)/$D$65+0.04)*(VLOOKUP(($F$16-$F$15)-1,U$99:Y216,4,FALSE)))*EXP(-(LN(2)/$D$65+0.1)*(VLOOKUP(($F$16-$F$15)-1,U$99:Y216,5,FALSE)))*EXP(-(LN(2)/$D$65+0.04)*X216)*EXP(-(LN(2)/$D$65+0.1)*Y216),IF(V216=3,AA$100*EXP(-(LN(2)/$D$65+0.04)*(VLOOKUP(($F$16-$F$15)-1,U$99:Y216,4,FALSE)))*EXP(-(LN(2)/$D$65+0.1)*(VLOOKUP(($F$16-$F$15)-1,U$99:Y216,5,FALSE)))*EXP(-(LN(2)/$D$65+0.04)*(VLOOKUP(($F$16-$F$15)*2-1,U$99:Y216,4,FALSE)))*EXP(-(LN(2)/$D$65+0.1)*(VLOOKUP(($F$16-$F$15)*2-1,U$99:Y216,5,FALSE)))*EXP(-(LN(2)/$D$65+0.04)*X216)*EXP(-(LN(2)/$D$65+0.1)*Y216),"-"))),"-")</f>
        <v>-</v>
      </c>
      <c r="AB217" s="271" t="str">
        <f>IFERROR(IF(V217=1,AB$100*EXP(-(LN(2)/$D$65+0.04)*X217)*EXP(-(LN(2)/$D$65+0.1)*Y217),IF(V217=2,AB$100*EXP(-(LN(2)/$D$65+0.04)*(VLOOKUP(($F$16-$F$15)-1,U$100:Y217,4,FALSE)))*EXP(-(LN(2)/$D$65+0.1)*(VLOOKUP(($F$16-$F$15)-1,U$100:Y217,5,FALSE)))*EXP(-(LN(2)/$D$65+0.04)*X217)*EXP(-(LN(2)/$D$65+0.1)*Y217),IF(V217=3,AB$100*EXP(-(LN(2)/$D$65+0.04)*(VLOOKUP(($F$16-$F$15)-1,U$100:Y217,4,FALSE)))*EXP(-(LN(2)/$D$65+0.1)*(VLOOKUP(($F$16-$F$15)-1,U$100:Y217,5,FALSE)))*EXP(-(LN(2)/$D$65+0.04)*(VLOOKUP(($F$16-$F$15)*2-1,U$100:Y217,4,FALSE)))*EXP(-(LN(2)/$D$65+0.1)*(VLOOKUP(($F$16-$F$15)*2-1,U$100:Y217,5,FALSE)))*EXP(-(LN(2)/$D$65+0.04)*X217)*EXP(-(LN(2)/$D$65+0.1)*Y217),"-"))),"-")</f>
        <v>-</v>
      </c>
      <c r="AC217" s="224">
        <f t="shared" si="134"/>
        <v>117</v>
      </c>
      <c r="AD217" s="223" t="str">
        <f t="shared" si="108"/>
        <v>-</v>
      </c>
      <c r="AE217" s="224" t="str">
        <f t="shared" si="135"/>
        <v>-</v>
      </c>
      <c r="AF217" s="224" t="str">
        <f t="shared" si="109"/>
        <v>-</v>
      </c>
      <c r="AG217" s="224" t="str">
        <f t="shared" si="110"/>
        <v>-</v>
      </c>
      <c r="AH217" s="272">
        <f t="shared" si="136"/>
        <v>0.1</v>
      </c>
      <c r="AI217" s="271" t="str">
        <f>IFERROR(IF(AD216=1,AI$100*EXP(-(LN(2)/$D$65+0.04)*AF216)*EXP(-(LN(2)/$D$65+0.1)*AG216),IF(AD216=2,AI$100*EXP(-(LN(2)/$D$65+0.04)*(VLOOKUP(($F$16-$F$15)-1,AC$99:AG216,4,FALSE)))*EXP(-(LN(2)/$D$65+0.1)*(VLOOKUP(($F$16-$F$15)-1,AC$99:AG216,5,FALSE)))*EXP(-(LN(2)/$D$65+0.04)*AF216)*EXP(-(LN(2)/$D$65+0.1)*AG216),IF(AD216=3,AI$100*EXP(-(LN(2)/$D$65+0.04)*(VLOOKUP(($F$16-$F$15)-1,AC$99:AG216,4,FALSE)))*EXP(-(LN(2)/$D$65+0.1)*(VLOOKUP(($F$16-$F$15)-1,AC$99:AG216,5,FALSE)))*EXP(-(LN(2)/$D$65+0.04)*(VLOOKUP(($F$16-$F$15)*2-1,AC$99:AG216,4,FALSE)))*EXP(-(LN(2)/$D$65+0.1)*(VLOOKUP(($F$16-$F$15)*2-1,AC$99:AG216,5,FALSE)))*EXP(-(LN(2)/$D$65+0.04)*AF216)*EXP(-(LN(2)/$D$65+0.1)*AG216),"-"))),"-")</f>
        <v>-</v>
      </c>
      <c r="AJ217" s="271" t="str">
        <f>IFERROR(IF(AD217=1,AJ$100*EXP(-(LN(2)/$D$65+0.04)*AF217)*EXP(-(LN(2)/$D$65+0.1)*AG217),IF(AD217=2,AJ$100*EXP(-(LN(2)/$D$65+0.04)*(VLOOKUP(($F$16-$F$15)-1,AC$100:AG217,4,FALSE)))*EXP(-(LN(2)/$D$65+0.1)*(VLOOKUP(($F$16-$F$15)-1,AC$100:AG217,5,FALSE)))*EXP(-(LN(2)/$D$65+0.04)*AF217)*EXP(-(LN(2)/$D$65+0.1)*AG217),IF(AD217=3,AJ$100*EXP(-(LN(2)/$D$65+0.04)*(VLOOKUP(($F$16-$F$15)-1,AC$100:AG217,4,FALSE)))*EXP(-(LN(2)/$D$65+0.1)*(VLOOKUP(($F$16-$F$15)-1,AC$100:AG217,5,FALSE)))*EXP(-(LN(2)/$D$65+0.04)*(VLOOKUP(($F$16-$F$15)*2-1,AC$100:AG217,4,FALSE)))*EXP(-(LN(2)/$D$65+0.1)*(VLOOKUP(($F$16-$F$15)*2-1,AC$100:AG217,5,FALSE)))*EXP(-(LN(2)/$D$65+0.04)*AF217)*EXP(-(LN(2)/$D$65+0.1)*AG217),"-"))),"-")</f>
        <v>-</v>
      </c>
      <c r="AK217" s="227">
        <f t="shared" si="137"/>
        <v>117</v>
      </c>
      <c r="AL217" s="226" t="str">
        <f t="shared" si="111"/>
        <v>-</v>
      </c>
      <c r="AM217" s="227" t="str">
        <f t="shared" si="138"/>
        <v>-</v>
      </c>
      <c r="AN217" s="227" t="str">
        <f t="shared" si="139"/>
        <v>-</v>
      </c>
      <c r="AO217" s="227" t="str">
        <f t="shared" si="112"/>
        <v>-</v>
      </c>
      <c r="AP217" s="273">
        <f t="shared" si="140"/>
        <v>0.1</v>
      </c>
      <c r="AQ217" s="271" t="str">
        <f>IFERROR(IF(AL216=1,AQ$100*EXP(-(LN(2)/$D$65+0.04)*AN216)*EXP(-(LN(2)/$D$65+0.1)*AO216),IF(AL216=2,AQ$100*EXP(-(LN(2)/$D$65+0.04)*(VLOOKUP(($F$16-$F$15)-1,AK$99:AO216,4,FALSE)))*EXP(-(LN(2)/$D$65+0.1)*(VLOOKUP(($F$16-$F$15)-1,AK$99:AO216,5,FALSE)))*EXP(-(LN(2)/$D$65+0.04)*AN216)*EXP(-(LN(2)/$D$65+0.1)*AO216),IF(AL216=3,AQ$100*EXP(-(LN(2)/$D$65+0.04)*(VLOOKUP(($F$16-$F$15)-1,AK$99:AO216,4,FALSE)))*EXP(-(LN(2)/$D$65+0.1)*(VLOOKUP(($F$16-$F$15)-1,AK$99:AO216,5,FALSE)))*EXP(-(LN(2)/$D$65+0.04)*(VLOOKUP(($F$16-$F$15)*2-1,AK$99:AO216,4,FALSE)))*EXP(-(LN(2)/$D$65+0.1)*(VLOOKUP(($F$16-$F$15)*2-1,AK$99:AO216,5,FALSE)))*EXP(-(LN(2)/$D$65+0.04)*AN216)*EXP(-(LN(2)/$D$65+0.1)*AO216),"-"))),"-")</f>
        <v>-</v>
      </c>
      <c r="AR217" s="271" t="str">
        <f>IFERROR(IF(AL217=1,AR$100*EXP(-(LN(2)/$D$65+0.04)*AN217)*EXP(-(LN(2)/$D$65+0.1)*AO217),IF(AL217=2,AR$100*EXP(-(LN(2)/$D$65+0.04)*(VLOOKUP(($F$16-$F$15)-1,AK$100:AO217,4,FALSE)))*EXP(-(LN(2)/$D$65+0.1)*(VLOOKUP(($F$16-$F$15)-1,AK$100:AO217,5,FALSE)))*EXP(-(LN(2)/$D$65+0.04)*AN217)*EXP(-(LN(2)/$D$65+0.1)*AO217),IF(AL217=3,AR$100*EXP(-(LN(2)/$D$65+0.04)*(VLOOKUP(($F$16-$F$15)-1,AK$100:AO217,4,FALSE)))*EXP(-(LN(2)/$D$65+0.1)*(VLOOKUP(($F$16-$F$15)-1,AK$100:AO217,5,FALSE)))*EXP(-(LN(2)/$D$65+0.04)*(VLOOKUP(($F$16-$F$15)*2-1,AK$100:AO217,4,FALSE)))*EXP(-(LN(2)/$D$65+0.1)*(VLOOKUP(($F$16-$F$15)*2-1,AK$100:AO217,5,FALSE)))*EXP(-(LN(2)/$D$65+0.04)*AN217)*EXP(-(LN(2)/$D$65+0.1)*AO217),"-"))),"-")</f>
        <v>-</v>
      </c>
      <c r="AS217" s="274">
        <f t="shared" si="113"/>
        <v>0</v>
      </c>
      <c r="AT217" s="274">
        <f t="shared" si="114"/>
        <v>0</v>
      </c>
      <c r="AU217" s="274">
        <f t="shared" si="115"/>
        <v>0</v>
      </c>
      <c r="AV217" s="190">
        <f>IF($B217&lt;$F$22,SUM($T$100:$T217),"")</f>
        <v>0</v>
      </c>
      <c r="AW217" s="190" t="str">
        <f t="shared" si="161"/>
        <v>-</v>
      </c>
      <c r="AX217" s="190" t="str">
        <f t="shared" si="141"/>
        <v/>
      </c>
      <c r="AY217"/>
      <c r="AZ217" s="190" t="str">
        <f ca="1">IF(ISNUMBER(OFFSET(AV217,-$F$21,0)),SUM(OFFSET($T$100,$F$21,0):$T217),"")</f>
        <v/>
      </c>
      <c r="BA217" s="190" t="str">
        <f t="shared" ca="1" si="162"/>
        <v/>
      </c>
      <c r="BB217" s="190" t="str">
        <f t="shared" ca="1" si="148"/>
        <v/>
      </c>
      <c r="BC217" s="190"/>
      <c r="BD217" s="190" t="str">
        <f ca="1">IFERROR(IF(AND($B217&gt;=($F$16-$F$15),$B217&lt;$F$22+($F$16-$F$15)),SUM(OFFSET($T$100,($F$16-$F$15),0):$T217),""),"")</f>
        <v/>
      </c>
      <c r="BE217" s="190" t="str">
        <f t="shared" ca="1" si="142"/>
        <v/>
      </c>
      <c r="BF217" s="190" t="str">
        <f t="shared" ca="1" si="143"/>
        <v/>
      </c>
      <c r="BG217"/>
      <c r="BH217" s="190" t="str">
        <f ca="1">IF(ISNUMBER(OFFSET(BD217,-$F$21,0)),SUM(OFFSET($T$100,($F$16-$F$15+$F$21),0):$T217),"")</f>
        <v/>
      </c>
      <c r="BI217" s="190" t="str">
        <f t="shared" ca="1" si="163"/>
        <v/>
      </c>
      <c r="BJ217" s="190" t="str">
        <f t="shared" ca="1" si="144"/>
        <v/>
      </c>
      <c r="BK217" s="190"/>
      <c r="BL217" s="190" t="str">
        <f ca="1">IFERROR(IF(AND($B217&gt;=($F$17-$F$15),$B217&lt;$F$22+($F$17-$F$15)),SUM(OFFSET($T$100,($F$17-$F$15),0):$T217),""),"")</f>
        <v/>
      </c>
      <c r="BM217" s="190" t="str">
        <f t="shared" ca="1" si="164"/>
        <v/>
      </c>
      <c r="BN217" s="190" t="str">
        <f t="shared" ca="1" si="145"/>
        <v/>
      </c>
      <c r="BO217"/>
      <c r="BP217" s="190" t="str">
        <f ca="1">IF(ISNUMBER(OFFSET(BL217,-$F$21,0)),SUM(OFFSET($T$100,($F$17-$F$15+$F$21),0):$T217),"")</f>
        <v/>
      </c>
      <c r="BQ217" s="190" t="str">
        <f t="shared" ca="1" si="165"/>
        <v/>
      </c>
      <c r="BR217" s="190" t="str">
        <f t="shared" ca="1" si="146"/>
        <v/>
      </c>
      <c r="BS217" s="190"/>
      <c r="BT217"/>
      <c r="BU217"/>
      <c r="BV217"/>
      <c r="BY217" s="99"/>
      <c r="BZ217" s="99"/>
      <c r="CA217" s="280" t="str">
        <f t="shared" si="166"/>
        <v/>
      </c>
      <c r="CB217" s="71" t="str">
        <f t="shared" si="122"/>
        <v>-</v>
      </c>
      <c r="CC217" s="33"/>
      <c r="CD217" s="261" t="str">
        <f t="shared" si="123"/>
        <v/>
      </c>
      <c r="CE217" s="280" t="str">
        <f t="shared" si="167"/>
        <v>-</v>
      </c>
      <c r="CF217" s="71" t="str">
        <f t="shared" ca="1" si="168"/>
        <v>-</v>
      </c>
      <c r="CG217" s="33" t="str">
        <f t="shared" si="126"/>
        <v>117-118</v>
      </c>
      <c r="CH217" s="261" t="str">
        <f t="shared" ca="1" si="127"/>
        <v/>
      </c>
    </row>
    <row r="218" spans="2:86" ht="13.5" customHeight="1" x14ac:dyDescent="0.2">
      <c r="B218" s="262">
        <v>118</v>
      </c>
      <c r="C218" s="237" t="str">
        <f t="shared" si="91"/>
        <v/>
      </c>
      <c r="D218" s="237" t="str">
        <f t="shared" si="147"/>
        <v>-</v>
      </c>
      <c r="E218" s="263" t="str">
        <f t="shared" si="128"/>
        <v/>
      </c>
      <c r="F218" s="264" t="str">
        <f t="shared" si="129"/>
        <v/>
      </c>
      <c r="G218" s="264" t="str">
        <f t="shared" si="130"/>
        <v/>
      </c>
      <c r="H218" s="240" t="str">
        <f t="shared" si="149"/>
        <v/>
      </c>
      <c r="I218" s="265" t="str">
        <f t="shared" si="150"/>
        <v/>
      </c>
      <c r="J218" s="265" t="str">
        <f t="shared" si="151"/>
        <v/>
      </c>
      <c r="K218" s="240" t="str">
        <f t="shared" si="152"/>
        <v/>
      </c>
      <c r="L218" s="265" t="str">
        <f t="shared" si="153"/>
        <v/>
      </c>
      <c r="M218" s="265" t="str">
        <f t="shared" si="154"/>
        <v/>
      </c>
      <c r="N218" s="240" t="str">
        <f t="shared" si="155"/>
        <v>-</v>
      </c>
      <c r="O218" s="265" t="str">
        <f t="shared" si="156"/>
        <v>-</v>
      </c>
      <c r="P218" s="265" t="str">
        <f t="shared" si="157"/>
        <v>-</v>
      </c>
      <c r="Q218" s="266" t="str">
        <f t="shared" si="158"/>
        <v>-</v>
      </c>
      <c r="R218" s="267" t="str">
        <f t="shared" si="159"/>
        <v>-</v>
      </c>
      <c r="S218" s="268" t="str">
        <f t="shared" si="160"/>
        <v>-</v>
      </c>
      <c r="T218" s="269" t="str">
        <f t="shared" si="104"/>
        <v/>
      </c>
      <c r="U218" s="221">
        <f t="shared" si="105"/>
        <v>118</v>
      </c>
      <c r="V218" s="220" t="str">
        <f t="shared" si="131"/>
        <v>-</v>
      </c>
      <c r="W218" s="221" t="str">
        <f t="shared" si="132"/>
        <v>-</v>
      </c>
      <c r="X218" s="221" t="str">
        <f t="shared" si="106"/>
        <v>-</v>
      </c>
      <c r="Y218" s="221" t="str">
        <f t="shared" si="107"/>
        <v>-</v>
      </c>
      <c r="Z218" s="270">
        <f t="shared" si="133"/>
        <v>0.1</v>
      </c>
      <c r="AA218" s="271" t="str">
        <f>IFERROR(IF(V217=1,AA$100*EXP(-(LN(2)/$D$65+0.04)*X217)*EXP(-(LN(2)/$D$65+0.1)*Y217),IF(V217=2,AA$100*EXP(-(LN(2)/$D$65+0.04)*(VLOOKUP(($F$16-$F$15)-1,U$99:Y217,4,FALSE)))*EXP(-(LN(2)/$D$65+0.1)*(VLOOKUP(($F$16-$F$15)-1,U$99:Y217,5,FALSE)))*EXP(-(LN(2)/$D$65+0.04)*X217)*EXP(-(LN(2)/$D$65+0.1)*Y217),IF(V217=3,AA$100*EXP(-(LN(2)/$D$65+0.04)*(VLOOKUP(($F$16-$F$15)-1,U$99:Y217,4,FALSE)))*EXP(-(LN(2)/$D$65+0.1)*(VLOOKUP(($F$16-$F$15)-1,U$99:Y217,5,FALSE)))*EXP(-(LN(2)/$D$65+0.04)*(VLOOKUP(($F$16-$F$15)*2-1,U$99:Y217,4,FALSE)))*EXP(-(LN(2)/$D$65+0.1)*(VLOOKUP(($F$16-$F$15)*2-1,U$99:Y217,5,FALSE)))*EXP(-(LN(2)/$D$65+0.04)*X217)*EXP(-(LN(2)/$D$65+0.1)*Y217),"-"))),"-")</f>
        <v>-</v>
      </c>
      <c r="AB218" s="271" t="str">
        <f>IFERROR(IF(V218=1,AB$100*EXP(-(LN(2)/$D$65+0.04)*X218)*EXP(-(LN(2)/$D$65+0.1)*Y218),IF(V218=2,AB$100*EXP(-(LN(2)/$D$65+0.04)*(VLOOKUP(($F$16-$F$15)-1,U$100:Y218,4,FALSE)))*EXP(-(LN(2)/$D$65+0.1)*(VLOOKUP(($F$16-$F$15)-1,U$100:Y218,5,FALSE)))*EXP(-(LN(2)/$D$65+0.04)*X218)*EXP(-(LN(2)/$D$65+0.1)*Y218),IF(V218=3,AB$100*EXP(-(LN(2)/$D$65+0.04)*(VLOOKUP(($F$16-$F$15)-1,U$100:Y218,4,FALSE)))*EXP(-(LN(2)/$D$65+0.1)*(VLOOKUP(($F$16-$F$15)-1,U$100:Y218,5,FALSE)))*EXP(-(LN(2)/$D$65+0.04)*(VLOOKUP(($F$16-$F$15)*2-1,U$100:Y218,4,FALSE)))*EXP(-(LN(2)/$D$65+0.1)*(VLOOKUP(($F$16-$F$15)*2-1,U$100:Y218,5,FALSE)))*EXP(-(LN(2)/$D$65+0.04)*X218)*EXP(-(LN(2)/$D$65+0.1)*Y218),"-"))),"-")</f>
        <v>-</v>
      </c>
      <c r="AC218" s="224">
        <f t="shared" si="134"/>
        <v>118</v>
      </c>
      <c r="AD218" s="223" t="str">
        <f t="shared" si="108"/>
        <v>-</v>
      </c>
      <c r="AE218" s="224" t="str">
        <f t="shared" si="135"/>
        <v>-</v>
      </c>
      <c r="AF218" s="224" t="str">
        <f t="shared" si="109"/>
        <v>-</v>
      </c>
      <c r="AG218" s="224" t="str">
        <f t="shared" si="110"/>
        <v>-</v>
      </c>
      <c r="AH218" s="272">
        <f t="shared" si="136"/>
        <v>0.1</v>
      </c>
      <c r="AI218" s="271" t="str">
        <f>IFERROR(IF(AD217=1,AI$100*EXP(-(LN(2)/$D$65+0.04)*AF217)*EXP(-(LN(2)/$D$65+0.1)*AG217),IF(AD217=2,AI$100*EXP(-(LN(2)/$D$65+0.04)*(VLOOKUP(($F$16-$F$15)-1,AC$99:AG217,4,FALSE)))*EXP(-(LN(2)/$D$65+0.1)*(VLOOKUP(($F$16-$F$15)-1,AC$99:AG217,5,FALSE)))*EXP(-(LN(2)/$D$65+0.04)*AF217)*EXP(-(LN(2)/$D$65+0.1)*AG217),IF(AD217=3,AI$100*EXP(-(LN(2)/$D$65+0.04)*(VLOOKUP(($F$16-$F$15)-1,AC$99:AG217,4,FALSE)))*EXP(-(LN(2)/$D$65+0.1)*(VLOOKUP(($F$16-$F$15)-1,AC$99:AG217,5,FALSE)))*EXP(-(LN(2)/$D$65+0.04)*(VLOOKUP(($F$16-$F$15)*2-1,AC$99:AG217,4,FALSE)))*EXP(-(LN(2)/$D$65+0.1)*(VLOOKUP(($F$16-$F$15)*2-1,AC$99:AG217,5,FALSE)))*EXP(-(LN(2)/$D$65+0.04)*AF217)*EXP(-(LN(2)/$D$65+0.1)*AG217),"-"))),"-")</f>
        <v>-</v>
      </c>
      <c r="AJ218" s="271" t="str">
        <f>IFERROR(IF(AD218=1,AJ$100*EXP(-(LN(2)/$D$65+0.04)*AF218)*EXP(-(LN(2)/$D$65+0.1)*AG218),IF(AD218=2,AJ$100*EXP(-(LN(2)/$D$65+0.04)*(VLOOKUP(($F$16-$F$15)-1,AC$100:AG218,4,FALSE)))*EXP(-(LN(2)/$D$65+0.1)*(VLOOKUP(($F$16-$F$15)-1,AC$100:AG218,5,FALSE)))*EXP(-(LN(2)/$D$65+0.04)*AF218)*EXP(-(LN(2)/$D$65+0.1)*AG218),IF(AD218=3,AJ$100*EXP(-(LN(2)/$D$65+0.04)*(VLOOKUP(($F$16-$F$15)-1,AC$100:AG218,4,FALSE)))*EXP(-(LN(2)/$D$65+0.1)*(VLOOKUP(($F$16-$F$15)-1,AC$100:AG218,5,FALSE)))*EXP(-(LN(2)/$D$65+0.04)*(VLOOKUP(($F$16-$F$15)*2-1,AC$100:AG218,4,FALSE)))*EXP(-(LN(2)/$D$65+0.1)*(VLOOKUP(($F$16-$F$15)*2-1,AC$100:AG218,5,FALSE)))*EXP(-(LN(2)/$D$65+0.04)*AF218)*EXP(-(LN(2)/$D$65+0.1)*AG218),"-"))),"-")</f>
        <v>-</v>
      </c>
      <c r="AK218" s="227">
        <f t="shared" si="137"/>
        <v>118</v>
      </c>
      <c r="AL218" s="226" t="str">
        <f t="shared" si="111"/>
        <v>-</v>
      </c>
      <c r="AM218" s="227" t="str">
        <f t="shared" si="138"/>
        <v>-</v>
      </c>
      <c r="AN218" s="227" t="str">
        <f t="shared" si="139"/>
        <v>-</v>
      </c>
      <c r="AO218" s="227" t="str">
        <f t="shared" si="112"/>
        <v>-</v>
      </c>
      <c r="AP218" s="273">
        <f t="shared" si="140"/>
        <v>0.1</v>
      </c>
      <c r="AQ218" s="271" t="str">
        <f>IFERROR(IF(AL217=1,AQ$100*EXP(-(LN(2)/$D$65+0.04)*AN217)*EXP(-(LN(2)/$D$65+0.1)*AO217),IF(AL217=2,AQ$100*EXP(-(LN(2)/$D$65+0.04)*(VLOOKUP(($F$16-$F$15)-1,AK$99:AO217,4,FALSE)))*EXP(-(LN(2)/$D$65+0.1)*(VLOOKUP(($F$16-$F$15)-1,AK$99:AO217,5,FALSE)))*EXP(-(LN(2)/$D$65+0.04)*AN217)*EXP(-(LN(2)/$D$65+0.1)*AO217),IF(AL217=3,AQ$100*EXP(-(LN(2)/$D$65+0.04)*(VLOOKUP(($F$16-$F$15)-1,AK$99:AO217,4,FALSE)))*EXP(-(LN(2)/$D$65+0.1)*(VLOOKUP(($F$16-$F$15)-1,AK$99:AO217,5,FALSE)))*EXP(-(LN(2)/$D$65+0.04)*(VLOOKUP(($F$16-$F$15)*2-1,AK$99:AO217,4,FALSE)))*EXP(-(LN(2)/$D$65+0.1)*(VLOOKUP(($F$16-$F$15)*2-1,AK$99:AO217,5,FALSE)))*EXP(-(LN(2)/$D$65+0.04)*AN217)*EXP(-(LN(2)/$D$65+0.1)*AO217),"-"))),"-")</f>
        <v>-</v>
      </c>
      <c r="AR218" s="271" t="str">
        <f>IFERROR(IF(AL218=1,AR$100*EXP(-(LN(2)/$D$65+0.04)*AN218)*EXP(-(LN(2)/$D$65+0.1)*AO218),IF(AL218=2,AR$100*EXP(-(LN(2)/$D$65+0.04)*(VLOOKUP(($F$16-$F$15)-1,AK$100:AO218,4,FALSE)))*EXP(-(LN(2)/$D$65+0.1)*(VLOOKUP(($F$16-$F$15)-1,AK$100:AO218,5,FALSE)))*EXP(-(LN(2)/$D$65+0.04)*AN218)*EXP(-(LN(2)/$D$65+0.1)*AO218),IF(AL218=3,AR$100*EXP(-(LN(2)/$D$65+0.04)*(VLOOKUP(($F$16-$F$15)-1,AK$100:AO218,4,FALSE)))*EXP(-(LN(2)/$D$65+0.1)*(VLOOKUP(($F$16-$F$15)-1,AK$100:AO218,5,FALSE)))*EXP(-(LN(2)/$D$65+0.04)*(VLOOKUP(($F$16-$F$15)*2-1,AK$100:AO218,4,FALSE)))*EXP(-(LN(2)/$D$65+0.1)*(VLOOKUP(($F$16-$F$15)*2-1,AK$100:AO218,5,FALSE)))*EXP(-(LN(2)/$D$65+0.04)*AN218)*EXP(-(LN(2)/$D$65+0.1)*AO218),"-"))),"-")</f>
        <v>-</v>
      </c>
      <c r="AS218" s="274">
        <f t="shared" si="113"/>
        <v>0</v>
      </c>
      <c r="AT218" s="274">
        <f t="shared" si="114"/>
        <v>0</v>
      </c>
      <c r="AU218" s="274">
        <f t="shared" si="115"/>
        <v>0</v>
      </c>
      <c r="AV218" s="190">
        <f>IF($B218&lt;$F$22,SUM($T$100:$T218),"")</f>
        <v>0</v>
      </c>
      <c r="AW218" s="190" t="str">
        <f t="shared" si="161"/>
        <v>-</v>
      </c>
      <c r="AX218" s="190" t="str">
        <f t="shared" si="141"/>
        <v/>
      </c>
      <c r="AY218"/>
      <c r="AZ218" s="190" t="str">
        <f ca="1">IF(ISNUMBER(OFFSET(AV218,-$F$21,0)),SUM(OFFSET($T$100,$F$21,0):$T218),"")</f>
        <v/>
      </c>
      <c r="BA218" s="190" t="str">
        <f t="shared" ca="1" si="162"/>
        <v/>
      </c>
      <c r="BB218" s="190" t="str">
        <f t="shared" ca="1" si="148"/>
        <v/>
      </c>
      <c r="BC218" s="190"/>
      <c r="BD218" s="190" t="str">
        <f ca="1">IFERROR(IF(AND($B218&gt;=($F$16-$F$15),$B218&lt;$F$22+($F$16-$F$15)),SUM(OFFSET($T$100,($F$16-$F$15),0):$T218),""),"")</f>
        <v/>
      </c>
      <c r="BE218" s="190" t="str">
        <f t="shared" ca="1" si="142"/>
        <v/>
      </c>
      <c r="BF218" s="190" t="str">
        <f t="shared" ca="1" si="143"/>
        <v/>
      </c>
      <c r="BG218"/>
      <c r="BH218" s="190" t="str">
        <f ca="1">IF(ISNUMBER(OFFSET(BD218,-$F$21,0)),SUM(OFFSET($T$100,($F$16-$F$15+$F$21),0):$T218),"")</f>
        <v/>
      </c>
      <c r="BI218" s="190" t="str">
        <f t="shared" ca="1" si="163"/>
        <v/>
      </c>
      <c r="BJ218" s="190" t="str">
        <f t="shared" ca="1" si="144"/>
        <v/>
      </c>
      <c r="BK218" s="190"/>
      <c r="BL218" s="190" t="str">
        <f ca="1">IFERROR(IF(AND($B218&gt;=($F$17-$F$15),$B218&lt;$F$22+($F$17-$F$15)),SUM(OFFSET($T$100,($F$17-$F$15),0):$T218),""),"")</f>
        <v/>
      </c>
      <c r="BM218" s="190" t="str">
        <f t="shared" ca="1" si="164"/>
        <v/>
      </c>
      <c r="BN218" s="190" t="str">
        <f t="shared" ca="1" si="145"/>
        <v/>
      </c>
      <c r="BO218"/>
      <c r="BP218" s="190" t="str">
        <f ca="1">IF(ISNUMBER(OFFSET(BL218,-$F$21,0)),SUM(OFFSET($T$100,($F$17-$F$15+$F$21),0):$T218),"")</f>
        <v/>
      </c>
      <c r="BQ218" s="190" t="str">
        <f t="shared" ca="1" si="165"/>
        <v/>
      </c>
      <c r="BR218" s="190" t="str">
        <f t="shared" ca="1" si="146"/>
        <v/>
      </c>
      <c r="BS218" s="190"/>
      <c r="BT218"/>
      <c r="BU218"/>
      <c r="BV218"/>
      <c r="BY218" s="99"/>
      <c r="BZ218" s="99"/>
      <c r="CA218" s="280" t="str">
        <f t="shared" si="166"/>
        <v/>
      </c>
      <c r="CB218" s="71" t="str">
        <f t="shared" si="122"/>
        <v>-</v>
      </c>
      <c r="CC218" s="33"/>
      <c r="CD218" s="261" t="str">
        <f t="shared" si="123"/>
        <v/>
      </c>
      <c r="CE218" s="280" t="str">
        <f t="shared" si="167"/>
        <v>-</v>
      </c>
      <c r="CF218" s="71" t="str">
        <f t="shared" ca="1" si="168"/>
        <v>-</v>
      </c>
      <c r="CG218" s="33" t="str">
        <f t="shared" si="126"/>
        <v>118-119</v>
      </c>
      <c r="CH218" s="261" t="str">
        <f t="shared" ca="1" si="127"/>
        <v/>
      </c>
    </row>
    <row r="219" spans="2:86" ht="13.5" customHeight="1" x14ac:dyDescent="0.2">
      <c r="B219" s="262">
        <v>119</v>
      </c>
      <c r="C219" s="237" t="str">
        <f t="shared" si="91"/>
        <v/>
      </c>
      <c r="D219" s="237" t="str">
        <f t="shared" si="147"/>
        <v>-</v>
      </c>
      <c r="E219" s="263" t="str">
        <f t="shared" si="128"/>
        <v/>
      </c>
      <c r="F219" s="264" t="str">
        <f t="shared" si="129"/>
        <v/>
      </c>
      <c r="G219" s="264" t="str">
        <f t="shared" si="130"/>
        <v/>
      </c>
      <c r="H219" s="240" t="str">
        <f t="shared" si="149"/>
        <v/>
      </c>
      <c r="I219" s="265" t="str">
        <f t="shared" si="150"/>
        <v/>
      </c>
      <c r="J219" s="265" t="str">
        <f t="shared" si="151"/>
        <v/>
      </c>
      <c r="K219" s="240" t="str">
        <f t="shared" si="152"/>
        <v/>
      </c>
      <c r="L219" s="265" t="str">
        <f t="shared" si="153"/>
        <v/>
      </c>
      <c r="M219" s="265" t="str">
        <f t="shared" si="154"/>
        <v/>
      </c>
      <c r="N219" s="240" t="str">
        <f t="shared" si="155"/>
        <v>-</v>
      </c>
      <c r="O219" s="265" t="str">
        <f t="shared" si="156"/>
        <v>-</v>
      </c>
      <c r="P219" s="265" t="str">
        <f t="shared" si="157"/>
        <v>-</v>
      </c>
      <c r="Q219" s="266" t="str">
        <f t="shared" si="158"/>
        <v>-</v>
      </c>
      <c r="R219" s="267" t="str">
        <f t="shared" si="159"/>
        <v>-</v>
      </c>
      <c r="S219" s="268" t="str">
        <f t="shared" si="160"/>
        <v>-</v>
      </c>
      <c r="T219" s="269" t="str">
        <f t="shared" si="104"/>
        <v/>
      </c>
      <c r="U219" s="221">
        <f t="shared" si="105"/>
        <v>119</v>
      </c>
      <c r="V219" s="220" t="str">
        <f t="shared" si="131"/>
        <v>-</v>
      </c>
      <c r="W219" s="221" t="str">
        <f t="shared" si="132"/>
        <v>-</v>
      </c>
      <c r="X219" s="221" t="str">
        <f t="shared" si="106"/>
        <v>-</v>
      </c>
      <c r="Y219" s="221" t="str">
        <f t="shared" si="107"/>
        <v>-</v>
      </c>
      <c r="Z219" s="270">
        <f t="shared" si="133"/>
        <v>0.1</v>
      </c>
      <c r="AA219" s="271" t="str">
        <f>IFERROR(IF(V218=1,AA$100*EXP(-(LN(2)/$D$65+0.04)*X218)*EXP(-(LN(2)/$D$65+0.1)*Y218),IF(V218=2,AA$100*EXP(-(LN(2)/$D$65+0.04)*(VLOOKUP(($F$16-$F$15)-1,U$99:Y218,4,FALSE)))*EXP(-(LN(2)/$D$65+0.1)*(VLOOKUP(($F$16-$F$15)-1,U$99:Y218,5,FALSE)))*EXP(-(LN(2)/$D$65+0.04)*X218)*EXP(-(LN(2)/$D$65+0.1)*Y218),IF(V218=3,AA$100*EXP(-(LN(2)/$D$65+0.04)*(VLOOKUP(($F$16-$F$15)-1,U$99:Y218,4,FALSE)))*EXP(-(LN(2)/$D$65+0.1)*(VLOOKUP(($F$16-$F$15)-1,U$99:Y218,5,FALSE)))*EXP(-(LN(2)/$D$65+0.04)*(VLOOKUP(($F$16-$F$15)*2-1,U$99:Y218,4,FALSE)))*EXP(-(LN(2)/$D$65+0.1)*(VLOOKUP(($F$16-$F$15)*2-1,U$99:Y218,5,FALSE)))*EXP(-(LN(2)/$D$65+0.04)*X218)*EXP(-(LN(2)/$D$65+0.1)*Y218),"-"))),"-")</f>
        <v>-</v>
      </c>
      <c r="AB219" s="271" t="str">
        <f>IFERROR(IF(V219=1,AB$100*EXP(-(LN(2)/$D$65+0.04)*X219)*EXP(-(LN(2)/$D$65+0.1)*Y219),IF(V219=2,AB$100*EXP(-(LN(2)/$D$65+0.04)*(VLOOKUP(($F$16-$F$15)-1,U$100:Y219,4,FALSE)))*EXP(-(LN(2)/$D$65+0.1)*(VLOOKUP(($F$16-$F$15)-1,U$100:Y219,5,FALSE)))*EXP(-(LN(2)/$D$65+0.04)*X219)*EXP(-(LN(2)/$D$65+0.1)*Y219),IF(V219=3,AB$100*EXP(-(LN(2)/$D$65+0.04)*(VLOOKUP(($F$16-$F$15)-1,U$100:Y219,4,FALSE)))*EXP(-(LN(2)/$D$65+0.1)*(VLOOKUP(($F$16-$F$15)-1,U$100:Y219,5,FALSE)))*EXP(-(LN(2)/$D$65+0.04)*(VLOOKUP(($F$16-$F$15)*2-1,U$100:Y219,4,FALSE)))*EXP(-(LN(2)/$D$65+0.1)*(VLOOKUP(($F$16-$F$15)*2-1,U$100:Y219,5,FALSE)))*EXP(-(LN(2)/$D$65+0.04)*X219)*EXP(-(LN(2)/$D$65+0.1)*Y219),"-"))),"-")</f>
        <v>-</v>
      </c>
      <c r="AC219" s="224">
        <f t="shared" si="134"/>
        <v>119</v>
      </c>
      <c r="AD219" s="223" t="str">
        <f t="shared" si="108"/>
        <v>-</v>
      </c>
      <c r="AE219" s="224" t="str">
        <f t="shared" si="135"/>
        <v>-</v>
      </c>
      <c r="AF219" s="224" t="str">
        <f t="shared" si="109"/>
        <v>-</v>
      </c>
      <c r="AG219" s="224" t="str">
        <f t="shared" si="110"/>
        <v>-</v>
      </c>
      <c r="AH219" s="272">
        <f t="shared" si="136"/>
        <v>0.1</v>
      </c>
      <c r="AI219" s="271" t="str">
        <f>IFERROR(IF(AD218=1,AI$100*EXP(-(LN(2)/$D$65+0.04)*AF218)*EXP(-(LN(2)/$D$65+0.1)*AG218),IF(AD218=2,AI$100*EXP(-(LN(2)/$D$65+0.04)*(VLOOKUP(($F$16-$F$15)-1,AC$99:AG218,4,FALSE)))*EXP(-(LN(2)/$D$65+0.1)*(VLOOKUP(($F$16-$F$15)-1,AC$99:AG218,5,FALSE)))*EXP(-(LN(2)/$D$65+0.04)*AF218)*EXP(-(LN(2)/$D$65+0.1)*AG218),IF(AD218=3,AI$100*EXP(-(LN(2)/$D$65+0.04)*(VLOOKUP(($F$16-$F$15)-1,AC$99:AG218,4,FALSE)))*EXP(-(LN(2)/$D$65+0.1)*(VLOOKUP(($F$16-$F$15)-1,AC$99:AG218,5,FALSE)))*EXP(-(LN(2)/$D$65+0.04)*(VLOOKUP(($F$16-$F$15)*2-1,AC$99:AG218,4,FALSE)))*EXP(-(LN(2)/$D$65+0.1)*(VLOOKUP(($F$16-$F$15)*2-1,AC$99:AG218,5,FALSE)))*EXP(-(LN(2)/$D$65+0.04)*AF218)*EXP(-(LN(2)/$D$65+0.1)*AG218),"-"))),"-")</f>
        <v>-</v>
      </c>
      <c r="AJ219" s="271" t="str">
        <f>IFERROR(IF(AD219=1,AJ$100*EXP(-(LN(2)/$D$65+0.04)*AF219)*EXP(-(LN(2)/$D$65+0.1)*AG219),IF(AD219=2,AJ$100*EXP(-(LN(2)/$D$65+0.04)*(VLOOKUP(($F$16-$F$15)-1,AC$100:AG219,4,FALSE)))*EXP(-(LN(2)/$D$65+0.1)*(VLOOKUP(($F$16-$F$15)-1,AC$100:AG219,5,FALSE)))*EXP(-(LN(2)/$D$65+0.04)*AF219)*EXP(-(LN(2)/$D$65+0.1)*AG219),IF(AD219=3,AJ$100*EXP(-(LN(2)/$D$65+0.04)*(VLOOKUP(($F$16-$F$15)-1,AC$100:AG219,4,FALSE)))*EXP(-(LN(2)/$D$65+0.1)*(VLOOKUP(($F$16-$F$15)-1,AC$100:AG219,5,FALSE)))*EXP(-(LN(2)/$D$65+0.04)*(VLOOKUP(($F$16-$F$15)*2-1,AC$100:AG219,4,FALSE)))*EXP(-(LN(2)/$D$65+0.1)*(VLOOKUP(($F$16-$F$15)*2-1,AC$100:AG219,5,FALSE)))*EXP(-(LN(2)/$D$65+0.04)*AF219)*EXP(-(LN(2)/$D$65+0.1)*AG219),"-"))),"-")</f>
        <v>-</v>
      </c>
      <c r="AK219" s="227">
        <f t="shared" si="137"/>
        <v>119</v>
      </c>
      <c r="AL219" s="226" t="str">
        <f t="shared" si="111"/>
        <v>-</v>
      </c>
      <c r="AM219" s="227" t="str">
        <f t="shared" si="138"/>
        <v>-</v>
      </c>
      <c r="AN219" s="227" t="str">
        <f t="shared" si="139"/>
        <v>-</v>
      </c>
      <c r="AO219" s="227" t="str">
        <f t="shared" si="112"/>
        <v>-</v>
      </c>
      <c r="AP219" s="273">
        <f t="shared" si="140"/>
        <v>0.1</v>
      </c>
      <c r="AQ219" s="271" t="str">
        <f>IFERROR(IF(AL218=1,AQ$100*EXP(-(LN(2)/$D$65+0.04)*AN218)*EXP(-(LN(2)/$D$65+0.1)*AO218),IF(AL218=2,AQ$100*EXP(-(LN(2)/$D$65+0.04)*(VLOOKUP(($F$16-$F$15)-1,AK$99:AO218,4,FALSE)))*EXP(-(LN(2)/$D$65+0.1)*(VLOOKUP(($F$16-$F$15)-1,AK$99:AO218,5,FALSE)))*EXP(-(LN(2)/$D$65+0.04)*AN218)*EXP(-(LN(2)/$D$65+0.1)*AO218),IF(AL218=3,AQ$100*EXP(-(LN(2)/$D$65+0.04)*(VLOOKUP(($F$16-$F$15)-1,AK$99:AO218,4,FALSE)))*EXP(-(LN(2)/$D$65+0.1)*(VLOOKUP(($F$16-$F$15)-1,AK$99:AO218,5,FALSE)))*EXP(-(LN(2)/$D$65+0.04)*(VLOOKUP(($F$16-$F$15)*2-1,AK$99:AO218,4,FALSE)))*EXP(-(LN(2)/$D$65+0.1)*(VLOOKUP(($F$16-$F$15)*2-1,AK$99:AO218,5,FALSE)))*EXP(-(LN(2)/$D$65+0.04)*AN218)*EXP(-(LN(2)/$D$65+0.1)*AO218),"-"))),"-")</f>
        <v>-</v>
      </c>
      <c r="AR219" s="271" t="str">
        <f>IFERROR(IF(AL219=1,AR$100*EXP(-(LN(2)/$D$65+0.04)*AN219)*EXP(-(LN(2)/$D$65+0.1)*AO219),IF(AL219=2,AR$100*EXP(-(LN(2)/$D$65+0.04)*(VLOOKUP(($F$16-$F$15)-1,AK$100:AO219,4,FALSE)))*EXP(-(LN(2)/$D$65+0.1)*(VLOOKUP(($F$16-$F$15)-1,AK$100:AO219,5,FALSE)))*EXP(-(LN(2)/$D$65+0.04)*AN219)*EXP(-(LN(2)/$D$65+0.1)*AO219),IF(AL219=3,AR$100*EXP(-(LN(2)/$D$65+0.04)*(VLOOKUP(($F$16-$F$15)-1,AK$100:AO219,4,FALSE)))*EXP(-(LN(2)/$D$65+0.1)*(VLOOKUP(($F$16-$F$15)-1,AK$100:AO219,5,FALSE)))*EXP(-(LN(2)/$D$65+0.04)*(VLOOKUP(($F$16-$F$15)*2-1,AK$100:AO219,4,FALSE)))*EXP(-(LN(2)/$D$65+0.1)*(VLOOKUP(($F$16-$F$15)*2-1,AK$100:AO219,5,FALSE)))*EXP(-(LN(2)/$D$65+0.04)*AN219)*EXP(-(LN(2)/$D$65+0.1)*AO219),"-"))),"-")</f>
        <v>-</v>
      </c>
      <c r="AS219" s="274">
        <f t="shared" si="113"/>
        <v>0</v>
      </c>
      <c r="AT219" s="274">
        <f t="shared" si="114"/>
        <v>0</v>
      </c>
      <c r="AU219" s="274">
        <f t="shared" si="115"/>
        <v>0</v>
      </c>
      <c r="AV219" s="190">
        <f>IF($B219&lt;$F$22,SUM($T$100:$T219),"")</f>
        <v>0</v>
      </c>
      <c r="AW219" s="190" t="str">
        <f t="shared" si="161"/>
        <v>-</v>
      </c>
      <c r="AX219" s="190" t="str">
        <f t="shared" si="141"/>
        <v/>
      </c>
      <c r="AY219"/>
      <c r="AZ219" s="190" t="str">
        <f ca="1">IF(ISNUMBER(OFFSET(AV219,-$F$21,0)),SUM(OFFSET($T$100,$F$21,0):$T219),"")</f>
        <v/>
      </c>
      <c r="BA219" s="190" t="str">
        <f t="shared" ca="1" si="162"/>
        <v/>
      </c>
      <c r="BB219" s="190" t="str">
        <f t="shared" ca="1" si="148"/>
        <v/>
      </c>
      <c r="BC219" s="190"/>
      <c r="BD219" s="190" t="str">
        <f ca="1">IFERROR(IF(AND($B219&gt;=($F$16-$F$15),$B219&lt;$F$22+($F$16-$F$15)),SUM(OFFSET($T$100,($F$16-$F$15),0):$T219),""),"")</f>
        <v/>
      </c>
      <c r="BE219" s="190" t="str">
        <f t="shared" ca="1" si="142"/>
        <v/>
      </c>
      <c r="BF219" s="190" t="str">
        <f t="shared" ca="1" si="143"/>
        <v/>
      </c>
      <c r="BG219"/>
      <c r="BH219" s="190" t="str">
        <f ca="1">IF(ISNUMBER(OFFSET(BD219,-$F$21,0)),SUM(OFFSET($T$100,($F$16-$F$15+$F$21),0):$T219),"")</f>
        <v/>
      </c>
      <c r="BI219" s="190" t="str">
        <f t="shared" ca="1" si="163"/>
        <v/>
      </c>
      <c r="BJ219" s="190" t="str">
        <f t="shared" ca="1" si="144"/>
        <v/>
      </c>
      <c r="BK219" s="190"/>
      <c r="BL219" s="190" t="str">
        <f ca="1">IFERROR(IF(AND($B219&gt;=($F$17-$F$15),$B219&lt;$F$22+($F$17-$F$15)),SUM(OFFSET($T$100,($F$17-$F$15),0):$T219),""),"")</f>
        <v/>
      </c>
      <c r="BM219" s="190" t="str">
        <f t="shared" ca="1" si="164"/>
        <v/>
      </c>
      <c r="BN219" s="190" t="str">
        <f t="shared" ca="1" si="145"/>
        <v/>
      </c>
      <c r="BO219"/>
      <c r="BP219" s="190" t="str">
        <f ca="1">IF(ISNUMBER(OFFSET(BL219,-$F$21,0)),SUM(OFFSET($T$100,($F$17-$F$15+$F$21),0):$T219),"")</f>
        <v/>
      </c>
      <c r="BQ219" s="190" t="str">
        <f t="shared" ca="1" si="165"/>
        <v/>
      </c>
      <c r="BR219" s="190" t="str">
        <f t="shared" ca="1" si="146"/>
        <v/>
      </c>
      <c r="BS219" s="190"/>
      <c r="BT219"/>
      <c r="BU219"/>
      <c r="BV219"/>
      <c r="BY219" s="99"/>
      <c r="BZ219" s="99"/>
      <c r="CA219" s="280" t="str">
        <f t="shared" si="166"/>
        <v/>
      </c>
      <c r="CB219" s="71" t="str">
        <f t="shared" si="122"/>
        <v>-</v>
      </c>
      <c r="CC219" s="33"/>
      <c r="CD219" s="261" t="str">
        <f t="shared" si="123"/>
        <v/>
      </c>
      <c r="CE219" s="280" t="str">
        <f t="shared" si="167"/>
        <v>-</v>
      </c>
      <c r="CF219" s="71" t="str">
        <f t="shared" ca="1" si="168"/>
        <v>-</v>
      </c>
      <c r="CG219" s="33" t="str">
        <f t="shared" si="126"/>
        <v>119-120</v>
      </c>
      <c r="CH219" s="261" t="str">
        <f t="shared" ca="1" si="127"/>
        <v/>
      </c>
    </row>
    <row r="220" spans="2:86" ht="13.5" customHeight="1" x14ac:dyDescent="0.2">
      <c r="B220" s="262">
        <v>120</v>
      </c>
      <c r="C220" s="237" t="str">
        <f t="shared" si="91"/>
        <v/>
      </c>
      <c r="D220" s="237" t="str">
        <f t="shared" si="147"/>
        <v>-</v>
      </c>
      <c r="E220" s="263" t="str">
        <f t="shared" si="128"/>
        <v/>
      </c>
      <c r="F220" s="264" t="str">
        <f t="shared" si="129"/>
        <v/>
      </c>
      <c r="G220" s="264" t="str">
        <f t="shared" si="130"/>
        <v/>
      </c>
      <c r="H220" s="240" t="str">
        <f t="shared" si="149"/>
        <v/>
      </c>
      <c r="I220" s="265" t="str">
        <f t="shared" si="150"/>
        <v/>
      </c>
      <c r="J220" s="265" t="str">
        <f t="shared" si="151"/>
        <v/>
      </c>
      <c r="K220" s="240" t="str">
        <f t="shared" si="152"/>
        <v/>
      </c>
      <c r="L220" s="265" t="str">
        <f t="shared" si="153"/>
        <v/>
      </c>
      <c r="M220" s="265" t="str">
        <f t="shared" si="154"/>
        <v/>
      </c>
      <c r="N220" s="240" t="str">
        <f t="shared" si="155"/>
        <v>-</v>
      </c>
      <c r="O220" s="265" t="str">
        <f t="shared" si="156"/>
        <v>-</v>
      </c>
      <c r="P220" s="265" t="str">
        <f t="shared" si="157"/>
        <v>-</v>
      </c>
      <c r="Q220" s="266" t="str">
        <f t="shared" si="158"/>
        <v>-</v>
      </c>
      <c r="R220" s="267" t="str">
        <f t="shared" si="159"/>
        <v>-</v>
      </c>
      <c r="S220" s="268" t="str">
        <f t="shared" si="160"/>
        <v>-</v>
      </c>
      <c r="T220" s="269" t="str">
        <f t="shared" si="104"/>
        <v/>
      </c>
      <c r="U220" s="221">
        <f t="shared" si="105"/>
        <v>120</v>
      </c>
      <c r="V220" s="220" t="str">
        <f t="shared" si="131"/>
        <v>-</v>
      </c>
      <c r="W220" s="221" t="str">
        <f t="shared" si="132"/>
        <v>-</v>
      </c>
      <c r="X220" s="221" t="str">
        <f t="shared" si="106"/>
        <v>-</v>
      </c>
      <c r="Y220" s="221" t="str">
        <f t="shared" si="107"/>
        <v>-</v>
      </c>
      <c r="Z220" s="270">
        <f t="shared" si="133"/>
        <v>0.1</v>
      </c>
      <c r="AA220" s="271" t="str">
        <f>IFERROR(IF(V219=1,AA$100*EXP(-(LN(2)/$D$65+0.04)*X219)*EXP(-(LN(2)/$D$65+0.1)*Y219),IF(V219=2,AA$100*EXP(-(LN(2)/$D$65+0.04)*(VLOOKUP(($F$16-$F$15)-1,U$99:Y219,4,FALSE)))*EXP(-(LN(2)/$D$65+0.1)*(VLOOKUP(($F$16-$F$15)-1,U$99:Y219,5,FALSE)))*EXP(-(LN(2)/$D$65+0.04)*X219)*EXP(-(LN(2)/$D$65+0.1)*Y219),IF(V219=3,AA$100*EXP(-(LN(2)/$D$65+0.04)*(VLOOKUP(($F$16-$F$15)-1,U$99:Y219,4,FALSE)))*EXP(-(LN(2)/$D$65+0.1)*(VLOOKUP(($F$16-$F$15)-1,U$99:Y219,5,FALSE)))*EXP(-(LN(2)/$D$65+0.04)*(VLOOKUP(($F$16-$F$15)*2-1,U$99:Y219,4,FALSE)))*EXP(-(LN(2)/$D$65+0.1)*(VLOOKUP(($F$16-$F$15)*2-1,U$99:Y219,5,FALSE)))*EXP(-(LN(2)/$D$65+0.04)*X219)*EXP(-(LN(2)/$D$65+0.1)*Y219),"-"))),"-")</f>
        <v>-</v>
      </c>
      <c r="AB220" s="271" t="str">
        <f>IFERROR(IF(V220=1,AB$100*EXP(-(LN(2)/$D$65+0.04)*X220)*EXP(-(LN(2)/$D$65+0.1)*Y220),IF(V220=2,AB$100*EXP(-(LN(2)/$D$65+0.04)*(VLOOKUP(($F$16-$F$15)-1,U$100:Y220,4,FALSE)))*EXP(-(LN(2)/$D$65+0.1)*(VLOOKUP(($F$16-$F$15)-1,U$100:Y220,5,FALSE)))*EXP(-(LN(2)/$D$65+0.04)*X220)*EXP(-(LN(2)/$D$65+0.1)*Y220),IF(V220=3,AB$100*EXP(-(LN(2)/$D$65+0.04)*(VLOOKUP(($F$16-$F$15)-1,U$100:Y220,4,FALSE)))*EXP(-(LN(2)/$D$65+0.1)*(VLOOKUP(($F$16-$F$15)-1,U$100:Y220,5,FALSE)))*EXP(-(LN(2)/$D$65+0.04)*(VLOOKUP(($F$16-$F$15)*2-1,U$100:Y220,4,FALSE)))*EXP(-(LN(2)/$D$65+0.1)*(VLOOKUP(($F$16-$F$15)*2-1,U$100:Y220,5,FALSE)))*EXP(-(LN(2)/$D$65+0.04)*X220)*EXP(-(LN(2)/$D$65+0.1)*Y220),"-"))),"-")</f>
        <v>-</v>
      </c>
      <c r="AC220" s="224">
        <f t="shared" si="134"/>
        <v>120</v>
      </c>
      <c r="AD220" s="223" t="str">
        <f t="shared" si="108"/>
        <v>-</v>
      </c>
      <c r="AE220" s="224" t="str">
        <f t="shared" si="135"/>
        <v>-</v>
      </c>
      <c r="AF220" s="224" t="str">
        <f t="shared" si="109"/>
        <v>-</v>
      </c>
      <c r="AG220" s="224" t="str">
        <f t="shared" si="110"/>
        <v>-</v>
      </c>
      <c r="AH220" s="272">
        <f t="shared" si="136"/>
        <v>0.1</v>
      </c>
      <c r="AI220" s="271" t="str">
        <f>IFERROR(IF(AD219=1,AI$100*EXP(-(LN(2)/$D$65+0.04)*AF219)*EXP(-(LN(2)/$D$65+0.1)*AG219),IF(AD219=2,AI$100*EXP(-(LN(2)/$D$65+0.04)*(VLOOKUP(($F$16-$F$15)-1,AC$99:AG219,4,FALSE)))*EXP(-(LN(2)/$D$65+0.1)*(VLOOKUP(($F$16-$F$15)-1,AC$99:AG219,5,FALSE)))*EXP(-(LN(2)/$D$65+0.04)*AF219)*EXP(-(LN(2)/$D$65+0.1)*AG219),IF(AD219=3,AI$100*EXP(-(LN(2)/$D$65+0.04)*(VLOOKUP(($F$16-$F$15)-1,AC$99:AG219,4,FALSE)))*EXP(-(LN(2)/$D$65+0.1)*(VLOOKUP(($F$16-$F$15)-1,AC$99:AG219,5,FALSE)))*EXP(-(LN(2)/$D$65+0.04)*(VLOOKUP(($F$16-$F$15)*2-1,AC$99:AG219,4,FALSE)))*EXP(-(LN(2)/$D$65+0.1)*(VLOOKUP(($F$16-$F$15)*2-1,AC$99:AG219,5,FALSE)))*EXP(-(LN(2)/$D$65+0.04)*AF219)*EXP(-(LN(2)/$D$65+0.1)*AG219),"-"))),"-")</f>
        <v>-</v>
      </c>
      <c r="AJ220" s="271" t="str">
        <f>IFERROR(IF(AD220=1,AJ$100*EXP(-(LN(2)/$D$65+0.04)*AF220)*EXP(-(LN(2)/$D$65+0.1)*AG220),IF(AD220=2,AJ$100*EXP(-(LN(2)/$D$65+0.04)*(VLOOKUP(($F$16-$F$15)-1,AC$100:AG220,4,FALSE)))*EXP(-(LN(2)/$D$65+0.1)*(VLOOKUP(($F$16-$F$15)-1,AC$100:AG220,5,FALSE)))*EXP(-(LN(2)/$D$65+0.04)*AF220)*EXP(-(LN(2)/$D$65+0.1)*AG220),IF(AD220=3,AJ$100*EXP(-(LN(2)/$D$65+0.04)*(VLOOKUP(($F$16-$F$15)-1,AC$100:AG220,4,FALSE)))*EXP(-(LN(2)/$D$65+0.1)*(VLOOKUP(($F$16-$F$15)-1,AC$100:AG220,5,FALSE)))*EXP(-(LN(2)/$D$65+0.04)*(VLOOKUP(($F$16-$F$15)*2-1,AC$100:AG220,4,FALSE)))*EXP(-(LN(2)/$D$65+0.1)*(VLOOKUP(($F$16-$F$15)*2-1,AC$100:AG220,5,FALSE)))*EXP(-(LN(2)/$D$65+0.04)*AF220)*EXP(-(LN(2)/$D$65+0.1)*AG220),"-"))),"-")</f>
        <v>-</v>
      </c>
      <c r="AK220" s="227">
        <f t="shared" si="137"/>
        <v>120</v>
      </c>
      <c r="AL220" s="226" t="str">
        <f t="shared" si="111"/>
        <v>-</v>
      </c>
      <c r="AM220" s="227" t="str">
        <f t="shared" si="138"/>
        <v>-</v>
      </c>
      <c r="AN220" s="227" t="str">
        <f t="shared" si="139"/>
        <v>-</v>
      </c>
      <c r="AO220" s="227" t="str">
        <f t="shared" si="112"/>
        <v>-</v>
      </c>
      <c r="AP220" s="273">
        <f t="shared" si="140"/>
        <v>0.1</v>
      </c>
      <c r="AQ220" s="271" t="str">
        <f>IFERROR(IF(AL219=1,AQ$100*EXP(-(LN(2)/$D$65+0.04)*AN219)*EXP(-(LN(2)/$D$65+0.1)*AO219),IF(AL219=2,AQ$100*EXP(-(LN(2)/$D$65+0.04)*(VLOOKUP(($F$16-$F$15)-1,AK$99:AO219,4,FALSE)))*EXP(-(LN(2)/$D$65+0.1)*(VLOOKUP(($F$16-$F$15)-1,AK$99:AO219,5,FALSE)))*EXP(-(LN(2)/$D$65+0.04)*AN219)*EXP(-(LN(2)/$D$65+0.1)*AO219),IF(AL219=3,AQ$100*EXP(-(LN(2)/$D$65+0.04)*(VLOOKUP(($F$16-$F$15)-1,AK$99:AO219,4,FALSE)))*EXP(-(LN(2)/$D$65+0.1)*(VLOOKUP(($F$16-$F$15)-1,AK$99:AO219,5,FALSE)))*EXP(-(LN(2)/$D$65+0.04)*(VLOOKUP(($F$16-$F$15)*2-1,AK$99:AO219,4,FALSE)))*EXP(-(LN(2)/$D$65+0.1)*(VLOOKUP(($F$16-$F$15)*2-1,AK$99:AO219,5,FALSE)))*EXP(-(LN(2)/$D$65+0.04)*AN219)*EXP(-(LN(2)/$D$65+0.1)*AO219),"-"))),"-")</f>
        <v>-</v>
      </c>
      <c r="AR220" s="271" t="str">
        <f>IFERROR(IF(AL220=1,AR$100*EXP(-(LN(2)/$D$65+0.04)*AN220)*EXP(-(LN(2)/$D$65+0.1)*AO220),IF(AL220=2,AR$100*EXP(-(LN(2)/$D$65+0.04)*(VLOOKUP(($F$16-$F$15)-1,AK$100:AO220,4,FALSE)))*EXP(-(LN(2)/$D$65+0.1)*(VLOOKUP(($F$16-$F$15)-1,AK$100:AO220,5,FALSE)))*EXP(-(LN(2)/$D$65+0.04)*AN220)*EXP(-(LN(2)/$D$65+0.1)*AO220),IF(AL220=3,AR$100*EXP(-(LN(2)/$D$65+0.04)*(VLOOKUP(($F$16-$F$15)-1,AK$100:AO220,4,FALSE)))*EXP(-(LN(2)/$D$65+0.1)*(VLOOKUP(($F$16-$F$15)-1,AK$100:AO220,5,FALSE)))*EXP(-(LN(2)/$D$65+0.04)*(VLOOKUP(($F$16-$F$15)*2-1,AK$100:AO220,4,FALSE)))*EXP(-(LN(2)/$D$65+0.1)*(VLOOKUP(($F$16-$F$15)*2-1,AK$100:AO220,5,FALSE)))*EXP(-(LN(2)/$D$65+0.04)*AN220)*EXP(-(LN(2)/$D$65+0.1)*AO220),"-"))),"-")</f>
        <v>-</v>
      </c>
      <c r="AS220" s="274">
        <f t="shared" si="113"/>
        <v>0</v>
      </c>
      <c r="AT220" s="274">
        <f t="shared" si="114"/>
        <v>0</v>
      </c>
      <c r="AU220" s="274">
        <f t="shared" si="115"/>
        <v>0</v>
      </c>
      <c r="AV220" s="190">
        <f>IF($B220&lt;$F$22,SUM($T$100:$T220),"")</f>
        <v>0</v>
      </c>
      <c r="AW220" s="190" t="str">
        <f t="shared" si="161"/>
        <v>-</v>
      </c>
      <c r="AX220" s="190" t="str">
        <f t="shared" si="141"/>
        <v/>
      </c>
      <c r="AY220"/>
      <c r="AZ220" s="190" t="str">
        <f ca="1">IF(ISNUMBER(OFFSET(AV220,-$F$21,0)),SUM(OFFSET($T$100,$F$21,0):$T220),"")</f>
        <v/>
      </c>
      <c r="BA220" s="190" t="str">
        <f t="shared" ca="1" si="162"/>
        <v/>
      </c>
      <c r="BB220" s="190" t="str">
        <f t="shared" ca="1" si="148"/>
        <v/>
      </c>
      <c r="BC220" s="190"/>
      <c r="BD220" s="190" t="str">
        <f ca="1">IFERROR(IF(AND($B220&gt;=($F$16-$F$15),$B220&lt;$F$22+($F$16-$F$15)),SUM(OFFSET($T$100,($F$16-$F$15),0):$T220),""),"")</f>
        <v/>
      </c>
      <c r="BE220" s="190" t="str">
        <f t="shared" ca="1" si="142"/>
        <v/>
      </c>
      <c r="BF220" s="190" t="str">
        <f t="shared" ca="1" si="143"/>
        <v/>
      </c>
      <c r="BG220"/>
      <c r="BH220" s="190" t="str">
        <f ca="1">IF(ISNUMBER(OFFSET(BD220,-$F$21,0)),SUM(OFFSET($T$100,($F$16-$F$15+$F$21),0):$T220),"")</f>
        <v/>
      </c>
      <c r="BI220" s="190" t="str">
        <f t="shared" ca="1" si="163"/>
        <v/>
      </c>
      <c r="BJ220" s="190" t="str">
        <f t="shared" ca="1" si="144"/>
        <v/>
      </c>
      <c r="BK220" s="190"/>
      <c r="BL220" s="190" t="str">
        <f ca="1">IFERROR(IF(AND($B220&gt;=($F$17-$F$15),$B220&lt;$F$22+($F$17-$F$15)),SUM(OFFSET($T$100,($F$17-$F$15),0):$T220),""),"")</f>
        <v/>
      </c>
      <c r="BM220" s="190" t="str">
        <f t="shared" ca="1" si="164"/>
        <v/>
      </c>
      <c r="BN220" s="190" t="str">
        <f t="shared" ca="1" si="145"/>
        <v/>
      </c>
      <c r="BO220"/>
      <c r="BP220" s="190" t="str">
        <f ca="1">IF(ISNUMBER(OFFSET(BL220,-$F$21,0)),SUM(OFFSET($T$100,($F$17-$F$15+$F$21),0):$T220),"")</f>
        <v/>
      </c>
      <c r="BQ220" s="190" t="str">
        <f t="shared" ca="1" si="165"/>
        <v/>
      </c>
      <c r="BR220" s="190" t="str">
        <f t="shared" ca="1" si="146"/>
        <v/>
      </c>
      <c r="BS220" s="190"/>
      <c r="BT220"/>
      <c r="BU220"/>
      <c r="BV220"/>
      <c r="BY220" s="99"/>
      <c r="BZ220" s="99"/>
      <c r="CA220" s="280" t="str">
        <f t="shared" si="166"/>
        <v/>
      </c>
      <c r="CB220" s="71" t="str">
        <f t="shared" si="122"/>
        <v>-</v>
      </c>
      <c r="CC220" s="33"/>
      <c r="CD220" s="261" t="str">
        <f t="shared" si="123"/>
        <v/>
      </c>
      <c r="CE220" s="280" t="str">
        <f t="shared" si="167"/>
        <v>-</v>
      </c>
      <c r="CF220" s="71" t="str">
        <f t="shared" ca="1" si="168"/>
        <v>-</v>
      </c>
      <c r="CG220" s="33" t="str">
        <f t="shared" si="126"/>
        <v>120-121</v>
      </c>
      <c r="CH220" s="261" t="str">
        <f t="shared" ca="1" si="127"/>
        <v/>
      </c>
    </row>
    <row r="221" spans="2:86" ht="13.5" customHeight="1" x14ac:dyDescent="0.2">
      <c r="B221" s="262">
        <v>121</v>
      </c>
      <c r="C221" s="237" t="str">
        <f t="shared" si="91"/>
        <v/>
      </c>
      <c r="D221" s="237" t="str">
        <f t="shared" si="147"/>
        <v>-</v>
      </c>
      <c r="E221" s="263" t="str">
        <f t="shared" si="128"/>
        <v/>
      </c>
      <c r="F221" s="264" t="str">
        <f t="shared" si="129"/>
        <v/>
      </c>
      <c r="G221" s="264" t="str">
        <f t="shared" si="130"/>
        <v/>
      </c>
      <c r="H221" s="240" t="str">
        <f t="shared" si="149"/>
        <v/>
      </c>
      <c r="I221" s="265" t="str">
        <f t="shared" si="150"/>
        <v/>
      </c>
      <c r="J221" s="265" t="str">
        <f t="shared" si="151"/>
        <v/>
      </c>
      <c r="K221" s="240" t="str">
        <f t="shared" si="152"/>
        <v/>
      </c>
      <c r="L221" s="265" t="str">
        <f t="shared" si="153"/>
        <v/>
      </c>
      <c r="M221" s="265" t="str">
        <f t="shared" si="154"/>
        <v/>
      </c>
      <c r="N221" s="240" t="str">
        <f t="shared" si="155"/>
        <v>-</v>
      </c>
      <c r="O221" s="265" t="str">
        <f t="shared" si="156"/>
        <v>-</v>
      </c>
      <c r="P221" s="265" t="str">
        <f t="shared" si="157"/>
        <v>-</v>
      </c>
      <c r="Q221" s="266" t="str">
        <f t="shared" si="158"/>
        <v>-</v>
      </c>
      <c r="R221" s="267" t="str">
        <f t="shared" si="159"/>
        <v>-</v>
      </c>
      <c r="S221" s="268" t="str">
        <f t="shared" si="160"/>
        <v>-</v>
      </c>
      <c r="T221" s="269" t="str">
        <f t="shared" si="104"/>
        <v/>
      </c>
      <c r="U221" s="221">
        <f t="shared" si="105"/>
        <v>121</v>
      </c>
      <c r="V221" s="220" t="str">
        <f t="shared" si="131"/>
        <v>-</v>
      </c>
      <c r="W221" s="221" t="str">
        <f t="shared" si="132"/>
        <v>-</v>
      </c>
      <c r="X221" s="221" t="str">
        <f t="shared" si="106"/>
        <v>-</v>
      </c>
      <c r="Y221" s="221" t="str">
        <f t="shared" si="107"/>
        <v>-</v>
      </c>
      <c r="Z221" s="270">
        <f t="shared" si="133"/>
        <v>0.1</v>
      </c>
      <c r="AA221" s="271" t="str">
        <f>IFERROR(IF(V220=1,AA$100*EXP(-(LN(2)/$D$65+0.04)*X220)*EXP(-(LN(2)/$D$65+0.1)*Y220),IF(V220=2,AA$100*EXP(-(LN(2)/$D$65+0.04)*(VLOOKUP(($F$16-$F$15)-1,U$99:Y220,4,FALSE)))*EXP(-(LN(2)/$D$65+0.1)*(VLOOKUP(($F$16-$F$15)-1,U$99:Y220,5,FALSE)))*EXP(-(LN(2)/$D$65+0.04)*X220)*EXP(-(LN(2)/$D$65+0.1)*Y220),IF(V220=3,AA$100*EXP(-(LN(2)/$D$65+0.04)*(VLOOKUP(($F$16-$F$15)-1,U$99:Y220,4,FALSE)))*EXP(-(LN(2)/$D$65+0.1)*(VLOOKUP(($F$16-$F$15)-1,U$99:Y220,5,FALSE)))*EXP(-(LN(2)/$D$65+0.04)*(VLOOKUP(($F$16-$F$15)*2-1,U$99:Y220,4,FALSE)))*EXP(-(LN(2)/$D$65+0.1)*(VLOOKUP(($F$16-$F$15)*2-1,U$99:Y220,5,FALSE)))*EXP(-(LN(2)/$D$65+0.04)*X220)*EXP(-(LN(2)/$D$65+0.1)*Y220),"-"))),"-")</f>
        <v>-</v>
      </c>
      <c r="AB221" s="271" t="str">
        <f>IFERROR(IF(V221=1,AB$100*EXP(-(LN(2)/$D$65+0.04)*X221)*EXP(-(LN(2)/$D$65+0.1)*Y221),IF(V221=2,AB$100*EXP(-(LN(2)/$D$65+0.04)*(VLOOKUP(($F$16-$F$15)-1,U$100:Y221,4,FALSE)))*EXP(-(LN(2)/$D$65+0.1)*(VLOOKUP(($F$16-$F$15)-1,U$100:Y221,5,FALSE)))*EXP(-(LN(2)/$D$65+0.04)*X221)*EXP(-(LN(2)/$D$65+0.1)*Y221),IF(V221=3,AB$100*EXP(-(LN(2)/$D$65+0.04)*(VLOOKUP(($F$16-$F$15)-1,U$100:Y221,4,FALSE)))*EXP(-(LN(2)/$D$65+0.1)*(VLOOKUP(($F$16-$F$15)-1,U$100:Y221,5,FALSE)))*EXP(-(LN(2)/$D$65+0.04)*(VLOOKUP(($F$16-$F$15)*2-1,U$100:Y221,4,FALSE)))*EXP(-(LN(2)/$D$65+0.1)*(VLOOKUP(($F$16-$F$15)*2-1,U$100:Y221,5,FALSE)))*EXP(-(LN(2)/$D$65+0.04)*X221)*EXP(-(LN(2)/$D$65+0.1)*Y221),"-"))),"-")</f>
        <v>-</v>
      </c>
      <c r="AC221" s="224">
        <f t="shared" si="134"/>
        <v>121</v>
      </c>
      <c r="AD221" s="223" t="str">
        <f t="shared" si="108"/>
        <v>-</v>
      </c>
      <c r="AE221" s="224" t="str">
        <f t="shared" si="135"/>
        <v>-</v>
      </c>
      <c r="AF221" s="224" t="str">
        <f t="shared" si="109"/>
        <v>-</v>
      </c>
      <c r="AG221" s="224" t="str">
        <f t="shared" si="110"/>
        <v>-</v>
      </c>
      <c r="AH221" s="272">
        <f t="shared" si="136"/>
        <v>0.1</v>
      </c>
      <c r="AI221" s="271" t="str">
        <f>IFERROR(IF(AD220=1,AI$100*EXP(-(LN(2)/$D$65+0.04)*AF220)*EXP(-(LN(2)/$D$65+0.1)*AG220),IF(AD220=2,AI$100*EXP(-(LN(2)/$D$65+0.04)*(VLOOKUP(($F$16-$F$15)-1,AC$99:AG220,4,FALSE)))*EXP(-(LN(2)/$D$65+0.1)*(VLOOKUP(($F$16-$F$15)-1,AC$99:AG220,5,FALSE)))*EXP(-(LN(2)/$D$65+0.04)*AF220)*EXP(-(LN(2)/$D$65+0.1)*AG220),IF(AD220=3,AI$100*EXP(-(LN(2)/$D$65+0.04)*(VLOOKUP(($F$16-$F$15)-1,AC$99:AG220,4,FALSE)))*EXP(-(LN(2)/$D$65+0.1)*(VLOOKUP(($F$16-$F$15)-1,AC$99:AG220,5,FALSE)))*EXP(-(LN(2)/$D$65+0.04)*(VLOOKUP(($F$16-$F$15)*2-1,AC$99:AG220,4,FALSE)))*EXP(-(LN(2)/$D$65+0.1)*(VLOOKUP(($F$16-$F$15)*2-1,AC$99:AG220,5,FALSE)))*EXP(-(LN(2)/$D$65+0.04)*AF220)*EXP(-(LN(2)/$D$65+0.1)*AG220),"-"))),"-")</f>
        <v>-</v>
      </c>
      <c r="AJ221" s="271" t="str">
        <f>IFERROR(IF(AD221=1,AJ$100*EXP(-(LN(2)/$D$65+0.04)*AF221)*EXP(-(LN(2)/$D$65+0.1)*AG221),IF(AD221=2,AJ$100*EXP(-(LN(2)/$D$65+0.04)*(VLOOKUP(($F$16-$F$15)-1,AC$100:AG221,4,FALSE)))*EXP(-(LN(2)/$D$65+0.1)*(VLOOKUP(($F$16-$F$15)-1,AC$100:AG221,5,FALSE)))*EXP(-(LN(2)/$D$65+0.04)*AF221)*EXP(-(LN(2)/$D$65+0.1)*AG221),IF(AD221=3,AJ$100*EXP(-(LN(2)/$D$65+0.04)*(VLOOKUP(($F$16-$F$15)-1,AC$100:AG221,4,FALSE)))*EXP(-(LN(2)/$D$65+0.1)*(VLOOKUP(($F$16-$F$15)-1,AC$100:AG221,5,FALSE)))*EXP(-(LN(2)/$D$65+0.04)*(VLOOKUP(($F$16-$F$15)*2-1,AC$100:AG221,4,FALSE)))*EXP(-(LN(2)/$D$65+0.1)*(VLOOKUP(($F$16-$F$15)*2-1,AC$100:AG221,5,FALSE)))*EXP(-(LN(2)/$D$65+0.04)*AF221)*EXP(-(LN(2)/$D$65+0.1)*AG221),"-"))),"-")</f>
        <v>-</v>
      </c>
      <c r="AK221" s="227">
        <f t="shared" si="137"/>
        <v>121</v>
      </c>
      <c r="AL221" s="226" t="str">
        <f t="shared" si="111"/>
        <v>-</v>
      </c>
      <c r="AM221" s="227" t="str">
        <f t="shared" si="138"/>
        <v>-</v>
      </c>
      <c r="AN221" s="227" t="str">
        <f t="shared" si="139"/>
        <v>-</v>
      </c>
      <c r="AO221" s="227" t="str">
        <f t="shared" si="112"/>
        <v>-</v>
      </c>
      <c r="AP221" s="273">
        <f t="shared" si="140"/>
        <v>0.1</v>
      </c>
      <c r="AQ221" s="271" t="str">
        <f>IFERROR(IF(AL220=1,AQ$100*EXP(-(LN(2)/$D$65+0.04)*AN220)*EXP(-(LN(2)/$D$65+0.1)*AO220),IF(AL220=2,AQ$100*EXP(-(LN(2)/$D$65+0.04)*(VLOOKUP(($F$16-$F$15)-1,AK$99:AO220,4,FALSE)))*EXP(-(LN(2)/$D$65+0.1)*(VLOOKUP(($F$16-$F$15)-1,AK$99:AO220,5,FALSE)))*EXP(-(LN(2)/$D$65+0.04)*AN220)*EXP(-(LN(2)/$D$65+0.1)*AO220),IF(AL220=3,AQ$100*EXP(-(LN(2)/$D$65+0.04)*(VLOOKUP(($F$16-$F$15)-1,AK$99:AO220,4,FALSE)))*EXP(-(LN(2)/$D$65+0.1)*(VLOOKUP(($F$16-$F$15)-1,AK$99:AO220,5,FALSE)))*EXP(-(LN(2)/$D$65+0.04)*(VLOOKUP(($F$16-$F$15)*2-1,AK$99:AO220,4,FALSE)))*EXP(-(LN(2)/$D$65+0.1)*(VLOOKUP(($F$16-$F$15)*2-1,AK$99:AO220,5,FALSE)))*EXP(-(LN(2)/$D$65+0.04)*AN220)*EXP(-(LN(2)/$D$65+0.1)*AO220),"-"))),"-")</f>
        <v>-</v>
      </c>
      <c r="AR221" s="271" t="str">
        <f>IFERROR(IF(AL221=1,AR$100*EXP(-(LN(2)/$D$65+0.04)*AN221)*EXP(-(LN(2)/$D$65+0.1)*AO221),IF(AL221=2,AR$100*EXP(-(LN(2)/$D$65+0.04)*(VLOOKUP(($F$16-$F$15)-1,AK$100:AO221,4,FALSE)))*EXP(-(LN(2)/$D$65+0.1)*(VLOOKUP(($F$16-$F$15)-1,AK$100:AO221,5,FALSE)))*EXP(-(LN(2)/$D$65+0.04)*AN221)*EXP(-(LN(2)/$D$65+0.1)*AO221),IF(AL221=3,AR$100*EXP(-(LN(2)/$D$65+0.04)*(VLOOKUP(($F$16-$F$15)-1,AK$100:AO221,4,FALSE)))*EXP(-(LN(2)/$D$65+0.1)*(VLOOKUP(($F$16-$F$15)-1,AK$100:AO221,5,FALSE)))*EXP(-(LN(2)/$D$65+0.04)*(VLOOKUP(($F$16-$F$15)*2-1,AK$100:AO221,4,FALSE)))*EXP(-(LN(2)/$D$65+0.1)*(VLOOKUP(($F$16-$F$15)*2-1,AK$100:AO221,5,FALSE)))*EXP(-(LN(2)/$D$65+0.04)*AN221)*EXP(-(LN(2)/$D$65+0.1)*AO221),"-"))),"-")</f>
        <v>-</v>
      </c>
      <c r="AS221" s="274">
        <f t="shared" si="113"/>
        <v>0</v>
      </c>
      <c r="AT221" s="274">
        <f t="shared" si="114"/>
        <v>0</v>
      </c>
      <c r="AU221" s="274">
        <f t="shared" si="115"/>
        <v>0</v>
      </c>
      <c r="AV221" s="190">
        <f>IF($B221&lt;$F$22,SUM($T$100:$T221),"")</f>
        <v>0</v>
      </c>
      <c r="AW221" s="190" t="str">
        <f t="shared" si="161"/>
        <v>-</v>
      </c>
      <c r="AX221" s="190" t="str">
        <f t="shared" si="141"/>
        <v/>
      </c>
      <c r="AY221"/>
      <c r="AZ221" s="190" t="str">
        <f ca="1">IF(ISNUMBER(OFFSET(AV221,-$F$21,0)),SUM(OFFSET($T$100,$F$21,0):$T221),"")</f>
        <v/>
      </c>
      <c r="BA221" s="190" t="str">
        <f t="shared" ca="1" si="162"/>
        <v/>
      </c>
      <c r="BB221" s="190" t="str">
        <f t="shared" ca="1" si="148"/>
        <v/>
      </c>
      <c r="BC221" s="190"/>
      <c r="BD221" s="190" t="str">
        <f ca="1">IFERROR(IF(AND($B221&gt;=($F$16-$F$15),$B221&lt;$F$22+($F$16-$F$15)),SUM(OFFSET($T$100,($F$16-$F$15),0):$T221),""),"")</f>
        <v/>
      </c>
      <c r="BE221" s="190" t="str">
        <f t="shared" ca="1" si="142"/>
        <v/>
      </c>
      <c r="BF221" s="190" t="str">
        <f t="shared" ca="1" si="143"/>
        <v/>
      </c>
      <c r="BG221"/>
      <c r="BH221" s="190" t="str">
        <f ca="1">IF(ISNUMBER(OFFSET(BD221,-$F$21,0)),SUM(OFFSET($T$100,($F$16-$F$15+$F$21),0):$T221),"")</f>
        <v/>
      </c>
      <c r="BI221" s="190" t="str">
        <f t="shared" ca="1" si="163"/>
        <v/>
      </c>
      <c r="BJ221" s="190" t="str">
        <f t="shared" ca="1" si="144"/>
        <v/>
      </c>
      <c r="BK221" s="190"/>
      <c r="BL221" s="190" t="str">
        <f ca="1">IFERROR(IF(AND($B221&gt;=($F$17-$F$15),$B221&lt;$F$22+($F$17-$F$15)),SUM(OFFSET($T$100,($F$17-$F$15),0):$T221),""),"")</f>
        <v/>
      </c>
      <c r="BM221" s="190" t="str">
        <f t="shared" ca="1" si="164"/>
        <v/>
      </c>
      <c r="BN221" s="190" t="str">
        <f t="shared" ca="1" si="145"/>
        <v/>
      </c>
      <c r="BO221"/>
      <c r="BP221" s="190" t="str">
        <f ca="1">IF(ISNUMBER(OFFSET(BL221,-$F$21,0)),SUM(OFFSET($T$100,($F$17-$F$15+$F$21),0):$T221),"")</f>
        <v/>
      </c>
      <c r="BQ221" s="190" t="str">
        <f t="shared" ca="1" si="165"/>
        <v/>
      </c>
      <c r="BR221" s="190" t="str">
        <f t="shared" ca="1" si="146"/>
        <v/>
      </c>
      <c r="BS221" s="190"/>
      <c r="BT221"/>
      <c r="BU221"/>
      <c r="BV221"/>
      <c r="BY221" s="99"/>
      <c r="BZ221" s="99"/>
      <c r="CA221" s="280" t="str">
        <f t="shared" si="166"/>
        <v/>
      </c>
      <c r="CB221" s="71" t="str">
        <f t="shared" si="122"/>
        <v>-</v>
      </c>
      <c r="CC221" s="33"/>
      <c r="CD221" s="261" t="str">
        <f t="shared" si="123"/>
        <v/>
      </c>
      <c r="CE221" s="280" t="str">
        <f t="shared" si="167"/>
        <v>-</v>
      </c>
      <c r="CF221" s="71" t="str">
        <f t="shared" ca="1" si="168"/>
        <v>-</v>
      </c>
      <c r="CG221" s="33" t="str">
        <f t="shared" si="126"/>
        <v>121-122</v>
      </c>
      <c r="CH221" s="261" t="str">
        <f t="shared" ca="1" si="127"/>
        <v/>
      </c>
    </row>
    <row r="222" spans="2:86" ht="13.5" customHeight="1" x14ac:dyDescent="0.2">
      <c r="B222" s="262">
        <v>122</v>
      </c>
      <c r="C222" s="237" t="str">
        <f t="shared" si="91"/>
        <v/>
      </c>
      <c r="D222" s="237" t="str">
        <f t="shared" si="147"/>
        <v>-</v>
      </c>
      <c r="E222" s="263" t="str">
        <f t="shared" si="128"/>
        <v/>
      </c>
      <c r="F222" s="264" t="str">
        <f t="shared" si="129"/>
        <v/>
      </c>
      <c r="G222" s="264" t="str">
        <f t="shared" si="130"/>
        <v/>
      </c>
      <c r="H222" s="240" t="str">
        <f t="shared" si="149"/>
        <v/>
      </c>
      <c r="I222" s="265" t="str">
        <f t="shared" si="150"/>
        <v/>
      </c>
      <c r="J222" s="265" t="str">
        <f t="shared" si="151"/>
        <v/>
      </c>
      <c r="K222" s="240" t="str">
        <f t="shared" si="152"/>
        <v/>
      </c>
      <c r="L222" s="265" t="str">
        <f t="shared" si="153"/>
        <v/>
      </c>
      <c r="M222" s="265" t="str">
        <f t="shared" si="154"/>
        <v/>
      </c>
      <c r="N222" s="240" t="str">
        <f t="shared" si="155"/>
        <v>-</v>
      </c>
      <c r="O222" s="265" t="str">
        <f t="shared" si="156"/>
        <v>-</v>
      </c>
      <c r="P222" s="265" t="str">
        <f t="shared" si="157"/>
        <v>-</v>
      </c>
      <c r="Q222" s="266" t="str">
        <f t="shared" si="158"/>
        <v>-</v>
      </c>
      <c r="R222" s="267" t="str">
        <f t="shared" si="159"/>
        <v>-</v>
      </c>
      <c r="S222" s="268" t="str">
        <f t="shared" si="160"/>
        <v>-</v>
      </c>
      <c r="T222" s="269" t="str">
        <f t="shared" si="104"/>
        <v/>
      </c>
      <c r="U222" s="221">
        <f t="shared" si="105"/>
        <v>122</v>
      </c>
      <c r="V222" s="220" t="str">
        <f t="shared" si="131"/>
        <v>-</v>
      </c>
      <c r="W222" s="221" t="str">
        <f t="shared" si="132"/>
        <v>-</v>
      </c>
      <c r="X222" s="221" t="str">
        <f t="shared" si="106"/>
        <v>-</v>
      </c>
      <c r="Y222" s="221" t="str">
        <f t="shared" si="107"/>
        <v>-</v>
      </c>
      <c r="Z222" s="270">
        <f t="shared" si="133"/>
        <v>0.1</v>
      </c>
      <c r="AA222" s="271" t="str">
        <f>IFERROR(IF(V221=1,AA$100*EXP(-(LN(2)/$D$65+0.04)*X221)*EXP(-(LN(2)/$D$65+0.1)*Y221),IF(V221=2,AA$100*EXP(-(LN(2)/$D$65+0.04)*(VLOOKUP(($F$16-$F$15)-1,U$99:Y221,4,FALSE)))*EXP(-(LN(2)/$D$65+0.1)*(VLOOKUP(($F$16-$F$15)-1,U$99:Y221,5,FALSE)))*EXP(-(LN(2)/$D$65+0.04)*X221)*EXP(-(LN(2)/$D$65+0.1)*Y221),IF(V221=3,AA$100*EXP(-(LN(2)/$D$65+0.04)*(VLOOKUP(($F$16-$F$15)-1,U$99:Y221,4,FALSE)))*EXP(-(LN(2)/$D$65+0.1)*(VLOOKUP(($F$16-$F$15)-1,U$99:Y221,5,FALSE)))*EXP(-(LN(2)/$D$65+0.04)*(VLOOKUP(($F$16-$F$15)*2-1,U$99:Y221,4,FALSE)))*EXP(-(LN(2)/$D$65+0.1)*(VLOOKUP(($F$16-$F$15)*2-1,U$99:Y221,5,FALSE)))*EXP(-(LN(2)/$D$65+0.04)*X221)*EXP(-(LN(2)/$D$65+0.1)*Y221),"-"))),"-")</f>
        <v>-</v>
      </c>
      <c r="AB222" s="271" t="str">
        <f>IFERROR(IF(V222=1,AB$100*EXP(-(LN(2)/$D$65+0.04)*X222)*EXP(-(LN(2)/$D$65+0.1)*Y222),IF(V222=2,AB$100*EXP(-(LN(2)/$D$65+0.04)*(VLOOKUP(($F$16-$F$15)-1,U$100:Y222,4,FALSE)))*EXP(-(LN(2)/$D$65+0.1)*(VLOOKUP(($F$16-$F$15)-1,U$100:Y222,5,FALSE)))*EXP(-(LN(2)/$D$65+0.04)*X222)*EXP(-(LN(2)/$D$65+0.1)*Y222),IF(V222=3,AB$100*EXP(-(LN(2)/$D$65+0.04)*(VLOOKUP(($F$16-$F$15)-1,U$100:Y222,4,FALSE)))*EXP(-(LN(2)/$D$65+0.1)*(VLOOKUP(($F$16-$F$15)-1,U$100:Y222,5,FALSE)))*EXP(-(LN(2)/$D$65+0.04)*(VLOOKUP(($F$16-$F$15)*2-1,U$100:Y222,4,FALSE)))*EXP(-(LN(2)/$D$65+0.1)*(VLOOKUP(($F$16-$F$15)*2-1,U$100:Y222,5,FALSE)))*EXP(-(LN(2)/$D$65+0.04)*X222)*EXP(-(LN(2)/$D$65+0.1)*Y222),"-"))),"-")</f>
        <v>-</v>
      </c>
      <c r="AC222" s="224">
        <f t="shared" si="134"/>
        <v>122</v>
      </c>
      <c r="AD222" s="223" t="str">
        <f t="shared" si="108"/>
        <v>-</v>
      </c>
      <c r="AE222" s="224" t="str">
        <f t="shared" si="135"/>
        <v>-</v>
      </c>
      <c r="AF222" s="224" t="str">
        <f t="shared" si="109"/>
        <v>-</v>
      </c>
      <c r="AG222" s="224" t="str">
        <f t="shared" si="110"/>
        <v>-</v>
      </c>
      <c r="AH222" s="272">
        <f t="shared" si="136"/>
        <v>0.1</v>
      </c>
      <c r="AI222" s="271" t="str">
        <f>IFERROR(IF(AD221=1,AI$100*EXP(-(LN(2)/$D$65+0.04)*AF221)*EXP(-(LN(2)/$D$65+0.1)*AG221),IF(AD221=2,AI$100*EXP(-(LN(2)/$D$65+0.04)*(VLOOKUP(($F$16-$F$15)-1,AC$99:AG221,4,FALSE)))*EXP(-(LN(2)/$D$65+0.1)*(VLOOKUP(($F$16-$F$15)-1,AC$99:AG221,5,FALSE)))*EXP(-(LN(2)/$D$65+0.04)*AF221)*EXP(-(LN(2)/$D$65+0.1)*AG221),IF(AD221=3,AI$100*EXP(-(LN(2)/$D$65+0.04)*(VLOOKUP(($F$16-$F$15)-1,AC$99:AG221,4,FALSE)))*EXP(-(LN(2)/$D$65+0.1)*(VLOOKUP(($F$16-$F$15)-1,AC$99:AG221,5,FALSE)))*EXP(-(LN(2)/$D$65+0.04)*(VLOOKUP(($F$16-$F$15)*2-1,AC$99:AG221,4,FALSE)))*EXP(-(LN(2)/$D$65+0.1)*(VLOOKUP(($F$16-$F$15)*2-1,AC$99:AG221,5,FALSE)))*EXP(-(LN(2)/$D$65+0.04)*AF221)*EXP(-(LN(2)/$D$65+0.1)*AG221),"-"))),"-")</f>
        <v>-</v>
      </c>
      <c r="AJ222" s="271" t="str">
        <f>IFERROR(IF(AD222=1,AJ$100*EXP(-(LN(2)/$D$65+0.04)*AF222)*EXP(-(LN(2)/$D$65+0.1)*AG222),IF(AD222=2,AJ$100*EXP(-(LN(2)/$D$65+0.04)*(VLOOKUP(($F$16-$F$15)-1,AC$100:AG222,4,FALSE)))*EXP(-(LN(2)/$D$65+0.1)*(VLOOKUP(($F$16-$F$15)-1,AC$100:AG222,5,FALSE)))*EXP(-(LN(2)/$D$65+0.04)*AF222)*EXP(-(LN(2)/$D$65+0.1)*AG222),IF(AD222=3,AJ$100*EXP(-(LN(2)/$D$65+0.04)*(VLOOKUP(($F$16-$F$15)-1,AC$100:AG222,4,FALSE)))*EXP(-(LN(2)/$D$65+0.1)*(VLOOKUP(($F$16-$F$15)-1,AC$100:AG222,5,FALSE)))*EXP(-(LN(2)/$D$65+0.04)*(VLOOKUP(($F$16-$F$15)*2-1,AC$100:AG222,4,FALSE)))*EXP(-(LN(2)/$D$65+0.1)*(VLOOKUP(($F$16-$F$15)*2-1,AC$100:AG222,5,FALSE)))*EXP(-(LN(2)/$D$65+0.04)*AF222)*EXP(-(LN(2)/$D$65+0.1)*AG222),"-"))),"-")</f>
        <v>-</v>
      </c>
      <c r="AK222" s="227">
        <f t="shared" si="137"/>
        <v>122</v>
      </c>
      <c r="AL222" s="226" t="str">
        <f t="shared" si="111"/>
        <v>-</v>
      </c>
      <c r="AM222" s="227" t="str">
        <f t="shared" si="138"/>
        <v>-</v>
      </c>
      <c r="AN222" s="227" t="str">
        <f t="shared" si="139"/>
        <v>-</v>
      </c>
      <c r="AO222" s="227" t="str">
        <f t="shared" si="112"/>
        <v>-</v>
      </c>
      <c r="AP222" s="273">
        <f t="shared" si="140"/>
        <v>0.1</v>
      </c>
      <c r="AQ222" s="271" t="str">
        <f>IFERROR(IF(AL221=1,AQ$100*EXP(-(LN(2)/$D$65+0.04)*AN221)*EXP(-(LN(2)/$D$65+0.1)*AO221),IF(AL221=2,AQ$100*EXP(-(LN(2)/$D$65+0.04)*(VLOOKUP(($F$16-$F$15)-1,AK$99:AO221,4,FALSE)))*EXP(-(LN(2)/$D$65+0.1)*(VLOOKUP(($F$16-$F$15)-1,AK$99:AO221,5,FALSE)))*EXP(-(LN(2)/$D$65+0.04)*AN221)*EXP(-(LN(2)/$D$65+0.1)*AO221),IF(AL221=3,AQ$100*EXP(-(LN(2)/$D$65+0.04)*(VLOOKUP(($F$16-$F$15)-1,AK$99:AO221,4,FALSE)))*EXP(-(LN(2)/$D$65+0.1)*(VLOOKUP(($F$16-$F$15)-1,AK$99:AO221,5,FALSE)))*EXP(-(LN(2)/$D$65+0.04)*(VLOOKUP(($F$16-$F$15)*2-1,AK$99:AO221,4,FALSE)))*EXP(-(LN(2)/$D$65+0.1)*(VLOOKUP(($F$16-$F$15)*2-1,AK$99:AO221,5,FALSE)))*EXP(-(LN(2)/$D$65+0.04)*AN221)*EXP(-(LN(2)/$D$65+0.1)*AO221),"-"))),"-")</f>
        <v>-</v>
      </c>
      <c r="AR222" s="271" t="str">
        <f>IFERROR(IF(AL222=1,AR$100*EXP(-(LN(2)/$D$65+0.04)*AN222)*EXP(-(LN(2)/$D$65+0.1)*AO222),IF(AL222=2,AR$100*EXP(-(LN(2)/$D$65+0.04)*(VLOOKUP(($F$16-$F$15)-1,AK$100:AO222,4,FALSE)))*EXP(-(LN(2)/$D$65+0.1)*(VLOOKUP(($F$16-$F$15)-1,AK$100:AO222,5,FALSE)))*EXP(-(LN(2)/$D$65+0.04)*AN222)*EXP(-(LN(2)/$D$65+0.1)*AO222),IF(AL222=3,AR$100*EXP(-(LN(2)/$D$65+0.04)*(VLOOKUP(($F$16-$F$15)-1,AK$100:AO222,4,FALSE)))*EXP(-(LN(2)/$D$65+0.1)*(VLOOKUP(($F$16-$F$15)-1,AK$100:AO222,5,FALSE)))*EXP(-(LN(2)/$D$65+0.04)*(VLOOKUP(($F$16-$F$15)*2-1,AK$100:AO222,4,FALSE)))*EXP(-(LN(2)/$D$65+0.1)*(VLOOKUP(($F$16-$F$15)*2-1,AK$100:AO222,5,FALSE)))*EXP(-(LN(2)/$D$65+0.04)*AN222)*EXP(-(LN(2)/$D$65+0.1)*AO222),"-"))),"-")</f>
        <v>-</v>
      </c>
      <c r="AS222" s="274">
        <f t="shared" si="113"/>
        <v>0</v>
      </c>
      <c r="AT222" s="274">
        <f t="shared" si="114"/>
        <v>0</v>
      </c>
      <c r="AU222" s="274">
        <f t="shared" si="115"/>
        <v>0</v>
      </c>
      <c r="AV222" s="190">
        <f>IF($B222&lt;$F$22,SUM($T$100:$T222),"")</f>
        <v>0</v>
      </c>
      <c r="AW222" s="190" t="str">
        <f t="shared" si="161"/>
        <v>-</v>
      </c>
      <c r="AX222" s="190" t="str">
        <f t="shared" si="141"/>
        <v/>
      </c>
      <c r="AY222"/>
      <c r="AZ222" s="190" t="str">
        <f ca="1">IF(ISNUMBER(OFFSET(AV222,-$F$21,0)),SUM(OFFSET($T$100,$F$21,0):$T222),"")</f>
        <v/>
      </c>
      <c r="BA222" s="190" t="str">
        <f t="shared" ca="1" si="162"/>
        <v/>
      </c>
      <c r="BB222" s="190" t="str">
        <f t="shared" ca="1" si="148"/>
        <v/>
      </c>
      <c r="BC222" s="190"/>
      <c r="BD222" s="190" t="str">
        <f ca="1">IFERROR(IF(AND($B222&gt;=($F$16-$F$15),$B222&lt;$F$22+($F$16-$F$15)),SUM(OFFSET($T$100,($F$16-$F$15),0):$T222),""),"")</f>
        <v/>
      </c>
      <c r="BE222" s="190" t="str">
        <f t="shared" ca="1" si="142"/>
        <v/>
      </c>
      <c r="BF222" s="190" t="str">
        <f t="shared" ca="1" si="143"/>
        <v/>
      </c>
      <c r="BG222"/>
      <c r="BH222" s="190" t="str">
        <f ca="1">IF(ISNUMBER(OFFSET(BD222,-$F$21,0)),SUM(OFFSET($T$100,($F$16-$F$15+$F$21),0):$T222),"")</f>
        <v/>
      </c>
      <c r="BI222" s="190" t="str">
        <f t="shared" ca="1" si="163"/>
        <v/>
      </c>
      <c r="BJ222" s="190" t="str">
        <f t="shared" ca="1" si="144"/>
        <v/>
      </c>
      <c r="BK222" s="190"/>
      <c r="BL222" s="190" t="str">
        <f ca="1">IFERROR(IF(AND($B222&gt;=($F$17-$F$15),$B222&lt;$F$22+($F$17-$F$15)),SUM(OFFSET($T$100,($F$17-$F$15),0):$T222),""),"")</f>
        <v/>
      </c>
      <c r="BM222" s="190" t="str">
        <f t="shared" ca="1" si="164"/>
        <v/>
      </c>
      <c r="BN222" s="190" t="str">
        <f t="shared" ca="1" si="145"/>
        <v/>
      </c>
      <c r="BO222"/>
      <c r="BP222" s="190" t="str">
        <f ca="1">IF(ISNUMBER(OFFSET(BL222,-$F$21,0)),SUM(OFFSET($T$100,($F$17-$F$15+$F$21),0):$T222),"")</f>
        <v/>
      </c>
      <c r="BQ222" s="190" t="str">
        <f t="shared" ca="1" si="165"/>
        <v/>
      </c>
      <c r="BR222" s="190" t="str">
        <f t="shared" ca="1" si="146"/>
        <v/>
      </c>
      <c r="BS222" s="190"/>
      <c r="BT222"/>
      <c r="BU222"/>
      <c r="BV222"/>
      <c r="BY222" s="99"/>
      <c r="BZ222" s="99"/>
      <c r="CA222" s="280" t="str">
        <f t="shared" si="166"/>
        <v/>
      </c>
      <c r="CB222" s="71" t="str">
        <f t="shared" si="122"/>
        <v>-</v>
      </c>
      <c r="CC222" s="33"/>
      <c r="CD222" s="261" t="str">
        <f t="shared" si="123"/>
        <v/>
      </c>
      <c r="CE222" s="280" t="str">
        <f t="shared" si="167"/>
        <v>-</v>
      </c>
      <c r="CF222" s="71" t="str">
        <f t="shared" ca="1" si="168"/>
        <v>-</v>
      </c>
      <c r="CG222" s="33" t="str">
        <f t="shared" si="126"/>
        <v>122-123</v>
      </c>
      <c r="CH222" s="261" t="str">
        <f t="shared" ca="1" si="127"/>
        <v/>
      </c>
    </row>
    <row r="223" spans="2:86" ht="13.5" customHeight="1" x14ac:dyDescent="0.2">
      <c r="B223" s="262">
        <v>123</v>
      </c>
      <c r="C223" s="237" t="str">
        <f t="shared" si="91"/>
        <v/>
      </c>
      <c r="D223" s="237" t="str">
        <f t="shared" si="147"/>
        <v>-</v>
      </c>
      <c r="E223" s="263" t="str">
        <f t="shared" si="128"/>
        <v/>
      </c>
      <c r="F223" s="264" t="str">
        <f t="shared" si="129"/>
        <v/>
      </c>
      <c r="G223" s="264" t="str">
        <f t="shared" si="130"/>
        <v/>
      </c>
      <c r="H223" s="240" t="str">
        <f t="shared" si="149"/>
        <v/>
      </c>
      <c r="I223" s="265" t="str">
        <f t="shared" si="150"/>
        <v/>
      </c>
      <c r="J223" s="265" t="str">
        <f t="shared" si="151"/>
        <v/>
      </c>
      <c r="K223" s="240" t="str">
        <f t="shared" si="152"/>
        <v/>
      </c>
      <c r="L223" s="265" t="str">
        <f t="shared" si="153"/>
        <v/>
      </c>
      <c r="M223" s="265" t="str">
        <f t="shared" si="154"/>
        <v/>
      </c>
      <c r="N223" s="240" t="str">
        <f t="shared" si="155"/>
        <v>-</v>
      </c>
      <c r="O223" s="265" t="str">
        <f t="shared" si="156"/>
        <v>-</v>
      </c>
      <c r="P223" s="265" t="str">
        <f t="shared" si="157"/>
        <v>-</v>
      </c>
      <c r="Q223" s="266" t="str">
        <f t="shared" si="158"/>
        <v>-</v>
      </c>
      <c r="R223" s="267" t="str">
        <f t="shared" si="159"/>
        <v>-</v>
      </c>
      <c r="S223" s="268" t="str">
        <f t="shared" si="160"/>
        <v>-</v>
      </c>
      <c r="T223" s="269" t="str">
        <f t="shared" si="104"/>
        <v/>
      </c>
      <c r="U223" s="221">
        <f t="shared" si="105"/>
        <v>123</v>
      </c>
      <c r="V223" s="220" t="str">
        <f t="shared" si="131"/>
        <v>-</v>
      </c>
      <c r="W223" s="221" t="str">
        <f t="shared" si="132"/>
        <v>-</v>
      </c>
      <c r="X223" s="221" t="str">
        <f t="shared" si="106"/>
        <v>-</v>
      </c>
      <c r="Y223" s="221" t="str">
        <f t="shared" si="107"/>
        <v>-</v>
      </c>
      <c r="Z223" s="270">
        <f t="shared" si="133"/>
        <v>0.1</v>
      </c>
      <c r="AA223" s="271" t="str">
        <f>IFERROR(IF(V222=1,AA$100*EXP(-(LN(2)/$D$65+0.04)*X222)*EXP(-(LN(2)/$D$65+0.1)*Y222),IF(V222=2,AA$100*EXP(-(LN(2)/$D$65+0.04)*(VLOOKUP(($F$16-$F$15)-1,U$99:Y222,4,FALSE)))*EXP(-(LN(2)/$D$65+0.1)*(VLOOKUP(($F$16-$F$15)-1,U$99:Y222,5,FALSE)))*EXP(-(LN(2)/$D$65+0.04)*X222)*EXP(-(LN(2)/$D$65+0.1)*Y222),IF(V222=3,AA$100*EXP(-(LN(2)/$D$65+0.04)*(VLOOKUP(($F$16-$F$15)-1,U$99:Y222,4,FALSE)))*EXP(-(LN(2)/$D$65+0.1)*(VLOOKUP(($F$16-$F$15)-1,U$99:Y222,5,FALSE)))*EXP(-(LN(2)/$D$65+0.04)*(VLOOKUP(($F$16-$F$15)*2-1,U$99:Y222,4,FALSE)))*EXP(-(LN(2)/$D$65+0.1)*(VLOOKUP(($F$16-$F$15)*2-1,U$99:Y222,5,FALSE)))*EXP(-(LN(2)/$D$65+0.04)*X222)*EXP(-(LN(2)/$D$65+0.1)*Y222),"-"))),"-")</f>
        <v>-</v>
      </c>
      <c r="AB223" s="271" t="str">
        <f>IFERROR(IF(V223=1,AB$100*EXP(-(LN(2)/$D$65+0.04)*X223)*EXP(-(LN(2)/$D$65+0.1)*Y223),IF(V223=2,AB$100*EXP(-(LN(2)/$D$65+0.04)*(VLOOKUP(($F$16-$F$15)-1,U$100:Y223,4,FALSE)))*EXP(-(LN(2)/$D$65+0.1)*(VLOOKUP(($F$16-$F$15)-1,U$100:Y223,5,FALSE)))*EXP(-(LN(2)/$D$65+0.04)*X223)*EXP(-(LN(2)/$D$65+0.1)*Y223),IF(V223=3,AB$100*EXP(-(LN(2)/$D$65+0.04)*(VLOOKUP(($F$16-$F$15)-1,U$100:Y223,4,FALSE)))*EXP(-(LN(2)/$D$65+0.1)*(VLOOKUP(($F$16-$F$15)-1,U$100:Y223,5,FALSE)))*EXP(-(LN(2)/$D$65+0.04)*(VLOOKUP(($F$16-$F$15)*2-1,U$100:Y223,4,FALSE)))*EXP(-(LN(2)/$D$65+0.1)*(VLOOKUP(($F$16-$F$15)*2-1,U$100:Y223,5,FALSE)))*EXP(-(LN(2)/$D$65+0.04)*X223)*EXP(-(LN(2)/$D$65+0.1)*Y223),"-"))),"-")</f>
        <v>-</v>
      </c>
      <c r="AC223" s="224">
        <f t="shared" si="134"/>
        <v>123</v>
      </c>
      <c r="AD223" s="223" t="str">
        <f t="shared" si="108"/>
        <v>-</v>
      </c>
      <c r="AE223" s="224" t="str">
        <f t="shared" si="135"/>
        <v>-</v>
      </c>
      <c r="AF223" s="224" t="str">
        <f t="shared" si="109"/>
        <v>-</v>
      </c>
      <c r="AG223" s="224" t="str">
        <f t="shared" si="110"/>
        <v>-</v>
      </c>
      <c r="AH223" s="272">
        <f t="shared" si="136"/>
        <v>0.1</v>
      </c>
      <c r="AI223" s="271" t="str">
        <f>IFERROR(IF(AD222=1,AI$100*EXP(-(LN(2)/$D$65+0.04)*AF222)*EXP(-(LN(2)/$D$65+0.1)*AG222),IF(AD222=2,AI$100*EXP(-(LN(2)/$D$65+0.04)*(VLOOKUP(($F$16-$F$15)-1,AC$99:AG222,4,FALSE)))*EXP(-(LN(2)/$D$65+0.1)*(VLOOKUP(($F$16-$F$15)-1,AC$99:AG222,5,FALSE)))*EXP(-(LN(2)/$D$65+0.04)*AF222)*EXP(-(LN(2)/$D$65+0.1)*AG222),IF(AD222=3,AI$100*EXP(-(LN(2)/$D$65+0.04)*(VLOOKUP(($F$16-$F$15)-1,AC$99:AG222,4,FALSE)))*EXP(-(LN(2)/$D$65+0.1)*(VLOOKUP(($F$16-$F$15)-1,AC$99:AG222,5,FALSE)))*EXP(-(LN(2)/$D$65+0.04)*(VLOOKUP(($F$16-$F$15)*2-1,AC$99:AG222,4,FALSE)))*EXP(-(LN(2)/$D$65+0.1)*(VLOOKUP(($F$16-$F$15)*2-1,AC$99:AG222,5,FALSE)))*EXP(-(LN(2)/$D$65+0.04)*AF222)*EXP(-(LN(2)/$D$65+0.1)*AG222),"-"))),"-")</f>
        <v>-</v>
      </c>
      <c r="AJ223" s="271" t="str">
        <f>IFERROR(IF(AD223=1,AJ$100*EXP(-(LN(2)/$D$65+0.04)*AF223)*EXP(-(LN(2)/$D$65+0.1)*AG223),IF(AD223=2,AJ$100*EXP(-(LN(2)/$D$65+0.04)*(VLOOKUP(($F$16-$F$15)-1,AC$100:AG223,4,FALSE)))*EXP(-(LN(2)/$D$65+0.1)*(VLOOKUP(($F$16-$F$15)-1,AC$100:AG223,5,FALSE)))*EXP(-(LN(2)/$D$65+0.04)*AF223)*EXP(-(LN(2)/$D$65+0.1)*AG223),IF(AD223=3,AJ$100*EXP(-(LN(2)/$D$65+0.04)*(VLOOKUP(($F$16-$F$15)-1,AC$100:AG223,4,FALSE)))*EXP(-(LN(2)/$D$65+0.1)*(VLOOKUP(($F$16-$F$15)-1,AC$100:AG223,5,FALSE)))*EXP(-(LN(2)/$D$65+0.04)*(VLOOKUP(($F$16-$F$15)*2-1,AC$100:AG223,4,FALSE)))*EXP(-(LN(2)/$D$65+0.1)*(VLOOKUP(($F$16-$F$15)*2-1,AC$100:AG223,5,FALSE)))*EXP(-(LN(2)/$D$65+0.04)*AF223)*EXP(-(LN(2)/$D$65+0.1)*AG223),"-"))),"-")</f>
        <v>-</v>
      </c>
      <c r="AK223" s="227">
        <f t="shared" si="137"/>
        <v>123</v>
      </c>
      <c r="AL223" s="226" t="str">
        <f t="shared" si="111"/>
        <v>-</v>
      </c>
      <c r="AM223" s="227" t="str">
        <f t="shared" si="138"/>
        <v>-</v>
      </c>
      <c r="AN223" s="227" t="str">
        <f t="shared" si="139"/>
        <v>-</v>
      </c>
      <c r="AO223" s="227" t="str">
        <f t="shared" si="112"/>
        <v>-</v>
      </c>
      <c r="AP223" s="273">
        <f t="shared" si="140"/>
        <v>0.1</v>
      </c>
      <c r="AQ223" s="271" t="str">
        <f>IFERROR(IF(AL222=1,AQ$100*EXP(-(LN(2)/$D$65+0.04)*AN222)*EXP(-(LN(2)/$D$65+0.1)*AO222),IF(AL222=2,AQ$100*EXP(-(LN(2)/$D$65+0.04)*(VLOOKUP(($F$16-$F$15)-1,AK$99:AO222,4,FALSE)))*EXP(-(LN(2)/$D$65+0.1)*(VLOOKUP(($F$16-$F$15)-1,AK$99:AO222,5,FALSE)))*EXP(-(LN(2)/$D$65+0.04)*AN222)*EXP(-(LN(2)/$D$65+0.1)*AO222),IF(AL222=3,AQ$100*EXP(-(LN(2)/$D$65+0.04)*(VLOOKUP(($F$16-$F$15)-1,AK$99:AO222,4,FALSE)))*EXP(-(LN(2)/$D$65+0.1)*(VLOOKUP(($F$16-$F$15)-1,AK$99:AO222,5,FALSE)))*EXP(-(LN(2)/$D$65+0.04)*(VLOOKUP(($F$16-$F$15)*2-1,AK$99:AO222,4,FALSE)))*EXP(-(LN(2)/$D$65+0.1)*(VLOOKUP(($F$16-$F$15)*2-1,AK$99:AO222,5,FALSE)))*EXP(-(LN(2)/$D$65+0.04)*AN222)*EXP(-(LN(2)/$D$65+0.1)*AO222),"-"))),"-")</f>
        <v>-</v>
      </c>
      <c r="AR223" s="271" t="str">
        <f>IFERROR(IF(AL223=1,AR$100*EXP(-(LN(2)/$D$65+0.04)*AN223)*EXP(-(LN(2)/$D$65+0.1)*AO223),IF(AL223=2,AR$100*EXP(-(LN(2)/$D$65+0.04)*(VLOOKUP(($F$16-$F$15)-1,AK$100:AO223,4,FALSE)))*EXP(-(LN(2)/$D$65+0.1)*(VLOOKUP(($F$16-$F$15)-1,AK$100:AO223,5,FALSE)))*EXP(-(LN(2)/$D$65+0.04)*AN223)*EXP(-(LN(2)/$D$65+0.1)*AO223),IF(AL223=3,AR$100*EXP(-(LN(2)/$D$65+0.04)*(VLOOKUP(($F$16-$F$15)-1,AK$100:AO223,4,FALSE)))*EXP(-(LN(2)/$D$65+0.1)*(VLOOKUP(($F$16-$F$15)-1,AK$100:AO223,5,FALSE)))*EXP(-(LN(2)/$D$65+0.04)*(VLOOKUP(($F$16-$F$15)*2-1,AK$100:AO223,4,FALSE)))*EXP(-(LN(2)/$D$65+0.1)*(VLOOKUP(($F$16-$F$15)*2-1,AK$100:AO223,5,FALSE)))*EXP(-(LN(2)/$D$65+0.04)*AN223)*EXP(-(LN(2)/$D$65+0.1)*AO223),"-"))),"-")</f>
        <v>-</v>
      </c>
      <c r="AS223" s="274">
        <f t="shared" si="113"/>
        <v>0</v>
      </c>
      <c r="AT223" s="274">
        <f t="shared" si="114"/>
        <v>0</v>
      </c>
      <c r="AU223" s="274">
        <f t="shared" si="115"/>
        <v>0</v>
      </c>
      <c r="AV223" s="190">
        <f>IF($B223&lt;$F$22,SUM($T$100:$T223),"")</f>
        <v>0</v>
      </c>
      <c r="AW223" s="190" t="str">
        <f t="shared" si="161"/>
        <v>-</v>
      </c>
      <c r="AX223" s="190" t="str">
        <f t="shared" si="141"/>
        <v/>
      </c>
      <c r="AY223"/>
      <c r="AZ223" s="190" t="str">
        <f ca="1">IF(ISNUMBER(OFFSET(AV223,-$F$21,0)),SUM(OFFSET($T$100,$F$21,0):$T223),"")</f>
        <v/>
      </c>
      <c r="BA223" s="190" t="str">
        <f t="shared" ca="1" si="162"/>
        <v/>
      </c>
      <c r="BB223" s="190" t="str">
        <f t="shared" ca="1" si="148"/>
        <v/>
      </c>
      <c r="BC223" s="190"/>
      <c r="BD223" s="190" t="str">
        <f ca="1">IFERROR(IF(AND($B223&gt;=($F$16-$F$15),$B223&lt;$F$22+($F$16-$F$15)),SUM(OFFSET($T$100,($F$16-$F$15),0):$T223),""),"")</f>
        <v/>
      </c>
      <c r="BE223" s="190" t="str">
        <f t="shared" ca="1" si="142"/>
        <v/>
      </c>
      <c r="BF223" s="190" t="str">
        <f t="shared" ca="1" si="143"/>
        <v/>
      </c>
      <c r="BG223"/>
      <c r="BH223" s="190" t="str">
        <f ca="1">IF(ISNUMBER(OFFSET(BD223,-$F$21,0)),SUM(OFFSET($T$100,($F$16-$F$15+$F$21),0):$T223),"")</f>
        <v/>
      </c>
      <c r="BI223" s="190" t="str">
        <f t="shared" ca="1" si="163"/>
        <v/>
      </c>
      <c r="BJ223" s="190" t="str">
        <f t="shared" ca="1" si="144"/>
        <v/>
      </c>
      <c r="BK223" s="190"/>
      <c r="BL223" s="190" t="str">
        <f ca="1">IFERROR(IF(AND($B223&gt;=($F$17-$F$15),$B223&lt;$F$22+($F$17-$F$15)),SUM(OFFSET($T$100,($F$17-$F$15),0):$T223),""),"")</f>
        <v/>
      </c>
      <c r="BM223" s="190" t="str">
        <f t="shared" ca="1" si="164"/>
        <v/>
      </c>
      <c r="BN223" s="190" t="str">
        <f t="shared" ca="1" si="145"/>
        <v/>
      </c>
      <c r="BO223"/>
      <c r="BP223" s="190" t="str">
        <f ca="1">IF(ISNUMBER(OFFSET(BL223,-$F$21,0)),SUM(OFFSET($T$100,($F$17-$F$15+$F$21),0):$T223),"")</f>
        <v/>
      </c>
      <c r="BQ223" s="190" t="str">
        <f t="shared" ca="1" si="165"/>
        <v/>
      </c>
      <c r="BR223" s="190" t="str">
        <f t="shared" ca="1" si="146"/>
        <v/>
      </c>
      <c r="BS223" s="190"/>
      <c r="BT223"/>
      <c r="BU223"/>
      <c r="BV223"/>
      <c r="BY223" s="99"/>
      <c r="BZ223" s="99"/>
      <c r="CA223" s="280" t="str">
        <f t="shared" si="166"/>
        <v/>
      </c>
      <c r="CB223" s="71" t="str">
        <f t="shared" si="122"/>
        <v>-</v>
      </c>
      <c r="CC223" s="33"/>
      <c r="CD223" s="261" t="str">
        <f t="shared" si="123"/>
        <v/>
      </c>
      <c r="CE223" s="280" t="str">
        <f t="shared" si="167"/>
        <v>-</v>
      </c>
      <c r="CF223" s="71" t="str">
        <f t="shared" ca="1" si="168"/>
        <v>-</v>
      </c>
      <c r="CG223" s="33" t="str">
        <f t="shared" si="126"/>
        <v>123-124</v>
      </c>
      <c r="CH223" s="261" t="str">
        <f t="shared" ca="1" si="127"/>
        <v/>
      </c>
    </row>
    <row r="224" spans="2:86" ht="13.5" customHeight="1" x14ac:dyDescent="0.2">
      <c r="B224" s="262">
        <v>124</v>
      </c>
      <c r="C224" s="237" t="str">
        <f t="shared" si="91"/>
        <v/>
      </c>
      <c r="D224" s="237" t="str">
        <f t="shared" si="147"/>
        <v>-</v>
      </c>
      <c r="E224" s="263" t="str">
        <f t="shared" si="128"/>
        <v/>
      </c>
      <c r="F224" s="264" t="str">
        <f t="shared" si="129"/>
        <v/>
      </c>
      <c r="G224" s="264" t="str">
        <f t="shared" si="130"/>
        <v/>
      </c>
      <c r="H224" s="240" t="str">
        <f t="shared" si="149"/>
        <v/>
      </c>
      <c r="I224" s="265" t="str">
        <f t="shared" si="150"/>
        <v/>
      </c>
      <c r="J224" s="265" t="str">
        <f t="shared" si="151"/>
        <v/>
      </c>
      <c r="K224" s="240" t="str">
        <f t="shared" si="152"/>
        <v/>
      </c>
      <c r="L224" s="265" t="str">
        <f t="shared" si="153"/>
        <v/>
      </c>
      <c r="M224" s="265" t="str">
        <f t="shared" si="154"/>
        <v/>
      </c>
      <c r="N224" s="240" t="str">
        <f t="shared" si="155"/>
        <v>-</v>
      </c>
      <c r="O224" s="265" t="str">
        <f t="shared" si="156"/>
        <v>-</v>
      </c>
      <c r="P224" s="265" t="str">
        <f t="shared" si="157"/>
        <v>-</v>
      </c>
      <c r="Q224" s="266" t="str">
        <f t="shared" si="158"/>
        <v>-</v>
      </c>
      <c r="R224" s="267" t="str">
        <f t="shared" si="159"/>
        <v>-</v>
      </c>
      <c r="S224" s="268" t="str">
        <f t="shared" si="160"/>
        <v>-</v>
      </c>
      <c r="T224" s="269" t="str">
        <f t="shared" si="104"/>
        <v/>
      </c>
      <c r="U224" s="221">
        <f t="shared" si="105"/>
        <v>124</v>
      </c>
      <c r="V224" s="220" t="str">
        <f t="shared" si="131"/>
        <v>-</v>
      </c>
      <c r="W224" s="221" t="str">
        <f t="shared" si="132"/>
        <v>-</v>
      </c>
      <c r="X224" s="221" t="str">
        <f t="shared" si="106"/>
        <v>-</v>
      </c>
      <c r="Y224" s="221" t="str">
        <f t="shared" si="107"/>
        <v>-</v>
      </c>
      <c r="Z224" s="270">
        <f t="shared" si="133"/>
        <v>0.1</v>
      </c>
      <c r="AA224" s="271" t="str">
        <f>IFERROR(IF(V223=1,AA$100*EXP(-(LN(2)/$D$65+0.04)*X223)*EXP(-(LN(2)/$D$65+0.1)*Y223),IF(V223=2,AA$100*EXP(-(LN(2)/$D$65+0.04)*(VLOOKUP(($F$16-$F$15)-1,U$99:Y223,4,FALSE)))*EXP(-(LN(2)/$D$65+0.1)*(VLOOKUP(($F$16-$F$15)-1,U$99:Y223,5,FALSE)))*EXP(-(LN(2)/$D$65+0.04)*X223)*EXP(-(LN(2)/$D$65+0.1)*Y223),IF(V223=3,AA$100*EXP(-(LN(2)/$D$65+0.04)*(VLOOKUP(($F$16-$F$15)-1,U$99:Y223,4,FALSE)))*EXP(-(LN(2)/$D$65+0.1)*(VLOOKUP(($F$16-$F$15)-1,U$99:Y223,5,FALSE)))*EXP(-(LN(2)/$D$65+0.04)*(VLOOKUP(($F$16-$F$15)*2-1,U$99:Y223,4,FALSE)))*EXP(-(LN(2)/$D$65+0.1)*(VLOOKUP(($F$16-$F$15)*2-1,U$99:Y223,5,FALSE)))*EXP(-(LN(2)/$D$65+0.04)*X223)*EXP(-(LN(2)/$D$65+0.1)*Y223),"-"))),"-")</f>
        <v>-</v>
      </c>
      <c r="AB224" s="271" t="str">
        <f>IFERROR(IF(V224=1,AB$100*EXP(-(LN(2)/$D$65+0.04)*X224)*EXP(-(LN(2)/$D$65+0.1)*Y224),IF(V224=2,AB$100*EXP(-(LN(2)/$D$65+0.04)*(VLOOKUP(($F$16-$F$15)-1,U$100:Y224,4,FALSE)))*EXP(-(LN(2)/$D$65+0.1)*(VLOOKUP(($F$16-$F$15)-1,U$100:Y224,5,FALSE)))*EXP(-(LN(2)/$D$65+0.04)*X224)*EXP(-(LN(2)/$D$65+0.1)*Y224),IF(V224=3,AB$100*EXP(-(LN(2)/$D$65+0.04)*(VLOOKUP(($F$16-$F$15)-1,U$100:Y224,4,FALSE)))*EXP(-(LN(2)/$D$65+0.1)*(VLOOKUP(($F$16-$F$15)-1,U$100:Y224,5,FALSE)))*EXP(-(LN(2)/$D$65+0.04)*(VLOOKUP(($F$16-$F$15)*2-1,U$100:Y224,4,FALSE)))*EXP(-(LN(2)/$D$65+0.1)*(VLOOKUP(($F$16-$F$15)*2-1,U$100:Y224,5,FALSE)))*EXP(-(LN(2)/$D$65+0.04)*X224)*EXP(-(LN(2)/$D$65+0.1)*Y224),"-"))),"-")</f>
        <v>-</v>
      </c>
      <c r="AC224" s="224">
        <f t="shared" si="134"/>
        <v>124</v>
      </c>
      <c r="AD224" s="223" t="str">
        <f t="shared" si="108"/>
        <v>-</v>
      </c>
      <c r="AE224" s="224" t="str">
        <f t="shared" si="135"/>
        <v>-</v>
      </c>
      <c r="AF224" s="224" t="str">
        <f t="shared" si="109"/>
        <v>-</v>
      </c>
      <c r="AG224" s="224" t="str">
        <f t="shared" si="110"/>
        <v>-</v>
      </c>
      <c r="AH224" s="272">
        <f t="shared" si="136"/>
        <v>0.1</v>
      </c>
      <c r="AI224" s="271" t="str">
        <f>IFERROR(IF(AD223=1,AI$100*EXP(-(LN(2)/$D$65+0.04)*AF223)*EXP(-(LN(2)/$D$65+0.1)*AG223),IF(AD223=2,AI$100*EXP(-(LN(2)/$D$65+0.04)*(VLOOKUP(($F$16-$F$15)-1,AC$99:AG223,4,FALSE)))*EXP(-(LN(2)/$D$65+0.1)*(VLOOKUP(($F$16-$F$15)-1,AC$99:AG223,5,FALSE)))*EXP(-(LN(2)/$D$65+0.04)*AF223)*EXP(-(LN(2)/$D$65+0.1)*AG223),IF(AD223=3,AI$100*EXP(-(LN(2)/$D$65+0.04)*(VLOOKUP(($F$16-$F$15)-1,AC$99:AG223,4,FALSE)))*EXP(-(LN(2)/$D$65+0.1)*(VLOOKUP(($F$16-$F$15)-1,AC$99:AG223,5,FALSE)))*EXP(-(LN(2)/$D$65+0.04)*(VLOOKUP(($F$16-$F$15)*2-1,AC$99:AG223,4,FALSE)))*EXP(-(LN(2)/$D$65+0.1)*(VLOOKUP(($F$16-$F$15)*2-1,AC$99:AG223,5,FALSE)))*EXP(-(LN(2)/$D$65+0.04)*AF223)*EXP(-(LN(2)/$D$65+0.1)*AG223),"-"))),"-")</f>
        <v>-</v>
      </c>
      <c r="AJ224" s="271" t="str">
        <f>IFERROR(IF(AD224=1,AJ$100*EXP(-(LN(2)/$D$65+0.04)*AF224)*EXP(-(LN(2)/$D$65+0.1)*AG224),IF(AD224=2,AJ$100*EXP(-(LN(2)/$D$65+0.04)*(VLOOKUP(($F$16-$F$15)-1,AC$100:AG224,4,FALSE)))*EXP(-(LN(2)/$D$65+0.1)*(VLOOKUP(($F$16-$F$15)-1,AC$100:AG224,5,FALSE)))*EXP(-(LN(2)/$D$65+0.04)*AF224)*EXP(-(LN(2)/$D$65+0.1)*AG224),IF(AD224=3,AJ$100*EXP(-(LN(2)/$D$65+0.04)*(VLOOKUP(($F$16-$F$15)-1,AC$100:AG224,4,FALSE)))*EXP(-(LN(2)/$D$65+0.1)*(VLOOKUP(($F$16-$F$15)-1,AC$100:AG224,5,FALSE)))*EXP(-(LN(2)/$D$65+0.04)*(VLOOKUP(($F$16-$F$15)*2-1,AC$100:AG224,4,FALSE)))*EXP(-(LN(2)/$D$65+0.1)*(VLOOKUP(($F$16-$F$15)*2-1,AC$100:AG224,5,FALSE)))*EXP(-(LN(2)/$D$65+0.04)*AF224)*EXP(-(LN(2)/$D$65+0.1)*AG224),"-"))),"-")</f>
        <v>-</v>
      </c>
      <c r="AK224" s="227">
        <f t="shared" si="137"/>
        <v>124</v>
      </c>
      <c r="AL224" s="226" t="str">
        <f t="shared" si="111"/>
        <v>-</v>
      </c>
      <c r="AM224" s="227" t="str">
        <f t="shared" si="138"/>
        <v>-</v>
      </c>
      <c r="AN224" s="227" t="str">
        <f t="shared" si="139"/>
        <v>-</v>
      </c>
      <c r="AO224" s="227" t="str">
        <f t="shared" si="112"/>
        <v>-</v>
      </c>
      <c r="AP224" s="273">
        <f t="shared" si="140"/>
        <v>0.1</v>
      </c>
      <c r="AQ224" s="271" t="str">
        <f>IFERROR(IF(AL223=1,AQ$100*EXP(-(LN(2)/$D$65+0.04)*AN223)*EXP(-(LN(2)/$D$65+0.1)*AO223),IF(AL223=2,AQ$100*EXP(-(LN(2)/$D$65+0.04)*(VLOOKUP(($F$16-$F$15)-1,AK$99:AO223,4,FALSE)))*EXP(-(LN(2)/$D$65+0.1)*(VLOOKUP(($F$16-$F$15)-1,AK$99:AO223,5,FALSE)))*EXP(-(LN(2)/$D$65+0.04)*AN223)*EXP(-(LN(2)/$D$65+0.1)*AO223),IF(AL223=3,AQ$100*EXP(-(LN(2)/$D$65+0.04)*(VLOOKUP(($F$16-$F$15)-1,AK$99:AO223,4,FALSE)))*EXP(-(LN(2)/$D$65+0.1)*(VLOOKUP(($F$16-$F$15)-1,AK$99:AO223,5,FALSE)))*EXP(-(LN(2)/$D$65+0.04)*(VLOOKUP(($F$16-$F$15)*2-1,AK$99:AO223,4,FALSE)))*EXP(-(LN(2)/$D$65+0.1)*(VLOOKUP(($F$16-$F$15)*2-1,AK$99:AO223,5,FALSE)))*EXP(-(LN(2)/$D$65+0.04)*AN223)*EXP(-(LN(2)/$D$65+0.1)*AO223),"-"))),"-")</f>
        <v>-</v>
      </c>
      <c r="AR224" s="271" t="str">
        <f>IFERROR(IF(AL224=1,AR$100*EXP(-(LN(2)/$D$65+0.04)*AN224)*EXP(-(LN(2)/$D$65+0.1)*AO224),IF(AL224=2,AR$100*EXP(-(LN(2)/$D$65+0.04)*(VLOOKUP(($F$16-$F$15)-1,AK$100:AO224,4,FALSE)))*EXP(-(LN(2)/$D$65+0.1)*(VLOOKUP(($F$16-$F$15)-1,AK$100:AO224,5,FALSE)))*EXP(-(LN(2)/$D$65+0.04)*AN224)*EXP(-(LN(2)/$D$65+0.1)*AO224),IF(AL224=3,AR$100*EXP(-(LN(2)/$D$65+0.04)*(VLOOKUP(($F$16-$F$15)-1,AK$100:AO224,4,FALSE)))*EXP(-(LN(2)/$D$65+0.1)*(VLOOKUP(($F$16-$F$15)-1,AK$100:AO224,5,FALSE)))*EXP(-(LN(2)/$D$65+0.04)*(VLOOKUP(($F$16-$F$15)*2-1,AK$100:AO224,4,FALSE)))*EXP(-(LN(2)/$D$65+0.1)*(VLOOKUP(($F$16-$F$15)*2-1,AK$100:AO224,5,FALSE)))*EXP(-(LN(2)/$D$65+0.04)*AN224)*EXP(-(LN(2)/$D$65+0.1)*AO224),"-"))),"-")</f>
        <v>-</v>
      </c>
      <c r="AS224" s="274">
        <f t="shared" si="113"/>
        <v>0</v>
      </c>
      <c r="AT224" s="274">
        <f t="shared" si="114"/>
        <v>0</v>
      </c>
      <c r="AU224" s="274">
        <f t="shared" si="115"/>
        <v>0</v>
      </c>
      <c r="AV224" s="190">
        <f>IF($B224&lt;$F$22,SUM($T$100:$T224),"")</f>
        <v>0</v>
      </c>
      <c r="AW224" s="190" t="str">
        <f t="shared" si="161"/>
        <v>-</v>
      </c>
      <c r="AX224" s="190" t="str">
        <f t="shared" si="141"/>
        <v/>
      </c>
      <c r="AY224"/>
      <c r="AZ224" s="190" t="str">
        <f ca="1">IF(ISNUMBER(OFFSET(AV224,-$F$21,0)),SUM(OFFSET($T$100,$F$21,0):$T224),"")</f>
        <v/>
      </c>
      <c r="BA224" s="190" t="str">
        <f t="shared" ca="1" si="162"/>
        <v/>
      </c>
      <c r="BB224" s="190" t="str">
        <f t="shared" ca="1" si="148"/>
        <v/>
      </c>
      <c r="BC224" s="190"/>
      <c r="BD224" s="190" t="str">
        <f ca="1">IFERROR(IF(AND($B224&gt;=($F$16-$F$15),$B224&lt;$F$22+($F$16-$F$15)),SUM(OFFSET($T$100,($F$16-$F$15),0):$T224),""),"")</f>
        <v/>
      </c>
      <c r="BE224" s="190" t="str">
        <f t="shared" ca="1" si="142"/>
        <v/>
      </c>
      <c r="BF224" s="190" t="str">
        <f t="shared" ca="1" si="143"/>
        <v/>
      </c>
      <c r="BG224"/>
      <c r="BH224" s="190" t="str">
        <f ca="1">IF(ISNUMBER(OFFSET(BD224,-$F$21,0)),SUM(OFFSET($T$100,($F$16-$F$15+$F$21),0):$T224),"")</f>
        <v/>
      </c>
      <c r="BI224" s="190" t="str">
        <f t="shared" ca="1" si="163"/>
        <v/>
      </c>
      <c r="BJ224" s="190" t="str">
        <f t="shared" ca="1" si="144"/>
        <v/>
      </c>
      <c r="BK224" s="190"/>
      <c r="BL224" s="190" t="str">
        <f ca="1">IFERROR(IF(AND($B224&gt;=($F$17-$F$15),$B224&lt;$F$22+($F$17-$F$15)),SUM(OFFSET($T$100,($F$17-$F$15),0):$T224),""),"")</f>
        <v/>
      </c>
      <c r="BM224" s="190" t="str">
        <f t="shared" ca="1" si="164"/>
        <v/>
      </c>
      <c r="BN224" s="190" t="str">
        <f t="shared" ca="1" si="145"/>
        <v/>
      </c>
      <c r="BO224"/>
      <c r="BP224" s="190" t="str">
        <f ca="1">IF(ISNUMBER(OFFSET(BL224,-$F$21,0)),SUM(OFFSET($T$100,($F$17-$F$15+$F$21),0):$T224),"")</f>
        <v/>
      </c>
      <c r="BQ224" s="190" t="str">
        <f t="shared" ca="1" si="165"/>
        <v/>
      </c>
      <c r="BR224" s="190" t="str">
        <f t="shared" ca="1" si="146"/>
        <v/>
      </c>
      <c r="BS224" s="190"/>
      <c r="BT224"/>
      <c r="BU224"/>
      <c r="BV224"/>
      <c r="BY224" s="99"/>
      <c r="BZ224" s="99"/>
      <c r="CA224" s="280" t="str">
        <f t="shared" si="166"/>
        <v/>
      </c>
      <c r="CB224" s="71" t="str">
        <f t="shared" si="122"/>
        <v>-</v>
      </c>
      <c r="CC224" s="33"/>
      <c r="CD224" s="261" t="str">
        <f t="shared" si="123"/>
        <v/>
      </c>
      <c r="CE224" s="280" t="str">
        <f t="shared" si="167"/>
        <v>-</v>
      </c>
      <c r="CF224" s="71" t="str">
        <f t="shared" ca="1" si="168"/>
        <v>-</v>
      </c>
      <c r="CG224" s="33" t="str">
        <f t="shared" si="126"/>
        <v>124-125</v>
      </c>
      <c r="CH224" s="261" t="str">
        <f t="shared" ca="1" si="127"/>
        <v/>
      </c>
    </row>
    <row r="225" spans="2:86" ht="13.5" customHeight="1" x14ac:dyDescent="0.2">
      <c r="B225" s="262">
        <v>125</v>
      </c>
      <c r="C225" s="237" t="str">
        <f t="shared" si="91"/>
        <v/>
      </c>
      <c r="D225" s="237" t="str">
        <f t="shared" si="147"/>
        <v>-</v>
      </c>
      <c r="E225" s="263" t="str">
        <f t="shared" si="128"/>
        <v/>
      </c>
      <c r="F225" s="264" t="str">
        <f t="shared" si="129"/>
        <v/>
      </c>
      <c r="G225" s="264" t="str">
        <f t="shared" si="130"/>
        <v/>
      </c>
      <c r="H225" s="240" t="str">
        <f t="shared" si="149"/>
        <v/>
      </c>
      <c r="I225" s="265" t="str">
        <f t="shared" si="150"/>
        <v/>
      </c>
      <c r="J225" s="265" t="str">
        <f t="shared" si="151"/>
        <v/>
      </c>
      <c r="K225" s="240" t="str">
        <f t="shared" si="152"/>
        <v/>
      </c>
      <c r="L225" s="265" t="str">
        <f t="shared" si="153"/>
        <v/>
      </c>
      <c r="M225" s="265" t="str">
        <f t="shared" si="154"/>
        <v/>
      </c>
      <c r="N225" s="240" t="str">
        <f t="shared" si="155"/>
        <v>-</v>
      </c>
      <c r="O225" s="265" t="str">
        <f t="shared" si="156"/>
        <v>-</v>
      </c>
      <c r="P225" s="265" t="str">
        <f t="shared" si="157"/>
        <v>-</v>
      </c>
      <c r="Q225" s="266" t="str">
        <f t="shared" si="158"/>
        <v>-</v>
      </c>
      <c r="R225" s="267" t="str">
        <f t="shared" si="159"/>
        <v>-</v>
      </c>
      <c r="S225" s="268" t="str">
        <f t="shared" si="160"/>
        <v>-</v>
      </c>
      <c r="T225" s="269" t="str">
        <f t="shared" si="104"/>
        <v/>
      </c>
      <c r="U225" s="221">
        <f t="shared" si="105"/>
        <v>125</v>
      </c>
      <c r="V225" s="220" t="str">
        <f t="shared" si="131"/>
        <v>-</v>
      </c>
      <c r="W225" s="221" t="str">
        <f t="shared" si="132"/>
        <v>-</v>
      </c>
      <c r="X225" s="221" t="str">
        <f t="shared" si="106"/>
        <v>-</v>
      </c>
      <c r="Y225" s="221" t="str">
        <f t="shared" si="107"/>
        <v>-</v>
      </c>
      <c r="Z225" s="270">
        <f t="shared" si="133"/>
        <v>0.1</v>
      </c>
      <c r="AA225" s="271" t="str">
        <f>IFERROR(IF(V224=1,AA$100*EXP(-(LN(2)/$D$65+0.04)*X224)*EXP(-(LN(2)/$D$65+0.1)*Y224),IF(V224=2,AA$100*EXP(-(LN(2)/$D$65+0.04)*(VLOOKUP(($F$16-$F$15)-1,U$99:Y224,4,FALSE)))*EXP(-(LN(2)/$D$65+0.1)*(VLOOKUP(($F$16-$F$15)-1,U$99:Y224,5,FALSE)))*EXP(-(LN(2)/$D$65+0.04)*X224)*EXP(-(LN(2)/$D$65+0.1)*Y224),IF(V224=3,AA$100*EXP(-(LN(2)/$D$65+0.04)*(VLOOKUP(($F$16-$F$15)-1,U$99:Y224,4,FALSE)))*EXP(-(LN(2)/$D$65+0.1)*(VLOOKUP(($F$16-$F$15)-1,U$99:Y224,5,FALSE)))*EXP(-(LN(2)/$D$65+0.04)*(VLOOKUP(($F$16-$F$15)*2-1,U$99:Y224,4,FALSE)))*EXP(-(LN(2)/$D$65+0.1)*(VLOOKUP(($F$16-$F$15)*2-1,U$99:Y224,5,FALSE)))*EXP(-(LN(2)/$D$65+0.04)*X224)*EXP(-(LN(2)/$D$65+0.1)*Y224),"-"))),"-")</f>
        <v>-</v>
      </c>
      <c r="AB225" s="271" t="str">
        <f>IFERROR(IF(V225=1,AB$100*EXP(-(LN(2)/$D$65+0.04)*X225)*EXP(-(LN(2)/$D$65+0.1)*Y225),IF(V225=2,AB$100*EXP(-(LN(2)/$D$65+0.04)*(VLOOKUP(($F$16-$F$15)-1,U$100:Y225,4,FALSE)))*EXP(-(LN(2)/$D$65+0.1)*(VLOOKUP(($F$16-$F$15)-1,U$100:Y225,5,FALSE)))*EXP(-(LN(2)/$D$65+0.04)*X225)*EXP(-(LN(2)/$D$65+0.1)*Y225),IF(V225=3,AB$100*EXP(-(LN(2)/$D$65+0.04)*(VLOOKUP(($F$16-$F$15)-1,U$100:Y225,4,FALSE)))*EXP(-(LN(2)/$D$65+0.1)*(VLOOKUP(($F$16-$F$15)-1,U$100:Y225,5,FALSE)))*EXP(-(LN(2)/$D$65+0.04)*(VLOOKUP(($F$16-$F$15)*2-1,U$100:Y225,4,FALSE)))*EXP(-(LN(2)/$D$65+0.1)*(VLOOKUP(($F$16-$F$15)*2-1,U$100:Y225,5,FALSE)))*EXP(-(LN(2)/$D$65+0.04)*X225)*EXP(-(LN(2)/$D$65+0.1)*Y225),"-"))),"-")</f>
        <v>-</v>
      </c>
      <c r="AC225" s="224">
        <f t="shared" si="134"/>
        <v>125</v>
      </c>
      <c r="AD225" s="223" t="str">
        <f t="shared" si="108"/>
        <v>-</v>
      </c>
      <c r="AE225" s="224" t="str">
        <f t="shared" si="135"/>
        <v>-</v>
      </c>
      <c r="AF225" s="224" t="str">
        <f t="shared" si="109"/>
        <v>-</v>
      </c>
      <c r="AG225" s="224" t="str">
        <f t="shared" si="110"/>
        <v>-</v>
      </c>
      <c r="AH225" s="272">
        <f t="shared" si="136"/>
        <v>0.1</v>
      </c>
      <c r="AI225" s="271" t="str">
        <f>IFERROR(IF(AD224=1,AI$100*EXP(-(LN(2)/$D$65+0.04)*AF224)*EXP(-(LN(2)/$D$65+0.1)*AG224),IF(AD224=2,AI$100*EXP(-(LN(2)/$D$65+0.04)*(VLOOKUP(($F$16-$F$15)-1,AC$99:AG224,4,FALSE)))*EXP(-(LN(2)/$D$65+0.1)*(VLOOKUP(($F$16-$F$15)-1,AC$99:AG224,5,FALSE)))*EXP(-(LN(2)/$D$65+0.04)*AF224)*EXP(-(LN(2)/$D$65+0.1)*AG224),IF(AD224=3,AI$100*EXP(-(LN(2)/$D$65+0.04)*(VLOOKUP(($F$16-$F$15)-1,AC$99:AG224,4,FALSE)))*EXP(-(LN(2)/$D$65+0.1)*(VLOOKUP(($F$16-$F$15)-1,AC$99:AG224,5,FALSE)))*EXP(-(LN(2)/$D$65+0.04)*(VLOOKUP(($F$16-$F$15)*2-1,AC$99:AG224,4,FALSE)))*EXP(-(LN(2)/$D$65+0.1)*(VLOOKUP(($F$16-$F$15)*2-1,AC$99:AG224,5,FALSE)))*EXP(-(LN(2)/$D$65+0.04)*AF224)*EXP(-(LN(2)/$D$65+0.1)*AG224),"-"))),"-")</f>
        <v>-</v>
      </c>
      <c r="AJ225" s="271" t="str">
        <f>IFERROR(IF(AD225=1,AJ$100*EXP(-(LN(2)/$D$65+0.04)*AF225)*EXP(-(LN(2)/$D$65+0.1)*AG225),IF(AD225=2,AJ$100*EXP(-(LN(2)/$D$65+0.04)*(VLOOKUP(($F$16-$F$15)-1,AC$100:AG225,4,FALSE)))*EXP(-(LN(2)/$D$65+0.1)*(VLOOKUP(($F$16-$F$15)-1,AC$100:AG225,5,FALSE)))*EXP(-(LN(2)/$D$65+0.04)*AF225)*EXP(-(LN(2)/$D$65+0.1)*AG225),IF(AD225=3,AJ$100*EXP(-(LN(2)/$D$65+0.04)*(VLOOKUP(($F$16-$F$15)-1,AC$100:AG225,4,FALSE)))*EXP(-(LN(2)/$D$65+0.1)*(VLOOKUP(($F$16-$F$15)-1,AC$100:AG225,5,FALSE)))*EXP(-(LN(2)/$D$65+0.04)*(VLOOKUP(($F$16-$F$15)*2-1,AC$100:AG225,4,FALSE)))*EXP(-(LN(2)/$D$65+0.1)*(VLOOKUP(($F$16-$F$15)*2-1,AC$100:AG225,5,FALSE)))*EXP(-(LN(2)/$D$65+0.04)*AF225)*EXP(-(LN(2)/$D$65+0.1)*AG225),"-"))),"-")</f>
        <v>-</v>
      </c>
      <c r="AK225" s="227">
        <f t="shared" si="137"/>
        <v>125</v>
      </c>
      <c r="AL225" s="226" t="str">
        <f t="shared" si="111"/>
        <v>-</v>
      </c>
      <c r="AM225" s="227" t="str">
        <f t="shared" si="138"/>
        <v>-</v>
      </c>
      <c r="AN225" s="227" t="str">
        <f t="shared" si="139"/>
        <v>-</v>
      </c>
      <c r="AO225" s="227" t="str">
        <f t="shared" si="112"/>
        <v>-</v>
      </c>
      <c r="AP225" s="273">
        <f t="shared" si="140"/>
        <v>0.1</v>
      </c>
      <c r="AQ225" s="271" t="str">
        <f>IFERROR(IF(AL224=1,AQ$100*EXP(-(LN(2)/$D$65+0.04)*AN224)*EXP(-(LN(2)/$D$65+0.1)*AO224),IF(AL224=2,AQ$100*EXP(-(LN(2)/$D$65+0.04)*(VLOOKUP(($F$16-$F$15)-1,AK$99:AO224,4,FALSE)))*EXP(-(LN(2)/$D$65+0.1)*(VLOOKUP(($F$16-$F$15)-1,AK$99:AO224,5,FALSE)))*EXP(-(LN(2)/$D$65+0.04)*AN224)*EXP(-(LN(2)/$D$65+0.1)*AO224),IF(AL224=3,AQ$100*EXP(-(LN(2)/$D$65+0.04)*(VLOOKUP(($F$16-$F$15)-1,AK$99:AO224,4,FALSE)))*EXP(-(LN(2)/$D$65+0.1)*(VLOOKUP(($F$16-$F$15)-1,AK$99:AO224,5,FALSE)))*EXP(-(LN(2)/$D$65+0.04)*(VLOOKUP(($F$16-$F$15)*2-1,AK$99:AO224,4,FALSE)))*EXP(-(LN(2)/$D$65+0.1)*(VLOOKUP(($F$16-$F$15)*2-1,AK$99:AO224,5,FALSE)))*EXP(-(LN(2)/$D$65+0.04)*AN224)*EXP(-(LN(2)/$D$65+0.1)*AO224),"-"))),"-")</f>
        <v>-</v>
      </c>
      <c r="AR225" s="271" t="str">
        <f>IFERROR(IF(AL225=1,AR$100*EXP(-(LN(2)/$D$65+0.04)*AN225)*EXP(-(LN(2)/$D$65+0.1)*AO225),IF(AL225=2,AR$100*EXP(-(LN(2)/$D$65+0.04)*(VLOOKUP(($F$16-$F$15)-1,AK$100:AO225,4,FALSE)))*EXP(-(LN(2)/$D$65+0.1)*(VLOOKUP(($F$16-$F$15)-1,AK$100:AO225,5,FALSE)))*EXP(-(LN(2)/$D$65+0.04)*AN225)*EXP(-(LN(2)/$D$65+0.1)*AO225),IF(AL225=3,AR$100*EXP(-(LN(2)/$D$65+0.04)*(VLOOKUP(($F$16-$F$15)-1,AK$100:AO225,4,FALSE)))*EXP(-(LN(2)/$D$65+0.1)*(VLOOKUP(($F$16-$F$15)-1,AK$100:AO225,5,FALSE)))*EXP(-(LN(2)/$D$65+0.04)*(VLOOKUP(($F$16-$F$15)*2-1,AK$100:AO225,4,FALSE)))*EXP(-(LN(2)/$D$65+0.1)*(VLOOKUP(($F$16-$F$15)*2-1,AK$100:AO225,5,FALSE)))*EXP(-(LN(2)/$D$65+0.04)*AN225)*EXP(-(LN(2)/$D$65+0.1)*AO225),"-"))),"-")</f>
        <v>-</v>
      </c>
      <c r="AS225" s="274">
        <f t="shared" si="113"/>
        <v>0</v>
      </c>
      <c r="AT225" s="274">
        <f t="shared" si="114"/>
        <v>0</v>
      </c>
      <c r="AU225" s="274">
        <f t="shared" si="115"/>
        <v>0</v>
      </c>
      <c r="AV225" s="190">
        <f>IF($B225&lt;$F$22,SUM($T$100:$T225),"")</f>
        <v>0</v>
      </c>
      <c r="AW225" s="190" t="str">
        <f t="shared" si="161"/>
        <v>-</v>
      </c>
      <c r="AX225" s="190" t="str">
        <f t="shared" si="141"/>
        <v/>
      </c>
      <c r="AY225"/>
      <c r="AZ225" s="190" t="str">
        <f ca="1">IF(ISNUMBER(OFFSET(AV225,-$F$21,0)),SUM(OFFSET($T$100,$F$21,0):$T225),"")</f>
        <v/>
      </c>
      <c r="BA225" s="190" t="str">
        <f t="shared" ca="1" si="162"/>
        <v/>
      </c>
      <c r="BB225" s="190" t="str">
        <f t="shared" ca="1" si="148"/>
        <v/>
      </c>
      <c r="BC225" s="190"/>
      <c r="BD225" s="190" t="str">
        <f ca="1">IFERROR(IF(AND($B225&gt;=($F$16-$F$15),$B225&lt;$F$22+($F$16-$F$15)),SUM(OFFSET($T$100,($F$16-$F$15),0):$T225),""),"")</f>
        <v/>
      </c>
      <c r="BE225" s="190" t="str">
        <f t="shared" ca="1" si="142"/>
        <v/>
      </c>
      <c r="BF225" s="190" t="str">
        <f t="shared" ca="1" si="143"/>
        <v/>
      </c>
      <c r="BG225"/>
      <c r="BH225" s="190" t="str">
        <f ca="1">IF(ISNUMBER(OFFSET(BD225,-$F$21,0)),SUM(OFFSET($T$100,($F$16-$F$15+$F$21),0):$T225),"")</f>
        <v/>
      </c>
      <c r="BI225" s="190" t="str">
        <f t="shared" ca="1" si="163"/>
        <v/>
      </c>
      <c r="BJ225" s="190" t="str">
        <f t="shared" ca="1" si="144"/>
        <v/>
      </c>
      <c r="BK225" s="190"/>
      <c r="BL225" s="190" t="str">
        <f ca="1">IFERROR(IF(AND($B225&gt;=($F$17-$F$15),$B225&lt;$F$22+($F$17-$F$15)),SUM(OFFSET($T$100,($F$17-$F$15),0):$T225),""),"")</f>
        <v/>
      </c>
      <c r="BM225" s="190" t="str">
        <f t="shared" ca="1" si="164"/>
        <v/>
      </c>
      <c r="BN225" s="190" t="str">
        <f t="shared" ca="1" si="145"/>
        <v/>
      </c>
      <c r="BO225"/>
      <c r="BP225" s="190" t="str">
        <f ca="1">IF(ISNUMBER(OFFSET(BL225,-$F$21,0)),SUM(OFFSET($T$100,($F$17-$F$15+$F$21),0):$T225),"")</f>
        <v/>
      </c>
      <c r="BQ225" s="190" t="str">
        <f t="shared" ca="1" si="165"/>
        <v/>
      </c>
      <c r="BR225" s="190" t="str">
        <f t="shared" ca="1" si="146"/>
        <v/>
      </c>
      <c r="BS225" s="190"/>
      <c r="BT225"/>
      <c r="BU225"/>
      <c r="BV225"/>
      <c r="BY225" s="99"/>
      <c r="BZ225" s="99"/>
      <c r="CA225" s="280" t="str">
        <f t="shared" si="166"/>
        <v/>
      </c>
      <c r="CB225" s="71" t="str">
        <f t="shared" si="122"/>
        <v>-</v>
      </c>
      <c r="CC225" s="33"/>
      <c r="CD225" s="261" t="str">
        <f t="shared" si="123"/>
        <v/>
      </c>
      <c r="CE225" s="280" t="str">
        <f t="shared" si="167"/>
        <v>-</v>
      </c>
      <c r="CF225" s="71" t="str">
        <f t="shared" ca="1" si="168"/>
        <v>-</v>
      </c>
      <c r="CG225" s="33" t="str">
        <f t="shared" si="126"/>
        <v>125-126</v>
      </c>
      <c r="CH225" s="261" t="str">
        <f t="shared" ca="1" si="127"/>
        <v/>
      </c>
    </row>
    <row r="226" spans="2:86" ht="13.5" customHeight="1" x14ac:dyDescent="0.2">
      <c r="B226" s="262">
        <v>126</v>
      </c>
      <c r="C226" s="237" t="str">
        <f t="shared" si="91"/>
        <v/>
      </c>
      <c r="D226" s="237" t="str">
        <f t="shared" si="147"/>
        <v>-</v>
      </c>
      <c r="E226" s="263" t="str">
        <f t="shared" si="128"/>
        <v/>
      </c>
      <c r="F226" s="264" t="str">
        <f t="shared" si="129"/>
        <v/>
      </c>
      <c r="G226" s="264" t="str">
        <f t="shared" si="130"/>
        <v/>
      </c>
      <c r="H226" s="240" t="str">
        <f t="shared" si="149"/>
        <v/>
      </c>
      <c r="I226" s="265" t="str">
        <f t="shared" si="150"/>
        <v/>
      </c>
      <c r="J226" s="265" t="str">
        <f t="shared" si="151"/>
        <v/>
      </c>
      <c r="K226" s="240" t="str">
        <f t="shared" si="152"/>
        <v/>
      </c>
      <c r="L226" s="265" t="str">
        <f t="shared" si="153"/>
        <v/>
      </c>
      <c r="M226" s="265" t="str">
        <f t="shared" si="154"/>
        <v/>
      </c>
      <c r="N226" s="240" t="str">
        <f t="shared" si="155"/>
        <v>-</v>
      </c>
      <c r="O226" s="265" t="str">
        <f t="shared" si="156"/>
        <v>-</v>
      </c>
      <c r="P226" s="265" t="str">
        <f t="shared" si="157"/>
        <v>-</v>
      </c>
      <c r="Q226" s="266" t="str">
        <f t="shared" si="158"/>
        <v>-</v>
      </c>
      <c r="R226" s="267" t="str">
        <f t="shared" si="159"/>
        <v>-</v>
      </c>
      <c r="S226" s="268" t="str">
        <f t="shared" si="160"/>
        <v>-</v>
      </c>
      <c r="T226" s="269" t="str">
        <f t="shared" si="104"/>
        <v/>
      </c>
      <c r="U226" s="221">
        <f t="shared" si="105"/>
        <v>126</v>
      </c>
      <c r="V226" s="220" t="str">
        <f t="shared" si="131"/>
        <v>-</v>
      </c>
      <c r="W226" s="221" t="str">
        <f t="shared" si="132"/>
        <v>-</v>
      </c>
      <c r="X226" s="221" t="str">
        <f t="shared" si="106"/>
        <v>-</v>
      </c>
      <c r="Y226" s="221" t="str">
        <f t="shared" si="107"/>
        <v>-</v>
      </c>
      <c r="Z226" s="270">
        <f t="shared" si="133"/>
        <v>0.1</v>
      </c>
      <c r="AA226" s="271" t="str">
        <f>IFERROR(IF(V225=1,AA$100*EXP(-(LN(2)/$D$65+0.04)*X225)*EXP(-(LN(2)/$D$65+0.1)*Y225),IF(V225=2,AA$100*EXP(-(LN(2)/$D$65+0.04)*(VLOOKUP(($F$16-$F$15)-1,U$99:Y225,4,FALSE)))*EXP(-(LN(2)/$D$65+0.1)*(VLOOKUP(($F$16-$F$15)-1,U$99:Y225,5,FALSE)))*EXP(-(LN(2)/$D$65+0.04)*X225)*EXP(-(LN(2)/$D$65+0.1)*Y225),IF(V225=3,AA$100*EXP(-(LN(2)/$D$65+0.04)*(VLOOKUP(($F$16-$F$15)-1,U$99:Y225,4,FALSE)))*EXP(-(LN(2)/$D$65+0.1)*(VLOOKUP(($F$16-$F$15)-1,U$99:Y225,5,FALSE)))*EXP(-(LN(2)/$D$65+0.04)*(VLOOKUP(($F$16-$F$15)*2-1,U$99:Y225,4,FALSE)))*EXP(-(LN(2)/$D$65+0.1)*(VLOOKUP(($F$16-$F$15)*2-1,U$99:Y225,5,FALSE)))*EXP(-(LN(2)/$D$65+0.04)*X225)*EXP(-(LN(2)/$D$65+0.1)*Y225),"-"))),"-")</f>
        <v>-</v>
      </c>
      <c r="AB226" s="271" t="str">
        <f>IFERROR(IF(V226=1,AB$100*EXP(-(LN(2)/$D$65+0.04)*X226)*EXP(-(LN(2)/$D$65+0.1)*Y226),IF(V226=2,AB$100*EXP(-(LN(2)/$D$65+0.04)*(VLOOKUP(($F$16-$F$15)-1,U$100:Y226,4,FALSE)))*EXP(-(LN(2)/$D$65+0.1)*(VLOOKUP(($F$16-$F$15)-1,U$100:Y226,5,FALSE)))*EXP(-(LN(2)/$D$65+0.04)*X226)*EXP(-(LN(2)/$D$65+0.1)*Y226),IF(V226=3,AB$100*EXP(-(LN(2)/$D$65+0.04)*(VLOOKUP(($F$16-$F$15)-1,U$100:Y226,4,FALSE)))*EXP(-(LN(2)/$D$65+0.1)*(VLOOKUP(($F$16-$F$15)-1,U$100:Y226,5,FALSE)))*EXP(-(LN(2)/$D$65+0.04)*(VLOOKUP(($F$16-$F$15)*2-1,U$100:Y226,4,FALSE)))*EXP(-(LN(2)/$D$65+0.1)*(VLOOKUP(($F$16-$F$15)*2-1,U$100:Y226,5,FALSE)))*EXP(-(LN(2)/$D$65+0.04)*X226)*EXP(-(LN(2)/$D$65+0.1)*Y226),"-"))),"-")</f>
        <v>-</v>
      </c>
      <c r="AC226" s="224">
        <f t="shared" si="134"/>
        <v>126</v>
      </c>
      <c r="AD226" s="223" t="str">
        <f t="shared" si="108"/>
        <v>-</v>
      </c>
      <c r="AE226" s="224" t="str">
        <f t="shared" si="135"/>
        <v>-</v>
      </c>
      <c r="AF226" s="224" t="str">
        <f t="shared" si="109"/>
        <v>-</v>
      </c>
      <c r="AG226" s="224" t="str">
        <f t="shared" si="110"/>
        <v>-</v>
      </c>
      <c r="AH226" s="272">
        <f t="shared" si="136"/>
        <v>0.1</v>
      </c>
      <c r="AI226" s="271" t="str">
        <f>IFERROR(IF(AD225=1,AI$100*EXP(-(LN(2)/$D$65+0.04)*AF225)*EXP(-(LN(2)/$D$65+0.1)*AG225),IF(AD225=2,AI$100*EXP(-(LN(2)/$D$65+0.04)*(VLOOKUP(($F$16-$F$15)-1,AC$99:AG225,4,FALSE)))*EXP(-(LN(2)/$D$65+0.1)*(VLOOKUP(($F$16-$F$15)-1,AC$99:AG225,5,FALSE)))*EXP(-(LN(2)/$D$65+0.04)*AF225)*EXP(-(LN(2)/$D$65+0.1)*AG225),IF(AD225=3,AI$100*EXP(-(LN(2)/$D$65+0.04)*(VLOOKUP(($F$16-$F$15)-1,AC$99:AG225,4,FALSE)))*EXP(-(LN(2)/$D$65+0.1)*(VLOOKUP(($F$16-$F$15)-1,AC$99:AG225,5,FALSE)))*EXP(-(LN(2)/$D$65+0.04)*(VLOOKUP(($F$16-$F$15)*2-1,AC$99:AG225,4,FALSE)))*EXP(-(LN(2)/$D$65+0.1)*(VLOOKUP(($F$16-$F$15)*2-1,AC$99:AG225,5,FALSE)))*EXP(-(LN(2)/$D$65+0.04)*AF225)*EXP(-(LN(2)/$D$65+0.1)*AG225),"-"))),"-")</f>
        <v>-</v>
      </c>
      <c r="AJ226" s="271" t="str">
        <f>IFERROR(IF(AD226=1,AJ$100*EXP(-(LN(2)/$D$65+0.04)*AF226)*EXP(-(LN(2)/$D$65+0.1)*AG226),IF(AD226=2,AJ$100*EXP(-(LN(2)/$D$65+0.04)*(VLOOKUP(($F$16-$F$15)-1,AC$100:AG226,4,FALSE)))*EXP(-(LN(2)/$D$65+0.1)*(VLOOKUP(($F$16-$F$15)-1,AC$100:AG226,5,FALSE)))*EXP(-(LN(2)/$D$65+0.04)*AF226)*EXP(-(LN(2)/$D$65+0.1)*AG226),IF(AD226=3,AJ$100*EXP(-(LN(2)/$D$65+0.04)*(VLOOKUP(($F$16-$F$15)-1,AC$100:AG226,4,FALSE)))*EXP(-(LN(2)/$D$65+0.1)*(VLOOKUP(($F$16-$F$15)-1,AC$100:AG226,5,FALSE)))*EXP(-(LN(2)/$D$65+0.04)*(VLOOKUP(($F$16-$F$15)*2-1,AC$100:AG226,4,FALSE)))*EXP(-(LN(2)/$D$65+0.1)*(VLOOKUP(($F$16-$F$15)*2-1,AC$100:AG226,5,FALSE)))*EXP(-(LN(2)/$D$65+0.04)*AF226)*EXP(-(LN(2)/$D$65+0.1)*AG226),"-"))),"-")</f>
        <v>-</v>
      </c>
      <c r="AK226" s="227">
        <f t="shared" si="137"/>
        <v>126</v>
      </c>
      <c r="AL226" s="226" t="str">
        <f t="shared" si="111"/>
        <v>-</v>
      </c>
      <c r="AM226" s="227" t="str">
        <f t="shared" si="138"/>
        <v>-</v>
      </c>
      <c r="AN226" s="227" t="str">
        <f t="shared" si="139"/>
        <v>-</v>
      </c>
      <c r="AO226" s="227" t="str">
        <f t="shared" si="112"/>
        <v>-</v>
      </c>
      <c r="AP226" s="273">
        <f t="shared" si="140"/>
        <v>0.1</v>
      </c>
      <c r="AQ226" s="271" t="str">
        <f>IFERROR(IF(AL225=1,AQ$100*EXP(-(LN(2)/$D$65+0.04)*AN225)*EXP(-(LN(2)/$D$65+0.1)*AO225),IF(AL225=2,AQ$100*EXP(-(LN(2)/$D$65+0.04)*(VLOOKUP(($F$16-$F$15)-1,AK$99:AO225,4,FALSE)))*EXP(-(LN(2)/$D$65+0.1)*(VLOOKUP(($F$16-$F$15)-1,AK$99:AO225,5,FALSE)))*EXP(-(LN(2)/$D$65+0.04)*AN225)*EXP(-(LN(2)/$D$65+0.1)*AO225),IF(AL225=3,AQ$100*EXP(-(LN(2)/$D$65+0.04)*(VLOOKUP(($F$16-$F$15)-1,AK$99:AO225,4,FALSE)))*EXP(-(LN(2)/$D$65+0.1)*(VLOOKUP(($F$16-$F$15)-1,AK$99:AO225,5,FALSE)))*EXP(-(LN(2)/$D$65+0.04)*(VLOOKUP(($F$16-$F$15)*2-1,AK$99:AO225,4,FALSE)))*EXP(-(LN(2)/$D$65+0.1)*(VLOOKUP(($F$16-$F$15)*2-1,AK$99:AO225,5,FALSE)))*EXP(-(LN(2)/$D$65+0.04)*AN225)*EXP(-(LN(2)/$D$65+0.1)*AO225),"-"))),"-")</f>
        <v>-</v>
      </c>
      <c r="AR226" s="271" t="str">
        <f>IFERROR(IF(AL226=1,AR$100*EXP(-(LN(2)/$D$65+0.04)*AN226)*EXP(-(LN(2)/$D$65+0.1)*AO226),IF(AL226=2,AR$100*EXP(-(LN(2)/$D$65+0.04)*(VLOOKUP(($F$16-$F$15)-1,AK$100:AO226,4,FALSE)))*EXP(-(LN(2)/$D$65+0.1)*(VLOOKUP(($F$16-$F$15)-1,AK$100:AO226,5,FALSE)))*EXP(-(LN(2)/$D$65+0.04)*AN226)*EXP(-(LN(2)/$D$65+0.1)*AO226),IF(AL226=3,AR$100*EXP(-(LN(2)/$D$65+0.04)*(VLOOKUP(($F$16-$F$15)-1,AK$100:AO226,4,FALSE)))*EXP(-(LN(2)/$D$65+0.1)*(VLOOKUP(($F$16-$F$15)-1,AK$100:AO226,5,FALSE)))*EXP(-(LN(2)/$D$65+0.04)*(VLOOKUP(($F$16-$F$15)*2-1,AK$100:AO226,4,FALSE)))*EXP(-(LN(2)/$D$65+0.1)*(VLOOKUP(($F$16-$F$15)*2-1,AK$100:AO226,5,FALSE)))*EXP(-(LN(2)/$D$65+0.04)*AN226)*EXP(-(LN(2)/$D$65+0.1)*AO226),"-"))),"-")</f>
        <v>-</v>
      </c>
      <c r="AS226" s="274">
        <f t="shared" si="113"/>
        <v>0</v>
      </c>
      <c r="AT226" s="274">
        <f t="shared" si="114"/>
        <v>0</v>
      </c>
      <c r="AU226" s="274">
        <f t="shared" si="115"/>
        <v>0</v>
      </c>
      <c r="AV226" s="190">
        <f>IF($B226&lt;$F$22,SUM($T$100:$T226),"")</f>
        <v>0</v>
      </c>
      <c r="AW226" s="190" t="str">
        <f t="shared" si="161"/>
        <v>-</v>
      </c>
      <c r="AX226" s="190" t="str">
        <f t="shared" si="141"/>
        <v/>
      </c>
      <c r="AY226"/>
      <c r="AZ226" s="190" t="str">
        <f ca="1">IF(ISNUMBER(OFFSET(AV226,-$F$21,0)),SUM(OFFSET($T$100,$F$21,0):$T226),"")</f>
        <v/>
      </c>
      <c r="BA226" s="190" t="str">
        <f t="shared" ca="1" si="162"/>
        <v/>
      </c>
      <c r="BB226" s="190" t="str">
        <f t="shared" ca="1" si="148"/>
        <v/>
      </c>
      <c r="BC226" s="190"/>
      <c r="BD226" s="190" t="str">
        <f ca="1">IFERROR(IF(AND($B226&gt;=($F$16-$F$15),$B226&lt;$F$22+($F$16-$F$15)),SUM(OFFSET($T$100,($F$16-$F$15),0):$T226),""),"")</f>
        <v/>
      </c>
      <c r="BE226" s="190" t="str">
        <f t="shared" ca="1" si="142"/>
        <v/>
      </c>
      <c r="BF226" s="190" t="str">
        <f t="shared" ca="1" si="143"/>
        <v/>
      </c>
      <c r="BG226"/>
      <c r="BH226" s="190" t="str">
        <f ca="1">IF(ISNUMBER(OFFSET(BD226,-$F$21,0)),SUM(OFFSET($T$100,($F$16-$F$15+$F$21),0):$T226),"")</f>
        <v/>
      </c>
      <c r="BI226" s="190" t="str">
        <f t="shared" ca="1" si="163"/>
        <v/>
      </c>
      <c r="BJ226" s="190" t="str">
        <f t="shared" ca="1" si="144"/>
        <v/>
      </c>
      <c r="BK226" s="190"/>
      <c r="BL226" s="190" t="str">
        <f ca="1">IFERROR(IF(AND($B226&gt;=($F$17-$F$15),$B226&lt;$F$22+($F$17-$F$15)),SUM(OFFSET($T$100,($F$17-$F$15),0):$T226),""),"")</f>
        <v/>
      </c>
      <c r="BM226" s="190" t="str">
        <f t="shared" ca="1" si="164"/>
        <v/>
      </c>
      <c r="BN226" s="190" t="str">
        <f t="shared" ca="1" si="145"/>
        <v/>
      </c>
      <c r="BO226"/>
      <c r="BP226" s="190" t="str">
        <f ca="1">IF(ISNUMBER(OFFSET(BL226,-$F$21,0)),SUM(OFFSET($T$100,($F$17-$F$15+$F$21),0):$T226),"")</f>
        <v/>
      </c>
      <c r="BQ226" s="190" t="str">
        <f t="shared" ca="1" si="165"/>
        <v/>
      </c>
      <c r="BR226" s="190" t="str">
        <f t="shared" ca="1" si="146"/>
        <v/>
      </c>
      <c r="BS226" s="190"/>
      <c r="BT226"/>
      <c r="BU226"/>
      <c r="BV226"/>
      <c r="BY226" s="99"/>
      <c r="BZ226" s="99"/>
      <c r="CA226" s="280" t="str">
        <f t="shared" si="166"/>
        <v/>
      </c>
      <c r="CB226" s="71" t="str">
        <f t="shared" si="122"/>
        <v>-</v>
      </c>
      <c r="CC226" s="33"/>
      <c r="CD226" s="261" t="str">
        <f t="shared" si="123"/>
        <v/>
      </c>
      <c r="CE226" s="280" t="str">
        <f t="shared" si="167"/>
        <v>-</v>
      </c>
      <c r="CF226" s="71" t="str">
        <f t="shared" ca="1" si="168"/>
        <v>-</v>
      </c>
      <c r="CG226" s="33" t="str">
        <f t="shared" si="126"/>
        <v>126-127</v>
      </c>
      <c r="CH226" s="261" t="str">
        <f t="shared" ca="1" si="127"/>
        <v/>
      </c>
    </row>
    <row r="227" spans="2:86" ht="13.5" customHeight="1" x14ac:dyDescent="0.2">
      <c r="B227" s="262">
        <v>127</v>
      </c>
      <c r="C227" s="237" t="str">
        <f t="shared" si="91"/>
        <v/>
      </c>
      <c r="D227" s="237" t="str">
        <f t="shared" si="147"/>
        <v>-</v>
      </c>
      <c r="E227" s="263" t="str">
        <f t="shared" si="128"/>
        <v/>
      </c>
      <c r="F227" s="264" t="str">
        <f t="shared" si="129"/>
        <v/>
      </c>
      <c r="G227" s="264" t="str">
        <f t="shared" si="130"/>
        <v/>
      </c>
      <c r="H227" s="240" t="str">
        <f t="shared" si="149"/>
        <v/>
      </c>
      <c r="I227" s="265" t="str">
        <f t="shared" si="150"/>
        <v/>
      </c>
      <c r="J227" s="265" t="str">
        <f t="shared" si="151"/>
        <v/>
      </c>
      <c r="K227" s="240" t="str">
        <f t="shared" si="152"/>
        <v/>
      </c>
      <c r="L227" s="265" t="str">
        <f t="shared" si="153"/>
        <v/>
      </c>
      <c r="M227" s="265" t="str">
        <f t="shared" si="154"/>
        <v/>
      </c>
      <c r="N227" s="240" t="str">
        <f t="shared" si="155"/>
        <v>-</v>
      </c>
      <c r="O227" s="265" t="str">
        <f t="shared" si="156"/>
        <v>-</v>
      </c>
      <c r="P227" s="265" t="str">
        <f t="shared" si="157"/>
        <v>-</v>
      </c>
      <c r="Q227" s="266" t="str">
        <f t="shared" si="158"/>
        <v>-</v>
      </c>
      <c r="R227" s="267" t="str">
        <f t="shared" si="159"/>
        <v>-</v>
      </c>
      <c r="S227" s="268" t="str">
        <f t="shared" si="160"/>
        <v>-</v>
      </c>
      <c r="T227" s="269" t="str">
        <f t="shared" si="104"/>
        <v/>
      </c>
      <c r="U227" s="221">
        <f t="shared" si="105"/>
        <v>127</v>
      </c>
      <c r="V227" s="220" t="str">
        <f t="shared" si="131"/>
        <v>-</v>
      </c>
      <c r="W227" s="221" t="str">
        <f t="shared" si="132"/>
        <v>-</v>
      </c>
      <c r="X227" s="221" t="str">
        <f t="shared" si="106"/>
        <v>-</v>
      </c>
      <c r="Y227" s="221" t="str">
        <f t="shared" si="107"/>
        <v>-</v>
      </c>
      <c r="Z227" s="270">
        <f t="shared" si="133"/>
        <v>0.1</v>
      </c>
      <c r="AA227" s="271" t="str">
        <f>IFERROR(IF(V226=1,AA$100*EXP(-(LN(2)/$D$65+0.04)*X226)*EXP(-(LN(2)/$D$65+0.1)*Y226),IF(V226=2,AA$100*EXP(-(LN(2)/$D$65+0.04)*(VLOOKUP(($F$16-$F$15)-1,U$99:Y226,4,FALSE)))*EXP(-(LN(2)/$D$65+0.1)*(VLOOKUP(($F$16-$F$15)-1,U$99:Y226,5,FALSE)))*EXP(-(LN(2)/$D$65+0.04)*X226)*EXP(-(LN(2)/$D$65+0.1)*Y226),IF(V226=3,AA$100*EXP(-(LN(2)/$D$65+0.04)*(VLOOKUP(($F$16-$F$15)-1,U$99:Y226,4,FALSE)))*EXP(-(LN(2)/$D$65+0.1)*(VLOOKUP(($F$16-$F$15)-1,U$99:Y226,5,FALSE)))*EXP(-(LN(2)/$D$65+0.04)*(VLOOKUP(($F$16-$F$15)*2-1,U$99:Y226,4,FALSE)))*EXP(-(LN(2)/$D$65+0.1)*(VLOOKUP(($F$16-$F$15)*2-1,U$99:Y226,5,FALSE)))*EXP(-(LN(2)/$D$65+0.04)*X226)*EXP(-(LN(2)/$D$65+0.1)*Y226),"-"))),"-")</f>
        <v>-</v>
      </c>
      <c r="AB227" s="271" t="str">
        <f>IFERROR(IF(V227=1,AB$100*EXP(-(LN(2)/$D$65+0.04)*X227)*EXP(-(LN(2)/$D$65+0.1)*Y227),IF(V227=2,AB$100*EXP(-(LN(2)/$D$65+0.04)*(VLOOKUP(($F$16-$F$15)-1,U$100:Y227,4,FALSE)))*EXP(-(LN(2)/$D$65+0.1)*(VLOOKUP(($F$16-$F$15)-1,U$100:Y227,5,FALSE)))*EXP(-(LN(2)/$D$65+0.04)*X227)*EXP(-(LN(2)/$D$65+0.1)*Y227),IF(V227=3,AB$100*EXP(-(LN(2)/$D$65+0.04)*(VLOOKUP(($F$16-$F$15)-1,U$100:Y227,4,FALSE)))*EXP(-(LN(2)/$D$65+0.1)*(VLOOKUP(($F$16-$F$15)-1,U$100:Y227,5,FALSE)))*EXP(-(LN(2)/$D$65+0.04)*(VLOOKUP(($F$16-$F$15)*2-1,U$100:Y227,4,FALSE)))*EXP(-(LN(2)/$D$65+0.1)*(VLOOKUP(($F$16-$F$15)*2-1,U$100:Y227,5,FALSE)))*EXP(-(LN(2)/$D$65+0.04)*X227)*EXP(-(LN(2)/$D$65+0.1)*Y227),"-"))),"-")</f>
        <v>-</v>
      </c>
      <c r="AC227" s="224">
        <f t="shared" si="134"/>
        <v>127</v>
      </c>
      <c r="AD227" s="223" t="str">
        <f t="shared" si="108"/>
        <v>-</v>
      </c>
      <c r="AE227" s="224" t="str">
        <f t="shared" si="135"/>
        <v>-</v>
      </c>
      <c r="AF227" s="224" t="str">
        <f t="shared" si="109"/>
        <v>-</v>
      </c>
      <c r="AG227" s="224" t="str">
        <f t="shared" si="110"/>
        <v>-</v>
      </c>
      <c r="AH227" s="272">
        <f t="shared" si="136"/>
        <v>0.1</v>
      </c>
      <c r="AI227" s="271" t="str">
        <f>IFERROR(IF(AD226=1,AI$100*EXP(-(LN(2)/$D$65+0.04)*AF226)*EXP(-(LN(2)/$D$65+0.1)*AG226),IF(AD226=2,AI$100*EXP(-(LN(2)/$D$65+0.04)*(VLOOKUP(($F$16-$F$15)-1,AC$99:AG226,4,FALSE)))*EXP(-(LN(2)/$D$65+0.1)*(VLOOKUP(($F$16-$F$15)-1,AC$99:AG226,5,FALSE)))*EXP(-(LN(2)/$D$65+0.04)*AF226)*EXP(-(LN(2)/$D$65+0.1)*AG226),IF(AD226=3,AI$100*EXP(-(LN(2)/$D$65+0.04)*(VLOOKUP(($F$16-$F$15)-1,AC$99:AG226,4,FALSE)))*EXP(-(LN(2)/$D$65+0.1)*(VLOOKUP(($F$16-$F$15)-1,AC$99:AG226,5,FALSE)))*EXP(-(LN(2)/$D$65+0.04)*(VLOOKUP(($F$16-$F$15)*2-1,AC$99:AG226,4,FALSE)))*EXP(-(LN(2)/$D$65+0.1)*(VLOOKUP(($F$16-$F$15)*2-1,AC$99:AG226,5,FALSE)))*EXP(-(LN(2)/$D$65+0.04)*AF226)*EXP(-(LN(2)/$D$65+0.1)*AG226),"-"))),"-")</f>
        <v>-</v>
      </c>
      <c r="AJ227" s="271" t="str">
        <f>IFERROR(IF(AD227=1,AJ$100*EXP(-(LN(2)/$D$65+0.04)*AF227)*EXP(-(LN(2)/$D$65+0.1)*AG227),IF(AD227=2,AJ$100*EXP(-(LN(2)/$D$65+0.04)*(VLOOKUP(($F$16-$F$15)-1,AC$100:AG227,4,FALSE)))*EXP(-(LN(2)/$D$65+0.1)*(VLOOKUP(($F$16-$F$15)-1,AC$100:AG227,5,FALSE)))*EXP(-(LN(2)/$D$65+0.04)*AF227)*EXP(-(LN(2)/$D$65+0.1)*AG227),IF(AD227=3,AJ$100*EXP(-(LN(2)/$D$65+0.04)*(VLOOKUP(($F$16-$F$15)-1,AC$100:AG227,4,FALSE)))*EXP(-(LN(2)/$D$65+0.1)*(VLOOKUP(($F$16-$F$15)-1,AC$100:AG227,5,FALSE)))*EXP(-(LN(2)/$D$65+0.04)*(VLOOKUP(($F$16-$F$15)*2-1,AC$100:AG227,4,FALSE)))*EXP(-(LN(2)/$D$65+0.1)*(VLOOKUP(($F$16-$F$15)*2-1,AC$100:AG227,5,FALSE)))*EXP(-(LN(2)/$D$65+0.04)*AF227)*EXP(-(LN(2)/$D$65+0.1)*AG227),"-"))),"-")</f>
        <v>-</v>
      </c>
      <c r="AK227" s="227">
        <f t="shared" si="137"/>
        <v>127</v>
      </c>
      <c r="AL227" s="226" t="str">
        <f t="shared" si="111"/>
        <v>-</v>
      </c>
      <c r="AM227" s="227" t="str">
        <f t="shared" si="138"/>
        <v>-</v>
      </c>
      <c r="AN227" s="227" t="str">
        <f t="shared" si="139"/>
        <v>-</v>
      </c>
      <c r="AO227" s="227" t="str">
        <f t="shared" si="112"/>
        <v>-</v>
      </c>
      <c r="AP227" s="273">
        <f t="shared" si="140"/>
        <v>0.1</v>
      </c>
      <c r="AQ227" s="271" t="str">
        <f>IFERROR(IF(AL226=1,AQ$100*EXP(-(LN(2)/$D$65+0.04)*AN226)*EXP(-(LN(2)/$D$65+0.1)*AO226),IF(AL226=2,AQ$100*EXP(-(LN(2)/$D$65+0.04)*(VLOOKUP(($F$16-$F$15)-1,AK$99:AO226,4,FALSE)))*EXP(-(LN(2)/$D$65+0.1)*(VLOOKUP(($F$16-$F$15)-1,AK$99:AO226,5,FALSE)))*EXP(-(LN(2)/$D$65+0.04)*AN226)*EXP(-(LN(2)/$D$65+0.1)*AO226),IF(AL226=3,AQ$100*EXP(-(LN(2)/$D$65+0.04)*(VLOOKUP(($F$16-$F$15)-1,AK$99:AO226,4,FALSE)))*EXP(-(LN(2)/$D$65+0.1)*(VLOOKUP(($F$16-$F$15)-1,AK$99:AO226,5,FALSE)))*EXP(-(LN(2)/$D$65+0.04)*(VLOOKUP(($F$16-$F$15)*2-1,AK$99:AO226,4,FALSE)))*EXP(-(LN(2)/$D$65+0.1)*(VLOOKUP(($F$16-$F$15)*2-1,AK$99:AO226,5,FALSE)))*EXP(-(LN(2)/$D$65+0.04)*AN226)*EXP(-(LN(2)/$D$65+0.1)*AO226),"-"))),"-")</f>
        <v>-</v>
      </c>
      <c r="AR227" s="271" t="str">
        <f>IFERROR(IF(AL227=1,AR$100*EXP(-(LN(2)/$D$65+0.04)*AN227)*EXP(-(LN(2)/$D$65+0.1)*AO227),IF(AL227=2,AR$100*EXP(-(LN(2)/$D$65+0.04)*(VLOOKUP(($F$16-$F$15)-1,AK$100:AO227,4,FALSE)))*EXP(-(LN(2)/$D$65+0.1)*(VLOOKUP(($F$16-$F$15)-1,AK$100:AO227,5,FALSE)))*EXP(-(LN(2)/$D$65+0.04)*AN227)*EXP(-(LN(2)/$D$65+0.1)*AO227),IF(AL227=3,AR$100*EXP(-(LN(2)/$D$65+0.04)*(VLOOKUP(($F$16-$F$15)-1,AK$100:AO227,4,FALSE)))*EXP(-(LN(2)/$D$65+0.1)*(VLOOKUP(($F$16-$F$15)-1,AK$100:AO227,5,FALSE)))*EXP(-(LN(2)/$D$65+0.04)*(VLOOKUP(($F$16-$F$15)*2-1,AK$100:AO227,4,FALSE)))*EXP(-(LN(2)/$D$65+0.1)*(VLOOKUP(($F$16-$F$15)*2-1,AK$100:AO227,5,FALSE)))*EXP(-(LN(2)/$D$65+0.04)*AN227)*EXP(-(LN(2)/$D$65+0.1)*AO227),"-"))),"-")</f>
        <v>-</v>
      </c>
      <c r="AS227" s="274">
        <f t="shared" si="113"/>
        <v>0</v>
      </c>
      <c r="AT227" s="274">
        <f t="shared" si="114"/>
        <v>0</v>
      </c>
      <c r="AU227" s="274">
        <f t="shared" si="115"/>
        <v>0</v>
      </c>
      <c r="AV227" s="190">
        <f>IF($B227&lt;$F$22,SUM($T$100:$T227),"")</f>
        <v>0</v>
      </c>
      <c r="AW227" s="190" t="str">
        <f t="shared" si="161"/>
        <v>-</v>
      </c>
      <c r="AX227" s="190" t="str">
        <f t="shared" si="141"/>
        <v/>
      </c>
      <c r="AY227"/>
      <c r="AZ227" s="190" t="str">
        <f ca="1">IF(ISNUMBER(OFFSET(AV227,-$F$21,0)),SUM(OFFSET($T$100,$F$21,0):$T227),"")</f>
        <v/>
      </c>
      <c r="BA227" s="190" t="str">
        <f t="shared" ca="1" si="162"/>
        <v/>
      </c>
      <c r="BB227" s="190" t="str">
        <f t="shared" ca="1" si="148"/>
        <v/>
      </c>
      <c r="BC227" s="190"/>
      <c r="BD227" s="190" t="str">
        <f ca="1">IFERROR(IF(AND($B227&gt;=($F$16-$F$15),$B227&lt;$F$22+($F$16-$F$15)),SUM(OFFSET($T$100,($F$16-$F$15),0):$T227),""),"")</f>
        <v/>
      </c>
      <c r="BE227" s="190" t="str">
        <f t="shared" ca="1" si="142"/>
        <v/>
      </c>
      <c r="BF227" s="190" t="str">
        <f t="shared" ca="1" si="143"/>
        <v/>
      </c>
      <c r="BG227"/>
      <c r="BH227" s="190" t="str">
        <f ca="1">IF(ISNUMBER(OFFSET(BD227,-$F$21,0)),SUM(OFFSET($T$100,($F$16-$F$15+$F$21),0):$T227),"")</f>
        <v/>
      </c>
      <c r="BI227" s="190" t="str">
        <f t="shared" ca="1" si="163"/>
        <v/>
      </c>
      <c r="BJ227" s="190" t="str">
        <f t="shared" ca="1" si="144"/>
        <v/>
      </c>
      <c r="BK227" s="190"/>
      <c r="BL227" s="190" t="str">
        <f ca="1">IFERROR(IF(AND($B227&gt;=($F$17-$F$15),$B227&lt;$F$22+($F$17-$F$15)),SUM(OFFSET($T$100,($F$17-$F$15),0):$T227),""),"")</f>
        <v/>
      </c>
      <c r="BM227" s="190" t="str">
        <f t="shared" ca="1" si="164"/>
        <v/>
      </c>
      <c r="BN227" s="190" t="str">
        <f t="shared" ca="1" si="145"/>
        <v/>
      </c>
      <c r="BO227"/>
      <c r="BP227" s="190" t="str">
        <f ca="1">IF(ISNUMBER(OFFSET(BL227,-$F$21,0)),SUM(OFFSET($T$100,($F$17-$F$15+$F$21),0):$T227),"")</f>
        <v/>
      </c>
      <c r="BQ227" s="190" t="str">
        <f t="shared" ca="1" si="165"/>
        <v/>
      </c>
      <c r="BR227" s="190" t="str">
        <f t="shared" ca="1" si="146"/>
        <v/>
      </c>
      <c r="BS227" s="190"/>
      <c r="BT227"/>
      <c r="BU227"/>
      <c r="BV227"/>
      <c r="BY227" s="99"/>
      <c r="BZ227" s="99"/>
      <c r="CA227" s="280" t="str">
        <f t="shared" si="166"/>
        <v/>
      </c>
      <c r="CB227" s="71" t="str">
        <f t="shared" si="122"/>
        <v>-</v>
      </c>
      <c r="CC227" s="33"/>
      <c r="CD227" s="261" t="str">
        <f t="shared" si="123"/>
        <v/>
      </c>
      <c r="CE227" s="280" t="str">
        <f t="shared" si="167"/>
        <v>-</v>
      </c>
      <c r="CF227" s="71" t="str">
        <f t="shared" ca="1" si="168"/>
        <v>-</v>
      </c>
      <c r="CG227" s="33" t="str">
        <f t="shared" si="126"/>
        <v>127-128</v>
      </c>
      <c r="CH227" s="261" t="str">
        <f t="shared" ca="1" si="127"/>
        <v/>
      </c>
    </row>
    <row r="228" spans="2:86" ht="13.5" customHeight="1" x14ac:dyDescent="0.2">
      <c r="B228" s="262">
        <v>128</v>
      </c>
      <c r="C228" s="237" t="str">
        <f t="shared" ref="C228:C250" si="169">IF(ISERROR(VLOOKUP(B228,$B$39:$C$73,2,0)),"",VLOOKUP(B228,$B$39:$C$73,2,0))</f>
        <v/>
      </c>
      <c r="D228" s="237" t="str">
        <f t="shared" si="147"/>
        <v>-</v>
      </c>
      <c r="E228" s="263" t="str">
        <f t="shared" si="128"/>
        <v/>
      </c>
      <c r="F228" s="264" t="str">
        <f t="shared" si="129"/>
        <v/>
      </c>
      <c r="G228" s="264" t="str">
        <f t="shared" si="130"/>
        <v/>
      </c>
      <c r="H228" s="240" t="str">
        <f t="shared" ref="H228:H250" si="170">IF(E228&lt;&gt;"",IF($B228&lt;$F$21,"",IF(ISNUMBER(F228),IF(ISNUMBER(I228),(E228*30*50*ffp),""),(E228*30*50*ffp))),"")</f>
        <v/>
      </c>
      <c r="I228" s="265" t="str">
        <f t="shared" ref="I228:I250" si="171">IFERROR(IF(F228&lt;&gt;"",IF($B228&lt;$F$21+$F$16,"",IF(ISNUMBER(G228),IF(ISNUMBER(J228),(F228*30*50*ffp),""),(F228*30*50*ffp))),""),"")</f>
        <v/>
      </c>
      <c r="J228" s="265" t="str">
        <f t="shared" ref="J228:J250" si="172">IFERROR(IF(G228&lt;&gt;"",IF($B228&lt;$F$21+$F$17,"",(G228*30*50*ffp)),""),"")</f>
        <v/>
      </c>
      <c r="K228" s="240" t="str">
        <f t="shared" ref="K228:K250" si="173">IF(E228&lt;&gt;"",((E228*20*50*ffp)/Klevee),"")</f>
        <v/>
      </c>
      <c r="L228" s="265" t="str">
        <f t="shared" ref="L228:L250" si="174">IF(ISNUMBER(F228),((F228*20*50*ffp)/Klevee),"")</f>
        <v/>
      </c>
      <c r="M228" s="265" t="str">
        <f t="shared" ref="M228:M250" si="175">IF(ISNUMBER(G228),((G228*20*50*ffp)/Klevee),"")</f>
        <v/>
      </c>
      <c r="N228" s="240" t="str">
        <f t="shared" ref="N228:N250" si="176">IF(AND(ISNUMBER(I),ISNUMBER($F$14),ISNUMBER($F$20)),IF($B228=0,I*($J$40/100)*$J$42*1,""),"-")</f>
        <v>-</v>
      </c>
      <c r="O228" s="265" t="str">
        <f t="shared" ref="O228:O250" si="177">IF(ISNUMBER($F$14),IF($F$14&gt;1,IF($B228=0+$F$16,I*($J$40/100)*$J$42*1,""),""),"-")</f>
        <v>-</v>
      </c>
      <c r="P228" s="265" t="str">
        <f t="shared" ref="P228:P250" si="178">IF(ISNUMBER($F$14),IF($F$14&gt;2,IF($B228=0+$F$17,I*($J$40/100)*$J$42*1,""),""),"-")</f>
        <v>-</v>
      </c>
      <c r="Q228" s="266" t="str">
        <f t="shared" ref="Q228:Q250" si="179">IF(AND(ISNUMBER(I),ISNUMBER($F$14),ISNUMBER($F$20)),IF($B228=0,I*(dt/100)*$J$45*1,""),"-")</f>
        <v>-</v>
      </c>
      <c r="R228" s="267" t="str">
        <f t="shared" ref="R228:R250" si="180">IF(ISNUMBER($F$14),IF($F$14&gt;1,IF($B228=0+$F$16,I*(dt/100)*$J$45*1,""),""),"-")</f>
        <v>-</v>
      </c>
      <c r="S228" s="268" t="str">
        <f t="shared" ref="S228:S250" si="181">IF(ISNUMBER($F$14),IF($F$14&gt;2,IF($B228=0+$F$17,I*(dt/100)*$J$45*1,""),""),"-")</f>
        <v>-</v>
      </c>
      <c r="T228" s="269" t="str">
        <f t="shared" ref="T228:T250" si="182">IF(SUM(H228:S228)=0,"",SUM(H228:S228))</f>
        <v/>
      </c>
      <c r="U228" s="221">
        <f t="shared" ref="U228:U250" si="183">B228</f>
        <v>128</v>
      </c>
      <c r="V228" s="220" t="str">
        <f t="shared" si="131"/>
        <v>-</v>
      </c>
      <c r="W228" s="221" t="str">
        <f t="shared" si="132"/>
        <v>-</v>
      </c>
      <c r="X228" s="221" t="str">
        <f t="shared" ref="X228:X250" si="184">IFERROR(IF($F$21=0,0,IF(V228=V227,IF(B228-(V228-1)*($F$16-$F$15)&lt;$F$21,X227+1,X227),1)),"-")</f>
        <v>-</v>
      </c>
      <c r="Y228" s="221" t="str">
        <f t="shared" ref="Y228:Y250" si="185">IFERROR(W228-X228,"-")</f>
        <v>-</v>
      </c>
      <c r="Z228" s="270">
        <f t="shared" si="133"/>
        <v>0.1</v>
      </c>
      <c r="AA228" s="271" t="str">
        <f>IFERROR(IF(V227=1,AA$100*EXP(-(LN(2)/$D$65+0.04)*X227)*EXP(-(LN(2)/$D$65+0.1)*Y227),IF(V227=2,AA$100*EXP(-(LN(2)/$D$65+0.04)*(VLOOKUP(($F$16-$F$15)-1,U$99:Y227,4,FALSE)))*EXP(-(LN(2)/$D$65+0.1)*(VLOOKUP(($F$16-$F$15)-1,U$99:Y227,5,FALSE)))*EXP(-(LN(2)/$D$65+0.04)*X227)*EXP(-(LN(2)/$D$65+0.1)*Y227),IF(V227=3,AA$100*EXP(-(LN(2)/$D$65+0.04)*(VLOOKUP(($F$16-$F$15)-1,U$99:Y227,4,FALSE)))*EXP(-(LN(2)/$D$65+0.1)*(VLOOKUP(($F$16-$F$15)-1,U$99:Y227,5,FALSE)))*EXP(-(LN(2)/$D$65+0.04)*(VLOOKUP(($F$16-$F$15)*2-1,U$99:Y227,4,FALSE)))*EXP(-(LN(2)/$D$65+0.1)*(VLOOKUP(($F$16-$F$15)*2-1,U$99:Y227,5,FALSE)))*EXP(-(LN(2)/$D$65+0.04)*X227)*EXP(-(LN(2)/$D$65+0.1)*Y227),"-"))),"-")</f>
        <v>-</v>
      </c>
      <c r="AB228" s="271" t="str">
        <f>IFERROR(IF(V228=1,AB$100*EXP(-(LN(2)/$D$65+0.04)*X228)*EXP(-(LN(2)/$D$65+0.1)*Y228),IF(V228=2,AB$100*EXP(-(LN(2)/$D$65+0.04)*(VLOOKUP(($F$16-$F$15)-1,U$100:Y228,4,FALSE)))*EXP(-(LN(2)/$D$65+0.1)*(VLOOKUP(($F$16-$F$15)-1,U$100:Y228,5,FALSE)))*EXP(-(LN(2)/$D$65+0.04)*X228)*EXP(-(LN(2)/$D$65+0.1)*Y228),IF(V228=3,AB$100*EXP(-(LN(2)/$D$65+0.04)*(VLOOKUP(($F$16-$F$15)-1,U$100:Y228,4,FALSE)))*EXP(-(LN(2)/$D$65+0.1)*(VLOOKUP(($F$16-$F$15)-1,U$100:Y228,5,FALSE)))*EXP(-(LN(2)/$D$65+0.04)*(VLOOKUP(($F$16-$F$15)*2-1,U$100:Y228,4,FALSE)))*EXP(-(LN(2)/$D$65+0.1)*(VLOOKUP(($F$16-$F$15)*2-1,U$100:Y228,5,FALSE)))*EXP(-(LN(2)/$D$65+0.04)*X228)*EXP(-(LN(2)/$D$65+0.1)*Y228),"-"))),"-")</f>
        <v>-</v>
      </c>
      <c r="AC228" s="224">
        <f t="shared" si="134"/>
        <v>128</v>
      </c>
      <c r="AD228" s="223" t="str">
        <f t="shared" ref="AD228:AD250" si="186">IFERROR(IF($F$14-1&gt;0,IF(B228&lt;($F$16-$F$15)*($F$14-1),INT(B228/($F$16-$F$15))+1,AD226),"-"),"-")</f>
        <v>-</v>
      </c>
      <c r="AE228" s="224" t="str">
        <f t="shared" si="135"/>
        <v>-</v>
      </c>
      <c r="AF228" s="224" t="str">
        <f t="shared" ref="AF228:AF250" si="187">IFERROR(IF($F$21=0,0,IF(AD228=AD227,IF(B228-(AD228-1)*($F$16-$F$15)&lt;$F$21,AF227+1,AF227),1)),"-")</f>
        <v>-</v>
      </c>
      <c r="AG228" s="224" t="str">
        <f t="shared" ref="AG228:AG250" si="188">IFERROR(AE228-AF228,"-")</f>
        <v>-</v>
      </c>
      <c r="AH228" s="272">
        <f t="shared" si="136"/>
        <v>0.1</v>
      </c>
      <c r="AI228" s="271" t="str">
        <f>IFERROR(IF(AD227=1,AI$100*EXP(-(LN(2)/$D$65+0.04)*AF227)*EXP(-(LN(2)/$D$65+0.1)*AG227),IF(AD227=2,AI$100*EXP(-(LN(2)/$D$65+0.04)*(VLOOKUP(($F$16-$F$15)-1,AC$99:AG227,4,FALSE)))*EXP(-(LN(2)/$D$65+0.1)*(VLOOKUP(($F$16-$F$15)-1,AC$99:AG227,5,FALSE)))*EXP(-(LN(2)/$D$65+0.04)*AF227)*EXP(-(LN(2)/$D$65+0.1)*AG227),IF(AD227=3,AI$100*EXP(-(LN(2)/$D$65+0.04)*(VLOOKUP(($F$16-$F$15)-1,AC$99:AG227,4,FALSE)))*EXP(-(LN(2)/$D$65+0.1)*(VLOOKUP(($F$16-$F$15)-1,AC$99:AG227,5,FALSE)))*EXP(-(LN(2)/$D$65+0.04)*(VLOOKUP(($F$16-$F$15)*2-1,AC$99:AG227,4,FALSE)))*EXP(-(LN(2)/$D$65+0.1)*(VLOOKUP(($F$16-$F$15)*2-1,AC$99:AG227,5,FALSE)))*EXP(-(LN(2)/$D$65+0.04)*AF227)*EXP(-(LN(2)/$D$65+0.1)*AG227),"-"))),"-")</f>
        <v>-</v>
      </c>
      <c r="AJ228" s="271" t="str">
        <f>IFERROR(IF(AD228=1,AJ$100*EXP(-(LN(2)/$D$65+0.04)*AF228)*EXP(-(LN(2)/$D$65+0.1)*AG228),IF(AD228=2,AJ$100*EXP(-(LN(2)/$D$65+0.04)*(VLOOKUP(($F$16-$F$15)-1,AC$100:AG228,4,FALSE)))*EXP(-(LN(2)/$D$65+0.1)*(VLOOKUP(($F$16-$F$15)-1,AC$100:AG228,5,FALSE)))*EXP(-(LN(2)/$D$65+0.04)*AF228)*EXP(-(LN(2)/$D$65+0.1)*AG228),IF(AD228=3,AJ$100*EXP(-(LN(2)/$D$65+0.04)*(VLOOKUP(($F$16-$F$15)-1,AC$100:AG228,4,FALSE)))*EXP(-(LN(2)/$D$65+0.1)*(VLOOKUP(($F$16-$F$15)-1,AC$100:AG228,5,FALSE)))*EXP(-(LN(2)/$D$65+0.04)*(VLOOKUP(($F$16-$F$15)*2-1,AC$100:AG228,4,FALSE)))*EXP(-(LN(2)/$D$65+0.1)*(VLOOKUP(($F$16-$F$15)*2-1,AC$100:AG228,5,FALSE)))*EXP(-(LN(2)/$D$65+0.04)*AF228)*EXP(-(LN(2)/$D$65+0.1)*AG228),"-"))),"-")</f>
        <v>-</v>
      </c>
      <c r="AK228" s="227">
        <f t="shared" si="137"/>
        <v>128</v>
      </c>
      <c r="AL228" s="226" t="str">
        <f t="shared" ref="AL228:AL250" si="189">IFERROR(IF($F$14-2&gt;0,IF(B228&lt;($F$16-$F$15)*($F$14-2),INT(B228/($F$16-$F$15))+1,AL226),"-"),"-")</f>
        <v>-</v>
      </c>
      <c r="AM228" s="227" t="str">
        <f t="shared" si="138"/>
        <v>-</v>
      </c>
      <c r="AN228" s="227" t="str">
        <f t="shared" si="139"/>
        <v>-</v>
      </c>
      <c r="AO228" s="227" t="str">
        <f t="shared" ref="AO228:AO250" si="190">IFERROR(AM228-AN228,"-")</f>
        <v>-</v>
      </c>
      <c r="AP228" s="273">
        <f t="shared" si="140"/>
        <v>0.1</v>
      </c>
      <c r="AQ228" s="271" t="str">
        <f>IFERROR(IF(AL227=1,AQ$100*EXP(-(LN(2)/$D$65+0.04)*AN227)*EXP(-(LN(2)/$D$65+0.1)*AO227),IF(AL227=2,AQ$100*EXP(-(LN(2)/$D$65+0.04)*(VLOOKUP(($F$16-$F$15)-1,AK$99:AO227,4,FALSE)))*EXP(-(LN(2)/$D$65+0.1)*(VLOOKUP(($F$16-$F$15)-1,AK$99:AO227,5,FALSE)))*EXP(-(LN(2)/$D$65+0.04)*AN227)*EXP(-(LN(2)/$D$65+0.1)*AO227),IF(AL227=3,AQ$100*EXP(-(LN(2)/$D$65+0.04)*(VLOOKUP(($F$16-$F$15)-1,AK$99:AO227,4,FALSE)))*EXP(-(LN(2)/$D$65+0.1)*(VLOOKUP(($F$16-$F$15)-1,AK$99:AO227,5,FALSE)))*EXP(-(LN(2)/$D$65+0.04)*(VLOOKUP(($F$16-$F$15)*2-1,AK$99:AO227,4,FALSE)))*EXP(-(LN(2)/$D$65+0.1)*(VLOOKUP(($F$16-$F$15)*2-1,AK$99:AO227,5,FALSE)))*EXP(-(LN(2)/$D$65+0.04)*AN227)*EXP(-(LN(2)/$D$65+0.1)*AO227),"-"))),"-")</f>
        <v>-</v>
      </c>
      <c r="AR228" s="271" t="str">
        <f>IFERROR(IF(AL228=1,AR$100*EXP(-(LN(2)/$D$65+0.04)*AN228)*EXP(-(LN(2)/$D$65+0.1)*AO228),IF(AL228=2,AR$100*EXP(-(LN(2)/$D$65+0.04)*(VLOOKUP(($F$16-$F$15)-1,AK$100:AO228,4,FALSE)))*EXP(-(LN(2)/$D$65+0.1)*(VLOOKUP(($F$16-$F$15)-1,AK$100:AO228,5,FALSE)))*EXP(-(LN(2)/$D$65+0.04)*AN228)*EXP(-(LN(2)/$D$65+0.1)*AO228),IF(AL228=3,AR$100*EXP(-(LN(2)/$D$65+0.04)*(VLOOKUP(($F$16-$F$15)-1,AK$100:AO228,4,FALSE)))*EXP(-(LN(2)/$D$65+0.1)*(VLOOKUP(($F$16-$F$15)-1,AK$100:AO228,5,FALSE)))*EXP(-(LN(2)/$D$65+0.04)*(VLOOKUP(($F$16-$F$15)*2-1,AK$100:AO228,4,FALSE)))*EXP(-(LN(2)/$D$65+0.1)*(VLOOKUP(($F$16-$F$15)*2-1,AK$100:AO228,5,FALSE)))*EXP(-(LN(2)/$D$65+0.04)*AN228)*EXP(-(LN(2)/$D$65+0.1)*AO228),"-"))),"-")</f>
        <v>-</v>
      </c>
      <c r="AS228" s="274">
        <f t="shared" ref="AS228:AS250" si="191">SUM(H228:J228)</f>
        <v>0</v>
      </c>
      <c r="AT228" s="274">
        <f t="shared" ref="AT228:AT250" si="192">SUM(K228:M228)</f>
        <v>0</v>
      </c>
      <c r="AU228" s="274">
        <f t="shared" ref="AU228:AU250" si="193">SUM(N228:S228)</f>
        <v>0</v>
      </c>
      <c r="AV228" s="190">
        <f>IF($B228&lt;$F$22,SUM($T$100:$T228),"")</f>
        <v>0</v>
      </c>
      <c r="AW228" s="190" t="str">
        <f t="shared" ref="AW228:AW250" si="194">IF(ISNUMBER(Koc),IF(ISNUMBER(AV228),AV228*(Koc*(Ocse/100)*Pse*Vse)/(Koc*(Ocse/100)*Pse*Vse+1*86400*($B228+1)),""),"-")</f>
        <v>-</v>
      </c>
      <c r="AX228" s="190" t="str">
        <f t="shared" si="141"/>
        <v/>
      </c>
      <c r="AY228"/>
      <c r="AZ228" s="190" t="str">
        <f ca="1">IF(ISNUMBER(OFFSET(AV228,-$F$21,0)),SUM(OFFSET($T$100,$F$21,0):$T228),"")</f>
        <v/>
      </c>
      <c r="BA228" s="190" t="str">
        <f t="shared" ref="BA228:BA250" ca="1" si="195">IF(ISNUMBER(OFFSET(AV228,-$F$21,0)),AZ228*(Koc*(Ocse/100)*Pse*Vse)/(Koc*(Ocse/100)*Pse*Vse+1*86400*($B228+1)),"")</f>
        <v/>
      </c>
      <c r="BB228" s="190" t="str">
        <f t="shared" ca="1" si="148"/>
        <v/>
      </c>
      <c r="BC228" s="190"/>
      <c r="BD228" s="190" t="str">
        <f ca="1">IFERROR(IF(AND($B228&gt;=($F$16-$F$15),$B228&lt;$F$22+($F$16-$F$15)),SUM(OFFSET($T$100,($F$16-$F$15),0):$T228),""),"")</f>
        <v/>
      </c>
      <c r="BE228" s="190" t="str">
        <f t="shared" ca="1" si="142"/>
        <v/>
      </c>
      <c r="BF228" s="190" t="str">
        <f t="shared" ca="1" si="143"/>
        <v/>
      </c>
      <c r="BG228"/>
      <c r="BH228" s="190" t="str">
        <f ca="1">IF(ISNUMBER(OFFSET(BD228,-$F$21,0)),SUM(OFFSET($T$100,($F$16-$F$15+$F$21),0):$T228),"")</f>
        <v/>
      </c>
      <c r="BI228" s="190" t="str">
        <f t="shared" ref="BI228:BI250" ca="1" si="196">IF(ISNUMBER(OFFSET(BD228,-$F$21,0)),BH228*(Koc*(Ocse/100)*Pse*Vse)/(Koc*(Ocse/100)*Pse*Vse+1*86400*($B228+1)),"")</f>
        <v/>
      </c>
      <c r="BJ228" s="190" t="str">
        <f t="shared" ca="1" si="144"/>
        <v/>
      </c>
      <c r="BK228" s="190"/>
      <c r="BL228" s="190" t="str">
        <f ca="1">IFERROR(IF(AND($B228&gt;=($F$17-$F$15),$B228&lt;$F$22+($F$17-$F$15)),SUM(OFFSET($T$100,($F$17-$F$15),0):$T228),""),"")</f>
        <v/>
      </c>
      <c r="BM228" s="190" t="str">
        <f t="shared" ref="BM228:BM250" ca="1" si="197">IF(ISNUMBER(BL228),BL228*(Koc*(Ocse/100)*Pse*Vse)/(Koc*(Ocse/100)*Pse*Vse+1*86400*($B228+1)),"")</f>
        <v/>
      </c>
      <c r="BN228" s="190" t="str">
        <f t="shared" ca="1" si="145"/>
        <v/>
      </c>
      <c r="BO228"/>
      <c r="BP228" s="190" t="str">
        <f ca="1">IF(ISNUMBER(OFFSET(BL228,-$F$21,0)),SUM(OFFSET($T$100,($F$17-$F$15+$F$21),0):$T228),"")</f>
        <v/>
      </c>
      <c r="BQ228" s="190" t="str">
        <f t="shared" ref="BQ228:BQ250" ca="1" si="198">IF(ISNUMBER(OFFSET(BL228,-$F$21,0)),BP228*(Koc*(Ocse/100)*Pse*Vse)/(Koc*(Ocse/100)*Pse*Vse+1*86400*($B228+1)),"")</f>
        <v/>
      </c>
      <c r="BR228" s="190" t="str">
        <f t="shared" ca="1" si="146"/>
        <v/>
      </c>
      <c r="BS228" s="190"/>
      <c r="BT228"/>
      <c r="BU228"/>
      <c r="BV228"/>
      <c r="BY228" s="99"/>
      <c r="BZ228" s="99"/>
      <c r="CA228" s="280" t="str">
        <f t="shared" ref="CA228:CA250" si="199">IFERROR(IF($B228&lt;$CA$94,T228*(Koc*(Ocse/100)*Pse*Vse)/(Koc*(Ocse/100)*Pse*Vse+1*86400*$CA$94),""),"-")</f>
        <v/>
      </c>
      <c r="CB228" s="71" t="str">
        <f t="shared" ref="CB228:CB250" si="200">IF(ISNUMBER(T228),IF($B228&lt;$CA$94,(T228-CA228)/(3*86400)*1000,""),"-")</f>
        <v>-</v>
      </c>
      <c r="CC228" s="33"/>
      <c r="CD228" s="261" t="str">
        <f t="shared" ref="CD228:CD250" si="201">IF(CC228=CA$96,CB$96,"")</f>
        <v/>
      </c>
      <c r="CE228" s="280" t="str">
        <f t="shared" ref="CE228:CE250" si="202">IFERROR(IF($B228&lt;$CE$94,T228*(Koc*(Ocse/100)*Pse*Vse)/(Koc*(Ocse/100)*Pse*Vse+1*86400*$CE$94),""),"-")</f>
        <v>-</v>
      </c>
      <c r="CF228" s="71" t="str">
        <f t="shared" ref="CF228:CF250" ca="1" si="203">IFERROR(IF($B228&lt;$CE$94,IF(NOT(ISNUMBER(ffp)),"-",IF($F$70=$AX$87,AX228,IF($F$70=$BB$87,OFFSET(BB228,$F$21,0),IF($F$70=$BF$87,OFFSET(BF228,$F$16,0),IF($F$70=$BJ$87,OFFSET(BJ228,$F$16+$F$21,0),IF($F$70=$BN$87,OFFSET(BN228,$F$17,0),OFFSET(BR228,$F$17+$F$21,0))))))),""),"-")</f>
        <v>-</v>
      </c>
      <c r="CG228" s="33" t="str">
        <f t="shared" ref="CG228:CG250" si="204">IF($B228&lt;$CE$94,$B228&amp;"-"&amp;$B228+1,"")</f>
        <v>128-129</v>
      </c>
      <c r="CH228" s="261" t="str">
        <f t="shared" ref="CH228:CH250" ca="1" si="205">IF(CG228=CE$96,CF$96,"")</f>
        <v/>
      </c>
    </row>
    <row r="229" spans="2:86" ht="13.5" customHeight="1" x14ac:dyDescent="0.2">
      <c r="B229" s="262">
        <v>129</v>
      </c>
      <c r="C229" s="237" t="str">
        <f t="shared" si="169"/>
        <v/>
      </c>
      <c r="D229" s="237" t="str">
        <f t="shared" si="147"/>
        <v>-</v>
      </c>
      <c r="E229" s="263" t="str">
        <f t="shared" ref="E229:E250" si="206">IF(ISNUMBER($F$14),IF(ISNUMBER(AA229),AA229,""),"")</f>
        <v/>
      </c>
      <c r="F229" s="264" t="str">
        <f t="shared" ref="F229:F250" si="207">IF(OR($F$14=2,$F$14=3),IF(($F$16-$F$15)&gt;B229," ",VLOOKUP((B229-($F$16-$F$15)),$AC$100:$AI$250,7,FALSE)),"")</f>
        <v/>
      </c>
      <c r="G229" s="264" t="str">
        <f t="shared" ref="G229:G250" si="208">IF($F$14=3,IF(($F$16-$F$15)*2&gt;B229," ",VLOOKUP((B229-($F$16-$F$15)*2),$AK$100:$AQ$250,7,FALSE)),"")</f>
        <v/>
      </c>
      <c r="H229" s="240" t="str">
        <f t="shared" si="170"/>
        <v/>
      </c>
      <c r="I229" s="265" t="str">
        <f t="shared" si="171"/>
        <v/>
      </c>
      <c r="J229" s="265" t="str">
        <f t="shared" si="172"/>
        <v/>
      </c>
      <c r="K229" s="240" t="str">
        <f t="shared" si="173"/>
        <v/>
      </c>
      <c r="L229" s="265" t="str">
        <f t="shared" si="174"/>
        <v/>
      </c>
      <c r="M229" s="265" t="str">
        <f t="shared" si="175"/>
        <v/>
      </c>
      <c r="N229" s="240" t="str">
        <f t="shared" si="176"/>
        <v>-</v>
      </c>
      <c r="O229" s="265" t="str">
        <f t="shared" si="177"/>
        <v>-</v>
      </c>
      <c r="P229" s="265" t="str">
        <f t="shared" si="178"/>
        <v>-</v>
      </c>
      <c r="Q229" s="266" t="str">
        <f t="shared" si="179"/>
        <v>-</v>
      </c>
      <c r="R229" s="267" t="str">
        <f t="shared" si="180"/>
        <v>-</v>
      </c>
      <c r="S229" s="268" t="str">
        <f t="shared" si="181"/>
        <v>-</v>
      </c>
      <c r="T229" s="269" t="str">
        <f t="shared" si="182"/>
        <v/>
      </c>
      <c r="U229" s="221">
        <f t="shared" si="183"/>
        <v>129</v>
      </c>
      <c r="V229" s="220" t="str">
        <f t="shared" ref="V229:V250" si="209">IF(ISNUMBER($F$14),IF(B229&lt;($F$16-$F$15)*$F$14,INT(B229/($F$16-$F$15))+1,V227),"-")</f>
        <v>-</v>
      </c>
      <c r="W229" s="221" t="str">
        <f t="shared" ref="W229:W250" si="210">IF(ISNUMBER($F$14),IF(B229&lt;$F$14*($F$16-$F$15),B229-INT(B229/($F$16-$F$15))*($F$16-$F$15)+1,W228+1),"-")</f>
        <v>-</v>
      </c>
      <c r="X229" s="221" t="str">
        <f t="shared" si="184"/>
        <v>-</v>
      </c>
      <c r="Y229" s="221" t="str">
        <f t="shared" si="185"/>
        <v>-</v>
      </c>
      <c r="Z229" s="270">
        <f t="shared" ref="Z229:Z250" si="211">IF(Y229&gt;0,0.1,0.04)</f>
        <v>0.1</v>
      </c>
      <c r="AA229" s="271" t="str">
        <f>IFERROR(IF(V228=1,AA$100*EXP(-(LN(2)/$D$65+0.04)*X228)*EXP(-(LN(2)/$D$65+0.1)*Y228),IF(V228=2,AA$100*EXP(-(LN(2)/$D$65+0.04)*(VLOOKUP(($F$16-$F$15)-1,U$99:Y228,4,FALSE)))*EXP(-(LN(2)/$D$65+0.1)*(VLOOKUP(($F$16-$F$15)-1,U$99:Y228,5,FALSE)))*EXP(-(LN(2)/$D$65+0.04)*X228)*EXP(-(LN(2)/$D$65+0.1)*Y228),IF(V228=3,AA$100*EXP(-(LN(2)/$D$65+0.04)*(VLOOKUP(($F$16-$F$15)-1,U$99:Y228,4,FALSE)))*EXP(-(LN(2)/$D$65+0.1)*(VLOOKUP(($F$16-$F$15)-1,U$99:Y228,5,FALSE)))*EXP(-(LN(2)/$D$65+0.04)*(VLOOKUP(($F$16-$F$15)*2-1,U$99:Y228,4,FALSE)))*EXP(-(LN(2)/$D$65+0.1)*(VLOOKUP(($F$16-$F$15)*2-1,U$99:Y228,5,FALSE)))*EXP(-(LN(2)/$D$65+0.04)*X228)*EXP(-(LN(2)/$D$65+0.1)*Y228),"-"))),"-")</f>
        <v>-</v>
      </c>
      <c r="AB229" s="271" t="str">
        <f>IFERROR(IF(V229=1,AB$100*EXP(-(LN(2)/$D$65+0.04)*X229)*EXP(-(LN(2)/$D$65+0.1)*Y229),IF(V229=2,AB$100*EXP(-(LN(2)/$D$65+0.04)*(VLOOKUP(($F$16-$F$15)-1,U$100:Y229,4,FALSE)))*EXP(-(LN(2)/$D$65+0.1)*(VLOOKUP(($F$16-$F$15)-1,U$100:Y229,5,FALSE)))*EXP(-(LN(2)/$D$65+0.04)*X229)*EXP(-(LN(2)/$D$65+0.1)*Y229),IF(V229=3,AB$100*EXP(-(LN(2)/$D$65+0.04)*(VLOOKUP(($F$16-$F$15)-1,U$100:Y229,4,FALSE)))*EXP(-(LN(2)/$D$65+0.1)*(VLOOKUP(($F$16-$F$15)-1,U$100:Y229,5,FALSE)))*EXP(-(LN(2)/$D$65+0.04)*(VLOOKUP(($F$16-$F$15)*2-1,U$100:Y229,4,FALSE)))*EXP(-(LN(2)/$D$65+0.1)*(VLOOKUP(($F$16-$F$15)*2-1,U$100:Y229,5,FALSE)))*EXP(-(LN(2)/$D$65+0.04)*X229)*EXP(-(LN(2)/$D$65+0.1)*Y229),"-"))),"-")</f>
        <v>-</v>
      </c>
      <c r="AC229" s="224">
        <f t="shared" ref="AC229:AC240" si="212">B229</f>
        <v>129</v>
      </c>
      <c r="AD229" s="223" t="str">
        <f t="shared" si="186"/>
        <v>-</v>
      </c>
      <c r="AE229" s="224" t="str">
        <f t="shared" ref="AE229:AE250" si="213">IFERROR(IF($F$14-1&gt;0,IF(B229&lt;($F$14-1)*($F$16-$F$15),B229-INT(B229/($F$16-$F$15))*($F$16-$F$15)+1,AE228+1),"-"),"-")</f>
        <v>-</v>
      </c>
      <c r="AF229" s="224" t="str">
        <f t="shared" si="187"/>
        <v>-</v>
      </c>
      <c r="AG229" s="224" t="str">
        <f t="shared" si="188"/>
        <v>-</v>
      </c>
      <c r="AH229" s="272">
        <f t="shared" ref="AH229:AH250" si="214">IF(AG229&gt;0,0.1,0.04)</f>
        <v>0.1</v>
      </c>
      <c r="AI229" s="271" t="str">
        <f>IFERROR(IF(AD228=1,AI$100*EXP(-(LN(2)/$D$65+0.04)*AF228)*EXP(-(LN(2)/$D$65+0.1)*AG228),IF(AD228=2,AI$100*EXP(-(LN(2)/$D$65+0.04)*(VLOOKUP(($F$16-$F$15)-1,AC$99:AG228,4,FALSE)))*EXP(-(LN(2)/$D$65+0.1)*(VLOOKUP(($F$16-$F$15)-1,AC$99:AG228,5,FALSE)))*EXP(-(LN(2)/$D$65+0.04)*AF228)*EXP(-(LN(2)/$D$65+0.1)*AG228),IF(AD228=3,AI$100*EXP(-(LN(2)/$D$65+0.04)*(VLOOKUP(($F$16-$F$15)-1,AC$99:AG228,4,FALSE)))*EXP(-(LN(2)/$D$65+0.1)*(VLOOKUP(($F$16-$F$15)-1,AC$99:AG228,5,FALSE)))*EXP(-(LN(2)/$D$65+0.04)*(VLOOKUP(($F$16-$F$15)*2-1,AC$99:AG228,4,FALSE)))*EXP(-(LN(2)/$D$65+0.1)*(VLOOKUP(($F$16-$F$15)*2-1,AC$99:AG228,5,FALSE)))*EXP(-(LN(2)/$D$65+0.04)*AF228)*EXP(-(LN(2)/$D$65+0.1)*AG228),"-"))),"-")</f>
        <v>-</v>
      </c>
      <c r="AJ229" s="271" t="str">
        <f>IFERROR(IF(AD229=1,AJ$100*EXP(-(LN(2)/$D$65+0.04)*AF229)*EXP(-(LN(2)/$D$65+0.1)*AG229),IF(AD229=2,AJ$100*EXP(-(LN(2)/$D$65+0.04)*(VLOOKUP(($F$16-$F$15)-1,AC$100:AG229,4,FALSE)))*EXP(-(LN(2)/$D$65+0.1)*(VLOOKUP(($F$16-$F$15)-1,AC$100:AG229,5,FALSE)))*EXP(-(LN(2)/$D$65+0.04)*AF229)*EXP(-(LN(2)/$D$65+0.1)*AG229),IF(AD229=3,AJ$100*EXP(-(LN(2)/$D$65+0.04)*(VLOOKUP(($F$16-$F$15)-1,AC$100:AG229,4,FALSE)))*EXP(-(LN(2)/$D$65+0.1)*(VLOOKUP(($F$16-$F$15)-1,AC$100:AG229,5,FALSE)))*EXP(-(LN(2)/$D$65+0.04)*(VLOOKUP(($F$16-$F$15)*2-1,AC$100:AG229,4,FALSE)))*EXP(-(LN(2)/$D$65+0.1)*(VLOOKUP(($F$16-$F$15)*2-1,AC$100:AG229,5,FALSE)))*EXP(-(LN(2)/$D$65+0.04)*AF229)*EXP(-(LN(2)/$D$65+0.1)*AG229),"-"))),"-")</f>
        <v>-</v>
      </c>
      <c r="AK229" s="227">
        <f t="shared" ref="AK229:AK250" si="215">B229</f>
        <v>129</v>
      </c>
      <c r="AL229" s="226" t="str">
        <f t="shared" si="189"/>
        <v>-</v>
      </c>
      <c r="AM229" s="227" t="str">
        <f t="shared" ref="AM229:AM250" si="216">IFERROR(IF($F$14-2&gt;0,IF(B229&lt;($F$14-2)*($F$16-$F$15),B229-INT(B229/($F$16-$F$15))*($F$16-$F$15)+1,AM228+1),"-"),"-")</f>
        <v>-</v>
      </c>
      <c r="AN229" s="227" t="str">
        <f t="shared" ref="AN229:AN250" si="217">IFERROR(IF($F$21=0,0,IF(AL229=AL228,IF(B229-(AL229-1)*($F$16-$F$15)&lt;$F$21,AN228+1,AN228),1)),"-")</f>
        <v>-</v>
      </c>
      <c r="AO229" s="227" t="str">
        <f t="shared" si="190"/>
        <v>-</v>
      </c>
      <c r="AP229" s="273">
        <f t="shared" ref="AP229:AP250" si="218">IF(AO229&gt;0,0.1,0.04)</f>
        <v>0.1</v>
      </c>
      <c r="AQ229" s="271" t="str">
        <f>IFERROR(IF(AL228=1,AQ$100*EXP(-(LN(2)/$D$65+0.04)*AN228)*EXP(-(LN(2)/$D$65+0.1)*AO228),IF(AL228=2,AQ$100*EXP(-(LN(2)/$D$65+0.04)*(VLOOKUP(($F$16-$F$15)-1,AK$99:AO228,4,FALSE)))*EXP(-(LN(2)/$D$65+0.1)*(VLOOKUP(($F$16-$F$15)-1,AK$99:AO228,5,FALSE)))*EXP(-(LN(2)/$D$65+0.04)*AN228)*EXP(-(LN(2)/$D$65+0.1)*AO228),IF(AL228=3,AQ$100*EXP(-(LN(2)/$D$65+0.04)*(VLOOKUP(($F$16-$F$15)-1,AK$99:AO228,4,FALSE)))*EXP(-(LN(2)/$D$65+0.1)*(VLOOKUP(($F$16-$F$15)-1,AK$99:AO228,5,FALSE)))*EXP(-(LN(2)/$D$65+0.04)*(VLOOKUP(($F$16-$F$15)*2-1,AK$99:AO228,4,FALSE)))*EXP(-(LN(2)/$D$65+0.1)*(VLOOKUP(($F$16-$F$15)*2-1,AK$99:AO228,5,FALSE)))*EXP(-(LN(2)/$D$65+0.04)*AN228)*EXP(-(LN(2)/$D$65+0.1)*AO228),"-"))),"-")</f>
        <v>-</v>
      </c>
      <c r="AR229" s="271" t="str">
        <f>IFERROR(IF(AL229=1,AR$100*EXP(-(LN(2)/$D$65+0.04)*AN229)*EXP(-(LN(2)/$D$65+0.1)*AO229),IF(AL229=2,AR$100*EXP(-(LN(2)/$D$65+0.04)*(VLOOKUP(($F$16-$F$15)-1,AK$100:AO229,4,FALSE)))*EXP(-(LN(2)/$D$65+0.1)*(VLOOKUP(($F$16-$F$15)-1,AK$100:AO229,5,FALSE)))*EXP(-(LN(2)/$D$65+0.04)*AN229)*EXP(-(LN(2)/$D$65+0.1)*AO229),IF(AL229=3,AR$100*EXP(-(LN(2)/$D$65+0.04)*(VLOOKUP(($F$16-$F$15)-1,AK$100:AO229,4,FALSE)))*EXP(-(LN(2)/$D$65+0.1)*(VLOOKUP(($F$16-$F$15)-1,AK$100:AO229,5,FALSE)))*EXP(-(LN(2)/$D$65+0.04)*(VLOOKUP(($F$16-$F$15)*2-1,AK$100:AO229,4,FALSE)))*EXP(-(LN(2)/$D$65+0.1)*(VLOOKUP(($F$16-$F$15)*2-1,AK$100:AO229,5,FALSE)))*EXP(-(LN(2)/$D$65+0.04)*AN229)*EXP(-(LN(2)/$D$65+0.1)*AO229),"-"))),"-")</f>
        <v>-</v>
      </c>
      <c r="AS229" s="274">
        <f t="shared" si="191"/>
        <v>0</v>
      </c>
      <c r="AT229" s="274">
        <f t="shared" si="192"/>
        <v>0</v>
      </c>
      <c r="AU229" s="274">
        <f t="shared" si="193"/>
        <v>0</v>
      </c>
      <c r="AV229" s="190">
        <f>IF($B229&lt;$F$22,SUM($T$100:$T229),"")</f>
        <v>0</v>
      </c>
      <c r="AW229" s="190" t="str">
        <f t="shared" si="194"/>
        <v>-</v>
      </c>
      <c r="AX229" s="190" t="str">
        <f t="shared" ref="AX229:AX250" si="219">IF(ISNUMBER(AW229),IF(ISNUMBER(AV229),(AV229-AW229)/(3*86400*($B229+1))*1000,""),"")</f>
        <v/>
      </c>
      <c r="AY229"/>
      <c r="AZ229" s="190" t="str">
        <f ca="1">IF(ISNUMBER(OFFSET(AV229,-$F$21,0)),SUM(OFFSET($T$100,$F$21,0):$T229),"")</f>
        <v/>
      </c>
      <c r="BA229" s="190" t="str">
        <f t="shared" ca="1" si="195"/>
        <v/>
      </c>
      <c r="BB229" s="190" t="str">
        <f t="shared" ca="1" si="148"/>
        <v/>
      </c>
      <c r="BC229" s="190"/>
      <c r="BD229" s="190" t="str">
        <f ca="1">IFERROR(IF(AND($B229&gt;=($F$16-$F$15),$B229&lt;$F$22+($F$16-$F$15)),SUM(OFFSET($T$100,($F$16-$F$15),0):$T229),""),"")</f>
        <v/>
      </c>
      <c r="BE229" s="190" t="str">
        <f t="shared" ref="BE229:BE250" ca="1" si="220">IF(ISNUMBER(BD229),BD229*(Koc*(Ocse/100)*Pse*Vse)/(Koc*(Ocse/100)*Pse*Vse+1*86400*($B229+1)),"")</f>
        <v/>
      </c>
      <c r="BF229" s="190" t="str">
        <f t="shared" ref="BF229:BF250" ca="1" si="221">IF(ISNUMBER(BD229),(BD229-BE229)/(3*86400*($B229-($F$16-$F$15)+1))*1000,"")</f>
        <v/>
      </c>
      <c r="BG229"/>
      <c r="BH229" s="190" t="str">
        <f ca="1">IF(ISNUMBER(OFFSET(BD229,-$F$21,0)),SUM(OFFSET($T$100,($F$16-$F$15+$F$21),0):$T229),"")</f>
        <v/>
      </c>
      <c r="BI229" s="190" t="str">
        <f t="shared" ca="1" si="196"/>
        <v/>
      </c>
      <c r="BJ229" s="190" t="str">
        <f t="shared" ref="BJ229:BJ250" ca="1" si="222">IF(ISNUMBER(BH229),(BH229-BI229)/(3*86400*((OFFSET($B229,-$F$21,0)-($F$16-$F$15)+1)))*1000,"")</f>
        <v/>
      </c>
      <c r="BK229" s="190"/>
      <c r="BL229" s="190" t="str">
        <f ca="1">IFERROR(IF(AND($B229&gt;=($F$17-$F$15),$B229&lt;$F$22+($F$17-$F$15)),SUM(OFFSET($T$100,($F$17-$F$15),0):$T229),""),"")</f>
        <v/>
      </c>
      <c r="BM229" s="190" t="str">
        <f t="shared" ca="1" si="197"/>
        <v/>
      </c>
      <c r="BN229" s="190" t="str">
        <f t="shared" ref="BN229:BN250" ca="1" si="223">IF(ISNUMBER(BL229),(BL229-BM229)/(3*86400*($B229-($F$17-$F$15)+1))*1000,"")</f>
        <v/>
      </c>
      <c r="BO229"/>
      <c r="BP229" s="190" t="str">
        <f ca="1">IF(ISNUMBER(OFFSET(BL229,-$F$21,0)),SUM(OFFSET($T$100,($F$17-$F$15+$F$21),0):$T229),"")</f>
        <v/>
      </c>
      <c r="BQ229" s="190" t="str">
        <f t="shared" ca="1" si="198"/>
        <v/>
      </c>
      <c r="BR229" s="190" t="str">
        <f t="shared" ref="BR229:BR250" ca="1" si="224">IF(ISNUMBER(BP229),(BP229-BQ229)/(3*86400*(OFFSET($B229,-$F$21,0)-($F$17-$F$15)+1))*1000,"")</f>
        <v/>
      </c>
      <c r="BS229" s="190"/>
      <c r="BT229"/>
      <c r="BU229"/>
      <c r="BV229"/>
      <c r="BY229" s="99"/>
      <c r="BZ229" s="99"/>
      <c r="CA229" s="280" t="str">
        <f t="shared" si="199"/>
        <v/>
      </c>
      <c r="CB229" s="71" t="str">
        <f t="shared" si="200"/>
        <v>-</v>
      </c>
      <c r="CC229" s="33"/>
      <c r="CD229" s="261" t="str">
        <f t="shared" si="201"/>
        <v/>
      </c>
      <c r="CE229" s="280" t="str">
        <f t="shared" si="202"/>
        <v>-</v>
      </c>
      <c r="CF229" s="71" t="str">
        <f t="shared" ca="1" si="203"/>
        <v>-</v>
      </c>
      <c r="CG229" s="33" t="str">
        <f t="shared" si="204"/>
        <v>129-130</v>
      </c>
      <c r="CH229" s="261" t="str">
        <f t="shared" ca="1" si="205"/>
        <v/>
      </c>
    </row>
    <row r="230" spans="2:86" ht="13.5" customHeight="1" x14ac:dyDescent="0.2">
      <c r="B230" s="262">
        <v>130</v>
      </c>
      <c r="C230" s="237" t="str">
        <f t="shared" si="169"/>
        <v/>
      </c>
      <c r="D230" s="237" t="str">
        <f t="shared" ref="D230:D250" si="225">IFERROR(IF(B230&lt;$F$22,IF(ISNUMBER($D$65),IF(MAX($BU$101:$BU$120)&lt;B230, "", IF(B230=VLOOKUP(B230, $BU$101:$BU$120,1,1), C230,D229-INDEX($BY$101:$BY$120, MATCH(VLOOKUP(B230, $BU$101:$BU$120,1,1), $BU$101:$BU$120)+1, 1))),D229-VLOOKUP(MAX($BU$101:$BU$120),$BU$101:$BY$120,5)),""),"-")</f>
        <v>-</v>
      </c>
      <c r="E230" s="263" t="str">
        <f t="shared" si="206"/>
        <v/>
      </c>
      <c r="F230" s="264" t="str">
        <f t="shared" si="207"/>
        <v/>
      </c>
      <c r="G230" s="264" t="str">
        <f t="shared" si="208"/>
        <v/>
      </c>
      <c r="H230" s="240" t="str">
        <f t="shared" si="170"/>
        <v/>
      </c>
      <c r="I230" s="265" t="str">
        <f t="shared" si="171"/>
        <v/>
      </c>
      <c r="J230" s="265" t="str">
        <f t="shared" si="172"/>
        <v/>
      </c>
      <c r="K230" s="240" t="str">
        <f t="shared" si="173"/>
        <v/>
      </c>
      <c r="L230" s="265" t="str">
        <f t="shared" si="174"/>
        <v/>
      </c>
      <c r="M230" s="265" t="str">
        <f t="shared" si="175"/>
        <v/>
      </c>
      <c r="N230" s="240" t="str">
        <f t="shared" si="176"/>
        <v>-</v>
      </c>
      <c r="O230" s="265" t="str">
        <f t="shared" si="177"/>
        <v>-</v>
      </c>
      <c r="P230" s="265" t="str">
        <f t="shared" si="178"/>
        <v>-</v>
      </c>
      <c r="Q230" s="266" t="str">
        <f t="shared" si="179"/>
        <v>-</v>
      </c>
      <c r="R230" s="267" t="str">
        <f t="shared" si="180"/>
        <v>-</v>
      </c>
      <c r="S230" s="268" t="str">
        <f t="shared" si="181"/>
        <v>-</v>
      </c>
      <c r="T230" s="269" t="str">
        <f t="shared" si="182"/>
        <v/>
      </c>
      <c r="U230" s="221">
        <f t="shared" si="183"/>
        <v>130</v>
      </c>
      <c r="V230" s="220" t="str">
        <f t="shared" si="209"/>
        <v>-</v>
      </c>
      <c r="W230" s="221" t="str">
        <f t="shared" si="210"/>
        <v>-</v>
      </c>
      <c r="X230" s="221" t="str">
        <f t="shared" si="184"/>
        <v>-</v>
      </c>
      <c r="Y230" s="221" t="str">
        <f t="shared" si="185"/>
        <v>-</v>
      </c>
      <c r="Z230" s="270">
        <f t="shared" si="211"/>
        <v>0.1</v>
      </c>
      <c r="AA230" s="271" t="str">
        <f>IFERROR(IF(V229=1,AA$100*EXP(-(LN(2)/$D$65+0.04)*X229)*EXP(-(LN(2)/$D$65+0.1)*Y229),IF(V229=2,AA$100*EXP(-(LN(2)/$D$65+0.04)*(VLOOKUP(($F$16-$F$15)-1,U$99:Y229,4,FALSE)))*EXP(-(LN(2)/$D$65+0.1)*(VLOOKUP(($F$16-$F$15)-1,U$99:Y229,5,FALSE)))*EXP(-(LN(2)/$D$65+0.04)*X229)*EXP(-(LN(2)/$D$65+0.1)*Y229),IF(V229=3,AA$100*EXP(-(LN(2)/$D$65+0.04)*(VLOOKUP(($F$16-$F$15)-1,U$99:Y229,4,FALSE)))*EXP(-(LN(2)/$D$65+0.1)*(VLOOKUP(($F$16-$F$15)-1,U$99:Y229,5,FALSE)))*EXP(-(LN(2)/$D$65+0.04)*(VLOOKUP(($F$16-$F$15)*2-1,U$99:Y229,4,FALSE)))*EXP(-(LN(2)/$D$65+0.1)*(VLOOKUP(($F$16-$F$15)*2-1,U$99:Y229,5,FALSE)))*EXP(-(LN(2)/$D$65+0.04)*X229)*EXP(-(LN(2)/$D$65+0.1)*Y229),"-"))),"-")</f>
        <v>-</v>
      </c>
      <c r="AB230" s="271" t="str">
        <f>IFERROR(IF(V230=1,AB$100*EXP(-(LN(2)/$D$65+0.04)*X230)*EXP(-(LN(2)/$D$65+0.1)*Y230),IF(V230=2,AB$100*EXP(-(LN(2)/$D$65+0.04)*(VLOOKUP(($F$16-$F$15)-1,U$100:Y230,4,FALSE)))*EXP(-(LN(2)/$D$65+0.1)*(VLOOKUP(($F$16-$F$15)-1,U$100:Y230,5,FALSE)))*EXP(-(LN(2)/$D$65+0.04)*X230)*EXP(-(LN(2)/$D$65+0.1)*Y230),IF(V230=3,AB$100*EXP(-(LN(2)/$D$65+0.04)*(VLOOKUP(($F$16-$F$15)-1,U$100:Y230,4,FALSE)))*EXP(-(LN(2)/$D$65+0.1)*(VLOOKUP(($F$16-$F$15)-1,U$100:Y230,5,FALSE)))*EXP(-(LN(2)/$D$65+0.04)*(VLOOKUP(($F$16-$F$15)*2-1,U$100:Y230,4,FALSE)))*EXP(-(LN(2)/$D$65+0.1)*(VLOOKUP(($F$16-$F$15)*2-1,U$100:Y230,5,FALSE)))*EXP(-(LN(2)/$D$65+0.04)*X230)*EXP(-(LN(2)/$D$65+0.1)*Y230),"-"))),"-")</f>
        <v>-</v>
      </c>
      <c r="AC230" s="224">
        <f t="shared" si="212"/>
        <v>130</v>
      </c>
      <c r="AD230" s="223" t="str">
        <f t="shared" si="186"/>
        <v>-</v>
      </c>
      <c r="AE230" s="224" t="str">
        <f t="shared" si="213"/>
        <v>-</v>
      </c>
      <c r="AF230" s="224" t="str">
        <f t="shared" si="187"/>
        <v>-</v>
      </c>
      <c r="AG230" s="224" t="str">
        <f t="shared" si="188"/>
        <v>-</v>
      </c>
      <c r="AH230" s="272">
        <f t="shared" si="214"/>
        <v>0.1</v>
      </c>
      <c r="AI230" s="271" t="str">
        <f>IFERROR(IF(AD229=1,AI$100*EXP(-(LN(2)/$D$65+0.04)*AF229)*EXP(-(LN(2)/$D$65+0.1)*AG229),IF(AD229=2,AI$100*EXP(-(LN(2)/$D$65+0.04)*(VLOOKUP(($F$16-$F$15)-1,AC$99:AG229,4,FALSE)))*EXP(-(LN(2)/$D$65+0.1)*(VLOOKUP(($F$16-$F$15)-1,AC$99:AG229,5,FALSE)))*EXP(-(LN(2)/$D$65+0.04)*AF229)*EXP(-(LN(2)/$D$65+0.1)*AG229),IF(AD229=3,AI$100*EXP(-(LN(2)/$D$65+0.04)*(VLOOKUP(($F$16-$F$15)-1,AC$99:AG229,4,FALSE)))*EXP(-(LN(2)/$D$65+0.1)*(VLOOKUP(($F$16-$F$15)-1,AC$99:AG229,5,FALSE)))*EXP(-(LN(2)/$D$65+0.04)*(VLOOKUP(($F$16-$F$15)*2-1,AC$99:AG229,4,FALSE)))*EXP(-(LN(2)/$D$65+0.1)*(VLOOKUP(($F$16-$F$15)*2-1,AC$99:AG229,5,FALSE)))*EXP(-(LN(2)/$D$65+0.04)*AF229)*EXP(-(LN(2)/$D$65+0.1)*AG229),"-"))),"-")</f>
        <v>-</v>
      </c>
      <c r="AJ230" s="271" t="str">
        <f>IFERROR(IF(AD230=1,AJ$100*EXP(-(LN(2)/$D$65+0.04)*AF230)*EXP(-(LN(2)/$D$65+0.1)*AG230),IF(AD230=2,AJ$100*EXP(-(LN(2)/$D$65+0.04)*(VLOOKUP(($F$16-$F$15)-1,AC$100:AG230,4,FALSE)))*EXP(-(LN(2)/$D$65+0.1)*(VLOOKUP(($F$16-$F$15)-1,AC$100:AG230,5,FALSE)))*EXP(-(LN(2)/$D$65+0.04)*AF230)*EXP(-(LN(2)/$D$65+0.1)*AG230),IF(AD230=3,AJ$100*EXP(-(LN(2)/$D$65+0.04)*(VLOOKUP(($F$16-$F$15)-1,AC$100:AG230,4,FALSE)))*EXP(-(LN(2)/$D$65+0.1)*(VLOOKUP(($F$16-$F$15)-1,AC$100:AG230,5,FALSE)))*EXP(-(LN(2)/$D$65+0.04)*(VLOOKUP(($F$16-$F$15)*2-1,AC$100:AG230,4,FALSE)))*EXP(-(LN(2)/$D$65+0.1)*(VLOOKUP(($F$16-$F$15)*2-1,AC$100:AG230,5,FALSE)))*EXP(-(LN(2)/$D$65+0.04)*AF230)*EXP(-(LN(2)/$D$65+0.1)*AG230),"-"))),"-")</f>
        <v>-</v>
      </c>
      <c r="AK230" s="227">
        <f t="shared" si="215"/>
        <v>130</v>
      </c>
      <c r="AL230" s="226" t="str">
        <f t="shared" si="189"/>
        <v>-</v>
      </c>
      <c r="AM230" s="227" t="str">
        <f t="shared" si="216"/>
        <v>-</v>
      </c>
      <c r="AN230" s="227" t="str">
        <f t="shared" si="217"/>
        <v>-</v>
      </c>
      <c r="AO230" s="227" t="str">
        <f t="shared" si="190"/>
        <v>-</v>
      </c>
      <c r="AP230" s="273">
        <f t="shared" si="218"/>
        <v>0.1</v>
      </c>
      <c r="AQ230" s="271" t="str">
        <f>IFERROR(IF(AL229=1,AQ$100*EXP(-(LN(2)/$D$65+0.04)*AN229)*EXP(-(LN(2)/$D$65+0.1)*AO229),IF(AL229=2,AQ$100*EXP(-(LN(2)/$D$65+0.04)*(VLOOKUP(($F$16-$F$15)-1,AK$99:AO229,4,FALSE)))*EXP(-(LN(2)/$D$65+0.1)*(VLOOKUP(($F$16-$F$15)-1,AK$99:AO229,5,FALSE)))*EXP(-(LN(2)/$D$65+0.04)*AN229)*EXP(-(LN(2)/$D$65+0.1)*AO229),IF(AL229=3,AQ$100*EXP(-(LN(2)/$D$65+0.04)*(VLOOKUP(($F$16-$F$15)-1,AK$99:AO229,4,FALSE)))*EXP(-(LN(2)/$D$65+0.1)*(VLOOKUP(($F$16-$F$15)-1,AK$99:AO229,5,FALSE)))*EXP(-(LN(2)/$D$65+0.04)*(VLOOKUP(($F$16-$F$15)*2-1,AK$99:AO229,4,FALSE)))*EXP(-(LN(2)/$D$65+0.1)*(VLOOKUP(($F$16-$F$15)*2-1,AK$99:AO229,5,FALSE)))*EXP(-(LN(2)/$D$65+0.04)*AN229)*EXP(-(LN(2)/$D$65+0.1)*AO229),"-"))),"-")</f>
        <v>-</v>
      </c>
      <c r="AR230" s="271" t="str">
        <f>IFERROR(IF(AL230=1,AR$100*EXP(-(LN(2)/$D$65+0.04)*AN230)*EXP(-(LN(2)/$D$65+0.1)*AO230),IF(AL230=2,AR$100*EXP(-(LN(2)/$D$65+0.04)*(VLOOKUP(($F$16-$F$15)-1,AK$100:AO230,4,FALSE)))*EXP(-(LN(2)/$D$65+0.1)*(VLOOKUP(($F$16-$F$15)-1,AK$100:AO230,5,FALSE)))*EXP(-(LN(2)/$D$65+0.04)*AN230)*EXP(-(LN(2)/$D$65+0.1)*AO230),IF(AL230=3,AR$100*EXP(-(LN(2)/$D$65+0.04)*(VLOOKUP(($F$16-$F$15)-1,AK$100:AO230,4,FALSE)))*EXP(-(LN(2)/$D$65+0.1)*(VLOOKUP(($F$16-$F$15)-1,AK$100:AO230,5,FALSE)))*EXP(-(LN(2)/$D$65+0.04)*(VLOOKUP(($F$16-$F$15)*2-1,AK$100:AO230,4,FALSE)))*EXP(-(LN(2)/$D$65+0.1)*(VLOOKUP(($F$16-$F$15)*2-1,AK$100:AO230,5,FALSE)))*EXP(-(LN(2)/$D$65+0.04)*AN230)*EXP(-(LN(2)/$D$65+0.1)*AO230),"-"))),"-")</f>
        <v>-</v>
      </c>
      <c r="AS230" s="274">
        <f t="shared" si="191"/>
        <v>0</v>
      </c>
      <c r="AT230" s="274">
        <f t="shared" si="192"/>
        <v>0</v>
      </c>
      <c r="AU230" s="274">
        <f t="shared" si="193"/>
        <v>0</v>
      </c>
      <c r="AV230" s="190">
        <f>IF($B230&lt;$F$22,SUM($T$100:$T230),"")</f>
        <v>0</v>
      </c>
      <c r="AW230" s="190" t="str">
        <f t="shared" si="194"/>
        <v>-</v>
      </c>
      <c r="AX230" s="190" t="str">
        <f t="shared" si="219"/>
        <v/>
      </c>
      <c r="AY230"/>
      <c r="AZ230" s="190" t="str">
        <f ca="1">IF(ISNUMBER(OFFSET(AV230,-$F$21,0)),SUM(OFFSET($T$100,$F$21,0):$T230),"")</f>
        <v/>
      </c>
      <c r="BA230" s="190" t="str">
        <f t="shared" ca="1" si="195"/>
        <v/>
      </c>
      <c r="BB230" s="190" t="str">
        <f t="shared" ca="1" si="148"/>
        <v/>
      </c>
      <c r="BC230" s="190"/>
      <c r="BD230" s="190" t="str">
        <f ca="1">IFERROR(IF(AND($B230&gt;=($F$16-$F$15),$B230&lt;$F$22+($F$16-$F$15)),SUM(OFFSET($T$100,($F$16-$F$15),0):$T230),""),"")</f>
        <v/>
      </c>
      <c r="BE230" s="190" t="str">
        <f t="shared" ca="1" si="220"/>
        <v/>
      </c>
      <c r="BF230" s="190" t="str">
        <f t="shared" ca="1" si="221"/>
        <v/>
      </c>
      <c r="BG230"/>
      <c r="BH230" s="190" t="str">
        <f ca="1">IF(ISNUMBER(OFFSET(BD230,-$F$21,0)),SUM(OFFSET($T$100,($F$16-$F$15+$F$21),0):$T230),"")</f>
        <v/>
      </c>
      <c r="BI230" s="190" t="str">
        <f t="shared" ca="1" si="196"/>
        <v/>
      </c>
      <c r="BJ230" s="190" t="str">
        <f t="shared" ca="1" si="222"/>
        <v/>
      </c>
      <c r="BK230" s="190"/>
      <c r="BL230" s="190" t="str">
        <f ca="1">IFERROR(IF(AND($B230&gt;=($F$17-$F$15),$B230&lt;$F$22+($F$17-$F$15)),SUM(OFFSET($T$100,($F$17-$F$15),0):$T230),""),"")</f>
        <v/>
      </c>
      <c r="BM230" s="190" t="str">
        <f t="shared" ca="1" si="197"/>
        <v/>
      </c>
      <c r="BN230" s="190" t="str">
        <f t="shared" ca="1" si="223"/>
        <v/>
      </c>
      <c r="BO230"/>
      <c r="BP230" s="190" t="str">
        <f ca="1">IF(ISNUMBER(OFFSET(BL230,-$F$21,0)),SUM(OFFSET($T$100,($F$17-$F$15+$F$21),0):$T230),"")</f>
        <v/>
      </c>
      <c r="BQ230" s="190" t="str">
        <f t="shared" ca="1" si="198"/>
        <v/>
      </c>
      <c r="BR230" s="190" t="str">
        <f t="shared" ca="1" si="224"/>
        <v/>
      </c>
      <c r="BS230" s="190"/>
      <c r="BT230"/>
      <c r="BU230"/>
      <c r="BV230"/>
      <c r="BY230" s="99"/>
      <c r="BZ230" s="99"/>
      <c r="CA230" s="280" t="str">
        <f t="shared" si="199"/>
        <v/>
      </c>
      <c r="CB230" s="71" t="str">
        <f t="shared" si="200"/>
        <v>-</v>
      </c>
      <c r="CC230" s="33"/>
      <c r="CD230" s="261" t="str">
        <f t="shared" si="201"/>
        <v/>
      </c>
      <c r="CE230" s="280" t="str">
        <f t="shared" si="202"/>
        <v>-</v>
      </c>
      <c r="CF230" s="71" t="str">
        <f t="shared" ca="1" si="203"/>
        <v>-</v>
      </c>
      <c r="CG230" s="33" t="str">
        <f t="shared" si="204"/>
        <v>130-131</v>
      </c>
      <c r="CH230" s="261" t="str">
        <f t="shared" ca="1" si="205"/>
        <v/>
      </c>
    </row>
    <row r="231" spans="2:86" ht="13.5" customHeight="1" x14ac:dyDescent="0.2">
      <c r="B231" s="262">
        <v>131</v>
      </c>
      <c r="C231" s="237" t="str">
        <f t="shared" si="169"/>
        <v/>
      </c>
      <c r="D231" s="237" t="str">
        <f t="shared" si="225"/>
        <v>-</v>
      </c>
      <c r="E231" s="263" t="str">
        <f t="shared" si="206"/>
        <v/>
      </c>
      <c r="F231" s="264" t="str">
        <f t="shared" si="207"/>
        <v/>
      </c>
      <c r="G231" s="264" t="str">
        <f t="shared" si="208"/>
        <v/>
      </c>
      <c r="H231" s="240" t="str">
        <f t="shared" si="170"/>
        <v/>
      </c>
      <c r="I231" s="265" t="str">
        <f t="shared" si="171"/>
        <v/>
      </c>
      <c r="J231" s="265" t="str">
        <f t="shared" si="172"/>
        <v/>
      </c>
      <c r="K231" s="240" t="str">
        <f t="shared" si="173"/>
        <v/>
      </c>
      <c r="L231" s="265" t="str">
        <f t="shared" si="174"/>
        <v/>
      </c>
      <c r="M231" s="265" t="str">
        <f t="shared" si="175"/>
        <v/>
      </c>
      <c r="N231" s="240" t="str">
        <f t="shared" si="176"/>
        <v>-</v>
      </c>
      <c r="O231" s="265" t="str">
        <f t="shared" si="177"/>
        <v>-</v>
      </c>
      <c r="P231" s="265" t="str">
        <f t="shared" si="178"/>
        <v>-</v>
      </c>
      <c r="Q231" s="266" t="str">
        <f t="shared" si="179"/>
        <v>-</v>
      </c>
      <c r="R231" s="267" t="str">
        <f t="shared" si="180"/>
        <v>-</v>
      </c>
      <c r="S231" s="268" t="str">
        <f t="shared" si="181"/>
        <v>-</v>
      </c>
      <c r="T231" s="269" t="str">
        <f t="shared" si="182"/>
        <v/>
      </c>
      <c r="U231" s="221">
        <f t="shared" si="183"/>
        <v>131</v>
      </c>
      <c r="V231" s="220" t="str">
        <f t="shared" si="209"/>
        <v>-</v>
      </c>
      <c r="W231" s="221" t="str">
        <f t="shared" si="210"/>
        <v>-</v>
      </c>
      <c r="X231" s="221" t="str">
        <f t="shared" si="184"/>
        <v>-</v>
      </c>
      <c r="Y231" s="221" t="str">
        <f t="shared" si="185"/>
        <v>-</v>
      </c>
      <c r="Z231" s="270">
        <f t="shared" si="211"/>
        <v>0.1</v>
      </c>
      <c r="AA231" s="271" t="str">
        <f>IFERROR(IF(V230=1,AA$100*EXP(-(LN(2)/$D$65+0.04)*X230)*EXP(-(LN(2)/$D$65+0.1)*Y230),IF(V230=2,AA$100*EXP(-(LN(2)/$D$65+0.04)*(VLOOKUP(($F$16-$F$15)-1,U$99:Y230,4,FALSE)))*EXP(-(LN(2)/$D$65+0.1)*(VLOOKUP(($F$16-$F$15)-1,U$99:Y230,5,FALSE)))*EXP(-(LN(2)/$D$65+0.04)*X230)*EXP(-(LN(2)/$D$65+0.1)*Y230),IF(V230=3,AA$100*EXP(-(LN(2)/$D$65+0.04)*(VLOOKUP(($F$16-$F$15)-1,U$99:Y230,4,FALSE)))*EXP(-(LN(2)/$D$65+0.1)*(VLOOKUP(($F$16-$F$15)-1,U$99:Y230,5,FALSE)))*EXP(-(LN(2)/$D$65+0.04)*(VLOOKUP(($F$16-$F$15)*2-1,U$99:Y230,4,FALSE)))*EXP(-(LN(2)/$D$65+0.1)*(VLOOKUP(($F$16-$F$15)*2-1,U$99:Y230,5,FALSE)))*EXP(-(LN(2)/$D$65+0.04)*X230)*EXP(-(LN(2)/$D$65+0.1)*Y230),"-"))),"-")</f>
        <v>-</v>
      </c>
      <c r="AB231" s="271" t="str">
        <f>IFERROR(IF(V231=1,AB$100*EXP(-(LN(2)/$D$65+0.04)*X231)*EXP(-(LN(2)/$D$65+0.1)*Y231),IF(V231=2,AB$100*EXP(-(LN(2)/$D$65+0.04)*(VLOOKUP(($F$16-$F$15)-1,U$100:Y231,4,FALSE)))*EXP(-(LN(2)/$D$65+0.1)*(VLOOKUP(($F$16-$F$15)-1,U$100:Y231,5,FALSE)))*EXP(-(LN(2)/$D$65+0.04)*X231)*EXP(-(LN(2)/$D$65+0.1)*Y231),IF(V231=3,AB$100*EXP(-(LN(2)/$D$65+0.04)*(VLOOKUP(($F$16-$F$15)-1,U$100:Y231,4,FALSE)))*EXP(-(LN(2)/$D$65+0.1)*(VLOOKUP(($F$16-$F$15)-1,U$100:Y231,5,FALSE)))*EXP(-(LN(2)/$D$65+0.04)*(VLOOKUP(($F$16-$F$15)*2-1,U$100:Y231,4,FALSE)))*EXP(-(LN(2)/$D$65+0.1)*(VLOOKUP(($F$16-$F$15)*2-1,U$100:Y231,5,FALSE)))*EXP(-(LN(2)/$D$65+0.04)*X231)*EXP(-(LN(2)/$D$65+0.1)*Y231),"-"))),"-")</f>
        <v>-</v>
      </c>
      <c r="AC231" s="224">
        <f t="shared" si="212"/>
        <v>131</v>
      </c>
      <c r="AD231" s="223" t="str">
        <f t="shared" si="186"/>
        <v>-</v>
      </c>
      <c r="AE231" s="224" t="str">
        <f t="shared" si="213"/>
        <v>-</v>
      </c>
      <c r="AF231" s="224" t="str">
        <f t="shared" si="187"/>
        <v>-</v>
      </c>
      <c r="AG231" s="224" t="str">
        <f t="shared" si="188"/>
        <v>-</v>
      </c>
      <c r="AH231" s="272">
        <f t="shared" si="214"/>
        <v>0.1</v>
      </c>
      <c r="AI231" s="271" t="str">
        <f>IFERROR(IF(AD230=1,AI$100*EXP(-(LN(2)/$D$65+0.04)*AF230)*EXP(-(LN(2)/$D$65+0.1)*AG230),IF(AD230=2,AI$100*EXP(-(LN(2)/$D$65+0.04)*(VLOOKUP(($F$16-$F$15)-1,AC$99:AG230,4,FALSE)))*EXP(-(LN(2)/$D$65+0.1)*(VLOOKUP(($F$16-$F$15)-1,AC$99:AG230,5,FALSE)))*EXP(-(LN(2)/$D$65+0.04)*AF230)*EXP(-(LN(2)/$D$65+0.1)*AG230),IF(AD230=3,AI$100*EXP(-(LN(2)/$D$65+0.04)*(VLOOKUP(($F$16-$F$15)-1,AC$99:AG230,4,FALSE)))*EXP(-(LN(2)/$D$65+0.1)*(VLOOKUP(($F$16-$F$15)-1,AC$99:AG230,5,FALSE)))*EXP(-(LN(2)/$D$65+0.04)*(VLOOKUP(($F$16-$F$15)*2-1,AC$99:AG230,4,FALSE)))*EXP(-(LN(2)/$D$65+0.1)*(VLOOKUP(($F$16-$F$15)*2-1,AC$99:AG230,5,FALSE)))*EXP(-(LN(2)/$D$65+0.04)*AF230)*EXP(-(LN(2)/$D$65+0.1)*AG230),"-"))),"-")</f>
        <v>-</v>
      </c>
      <c r="AJ231" s="271" t="str">
        <f>IFERROR(IF(AD231=1,AJ$100*EXP(-(LN(2)/$D$65+0.04)*AF231)*EXP(-(LN(2)/$D$65+0.1)*AG231),IF(AD231=2,AJ$100*EXP(-(LN(2)/$D$65+0.04)*(VLOOKUP(($F$16-$F$15)-1,AC$100:AG231,4,FALSE)))*EXP(-(LN(2)/$D$65+0.1)*(VLOOKUP(($F$16-$F$15)-1,AC$100:AG231,5,FALSE)))*EXP(-(LN(2)/$D$65+0.04)*AF231)*EXP(-(LN(2)/$D$65+0.1)*AG231),IF(AD231=3,AJ$100*EXP(-(LN(2)/$D$65+0.04)*(VLOOKUP(($F$16-$F$15)-1,AC$100:AG231,4,FALSE)))*EXP(-(LN(2)/$D$65+0.1)*(VLOOKUP(($F$16-$F$15)-1,AC$100:AG231,5,FALSE)))*EXP(-(LN(2)/$D$65+0.04)*(VLOOKUP(($F$16-$F$15)*2-1,AC$100:AG231,4,FALSE)))*EXP(-(LN(2)/$D$65+0.1)*(VLOOKUP(($F$16-$F$15)*2-1,AC$100:AG231,5,FALSE)))*EXP(-(LN(2)/$D$65+0.04)*AF231)*EXP(-(LN(2)/$D$65+0.1)*AG231),"-"))),"-")</f>
        <v>-</v>
      </c>
      <c r="AK231" s="227">
        <f t="shared" si="215"/>
        <v>131</v>
      </c>
      <c r="AL231" s="226" t="str">
        <f t="shared" si="189"/>
        <v>-</v>
      </c>
      <c r="AM231" s="227" t="str">
        <f t="shared" si="216"/>
        <v>-</v>
      </c>
      <c r="AN231" s="227" t="str">
        <f t="shared" si="217"/>
        <v>-</v>
      </c>
      <c r="AO231" s="227" t="str">
        <f t="shared" si="190"/>
        <v>-</v>
      </c>
      <c r="AP231" s="273">
        <f t="shared" si="218"/>
        <v>0.1</v>
      </c>
      <c r="AQ231" s="271" t="str">
        <f>IFERROR(IF(AL230=1,AQ$100*EXP(-(LN(2)/$D$65+0.04)*AN230)*EXP(-(LN(2)/$D$65+0.1)*AO230),IF(AL230=2,AQ$100*EXP(-(LN(2)/$D$65+0.04)*(VLOOKUP(($F$16-$F$15)-1,AK$99:AO230,4,FALSE)))*EXP(-(LN(2)/$D$65+0.1)*(VLOOKUP(($F$16-$F$15)-1,AK$99:AO230,5,FALSE)))*EXP(-(LN(2)/$D$65+0.04)*AN230)*EXP(-(LN(2)/$D$65+0.1)*AO230),IF(AL230=3,AQ$100*EXP(-(LN(2)/$D$65+0.04)*(VLOOKUP(($F$16-$F$15)-1,AK$99:AO230,4,FALSE)))*EXP(-(LN(2)/$D$65+0.1)*(VLOOKUP(($F$16-$F$15)-1,AK$99:AO230,5,FALSE)))*EXP(-(LN(2)/$D$65+0.04)*(VLOOKUP(($F$16-$F$15)*2-1,AK$99:AO230,4,FALSE)))*EXP(-(LN(2)/$D$65+0.1)*(VLOOKUP(($F$16-$F$15)*2-1,AK$99:AO230,5,FALSE)))*EXP(-(LN(2)/$D$65+0.04)*AN230)*EXP(-(LN(2)/$D$65+0.1)*AO230),"-"))),"-")</f>
        <v>-</v>
      </c>
      <c r="AR231" s="271" t="str">
        <f>IFERROR(IF(AL231=1,AR$100*EXP(-(LN(2)/$D$65+0.04)*AN231)*EXP(-(LN(2)/$D$65+0.1)*AO231),IF(AL231=2,AR$100*EXP(-(LN(2)/$D$65+0.04)*(VLOOKUP(($F$16-$F$15)-1,AK$100:AO231,4,FALSE)))*EXP(-(LN(2)/$D$65+0.1)*(VLOOKUP(($F$16-$F$15)-1,AK$100:AO231,5,FALSE)))*EXP(-(LN(2)/$D$65+0.04)*AN231)*EXP(-(LN(2)/$D$65+0.1)*AO231),IF(AL231=3,AR$100*EXP(-(LN(2)/$D$65+0.04)*(VLOOKUP(($F$16-$F$15)-1,AK$100:AO231,4,FALSE)))*EXP(-(LN(2)/$D$65+0.1)*(VLOOKUP(($F$16-$F$15)-1,AK$100:AO231,5,FALSE)))*EXP(-(LN(2)/$D$65+0.04)*(VLOOKUP(($F$16-$F$15)*2-1,AK$100:AO231,4,FALSE)))*EXP(-(LN(2)/$D$65+0.1)*(VLOOKUP(($F$16-$F$15)*2-1,AK$100:AO231,5,FALSE)))*EXP(-(LN(2)/$D$65+0.04)*AN231)*EXP(-(LN(2)/$D$65+0.1)*AO231),"-"))),"-")</f>
        <v>-</v>
      </c>
      <c r="AS231" s="274">
        <f t="shared" si="191"/>
        <v>0</v>
      </c>
      <c r="AT231" s="274">
        <f t="shared" si="192"/>
        <v>0</v>
      </c>
      <c r="AU231" s="274">
        <f t="shared" si="193"/>
        <v>0</v>
      </c>
      <c r="AV231" s="190">
        <f>IF($B231&lt;$F$22,SUM($T$100:$T231),"")</f>
        <v>0</v>
      </c>
      <c r="AW231" s="190" t="str">
        <f t="shared" si="194"/>
        <v>-</v>
      </c>
      <c r="AX231" s="190" t="str">
        <f t="shared" si="219"/>
        <v/>
      </c>
      <c r="AY231"/>
      <c r="AZ231" s="190" t="str">
        <f ca="1">IF(ISNUMBER(OFFSET(AV231,-$F$21,0)),SUM(OFFSET($T$100,$F$21,0):$T231),"")</f>
        <v/>
      </c>
      <c r="BA231" s="190" t="str">
        <f t="shared" ca="1" si="195"/>
        <v/>
      </c>
      <c r="BB231" s="190" t="str">
        <f t="shared" ca="1" si="148"/>
        <v/>
      </c>
      <c r="BC231" s="190"/>
      <c r="BD231" s="190" t="str">
        <f ca="1">IFERROR(IF(AND($B231&gt;=($F$16-$F$15),$B231&lt;$F$22+($F$16-$F$15)),SUM(OFFSET($T$100,($F$16-$F$15),0):$T231),""),"")</f>
        <v/>
      </c>
      <c r="BE231" s="190" t="str">
        <f t="shared" ca="1" si="220"/>
        <v/>
      </c>
      <c r="BF231" s="190" t="str">
        <f t="shared" ca="1" si="221"/>
        <v/>
      </c>
      <c r="BG231"/>
      <c r="BH231" s="190" t="str">
        <f ca="1">IF(ISNUMBER(OFFSET(BD231,-$F$21,0)),SUM(OFFSET($T$100,($F$16-$F$15+$F$21),0):$T231),"")</f>
        <v/>
      </c>
      <c r="BI231" s="190" t="str">
        <f t="shared" ca="1" si="196"/>
        <v/>
      </c>
      <c r="BJ231" s="190" t="str">
        <f t="shared" ca="1" si="222"/>
        <v/>
      </c>
      <c r="BK231" s="190"/>
      <c r="BL231" s="190" t="str">
        <f ca="1">IFERROR(IF(AND($B231&gt;=($F$17-$F$15),$B231&lt;$F$22+($F$17-$F$15)),SUM(OFFSET($T$100,($F$17-$F$15),0):$T231),""),"")</f>
        <v/>
      </c>
      <c r="BM231" s="190" t="str">
        <f t="shared" ca="1" si="197"/>
        <v/>
      </c>
      <c r="BN231" s="190" t="str">
        <f t="shared" ca="1" si="223"/>
        <v/>
      </c>
      <c r="BO231"/>
      <c r="BP231" s="190" t="str">
        <f ca="1">IF(ISNUMBER(OFFSET(BL231,-$F$21,0)),SUM(OFFSET($T$100,($F$17-$F$15+$F$21),0):$T231),"")</f>
        <v/>
      </c>
      <c r="BQ231" s="190" t="str">
        <f t="shared" ca="1" si="198"/>
        <v/>
      </c>
      <c r="BR231" s="190" t="str">
        <f t="shared" ca="1" si="224"/>
        <v/>
      </c>
      <c r="BS231" s="190"/>
      <c r="BT231"/>
      <c r="BU231"/>
      <c r="BV231"/>
      <c r="BY231" s="99"/>
      <c r="BZ231" s="99"/>
      <c r="CA231" s="280" t="str">
        <f t="shared" si="199"/>
        <v/>
      </c>
      <c r="CB231" s="71" t="str">
        <f t="shared" si="200"/>
        <v>-</v>
      </c>
      <c r="CC231" s="33"/>
      <c r="CD231" s="261" t="str">
        <f t="shared" si="201"/>
        <v/>
      </c>
      <c r="CE231" s="280" t="str">
        <f t="shared" si="202"/>
        <v>-</v>
      </c>
      <c r="CF231" s="71" t="str">
        <f t="shared" ca="1" si="203"/>
        <v>-</v>
      </c>
      <c r="CG231" s="33" t="str">
        <f t="shared" si="204"/>
        <v>131-132</v>
      </c>
      <c r="CH231" s="261" t="str">
        <f t="shared" ca="1" si="205"/>
        <v/>
      </c>
    </row>
    <row r="232" spans="2:86" ht="13.5" customHeight="1" x14ac:dyDescent="0.2">
      <c r="B232" s="262">
        <v>132</v>
      </c>
      <c r="C232" s="237" t="str">
        <f t="shared" si="169"/>
        <v/>
      </c>
      <c r="D232" s="237" t="str">
        <f t="shared" si="225"/>
        <v>-</v>
      </c>
      <c r="E232" s="263" t="str">
        <f t="shared" si="206"/>
        <v/>
      </c>
      <c r="F232" s="264" t="str">
        <f t="shared" si="207"/>
        <v/>
      </c>
      <c r="G232" s="264" t="str">
        <f t="shared" si="208"/>
        <v/>
      </c>
      <c r="H232" s="240" t="str">
        <f t="shared" si="170"/>
        <v/>
      </c>
      <c r="I232" s="265" t="str">
        <f t="shared" si="171"/>
        <v/>
      </c>
      <c r="J232" s="265" t="str">
        <f t="shared" si="172"/>
        <v/>
      </c>
      <c r="K232" s="240" t="str">
        <f t="shared" si="173"/>
        <v/>
      </c>
      <c r="L232" s="265" t="str">
        <f t="shared" si="174"/>
        <v/>
      </c>
      <c r="M232" s="265" t="str">
        <f t="shared" si="175"/>
        <v/>
      </c>
      <c r="N232" s="240" t="str">
        <f t="shared" si="176"/>
        <v>-</v>
      </c>
      <c r="O232" s="265" t="str">
        <f t="shared" si="177"/>
        <v>-</v>
      </c>
      <c r="P232" s="265" t="str">
        <f t="shared" si="178"/>
        <v>-</v>
      </c>
      <c r="Q232" s="266" t="str">
        <f t="shared" si="179"/>
        <v>-</v>
      </c>
      <c r="R232" s="267" t="str">
        <f t="shared" si="180"/>
        <v>-</v>
      </c>
      <c r="S232" s="268" t="str">
        <f t="shared" si="181"/>
        <v>-</v>
      </c>
      <c r="T232" s="269" t="str">
        <f t="shared" si="182"/>
        <v/>
      </c>
      <c r="U232" s="221">
        <f t="shared" si="183"/>
        <v>132</v>
      </c>
      <c r="V232" s="220" t="str">
        <f t="shared" si="209"/>
        <v>-</v>
      </c>
      <c r="W232" s="221" t="str">
        <f t="shared" si="210"/>
        <v>-</v>
      </c>
      <c r="X232" s="221" t="str">
        <f t="shared" si="184"/>
        <v>-</v>
      </c>
      <c r="Y232" s="221" t="str">
        <f t="shared" si="185"/>
        <v>-</v>
      </c>
      <c r="Z232" s="270">
        <f t="shared" si="211"/>
        <v>0.1</v>
      </c>
      <c r="AA232" s="271" t="str">
        <f>IFERROR(IF(V231=1,AA$100*EXP(-(LN(2)/$D$65+0.04)*X231)*EXP(-(LN(2)/$D$65+0.1)*Y231),IF(V231=2,AA$100*EXP(-(LN(2)/$D$65+0.04)*(VLOOKUP(($F$16-$F$15)-1,U$99:Y231,4,FALSE)))*EXP(-(LN(2)/$D$65+0.1)*(VLOOKUP(($F$16-$F$15)-1,U$99:Y231,5,FALSE)))*EXP(-(LN(2)/$D$65+0.04)*X231)*EXP(-(LN(2)/$D$65+0.1)*Y231),IF(V231=3,AA$100*EXP(-(LN(2)/$D$65+0.04)*(VLOOKUP(($F$16-$F$15)-1,U$99:Y231,4,FALSE)))*EXP(-(LN(2)/$D$65+0.1)*(VLOOKUP(($F$16-$F$15)-1,U$99:Y231,5,FALSE)))*EXP(-(LN(2)/$D$65+0.04)*(VLOOKUP(($F$16-$F$15)*2-1,U$99:Y231,4,FALSE)))*EXP(-(LN(2)/$D$65+0.1)*(VLOOKUP(($F$16-$F$15)*2-1,U$99:Y231,5,FALSE)))*EXP(-(LN(2)/$D$65+0.04)*X231)*EXP(-(LN(2)/$D$65+0.1)*Y231),"-"))),"-")</f>
        <v>-</v>
      </c>
      <c r="AB232" s="271" t="str">
        <f>IFERROR(IF(V232=1,AB$100*EXP(-(LN(2)/$D$65+0.04)*X232)*EXP(-(LN(2)/$D$65+0.1)*Y232),IF(V232=2,AB$100*EXP(-(LN(2)/$D$65+0.04)*(VLOOKUP(($F$16-$F$15)-1,U$100:Y232,4,FALSE)))*EXP(-(LN(2)/$D$65+0.1)*(VLOOKUP(($F$16-$F$15)-1,U$100:Y232,5,FALSE)))*EXP(-(LN(2)/$D$65+0.04)*X232)*EXP(-(LN(2)/$D$65+0.1)*Y232),IF(V232=3,AB$100*EXP(-(LN(2)/$D$65+0.04)*(VLOOKUP(($F$16-$F$15)-1,U$100:Y232,4,FALSE)))*EXP(-(LN(2)/$D$65+0.1)*(VLOOKUP(($F$16-$F$15)-1,U$100:Y232,5,FALSE)))*EXP(-(LN(2)/$D$65+0.04)*(VLOOKUP(($F$16-$F$15)*2-1,U$100:Y232,4,FALSE)))*EXP(-(LN(2)/$D$65+0.1)*(VLOOKUP(($F$16-$F$15)*2-1,U$100:Y232,5,FALSE)))*EXP(-(LN(2)/$D$65+0.04)*X232)*EXP(-(LN(2)/$D$65+0.1)*Y232),"-"))),"-")</f>
        <v>-</v>
      </c>
      <c r="AC232" s="224">
        <f t="shared" si="212"/>
        <v>132</v>
      </c>
      <c r="AD232" s="223" t="str">
        <f t="shared" si="186"/>
        <v>-</v>
      </c>
      <c r="AE232" s="224" t="str">
        <f t="shared" si="213"/>
        <v>-</v>
      </c>
      <c r="AF232" s="224" t="str">
        <f t="shared" si="187"/>
        <v>-</v>
      </c>
      <c r="AG232" s="224" t="str">
        <f t="shared" si="188"/>
        <v>-</v>
      </c>
      <c r="AH232" s="272">
        <f t="shared" si="214"/>
        <v>0.1</v>
      </c>
      <c r="AI232" s="271" t="str">
        <f>IFERROR(IF(AD231=1,AI$100*EXP(-(LN(2)/$D$65+0.04)*AF231)*EXP(-(LN(2)/$D$65+0.1)*AG231),IF(AD231=2,AI$100*EXP(-(LN(2)/$D$65+0.04)*(VLOOKUP(($F$16-$F$15)-1,AC$99:AG231,4,FALSE)))*EXP(-(LN(2)/$D$65+0.1)*(VLOOKUP(($F$16-$F$15)-1,AC$99:AG231,5,FALSE)))*EXP(-(LN(2)/$D$65+0.04)*AF231)*EXP(-(LN(2)/$D$65+0.1)*AG231),IF(AD231=3,AI$100*EXP(-(LN(2)/$D$65+0.04)*(VLOOKUP(($F$16-$F$15)-1,AC$99:AG231,4,FALSE)))*EXP(-(LN(2)/$D$65+0.1)*(VLOOKUP(($F$16-$F$15)-1,AC$99:AG231,5,FALSE)))*EXP(-(LN(2)/$D$65+0.04)*(VLOOKUP(($F$16-$F$15)*2-1,AC$99:AG231,4,FALSE)))*EXP(-(LN(2)/$D$65+0.1)*(VLOOKUP(($F$16-$F$15)*2-1,AC$99:AG231,5,FALSE)))*EXP(-(LN(2)/$D$65+0.04)*AF231)*EXP(-(LN(2)/$D$65+0.1)*AG231),"-"))),"-")</f>
        <v>-</v>
      </c>
      <c r="AJ232" s="271" t="str">
        <f>IFERROR(IF(AD232=1,AJ$100*EXP(-(LN(2)/$D$65+0.04)*AF232)*EXP(-(LN(2)/$D$65+0.1)*AG232),IF(AD232=2,AJ$100*EXP(-(LN(2)/$D$65+0.04)*(VLOOKUP(($F$16-$F$15)-1,AC$100:AG232,4,FALSE)))*EXP(-(LN(2)/$D$65+0.1)*(VLOOKUP(($F$16-$F$15)-1,AC$100:AG232,5,FALSE)))*EXP(-(LN(2)/$D$65+0.04)*AF232)*EXP(-(LN(2)/$D$65+0.1)*AG232),IF(AD232=3,AJ$100*EXP(-(LN(2)/$D$65+0.04)*(VLOOKUP(($F$16-$F$15)-1,AC$100:AG232,4,FALSE)))*EXP(-(LN(2)/$D$65+0.1)*(VLOOKUP(($F$16-$F$15)-1,AC$100:AG232,5,FALSE)))*EXP(-(LN(2)/$D$65+0.04)*(VLOOKUP(($F$16-$F$15)*2-1,AC$100:AG232,4,FALSE)))*EXP(-(LN(2)/$D$65+0.1)*(VLOOKUP(($F$16-$F$15)*2-1,AC$100:AG232,5,FALSE)))*EXP(-(LN(2)/$D$65+0.04)*AF232)*EXP(-(LN(2)/$D$65+0.1)*AG232),"-"))),"-")</f>
        <v>-</v>
      </c>
      <c r="AK232" s="227">
        <f t="shared" si="215"/>
        <v>132</v>
      </c>
      <c r="AL232" s="226" t="str">
        <f t="shared" si="189"/>
        <v>-</v>
      </c>
      <c r="AM232" s="227" t="str">
        <f t="shared" si="216"/>
        <v>-</v>
      </c>
      <c r="AN232" s="227" t="str">
        <f t="shared" si="217"/>
        <v>-</v>
      </c>
      <c r="AO232" s="227" t="str">
        <f t="shared" si="190"/>
        <v>-</v>
      </c>
      <c r="AP232" s="273">
        <f t="shared" si="218"/>
        <v>0.1</v>
      </c>
      <c r="AQ232" s="271" t="str">
        <f>IFERROR(IF(AL231=1,AQ$100*EXP(-(LN(2)/$D$65+0.04)*AN231)*EXP(-(LN(2)/$D$65+0.1)*AO231),IF(AL231=2,AQ$100*EXP(-(LN(2)/$D$65+0.04)*(VLOOKUP(($F$16-$F$15)-1,AK$99:AO231,4,FALSE)))*EXP(-(LN(2)/$D$65+0.1)*(VLOOKUP(($F$16-$F$15)-1,AK$99:AO231,5,FALSE)))*EXP(-(LN(2)/$D$65+0.04)*AN231)*EXP(-(LN(2)/$D$65+0.1)*AO231),IF(AL231=3,AQ$100*EXP(-(LN(2)/$D$65+0.04)*(VLOOKUP(($F$16-$F$15)-1,AK$99:AO231,4,FALSE)))*EXP(-(LN(2)/$D$65+0.1)*(VLOOKUP(($F$16-$F$15)-1,AK$99:AO231,5,FALSE)))*EXP(-(LN(2)/$D$65+0.04)*(VLOOKUP(($F$16-$F$15)*2-1,AK$99:AO231,4,FALSE)))*EXP(-(LN(2)/$D$65+0.1)*(VLOOKUP(($F$16-$F$15)*2-1,AK$99:AO231,5,FALSE)))*EXP(-(LN(2)/$D$65+0.04)*AN231)*EXP(-(LN(2)/$D$65+0.1)*AO231),"-"))),"-")</f>
        <v>-</v>
      </c>
      <c r="AR232" s="271" t="str">
        <f>IFERROR(IF(AL232=1,AR$100*EXP(-(LN(2)/$D$65+0.04)*AN232)*EXP(-(LN(2)/$D$65+0.1)*AO232),IF(AL232=2,AR$100*EXP(-(LN(2)/$D$65+0.04)*(VLOOKUP(($F$16-$F$15)-1,AK$100:AO232,4,FALSE)))*EXP(-(LN(2)/$D$65+0.1)*(VLOOKUP(($F$16-$F$15)-1,AK$100:AO232,5,FALSE)))*EXP(-(LN(2)/$D$65+0.04)*AN232)*EXP(-(LN(2)/$D$65+0.1)*AO232),IF(AL232=3,AR$100*EXP(-(LN(2)/$D$65+0.04)*(VLOOKUP(($F$16-$F$15)-1,AK$100:AO232,4,FALSE)))*EXP(-(LN(2)/$D$65+0.1)*(VLOOKUP(($F$16-$F$15)-1,AK$100:AO232,5,FALSE)))*EXP(-(LN(2)/$D$65+0.04)*(VLOOKUP(($F$16-$F$15)*2-1,AK$100:AO232,4,FALSE)))*EXP(-(LN(2)/$D$65+0.1)*(VLOOKUP(($F$16-$F$15)*2-1,AK$100:AO232,5,FALSE)))*EXP(-(LN(2)/$D$65+0.04)*AN232)*EXP(-(LN(2)/$D$65+0.1)*AO232),"-"))),"-")</f>
        <v>-</v>
      </c>
      <c r="AS232" s="274">
        <f t="shared" si="191"/>
        <v>0</v>
      </c>
      <c r="AT232" s="274">
        <f t="shared" si="192"/>
        <v>0</v>
      </c>
      <c r="AU232" s="274">
        <f t="shared" si="193"/>
        <v>0</v>
      </c>
      <c r="AV232" s="190">
        <f>IF($B232&lt;$F$22,SUM($T$100:$T232),"")</f>
        <v>0</v>
      </c>
      <c r="AW232" s="190" t="str">
        <f t="shared" si="194"/>
        <v>-</v>
      </c>
      <c r="AX232" s="190" t="str">
        <f t="shared" si="219"/>
        <v/>
      </c>
      <c r="AY232"/>
      <c r="AZ232" s="190" t="str">
        <f ca="1">IF(ISNUMBER(OFFSET(AV232,-$F$21,0)),SUM(OFFSET($T$100,$F$21,0):$T232),"")</f>
        <v/>
      </c>
      <c r="BA232" s="190" t="str">
        <f t="shared" ca="1" si="195"/>
        <v/>
      </c>
      <c r="BB232" s="190" t="str">
        <f t="shared" ca="1" si="148"/>
        <v/>
      </c>
      <c r="BC232" s="190"/>
      <c r="BD232" s="190" t="str">
        <f ca="1">IFERROR(IF(AND($B232&gt;=($F$16-$F$15),$B232&lt;$F$22+($F$16-$F$15)),SUM(OFFSET($T$100,($F$16-$F$15),0):$T232),""),"")</f>
        <v/>
      </c>
      <c r="BE232" s="190" t="str">
        <f t="shared" ca="1" si="220"/>
        <v/>
      </c>
      <c r="BF232" s="190" t="str">
        <f t="shared" ca="1" si="221"/>
        <v/>
      </c>
      <c r="BG232"/>
      <c r="BH232" s="190" t="str">
        <f ca="1">IF(ISNUMBER(OFFSET(BD232,-$F$21,0)),SUM(OFFSET($T$100,($F$16-$F$15+$F$21),0):$T232),"")</f>
        <v/>
      </c>
      <c r="BI232" s="190" t="str">
        <f t="shared" ca="1" si="196"/>
        <v/>
      </c>
      <c r="BJ232" s="190" t="str">
        <f t="shared" ca="1" si="222"/>
        <v/>
      </c>
      <c r="BK232" s="190"/>
      <c r="BL232" s="190" t="str">
        <f ca="1">IFERROR(IF(AND($B232&gt;=($F$17-$F$15),$B232&lt;$F$22+($F$17-$F$15)),SUM(OFFSET($T$100,($F$17-$F$15),0):$T232),""),"")</f>
        <v/>
      </c>
      <c r="BM232" s="190" t="str">
        <f t="shared" ca="1" si="197"/>
        <v/>
      </c>
      <c r="BN232" s="190" t="str">
        <f t="shared" ca="1" si="223"/>
        <v/>
      </c>
      <c r="BO232"/>
      <c r="BP232" s="190" t="str">
        <f ca="1">IF(ISNUMBER(OFFSET(BL232,-$F$21,0)),SUM(OFFSET($T$100,($F$17-$F$15+$F$21),0):$T232),"")</f>
        <v/>
      </c>
      <c r="BQ232" s="190" t="str">
        <f t="shared" ca="1" si="198"/>
        <v/>
      </c>
      <c r="BR232" s="190" t="str">
        <f t="shared" ca="1" si="224"/>
        <v/>
      </c>
      <c r="BS232" s="190"/>
      <c r="BT232"/>
      <c r="BU232"/>
      <c r="BV232"/>
      <c r="BY232" s="99"/>
      <c r="BZ232" s="99"/>
      <c r="CA232" s="280" t="str">
        <f t="shared" si="199"/>
        <v/>
      </c>
      <c r="CB232" s="71" t="str">
        <f t="shared" si="200"/>
        <v>-</v>
      </c>
      <c r="CC232" s="33"/>
      <c r="CD232" s="261" t="str">
        <f t="shared" si="201"/>
        <v/>
      </c>
      <c r="CE232" s="280" t="str">
        <f t="shared" si="202"/>
        <v>-</v>
      </c>
      <c r="CF232" s="71" t="str">
        <f t="shared" ca="1" si="203"/>
        <v>-</v>
      </c>
      <c r="CG232" s="33" t="str">
        <f t="shared" si="204"/>
        <v>132-133</v>
      </c>
      <c r="CH232" s="261" t="str">
        <f t="shared" ca="1" si="205"/>
        <v/>
      </c>
    </row>
    <row r="233" spans="2:86" ht="13.5" customHeight="1" x14ac:dyDescent="0.2">
      <c r="B233" s="262">
        <v>133</v>
      </c>
      <c r="C233" s="237" t="str">
        <f t="shared" si="169"/>
        <v/>
      </c>
      <c r="D233" s="237" t="str">
        <f t="shared" si="225"/>
        <v>-</v>
      </c>
      <c r="E233" s="263" t="str">
        <f t="shared" si="206"/>
        <v/>
      </c>
      <c r="F233" s="264" t="str">
        <f t="shared" si="207"/>
        <v/>
      </c>
      <c r="G233" s="264" t="str">
        <f t="shared" si="208"/>
        <v/>
      </c>
      <c r="H233" s="240" t="str">
        <f t="shared" si="170"/>
        <v/>
      </c>
      <c r="I233" s="265" t="str">
        <f t="shared" si="171"/>
        <v/>
      </c>
      <c r="J233" s="265" t="str">
        <f t="shared" si="172"/>
        <v/>
      </c>
      <c r="K233" s="240" t="str">
        <f t="shared" si="173"/>
        <v/>
      </c>
      <c r="L233" s="265" t="str">
        <f t="shared" si="174"/>
        <v/>
      </c>
      <c r="M233" s="265" t="str">
        <f t="shared" si="175"/>
        <v/>
      </c>
      <c r="N233" s="240" t="str">
        <f t="shared" si="176"/>
        <v>-</v>
      </c>
      <c r="O233" s="265" t="str">
        <f t="shared" si="177"/>
        <v>-</v>
      </c>
      <c r="P233" s="265" t="str">
        <f t="shared" si="178"/>
        <v>-</v>
      </c>
      <c r="Q233" s="266" t="str">
        <f t="shared" si="179"/>
        <v>-</v>
      </c>
      <c r="R233" s="267" t="str">
        <f t="shared" si="180"/>
        <v>-</v>
      </c>
      <c r="S233" s="268" t="str">
        <f t="shared" si="181"/>
        <v>-</v>
      </c>
      <c r="T233" s="269" t="str">
        <f t="shared" si="182"/>
        <v/>
      </c>
      <c r="U233" s="221">
        <f t="shared" si="183"/>
        <v>133</v>
      </c>
      <c r="V233" s="220" t="str">
        <f t="shared" si="209"/>
        <v>-</v>
      </c>
      <c r="W233" s="221" t="str">
        <f t="shared" si="210"/>
        <v>-</v>
      </c>
      <c r="X233" s="221" t="str">
        <f t="shared" si="184"/>
        <v>-</v>
      </c>
      <c r="Y233" s="221" t="str">
        <f t="shared" si="185"/>
        <v>-</v>
      </c>
      <c r="Z233" s="270">
        <f t="shared" si="211"/>
        <v>0.1</v>
      </c>
      <c r="AA233" s="271" t="str">
        <f>IFERROR(IF(V232=1,AA$100*EXP(-(LN(2)/$D$65+0.04)*X232)*EXP(-(LN(2)/$D$65+0.1)*Y232),IF(V232=2,AA$100*EXP(-(LN(2)/$D$65+0.04)*(VLOOKUP(($F$16-$F$15)-1,U$99:Y232,4,FALSE)))*EXP(-(LN(2)/$D$65+0.1)*(VLOOKUP(($F$16-$F$15)-1,U$99:Y232,5,FALSE)))*EXP(-(LN(2)/$D$65+0.04)*X232)*EXP(-(LN(2)/$D$65+0.1)*Y232),IF(V232=3,AA$100*EXP(-(LN(2)/$D$65+0.04)*(VLOOKUP(($F$16-$F$15)-1,U$99:Y232,4,FALSE)))*EXP(-(LN(2)/$D$65+0.1)*(VLOOKUP(($F$16-$F$15)-1,U$99:Y232,5,FALSE)))*EXP(-(LN(2)/$D$65+0.04)*(VLOOKUP(($F$16-$F$15)*2-1,U$99:Y232,4,FALSE)))*EXP(-(LN(2)/$D$65+0.1)*(VLOOKUP(($F$16-$F$15)*2-1,U$99:Y232,5,FALSE)))*EXP(-(LN(2)/$D$65+0.04)*X232)*EXP(-(LN(2)/$D$65+0.1)*Y232),"-"))),"-")</f>
        <v>-</v>
      </c>
      <c r="AB233" s="271" t="str">
        <f>IFERROR(IF(V233=1,AB$100*EXP(-(LN(2)/$D$65+0.04)*X233)*EXP(-(LN(2)/$D$65+0.1)*Y233),IF(V233=2,AB$100*EXP(-(LN(2)/$D$65+0.04)*(VLOOKUP(($F$16-$F$15)-1,U$100:Y233,4,FALSE)))*EXP(-(LN(2)/$D$65+0.1)*(VLOOKUP(($F$16-$F$15)-1,U$100:Y233,5,FALSE)))*EXP(-(LN(2)/$D$65+0.04)*X233)*EXP(-(LN(2)/$D$65+0.1)*Y233),IF(V233=3,AB$100*EXP(-(LN(2)/$D$65+0.04)*(VLOOKUP(($F$16-$F$15)-1,U$100:Y233,4,FALSE)))*EXP(-(LN(2)/$D$65+0.1)*(VLOOKUP(($F$16-$F$15)-1,U$100:Y233,5,FALSE)))*EXP(-(LN(2)/$D$65+0.04)*(VLOOKUP(($F$16-$F$15)*2-1,U$100:Y233,4,FALSE)))*EXP(-(LN(2)/$D$65+0.1)*(VLOOKUP(($F$16-$F$15)*2-1,U$100:Y233,5,FALSE)))*EXP(-(LN(2)/$D$65+0.04)*X233)*EXP(-(LN(2)/$D$65+0.1)*Y233),"-"))),"-")</f>
        <v>-</v>
      </c>
      <c r="AC233" s="224">
        <f t="shared" si="212"/>
        <v>133</v>
      </c>
      <c r="AD233" s="223" t="str">
        <f t="shared" si="186"/>
        <v>-</v>
      </c>
      <c r="AE233" s="224" t="str">
        <f t="shared" si="213"/>
        <v>-</v>
      </c>
      <c r="AF233" s="224" t="str">
        <f t="shared" si="187"/>
        <v>-</v>
      </c>
      <c r="AG233" s="224" t="str">
        <f t="shared" si="188"/>
        <v>-</v>
      </c>
      <c r="AH233" s="272">
        <f t="shared" si="214"/>
        <v>0.1</v>
      </c>
      <c r="AI233" s="271" t="str">
        <f>IFERROR(IF(AD232=1,AI$100*EXP(-(LN(2)/$D$65+0.04)*AF232)*EXP(-(LN(2)/$D$65+0.1)*AG232),IF(AD232=2,AI$100*EXP(-(LN(2)/$D$65+0.04)*(VLOOKUP(($F$16-$F$15)-1,AC$99:AG232,4,FALSE)))*EXP(-(LN(2)/$D$65+0.1)*(VLOOKUP(($F$16-$F$15)-1,AC$99:AG232,5,FALSE)))*EXP(-(LN(2)/$D$65+0.04)*AF232)*EXP(-(LN(2)/$D$65+0.1)*AG232),IF(AD232=3,AI$100*EXP(-(LN(2)/$D$65+0.04)*(VLOOKUP(($F$16-$F$15)-1,AC$99:AG232,4,FALSE)))*EXP(-(LN(2)/$D$65+0.1)*(VLOOKUP(($F$16-$F$15)-1,AC$99:AG232,5,FALSE)))*EXP(-(LN(2)/$D$65+0.04)*(VLOOKUP(($F$16-$F$15)*2-1,AC$99:AG232,4,FALSE)))*EXP(-(LN(2)/$D$65+0.1)*(VLOOKUP(($F$16-$F$15)*2-1,AC$99:AG232,5,FALSE)))*EXP(-(LN(2)/$D$65+0.04)*AF232)*EXP(-(LN(2)/$D$65+0.1)*AG232),"-"))),"-")</f>
        <v>-</v>
      </c>
      <c r="AJ233" s="271" t="str">
        <f>IFERROR(IF(AD233=1,AJ$100*EXP(-(LN(2)/$D$65+0.04)*AF233)*EXP(-(LN(2)/$D$65+0.1)*AG233),IF(AD233=2,AJ$100*EXP(-(LN(2)/$D$65+0.04)*(VLOOKUP(($F$16-$F$15)-1,AC$100:AG233,4,FALSE)))*EXP(-(LN(2)/$D$65+0.1)*(VLOOKUP(($F$16-$F$15)-1,AC$100:AG233,5,FALSE)))*EXP(-(LN(2)/$D$65+0.04)*AF233)*EXP(-(LN(2)/$D$65+0.1)*AG233),IF(AD233=3,AJ$100*EXP(-(LN(2)/$D$65+0.04)*(VLOOKUP(($F$16-$F$15)-1,AC$100:AG233,4,FALSE)))*EXP(-(LN(2)/$D$65+0.1)*(VLOOKUP(($F$16-$F$15)-1,AC$100:AG233,5,FALSE)))*EXP(-(LN(2)/$D$65+0.04)*(VLOOKUP(($F$16-$F$15)*2-1,AC$100:AG233,4,FALSE)))*EXP(-(LN(2)/$D$65+0.1)*(VLOOKUP(($F$16-$F$15)*2-1,AC$100:AG233,5,FALSE)))*EXP(-(LN(2)/$D$65+0.04)*AF233)*EXP(-(LN(2)/$D$65+0.1)*AG233),"-"))),"-")</f>
        <v>-</v>
      </c>
      <c r="AK233" s="227">
        <f t="shared" si="215"/>
        <v>133</v>
      </c>
      <c r="AL233" s="226" t="str">
        <f t="shared" si="189"/>
        <v>-</v>
      </c>
      <c r="AM233" s="227" t="str">
        <f t="shared" si="216"/>
        <v>-</v>
      </c>
      <c r="AN233" s="227" t="str">
        <f t="shared" si="217"/>
        <v>-</v>
      </c>
      <c r="AO233" s="227" t="str">
        <f t="shared" si="190"/>
        <v>-</v>
      </c>
      <c r="AP233" s="273">
        <f t="shared" si="218"/>
        <v>0.1</v>
      </c>
      <c r="AQ233" s="271" t="str">
        <f>IFERROR(IF(AL232=1,AQ$100*EXP(-(LN(2)/$D$65+0.04)*AN232)*EXP(-(LN(2)/$D$65+0.1)*AO232),IF(AL232=2,AQ$100*EXP(-(LN(2)/$D$65+0.04)*(VLOOKUP(($F$16-$F$15)-1,AK$99:AO232,4,FALSE)))*EXP(-(LN(2)/$D$65+0.1)*(VLOOKUP(($F$16-$F$15)-1,AK$99:AO232,5,FALSE)))*EXP(-(LN(2)/$D$65+0.04)*AN232)*EXP(-(LN(2)/$D$65+0.1)*AO232),IF(AL232=3,AQ$100*EXP(-(LN(2)/$D$65+0.04)*(VLOOKUP(($F$16-$F$15)-1,AK$99:AO232,4,FALSE)))*EXP(-(LN(2)/$D$65+0.1)*(VLOOKUP(($F$16-$F$15)-1,AK$99:AO232,5,FALSE)))*EXP(-(LN(2)/$D$65+0.04)*(VLOOKUP(($F$16-$F$15)*2-1,AK$99:AO232,4,FALSE)))*EXP(-(LN(2)/$D$65+0.1)*(VLOOKUP(($F$16-$F$15)*2-1,AK$99:AO232,5,FALSE)))*EXP(-(LN(2)/$D$65+0.04)*AN232)*EXP(-(LN(2)/$D$65+0.1)*AO232),"-"))),"-")</f>
        <v>-</v>
      </c>
      <c r="AR233" s="271" t="str">
        <f>IFERROR(IF(AL233=1,AR$100*EXP(-(LN(2)/$D$65+0.04)*AN233)*EXP(-(LN(2)/$D$65+0.1)*AO233),IF(AL233=2,AR$100*EXP(-(LN(2)/$D$65+0.04)*(VLOOKUP(($F$16-$F$15)-1,AK$100:AO233,4,FALSE)))*EXP(-(LN(2)/$D$65+0.1)*(VLOOKUP(($F$16-$F$15)-1,AK$100:AO233,5,FALSE)))*EXP(-(LN(2)/$D$65+0.04)*AN233)*EXP(-(LN(2)/$D$65+0.1)*AO233),IF(AL233=3,AR$100*EXP(-(LN(2)/$D$65+0.04)*(VLOOKUP(($F$16-$F$15)-1,AK$100:AO233,4,FALSE)))*EXP(-(LN(2)/$D$65+0.1)*(VLOOKUP(($F$16-$F$15)-1,AK$100:AO233,5,FALSE)))*EXP(-(LN(2)/$D$65+0.04)*(VLOOKUP(($F$16-$F$15)*2-1,AK$100:AO233,4,FALSE)))*EXP(-(LN(2)/$D$65+0.1)*(VLOOKUP(($F$16-$F$15)*2-1,AK$100:AO233,5,FALSE)))*EXP(-(LN(2)/$D$65+0.04)*AN233)*EXP(-(LN(2)/$D$65+0.1)*AO233),"-"))),"-")</f>
        <v>-</v>
      </c>
      <c r="AS233" s="274">
        <f t="shared" si="191"/>
        <v>0</v>
      </c>
      <c r="AT233" s="274">
        <f t="shared" si="192"/>
        <v>0</v>
      </c>
      <c r="AU233" s="274">
        <f t="shared" si="193"/>
        <v>0</v>
      </c>
      <c r="AV233" s="190">
        <f>IF($B233&lt;$F$22,SUM($T$100:$T233),"")</f>
        <v>0</v>
      </c>
      <c r="AW233" s="190" t="str">
        <f t="shared" si="194"/>
        <v>-</v>
      </c>
      <c r="AX233" s="190" t="str">
        <f t="shared" si="219"/>
        <v/>
      </c>
      <c r="AY233"/>
      <c r="AZ233" s="190" t="str">
        <f ca="1">IF(ISNUMBER(OFFSET(AV233,-$F$21,0)),SUM(OFFSET($T$100,$F$21,0):$T233),"")</f>
        <v/>
      </c>
      <c r="BA233" s="190" t="str">
        <f t="shared" ca="1" si="195"/>
        <v/>
      </c>
      <c r="BB233" s="190" t="str">
        <f t="shared" ca="1" si="148"/>
        <v/>
      </c>
      <c r="BC233" s="190"/>
      <c r="BD233" s="190" t="str">
        <f ca="1">IFERROR(IF(AND($B233&gt;=($F$16-$F$15),$B233&lt;$F$22+($F$16-$F$15)),SUM(OFFSET($T$100,($F$16-$F$15),0):$T233),""),"")</f>
        <v/>
      </c>
      <c r="BE233" s="190" t="str">
        <f t="shared" ca="1" si="220"/>
        <v/>
      </c>
      <c r="BF233" s="190" t="str">
        <f t="shared" ca="1" si="221"/>
        <v/>
      </c>
      <c r="BG233"/>
      <c r="BH233" s="190" t="str">
        <f ca="1">IF(ISNUMBER(OFFSET(BD233,-$F$21,0)),SUM(OFFSET($T$100,($F$16-$F$15+$F$21),0):$T233),"")</f>
        <v/>
      </c>
      <c r="BI233" s="190" t="str">
        <f t="shared" ca="1" si="196"/>
        <v/>
      </c>
      <c r="BJ233" s="190" t="str">
        <f t="shared" ca="1" si="222"/>
        <v/>
      </c>
      <c r="BK233" s="190"/>
      <c r="BL233" s="190" t="str">
        <f ca="1">IFERROR(IF(AND($B233&gt;=($F$17-$F$15),$B233&lt;$F$22+($F$17-$F$15)),SUM(OFFSET($T$100,($F$17-$F$15),0):$T233),""),"")</f>
        <v/>
      </c>
      <c r="BM233" s="190" t="str">
        <f t="shared" ca="1" si="197"/>
        <v/>
      </c>
      <c r="BN233" s="190" t="str">
        <f t="shared" ca="1" si="223"/>
        <v/>
      </c>
      <c r="BO233"/>
      <c r="BP233" s="190" t="str">
        <f ca="1">IF(ISNUMBER(OFFSET(BL233,-$F$21,0)),SUM(OFFSET($T$100,($F$17-$F$15+$F$21),0):$T233),"")</f>
        <v/>
      </c>
      <c r="BQ233" s="190" t="str">
        <f t="shared" ca="1" si="198"/>
        <v/>
      </c>
      <c r="BR233" s="190" t="str">
        <f t="shared" ca="1" si="224"/>
        <v/>
      </c>
      <c r="BS233" s="190"/>
      <c r="BT233"/>
      <c r="BU233"/>
      <c r="BV233"/>
      <c r="BY233" s="99"/>
      <c r="BZ233" s="99"/>
      <c r="CA233" s="280" t="str">
        <f t="shared" si="199"/>
        <v/>
      </c>
      <c r="CB233" s="71" t="str">
        <f t="shared" si="200"/>
        <v>-</v>
      </c>
      <c r="CC233" s="33"/>
      <c r="CD233" s="261" t="str">
        <f t="shared" si="201"/>
        <v/>
      </c>
      <c r="CE233" s="280" t="str">
        <f t="shared" si="202"/>
        <v>-</v>
      </c>
      <c r="CF233" s="71" t="str">
        <f t="shared" ca="1" si="203"/>
        <v>-</v>
      </c>
      <c r="CG233" s="33" t="str">
        <f t="shared" si="204"/>
        <v>133-134</v>
      </c>
      <c r="CH233" s="261" t="str">
        <f t="shared" ca="1" si="205"/>
        <v/>
      </c>
    </row>
    <row r="234" spans="2:86" ht="13.5" customHeight="1" x14ac:dyDescent="0.2">
      <c r="B234" s="262">
        <v>134</v>
      </c>
      <c r="C234" s="237" t="str">
        <f t="shared" si="169"/>
        <v/>
      </c>
      <c r="D234" s="237" t="str">
        <f t="shared" si="225"/>
        <v>-</v>
      </c>
      <c r="E234" s="263" t="str">
        <f t="shared" si="206"/>
        <v/>
      </c>
      <c r="F234" s="264" t="str">
        <f t="shared" si="207"/>
        <v/>
      </c>
      <c r="G234" s="264" t="str">
        <f t="shared" si="208"/>
        <v/>
      </c>
      <c r="H234" s="240" t="str">
        <f t="shared" si="170"/>
        <v/>
      </c>
      <c r="I234" s="265" t="str">
        <f t="shared" si="171"/>
        <v/>
      </c>
      <c r="J234" s="265" t="str">
        <f t="shared" si="172"/>
        <v/>
      </c>
      <c r="K234" s="240" t="str">
        <f t="shared" si="173"/>
        <v/>
      </c>
      <c r="L234" s="265" t="str">
        <f t="shared" si="174"/>
        <v/>
      </c>
      <c r="M234" s="265" t="str">
        <f t="shared" si="175"/>
        <v/>
      </c>
      <c r="N234" s="240" t="str">
        <f t="shared" si="176"/>
        <v>-</v>
      </c>
      <c r="O234" s="265" t="str">
        <f t="shared" si="177"/>
        <v>-</v>
      </c>
      <c r="P234" s="265" t="str">
        <f t="shared" si="178"/>
        <v>-</v>
      </c>
      <c r="Q234" s="266" t="str">
        <f t="shared" si="179"/>
        <v>-</v>
      </c>
      <c r="R234" s="267" t="str">
        <f t="shared" si="180"/>
        <v>-</v>
      </c>
      <c r="S234" s="268" t="str">
        <f t="shared" si="181"/>
        <v>-</v>
      </c>
      <c r="T234" s="269" t="str">
        <f t="shared" si="182"/>
        <v/>
      </c>
      <c r="U234" s="221">
        <f t="shared" si="183"/>
        <v>134</v>
      </c>
      <c r="V234" s="220" t="str">
        <f t="shared" si="209"/>
        <v>-</v>
      </c>
      <c r="W234" s="221" t="str">
        <f t="shared" si="210"/>
        <v>-</v>
      </c>
      <c r="X234" s="221" t="str">
        <f t="shared" si="184"/>
        <v>-</v>
      </c>
      <c r="Y234" s="221" t="str">
        <f t="shared" si="185"/>
        <v>-</v>
      </c>
      <c r="Z234" s="270">
        <f t="shared" si="211"/>
        <v>0.1</v>
      </c>
      <c r="AA234" s="271" t="str">
        <f>IFERROR(IF(V233=1,AA$100*EXP(-(LN(2)/$D$65+0.04)*X233)*EXP(-(LN(2)/$D$65+0.1)*Y233),IF(V233=2,AA$100*EXP(-(LN(2)/$D$65+0.04)*(VLOOKUP(($F$16-$F$15)-1,U$99:Y233,4,FALSE)))*EXP(-(LN(2)/$D$65+0.1)*(VLOOKUP(($F$16-$F$15)-1,U$99:Y233,5,FALSE)))*EXP(-(LN(2)/$D$65+0.04)*X233)*EXP(-(LN(2)/$D$65+0.1)*Y233),IF(V233=3,AA$100*EXP(-(LN(2)/$D$65+0.04)*(VLOOKUP(($F$16-$F$15)-1,U$99:Y233,4,FALSE)))*EXP(-(LN(2)/$D$65+0.1)*(VLOOKUP(($F$16-$F$15)-1,U$99:Y233,5,FALSE)))*EXP(-(LN(2)/$D$65+0.04)*(VLOOKUP(($F$16-$F$15)*2-1,U$99:Y233,4,FALSE)))*EXP(-(LN(2)/$D$65+0.1)*(VLOOKUP(($F$16-$F$15)*2-1,U$99:Y233,5,FALSE)))*EXP(-(LN(2)/$D$65+0.04)*X233)*EXP(-(LN(2)/$D$65+0.1)*Y233),"-"))),"-")</f>
        <v>-</v>
      </c>
      <c r="AB234" s="271" t="str">
        <f>IFERROR(IF(V234=1,AB$100*EXP(-(LN(2)/$D$65+0.04)*X234)*EXP(-(LN(2)/$D$65+0.1)*Y234),IF(V234=2,AB$100*EXP(-(LN(2)/$D$65+0.04)*(VLOOKUP(($F$16-$F$15)-1,U$100:Y234,4,FALSE)))*EXP(-(LN(2)/$D$65+0.1)*(VLOOKUP(($F$16-$F$15)-1,U$100:Y234,5,FALSE)))*EXP(-(LN(2)/$D$65+0.04)*X234)*EXP(-(LN(2)/$D$65+0.1)*Y234),IF(V234=3,AB$100*EXP(-(LN(2)/$D$65+0.04)*(VLOOKUP(($F$16-$F$15)-1,U$100:Y234,4,FALSE)))*EXP(-(LN(2)/$D$65+0.1)*(VLOOKUP(($F$16-$F$15)-1,U$100:Y234,5,FALSE)))*EXP(-(LN(2)/$D$65+0.04)*(VLOOKUP(($F$16-$F$15)*2-1,U$100:Y234,4,FALSE)))*EXP(-(LN(2)/$D$65+0.1)*(VLOOKUP(($F$16-$F$15)*2-1,U$100:Y234,5,FALSE)))*EXP(-(LN(2)/$D$65+0.04)*X234)*EXP(-(LN(2)/$D$65+0.1)*Y234),"-"))),"-")</f>
        <v>-</v>
      </c>
      <c r="AC234" s="224">
        <f t="shared" si="212"/>
        <v>134</v>
      </c>
      <c r="AD234" s="223" t="str">
        <f t="shared" si="186"/>
        <v>-</v>
      </c>
      <c r="AE234" s="224" t="str">
        <f t="shared" si="213"/>
        <v>-</v>
      </c>
      <c r="AF234" s="224" t="str">
        <f t="shared" si="187"/>
        <v>-</v>
      </c>
      <c r="AG234" s="224" t="str">
        <f t="shared" si="188"/>
        <v>-</v>
      </c>
      <c r="AH234" s="272">
        <f t="shared" si="214"/>
        <v>0.1</v>
      </c>
      <c r="AI234" s="271" t="str">
        <f>IFERROR(IF(AD233=1,AI$100*EXP(-(LN(2)/$D$65+0.04)*AF233)*EXP(-(LN(2)/$D$65+0.1)*AG233),IF(AD233=2,AI$100*EXP(-(LN(2)/$D$65+0.04)*(VLOOKUP(($F$16-$F$15)-1,AC$99:AG233,4,FALSE)))*EXP(-(LN(2)/$D$65+0.1)*(VLOOKUP(($F$16-$F$15)-1,AC$99:AG233,5,FALSE)))*EXP(-(LN(2)/$D$65+0.04)*AF233)*EXP(-(LN(2)/$D$65+0.1)*AG233),IF(AD233=3,AI$100*EXP(-(LN(2)/$D$65+0.04)*(VLOOKUP(($F$16-$F$15)-1,AC$99:AG233,4,FALSE)))*EXP(-(LN(2)/$D$65+0.1)*(VLOOKUP(($F$16-$F$15)-1,AC$99:AG233,5,FALSE)))*EXP(-(LN(2)/$D$65+0.04)*(VLOOKUP(($F$16-$F$15)*2-1,AC$99:AG233,4,FALSE)))*EXP(-(LN(2)/$D$65+0.1)*(VLOOKUP(($F$16-$F$15)*2-1,AC$99:AG233,5,FALSE)))*EXP(-(LN(2)/$D$65+0.04)*AF233)*EXP(-(LN(2)/$D$65+0.1)*AG233),"-"))),"-")</f>
        <v>-</v>
      </c>
      <c r="AJ234" s="271" t="str">
        <f>IFERROR(IF(AD234=1,AJ$100*EXP(-(LN(2)/$D$65+0.04)*AF234)*EXP(-(LN(2)/$D$65+0.1)*AG234),IF(AD234=2,AJ$100*EXP(-(LN(2)/$D$65+0.04)*(VLOOKUP(($F$16-$F$15)-1,AC$100:AG234,4,FALSE)))*EXP(-(LN(2)/$D$65+0.1)*(VLOOKUP(($F$16-$F$15)-1,AC$100:AG234,5,FALSE)))*EXP(-(LN(2)/$D$65+0.04)*AF234)*EXP(-(LN(2)/$D$65+0.1)*AG234),IF(AD234=3,AJ$100*EXP(-(LN(2)/$D$65+0.04)*(VLOOKUP(($F$16-$F$15)-1,AC$100:AG234,4,FALSE)))*EXP(-(LN(2)/$D$65+0.1)*(VLOOKUP(($F$16-$F$15)-1,AC$100:AG234,5,FALSE)))*EXP(-(LN(2)/$D$65+0.04)*(VLOOKUP(($F$16-$F$15)*2-1,AC$100:AG234,4,FALSE)))*EXP(-(LN(2)/$D$65+0.1)*(VLOOKUP(($F$16-$F$15)*2-1,AC$100:AG234,5,FALSE)))*EXP(-(LN(2)/$D$65+0.04)*AF234)*EXP(-(LN(2)/$D$65+0.1)*AG234),"-"))),"-")</f>
        <v>-</v>
      </c>
      <c r="AK234" s="227">
        <f t="shared" si="215"/>
        <v>134</v>
      </c>
      <c r="AL234" s="226" t="str">
        <f t="shared" si="189"/>
        <v>-</v>
      </c>
      <c r="AM234" s="227" t="str">
        <f t="shared" si="216"/>
        <v>-</v>
      </c>
      <c r="AN234" s="227" t="str">
        <f t="shared" si="217"/>
        <v>-</v>
      </c>
      <c r="AO234" s="227" t="str">
        <f t="shared" si="190"/>
        <v>-</v>
      </c>
      <c r="AP234" s="273">
        <f t="shared" si="218"/>
        <v>0.1</v>
      </c>
      <c r="AQ234" s="271" t="str">
        <f>IFERROR(IF(AL233=1,AQ$100*EXP(-(LN(2)/$D$65+0.04)*AN233)*EXP(-(LN(2)/$D$65+0.1)*AO233),IF(AL233=2,AQ$100*EXP(-(LN(2)/$D$65+0.04)*(VLOOKUP(($F$16-$F$15)-1,AK$99:AO233,4,FALSE)))*EXP(-(LN(2)/$D$65+0.1)*(VLOOKUP(($F$16-$F$15)-1,AK$99:AO233,5,FALSE)))*EXP(-(LN(2)/$D$65+0.04)*AN233)*EXP(-(LN(2)/$D$65+0.1)*AO233),IF(AL233=3,AQ$100*EXP(-(LN(2)/$D$65+0.04)*(VLOOKUP(($F$16-$F$15)-1,AK$99:AO233,4,FALSE)))*EXP(-(LN(2)/$D$65+0.1)*(VLOOKUP(($F$16-$F$15)-1,AK$99:AO233,5,FALSE)))*EXP(-(LN(2)/$D$65+0.04)*(VLOOKUP(($F$16-$F$15)*2-1,AK$99:AO233,4,FALSE)))*EXP(-(LN(2)/$D$65+0.1)*(VLOOKUP(($F$16-$F$15)*2-1,AK$99:AO233,5,FALSE)))*EXP(-(LN(2)/$D$65+0.04)*AN233)*EXP(-(LN(2)/$D$65+0.1)*AO233),"-"))),"-")</f>
        <v>-</v>
      </c>
      <c r="AR234" s="271" t="str">
        <f>IFERROR(IF(AL234=1,AR$100*EXP(-(LN(2)/$D$65+0.04)*AN234)*EXP(-(LN(2)/$D$65+0.1)*AO234),IF(AL234=2,AR$100*EXP(-(LN(2)/$D$65+0.04)*(VLOOKUP(($F$16-$F$15)-1,AK$100:AO234,4,FALSE)))*EXP(-(LN(2)/$D$65+0.1)*(VLOOKUP(($F$16-$F$15)-1,AK$100:AO234,5,FALSE)))*EXP(-(LN(2)/$D$65+0.04)*AN234)*EXP(-(LN(2)/$D$65+0.1)*AO234),IF(AL234=3,AR$100*EXP(-(LN(2)/$D$65+0.04)*(VLOOKUP(($F$16-$F$15)-1,AK$100:AO234,4,FALSE)))*EXP(-(LN(2)/$D$65+0.1)*(VLOOKUP(($F$16-$F$15)-1,AK$100:AO234,5,FALSE)))*EXP(-(LN(2)/$D$65+0.04)*(VLOOKUP(($F$16-$F$15)*2-1,AK$100:AO234,4,FALSE)))*EXP(-(LN(2)/$D$65+0.1)*(VLOOKUP(($F$16-$F$15)*2-1,AK$100:AO234,5,FALSE)))*EXP(-(LN(2)/$D$65+0.04)*AN234)*EXP(-(LN(2)/$D$65+0.1)*AO234),"-"))),"-")</f>
        <v>-</v>
      </c>
      <c r="AS234" s="274">
        <f t="shared" si="191"/>
        <v>0</v>
      </c>
      <c r="AT234" s="274">
        <f t="shared" si="192"/>
        <v>0</v>
      </c>
      <c r="AU234" s="274">
        <f t="shared" si="193"/>
        <v>0</v>
      </c>
      <c r="AV234" s="190">
        <f>IF($B234&lt;$F$22,SUM($T$100:$T234),"")</f>
        <v>0</v>
      </c>
      <c r="AW234" s="190" t="str">
        <f t="shared" si="194"/>
        <v>-</v>
      </c>
      <c r="AX234" s="190" t="str">
        <f t="shared" si="219"/>
        <v/>
      </c>
      <c r="AY234"/>
      <c r="AZ234" s="190" t="str">
        <f ca="1">IF(ISNUMBER(OFFSET(AV234,-$F$21,0)),SUM(OFFSET($T$100,$F$21,0):$T234),"")</f>
        <v/>
      </c>
      <c r="BA234" s="190" t="str">
        <f t="shared" ca="1" si="195"/>
        <v/>
      </c>
      <c r="BB234" s="190" t="str">
        <f t="shared" ca="1" si="148"/>
        <v/>
      </c>
      <c r="BC234" s="190"/>
      <c r="BD234" s="190" t="str">
        <f ca="1">IFERROR(IF(AND($B234&gt;=($F$16-$F$15),$B234&lt;$F$22+($F$16-$F$15)),SUM(OFFSET($T$100,($F$16-$F$15),0):$T234),""),"")</f>
        <v/>
      </c>
      <c r="BE234" s="190" t="str">
        <f t="shared" ca="1" si="220"/>
        <v/>
      </c>
      <c r="BF234" s="190" t="str">
        <f t="shared" ca="1" si="221"/>
        <v/>
      </c>
      <c r="BG234"/>
      <c r="BH234" s="190" t="str">
        <f ca="1">IF(ISNUMBER(OFFSET(BD234,-$F$21,0)),SUM(OFFSET($T$100,($F$16-$F$15+$F$21),0):$T234),"")</f>
        <v/>
      </c>
      <c r="BI234" s="190" t="str">
        <f t="shared" ca="1" si="196"/>
        <v/>
      </c>
      <c r="BJ234" s="190" t="str">
        <f t="shared" ca="1" si="222"/>
        <v/>
      </c>
      <c r="BK234" s="190"/>
      <c r="BL234" s="190" t="str">
        <f ca="1">IFERROR(IF(AND($B234&gt;=($F$17-$F$15),$B234&lt;$F$22+($F$17-$F$15)),SUM(OFFSET($T$100,($F$17-$F$15),0):$T234),""),"")</f>
        <v/>
      </c>
      <c r="BM234" s="190" t="str">
        <f t="shared" ca="1" si="197"/>
        <v/>
      </c>
      <c r="BN234" s="190" t="str">
        <f t="shared" ca="1" si="223"/>
        <v/>
      </c>
      <c r="BO234"/>
      <c r="BP234" s="190" t="str">
        <f ca="1">IF(ISNUMBER(OFFSET(BL234,-$F$21,0)),SUM(OFFSET($T$100,($F$17-$F$15+$F$21),0):$T234),"")</f>
        <v/>
      </c>
      <c r="BQ234" s="190" t="str">
        <f t="shared" ca="1" si="198"/>
        <v/>
      </c>
      <c r="BR234" s="190" t="str">
        <f t="shared" ca="1" si="224"/>
        <v/>
      </c>
      <c r="BS234" s="190"/>
      <c r="BT234"/>
      <c r="BU234"/>
      <c r="BV234"/>
      <c r="BY234" s="99"/>
      <c r="BZ234" s="99"/>
      <c r="CA234" s="280" t="str">
        <f t="shared" si="199"/>
        <v/>
      </c>
      <c r="CB234" s="71" t="str">
        <f t="shared" si="200"/>
        <v>-</v>
      </c>
      <c r="CC234" s="33"/>
      <c r="CD234" s="261" t="str">
        <f t="shared" si="201"/>
        <v/>
      </c>
      <c r="CE234" s="280" t="str">
        <f t="shared" si="202"/>
        <v>-</v>
      </c>
      <c r="CF234" s="71" t="str">
        <f t="shared" ca="1" si="203"/>
        <v>-</v>
      </c>
      <c r="CG234" s="33" t="str">
        <f t="shared" si="204"/>
        <v>134-135</v>
      </c>
      <c r="CH234" s="261" t="str">
        <f t="shared" ca="1" si="205"/>
        <v/>
      </c>
    </row>
    <row r="235" spans="2:86" ht="13.5" customHeight="1" x14ac:dyDescent="0.2">
      <c r="B235" s="262">
        <v>135</v>
      </c>
      <c r="C235" s="237" t="str">
        <f t="shared" si="169"/>
        <v/>
      </c>
      <c r="D235" s="237" t="str">
        <f t="shared" si="225"/>
        <v>-</v>
      </c>
      <c r="E235" s="263" t="str">
        <f t="shared" si="206"/>
        <v/>
      </c>
      <c r="F235" s="264" t="str">
        <f t="shared" si="207"/>
        <v/>
      </c>
      <c r="G235" s="264" t="str">
        <f t="shared" si="208"/>
        <v/>
      </c>
      <c r="H235" s="240" t="str">
        <f t="shared" si="170"/>
        <v/>
      </c>
      <c r="I235" s="265" t="str">
        <f t="shared" si="171"/>
        <v/>
      </c>
      <c r="J235" s="265" t="str">
        <f t="shared" si="172"/>
        <v/>
      </c>
      <c r="K235" s="240" t="str">
        <f t="shared" si="173"/>
        <v/>
      </c>
      <c r="L235" s="265" t="str">
        <f t="shared" si="174"/>
        <v/>
      </c>
      <c r="M235" s="265" t="str">
        <f t="shared" si="175"/>
        <v/>
      </c>
      <c r="N235" s="240" t="str">
        <f t="shared" si="176"/>
        <v>-</v>
      </c>
      <c r="O235" s="265" t="str">
        <f t="shared" si="177"/>
        <v>-</v>
      </c>
      <c r="P235" s="265" t="str">
        <f t="shared" si="178"/>
        <v>-</v>
      </c>
      <c r="Q235" s="266" t="str">
        <f t="shared" si="179"/>
        <v>-</v>
      </c>
      <c r="R235" s="267" t="str">
        <f t="shared" si="180"/>
        <v>-</v>
      </c>
      <c r="S235" s="268" t="str">
        <f t="shared" si="181"/>
        <v>-</v>
      </c>
      <c r="T235" s="269" t="str">
        <f t="shared" si="182"/>
        <v/>
      </c>
      <c r="U235" s="221">
        <f t="shared" si="183"/>
        <v>135</v>
      </c>
      <c r="V235" s="220" t="str">
        <f t="shared" si="209"/>
        <v>-</v>
      </c>
      <c r="W235" s="221" t="str">
        <f t="shared" si="210"/>
        <v>-</v>
      </c>
      <c r="X235" s="221" t="str">
        <f t="shared" si="184"/>
        <v>-</v>
      </c>
      <c r="Y235" s="221" t="str">
        <f t="shared" si="185"/>
        <v>-</v>
      </c>
      <c r="Z235" s="270">
        <f t="shared" si="211"/>
        <v>0.1</v>
      </c>
      <c r="AA235" s="271" t="str">
        <f>IFERROR(IF(V234=1,AA$100*EXP(-(LN(2)/$D$65+0.04)*X234)*EXP(-(LN(2)/$D$65+0.1)*Y234),IF(V234=2,AA$100*EXP(-(LN(2)/$D$65+0.04)*(VLOOKUP(($F$16-$F$15)-1,U$99:Y234,4,FALSE)))*EXP(-(LN(2)/$D$65+0.1)*(VLOOKUP(($F$16-$F$15)-1,U$99:Y234,5,FALSE)))*EXP(-(LN(2)/$D$65+0.04)*X234)*EXP(-(LN(2)/$D$65+0.1)*Y234),IF(V234=3,AA$100*EXP(-(LN(2)/$D$65+0.04)*(VLOOKUP(($F$16-$F$15)-1,U$99:Y234,4,FALSE)))*EXP(-(LN(2)/$D$65+0.1)*(VLOOKUP(($F$16-$F$15)-1,U$99:Y234,5,FALSE)))*EXP(-(LN(2)/$D$65+0.04)*(VLOOKUP(($F$16-$F$15)*2-1,U$99:Y234,4,FALSE)))*EXP(-(LN(2)/$D$65+0.1)*(VLOOKUP(($F$16-$F$15)*2-1,U$99:Y234,5,FALSE)))*EXP(-(LN(2)/$D$65+0.04)*X234)*EXP(-(LN(2)/$D$65+0.1)*Y234),"-"))),"-")</f>
        <v>-</v>
      </c>
      <c r="AB235" s="271" t="str">
        <f>IFERROR(IF(V235=1,AB$100*EXP(-(LN(2)/$D$65+0.04)*X235)*EXP(-(LN(2)/$D$65+0.1)*Y235),IF(V235=2,AB$100*EXP(-(LN(2)/$D$65+0.04)*(VLOOKUP(($F$16-$F$15)-1,U$100:Y235,4,FALSE)))*EXP(-(LN(2)/$D$65+0.1)*(VLOOKUP(($F$16-$F$15)-1,U$100:Y235,5,FALSE)))*EXP(-(LN(2)/$D$65+0.04)*X235)*EXP(-(LN(2)/$D$65+0.1)*Y235),IF(V235=3,AB$100*EXP(-(LN(2)/$D$65+0.04)*(VLOOKUP(($F$16-$F$15)-1,U$100:Y235,4,FALSE)))*EXP(-(LN(2)/$D$65+0.1)*(VLOOKUP(($F$16-$F$15)-1,U$100:Y235,5,FALSE)))*EXP(-(LN(2)/$D$65+0.04)*(VLOOKUP(($F$16-$F$15)*2-1,U$100:Y235,4,FALSE)))*EXP(-(LN(2)/$D$65+0.1)*(VLOOKUP(($F$16-$F$15)*2-1,U$100:Y235,5,FALSE)))*EXP(-(LN(2)/$D$65+0.04)*X235)*EXP(-(LN(2)/$D$65+0.1)*Y235),"-"))),"-")</f>
        <v>-</v>
      </c>
      <c r="AC235" s="224">
        <f t="shared" si="212"/>
        <v>135</v>
      </c>
      <c r="AD235" s="223" t="str">
        <f t="shared" si="186"/>
        <v>-</v>
      </c>
      <c r="AE235" s="224" t="str">
        <f t="shared" si="213"/>
        <v>-</v>
      </c>
      <c r="AF235" s="224" t="str">
        <f t="shared" si="187"/>
        <v>-</v>
      </c>
      <c r="AG235" s="224" t="str">
        <f t="shared" si="188"/>
        <v>-</v>
      </c>
      <c r="AH235" s="272">
        <f t="shared" si="214"/>
        <v>0.1</v>
      </c>
      <c r="AI235" s="271" t="str">
        <f>IFERROR(IF(AD234=1,AI$100*EXP(-(LN(2)/$D$65+0.04)*AF234)*EXP(-(LN(2)/$D$65+0.1)*AG234),IF(AD234=2,AI$100*EXP(-(LN(2)/$D$65+0.04)*(VLOOKUP(($F$16-$F$15)-1,AC$99:AG234,4,FALSE)))*EXP(-(LN(2)/$D$65+0.1)*(VLOOKUP(($F$16-$F$15)-1,AC$99:AG234,5,FALSE)))*EXP(-(LN(2)/$D$65+0.04)*AF234)*EXP(-(LN(2)/$D$65+0.1)*AG234),IF(AD234=3,AI$100*EXP(-(LN(2)/$D$65+0.04)*(VLOOKUP(($F$16-$F$15)-1,AC$99:AG234,4,FALSE)))*EXP(-(LN(2)/$D$65+0.1)*(VLOOKUP(($F$16-$F$15)-1,AC$99:AG234,5,FALSE)))*EXP(-(LN(2)/$D$65+0.04)*(VLOOKUP(($F$16-$F$15)*2-1,AC$99:AG234,4,FALSE)))*EXP(-(LN(2)/$D$65+0.1)*(VLOOKUP(($F$16-$F$15)*2-1,AC$99:AG234,5,FALSE)))*EXP(-(LN(2)/$D$65+0.04)*AF234)*EXP(-(LN(2)/$D$65+0.1)*AG234),"-"))),"-")</f>
        <v>-</v>
      </c>
      <c r="AJ235" s="271" t="str">
        <f>IFERROR(IF(AD235=1,AJ$100*EXP(-(LN(2)/$D$65+0.04)*AF235)*EXP(-(LN(2)/$D$65+0.1)*AG235),IF(AD235=2,AJ$100*EXP(-(LN(2)/$D$65+0.04)*(VLOOKUP(($F$16-$F$15)-1,AC$100:AG235,4,FALSE)))*EXP(-(LN(2)/$D$65+0.1)*(VLOOKUP(($F$16-$F$15)-1,AC$100:AG235,5,FALSE)))*EXP(-(LN(2)/$D$65+0.04)*AF235)*EXP(-(LN(2)/$D$65+0.1)*AG235),IF(AD235=3,AJ$100*EXP(-(LN(2)/$D$65+0.04)*(VLOOKUP(($F$16-$F$15)-1,AC$100:AG235,4,FALSE)))*EXP(-(LN(2)/$D$65+0.1)*(VLOOKUP(($F$16-$F$15)-1,AC$100:AG235,5,FALSE)))*EXP(-(LN(2)/$D$65+0.04)*(VLOOKUP(($F$16-$F$15)*2-1,AC$100:AG235,4,FALSE)))*EXP(-(LN(2)/$D$65+0.1)*(VLOOKUP(($F$16-$F$15)*2-1,AC$100:AG235,5,FALSE)))*EXP(-(LN(2)/$D$65+0.04)*AF235)*EXP(-(LN(2)/$D$65+0.1)*AG235),"-"))),"-")</f>
        <v>-</v>
      </c>
      <c r="AK235" s="227">
        <f t="shared" si="215"/>
        <v>135</v>
      </c>
      <c r="AL235" s="226" t="str">
        <f t="shared" si="189"/>
        <v>-</v>
      </c>
      <c r="AM235" s="227" t="str">
        <f t="shared" si="216"/>
        <v>-</v>
      </c>
      <c r="AN235" s="227" t="str">
        <f t="shared" si="217"/>
        <v>-</v>
      </c>
      <c r="AO235" s="227" t="str">
        <f t="shared" si="190"/>
        <v>-</v>
      </c>
      <c r="AP235" s="273">
        <f t="shared" si="218"/>
        <v>0.1</v>
      </c>
      <c r="AQ235" s="271" t="str">
        <f>IFERROR(IF(AL234=1,AQ$100*EXP(-(LN(2)/$D$65+0.04)*AN234)*EXP(-(LN(2)/$D$65+0.1)*AO234),IF(AL234=2,AQ$100*EXP(-(LN(2)/$D$65+0.04)*(VLOOKUP(($F$16-$F$15)-1,AK$99:AO234,4,FALSE)))*EXP(-(LN(2)/$D$65+0.1)*(VLOOKUP(($F$16-$F$15)-1,AK$99:AO234,5,FALSE)))*EXP(-(LN(2)/$D$65+0.04)*AN234)*EXP(-(LN(2)/$D$65+0.1)*AO234),IF(AL234=3,AQ$100*EXP(-(LN(2)/$D$65+0.04)*(VLOOKUP(($F$16-$F$15)-1,AK$99:AO234,4,FALSE)))*EXP(-(LN(2)/$D$65+0.1)*(VLOOKUP(($F$16-$F$15)-1,AK$99:AO234,5,FALSE)))*EXP(-(LN(2)/$D$65+0.04)*(VLOOKUP(($F$16-$F$15)*2-1,AK$99:AO234,4,FALSE)))*EXP(-(LN(2)/$D$65+0.1)*(VLOOKUP(($F$16-$F$15)*2-1,AK$99:AO234,5,FALSE)))*EXP(-(LN(2)/$D$65+0.04)*AN234)*EXP(-(LN(2)/$D$65+0.1)*AO234),"-"))),"-")</f>
        <v>-</v>
      </c>
      <c r="AR235" s="271" t="str">
        <f>IFERROR(IF(AL235=1,AR$100*EXP(-(LN(2)/$D$65+0.04)*AN235)*EXP(-(LN(2)/$D$65+0.1)*AO235),IF(AL235=2,AR$100*EXP(-(LN(2)/$D$65+0.04)*(VLOOKUP(($F$16-$F$15)-1,AK$100:AO235,4,FALSE)))*EXP(-(LN(2)/$D$65+0.1)*(VLOOKUP(($F$16-$F$15)-1,AK$100:AO235,5,FALSE)))*EXP(-(LN(2)/$D$65+0.04)*AN235)*EXP(-(LN(2)/$D$65+0.1)*AO235),IF(AL235=3,AR$100*EXP(-(LN(2)/$D$65+0.04)*(VLOOKUP(($F$16-$F$15)-1,AK$100:AO235,4,FALSE)))*EXP(-(LN(2)/$D$65+0.1)*(VLOOKUP(($F$16-$F$15)-1,AK$100:AO235,5,FALSE)))*EXP(-(LN(2)/$D$65+0.04)*(VLOOKUP(($F$16-$F$15)*2-1,AK$100:AO235,4,FALSE)))*EXP(-(LN(2)/$D$65+0.1)*(VLOOKUP(($F$16-$F$15)*2-1,AK$100:AO235,5,FALSE)))*EXP(-(LN(2)/$D$65+0.04)*AN235)*EXP(-(LN(2)/$D$65+0.1)*AO235),"-"))),"-")</f>
        <v>-</v>
      </c>
      <c r="AS235" s="274">
        <f t="shared" si="191"/>
        <v>0</v>
      </c>
      <c r="AT235" s="274">
        <f t="shared" si="192"/>
        <v>0</v>
      </c>
      <c r="AU235" s="274">
        <f t="shared" si="193"/>
        <v>0</v>
      </c>
      <c r="AV235" s="190">
        <f>IF($B235&lt;$F$22,SUM($T$100:$T235),"")</f>
        <v>0</v>
      </c>
      <c r="AW235" s="190" t="str">
        <f t="shared" si="194"/>
        <v>-</v>
      </c>
      <c r="AX235" s="190" t="str">
        <f t="shared" si="219"/>
        <v/>
      </c>
      <c r="AY235"/>
      <c r="AZ235" s="190" t="str">
        <f ca="1">IF(ISNUMBER(OFFSET(AV235,-$F$21,0)),SUM(OFFSET($T$100,$F$21,0):$T235),"")</f>
        <v/>
      </c>
      <c r="BA235" s="190" t="str">
        <f t="shared" ca="1" si="195"/>
        <v/>
      </c>
      <c r="BB235" s="190" t="str">
        <f t="shared" ca="1" si="148"/>
        <v/>
      </c>
      <c r="BC235" s="190"/>
      <c r="BD235" s="190" t="str">
        <f ca="1">IFERROR(IF(AND($B235&gt;=($F$16-$F$15),$B235&lt;$F$22+($F$16-$F$15)),SUM(OFFSET($T$100,($F$16-$F$15),0):$T235),""),"")</f>
        <v/>
      </c>
      <c r="BE235" s="190" t="str">
        <f t="shared" ca="1" si="220"/>
        <v/>
      </c>
      <c r="BF235" s="190" t="str">
        <f t="shared" ca="1" si="221"/>
        <v/>
      </c>
      <c r="BG235"/>
      <c r="BH235" s="190" t="str">
        <f ca="1">IF(ISNUMBER(OFFSET(BD235,-$F$21,0)),SUM(OFFSET($T$100,($F$16-$F$15+$F$21),0):$T235),"")</f>
        <v/>
      </c>
      <c r="BI235" s="190" t="str">
        <f t="shared" ca="1" si="196"/>
        <v/>
      </c>
      <c r="BJ235" s="190" t="str">
        <f t="shared" ca="1" si="222"/>
        <v/>
      </c>
      <c r="BK235" s="190"/>
      <c r="BL235" s="190" t="str">
        <f ca="1">IFERROR(IF(AND($B235&gt;=($F$17-$F$15),$B235&lt;$F$22+($F$17-$F$15)),SUM(OFFSET($T$100,($F$17-$F$15),0):$T235),""),"")</f>
        <v/>
      </c>
      <c r="BM235" s="190" t="str">
        <f t="shared" ca="1" si="197"/>
        <v/>
      </c>
      <c r="BN235" s="190" t="str">
        <f t="shared" ca="1" si="223"/>
        <v/>
      </c>
      <c r="BO235"/>
      <c r="BP235" s="190" t="str">
        <f ca="1">IF(ISNUMBER(OFFSET(BL235,-$F$21,0)),SUM(OFFSET($T$100,($F$17-$F$15+$F$21),0):$T235),"")</f>
        <v/>
      </c>
      <c r="BQ235" s="190" t="str">
        <f t="shared" ca="1" si="198"/>
        <v/>
      </c>
      <c r="BR235" s="190" t="str">
        <f t="shared" ca="1" si="224"/>
        <v/>
      </c>
      <c r="BS235" s="190"/>
      <c r="BT235"/>
      <c r="BU235"/>
      <c r="BV235"/>
      <c r="BY235" s="99"/>
      <c r="BZ235" s="99"/>
      <c r="CA235" s="280" t="str">
        <f t="shared" si="199"/>
        <v/>
      </c>
      <c r="CB235" s="71" t="str">
        <f t="shared" si="200"/>
        <v>-</v>
      </c>
      <c r="CC235" s="33"/>
      <c r="CD235" s="261" t="str">
        <f t="shared" si="201"/>
        <v/>
      </c>
      <c r="CE235" s="280" t="str">
        <f t="shared" si="202"/>
        <v>-</v>
      </c>
      <c r="CF235" s="71" t="str">
        <f t="shared" ca="1" si="203"/>
        <v>-</v>
      </c>
      <c r="CG235" s="33" t="str">
        <f t="shared" si="204"/>
        <v>135-136</v>
      </c>
      <c r="CH235" s="261" t="str">
        <f t="shared" ca="1" si="205"/>
        <v/>
      </c>
    </row>
    <row r="236" spans="2:86" ht="13.5" customHeight="1" x14ac:dyDescent="0.2">
      <c r="B236" s="262">
        <v>136</v>
      </c>
      <c r="C236" s="237" t="str">
        <f t="shared" si="169"/>
        <v/>
      </c>
      <c r="D236" s="237" t="str">
        <f t="shared" si="225"/>
        <v>-</v>
      </c>
      <c r="E236" s="263" t="str">
        <f t="shared" si="206"/>
        <v/>
      </c>
      <c r="F236" s="264" t="str">
        <f t="shared" si="207"/>
        <v/>
      </c>
      <c r="G236" s="264" t="str">
        <f t="shared" si="208"/>
        <v/>
      </c>
      <c r="H236" s="240" t="str">
        <f t="shared" si="170"/>
        <v/>
      </c>
      <c r="I236" s="265" t="str">
        <f t="shared" si="171"/>
        <v/>
      </c>
      <c r="J236" s="265" t="str">
        <f t="shared" si="172"/>
        <v/>
      </c>
      <c r="K236" s="240" t="str">
        <f t="shared" si="173"/>
        <v/>
      </c>
      <c r="L236" s="265" t="str">
        <f t="shared" si="174"/>
        <v/>
      </c>
      <c r="M236" s="265" t="str">
        <f t="shared" si="175"/>
        <v/>
      </c>
      <c r="N236" s="240" t="str">
        <f t="shared" si="176"/>
        <v>-</v>
      </c>
      <c r="O236" s="265" t="str">
        <f t="shared" si="177"/>
        <v>-</v>
      </c>
      <c r="P236" s="265" t="str">
        <f t="shared" si="178"/>
        <v>-</v>
      </c>
      <c r="Q236" s="266" t="str">
        <f t="shared" si="179"/>
        <v>-</v>
      </c>
      <c r="R236" s="267" t="str">
        <f t="shared" si="180"/>
        <v>-</v>
      </c>
      <c r="S236" s="268" t="str">
        <f t="shared" si="181"/>
        <v>-</v>
      </c>
      <c r="T236" s="269" t="str">
        <f t="shared" si="182"/>
        <v/>
      </c>
      <c r="U236" s="221">
        <f t="shared" si="183"/>
        <v>136</v>
      </c>
      <c r="V236" s="220" t="str">
        <f t="shared" si="209"/>
        <v>-</v>
      </c>
      <c r="W236" s="221" t="str">
        <f t="shared" si="210"/>
        <v>-</v>
      </c>
      <c r="X236" s="221" t="str">
        <f t="shared" si="184"/>
        <v>-</v>
      </c>
      <c r="Y236" s="221" t="str">
        <f t="shared" si="185"/>
        <v>-</v>
      </c>
      <c r="Z236" s="270">
        <f t="shared" si="211"/>
        <v>0.1</v>
      </c>
      <c r="AA236" s="271" t="str">
        <f>IFERROR(IF(V235=1,AA$100*EXP(-(LN(2)/$D$65+0.04)*X235)*EXP(-(LN(2)/$D$65+0.1)*Y235),IF(V235=2,AA$100*EXP(-(LN(2)/$D$65+0.04)*(VLOOKUP(($F$16-$F$15)-1,U$99:Y235,4,FALSE)))*EXP(-(LN(2)/$D$65+0.1)*(VLOOKUP(($F$16-$F$15)-1,U$99:Y235,5,FALSE)))*EXP(-(LN(2)/$D$65+0.04)*X235)*EXP(-(LN(2)/$D$65+0.1)*Y235),IF(V235=3,AA$100*EXP(-(LN(2)/$D$65+0.04)*(VLOOKUP(($F$16-$F$15)-1,U$99:Y235,4,FALSE)))*EXP(-(LN(2)/$D$65+0.1)*(VLOOKUP(($F$16-$F$15)-1,U$99:Y235,5,FALSE)))*EXP(-(LN(2)/$D$65+0.04)*(VLOOKUP(($F$16-$F$15)*2-1,U$99:Y235,4,FALSE)))*EXP(-(LN(2)/$D$65+0.1)*(VLOOKUP(($F$16-$F$15)*2-1,U$99:Y235,5,FALSE)))*EXP(-(LN(2)/$D$65+0.04)*X235)*EXP(-(LN(2)/$D$65+0.1)*Y235),"-"))),"-")</f>
        <v>-</v>
      </c>
      <c r="AB236" s="271" t="str">
        <f>IFERROR(IF(V236=1,AB$100*EXP(-(LN(2)/$D$65+0.04)*X236)*EXP(-(LN(2)/$D$65+0.1)*Y236),IF(V236=2,AB$100*EXP(-(LN(2)/$D$65+0.04)*(VLOOKUP(($F$16-$F$15)-1,U$100:Y236,4,FALSE)))*EXP(-(LN(2)/$D$65+0.1)*(VLOOKUP(($F$16-$F$15)-1,U$100:Y236,5,FALSE)))*EXP(-(LN(2)/$D$65+0.04)*X236)*EXP(-(LN(2)/$D$65+0.1)*Y236),IF(V236=3,AB$100*EXP(-(LN(2)/$D$65+0.04)*(VLOOKUP(($F$16-$F$15)-1,U$100:Y236,4,FALSE)))*EXP(-(LN(2)/$D$65+0.1)*(VLOOKUP(($F$16-$F$15)-1,U$100:Y236,5,FALSE)))*EXP(-(LN(2)/$D$65+0.04)*(VLOOKUP(($F$16-$F$15)*2-1,U$100:Y236,4,FALSE)))*EXP(-(LN(2)/$D$65+0.1)*(VLOOKUP(($F$16-$F$15)*2-1,U$100:Y236,5,FALSE)))*EXP(-(LN(2)/$D$65+0.04)*X236)*EXP(-(LN(2)/$D$65+0.1)*Y236),"-"))),"-")</f>
        <v>-</v>
      </c>
      <c r="AC236" s="224">
        <f t="shared" si="212"/>
        <v>136</v>
      </c>
      <c r="AD236" s="223" t="str">
        <f t="shared" si="186"/>
        <v>-</v>
      </c>
      <c r="AE236" s="224" t="str">
        <f t="shared" si="213"/>
        <v>-</v>
      </c>
      <c r="AF236" s="224" t="str">
        <f t="shared" si="187"/>
        <v>-</v>
      </c>
      <c r="AG236" s="224" t="str">
        <f t="shared" si="188"/>
        <v>-</v>
      </c>
      <c r="AH236" s="272">
        <f t="shared" si="214"/>
        <v>0.1</v>
      </c>
      <c r="AI236" s="271" t="str">
        <f>IFERROR(IF(AD235=1,AI$100*EXP(-(LN(2)/$D$65+0.04)*AF235)*EXP(-(LN(2)/$D$65+0.1)*AG235),IF(AD235=2,AI$100*EXP(-(LN(2)/$D$65+0.04)*(VLOOKUP(($F$16-$F$15)-1,AC$99:AG235,4,FALSE)))*EXP(-(LN(2)/$D$65+0.1)*(VLOOKUP(($F$16-$F$15)-1,AC$99:AG235,5,FALSE)))*EXP(-(LN(2)/$D$65+0.04)*AF235)*EXP(-(LN(2)/$D$65+0.1)*AG235),IF(AD235=3,AI$100*EXP(-(LN(2)/$D$65+0.04)*(VLOOKUP(($F$16-$F$15)-1,AC$99:AG235,4,FALSE)))*EXP(-(LN(2)/$D$65+0.1)*(VLOOKUP(($F$16-$F$15)-1,AC$99:AG235,5,FALSE)))*EXP(-(LN(2)/$D$65+0.04)*(VLOOKUP(($F$16-$F$15)*2-1,AC$99:AG235,4,FALSE)))*EXP(-(LN(2)/$D$65+0.1)*(VLOOKUP(($F$16-$F$15)*2-1,AC$99:AG235,5,FALSE)))*EXP(-(LN(2)/$D$65+0.04)*AF235)*EXP(-(LN(2)/$D$65+0.1)*AG235),"-"))),"-")</f>
        <v>-</v>
      </c>
      <c r="AJ236" s="271" t="str">
        <f>IFERROR(IF(AD236=1,AJ$100*EXP(-(LN(2)/$D$65+0.04)*AF236)*EXP(-(LN(2)/$D$65+0.1)*AG236),IF(AD236=2,AJ$100*EXP(-(LN(2)/$D$65+0.04)*(VLOOKUP(($F$16-$F$15)-1,AC$100:AG236,4,FALSE)))*EXP(-(LN(2)/$D$65+0.1)*(VLOOKUP(($F$16-$F$15)-1,AC$100:AG236,5,FALSE)))*EXP(-(LN(2)/$D$65+0.04)*AF236)*EXP(-(LN(2)/$D$65+0.1)*AG236),IF(AD236=3,AJ$100*EXP(-(LN(2)/$D$65+0.04)*(VLOOKUP(($F$16-$F$15)-1,AC$100:AG236,4,FALSE)))*EXP(-(LN(2)/$D$65+0.1)*(VLOOKUP(($F$16-$F$15)-1,AC$100:AG236,5,FALSE)))*EXP(-(LN(2)/$D$65+0.04)*(VLOOKUP(($F$16-$F$15)*2-1,AC$100:AG236,4,FALSE)))*EXP(-(LN(2)/$D$65+0.1)*(VLOOKUP(($F$16-$F$15)*2-1,AC$100:AG236,5,FALSE)))*EXP(-(LN(2)/$D$65+0.04)*AF236)*EXP(-(LN(2)/$D$65+0.1)*AG236),"-"))),"-")</f>
        <v>-</v>
      </c>
      <c r="AK236" s="227">
        <f t="shared" si="215"/>
        <v>136</v>
      </c>
      <c r="AL236" s="226" t="str">
        <f t="shared" si="189"/>
        <v>-</v>
      </c>
      <c r="AM236" s="227" t="str">
        <f t="shared" si="216"/>
        <v>-</v>
      </c>
      <c r="AN236" s="227" t="str">
        <f t="shared" si="217"/>
        <v>-</v>
      </c>
      <c r="AO236" s="227" t="str">
        <f t="shared" si="190"/>
        <v>-</v>
      </c>
      <c r="AP236" s="273">
        <f t="shared" si="218"/>
        <v>0.1</v>
      </c>
      <c r="AQ236" s="271" t="str">
        <f>IFERROR(IF(AL235=1,AQ$100*EXP(-(LN(2)/$D$65+0.04)*AN235)*EXP(-(LN(2)/$D$65+0.1)*AO235),IF(AL235=2,AQ$100*EXP(-(LN(2)/$D$65+0.04)*(VLOOKUP(($F$16-$F$15)-1,AK$99:AO235,4,FALSE)))*EXP(-(LN(2)/$D$65+0.1)*(VLOOKUP(($F$16-$F$15)-1,AK$99:AO235,5,FALSE)))*EXP(-(LN(2)/$D$65+0.04)*AN235)*EXP(-(LN(2)/$D$65+0.1)*AO235),IF(AL235=3,AQ$100*EXP(-(LN(2)/$D$65+0.04)*(VLOOKUP(($F$16-$F$15)-1,AK$99:AO235,4,FALSE)))*EXP(-(LN(2)/$D$65+0.1)*(VLOOKUP(($F$16-$F$15)-1,AK$99:AO235,5,FALSE)))*EXP(-(LN(2)/$D$65+0.04)*(VLOOKUP(($F$16-$F$15)*2-1,AK$99:AO235,4,FALSE)))*EXP(-(LN(2)/$D$65+0.1)*(VLOOKUP(($F$16-$F$15)*2-1,AK$99:AO235,5,FALSE)))*EXP(-(LN(2)/$D$65+0.04)*AN235)*EXP(-(LN(2)/$D$65+0.1)*AO235),"-"))),"-")</f>
        <v>-</v>
      </c>
      <c r="AR236" s="271" t="str">
        <f>IFERROR(IF(AL236=1,AR$100*EXP(-(LN(2)/$D$65+0.04)*AN236)*EXP(-(LN(2)/$D$65+0.1)*AO236),IF(AL236=2,AR$100*EXP(-(LN(2)/$D$65+0.04)*(VLOOKUP(($F$16-$F$15)-1,AK$100:AO236,4,FALSE)))*EXP(-(LN(2)/$D$65+0.1)*(VLOOKUP(($F$16-$F$15)-1,AK$100:AO236,5,FALSE)))*EXP(-(LN(2)/$D$65+0.04)*AN236)*EXP(-(LN(2)/$D$65+0.1)*AO236),IF(AL236=3,AR$100*EXP(-(LN(2)/$D$65+0.04)*(VLOOKUP(($F$16-$F$15)-1,AK$100:AO236,4,FALSE)))*EXP(-(LN(2)/$D$65+0.1)*(VLOOKUP(($F$16-$F$15)-1,AK$100:AO236,5,FALSE)))*EXP(-(LN(2)/$D$65+0.04)*(VLOOKUP(($F$16-$F$15)*2-1,AK$100:AO236,4,FALSE)))*EXP(-(LN(2)/$D$65+0.1)*(VLOOKUP(($F$16-$F$15)*2-1,AK$100:AO236,5,FALSE)))*EXP(-(LN(2)/$D$65+0.04)*AN236)*EXP(-(LN(2)/$D$65+0.1)*AO236),"-"))),"-")</f>
        <v>-</v>
      </c>
      <c r="AS236" s="274">
        <f t="shared" si="191"/>
        <v>0</v>
      </c>
      <c r="AT236" s="274">
        <f t="shared" si="192"/>
        <v>0</v>
      </c>
      <c r="AU236" s="274">
        <f t="shared" si="193"/>
        <v>0</v>
      </c>
      <c r="AV236" s="190">
        <f>IF($B236&lt;$F$22,SUM($T$100:$T236),"")</f>
        <v>0</v>
      </c>
      <c r="AW236" s="190" t="str">
        <f t="shared" si="194"/>
        <v>-</v>
      </c>
      <c r="AX236" s="190" t="str">
        <f t="shared" si="219"/>
        <v/>
      </c>
      <c r="AY236"/>
      <c r="AZ236" s="190" t="str">
        <f ca="1">IF(ISNUMBER(OFFSET(AV236,-$F$21,0)),SUM(OFFSET($T$100,$F$21,0):$T236),"")</f>
        <v/>
      </c>
      <c r="BA236" s="190" t="str">
        <f t="shared" ca="1" si="195"/>
        <v/>
      </c>
      <c r="BB236" s="190" t="str">
        <f t="shared" ca="1" si="148"/>
        <v/>
      </c>
      <c r="BC236" s="190"/>
      <c r="BD236" s="190" t="str">
        <f ca="1">IFERROR(IF(AND($B236&gt;=($F$16-$F$15),$B236&lt;$F$22+($F$16-$F$15)),SUM(OFFSET($T$100,($F$16-$F$15),0):$T236),""),"")</f>
        <v/>
      </c>
      <c r="BE236" s="190" t="str">
        <f t="shared" ca="1" si="220"/>
        <v/>
      </c>
      <c r="BF236" s="190" t="str">
        <f t="shared" ca="1" si="221"/>
        <v/>
      </c>
      <c r="BG236"/>
      <c r="BH236" s="190" t="str">
        <f ca="1">IF(ISNUMBER(OFFSET(BD236,-$F$21,0)),SUM(OFFSET($T$100,($F$16-$F$15+$F$21),0):$T236),"")</f>
        <v/>
      </c>
      <c r="BI236" s="190" t="str">
        <f t="shared" ca="1" si="196"/>
        <v/>
      </c>
      <c r="BJ236" s="190" t="str">
        <f t="shared" ca="1" si="222"/>
        <v/>
      </c>
      <c r="BK236" s="190"/>
      <c r="BL236" s="190" t="str">
        <f ca="1">IFERROR(IF(AND($B236&gt;=($F$17-$F$15),$B236&lt;$F$22+($F$17-$F$15)),SUM(OFFSET($T$100,($F$17-$F$15),0):$T236),""),"")</f>
        <v/>
      </c>
      <c r="BM236" s="190" t="str">
        <f t="shared" ca="1" si="197"/>
        <v/>
      </c>
      <c r="BN236" s="190" t="str">
        <f t="shared" ca="1" si="223"/>
        <v/>
      </c>
      <c r="BO236"/>
      <c r="BP236" s="190" t="str">
        <f ca="1">IF(ISNUMBER(OFFSET(BL236,-$F$21,0)),SUM(OFFSET($T$100,($F$17-$F$15+$F$21),0):$T236),"")</f>
        <v/>
      </c>
      <c r="BQ236" s="190" t="str">
        <f t="shared" ca="1" si="198"/>
        <v/>
      </c>
      <c r="BR236" s="190" t="str">
        <f t="shared" ca="1" si="224"/>
        <v/>
      </c>
      <c r="BS236" s="190"/>
      <c r="BT236"/>
      <c r="BU236"/>
      <c r="BV236"/>
      <c r="BY236" s="99"/>
      <c r="BZ236" s="99"/>
      <c r="CA236" s="280" t="str">
        <f t="shared" si="199"/>
        <v/>
      </c>
      <c r="CB236" s="71" t="str">
        <f t="shared" si="200"/>
        <v>-</v>
      </c>
      <c r="CC236" s="33"/>
      <c r="CD236" s="261" t="str">
        <f t="shared" si="201"/>
        <v/>
      </c>
      <c r="CE236" s="280" t="str">
        <f t="shared" si="202"/>
        <v>-</v>
      </c>
      <c r="CF236" s="71" t="str">
        <f t="shared" ca="1" si="203"/>
        <v>-</v>
      </c>
      <c r="CG236" s="33" t="str">
        <f t="shared" si="204"/>
        <v>136-137</v>
      </c>
      <c r="CH236" s="261" t="str">
        <f t="shared" ca="1" si="205"/>
        <v/>
      </c>
    </row>
    <row r="237" spans="2:86" ht="13.5" customHeight="1" x14ac:dyDescent="0.2">
      <c r="B237" s="262">
        <v>137</v>
      </c>
      <c r="C237" s="237" t="str">
        <f t="shared" si="169"/>
        <v/>
      </c>
      <c r="D237" s="237" t="str">
        <f t="shared" si="225"/>
        <v>-</v>
      </c>
      <c r="E237" s="263" t="str">
        <f t="shared" si="206"/>
        <v/>
      </c>
      <c r="F237" s="264" t="str">
        <f t="shared" si="207"/>
        <v/>
      </c>
      <c r="G237" s="264" t="str">
        <f t="shared" si="208"/>
        <v/>
      </c>
      <c r="H237" s="240" t="str">
        <f t="shared" si="170"/>
        <v/>
      </c>
      <c r="I237" s="265" t="str">
        <f t="shared" si="171"/>
        <v/>
      </c>
      <c r="J237" s="265" t="str">
        <f t="shared" si="172"/>
        <v/>
      </c>
      <c r="K237" s="240" t="str">
        <f t="shared" si="173"/>
        <v/>
      </c>
      <c r="L237" s="265" t="str">
        <f t="shared" si="174"/>
        <v/>
      </c>
      <c r="M237" s="265" t="str">
        <f t="shared" si="175"/>
        <v/>
      </c>
      <c r="N237" s="240" t="str">
        <f t="shared" si="176"/>
        <v>-</v>
      </c>
      <c r="O237" s="265" t="str">
        <f t="shared" si="177"/>
        <v>-</v>
      </c>
      <c r="P237" s="265" t="str">
        <f t="shared" si="178"/>
        <v>-</v>
      </c>
      <c r="Q237" s="266" t="str">
        <f t="shared" si="179"/>
        <v>-</v>
      </c>
      <c r="R237" s="267" t="str">
        <f t="shared" si="180"/>
        <v>-</v>
      </c>
      <c r="S237" s="268" t="str">
        <f t="shared" si="181"/>
        <v>-</v>
      </c>
      <c r="T237" s="269" t="str">
        <f t="shared" si="182"/>
        <v/>
      </c>
      <c r="U237" s="221">
        <f t="shared" si="183"/>
        <v>137</v>
      </c>
      <c r="V237" s="220" t="str">
        <f t="shared" si="209"/>
        <v>-</v>
      </c>
      <c r="W237" s="221" t="str">
        <f t="shared" si="210"/>
        <v>-</v>
      </c>
      <c r="X237" s="221" t="str">
        <f t="shared" si="184"/>
        <v>-</v>
      </c>
      <c r="Y237" s="221" t="str">
        <f t="shared" si="185"/>
        <v>-</v>
      </c>
      <c r="Z237" s="270">
        <f t="shared" si="211"/>
        <v>0.1</v>
      </c>
      <c r="AA237" s="271" t="str">
        <f>IFERROR(IF(V236=1,AA$100*EXP(-(LN(2)/$D$65+0.04)*X236)*EXP(-(LN(2)/$D$65+0.1)*Y236),IF(V236=2,AA$100*EXP(-(LN(2)/$D$65+0.04)*(VLOOKUP(($F$16-$F$15)-1,U$99:Y236,4,FALSE)))*EXP(-(LN(2)/$D$65+0.1)*(VLOOKUP(($F$16-$F$15)-1,U$99:Y236,5,FALSE)))*EXP(-(LN(2)/$D$65+0.04)*X236)*EXP(-(LN(2)/$D$65+0.1)*Y236),IF(V236=3,AA$100*EXP(-(LN(2)/$D$65+0.04)*(VLOOKUP(($F$16-$F$15)-1,U$99:Y236,4,FALSE)))*EXP(-(LN(2)/$D$65+0.1)*(VLOOKUP(($F$16-$F$15)-1,U$99:Y236,5,FALSE)))*EXP(-(LN(2)/$D$65+0.04)*(VLOOKUP(($F$16-$F$15)*2-1,U$99:Y236,4,FALSE)))*EXP(-(LN(2)/$D$65+0.1)*(VLOOKUP(($F$16-$F$15)*2-1,U$99:Y236,5,FALSE)))*EXP(-(LN(2)/$D$65+0.04)*X236)*EXP(-(LN(2)/$D$65+0.1)*Y236),"-"))),"-")</f>
        <v>-</v>
      </c>
      <c r="AB237" s="271" t="str">
        <f>IFERROR(IF(V237=1,AB$100*EXP(-(LN(2)/$D$65+0.04)*X237)*EXP(-(LN(2)/$D$65+0.1)*Y237),IF(V237=2,AB$100*EXP(-(LN(2)/$D$65+0.04)*(VLOOKUP(($F$16-$F$15)-1,U$100:Y237,4,FALSE)))*EXP(-(LN(2)/$D$65+0.1)*(VLOOKUP(($F$16-$F$15)-1,U$100:Y237,5,FALSE)))*EXP(-(LN(2)/$D$65+0.04)*X237)*EXP(-(LN(2)/$D$65+0.1)*Y237),IF(V237=3,AB$100*EXP(-(LN(2)/$D$65+0.04)*(VLOOKUP(($F$16-$F$15)-1,U$100:Y237,4,FALSE)))*EXP(-(LN(2)/$D$65+0.1)*(VLOOKUP(($F$16-$F$15)-1,U$100:Y237,5,FALSE)))*EXP(-(LN(2)/$D$65+0.04)*(VLOOKUP(($F$16-$F$15)*2-1,U$100:Y237,4,FALSE)))*EXP(-(LN(2)/$D$65+0.1)*(VLOOKUP(($F$16-$F$15)*2-1,U$100:Y237,5,FALSE)))*EXP(-(LN(2)/$D$65+0.04)*X237)*EXP(-(LN(2)/$D$65+0.1)*Y237),"-"))),"-")</f>
        <v>-</v>
      </c>
      <c r="AC237" s="224">
        <f t="shared" si="212"/>
        <v>137</v>
      </c>
      <c r="AD237" s="223" t="str">
        <f t="shared" si="186"/>
        <v>-</v>
      </c>
      <c r="AE237" s="224" t="str">
        <f t="shared" si="213"/>
        <v>-</v>
      </c>
      <c r="AF237" s="224" t="str">
        <f t="shared" si="187"/>
        <v>-</v>
      </c>
      <c r="AG237" s="224" t="str">
        <f t="shared" si="188"/>
        <v>-</v>
      </c>
      <c r="AH237" s="272">
        <f t="shared" si="214"/>
        <v>0.1</v>
      </c>
      <c r="AI237" s="271" t="str">
        <f>IFERROR(IF(AD236=1,AI$100*EXP(-(LN(2)/$D$65+0.04)*AF236)*EXP(-(LN(2)/$D$65+0.1)*AG236),IF(AD236=2,AI$100*EXP(-(LN(2)/$D$65+0.04)*(VLOOKUP(($F$16-$F$15)-1,AC$99:AG236,4,FALSE)))*EXP(-(LN(2)/$D$65+0.1)*(VLOOKUP(($F$16-$F$15)-1,AC$99:AG236,5,FALSE)))*EXP(-(LN(2)/$D$65+0.04)*AF236)*EXP(-(LN(2)/$D$65+0.1)*AG236),IF(AD236=3,AI$100*EXP(-(LN(2)/$D$65+0.04)*(VLOOKUP(($F$16-$F$15)-1,AC$99:AG236,4,FALSE)))*EXP(-(LN(2)/$D$65+0.1)*(VLOOKUP(($F$16-$F$15)-1,AC$99:AG236,5,FALSE)))*EXP(-(LN(2)/$D$65+0.04)*(VLOOKUP(($F$16-$F$15)*2-1,AC$99:AG236,4,FALSE)))*EXP(-(LN(2)/$D$65+0.1)*(VLOOKUP(($F$16-$F$15)*2-1,AC$99:AG236,5,FALSE)))*EXP(-(LN(2)/$D$65+0.04)*AF236)*EXP(-(LN(2)/$D$65+0.1)*AG236),"-"))),"-")</f>
        <v>-</v>
      </c>
      <c r="AJ237" s="271" t="str">
        <f>IFERROR(IF(AD237=1,AJ$100*EXP(-(LN(2)/$D$65+0.04)*AF237)*EXP(-(LN(2)/$D$65+0.1)*AG237),IF(AD237=2,AJ$100*EXP(-(LN(2)/$D$65+0.04)*(VLOOKUP(($F$16-$F$15)-1,AC$100:AG237,4,FALSE)))*EXP(-(LN(2)/$D$65+0.1)*(VLOOKUP(($F$16-$F$15)-1,AC$100:AG237,5,FALSE)))*EXP(-(LN(2)/$D$65+0.04)*AF237)*EXP(-(LN(2)/$D$65+0.1)*AG237),IF(AD237=3,AJ$100*EXP(-(LN(2)/$D$65+0.04)*(VLOOKUP(($F$16-$F$15)-1,AC$100:AG237,4,FALSE)))*EXP(-(LN(2)/$D$65+0.1)*(VLOOKUP(($F$16-$F$15)-1,AC$100:AG237,5,FALSE)))*EXP(-(LN(2)/$D$65+0.04)*(VLOOKUP(($F$16-$F$15)*2-1,AC$100:AG237,4,FALSE)))*EXP(-(LN(2)/$D$65+0.1)*(VLOOKUP(($F$16-$F$15)*2-1,AC$100:AG237,5,FALSE)))*EXP(-(LN(2)/$D$65+0.04)*AF237)*EXP(-(LN(2)/$D$65+0.1)*AG237),"-"))),"-")</f>
        <v>-</v>
      </c>
      <c r="AK237" s="227">
        <f t="shared" si="215"/>
        <v>137</v>
      </c>
      <c r="AL237" s="226" t="str">
        <f t="shared" si="189"/>
        <v>-</v>
      </c>
      <c r="AM237" s="227" t="str">
        <f t="shared" si="216"/>
        <v>-</v>
      </c>
      <c r="AN237" s="227" t="str">
        <f t="shared" si="217"/>
        <v>-</v>
      </c>
      <c r="AO237" s="227" t="str">
        <f t="shared" si="190"/>
        <v>-</v>
      </c>
      <c r="AP237" s="273">
        <f t="shared" si="218"/>
        <v>0.1</v>
      </c>
      <c r="AQ237" s="271" t="str">
        <f>IFERROR(IF(AL236=1,AQ$100*EXP(-(LN(2)/$D$65+0.04)*AN236)*EXP(-(LN(2)/$D$65+0.1)*AO236),IF(AL236=2,AQ$100*EXP(-(LN(2)/$D$65+0.04)*(VLOOKUP(($F$16-$F$15)-1,AK$99:AO236,4,FALSE)))*EXP(-(LN(2)/$D$65+0.1)*(VLOOKUP(($F$16-$F$15)-1,AK$99:AO236,5,FALSE)))*EXP(-(LN(2)/$D$65+0.04)*AN236)*EXP(-(LN(2)/$D$65+0.1)*AO236),IF(AL236=3,AQ$100*EXP(-(LN(2)/$D$65+0.04)*(VLOOKUP(($F$16-$F$15)-1,AK$99:AO236,4,FALSE)))*EXP(-(LN(2)/$D$65+0.1)*(VLOOKUP(($F$16-$F$15)-1,AK$99:AO236,5,FALSE)))*EXP(-(LN(2)/$D$65+0.04)*(VLOOKUP(($F$16-$F$15)*2-1,AK$99:AO236,4,FALSE)))*EXP(-(LN(2)/$D$65+0.1)*(VLOOKUP(($F$16-$F$15)*2-1,AK$99:AO236,5,FALSE)))*EXP(-(LN(2)/$D$65+0.04)*AN236)*EXP(-(LN(2)/$D$65+0.1)*AO236),"-"))),"-")</f>
        <v>-</v>
      </c>
      <c r="AR237" s="271" t="str">
        <f>IFERROR(IF(AL237=1,AR$100*EXP(-(LN(2)/$D$65+0.04)*AN237)*EXP(-(LN(2)/$D$65+0.1)*AO237),IF(AL237=2,AR$100*EXP(-(LN(2)/$D$65+0.04)*(VLOOKUP(($F$16-$F$15)-1,AK$100:AO237,4,FALSE)))*EXP(-(LN(2)/$D$65+0.1)*(VLOOKUP(($F$16-$F$15)-1,AK$100:AO237,5,FALSE)))*EXP(-(LN(2)/$D$65+0.04)*AN237)*EXP(-(LN(2)/$D$65+0.1)*AO237),IF(AL237=3,AR$100*EXP(-(LN(2)/$D$65+0.04)*(VLOOKUP(($F$16-$F$15)-1,AK$100:AO237,4,FALSE)))*EXP(-(LN(2)/$D$65+0.1)*(VLOOKUP(($F$16-$F$15)-1,AK$100:AO237,5,FALSE)))*EXP(-(LN(2)/$D$65+0.04)*(VLOOKUP(($F$16-$F$15)*2-1,AK$100:AO237,4,FALSE)))*EXP(-(LN(2)/$D$65+0.1)*(VLOOKUP(($F$16-$F$15)*2-1,AK$100:AO237,5,FALSE)))*EXP(-(LN(2)/$D$65+0.04)*AN237)*EXP(-(LN(2)/$D$65+0.1)*AO237),"-"))),"-")</f>
        <v>-</v>
      </c>
      <c r="AS237" s="274">
        <f t="shared" si="191"/>
        <v>0</v>
      </c>
      <c r="AT237" s="274">
        <f t="shared" si="192"/>
        <v>0</v>
      </c>
      <c r="AU237" s="274">
        <f t="shared" si="193"/>
        <v>0</v>
      </c>
      <c r="AV237" s="190">
        <f>IF($B237&lt;$F$22,SUM($T$100:$T237),"")</f>
        <v>0</v>
      </c>
      <c r="AW237" s="190" t="str">
        <f t="shared" si="194"/>
        <v>-</v>
      </c>
      <c r="AX237" s="190" t="str">
        <f t="shared" si="219"/>
        <v/>
      </c>
      <c r="AY237"/>
      <c r="AZ237" s="190" t="str">
        <f ca="1">IF(ISNUMBER(OFFSET(AV237,-$F$21,0)),SUM(OFFSET($T$100,$F$21,0):$T237),"")</f>
        <v/>
      </c>
      <c r="BA237" s="190" t="str">
        <f t="shared" ca="1" si="195"/>
        <v/>
      </c>
      <c r="BB237" s="190" t="str">
        <f t="shared" ca="1" si="148"/>
        <v/>
      </c>
      <c r="BC237" s="190"/>
      <c r="BD237" s="190" t="str">
        <f ca="1">IFERROR(IF(AND($B237&gt;=($F$16-$F$15),$B237&lt;$F$22+($F$16-$F$15)),SUM(OFFSET($T$100,($F$16-$F$15),0):$T237),""),"")</f>
        <v/>
      </c>
      <c r="BE237" s="190" t="str">
        <f t="shared" ca="1" si="220"/>
        <v/>
      </c>
      <c r="BF237" s="190" t="str">
        <f t="shared" ca="1" si="221"/>
        <v/>
      </c>
      <c r="BG237"/>
      <c r="BH237" s="190" t="str">
        <f ca="1">IF(ISNUMBER(OFFSET(BD237,-$F$21,0)),SUM(OFFSET($T$100,($F$16-$F$15+$F$21),0):$T237),"")</f>
        <v/>
      </c>
      <c r="BI237" s="190" t="str">
        <f t="shared" ca="1" si="196"/>
        <v/>
      </c>
      <c r="BJ237" s="190" t="str">
        <f t="shared" ca="1" si="222"/>
        <v/>
      </c>
      <c r="BK237" s="190"/>
      <c r="BL237" s="190" t="str">
        <f ca="1">IFERROR(IF(AND($B237&gt;=($F$17-$F$15),$B237&lt;$F$22+($F$17-$F$15)),SUM(OFFSET($T$100,($F$17-$F$15),0):$T237),""),"")</f>
        <v/>
      </c>
      <c r="BM237" s="190" t="str">
        <f t="shared" ca="1" si="197"/>
        <v/>
      </c>
      <c r="BN237" s="190" t="str">
        <f t="shared" ca="1" si="223"/>
        <v/>
      </c>
      <c r="BO237"/>
      <c r="BP237" s="190" t="str">
        <f ca="1">IF(ISNUMBER(OFFSET(BL237,-$F$21,0)),SUM(OFFSET($T$100,($F$17-$F$15+$F$21),0):$T237),"")</f>
        <v/>
      </c>
      <c r="BQ237" s="190" t="str">
        <f t="shared" ca="1" si="198"/>
        <v/>
      </c>
      <c r="BR237" s="190" t="str">
        <f t="shared" ca="1" si="224"/>
        <v/>
      </c>
      <c r="BS237" s="190"/>
      <c r="BT237"/>
      <c r="BU237"/>
      <c r="BV237"/>
      <c r="BY237" s="99"/>
      <c r="BZ237" s="99"/>
      <c r="CA237" s="280" t="str">
        <f t="shared" si="199"/>
        <v/>
      </c>
      <c r="CB237" s="71" t="str">
        <f t="shared" si="200"/>
        <v>-</v>
      </c>
      <c r="CC237" s="33"/>
      <c r="CD237" s="261" t="str">
        <f t="shared" si="201"/>
        <v/>
      </c>
      <c r="CE237" s="280" t="str">
        <f t="shared" si="202"/>
        <v>-</v>
      </c>
      <c r="CF237" s="71" t="str">
        <f t="shared" ca="1" si="203"/>
        <v>-</v>
      </c>
      <c r="CG237" s="33" t="str">
        <f t="shared" si="204"/>
        <v>137-138</v>
      </c>
      <c r="CH237" s="261" t="str">
        <f t="shared" ca="1" si="205"/>
        <v/>
      </c>
    </row>
    <row r="238" spans="2:86" ht="13.5" customHeight="1" x14ac:dyDescent="0.2">
      <c r="B238" s="262">
        <v>138</v>
      </c>
      <c r="C238" s="237" t="str">
        <f t="shared" si="169"/>
        <v/>
      </c>
      <c r="D238" s="237" t="str">
        <f t="shared" si="225"/>
        <v>-</v>
      </c>
      <c r="E238" s="263" t="str">
        <f t="shared" si="206"/>
        <v/>
      </c>
      <c r="F238" s="264" t="str">
        <f t="shared" si="207"/>
        <v/>
      </c>
      <c r="G238" s="264" t="str">
        <f t="shared" si="208"/>
        <v/>
      </c>
      <c r="H238" s="240" t="str">
        <f t="shared" si="170"/>
        <v/>
      </c>
      <c r="I238" s="265" t="str">
        <f t="shared" si="171"/>
        <v/>
      </c>
      <c r="J238" s="265" t="str">
        <f t="shared" si="172"/>
        <v/>
      </c>
      <c r="K238" s="240" t="str">
        <f t="shared" si="173"/>
        <v/>
      </c>
      <c r="L238" s="265" t="str">
        <f t="shared" si="174"/>
        <v/>
      </c>
      <c r="M238" s="265" t="str">
        <f t="shared" si="175"/>
        <v/>
      </c>
      <c r="N238" s="240" t="str">
        <f t="shared" si="176"/>
        <v>-</v>
      </c>
      <c r="O238" s="265" t="str">
        <f t="shared" si="177"/>
        <v>-</v>
      </c>
      <c r="P238" s="265" t="str">
        <f t="shared" si="178"/>
        <v>-</v>
      </c>
      <c r="Q238" s="266" t="str">
        <f t="shared" si="179"/>
        <v>-</v>
      </c>
      <c r="R238" s="267" t="str">
        <f t="shared" si="180"/>
        <v>-</v>
      </c>
      <c r="S238" s="268" t="str">
        <f t="shared" si="181"/>
        <v>-</v>
      </c>
      <c r="T238" s="269" t="str">
        <f t="shared" si="182"/>
        <v/>
      </c>
      <c r="U238" s="221">
        <f t="shared" si="183"/>
        <v>138</v>
      </c>
      <c r="V238" s="220" t="str">
        <f t="shared" si="209"/>
        <v>-</v>
      </c>
      <c r="W238" s="221" t="str">
        <f t="shared" si="210"/>
        <v>-</v>
      </c>
      <c r="X238" s="221" t="str">
        <f t="shared" si="184"/>
        <v>-</v>
      </c>
      <c r="Y238" s="221" t="str">
        <f t="shared" si="185"/>
        <v>-</v>
      </c>
      <c r="Z238" s="270">
        <f t="shared" si="211"/>
        <v>0.1</v>
      </c>
      <c r="AA238" s="271" t="str">
        <f>IFERROR(IF(V237=1,AA$100*EXP(-(LN(2)/$D$65+0.04)*X237)*EXP(-(LN(2)/$D$65+0.1)*Y237),IF(V237=2,AA$100*EXP(-(LN(2)/$D$65+0.04)*(VLOOKUP(($F$16-$F$15)-1,U$99:Y237,4,FALSE)))*EXP(-(LN(2)/$D$65+0.1)*(VLOOKUP(($F$16-$F$15)-1,U$99:Y237,5,FALSE)))*EXP(-(LN(2)/$D$65+0.04)*X237)*EXP(-(LN(2)/$D$65+0.1)*Y237),IF(V237=3,AA$100*EXP(-(LN(2)/$D$65+0.04)*(VLOOKUP(($F$16-$F$15)-1,U$99:Y237,4,FALSE)))*EXP(-(LN(2)/$D$65+0.1)*(VLOOKUP(($F$16-$F$15)-1,U$99:Y237,5,FALSE)))*EXP(-(LN(2)/$D$65+0.04)*(VLOOKUP(($F$16-$F$15)*2-1,U$99:Y237,4,FALSE)))*EXP(-(LN(2)/$D$65+0.1)*(VLOOKUP(($F$16-$F$15)*2-1,U$99:Y237,5,FALSE)))*EXP(-(LN(2)/$D$65+0.04)*X237)*EXP(-(LN(2)/$D$65+0.1)*Y237),"-"))),"-")</f>
        <v>-</v>
      </c>
      <c r="AB238" s="271" t="str">
        <f>IFERROR(IF(V238=1,AB$100*EXP(-(LN(2)/$D$65+0.04)*X238)*EXP(-(LN(2)/$D$65+0.1)*Y238),IF(V238=2,AB$100*EXP(-(LN(2)/$D$65+0.04)*(VLOOKUP(($F$16-$F$15)-1,U$100:Y238,4,FALSE)))*EXP(-(LN(2)/$D$65+0.1)*(VLOOKUP(($F$16-$F$15)-1,U$100:Y238,5,FALSE)))*EXP(-(LN(2)/$D$65+0.04)*X238)*EXP(-(LN(2)/$D$65+0.1)*Y238),IF(V238=3,AB$100*EXP(-(LN(2)/$D$65+0.04)*(VLOOKUP(($F$16-$F$15)-1,U$100:Y238,4,FALSE)))*EXP(-(LN(2)/$D$65+0.1)*(VLOOKUP(($F$16-$F$15)-1,U$100:Y238,5,FALSE)))*EXP(-(LN(2)/$D$65+0.04)*(VLOOKUP(($F$16-$F$15)*2-1,U$100:Y238,4,FALSE)))*EXP(-(LN(2)/$D$65+0.1)*(VLOOKUP(($F$16-$F$15)*2-1,U$100:Y238,5,FALSE)))*EXP(-(LN(2)/$D$65+0.04)*X238)*EXP(-(LN(2)/$D$65+0.1)*Y238),"-"))),"-")</f>
        <v>-</v>
      </c>
      <c r="AC238" s="224">
        <f t="shared" si="212"/>
        <v>138</v>
      </c>
      <c r="AD238" s="223" t="str">
        <f t="shared" si="186"/>
        <v>-</v>
      </c>
      <c r="AE238" s="224" t="str">
        <f t="shared" si="213"/>
        <v>-</v>
      </c>
      <c r="AF238" s="224" t="str">
        <f t="shared" si="187"/>
        <v>-</v>
      </c>
      <c r="AG238" s="224" t="str">
        <f t="shared" si="188"/>
        <v>-</v>
      </c>
      <c r="AH238" s="272">
        <f t="shared" si="214"/>
        <v>0.1</v>
      </c>
      <c r="AI238" s="271" t="str">
        <f>IFERROR(IF(AD237=1,AI$100*EXP(-(LN(2)/$D$65+0.04)*AF237)*EXP(-(LN(2)/$D$65+0.1)*AG237),IF(AD237=2,AI$100*EXP(-(LN(2)/$D$65+0.04)*(VLOOKUP(($F$16-$F$15)-1,AC$99:AG237,4,FALSE)))*EXP(-(LN(2)/$D$65+0.1)*(VLOOKUP(($F$16-$F$15)-1,AC$99:AG237,5,FALSE)))*EXP(-(LN(2)/$D$65+0.04)*AF237)*EXP(-(LN(2)/$D$65+0.1)*AG237),IF(AD237=3,AI$100*EXP(-(LN(2)/$D$65+0.04)*(VLOOKUP(($F$16-$F$15)-1,AC$99:AG237,4,FALSE)))*EXP(-(LN(2)/$D$65+0.1)*(VLOOKUP(($F$16-$F$15)-1,AC$99:AG237,5,FALSE)))*EXP(-(LN(2)/$D$65+0.04)*(VLOOKUP(($F$16-$F$15)*2-1,AC$99:AG237,4,FALSE)))*EXP(-(LN(2)/$D$65+0.1)*(VLOOKUP(($F$16-$F$15)*2-1,AC$99:AG237,5,FALSE)))*EXP(-(LN(2)/$D$65+0.04)*AF237)*EXP(-(LN(2)/$D$65+0.1)*AG237),"-"))),"-")</f>
        <v>-</v>
      </c>
      <c r="AJ238" s="271" t="str">
        <f>IFERROR(IF(AD238=1,AJ$100*EXP(-(LN(2)/$D$65+0.04)*AF238)*EXP(-(LN(2)/$D$65+0.1)*AG238),IF(AD238=2,AJ$100*EXP(-(LN(2)/$D$65+0.04)*(VLOOKUP(($F$16-$F$15)-1,AC$100:AG238,4,FALSE)))*EXP(-(LN(2)/$D$65+0.1)*(VLOOKUP(($F$16-$F$15)-1,AC$100:AG238,5,FALSE)))*EXP(-(LN(2)/$D$65+0.04)*AF238)*EXP(-(LN(2)/$D$65+0.1)*AG238),IF(AD238=3,AJ$100*EXP(-(LN(2)/$D$65+0.04)*(VLOOKUP(($F$16-$F$15)-1,AC$100:AG238,4,FALSE)))*EXP(-(LN(2)/$D$65+0.1)*(VLOOKUP(($F$16-$F$15)-1,AC$100:AG238,5,FALSE)))*EXP(-(LN(2)/$D$65+0.04)*(VLOOKUP(($F$16-$F$15)*2-1,AC$100:AG238,4,FALSE)))*EXP(-(LN(2)/$D$65+0.1)*(VLOOKUP(($F$16-$F$15)*2-1,AC$100:AG238,5,FALSE)))*EXP(-(LN(2)/$D$65+0.04)*AF238)*EXP(-(LN(2)/$D$65+0.1)*AG238),"-"))),"-")</f>
        <v>-</v>
      </c>
      <c r="AK238" s="227">
        <f t="shared" si="215"/>
        <v>138</v>
      </c>
      <c r="AL238" s="226" t="str">
        <f t="shared" si="189"/>
        <v>-</v>
      </c>
      <c r="AM238" s="227" t="str">
        <f t="shared" si="216"/>
        <v>-</v>
      </c>
      <c r="AN238" s="227" t="str">
        <f t="shared" si="217"/>
        <v>-</v>
      </c>
      <c r="AO238" s="227" t="str">
        <f t="shared" si="190"/>
        <v>-</v>
      </c>
      <c r="AP238" s="273">
        <f t="shared" si="218"/>
        <v>0.1</v>
      </c>
      <c r="AQ238" s="271" t="str">
        <f>IFERROR(IF(AL237=1,AQ$100*EXP(-(LN(2)/$D$65+0.04)*AN237)*EXP(-(LN(2)/$D$65+0.1)*AO237),IF(AL237=2,AQ$100*EXP(-(LN(2)/$D$65+0.04)*(VLOOKUP(($F$16-$F$15)-1,AK$99:AO237,4,FALSE)))*EXP(-(LN(2)/$D$65+0.1)*(VLOOKUP(($F$16-$F$15)-1,AK$99:AO237,5,FALSE)))*EXP(-(LN(2)/$D$65+0.04)*AN237)*EXP(-(LN(2)/$D$65+0.1)*AO237),IF(AL237=3,AQ$100*EXP(-(LN(2)/$D$65+0.04)*(VLOOKUP(($F$16-$F$15)-1,AK$99:AO237,4,FALSE)))*EXP(-(LN(2)/$D$65+0.1)*(VLOOKUP(($F$16-$F$15)-1,AK$99:AO237,5,FALSE)))*EXP(-(LN(2)/$D$65+0.04)*(VLOOKUP(($F$16-$F$15)*2-1,AK$99:AO237,4,FALSE)))*EXP(-(LN(2)/$D$65+0.1)*(VLOOKUP(($F$16-$F$15)*2-1,AK$99:AO237,5,FALSE)))*EXP(-(LN(2)/$D$65+0.04)*AN237)*EXP(-(LN(2)/$D$65+0.1)*AO237),"-"))),"-")</f>
        <v>-</v>
      </c>
      <c r="AR238" s="271" t="str">
        <f>IFERROR(IF(AL238=1,AR$100*EXP(-(LN(2)/$D$65+0.04)*AN238)*EXP(-(LN(2)/$D$65+0.1)*AO238),IF(AL238=2,AR$100*EXP(-(LN(2)/$D$65+0.04)*(VLOOKUP(($F$16-$F$15)-1,AK$100:AO238,4,FALSE)))*EXP(-(LN(2)/$D$65+0.1)*(VLOOKUP(($F$16-$F$15)-1,AK$100:AO238,5,FALSE)))*EXP(-(LN(2)/$D$65+0.04)*AN238)*EXP(-(LN(2)/$D$65+0.1)*AO238),IF(AL238=3,AR$100*EXP(-(LN(2)/$D$65+0.04)*(VLOOKUP(($F$16-$F$15)-1,AK$100:AO238,4,FALSE)))*EXP(-(LN(2)/$D$65+0.1)*(VLOOKUP(($F$16-$F$15)-1,AK$100:AO238,5,FALSE)))*EXP(-(LN(2)/$D$65+0.04)*(VLOOKUP(($F$16-$F$15)*2-1,AK$100:AO238,4,FALSE)))*EXP(-(LN(2)/$D$65+0.1)*(VLOOKUP(($F$16-$F$15)*2-1,AK$100:AO238,5,FALSE)))*EXP(-(LN(2)/$D$65+0.04)*AN238)*EXP(-(LN(2)/$D$65+0.1)*AO238),"-"))),"-")</f>
        <v>-</v>
      </c>
      <c r="AS238" s="274">
        <f t="shared" si="191"/>
        <v>0</v>
      </c>
      <c r="AT238" s="274">
        <f t="shared" si="192"/>
        <v>0</v>
      </c>
      <c r="AU238" s="274">
        <f t="shared" si="193"/>
        <v>0</v>
      </c>
      <c r="AV238" s="190">
        <f>IF($B238&lt;$F$22,SUM($T$100:$T238),"")</f>
        <v>0</v>
      </c>
      <c r="AW238" s="190" t="str">
        <f t="shared" si="194"/>
        <v>-</v>
      </c>
      <c r="AX238" s="190" t="str">
        <f t="shared" si="219"/>
        <v/>
      </c>
      <c r="AY238"/>
      <c r="AZ238" s="190" t="str">
        <f ca="1">IF(ISNUMBER(OFFSET(AV238,-$F$21,0)),SUM(OFFSET($T$100,$F$21,0):$T238),"")</f>
        <v/>
      </c>
      <c r="BA238" s="190" t="str">
        <f t="shared" ca="1" si="195"/>
        <v/>
      </c>
      <c r="BB238" s="190" t="str">
        <f t="shared" ca="1" si="148"/>
        <v/>
      </c>
      <c r="BC238" s="190"/>
      <c r="BD238" s="190" t="str">
        <f ca="1">IFERROR(IF(AND($B238&gt;=($F$16-$F$15),$B238&lt;$F$22+($F$16-$F$15)),SUM(OFFSET($T$100,($F$16-$F$15),0):$T238),""),"")</f>
        <v/>
      </c>
      <c r="BE238" s="190" t="str">
        <f t="shared" ca="1" si="220"/>
        <v/>
      </c>
      <c r="BF238" s="190" t="str">
        <f t="shared" ca="1" si="221"/>
        <v/>
      </c>
      <c r="BG238"/>
      <c r="BH238" s="190" t="str">
        <f ca="1">IF(ISNUMBER(OFFSET(BD238,-$F$21,0)),SUM(OFFSET($T$100,($F$16-$F$15+$F$21),0):$T238),"")</f>
        <v/>
      </c>
      <c r="BI238" s="190" t="str">
        <f t="shared" ca="1" si="196"/>
        <v/>
      </c>
      <c r="BJ238" s="190" t="str">
        <f t="shared" ca="1" si="222"/>
        <v/>
      </c>
      <c r="BK238" s="190"/>
      <c r="BL238" s="190" t="str">
        <f ca="1">IFERROR(IF(AND($B238&gt;=($F$17-$F$15),$B238&lt;$F$22+($F$17-$F$15)),SUM(OFFSET($T$100,($F$17-$F$15),0):$T238),""),"")</f>
        <v/>
      </c>
      <c r="BM238" s="190" t="str">
        <f t="shared" ca="1" si="197"/>
        <v/>
      </c>
      <c r="BN238" s="190" t="str">
        <f t="shared" ca="1" si="223"/>
        <v/>
      </c>
      <c r="BO238"/>
      <c r="BP238" s="190" t="str">
        <f ca="1">IF(ISNUMBER(OFFSET(BL238,-$F$21,0)),SUM(OFFSET($T$100,($F$17-$F$15+$F$21),0):$T238),"")</f>
        <v/>
      </c>
      <c r="BQ238" s="190" t="str">
        <f t="shared" ca="1" si="198"/>
        <v/>
      </c>
      <c r="BR238" s="190" t="str">
        <f t="shared" ca="1" si="224"/>
        <v/>
      </c>
      <c r="BS238" s="190"/>
      <c r="BT238"/>
      <c r="BU238"/>
      <c r="BV238"/>
      <c r="BY238" s="99"/>
      <c r="BZ238" s="99"/>
      <c r="CA238" s="280" t="str">
        <f t="shared" si="199"/>
        <v/>
      </c>
      <c r="CB238" s="71" t="str">
        <f t="shared" si="200"/>
        <v>-</v>
      </c>
      <c r="CC238" s="33"/>
      <c r="CD238" s="261" t="str">
        <f t="shared" si="201"/>
        <v/>
      </c>
      <c r="CE238" s="280" t="str">
        <f t="shared" si="202"/>
        <v>-</v>
      </c>
      <c r="CF238" s="71" t="str">
        <f t="shared" ca="1" si="203"/>
        <v>-</v>
      </c>
      <c r="CG238" s="33" t="str">
        <f t="shared" si="204"/>
        <v>138-139</v>
      </c>
      <c r="CH238" s="261" t="str">
        <f t="shared" ca="1" si="205"/>
        <v/>
      </c>
    </row>
    <row r="239" spans="2:86" ht="13.5" customHeight="1" x14ac:dyDescent="0.2">
      <c r="B239" s="262">
        <v>139</v>
      </c>
      <c r="C239" s="237" t="str">
        <f t="shared" si="169"/>
        <v/>
      </c>
      <c r="D239" s="237" t="str">
        <f t="shared" si="225"/>
        <v>-</v>
      </c>
      <c r="E239" s="263" t="str">
        <f t="shared" si="206"/>
        <v/>
      </c>
      <c r="F239" s="264" t="str">
        <f t="shared" si="207"/>
        <v/>
      </c>
      <c r="G239" s="264" t="str">
        <f t="shared" si="208"/>
        <v/>
      </c>
      <c r="H239" s="240" t="str">
        <f t="shared" si="170"/>
        <v/>
      </c>
      <c r="I239" s="265" t="str">
        <f t="shared" si="171"/>
        <v/>
      </c>
      <c r="J239" s="265" t="str">
        <f t="shared" si="172"/>
        <v/>
      </c>
      <c r="K239" s="240" t="str">
        <f t="shared" si="173"/>
        <v/>
      </c>
      <c r="L239" s="265" t="str">
        <f t="shared" si="174"/>
        <v/>
      </c>
      <c r="M239" s="265" t="str">
        <f t="shared" si="175"/>
        <v/>
      </c>
      <c r="N239" s="240" t="str">
        <f t="shared" si="176"/>
        <v>-</v>
      </c>
      <c r="O239" s="265" t="str">
        <f t="shared" si="177"/>
        <v>-</v>
      </c>
      <c r="P239" s="265" t="str">
        <f t="shared" si="178"/>
        <v>-</v>
      </c>
      <c r="Q239" s="266" t="str">
        <f t="shared" si="179"/>
        <v>-</v>
      </c>
      <c r="R239" s="267" t="str">
        <f t="shared" si="180"/>
        <v>-</v>
      </c>
      <c r="S239" s="268" t="str">
        <f t="shared" si="181"/>
        <v>-</v>
      </c>
      <c r="T239" s="269" t="str">
        <f t="shared" si="182"/>
        <v/>
      </c>
      <c r="U239" s="221">
        <f t="shared" si="183"/>
        <v>139</v>
      </c>
      <c r="V239" s="220" t="str">
        <f t="shared" si="209"/>
        <v>-</v>
      </c>
      <c r="W239" s="221" t="str">
        <f t="shared" si="210"/>
        <v>-</v>
      </c>
      <c r="X239" s="221" t="str">
        <f t="shared" si="184"/>
        <v>-</v>
      </c>
      <c r="Y239" s="221" t="str">
        <f t="shared" si="185"/>
        <v>-</v>
      </c>
      <c r="Z239" s="270">
        <f t="shared" si="211"/>
        <v>0.1</v>
      </c>
      <c r="AA239" s="271" t="str">
        <f>IFERROR(IF(V238=1,AA$100*EXP(-(LN(2)/$D$65+0.04)*X238)*EXP(-(LN(2)/$D$65+0.1)*Y238),IF(V238=2,AA$100*EXP(-(LN(2)/$D$65+0.04)*(VLOOKUP(($F$16-$F$15)-1,U$99:Y238,4,FALSE)))*EXP(-(LN(2)/$D$65+0.1)*(VLOOKUP(($F$16-$F$15)-1,U$99:Y238,5,FALSE)))*EXP(-(LN(2)/$D$65+0.04)*X238)*EXP(-(LN(2)/$D$65+0.1)*Y238),IF(V238=3,AA$100*EXP(-(LN(2)/$D$65+0.04)*(VLOOKUP(($F$16-$F$15)-1,U$99:Y238,4,FALSE)))*EXP(-(LN(2)/$D$65+0.1)*(VLOOKUP(($F$16-$F$15)-1,U$99:Y238,5,FALSE)))*EXP(-(LN(2)/$D$65+0.04)*(VLOOKUP(($F$16-$F$15)*2-1,U$99:Y238,4,FALSE)))*EXP(-(LN(2)/$D$65+0.1)*(VLOOKUP(($F$16-$F$15)*2-1,U$99:Y238,5,FALSE)))*EXP(-(LN(2)/$D$65+0.04)*X238)*EXP(-(LN(2)/$D$65+0.1)*Y238),"-"))),"-")</f>
        <v>-</v>
      </c>
      <c r="AB239" s="271" t="str">
        <f>IFERROR(IF(V239=1,AB$100*EXP(-(LN(2)/$D$65+0.04)*X239)*EXP(-(LN(2)/$D$65+0.1)*Y239),IF(V239=2,AB$100*EXP(-(LN(2)/$D$65+0.04)*(VLOOKUP(($F$16-$F$15)-1,U$100:Y239,4,FALSE)))*EXP(-(LN(2)/$D$65+0.1)*(VLOOKUP(($F$16-$F$15)-1,U$100:Y239,5,FALSE)))*EXP(-(LN(2)/$D$65+0.04)*X239)*EXP(-(LN(2)/$D$65+0.1)*Y239),IF(V239=3,AB$100*EXP(-(LN(2)/$D$65+0.04)*(VLOOKUP(($F$16-$F$15)-1,U$100:Y239,4,FALSE)))*EXP(-(LN(2)/$D$65+0.1)*(VLOOKUP(($F$16-$F$15)-1,U$100:Y239,5,FALSE)))*EXP(-(LN(2)/$D$65+0.04)*(VLOOKUP(($F$16-$F$15)*2-1,U$100:Y239,4,FALSE)))*EXP(-(LN(2)/$D$65+0.1)*(VLOOKUP(($F$16-$F$15)*2-1,U$100:Y239,5,FALSE)))*EXP(-(LN(2)/$D$65+0.04)*X239)*EXP(-(LN(2)/$D$65+0.1)*Y239),"-"))),"-")</f>
        <v>-</v>
      </c>
      <c r="AC239" s="224">
        <f t="shared" si="212"/>
        <v>139</v>
      </c>
      <c r="AD239" s="223" t="str">
        <f t="shared" si="186"/>
        <v>-</v>
      </c>
      <c r="AE239" s="224" t="str">
        <f t="shared" si="213"/>
        <v>-</v>
      </c>
      <c r="AF239" s="224" t="str">
        <f t="shared" si="187"/>
        <v>-</v>
      </c>
      <c r="AG239" s="224" t="str">
        <f t="shared" si="188"/>
        <v>-</v>
      </c>
      <c r="AH239" s="272">
        <f t="shared" si="214"/>
        <v>0.1</v>
      </c>
      <c r="AI239" s="271" t="str">
        <f>IFERROR(IF(AD238=1,AI$100*EXP(-(LN(2)/$D$65+0.04)*AF238)*EXP(-(LN(2)/$D$65+0.1)*AG238),IF(AD238=2,AI$100*EXP(-(LN(2)/$D$65+0.04)*(VLOOKUP(($F$16-$F$15)-1,AC$99:AG238,4,FALSE)))*EXP(-(LN(2)/$D$65+0.1)*(VLOOKUP(($F$16-$F$15)-1,AC$99:AG238,5,FALSE)))*EXP(-(LN(2)/$D$65+0.04)*AF238)*EXP(-(LN(2)/$D$65+0.1)*AG238),IF(AD238=3,AI$100*EXP(-(LN(2)/$D$65+0.04)*(VLOOKUP(($F$16-$F$15)-1,AC$99:AG238,4,FALSE)))*EXP(-(LN(2)/$D$65+0.1)*(VLOOKUP(($F$16-$F$15)-1,AC$99:AG238,5,FALSE)))*EXP(-(LN(2)/$D$65+0.04)*(VLOOKUP(($F$16-$F$15)*2-1,AC$99:AG238,4,FALSE)))*EXP(-(LN(2)/$D$65+0.1)*(VLOOKUP(($F$16-$F$15)*2-1,AC$99:AG238,5,FALSE)))*EXP(-(LN(2)/$D$65+0.04)*AF238)*EXP(-(LN(2)/$D$65+0.1)*AG238),"-"))),"-")</f>
        <v>-</v>
      </c>
      <c r="AJ239" s="271" t="str">
        <f>IFERROR(IF(AD239=1,AJ$100*EXP(-(LN(2)/$D$65+0.04)*AF239)*EXP(-(LN(2)/$D$65+0.1)*AG239),IF(AD239=2,AJ$100*EXP(-(LN(2)/$D$65+0.04)*(VLOOKUP(($F$16-$F$15)-1,AC$100:AG239,4,FALSE)))*EXP(-(LN(2)/$D$65+0.1)*(VLOOKUP(($F$16-$F$15)-1,AC$100:AG239,5,FALSE)))*EXP(-(LN(2)/$D$65+0.04)*AF239)*EXP(-(LN(2)/$D$65+0.1)*AG239),IF(AD239=3,AJ$100*EXP(-(LN(2)/$D$65+0.04)*(VLOOKUP(($F$16-$F$15)-1,AC$100:AG239,4,FALSE)))*EXP(-(LN(2)/$D$65+0.1)*(VLOOKUP(($F$16-$F$15)-1,AC$100:AG239,5,FALSE)))*EXP(-(LN(2)/$D$65+0.04)*(VLOOKUP(($F$16-$F$15)*2-1,AC$100:AG239,4,FALSE)))*EXP(-(LN(2)/$D$65+0.1)*(VLOOKUP(($F$16-$F$15)*2-1,AC$100:AG239,5,FALSE)))*EXP(-(LN(2)/$D$65+0.04)*AF239)*EXP(-(LN(2)/$D$65+0.1)*AG239),"-"))),"-")</f>
        <v>-</v>
      </c>
      <c r="AK239" s="227">
        <f t="shared" si="215"/>
        <v>139</v>
      </c>
      <c r="AL239" s="226" t="str">
        <f t="shared" si="189"/>
        <v>-</v>
      </c>
      <c r="AM239" s="227" t="str">
        <f t="shared" si="216"/>
        <v>-</v>
      </c>
      <c r="AN239" s="227" t="str">
        <f t="shared" si="217"/>
        <v>-</v>
      </c>
      <c r="AO239" s="227" t="str">
        <f t="shared" si="190"/>
        <v>-</v>
      </c>
      <c r="AP239" s="273">
        <f t="shared" si="218"/>
        <v>0.1</v>
      </c>
      <c r="AQ239" s="271" t="str">
        <f>IFERROR(IF(AL238=1,AQ$100*EXP(-(LN(2)/$D$65+0.04)*AN238)*EXP(-(LN(2)/$D$65+0.1)*AO238),IF(AL238=2,AQ$100*EXP(-(LN(2)/$D$65+0.04)*(VLOOKUP(($F$16-$F$15)-1,AK$99:AO238,4,FALSE)))*EXP(-(LN(2)/$D$65+0.1)*(VLOOKUP(($F$16-$F$15)-1,AK$99:AO238,5,FALSE)))*EXP(-(LN(2)/$D$65+0.04)*AN238)*EXP(-(LN(2)/$D$65+0.1)*AO238),IF(AL238=3,AQ$100*EXP(-(LN(2)/$D$65+0.04)*(VLOOKUP(($F$16-$F$15)-1,AK$99:AO238,4,FALSE)))*EXP(-(LN(2)/$D$65+0.1)*(VLOOKUP(($F$16-$F$15)-1,AK$99:AO238,5,FALSE)))*EXP(-(LN(2)/$D$65+0.04)*(VLOOKUP(($F$16-$F$15)*2-1,AK$99:AO238,4,FALSE)))*EXP(-(LN(2)/$D$65+0.1)*(VLOOKUP(($F$16-$F$15)*2-1,AK$99:AO238,5,FALSE)))*EXP(-(LN(2)/$D$65+0.04)*AN238)*EXP(-(LN(2)/$D$65+0.1)*AO238),"-"))),"-")</f>
        <v>-</v>
      </c>
      <c r="AR239" s="271" t="str">
        <f>IFERROR(IF(AL239=1,AR$100*EXP(-(LN(2)/$D$65+0.04)*AN239)*EXP(-(LN(2)/$D$65+0.1)*AO239),IF(AL239=2,AR$100*EXP(-(LN(2)/$D$65+0.04)*(VLOOKUP(($F$16-$F$15)-1,AK$100:AO239,4,FALSE)))*EXP(-(LN(2)/$D$65+0.1)*(VLOOKUP(($F$16-$F$15)-1,AK$100:AO239,5,FALSE)))*EXP(-(LN(2)/$D$65+0.04)*AN239)*EXP(-(LN(2)/$D$65+0.1)*AO239),IF(AL239=3,AR$100*EXP(-(LN(2)/$D$65+0.04)*(VLOOKUP(($F$16-$F$15)-1,AK$100:AO239,4,FALSE)))*EXP(-(LN(2)/$D$65+0.1)*(VLOOKUP(($F$16-$F$15)-1,AK$100:AO239,5,FALSE)))*EXP(-(LN(2)/$D$65+0.04)*(VLOOKUP(($F$16-$F$15)*2-1,AK$100:AO239,4,FALSE)))*EXP(-(LN(2)/$D$65+0.1)*(VLOOKUP(($F$16-$F$15)*2-1,AK$100:AO239,5,FALSE)))*EXP(-(LN(2)/$D$65+0.04)*AN239)*EXP(-(LN(2)/$D$65+0.1)*AO239),"-"))),"-")</f>
        <v>-</v>
      </c>
      <c r="AS239" s="274">
        <f t="shared" si="191"/>
        <v>0</v>
      </c>
      <c r="AT239" s="274">
        <f t="shared" si="192"/>
        <v>0</v>
      </c>
      <c r="AU239" s="274">
        <f t="shared" si="193"/>
        <v>0</v>
      </c>
      <c r="AV239" s="190">
        <f>IF($B239&lt;$F$22,SUM($T$100:$T239),"")</f>
        <v>0</v>
      </c>
      <c r="AW239" s="190" t="str">
        <f t="shared" si="194"/>
        <v>-</v>
      </c>
      <c r="AX239" s="190" t="str">
        <f t="shared" si="219"/>
        <v/>
      </c>
      <c r="AY239"/>
      <c r="AZ239" s="190" t="str">
        <f ca="1">IF(ISNUMBER(OFFSET(AV239,-$F$21,0)),SUM(OFFSET($T$100,$F$21,0):$T239),"")</f>
        <v/>
      </c>
      <c r="BA239" s="190" t="str">
        <f t="shared" ca="1" si="195"/>
        <v/>
      </c>
      <c r="BB239" s="190" t="str">
        <f t="shared" ca="1" si="148"/>
        <v/>
      </c>
      <c r="BC239" s="190"/>
      <c r="BD239" s="190" t="str">
        <f ca="1">IFERROR(IF(AND($B239&gt;=($F$16-$F$15),$B239&lt;$F$22+($F$16-$F$15)),SUM(OFFSET($T$100,($F$16-$F$15),0):$T239),""),"")</f>
        <v/>
      </c>
      <c r="BE239" s="190" t="str">
        <f t="shared" ca="1" si="220"/>
        <v/>
      </c>
      <c r="BF239" s="190" t="str">
        <f t="shared" ca="1" si="221"/>
        <v/>
      </c>
      <c r="BG239"/>
      <c r="BH239" s="190" t="str">
        <f ca="1">IF(ISNUMBER(OFFSET(BD239,-$F$21,0)),SUM(OFFSET($T$100,($F$16-$F$15+$F$21),0):$T239),"")</f>
        <v/>
      </c>
      <c r="BI239" s="190" t="str">
        <f t="shared" ca="1" si="196"/>
        <v/>
      </c>
      <c r="BJ239" s="190" t="str">
        <f t="shared" ca="1" si="222"/>
        <v/>
      </c>
      <c r="BK239" s="190"/>
      <c r="BL239" s="190" t="str">
        <f ca="1">IFERROR(IF(AND($B239&gt;=($F$17-$F$15),$B239&lt;$F$22+($F$17-$F$15)),SUM(OFFSET($T$100,($F$17-$F$15),0):$T239),""),"")</f>
        <v/>
      </c>
      <c r="BM239" s="190" t="str">
        <f t="shared" ca="1" si="197"/>
        <v/>
      </c>
      <c r="BN239" s="190" t="str">
        <f t="shared" ca="1" si="223"/>
        <v/>
      </c>
      <c r="BO239"/>
      <c r="BP239" s="190" t="str">
        <f ca="1">IF(ISNUMBER(OFFSET(BL239,-$F$21,0)),SUM(OFFSET($T$100,($F$17-$F$15+$F$21),0):$T239),"")</f>
        <v/>
      </c>
      <c r="BQ239" s="190" t="str">
        <f t="shared" ca="1" si="198"/>
        <v/>
      </c>
      <c r="BR239" s="190" t="str">
        <f t="shared" ca="1" si="224"/>
        <v/>
      </c>
      <c r="BS239" s="190"/>
      <c r="BT239"/>
      <c r="BU239"/>
      <c r="BV239"/>
      <c r="BY239" s="99"/>
      <c r="BZ239" s="99"/>
      <c r="CA239" s="280" t="str">
        <f t="shared" si="199"/>
        <v/>
      </c>
      <c r="CB239" s="71" t="str">
        <f t="shared" si="200"/>
        <v>-</v>
      </c>
      <c r="CC239" s="33"/>
      <c r="CD239" s="261" t="str">
        <f t="shared" si="201"/>
        <v/>
      </c>
      <c r="CE239" s="280" t="str">
        <f t="shared" si="202"/>
        <v>-</v>
      </c>
      <c r="CF239" s="71" t="str">
        <f t="shared" ca="1" si="203"/>
        <v>-</v>
      </c>
      <c r="CG239" s="33" t="str">
        <f t="shared" si="204"/>
        <v>139-140</v>
      </c>
      <c r="CH239" s="261" t="str">
        <f t="shared" ca="1" si="205"/>
        <v/>
      </c>
    </row>
    <row r="240" spans="2:86" ht="13.5" customHeight="1" x14ac:dyDescent="0.2">
      <c r="B240" s="262">
        <v>140</v>
      </c>
      <c r="C240" s="237" t="str">
        <f t="shared" si="169"/>
        <v/>
      </c>
      <c r="D240" s="237" t="str">
        <f t="shared" si="225"/>
        <v>-</v>
      </c>
      <c r="E240" s="263" t="str">
        <f t="shared" si="206"/>
        <v/>
      </c>
      <c r="F240" s="264" t="str">
        <f t="shared" si="207"/>
        <v/>
      </c>
      <c r="G240" s="264" t="str">
        <f t="shared" si="208"/>
        <v/>
      </c>
      <c r="H240" s="240" t="str">
        <f t="shared" si="170"/>
        <v/>
      </c>
      <c r="I240" s="265" t="str">
        <f t="shared" si="171"/>
        <v/>
      </c>
      <c r="J240" s="265" t="str">
        <f t="shared" si="172"/>
        <v/>
      </c>
      <c r="K240" s="240" t="str">
        <f t="shared" si="173"/>
        <v/>
      </c>
      <c r="L240" s="265" t="str">
        <f t="shared" si="174"/>
        <v/>
      </c>
      <c r="M240" s="265" t="str">
        <f t="shared" si="175"/>
        <v/>
      </c>
      <c r="N240" s="240" t="str">
        <f t="shared" si="176"/>
        <v>-</v>
      </c>
      <c r="O240" s="265" t="str">
        <f t="shared" si="177"/>
        <v>-</v>
      </c>
      <c r="P240" s="265" t="str">
        <f t="shared" si="178"/>
        <v>-</v>
      </c>
      <c r="Q240" s="266" t="str">
        <f t="shared" si="179"/>
        <v>-</v>
      </c>
      <c r="R240" s="267" t="str">
        <f t="shared" si="180"/>
        <v>-</v>
      </c>
      <c r="S240" s="268" t="str">
        <f t="shared" si="181"/>
        <v>-</v>
      </c>
      <c r="T240" s="269" t="str">
        <f t="shared" si="182"/>
        <v/>
      </c>
      <c r="U240" s="221">
        <f t="shared" si="183"/>
        <v>140</v>
      </c>
      <c r="V240" s="220" t="str">
        <f t="shared" si="209"/>
        <v>-</v>
      </c>
      <c r="W240" s="221" t="str">
        <f t="shared" si="210"/>
        <v>-</v>
      </c>
      <c r="X240" s="221" t="str">
        <f t="shared" si="184"/>
        <v>-</v>
      </c>
      <c r="Y240" s="221" t="str">
        <f t="shared" si="185"/>
        <v>-</v>
      </c>
      <c r="Z240" s="270">
        <f t="shared" si="211"/>
        <v>0.1</v>
      </c>
      <c r="AA240" s="271" t="str">
        <f>IFERROR(IF(V239=1,AA$100*EXP(-(LN(2)/$D$65+0.04)*X239)*EXP(-(LN(2)/$D$65+0.1)*Y239),IF(V239=2,AA$100*EXP(-(LN(2)/$D$65+0.04)*(VLOOKUP(($F$16-$F$15)-1,U$99:Y239,4,FALSE)))*EXP(-(LN(2)/$D$65+0.1)*(VLOOKUP(($F$16-$F$15)-1,U$99:Y239,5,FALSE)))*EXP(-(LN(2)/$D$65+0.04)*X239)*EXP(-(LN(2)/$D$65+0.1)*Y239),IF(V239=3,AA$100*EXP(-(LN(2)/$D$65+0.04)*(VLOOKUP(($F$16-$F$15)-1,U$99:Y239,4,FALSE)))*EXP(-(LN(2)/$D$65+0.1)*(VLOOKUP(($F$16-$F$15)-1,U$99:Y239,5,FALSE)))*EXP(-(LN(2)/$D$65+0.04)*(VLOOKUP(($F$16-$F$15)*2-1,U$99:Y239,4,FALSE)))*EXP(-(LN(2)/$D$65+0.1)*(VLOOKUP(($F$16-$F$15)*2-1,U$99:Y239,5,FALSE)))*EXP(-(LN(2)/$D$65+0.04)*X239)*EXP(-(LN(2)/$D$65+0.1)*Y239),"-"))),"-")</f>
        <v>-</v>
      </c>
      <c r="AB240" s="271" t="str">
        <f>IFERROR(IF(V240=1,AB$100*EXP(-(LN(2)/$D$65+0.04)*X240)*EXP(-(LN(2)/$D$65+0.1)*Y240),IF(V240=2,AB$100*EXP(-(LN(2)/$D$65+0.04)*(VLOOKUP(($F$16-$F$15)-1,U$100:Y240,4,FALSE)))*EXP(-(LN(2)/$D$65+0.1)*(VLOOKUP(($F$16-$F$15)-1,U$100:Y240,5,FALSE)))*EXP(-(LN(2)/$D$65+0.04)*X240)*EXP(-(LN(2)/$D$65+0.1)*Y240),IF(V240=3,AB$100*EXP(-(LN(2)/$D$65+0.04)*(VLOOKUP(($F$16-$F$15)-1,U$100:Y240,4,FALSE)))*EXP(-(LN(2)/$D$65+0.1)*(VLOOKUP(($F$16-$F$15)-1,U$100:Y240,5,FALSE)))*EXP(-(LN(2)/$D$65+0.04)*(VLOOKUP(($F$16-$F$15)*2-1,U$100:Y240,4,FALSE)))*EXP(-(LN(2)/$D$65+0.1)*(VLOOKUP(($F$16-$F$15)*2-1,U$100:Y240,5,FALSE)))*EXP(-(LN(2)/$D$65+0.04)*X240)*EXP(-(LN(2)/$D$65+0.1)*Y240),"-"))),"-")</f>
        <v>-</v>
      </c>
      <c r="AC240" s="224">
        <f t="shared" si="212"/>
        <v>140</v>
      </c>
      <c r="AD240" s="223" t="str">
        <f t="shared" si="186"/>
        <v>-</v>
      </c>
      <c r="AE240" s="224" t="str">
        <f t="shared" si="213"/>
        <v>-</v>
      </c>
      <c r="AF240" s="224" t="str">
        <f t="shared" si="187"/>
        <v>-</v>
      </c>
      <c r="AG240" s="224" t="str">
        <f t="shared" si="188"/>
        <v>-</v>
      </c>
      <c r="AH240" s="272">
        <f t="shared" si="214"/>
        <v>0.1</v>
      </c>
      <c r="AI240" s="271" t="str">
        <f>IFERROR(IF(AD239=1,AI$100*EXP(-(LN(2)/$D$65+0.04)*AF239)*EXP(-(LN(2)/$D$65+0.1)*AG239),IF(AD239=2,AI$100*EXP(-(LN(2)/$D$65+0.04)*(VLOOKUP(($F$16-$F$15)-1,AC$99:AG239,4,FALSE)))*EXP(-(LN(2)/$D$65+0.1)*(VLOOKUP(($F$16-$F$15)-1,AC$99:AG239,5,FALSE)))*EXP(-(LN(2)/$D$65+0.04)*AF239)*EXP(-(LN(2)/$D$65+0.1)*AG239),IF(AD239=3,AI$100*EXP(-(LN(2)/$D$65+0.04)*(VLOOKUP(($F$16-$F$15)-1,AC$99:AG239,4,FALSE)))*EXP(-(LN(2)/$D$65+0.1)*(VLOOKUP(($F$16-$F$15)-1,AC$99:AG239,5,FALSE)))*EXP(-(LN(2)/$D$65+0.04)*(VLOOKUP(($F$16-$F$15)*2-1,AC$99:AG239,4,FALSE)))*EXP(-(LN(2)/$D$65+0.1)*(VLOOKUP(($F$16-$F$15)*2-1,AC$99:AG239,5,FALSE)))*EXP(-(LN(2)/$D$65+0.04)*AF239)*EXP(-(LN(2)/$D$65+0.1)*AG239),"-"))),"-")</f>
        <v>-</v>
      </c>
      <c r="AJ240" s="271" t="str">
        <f>IFERROR(IF(AD240=1,AJ$100*EXP(-(LN(2)/$D$65+0.04)*AF240)*EXP(-(LN(2)/$D$65+0.1)*AG240),IF(AD240=2,AJ$100*EXP(-(LN(2)/$D$65+0.04)*(VLOOKUP(($F$16-$F$15)-1,AC$100:AG240,4,FALSE)))*EXP(-(LN(2)/$D$65+0.1)*(VLOOKUP(($F$16-$F$15)-1,AC$100:AG240,5,FALSE)))*EXP(-(LN(2)/$D$65+0.04)*AF240)*EXP(-(LN(2)/$D$65+0.1)*AG240),IF(AD240=3,AJ$100*EXP(-(LN(2)/$D$65+0.04)*(VLOOKUP(($F$16-$F$15)-1,AC$100:AG240,4,FALSE)))*EXP(-(LN(2)/$D$65+0.1)*(VLOOKUP(($F$16-$F$15)-1,AC$100:AG240,5,FALSE)))*EXP(-(LN(2)/$D$65+0.04)*(VLOOKUP(($F$16-$F$15)*2-1,AC$100:AG240,4,FALSE)))*EXP(-(LN(2)/$D$65+0.1)*(VLOOKUP(($F$16-$F$15)*2-1,AC$100:AG240,5,FALSE)))*EXP(-(LN(2)/$D$65+0.04)*AF240)*EXP(-(LN(2)/$D$65+0.1)*AG240),"-"))),"-")</f>
        <v>-</v>
      </c>
      <c r="AK240" s="227">
        <f t="shared" si="215"/>
        <v>140</v>
      </c>
      <c r="AL240" s="226" t="str">
        <f t="shared" si="189"/>
        <v>-</v>
      </c>
      <c r="AM240" s="227" t="str">
        <f t="shared" si="216"/>
        <v>-</v>
      </c>
      <c r="AN240" s="227" t="str">
        <f t="shared" si="217"/>
        <v>-</v>
      </c>
      <c r="AO240" s="227" t="str">
        <f t="shared" si="190"/>
        <v>-</v>
      </c>
      <c r="AP240" s="273">
        <f t="shared" si="218"/>
        <v>0.1</v>
      </c>
      <c r="AQ240" s="271" t="str">
        <f>IFERROR(IF(AL239=1,AQ$100*EXP(-(LN(2)/$D$65+0.04)*AN239)*EXP(-(LN(2)/$D$65+0.1)*AO239),IF(AL239=2,AQ$100*EXP(-(LN(2)/$D$65+0.04)*(VLOOKUP(($F$16-$F$15)-1,AK$99:AO239,4,FALSE)))*EXP(-(LN(2)/$D$65+0.1)*(VLOOKUP(($F$16-$F$15)-1,AK$99:AO239,5,FALSE)))*EXP(-(LN(2)/$D$65+0.04)*AN239)*EXP(-(LN(2)/$D$65+0.1)*AO239),IF(AL239=3,AQ$100*EXP(-(LN(2)/$D$65+0.04)*(VLOOKUP(($F$16-$F$15)-1,AK$99:AO239,4,FALSE)))*EXP(-(LN(2)/$D$65+0.1)*(VLOOKUP(($F$16-$F$15)-1,AK$99:AO239,5,FALSE)))*EXP(-(LN(2)/$D$65+0.04)*(VLOOKUP(($F$16-$F$15)*2-1,AK$99:AO239,4,FALSE)))*EXP(-(LN(2)/$D$65+0.1)*(VLOOKUP(($F$16-$F$15)*2-1,AK$99:AO239,5,FALSE)))*EXP(-(LN(2)/$D$65+0.04)*AN239)*EXP(-(LN(2)/$D$65+0.1)*AO239),"-"))),"-")</f>
        <v>-</v>
      </c>
      <c r="AR240" s="271" t="str">
        <f>IFERROR(IF(AL240=1,AR$100*EXP(-(LN(2)/$D$65+0.04)*AN240)*EXP(-(LN(2)/$D$65+0.1)*AO240),IF(AL240=2,AR$100*EXP(-(LN(2)/$D$65+0.04)*(VLOOKUP(($F$16-$F$15)-1,AK$100:AO240,4,FALSE)))*EXP(-(LN(2)/$D$65+0.1)*(VLOOKUP(($F$16-$F$15)-1,AK$100:AO240,5,FALSE)))*EXP(-(LN(2)/$D$65+0.04)*AN240)*EXP(-(LN(2)/$D$65+0.1)*AO240),IF(AL240=3,AR$100*EXP(-(LN(2)/$D$65+0.04)*(VLOOKUP(($F$16-$F$15)-1,AK$100:AO240,4,FALSE)))*EXP(-(LN(2)/$D$65+0.1)*(VLOOKUP(($F$16-$F$15)-1,AK$100:AO240,5,FALSE)))*EXP(-(LN(2)/$D$65+0.04)*(VLOOKUP(($F$16-$F$15)*2-1,AK$100:AO240,4,FALSE)))*EXP(-(LN(2)/$D$65+0.1)*(VLOOKUP(($F$16-$F$15)*2-1,AK$100:AO240,5,FALSE)))*EXP(-(LN(2)/$D$65+0.04)*AN240)*EXP(-(LN(2)/$D$65+0.1)*AO240),"-"))),"-")</f>
        <v>-</v>
      </c>
      <c r="AS240" s="274">
        <f t="shared" si="191"/>
        <v>0</v>
      </c>
      <c r="AT240" s="274">
        <f t="shared" si="192"/>
        <v>0</v>
      </c>
      <c r="AU240" s="274">
        <f t="shared" si="193"/>
        <v>0</v>
      </c>
      <c r="AV240" s="190">
        <f>IF($B240&lt;$F$22,SUM($T$100:$T240),"")</f>
        <v>0</v>
      </c>
      <c r="AW240" s="190" t="str">
        <f t="shared" si="194"/>
        <v>-</v>
      </c>
      <c r="AX240" s="190" t="str">
        <f t="shared" si="219"/>
        <v/>
      </c>
      <c r="AY240"/>
      <c r="AZ240" s="190" t="str">
        <f ca="1">IF(ISNUMBER(OFFSET(AV240,-$F$21,0)),SUM(OFFSET($T$100,$F$21,0):$T240),"")</f>
        <v/>
      </c>
      <c r="BA240" s="190" t="str">
        <f t="shared" ca="1" si="195"/>
        <v/>
      </c>
      <c r="BB240" s="190" t="str">
        <f t="shared" ca="1" si="148"/>
        <v/>
      </c>
      <c r="BC240" s="190"/>
      <c r="BD240" s="190" t="str">
        <f ca="1">IFERROR(IF(AND($B240&gt;=($F$16-$F$15),$B240&lt;$F$22+($F$16-$F$15)),SUM(OFFSET($T$100,($F$16-$F$15),0):$T240),""),"")</f>
        <v/>
      </c>
      <c r="BE240" s="190" t="str">
        <f t="shared" ca="1" si="220"/>
        <v/>
      </c>
      <c r="BF240" s="190" t="str">
        <f t="shared" ca="1" si="221"/>
        <v/>
      </c>
      <c r="BG240"/>
      <c r="BH240" s="190" t="str">
        <f ca="1">IF(ISNUMBER(OFFSET(BD240,-$F$21,0)),SUM(OFFSET($T$100,($F$16-$F$15+$F$21),0):$T240),"")</f>
        <v/>
      </c>
      <c r="BI240" s="190" t="str">
        <f t="shared" ca="1" si="196"/>
        <v/>
      </c>
      <c r="BJ240" s="190" t="str">
        <f t="shared" ca="1" si="222"/>
        <v/>
      </c>
      <c r="BK240" s="190"/>
      <c r="BL240" s="190" t="str">
        <f ca="1">IFERROR(IF(AND($B240&gt;=($F$17-$F$15),$B240&lt;$F$22+($F$17-$F$15)),SUM(OFFSET($T$100,($F$17-$F$15),0):$T240),""),"")</f>
        <v/>
      </c>
      <c r="BM240" s="190" t="str">
        <f t="shared" ca="1" si="197"/>
        <v/>
      </c>
      <c r="BN240" s="190" t="str">
        <f t="shared" ca="1" si="223"/>
        <v/>
      </c>
      <c r="BO240"/>
      <c r="BP240" s="190" t="str">
        <f ca="1">IF(ISNUMBER(OFFSET(BL240,-$F$21,0)),SUM(OFFSET($T$100,($F$17-$F$15+$F$21),0):$T240),"")</f>
        <v/>
      </c>
      <c r="BQ240" s="190" t="str">
        <f t="shared" ca="1" si="198"/>
        <v/>
      </c>
      <c r="BR240" s="190" t="str">
        <f t="shared" ca="1" si="224"/>
        <v/>
      </c>
      <c r="BS240" s="190"/>
      <c r="BT240"/>
      <c r="BU240"/>
      <c r="BV240"/>
      <c r="BY240" s="99"/>
      <c r="BZ240" s="99"/>
      <c r="CA240" s="280" t="str">
        <f t="shared" si="199"/>
        <v/>
      </c>
      <c r="CB240" s="71" t="str">
        <f t="shared" si="200"/>
        <v>-</v>
      </c>
      <c r="CC240" s="33"/>
      <c r="CD240" s="261" t="str">
        <f t="shared" si="201"/>
        <v/>
      </c>
      <c r="CE240" s="280" t="str">
        <f t="shared" si="202"/>
        <v>-</v>
      </c>
      <c r="CF240" s="71" t="str">
        <f t="shared" ca="1" si="203"/>
        <v>-</v>
      </c>
      <c r="CG240" s="33" t="str">
        <f t="shared" si="204"/>
        <v>140-141</v>
      </c>
      <c r="CH240" s="261" t="str">
        <f t="shared" ca="1" si="205"/>
        <v/>
      </c>
    </row>
    <row r="241" spans="2:86" ht="13.5" customHeight="1" x14ac:dyDescent="0.2">
      <c r="B241" s="262">
        <v>141</v>
      </c>
      <c r="C241" s="237" t="str">
        <f t="shared" si="169"/>
        <v/>
      </c>
      <c r="D241" s="237" t="str">
        <f t="shared" si="225"/>
        <v>-</v>
      </c>
      <c r="E241" s="263" t="str">
        <f t="shared" si="206"/>
        <v/>
      </c>
      <c r="F241" s="264" t="str">
        <f t="shared" si="207"/>
        <v/>
      </c>
      <c r="G241" s="264" t="str">
        <f t="shared" si="208"/>
        <v/>
      </c>
      <c r="H241" s="240" t="str">
        <f t="shared" si="170"/>
        <v/>
      </c>
      <c r="I241" s="265" t="str">
        <f t="shared" si="171"/>
        <v/>
      </c>
      <c r="J241" s="265" t="str">
        <f t="shared" si="172"/>
        <v/>
      </c>
      <c r="K241" s="240" t="str">
        <f t="shared" si="173"/>
        <v/>
      </c>
      <c r="L241" s="265" t="str">
        <f t="shared" si="174"/>
        <v/>
      </c>
      <c r="M241" s="265" t="str">
        <f t="shared" si="175"/>
        <v/>
      </c>
      <c r="N241" s="240" t="str">
        <f t="shared" si="176"/>
        <v>-</v>
      </c>
      <c r="O241" s="265" t="str">
        <f t="shared" si="177"/>
        <v>-</v>
      </c>
      <c r="P241" s="265" t="str">
        <f t="shared" si="178"/>
        <v>-</v>
      </c>
      <c r="Q241" s="266" t="str">
        <f t="shared" si="179"/>
        <v>-</v>
      </c>
      <c r="R241" s="267" t="str">
        <f t="shared" si="180"/>
        <v>-</v>
      </c>
      <c r="S241" s="268" t="str">
        <f t="shared" si="181"/>
        <v>-</v>
      </c>
      <c r="T241" s="269" t="str">
        <f t="shared" si="182"/>
        <v/>
      </c>
      <c r="U241" s="221">
        <f t="shared" si="183"/>
        <v>141</v>
      </c>
      <c r="V241" s="220" t="str">
        <f t="shared" si="209"/>
        <v>-</v>
      </c>
      <c r="W241" s="221" t="str">
        <f t="shared" si="210"/>
        <v>-</v>
      </c>
      <c r="X241" s="221" t="str">
        <f t="shared" si="184"/>
        <v>-</v>
      </c>
      <c r="Y241" s="221" t="str">
        <f t="shared" si="185"/>
        <v>-</v>
      </c>
      <c r="Z241" s="270">
        <f t="shared" si="211"/>
        <v>0.1</v>
      </c>
      <c r="AA241" s="271" t="str">
        <f>IFERROR(IF(V240=1,AA$100*EXP(-(LN(2)/$D$65+0.04)*X240)*EXP(-(LN(2)/$D$65+0.1)*Y240),IF(V240=2,AA$100*EXP(-(LN(2)/$D$65+0.04)*(VLOOKUP(($F$16-$F$15)-1,U$99:Y240,4,FALSE)))*EXP(-(LN(2)/$D$65+0.1)*(VLOOKUP(($F$16-$F$15)-1,U$99:Y240,5,FALSE)))*EXP(-(LN(2)/$D$65+0.04)*X240)*EXP(-(LN(2)/$D$65+0.1)*Y240),IF(V240=3,AA$100*EXP(-(LN(2)/$D$65+0.04)*(VLOOKUP(($F$16-$F$15)-1,U$99:Y240,4,FALSE)))*EXP(-(LN(2)/$D$65+0.1)*(VLOOKUP(($F$16-$F$15)-1,U$99:Y240,5,FALSE)))*EXP(-(LN(2)/$D$65+0.04)*(VLOOKUP(($F$16-$F$15)*2-1,U$99:Y240,4,FALSE)))*EXP(-(LN(2)/$D$65+0.1)*(VLOOKUP(($F$16-$F$15)*2-1,U$99:Y240,5,FALSE)))*EXP(-(LN(2)/$D$65+0.04)*X240)*EXP(-(LN(2)/$D$65+0.1)*Y240),"-"))),"-")</f>
        <v>-</v>
      </c>
      <c r="AB241" s="271" t="str">
        <f>IFERROR(IF(V241=1,AB$100*EXP(-(LN(2)/$D$65+0.04)*X241)*EXP(-(LN(2)/$D$65+0.1)*Y241),IF(V241=2,AB$100*EXP(-(LN(2)/$D$65+0.04)*(VLOOKUP(($F$16-$F$15)-1,U$100:Y241,4,FALSE)))*EXP(-(LN(2)/$D$65+0.1)*(VLOOKUP(($F$16-$F$15)-1,U$100:Y241,5,FALSE)))*EXP(-(LN(2)/$D$65+0.04)*X241)*EXP(-(LN(2)/$D$65+0.1)*Y241),IF(V241=3,AB$100*EXP(-(LN(2)/$D$65+0.04)*(VLOOKUP(($F$16-$F$15)-1,U$100:Y241,4,FALSE)))*EXP(-(LN(2)/$D$65+0.1)*(VLOOKUP(($F$16-$F$15)-1,U$100:Y241,5,FALSE)))*EXP(-(LN(2)/$D$65+0.04)*(VLOOKUP(($F$16-$F$15)*2-1,U$100:Y241,4,FALSE)))*EXP(-(LN(2)/$D$65+0.1)*(VLOOKUP(($F$16-$F$15)*2-1,U$100:Y241,5,FALSE)))*EXP(-(LN(2)/$D$65+0.04)*X241)*EXP(-(LN(2)/$D$65+0.1)*Y241),"-"))),"-")</f>
        <v>-</v>
      </c>
      <c r="AC241" s="224">
        <f>B241</f>
        <v>141</v>
      </c>
      <c r="AD241" s="223" t="str">
        <f t="shared" si="186"/>
        <v>-</v>
      </c>
      <c r="AE241" s="224" t="str">
        <f t="shared" si="213"/>
        <v>-</v>
      </c>
      <c r="AF241" s="224" t="str">
        <f t="shared" si="187"/>
        <v>-</v>
      </c>
      <c r="AG241" s="224" t="str">
        <f t="shared" si="188"/>
        <v>-</v>
      </c>
      <c r="AH241" s="272">
        <f t="shared" si="214"/>
        <v>0.1</v>
      </c>
      <c r="AI241" s="271" t="str">
        <f>IFERROR(IF(AD240=1,AI$100*EXP(-(LN(2)/$D$65+0.04)*AF240)*EXP(-(LN(2)/$D$65+0.1)*AG240),IF(AD240=2,AI$100*EXP(-(LN(2)/$D$65+0.04)*(VLOOKUP(($F$16-$F$15)-1,AC$99:AG240,4,FALSE)))*EXP(-(LN(2)/$D$65+0.1)*(VLOOKUP(($F$16-$F$15)-1,AC$99:AG240,5,FALSE)))*EXP(-(LN(2)/$D$65+0.04)*AF240)*EXP(-(LN(2)/$D$65+0.1)*AG240),IF(AD240=3,AI$100*EXP(-(LN(2)/$D$65+0.04)*(VLOOKUP(($F$16-$F$15)-1,AC$99:AG240,4,FALSE)))*EXP(-(LN(2)/$D$65+0.1)*(VLOOKUP(($F$16-$F$15)-1,AC$99:AG240,5,FALSE)))*EXP(-(LN(2)/$D$65+0.04)*(VLOOKUP(($F$16-$F$15)*2-1,AC$99:AG240,4,FALSE)))*EXP(-(LN(2)/$D$65+0.1)*(VLOOKUP(($F$16-$F$15)*2-1,AC$99:AG240,5,FALSE)))*EXP(-(LN(2)/$D$65+0.04)*AF240)*EXP(-(LN(2)/$D$65+0.1)*AG240),"-"))),"-")</f>
        <v>-</v>
      </c>
      <c r="AJ241" s="271" t="str">
        <f>IFERROR(IF(AD241=1,AJ$100*EXP(-(LN(2)/$D$65+0.04)*AF241)*EXP(-(LN(2)/$D$65+0.1)*AG241),IF(AD241=2,AJ$100*EXP(-(LN(2)/$D$65+0.04)*(VLOOKUP(($F$16-$F$15)-1,AC$100:AG241,4,FALSE)))*EXP(-(LN(2)/$D$65+0.1)*(VLOOKUP(($F$16-$F$15)-1,AC$100:AG241,5,FALSE)))*EXP(-(LN(2)/$D$65+0.04)*AF241)*EXP(-(LN(2)/$D$65+0.1)*AG241),IF(AD241=3,AJ$100*EXP(-(LN(2)/$D$65+0.04)*(VLOOKUP(($F$16-$F$15)-1,AC$100:AG241,4,FALSE)))*EXP(-(LN(2)/$D$65+0.1)*(VLOOKUP(($F$16-$F$15)-1,AC$100:AG241,5,FALSE)))*EXP(-(LN(2)/$D$65+0.04)*(VLOOKUP(($F$16-$F$15)*2-1,AC$100:AG241,4,FALSE)))*EXP(-(LN(2)/$D$65+0.1)*(VLOOKUP(($F$16-$F$15)*2-1,AC$100:AG241,5,FALSE)))*EXP(-(LN(2)/$D$65+0.04)*AF241)*EXP(-(LN(2)/$D$65+0.1)*AG241),"-"))),"-")</f>
        <v>-</v>
      </c>
      <c r="AK241" s="227">
        <f t="shared" si="215"/>
        <v>141</v>
      </c>
      <c r="AL241" s="226" t="str">
        <f t="shared" si="189"/>
        <v>-</v>
      </c>
      <c r="AM241" s="227" t="str">
        <f t="shared" si="216"/>
        <v>-</v>
      </c>
      <c r="AN241" s="227" t="str">
        <f t="shared" si="217"/>
        <v>-</v>
      </c>
      <c r="AO241" s="227" t="str">
        <f t="shared" si="190"/>
        <v>-</v>
      </c>
      <c r="AP241" s="273">
        <f t="shared" si="218"/>
        <v>0.1</v>
      </c>
      <c r="AQ241" s="271" t="str">
        <f>IFERROR(IF(AL240=1,AQ$100*EXP(-(LN(2)/$D$65+0.04)*AN240)*EXP(-(LN(2)/$D$65+0.1)*AO240),IF(AL240=2,AQ$100*EXP(-(LN(2)/$D$65+0.04)*(VLOOKUP(($F$16-$F$15)-1,AK$99:AO240,4,FALSE)))*EXP(-(LN(2)/$D$65+0.1)*(VLOOKUP(($F$16-$F$15)-1,AK$99:AO240,5,FALSE)))*EXP(-(LN(2)/$D$65+0.04)*AN240)*EXP(-(LN(2)/$D$65+0.1)*AO240),IF(AL240=3,AQ$100*EXP(-(LN(2)/$D$65+0.04)*(VLOOKUP(($F$16-$F$15)-1,AK$99:AO240,4,FALSE)))*EXP(-(LN(2)/$D$65+0.1)*(VLOOKUP(($F$16-$F$15)-1,AK$99:AO240,5,FALSE)))*EXP(-(LN(2)/$D$65+0.04)*(VLOOKUP(($F$16-$F$15)*2-1,AK$99:AO240,4,FALSE)))*EXP(-(LN(2)/$D$65+0.1)*(VLOOKUP(($F$16-$F$15)*2-1,AK$99:AO240,5,FALSE)))*EXP(-(LN(2)/$D$65+0.04)*AN240)*EXP(-(LN(2)/$D$65+0.1)*AO240),"-"))),"-")</f>
        <v>-</v>
      </c>
      <c r="AR241" s="271" t="str">
        <f>IFERROR(IF(AL241=1,AR$100*EXP(-(LN(2)/$D$65+0.04)*AN241)*EXP(-(LN(2)/$D$65+0.1)*AO241),IF(AL241=2,AR$100*EXP(-(LN(2)/$D$65+0.04)*(VLOOKUP(($F$16-$F$15)-1,AK$100:AO241,4,FALSE)))*EXP(-(LN(2)/$D$65+0.1)*(VLOOKUP(($F$16-$F$15)-1,AK$100:AO241,5,FALSE)))*EXP(-(LN(2)/$D$65+0.04)*AN241)*EXP(-(LN(2)/$D$65+0.1)*AO241),IF(AL241=3,AR$100*EXP(-(LN(2)/$D$65+0.04)*(VLOOKUP(($F$16-$F$15)-1,AK$100:AO241,4,FALSE)))*EXP(-(LN(2)/$D$65+0.1)*(VLOOKUP(($F$16-$F$15)-1,AK$100:AO241,5,FALSE)))*EXP(-(LN(2)/$D$65+0.04)*(VLOOKUP(($F$16-$F$15)*2-1,AK$100:AO241,4,FALSE)))*EXP(-(LN(2)/$D$65+0.1)*(VLOOKUP(($F$16-$F$15)*2-1,AK$100:AO241,5,FALSE)))*EXP(-(LN(2)/$D$65+0.04)*AN241)*EXP(-(LN(2)/$D$65+0.1)*AO241),"-"))),"-")</f>
        <v>-</v>
      </c>
      <c r="AS241" s="274">
        <f t="shared" si="191"/>
        <v>0</v>
      </c>
      <c r="AT241" s="274">
        <f t="shared" si="192"/>
        <v>0</v>
      </c>
      <c r="AU241" s="274">
        <f t="shared" si="193"/>
        <v>0</v>
      </c>
      <c r="AV241" s="190">
        <f>IF($B241&lt;$F$22,SUM($T$100:$T241),"")</f>
        <v>0</v>
      </c>
      <c r="AW241" s="190" t="str">
        <f t="shared" si="194"/>
        <v>-</v>
      </c>
      <c r="AX241" s="190" t="str">
        <f t="shared" si="219"/>
        <v/>
      </c>
      <c r="AY241"/>
      <c r="AZ241" s="190" t="str">
        <f ca="1">IF(ISNUMBER(OFFSET(AV241,-$F$21,0)),SUM(OFFSET($T$100,$F$21,0):$T241),"")</f>
        <v/>
      </c>
      <c r="BA241" s="190" t="str">
        <f t="shared" ca="1" si="195"/>
        <v/>
      </c>
      <c r="BB241" s="190" t="str">
        <f t="shared" ca="1" si="148"/>
        <v/>
      </c>
      <c r="BC241" s="190"/>
      <c r="BD241" s="190" t="str">
        <f ca="1">IFERROR(IF(AND($B241&gt;=($F$16-$F$15),$B241&lt;$F$22+($F$16-$F$15)),SUM(OFFSET($T$100,($F$16-$F$15),0):$T241),""),"")</f>
        <v/>
      </c>
      <c r="BE241" s="190" t="str">
        <f t="shared" ca="1" si="220"/>
        <v/>
      </c>
      <c r="BF241" s="190" t="str">
        <f t="shared" ca="1" si="221"/>
        <v/>
      </c>
      <c r="BG241"/>
      <c r="BH241" s="190" t="str">
        <f ca="1">IF(ISNUMBER(OFFSET(BD241,-$F$21,0)),SUM(OFFSET($T$100,($F$16-$F$15+$F$21),0):$T241),"")</f>
        <v/>
      </c>
      <c r="BI241" s="190" t="str">
        <f t="shared" ca="1" si="196"/>
        <v/>
      </c>
      <c r="BJ241" s="190" t="str">
        <f t="shared" ca="1" si="222"/>
        <v/>
      </c>
      <c r="BK241" s="190"/>
      <c r="BL241" s="190" t="str">
        <f ca="1">IFERROR(IF(AND($B241&gt;=($F$17-$F$15),$B241&lt;$F$22+($F$17-$F$15)),SUM(OFFSET($T$100,($F$17-$F$15),0):$T241),""),"")</f>
        <v/>
      </c>
      <c r="BM241" s="190" t="str">
        <f t="shared" ca="1" si="197"/>
        <v/>
      </c>
      <c r="BN241" s="190" t="str">
        <f t="shared" ca="1" si="223"/>
        <v/>
      </c>
      <c r="BO241"/>
      <c r="BP241" s="190" t="str">
        <f ca="1">IF(ISNUMBER(OFFSET(BL241,-$F$21,0)),SUM(OFFSET($T$100,($F$17-$F$15+$F$21),0):$T241),"")</f>
        <v/>
      </c>
      <c r="BQ241" s="190" t="str">
        <f t="shared" ca="1" si="198"/>
        <v/>
      </c>
      <c r="BR241" s="190" t="str">
        <f t="shared" ca="1" si="224"/>
        <v/>
      </c>
      <c r="BS241" s="190"/>
      <c r="BT241"/>
      <c r="BU241"/>
      <c r="BV241"/>
      <c r="BY241" s="99"/>
      <c r="BZ241" s="99"/>
      <c r="CA241" s="280" t="str">
        <f t="shared" si="199"/>
        <v/>
      </c>
      <c r="CB241" s="71" t="str">
        <f t="shared" si="200"/>
        <v>-</v>
      </c>
      <c r="CC241" s="33"/>
      <c r="CD241" s="261" t="str">
        <f t="shared" si="201"/>
        <v/>
      </c>
      <c r="CE241" s="280" t="str">
        <f t="shared" si="202"/>
        <v>-</v>
      </c>
      <c r="CF241" s="71" t="str">
        <f t="shared" ca="1" si="203"/>
        <v>-</v>
      </c>
      <c r="CG241" s="33" t="str">
        <f t="shared" si="204"/>
        <v>141-142</v>
      </c>
      <c r="CH241" s="261" t="str">
        <f t="shared" ca="1" si="205"/>
        <v/>
      </c>
    </row>
    <row r="242" spans="2:86" ht="13.5" customHeight="1" x14ac:dyDescent="0.2">
      <c r="B242" s="262">
        <v>142</v>
      </c>
      <c r="C242" s="237" t="str">
        <f t="shared" si="169"/>
        <v/>
      </c>
      <c r="D242" s="237" t="str">
        <f t="shared" si="225"/>
        <v>-</v>
      </c>
      <c r="E242" s="263" t="str">
        <f t="shared" si="206"/>
        <v/>
      </c>
      <c r="F242" s="264" t="str">
        <f t="shared" si="207"/>
        <v/>
      </c>
      <c r="G242" s="264" t="str">
        <f t="shared" si="208"/>
        <v/>
      </c>
      <c r="H242" s="240" t="str">
        <f t="shared" si="170"/>
        <v/>
      </c>
      <c r="I242" s="265" t="str">
        <f t="shared" si="171"/>
        <v/>
      </c>
      <c r="J242" s="265" t="str">
        <f t="shared" si="172"/>
        <v/>
      </c>
      <c r="K242" s="240" t="str">
        <f t="shared" si="173"/>
        <v/>
      </c>
      <c r="L242" s="265" t="str">
        <f t="shared" si="174"/>
        <v/>
      </c>
      <c r="M242" s="265" t="str">
        <f t="shared" si="175"/>
        <v/>
      </c>
      <c r="N242" s="240" t="str">
        <f t="shared" si="176"/>
        <v>-</v>
      </c>
      <c r="O242" s="265" t="str">
        <f t="shared" si="177"/>
        <v>-</v>
      </c>
      <c r="P242" s="265" t="str">
        <f t="shared" si="178"/>
        <v>-</v>
      </c>
      <c r="Q242" s="266" t="str">
        <f t="shared" si="179"/>
        <v>-</v>
      </c>
      <c r="R242" s="267" t="str">
        <f t="shared" si="180"/>
        <v>-</v>
      </c>
      <c r="S242" s="268" t="str">
        <f t="shared" si="181"/>
        <v>-</v>
      </c>
      <c r="T242" s="269" t="str">
        <f t="shared" si="182"/>
        <v/>
      </c>
      <c r="U242" s="221">
        <f t="shared" si="183"/>
        <v>142</v>
      </c>
      <c r="V242" s="220" t="str">
        <f t="shared" si="209"/>
        <v>-</v>
      </c>
      <c r="W242" s="221" t="str">
        <f t="shared" si="210"/>
        <v>-</v>
      </c>
      <c r="X242" s="221" t="str">
        <f t="shared" si="184"/>
        <v>-</v>
      </c>
      <c r="Y242" s="221" t="str">
        <f t="shared" si="185"/>
        <v>-</v>
      </c>
      <c r="Z242" s="270">
        <f t="shared" si="211"/>
        <v>0.1</v>
      </c>
      <c r="AA242" s="271" t="str">
        <f>IFERROR(IF(V241=1,AA$100*EXP(-(LN(2)/$D$65+0.04)*X241)*EXP(-(LN(2)/$D$65+0.1)*Y241),IF(V241=2,AA$100*EXP(-(LN(2)/$D$65+0.04)*(VLOOKUP(($F$16-$F$15)-1,U$99:Y241,4,FALSE)))*EXP(-(LN(2)/$D$65+0.1)*(VLOOKUP(($F$16-$F$15)-1,U$99:Y241,5,FALSE)))*EXP(-(LN(2)/$D$65+0.04)*X241)*EXP(-(LN(2)/$D$65+0.1)*Y241),IF(V241=3,AA$100*EXP(-(LN(2)/$D$65+0.04)*(VLOOKUP(($F$16-$F$15)-1,U$99:Y241,4,FALSE)))*EXP(-(LN(2)/$D$65+0.1)*(VLOOKUP(($F$16-$F$15)-1,U$99:Y241,5,FALSE)))*EXP(-(LN(2)/$D$65+0.04)*(VLOOKUP(($F$16-$F$15)*2-1,U$99:Y241,4,FALSE)))*EXP(-(LN(2)/$D$65+0.1)*(VLOOKUP(($F$16-$F$15)*2-1,U$99:Y241,5,FALSE)))*EXP(-(LN(2)/$D$65+0.04)*X241)*EXP(-(LN(2)/$D$65+0.1)*Y241),"-"))),"-")</f>
        <v>-</v>
      </c>
      <c r="AB242" s="271" t="str">
        <f>IFERROR(IF(V242=1,AB$100*EXP(-(LN(2)/$D$65+0.04)*X242)*EXP(-(LN(2)/$D$65+0.1)*Y242),IF(V242=2,AB$100*EXP(-(LN(2)/$D$65+0.04)*(VLOOKUP(($F$16-$F$15)-1,U$100:Y242,4,FALSE)))*EXP(-(LN(2)/$D$65+0.1)*(VLOOKUP(($F$16-$F$15)-1,U$100:Y242,5,FALSE)))*EXP(-(LN(2)/$D$65+0.04)*X242)*EXP(-(LN(2)/$D$65+0.1)*Y242),IF(V242=3,AB$100*EXP(-(LN(2)/$D$65+0.04)*(VLOOKUP(($F$16-$F$15)-1,U$100:Y242,4,FALSE)))*EXP(-(LN(2)/$D$65+0.1)*(VLOOKUP(($F$16-$F$15)-1,U$100:Y242,5,FALSE)))*EXP(-(LN(2)/$D$65+0.04)*(VLOOKUP(($F$16-$F$15)*2-1,U$100:Y242,4,FALSE)))*EXP(-(LN(2)/$D$65+0.1)*(VLOOKUP(($F$16-$F$15)*2-1,U$100:Y242,5,FALSE)))*EXP(-(LN(2)/$D$65+0.04)*X242)*EXP(-(LN(2)/$D$65+0.1)*Y242),"-"))),"-")</f>
        <v>-</v>
      </c>
      <c r="AC242" s="224">
        <f t="shared" ref="AC242:AC250" si="226">B242</f>
        <v>142</v>
      </c>
      <c r="AD242" s="223" t="str">
        <f t="shared" si="186"/>
        <v>-</v>
      </c>
      <c r="AE242" s="224" t="str">
        <f t="shared" si="213"/>
        <v>-</v>
      </c>
      <c r="AF242" s="224" t="str">
        <f t="shared" si="187"/>
        <v>-</v>
      </c>
      <c r="AG242" s="224" t="str">
        <f t="shared" si="188"/>
        <v>-</v>
      </c>
      <c r="AH242" s="272">
        <f t="shared" si="214"/>
        <v>0.1</v>
      </c>
      <c r="AI242" s="271" t="str">
        <f>IFERROR(IF(AD241=1,AI$100*EXP(-(LN(2)/$D$65+0.04)*AF241)*EXP(-(LN(2)/$D$65+0.1)*AG241),IF(AD241=2,AI$100*EXP(-(LN(2)/$D$65+0.04)*(VLOOKUP(($F$16-$F$15)-1,AC$99:AG241,4,FALSE)))*EXP(-(LN(2)/$D$65+0.1)*(VLOOKUP(($F$16-$F$15)-1,AC$99:AG241,5,FALSE)))*EXP(-(LN(2)/$D$65+0.04)*AF241)*EXP(-(LN(2)/$D$65+0.1)*AG241),IF(AD241=3,AI$100*EXP(-(LN(2)/$D$65+0.04)*(VLOOKUP(($F$16-$F$15)-1,AC$99:AG241,4,FALSE)))*EXP(-(LN(2)/$D$65+0.1)*(VLOOKUP(($F$16-$F$15)-1,AC$99:AG241,5,FALSE)))*EXP(-(LN(2)/$D$65+0.04)*(VLOOKUP(($F$16-$F$15)*2-1,AC$99:AG241,4,FALSE)))*EXP(-(LN(2)/$D$65+0.1)*(VLOOKUP(($F$16-$F$15)*2-1,AC$99:AG241,5,FALSE)))*EXP(-(LN(2)/$D$65+0.04)*AF241)*EXP(-(LN(2)/$D$65+0.1)*AG241),"-"))),"-")</f>
        <v>-</v>
      </c>
      <c r="AJ242" s="271" t="str">
        <f>IFERROR(IF(AD242=1,AJ$100*EXP(-(LN(2)/$D$65+0.04)*AF242)*EXP(-(LN(2)/$D$65+0.1)*AG242),IF(AD242=2,AJ$100*EXP(-(LN(2)/$D$65+0.04)*(VLOOKUP(($F$16-$F$15)-1,AC$100:AG242,4,FALSE)))*EXP(-(LN(2)/$D$65+0.1)*(VLOOKUP(($F$16-$F$15)-1,AC$100:AG242,5,FALSE)))*EXP(-(LN(2)/$D$65+0.04)*AF242)*EXP(-(LN(2)/$D$65+0.1)*AG242),IF(AD242=3,AJ$100*EXP(-(LN(2)/$D$65+0.04)*(VLOOKUP(($F$16-$F$15)-1,AC$100:AG242,4,FALSE)))*EXP(-(LN(2)/$D$65+0.1)*(VLOOKUP(($F$16-$F$15)-1,AC$100:AG242,5,FALSE)))*EXP(-(LN(2)/$D$65+0.04)*(VLOOKUP(($F$16-$F$15)*2-1,AC$100:AG242,4,FALSE)))*EXP(-(LN(2)/$D$65+0.1)*(VLOOKUP(($F$16-$F$15)*2-1,AC$100:AG242,5,FALSE)))*EXP(-(LN(2)/$D$65+0.04)*AF242)*EXP(-(LN(2)/$D$65+0.1)*AG242),"-"))),"-")</f>
        <v>-</v>
      </c>
      <c r="AK242" s="227">
        <f t="shared" si="215"/>
        <v>142</v>
      </c>
      <c r="AL242" s="226" t="str">
        <f t="shared" si="189"/>
        <v>-</v>
      </c>
      <c r="AM242" s="227" t="str">
        <f t="shared" si="216"/>
        <v>-</v>
      </c>
      <c r="AN242" s="227" t="str">
        <f t="shared" si="217"/>
        <v>-</v>
      </c>
      <c r="AO242" s="227" t="str">
        <f t="shared" si="190"/>
        <v>-</v>
      </c>
      <c r="AP242" s="273">
        <f t="shared" si="218"/>
        <v>0.1</v>
      </c>
      <c r="AQ242" s="271" t="str">
        <f>IFERROR(IF(AL241=1,AQ$100*EXP(-(LN(2)/$D$65+0.04)*AN241)*EXP(-(LN(2)/$D$65+0.1)*AO241),IF(AL241=2,AQ$100*EXP(-(LN(2)/$D$65+0.04)*(VLOOKUP(($F$16-$F$15)-1,AK$99:AO241,4,FALSE)))*EXP(-(LN(2)/$D$65+0.1)*(VLOOKUP(($F$16-$F$15)-1,AK$99:AO241,5,FALSE)))*EXP(-(LN(2)/$D$65+0.04)*AN241)*EXP(-(LN(2)/$D$65+0.1)*AO241),IF(AL241=3,AQ$100*EXP(-(LN(2)/$D$65+0.04)*(VLOOKUP(($F$16-$F$15)-1,AK$99:AO241,4,FALSE)))*EXP(-(LN(2)/$D$65+0.1)*(VLOOKUP(($F$16-$F$15)-1,AK$99:AO241,5,FALSE)))*EXP(-(LN(2)/$D$65+0.04)*(VLOOKUP(($F$16-$F$15)*2-1,AK$99:AO241,4,FALSE)))*EXP(-(LN(2)/$D$65+0.1)*(VLOOKUP(($F$16-$F$15)*2-1,AK$99:AO241,5,FALSE)))*EXP(-(LN(2)/$D$65+0.04)*AN241)*EXP(-(LN(2)/$D$65+0.1)*AO241),"-"))),"-")</f>
        <v>-</v>
      </c>
      <c r="AR242" s="271" t="str">
        <f>IFERROR(IF(AL242=1,AR$100*EXP(-(LN(2)/$D$65+0.04)*AN242)*EXP(-(LN(2)/$D$65+0.1)*AO242),IF(AL242=2,AR$100*EXP(-(LN(2)/$D$65+0.04)*(VLOOKUP(($F$16-$F$15)-1,AK$100:AO242,4,FALSE)))*EXP(-(LN(2)/$D$65+0.1)*(VLOOKUP(($F$16-$F$15)-1,AK$100:AO242,5,FALSE)))*EXP(-(LN(2)/$D$65+0.04)*AN242)*EXP(-(LN(2)/$D$65+0.1)*AO242),IF(AL242=3,AR$100*EXP(-(LN(2)/$D$65+0.04)*(VLOOKUP(($F$16-$F$15)-1,AK$100:AO242,4,FALSE)))*EXP(-(LN(2)/$D$65+0.1)*(VLOOKUP(($F$16-$F$15)-1,AK$100:AO242,5,FALSE)))*EXP(-(LN(2)/$D$65+0.04)*(VLOOKUP(($F$16-$F$15)*2-1,AK$100:AO242,4,FALSE)))*EXP(-(LN(2)/$D$65+0.1)*(VLOOKUP(($F$16-$F$15)*2-1,AK$100:AO242,5,FALSE)))*EXP(-(LN(2)/$D$65+0.04)*AN242)*EXP(-(LN(2)/$D$65+0.1)*AO242),"-"))),"-")</f>
        <v>-</v>
      </c>
      <c r="AS242" s="274">
        <f t="shared" si="191"/>
        <v>0</v>
      </c>
      <c r="AT242" s="274">
        <f t="shared" si="192"/>
        <v>0</v>
      </c>
      <c r="AU242" s="274">
        <f t="shared" si="193"/>
        <v>0</v>
      </c>
      <c r="AV242" s="190">
        <f>IF($B242&lt;$F$22,SUM($T$100:$T242),"")</f>
        <v>0</v>
      </c>
      <c r="AW242" s="190" t="str">
        <f t="shared" si="194"/>
        <v>-</v>
      </c>
      <c r="AX242" s="190" t="str">
        <f t="shared" si="219"/>
        <v/>
      </c>
      <c r="AY242"/>
      <c r="AZ242" s="190" t="str">
        <f ca="1">IF(ISNUMBER(OFFSET(AV242,-$F$21,0)),SUM(OFFSET($T$100,$F$21,0):$T242),"")</f>
        <v/>
      </c>
      <c r="BA242" s="190" t="str">
        <f t="shared" ca="1" si="195"/>
        <v/>
      </c>
      <c r="BB242" s="190" t="str">
        <f t="shared" ca="1" si="148"/>
        <v/>
      </c>
      <c r="BC242" s="190"/>
      <c r="BD242" s="190" t="str">
        <f ca="1">IFERROR(IF(AND($B242&gt;=($F$16-$F$15),$B242&lt;$F$22+($F$16-$F$15)),SUM(OFFSET($T$100,($F$16-$F$15),0):$T242),""),"")</f>
        <v/>
      </c>
      <c r="BE242" s="190" t="str">
        <f t="shared" ca="1" si="220"/>
        <v/>
      </c>
      <c r="BF242" s="190" t="str">
        <f t="shared" ca="1" si="221"/>
        <v/>
      </c>
      <c r="BG242"/>
      <c r="BH242" s="190" t="str">
        <f ca="1">IF(ISNUMBER(OFFSET(BD242,-$F$21,0)),SUM(OFFSET($T$100,($F$16-$F$15+$F$21),0):$T242),"")</f>
        <v/>
      </c>
      <c r="BI242" s="190" t="str">
        <f t="shared" ca="1" si="196"/>
        <v/>
      </c>
      <c r="BJ242" s="190" t="str">
        <f t="shared" ca="1" si="222"/>
        <v/>
      </c>
      <c r="BK242" s="190"/>
      <c r="BL242" s="190" t="str">
        <f ca="1">IFERROR(IF(AND($B242&gt;=($F$17-$F$15),$B242&lt;$F$22+($F$17-$F$15)),SUM(OFFSET($T$100,($F$17-$F$15),0):$T242),""),"")</f>
        <v/>
      </c>
      <c r="BM242" s="190" t="str">
        <f t="shared" ca="1" si="197"/>
        <v/>
      </c>
      <c r="BN242" s="190" t="str">
        <f t="shared" ca="1" si="223"/>
        <v/>
      </c>
      <c r="BO242"/>
      <c r="BP242" s="190" t="str">
        <f ca="1">IF(ISNUMBER(OFFSET(BL242,-$F$21,0)),SUM(OFFSET($T$100,($F$17-$F$15+$F$21),0):$T242),"")</f>
        <v/>
      </c>
      <c r="BQ242" s="190" t="str">
        <f t="shared" ca="1" si="198"/>
        <v/>
      </c>
      <c r="BR242" s="190" t="str">
        <f t="shared" ca="1" si="224"/>
        <v/>
      </c>
      <c r="BS242" s="190"/>
      <c r="BT242"/>
      <c r="BU242"/>
      <c r="BV242"/>
      <c r="BY242" s="99"/>
      <c r="BZ242" s="99"/>
      <c r="CA242" s="280" t="str">
        <f t="shared" si="199"/>
        <v/>
      </c>
      <c r="CB242" s="71" t="str">
        <f t="shared" si="200"/>
        <v>-</v>
      </c>
      <c r="CC242" s="33"/>
      <c r="CD242" s="261" t="str">
        <f t="shared" si="201"/>
        <v/>
      </c>
      <c r="CE242" s="280" t="str">
        <f t="shared" si="202"/>
        <v>-</v>
      </c>
      <c r="CF242" s="71" t="str">
        <f t="shared" ca="1" si="203"/>
        <v>-</v>
      </c>
      <c r="CG242" s="33" t="str">
        <f t="shared" si="204"/>
        <v>142-143</v>
      </c>
      <c r="CH242" s="261" t="str">
        <f t="shared" ca="1" si="205"/>
        <v/>
      </c>
    </row>
    <row r="243" spans="2:86" ht="13.5" customHeight="1" x14ac:dyDescent="0.2">
      <c r="B243" s="262">
        <v>143</v>
      </c>
      <c r="C243" s="237" t="str">
        <f t="shared" si="169"/>
        <v/>
      </c>
      <c r="D243" s="237" t="str">
        <f t="shared" si="225"/>
        <v>-</v>
      </c>
      <c r="E243" s="263" t="str">
        <f t="shared" si="206"/>
        <v/>
      </c>
      <c r="F243" s="264" t="str">
        <f t="shared" si="207"/>
        <v/>
      </c>
      <c r="G243" s="264" t="str">
        <f t="shared" si="208"/>
        <v/>
      </c>
      <c r="H243" s="240" t="str">
        <f t="shared" si="170"/>
        <v/>
      </c>
      <c r="I243" s="265" t="str">
        <f t="shared" si="171"/>
        <v/>
      </c>
      <c r="J243" s="265" t="str">
        <f t="shared" si="172"/>
        <v/>
      </c>
      <c r="K243" s="240" t="str">
        <f t="shared" si="173"/>
        <v/>
      </c>
      <c r="L243" s="265" t="str">
        <f t="shared" si="174"/>
        <v/>
      </c>
      <c r="M243" s="265" t="str">
        <f t="shared" si="175"/>
        <v/>
      </c>
      <c r="N243" s="240" t="str">
        <f t="shared" si="176"/>
        <v>-</v>
      </c>
      <c r="O243" s="265" t="str">
        <f t="shared" si="177"/>
        <v>-</v>
      </c>
      <c r="P243" s="265" t="str">
        <f t="shared" si="178"/>
        <v>-</v>
      </c>
      <c r="Q243" s="266" t="str">
        <f t="shared" si="179"/>
        <v>-</v>
      </c>
      <c r="R243" s="267" t="str">
        <f t="shared" si="180"/>
        <v>-</v>
      </c>
      <c r="S243" s="268" t="str">
        <f t="shared" si="181"/>
        <v>-</v>
      </c>
      <c r="T243" s="269" t="str">
        <f t="shared" si="182"/>
        <v/>
      </c>
      <c r="U243" s="221">
        <f t="shared" si="183"/>
        <v>143</v>
      </c>
      <c r="V243" s="220" t="str">
        <f t="shared" si="209"/>
        <v>-</v>
      </c>
      <c r="W243" s="221" t="str">
        <f t="shared" si="210"/>
        <v>-</v>
      </c>
      <c r="X243" s="221" t="str">
        <f t="shared" si="184"/>
        <v>-</v>
      </c>
      <c r="Y243" s="221" t="str">
        <f t="shared" si="185"/>
        <v>-</v>
      </c>
      <c r="Z243" s="270">
        <f t="shared" si="211"/>
        <v>0.1</v>
      </c>
      <c r="AA243" s="271" t="str">
        <f>IFERROR(IF(V242=1,AA$100*EXP(-(LN(2)/$D$65+0.04)*X242)*EXP(-(LN(2)/$D$65+0.1)*Y242),IF(V242=2,AA$100*EXP(-(LN(2)/$D$65+0.04)*(VLOOKUP(($F$16-$F$15)-1,U$99:Y242,4,FALSE)))*EXP(-(LN(2)/$D$65+0.1)*(VLOOKUP(($F$16-$F$15)-1,U$99:Y242,5,FALSE)))*EXP(-(LN(2)/$D$65+0.04)*X242)*EXP(-(LN(2)/$D$65+0.1)*Y242),IF(V242=3,AA$100*EXP(-(LN(2)/$D$65+0.04)*(VLOOKUP(($F$16-$F$15)-1,U$99:Y242,4,FALSE)))*EXP(-(LN(2)/$D$65+0.1)*(VLOOKUP(($F$16-$F$15)-1,U$99:Y242,5,FALSE)))*EXP(-(LN(2)/$D$65+0.04)*(VLOOKUP(($F$16-$F$15)*2-1,U$99:Y242,4,FALSE)))*EXP(-(LN(2)/$D$65+0.1)*(VLOOKUP(($F$16-$F$15)*2-1,U$99:Y242,5,FALSE)))*EXP(-(LN(2)/$D$65+0.04)*X242)*EXP(-(LN(2)/$D$65+0.1)*Y242),"-"))),"-")</f>
        <v>-</v>
      </c>
      <c r="AB243" s="271" t="str">
        <f>IFERROR(IF(V243=1,AB$100*EXP(-(LN(2)/$D$65+0.04)*X243)*EXP(-(LN(2)/$D$65+0.1)*Y243),IF(V243=2,AB$100*EXP(-(LN(2)/$D$65+0.04)*(VLOOKUP(($F$16-$F$15)-1,U$100:Y243,4,FALSE)))*EXP(-(LN(2)/$D$65+0.1)*(VLOOKUP(($F$16-$F$15)-1,U$100:Y243,5,FALSE)))*EXP(-(LN(2)/$D$65+0.04)*X243)*EXP(-(LN(2)/$D$65+0.1)*Y243),IF(V243=3,AB$100*EXP(-(LN(2)/$D$65+0.04)*(VLOOKUP(($F$16-$F$15)-1,U$100:Y243,4,FALSE)))*EXP(-(LN(2)/$D$65+0.1)*(VLOOKUP(($F$16-$F$15)-1,U$100:Y243,5,FALSE)))*EXP(-(LN(2)/$D$65+0.04)*(VLOOKUP(($F$16-$F$15)*2-1,U$100:Y243,4,FALSE)))*EXP(-(LN(2)/$D$65+0.1)*(VLOOKUP(($F$16-$F$15)*2-1,U$100:Y243,5,FALSE)))*EXP(-(LN(2)/$D$65+0.04)*X243)*EXP(-(LN(2)/$D$65+0.1)*Y243),"-"))),"-")</f>
        <v>-</v>
      </c>
      <c r="AC243" s="224">
        <f t="shared" si="226"/>
        <v>143</v>
      </c>
      <c r="AD243" s="223" t="str">
        <f t="shared" si="186"/>
        <v>-</v>
      </c>
      <c r="AE243" s="224" t="str">
        <f t="shared" si="213"/>
        <v>-</v>
      </c>
      <c r="AF243" s="224" t="str">
        <f t="shared" si="187"/>
        <v>-</v>
      </c>
      <c r="AG243" s="224" t="str">
        <f t="shared" si="188"/>
        <v>-</v>
      </c>
      <c r="AH243" s="272">
        <f t="shared" si="214"/>
        <v>0.1</v>
      </c>
      <c r="AI243" s="271" t="str">
        <f>IFERROR(IF(AD242=1,AI$100*EXP(-(LN(2)/$D$65+0.04)*AF242)*EXP(-(LN(2)/$D$65+0.1)*AG242),IF(AD242=2,AI$100*EXP(-(LN(2)/$D$65+0.04)*(VLOOKUP(($F$16-$F$15)-1,AC$99:AG242,4,FALSE)))*EXP(-(LN(2)/$D$65+0.1)*(VLOOKUP(($F$16-$F$15)-1,AC$99:AG242,5,FALSE)))*EXP(-(LN(2)/$D$65+0.04)*AF242)*EXP(-(LN(2)/$D$65+0.1)*AG242),IF(AD242=3,AI$100*EXP(-(LN(2)/$D$65+0.04)*(VLOOKUP(($F$16-$F$15)-1,AC$99:AG242,4,FALSE)))*EXP(-(LN(2)/$D$65+0.1)*(VLOOKUP(($F$16-$F$15)-1,AC$99:AG242,5,FALSE)))*EXP(-(LN(2)/$D$65+0.04)*(VLOOKUP(($F$16-$F$15)*2-1,AC$99:AG242,4,FALSE)))*EXP(-(LN(2)/$D$65+0.1)*(VLOOKUP(($F$16-$F$15)*2-1,AC$99:AG242,5,FALSE)))*EXP(-(LN(2)/$D$65+0.04)*AF242)*EXP(-(LN(2)/$D$65+0.1)*AG242),"-"))),"-")</f>
        <v>-</v>
      </c>
      <c r="AJ243" s="271" t="str">
        <f>IFERROR(IF(AD243=1,AJ$100*EXP(-(LN(2)/$D$65+0.04)*AF243)*EXP(-(LN(2)/$D$65+0.1)*AG243),IF(AD243=2,AJ$100*EXP(-(LN(2)/$D$65+0.04)*(VLOOKUP(($F$16-$F$15)-1,AC$100:AG243,4,FALSE)))*EXP(-(LN(2)/$D$65+0.1)*(VLOOKUP(($F$16-$F$15)-1,AC$100:AG243,5,FALSE)))*EXP(-(LN(2)/$D$65+0.04)*AF243)*EXP(-(LN(2)/$D$65+0.1)*AG243),IF(AD243=3,AJ$100*EXP(-(LN(2)/$D$65+0.04)*(VLOOKUP(($F$16-$F$15)-1,AC$100:AG243,4,FALSE)))*EXP(-(LN(2)/$D$65+0.1)*(VLOOKUP(($F$16-$F$15)-1,AC$100:AG243,5,FALSE)))*EXP(-(LN(2)/$D$65+0.04)*(VLOOKUP(($F$16-$F$15)*2-1,AC$100:AG243,4,FALSE)))*EXP(-(LN(2)/$D$65+0.1)*(VLOOKUP(($F$16-$F$15)*2-1,AC$100:AG243,5,FALSE)))*EXP(-(LN(2)/$D$65+0.04)*AF243)*EXP(-(LN(2)/$D$65+0.1)*AG243),"-"))),"-")</f>
        <v>-</v>
      </c>
      <c r="AK243" s="227">
        <f t="shared" si="215"/>
        <v>143</v>
      </c>
      <c r="AL243" s="226" t="str">
        <f t="shared" si="189"/>
        <v>-</v>
      </c>
      <c r="AM243" s="227" t="str">
        <f t="shared" si="216"/>
        <v>-</v>
      </c>
      <c r="AN243" s="227" t="str">
        <f t="shared" si="217"/>
        <v>-</v>
      </c>
      <c r="AO243" s="227" t="str">
        <f t="shared" si="190"/>
        <v>-</v>
      </c>
      <c r="AP243" s="273">
        <f t="shared" si="218"/>
        <v>0.1</v>
      </c>
      <c r="AQ243" s="271" t="str">
        <f>IFERROR(IF(AL242=1,AQ$100*EXP(-(LN(2)/$D$65+0.04)*AN242)*EXP(-(LN(2)/$D$65+0.1)*AO242),IF(AL242=2,AQ$100*EXP(-(LN(2)/$D$65+0.04)*(VLOOKUP(($F$16-$F$15)-1,AK$99:AO242,4,FALSE)))*EXP(-(LN(2)/$D$65+0.1)*(VLOOKUP(($F$16-$F$15)-1,AK$99:AO242,5,FALSE)))*EXP(-(LN(2)/$D$65+0.04)*AN242)*EXP(-(LN(2)/$D$65+0.1)*AO242),IF(AL242=3,AQ$100*EXP(-(LN(2)/$D$65+0.04)*(VLOOKUP(($F$16-$F$15)-1,AK$99:AO242,4,FALSE)))*EXP(-(LN(2)/$D$65+0.1)*(VLOOKUP(($F$16-$F$15)-1,AK$99:AO242,5,FALSE)))*EXP(-(LN(2)/$D$65+0.04)*(VLOOKUP(($F$16-$F$15)*2-1,AK$99:AO242,4,FALSE)))*EXP(-(LN(2)/$D$65+0.1)*(VLOOKUP(($F$16-$F$15)*2-1,AK$99:AO242,5,FALSE)))*EXP(-(LN(2)/$D$65+0.04)*AN242)*EXP(-(LN(2)/$D$65+0.1)*AO242),"-"))),"-")</f>
        <v>-</v>
      </c>
      <c r="AR243" s="271" t="str">
        <f>IFERROR(IF(AL243=1,AR$100*EXP(-(LN(2)/$D$65+0.04)*AN243)*EXP(-(LN(2)/$D$65+0.1)*AO243),IF(AL243=2,AR$100*EXP(-(LN(2)/$D$65+0.04)*(VLOOKUP(($F$16-$F$15)-1,AK$100:AO243,4,FALSE)))*EXP(-(LN(2)/$D$65+0.1)*(VLOOKUP(($F$16-$F$15)-1,AK$100:AO243,5,FALSE)))*EXP(-(LN(2)/$D$65+0.04)*AN243)*EXP(-(LN(2)/$D$65+0.1)*AO243),IF(AL243=3,AR$100*EXP(-(LN(2)/$D$65+0.04)*(VLOOKUP(($F$16-$F$15)-1,AK$100:AO243,4,FALSE)))*EXP(-(LN(2)/$D$65+0.1)*(VLOOKUP(($F$16-$F$15)-1,AK$100:AO243,5,FALSE)))*EXP(-(LN(2)/$D$65+0.04)*(VLOOKUP(($F$16-$F$15)*2-1,AK$100:AO243,4,FALSE)))*EXP(-(LN(2)/$D$65+0.1)*(VLOOKUP(($F$16-$F$15)*2-1,AK$100:AO243,5,FALSE)))*EXP(-(LN(2)/$D$65+0.04)*AN243)*EXP(-(LN(2)/$D$65+0.1)*AO243),"-"))),"-")</f>
        <v>-</v>
      </c>
      <c r="AS243" s="274">
        <f t="shared" si="191"/>
        <v>0</v>
      </c>
      <c r="AT243" s="274">
        <f t="shared" si="192"/>
        <v>0</v>
      </c>
      <c r="AU243" s="274">
        <f t="shared" si="193"/>
        <v>0</v>
      </c>
      <c r="AV243" s="190">
        <f>IF($B243&lt;$F$22,SUM($T$100:$T243),"")</f>
        <v>0</v>
      </c>
      <c r="AW243" s="190" t="str">
        <f t="shared" si="194"/>
        <v>-</v>
      </c>
      <c r="AX243" s="190" t="str">
        <f t="shared" si="219"/>
        <v/>
      </c>
      <c r="AY243"/>
      <c r="AZ243" s="190" t="str">
        <f ca="1">IF(ISNUMBER(OFFSET(AV243,-$F$21,0)),SUM(OFFSET($T$100,$F$21,0):$T243),"")</f>
        <v/>
      </c>
      <c r="BA243" s="190" t="str">
        <f t="shared" ca="1" si="195"/>
        <v/>
      </c>
      <c r="BB243" s="190" t="str">
        <f t="shared" ca="1" si="148"/>
        <v/>
      </c>
      <c r="BC243" s="190"/>
      <c r="BD243" s="190" t="str">
        <f ca="1">IFERROR(IF(AND($B243&gt;=($F$16-$F$15),$B243&lt;$F$22+($F$16-$F$15)),SUM(OFFSET($T$100,($F$16-$F$15),0):$T243),""),"")</f>
        <v/>
      </c>
      <c r="BE243" s="190" t="str">
        <f t="shared" ca="1" si="220"/>
        <v/>
      </c>
      <c r="BF243" s="190" t="str">
        <f t="shared" ca="1" si="221"/>
        <v/>
      </c>
      <c r="BG243"/>
      <c r="BH243" s="190" t="str">
        <f ca="1">IF(ISNUMBER(OFFSET(BD243,-$F$21,0)),SUM(OFFSET($T$100,($F$16-$F$15+$F$21),0):$T243),"")</f>
        <v/>
      </c>
      <c r="BI243" s="190" t="str">
        <f t="shared" ca="1" si="196"/>
        <v/>
      </c>
      <c r="BJ243" s="190" t="str">
        <f t="shared" ca="1" si="222"/>
        <v/>
      </c>
      <c r="BK243" s="190"/>
      <c r="BL243" s="190" t="str">
        <f ca="1">IFERROR(IF(AND($B243&gt;=($F$17-$F$15),$B243&lt;$F$22+($F$17-$F$15)),SUM(OFFSET($T$100,($F$17-$F$15),0):$T243),""),"")</f>
        <v/>
      </c>
      <c r="BM243" s="190" t="str">
        <f t="shared" ca="1" si="197"/>
        <v/>
      </c>
      <c r="BN243" s="190" t="str">
        <f t="shared" ca="1" si="223"/>
        <v/>
      </c>
      <c r="BO243"/>
      <c r="BP243" s="190" t="str">
        <f ca="1">IF(ISNUMBER(OFFSET(BL243,-$F$21,0)),SUM(OFFSET($T$100,($F$17-$F$15+$F$21),0):$T243),"")</f>
        <v/>
      </c>
      <c r="BQ243" s="190" t="str">
        <f t="shared" ca="1" si="198"/>
        <v/>
      </c>
      <c r="BR243" s="190" t="str">
        <f t="shared" ca="1" si="224"/>
        <v/>
      </c>
      <c r="BS243" s="190"/>
      <c r="BT243"/>
      <c r="BU243"/>
      <c r="BV243"/>
      <c r="BY243" s="99"/>
      <c r="BZ243" s="99"/>
      <c r="CA243" s="280" t="str">
        <f t="shared" si="199"/>
        <v/>
      </c>
      <c r="CB243" s="71" t="str">
        <f t="shared" si="200"/>
        <v>-</v>
      </c>
      <c r="CC243" s="33"/>
      <c r="CD243" s="261" t="str">
        <f t="shared" si="201"/>
        <v/>
      </c>
      <c r="CE243" s="280" t="str">
        <f t="shared" si="202"/>
        <v>-</v>
      </c>
      <c r="CF243" s="71" t="str">
        <f t="shared" ca="1" si="203"/>
        <v>-</v>
      </c>
      <c r="CG243" s="33" t="str">
        <f t="shared" si="204"/>
        <v>143-144</v>
      </c>
      <c r="CH243" s="261" t="str">
        <f t="shared" ca="1" si="205"/>
        <v/>
      </c>
    </row>
    <row r="244" spans="2:86" ht="13.5" customHeight="1" x14ac:dyDescent="0.2">
      <c r="B244" s="262">
        <v>144</v>
      </c>
      <c r="C244" s="237" t="str">
        <f t="shared" si="169"/>
        <v/>
      </c>
      <c r="D244" s="237" t="str">
        <f t="shared" si="225"/>
        <v>-</v>
      </c>
      <c r="E244" s="263" t="str">
        <f t="shared" si="206"/>
        <v/>
      </c>
      <c r="F244" s="264" t="str">
        <f t="shared" si="207"/>
        <v/>
      </c>
      <c r="G244" s="264" t="str">
        <f t="shared" si="208"/>
        <v/>
      </c>
      <c r="H244" s="240" t="str">
        <f t="shared" si="170"/>
        <v/>
      </c>
      <c r="I244" s="265" t="str">
        <f t="shared" si="171"/>
        <v/>
      </c>
      <c r="J244" s="265" t="str">
        <f t="shared" si="172"/>
        <v/>
      </c>
      <c r="K244" s="240" t="str">
        <f t="shared" si="173"/>
        <v/>
      </c>
      <c r="L244" s="265" t="str">
        <f t="shared" si="174"/>
        <v/>
      </c>
      <c r="M244" s="265" t="str">
        <f t="shared" si="175"/>
        <v/>
      </c>
      <c r="N244" s="240" t="str">
        <f t="shared" si="176"/>
        <v>-</v>
      </c>
      <c r="O244" s="265" t="str">
        <f t="shared" si="177"/>
        <v>-</v>
      </c>
      <c r="P244" s="265" t="str">
        <f t="shared" si="178"/>
        <v>-</v>
      </c>
      <c r="Q244" s="266" t="str">
        <f t="shared" si="179"/>
        <v>-</v>
      </c>
      <c r="R244" s="267" t="str">
        <f t="shared" si="180"/>
        <v>-</v>
      </c>
      <c r="S244" s="268" t="str">
        <f t="shared" si="181"/>
        <v>-</v>
      </c>
      <c r="T244" s="269" t="str">
        <f t="shared" si="182"/>
        <v/>
      </c>
      <c r="U244" s="221">
        <f t="shared" si="183"/>
        <v>144</v>
      </c>
      <c r="V244" s="220" t="str">
        <f t="shared" si="209"/>
        <v>-</v>
      </c>
      <c r="W244" s="221" t="str">
        <f t="shared" si="210"/>
        <v>-</v>
      </c>
      <c r="X244" s="221" t="str">
        <f t="shared" si="184"/>
        <v>-</v>
      </c>
      <c r="Y244" s="221" t="str">
        <f t="shared" si="185"/>
        <v>-</v>
      </c>
      <c r="Z244" s="270">
        <f t="shared" si="211"/>
        <v>0.1</v>
      </c>
      <c r="AA244" s="271" t="str">
        <f>IFERROR(IF(V243=1,AA$100*EXP(-(LN(2)/$D$65+0.04)*X243)*EXP(-(LN(2)/$D$65+0.1)*Y243),IF(V243=2,AA$100*EXP(-(LN(2)/$D$65+0.04)*(VLOOKUP(($F$16-$F$15)-1,U$99:Y243,4,FALSE)))*EXP(-(LN(2)/$D$65+0.1)*(VLOOKUP(($F$16-$F$15)-1,U$99:Y243,5,FALSE)))*EXP(-(LN(2)/$D$65+0.04)*X243)*EXP(-(LN(2)/$D$65+0.1)*Y243),IF(V243=3,AA$100*EXP(-(LN(2)/$D$65+0.04)*(VLOOKUP(($F$16-$F$15)-1,U$99:Y243,4,FALSE)))*EXP(-(LN(2)/$D$65+0.1)*(VLOOKUP(($F$16-$F$15)-1,U$99:Y243,5,FALSE)))*EXP(-(LN(2)/$D$65+0.04)*(VLOOKUP(($F$16-$F$15)*2-1,U$99:Y243,4,FALSE)))*EXP(-(LN(2)/$D$65+0.1)*(VLOOKUP(($F$16-$F$15)*2-1,U$99:Y243,5,FALSE)))*EXP(-(LN(2)/$D$65+0.04)*X243)*EXP(-(LN(2)/$D$65+0.1)*Y243),"-"))),"-")</f>
        <v>-</v>
      </c>
      <c r="AB244" s="271" t="str">
        <f>IFERROR(IF(V244=1,AB$100*EXP(-(LN(2)/$D$65+0.04)*X244)*EXP(-(LN(2)/$D$65+0.1)*Y244),IF(V244=2,AB$100*EXP(-(LN(2)/$D$65+0.04)*(VLOOKUP(($F$16-$F$15)-1,U$100:Y244,4,FALSE)))*EXP(-(LN(2)/$D$65+0.1)*(VLOOKUP(($F$16-$F$15)-1,U$100:Y244,5,FALSE)))*EXP(-(LN(2)/$D$65+0.04)*X244)*EXP(-(LN(2)/$D$65+0.1)*Y244),IF(V244=3,AB$100*EXP(-(LN(2)/$D$65+0.04)*(VLOOKUP(($F$16-$F$15)-1,U$100:Y244,4,FALSE)))*EXP(-(LN(2)/$D$65+0.1)*(VLOOKUP(($F$16-$F$15)-1,U$100:Y244,5,FALSE)))*EXP(-(LN(2)/$D$65+0.04)*(VLOOKUP(($F$16-$F$15)*2-1,U$100:Y244,4,FALSE)))*EXP(-(LN(2)/$D$65+0.1)*(VLOOKUP(($F$16-$F$15)*2-1,U$100:Y244,5,FALSE)))*EXP(-(LN(2)/$D$65+0.04)*X244)*EXP(-(LN(2)/$D$65+0.1)*Y244),"-"))),"-")</f>
        <v>-</v>
      </c>
      <c r="AC244" s="224">
        <f t="shared" si="226"/>
        <v>144</v>
      </c>
      <c r="AD244" s="223" t="str">
        <f t="shared" si="186"/>
        <v>-</v>
      </c>
      <c r="AE244" s="224" t="str">
        <f t="shared" si="213"/>
        <v>-</v>
      </c>
      <c r="AF244" s="224" t="str">
        <f t="shared" si="187"/>
        <v>-</v>
      </c>
      <c r="AG244" s="224" t="str">
        <f t="shared" si="188"/>
        <v>-</v>
      </c>
      <c r="AH244" s="272">
        <f t="shared" si="214"/>
        <v>0.1</v>
      </c>
      <c r="AI244" s="271" t="str">
        <f>IFERROR(IF(AD243=1,AI$100*EXP(-(LN(2)/$D$65+0.04)*AF243)*EXP(-(LN(2)/$D$65+0.1)*AG243),IF(AD243=2,AI$100*EXP(-(LN(2)/$D$65+0.04)*(VLOOKUP(($F$16-$F$15)-1,AC$99:AG243,4,FALSE)))*EXP(-(LN(2)/$D$65+0.1)*(VLOOKUP(($F$16-$F$15)-1,AC$99:AG243,5,FALSE)))*EXP(-(LN(2)/$D$65+0.04)*AF243)*EXP(-(LN(2)/$D$65+0.1)*AG243),IF(AD243=3,AI$100*EXP(-(LN(2)/$D$65+0.04)*(VLOOKUP(($F$16-$F$15)-1,AC$99:AG243,4,FALSE)))*EXP(-(LN(2)/$D$65+0.1)*(VLOOKUP(($F$16-$F$15)-1,AC$99:AG243,5,FALSE)))*EXP(-(LN(2)/$D$65+0.04)*(VLOOKUP(($F$16-$F$15)*2-1,AC$99:AG243,4,FALSE)))*EXP(-(LN(2)/$D$65+0.1)*(VLOOKUP(($F$16-$F$15)*2-1,AC$99:AG243,5,FALSE)))*EXP(-(LN(2)/$D$65+0.04)*AF243)*EXP(-(LN(2)/$D$65+0.1)*AG243),"-"))),"-")</f>
        <v>-</v>
      </c>
      <c r="AJ244" s="271" t="str">
        <f>IFERROR(IF(AD244=1,AJ$100*EXP(-(LN(2)/$D$65+0.04)*AF244)*EXP(-(LN(2)/$D$65+0.1)*AG244),IF(AD244=2,AJ$100*EXP(-(LN(2)/$D$65+0.04)*(VLOOKUP(($F$16-$F$15)-1,AC$100:AG244,4,FALSE)))*EXP(-(LN(2)/$D$65+0.1)*(VLOOKUP(($F$16-$F$15)-1,AC$100:AG244,5,FALSE)))*EXP(-(LN(2)/$D$65+0.04)*AF244)*EXP(-(LN(2)/$D$65+0.1)*AG244),IF(AD244=3,AJ$100*EXP(-(LN(2)/$D$65+0.04)*(VLOOKUP(($F$16-$F$15)-1,AC$100:AG244,4,FALSE)))*EXP(-(LN(2)/$D$65+0.1)*(VLOOKUP(($F$16-$F$15)-1,AC$100:AG244,5,FALSE)))*EXP(-(LN(2)/$D$65+0.04)*(VLOOKUP(($F$16-$F$15)*2-1,AC$100:AG244,4,FALSE)))*EXP(-(LN(2)/$D$65+0.1)*(VLOOKUP(($F$16-$F$15)*2-1,AC$100:AG244,5,FALSE)))*EXP(-(LN(2)/$D$65+0.04)*AF244)*EXP(-(LN(2)/$D$65+0.1)*AG244),"-"))),"-")</f>
        <v>-</v>
      </c>
      <c r="AK244" s="227">
        <f t="shared" si="215"/>
        <v>144</v>
      </c>
      <c r="AL244" s="226" t="str">
        <f t="shared" si="189"/>
        <v>-</v>
      </c>
      <c r="AM244" s="227" t="str">
        <f t="shared" si="216"/>
        <v>-</v>
      </c>
      <c r="AN244" s="227" t="str">
        <f t="shared" si="217"/>
        <v>-</v>
      </c>
      <c r="AO244" s="227" t="str">
        <f t="shared" si="190"/>
        <v>-</v>
      </c>
      <c r="AP244" s="273">
        <f t="shared" si="218"/>
        <v>0.1</v>
      </c>
      <c r="AQ244" s="271" t="str">
        <f>IFERROR(IF(AL243=1,AQ$100*EXP(-(LN(2)/$D$65+0.04)*AN243)*EXP(-(LN(2)/$D$65+0.1)*AO243),IF(AL243=2,AQ$100*EXP(-(LN(2)/$D$65+0.04)*(VLOOKUP(($F$16-$F$15)-1,AK$99:AO243,4,FALSE)))*EXP(-(LN(2)/$D$65+0.1)*(VLOOKUP(($F$16-$F$15)-1,AK$99:AO243,5,FALSE)))*EXP(-(LN(2)/$D$65+0.04)*AN243)*EXP(-(LN(2)/$D$65+0.1)*AO243),IF(AL243=3,AQ$100*EXP(-(LN(2)/$D$65+0.04)*(VLOOKUP(($F$16-$F$15)-1,AK$99:AO243,4,FALSE)))*EXP(-(LN(2)/$D$65+0.1)*(VLOOKUP(($F$16-$F$15)-1,AK$99:AO243,5,FALSE)))*EXP(-(LN(2)/$D$65+0.04)*(VLOOKUP(($F$16-$F$15)*2-1,AK$99:AO243,4,FALSE)))*EXP(-(LN(2)/$D$65+0.1)*(VLOOKUP(($F$16-$F$15)*2-1,AK$99:AO243,5,FALSE)))*EXP(-(LN(2)/$D$65+0.04)*AN243)*EXP(-(LN(2)/$D$65+0.1)*AO243),"-"))),"-")</f>
        <v>-</v>
      </c>
      <c r="AR244" s="271" t="str">
        <f>IFERROR(IF(AL244=1,AR$100*EXP(-(LN(2)/$D$65+0.04)*AN244)*EXP(-(LN(2)/$D$65+0.1)*AO244),IF(AL244=2,AR$100*EXP(-(LN(2)/$D$65+0.04)*(VLOOKUP(($F$16-$F$15)-1,AK$100:AO244,4,FALSE)))*EXP(-(LN(2)/$D$65+0.1)*(VLOOKUP(($F$16-$F$15)-1,AK$100:AO244,5,FALSE)))*EXP(-(LN(2)/$D$65+0.04)*AN244)*EXP(-(LN(2)/$D$65+0.1)*AO244),IF(AL244=3,AR$100*EXP(-(LN(2)/$D$65+0.04)*(VLOOKUP(($F$16-$F$15)-1,AK$100:AO244,4,FALSE)))*EXP(-(LN(2)/$D$65+0.1)*(VLOOKUP(($F$16-$F$15)-1,AK$100:AO244,5,FALSE)))*EXP(-(LN(2)/$D$65+0.04)*(VLOOKUP(($F$16-$F$15)*2-1,AK$100:AO244,4,FALSE)))*EXP(-(LN(2)/$D$65+0.1)*(VLOOKUP(($F$16-$F$15)*2-1,AK$100:AO244,5,FALSE)))*EXP(-(LN(2)/$D$65+0.04)*AN244)*EXP(-(LN(2)/$D$65+0.1)*AO244),"-"))),"-")</f>
        <v>-</v>
      </c>
      <c r="AS244" s="274">
        <f t="shared" si="191"/>
        <v>0</v>
      </c>
      <c r="AT244" s="274">
        <f t="shared" si="192"/>
        <v>0</v>
      </c>
      <c r="AU244" s="274">
        <f t="shared" si="193"/>
        <v>0</v>
      </c>
      <c r="AV244" s="190">
        <f>IF($B244&lt;$F$22,SUM($T$100:$T244),"")</f>
        <v>0</v>
      </c>
      <c r="AW244" s="190" t="str">
        <f t="shared" si="194"/>
        <v>-</v>
      </c>
      <c r="AX244" s="190" t="str">
        <f t="shared" si="219"/>
        <v/>
      </c>
      <c r="AY244"/>
      <c r="AZ244" s="190" t="str">
        <f ca="1">IF(ISNUMBER(OFFSET(AV244,-$F$21,0)),SUM(OFFSET($T$100,$F$21,0):$T244),"")</f>
        <v/>
      </c>
      <c r="BA244" s="190" t="str">
        <f t="shared" ca="1" si="195"/>
        <v/>
      </c>
      <c r="BB244" s="190" t="str">
        <f t="shared" ca="1" si="148"/>
        <v/>
      </c>
      <c r="BC244" s="190"/>
      <c r="BD244" s="190" t="str">
        <f ca="1">IFERROR(IF(AND($B244&gt;=($F$16-$F$15),$B244&lt;$F$22+($F$16-$F$15)),SUM(OFFSET($T$100,($F$16-$F$15),0):$T244),""),"")</f>
        <v/>
      </c>
      <c r="BE244" s="190" t="str">
        <f t="shared" ca="1" si="220"/>
        <v/>
      </c>
      <c r="BF244" s="190" t="str">
        <f t="shared" ca="1" si="221"/>
        <v/>
      </c>
      <c r="BG244"/>
      <c r="BH244" s="190" t="str">
        <f ca="1">IF(ISNUMBER(OFFSET(BD244,-$F$21,0)),SUM(OFFSET($T$100,($F$16-$F$15+$F$21),0):$T244),"")</f>
        <v/>
      </c>
      <c r="BI244" s="190" t="str">
        <f t="shared" ca="1" si="196"/>
        <v/>
      </c>
      <c r="BJ244" s="190" t="str">
        <f t="shared" ca="1" si="222"/>
        <v/>
      </c>
      <c r="BK244" s="190"/>
      <c r="BL244" s="190" t="str">
        <f ca="1">IFERROR(IF(AND($B244&gt;=($F$17-$F$15),$B244&lt;$F$22+($F$17-$F$15)),SUM(OFFSET($T$100,($F$17-$F$15),0):$T244),""),"")</f>
        <v/>
      </c>
      <c r="BM244" s="190" t="str">
        <f t="shared" ca="1" si="197"/>
        <v/>
      </c>
      <c r="BN244" s="190" t="str">
        <f t="shared" ca="1" si="223"/>
        <v/>
      </c>
      <c r="BO244"/>
      <c r="BP244" s="190" t="str">
        <f ca="1">IF(ISNUMBER(OFFSET(BL244,-$F$21,0)),SUM(OFFSET($T$100,($F$17-$F$15+$F$21),0):$T244),"")</f>
        <v/>
      </c>
      <c r="BQ244" s="190" t="str">
        <f t="shared" ca="1" si="198"/>
        <v/>
      </c>
      <c r="BR244" s="190" t="str">
        <f t="shared" ca="1" si="224"/>
        <v/>
      </c>
      <c r="BS244" s="190"/>
      <c r="BT244"/>
      <c r="BU244"/>
      <c r="BV244"/>
      <c r="BY244" s="99"/>
      <c r="BZ244" s="99"/>
      <c r="CA244" s="280" t="str">
        <f t="shared" si="199"/>
        <v/>
      </c>
      <c r="CB244" s="71" t="str">
        <f t="shared" si="200"/>
        <v>-</v>
      </c>
      <c r="CC244" s="33"/>
      <c r="CD244" s="261" t="str">
        <f t="shared" si="201"/>
        <v/>
      </c>
      <c r="CE244" s="280" t="str">
        <f t="shared" si="202"/>
        <v>-</v>
      </c>
      <c r="CF244" s="71" t="str">
        <f t="shared" ca="1" si="203"/>
        <v>-</v>
      </c>
      <c r="CG244" s="33" t="str">
        <f t="shared" si="204"/>
        <v>144-145</v>
      </c>
      <c r="CH244" s="261" t="str">
        <f t="shared" ca="1" si="205"/>
        <v/>
      </c>
    </row>
    <row r="245" spans="2:86" ht="13.5" customHeight="1" x14ac:dyDescent="0.2">
      <c r="B245" s="262">
        <v>145</v>
      </c>
      <c r="C245" s="237" t="str">
        <f t="shared" si="169"/>
        <v/>
      </c>
      <c r="D245" s="237" t="str">
        <f t="shared" si="225"/>
        <v>-</v>
      </c>
      <c r="E245" s="263" t="str">
        <f t="shared" si="206"/>
        <v/>
      </c>
      <c r="F245" s="264" t="str">
        <f t="shared" si="207"/>
        <v/>
      </c>
      <c r="G245" s="264" t="str">
        <f t="shared" si="208"/>
        <v/>
      </c>
      <c r="H245" s="240" t="str">
        <f t="shared" si="170"/>
        <v/>
      </c>
      <c r="I245" s="265" t="str">
        <f t="shared" si="171"/>
        <v/>
      </c>
      <c r="J245" s="265" t="str">
        <f t="shared" si="172"/>
        <v/>
      </c>
      <c r="K245" s="240" t="str">
        <f t="shared" si="173"/>
        <v/>
      </c>
      <c r="L245" s="265" t="str">
        <f t="shared" si="174"/>
        <v/>
      </c>
      <c r="M245" s="265" t="str">
        <f t="shared" si="175"/>
        <v/>
      </c>
      <c r="N245" s="240" t="str">
        <f t="shared" si="176"/>
        <v>-</v>
      </c>
      <c r="O245" s="265" t="str">
        <f t="shared" si="177"/>
        <v>-</v>
      </c>
      <c r="P245" s="265" t="str">
        <f t="shared" si="178"/>
        <v>-</v>
      </c>
      <c r="Q245" s="266" t="str">
        <f t="shared" si="179"/>
        <v>-</v>
      </c>
      <c r="R245" s="267" t="str">
        <f t="shared" si="180"/>
        <v>-</v>
      </c>
      <c r="S245" s="268" t="str">
        <f t="shared" si="181"/>
        <v>-</v>
      </c>
      <c r="T245" s="269" t="str">
        <f t="shared" si="182"/>
        <v/>
      </c>
      <c r="U245" s="221">
        <f t="shared" si="183"/>
        <v>145</v>
      </c>
      <c r="V245" s="220" t="str">
        <f t="shared" si="209"/>
        <v>-</v>
      </c>
      <c r="W245" s="221" t="str">
        <f t="shared" si="210"/>
        <v>-</v>
      </c>
      <c r="X245" s="221" t="str">
        <f t="shared" si="184"/>
        <v>-</v>
      </c>
      <c r="Y245" s="221" t="str">
        <f t="shared" si="185"/>
        <v>-</v>
      </c>
      <c r="Z245" s="270">
        <f t="shared" si="211"/>
        <v>0.1</v>
      </c>
      <c r="AA245" s="271" t="str">
        <f>IFERROR(IF(V244=1,AA$100*EXP(-(LN(2)/$D$65+0.04)*X244)*EXP(-(LN(2)/$D$65+0.1)*Y244),IF(V244=2,AA$100*EXP(-(LN(2)/$D$65+0.04)*(VLOOKUP(($F$16-$F$15)-1,U$99:Y244,4,FALSE)))*EXP(-(LN(2)/$D$65+0.1)*(VLOOKUP(($F$16-$F$15)-1,U$99:Y244,5,FALSE)))*EXP(-(LN(2)/$D$65+0.04)*X244)*EXP(-(LN(2)/$D$65+0.1)*Y244),IF(V244=3,AA$100*EXP(-(LN(2)/$D$65+0.04)*(VLOOKUP(($F$16-$F$15)-1,U$99:Y244,4,FALSE)))*EXP(-(LN(2)/$D$65+0.1)*(VLOOKUP(($F$16-$F$15)-1,U$99:Y244,5,FALSE)))*EXP(-(LN(2)/$D$65+0.04)*(VLOOKUP(($F$16-$F$15)*2-1,U$99:Y244,4,FALSE)))*EXP(-(LN(2)/$D$65+0.1)*(VLOOKUP(($F$16-$F$15)*2-1,U$99:Y244,5,FALSE)))*EXP(-(LN(2)/$D$65+0.04)*X244)*EXP(-(LN(2)/$D$65+0.1)*Y244),"-"))),"-")</f>
        <v>-</v>
      </c>
      <c r="AB245" s="271" t="str">
        <f>IFERROR(IF(V245=1,AB$100*EXP(-(LN(2)/$D$65+0.04)*X245)*EXP(-(LN(2)/$D$65+0.1)*Y245),IF(V245=2,AB$100*EXP(-(LN(2)/$D$65+0.04)*(VLOOKUP(($F$16-$F$15)-1,U$100:Y245,4,FALSE)))*EXP(-(LN(2)/$D$65+0.1)*(VLOOKUP(($F$16-$F$15)-1,U$100:Y245,5,FALSE)))*EXP(-(LN(2)/$D$65+0.04)*X245)*EXP(-(LN(2)/$D$65+0.1)*Y245),IF(V245=3,AB$100*EXP(-(LN(2)/$D$65+0.04)*(VLOOKUP(($F$16-$F$15)-1,U$100:Y245,4,FALSE)))*EXP(-(LN(2)/$D$65+0.1)*(VLOOKUP(($F$16-$F$15)-1,U$100:Y245,5,FALSE)))*EXP(-(LN(2)/$D$65+0.04)*(VLOOKUP(($F$16-$F$15)*2-1,U$100:Y245,4,FALSE)))*EXP(-(LN(2)/$D$65+0.1)*(VLOOKUP(($F$16-$F$15)*2-1,U$100:Y245,5,FALSE)))*EXP(-(LN(2)/$D$65+0.04)*X245)*EXP(-(LN(2)/$D$65+0.1)*Y245),"-"))),"-")</f>
        <v>-</v>
      </c>
      <c r="AC245" s="224">
        <f t="shared" si="226"/>
        <v>145</v>
      </c>
      <c r="AD245" s="223" t="str">
        <f t="shared" si="186"/>
        <v>-</v>
      </c>
      <c r="AE245" s="224" t="str">
        <f t="shared" si="213"/>
        <v>-</v>
      </c>
      <c r="AF245" s="224" t="str">
        <f t="shared" si="187"/>
        <v>-</v>
      </c>
      <c r="AG245" s="224" t="str">
        <f t="shared" si="188"/>
        <v>-</v>
      </c>
      <c r="AH245" s="272">
        <f t="shared" si="214"/>
        <v>0.1</v>
      </c>
      <c r="AI245" s="271" t="str">
        <f>IFERROR(IF(AD244=1,AI$100*EXP(-(LN(2)/$D$65+0.04)*AF244)*EXP(-(LN(2)/$D$65+0.1)*AG244),IF(AD244=2,AI$100*EXP(-(LN(2)/$D$65+0.04)*(VLOOKUP(($F$16-$F$15)-1,AC$99:AG244,4,FALSE)))*EXP(-(LN(2)/$D$65+0.1)*(VLOOKUP(($F$16-$F$15)-1,AC$99:AG244,5,FALSE)))*EXP(-(LN(2)/$D$65+0.04)*AF244)*EXP(-(LN(2)/$D$65+0.1)*AG244),IF(AD244=3,AI$100*EXP(-(LN(2)/$D$65+0.04)*(VLOOKUP(($F$16-$F$15)-1,AC$99:AG244,4,FALSE)))*EXP(-(LN(2)/$D$65+0.1)*(VLOOKUP(($F$16-$F$15)-1,AC$99:AG244,5,FALSE)))*EXP(-(LN(2)/$D$65+0.04)*(VLOOKUP(($F$16-$F$15)*2-1,AC$99:AG244,4,FALSE)))*EXP(-(LN(2)/$D$65+0.1)*(VLOOKUP(($F$16-$F$15)*2-1,AC$99:AG244,5,FALSE)))*EXP(-(LN(2)/$D$65+0.04)*AF244)*EXP(-(LN(2)/$D$65+0.1)*AG244),"-"))),"-")</f>
        <v>-</v>
      </c>
      <c r="AJ245" s="271" t="str">
        <f>IFERROR(IF(AD245=1,AJ$100*EXP(-(LN(2)/$D$65+0.04)*AF245)*EXP(-(LN(2)/$D$65+0.1)*AG245),IF(AD245=2,AJ$100*EXP(-(LN(2)/$D$65+0.04)*(VLOOKUP(($F$16-$F$15)-1,AC$100:AG245,4,FALSE)))*EXP(-(LN(2)/$D$65+0.1)*(VLOOKUP(($F$16-$F$15)-1,AC$100:AG245,5,FALSE)))*EXP(-(LN(2)/$D$65+0.04)*AF245)*EXP(-(LN(2)/$D$65+0.1)*AG245),IF(AD245=3,AJ$100*EXP(-(LN(2)/$D$65+0.04)*(VLOOKUP(($F$16-$F$15)-1,AC$100:AG245,4,FALSE)))*EXP(-(LN(2)/$D$65+0.1)*(VLOOKUP(($F$16-$F$15)-1,AC$100:AG245,5,FALSE)))*EXP(-(LN(2)/$D$65+0.04)*(VLOOKUP(($F$16-$F$15)*2-1,AC$100:AG245,4,FALSE)))*EXP(-(LN(2)/$D$65+0.1)*(VLOOKUP(($F$16-$F$15)*2-1,AC$100:AG245,5,FALSE)))*EXP(-(LN(2)/$D$65+0.04)*AF245)*EXP(-(LN(2)/$D$65+0.1)*AG245),"-"))),"-")</f>
        <v>-</v>
      </c>
      <c r="AK245" s="227">
        <f t="shared" si="215"/>
        <v>145</v>
      </c>
      <c r="AL245" s="226" t="str">
        <f t="shared" si="189"/>
        <v>-</v>
      </c>
      <c r="AM245" s="227" t="str">
        <f t="shared" si="216"/>
        <v>-</v>
      </c>
      <c r="AN245" s="227" t="str">
        <f t="shared" si="217"/>
        <v>-</v>
      </c>
      <c r="AO245" s="227" t="str">
        <f t="shared" si="190"/>
        <v>-</v>
      </c>
      <c r="AP245" s="273">
        <f t="shared" si="218"/>
        <v>0.1</v>
      </c>
      <c r="AQ245" s="271" t="str">
        <f>IFERROR(IF(AL244=1,AQ$100*EXP(-(LN(2)/$D$65+0.04)*AN244)*EXP(-(LN(2)/$D$65+0.1)*AO244),IF(AL244=2,AQ$100*EXP(-(LN(2)/$D$65+0.04)*(VLOOKUP(($F$16-$F$15)-1,AK$99:AO244,4,FALSE)))*EXP(-(LN(2)/$D$65+0.1)*(VLOOKUP(($F$16-$F$15)-1,AK$99:AO244,5,FALSE)))*EXP(-(LN(2)/$D$65+0.04)*AN244)*EXP(-(LN(2)/$D$65+0.1)*AO244),IF(AL244=3,AQ$100*EXP(-(LN(2)/$D$65+0.04)*(VLOOKUP(($F$16-$F$15)-1,AK$99:AO244,4,FALSE)))*EXP(-(LN(2)/$D$65+0.1)*(VLOOKUP(($F$16-$F$15)-1,AK$99:AO244,5,FALSE)))*EXP(-(LN(2)/$D$65+0.04)*(VLOOKUP(($F$16-$F$15)*2-1,AK$99:AO244,4,FALSE)))*EXP(-(LN(2)/$D$65+0.1)*(VLOOKUP(($F$16-$F$15)*2-1,AK$99:AO244,5,FALSE)))*EXP(-(LN(2)/$D$65+0.04)*AN244)*EXP(-(LN(2)/$D$65+0.1)*AO244),"-"))),"-")</f>
        <v>-</v>
      </c>
      <c r="AR245" s="271" t="str">
        <f>IFERROR(IF(AL245=1,AR$100*EXP(-(LN(2)/$D$65+0.04)*AN245)*EXP(-(LN(2)/$D$65+0.1)*AO245),IF(AL245=2,AR$100*EXP(-(LN(2)/$D$65+0.04)*(VLOOKUP(($F$16-$F$15)-1,AK$100:AO245,4,FALSE)))*EXP(-(LN(2)/$D$65+0.1)*(VLOOKUP(($F$16-$F$15)-1,AK$100:AO245,5,FALSE)))*EXP(-(LN(2)/$D$65+0.04)*AN245)*EXP(-(LN(2)/$D$65+0.1)*AO245),IF(AL245=3,AR$100*EXP(-(LN(2)/$D$65+0.04)*(VLOOKUP(($F$16-$F$15)-1,AK$100:AO245,4,FALSE)))*EXP(-(LN(2)/$D$65+0.1)*(VLOOKUP(($F$16-$F$15)-1,AK$100:AO245,5,FALSE)))*EXP(-(LN(2)/$D$65+0.04)*(VLOOKUP(($F$16-$F$15)*2-1,AK$100:AO245,4,FALSE)))*EXP(-(LN(2)/$D$65+0.1)*(VLOOKUP(($F$16-$F$15)*2-1,AK$100:AO245,5,FALSE)))*EXP(-(LN(2)/$D$65+0.04)*AN245)*EXP(-(LN(2)/$D$65+0.1)*AO245),"-"))),"-")</f>
        <v>-</v>
      </c>
      <c r="AS245" s="274">
        <f t="shared" si="191"/>
        <v>0</v>
      </c>
      <c r="AT245" s="274">
        <f t="shared" si="192"/>
        <v>0</v>
      </c>
      <c r="AU245" s="274">
        <f t="shared" si="193"/>
        <v>0</v>
      </c>
      <c r="AV245" s="190">
        <f>IF($B245&lt;$F$22,SUM($T$100:$T245),"")</f>
        <v>0</v>
      </c>
      <c r="AW245" s="190" t="str">
        <f t="shared" si="194"/>
        <v>-</v>
      </c>
      <c r="AX245" s="190" t="str">
        <f t="shared" si="219"/>
        <v/>
      </c>
      <c r="AY245"/>
      <c r="AZ245" s="190" t="str">
        <f ca="1">IF(ISNUMBER(OFFSET(AV245,-$F$21,0)),SUM(OFFSET($T$100,$F$21,0):$T245),"")</f>
        <v/>
      </c>
      <c r="BA245" s="190" t="str">
        <f t="shared" ca="1" si="195"/>
        <v/>
      </c>
      <c r="BB245" s="190" t="str">
        <f t="shared" ca="1" si="148"/>
        <v/>
      </c>
      <c r="BC245" s="190"/>
      <c r="BD245" s="190" t="str">
        <f ca="1">IFERROR(IF(AND($B245&gt;=($F$16-$F$15),$B245&lt;$F$22+($F$16-$F$15)),SUM(OFFSET($T$100,($F$16-$F$15),0):$T245),""),"")</f>
        <v/>
      </c>
      <c r="BE245" s="190" t="str">
        <f t="shared" ca="1" si="220"/>
        <v/>
      </c>
      <c r="BF245" s="190" t="str">
        <f t="shared" ca="1" si="221"/>
        <v/>
      </c>
      <c r="BG245"/>
      <c r="BH245" s="190" t="str">
        <f ca="1">IF(ISNUMBER(OFFSET(BD245,-$F$21,0)),SUM(OFFSET($T$100,($F$16-$F$15+$F$21),0):$T245),"")</f>
        <v/>
      </c>
      <c r="BI245" s="190" t="str">
        <f t="shared" ca="1" si="196"/>
        <v/>
      </c>
      <c r="BJ245" s="190" t="str">
        <f t="shared" ca="1" si="222"/>
        <v/>
      </c>
      <c r="BK245" s="190"/>
      <c r="BL245" s="190" t="str">
        <f ca="1">IFERROR(IF(AND($B245&gt;=($F$17-$F$15),$B245&lt;$F$22+($F$17-$F$15)),SUM(OFFSET($T$100,($F$17-$F$15),0):$T245),""),"")</f>
        <v/>
      </c>
      <c r="BM245" s="190" t="str">
        <f t="shared" ca="1" si="197"/>
        <v/>
      </c>
      <c r="BN245" s="190" t="str">
        <f t="shared" ca="1" si="223"/>
        <v/>
      </c>
      <c r="BO245"/>
      <c r="BP245" s="190" t="str">
        <f ca="1">IF(ISNUMBER(OFFSET(BL245,-$F$21,0)),SUM(OFFSET($T$100,($F$17-$F$15+$F$21),0):$T245),"")</f>
        <v/>
      </c>
      <c r="BQ245" s="190" t="str">
        <f t="shared" ca="1" si="198"/>
        <v/>
      </c>
      <c r="BR245" s="190" t="str">
        <f t="shared" ca="1" si="224"/>
        <v/>
      </c>
      <c r="BS245" s="190"/>
      <c r="BT245"/>
      <c r="BU245"/>
      <c r="BV245"/>
      <c r="BY245" s="99"/>
      <c r="BZ245" s="99"/>
      <c r="CA245" s="280" t="str">
        <f t="shared" si="199"/>
        <v/>
      </c>
      <c r="CB245" s="71" t="str">
        <f t="shared" si="200"/>
        <v>-</v>
      </c>
      <c r="CC245" s="33"/>
      <c r="CD245" s="261" t="str">
        <f t="shared" si="201"/>
        <v/>
      </c>
      <c r="CE245" s="280" t="str">
        <f t="shared" si="202"/>
        <v>-</v>
      </c>
      <c r="CF245" s="71" t="str">
        <f t="shared" ca="1" si="203"/>
        <v>-</v>
      </c>
      <c r="CG245" s="33" t="str">
        <f t="shared" si="204"/>
        <v>145-146</v>
      </c>
      <c r="CH245" s="261" t="str">
        <f t="shared" ca="1" si="205"/>
        <v/>
      </c>
    </row>
    <row r="246" spans="2:86" ht="13.5" customHeight="1" x14ac:dyDescent="0.2">
      <c r="B246" s="262">
        <v>146</v>
      </c>
      <c r="C246" s="237" t="str">
        <f t="shared" si="169"/>
        <v/>
      </c>
      <c r="D246" s="237" t="str">
        <f t="shared" si="225"/>
        <v>-</v>
      </c>
      <c r="E246" s="263" t="str">
        <f t="shared" si="206"/>
        <v/>
      </c>
      <c r="F246" s="264" t="str">
        <f t="shared" si="207"/>
        <v/>
      </c>
      <c r="G246" s="264" t="str">
        <f t="shared" si="208"/>
        <v/>
      </c>
      <c r="H246" s="240" t="str">
        <f t="shared" si="170"/>
        <v/>
      </c>
      <c r="I246" s="265" t="str">
        <f t="shared" si="171"/>
        <v/>
      </c>
      <c r="J246" s="265" t="str">
        <f t="shared" si="172"/>
        <v/>
      </c>
      <c r="K246" s="240" t="str">
        <f t="shared" si="173"/>
        <v/>
      </c>
      <c r="L246" s="265" t="str">
        <f t="shared" si="174"/>
        <v/>
      </c>
      <c r="M246" s="265" t="str">
        <f t="shared" si="175"/>
        <v/>
      </c>
      <c r="N246" s="240" t="str">
        <f t="shared" si="176"/>
        <v>-</v>
      </c>
      <c r="O246" s="265" t="str">
        <f t="shared" si="177"/>
        <v>-</v>
      </c>
      <c r="P246" s="265" t="str">
        <f t="shared" si="178"/>
        <v>-</v>
      </c>
      <c r="Q246" s="266" t="str">
        <f t="shared" si="179"/>
        <v>-</v>
      </c>
      <c r="R246" s="267" t="str">
        <f t="shared" si="180"/>
        <v>-</v>
      </c>
      <c r="S246" s="268" t="str">
        <f t="shared" si="181"/>
        <v>-</v>
      </c>
      <c r="T246" s="269" t="str">
        <f t="shared" si="182"/>
        <v/>
      </c>
      <c r="U246" s="221">
        <f t="shared" si="183"/>
        <v>146</v>
      </c>
      <c r="V246" s="220" t="str">
        <f t="shared" si="209"/>
        <v>-</v>
      </c>
      <c r="W246" s="221" t="str">
        <f t="shared" si="210"/>
        <v>-</v>
      </c>
      <c r="X246" s="221" t="str">
        <f t="shared" si="184"/>
        <v>-</v>
      </c>
      <c r="Y246" s="221" t="str">
        <f t="shared" si="185"/>
        <v>-</v>
      </c>
      <c r="Z246" s="270">
        <f t="shared" si="211"/>
        <v>0.1</v>
      </c>
      <c r="AA246" s="271" t="str">
        <f>IFERROR(IF(V245=1,AA$100*EXP(-(LN(2)/$D$65+0.04)*X245)*EXP(-(LN(2)/$D$65+0.1)*Y245),IF(V245=2,AA$100*EXP(-(LN(2)/$D$65+0.04)*(VLOOKUP(($F$16-$F$15)-1,U$99:Y245,4,FALSE)))*EXP(-(LN(2)/$D$65+0.1)*(VLOOKUP(($F$16-$F$15)-1,U$99:Y245,5,FALSE)))*EXP(-(LN(2)/$D$65+0.04)*X245)*EXP(-(LN(2)/$D$65+0.1)*Y245),IF(V245=3,AA$100*EXP(-(LN(2)/$D$65+0.04)*(VLOOKUP(($F$16-$F$15)-1,U$99:Y245,4,FALSE)))*EXP(-(LN(2)/$D$65+0.1)*(VLOOKUP(($F$16-$F$15)-1,U$99:Y245,5,FALSE)))*EXP(-(LN(2)/$D$65+0.04)*(VLOOKUP(($F$16-$F$15)*2-1,U$99:Y245,4,FALSE)))*EXP(-(LN(2)/$D$65+0.1)*(VLOOKUP(($F$16-$F$15)*2-1,U$99:Y245,5,FALSE)))*EXP(-(LN(2)/$D$65+0.04)*X245)*EXP(-(LN(2)/$D$65+0.1)*Y245),"-"))),"-")</f>
        <v>-</v>
      </c>
      <c r="AB246" s="271" t="str">
        <f>IFERROR(IF(V246=1,AB$100*EXP(-(LN(2)/$D$65+0.04)*X246)*EXP(-(LN(2)/$D$65+0.1)*Y246),IF(V246=2,AB$100*EXP(-(LN(2)/$D$65+0.04)*(VLOOKUP(($F$16-$F$15)-1,U$100:Y246,4,FALSE)))*EXP(-(LN(2)/$D$65+0.1)*(VLOOKUP(($F$16-$F$15)-1,U$100:Y246,5,FALSE)))*EXP(-(LN(2)/$D$65+0.04)*X246)*EXP(-(LN(2)/$D$65+0.1)*Y246),IF(V246=3,AB$100*EXP(-(LN(2)/$D$65+0.04)*(VLOOKUP(($F$16-$F$15)-1,U$100:Y246,4,FALSE)))*EXP(-(LN(2)/$D$65+0.1)*(VLOOKUP(($F$16-$F$15)-1,U$100:Y246,5,FALSE)))*EXP(-(LN(2)/$D$65+0.04)*(VLOOKUP(($F$16-$F$15)*2-1,U$100:Y246,4,FALSE)))*EXP(-(LN(2)/$D$65+0.1)*(VLOOKUP(($F$16-$F$15)*2-1,U$100:Y246,5,FALSE)))*EXP(-(LN(2)/$D$65+0.04)*X246)*EXP(-(LN(2)/$D$65+0.1)*Y246),"-"))),"-")</f>
        <v>-</v>
      </c>
      <c r="AC246" s="224">
        <f t="shared" si="226"/>
        <v>146</v>
      </c>
      <c r="AD246" s="223" t="str">
        <f t="shared" si="186"/>
        <v>-</v>
      </c>
      <c r="AE246" s="224" t="str">
        <f t="shared" si="213"/>
        <v>-</v>
      </c>
      <c r="AF246" s="224" t="str">
        <f t="shared" si="187"/>
        <v>-</v>
      </c>
      <c r="AG246" s="224" t="str">
        <f t="shared" si="188"/>
        <v>-</v>
      </c>
      <c r="AH246" s="272">
        <f t="shared" si="214"/>
        <v>0.1</v>
      </c>
      <c r="AI246" s="271" t="str">
        <f>IFERROR(IF(AD245=1,AI$100*EXP(-(LN(2)/$D$65+0.04)*AF245)*EXP(-(LN(2)/$D$65+0.1)*AG245),IF(AD245=2,AI$100*EXP(-(LN(2)/$D$65+0.04)*(VLOOKUP(($F$16-$F$15)-1,AC$99:AG245,4,FALSE)))*EXP(-(LN(2)/$D$65+0.1)*(VLOOKUP(($F$16-$F$15)-1,AC$99:AG245,5,FALSE)))*EXP(-(LN(2)/$D$65+0.04)*AF245)*EXP(-(LN(2)/$D$65+0.1)*AG245),IF(AD245=3,AI$100*EXP(-(LN(2)/$D$65+0.04)*(VLOOKUP(($F$16-$F$15)-1,AC$99:AG245,4,FALSE)))*EXP(-(LN(2)/$D$65+0.1)*(VLOOKUP(($F$16-$F$15)-1,AC$99:AG245,5,FALSE)))*EXP(-(LN(2)/$D$65+0.04)*(VLOOKUP(($F$16-$F$15)*2-1,AC$99:AG245,4,FALSE)))*EXP(-(LN(2)/$D$65+0.1)*(VLOOKUP(($F$16-$F$15)*2-1,AC$99:AG245,5,FALSE)))*EXP(-(LN(2)/$D$65+0.04)*AF245)*EXP(-(LN(2)/$D$65+0.1)*AG245),"-"))),"-")</f>
        <v>-</v>
      </c>
      <c r="AJ246" s="271" t="str">
        <f>IFERROR(IF(AD246=1,AJ$100*EXP(-(LN(2)/$D$65+0.04)*AF246)*EXP(-(LN(2)/$D$65+0.1)*AG246),IF(AD246=2,AJ$100*EXP(-(LN(2)/$D$65+0.04)*(VLOOKUP(($F$16-$F$15)-1,AC$100:AG246,4,FALSE)))*EXP(-(LN(2)/$D$65+0.1)*(VLOOKUP(($F$16-$F$15)-1,AC$100:AG246,5,FALSE)))*EXP(-(LN(2)/$D$65+0.04)*AF246)*EXP(-(LN(2)/$D$65+0.1)*AG246),IF(AD246=3,AJ$100*EXP(-(LN(2)/$D$65+0.04)*(VLOOKUP(($F$16-$F$15)-1,AC$100:AG246,4,FALSE)))*EXP(-(LN(2)/$D$65+0.1)*(VLOOKUP(($F$16-$F$15)-1,AC$100:AG246,5,FALSE)))*EXP(-(LN(2)/$D$65+0.04)*(VLOOKUP(($F$16-$F$15)*2-1,AC$100:AG246,4,FALSE)))*EXP(-(LN(2)/$D$65+0.1)*(VLOOKUP(($F$16-$F$15)*2-1,AC$100:AG246,5,FALSE)))*EXP(-(LN(2)/$D$65+0.04)*AF246)*EXP(-(LN(2)/$D$65+0.1)*AG246),"-"))),"-")</f>
        <v>-</v>
      </c>
      <c r="AK246" s="227">
        <f t="shared" si="215"/>
        <v>146</v>
      </c>
      <c r="AL246" s="226" t="str">
        <f t="shared" si="189"/>
        <v>-</v>
      </c>
      <c r="AM246" s="227" t="str">
        <f t="shared" si="216"/>
        <v>-</v>
      </c>
      <c r="AN246" s="227" t="str">
        <f t="shared" si="217"/>
        <v>-</v>
      </c>
      <c r="AO246" s="227" t="str">
        <f t="shared" si="190"/>
        <v>-</v>
      </c>
      <c r="AP246" s="273">
        <f t="shared" si="218"/>
        <v>0.1</v>
      </c>
      <c r="AQ246" s="271" t="str">
        <f>IFERROR(IF(AL245=1,AQ$100*EXP(-(LN(2)/$D$65+0.04)*AN245)*EXP(-(LN(2)/$D$65+0.1)*AO245),IF(AL245=2,AQ$100*EXP(-(LN(2)/$D$65+0.04)*(VLOOKUP(($F$16-$F$15)-1,AK$99:AO245,4,FALSE)))*EXP(-(LN(2)/$D$65+0.1)*(VLOOKUP(($F$16-$F$15)-1,AK$99:AO245,5,FALSE)))*EXP(-(LN(2)/$D$65+0.04)*AN245)*EXP(-(LN(2)/$D$65+0.1)*AO245),IF(AL245=3,AQ$100*EXP(-(LN(2)/$D$65+0.04)*(VLOOKUP(($F$16-$F$15)-1,AK$99:AO245,4,FALSE)))*EXP(-(LN(2)/$D$65+0.1)*(VLOOKUP(($F$16-$F$15)-1,AK$99:AO245,5,FALSE)))*EXP(-(LN(2)/$D$65+0.04)*(VLOOKUP(($F$16-$F$15)*2-1,AK$99:AO245,4,FALSE)))*EXP(-(LN(2)/$D$65+0.1)*(VLOOKUP(($F$16-$F$15)*2-1,AK$99:AO245,5,FALSE)))*EXP(-(LN(2)/$D$65+0.04)*AN245)*EXP(-(LN(2)/$D$65+0.1)*AO245),"-"))),"-")</f>
        <v>-</v>
      </c>
      <c r="AR246" s="271" t="str">
        <f>IFERROR(IF(AL246=1,AR$100*EXP(-(LN(2)/$D$65+0.04)*AN246)*EXP(-(LN(2)/$D$65+0.1)*AO246),IF(AL246=2,AR$100*EXP(-(LN(2)/$D$65+0.04)*(VLOOKUP(($F$16-$F$15)-1,AK$100:AO246,4,FALSE)))*EXP(-(LN(2)/$D$65+0.1)*(VLOOKUP(($F$16-$F$15)-1,AK$100:AO246,5,FALSE)))*EXP(-(LN(2)/$D$65+0.04)*AN246)*EXP(-(LN(2)/$D$65+0.1)*AO246),IF(AL246=3,AR$100*EXP(-(LN(2)/$D$65+0.04)*(VLOOKUP(($F$16-$F$15)-1,AK$100:AO246,4,FALSE)))*EXP(-(LN(2)/$D$65+0.1)*(VLOOKUP(($F$16-$F$15)-1,AK$100:AO246,5,FALSE)))*EXP(-(LN(2)/$D$65+0.04)*(VLOOKUP(($F$16-$F$15)*2-1,AK$100:AO246,4,FALSE)))*EXP(-(LN(2)/$D$65+0.1)*(VLOOKUP(($F$16-$F$15)*2-1,AK$100:AO246,5,FALSE)))*EXP(-(LN(2)/$D$65+0.04)*AN246)*EXP(-(LN(2)/$D$65+0.1)*AO246),"-"))),"-")</f>
        <v>-</v>
      </c>
      <c r="AS246" s="274">
        <f t="shared" si="191"/>
        <v>0</v>
      </c>
      <c r="AT246" s="274">
        <f t="shared" si="192"/>
        <v>0</v>
      </c>
      <c r="AU246" s="274">
        <f t="shared" si="193"/>
        <v>0</v>
      </c>
      <c r="AV246" s="190">
        <f>IF($B246&lt;$F$22,SUM($T$100:$T246),"")</f>
        <v>0</v>
      </c>
      <c r="AW246" s="190" t="str">
        <f t="shared" si="194"/>
        <v>-</v>
      </c>
      <c r="AX246" s="190" t="str">
        <f t="shared" si="219"/>
        <v/>
      </c>
      <c r="AY246"/>
      <c r="AZ246" s="190" t="str">
        <f ca="1">IF(ISNUMBER(OFFSET(AV246,-$F$21,0)),SUM(OFFSET($T$100,$F$21,0):$T246),"")</f>
        <v/>
      </c>
      <c r="BA246" s="190" t="str">
        <f t="shared" ca="1" si="195"/>
        <v/>
      </c>
      <c r="BB246" s="190" t="str">
        <f t="shared" ca="1" si="148"/>
        <v/>
      </c>
      <c r="BC246" s="190"/>
      <c r="BD246" s="190" t="str">
        <f ca="1">IFERROR(IF(AND($B246&gt;=($F$16-$F$15),$B246&lt;$F$22+($F$16-$F$15)),SUM(OFFSET($T$100,($F$16-$F$15),0):$T246),""),"")</f>
        <v/>
      </c>
      <c r="BE246" s="190" t="str">
        <f t="shared" ca="1" si="220"/>
        <v/>
      </c>
      <c r="BF246" s="190" t="str">
        <f t="shared" ca="1" si="221"/>
        <v/>
      </c>
      <c r="BG246"/>
      <c r="BH246" s="190" t="str">
        <f ca="1">IF(ISNUMBER(OFFSET(BD246,-$F$21,0)),SUM(OFFSET($T$100,($F$16-$F$15+$F$21),0):$T246),"")</f>
        <v/>
      </c>
      <c r="BI246" s="190" t="str">
        <f t="shared" ca="1" si="196"/>
        <v/>
      </c>
      <c r="BJ246" s="190" t="str">
        <f t="shared" ca="1" si="222"/>
        <v/>
      </c>
      <c r="BK246" s="190"/>
      <c r="BL246" s="190" t="str">
        <f ca="1">IFERROR(IF(AND($B246&gt;=($F$17-$F$15),$B246&lt;$F$22+($F$17-$F$15)),SUM(OFFSET($T$100,($F$17-$F$15),0):$T246),""),"")</f>
        <v/>
      </c>
      <c r="BM246" s="190" t="str">
        <f t="shared" ca="1" si="197"/>
        <v/>
      </c>
      <c r="BN246" s="190" t="str">
        <f t="shared" ca="1" si="223"/>
        <v/>
      </c>
      <c r="BO246"/>
      <c r="BP246" s="190" t="str">
        <f ca="1">IF(ISNUMBER(OFFSET(BL246,-$F$21,0)),SUM(OFFSET($T$100,($F$17-$F$15+$F$21),0):$T246),"")</f>
        <v/>
      </c>
      <c r="BQ246" s="190" t="str">
        <f t="shared" ca="1" si="198"/>
        <v/>
      </c>
      <c r="BR246" s="190" t="str">
        <f t="shared" ca="1" si="224"/>
        <v/>
      </c>
      <c r="BS246" s="190"/>
      <c r="BT246"/>
      <c r="BU246"/>
      <c r="BV246"/>
      <c r="BY246" s="99"/>
      <c r="BZ246" s="99"/>
      <c r="CA246" s="280" t="str">
        <f t="shared" si="199"/>
        <v/>
      </c>
      <c r="CB246" s="71" t="str">
        <f t="shared" si="200"/>
        <v>-</v>
      </c>
      <c r="CC246" s="33"/>
      <c r="CD246" s="261" t="str">
        <f t="shared" si="201"/>
        <v/>
      </c>
      <c r="CE246" s="280" t="str">
        <f t="shared" si="202"/>
        <v>-</v>
      </c>
      <c r="CF246" s="71" t="str">
        <f t="shared" ca="1" si="203"/>
        <v>-</v>
      </c>
      <c r="CG246" s="33" t="str">
        <f t="shared" si="204"/>
        <v>146-147</v>
      </c>
      <c r="CH246" s="261" t="str">
        <f t="shared" ca="1" si="205"/>
        <v/>
      </c>
    </row>
    <row r="247" spans="2:86" ht="13.5" customHeight="1" x14ac:dyDescent="0.2">
      <c r="B247" s="262">
        <v>147</v>
      </c>
      <c r="C247" s="237" t="str">
        <f t="shared" si="169"/>
        <v/>
      </c>
      <c r="D247" s="237" t="str">
        <f t="shared" si="225"/>
        <v>-</v>
      </c>
      <c r="E247" s="263" t="str">
        <f t="shared" si="206"/>
        <v/>
      </c>
      <c r="F247" s="264" t="str">
        <f t="shared" si="207"/>
        <v/>
      </c>
      <c r="G247" s="264" t="str">
        <f t="shared" si="208"/>
        <v/>
      </c>
      <c r="H247" s="240" t="str">
        <f t="shared" si="170"/>
        <v/>
      </c>
      <c r="I247" s="265" t="str">
        <f t="shared" si="171"/>
        <v/>
      </c>
      <c r="J247" s="265" t="str">
        <f t="shared" si="172"/>
        <v/>
      </c>
      <c r="K247" s="240" t="str">
        <f t="shared" si="173"/>
        <v/>
      </c>
      <c r="L247" s="265" t="str">
        <f t="shared" si="174"/>
        <v/>
      </c>
      <c r="M247" s="265" t="str">
        <f t="shared" si="175"/>
        <v/>
      </c>
      <c r="N247" s="240" t="str">
        <f t="shared" si="176"/>
        <v>-</v>
      </c>
      <c r="O247" s="265" t="str">
        <f t="shared" si="177"/>
        <v>-</v>
      </c>
      <c r="P247" s="265" t="str">
        <f t="shared" si="178"/>
        <v>-</v>
      </c>
      <c r="Q247" s="266" t="str">
        <f t="shared" si="179"/>
        <v>-</v>
      </c>
      <c r="R247" s="267" t="str">
        <f t="shared" si="180"/>
        <v>-</v>
      </c>
      <c r="S247" s="268" t="str">
        <f t="shared" si="181"/>
        <v>-</v>
      </c>
      <c r="T247" s="269" t="str">
        <f t="shared" si="182"/>
        <v/>
      </c>
      <c r="U247" s="221">
        <f t="shared" si="183"/>
        <v>147</v>
      </c>
      <c r="V247" s="220" t="str">
        <f t="shared" si="209"/>
        <v>-</v>
      </c>
      <c r="W247" s="221" t="str">
        <f t="shared" si="210"/>
        <v>-</v>
      </c>
      <c r="X247" s="221" t="str">
        <f t="shared" si="184"/>
        <v>-</v>
      </c>
      <c r="Y247" s="221" t="str">
        <f t="shared" si="185"/>
        <v>-</v>
      </c>
      <c r="Z247" s="270">
        <f t="shared" si="211"/>
        <v>0.1</v>
      </c>
      <c r="AA247" s="271" t="str">
        <f>IFERROR(IF(V246=1,AA$100*EXP(-(LN(2)/$D$65+0.04)*X246)*EXP(-(LN(2)/$D$65+0.1)*Y246),IF(V246=2,AA$100*EXP(-(LN(2)/$D$65+0.04)*(VLOOKUP(($F$16-$F$15)-1,U$99:Y246,4,FALSE)))*EXP(-(LN(2)/$D$65+0.1)*(VLOOKUP(($F$16-$F$15)-1,U$99:Y246,5,FALSE)))*EXP(-(LN(2)/$D$65+0.04)*X246)*EXP(-(LN(2)/$D$65+0.1)*Y246),IF(V246=3,AA$100*EXP(-(LN(2)/$D$65+0.04)*(VLOOKUP(($F$16-$F$15)-1,U$99:Y246,4,FALSE)))*EXP(-(LN(2)/$D$65+0.1)*(VLOOKUP(($F$16-$F$15)-1,U$99:Y246,5,FALSE)))*EXP(-(LN(2)/$D$65+0.04)*(VLOOKUP(($F$16-$F$15)*2-1,U$99:Y246,4,FALSE)))*EXP(-(LN(2)/$D$65+0.1)*(VLOOKUP(($F$16-$F$15)*2-1,U$99:Y246,5,FALSE)))*EXP(-(LN(2)/$D$65+0.04)*X246)*EXP(-(LN(2)/$D$65+0.1)*Y246),"-"))),"-")</f>
        <v>-</v>
      </c>
      <c r="AB247" s="271" t="str">
        <f>IFERROR(IF(V247=1,AB$100*EXP(-(LN(2)/$D$65+0.04)*X247)*EXP(-(LN(2)/$D$65+0.1)*Y247),IF(V247=2,AB$100*EXP(-(LN(2)/$D$65+0.04)*(VLOOKUP(($F$16-$F$15)-1,U$100:Y247,4,FALSE)))*EXP(-(LN(2)/$D$65+0.1)*(VLOOKUP(($F$16-$F$15)-1,U$100:Y247,5,FALSE)))*EXP(-(LN(2)/$D$65+0.04)*X247)*EXP(-(LN(2)/$D$65+0.1)*Y247),IF(V247=3,AB$100*EXP(-(LN(2)/$D$65+0.04)*(VLOOKUP(($F$16-$F$15)-1,U$100:Y247,4,FALSE)))*EXP(-(LN(2)/$D$65+0.1)*(VLOOKUP(($F$16-$F$15)-1,U$100:Y247,5,FALSE)))*EXP(-(LN(2)/$D$65+0.04)*(VLOOKUP(($F$16-$F$15)*2-1,U$100:Y247,4,FALSE)))*EXP(-(LN(2)/$D$65+0.1)*(VLOOKUP(($F$16-$F$15)*2-1,U$100:Y247,5,FALSE)))*EXP(-(LN(2)/$D$65+0.04)*X247)*EXP(-(LN(2)/$D$65+0.1)*Y247),"-"))),"-")</f>
        <v>-</v>
      </c>
      <c r="AC247" s="224">
        <f t="shared" si="226"/>
        <v>147</v>
      </c>
      <c r="AD247" s="223" t="str">
        <f t="shared" si="186"/>
        <v>-</v>
      </c>
      <c r="AE247" s="224" t="str">
        <f t="shared" si="213"/>
        <v>-</v>
      </c>
      <c r="AF247" s="224" t="str">
        <f t="shared" si="187"/>
        <v>-</v>
      </c>
      <c r="AG247" s="224" t="str">
        <f t="shared" si="188"/>
        <v>-</v>
      </c>
      <c r="AH247" s="272">
        <f t="shared" si="214"/>
        <v>0.1</v>
      </c>
      <c r="AI247" s="271" t="str">
        <f>IFERROR(IF(AD246=1,AI$100*EXP(-(LN(2)/$D$65+0.04)*AF246)*EXP(-(LN(2)/$D$65+0.1)*AG246),IF(AD246=2,AI$100*EXP(-(LN(2)/$D$65+0.04)*(VLOOKUP(($F$16-$F$15)-1,AC$99:AG246,4,FALSE)))*EXP(-(LN(2)/$D$65+0.1)*(VLOOKUP(($F$16-$F$15)-1,AC$99:AG246,5,FALSE)))*EXP(-(LN(2)/$D$65+0.04)*AF246)*EXP(-(LN(2)/$D$65+0.1)*AG246),IF(AD246=3,AI$100*EXP(-(LN(2)/$D$65+0.04)*(VLOOKUP(($F$16-$F$15)-1,AC$99:AG246,4,FALSE)))*EXP(-(LN(2)/$D$65+0.1)*(VLOOKUP(($F$16-$F$15)-1,AC$99:AG246,5,FALSE)))*EXP(-(LN(2)/$D$65+0.04)*(VLOOKUP(($F$16-$F$15)*2-1,AC$99:AG246,4,FALSE)))*EXP(-(LN(2)/$D$65+0.1)*(VLOOKUP(($F$16-$F$15)*2-1,AC$99:AG246,5,FALSE)))*EXP(-(LN(2)/$D$65+0.04)*AF246)*EXP(-(LN(2)/$D$65+0.1)*AG246),"-"))),"-")</f>
        <v>-</v>
      </c>
      <c r="AJ247" s="271" t="str">
        <f>IFERROR(IF(AD247=1,AJ$100*EXP(-(LN(2)/$D$65+0.04)*AF247)*EXP(-(LN(2)/$D$65+0.1)*AG247),IF(AD247=2,AJ$100*EXP(-(LN(2)/$D$65+0.04)*(VLOOKUP(($F$16-$F$15)-1,AC$100:AG247,4,FALSE)))*EXP(-(LN(2)/$D$65+0.1)*(VLOOKUP(($F$16-$F$15)-1,AC$100:AG247,5,FALSE)))*EXP(-(LN(2)/$D$65+0.04)*AF247)*EXP(-(LN(2)/$D$65+0.1)*AG247),IF(AD247=3,AJ$100*EXP(-(LN(2)/$D$65+0.04)*(VLOOKUP(($F$16-$F$15)-1,AC$100:AG247,4,FALSE)))*EXP(-(LN(2)/$D$65+0.1)*(VLOOKUP(($F$16-$F$15)-1,AC$100:AG247,5,FALSE)))*EXP(-(LN(2)/$D$65+0.04)*(VLOOKUP(($F$16-$F$15)*2-1,AC$100:AG247,4,FALSE)))*EXP(-(LN(2)/$D$65+0.1)*(VLOOKUP(($F$16-$F$15)*2-1,AC$100:AG247,5,FALSE)))*EXP(-(LN(2)/$D$65+0.04)*AF247)*EXP(-(LN(2)/$D$65+0.1)*AG247),"-"))),"-")</f>
        <v>-</v>
      </c>
      <c r="AK247" s="227">
        <f t="shared" si="215"/>
        <v>147</v>
      </c>
      <c r="AL247" s="226" t="str">
        <f t="shared" si="189"/>
        <v>-</v>
      </c>
      <c r="AM247" s="227" t="str">
        <f t="shared" si="216"/>
        <v>-</v>
      </c>
      <c r="AN247" s="227" t="str">
        <f t="shared" si="217"/>
        <v>-</v>
      </c>
      <c r="AO247" s="227" t="str">
        <f t="shared" si="190"/>
        <v>-</v>
      </c>
      <c r="AP247" s="273">
        <f t="shared" si="218"/>
        <v>0.1</v>
      </c>
      <c r="AQ247" s="271" t="str">
        <f>IFERROR(IF(AL246=1,AQ$100*EXP(-(LN(2)/$D$65+0.04)*AN246)*EXP(-(LN(2)/$D$65+0.1)*AO246),IF(AL246=2,AQ$100*EXP(-(LN(2)/$D$65+0.04)*(VLOOKUP(($F$16-$F$15)-1,AK$99:AO246,4,FALSE)))*EXP(-(LN(2)/$D$65+0.1)*(VLOOKUP(($F$16-$F$15)-1,AK$99:AO246,5,FALSE)))*EXP(-(LN(2)/$D$65+0.04)*AN246)*EXP(-(LN(2)/$D$65+0.1)*AO246),IF(AL246=3,AQ$100*EXP(-(LN(2)/$D$65+0.04)*(VLOOKUP(($F$16-$F$15)-1,AK$99:AO246,4,FALSE)))*EXP(-(LN(2)/$D$65+0.1)*(VLOOKUP(($F$16-$F$15)-1,AK$99:AO246,5,FALSE)))*EXP(-(LN(2)/$D$65+0.04)*(VLOOKUP(($F$16-$F$15)*2-1,AK$99:AO246,4,FALSE)))*EXP(-(LN(2)/$D$65+0.1)*(VLOOKUP(($F$16-$F$15)*2-1,AK$99:AO246,5,FALSE)))*EXP(-(LN(2)/$D$65+0.04)*AN246)*EXP(-(LN(2)/$D$65+0.1)*AO246),"-"))),"-")</f>
        <v>-</v>
      </c>
      <c r="AR247" s="271" t="str">
        <f>IFERROR(IF(AL247=1,AR$100*EXP(-(LN(2)/$D$65+0.04)*AN247)*EXP(-(LN(2)/$D$65+0.1)*AO247),IF(AL247=2,AR$100*EXP(-(LN(2)/$D$65+0.04)*(VLOOKUP(($F$16-$F$15)-1,AK$100:AO247,4,FALSE)))*EXP(-(LN(2)/$D$65+0.1)*(VLOOKUP(($F$16-$F$15)-1,AK$100:AO247,5,FALSE)))*EXP(-(LN(2)/$D$65+0.04)*AN247)*EXP(-(LN(2)/$D$65+0.1)*AO247),IF(AL247=3,AR$100*EXP(-(LN(2)/$D$65+0.04)*(VLOOKUP(($F$16-$F$15)-1,AK$100:AO247,4,FALSE)))*EXP(-(LN(2)/$D$65+0.1)*(VLOOKUP(($F$16-$F$15)-1,AK$100:AO247,5,FALSE)))*EXP(-(LN(2)/$D$65+0.04)*(VLOOKUP(($F$16-$F$15)*2-1,AK$100:AO247,4,FALSE)))*EXP(-(LN(2)/$D$65+0.1)*(VLOOKUP(($F$16-$F$15)*2-1,AK$100:AO247,5,FALSE)))*EXP(-(LN(2)/$D$65+0.04)*AN247)*EXP(-(LN(2)/$D$65+0.1)*AO247),"-"))),"-")</f>
        <v>-</v>
      </c>
      <c r="AS247" s="274">
        <f t="shared" si="191"/>
        <v>0</v>
      </c>
      <c r="AT247" s="274">
        <f t="shared" si="192"/>
        <v>0</v>
      </c>
      <c r="AU247" s="274">
        <f t="shared" si="193"/>
        <v>0</v>
      </c>
      <c r="AV247" s="190">
        <f>IF($B247&lt;$F$22,SUM($T$100:$T247),"")</f>
        <v>0</v>
      </c>
      <c r="AW247" s="190" t="str">
        <f t="shared" si="194"/>
        <v>-</v>
      </c>
      <c r="AX247" s="190" t="str">
        <f t="shared" si="219"/>
        <v/>
      </c>
      <c r="AY247"/>
      <c r="AZ247" s="190" t="str">
        <f ca="1">IF(ISNUMBER(OFFSET(AV247,-$F$21,0)),SUM(OFFSET($T$100,$F$21,0):$T247),"")</f>
        <v/>
      </c>
      <c r="BA247" s="190" t="str">
        <f t="shared" ca="1" si="195"/>
        <v/>
      </c>
      <c r="BB247" s="190" t="str">
        <f t="shared" ca="1" si="148"/>
        <v/>
      </c>
      <c r="BC247" s="190"/>
      <c r="BD247" s="190" t="str">
        <f ca="1">IFERROR(IF(AND($B247&gt;=($F$16-$F$15),$B247&lt;$F$22+($F$16-$F$15)),SUM(OFFSET($T$100,($F$16-$F$15),0):$T247),""),"")</f>
        <v/>
      </c>
      <c r="BE247" s="190" t="str">
        <f t="shared" ca="1" si="220"/>
        <v/>
      </c>
      <c r="BF247" s="190" t="str">
        <f t="shared" ca="1" si="221"/>
        <v/>
      </c>
      <c r="BG247"/>
      <c r="BH247" s="190" t="str">
        <f ca="1">IF(ISNUMBER(OFFSET(BD247,-$F$21,0)),SUM(OFFSET($T$100,($F$16-$F$15+$F$21),0):$T247),"")</f>
        <v/>
      </c>
      <c r="BI247" s="190" t="str">
        <f t="shared" ca="1" si="196"/>
        <v/>
      </c>
      <c r="BJ247" s="190" t="str">
        <f t="shared" ca="1" si="222"/>
        <v/>
      </c>
      <c r="BK247" s="190"/>
      <c r="BL247" s="190" t="str">
        <f ca="1">IFERROR(IF(AND($B247&gt;=($F$17-$F$15),$B247&lt;$F$22+($F$17-$F$15)),SUM(OFFSET($T$100,($F$17-$F$15),0):$T247),""),"")</f>
        <v/>
      </c>
      <c r="BM247" s="190" t="str">
        <f t="shared" ca="1" si="197"/>
        <v/>
      </c>
      <c r="BN247" s="190" t="str">
        <f t="shared" ca="1" si="223"/>
        <v/>
      </c>
      <c r="BO247"/>
      <c r="BP247" s="190" t="str">
        <f ca="1">IF(ISNUMBER(OFFSET(BL247,-$F$21,0)),SUM(OFFSET($T$100,($F$17-$F$15+$F$21),0):$T247),"")</f>
        <v/>
      </c>
      <c r="BQ247" s="190" t="str">
        <f t="shared" ca="1" si="198"/>
        <v/>
      </c>
      <c r="BR247" s="190" t="str">
        <f t="shared" ca="1" si="224"/>
        <v/>
      </c>
      <c r="BS247" s="190"/>
      <c r="BT247"/>
      <c r="BU247"/>
      <c r="BV247"/>
      <c r="BY247" s="99"/>
      <c r="BZ247" s="99"/>
      <c r="CA247" s="280" t="str">
        <f t="shared" si="199"/>
        <v/>
      </c>
      <c r="CB247" s="71" t="str">
        <f t="shared" si="200"/>
        <v>-</v>
      </c>
      <c r="CC247" s="33"/>
      <c r="CD247" s="261" t="str">
        <f t="shared" si="201"/>
        <v/>
      </c>
      <c r="CE247" s="280" t="str">
        <f t="shared" si="202"/>
        <v>-</v>
      </c>
      <c r="CF247" s="71" t="str">
        <f t="shared" ca="1" si="203"/>
        <v>-</v>
      </c>
      <c r="CG247" s="33" t="str">
        <f t="shared" si="204"/>
        <v>147-148</v>
      </c>
      <c r="CH247" s="261" t="str">
        <f t="shared" ca="1" si="205"/>
        <v/>
      </c>
    </row>
    <row r="248" spans="2:86" ht="13.5" customHeight="1" x14ac:dyDescent="0.2">
      <c r="B248" s="262">
        <v>148</v>
      </c>
      <c r="C248" s="237" t="str">
        <f t="shared" si="169"/>
        <v/>
      </c>
      <c r="D248" s="237" t="str">
        <f t="shared" si="225"/>
        <v>-</v>
      </c>
      <c r="E248" s="263" t="str">
        <f t="shared" si="206"/>
        <v/>
      </c>
      <c r="F248" s="264" t="str">
        <f t="shared" si="207"/>
        <v/>
      </c>
      <c r="G248" s="264" t="str">
        <f t="shared" si="208"/>
        <v/>
      </c>
      <c r="H248" s="240" t="str">
        <f t="shared" si="170"/>
        <v/>
      </c>
      <c r="I248" s="265" t="str">
        <f t="shared" si="171"/>
        <v/>
      </c>
      <c r="J248" s="265" t="str">
        <f t="shared" si="172"/>
        <v/>
      </c>
      <c r="K248" s="240" t="str">
        <f t="shared" si="173"/>
        <v/>
      </c>
      <c r="L248" s="265" t="str">
        <f t="shared" si="174"/>
        <v/>
      </c>
      <c r="M248" s="265" t="str">
        <f t="shared" si="175"/>
        <v/>
      </c>
      <c r="N248" s="240" t="str">
        <f t="shared" si="176"/>
        <v>-</v>
      </c>
      <c r="O248" s="265" t="str">
        <f t="shared" si="177"/>
        <v>-</v>
      </c>
      <c r="P248" s="265" t="str">
        <f t="shared" si="178"/>
        <v>-</v>
      </c>
      <c r="Q248" s="266" t="str">
        <f t="shared" si="179"/>
        <v>-</v>
      </c>
      <c r="R248" s="267" t="str">
        <f t="shared" si="180"/>
        <v>-</v>
      </c>
      <c r="S248" s="268" t="str">
        <f t="shared" si="181"/>
        <v>-</v>
      </c>
      <c r="T248" s="269" t="str">
        <f t="shared" si="182"/>
        <v/>
      </c>
      <c r="U248" s="221">
        <f t="shared" si="183"/>
        <v>148</v>
      </c>
      <c r="V248" s="220" t="str">
        <f t="shared" si="209"/>
        <v>-</v>
      </c>
      <c r="W248" s="221" t="str">
        <f t="shared" si="210"/>
        <v>-</v>
      </c>
      <c r="X248" s="221" t="str">
        <f t="shared" si="184"/>
        <v>-</v>
      </c>
      <c r="Y248" s="221" t="str">
        <f t="shared" si="185"/>
        <v>-</v>
      </c>
      <c r="Z248" s="270">
        <f t="shared" si="211"/>
        <v>0.1</v>
      </c>
      <c r="AA248" s="271" t="str">
        <f>IFERROR(IF(V247=1,AA$100*EXP(-(LN(2)/$D$65+0.04)*X247)*EXP(-(LN(2)/$D$65+0.1)*Y247),IF(V247=2,AA$100*EXP(-(LN(2)/$D$65+0.04)*(VLOOKUP(($F$16-$F$15)-1,U$99:Y247,4,FALSE)))*EXP(-(LN(2)/$D$65+0.1)*(VLOOKUP(($F$16-$F$15)-1,U$99:Y247,5,FALSE)))*EXP(-(LN(2)/$D$65+0.04)*X247)*EXP(-(LN(2)/$D$65+0.1)*Y247),IF(V247=3,AA$100*EXP(-(LN(2)/$D$65+0.04)*(VLOOKUP(($F$16-$F$15)-1,U$99:Y247,4,FALSE)))*EXP(-(LN(2)/$D$65+0.1)*(VLOOKUP(($F$16-$F$15)-1,U$99:Y247,5,FALSE)))*EXP(-(LN(2)/$D$65+0.04)*(VLOOKUP(($F$16-$F$15)*2-1,U$99:Y247,4,FALSE)))*EXP(-(LN(2)/$D$65+0.1)*(VLOOKUP(($F$16-$F$15)*2-1,U$99:Y247,5,FALSE)))*EXP(-(LN(2)/$D$65+0.04)*X247)*EXP(-(LN(2)/$D$65+0.1)*Y247),"-"))),"-")</f>
        <v>-</v>
      </c>
      <c r="AB248" s="271" t="str">
        <f>IFERROR(IF(V248=1,AB$100*EXP(-(LN(2)/$D$65+0.04)*X248)*EXP(-(LN(2)/$D$65+0.1)*Y248),IF(V248=2,AB$100*EXP(-(LN(2)/$D$65+0.04)*(VLOOKUP(($F$16-$F$15)-1,U$100:Y248,4,FALSE)))*EXP(-(LN(2)/$D$65+0.1)*(VLOOKUP(($F$16-$F$15)-1,U$100:Y248,5,FALSE)))*EXP(-(LN(2)/$D$65+0.04)*X248)*EXP(-(LN(2)/$D$65+0.1)*Y248),IF(V248=3,AB$100*EXP(-(LN(2)/$D$65+0.04)*(VLOOKUP(($F$16-$F$15)-1,U$100:Y248,4,FALSE)))*EXP(-(LN(2)/$D$65+0.1)*(VLOOKUP(($F$16-$F$15)-1,U$100:Y248,5,FALSE)))*EXP(-(LN(2)/$D$65+0.04)*(VLOOKUP(($F$16-$F$15)*2-1,U$100:Y248,4,FALSE)))*EXP(-(LN(2)/$D$65+0.1)*(VLOOKUP(($F$16-$F$15)*2-1,U$100:Y248,5,FALSE)))*EXP(-(LN(2)/$D$65+0.04)*X248)*EXP(-(LN(2)/$D$65+0.1)*Y248),"-"))),"-")</f>
        <v>-</v>
      </c>
      <c r="AC248" s="224">
        <f t="shared" si="226"/>
        <v>148</v>
      </c>
      <c r="AD248" s="223" t="str">
        <f t="shared" si="186"/>
        <v>-</v>
      </c>
      <c r="AE248" s="224" t="str">
        <f t="shared" si="213"/>
        <v>-</v>
      </c>
      <c r="AF248" s="224" t="str">
        <f t="shared" si="187"/>
        <v>-</v>
      </c>
      <c r="AG248" s="224" t="str">
        <f t="shared" si="188"/>
        <v>-</v>
      </c>
      <c r="AH248" s="272">
        <f t="shared" si="214"/>
        <v>0.1</v>
      </c>
      <c r="AI248" s="271" t="str">
        <f>IFERROR(IF(AD247=1,AI$100*EXP(-(LN(2)/$D$65+0.04)*AF247)*EXP(-(LN(2)/$D$65+0.1)*AG247),IF(AD247=2,AI$100*EXP(-(LN(2)/$D$65+0.04)*(VLOOKUP(($F$16-$F$15)-1,AC$99:AG247,4,FALSE)))*EXP(-(LN(2)/$D$65+0.1)*(VLOOKUP(($F$16-$F$15)-1,AC$99:AG247,5,FALSE)))*EXP(-(LN(2)/$D$65+0.04)*AF247)*EXP(-(LN(2)/$D$65+0.1)*AG247),IF(AD247=3,AI$100*EXP(-(LN(2)/$D$65+0.04)*(VLOOKUP(($F$16-$F$15)-1,AC$99:AG247,4,FALSE)))*EXP(-(LN(2)/$D$65+0.1)*(VLOOKUP(($F$16-$F$15)-1,AC$99:AG247,5,FALSE)))*EXP(-(LN(2)/$D$65+0.04)*(VLOOKUP(($F$16-$F$15)*2-1,AC$99:AG247,4,FALSE)))*EXP(-(LN(2)/$D$65+0.1)*(VLOOKUP(($F$16-$F$15)*2-1,AC$99:AG247,5,FALSE)))*EXP(-(LN(2)/$D$65+0.04)*AF247)*EXP(-(LN(2)/$D$65+0.1)*AG247),"-"))),"-")</f>
        <v>-</v>
      </c>
      <c r="AJ248" s="271" t="str">
        <f>IFERROR(IF(AD248=1,AJ$100*EXP(-(LN(2)/$D$65+0.04)*AF248)*EXP(-(LN(2)/$D$65+0.1)*AG248),IF(AD248=2,AJ$100*EXP(-(LN(2)/$D$65+0.04)*(VLOOKUP(($F$16-$F$15)-1,AC$100:AG248,4,FALSE)))*EXP(-(LN(2)/$D$65+0.1)*(VLOOKUP(($F$16-$F$15)-1,AC$100:AG248,5,FALSE)))*EXP(-(LN(2)/$D$65+0.04)*AF248)*EXP(-(LN(2)/$D$65+0.1)*AG248),IF(AD248=3,AJ$100*EXP(-(LN(2)/$D$65+0.04)*(VLOOKUP(($F$16-$F$15)-1,AC$100:AG248,4,FALSE)))*EXP(-(LN(2)/$D$65+0.1)*(VLOOKUP(($F$16-$F$15)-1,AC$100:AG248,5,FALSE)))*EXP(-(LN(2)/$D$65+0.04)*(VLOOKUP(($F$16-$F$15)*2-1,AC$100:AG248,4,FALSE)))*EXP(-(LN(2)/$D$65+0.1)*(VLOOKUP(($F$16-$F$15)*2-1,AC$100:AG248,5,FALSE)))*EXP(-(LN(2)/$D$65+0.04)*AF248)*EXP(-(LN(2)/$D$65+0.1)*AG248),"-"))),"-")</f>
        <v>-</v>
      </c>
      <c r="AK248" s="227">
        <f t="shared" si="215"/>
        <v>148</v>
      </c>
      <c r="AL248" s="226" t="str">
        <f t="shared" si="189"/>
        <v>-</v>
      </c>
      <c r="AM248" s="227" t="str">
        <f t="shared" si="216"/>
        <v>-</v>
      </c>
      <c r="AN248" s="227" t="str">
        <f t="shared" si="217"/>
        <v>-</v>
      </c>
      <c r="AO248" s="227" t="str">
        <f t="shared" si="190"/>
        <v>-</v>
      </c>
      <c r="AP248" s="273">
        <f t="shared" si="218"/>
        <v>0.1</v>
      </c>
      <c r="AQ248" s="271" t="str">
        <f>IFERROR(IF(AL247=1,AQ$100*EXP(-(LN(2)/$D$65+0.04)*AN247)*EXP(-(LN(2)/$D$65+0.1)*AO247),IF(AL247=2,AQ$100*EXP(-(LN(2)/$D$65+0.04)*(VLOOKUP(($F$16-$F$15)-1,AK$99:AO247,4,FALSE)))*EXP(-(LN(2)/$D$65+0.1)*(VLOOKUP(($F$16-$F$15)-1,AK$99:AO247,5,FALSE)))*EXP(-(LN(2)/$D$65+0.04)*AN247)*EXP(-(LN(2)/$D$65+0.1)*AO247),IF(AL247=3,AQ$100*EXP(-(LN(2)/$D$65+0.04)*(VLOOKUP(($F$16-$F$15)-1,AK$99:AO247,4,FALSE)))*EXP(-(LN(2)/$D$65+0.1)*(VLOOKUP(($F$16-$F$15)-1,AK$99:AO247,5,FALSE)))*EXP(-(LN(2)/$D$65+0.04)*(VLOOKUP(($F$16-$F$15)*2-1,AK$99:AO247,4,FALSE)))*EXP(-(LN(2)/$D$65+0.1)*(VLOOKUP(($F$16-$F$15)*2-1,AK$99:AO247,5,FALSE)))*EXP(-(LN(2)/$D$65+0.04)*AN247)*EXP(-(LN(2)/$D$65+0.1)*AO247),"-"))),"-")</f>
        <v>-</v>
      </c>
      <c r="AR248" s="271" t="str">
        <f>IFERROR(IF(AL248=1,AR$100*EXP(-(LN(2)/$D$65+0.04)*AN248)*EXP(-(LN(2)/$D$65+0.1)*AO248),IF(AL248=2,AR$100*EXP(-(LN(2)/$D$65+0.04)*(VLOOKUP(($F$16-$F$15)-1,AK$100:AO248,4,FALSE)))*EXP(-(LN(2)/$D$65+0.1)*(VLOOKUP(($F$16-$F$15)-1,AK$100:AO248,5,FALSE)))*EXP(-(LN(2)/$D$65+0.04)*AN248)*EXP(-(LN(2)/$D$65+0.1)*AO248),IF(AL248=3,AR$100*EXP(-(LN(2)/$D$65+0.04)*(VLOOKUP(($F$16-$F$15)-1,AK$100:AO248,4,FALSE)))*EXP(-(LN(2)/$D$65+0.1)*(VLOOKUP(($F$16-$F$15)-1,AK$100:AO248,5,FALSE)))*EXP(-(LN(2)/$D$65+0.04)*(VLOOKUP(($F$16-$F$15)*2-1,AK$100:AO248,4,FALSE)))*EXP(-(LN(2)/$D$65+0.1)*(VLOOKUP(($F$16-$F$15)*2-1,AK$100:AO248,5,FALSE)))*EXP(-(LN(2)/$D$65+0.04)*AN248)*EXP(-(LN(2)/$D$65+0.1)*AO248),"-"))),"-")</f>
        <v>-</v>
      </c>
      <c r="AS248" s="274">
        <f t="shared" si="191"/>
        <v>0</v>
      </c>
      <c r="AT248" s="274">
        <f t="shared" si="192"/>
        <v>0</v>
      </c>
      <c r="AU248" s="274">
        <f t="shared" si="193"/>
        <v>0</v>
      </c>
      <c r="AV248" s="190">
        <f>IF($B248&lt;$F$22,SUM($T$100:$T248),"")</f>
        <v>0</v>
      </c>
      <c r="AW248" s="190" t="str">
        <f t="shared" si="194"/>
        <v>-</v>
      </c>
      <c r="AX248" s="190" t="str">
        <f t="shared" si="219"/>
        <v/>
      </c>
      <c r="AY248"/>
      <c r="AZ248" s="190" t="str">
        <f ca="1">IF(ISNUMBER(OFFSET(AV248,-$F$21,0)),SUM(OFFSET($T$100,$F$21,0):$T248),"")</f>
        <v/>
      </c>
      <c r="BA248" s="190" t="str">
        <f t="shared" ca="1" si="195"/>
        <v/>
      </c>
      <c r="BB248" s="190" t="str">
        <f t="shared" ca="1" si="148"/>
        <v/>
      </c>
      <c r="BC248" s="190"/>
      <c r="BD248" s="190" t="str">
        <f ca="1">IFERROR(IF(AND($B248&gt;=($F$16-$F$15),$B248&lt;$F$22+($F$16-$F$15)),SUM(OFFSET($T$100,($F$16-$F$15),0):$T248),""),"")</f>
        <v/>
      </c>
      <c r="BE248" s="190" t="str">
        <f t="shared" ca="1" si="220"/>
        <v/>
      </c>
      <c r="BF248" s="190" t="str">
        <f t="shared" ca="1" si="221"/>
        <v/>
      </c>
      <c r="BG248"/>
      <c r="BH248" s="190" t="str">
        <f ca="1">IF(ISNUMBER(OFFSET(BD248,-$F$21,0)),SUM(OFFSET($T$100,($F$16-$F$15+$F$21),0):$T248),"")</f>
        <v/>
      </c>
      <c r="BI248" s="190" t="str">
        <f t="shared" ca="1" si="196"/>
        <v/>
      </c>
      <c r="BJ248" s="190" t="str">
        <f t="shared" ca="1" si="222"/>
        <v/>
      </c>
      <c r="BK248" s="190"/>
      <c r="BL248" s="190" t="str">
        <f ca="1">IFERROR(IF(AND($B248&gt;=($F$17-$F$15),$B248&lt;$F$22+($F$17-$F$15)),SUM(OFFSET($T$100,($F$17-$F$15),0):$T248),""),"")</f>
        <v/>
      </c>
      <c r="BM248" s="190" t="str">
        <f t="shared" ca="1" si="197"/>
        <v/>
      </c>
      <c r="BN248" s="190" t="str">
        <f t="shared" ca="1" si="223"/>
        <v/>
      </c>
      <c r="BO248"/>
      <c r="BP248" s="190" t="str">
        <f ca="1">IF(ISNUMBER(OFFSET(BL248,-$F$21,0)),SUM(OFFSET($T$100,($F$17-$F$15+$F$21),0):$T248),"")</f>
        <v/>
      </c>
      <c r="BQ248" s="190" t="str">
        <f t="shared" ca="1" si="198"/>
        <v/>
      </c>
      <c r="BR248" s="190" t="str">
        <f t="shared" ca="1" si="224"/>
        <v/>
      </c>
      <c r="BS248" s="190"/>
      <c r="BT248"/>
      <c r="BU248"/>
      <c r="BV248"/>
      <c r="BY248" s="99"/>
      <c r="BZ248" s="99"/>
      <c r="CA248" s="280" t="str">
        <f t="shared" si="199"/>
        <v/>
      </c>
      <c r="CB248" s="71" t="str">
        <f t="shared" si="200"/>
        <v>-</v>
      </c>
      <c r="CC248" s="33"/>
      <c r="CD248" s="261" t="str">
        <f t="shared" si="201"/>
        <v/>
      </c>
      <c r="CE248" s="280" t="str">
        <f t="shared" si="202"/>
        <v>-</v>
      </c>
      <c r="CF248" s="71" t="str">
        <f t="shared" ca="1" si="203"/>
        <v>-</v>
      </c>
      <c r="CG248" s="33" t="str">
        <f t="shared" si="204"/>
        <v>148-149</v>
      </c>
      <c r="CH248" s="261" t="str">
        <f t="shared" ca="1" si="205"/>
        <v/>
      </c>
    </row>
    <row r="249" spans="2:86" ht="13.5" customHeight="1" x14ac:dyDescent="0.2">
      <c r="B249" s="262">
        <v>149</v>
      </c>
      <c r="C249" s="237" t="str">
        <f t="shared" si="169"/>
        <v/>
      </c>
      <c r="D249" s="237" t="str">
        <f t="shared" si="225"/>
        <v>-</v>
      </c>
      <c r="E249" s="263" t="str">
        <f t="shared" si="206"/>
        <v/>
      </c>
      <c r="F249" s="264" t="str">
        <f t="shared" si="207"/>
        <v/>
      </c>
      <c r="G249" s="264" t="str">
        <f t="shared" si="208"/>
        <v/>
      </c>
      <c r="H249" s="240" t="str">
        <f t="shared" si="170"/>
        <v/>
      </c>
      <c r="I249" s="265" t="str">
        <f t="shared" si="171"/>
        <v/>
      </c>
      <c r="J249" s="265" t="str">
        <f t="shared" si="172"/>
        <v/>
      </c>
      <c r="K249" s="240" t="str">
        <f t="shared" si="173"/>
        <v/>
      </c>
      <c r="L249" s="265" t="str">
        <f t="shared" si="174"/>
        <v/>
      </c>
      <c r="M249" s="265" t="str">
        <f t="shared" si="175"/>
        <v/>
      </c>
      <c r="N249" s="240" t="str">
        <f t="shared" si="176"/>
        <v>-</v>
      </c>
      <c r="O249" s="265" t="str">
        <f t="shared" si="177"/>
        <v>-</v>
      </c>
      <c r="P249" s="265" t="str">
        <f t="shared" si="178"/>
        <v>-</v>
      </c>
      <c r="Q249" s="266" t="str">
        <f t="shared" si="179"/>
        <v>-</v>
      </c>
      <c r="R249" s="267" t="str">
        <f t="shared" si="180"/>
        <v>-</v>
      </c>
      <c r="S249" s="268" t="str">
        <f t="shared" si="181"/>
        <v>-</v>
      </c>
      <c r="T249" s="269" t="str">
        <f t="shared" si="182"/>
        <v/>
      </c>
      <c r="U249" s="221">
        <f t="shared" si="183"/>
        <v>149</v>
      </c>
      <c r="V249" s="220" t="str">
        <f t="shared" si="209"/>
        <v>-</v>
      </c>
      <c r="W249" s="221" t="str">
        <f t="shared" si="210"/>
        <v>-</v>
      </c>
      <c r="X249" s="221" t="str">
        <f t="shared" si="184"/>
        <v>-</v>
      </c>
      <c r="Y249" s="221" t="str">
        <f t="shared" si="185"/>
        <v>-</v>
      </c>
      <c r="Z249" s="270">
        <f t="shared" si="211"/>
        <v>0.1</v>
      </c>
      <c r="AA249" s="271" t="str">
        <f>IFERROR(IF(V248=1,AA$100*EXP(-(LN(2)/$D$65+0.04)*X248)*EXP(-(LN(2)/$D$65+0.1)*Y248),IF(V248=2,AA$100*EXP(-(LN(2)/$D$65+0.04)*(VLOOKUP(($F$16-$F$15)-1,U$99:Y248,4,FALSE)))*EXP(-(LN(2)/$D$65+0.1)*(VLOOKUP(($F$16-$F$15)-1,U$99:Y248,5,FALSE)))*EXP(-(LN(2)/$D$65+0.04)*X248)*EXP(-(LN(2)/$D$65+0.1)*Y248),IF(V248=3,AA$100*EXP(-(LN(2)/$D$65+0.04)*(VLOOKUP(($F$16-$F$15)-1,U$99:Y248,4,FALSE)))*EXP(-(LN(2)/$D$65+0.1)*(VLOOKUP(($F$16-$F$15)-1,U$99:Y248,5,FALSE)))*EXP(-(LN(2)/$D$65+0.04)*(VLOOKUP(($F$16-$F$15)*2-1,U$99:Y248,4,FALSE)))*EXP(-(LN(2)/$D$65+0.1)*(VLOOKUP(($F$16-$F$15)*2-1,U$99:Y248,5,FALSE)))*EXP(-(LN(2)/$D$65+0.04)*X248)*EXP(-(LN(2)/$D$65+0.1)*Y248),"-"))),"-")</f>
        <v>-</v>
      </c>
      <c r="AB249" s="271" t="str">
        <f>IFERROR(IF(V249=1,AB$100*EXP(-(LN(2)/$D$65+0.04)*X249)*EXP(-(LN(2)/$D$65+0.1)*Y249),IF(V249=2,AB$100*EXP(-(LN(2)/$D$65+0.04)*(VLOOKUP(($F$16-$F$15)-1,U$100:Y249,4,FALSE)))*EXP(-(LN(2)/$D$65+0.1)*(VLOOKUP(($F$16-$F$15)-1,U$100:Y249,5,FALSE)))*EXP(-(LN(2)/$D$65+0.04)*X249)*EXP(-(LN(2)/$D$65+0.1)*Y249),IF(V249=3,AB$100*EXP(-(LN(2)/$D$65+0.04)*(VLOOKUP(($F$16-$F$15)-1,U$100:Y249,4,FALSE)))*EXP(-(LN(2)/$D$65+0.1)*(VLOOKUP(($F$16-$F$15)-1,U$100:Y249,5,FALSE)))*EXP(-(LN(2)/$D$65+0.04)*(VLOOKUP(($F$16-$F$15)*2-1,U$100:Y249,4,FALSE)))*EXP(-(LN(2)/$D$65+0.1)*(VLOOKUP(($F$16-$F$15)*2-1,U$100:Y249,5,FALSE)))*EXP(-(LN(2)/$D$65+0.04)*X249)*EXP(-(LN(2)/$D$65+0.1)*Y249),"-"))),"-")</f>
        <v>-</v>
      </c>
      <c r="AC249" s="224">
        <f t="shared" si="226"/>
        <v>149</v>
      </c>
      <c r="AD249" s="223" t="str">
        <f t="shared" si="186"/>
        <v>-</v>
      </c>
      <c r="AE249" s="224" t="str">
        <f t="shared" si="213"/>
        <v>-</v>
      </c>
      <c r="AF249" s="224" t="str">
        <f t="shared" si="187"/>
        <v>-</v>
      </c>
      <c r="AG249" s="224" t="str">
        <f t="shared" si="188"/>
        <v>-</v>
      </c>
      <c r="AH249" s="272">
        <f t="shared" si="214"/>
        <v>0.1</v>
      </c>
      <c r="AI249" s="271" t="str">
        <f>IFERROR(IF(AD248=1,AI$100*EXP(-(LN(2)/$D$65+0.04)*AF248)*EXP(-(LN(2)/$D$65+0.1)*AG248),IF(AD248=2,AI$100*EXP(-(LN(2)/$D$65+0.04)*(VLOOKUP(($F$16-$F$15)-1,AC$99:AG248,4,FALSE)))*EXP(-(LN(2)/$D$65+0.1)*(VLOOKUP(($F$16-$F$15)-1,AC$99:AG248,5,FALSE)))*EXP(-(LN(2)/$D$65+0.04)*AF248)*EXP(-(LN(2)/$D$65+0.1)*AG248),IF(AD248=3,AI$100*EXP(-(LN(2)/$D$65+0.04)*(VLOOKUP(($F$16-$F$15)-1,AC$99:AG248,4,FALSE)))*EXP(-(LN(2)/$D$65+0.1)*(VLOOKUP(($F$16-$F$15)-1,AC$99:AG248,5,FALSE)))*EXP(-(LN(2)/$D$65+0.04)*(VLOOKUP(($F$16-$F$15)*2-1,AC$99:AG248,4,FALSE)))*EXP(-(LN(2)/$D$65+0.1)*(VLOOKUP(($F$16-$F$15)*2-1,AC$99:AG248,5,FALSE)))*EXP(-(LN(2)/$D$65+0.04)*AF248)*EXP(-(LN(2)/$D$65+0.1)*AG248),"-"))),"-")</f>
        <v>-</v>
      </c>
      <c r="AJ249" s="271" t="str">
        <f>IFERROR(IF(AD249=1,AJ$100*EXP(-(LN(2)/$D$65+0.04)*AF249)*EXP(-(LN(2)/$D$65+0.1)*AG249),IF(AD249=2,AJ$100*EXP(-(LN(2)/$D$65+0.04)*(VLOOKUP(($F$16-$F$15)-1,AC$100:AG249,4,FALSE)))*EXP(-(LN(2)/$D$65+0.1)*(VLOOKUP(($F$16-$F$15)-1,AC$100:AG249,5,FALSE)))*EXP(-(LN(2)/$D$65+0.04)*AF249)*EXP(-(LN(2)/$D$65+0.1)*AG249),IF(AD249=3,AJ$100*EXP(-(LN(2)/$D$65+0.04)*(VLOOKUP(($F$16-$F$15)-1,AC$100:AG249,4,FALSE)))*EXP(-(LN(2)/$D$65+0.1)*(VLOOKUP(($F$16-$F$15)-1,AC$100:AG249,5,FALSE)))*EXP(-(LN(2)/$D$65+0.04)*(VLOOKUP(($F$16-$F$15)*2-1,AC$100:AG249,4,FALSE)))*EXP(-(LN(2)/$D$65+0.1)*(VLOOKUP(($F$16-$F$15)*2-1,AC$100:AG249,5,FALSE)))*EXP(-(LN(2)/$D$65+0.04)*AF249)*EXP(-(LN(2)/$D$65+0.1)*AG249),"-"))),"-")</f>
        <v>-</v>
      </c>
      <c r="AK249" s="227">
        <f t="shared" si="215"/>
        <v>149</v>
      </c>
      <c r="AL249" s="226" t="str">
        <f t="shared" si="189"/>
        <v>-</v>
      </c>
      <c r="AM249" s="227" t="str">
        <f t="shared" si="216"/>
        <v>-</v>
      </c>
      <c r="AN249" s="227" t="str">
        <f t="shared" si="217"/>
        <v>-</v>
      </c>
      <c r="AO249" s="227" t="str">
        <f t="shared" si="190"/>
        <v>-</v>
      </c>
      <c r="AP249" s="273">
        <f t="shared" si="218"/>
        <v>0.1</v>
      </c>
      <c r="AQ249" s="271" t="str">
        <f>IFERROR(IF(AL248=1,AQ$100*EXP(-(LN(2)/$D$65+0.04)*AN248)*EXP(-(LN(2)/$D$65+0.1)*AO248),IF(AL248=2,AQ$100*EXP(-(LN(2)/$D$65+0.04)*(VLOOKUP(($F$16-$F$15)-1,AK$99:AO248,4,FALSE)))*EXP(-(LN(2)/$D$65+0.1)*(VLOOKUP(($F$16-$F$15)-1,AK$99:AO248,5,FALSE)))*EXP(-(LN(2)/$D$65+0.04)*AN248)*EXP(-(LN(2)/$D$65+0.1)*AO248),IF(AL248=3,AQ$100*EXP(-(LN(2)/$D$65+0.04)*(VLOOKUP(($F$16-$F$15)-1,AK$99:AO248,4,FALSE)))*EXP(-(LN(2)/$D$65+0.1)*(VLOOKUP(($F$16-$F$15)-1,AK$99:AO248,5,FALSE)))*EXP(-(LN(2)/$D$65+0.04)*(VLOOKUP(($F$16-$F$15)*2-1,AK$99:AO248,4,FALSE)))*EXP(-(LN(2)/$D$65+0.1)*(VLOOKUP(($F$16-$F$15)*2-1,AK$99:AO248,5,FALSE)))*EXP(-(LN(2)/$D$65+0.04)*AN248)*EXP(-(LN(2)/$D$65+0.1)*AO248),"-"))),"-")</f>
        <v>-</v>
      </c>
      <c r="AR249" s="271" t="str">
        <f>IFERROR(IF(AL249=1,AR$100*EXP(-(LN(2)/$D$65+0.04)*AN249)*EXP(-(LN(2)/$D$65+0.1)*AO249),IF(AL249=2,AR$100*EXP(-(LN(2)/$D$65+0.04)*(VLOOKUP(($F$16-$F$15)-1,AK$100:AO249,4,FALSE)))*EXP(-(LN(2)/$D$65+0.1)*(VLOOKUP(($F$16-$F$15)-1,AK$100:AO249,5,FALSE)))*EXP(-(LN(2)/$D$65+0.04)*AN249)*EXP(-(LN(2)/$D$65+0.1)*AO249),IF(AL249=3,AR$100*EXP(-(LN(2)/$D$65+0.04)*(VLOOKUP(($F$16-$F$15)-1,AK$100:AO249,4,FALSE)))*EXP(-(LN(2)/$D$65+0.1)*(VLOOKUP(($F$16-$F$15)-1,AK$100:AO249,5,FALSE)))*EXP(-(LN(2)/$D$65+0.04)*(VLOOKUP(($F$16-$F$15)*2-1,AK$100:AO249,4,FALSE)))*EXP(-(LN(2)/$D$65+0.1)*(VLOOKUP(($F$16-$F$15)*2-1,AK$100:AO249,5,FALSE)))*EXP(-(LN(2)/$D$65+0.04)*AN249)*EXP(-(LN(2)/$D$65+0.1)*AO249),"-"))),"-")</f>
        <v>-</v>
      </c>
      <c r="AS249" s="274">
        <f t="shared" si="191"/>
        <v>0</v>
      </c>
      <c r="AT249" s="274">
        <f t="shared" si="192"/>
        <v>0</v>
      </c>
      <c r="AU249" s="274">
        <f t="shared" si="193"/>
        <v>0</v>
      </c>
      <c r="AV249" s="190">
        <f>IF($B249&lt;$F$22,SUM($T$100:$T249),"")</f>
        <v>0</v>
      </c>
      <c r="AW249" s="190" t="str">
        <f t="shared" si="194"/>
        <v>-</v>
      </c>
      <c r="AX249" s="190" t="str">
        <f t="shared" si="219"/>
        <v/>
      </c>
      <c r="AY249"/>
      <c r="AZ249" s="190" t="str">
        <f ca="1">IF(ISNUMBER(OFFSET(AV249,-$F$21,0)),SUM(OFFSET($T$100,$F$21,0):$T249),"")</f>
        <v/>
      </c>
      <c r="BA249" s="190" t="str">
        <f t="shared" ca="1" si="195"/>
        <v/>
      </c>
      <c r="BB249" s="190" t="str">
        <f ca="1">IF(ISNUMBER(AZ249),(AZ249-BA249)/(3*86400*(OFFSET($B249,-$F$21,0)+1))*1000,"")</f>
        <v/>
      </c>
      <c r="BC249" s="190"/>
      <c r="BD249" s="190" t="str">
        <f ca="1">IFERROR(IF(AND($B249&gt;=($F$16-$F$15),$B249&lt;$F$22+($F$16-$F$15)),SUM(OFFSET($T$100,($F$16-$F$15),0):$T249),""),"")</f>
        <v/>
      </c>
      <c r="BE249" s="190" t="str">
        <f t="shared" ca="1" si="220"/>
        <v/>
      </c>
      <c r="BF249" s="190" t="str">
        <f t="shared" ca="1" si="221"/>
        <v/>
      </c>
      <c r="BG249"/>
      <c r="BH249" s="190" t="str">
        <f ca="1">IF(ISNUMBER(OFFSET(BD249,-$F$21,0)),SUM(OFFSET($T$100,($F$16-$F$15+$F$21),0):$T249),"")</f>
        <v/>
      </c>
      <c r="BI249" s="190" t="str">
        <f t="shared" ca="1" si="196"/>
        <v/>
      </c>
      <c r="BJ249" s="190" t="str">
        <f t="shared" ca="1" si="222"/>
        <v/>
      </c>
      <c r="BK249" s="190"/>
      <c r="BL249" s="190" t="str">
        <f ca="1">IFERROR(IF(AND($B249&gt;=($F$17-$F$15),$B249&lt;$F$22+($F$17-$F$15)),SUM(OFFSET($T$100,($F$17-$F$15),0):$T249),""),"")</f>
        <v/>
      </c>
      <c r="BM249" s="190" t="str">
        <f t="shared" ca="1" si="197"/>
        <v/>
      </c>
      <c r="BN249" s="190" t="str">
        <f t="shared" ca="1" si="223"/>
        <v/>
      </c>
      <c r="BO249"/>
      <c r="BP249" s="190" t="str">
        <f ca="1">IF(ISNUMBER(OFFSET(BL249,-$F$21,0)),SUM(OFFSET($T$100,($F$17-$F$15+$F$21),0):$T249),"")</f>
        <v/>
      </c>
      <c r="BQ249" s="190" t="str">
        <f t="shared" ca="1" si="198"/>
        <v/>
      </c>
      <c r="BR249" s="190" t="str">
        <f t="shared" ca="1" si="224"/>
        <v/>
      </c>
      <c r="BS249" s="190"/>
      <c r="BT249"/>
      <c r="BU249"/>
      <c r="BV249"/>
      <c r="BY249" s="99"/>
      <c r="BZ249" s="99"/>
      <c r="CA249" s="280" t="str">
        <f t="shared" si="199"/>
        <v/>
      </c>
      <c r="CB249" s="71" t="str">
        <f t="shared" si="200"/>
        <v>-</v>
      </c>
      <c r="CC249" s="33"/>
      <c r="CD249" s="261" t="str">
        <f t="shared" si="201"/>
        <v/>
      </c>
      <c r="CE249" s="280" t="str">
        <f t="shared" si="202"/>
        <v>-</v>
      </c>
      <c r="CF249" s="71" t="str">
        <f t="shared" ca="1" si="203"/>
        <v>-</v>
      </c>
      <c r="CG249" s="33" t="str">
        <f t="shared" si="204"/>
        <v>149-150</v>
      </c>
      <c r="CH249" s="261" t="str">
        <f t="shared" ca="1" si="205"/>
        <v/>
      </c>
    </row>
    <row r="250" spans="2:86" ht="13.5" customHeight="1" x14ac:dyDescent="0.2">
      <c r="B250" s="262">
        <v>150</v>
      </c>
      <c r="C250" s="237" t="str">
        <f t="shared" si="169"/>
        <v/>
      </c>
      <c r="D250" s="237" t="str">
        <f t="shared" si="225"/>
        <v>-</v>
      </c>
      <c r="E250" s="263" t="str">
        <f t="shared" si="206"/>
        <v/>
      </c>
      <c r="F250" s="264" t="str">
        <f t="shared" si="207"/>
        <v/>
      </c>
      <c r="G250" s="264" t="str">
        <f t="shared" si="208"/>
        <v/>
      </c>
      <c r="H250" s="240" t="str">
        <f t="shared" si="170"/>
        <v/>
      </c>
      <c r="I250" s="265" t="str">
        <f t="shared" si="171"/>
        <v/>
      </c>
      <c r="J250" s="265" t="str">
        <f t="shared" si="172"/>
        <v/>
      </c>
      <c r="K250" s="240" t="str">
        <f t="shared" si="173"/>
        <v/>
      </c>
      <c r="L250" s="265" t="str">
        <f t="shared" si="174"/>
        <v/>
      </c>
      <c r="M250" s="265" t="str">
        <f t="shared" si="175"/>
        <v/>
      </c>
      <c r="N250" s="240" t="str">
        <f t="shared" si="176"/>
        <v>-</v>
      </c>
      <c r="O250" s="265" t="str">
        <f t="shared" si="177"/>
        <v>-</v>
      </c>
      <c r="P250" s="265" t="str">
        <f t="shared" si="178"/>
        <v>-</v>
      </c>
      <c r="Q250" s="266" t="str">
        <f t="shared" si="179"/>
        <v>-</v>
      </c>
      <c r="R250" s="267" t="str">
        <f t="shared" si="180"/>
        <v>-</v>
      </c>
      <c r="S250" s="268" t="str">
        <f t="shared" si="181"/>
        <v>-</v>
      </c>
      <c r="T250" s="269" t="str">
        <f t="shared" si="182"/>
        <v/>
      </c>
      <c r="U250" s="221">
        <f t="shared" si="183"/>
        <v>150</v>
      </c>
      <c r="V250" s="220" t="str">
        <f t="shared" si="209"/>
        <v>-</v>
      </c>
      <c r="W250" s="221" t="str">
        <f t="shared" si="210"/>
        <v>-</v>
      </c>
      <c r="X250" s="221" t="str">
        <f t="shared" si="184"/>
        <v>-</v>
      </c>
      <c r="Y250" s="221" t="str">
        <f t="shared" si="185"/>
        <v>-</v>
      </c>
      <c r="Z250" s="270">
        <f t="shared" si="211"/>
        <v>0.1</v>
      </c>
      <c r="AA250" s="271" t="str">
        <f>IFERROR(IF(V249=1,AA$100*EXP(-(LN(2)/$D$65+0.04)*X249)*EXP(-(LN(2)/$D$65+0.1)*Y249),IF(V249=2,AA$100*EXP(-(LN(2)/$D$65+0.04)*(VLOOKUP(($F$16-$F$15)-1,U$99:Y249,4,FALSE)))*EXP(-(LN(2)/$D$65+0.1)*(VLOOKUP(($F$16-$F$15)-1,U$99:Y249,5,FALSE)))*EXP(-(LN(2)/$D$65+0.04)*X249)*EXP(-(LN(2)/$D$65+0.1)*Y249),IF(V249=3,AA$100*EXP(-(LN(2)/$D$65+0.04)*(VLOOKUP(($F$16-$F$15)-1,U$99:Y249,4,FALSE)))*EXP(-(LN(2)/$D$65+0.1)*(VLOOKUP(($F$16-$F$15)-1,U$99:Y249,5,FALSE)))*EXP(-(LN(2)/$D$65+0.04)*(VLOOKUP(($F$16-$F$15)*2-1,U$99:Y249,4,FALSE)))*EXP(-(LN(2)/$D$65+0.1)*(VLOOKUP(($F$16-$F$15)*2-1,U$99:Y249,5,FALSE)))*EXP(-(LN(2)/$D$65+0.04)*X249)*EXP(-(LN(2)/$D$65+0.1)*Y249),"-"))),"-")</f>
        <v>-</v>
      </c>
      <c r="AB250" s="271" t="str">
        <f>IFERROR(IF(V250=1,AB$100*EXP(-(LN(2)/$D$65+0.04)*X250)*EXP(-(LN(2)/$D$65+0.1)*Y250),IF(V250=2,AB$100*EXP(-(LN(2)/$D$65+0.04)*(VLOOKUP(($F$16-$F$15)-1,U$100:Y250,4,FALSE)))*EXP(-(LN(2)/$D$65+0.1)*(VLOOKUP(($F$16-$F$15)-1,U$100:Y250,5,FALSE)))*EXP(-(LN(2)/$D$65+0.04)*X250)*EXP(-(LN(2)/$D$65+0.1)*Y250),IF(V250=3,AB$100*EXP(-(LN(2)/$D$65+0.04)*(VLOOKUP(($F$16-$F$15)-1,U$100:Y250,4,FALSE)))*EXP(-(LN(2)/$D$65+0.1)*(VLOOKUP(($F$16-$F$15)-1,U$100:Y250,5,FALSE)))*EXP(-(LN(2)/$D$65+0.04)*(VLOOKUP(($F$16-$F$15)*2-1,U$100:Y250,4,FALSE)))*EXP(-(LN(2)/$D$65+0.1)*(VLOOKUP(($F$16-$F$15)*2-1,U$100:Y250,5,FALSE)))*EXP(-(LN(2)/$D$65+0.04)*X250)*EXP(-(LN(2)/$D$65+0.1)*Y250),"-"))),"-")</f>
        <v>-</v>
      </c>
      <c r="AC250" s="224">
        <f t="shared" si="226"/>
        <v>150</v>
      </c>
      <c r="AD250" s="223" t="str">
        <f t="shared" si="186"/>
        <v>-</v>
      </c>
      <c r="AE250" s="224" t="str">
        <f t="shared" si="213"/>
        <v>-</v>
      </c>
      <c r="AF250" s="224" t="str">
        <f t="shared" si="187"/>
        <v>-</v>
      </c>
      <c r="AG250" s="224" t="str">
        <f t="shared" si="188"/>
        <v>-</v>
      </c>
      <c r="AH250" s="272">
        <f t="shared" si="214"/>
        <v>0.1</v>
      </c>
      <c r="AI250" s="271" t="str">
        <f>IFERROR(IF(AD249=1,AI$100*EXP(-(LN(2)/$D$65+0.04)*AF249)*EXP(-(LN(2)/$D$65+0.1)*AG249),IF(AD249=2,AI$100*EXP(-(LN(2)/$D$65+0.04)*(VLOOKUP(($F$16-$F$15)-1,AC$99:AG249,4,FALSE)))*EXP(-(LN(2)/$D$65+0.1)*(VLOOKUP(($F$16-$F$15)-1,AC$99:AG249,5,FALSE)))*EXP(-(LN(2)/$D$65+0.04)*AF249)*EXP(-(LN(2)/$D$65+0.1)*AG249),IF(AD249=3,AI$100*EXP(-(LN(2)/$D$65+0.04)*(VLOOKUP(($F$16-$F$15)-1,AC$99:AG249,4,FALSE)))*EXP(-(LN(2)/$D$65+0.1)*(VLOOKUP(($F$16-$F$15)-1,AC$99:AG249,5,FALSE)))*EXP(-(LN(2)/$D$65+0.04)*(VLOOKUP(($F$16-$F$15)*2-1,AC$99:AG249,4,FALSE)))*EXP(-(LN(2)/$D$65+0.1)*(VLOOKUP(($F$16-$F$15)*2-1,AC$99:AG249,5,FALSE)))*EXP(-(LN(2)/$D$65+0.04)*AF249)*EXP(-(LN(2)/$D$65+0.1)*AG249),"-"))),"-")</f>
        <v>-</v>
      </c>
      <c r="AJ250" s="271" t="str">
        <f>IFERROR(IF(AD250=1,AJ$100*EXP(-(LN(2)/$D$65+0.04)*AF250)*EXP(-(LN(2)/$D$65+0.1)*AG250),IF(AD250=2,AJ$100*EXP(-(LN(2)/$D$65+0.04)*(VLOOKUP(($F$16-$F$15)-1,AC$100:AG250,4,FALSE)))*EXP(-(LN(2)/$D$65+0.1)*(VLOOKUP(($F$16-$F$15)-1,AC$100:AG250,5,FALSE)))*EXP(-(LN(2)/$D$65+0.04)*AF250)*EXP(-(LN(2)/$D$65+0.1)*AG250),IF(AD250=3,AJ$100*EXP(-(LN(2)/$D$65+0.04)*(VLOOKUP(($F$16-$F$15)-1,AC$100:AG250,4,FALSE)))*EXP(-(LN(2)/$D$65+0.1)*(VLOOKUP(($F$16-$F$15)-1,AC$100:AG250,5,FALSE)))*EXP(-(LN(2)/$D$65+0.04)*(VLOOKUP(($F$16-$F$15)*2-1,AC$100:AG250,4,FALSE)))*EXP(-(LN(2)/$D$65+0.1)*(VLOOKUP(($F$16-$F$15)*2-1,AC$100:AG250,5,FALSE)))*EXP(-(LN(2)/$D$65+0.04)*AF250)*EXP(-(LN(2)/$D$65+0.1)*AG250),"-"))),"-")</f>
        <v>-</v>
      </c>
      <c r="AK250" s="227">
        <f t="shared" si="215"/>
        <v>150</v>
      </c>
      <c r="AL250" s="226" t="str">
        <f t="shared" si="189"/>
        <v>-</v>
      </c>
      <c r="AM250" s="227" t="str">
        <f t="shared" si="216"/>
        <v>-</v>
      </c>
      <c r="AN250" s="227" t="str">
        <f t="shared" si="217"/>
        <v>-</v>
      </c>
      <c r="AO250" s="227" t="str">
        <f t="shared" si="190"/>
        <v>-</v>
      </c>
      <c r="AP250" s="273">
        <f t="shared" si="218"/>
        <v>0.1</v>
      </c>
      <c r="AQ250" s="271" t="str">
        <f>IFERROR(IF(AL249=1,AQ$100*EXP(-(LN(2)/$D$65+0.04)*AN249)*EXP(-(LN(2)/$D$65+0.1)*AO249),IF(AL249=2,AQ$100*EXP(-(LN(2)/$D$65+0.04)*(VLOOKUP(($F$16-$F$15)-1,AK$99:AO249,4,FALSE)))*EXP(-(LN(2)/$D$65+0.1)*(VLOOKUP(($F$16-$F$15)-1,AK$99:AO249,5,FALSE)))*EXP(-(LN(2)/$D$65+0.04)*AN249)*EXP(-(LN(2)/$D$65+0.1)*AO249),IF(AL249=3,AQ$100*EXP(-(LN(2)/$D$65+0.04)*(VLOOKUP(($F$16-$F$15)-1,AK$99:AO249,4,FALSE)))*EXP(-(LN(2)/$D$65+0.1)*(VLOOKUP(($F$16-$F$15)-1,AK$99:AO249,5,FALSE)))*EXP(-(LN(2)/$D$65+0.04)*(VLOOKUP(($F$16-$F$15)*2-1,AK$99:AO249,4,FALSE)))*EXP(-(LN(2)/$D$65+0.1)*(VLOOKUP(($F$16-$F$15)*2-1,AK$99:AO249,5,FALSE)))*EXP(-(LN(2)/$D$65+0.04)*AN249)*EXP(-(LN(2)/$D$65+0.1)*AO249),"-"))),"-")</f>
        <v>-</v>
      </c>
      <c r="AR250" s="271" t="str">
        <f>IFERROR(IF(AL250=1,AR$100*EXP(-(LN(2)/$D$65+0.04)*AN250)*EXP(-(LN(2)/$D$65+0.1)*AO250),IF(AL250=2,AR$100*EXP(-(LN(2)/$D$65+0.04)*(VLOOKUP(($F$16-$F$15)-1,AK$100:AO250,4,FALSE)))*EXP(-(LN(2)/$D$65+0.1)*(VLOOKUP(($F$16-$F$15)-1,AK$100:AO250,5,FALSE)))*EXP(-(LN(2)/$D$65+0.04)*AN250)*EXP(-(LN(2)/$D$65+0.1)*AO250),IF(AL250=3,AR$100*EXP(-(LN(2)/$D$65+0.04)*(VLOOKUP(($F$16-$F$15)-1,AK$100:AO250,4,FALSE)))*EXP(-(LN(2)/$D$65+0.1)*(VLOOKUP(($F$16-$F$15)-1,AK$100:AO250,5,FALSE)))*EXP(-(LN(2)/$D$65+0.04)*(VLOOKUP(($F$16-$F$15)*2-1,AK$100:AO250,4,FALSE)))*EXP(-(LN(2)/$D$65+0.1)*(VLOOKUP(($F$16-$F$15)*2-1,AK$100:AO250,5,FALSE)))*EXP(-(LN(2)/$D$65+0.04)*AN250)*EXP(-(LN(2)/$D$65+0.1)*AO250),"-"))),"-")</f>
        <v>-</v>
      </c>
      <c r="AS250" s="274">
        <f t="shared" si="191"/>
        <v>0</v>
      </c>
      <c r="AT250" s="274">
        <f t="shared" si="192"/>
        <v>0</v>
      </c>
      <c r="AU250" s="274">
        <f t="shared" si="193"/>
        <v>0</v>
      </c>
      <c r="AV250" s="253">
        <f>IF($B250&lt;$F$22,SUM($T$100:$T250),"")</f>
        <v>0</v>
      </c>
      <c r="AW250" s="253" t="str">
        <f t="shared" si="194"/>
        <v>-</v>
      </c>
      <c r="AX250" s="253" t="str">
        <f t="shared" si="219"/>
        <v/>
      </c>
      <c r="AY250" s="252"/>
      <c r="AZ250" s="253" t="str">
        <f ca="1">IF(ISNUMBER(OFFSET(AV250,-$F$21,0)),SUM(OFFSET($T$100,$F$21,0):$T250),"")</f>
        <v/>
      </c>
      <c r="BA250" s="253" t="str">
        <f t="shared" ca="1" si="195"/>
        <v/>
      </c>
      <c r="BB250" s="253" t="str">
        <f ca="1">IF(ISNUMBER(AZ250),(AZ250-BA250)/(3*86400*(OFFSET($B250,-$F$21,0)+1))*1000,"")</f>
        <v/>
      </c>
      <c r="BC250" s="253"/>
      <c r="BD250" s="253" t="str">
        <f ca="1">IFERROR(IF(AND($B250&gt;=($F$16-$F$15),$B250&lt;$F$22+($F$16-$F$15)),SUM(OFFSET($T$100,($F$16-$F$15),0):$T250),""),"")</f>
        <v/>
      </c>
      <c r="BE250" s="253" t="str">
        <f t="shared" ca="1" si="220"/>
        <v/>
      </c>
      <c r="BF250" s="253" t="str">
        <f t="shared" ca="1" si="221"/>
        <v/>
      </c>
      <c r="BG250" s="252"/>
      <c r="BH250" s="253" t="str">
        <f ca="1">IF(ISNUMBER(OFFSET(BD250,-$F$21,0)),SUM(OFFSET($T$100,($F$16-$F$15+$F$21),0):$T250),"")</f>
        <v/>
      </c>
      <c r="BI250" s="253" t="str">
        <f t="shared" ca="1" si="196"/>
        <v/>
      </c>
      <c r="BJ250" s="253" t="str">
        <f t="shared" ca="1" si="222"/>
        <v/>
      </c>
      <c r="BK250" s="253"/>
      <c r="BL250" s="253" t="str">
        <f ca="1">IFERROR(IF(AND($B250&gt;=($F$17-$F$15),$B250&lt;$F$22+($F$17-$F$15)),SUM(OFFSET($T$100,($F$17-$F$15),0):$T250),""),"")</f>
        <v/>
      </c>
      <c r="BM250" s="253" t="str">
        <f t="shared" ca="1" si="197"/>
        <v/>
      </c>
      <c r="BN250" s="253" t="str">
        <f t="shared" ca="1" si="223"/>
        <v/>
      </c>
      <c r="BO250" s="252"/>
      <c r="BP250" s="253" t="str">
        <f ca="1">IF(ISNUMBER(OFFSET(BL250,-$F$21,0)),SUM(OFFSET($T$100,($F$17-$F$15+$F$21),0):$T250),"")</f>
        <v/>
      </c>
      <c r="BQ250" s="253" t="str">
        <f t="shared" ca="1" si="198"/>
        <v/>
      </c>
      <c r="BR250" s="253" t="str">
        <f t="shared" ca="1" si="224"/>
        <v/>
      </c>
      <c r="BS250" s="253"/>
      <c r="BT250"/>
      <c r="BU250"/>
      <c r="BV250"/>
      <c r="BY250" s="99"/>
      <c r="BZ250" s="99"/>
      <c r="CA250" s="280" t="str">
        <f t="shared" si="199"/>
        <v/>
      </c>
      <c r="CB250" s="71" t="str">
        <f t="shared" si="200"/>
        <v>-</v>
      </c>
      <c r="CC250" s="33"/>
      <c r="CD250" s="261" t="str">
        <f t="shared" si="201"/>
        <v/>
      </c>
      <c r="CE250" s="280" t="str">
        <f t="shared" si="202"/>
        <v>-</v>
      </c>
      <c r="CF250" s="71" t="str">
        <f t="shared" ca="1" si="203"/>
        <v>-</v>
      </c>
      <c r="CG250" s="33" t="str">
        <f t="shared" si="204"/>
        <v>150-151</v>
      </c>
      <c r="CH250" s="261" t="str">
        <f t="shared" ca="1" si="205"/>
        <v/>
      </c>
    </row>
  </sheetData>
  <sheetProtection algorithmName="SHA-512" hashValue="jd3yWQ5IXmJ75Vup4GnUt5mJhi1USpWNcdTGZQuhWdBLmAmikLK+4CSOChXn0t2bxbMdtXJZ12aupNr8m0xS7g==" saltValue="V5tRf1HOOLMiNrFtMGW2mA==" spinCount="100000" sheet="1" objects="1" scenarios="1" selectLockedCells="1"/>
  <mergeCells count="108">
    <mergeCell ref="B2:D3"/>
    <mergeCell ref="BU94:BY94"/>
    <mergeCell ref="AW97:AW98"/>
    <mergeCell ref="BA97:BA98"/>
    <mergeCell ref="BE97:BE98"/>
    <mergeCell ref="BF97:BF98"/>
    <mergeCell ref="BH97:BH98"/>
    <mergeCell ref="BI97:BI98"/>
    <mergeCell ref="BJ97:BJ98"/>
    <mergeCell ref="BL97:BL98"/>
    <mergeCell ref="BM97:BM98"/>
    <mergeCell ref="BN97:BN98"/>
    <mergeCell ref="BP97:BP98"/>
    <mergeCell ref="BQ97:BQ98"/>
    <mergeCell ref="BR97:BR98"/>
    <mergeCell ref="C12:E12"/>
    <mergeCell ref="H12:J12"/>
    <mergeCell ref="C13:E13"/>
    <mergeCell ref="H13:J13"/>
    <mergeCell ref="C14:E14"/>
    <mergeCell ref="H14:J14"/>
    <mergeCell ref="B5:C5"/>
    <mergeCell ref="D5:J5"/>
    <mergeCell ref="B6:C6"/>
    <mergeCell ref="D6:J6"/>
    <mergeCell ref="C11:E11"/>
    <mergeCell ref="H11:J11"/>
    <mergeCell ref="C20:E20"/>
    <mergeCell ref="H20:J20"/>
    <mergeCell ref="C21:E21"/>
    <mergeCell ref="H21:J21"/>
    <mergeCell ref="C22:E22"/>
    <mergeCell ref="H22:J22"/>
    <mergeCell ref="B15:B17"/>
    <mergeCell ref="C15:E17"/>
    <mergeCell ref="G15:G17"/>
    <mergeCell ref="H15:J17"/>
    <mergeCell ref="B18:B19"/>
    <mergeCell ref="C18:E19"/>
    <mergeCell ref="F18:F19"/>
    <mergeCell ref="G18:G19"/>
    <mergeCell ref="H18:J19"/>
    <mergeCell ref="B36:D36"/>
    <mergeCell ref="B37:B38"/>
    <mergeCell ref="C37:C38"/>
    <mergeCell ref="D37:D38"/>
    <mergeCell ref="G38:I38"/>
    <mergeCell ref="G39:I39"/>
    <mergeCell ref="C23:E23"/>
    <mergeCell ref="H23:J23"/>
    <mergeCell ref="H25:K34"/>
    <mergeCell ref="B26:C26"/>
    <mergeCell ref="B27:C27"/>
    <mergeCell ref="B31:C31"/>
    <mergeCell ref="F46:F47"/>
    <mergeCell ref="G46:I47"/>
    <mergeCell ref="F48:F49"/>
    <mergeCell ref="G48:J49"/>
    <mergeCell ref="G50:I50"/>
    <mergeCell ref="G51:I51"/>
    <mergeCell ref="F40:F41"/>
    <mergeCell ref="G40:I41"/>
    <mergeCell ref="G42:I42"/>
    <mergeCell ref="F43:F44"/>
    <mergeCell ref="G43:I44"/>
    <mergeCell ref="G45:I45"/>
    <mergeCell ref="B65:C65"/>
    <mergeCell ref="G66:H66"/>
    <mergeCell ref="C69:E69"/>
    <mergeCell ref="C70:E70"/>
    <mergeCell ref="C71:E71"/>
    <mergeCell ref="B93:C93"/>
    <mergeCell ref="G52:I52"/>
    <mergeCell ref="G53:I53"/>
    <mergeCell ref="G54:I54"/>
    <mergeCell ref="G55:I55"/>
    <mergeCell ref="G56:I56"/>
    <mergeCell ref="B61:E64"/>
    <mergeCell ref="B95:B99"/>
    <mergeCell ref="C95:C99"/>
    <mergeCell ref="D95:D99"/>
    <mergeCell ref="E95:E99"/>
    <mergeCell ref="F95:F99"/>
    <mergeCell ref="G95:G99"/>
    <mergeCell ref="H95:H99"/>
    <mergeCell ref="I95:I99"/>
    <mergeCell ref="B94:D94"/>
    <mergeCell ref="E94:G94"/>
    <mergeCell ref="H94:J94"/>
    <mergeCell ref="S95:S99"/>
    <mergeCell ref="AZ97:AZ98"/>
    <mergeCell ref="BB97:BB98"/>
    <mergeCell ref="BD97:BD98"/>
    <mergeCell ref="AV97:AV98"/>
    <mergeCell ref="AX97:AX98"/>
    <mergeCell ref="J95:J99"/>
    <mergeCell ref="K95:K99"/>
    <mergeCell ref="L95:L99"/>
    <mergeCell ref="M95:M99"/>
    <mergeCell ref="N95:N99"/>
    <mergeCell ref="O95:O99"/>
    <mergeCell ref="T94:T99"/>
    <mergeCell ref="K94:M94"/>
    <mergeCell ref="N94:P94"/>
    <mergeCell ref="Q94:S94"/>
    <mergeCell ref="P95:P99"/>
    <mergeCell ref="Q95:Q99"/>
    <mergeCell ref="R95:R99"/>
  </mergeCells>
  <phoneticPr fontId="3"/>
  <conditionalFormatting sqref="B100:B114">
    <cfRule type="expression" dxfId="734" priority="343" stopIfTrue="1">
      <formula>MAX($BG$99:$BG$120)+14&lt;$B100</formula>
    </cfRule>
  </conditionalFormatting>
  <conditionalFormatting sqref="D65">
    <cfRule type="expression" dxfId="733" priority="295" stopIfTrue="1">
      <formula>$G$13=8</formula>
    </cfRule>
    <cfRule type="expression" dxfId="732" priority="294" stopIfTrue="1">
      <formula>$G$13=""</formula>
    </cfRule>
    <cfRule type="expression" dxfId="731" priority="313" stopIfTrue="1">
      <formula>AND(ISNUMBER(D65),MAX($C65:$C65)=D65,$G$13=8)</formula>
    </cfRule>
    <cfRule type="expression" dxfId="730" priority="312" stopIfTrue="1">
      <formula>AND(ISNUMBER(D65),MAX($C65:$C65)=D65,$G$13=7)</formula>
    </cfRule>
    <cfRule type="expression" dxfId="729" priority="311" stopIfTrue="1">
      <formula>AND(ISNUMBER(D65),MAX($C65:$C65)=D65,$G$13=6)</formula>
    </cfRule>
    <cfRule type="expression" dxfId="728" priority="310" stopIfTrue="1">
      <formula>AND(ISNUMBER(D65),MAX($C65:$C65)=D65,$G$13=5)</formula>
    </cfRule>
    <cfRule type="expression" dxfId="727" priority="309" stopIfTrue="1">
      <formula>AND(ISNUMBER(D65),MAX($C65:$C65)=D65,$G$13=4)</formula>
    </cfRule>
    <cfRule type="expression" dxfId="726" priority="308" stopIfTrue="1">
      <formula>AND(ISNUMBER(D65),MAX($C65:$C65)=D65,$G$13=3)</formula>
    </cfRule>
    <cfRule type="expression" dxfId="725" priority="307" stopIfTrue="1">
      <formula>AND(ISNUMBER(D65),MAX($C65:$C65)=D65,$G$13=2)</formula>
    </cfRule>
    <cfRule type="expression" dxfId="724" priority="306" stopIfTrue="1">
      <formula>AND(ISNUMBER(D65),MAX($C65:$C65)=D65,$G$13=1)</formula>
    </cfRule>
    <cfRule type="expression" dxfId="723" priority="305" stopIfTrue="1">
      <formula>AND(ISNUMBER(D65),MAX($C65:$C65)=D65,$G$13=0)</formula>
    </cfRule>
    <cfRule type="expression" dxfId="722" priority="304" stopIfTrue="1">
      <formula>AND(ISNUMBER(D65),MAX($C65:$C65)=D65,$G$13="")</formula>
    </cfRule>
    <cfRule type="expression" dxfId="721" priority="303" stopIfTrue="1">
      <formula>$G$13=0</formula>
    </cfRule>
    <cfRule type="expression" dxfId="720" priority="302" stopIfTrue="1">
      <formula>$G$13=1</formula>
    </cfRule>
    <cfRule type="expression" dxfId="719" priority="301" stopIfTrue="1">
      <formula>$G$13=2</formula>
    </cfRule>
    <cfRule type="expression" dxfId="718" priority="298" stopIfTrue="1">
      <formula>$G$13=5</formula>
    </cfRule>
    <cfRule type="expression" dxfId="717" priority="300" stopIfTrue="1">
      <formula>$G$13=3</formula>
    </cfRule>
    <cfRule type="expression" dxfId="716" priority="299" stopIfTrue="1">
      <formula>$G$13=4</formula>
    </cfRule>
    <cfRule type="expression" dxfId="715" priority="297" stopIfTrue="1">
      <formula>$G$13=6</formula>
    </cfRule>
    <cfRule type="expression" dxfId="714" priority="296" stopIfTrue="1">
      <formula>$G$13=7</formula>
    </cfRule>
  </conditionalFormatting>
  <conditionalFormatting sqref="F70">
    <cfRule type="expression" dxfId="713" priority="1" stopIfTrue="1">
      <formula>$G$13=""</formula>
    </cfRule>
    <cfRule type="expression" dxfId="712" priority="2" stopIfTrue="1">
      <formula>$G$13=8</formula>
    </cfRule>
    <cfRule type="expression" dxfId="711" priority="3" stopIfTrue="1">
      <formula>$G$13=7</formula>
    </cfRule>
    <cfRule type="expression" dxfId="710" priority="4" stopIfTrue="1">
      <formula>$G$13=6</formula>
    </cfRule>
    <cfRule type="expression" dxfId="709" priority="5" stopIfTrue="1">
      <formula>$G$13=5</formula>
    </cfRule>
    <cfRule type="expression" dxfId="708" priority="6" stopIfTrue="1">
      <formula>$G$13=4</formula>
    </cfRule>
    <cfRule type="expression" dxfId="707" priority="7" stopIfTrue="1">
      <formula>$G$13=3</formula>
    </cfRule>
    <cfRule type="expression" dxfId="706" priority="8" stopIfTrue="1">
      <formula>$G$13=2</formula>
    </cfRule>
    <cfRule type="expression" dxfId="705" priority="9" stopIfTrue="1">
      <formula>$G$13=1</formula>
    </cfRule>
    <cfRule type="expression" dxfId="704" priority="10" stopIfTrue="1">
      <formula>$G$13=0</formula>
    </cfRule>
    <cfRule type="expression" dxfId="703" priority="11" stopIfTrue="1">
      <formula>AND(ISNUMBER(F70),MAX($C70:$C70)=F70,$G$13="")</formula>
    </cfRule>
    <cfRule type="expression" dxfId="702" priority="12" stopIfTrue="1">
      <formula>AND(ISNUMBER(F70),MAX($C70:$C70)=F70,$G$13=0)</formula>
    </cfRule>
    <cfRule type="expression" dxfId="701" priority="13" stopIfTrue="1">
      <formula>AND(ISNUMBER(F70),MAX($C70:$C70)=F70,$G$13=1)</formula>
    </cfRule>
    <cfRule type="expression" dxfId="700" priority="14" stopIfTrue="1">
      <formula>AND(ISNUMBER(F70),MAX($C70:$C70)=F70,$G$13=2)</formula>
    </cfRule>
    <cfRule type="expression" dxfId="699" priority="15" stopIfTrue="1">
      <formula>AND(ISNUMBER(F70),MAX($C70:$C70)=F70,$G$13=3)</formula>
    </cfRule>
    <cfRule type="expression" dxfId="698" priority="16" stopIfTrue="1">
      <formula>AND(ISNUMBER(F70),MAX($C70:$C70)=F70,$G$13=4)</formula>
    </cfRule>
    <cfRule type="expression" dxfId="697" priority="18" stopIfTrue="1">
      <formula>AND(ISNUMBER(F70),MAX($C70:$C70)=F70,$G$13=6)</formula>
    </cfRule>
    <cfRule type="expression" dxfId="696" priority="19" stopIfTrue="1">
      <formula>AND(ISNUMBER(F70),MAX($C70:$C70)=F70,$G$13=7)</formula>
    </cfRule>
    <cfRule type="expression" dxfId="695" priority="20" stopIfTrue="1">
      <formula>AND(ISNUMBER(F70),MAX($C70:$C70)=F70,$G$13=8)</formula>
    </cfRule>
    <cfRule type="expression" dxfId="694" priority="17" stopIfTrue="1">
      <formula>AND(ISNUMBER(F70),MAX($C70:$C70)=F70,$G$13=5)</formula>
    </cfRule>
  </conditionalFormatting>
  <conditionalFormatting sqref="F71">
    <cfRule type="expression" dxfId="693" priority="21" stopIfTrue="1">
      <formula>$I$66=""</formula>
    </cfRule>
    <cfRule type="expression" dxfId="692" priority="22" stopIfTrue="1">
      <formula>$I$66=0</formula>
    </cfRule>
    <cfRule type="expression" dxfId="691" priority="23" stopIfTrue="1">
      <formula>$I$66=1</formula>
    </cfRule>
    <cfRule type="expression" dxfId="690" priority="24" stopIfTrue="1">
      <formula>$I$66=2</formula>
    </cfRule>
    <cfRule type="expression" dxfId="689" priority="25" stopIfTrue="1">
      <formula>$I$66=3</formula>
    </cfRule>
    <cfRule type="expression" dxfId="688" priority="26" stopIfTrue="1">
      <formula>$I$66=4</formula>
    </cfRule>
    <cfRule type="expression" dxfId="687" priority="27" stopIfTrue="1">
      <formula>$I$66=5</formula>
    </cfRule>
    <cfRule type="expression" dxfId="686" priority="28" stopIfTrue="1">
      <formula>$I$66=7</formula>
    </cfRule>
    <cfRule type="expression" dxfId="685" priority="29" stopIfTrue="1">
      <formula>$I$66=8</formula>
    </cfRule>
  </conditionalFormatting>
  <conditionalFormatting sqref="I3">
    <cfRule type="expression" dxfId="684" priority="281" stopIfTrue="1">
      <formula>$G$11=2</formula>
    </cfRule>
    <cfRule type="expression" dxfId="683" priority="280" stopIfTrue="1">
      <formula>$G$11=3</formula>
    </cfRule>
    <cfRule type="expression" dxfId="682" priority="282" stopIfTrue="1">
      <formula>$G$11=1</formula>
    </cfRule>
    <cfRule type="expression" dxfId="681" priority="279" stopIfTrue="1">
      <formula>$G$11=4</formula>
    </cfRule>
    <cfRule type="expression" dxfId="680" priority="278" stopIfTrue="1">
      <formula>$G$11=5</formula>
    </cfRule>
    <cfRule type="expression" dxfId="679" priority="277" stopIfTrue="1">
      <formula>$G$11=6</formula>
    </cfRule>
    <cfRule type="expression" dxfId="678" priority="276" stopIfTrue="1">
      <formula>$G$11=7</formula>
    </cfRule>
    <cfRule type="expression" dxfId="677" priority="275" stopIfTrue="1">
      <formula>$G$11=8</formula>
    </cfRule>
    <cfRule type="expression" dxfId="676" priority="274" stopIfTrue="1">
      <formula>$G$11=""</formula>
    </cfRule>
    <cfRule type="expression" dxfId="675" priority="293" stopIfTrue="1">
      <formula>AND(ISNUMBER(I3),MAX($C69:$C69)=I3,$G$11=8)</formula>
    </cfRule>
    <cfRule type="expression" dxfId="674" priority="292" stopIfTrue="1">
      <formula>AND(ISNUMBER(I3),MAX($C69:$C69)=I3,$G$11=7)</formula>
    </cfRule>
    <cfRule type="expression" dxfId="673" priority="291" stopIfTrue="1">
      <formula>AND(ISNUMBER(I3),MAX($C69:$C69)=I3,$G$11=6)</formula>
    </cfRule>
    <cfRule type="expression" dxfId="672" priority="290" stopIfTrue="1">
      <formula>AND(ISNUMBER(I3),MAX($C69:$C69)=I3,$G$11=5)</formula>
    </cfRule>
    <cfRule type="expression" dxfId="671" priority="289" stopIfTrue="1">
      <formula>AND(ISNUMBER(I3),MAX($C69:$C69)=I3,$G$11=4)</formula>
    </cfRule>
    <cfRule type="expression" dxfId="670" priority="288" stopIfTrue="1">
      <formula>AND(ISNUMBER(I3),MAX($C69:$C69)=I3,$G$11=3)</formula>
    </cfRule>
    <cfRule type="expression" dxfId="669" priority="287" stopIfTrue="1">
      <formula>AND(ISNUMBER(I3),MAX($C69:$C69)=I3,$G$11=2)</formula>
    </cfRule>
    <cfRule type="expression" dxfId="668" priority="286" stopIfTrue="1">
      <formula>AND(ISNUMBER(I3),MAX($C69:$C69)=I3,$G$11=1)</formula>
    </cfRule>
    <cfRule type="expression" dxfId="667" priority="285" stopIfTrue="1">
      <formula>AND(ISNUMBER(I3),MAX($C69:$C69)=I3,$G$11=0)</formula>
    </cfRule>
    <cfRule type="expression" dxfId="666" priority="284" stopIfTrue="1">
      <formula>AND(ISNUMBER(I3),MAX($C69:$C69)=I3,$G$11="")</formula>
    </cfRule>
    <cfRule type="expression" dxfId="665" priority="283" stopIfTrue="1">
      <formula>$G$11=0</formula>
    </cfRule>
  </conditionalFormatting>
  <conditionalFormatting sqref="Q100:Q114">
    <cfRule type="expression" dxfId="664" priority="48" stopIfTrue="1">
      <formula>MAX($BU$99:$BU$120)+14&lt;$B100</formula>
    </cfRule>
  </conditionalFormatting>
  <conditionalFormatting sqref="R100:T114">
    <cfRule type="expression" dxfId="663" priority="215" stopIfTrue="1">
      <formula>MAX($BG$99:$BG$120)+14&lt;$B100</formula>
    </cfRule>
  </conditionalFormatting>
  <conditionalFormatting sqref="T100:T114">
    <cfRule type="expression" dxfId="662" priority="216">
      <formula>MAX($BG$101:$BG$120)+4&lt;$B100</formula>
    </cfRule>
  </conditionalFormatting>
  <conditionalFormatting sqref="V99:V104">
    <cfRule type="expression" dxfId="661" priority="103" stopIfTrue="1">
      <formula>MAX($BU$99:$BU$120)+14&lt;$B99</formula>
    </cfRule>
    <cfRule type="expression" dxfId="660" priority="104">
      <formula>MAX($BU$101:$BU$120)+4&lt;$B99</formula>
    </cfRule>
  </conditionalFormatting>
  <conditionalFormatting sqref="AX88">
    <cfRule type="expression" dxfId="659" priority="49" stopIfTrue="1">
      <formula>$I$66=""</formula>
    </cfRule>
    <cfRule type="expression" dxfId="658" priority="51" stopIfTrue="1">
      <formula>$I$66=1</formula>
    </cfRule>
    <cfRule type="expression" dxfId="657" priority="52" stopIfTrue="1">
      <formula>$I$66=2</formula>
    </cfRule>
    <cfRule type="expression" dxfId="656" priority="53" stopIfTrue="1">
      <formula>$I$66=3</formula>
    </cfRule>
    <cfRule type="expression" dxfId="655" priority="54" stopIfTrue="1">
      <formula>$I$66=4</formula>
    </cfRule>
    <cfRule type="expression" dxfId="654" priority="55" stopIfTrue="1">
      <formula>$I$66=5</formula>
    </cfRule>
    <cfRule type="expression" dxfId="653" priority="56" stopIfTrue="1">
      <formula>$I$66=7</formula>
    </cfRule>
    <cfRule type="expression" dxfId="652" priority="57" stopIfTrue="1">
      <formula>$I$66=8</formula>
    </cfRule>
    <cfRule type="expression" dxfId="651" priority="50" stopIfTrue="1">
      <formula>$I$66=0</formula>
    </cfRule>
  </conditionalFormatting>
  <conditionalFormatting sqref="BB88">
    <cfRule type="expression" dxfId="650" priority="58" stopIfTrue="1">
      <formula>$I$66=""</formula>
    </cfRule>
    <cfRule type="expression" dxfId="649" priority="59" stopIfTrue="1">
      <formula>$I$66=0</formula>
    </cfRule>
    <cfRule type="expression" dxfId="648" priority="60" stopIfTrue="1">
      <formula>$I$66=1</formula>
    </cfRule>
    <cfRule type="expression" dxfId="647" priority="62" stopIfTrue="1">
      <formula>$I$66=3</formula>
    </cfRule>
    <cfRule type="expression" dxfId="646" priority="63" stopIfTrue="1">
      <formula>$I$66=4</formula>
    </cfRule>
    <cfRule type="expression" dxfId="645" priority="64" stopIfTrue="1">
      <formula>$I$66=5</formula>
    </cfRule>
    <cfRule type="expression" dxfId="644" priority="65" stopIfTrue="1">
      <formula>$I$66=7</formula>
    </cfRule>
    <cfRule type="expression" dxfId="643" priority="66" stopIfTrue="1">
      <formula>$I$66=8</formula>
    </cfRule>
    <cfRule type="expression" dxfId="642" priority="61" stopIfTrue="1">
      <formula>$I$66=2</formula>
    </cfRule>
  </conditionalFormatting>
  <conditionalFormatting sqref="BF88">
    <cfRule type="expression" dxfId="641" priority="75" stopIfTrue="1">
      <formula>$I$66=8</formula>
    </cfRule>
    <cfRule type="expression" dxfId="640" priority="67" stopIfTrue="1">
      <formula>$I$66=""</formula>
    </cfRule>
    <cfRule type="expression" dxfId="639" priority="73" stopIfTrue="1">
      <formula>$I$66=5</formula>
    </cfRule>
    <cfRule type="expression" dxfId="638" priority="68" stopIfTrue="1">
      <formula>$I$66=0</formula>
    </cfRule>
    <cfRule type="expression" dxfId="637" priority="69" stopIfTrue="1">
      <formula>$I$66=1</formula>
    </cfRule>
    <cfRule type="expression" dxfId="636" priority="70" stopIfTrue="1">
      <formula>$I$66=2</formula>
    </cfRule>
    <cfRule type="expression" dxfId="635" priority="71" stopIfTrue="1">
      <formula>$I$66=3</formula>
    </cfRule>
    <cfRule type="expression" dxfId="634" priority="72" stopIfTrue="1">
      <formula>$I$66=4</formula>
    </cfRule>
    <cfRule type="expression" dxfId="633" priority="74" stopIfTrue="1">
      <formula>$I$66=7</formula>
    </cfRule>
  </conditionalFormatting>
  <conditionalFormatting sqref="BJ88">
    <cfRule type="expression" dxfId="632" priority="77" stopIfTrue="1">
      <formula>$I$66=0</formula>
    </cfRule>
    <cfRule type="expression" dxfId="631" priority="76" stopIfTrue="1">
      <formula>$I$66=""</formula>
    </cfRule>
    <cfRule type="expression" dxfId="630" priority="82" stopIfTrue="1">
      <formula>$I$66=5</formula>
    </cfRule>
    <cfRule type="expression" dxfId="629" priority="84" stopIfTrue="1">
      <formula>$I$66=8</formula>
    </cfRule>
    <cfRule type="expression" dxfId="628" priority="78" stopIfTrue="1">
      <formula>$I$66=1</formula>
    </cfRule>
    <cfRule type="expression" dxfId="627" priority="81" stopIfTrue="1">
      <formula>$I$66=4</formula>
    </cfRule>
    <cfRule type="expression" dxfId="626" priority="80" stopIfTrue="1">
      <formula>$I$66=3</formula>
    </cfRule>
    <cfRule type="expression" dxfId="625" priority="79" stopIfTrue="1">
      <formula>$I$66=2</formula>
    </cfRule>
    <cfRule type="expression" dxfId="624" priority="83" stopIfTrue="1">
      <formula>$I$66=7</formula>
    </cfRule>
  </conditionalFormatting>
  <conditionalFormatting sqref="BN88">
    <cfRule type="expression" dxfId="623" priority="85" stopIfTrue="1">
      <formula>$I$66=""</formula>
    </cfRule>
    <cfRule type="expression" dxfId="622" priority="86" stopIfTrue="1">
      <formula>$I$66=0</formula>
    </cfRule>
    <cfRule type="expression" dxfId="621" priority="88" stopIfTrue="1">
      <formula>$I$66=2</formula>
    </cfRule>
    <cfRule type="expression" dxfId="620" priority="87" stopIfTrue="1">
      <formula>$I$66=1</formula>
    </cfRule>
    <cfRule type="expression" dxfId="619" priority="89" stopIfTrue="1">
      <formula>$I$66=3</formula>
    </cfRule>
    <cfRule type="expression" dxfId="618" priority="90" stopIfTrue="1">
      <formula>$I$66=4</formula>
    </cfRule>
    <cfRule type="expression" dxfId="617" priority="91" stopIfTrue="1">
      <formula>$I$66=5</formula>
    </cfRule>
    <cfRule type="expression" dxfId="616" priority="93" stopIfTrue="1">
      <formula>$I$66=8</formula>
    </cfRule>
    <cfRule type="expression" dxfId="615" priority="92" stopIfTrue="1">
      <formula>$I$66=7</formula>
    </cfRule>
  </conditionalFormatting>
  <conditionalFormatting sqref="BR88">
    <cfRule type="expression" dxfId="614" priority="102" stopIfTrue="1">
      <formula>$I$66=8</formula>
    </cfRule>
    <cfRule type="expression" dxfId="613" priority="101" stopIfTrue="1">
      <formula>$I$66=7</formula>
    </cfRule>
    <cfRule type="expression" dxfId="612" priority="100" stopIfTrue="1">
      <formula>$I$66=5</formula>
    </cfRule>
    <cfRule type="expression" dxfId="611" priority="99" stopIfTrue="1">
      <formula>$I$66=4</formula>
    </cfRule>
    <cfRule type="expression" dxfId="610" priority="94" stopIfTrue="1">
      <formula>$I$66=""</formula>
    </cfRule>
    <cfRule type="expression" dxfId="609" priority="95" stopIfTrue="1">
      <formula>$I$66=0</formula>
    </cfRule>
    <cfRule type="expression" dxfId="608" priority="96" stopIfTrue="1">
      <formula>$I$66=1</formula>
    </cfRule>
    <cfRule type="expression" dxfId="607" priority="97" stopIfTrue="1">
      <formula>$I$66=2</formula>
    </cfRule>
    <cfRule type="expression" dxfId="606" priority="98" stopIfTrue="1">
      <formula>$I$66=3</formula>
    </cfRule>
  </conditionalFormatting>
  <hyperlinks>
    <hyperlink ref="C72" location="入力及び計算結果!A1" display="「入力及び計算結果」に戻る" xr:uid="{00000000-0004-0000-0600-000000000000}"/>
  </hyperlinks>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V97"/>
  <sheetViews>
    <sheetView topLeftCell="A58" zoomScale="90" zoomScaleNormal="90" workbookViewId="0">
      <selection activeCell="B79" sqref="B79"/>
    </sheetView>
  </sheetViews>
  <sheetFormatPr defaultRowHeight="13" x14ac:dyDescent="0.2"/>
  <cols>
    <col min="1" max="1" width="2.453125" customWidth="1"/>
    <col min="2" max="2" width="14.08984375" customWidth="1"/>
    <col min="3" max="3" width="25.08984375" customWidth="1"/>
    <col min="4" max="5" width="15.453125" customWidth="1"/>
    <col min="6" max="6" width="17.26953125" customWidth="1"/>
    <col min="7" max="12" width="12.453125" customWidth="1"/>
    <col min="13" max="13" width="5" customWidth="1"/>
    <col min="14" max="14" width="10.453125" customWidth="1"/>
    <col min="17" max="17" width="10.26953125" bestFit="1" customWidth="1"/>
    <col min="20" max="20" width="10.26953125" bestFit="1" customWidth="1"/>
  </cols>
  <sheetData>
    <row r="1" spans="1:12" ht="15" customHeight="1" x14ac:dyDescent="0.2">
      <c r="B1" s="17" t="str">
        <f>入力及び計算結果!B1</f>
        <v>ver.1.0（2026/07/01）</v>
      </c>
      <c r="C1" s="39"/>
      <c r="D1" s="39"/>
    </row>
    <row r="2" spans="1:12" ht="15" customHeight="1" x14ac:dyDescent="0.2">
      <c r="B2" s="606" t="s">
        <v>298</v>
      </c>
      <c r="C2" s="606"/>
      <c r="D2" s="606"/>
      <c r="F2" s="89"/>
      <c r="G2" s="21" t="s">
        <v>96</v>
      </c>
    </row>
    <row r="3" spans="1:12" ht="15" customHeight="1" x14ac:dyDescent="0.2">
      <c r="B3" s="606"/>
      <c r="C3" s="606"/>
      <c r="D3" s="606"/>
      <c r="F3" s="22"/>
      <c r="G3" t="s">
        <v>97</v>
      </c>
      <c r="I3" s="23"/>
      <c r="J3" s="21" t="s">
        <v>98</v>
      </c>
    </row>
    <row r="4" spans="1:12" ht="13.5" customHeight="1" thickBot="1" x14ac:dyDescent="0.25">
      <c r="F4" s="90"/>
    </row>
    <row r="5" spans="1:12" ht="18" customHeight="1" thickTop="1" thickBot="1" x14ac:dyDescent="0.25">
      <c r="A5" s="91"/>
      <c r="B5" s="536" t="s">
        <v>155</v>
      </c>
      <c r="C5" s="668"/>
      <c r="D5" s="669"/>
      <c r="E5" s="670"/>
      <c r="F5" s="670"/>
      <c r="G5" s="670"/>
      <c r="H5" s="670"/>
      <c r="I5" s="670"/>
      <c r="J5" s="671"/>
    </row>
    <row r="6" spans="1:12" ht="65.25" customHeight="1" thickTop="1" thickBot="1" x14ac:dyDescent="0.25">
      <c r="A6" s="91"/>
      <c r="B6" s="531" t="s">
        <v>299</v>
      </c>
      <c r="C6" s="664"/>
      <c r="D6" s="665" t="str">
        <f>IF(ISBLANK(入力及び計算結果!E86),"",入力及び計算結果!E86)</f>
        <v/>
      </c>
      <c r="E6" s="666"/>
      <c r="F6" s="666"/>
      <c r="G6" s="666"/>
      <c r="H6" s="666"/>
      <c r="I6" s="666"/>
      <c r="J6" s="667"/>
      <c r="K6" s="663" t="s">
        <v>300</v>
      </c>
      <c r="L6" s="570"/>
    </row>
    <row r="7" spans="1:12" ht="65.25" customHeight="1" thickTop="1" thickBot="1" x14ac:dyDescent="0.25">
      <c r="A7" s="91"/>
      <c r="B7" s="531" t="s">
        <v>301</v>
      </c>
      <c r="C7" s="664"/>
      <c r="D7" s="665" t="str">
        <f>IF(ISBLANK(入力及び計算結果!E88),"",入力及び計算結果!E88)</f>
        <v/>
      </c>
      <c r="E7" s="666"/>
      <c r="F7" s="666"/>
      <c r="G7" s="666"/>
      <c r="H7" s="666"/>
      <c r="I7" s="666"/>
      <c r="J7" s="667"/>
      <c r="K7" s="663" t="s">
        <v>302</v>
      </c>
      <c r="L7" s="570"/>
    </row>
    <row r="8" spans="1:12" ht="13.5" customHeight="1" thickTop="1" x14ac:dyDescent="0.2">
      <c r="C8" s="93"/>
      <c r="D8" s="93"/>
      <c r="E8" s="93"/>
      <c r="F8" s="93"/>
      <c r="G8" s="93"/>
      <c r="H8" s="93"/>
      <c r="I8" s="93"/>
      <c r="J8" s="93"/>
    </row>
    <row r="9" spans="1:12" ht="13.5" customHeight="1" x14ac:dyDescent="0.2">
      <c r="B9" s="92"/>
      <c r="C9" s="92"/>
      <c r="D9" s="92"/>
      <c r="E9" s="92"/>
      <c r="F9" s="92"/>
      <c r="G9" s="92"/>
      <c r="H9" s="92"/>
      <c r="I9" s="92"/>
      <c r="J9" s="92"/>
    </row>
    <row r="10" spans="1:12" ht="13.5" customHeight="1" x14ac:dyDescent="0.2">
      <c r="B10" s="21"/>
      <c r="C10" s="21"/>
      <c r="D10" s="19"/>
    </row>
    <row r="11" spans="1:12" ht="13.5" customHeight="1" x14ac:dyDescent="0.2">
      <c r="B11" s="40" t="s">
        <v>158</v>
      </c>
      <c r="F11" s="94"/>
    </row>
    <row r="12" spans="1:12" ht="13.5" customHeight="1" x14ac:dyDescent="0.2">
      <c r="B12" s="27" t="s">
        <v>101</v>
      </c>
      <c r="C12" s="438" t="s">
        <v>160</v>
      </c>
      <c r="D12" s="439"/>
      <c r="E12" s="440"/>
      <c r="F12" s="363" t="s">
        <v>9</v>
      </c>
      <c r="G12" s="363"/>
      <c r="H12" s="363" t="s">
        <v>12</v>
      </c>
      <c r="I12" s="363"/>
      <c r="J12" s="537" t="s">
        <v>163</v>
      </c>
      <c r="K12" s="537"/>
      <c r="L12" s="537"/>
    </row>
    <row r="13" spans="1:12" ht="13.5" customHeight="1" thickBot="1" x14ac:dyDescent="0.25">
      <c r="B13" s="44" t="s">
        <v>303</v>
      </c>
      <c r="C13" s="401" t="s">
        <v>103</v>
      </c>
      <c r="D13" s="402"/>
      <c r="E13" s="410"/>
      <c r="F13" s="406">
        <v>37.5</v>
      </c>
      <c r="G13" s="406"/>
      <c r="H13" s="406"/>
      <c r="I13" s="406"/>
      <c r="J13" s="438"/>
      <c r="K13" s="439"/>
      <c r="L13" s="440"/>
    </row>
    <row r="14" spans="1:12" ht="27" customHeight="1" thickTop="1" thickBot="1" x14ac:dyDescent="0.25">
      <c r="B14" s="44" t="s">
        <v>304</v>
      </c>
      <c r="C14" s="373" t="s">
        <v>305</v>
      </c>
      <c r="D14" s="436"/>
      <c r="E14" s="658"/>
      <c r="F14" s="662" t="str">
        <f>IF(ISBLANK(入力及び計算結果!E83),"",入力及び計算結果!E83)</f>
        <v/>
      </c>
      <c r="G14" s="662"/>
      <c r="H14" s="662"/>
      <c r="I14" s="662"/>
      <c r="J14" s="401" t="s">
        <v>306</v>
      </c>
      <c r="K14" s="402"/>
      <c r="L14" s="410"/>
    </row>
    <row r="15" spans="1:12" ht="32.25" customHeight="1" thickTop="1" thickBot="1" x14ac:dyDescent="0.25">
      <c r="B15" s="44" t="s">
        <v>131</v>
      </c>
      <c r="C15" s="373" t="s">
        <v>132</v>
      </c>
      <c r="D15" s="436"/>
      <c r="E15" s="658"/>
      <c r="F15" s="659" t="str">
        <f>IF(ISBLANK(入力及び計算結果!E84),"",入力及び計算結果!E84)</f>
        <v/>
      </c>
      <c r="G15" s="660"/>
      <c r="H15" s="660"/>
      <c r="I15" s="661"/>
      <c r="J15" s="435" t="s">
        <v>307</v>
      </c>
      <c r="K15" s="436"/>
      <c r="L15" s="437"/>
    </row>
    <row r="16" spans="1:12" ht="27" customHeight="1" thickTop="1" thickBot="1" x14ac:dyDescent="0.25">
      <c r="B16" s="44" t="s">
        <v>308</v>
      </c>
      <c r="C16" s="373" t="s">
        <v>309</v>
      </c>
      <c r="D16" s="436"/>
      <c r="E16" s="658"/>
      <c r="F16" s="650" t="str">
        <f>IF(ISBLANK(入力及び計算結果!E87),"",入力及び計算結果!E87)</f>
        <v/>
      </c>
      <c r="G16" s="650"/>
      <c r="H16" s="662" t="str">
        <f>IF(ISBLANK(入力及び計算結果!G87),"",入力及び計算結果!G87)</f>
        <v/>
      </c>
      <c r="I16" s="662"/>
      <c r="J16" s="438"/>
      <c r="K16" s="439"/>
      <c r="L16" s="440"/>
    </row>
    <row r="17" spans="1:15" ht="27" customHeight="1" thickTop="1" x14ac:dyDescent="0.2">
      <c r="B17" s="44" t="s">
        <v>310</v>
      </c>
      <c r="C17" s="401" t="s">
        <v>142</v>
      </c>
      <c r="D17" s="402"/>
      <c r="E17" s="410"/>
      <c r="F17" s="408">
        <v>0.6</v>
      </c>
      <c r="G17" s="408"/>
      <c r="H17" s="408">
        <v>0.6</v>
      </c>
      <c r="I17" s="408"/>
      <c r="J17" s="438"/>
      <c r="K17" s="439"/>
      <c r="L17" s="440"/>
    </row>
    <row r="18" spans="1:15" ht="13.5" customHeight="1" x14ac:dyDescent="0.2">
      <c r="B18" s="641" t="s">
        <v>311</v>
      </c>
      <c r="C18" s="547" t="s">
        <v>119</v>
      </c>
      <c r="D18" s="539"/>
      <c r="E18" s="571"/>
      <c r="F18" s="363">
        <v>1</v>
      </c>
      <c r="G18" s="363"/>
      <c r="H18" s="363">
        <v>1</v>
      </c>
      <c r="I18" s="363"/>
      <c r="J18" s="654"/>
      <c r="K18" s="645"/>
      <c r="L18" s="646"/>
    </row>
    <row r="19" spans="1:15" ht="13.5" customHeight="1" x14ac:dyDescent="0.2">
      <c r="B19" s="649"/>
      <c r="C19" s="548"/>
      <c r="D19" s="549"/>
      <c r="E19" s="653"/>
      <c r="F19" s="363"/>
      <c r="G19" s="363"/>
      <c r="H19" s="363"/>
      <c r="I19" s="363"/>
      <c r="J19" s="655"/>
      <c r="K19" s="656"/>
      <c r="L19" s="657"/>
    </row>
    <row r="20" spans="1:15" ht="13.5" customHeight="1" x14ac:dyDescent="0.2">
      <c r="B20" s="649"/>
      <c r="C20" s="548"/>
      <c r="D20" s="549"/>
      <c r="E20" s="653"/>
      <c r="F20" s="363"/>
      <c r="G20" s="363"/>
      <c r="H20" s="363"/>
      <c r="I20" s="363"/>
      <c r="J20" s="655"/>
      <c r="K20" s="656"/>
      <c r="L20" s="657"/>
    </row>
    <row r="21" spans="1:15" ht="13.5" customHeight="1" thickBot="1" x14ac:dyDescent="0.25">
      <c r="B21" s="501"/>
      <c r="C21" s="540"/>
      <c r="D21" s="541"/>
      <c r="E21" s="572"/>
      <c r="F21" s="406"/>
      <c r="G21" s="406"/>
      <c r="H21" s="406"/>
      <c r="I21" s="406"/>
      <c r="J21" s="463"/>
      <c r="K21" s="464"/>
      <c r="L21" s="648"/>
    </row>
    <row r="22" spans="1:15" ht="27" customHeight="1" thickTop="1" thickBot="1" x14ac:dyDescent="0.25">
      <c r="B22" s="649" t="s">
        <v>312</v>
      </c>
      <c r="C22" s="649" t="s">
        <v>313</v>
      </c>
      <c r="D22" s="649"/>
      <c r="E22" s="61" t="s">
        <v>314</v>
      </c>
      <c r="F22" s="650" t="str">
        <f>IF(ISBLANK(入力及び計算結果!E85),"",入力及び計算結果!E85)</f>
        <v/>
      </c>
      <c r="G22" s="650"/>
      <c r="H22" s="650" t="str">
        <f>IF(ISBLANK(入力及び計算結果!G85),"",入力及び計算結果!G85)</f>
        <v/>
      </c>
      <c r="I22" s="650"/>
      <c r="J22" s="438"/>
      <c r="K22" s="439"/>
      <c r="L22" s="440"/>
    </row>
    <row r="23" spans="1:15" ht="40.5" customHeight="1" thickTop="1" x14ac:dyDescent="0.2">
      <c r="B23" s="501"/>
      <c r="C23" s="501"/>
      <c r="D23" s="501"/>
      <c r="E23" s="73" t="s">
        <v>315</v>
      </c>
      <c r="F23" s="651" t="str">
        <f>IF(NOT(ISNUMBER(RUa)),"-",RUa/10)</f>
        <v>-</v>
      </c>
      <c r="G23" s="652"/>
      <c r="H23" s="651" t="str">
        <f>IF(NOT(ISNUMBER(RUaa)),"-",RUaa/10)</f>
        <v>-</v>
      </c>
      <c r="I23" s="652"/>
      <c r="J23" s="438"/>
      <c r="K23" s="439"/>
      <c r="L23" s="440"/>
    </row>
    <row r="24" spans="1:15" ht="13.5" customHeight="1" x14ac:dyDescent="0.2">
      <c r="B24" s="641" t="s">
        <v>316</v>
      </c>
      <c r="C24" s="547" t="s">
        <v>317</v>
      </c>
      <c r="D24" s="539"/>
      <c r="E24" s="571"/>
      <c r="F24" s="363" t="s">
        <v>318</v>
      </c>
      <c r="G24" s="363"/>
      <c r="H24" s="363"/>
      <c r="I24" s="363"/>
      <c r="J24" s="438"/>
      <c r="K24" s="439"/>
      <c r="L24" s="440"/>
    </row>
    <row r="25" spans="1:15" ht="13.5" customHeight="1" thickBot="1" x14ac:dyDescent="0.25">
      <c r="B25" s="501"/>
      <c r="C25" s="540"/>
      <c r="D25" s="541"/>
      <c r="E25" s="572"/>
      <c r="F25" s="363" t="s">
        <v>319</v>
      </c>
      <c r="G25" s="406"/>
      <c r="H25" s="363"/>
      <c r="I25" s="406"/>
      <c r="J25" s="438"/>
      <c r="K25" s="439"/>
      <c r="L25" s="440"/>
    </row>
    <row r="26" spans="1:15" ht="27" customHeight="1" thickTop="1" x14ac:dyDescent="0.2">
      <c r="B26" s="641" t="s">
        <v>320</v>
      </c>
      <c r="C26" s="547" t="s">
        <v>71</v>
      </c>
      <c r="D26" s="539"/>
      <c r="E26" s="571"/>
      <c r="F26" s="61" t="s">
        <v>321</v>
      </c>
      <c r="G26" s="642" t="str">
        <f>IF(ISBLANK(入力及び計算結果!E89),"",入力及び計算結果!E89)</f>
        <v/>
      </c>
      <c r="H26" s="62" t="s">
        <v>322</v>
      </c>
      <c r="I26" s="642" t="str">
        <f>IF(ISBLANK(入力及び計算結果!G89),"",入力及び計算結果!G89)</f>
        <v/>
      </c>
      <c r="J26" s="644"/>
      <c r="K26" s="645"/>
      <c r="L26" s="646"/>
    </row>
    <row r="27" spans="1:15" ht="13.5" customHeight="1" thickBot="1" x14ac:dyDescent="0.25">
      <c r="B27" s="501"/>
      <c r="C27" s="540"/>
      <c r="D27" s="541"/>
      <c r="E27" s="572"/>
      <c r="F27" s="98" t="s">
        <v>323</v>
      </c>
      <c r="G27" s="643"/>
      <c r="H27" s="67" t="s">
        <v>323</v>
      </c>
      <c r="I27" s="643"/>
      <c r="J27" s="647"/>
      <c r="K27" s="464"/>
      <c r="L27" s="648"/>
    </row>
    <row r="28" spans="1:15" ht="16.5" thickTop="1" thickBot="1" x14ac:dyDescent="0.25">
      <c r="B28" s="44" t="s">
        <v>324</v>
      </c>
      <c r="C28" s="58" t="s">
        <v>183</v>
      </c>
      <c r="D28" s="59"/>
      <c r="E28" s="60"/>
      <c r="F28" s="635" t="str">
        <f>IF(ISBLANK(入力及び計算結果!E91),"",入力及び計算結果!E91)</f>
        <v/>
      </c>
      <c r="G28" s="636"/>
      <c r="H28" s="636"/>
      <c r="I28" s="637"/>
      <c r="J28" s="438"/>
      <c r="K28" s="439"/>
      <c r="L28" s="440"/>
    </row>
    <row r="29" spans="1:15" ht="13.5" customHeight="1" thickTop="1" thickBot="1" x14ac:dyDescent="0.25">
      <c r="B29" s="44" t="s">
        <v>104</v>
      </c>
      <c r="C29" s="58" t="s">
        <v>135</v>
      </c>
      <c r="D29" s="59"/>
      <c r="E29" s="70"/>
      <c r="F29" s="638" t="str">
        <f>IF(ISBLANK(入力及び計算結果!E92),"",入力及び計算結果!E92)</f>
        <v/>
      </c>
      <c r="G29" s="639"/>
      <c r="H29" s="639"/>
      <c r="I29" s="640"/>
      <c r="J29" s="380" t="s">
        <v>325</v>
      </c>
      <c r="K29" s="452"/>
      <c r="L29" s="453"/>
    </row>
    <row r="30" spans="1:15" ht="13.5" customHeight="1" thickTop="1" x14ac:dyDescent="0.2">
      <c r="B30" s="44" t="s">
        <v>326</v>
      </c>
      <c r="C30" s="58" t="s">
        <v>327</v>
      </c>
      <c r="D30" s="59"/>
      <c r="E30" s="59"/>
      <c r="F30" s="408">
        <f>IF(F29&gt;=19,IF(F29&gt;=25,IF(F29&gt;=38,IF(F29&gt;=44,IF(F29&gt;=57,IF(F29&gt;=63,IF(F29&gt;=76,IF(F29&gt;=82,9,8),7),6),5),4),3),2),"-")</f>
        <v>9</v>
      </c>
      <c r="G30" s="408"/>
      <c r="H30" s="408"/>
      <c r="I30" s="408"/>
      <c r="J30" s="438"/>
      <c r="K30" s="439"/>
      <c r="L30" s="440"/>
    </row>
    <row r="31" spans="1:15" ht="13.5" customHeight="1" x14ac:dyDescent="0.2">
      <c r="B31" s="44" t="s">
        <v>328</v>
      </c>
      <c r="C31" s="58" t="s">
        <v>329</v>
      </c>
      <c r="D31" s="59"/>
      <c r="E31" s="59"/>
      <c r="F31" s="363" t="str">
        <f>IF(ISNUMBER(F29),IF(ISBLANK(F29),"-",IF((F29-19*INT(F29/19))&gt;=1,IF((F29-19*INT(F29/19))&gt;=2,IF((F29-19*INT(F29/19))&gt;=7,IF((F29-19*INT(F29/19))&gt;=8,2+(INT(F29/19)-1)*4+4,2+(INT(F29/19)-1)*4+3),2+(INT(F29/19)-1)*4+2),2+(INT(F29/19)-1)*4+1),2+(INT(F29/19)-1)*4)),"-")</f>
        <v>-</v>
      </c>
      <c r="G31" s="363"/>
      <c r="H31" s="363"/>
      <c r="I31" s="363"/>
      <c r="J31" s="438"/>
      <c r="K31" s="439"/>
      <c r="L31" s="440"/>
    </row>
    <row r="32" spans="1:15" ht="13.5" customHeight="1" x14ac:dyDescent="0.2">
      <c r="A32" s="19"/>
      <c r="E32" s="79"/>
      <c r="F32" s="80"/>
      <c r="G32" s="80"/>
      <c r="K32" s="79"/>
      <c r="L32" s="79"/>
      <c r="M32" s="21"/>
      <c r="N32" s="99"/>
      <c r="O32" s="99"/>
    </row>
    <row r="33" spans="1:22" ht="13.5" customHeight="1" x14ac:dyDescent="0.2">
      <c r="A33" s="19"/>
      <c r="B33" s="40" t="s">
        <v>330</v>
      </c>
      <c r="E33" s="79"/>
      <c r="F33" s="80"/>
      <c r="G33" s="80"/>
      <c r="I33" s="100"/>
      <c r="M33" s="21"/>
      <c r="N33" s="99"/>
      <c r="O33" s="99"/>
    </row>
    <row r="34" spans="1:22" ht="13.5" customHeight="1" thickBot="1" x14ac:dyDescent="0.25">
      <c r="A34" s="19"/>
      <c r="B34" s="40"/>
      <c r="D34" s="101">
        <v>1</v>
      </c>
      <c r="E34" s="79"/>
      <c r="F34" s="80"/>
      <c r="G34" s="101">
        <v>2</v>
      </c>
      <c r="H34" s="100"/>
      <c r="I34" s="100"/>
      <c r="J34" s="101">
        <v>3</v>
      </c>
      <c r="K34" s="100"/>
      <c r="L34" s="100"/>
      <c r="M34" s="21"/>
      <c r="N34" s="101">
        <v>1</v>
      </c>
      <c r="O34" s="79"/>
      <c r="P34" s="80"/>
      <c r="Q34" s="101">
        <v>2</v>
      </c>
      <c r="R34" s="100"/>
      <c r="S34" s="100"/>
      <c r="T34" s="101">
        <v>3</v>
      </c>
      <c r="U34" s="100"/>
      <c r="V34" s="100"/>
    </row>
    <row r="35" spans="1:22" ht="13.5" customHeight="1" thickTop="1" thickBot="1" x14ac:dyDescent="0.25">
      <c r="A35" s="19"/>
      <c r="B35" s="29" t="s">
        <v>145</v>
      </c>
      <c r="C35" s="102"/>
      <c r="D35" s="103" t="str">
        <f>IF(ISBLANK(入力及び計算結果!E93),"",入力及び計算結果!E93)</f>
        <v/>
      </c>
      <c r="E35" s="104" t="s">
        <v>146</v>
      </c>
      <c r="G35" s="105"/>
      <c r="H35" s="94"/>
      <c r="J35" s="105"/>
      <c r="K35" s="94"/>
      <c r="M35" s="21"/>
      <c r="O35" s="78"/>
      <c r="R35" s="78"/>
    </row>
    <row r="36" spans="1:22" ht="13.5" customHeight="1" thickTop="1" x14ac:dyDescent="0.2">
      <c r="A36" s="19"/>
      <c r="B36" s="29" t="s">
        <v>147</v>
      </c>
      <c r="C36" s="102"/>
      <c r="D36" s="106">
        <v>6</v>
      </c>
      <c r="E36" s="104" t="s">
        <v>146</v>
      </c>
      <c r="F36" s="107">
        <f>IF($D36&gt;$F$29,"",IF(ISNUMBER($D$35),(I-$D$71/($F$15*Au))*EXP(-LN(2)/$D$35*D36),1))</f>
        <v>1</v>
      </c>
      <c r="G36" s="108">
        <v>5</v>
      </c>
      <c r="H36" s="109" t="s">
        <v>146</v>
      </c>
      <c r="I36" s="107" t="str">
        <f>IFERROR(IF($F$15&gt;=2,IF($G36&gt;$F$29-14,"",IF(ISNUMBER($D$35),(I-$D$71/($F$15*Au))*EXP(-LN(2)/$D$35*G36),1)),""),"-")</f>
        <v>-</v>
      </c>
      <c r="J36" s="108">
        <v>10</v>
      </c>
      <c r="K36" s="109" t="s">
        <v>146</v>
      </c>
      <c r="L36" s="107" t="str">
        <f>IFERROR(IF($F$15&gt;=3,IF(J36&gt;$F$29-28,"",IF(ISNUMBER($D$35),(I-$D$71/($F$15*Au))*EXP(-LN(2)/$D$35*J36),1)),""),"-")</f>
        <v>-</v>
      </c>
      <c r="M36" s="21"/>
      <c r="N36" s="110">
        <v>6</v>
      </c>
      <c r="O36" s="27" t="s">
        <v>146</v>
      </c>
      <c r="P36" s="107">
        <f>IF($N36&gt;$F$29,"",IF(ISNUMBER($D$35),(I-$E$71/($F$15*Au))*EXP(-LN(2)/$D$35*N36),1))</f>
        <v>1</v>
      </c>
      <c r="Q36" s="110">
        <v>5</v>
      </c>
      <c r="R36" s="27" t="s">
        <v>146</v>
      </c>
      <c r="S36" s="107" t="str">
        <f>IFERROR(IF($F$15&gt;=2,IF($Q36&gt;$F$29-14,"",IF(ISNUMBER($D$35),(I-$E$71/($F$15*Au))*EXP(-LN(2)/$D$35*Q36),1)),""),"-")</f>
        <v>-</v>
      </c>
      <c r="T36" s="110">
        <v>10</v>
      </c>
      <c r="U36" s="27" t="s">
        <v>146</v>
      </c>
      <c r="V36" s="107" t="str">
        <f>IFERROR(IF($F$15&gt;=3,IF(T36&gt;$F$29-28,"",IF(ISNUMBER($D$35),(I-$E$71/($F$15*Au))*EXP(-LN(2)/$D$35*T36),1)),""),"-")</f>
        <v>-</v>
      </c>
    </row>
    <row r="37" spans="1:22" ht="13.5" customHeight="1" x14ac:dyDescent="0.2">
      <c r="A37" s="19"/>
      <c r="B37" s="29" t="s">
        <v>148</v>
      </c>
      <c r="C37" s="102"/>
      <c r="D37" s="110">
        <f>D36+13</f>
        <v>19</v>
      </c>
      <c r="E37" s="104" t="s">
        <v>146</v>
      </c>
      <c r="F37" s="107">
        <f>IF($D37&gt;$F$29,"",IF(ISNUMBER($D$35),IF(ISNUMBER(RUa),$F36*(1-(RUa/10)*ffu)*EXP(-LN(2)/$D$35*(D37-D36)),"-"),1))</f>
        <v>1</v>
      </c>
      <c r="G37" s="110">
        <f>G36+6</f>
        <v>11</v>
      </c>
      <c r="H37" s="104" t="s">
        <v>146</v>
      </c>
      <c r="I37" s="107" t="str">
        <f>IFERROR(IF($F$15&gt;=2,IF($G37&gt;$F$29-14,"",IF(ISNUMBER($D$35),IF(ISNUMBER(RUa),$I36*(1-(RUa/10)*ffu)*EXP(-LN(2)/$D$35*(G37-G36)),"-"),1)),""),"-")</f>
        <v>-</v>
      </c>
      <c r="J37" s="111">
        <f>J36+6</f>
        <v>16</v>
      </c>
      <c r="K37" s="109" t="s">
        <v>146</v>
      </c>
      <c r="L37" s="107" t="str">
        <f>IFERROR(IF($F$15&gt;=3,IF(J37&gt;$F$29-28,"",IF(ISNUMBER($D$35),IF(ISNUMBER(RUa),$L36*(1-(RUa/10)*ffu)*EXP(-LN(2)/$D$35*(J37-J36)),"-"),1)),""),"-")</f>
        <v>-</v>
      </c>
      <c r="N37" s="110">
        <f>N36+13</f>
        <v>19</v>
      </c>
      <c r="O37" s="27" t="s">
        <v>146</v>
      </c>
      <c r="P37" s="107">
        <f>IF($N37&gt;$F$29,"",IF(ISNUMBER($D$35),IF(ISNUMBER(RUaa),$P36*(1-(RUaa/10)*ffua)*EXP(-LN(2)/$D$35*(N37-N36)),"-"),1))</f>
        <v>1</v>
      </c>
      <c r="Q37" s="110">
        <f>Q36+6</f>
        <v>11</v>
      </c>
      <c r="R37" s="27" t="s">
        <v>146</v>
      </c>
      <c r="S37" s="107" t="str">
        <f>IFERROR(IF($F$15&gt;=2,IF($Q37&gt;$F$29-14,"",IF(ISNUMBER($D$35),IF(ISNUMBER(RUaa),$S36*(1-(RUaa/10)*ffua)*EXP(-LN(2)/$D$35*(Q37-Q36)),"-"),1)),""),"-")</f>
        <v>-</v>
      </c>
      <c r="T37" s="110">
        <f>T36+6</f>
        <v>16</v>
      </c>
      <c r="U37" s="27" t="s">
        <v>146</v>
      </c>
      <c r="V37" s="107" t="str">
        <f>IFERROR(IF($F$15&gt;=3,IF(T37&gt;$F$29-28,"",IF(ISNUMBER($D$35),IF(ISNUMBER(RUaa),$V36*(1-(RUaa/10)*ffua)*EXP(-LN(2)/$D$35*(T37-T36)),"-"),1)),""),"-")</f>
        <v>-</v>
      </c>
    </row>
    <row r="38" spans="1:22" ht="13.5" customHeight="1" x14ac:dyDescent="0.2">
      <c r="A38" s="19"/>
      <c r="B38" s="29" t="s">
        <v>331</v>
      </c>
      <c r="C38" s="102"/>
      <c r="D38" s="112">
        <f>D37+6</f>
        <v>25</v>
      </c>
      <c r="E38" s="104" t="s">
        <v>146</v>
      </c>
      <c r="F38" s="107">
        <f>IF($D38&gt;$F$29,"",IF(ISNUMBER($D$35),IF(ISNUMBER(RUa),$F37*(1-(RUa/10)*ffu)*EXP(-LN(2)/$D$35*(D38-D37)),"-"),1))</f>
        <v>1</v>
      </c>
      <c r="G38" s="112">
        <f>G37+13</f>
        <v>24</v>
      </c>
      <c r="H38" s="104" t="s">
        <v>146</v>
      </c>
      <c r="I38" s="107" t="str">
        <f>IFERROR(IF($F$15&gt;=2,IF($G38&gt;$F$29-14,"",IF(ISNUMBER($D$35),IF(ISNUMBER(RUa),$I37*(1-(RUa/10)*ffu)*EXP(-LN(2)/$D$35*(G38-G37)),"-"),1)),""),"-")</f>
        <v>-</v>
      </c>
      <c r="J38" s="113">
        <f>J37+13</f>
        <v>29</v>
      </c>
      <c r="K38" s="109" t="s">
        <v>146</v>
      </c>
      <c r="L38" s="107" t="str">
        <f>IFERROR(IF($F$15&gt;=3,IF(J38&gt;$F$29-28,"",IF(ISNUMBER($D$35),IF(ISNUMBER(RUa),$L37*(1-(RUa/10)*ffu)*EXP(-LN(2)/$D$35*(J38-J37)),"-"),1)),""),"-")</f>
        <v>-</v>
      </c>
      <c r="N38" s="112">
        <f>N37+6</f>
        <v>25</v>
      </c>
      <c r="O38" s="27" t="s">
        <v>146</v>
      </c>
      <c r="P38" s="107">
        <f>IF($N38&gt;$F$29,"",IF(ISNUMBER($D$35),IF(ISNUMBER(RUaa),$P37*(1-(RUaa/10)*ffua)*EXP(-LN(2)/$D$35*(N38-N37)),"-"),1))</f>
        <v>1</v>
      </c>
      <c r="Q38" s="112">
        <f>Q37+13</f>
        <v>24</v>
      </c>
      <c r="R38" s="27" t="s">
        <v>146</v>
      </c>
      <c r="S38" s="107" t="str">
        <f>IFERROR(IF($F$15&gt;=2,IF($Q38&gt;$F$29-14,"",IF(ISNUMBER($D$35),IF(ISNUMBER(RUaa),$S37*(1-(RUaa/10)*ffua)*EXP(-LN(2)/$D$35*(Q38-Q37)),"-"),1)),""),"-")</f>
        <v>-</v>
      </c>
      <c r="T38" s="112">
        <f>T37+13</f>
        <v>29</v>
      </c>
      <c r="U38" s="27" t="s">
        <v>146</v>
      </c>
      <c r="V38" s="107" t="str">
        <f>IFERROR(IF($F$15&gt;=3,IF(T38&gt;$F$29-28,"",IF(ISNUMBER($D$35),IF(ISNUMBER(RUaa),$V37*(1-(RUaa/10)*ffua)*EXP(-LN(2)/$D$35*(T38-T37)),"-"),1)),""),"-")</f>
        <v>-</v>
      </c>
    </row>
    <row r="39" spans="1:22" ht="13.5" customHeight="1" x14ac:dyDescent="0.2">
      <c r="A39" s="19"/>
      <c r="B39" s="29" t="s">
        <v>332</v>
      </c>
      <c r="C39" s="102"/>
      <c r="D39" s="112">
        <f>D38+13</f>
        <v>38</v>
      </c>
      <c r="E39" s="104" t="s">
        <v>146</v>
      </c>
      <c r="F39" s="107">
        <f>IF($D39&gt;$F$29,"",IF(ISNUMBER($D$35),IF(ISNUMBER(RUa),$F38*(1-(RUa/10)*ffu)*EXP(-LN(2)/$D$35*(D39-D38)),"-"),1))</f>
        <v>1</v>
      </c>
      <c r="G39" s="112">
        <f>G38+6</f>
        <v>30</v>
      </c>
      <c r="H39" s="104" t="s">
        <v>146</v>
      </c>
      <c r="I39" s="107" t="str">
        <f>IFERROR(IF($F$15&gt;=2,IF($G39&gt;$F$29-14,"",IF(ISNUMBER($D$35),IF(ISNUMBER(RUa),$I38*(1-(RUa/10)*ffu)*EXP(-LN(2)/$D$35*(G39-G38)),"-"),1)),""),"-")</f>
        <v>-</v>
      </c>
      <c r="J39" s="113">
        <f>J38+6</f>
        <v>35</v>
      </c>
      <c r="K39" s="109" t="s">
        <v>146</v>
      </c>
      <c r="L39" s="107" t="str">
        <f>IFERROR(IF($F$15&gt;=3,IF(J39&gt;$F$29-28,"",IF(ISNUMBER($D$35),IF(ISNUMBER(RUa),$L38*(1-(RUa/10)*ffu)*EXP(-LN(2)/$D$35*(J39-J38)),"-"),1)),""),"-")</f>
        <v>-</v>
      </c>
      <c r="M39" s="21"/>
      <c r="N39" s="112">
        <f>N38+13</f>
        <v>38</v>
      </c>
      <c r="O39" s="27" t="s">
        <v>146</v>
      </c>
      <c r="P39" s="107">
        <f>IF($N39&gt;$F$29,"",IF(ISNUMBER($D$35),IF(ISNUMBER(RUaa),$P38*(1-(RUaa/10)*ffua)*EXP(-LN(2)/$D$35*(N39-N38)),"-"),1))</f>
        <v>1</v>
      </c>
      <c r="Q39" s="112">
        <f>Q38+6</f>
        <v>30</v>
      </c>
      <c r="R39" s="27" t="s">
        <v>146</v>
      </c>
      <c r="S39" s="107" t="str">
        <f>IFERROR(IF($F$15&gt;=2,IF($Q39&gt;$F$29-14,"",IF(ISNUMBER($D$35),IF(ISNUMBER(RUaa),$S38*(1-(RUaa/10)*ffua)*EXP(-LN(2)/$D$35*(Q39-Q38)),"-"),1)),""),"-")</f>
        <v>-</v>
      </c>
      <c r="T39" s="112">
        <f>T38+6</f>
        <v>35</v>
      </c>
      <c r="U39" s="27" t="s">
        <v>146</v>
      </c>
      <c r="V39" s="107" t="str">
        <f>IFERROR(IF($F$15&gt;=3,IF(T39&gt;$F$29-28,"",IF(ISNUMBER($D$35),IF(ISNUMBER(RUaa),$V38*(1-(RUaa/10)*ffua)*EXP(-LN(2)/$D$35*(T39-T38)),"-"),1)),""),"-")</f>
        <v>-</v>
      </c>
    </row>
    <row r="40" spans="1:22" ht="13.5" customHeight="1" x14ac:dyDescent="0.2">
      <c r="A40" s="19"/>
      <c r="E40" s="79"/>
      <c r="F40" s="80">
        <f>COUNT(F36:F39)</f>
        <v>4</v>
      </c>
      <c r="G40" s="80"/>
      <c r="I40" s="80">
        <f>COUNT(I36:I39)</f>
        <v>0</v>
      </c>
      <c r="K40" s="79"/>
      <c r="L40" s="80">
        <f>COUNT(L36:L39)</f>
        <v>0</v>
      </c>
      <c r="M40" s="21"/>
      <c r="O40" s="79"/>
      <c r="P40" s="80">
        <f>COUNT(P36:P39)</f>
        <v>4</v>
      </c>
      <c r="Q40" s="80"/>
      <c r="S40" s="80">
        <f>COUNT(S36:S39)</f>
        <v>0</v>
      </c>
      <c r="U40" s="79"/>
      <c r="V40" s="80">
        <f>COUNT(V36:V39)</f>
        <v>0</v>
      </c>
    </row>
    <row r="41" spans="1:22" ht="13.5" customHeight="1" x14ac:dyDescent="0.2">
      <c r="A41" s="19"/>
      <c r="B41" s="100"/>
      <c r="C41" s="100"/>
      <c r="D41" s="100"/>
      <c r="E41" s="100"/>
      <c r="F41" s="114"/>
      <c r="G41" s="100"/>
      <c r="H41" s="100"/>
      <c r="I41" s="114"/>
      <c r="J41" s="100"/>
      <c r="K41" s="100"/>
      <c r="L41" s="100"/>
      <c r="M41" s="21"/>
      <c r="N41" s="99"/>
      <c r="O41" s="99"/>
    </row>
    <row r="42" spans="1:22" x14ac:dyDescent="0.2">
      <c r="B42" s="115"/>
    </row>
    <row r="43" spans="1:22" ht="13.5" customHeight="1" thickBot="1" x14ac:dyDescent="0.25">
      <c r="B43" s="40" t="s">
        <v>333</v>
      </c>
      <c r="G43" s="570" t="s">
        <v>334</v>
      </c>
      <c r="H43" s="633"/>
      <c r="I43" s="633"/>
      <c r="J43" s="633"/>
      <c r="K43" s="633"/>
    </row>
    <row r="44" spans="1:22" ht="13.5" customHeight="1" thickTop="1" thickBot="1" x14ac:dyDescent="0.25">
      <c r="B44" s="556" t="s">
        <v>187</v>
      </c>
      <c r="C44" s="634"/>
      <c r="D44" s="1"/>
      <c r="E44" s="104" t="s">
        <v>146</v>
      </c>
      <c r="G44" s="633"/>
      <c r="H44" s="633"/>
      <c r="I44" s="633"/>
      <c r="J44" s="633"/>
      <c r="K44" s="633"/>
    </row>
    <row r="45" spans="1:22" ht="13.5" customHeight="1" thickTop="1" thickBot="1" x14ac:dyDescent="0.25">
      <c r="B45" s="380" t="s">
        <v>188</v>
      </c>
      <c r="C45" s="452"/>
      <c r="D45" s="1"/>
      <c r="E45" s="104" t="s">
        <v>146</v>
      </c>
      <c r="G45" s="633"/>
      <c r="H45" s="633"/>
      <c r="I45" s="633"/>
      <c r="J45" s="633"/>
      <c r="K45" s="633"/>
    </row>
    <row r="46" spans="1:22" ht="13.5" customHeight="1" thickTop="1" x14ac:dyDescent="0.2">
      <c r="C46" s="116" t="s">
        <v>189</v>
      </c>
      <c r="D46">
        <f>IF(D49&lt;&gt;0,"使用しない",IF(D44="",0,LN(2)/D44))</f>
        <v>0</v>
      </c>
      <c r="G46" s="633"/>
      <c r="H46" s="633"/>
      <c r="I46" s="633"/>
      <c r="J46" s="633"/>
      <c r="K46" s="633"/>
    </row>
    <row r="47" spans="1:22" ht="13.5" customHeight="1" x14ac:dyDescent="0.2">
      <c r="C47" s="116" t="s">
        <v>190</v>
      </c>
      <c r="D47">
        <f>IF(D49&lt;&gt;0,"使用しない",IF(D46&lt;&gt;0,IF(D45="","加水分解半減期を入力してください",LN(2)/D45),IF(D45="",0,LN(2)/D45)))</f>
        <v>0</v>
      </c>
      <c r="G47" s="633"/>
      <c r="H47" s="633"/>
      <c r="I47" s="633"/>
      <c r="J47" s="633"/>
      <c r="K47" s="633"/>
    </row>
    <row r="48" spans="1:22" ht="13.5" customHeight="1" thickBot="1" x14ac:dyDescent="0.25">
      <c r="B48" t="s">
        <v>191</v>
      </c>
      <c r="G48" s="633"/>
      <c r="H48" s="633"/>
      <c r="I48" s="633"/>
      <c r="J48" s="633"/>
      <c r="K48" s="633"/>
    </row>
    <row r="49" spans="2:12" ht="13.5" customHeight="1" thickTop="1" thickBot="1" x14ac:dyDescent="0.25">
      <c r="B49" s="380" t="s">
        <v>192</v>
      </c>
      <c r="C49" s="452"/>
      <c r="D49" s="1"/>
      <c r="E49" s="104" t="s">
        <v>146</v>
      </c>
      <c r="G49" s="633"/>
      <c r="H49" s="633"/>
      <c r="I49" s="633"/>
      <c r="J49" s="633"/>
      <c r="K49" s="633"/>
    </row>
    <row r="50" spans="2:12" ht="13.5" customHeight="1" thickTop="1" x14ac:dyDescent="0.2">
      <c r="C50" s="117" t="s">
        <v>193</v>
      </c>
      <c r="D50">
        <f>IF(AND(D46&lt;&gt;0,NOT(D46="使用しない")),"使用しない",IF(AND(D47&lt;&gt;0,NOT(D47="使用しない")),0,IF(D49="",0,LN(2)/D49)))</f>
        <v>0</v>
      </c>
      <c r="G50" s="633"/>
      <c r="H50" s="633"/>
      <c r="I50" s="633"/>
      <c r="J50" s="633"/>
      <c r="K50" s="633"/>
    </row>
    <row r="51" spans="2:12" ht="13.5" customHeight="1" x14ac:dyDescent="0.2">
      <c r="G51" s="633"/>
      <c r="H51" s="633"/>
      <c r="I51" s="633"/>
      <c r="J51" s="633"/>
      <c r="K51" s="633"/>
    </row>
    <row r="52" spans="2:12" ht="13.5" customHeight="1" x14ac:dyDescent="0.2">
      <c r="C52" s="116" t="s">
        <v>335</v>
      </c>
      <c r="D52">
        <f>IF(OR(D50="使用しない",D50=0),D46+D47,D50)</f>
        <v>0</v>
      </c>
      <c r="G52" s="633"/>
      <c r="H52" s="633"/>
      <c r="I52" s="633"/>
      <c r="J52" s="633"/>
      <c r="K52" s="633"/>
    </row>
    <row r="53" spans="2:12" ht="13.5" customHeight="1" x14ac:dyDescent="0.2">
      <c r="B53" s="118"/>
      <c r="H53" s="119"/>
      <c r="I53" s="115"/>
      <c r="J53" s="115"/>
      <c r="K53" s="115"/>
      <c r="L53" s="115"/>
    </row>
    <row r="54" spans="2:12" ht="13.5" customHeight="1" x14ac:dyDescent="0.2">
      <c r="B54" s="120" t="s">
        <v>196</v>
      </c>
    </row>
    <row r="55" spans="2:12" ht="13.5" customHeight="1" x14ac:dyDescent="0.2">
      <c r="B55" s="121" t="s">
        <v>336</v>
      </c>
      <c r="C55" s="438" t="s">
        <v>160</v>
      </c>
      <c r="D55" s="440"/>
      <c r="E55" s="71" t="s">
        <v>161</v>
      </c>
      <c r="F55" s="71" t="s">
        <v>162</v>
      </c>
    </row>
    <row r="56" spans="2:12" ht="13.5" customHeight="1" x14ac:dyDescent="0.2">
      <c r="B56" s="73" t="s">
        <v>337</v>
      </c>
      <c r="C56" s="401" t="s">
        <v>220</v>
      </c>
      <c r="D56" s="410"/>
      <c r="E56" s="87">
        <v>3000</v>
      </c>
      <c r="F56" s="87" t="s">
        <v>218</v>
      </c>
      <c r="L56" s="122"/>
    </row>
    <row r="57" spans="2:12" ht="13.5" customHeight="1" thickBot="1" x14ac:dyDescent="0.25">
      <c r="B57" s="73" t="s">
        <v>338</v>
      </c>
      <c r="C57" s="401" t="s">
        <v>222</v>
      </c>
      <c r="D57" s="410"/>
      <c r="E57" s="87">
        <v>1</v>
      </c>
      <c r="F57" s="87" t="s">
        <v>223</v>
      </c>
      <c r="L57" s="122"/>
    </row>
    <row r="58" spans="2:12" ht="13.5" customHeight="1" thickTop="1" thickBot="1" x14ac:dyDescent="0.25">
      <c r="B58" s="73" t="s">
        <v>224</v>
      </c>
      <c r="C58" s="373" t="s">
        <v>339</v>
      </c>
      <c r="D58" s="437"/>
      <c r="E58" s="87">
        <v>1.2</v>
      </c>
      <c r="F58" s="87" t="s">
        <v>340</v>
      </c>
      <c r="H58" s="507" t="s">
        <v>117</v>
      </c>
      <c r="I58" s="632"/>
      <c r="J58" s="2"/>
      <c r="L58" s="122"/>
    </row>
    <row r="59" spans="2:12" ht="13.5" customHeight="1" thickTop="1" x14ac:dyDescent="0.2">
      <c r="B59" s="123"/>
      <c r="C59" s="40"/>
      <c r="D59" s="67"/>
      <c r="E59" s="67"/>
      <c r="G59" s="119"/>
      <c r="H59" s="79" t="s">
        <v>120</v>
      </c>
      <c r="I59" s="80"/>
      <c r="J59" s="80"/>
      <c r="L59" s="67"/>
    </row>
    <row r="60" spans="2:12" ht="13.5" customHeight="1" thickBot="1" x14ac:dyDescent="0.25">
      <c r="B60" s="124" t="s">
        <v>149</v>
      </c>
      <c r="C60" s="125"/>
      <c r="D60" s="125"/>
      <c r="L60" s="67"/>
    </row>
    <row r="61" spans="2:12" ht="13.5" customHeight="1" thickTop="1" x14ac:dyDescent="0.2">
      <c r="B61" s="126"/>
      <c r="C61" s="127"/>
      <c r="D61" s="128" t="s">
        <v>9</v>
      </c>
      <c r="E61" s="128" t="s">
        <v>12</v>
      </c>
      <c r="F61" s="67"/>
    </row>
    <row r="62" spans="2:12" ht="13.5" customHeight="1" thickBot="1" x14ac:dyDescent="0.25">
      <c r="B62" s="629" t="s">
        <v>341</v>
      </c>
      <c r="C62" s="630"/>
      <c r="D62" s="129" t="str">
        <f>F29</f>
        <v/>
      </c>
      <c r="E62" s="129" t="str">
        <f>F29</f>
        <v/>
      </c>
      <c r="F62" s="67"/>
    </row>
    <row r="63" spans="2:12" ht="13.5" customHeight="1" thickTop="1" x14ac:dyDescent="0.2">
      <c r="B63" s="514" t="s">
        <v>133</v>
      </c>
      <c r="C63" s="631"/>
      <c r="D63" s="3">
        <f>Au</f>
        <v>37.5</v>
      </c>
      <c r="E63" s="130">
        <f>Au</f>
        <v>37.5</v>
      </c>
      <c r="F63" s="67"/>
      <c r="G63" s="122"/>
    </row>
    <row r="64" spans="2:12" ht="13.5" customHeight="1" x14ac:dyDescent="0.2">
      <c r="B64" s="451" t="s">
        <v>140</v>
      </c>
      <c r="C64" s="452"/>
      <c r="D64" s="131" t="str">
        <f>RU</f>
        <v>-</v>
      </c>
      <c r="E64" s="131" t="str">
        <f>RUUa</f>
        <v>-</v>
      </c>
      <c r="F64" s="67"/>
      <c r="G64" s="122"/>
    </row>
    <row r="65" spans="1:7" ht="13.5" customHeight="1" x14ac:dyDescent="0.2">
      <c r="B65" s="451" t="s">
        <v>109</v>
      </c>
      <c r="C65" s="452"/>
      <c r="D65" s="131" t="str">
        <f>DDr</f>
        <v/>
      </c>
      <c r="E65" s="131" t="str">
        <f>DDra</f>
        <v/>
      </c>
      <c r="F65" s="67"/>
      <c r="G65" s="122"/>
    </row>
    <row r="66" spans="1:7" ht="13.5" customHeight="1" x14ac:dyDescent="0.2">
      <c r="B66" s="451" t="s">
        <v>111</v>
      </c>
      <c r="C66" s="452"/>
      <c r="D66" s="131">
        <f>Zr</f>
        <v>0.6</v>
      </c>
      <c r="E66" s="131">
        <f>Zra</f>
        <v>0.6</v>
      </c>
      <c r="F66" s="67"/>
      <c r="G66" s="122"/>
    </row>
    <row r="67" spans="1:7" ht="13.5" customHeight="1" x14ac:dyDescent="0.2">
      <c r="B67" s="451" t="s">
        <v>342</v>
      </c>
      <c r="C67" s="452"/>
      <c r="D67" s="132">
        <f>F18</f>
        <v>1</v>
      </c>
      <c r="E67" s="132">
        <f>H18</f>
        <v>1</v>
      </c>
      <c r="F67" s="67"/>
      <c r="G67" s="122"/>
    </row>
    <row r="68" spans="1:7" ht="13.5" customHeight="1" thickBot="1" x14ac:dyDescent="0.25">
      <c r="B68" s="511" t="s">
        <v>150</v>
      </c>
      <c r="C68" s="624"/>
      <c r="D68" s="133" t="str">
        <f>ffu</f>
        <v/>
      </c>
      <c r="E68" s="133" t="str">
        <f>ffua</f>
        <v/>
      </c>
      <c r="F68" s="67"/>
      <c r="G68" s="122"/>
    </row>
    <row r="69" spans="1:7" ht="13.5" customHeight="1" thickTop="1" x14ac:dyDescent="0.2">
      <c r="B69" s="625" t="s">
        <v>125</v>
      </c>
      <c r="C69" s="626"/>
      <c r="D69" s="134" t="str">
        <f>IF(F15&lt;4,(SANP*$F$13-D71/F15)*(RU/100)*ffu*SUM(F40,I40,L40),"-")</f>
        <v>-</v>
      </c>
      <c r="E69" s="135" t="str">
        <f>IF(F15&lt;4,(SANP*$F$13-E71/F15)*(RUUa/100)*ffua*SUM(P40,S40,V40),"-")</f>
        <v>-</v>
      </c>
      <c r="F69" s="67"/>
      <c r="G69" s="122"/>
    </row>
    <row r="70" spans="1:7" ht="13.5" customHeight="1" x14ac:dyDescent="0.2">
      <c r="B70" s="84" t="s">
        <v>151</v>
      </c>
      <c r="C70" s="136"/>
      <c r="D70" s="137" t="str">
        <f>IF(ISNUMBER($D$35),IF($F$15=1,($F$23/100)*$F$13*ffu*SUM($F$36:$F$39),IF($F$15=2,($F$23/100)*$F$13*ffu*(SUM($F$36:$F$39)+SUM($I$36:$I$39)),IF($F$15=3,($F$23/100)*$F$13*ffu*(SUM($F$36:$F$39)+SUM($I$36:$I$39)+SUM($L$36:$L$39)),"-"))),"-")</f>
        <v>-</v>
      </c>
      <c r="E70" s="137" t="str">
        <f>IF(ISNUMBER($D$35),IF($F$15=1,($H$23/100)*$F$13*ffua*SUM($P$36:$P$39),IF($F$15=2,($H$23/100)*$F$13*ffua*(SUM($P$36:$P$39)+SUM($S$36:$S$39)),IF($F$15=3,($H$23/100)*$F$13*ffua*(SUM($P$36:$P$39)+SUM($S$36:$S$39)+SUM($V$36:$V$39)),"-"))),"-")</f>
        <v>-</v>
      </c>
      <c r="F70" s="67"/>
      <c r="G70" s="122"/>
    </row>
    <row r="71" spans="1:7" ht="13.5" customHeight="1" x14ac:dyDescent="0.2">
      <c r="B71" s="451" t="s">
        <v>126</v>
      </c>
      <c r="C71" s="506"/>
      <c r="D71" s="137" t="str">
        <f>IF(F15&lt;4,SANP*$F$15*(DDr/100)*Zr*$F$18,"-")</f>
        <v>-</v>
      </c>
      <c r="E71" s="137" t="str">
        <f>IF(F15&lt;4,$F$14*$F$15*(DDra/100)*Zra*$H$18,"-")</f>
        <v>-</v>
      </c>
      <c r="F71" s="67"/>
      <c r="G71" s="122"/>
    </row>
    <row r="72" spans="1:7" x14ac:dyDescent="0.2">
      <c r="B72" s="627" t="s">
        <v>285</v>
      </c>
      <c r="C72" s="628"/>
      <c r="D72" s="138" t="str">
        <f>IF(ISNUMBER(D69),(D69+D71)*(KKoc*(OOCSE/100)*PPse*VVse)/(KKoc*(OOCSE/100)*PPse*VVse+(1*86400*(F29-F31)+(1*(11/3))*86400*F31)),"-")</f>
        <v>-</v>
      </c>
      <c r="E72" s="139" t="str">
        <f>IF(ISNUMBER(E69),(E69+E71)*(KKoc*(OOCSE/100)*PPse*VVse)/(KKoc*(OOCSE/100)*PPse*VVse+(1*86400*(F29-F31)+(1*(11/3))*86400*F31)),"-")</f>
        <v>-</v>
      </c>
      <c r="F72" s="67"/>
      <c r="G72" s="122"/>
    </row>
    <row r="73" spans="1:7" ht="13.5" thickBot="1" x14ac:dyDescent="0.25">
      <c r="B73" s="616" t="s">
        <v>343</v>
      </c>
      <c r="C73" s="617"/>
      <c r="D73" s="137" t="str">
        <f>IF(ISNUMBER(D70),(D70+D71)*(KKoc*(OOCSE/100)*PPse*VVse)/(KKoc*(OOCSE/100)*PPse*VVse+(1*86400*(F29-F31)+(1*(11/3))*86400*F31)),"-")</f>
        <v>-</v>
      </c>
      <c r="E73" s="137" t="str">
        <f>IF(ISNUMBER(E70),(E70+E71)*(KKoc*(OOCSE/100)*PPse*VVse)/(KKoc*(OOCSE/100)*PPse*VVse+(1*86400*(F29-F31)+(1*(11/3))*86400*F31)),"-")</f>
        <v>-</v>
      </c>
      <c r="F73" s="67"/>
      <c r="G73" s="122"/>
    </row>
    <row r="74" spans="1:7" ht="13.5" customHeight="1" thickTop="1" x14ac:dyDescent="0.2">
      <c r="B74" s="618" t="s">
        <v>152</v>
      </c>
      <c r="C74" s="619"/>
      <c r="D74" s="307" t="str">
        <f>IF(NOT(ISNUMBER(ffu)),"-",(D69+D71-D72)/(3*86400*($F$29-$F$31)+11*86400*$F$31)*1000)</f>
        <v>-</v>
      </c>
      <c r="E74" s="307" t="str">
        <f>IF(NOT(ISNUMBER(ffua)),"-",(E69+E71-E72)/(3*86400*($F$29-$F$31)+11*86400*$F$31)*1000)</f>
        <v>-</v>
      </c>
      <c r="F74" s="123"/>
      <c r="G74" s="122"/>
    </row>
    <row r="75" spans="1:7" ht="13.5" customHeight="1" x14ac:dyDescent="0.2">
      <c r="B75" s="451" t="s">
        <v>344</v>
      </c>
      <c r="C75" s="506"/>
      <c r="D75" s="308" t="str">
        <f>IF(NOT(ISNUMBER(ffu)),"-",IF(NOT(ISNUMBER(D35)),"減衰を考慮せず",(D$70+D$71-D$73)/(3*86400*($F$29-$F$31)+(11*86400*$F$31))*1000))</f>
        <v>-</v>
      </c>
      <c r="E75" s="308" t="str">
        <f>IF(NOT(ISNUMBER(ffua)),"-",IF(NOT(ISNUMBER(D35)),"減衰を考慮せず",(E$70+E$71-E$73)/(3*86400*($F$29-$F$31)+(11*86400*$F$31))*1000))</f>
        <v>-</v>
      </c>
      <c r="F75" s="123"/>
      <c r="G75" s="122"/>
    </row>
    <row r="76" spans="1:7" ht="13.5" customHeight="1" x14ac:dyDescent="0.2">
      <c r="B76" s="620" t="s">
        <v>345</v>
      </c>
      <c r="C76" s="621"/>
      <c r="D76" s="308" t="str">
        <f>IF(NOT(ISNUMBER(ffu)),"-",IF(Kkkk=0,"分解を考慮せず",D74*EXP(-0.17*Kkkk)))</f>
        <v>-</v>
      </c>
      <c r="E76" s="308" t="str">
        <f>IF(NOT(ISNUMBER(ffua)),"-",IF(Kkkk=0,"分解を考慮せず",E74*EXP(-0.17*Kkkk)))</f>
        <v>-</v>
      </c>
      <c r="F76" s="67"/>
      <c r="G76" s="122"/>
    </row>
    <row r="77" spans="1:7" ht="27" customHeight="1" thickBot="1" x14ac:dyDescent="0.25">
      <c r="B77" s="622" t="s">
        <v>346</v>
      </c>
      <c r="C77" s="623"/>
      <c r="D77" s="309" t="str">
        <f>IF(NOT(ISNUMBER(ffu)),"-",IF(NOT(ISNUMBER(D35)),IF(Kkkk=0,"減衰・分解を考慮せず",D76),IF(ISBLANK(Kkkk),D75,D75*EXP(-0.17*Kkkk))))</f>
        <v>-</v>
      </c>
      <c r="E77" s="310" t="str">
        <f>IF(NOT(ISNUMBER(ffua)),"-",IF(NOT(ISNUMBER(D35)),IF(Kkkk=0,"減衰・分解を考慮せず",E76),IF(ISBLANK(Kkkk),E75,E75*EXP(-0.17*Kkkk))))</f>
        <v>-</v>
      </c>
      <c r="F77" s="67"/>
    </row>
    <row r="78" spans="1:7" ht="13.5" customHeight="1" thickTop="1" x14ac:dyDescent="0.2"/>
    <row r="79" spans="1:7" ht="13.5" customHeight="1" x14ac:dyDescent="0.2">
      <c r="B79" s="10" t="s">
        <v>129</v>
      </c>
    </row>
    <row r="80" spans="1:7" ht="13.5" customHeight="1" x14ac:dyDescent="0.2">
      <c r="A80" s="80"/>
    </row>
    <row r="81" spans="1:14" ht="13.5" customHeight="1" x14ac:dyDescent="0.2">
      <c r="M81" s="122"/>
      <c r="N81" s="122"/>
    </row>
    <row r="82" spans="1:14" ht="13.5" customHeight="1" x14ac:dyDescent="0.2"/>
    <row r="83" spans="1:14" ht="13.5" customHeight="1" x14ac:dyDescent="0.2"/>
    <row r="84" spans="1:14" s="80" customFormat="1" ht="13.5" customHeight="1" x14ac:dyDescent="0.2">
      <c r="A84"/>
      <c r="B84"/>
    </row>
    <row r="85" spans="1:14" ht="13.5" customHeight="1" x14ac:dyDescent="0.2"/>
    <row r="86" spans="1:14" ht="13.5" customHeight="1" x14ac:dyDescent="0.2"/>
    <row r="87" spans="1:14" ht="13.5" customHeight="1" x14ac:dyDescent="0.2"/>
    <row r="88" spans="1:14" ht="13.5" customHeight="1" x14ac:dyDescent="0.2"/>
    <row r="89" spans="1:14" ht="13.5" customHeight="1" x14ac:dyDescent="0.2"/>
    <row r="90" spans="1:14" ht="13.5" customHeight="1" x14ac:dyDescent="0.2"/>
    <row r="91" spans="1:14" ht="13.5" customHeight="1" x14ac:dyDescent="0.2"/>
    <row r="92" spans="1:14" ht="13.5" customHeight="1" x14ac:dyDescent="0.2"/>
    <row r="93" spans="1:14" ht="13.5" customHeight="1" x14ac:dyDescent="0.2"/>
    <row r="94" spans="1:14" ht="13.5" customHeight="1" x14ac:dyDescent="0.2"/>
    <row r="95" spans="1:14" ht="13.5" customHeight="1" x14ac:dyDescent="0.2"/>
    <row r="96" spans="1:14" ht="13.5" customHeight="1" x14ac:dyDescent="0.2"/>
    <row r="97" customFormat="1" ht="13.5" customHeight="1" x14ac:dyDescent="0.2"/>
  </sheetData>
  <sheetProtection algorithmName="SHA-512" hashValue="Yu9Oby0WLbb+xQNM4P+AHGkiIz7DbPrca/E7JdPssblhDUgGeMYoLQJi8E1/5bETdzVMhrLtXkBrxFCyYzdB1A==" saltValue="0apzv0yPQibDzUMtO0REug==" spinCount="100000" sheet="1" objects="1" scenarios="1" selectLockedCells="1"/>
  <mergeCells count="86">
    <mergeCell ref="B5:C5"/>
    <mergeCell ref="D5:J5"/>
    <mergeCell ref="B6:C6"/>
    <mergeCell ref="D6:J6"/>
    <mergeCell ref="B2:D3"/>
    <mergeCell ref="K6:L6"/>
    <mergeCell ref="B7:C7"/>
    <mergeCell ref="D7:J7"/>
    <mergeCell ref="K7:L7"/>
    <mergeCell ref="C12:E12"/>
    <mergeCell ref="F12:G12"/>
    <mergeCell ref="H12:I12"/>
    <mergeCell ref="J12:L12"/>
    <mergeCell ref="C13:E13"/>
    <mergeCell ref="F13:I13"/>
    <mergeCell ref="J13:L13"/>
    <mergeCell ref="C14:E14"/>
    <mergeCell ref="F14:I14"/>
    <mergeCell ref="J14:L14"/>
    <mergeCell ref="C15:E15"/>
    <mergeCell ref="F15:I15"/>
    <mergeCell ref="J15:L15"/>
    <mergeCell ref="C16:E16"/>
    <mergeCell ref="F16:G16"/>
    <mergeCell ref="H16:I16"/>
    <mergeCell ref="J16:L16"/>
    <mergeCell ref="C17:E17"/>
    <mergeCell ref="F17:G17"/>
    <mergeCell ref="H17:I17"/>
    <mergeCell ref="J17:L17"/>
    <mergeCell ref="B18:B21"/>
    <mergeCell ref="C18:E21"/>
    <mergeCell ref="F18:G21"/>
    <mergeCell ref="H18:I21"/>
    <mergeCell ref="J18:L21"/>
    <mergeCell ref="B22:B23"/>
    <mergeCell ref="C22:D23"/>
    <mergeCell ref="F22:G22"/>
    <mergeCell ref="H22:I22"/>
    <mergeCell ref="J22:L22"/>
    <mergeCell ref="F23:G23"/>
    <mergeCell ref="H23:I23"/>
    <mergeCell ref="J23:L23"/>
    <mergeCell ref="B24:B25"/>
    <mergeCell ref="C24:E25"/>
    <mergeCell ref="F24:I24"/>
    <mergeCell ref="J24:L24"/>
    <mergeCell ref="F25:I25"/>
    <mergeCell ref="J25:L25"/>
    <mergeCell ref="B26:B27"/>
    <mergeCell ref="C26:E27"/>
    <mergeCell ref="G26:G27"/>
    <mergeCell ref="I26:I27"/>
    <mergeCell ref="J26:L27"/>
    <mergeCell ref="F28:I28"/>
    <mergeCell ref="J28:L28"/>
    <mergeCell ref="F29:I29"/>
    <mergeCell ref="J29:L29"/>
    <mergeCell ref="F30:I30"/>
    <mergeCell ref="J30:L30"/>
    <mergeCell ref="F31:I31"/>
    <mergeCell ref="J31:L31"/>
    <mergeCell ref="G43:K52"/>
    <mergeCell ref="B44:C44"/>
    <mergeCell ref="B45:C45"/>
    <mergeCell ref="B49:C49"/>
    <mergeCell ref="C55:D55"/>
    <mergeCell ref="C56:D56"/>
    <mergeCell ref="C57:D57"/>
    <mergeCell ref="C58:D58"/>
    <mergeCell ref="H58:I58"/>
    <mergeCell ref="B62:C62"/>
    <mergeCell ref="B63:C63"/>
    <mergeCell ref="B64:C64"/>
    <mergeCell ref="B65:C65"/>
    <mergeCell ref="B66:C66"/>
    <mergeCell ref="B67:C67"/>
    <mergeCell ref="B68:C68"/>
    <mergeCell ref="B69:C69"/>
    <mergeCell ref="B71:C71"/>
    <mergeCell ref="B72:C72"/>
    <mergeCell ref="B73:C73"/>
    <mergeCell ref="B74:C74"/>
    <mergeCell ref="B75:C75"/>
    <mergeCell ref="B76:C76"/>
    <mergeCell ref="B77:C77"/>
  </mergeCells>
  <phoneticPr fontId="3"/>
  <conditionalFormatting sqref="D74:D77">
    <cfRule type="expression" dxfId="605" priority="41" stopIfTrue="1">
      <formula>AND(ISNUMBER(D74),MAX($D74:$D74)=D74,$J$58=8)</formula>
    </cfRule>
    <cfRule type="expression" dxfId="604" priority="40" stopIfTrue="1">
      <formula>AND(ISNUMBER(D74),MAX($D74:$D74)=D74,$J$58=7)</formula>
    </cfRule>
    <cfRule type="expression" dxfId="603" priority="39" stopIfTrue="1">
      <formula>AND(ISNUMBER(D74),MAX($D74:$D74)=D74,$J$58=6)</formula>
    </cfRule>
    <cfRule type="expression" dxfId="602" priority="38" stopIfTrue="1">
      <formula>AND(ISNUMBER(D74),MAX($D74:$D74)=D74,$J$58=5)</formula>
    </cfRule>
    <cfRule type="expression" dxfId="601" priority="37" stopIfTrue="1">
      <formula>AND(ISNUMBER(D74),MAX($D74:$D74)=D74,$J$58=4)</formula>
    </cfRule>
    <cfRule type="expression" dxfId="600" priority="36" stopIfTrue="1">
      <formula>AND(ISNUMBER(D74),MAX($D74:$D74)=D74,$J$58=3)</formula>
    </cfRule>
    <cfRule type="expression" dxfId="599" priority="35" stopIfTrue="1">
      <formula>AND(ISNUMBER(D74),MAX($D74:$D74)=D74,$J$58=2)</formula>
    </cfRule>
    <cfRule type="expression" dxfId="598" priority="34" stopIfTrue="1">
      <formula>AND(ISNUMBER(D74),MAX($D74:$D74)=D74,$J$58=1)</formula>
    </cfRule>
    <cfRule type="expression" dxfId="597" priority="32" stopIfTrue="1">
      <formula>AND(ISNUMBER(D74),MAX($D74:$D74)=D74,$J$58="")</formula>
    </cfRule>
    <cfRule type="expression" dxfId="596" priority="33" stopIfTrue="1">
      <formula>AND(ISNUMBER(D74),MAX($D74:$D74)=D74,$J$58=0)</formula>
    </cfRule>
  </conditionalFormatting>
  <conditionalFormatting sqref="D69:E77">
    <cfRule type="expression" dxfId="595" priority="22" stopIfTrue="1">
      <formula>$J$58=""</formula>
    </cfRule>
    <cfRule type="expression" dxfId="594" priority="23" stopIfTrue="1">
      <formula>$J$58=0</formula>
    </cfRule>
    <cfRule type="expression" dxfId="593" priority="24" stopIfTrue="1">
      <formula>$J$58=1</formula>
    </cfRule>
    <cfRule type="expression" dxfId="592" priority="25" stopIfTrue="1">
      <formula>$J$58=2</formula>
    </cfRule>
    <cfRule type="expression" dxfId="591" priority="26" stopIfTrue="1">
      <formula>$J$58=3</formula>
    </cfRule>
    <cfRule type="expression" dxfId="590" priority="27" stopIfTrue="1">
      <formula>$J$58=4</formula>
    </cfRule>
    <cfRule type="expression" dxfId="589" priority="31" stopIfTrue="1">
      <formula>$J$58=8</formula>
    </cfRule>
    <cfRule type="expression" dxfId="588" priority="30" stopIfTrue="1">
      <formula>$J$58=7</formula>
    </cfRule>
    <cfRule type="expression" dxfId="587" priority="29" stopIfTrue="1">
      <formula>$J$58=6</formula>
    </cfRule>
    <cfRule type="expression" dxfId="586" priority="28" stopIfTrue="1">
      <formula>$J$58=5</formula>
    </cfRule>
  </conditionalFormatting>
  <conditionalFormatting sqref="E74:E77">
    <cfRule type="expression" dxfId="585" priority="47" stopIfTrue="1">
      <formula>AND(ISNUMBER(E74),MAX($E74:$E74)=E74,$J$58=4)</formula>
    </cfRule>
    <cfRule type="expression" dxfId="584" priority="48" stopIfTrue="1">
      <formula>AND(ISNUMBER(E74),MAX($E74:$E74)=E74,$J$58=5)</formula>
    </cfRule>
    <cfRule type="expression" dxfId="583" priority="49" stopIfTrue="1">
      <formula>AND(ISNUMBER(E74),MAX($E74:$E74)=E74,$J$58=6)</formula>
    </cfRule>
    <cfRule type="expression" dxfId="582" priority="50" stopIfTrue="1">
      <formula>AND(ISNUMBER(E74),MAX($E74:$E74)=E74,$J$58=7)</formula>
    </cfRule>
    <cfRule type="expression" dxfId="581" priority="51" stopIfTrue="1">
      <formula>AND(ISNUMBER(E74),MAX($E74:$E74)=E74,$J$58=8)</formula>
    </cfRule>
    <cfRule type="expression" dxfId="580" priority="45" stopIfTrue="1">
      <formula>AND(ISNUMBER(E74),MAX($E74:$E74)=E74,$J$58=2)</formula>
    </cfRule>
    <cfRule type="expression" dxfId="579" priority="42" stopIfTrue="1">
      <formula>AND(ISNUMBER(E74),MAX($E74:$E74)=E74,$J$58="")</formula>
    </cfRule>
    <cfRule type="expression" dxfId="578" priority="43" stopIfTrue="1">
      <formula>AND(ISNUMBER(E74),MAX($E74:$E74)=E74,$J$58=0)</formula>
    </cfRule>
    <cfRule type="expression" dxfId="577" priority="44" stopIfTrue="1">
      <formula>AND(ISNUMBER(E74),MAX($E74:$E74)=E74,$J$58=1)</formula>
    </cfRule>
    <cfRule type="expression" dxfId="576" priority="46" stopIfTrue="1">
      <formula>AND(ISNUMBER(E74),MAX($E74:$E74)=E74,$J$58=3)</formula>
    </cfRule>
  </conditionalFormatting>
  <conditionalFormatting sqref="I3">
    <cfRule type="expression" dxfId="575" priority="1" stopIfTrue="1">
      <formula>$G$9=""</formula>
    </cfRule>
    <cfRule type="expression" dxfId="574" priority="2" stopIfTrue="1">
      <formula>$G$9=8</formula>
    </cfRule>
    <cfRule type="expression" dxfId="573" priority="3" stopIfTrue="1">
      <formula>$G$9=7</formula>
    </cfRule>
    <cfRule type="expression" dxfId="572" priority="5" stopIfTrue="1">
      <formula>$G$9=6</formula>
    </cfRule>
    <cfRule type="expression" dxfId="571" priority="6" stopIfTrue="1">
      <formula>$G$9=5</formula>
    </cfRule>
    <cfRule type="expression" dxfId="570" priority="12" stopIfTrue="1">
      <formula>AND(ISNUMBER(I3),MAX($C67:$C67)=I3,$G$9="")</formula>
    </cfRule>
    <cfRule type="expression" dxfId="569" priority="11" stopIfTrue="1">
      <formula>$G$9=0</formula>
    </cfRule>
    <cfRule type="expression" dxfId="568" priority="10" stopIfTrue="1">
      <formula>$G$9=1</formula>
    </cfRule>
    <cfRule type="expression" dxfId="567" priority="9" stopIfTrue="1">
      <formula>$G$9=2</formula>
    </cfRule>
    <cfRule type="expression" dxfId="566" priority="7" stopIfTrue="1">
      <formula>$G$9=4</formula>
    </cfRule>
    <cfRule type="expression" dxfId="565" priority="20" stopIfTrue="1">
      <formula>AND(ISNUMBER(I3),MAX($C67:$C67)=I3,$G$9=7)</formula>
    </cfRule>
    <cfRule type="expression" dxfId="564" priority="19" stopIfTrue="1">
      <formula>AND(ISNUMBER(I3),MAX($C67:$C67)=I3,$G$9=6)</formula>
    </cfRule>
    <cfRule type="expression" dxfId="563" priority="18" stopIfTrue="1">
      <formula>AND(ISNUMBER(I3),MAX($C67:$C67)=I3,$G$9=5)</formula>
    </cfRule>
    <cfRule type="expression" dxfId="562" priority="8" stopIfTrue="1">
      <formula>$G$9=3</formula>
    </cfRule>
    <cfRule type="expression" dxfId="561" priority="17" stopIfTrue="1">
      <formula>AND(ISNUMBER(I3),MAX($C67:$C67)=I3,$G$9=4)</formula>
    </cfRule>
    <cfRule type="expression" dxfId="560" priority="16" stopIfTrue="1">
      <formula>AND(ISNUMBER(I3),MAX($C67:$C67)=I3,$G$9=3)</formula>
    </cfRule>
    <cfRule type="expression" dxfId="559" priority="21" stopIfTrue="1">
      <formula>AND(ISNUMBER(I3),MAX($C67:$C67)=I3,$G$9=8)</formula>
    </cfRule>
    <cfRule type="expression" dxfId="558" priority="15" stopIfTrue="1">
      <formula>AND(ISNUMBER(I3),MAX($C67:$C67)=I3,$G$9=2)</formula>
    </cfRule>
    <cfRule type="expression" dxfId="557" priority="14" stopIfTrue="1">
      <formula>AND(ISNUMBER(I3),MAX($C67:$C67)=I3,$G$9=1)</formula>
    </cfRule>
    <cfRule type="expression" dxfId="556" priority="13" stopIfTrue="1">
      <formula>AND(ISNUMBER(I3),MAX($C67:$C67)=I3,$G$9=0)</formula>
    </cfRule>
  </conditionalFormatting>
  <hyperlinks>
    <hyperlink ref="B79" location="入力及び計算結果!A1" display="「入力及び計算結果」に戻る" xr:uid="{00000000-0004-0000-0700-000000000000}"/>
  </hyperlinks>
  <pageMargins left="0.7" right="0.7" top="0.75" bottom="0.75" header="0.3" footer="0.3"/>
  <pageSetup paperSize="9" orientation="portrait" r:id="rId1"/>
  <ignoredErrors>
    <ignoredError sqref="D38 G38 J38 N38 Q38 T38" formula="1"/>
  </ignoredErrors>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a6b8a3b-e3e7-496a-9a1a-c2a450941df0">
      <Terms xmlns="http://schemas.microsoft.com/office/infopath/2007/PartnerControls"/>
    </lcf76f155ced4ddcb4097134ff3c332f>
    <TaxCatchAll xmlns="e9d33e58-4a70-4799-89b5-fbd48a9ef91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605DEDAD90CD9941B60730283A35B5E7" ma:contentTypeVersion="13" ma:contentTypeDescription="新しいドキュメントを作成します。" ma:contentTypeScope="" ma:versionID="dc106b262bbc01f6bd23469693bbdad5">
  <xsd:schema xmlns:xsd="http://www.w3.org/2001/XMLSchema" xmlns:xs="http://www.w3.org/2001/XMLSchema" xmlns:p="http://schemas.microsoft.com/office/2006/metadata/properties" xmlns:ns2="3a6b8a3b-e3e7-496a-9a1a-c2a450941df0" xmlns:ns3="e9d33e58-4a70-4799-89b5-fbd48a9ef91c" targetNamespace="http://schemas.microsoft.com/office/2006/metadata/properties" ma:root="true" ma:fieldsID="8d6dec7ee8466d2b2e94fe955c62c288" ns2:_="" ns3:_="">
    <xsd:import namespace="3a6b8a3b-e3e7-496a-9a1a-c2a450941df0"/>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a6b8a3b-e3e7-496a-9a1a-c2a450941d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df6ffd31-2b5b-4662-a55c-438a22103a27}"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49D7052-8F52-462A-B7A2-9E3DDB425141}">
  <ds:schemaRefs>
    <ds:schemaRef ds:uri="http://purl.org/dc/elements/1.1/"/>
    <ds:schemaRef ds:uri="3a6b8a3b-e3e7-496a-9a1a-c2a450941df0"/>
    <ds:schemaRef ds:uri="http://schemas.microsoft.com/office/infopath/2007/PartnerControls"/>
    <ds:schemaRef ds:uri="http://schemas.microsoft.com/office/2006/metadata/properties"/>
    <ds:schemaRef ds:uri="http://schemas.microsoft.com/office/2006/documentManagement/types"/>
    <ds:schemaRef ds:uri="http://schemas.openxmlformats.org/package/2006/metadata/core-properties"/>
    <ds:schemaRef ds:uri="http://purl.org/dc/terms/"/>
    <ds:schemaRef ds:uri="e9d33e58-4a70-4799-89b5-fbd48a9ef91c"/>
    <ds:schemaRef ds:uri="http://www.w3.org/XML/1998/namespace"/>
    <ds:schemaRef ds:uri="http://purl.org/dc/dcmitype/"/>
  </ds:schemaRefs>
</ds:datastoreItem>
</file>

<file path=customXml/itemProps2.xml><?xml version="1.0" encoding="utf-8"?>
<ds:datastoreItem xmlns:ds="http://schemas.openxmlformats.org/officeDocument/2006/customXml" ds:itemID="{84E2C55D-6A2E-41B7-A574-1B60B09E7E6C}">
  <ds:schemaRefs>
    <ds:schemaRef ds:uri="http://schemas.microsoft.com/sharepoint/v3/contenttype/forms"/>
  </ds:schemaRefs>
</ds:datastoreItem>
</file>

<file path=customXml/itemProps3.xml><?xml version="1.0" encoding="utf-8"?>
<ds:datastoreItem xmlns:ds="http://schemas.openxmlformats.org/officeDocument/2006/customXml" ds:itemID="{C4B21D49-88EC-45AC-AADD-90BCEA446B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a6b8a3b-e3e7-496a-9a1a-c2a450941df0"/>
    <ds:schemaRef ds:uri="e9d33e58-4a70-4799-89b5-fbd48a9ef91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14</vt:i4>
      </vt:variant>
      <vt:variant>
        <vt:lpstr>名前付き一覧</vt:lpstr>
      </vt:variant>
      <vt:variant>
        <vt:i4>152</vt:i4>
      </vt:variant>
    </vt:vector>
  </HeadingPairs>
  <TitlesOfParts>
    <vt:vector size="166" baseType="lpstr">
      <vt:lpstr>改訂履歴</vt:lpstr>
      <vt:lpstr>入力及び計算結果</vt:lpstr>
      <vt:lpstr>No.1</vt:lpstr>
      <vt:lpstr>No.2</vt:lpstr>
      <vt:lpstr>No.3</vt:lpstr>
      <vt:lpstr>No.4</vt:lpstr>
      <vt:lpstr>No.5</vt:lpstr>
      <vt:lpstr>No.6</vt:lpstr>
      <vt:lpstr>No.7</vt:lpstr>
      <vt:lpstr>No.8</vt:lpstr>
      <vt:lpstr>No.9</vt:lpstr>
      <vt:lpstr>No.10</vt:lpstr>
      <vt:lpstr>No.11</vt:lpstr>
      <vt:lpstr>No.12</vt:lpstr>
      <vt:lpstr>No.12!Au</vt:lpstr>
      <vt:lpstr>No.7!Au</vt:lpstr>
      <vt:lpstr>No.12!DDr</vt:lpstr>
      <vt:lpstr>No.7!DDr</vt:lpstr>
      <vt:lpstr>No.12!DDra</vt:lpstr>
      <vt:lpstr>No.7!DDra</vt:lpstr>
      <vt:lpstr>dr</vt:lpstr>
      <vt:lpstr>ds</vt:lpstr>
      <vt:lpstr>No.10!dt</vt:lpstr>
      <vt:lpstr>No.11!dt</vt:lpstr>
      <vt:lpstr>No.12!dt</vt:lpstr>
      <vt:lpstr>No.3!dt</vt:lpstr>
      <vt:lpstr>No.4!dt</vt:lpstr>
      <vt:lpstr>No.5!dt</vt:lpstr>
      <vt:lpstr>No.6!dt</vt:lpstr>
      <vt:lpstr>No.7!dt</vt:lpstr>
      <vt:lpstr>No.8!dt</vt:lpstr>
      <vt:lpstr>No.9!dt</vt:lpstr>
      <vt:lpstr>No.10!ffp</vt:lpstr>
      <vt:lpstr>No.11!ffp</vt:lpstr>
      <vt:lpstr>No.3!ffp</vt:lpstr>
      <vt:lpstr>No.4!ffp</vt:lpstr>
      <vt:lpstr>No.5!ffp</vt:lpstr>
      <vt:lpstr>No.6!ffp</vt:lpstr>
      <vt:lpstr>No.8!ffp</vt:lpstr>
      <vt:lpstr>No.9!ffp</vt:lpstr>
      <vt:lpstr>No.12!ffu</vt:lpstr>
      <vt:lpstr>No.7!ffu</vt:lpstr>
      <vt:lpstr>No.12!ffua</vt:lpstr>
      <vt:lpstr>No.7!ffua</vt:lpstr>
      <vt:lpstr>fp</vt:lpstr>
      <vt:lpstr>fpp</vt:lpstr>
      <vt:lpstr>fu</vt:lpstr>
      <vt:lpstr>fua</vt:lpstr>
      <vt:lpstr>No.10!I</vt:lpstr>
      <vt:lpstr>No.11!I</vt:lpstr>
      <vt:lpstr>No.12!I</vt:lpstr>
      <vt:lpstr>No.3!I</vt:lpstr>
      <vt:lpstr>No.4!I</vt:lpstr>
      <vt:lpstr>No.5!I</vt:lpstr>
      <vt:lpstr>No.6!I</vt:lpstr>
      <vt:lpstr>No.7!I</vt:lpstr>
      <vt:lpstr>No.8!I</vt:lpstr>
      <vt:lpstr>No.9!I</vt:lpstr>
      <vt:lpstr>No.10!k</vt:lpstr>
      <vt:lpstr>No.11!k</vt:lpstr>
      <vt:lpstr>No.12!k</vt:lpstr>
      <vt:lpstr>No.3!k</vt:lpstr>
      <vt:lpstr>No.4!k</vt:lpstr>
      <vt:lpstr>No.5!k</vt:lpstr>
      <vt:lpstr>No.6!k</vt:lpstr>
      <vt:lpstr>No.7!k</vt:lpstr>
      <vt:lpstr>No.8!k</vt:lpstr>
      <vt:lpstr>No.9!k</vt:lpstr>
      <vt:lpstr>No.12!Kkkk</vt:lpstr>
      <vt:lpstr>No.7!Kkkk</vt:lpstr>
      <vt:lpstr>No.12!KKoc</vt:lpstr>
      <vt:lpstr>No.7!KKoc</vt:lpstr>
      <vt:lpstr>No.10!Klevee</vt:lpstr>
      <vt:lpstr>No.11!Klevee</vt:lpstr>
      <vt:lpstr>No.3!Klevee</vt:lpstr>
      <vt:lpstr>No.4!Klevee</vt:lpstr>
      <vt:lpstr>No.5!Klevee</vt:lpstr>
      <vt:lpstr>No.6!Klevee</vt:lpstr>
      <vt:lpstr>No.8!Klevee</vt:lpstr>
      <vt:lpstr>No.9!Klevee</vt:lpstr>
      <vt:lpstr>No.10!Koc</vt:lpstr>
      <vt:lpstr>No.11!Koc</vt:lpstr>
      <vt:lpstr>No.12!Koc</vt:lpstr>
      <vt:lpstr>No.3!Koc</vt:lpstr>
      <vt:lpstr>No.4!Koc</vt:lpstr>
      <vt:lpstr>No.5!Koc</vt:lpstr>
      <vt:lpstr>No.6!Koc</vt:lpstr>
      <vt:lpstr>No.7!Koc</vt:lpstr>
      <vt:lpstr>No.8!Koc</vt:lpstr>
      <vt:lpstr>No.9!Koc</vt:lpstr>
      <vt:lpstr>No.10!Oclevee</vt:lpstr>
      <vt:lpstr>No.11!Oclevee</vt:lpstr>
      <vt:lpstr>No.3!Oclevee</vt:lpstr>
      <vt:lpstr>No.4!Oclevee</vt:lpstr>
      <vt:lpstr>No.5!Oclevee</vt:lpstr>
      <vt:lpstr>No.6!Oclevee</vt:lpstr>
      <vt:lpstr>No.8!Oclevee</vt:lpstr>
      <vt:lpstr>No.9!Oclevee</vt:lpstr>
      <vt:lpstr>No.10!Ocse</vt:lpstr>
      <vt:lpstr>No.11!Ocse</vt:lpstr>
      <vt:lpstr>No.3!Ocse</vt:lpstr>
      <vt:lpstr>No.4!Ocse</vt:lpstr>
      <vt:lpstr>No.5!Ocse</vt:lpstr>
      <vt:lpstr>No.6!Ocse</vt:lpstr>
      <vt:lpstr>No.8!Ocse</vt:lpstr>
      <vt:lpstr>No.9!Ocse</vt:lpstr>
      <vt:lpstr>No.12!OOCSE</vt:lpstr>
      <vt:lpstr>No.7!OOCSE</vt:lpstr>
      <vt:lpstr>No.10!Plevee</vt:lpstr>
      <vt:lpstr>No.11!Plevee</vt:lpstr>
      <vt:lpstr>No.3!Plevee</vt:lpstr>
      <vt:lpstr>No.4!Plevee</vt:lpstr>
      <vt:lpstr>No.5!Plevee</vt:lpstr>
      <vt:lpstr>No.6!Plevee</vt:lpstr>
      <vt:lpstr>No.8!Plevee</vt:lpstr>
      <vt:lpstr>No.9!Plevee</vt:lpstr>
      <vt:lpstr>No.12!PPse</vt:lpstr>
      <vt:lpstr>No.7!PPse</vt:lpstr>
      <vt:lpstr>No.1!Print_Area</vt:lpstr>
      <vt:lpstr>No.2!Print_Area</vt:lpstr>
      <vt:lpstr>No.10!Pse</vt:lpstr>
      <vt:lpstr>No.11!Pse</vt:lpstr>
      <vt:lpstr>No.3!Pse</vt:lpstr>
      <vt:lpstr>No.4!Pse</vt:lpstr>
      <vt:lpstr>No.5!Pse</vt:lpstr>
      <vt:lpstr>No.6!Pse</vt:lpstr>
      <vt:lpstr>No.8!Pse</vt:lpstr>
      <vt:lpstr>No.9!Pse</vt:lpstr>
      <vt:lpstr>No.12!RU</vt:lpstr>
      <vt:lpstr>No.7!RU</vt:lpstr>
      <vt:lpstr>No.12!RUa</vt:lpstr>
      <vt:lpstr>No.7!RUa</vt:lpstr>
      <vt:lpstr>入力及び計算結果!RUa</vt:lpstr>
      <vt:lpstr>No.12!RUaa</vt:lpstr>
      <vt:lpstr>No.7!RUaa</vt:lpstr>
      <vt:lpstr>No.12!RUUa</vt:lpstr>
      <vt:lpstr>No.7!RUUa</vt:lpstr>
      <vt:lpstr>No.10!rws</vt:lpstr>
      <vt:lpstr>No.11!rws</vt:lpstr>
      <vt:lpstr>No.3!rws</vt:lpstr>
      <vt:lpstr>No.4!rws</vt:lpstr>
      <vt:lpstr>No.5!rws</vt:lpstr>
      <vt:lpstr>No.6!rws</vt:lpstr>
      <vt:lpstr>No.8!rws</vt:lpstr>
      <vt:lpstr>No.9!rws</vt:lpstr>
      <vt:lpstr>No.12!SANP</vt:lpstr>
      <vt:lpstr>No.7!SANP</vt:lpstr>
      <vt:lpstr>No.10!Vse</vt:lpstr>
      <vt:lpstr>No.11!Vse</vt:lpstr>
      <vt:lpstr>No.3!Vse</vt:lpstr>
      <vt:lpstr>No.4!Vse</vt:lpstr>
      <vt:lpstr>No.5!Vse</vt:lpstr>
      <vt:lpstr>No.6!Vse</vt:lpstr>
      <vt:lpstr>No.8!Vse</vt:lpstr>
      <vt:lpstr>No.9!Vse</vt:lpstr>
      <vt:lpstr>No.12!VVse</vt:lpstr>
      <vt:lpstr>No.7!VVse</vt:lpstr>
      <vt:lpstr>No.12!Zr</vt:lpstr>
      <vt:lpstr>No.7!Zr</vt:lpstr>
      <vt:lpstr>No.12!Zra</vt:lpstr>
      <vt:lpstr>No.7!Zra</vt:lpstr>
      <vt:lpstr>水田_第１段階</vt:lpstr>
      <vt:lpstr>水田_第２段階_航空防除</vt:lpstr>
      <vt:lpstr>水田_第２段階_地上防除</vt:lpstr>
      <vt:lpstr>非水田_第１段階</vt:lpstr>
      <vt:lpstr>非水田_第２段階</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0x010100605DEDAD90CD9941B60730283A35B5E7</vt:lpwstr>
  </property>
  <property fmtid="{D5CDD505-2E9C-101B-9397-08002B2CF9AE}" pid="3" name="MediaServiceImageTags">
    <vt:lpwstr/>
  </property>
</Properties>
</file>